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tables/table5.xml" ContentType="application/vnd.openxmlformats-officedocument.spreadsheetml.table+xml"/>
  <Override PartName="/xl/tables/table6.xml" ContentType="application/vnd.openxmlformats-officedocument.spreadsheetml.table+xml"/>
  <Override PartName="/xl/comments1.xml" ContentType="application/vnd.openxmlformats-officedocument.spreadsheetml.comments+xml"/>
  <Override PartName="/xl/tables/table7.xml" ContentType="application/vnd.openxmlformats-officedocument.spreadsheetml.table+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5.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6.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drawings/drawing7.xml" ContentType="application/vnd.openxmlformats-officedocument.drawing+xml"/>
  <Override PartName="/xl/activeX/activeX22.xml" ContentType="application/vnd.ms-office.activeX+xml"/>
  <Override PartName="/xl/activeX/activeX22.bin" ContentType="application/vnd.ms-office.activeX"/>
  <Override PartName="/xl/drawings/drawing8.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drawings/drawing9.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tables/table8.xml" ContentType="application/vnd.openxmlformats-officedocument.spreadsheetml.table+xml"/>
  <Override PartName="/xl/tables/table9.xml" ContentType="application/vnd.openxmlformats-officedocument.spreadsheetml.table+xml"/>
  <Override PartName="/xl/drawings/drawing10.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6.xml" ContentType="application/vnd.openxmlformats-officedocument.spreadsheetml.comments+xml"/>
  <Override PartName="/xl/drawings/drawing11.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drawings/drawing12.xml" ContentType="application/vnd.openxmlformats-officedocument.drawing+xml"/>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drawings/drawing13.xml" ContentType="application/vnd.openxmlformats-officedocument.drawing+xml"/>
  <Override PartName="/xl/activeX/activeX34.xml" ContentType="application/vnd.ms-office.activeX+xml"/>
  <Override PartName="/xl/activeX/activeX34.bin" ContentType="application/vnd.ms-office.activeX"/>
  <Override PartName="/xl/drawings/drawing14.xml" ContentType="application/vnd.openxmlformats-officedocument.drawing+xml"/>
  <Override PartName="/xl/activeX/activeX35.xml" ContentType="application/vnd.ms-office.activeX+xml"/>
  <Override PartName="/xl/activeX/activeX35.bin" ContentType="application/vnd.ms-office.activeX"/>
  <Override PartName="/xl/drawings/drawing15.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1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8.xml" ContentType="application/vnd.openxmlformats-officedocument.spreadsheetml.comments+xml"/>
  <Override PartName="/xl/drawings/drawing17.xml" ContentType="application/vnd.openxmlformats-officedocument.drawing+xml"/>
  <Override PartName="/xl/drawings/drawing1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530"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cengineering-my.sharepoint.com/personal/zbenton_dcengineering_net/Documents/Desktop/WMT design tool upgrades/Tool Iterations/"/>
    </mc:Choice>
  </mc:AlternateContent>
  <xr:revisionPtr revIDLastSave="1491" documentId="8_{DEC539C1-B8B9-4792-9E74-08CCC33A3532}" xr6:coauthVersionLast="47" xr6:coauthVersionMax="47" xr10:uidLastSave="{82160FFE-5DBA-4C2C-AFD2-849C160A1CFA}"/>
  <bookViews>
    <workbookView xWindow="-120" yWindow="-120" windowWidth="29040" windowHeight="15720" tabRatio="791" firstSheet="38" activeTab="38" xr2:uid="{4C2B8F8F-D560-4467-8615-C3D162D36018}"/>
  </bookViews>
  <sheets>
    <sheet name="DB-model" sheetId="118" state="veryHidden" r:id="rId1"/>
    <sheet name="DB-model1" sheetId="119" state="veryHidden" r:id="rId2"/>
    <sheet name="DB-master" sheetId="120" state="veryHidden" r:id="rId3"/>
    <sheet name="DB-evapdx" sheetId="121" state="veryHidden" r:id="rId4"/>
    <sheet name="Legend(DX)" sheetId="1" state="veryHidden" r:id="rId5"/>
    <sheet name="Pipe Data" sheetId="89" state="veryHidden" r:id="rId6"/>
    <sheet name="Walk-in Load Calc" sheetId="75" state="veryHidden" r:id="rId7"/>
    <sheet name="Heat Reclaim Calc" sheetId="104" state="veryHidden" r:id="rId8"/>
    <sheet name="LineSizeData" sheetId="90" state="veryHidden" r:id="rId9"/>
    <sheet name="Charge Calc" sheetId="122" state="veryHidden" r:id="rId10"/>
    <sheet name="Charge Calc For_Copy_Temp" sheetId="123" state="veryHidden" r:id="rId11"/>
    <sheet name="Charge Calc For_Copy" sheetId="130" state="veryHidden" r:id="rId12"/>
    <sheet name="Skid Equip For_Copy_Temp" sheetId="131" state="veryHidden" r:id="rId13"/>
    <sheet name="Subcooler Calcs" sheetId="105" state="veryHidden" r:id="rId14"/>
    <sheet name="Refrig Charge" sheetId="110" state="veryHidden" r:id="rId15"/>
    <sheet name="LoadProfile" sheetId="100" state="veryHidden" r:id="rId16"/>
    <sheet name="Refrig Schedule_temp" sheetId="111" state="veryHidden" r:id="rId17"/>
    <sheet name="Circuit Restart_Temp" sheetId="135" state="veryHidden" r:id="rId18"/>
    <sheet name="Refrig Schedule" sheetId="101" state="veryHidden" r:id="rId19"/>
    <sheet name="Piping Schedule" sheetId="92" state="veryHidden" r:id="rId20"/>
    <sheet name="Piping Summary" sheetId="91" state="veryHidden" r:id="rId21"/>
    <sheet name="Case EMS Schedule" sheetId="102" state="veryHidden" r:id="rId22"/>
    <sheet name="Legend(Skid)" sheetId="124" state="veryHidden" r:id="rId23"/>
    <sheet name="LineSizeData(Skid)" sheetId="125" state="veryHidden" r:id="rId24"/>
    <sheet name="Refrig Schedule(Skid)" sheetId="126" state="veryHidden" r:id="rId25"/>
    <sheet name="Piping Schedule(Skid)" sheetId="127" state="veryHidden" r:id="rId26"/>
    <sheet name="Skid Equip For_Copy" sheetId="132" state="veryHidden" r:id="rId27"/>
    <sheet name="Phasing Schedule" sheetId="134" state="veryHidden" r:id="rId28"/>
    <sheet name="Circuit Restart For_Copy" sheetId="136" state="veryHidden" r:id="rId29"/>
    <sheet name="EVAP-SME(DX)" sheetId="97" state="veryHidden" r:id="rId30"/>
    <sheet name="EVAP-SM(DX)" sheetId="98" state="veryHidden" r:id="rId31"/>
    <sheet name="HEAT-X" sheetId="3" state="veryHidden" r:id="rId32"/>
    <sheet name="Propylene Glycol 20" sheetId="112" state="veryHidden" r:id="rId33"/>
    <sheet name="Propylene Glycol 25" sheetId="113" state="veryHidden" r:id="rId34"/>
    <sheet name="Propylene Glycol 30" sheetId="114" state="veryHidden" r:id="rId35"/>
    <sheet name="Propylene Glycol 35" sheetId="115" state="veryHidden" r:id="rId36"/>
    <sheet name="Propylene Glycol 40" sheetId="116" state="veryHidden" r:id="rId37"/>
    <sheet name="RefProp Error" sheetId="88" state="veryHidden" r:id="rId38"/>
    <sheet name="Macro Error" sheetId="87" r:id="rId39"/>
  </sheets>
  <functionGroups builtInGroupCount="19"/>
  <definedNames>
    <definedName name="_xlnm._FilterDatabase" localSheetId="6" hidden="1">'Walk-in Load Calc'!$Z$44:$Z$58</definedName>
    <definedName name="_LT1010">'Walk-in Load Calc'!$BB$617:$DG$674</definedName>
    <definedName name="_LT102">'Walk-in Load Calc'!$BB$557:$DG$614</definedName>
    <definedName name="_LT1210">'Walk-in Load Calc'!$BB$979:$DG$1036</definedName>
    <definedName name="_LT122">'Walk-in Load Calc'!$BB$919:$DG$976</definedName>
    <definedName name="_LT810">'Walk-in Load Calc'!$BB$255:$DG$312</definedName>
    <definedName name="_LT82">'Walk-in Load Calc'!$BB$195:$DG$252</definedName>
    <definedName name="_MT1028">'Walk-in Load Calc'!$BB$737:$DG$794</definedName>
    <definedName name="_MT1033">'Walk-in Load Calc'!$BB$677:$DG$734</definedName>
    <definedName name="_MT1035">'Walk-in Load Calc'!$BB$797:$DG$854</definedName>
    <definedName name="_MT1036">'Walk-in Load Calc'!$BB$857:$DG$914</definedName>
    <definedName name="_MT1228">'Walk-in Load Calc'!$BB$1099:$DG$1156</definedName>
    <definedName name="_MT1233">'Walk-in Load Calc'!$BB$1039:$DG$1096</definedName>
    <definedName name="_MT1235">'Walk-in Load Calc'!$BB$1159:$DG$1216</definedName>
    <definedName name="_MT1236">'Walk-in Load Calc'!$BB$1219:$DG$1276</definedName>
    <definedName name="_MT828">'Walk-in Load Calc'!$BB$375:$DG$432</definedName>
    <definedName name="_MT833">'Walk-in Load Calc'!$BB$315:$DG$372</definedName>
    <definedName name="_MT835">'Walk-in Load Calc'!$BB$435:$DG$492</definedName>
    <definedName name="_MT836">'Walk-in Load Calc'!$BB$495:$DG$552</definedName>
    <definedName name="_PG20">'Propylene Glycol 20'!$B$5:$J$200</definedName>
    <definedName name="_PG25">'Propylene Glycol 25'!$B$5:$J$210</definedName>
    <definedName name="_PG30">'Propylene Glycol 30'!$B$5:$J$210</definedName>
    <definedName name="_PG35">'Propylene Glycol 35'!$B$5:$J$220</definedName>
    <definedName name="_PG40">'Propylene Glycol 40'!$B$5:$J$230</definedName>
    <definedName name="_xleta.DB" hidden="1" xlm="1">#NAME?</definedName>
    <definedName name="APPLICATION">'Legend(DX)'!$BD$219:$BE$332</definedName>
    <definedName name="APPLICATION_Skid">'Legend(Skid)'!$BD$219:$BE$340</definedName>
    <definedName name="AsbuiltNote">'Piping Schedule'!$B$37:$J$39</definedName>
    <definedName name="AsbuiltNote_Skid">'Piping Schedule(Skid)'!$B$38:$J$40</definedName>
    <definedName name="CASE_AUTO">'Legend(DX)'!$H$591:$AT$591</definedName>
    <definedName name="CASE_AUTO_Skid">'Legend(Skid)'!$H$591:$AT$591</definedName>
    <definedName name="CASE_MANUAL">'Legend(DX)'!$H$595:$AT$595</definedName>
    <definedName name="CASE_MANUAL_Skid">'Legend(Skid)'!$H$595:$AT$595</definedName>
    <definedName name="CHILD_TEMPLATE">'Legend(DX)'!$A$605:$ET$605</definedName>
    <definedName name="CHILD_TEMPLATE_Skid">'Legend(Skid)'!$A$605:$ET$605</definedName>
    <definedName name="CIRC_RATE">'DB-master'!$D$3:$V$489</definedName>
    <definedName name="CKT_TEMPLATE">'Legend(DX)'!$A$603:$ET$603</definedName>
    <definedName name="CKT_TEMPLATE_Skid">'Legend(Skid)'!$A$603:$ET$603</definedName>
    <definedName name="CKT2_TEMP">'Legend(DX)'!$A$612:$AT$612</definedName>
    <definedName name="CKT2_TEMP_Skid">'Legend(Skid)'!$A$612:$AT$612</definedName>
    <definedName name="CKT3_TEMP">'Legend(DX)'!$A$614:$AT$614</definedName>
    <definedName name="CKT3_TEMP_Skid">'Legend(Skid)'!$A$614:$AT$614</definedName>
    <definedName name="CKTPhases_Skid">'Legend(Skid)'!$AR$8:$AR$9</definedName>
    <definedName name="CKTRestartTemplate">'Circuit Restart_Temp'!$B$42:$H$66</definedName>
    <definedName name="COMP_1">'Legend(DX)'!$H$21:$AJ$28</definedName>
    <definedName name="COMP_1_Skid">'Legend(Skid)'!$H$21:$AJ$28</definedName>
    <definedName name="COMP_2">'Legend(DX)'!$H$30:$AJ$37</definedName>
    <definedName name="COMP_2_Skid">'Legend(Skid)'!$H$30:$AJ$37</definedName>
    <definedName name="COMP_3">'Legend(DX)'!$H$39:$AJ$46</definedName>
    <definedName name="COMP_3_Skid">'Legend(Skid)'!$H$39:$AJ$46</definedName>
    <definedName name="COMP_TEMP">'Legend(DX)'!$H$617:$AJ$624</definedName>
    <definedName name="COMP_TEMP_2">'Legend(DX)'!$H$626:$AJ$633</definedName>
    <definedName name="COMP_TEMP_2_Skid">'Legend(Skid)'!$H$626:$AJ$633</definedName>
    <definedName name="COMP_TEMP_3">'Legend(DX)'!$H$635:$AJ$642</definedName>
    <definedName name="COMP_TEMP_3_Skid">'Legend(Skid)'!$H$635:$AJ$642</definedName>
    <definedName name="COMP_TEMP_Skid">'Legend(Skid)'!$H$617:$AJ$624</definedName>
    <definedName name="CondInfo">'Legend(DX)'!$AK$19:$AT$29</definedName>
    <definedName name="CondInfo_Skid">'Legend(Skid)'!$AK$19:$AT$29</definedName>
    <definedName name="DropDownList">'Legend(DX)'!$Y$577:INDEX('Legend(DX)'!$Y$577:$Y$580,MAX('Legend(DX)'!$X$577:$X$580),1)</definedName>
    <definedName name="DropDownList_Skid">'Legend(Skid)'!$Y$577:$Y$580</definedName>
    <definedName name="evapdx">'DB-evapdx'!$B$3:$AB$121</definedName>
    <definedName name="evapdx_1C">'DB-evapdx'!$B$2:$B$234</definedName>
    <definedName name="evapdx_header">'DB-evapdx'!$B$2:$AB$2</definedName>
    <definedName name="FULL_MANUAL">'Legend(DX)'!$H$599:$AT$599</definedName>
    <definedName name="FULL_MANUAL_Skid">'Legend(Skid)'!$H$599:$AT$599</definedName>
    <definedName name="Glycol_20">'Propylene Glycol 20'!$B$10:$J$200</definedName>
    <definedName name="Glycol_25">'Propylene Glycol 25'!$B$20:$J$210</definedName>
    <definedName name="Glycol_30">'Propylene Glycol 30'!$B$10:$J$210</definedName>
    <definedName name="Glycol_35">'Propylene Glycol 35'!$B$12:$J$220</definedName>
    <definedName name="Glycol_40">'Propylene Glycol 40'!$B$10:$J$230</definedName>
    <definedName name="GlyNotes">'Piping Schedule'!$B$41:$J$59</definedName>
    <definedName name="GlyNotes_Skid">'Piping Schedule(Skid)'!$B$42:$J$61</definedName>
    <definedName name="GTTHR">'Legend(DX)'!$W$48</definedName>
    <definedName name="GTTHR_Skid">'Legend(Skid)'!$W$48</definedName>
    <definedName name="GTTHR1">'Legend(DX)'!$W$29</definedName>
    <definedName name="GTTHR1_Skid">'Legend(Skid)'!$W$29</definedName>
    <definedName name="LegendCaseLookup">'DB-model1'!$B$2:$B$191</definedName>
    <definedName name="LegendEvapLookup">'DB-evapdx'!$B$2:$B$252</definedName>
    <definedName name="LegendSG1CKTMode">'Legend(DX)'!$A$8:$F$9</definedName>
    <definedName name="LegendSG1CKTMode_Skid">'Legend(Skid)'!$A$8:$F$9</definedName>
    <definedName name="LegendSG1CKTrows">'Legend(DX)'!$G$8:$AT$9</definedName>
    <definedName name="LegendSG1CKTrows_Skid">'Legend(Skid)'!$G$8:$AT$9</definedName>
    <definedName name="LegendSG1CKTs">'Legend(DX)'!$AU$8:$AU$9</definedName>
    <definedName name="LegendSG1CKTs_Skid">'Legend(Skid)'!$AU$8:$AU$9</definedName>
    <definedName name="LegendSG1CKTsList_Skid">'Legend(Skid)'!$H$8:$H$9</definedName>
    <definedName name="LegendSG1CKTsPurged">'Legend(DX)'!$AV$7</definedName>
    <definedName name="LegendSG1CKTsPurged_Skid">'Legend(Skid)'!$AV$7</definedName>
    <definedName name="LegendSG1CRT">'Legend(DX)'!$AD$8:$AD$9</definedName>
    <definedName name="LegendSG1CRT_Skid">'Legend(Skid)'!$AD$8:$AD$9</definedName>
    <definedName name="LegendSG1CT">'Legend(DX)'!$W$2</definedName>
    <definedName name="LegendSG1CT_Skid">'Legend(Skid)'!$W$2</definedName>
    <definedName name="LegendSG1EVLT">'Legend(DX)'!$AA$10</definedName>
    <definedName name="LegendSG1EVLT_Skid">'Legend(Skid)'!$AA$10</definedName>
    <definedName name="LegendSG1EVT">'Legend(DX)'!$AB$8:$AB$9</definedName>
    <definedName name="LegendSG1EVT_Skid">'Legend(Skid)'!$AB$8:$AB$9</definedName>
    <definedName name="LegendSG1LT">'Legend(DX)'!$Y$1</definedName>
    <definedName name="LegendSG1LT_Skid">'Legend(Skid)'!$Y$1</definedName>
    <definedName name="LegendSG1RGT">'Legend(DX)'!$AA$1</definedName>
    <definedName name="LegendSG1RGT_Skid">'Legend(Skid)'!$AA$1</definedName>
    <definedName name="LegendSG1RSST">'Legend(DX)'!$AC$10</definedName>
    <definedName name="LegendSG1RSST_Skid">'Legend(Skid)'!$AC$10</definedName>
    <definedName name="LegendSG1SCR">'Legend(DX)'!$Y$8:$Y$9</definedName>
    <definedName name="LegendSG1SCR_Skid">'Legend(Skid)'!$Y$8:$Y$9</definedName>
    <definedName name="LegendSG2CKTMode">'Legend(DX)'!$A$11:$F$12</definedName>
    <definedName name="LegendSG2CKTMode_Skid">'Legend(Skid)'!$A$11:$F$12</definedName>
    <definedName name="LegendSG2CKTrows">'Legend(DX)'!$G$11:$AT$12</definedName>
    <definedName name="LegendSG2CKTrows_Skid">'Legend(Skid)'!$G$11:$AT$12</definedName>
    <definedName name="LegendSG2CKTs">'Legend(DX)'!$AU$11:$AU$12</definedName>
    <definedName name="LegendSG2CKTs_Skid">'Legend(Skid)'!$AU$11:$AU$12</definedName>
    <definedName name="LegendSG2CKTsPurged">'Legend(DX)'!$AV$10</definedName>
    <definedName name="LegendSG2CKTsPurged_Skid">'Legend(Skid)'!$AV$10</definedName>
    <definedName name="LegendSG2CRT">'Legend(DX)'!$AD$11:$AD$12</definedName>
    <definedName name="LegendSG2CRT_Skid">'Legend(Skid)'!$AD$11:$AD$12</definedName>
    <definedName name="LegendSG2CT">'Legend(DX)'!$W$2</definedName>
    <definedName name="LegendSG2CT_Skid">'Legend(Skid)'!$W$2</definedName>
    <definedName name="LegendSG2EVLT">'Legend(DX)'!$AA$13</definedName>
    <definedName name="LegendSG2EVLT_Skid">'Legend(Skid)'!$AA$13</definedName>
    <definedName name="LegendSG2EVT">'Legend(DX)'!$AB$11:$AB$12</definedName>
    <definedName name="LegendSG2EVT_Skid">'Legend(Skid)'!$AB$11:$AB$12</definedName>
    <definedName name="LegendSG2LT">'Legend(DX)'!$Y$2</definedName>
    <definedName name="LegendSG2LT_Skid">'Legend(Skid)'!$Y$2</definedName>
    <definedName name="LegendSG2RGT">'Legend(DX)'!$AA$2</definedName>
    <definedName name="LegendSG2RGT_Skid">'Legend(Skid)'!$AA$2</definedName>
    <definedName name="LegendSG2RSST">'Legend(DX)'!$AC$13</definedName>
    <definedName name="LegendSG2RSST_Skid">'Legend(Skid)'!$AC$13</definedName>
    <definedName name="LegendSG2SCR">'Legend(DX)'!$Y$11:$Y$12</definedName>
    <definedName name="LegendSG2SCR_Skid">'Legend(Skid)'!$Y$11:$Y$12</definedName>
    <definedName name="LegendSG3CKTrows">'Legend(DX)'!$G$14:$AT$15</definedName>
    <definedName name="LegendSG3CKTrows_Skid">'Legend(Skid)'!$G$14:$AT$15</definedName>
    <definedName name="LegendSG3CKTs">'Legend(DX)'!$AU$14:$AU$15</definedName>
    <definedName name="LegendSG3CKTs_Skid">'Legend(Skid)'!$AU$14:$AU$15</definedName>
    <definedName name="LegendSG3CRT">'Legend(DX)'!$AD$14:$AD$15</definedName>
    <definedName name="LegendSG3CRT_Skid">'Legend(Skid)'!$AD$14:$AD$15</definedName>
    <definedName name="LegendSG3CT">'Legend(DX)'!$W$2</definedName>
    <definedName name="LegendSG3CT_Skid">'Legend(Skid)'!$W$2</definedName>
    <definedName name="LegendSG3EVLT">'Legend(DX)'!$AA$16</definedName>
    <definedName name="LegendSG3EVLT_Skid">'Legend(Skid)'!$AA$16</definedName>
    <definedName name="LegendSG3EVT">'Legend(DX)'!$AB$14:$AB$15</definedName>
    <definedName name="LegendSG3EVT_Skid">'Legend(Skid)'!$AB$14:$AB$15</definedName>
    <definedName name="LegendSG3LT">'Legend(DX)'!$Y$3</definedName>
    <definedName name="LegendSG3LT_Skid">'Legend(Skid)'!$Y$3</definedName>
    <definedName name="LegendSG3RGT">'Legend(DX)'!$AA$3</definedName>
    <definedName name="LegendSG3RGT_Skid">'Legend(Skid)'!$AA$3</definedName>
    <definedName name="LegendSG3RSST">'Legend(DX)'!$AC$16</definedName>
    <definedName name="LegendSG3RSST_Skid">'Legend(Skid)'!$AC$16</definedName>
    <definedName name="LegendSG3SCR">'Legend(DX)'!$Y$14:$Y$15</definedName>
    <definedName name="LegendSG3SCR_Skid">'Legend(Skid)'!$Y$14:$Y$15</definedName>
    <definedName name="LiqDensity">LineSizeData!$CR$6</definedName>
    <definedName name="LiqDensity_Skid">'LineSizeData(Skid)'!$CR$6</definedName>
    <definedName name="LoadProfileChartDataSG1">LoadProfile!$AL$7:$IJ$78</definedName>
    <definedName name="LoadProfileChartDataSG2">LoadProfile!$AL$157:$IJ$208</definedName>
    <definedName name="LoadProfileChartDataSG3">LoadProfile!$AL$287:$IJ$338</definedName>
    <definedName name="LoadProfileChartSG1">LoadProfile!$B$79:$X$147</definedName>
    <definedName name="LoadProfileChartSG2">LoadProfile!$B$209:$X$277</definedName>
    <definedName name="LoadProfileChartSG3">LoadProfile!$B$339:$X$407</definedName>
    <definedName name="LoadProfileTLSG1">LoadProfile!$E$79</definedName>
    <definedName name="LoadProfileTLSG2">LoadProfile!$E$209</definedName>
    <definedName name="LoadProfileTLSG3">LoadProfile!$E$339</definedName>
    <definedName name="LoopCktTemplateSG1" localSheetId="8">LineSizeData!$25:$37</definedName>
    <definedName name="LoopCktTemplateSG1_Skid">'LineSizeData(Skid)'!$25:$37</definedName>
    <definedName name="LoopCktTemplateSG2" localSheetId="8">LineSizeData!$62:$74</definedName>
    <definedName name="LoopCktTemplateSG2_Skid">'LineSizeData(Skid)'!$62:$74</definedName>
    <definedName name="LoopCktTemplateSG3">LineSizeData!$99:$111</definedName>
    <definedName name="LoopCktTemplateSG3_Skid">'LineSizeData(Skid)'!$99:$111</definedName>
    <definedName name="LoopNewSuction" localSheetId="8">LineSizeData!$117:$153</definedName>
    <definedName name="LoopNewSuction_Skid">'LineSizeData(Skid)'!$117:$153</definedName>
    <definedName name="LoopSegID">LineSizeData!$CA$6</definedName>
    <definedName name="LoopSegID_Skid">'LineSizeData(Skid)'!$CA$6</definedName>
    <definedName name="LoopSegs">LineSizeData!$E$12:$E$112</definedName>
    <definedName name="LoopSegs_Skid">'LineSizeData(Skid)'!$E$12:$E$112</definedName>
    <definedName name="LoopSG1">LineSizeData!$1:$40</definedName>
    <definedName name="LoopSG1_Skid">'LineSizeData(Skid)'!$1:$40</definedName>
    <definedName name="LoopSG2">LineSizeData!$41:$77</definedName>
    <definedName name="LoopSG2_Skid">'LineSizeData(Skid)'!$41:$77</definedName>
    <definedName name="LoopSG3">LineSizeData!$78:$114</definedName>
    <definedName name="LoopSG3_Skid">'LineSizeData(Skid)'!$78:$114</definedName>
    <definedName name="LT" localSheetId="6">'Walk-in Load Calc'!$Z$46:$Z$68</definedName>
    <definedName name="MAIN_CKT">'Legend(DX)'!$H$607:$AT$607</definedName>
    <definedName name="MAIN_CKT_Skid">'Legend(Skid)'!$H$607:$AT$607</definedName>
    <definedName name="MAIN_VOID">'Legend(DX)'!$F$607</definedName>
    <definedName name="MAIN_VOID_Skid">'Legend(Skid)'!$F$607</definedName>
    <definedName name="master">'DB-master'!$B$3:$AN$600</definedName>
    <definedName name="master_CONC">'DB-master'!$B$3:$B$620</definedName>
    <definedName name="master_header">'DB-master'!$B$2:$AG$2</definedName>
    <definedName name="model">'DB-model'!$B$4:$O$516</definedName>
    <definedName name="model1">'DB-model1'!$B$3:$D$167</definedName>
    <definedName name="model1_1C">'DB-model1'!$B$2:$B$234</definedName>
    <definedName name="model1_1D">'DB-model1'!$F$4:$F$12</definedName>
    <definedName name="model1_1E">'DB-model1'!$J$4:$J$21</definedName>
    <definedName name="model1_RS">'DB-model1'!$J$3:$L$21</definedName>
    <definedName name="MT" localSheetId="6">'Walk-in Load Calc'!$AD$46:$AD$85</definedName>
    <definedName name="NonGlyNotes">'Piping Schedule'!$B$12:$J$40</definedName>
    <definedName name="NonGlyNotes_Skid">'Piping Schedule(Skid)'!$B$12:$J$41</definedName>
    <definedName name="pipedata2">'Pipe Data'!$A$22:$A$34</definedName>
    <definedName name="pipedia">'Pipe Data'!$A$24:$A$34</definedName>
    <definedName name="PipingBorder">'Piping Schedule'!$B$9:$J$9</definedName>
    <definedName name="PipingBorder_Skid">'Piping Schedule(Skid)'!$B$9:$J$9</definedName>
    <definedName name="PipingNote">'Piping Schedule'!$B$16:$J$21</definedName>
    <definedName name="PipingNote_Skid">'Piping Schedule(Skid)'!$B$16:$J$21</definedName>
    <definedName name="PipingRow">'Piping Schedule'!$B$8:$J$8</definedName>
    <definedName name="PipingRow_Skid">'Piping Schedule(Skid)'!$B$8:$J$8</definedName>
    <definedName name="PipingRows">'Piping Schedule'!$B$7:$J$8</definedName>
    <definedName name="PipingRows_Skid">'Piping Schedule(Skid)'!$B$7:$J$8</definedName>
    <definedName name="PipingSchedule">'Piping Schedule'!$B$3:$J$36</definedName>
    <definedName name="PipingSchedule_Skid">'Piping Schedule(Skid)'!$B$3:$J$37</definedName>
    <definedName name="PipingSG1">LineSizeData!$DH$13:$DO$25</definedName>
    <definedName name="PipingSG1_Skid">'LineSizeData(Skid)'!$DH$13:$DO$25</definedName>
    <definedName name="PipingSG2">LineSizeData!$DH$50:$DO$62</definedName>
    <definedName name="PipingSG2_Skid">'LineSizeData(Skid)'!$DH$50:$DO$62</definedName>
    <definedName name="PipingSG3">LineSizeData!$DH$87:$DO$99</definedName>
    <definedName name="PipingSG3_Skid">'LineSizeData(Skid)'!$DH$87:$DO$99</definedName>
    <definedName name="PipingSummary">'Piping Summary'!$B$6:$E$26</definedName>
    <definedName name="_xlnm.Print_Area" localSheetId="30">'EVAP-SM(DX)'!$A$1:$Q$28</definedName>
    <definedName name="_xlnm.Print_Area" localSheetId="29">'EVAP-SME(DX)'!$A$1:$Q$24</definedName>
    <definedName name="_xlnm.Print_Area" localSheetId="4">'Legend(DX)'!$H$1:$AT$56</definedName>
    <definedName name="_xlnm.Print_Area" localSheetId="15">LoadProfile!$B:$X</definedName>
    <definedName name="_xlnm.Print_Area" localSheetId="6">'Walk-in Load Calc'!$E$2:$Q$37</definedName>
    <definedName name="Print_Area_Skid">'Legend(Skid)'!$H$1:$AT$56</definedName>
    <definedName name="Refrigerant">'Pipe Data'!$A$38:$B$51</definedName>
    <definedName name="RefrigHiddenRows">'Refrig Schedule'!$20:$23</definedName>
    <definedName name="RefrigHiddenRows_Skid">'Refrig Schedule(Skid)'!$20:$23</definedName>
    <definedName name="RefrigSchTemplate">'Refrig Schedule'!$21:$21</definedName>
    <definedName name="RefrigSchTemplate_Skid">'Refrig Schedule(Skid)'!$21:$21</definedName>
    <definedName name="RefrigVisibleRows">'Refrig Schedule'!$11:$19</definedName>
    <definedName name="RefrigVisibleRows_Skid">'Refrig Schedule(Skid)'!$11:$19</definedName>
    <definedName name="RefSchSG2">'Refrig Schedule'!$14:$16</definedName>
    <definedName name="RefSchSG2_Skid">'Refrig Schedule(Skid)'!$14:$16</definedName>
    <definedName name="RefSchSG3">'Refrig Schedule'!$17:$19</definedName>
    <definedName name="RefSchSG3_Skid">'Refrig Schedule(Skid)'!$17:$19</definedName>
    <definedName name="SELECT_MODE">'Legend(DX)'!$H$601:$AT$601</definedName>
    <definedName name="SELECT_MODE_Skid">'Legend(Skid)'!$H$601:$AT$601</definedName>
    <definedName name="SkidData">'Legend(Skid)'!$AZ$177:$BJ$182</definedName>
    <definedName name="SkidData_Skid">'Legend(Skid)'!$AZ$177:$BF$182</definedName>
    <definedName name="SkidQuestions">'Legend(DX)'!$B$56:$F$59</definedName>
    <definedName name="solver_adj" localSheetId="8" hidden="1">LineSizeData!$BI$12</definedName>
    <definedName name="solver_adj_Skid">'LineSizeData(Skid)'!$BI$12</definedName>
    <definedName name="solver_lhs1" localSheetId="8" hidden="1">LineSizeData!$BI$12</definedName>
    <definedName name="solver_lhs1_Skid">'LineSizeData(Skid)'!$BI$12</definedName>
    <definedName name="solver_lhs2" localSheetId="8" hidden="1">LineSizeData!$BD$12</definedName>
    <definedName name="solver_lhs2_Skid">'LineSizeData(Skid)'!$BD$12</definedName>
    <definedName name="solver_opt" localSheetId="8" hidden="1">LineSizeData!$BN$12</definedName>
    <definedName name="solver_opt_Skid">'LineSizeData(Skid)'!$BN$12</definedName>
    <definedName name="Spanner_Auto_Select">'Piping Schedule'!$B$3:$J$36</definedName>
    <definedName name="Spanner_Auto_Select_Skid">'Piping Schedule(Skid)'!$B$3:$J$37</definedName>
    <definedName name="SPARE">'Legend(DX)'!$H$589:$AT$589</definedName>
    <definedName name="SPARE_Skid">'Legend(Skid)'!$H$589:$AT$589</definedName>
    <definedName name="SUBCOOL_2">'Legend(DX)'!$S$50:$W$50</definedName>
    <definedName name="SUBCOOL_2_OR">'Legend(DX)'!$S$628:$W$628</definedName>
    <definedName name="SUBCOOL_2_OR_Skid">'Legend(Skid)'!$S$628:$W$628</definedName>
    <definedName name="SUBCOOL_2_Skid">'Legend(Skid)'!$S$50:$W$50</definedName>
    <definedName name="SUBCOOL_3">'Legend(DX)'!$S$51:$W$51</definedName>
    <definedName name="SUBCOOL_3_OR">'Legend(DX)'!$S$629:$W$629</definedName>
    <definedName name="SUBCOOL_3_OR_Skid">'Legend(Skid)'!$S$629:$W$629</definedName>
    <definedName name="SUBCOOL_3_Skid">'Legend(Skid)'!$S$51:$W$51</definedName>
    <definedName name="SUBCOOL_OVERIDE">'Legend(DX)'!$S$631:$W$631</definedName>
    <definedName name="SUBCOOL_OVERIDE_Skid">'Legend(Skid)'!$S$631:$W$631</definedName>
    <definedName name="SWITCH2">'Legend(DX)'!$C$13</definedName>
    <definedName name="SWITCH2_Skid">'Legend(Skid)'!$C$13</definedName>
    <definedName name="TimeIncr">LoadProfile!$D$2</definedName>
    <definedName name="TotalCharge">LineSizeData!$CD$12:$CD$37</definedName>
    <definedName name="TotalCharge_Skid">'LineSizeData(Skid)'!$CD$12:$CD$37</definedName>
    <definedName name="ValveStations">'Piping Schedule'!$H$7:$H$9</definedName>
    <definedName name="ValveStations_Skid">'Piping Schedule(Skid)'!$H$7:$H$9</definedName>
    <definedName name="WALKIN_AUTO">'Legend(DX)'!$H$593:$AT$593</definedName>
    <definedName name="WALKIN_AUTO_Skid">'Legend(Skid)'!$H$593:$AT$593</definedName>
    <definedName name="WALKIN_MANUAL">'Legend(DX)'!$H$597:$AT$597</definedName>
    <definedName name="WALKIN_MANUAL_Skid">'Legend(Skid)'!$H$597:$AT$597</definedName>
    <definedName name="walmart_refrig_master_DB" localSheetId="3" hidden="1">'DB-evapdx'!$B$2:$AR$4</definedName>
    <definedName name="walmart_refrig_master_DB" localSheetId="2" hidden="1">'DB-master'!$B$2:$AG$410</definedName>
    <definedName name="walmart_refrig_master_DB" localSheetId="0" hidden="1">'DB-model'!$B$2:$AA$410</definedName>
    <definedName name="walmart_refrig_master_DB_1" localSheetId="1" hidden="1">'DB-model1'!$B$2:$D$126</definedName>
    <definedName name="xPrintArea_Case_EMS_Schedule">'Case EMS Schedule'!$B$2:$AB$191</definedName>
    <definedName name="xPrintArea_Phasing_Schedule">'Phasing Schedule'!$B$2:$J$97</definedName>
    <definedName name="xPrintArea_Piping_Schedule">'Piping Schedule'!$B$3:$J$39</definedName>
    <definedName name="xPrintArea_Piping_Schedule_Skid">'Piping Schedule(Skid)'!$B$3:$J$40</definedName>
    <definedName name="xPrintArea_Refrig_Schedule">'Refrig Schedule'!$B$1:$AI$36</definedName>
    <definedName name="xPrintArea_Refrig_Schedule_Skid">'Refrig Schedule(Skid)'!$B$1:$AI$36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4" i="102" l="1"/>
  <c r="B13" i="102"/>
  <c r="B12" i="102"/>
  <c r="B11" i="102"/>
  <c r="B10" i="102"/>
  <c r="C25" i="126"/>
  <c r="C19" i="127"/>
  <c r="B2" i="102" l="1"/>
  <c r="AF4" i="124"/>
  <c r="AF3" i="124"/>
  <c r="C20" i="127"/>
  <c r="C20" i="92"/>
  <c r="M6" i="101"/>
  <c r="M6" i="126" s="1"/>
  <c r="AU614" i="124"/>
  <c r="AU612" i="124"/>
  <c r="AU605" i="124"/>
  <c r="AU603" i="124"/>
  <c r="AU601" i="124"/>
  <c r="AI1" i="124"/>
  <c r="AI2" i="124"/>
  <c r="T3" i="1"/>
  <c r="Z4" i="1"/>
  <c r="AA4" i="1"/>
  <c r="Z4" i="124"/>
  <c r="B4" i="135"/>
  <c r="A5" i="134"/>
  <c r="A4" i="134"/>
  <c r="B4" i="134"/>
  <c r="B2" i="134"/>
  <c r="L3" i="131"/>
  <c r="H3" i="131"/>
  <c r="F3" i="131"/>
  <c r="K3" i="131" s="1"/>
  <c r="D3" i="131"/>
  <c r="M6" i="122"/>
  <c r="E6" i="122"/>
  <c r="AA1" i="124"/>
  <c r="Y1" i="124"/>
  <c r="C3" i="131"/>
  <c r="P3" i="131" s="1"/>
  <c r="A3" i="131"/>
  <c r="B90" i="134" l="1"/>
  <c r="B95" i="134"/>
  <c r="I3" i="131"/>
  <c r="J3" i="131"/>
  <c r="M3" i="131"/>
  <c r="N3" i="131"/>
  <c r="O3" i="131"/>
  <c r="AF29" i="124"/>
  <c r="AG29" i="124"/>
  <c r="C29" i="126"/>
  <c r="H5" i="123"/>
  <c r="D5" i="123"/>
  <c r="H2" i="124"/>
  <c r="D3" i="126" s="1"/>
  <c r="H3" i="124"/>
  <c r="D4" i="126" s="1"/>
  <c r="K4" i="124"/>
  <c r="D5" i="126" s="1"/>
  <c r="O1" i="124"/>
  <c r="H3" i="126" s="1"/>
  <c r="O2" i="124"/>
  <c r="H4" i="126" s="1"/>
  <c r="O4" i="124"/>
  <c r="D6" i="126" s="1"/>
  <c r="S3" i="124"/>
  <c r="M4" i="126" s="1"/>
  <c r="S4" i="124"/>
  <c r="M5" i="126" s="1"/>
  <c r="AF2" i="124"/>
  <c r="AI4" i="126" s="1"/>
  <c r="AF1" i="124"/>
  <c r="AI2" i="126" s="1"/>
  <c r="AI4" i="124"/>
  <c r="AI3" i="124"/>
  <c r="AT4" i="124"/>
  <c r="AI6" i="126" s="1"/>
  <c r="O3" i="1"/>
  <c r="O3" i="124" s="1"/>
  <c r="O6" i="122"/>
  <c r="J4" i="122"/>
  <c r="D6" i="122"/>
  <c r="C5" i="123" s="1"/>
  <c r="B6" i="122"/>
  <c r="A5" i="123" s="1"/>
  <c r="W4" i="124"/>
  <c r="E3" i="131" s="1"/>
  <c r="W2" i="124"/>
  <c r="V47" i="124" s="1"/>
  <c r="AI5" i="126"/>
  <c r="AI3" i="126"/>
  <c r="G48" i="102" a="1"/>
  <c r="G48" i="102" s="1"/>
  <c r="F48" i="102" s="1"/>
  <c r="G49" i="102" a="1"/>
  <c r="G49" i="102" s="1"/>
  <c r="F49" i="102" s="1"/>
  <c r="G50" i="102" a="1"/>
  <c r="G50" i="102" s="1"/>
  <c r="G51" i="102" a="1"/>
  <c r="G51" i="102" s="1"/>
  <c r="G52" i="102" a="1"/>
  <c r="G52" i="102" s="1"/>
  <c r="H52" i="102" s="1"/>
  <c r="G53" i="102" a="1"/>
  <c r="G53" i="102" s="1"/>
  <c r="G54" i="102" a="1"/>
  <c r="G54" i="102" s="1"/>
  <c r="H54" i="102" s="1"/>
  <c r="G55" i="102" a="1"/>
  <c r="G55" i="102" s="1"/>
  <c r="G56" i="102" a="1"/>
  <c r="G56" i="102" s="1"/>
  <c r="F56" i="102" s="1"/>
  <c r="G57" i="102" a="1"/>
  <c r="G57" i="102" s="1"/>
  <c r="G58" i="102" a="1"/>
  <c r="G58" i="102" s="1"/>
  <c r="F58" i="102" s="1"/>
  <c r="G59" i="102" a="1"/>
  <c r="G59" i="102" s="1"/>
  <c r="F59" i="102" s="1"/>
  <c r="G60" i="102" a="1"/>
  <c r="G60" i="102" s="1"/>
  <c r="F60" i="102" s="1"/>
  <c r="G61" i="102" a="1"/>
  <c r="G61" i="102" s="1"/>
  <c r="F61" i="102" s="1"/>
  <c r="G62" i="102" a="1"/>
  <c r="G62" i="102" s="1"/>
  <c r="F62" i="102" s="1"/>
  <c r="G63" i="102" a="1"/>
  <c r="G63" i="102" s="1"/>
  <c r="F63" i="102" s="1"/>
  <c r="G64" i="102" a="1"/>
  <c r="G64" i="102" s="1"/>
  <c r="G65" i="102" a="1"/>
  <c r="G65" i="102" s="1"/>
  <c r="G66" i="102" a="1"/>
  <c r="G66" i="102" s="1"/>
  <c r="F66" i="102" s="1"/>
  <c r="G67" i="102" a="1"/>
  <c r="G67" i="102" s="1"/>
  <c r="G68" i="102" a="1"/>
  <c r="G68" i="102" s="1"/>
  <c r="F68" i="102" s="1"/>
  <c r="G69" i="102" a="1"/>
  <c r="G69" i="102" s="1"/>
  <c r="F69" i="102" s="1"/>
  <c r="G70" i="102" a="1"/>
  <c r="G70" i="102" s="1"/>
  <c r="G71" i="102" a="1"/>
  <c r="G71" i="102" s="1"/>
  <c r="F71" i="102" s="1"/>
  <c r="G72" i="102" a="1"/>
  <c r="G72" i="102" s="1"/>
  <c r="F72" i="102" s="1"/>
  <c r="G73" i="102" a="1"/>
  <c r="G73" i="102" s="1"/>
  <c r="H73" i="102" s="1"/>
  <c r="G74" i="102" a="1"/>
  <c r="G74" i="102" s="1"/>
  <c r="H74" i="102" s="1"/>
  <c r="G75" i="102" a="1"/>
  <c r="G75" i="102" s="1"/>
  <c r="F75" i="102" s="1"/>
  <c r="G76" i="102" a="1"/>
  <c r="G76" i="102" s="1"/>
  <c r="F76" i="102" s="1"/>
  <c r="G77" i="102" a="1"/>
  <c r="G77" i="102" s="1"/>
  <c r="G78" i="102" a="1"/>
  <c r="G78" i="102" s="1"/>
  <c r="F78" i="102" s="1"/>
  <c r="G79" i="102" a="1"/>
  <c r="G79" i="102" s="1"/>
  <c r="F79" i="102" s="1"/>
  <c r="E46" i="102" a="1"/>
  <c r="E46" i="102" s="1"/>
  <c r="E47" i="102" a="1"/>
  <c r="E47" i="102" s="1"/>
  <c r="E48" i="102" a="1"/>
  <c r="E48" i="102" s="1"/>
  <c r="E49" i="102" a="1"/>
  <c r="E49" i="102" s="1"/>
  <c r="E50" i="102" a="1"/>
  <c r="E50" i="102" s="1"/>
  <c r="E51" i="102" a="1"/>
  <c r="E51" i="102" s="1"/>
  <c r="E52" i="102" a="1"/>
  <c r="E52" i="102" s="1"/>
  <c r="E53" i="102" a="1"/>
  <c r="E53" i="102" s="1"/>
  <c r="E54" i="102" a="1"/>
  <c r="E54" i="102" s="1"/>
  <c r="E55" i="102" a="1"/>
  <c r="E55" i="102" s="1"/>
  <c r="E56" i="102" a="1"/>
  <c r="E56" i="102" s="1"/>
  <c r="E57" i="102" a="1"/>
  <c r="E57" i="102" s="1"/>
  <c r="E58" i="102" a="1"/>
  <c r="E58" i="102" s="1"/>
  <c r="E59" i="102" a="1"/>
  <c r="E59" i="102" s="1"/>
  <c r="E60" i="102" a="1"/>
  <c r="E60" i="102" s="1"/>
  <c r="E61" i="102" a="1"/>
  <c r="E61" i="102" s="1"/>
  <c r="E62" i="102" a="1"/>
  <c r="E62" i="102" s="1"/>
  <c r="E63" i="102" a="1"/>
  <c r="E63" i="102" s="1"/>
  <c r="E64" i="102" a="1"/>
  <c r="E64" i="102" s="1"/>
  <c r="E65" i="102" a="1"/>
  <c r="E65" i="102" s="1"/>
  <c r="E66" i="102" a="1"/>
  <c r="E66" i="102" s="1"/>
  <c r="E67" i="102" a="1"/>
  <c r="E67" i="102" s="1"/>
  <c r="E68" i="102" a="1"/>
  <c r="E68" i="102" s="1"/>
  <c r="E69" i="102" a="1"/>
  <c r="E69" i="102" s="1"/>
  <c r="E70" i="102" a="1"/>
  <c r="E70" i="102" s="1"/>
  <c r="E71" i="102" a="1"/>
  <c r="E71" i="102" s="1"/>
  <c r="E72" i="102" a="1"/>
  <c r="E72" i="102" s="1"/>
  <c r="E73" i="102" a="1"/>
  <c r="E73" i="102" s="1"/>
  <c r="E74" i="102" a="1"/>
  <c r="E74" i="102" s="1"/>
  <c r="E75" i="102" a="1"/>
  <c r="E75" i="102" s="1"/>
  <c r="E76" i="102" a="1"/>
  <c r="E76" i="102" s="1"/>
  <c r="E77" i="102" a="1"/>
  <c r="E77" i="102" s="1"/>
  <c r="E78" i="102" a="1"/>
  <c r="E78" i="102" s="1"/>
  <c r="E79" i="102" a="1"/>
  <c r="E79" i="102" s="1"/>
  <c r="E45" i="102" a="1"/>
  <c r="E45" i="102" s="1"/>
  <c r="K46" i="102"/>
  <c r="L46" i="102"/>
  <c r="M46" i="102"/>
  <c r="N46" i="102"/>
  <c r="O46" i="102"/>
  <c r="P46" i="102"/>
  <c r="K47" i="102"/>
  <c r="L47" i="102"/>
  <c r="M47" i="102"/>
  <c r="N47" i="102"/>
  <c r="O47" i="102"/>
  <c r="P47" i="102"/>
  <c r="K48" i="102"/>
  <c r="L48" i="102"/>
  <c r="M48" i="102"/>
  <c r="N48" i="102"/>
  <c r="O48" i="102"/>
  <c r="P48" i="102"/>
  <c r="K49" i="102"/>
  <c r="L49" i="102"/>
  <c r="M49" i="102"/>
  <c r="N49" i="102"/>
  <c r="O49" i="102"/>
  <c r="P49" i="102"/>
  <c r="K50" i="102"/>
  <c r="L50" i="102"/>
  <c r="M50" i="102"/>
  <c r="N50" i="102"/>
  <c r="O50" i="102"/>
  <c r="P50" i="102"/>
  <c r="K51" i="102"/>
  <c r="L51" i="102"/>
  <c r="M51" i="102"/>
  <c r="N51" i="102"/>
  <c r="O51" i="102"/>
  <c r="P51" i="102"/>
  <c r="K52" i="102"/>
  <c r="L52" i="102"/>
  <c r="M52" i="102"/>
  <c r="N52" i="102"/>
  <c r="O52" i="102"/>
  <c r="P52" i="102"/>
  <c r="K53" i="102"/>
  <c r="L53" i="102"/>
  <c r="M53" i="102"/>
  <c r="N53" i="102"/>
  <c r="O53" i="102"/>
  <c r="P53" i="102"/>
  <c r="K54" i="102"/>
  <c r="L54" i="102"/>
  <c r="M54" i="102"/>
  <c r="N54" i="102"/>
  <c r="O54" i="102"/>
  <c r="P54" i="102"/>
  <c r="K55" i="102"/>
  <c r="L55" i="102"/>
  <c r="M55" i="102"/>
  <c r="N55" i="102"/>
  <c r="O55" i="102"/>
  <c r="P55" i="102"/>
  <c r="K56" i="102"/>
  <c r="L56" i="102"/>
  <c r="M56" i="102"/>
  <c r="N56" i="102"/>
  <c r="O56" i="102"/>
  <c r="P56" i="102"/>
  <c r="K57" i="102"/>
  <c r="L57" i="102"/>
  <c r="M57" i="102"/>
  <c r="N57" i="102"/>
  <c r="O57" i="102"/>
  <c r="P57" i="102"/>
  <c r="K58" i="102"/>
  <c r="L58" i="102"/>
  <c r="M58" i="102"/>
  <c r="N58" i="102"/>
  <c r="O58" i="102"/>
  <c r="P58" i="102"/>
  <c r="K59" i="102"/>
  <c r="L59" i="102"/>
  <c r="M59" i="102"/>
  <c r="N59" i="102"/>
  <c r="O59" i="102"/>
  <c r="P59" i="102"/>
  <c r="K60" i="102"/>
  <c r="L60" i="102"/>
  <c r="M60" i="102"/>
  <c r="N60" i="102"/>
  <c r="O60" i="102"/>
  <c r="P60" i="102"/>
  <c r="K61" i="102"/>
  <c r="L61" i="102"/>
  <c r="M61" i="102"/>
  <c r="N61" i="102"/>
  <c r="O61" i="102"/>
  <c r="P61" i="102"/>
  <c r="K62" i="102"/>
  <c r="L62" i="102"/>
  <c r="M62" i="102"/>
  <c r="N62" i="102"/>
  <c r="O62" i="102"/>
  <c r="P62" i="102"/>
  <c r="K63" i="102"/>
  <c r="L63" i="102"/>
  <c r="M63" i="102"/>
  <c r="N63" i="102"/>
  <c r="O63" i="102"/>
  <c r="P63" i="102"/>
  <c r="K64" i="102"/>
  <c r="L64" i="102"/>
  <c r="M64" i="102"/>
  <c r="N64" i="102"/>
  <c r="O64" i="102"/>
  <c r="P64" i="102"/>
  <c r="K65" i="102"/>
  <c r="L65" i="102"/>
  <c r="M65" i="102"/>
  <c r="N65" i="102"/>
  <c r="O65" i="102"/>
  <c r="P65" i="102"/>
  <c r="K66" i="102"/>
  <c r="L66" i="102"/>
  <c r="M66" i="102"/>
  <c r="N66" i="102"/>
  <c r="O66" i="102"/>
  <c r="P66" i="102"/>
  <c r="K67" i="102"/>
  <c r="L67" i="102"/>
  <c r="M67" i="102"/>
  <c r="N67" i="102"/>
  <c r="O67" i="102"/>
  <c r="P67" i="102"/>
  <c r="K68" i="102"/>
  <c r="L68" i="102"/>
  <c r="M68" i="102"/>
  <c r="N68" i="102"/>
  <c r="O68" i="102"/>
  <c r="P68" i="102"/>
  <c r="K69" i="102"/>
  <c r="L69" i="102"/>
  <c r="M69" i="102"/>
  <c r="N69" i="102"/>
  <c r="O69" i="102"/>
  <c r="P69" i="102"/>
  <c r="K70" i="102"/>
  <c r="L70" i="102"/>
  <c r="M70" i="102"/>
  <c r="N70" i="102"/>
  <c r="O70" i="102"/>
  <c r="P70" i="102"/>
  <c r="K71" i="102"/>
  <c r="L71" i="102"/>
  <c r="M71" i="102"/>
  <c r="N71" i="102"/>
  <c r="O71" i="102"/>
  <c r="P71" i="102"/>
  <c r="K72" i="102"/>
  <c r="L72" i="102"/>
  <c r="M72" i="102"/>
  <c r="N72" i="102"/>
  <c r="O72" i="102"/>
  <c r="P72" i="102"/>
  <c r="K73" i="102"/>
  <c r="L73" i="102"/>
  <c r="M73" i="102"/>
  <c r="N73" i="102"/>
  <c r="O73" i="102"/>
  <c r="P73" i="102"/>
  <c r="K74" i="102"/>
  <c r="L74" i="102"/>
  <c r="M74" i="102"/>
  <c r="N74" i="102"/>
  <c r="O74" i="102"/>
  <c r="P74" i="102"/>
  <c r="K75" i="102"/>
  <c r="L75" i="102"/>
  <c r="M75" i="102"/>
  <c r="N75" i="102"/>
  <c r="O75" i="102"/>
  <c r="P75" i="102"/>
  <c r="K76" i="102"/>
  <c r="L76" i="102"/>
  <c r="M76" i="102"/>
  <c r="N76" i="102"/>
  <c r="O76" i="102"/>
  <c r="P76" i="102"/>
  <c r="K77" i="102"/>
  <c r="L77" i="102"/>
  <c r="M77" i="102"/>
  <c r="N77" i="102"/>
  <c r="O77" i="102"/>
  <c r="P77" i="102"/>
  <c r="K78" i="102"/>
  <c r="L78" i="102"/>
  <c r="M78" i="102"/>
  <c r="N78" i="102"/>
  <c r="O78" i="102"/>
  <c r="P78" i="102"/>
  <c r="K79" i="102"/>
  <c r="L79" i="102"/>
  <c r="M79" i="102"/>
  <c r="N79" i="102"/>
  <c r="O79" i="102"/>
  <c r="P79" i="102"/>
  <c r="B11" i="126"/>
  <c r="AK44" i="100"/>
  <c r="AK45" i="100"/>
  <c r="AK46" i="100"/>
  <c r="AK47" i="100"/>
  <c r="AK48" i="100"/>
  <c r="AK49" i="100"/>
  <c r="AK50" i="100"/>
  <c r="AK51" i="100"/>
  <c r="AK52" i="100"/>
  <c r="AK53" i="100"/>
  <c r="AK54" i="100"/>
  <c r="AK55" i="100"/>
  <c r="AK56" i="100"/>
  <c r="AK57" i="100"/>
  <c r="AK58" i="100"/>
  <c r="AK59" i="100"/>
  <c r="AK60" i="100"/>
  <c r="AK61" i="100"/>
  <c r="AK62" i="100"/>
  <c r="AK63" i="100"/>
  <c r="AK64" i="100"/>
  <c r="AK65" i="100"/>
  <c r="AK66" i="100"/>
  <c r="AK67" i="100"/>
  <c r="AK68" i="100"/>
  <c r="AK69" i="100"/>
  <c r="AK70" i="100"/>
  <c r="AK71" i="100"/>
  <c r="AK72" i="100"/>
  <c r="AK73" i="100"/>
  <c r="AK74" i="100"/>
  <c r="AK75" i="100"/>
  <c r="AK76" i="100"/>
  <c r="AK77" i="100"/>
  <c r="AK43" i="100"/>
  <c r="O44" i="100"/>
  <c r="Q44" i="100" s="1"/>
  <c r="S44" i="100" s="1"/>
  <c r="U44" i="100" s="1"/>
  <c r="W44" i="100" s="1"/>
  <c r="U46" i="102" s="1"/>
  <c r="Y44" i="100"/>
  <c r="V46" i="102" s="1"/>
  <c r="AA44" i="100"/>
  <c r="W46" i="102" s="1"/>
  <c r="AC44" i="100"/>
  <c r="X46" i="102" s="1"/>
  <c r="AE44" i="100"/>
  <c r="Y46" i="102" s="1"/>
  <c r="AG44" i="100"/>
  <c r="Z46" i="102" s="1"/>
  <c r="AI44" i="100"/>
  <c r="O45" i="100"/>
  <c r="Q47" i="102" s="1"/>
  <c r="Q45" i="100"/>
  <c r="R47" i="102" s="1"/>
  <c r="S45" i="100"/>
  <c r="S47" i="102" s="1"/>
  <c r="U45" i="100"/>
  <c r="T47" i="102" s="1"/>
  <c r="W45" i="100"/>
  <c r="U47" i="102" s="1"/>
  <c r="Y45" i="100"/>
  <c r="V47" i="102" s="1"/>
  <c r="AA45" i="100"/>
  <c r="W47" i="102" s="1"/>
  <c r="AC45" i="100"/>
  <c r="X47" i="102" s="1"/>
  <c r="AE45" i="100"/>
  <c r="Y47" i="102" s="1"/>
  <c r="AG45" i="100"/>
  <c r="Z47" i="102" s="1"/>
  <c r="AI45" i="100"/>
  <c r="N46" i="100"/>
  <c r="O46" i="100"/>
  <c r="Q48" i="102" s="1"/>
  <c r="Q46" i="100"/>
  <c r="R48" i="102" s="1"/>
  <c r="S46" i="100"/>
  <c r="S48" i="102" s="1"/>
  <c r="U46" i="100"/>
  <c r="T48" i="102" s="1"/>
  <c r="W46" i="100"/>
  <c r="U48" i="102" s="1"/>
  <c r="Y46" i="100"/>
  <c r="V48" i="102" s="1"/>
  <c r="AA46" i="100"/>
  <c r="W48" i="102" s="1"/>
  <c r="AC46" i="100"/>
  <c r="X48" i="102" s="1"/>
  <c r="AE46" i="100"/>
  <c r="Y48" i="102" s="1"/>
  <c r="AG46" i="100"/>
  <c r="Z48" i="102" s="1"/>
  <c r="AI46" i="100"/>
  <c r="N47" i="100"/>
  <c r="O47" i="100"/>
  <c r="Q49" i="102" s="1"/>
  <c r="Q47" i="100"/>
  <c r="R49" i="102" s="1"/>
  <c r="S47" i="100"/>
  <c r="S49" i="102" s="1"/>
  <c r="U47" i="100"/>
  <c r="T49" i="102" s="1"/>
  <c r="W47" i="100"/>
  <c r="U49" i="102" s="1"/>
  <c r="Y47" i="100"/>
  <c r="V49" i="102" s="1"/>
  <c r="AA47" i="100"/>
  <c r="W49" i="102" s="1"/>
  <c r="AC47" i="100"/>
  <c r="X49" i="102" s="1"/>
  <c r="AE47" i="100"/>
  <c r="Y49" i="102" s="1"/>
  <c r="AG47" i="100"/>
  <c r="Z49" i="102" s="1"/>
  <c r="AI47" i="100"/>
  <c r="N48" i="100"/>
  <c r="O48" i="100"/>
  <c r="Q50" i="102" s="1"/>
  <c r="Q48" i="100"/>
  <c r="R50" i="102" s="1"/>
  <c r="S48" i="100"/>
  <c r="S50" i="102" s="1"/>
  <c r="U48" i="100"/>
  <c r="T50" i="102" s="1"/>
  <c r="W48" i="100"/>
  <c r="U50" i="102" s="1"/>
  <c r="Y48" i="100"/>
  <c r="V50" i="102" s="1"/>
  <c r="AA48" i="100"/>
  <c r="W50" i="102" s="1"/>
  <c r="AC48" i="100"/>
  <c r="X50" i="102" s="1"/>
  <c r="AE48" i="100"/>
  <c r="Y50" i="102" s="1"/>
  <c r="AG48" i="100"/>
  <c r="Z50" i="102" s="1"/>
  <c r="AI48" i="100"/>
  <c r="N49" i="100"/>
  <c r="O49" i="100"/>
  <c r="Q51" i="102" s="1"/>
  <c r="Q49" i="100"/>
  <c r="R51" i="102" s="1"/>
  <c r="S49" i="100"/>
  <c r="S51" i="102" s="1"/>
  <c r="U49" i="100"/>
  <c r="T51" i="102" s="1"/>
  <c r="W49" i="100"/>
  <c r="U51" i="102" s="1"/>
  <c r="Y49" i="100"/>
  <c r="V51" i="102" s="1"/>
  <c r="AA49" i="100"/>
  <c r="W51" i="102" s="1"/>
  <c r="AC49" i="100"/>
  <c r="X51" i="102" s="1"/>
  <c r="AE49" i="100"/>
  <c r="Y51" i="102" s="1"/>
  <c r="AG49" i="100"/>
  <c r="Z51" i="102" s="1"/>
  <c r="AI49" i="100"/>
  <c r="N50" i="100"/>
  <c r="O50" i="100"/>
  <c r="Q52" i="102" s="1"/>
  <c r="Q50" i="100"/>
  <c r="R52" i="102" s="1"/>
  <c r="S50" i="100"/>
  <c r="S52" i="102" s="1"/>
  <c r="U50" i="100"/>
  <c r="T52" i="102" s="1"/>
  <c r="W50" i="100"/>
  <c r="U52" i="102" s="1"/>
  <c r="Y50" i="100"/>
  <c r="V52" i="102" s="1"/>
  <c r="AA50" i="100"/>
  <c r="W52" i="102" s="1"/>
  <c r="AC50" i="100"/>
  <c r="X52" i="102" s="1"/>
  <c r="AE50" i="100"/>
  <c r="Y52" i="102" s="1"/>
  <c r="AG50" i="100"/>
  <c r="Z52" i="102" s="1"/>
  <c r="AI50" i="100"/>
  <c r="N51" i="100"/>
  <c r="O51" i="100"/>
  <c r="Q53" i="102" s="1"/>
  <c r="Q51" i="100"/>
  <c r="R53" i="102" s="1"/>
  <c r="S51" i="100"/>
  <c r="S53" i="102" s="1"/>
  <c r="U51" i="100"/>
  <c r="T53" i="102" s="1"/>
  <c r="W51" i="100"/>
  <c r="U53" i="102" s="1"/>
  <c r="Y51" i="100"/>
  <c r="V53" i="102" s="1"/>
  <c r="AA51" i="100"/>
  <c r="W53" i="102" s="1"/>
  <c r="AC51" i="100"/>
  <c r="X53" i="102" s="1"/>
  <c r="AE51" i="100"/>
  <c r="Y53" i="102" s="1"/>
  <c r="AG51" i="100"/>
  <c r="Z53" i="102" s="1"/>
  <c r="AI51" i="100"/>
  <c r="N52" i="100"/>
  <c r="O52" i="100"/>
  <c r="Q54" i="102" s="1"/>
  <c r="Q52" i="100"/>
  <c r="R54" i="102" s="1"/>
  <c r="S52" i="100"/>
  <c r="S54" i="102" s="1"/>
  <c r="U52" i="100"/>
  <c r="T54" i="102" s="1"/>
  <c r="W52" i="100"/>
  <c r="U54" i="102" s="1"/>
  <c r="Y52" i="100"/>
  <c r="V54" i="102" s="1"/>
  <c r="AA52" i="100"/>
  <c r="W54" i="102" s="1"/>
  <c r="AC52" i="100"/>
  <c r="X54" i="102" s="1"/>
  <c r="AE52" i="100"/>
  <c r="Y54" i="102" s="1"/>
  <c r="AG52" i="100"/>
  <c r="Z54" i="102" s="1"/>
  <c r="AI52" i="100"/>
  <c r="N53" i="100"/>
  <c r="O53" i="100"/>
  <c r="Q55" i="102" s="1"/>
  <c r="Q53" i="100"/>
  <c r="R55" i="102" s="1"/>
  <c r="S53" i="100"/>
  <c r="S55" i="102" s="1"/>
  <c r="U53" i="100"/>
  <c r="T55" i="102" s="1"/>
  <c r="W53" i="100"/>
  <c r="U55" i="102" s="1"/>
  <c r="Y53" i="100"/>
  <c r="V55" i="102" s="1"/>
  <c r="AA53" i="100"/>
  <c r="W55" i="102" s="1"/>
  <c r="AC53" i="100"/>
  <c r="X55" i="102" s="1"/>
  <c r="AE53" i="100"/>
  <c r="Y55" i="102" s="1"/>
  <c r="AG53" i="100"/>
  <c r="Z55" i="102" s="1"/>
  <c r="AI53" i="100"/>
  <c r="N54" i="100"/>
  <c r="O54" i="100"/>
  <c r="Q56" i="102" s="1"/>
  <c r="Q54" i="100"/>
  <c r="R56" i="102" s="1"/>
  <c r="S54" i="100"/>
  <c r="S56" i="102" s="1"/>
  <c r="U54" i="100"/>
  <c r="T56" i="102" s="1"/>
  <c r="W54" i="100"/>
  <c r="U56" i="102" s="1"/>
  <c r="Y54" i="100"/>
  <c r="V56" i="102" s="1"/>
  <c r="AA54" i="100"/>
  <c r="W56" i="102" s="1"/>
  <c r="AC54" i="100"/>
  <c r="X56" i="102" s="1"/>
  <c r="AE54" i="100"/>
  <c r="Y56" i="102" s="1"/>
  <c r="AG54" i="100"/>
  <c r="Z56" i="102" s="1"/>
  <c r="AI54" i="100"/>
  <c r="N55" i="100"/>
  <c r="O55" i="100"/>
  <c r="Q57" i="102" s="1"/>
  <c r="Q55" i="100"/>
  <c r="R57" i="102" s="1"/>
  <c r="S55" i="100"/>
  <c r="S57" i="102" s="1"/>
  <c r="U55" i="100"/>
  <c r="T57" i="102" s="1"/>
  <c r="W55" i="100"/>
  <c r="U57" i="102" s="1"/>
  <c r="Y55" i="100"/>
  <c r="V57" i="102" s="1"/>
  <c r="AA55" i="100"/>
  <c r="W57" i="102" s="1"/>
  <c r="AC55" i="100"/>
  <c r="X57" i="102" s="1"/>
  <c r="AE55" i="100"/>
  <c r="Y57" i="102" s="1"/>
  <c r="AG55" i="100"/>
  <c r="Z57" i="102" s="1"/>
  <c r="AI55" i="100"/>
  <c r="N56" i="100"/>
  <c r="O56" i="100"/>
  <c r="Q58" i="102" s="1"/>
  <c r="Q56" i="100"/>
  <c r="R58" i="102" s="1"/>
  <c r="S56" i="100"/>
  <c r="S58" i="102" s="1"/>
  <c r="U56" i="100"/>
  <c r="T58" i="102" s="1"/>
  <c r="W56" i="100"/>
  <c r="U58" i="102" s="1"/>
  <c r="Y56" i="100"/>
  <c r="V58" i="102" s="1"/>
  <c r="AA56" i="100"/>
  <c r="W58" i="102" s="1"/>
  <c r="AC56" i="100"/>
  <c r="X58" i="102" s="1"/>
  <c r="AE56" i="100"/>
  <c r="Y58" i="102" s="1"/>
  <c r="AG56" i="100"/>
  <c r="Z58" i="102" s="1"/>
  <c r="AI56" i="100"/>
  <c r="N57" i="100"/>
  <c r="O57" i="100"/>
  <c r="Q59" i="102" s="1"/>
  <c r="Q57" i="100"/>
  <c r="R59" i="102" s="1"/>
  <c r="S57" i="100"/>
  <c r="S59" i="102" s="1"/>
  <c r="U57" i="100"/>
  <c r="T59" i="102" s="1"/>
  <c r="W57" i="100"/>
  <c r="U59" i="102" s="1"/>
  <c r="Y57" i="100"/>
  <c r="V59" i="102" s="1"/>
  <c r="AA57" i="100"/>
  <c r="W59" i="102" s="1"/>
  <c r="AC57" i="100"/>
  <c r="X59" i="102" s="1"/>
  <c r="AE57" i="100"/>
  <c r="Y59" i="102" s="1"/>
  <c r="AG57" i="100"/>
  <c r="Z59" i="102" s="1"/>
  <c r="AI57" i="100"/>
  <c r="N58" i="100"/>
  <c r="O58" i="100"/>
  <c r="Q60" i="102" s="1"/>
  <c r="Q58" i="100"/>
  <c r="R60" i="102" s="1"/>
  <c r="S58" i="100"/>
  <c r="S60" i="102" s="1"/>
  <c r="U58" i="100"/>
  <c r="T60" i="102" s="1"/>
  <c r="W58" i="100"/>
  <c r="U60" i="102" s="1"/>
  <c r="Y58" i="100"/>
  <c r="V60" i="102" s="1"/>
  <c r="AA58" i="100"/>
  <c r="W60" i="102" s="1"/>
  <c r="AC58" i="100"/>
  <c r="X60" i="102" s="1"/>
  <c r="AE58" i="100"/>
  <c r="Y60" i="102" s="1"/>
  <c r="AG58" i="100"/>
  <c r="Z60" i="102" s="1"/>
  <c r="AI58" i="100"/>
  <c r="N59" i="100"/>
  <c r="O59" i="100"/>
  <c r="Q61" i="102" s="1"/>
  <c r="Q59" i="100"/>
  <c r="R61" i="102" s="1"/>
  <c r="S59" i="100"/>
  <c r="S61" i="102" s="1"/>
  <c r="U59" i="100"/>
  <c r="T61" i="102" s="1"/>
  <c r="W59" i="100"/>
  <c r="U61" i="102" s="1"/>
  <c r="Y59" i="100"/>
  <c r="V61" i="102" s="1"/>
  <c r="AA59" i="100"/>
  <c r="W61" i="102" s="1"/>
  <c r="AC59" i="100"/>
  <c r="X61" i="102" s="1"/>
  <c r="AE59" i="100"/>
  <c r="AG59" i="100"/>
  <c r="AI59" i="100"/>
  <c r="N60" i="100"/>
  <c r="O60" i="100"/>
  <c r="Q62" i="102" s="1"/>
  <c r="Q60" i="100"/>
  <c r="R62" i="102" s="1"/>
  <c r="S60" i="100"/>
  <c r="S62" i="102" s="1"/>
  <c r="U60" i="100"/>
  <c r="T62" i="102" s="1"/>
  <c r="W60" i="100"/>
  <c r="U62" i="102" s="1"/>
  <c r="Y60" i="100"/>
  <c r="V62" i="102" s="1"/>
  <c r="AA60" i="100"/>
  <c r="W62" i="102" s="1"/>
  <c r="AC60" i="100"/>
  <c r="X62" i="102" s="1"/>
  <c r="AE60" i="100"/>
  <c r="Y62" i="102" s="1"/>
  <c r="AG60" i="100"/>
  <c r="Z62" i="102" s="1"/>
  <c r="AI60" i="100"/>
  <c r="N61" i="100"/>
  <c r="O61" i="100"/>
  <c r="Q63" i="102" s="1"/>
  <c r="Q61" i="100"/>
  <c r="R63" i="102" s="1"/>
  <c r="S61" i="100"/>
  <c r="S63" i="102" s="1"/>
  <c r="U61" i="100"/>
  <c r="T63" i="102" s="1"/>
  <c r="W61" i="100"/>
  <c r="U63" i="102" s="1"/>
  <c r="Y61" i="100"/>
  <c r="V63" i="102" s="1"/>
  <c r="AA61" i="100"/>
  <c r="W63" i="102" s="1"/>
  <c r="AC61" i="100"/>
  <c r="X63" i="102" s="1"/>
  <c r="AE61" i="100"/>
  <c r="Y63" i="102" s="1"/>
  <c r="AG61" i="100"/>
  <c r="Z63" i="102" s="1"/>
  <c r="AI61" i="100"/>
  <c r="N62" i="100"/>
  <c r="O62" i="100"/>
  <c r="Q64" i="102" s="1"/>
  <c r="Q62" i="100"/>
  <c r="R64" i="102" s="1"/>
  <c r="S62" i="100"/>
  <c r="S64" i="102" s="1"/>
  <c r="U62" i="100"/>
  <c r="T64" i="102" s="1"/>
  <c r="W62" i="100"/>
  <c r="U64" i="102" s="1"/>
  <c r="Y62" i="100"/>
  <c r="V64" i="102" s="1"/>
  <c r="AA62" i="100"/>
  <c r="W64" i="102" s="1"/>
  <c r="AC62" i="100"/>
  <c r="X64" i="102" s="1"/>
  <c r="AE62" i="100"/>
  <c r="Y64" i="102" s="1"/>
  <c r="AG62" i="100"/>
  <c r="Z64" i="102" s="1"/>
  <c r="AI62" i="100"/>
  <c r="N63" i="100"/>
  <c r="O63" i="100"/>
  <c r="Q65" i="102" s="1"/>
  <c r="Q63" i="100"/>
  <c r="R65" i="102" s="1"/>
  <c r="S63" i="100"/>
  <c r="S65" i="102" s="1"/>
  <c r="U63" i="100"/>
  <c r="T65" i="102" s="1"/>
  <c r="W63" i="100"/>
  <c r="U65" i="102" s="1"/>
  <c r="Y63" i="100"/>
  <c r="V65" i="102" s="1"/>
  <c r="AA63" i="100"/>
  <c r="W65" i="102" s="1"/>
  <c r="AC63" i="100"/>
  <c r="X65" i="102" s="1"/>
  <c r="AE63" i="100"/>
  <c r="Y65" i="102" s="1"/>
  <c r="AG63" i="100"/>
  <c r="Z65" i="102" s="1"/>
  <c r="AI63" i="100"/>
  <c r="N64" i="100"/>
  <c r="O64" i="100"/>
  <c r="Q66" i="102" s="1"/>
  <c r="Q64" i="100"/>
  <c r="R66" i="102" s="1"/>
  <c r="S64" i="100"/>
  <c r="S66" i="102" s="1"/>
  <c r="U64" i="100"/>
  <c r="T66" i="102" s="1"/>
  <c r="W64" i="100"/>
  <c r="U66" i="102" s="1"/>
  <c r="Y64" i="100"/>
  <c r="V66" i="102" s="1"/>
  <c r="AA64" i="100"/>
  <c r="W66" i="102" s="1"/>
  <c r="AC64" i="100"/>
  <c r="X66" i="102" s="1"/>
  <c r="AE64" i="100"/>
  <c r="Y66" i="102" s="1"/>
  <c r="AG64" i="100"/>
  <c r="Z66" i="102" s="1"/>
  <c r="AI64" i="100"/>
  <c r="N65" i="100"/>
  <c r="O65" i="100"/>
  <c r="Q67" i="102" s="1"/>
  <c r="Q65" i="100"/>
  <c r="R67" i="102" s="1"/>
  <c r="S65" i="100"/>
  <c r="S67" i="102" s="1"/>
  <c r="U65" i="100"/>
  <c r="T67" i="102" s="1"/>
  <c r="W65" i="100"/>
  <c r="U67" i="102" s="1"/>
  <c r="Y65" i="100"/>
  <c r="V67" i="102" s="1"/>
  <c r="AA65" i="100"/>
  <c r="W67" i="102" s="1"/>
  <c r="AC65" i="100"/>
  <c r="X67" i="102" s="1"/>
  <c r="AE65" i="100"/>
  <c r="Y67" i="102" s="1"/>
  <c r="AG65" i="100"/>
  <c r="Z67" i="102" s="1"/>
  <c r="AI65" i="100"/>
  <c r="N66" i="100"/>
  <c r="O66" i="100"/>
  <c r="Q68" i="102" s="1"/>
  <c r="Q66" i="100"/>
  <c r="R68" i="102" s="1"/>
  <c r="S66" i="100"/>
  <c r="S68" i="102" s="1"/>
  <c r="U66" i="100"/>
  <c r="T68" i="102" s="1"/>
  <c r="W66" i="100"/>
  <c r="U68" i="102" s="1"/>
  <c r="Y66" i="100"/>
  <c r="V68" i="102" s="1"/>
  <c r="AA66" i="100"/>
  <c r="W68" i="102" s="1"/>
  <c r="AC66" i="100"/>
  <c r="X68" i="102" s="1"/>
  <c r="AE66" i="100"/>
  <c r="Y68" i="102" s="1"/>
  <c r="AG66" i="100"/>
  <c r="Z68" i="102" s="1"/>
  <c r="AI66" i="100"/>
  <c r="N67" i="100"/>
  <c r="O67" i="100"/>
  <c r="Q69" i="102" s="1"/>
  <c r="Q67" i="100"/>
  <c r="R69" i="102" s="1"/>
  <c r="S67" i="100"/>
  <c r="S69" i="102" s="1"/>
  <c r="U67" i="100"/>
  <c r="T69" i="102" s="1"/>
  <c r="W67" i="100"/>
  <c r="U69" i="102" s="1"/>
  <c r="Y67" i="100"/>
  <c r="V69" i="102" s="1"/>
  <c r="AA67" i="100"/>
  <c r="W69" i="102" s="1"/>
  <c r="AC67" i="100"/>
  <c r="X69" i="102" s="1"/>
  <c r="AE67" i="100"/>
  <c r="Y69" i="102" s="1"/>
  <c r="AG67" i="100"/>
  <c r="Z69" i="102" s="1"/>
  <c r="AI67" i="100"/>
  <c r="N68" i="100"/>
  <c r="O68" i="100"/>
  <c r="Q70" i="102" s="1"/>
  <c r="Q68" i="100"/>
  <c r="R70" i="102" s="1"/>
  <c r="S68" i="100"/>
  <c r="S70" i="102" s="1"/>
  <c r="U68" i="100"/>
  <c r="T70" i="102" s="1"/>
  <c r="W68" i="100"/>
  <c r="U70" i="102" s="1"/>
  <c r="Y68" i="100"/>
  <c r="V70" i="102" s="1"/>
  <c r="AA68" i="100"/>
  <c r="W70" i="102" s="1"/>
  <c r="AC68" i="100"/>
  <c r="X70" i="102" s="1"/>
  <c r="AE68" i="100"/>
  <c r="Y70" i="102" s="1"/>
  <c r="AG68" i="100"/>
  <c r="Z70" i="102" s="1"/>
  <c r="AI68" i="100"/>
  <c r="N69" i="100"/>
  <c r="O69" i="100"/>
  <c r="Q71" i="102" s="1"/>
  <c r="Q69" i="100"/>
  <c r="R71" i="102" s="1"/>
  <c r="S69" i="100"/>
  <c r="S71" i="102" s="1"/>
  <c r="U69" i="100"/>
  <c r="T71" i="102" s="1"/>
  <c r="W69" i="100"/>
  <c r="U71" i="102" s="1"/>
  <c r="Y69" i="100"/>
  <c r="V71" i="102" s="1"/>
  <c r="AA69" i="100"/>
  <c r="W71" i="102" s="1"/>
  <c r="AC69" i="100"/>
  <c r="X71" i="102" s="1"/>
  <c r="AE69" i="100"/>
  <c r="Y71" i="102" s="1"/>
  <c r="AG69" i="100"/>
  <c r="Z71" i="102" s="1"/>
  <c r="AI69" i="100"/>
  <c r="N70" i="100"/>
  <c r="O70" i="100"/>
  <c r="Q72" i="102" s="1"/>
  <c r="Q70" i="100"/>
  <c r="R72" i="102" s="1"/>
  <c r="S70" i="100"/>
  <c r="S72" i="102" s="1"/>
  <c r="U70" i="100"/>
  <c r="T72" i="102" s="1"/>
  <c r="W70" i="100"/>
  <c r="U72" i="102" s="1"/>
  <c r="Y70" i="100"/>
  <c r="V72" i="102" s="1"/>
  <c r="AA70" i="100"/>
  <c r="W72" i="102" s="1"/>
  <c r="AC70" i="100"/>
  <c r="X72" i="102" s="1"/>
  <c r="AE70" i="100"/>
  <c r="Y72" i="102" s="1"/>
  <c r="AG70" i="100"/>
  <c r="Z72" i="102" s="1"/>
  <c r="AI70" i="100"/>
  <c r="N71" i="100"/>
  <c r="O71" i="100"/>
  <c r="Q73" i="102" s="1"/>
  <c r="Q71" i="100"/>
  <c r="R73" i="102" s="1"/>
  <c r="S71" i="100"/>
  <c r="S73" i="102" s="1"/>
  <c r="U71" i="100"/>
  <c r="T73" i="102" s="1"/>
  <c r="W71" i="100"/>
  <c r="U73" i="102" s="1"/>
  <c r="Y71" i="100"/>
  <c r="V73" i="102" s="1"/>
  <c r="AA71" i="100"/>
  <c r="W73" i="102" s="1"/>
  <c r="AC71" i="100"/>
  <c r="X73" i="102" s="1"/>
  <c r="AE71" i="100"/>
  <c r="Y73" i="102" s="1"/>
  <c r="AG71" i="100"/>
  <c r="Z73" i="102" s="1"/>
  <c r="AI71" i="100"/>
  <c r="N72" i="100"/>
  <c r="O72" i="100"/>
  <c r="Q74" i="102" s="1"/>
  <c r="Q72" i="100"/>
  <c r="R74" i="102" s="1"/>
  <c r="S72" i="100"/>
  <c r="S74" i="102" s="1"/>
  <c r="U72" i="100"/>
  <c r="T74" i="102" s="1"/>
  <c r="W72" i="100"/>
  <c r="U74" i="102" s="1"/>
  <c r="Y72" i="100"/>
  <c r="V74" i="102" s="1"/>
  <c r="AA72" i="100"/>
  <c r="W74" i="102" s="1"/>
  <c r="AC72" i="100"/>
  <c r="X74" i="102" s="1"/>
  <c r="AE72" i="100"/>
  <c r="Y74" i="102" s="1"/>
  <c r="AG72" i="100"/>
  <c r="Z74" i="102" s="1"/>
  <c r="AI72" i="100"/>
  <c r="N73" i="100"/>
  <c r="O73" i="100"/>
  <c r="Q75" i="102" s="1"/>
  <c r="Q73" i="100"/>
  <c r="R75" i="102" s="1"/>
  <c r="S73" i="100"/>
  <c r="S75" i="102" s="1"/>
  <c r="U73" i="100"/>
  <c r="T75" i="102" s="1"/>
  <c r="W73" i="100"/>
  <c r="U75" i="102" s="1"/>
  <c r="Y73" i="100"/>
  <c r="V75" i="102" s="1"/>
  <c r="AA73" i="100"/>
  <c r="W75" i="102" s="1"/>
  <c r="AC73" i="100"/>
  <c r="X75" i="102" s="1"/>
  <c r="AE73" i="100"/>
  <c r="Y75" i="102" s="1"/>
  <c r="AG73" i="100"/>
  <c r="Z75" i="102" s="1"/>
  <c r="AI73" i="100"/>
  <c r="N74" i="100"/>
  <c r="O74" i="100"/>
  <c r="Q76" i="102" s="1"/>
  <c r="Q74" i="100"/>
  <c r="R76" i="102" s="1"/>
  <c r="S74" i="100"/>
  <c r="S76" i="102" s="1"/>
  <c r="U74" i="100"/>
  <c r="T76" i="102" s="1"/>
  <c r="W74" i="100"/>
  <c r="U76" i="102" s="1"/>
  <c r="Y74" i="100"/>
  <c r="V76" i="102" s="1"/>
  <c r="AA74" i="100"/>
  <c r="W76" i="102" s="1"/>
  <c r="AC74" i="100"/>
  <c r="X76" i="102" s="1"/>
  <c r="AE74" i="100"/>
  <c r="Y76" i="102" s="1"/>
  <c r="AG74" i="100"/>
  <c r="Z76" i="102" s="1"/>
  <c r="AI74" i="100"/>
  <c r="N75" i="100"/>
  <c r="O75" i="100"/>
  <c r="Q77" i="102" s="1"/>
  <c r="Q75" i="100"/>
  <c r="R77" i="102" s="1"/>
  <c r="S75" i="100"/>
  <c r="S77" i="102" s="1"/>
  <c r="U75" i="100"/>
  <c r="T77" i="102" s="1"/>
  <c r="W75" i="100"/>
  <c r="U77" i="102" s="1"/>
  <c r="Y75" i="100"/>
  <c r="V77" i="102" s="1"/>
  <c r="AA75" i="100"/>
  <c r="W77" i="102" s="1"/>
  <c r="AC75" i="100"/>
  <c r="X77" i="102" s="1"/>
  <c r="AE75" i="100"/>
  <c r="Y77" i="102" s="1"/>
  <c r="AG75" i="100"/>
  <c r="Z77" i="102" s="1"/>
  <c r="AI75" i="100"/>
  <c r="N76" i="100"/>
  <c r="O76" i="100"/>
  <c r="Q78" i="102" s="1"/>
  <c r="Q76" i="100"/>
  <c r="R78" i="102" s="1"/>
  <c r="S76" i="100"/>
  <c r="S78" i="102" s="1"/>
  <c r="U76" i="100"/>
  <c r="T78" i="102" s="1"/>
  <c r="W76" i="100"/>
  <c r="U78" i="102" s="1"/>
  <c r="Y76" i="100"/>
  <c r="V78" i="102" s="1"/>
  <c r="AA76" i="100"/>
  <c r="W78" i="102" s="1"/>
  <c r="AC76" i="100"/>
  <c r="X78" i="102" s="1"/>
  <c r="AE76" i="100"/>
  <c r="Y78" i="102" s="1"/>
  <c r="AG76" i="100"/>
  <c r="Z78" i="102" s="1"/>
  <c r="AI76" i="100"/>
  <c r="N77" i="100"/>
  <c r="O77" i="100"/>
  <c r="Q79" i="102" s="1"/>
  <c r="Q77" i="100"/>
  <c r="R79" i="102" s="1"/>
  <c r="S77" i="100"/>
  <c r="S79" i="102" s="1"/>
  <c r="U77" i="100"/>
  <c r="T79" i="102" s="1"/>
  <c r="W77" i="100"/>
  <c r="U79" i="102" s="1"/>
  <c r="Y77" i="100"/>
  <c r="V79" i="102" s="1"/>
  <c r="AA77" i="100"/>
  <c r="W79" i="102" s="1"/>
  <c r="AC77" i="100"/>
  <c r="X79" i="102" s="1"/>
  <c r="AE77" i="100"/>
  <c r="Y79" i="102" s="1"/>
  <c r="AG77" i="100"/>
  <c r="Z79" i="102" s="1"/>
  <c r="AI77" i="100"/>
  <c r="K44" i="100"/>
  <c r="N44" i="100" s="1"/>
  <c r="K45" i="100"/>
  <c r="N45" i="100" s="1"/>
  <c r="K46" i="100"/>
  <c r="K47" i="100"/>
  <c r="K48" i="100"/>
  <c r="K49" i="100"/>
  <c r="K50" i="100"/>
  <c r="K51" i="100"/>
  <c r="K52" i="100"/>
  <c r="K53" i="100"/>
  <c r="K54" i="100"/>
  <c r="K55" i="100"/>
  <c r="K56" i="100"/>
  <c r="K57" i="100"/>
  <c r="K58" i="100"/>
  <c r="K59" i="100"/>
  <c r="K60" i="100"/>
  <c r="K61" i="100"/>
  <c r="K62" i="100"/>
  <c r="K63" i="100"/>
  <c r="K64" i="100"/>
  <c r="AD64" i="100" s="1"/>
  <c r="K65" i="100"/>
  <c r="K66" i="100"/>
  <c r="K67" i="100"/>
  <c r="K68" i="100"/>
  <c r="K69" i="100"/>
  <c r="K70" i="100"/>
  <c r="K71" i="100"/>
  <c r="K72" i="100"/>
  <c r="K73" i="100"/>
  <c r="K74" i="100"/>
  <c r="K75" i="100"/>
  <c r="K76" i="100"/>
  <c r="K77" i="100"/>
  <c r="D44" i="100"/>
  <c r="D46" i="102" s="1"/>
  <c r="D45" i="100"/>
  <c r="D47" i="102" s="1"/>
  <c r="D46" i="100"/>
  <c r="D48" i="102" s="1"/>
  <c r="D47" i="100"/>
  <c r="D49" i="102" s="1"/>
  <c r="D48" i="100"/>
  <c r="D50" i="102" s="1"/>
  <c r="D49" i="100"/>
  <c r="D51" i="102" s="1"/>
  <c r="D50" i="100"/>
  <c r="D52" i="102" s="1"/>
  <c r="D51" i="100"/>
  <c r="D53" i="102" s="1"/>
  <c r="D52" i="100"/>
  <c r="D54" i="102" s="1"/>
  <c r="D53" i="100"/>
  <c r="D55" i="102" s="1"/>
  <c r="D54" i="100"/>
  <c r="D56" i="102" s="1"/>
  <c r="D55" i="100"/>
  <c r="D57" i="102" s="1"/>
  <c r="D56" i="100"/>
  <c r="D58" i="102" s="1"/>
  <c r="D57" i="100"/>
  <c r="D59" i="102" s="1"/>
  <c r="D58" i="100"/>
  <c r="D60" i="102" s="1"/>
  <c r="D59" i="100"/>
  <c r="D61" i="102" s="1"/>
  <c r="D60" i="100"/>
  <c r="D62" i="102" s="1"/>
  <c r="D61" i="100"/>
  <c r="D63" i="102" s="1"/>
  <c r="D62" i="100"/>
  <c r="D64" i="102" s="1"/>
  <c r="D63" i="100"/>
  <c r="D65" i="102" s="1"/>
  <c r="D64" i="100"/>
  <c r="D66" i="102" s="1"/>
  <c r="D65" i="100"/>
  <c r="D67" i="102" s="1"/>
  <c r="D66" i="100"/>
  <c r="D68" i="102" s="1"/>
  <c r="D67" i="100"/>
  <c r="D69" i="102" s="1"/>
  <c r="D68" i="100"/>
  <c r="D70" i="102" s="1"/>
  <c r="D69" i="100"/>
  <c r="D71" i="102" s="1"/>
  <c r="D70" i="100"/>
  <c r="D72" i="102" s="1"/>
  <c r="D71" i="100"/>
  <c r="D73" i="102" s="1"/>
  <c r="D72" i="100"/>
  <c r="D74" i="102" s="1"/>
  <c r="D73" i="100"/>
  <c r="D75" i="102" s="1"/>
  <c r="D74" i="100"/>
  <c r="D76" i="102" s="1"/>
  <c r="D75" i="100"/>
  <c r="D77" i="102" s="1"/>
  <c r="D76" i="100"/>
  <c r="D78" i="102" s="1"/>
  <c r="D77" i="100"/>
  <c r="D79" i="102" s="1"/>
  <c r="C44" i="100" a="1"/>
  <c r="C44" i="100" s="1"/>
  <c r="C45" i="100" a="1"/>
  <c r="C45" i="100" s="1"/>
  <c r="C46" i="100" a="1"/>
  <c r="C46" i="100" s="1"/>
  <c r="C47" i="100" a="1"/>
  <c r="C47" i="100" s="1"/>
  <c r="E47" i="100" s="1" a="1"/>
  <c r="E47" i="100" s="1"/>
  <c r="C48" i="100" a="1"/>
  <c r="C48" i="100" s="1"/>
  <c r="E48" i="100" s="1" a="1"/>
  <c r="E48" i="100" s="1"/>
  <c r="C49" i="100" a="1"/>
  <c r="C49" i="100" s="1"/>
  <c r="E49" i="100" s="1" a="1"/>
  <c r="E49" i="100" s="1"/>
  <c r="C50" i="100" a="1"/>
  <c r="C50" i="100" s="1"/>
  <c r="E50" i="100" s="1" a="1"/>
  <c r="E50" i="100" s="1"/>
  <c r="C51" i="100" a="1"/>
  <c r="C51" i="100" s="1"/>
  <c r="E51" i="100" s="1" a="1"/>
  <c r="E51" i="100" s="1"/>
  <c r="C52" i="100" a="1"/>
  <c r="C52" i="100" s="1"/>
  <c r="C53" i="100" a="1"/>
  <c r="C53" i="100" s="1"/>
  <c r="C54" i="100" a="1"/>
  <c r="C54" i="100" s="1"/>
  <c r="C55" i="100" a="1"/>
  <c r="C55" i="100" s="1"/>
  <c r="C56" i="100" a="1"/>
  <c r="C56" i="100" s="1"/>
  <c r="C57" i="100" a="1"/>
  <c r="C57" i="100" s="1"/>
  <c r="C58" i="100" a="1"/>
  <c r="C58" i="100" s="1"/>
  <c r="C59" i="100" a="1"/>
  <c r="C59" i="100" s="1"/>
  <c r="C60" i="100" a="1"/>
  <c r="C60" i="100" s="1"/>
  <c r="C61" i="100" a="1"/>
  <c r="C61" i="100" s="1"/>
  <c r="C62" i="100" a="1"/>
  <c r="C62" i="100" s="1"/>
  <c r="C63" i="100" a="1"/>
  <c r="C63" i="100" s="1"/>
  <c r="C64" i="100" a="1"/>
  <c r="C64" i="100" s="1"/>
  <c r="C65" i="100" a="1"/>
  <c r="C65" i="100" s="1"/>
  <c r="C66" i="100" a="1"/>
  <c r="C66" i="100" s="1"/>
  <c r="C67" i="100" a="1"/>
  <c r="C67" i="100" s="1"/>
  <c r="C68" i="100" a="1"/>
  <c r="C68" i="100" s="1"/>
  <c r="C69" i="100" a="1"/>
  <c r="C69" i="100" s="1"/>
  <c r="C70" i="100" a="1"/>
  <c r="C70" i="100" s="1"/>
  <c r="C71" i="100" a="1"/>
  <c r="C71" i="100" s="1"/>
  <c r="C72" i="100" a="1"/>
  <c r="C72" i="100" s="1"/>
  <c r="C73" i="100" a="1"/>
  <c r="C73" i="100" s="1"/>
  <c r="C74" i="100" a="1"/>
  <c r="C74" i="100" s="1"/>
  <c r="C75" i="100" a="1"/>
  <c r="C75" i="100" s="1"/>
  <c r="C76" i="100" a="1"/>
  <c r="C76" i="100" s="1"/>
  <c r="C77" i="100" a="1"/>
  <c r="C77" i="100" s="1"/>
  <c r="B44" i="100" a="1"/>
  <c r="B44" i="100" s="1"/>
  <c r="B45" i="100" a="1"/>
  <c r="B45" i="100" s="1"/>
  <c r="B46" i="100" a="1"/>
  <c r="B46" i="100" s="1"/>
  <c r="B48" i="102" s="1"/>
  <c r="B47" i="100" a="1"/>
  <c r="B47" i="100" s="1"/>
  <c r="B49" i="102" s="1"/>
  <c r="B48" i="100" a="1"/>
  <c r="B48" i="100" s="1"/>
  <c r="B50" i="102" s="1"/>
  <c r="B49" i="100" a="1"/>
  <c r="B49" i="100" s="1"/>
  <c r="B51" i="102" s="1"/>
  <c r="B50" i="100" a="1"/>
  <c r="B50" i="100" s="1"/>
  <c r="B52" i="102" s="1"/>
  <c r="B51" i="100" a="1"/>
  <c r="B51" i="100" s="1"/>
  <c r="B53" i="102" s="1"/>
  <c r="B52" i="100" a="1"/>
  <c r="B52" i="100" s="1"/>
  <c r="B54" i="102" s="1"/>
  <c r="B53" i="100" a="1"/>
  <c r="B53" i="100" s="1"/>
  <c r="B55" i="102" s="1"/>
  <c r="B54" i="100" a="1"/>
  <c r="B54" i="100" s="1"/>
  <c r="B56" i="102" s="1"/>
  <c r="B55" i="100" a="1"/>
  <c r="B55" i="100" s="1"/>
  <c r="B57" i="102" s="1"/>
  <c r="B56" i="100" a="1"/>
  <c r="B56" i="100" s="1"/>
  <c r="B58" i="102" s="1"/>
  <c r="B57" i="100" a="1"/>
  <c r="B57" i="100" s="1"/>
  <c r="B59" i="102" s="1"/>
  <c r="B58" i="100" a="1"/>
  <c r="B58" i="100" s="1"/>
  <c r="B60" i="102" s="1"/>
  <c r="B59" i="100" a="1"/>
  <c r="B59" i="100" s="1"/>
  <c r="B61" i="102" s="1"/>
  <c r="B60" i="100" a="1"/>
  <c r="B60" i="100" s="1"/>
  <c r="B62" i="102" s="1"/>
  <c r="B61" i="100" a="1"/>
  <c r="B61" i="100" s="1"/>
  <c r="B63" i="102" s="1"/>
  <c r="B62" i="100" a="1"/>
  <c r="B62" i="100" s="1"/>
  <c r="B64" i="102" s="1"/>
  <c r="B63" i="100" a="1"/>
  <c r="B63" i="100" s="1"/>
  <c r="B65" i="102" s="1"/>
  <c r="B64" i="100" a="1"/>
  <c r="B64" i="100" s="1"/>
  <c r="B66" i="102" s="1"/>
  <c r="B65" i="100" a="1"/>
  <c r="B65" i="100" s="1"/>
  <c r="B67" i="102" s="1"/>
  <c r="B66" i="100" a="1"/>
  <c r="B66" i="100" s="1"/>
  <c r="B68" i="102" s="1"/>
  <c r="B67" i="100" a="1"/>
  <c r="B67" i="100" s="1"/>
  <c r="B69" i="102" s="1"/>
  <c r="B68" i="100" a="1"/>
  <c r="B68" i="100" s="1"/>
  <c r="B70" i="102" s="1"/>
  <c r="B69" i="100" a="1"/>
  <c r="B69" i="100" s="1"/>
  <c r="B71" i="102" s="1"/>
  <c r="B70" i="100" a="1"/>
  <c r="B70" i="100" s="1"/>
  <c r="B72" i="102" s="1"/>
  <c r="B71" i="100" a="1"/>
  <c r="B71" i="100" s="1"/>
  <c r="B73" i="102" s="1"/>
  <c r="B72" i="100" a="1"/>
  <c r="B72" i="100" s="1"/>
  <c r="B74" i="102" s="1"/>
  <c r="B73" i="100" a="1"/>
  <c r="B73" i="100" s="1"/>
  <c r="B75" i="102" s="1"/>
  <c r="B74" i="100" a="1"/>
  <c r="B74" i="100" s="1"/>
  <c r="B76" i="102" s="1"/>
  <c r="B75" i="100" a="1"/>
  <c r="B75" i="100" s="1"/>
  <c r="B77" i="102" s="1"/>
  <c r="B76" i="100" a="1"/>
  <c r="B76" i="100" s="1"/>
  <c r="B78" i="102" s="1"/>
  <c r="B77" i="100" a="1"/>
  <c r="B77" i="100" s="1"/>
  <c r="B79" i="102" s="1"/>
  <c r="D43" i="100"/>
  <c r="C43" i="100" a="1"/>
  <c r="C43" i="100" s="1"/>
  <c r="E43" i="100" s="1" a="1"/>
  <c r="E43" i="100" s="1"/>
  <c r="DH25" i="125"/>
  <c r="H10" i="127"/>
  <c r="F10" i="127"/>
  <c r="D10" i="127"/>
  <c r="B10" i="127"/>
  <c r="C6" i="127"/>
  <c r="A4" i="127"/>
  <c r="C5" i="127" s="1"/>
  <c r="A3" i="127"/>
  <c r="B3" i="127" s="1"/>
  <c r="AH22" i="126"/>
  <c r="AE22" i="126"/>
  <c r="AD22" i="126"/>
  <c r="AC22" i="126"/>
  <c r="AB22" i="126"/>
  <c r="AA22" i="126"/>
  <c r="Z22" i="126"/>
  <c r="Y22" i="126"/>
  <c r="X22" i="126"/>
  <c r="W22" i="126"/>
  <c r="V22" i="126"/>
  <c r="U22" i="126"/>
  <c r="S22" i="126"/>
  <c r="Q22" i="126"/>
  <c r="N22" i="126"/>
  <c r="K22" i="126"/>
  <c r="J22" i="126"/>
  <c r="I22" i="126"/>
  <c r="C22" i="126"/>
  <c r="B22" i="126"/>
  <c r="A22" i="126"/>
  <c r="AH21" i="126"/>
  <c r="AE21" i="126"/>
  <c r="AD21" i="126"/>
  <c r="AC21" i="126"/>
  <c r="AB21" i="126"/>
  <c r="AA21" i="126"/>
  <c r="Z21" i="126"/>
  <c r="Y21" i="126"/>
  <c r="X21" i="126"/>
  <c r="W21" i="126"/>
  <c r="V21" i="126"/>
  <c r="U21" i="126"/>
  <c r="S21" i="126"/>
  <c r="R21" i="126"/>
  <c r="Q21" i="126"/>
  <c r="P21" i="126"/>
  <c r="O21" i="126"/>
  <c r="N21" i="126"/>
  <c r="M21" i="126"/>
  <c r="L21" i="126"/>
  <c r="K21" i="126"/>
  <c r="J21" i="126"/>
  <c r="I21" i="126"/>
  <c r="H21" i="126"/>
  <c r="G21" i="126"/>
  <c r="F21" i="126"/>
  <c r="E21" i="126"/>
  <c r="D21" i="126"/>
  <c r="C21" i="126"/>
  <c r="B21" i="126"/>
  <c r="A21" i="126"/>
  <c r="AE18" i="126"/>
  <c r="X18" i="126"/>
  <c r="W18" i="126"/>
  <c r="V18" i="126"/>
  <c r="U18" i="126"/>
  <c r="T18" i="126"/>
  <c r="S18" i="126"/>
  <c r="Q18" i="126"/>
  <c r="C18" i="126"/>
  <c r="B18" i="126"/>
  <c r="A18" i="126"/>
  <c r="AF17" i="126"/>
  <c r="AE17" i="126"/>
  <c r="AD17" i="126"/>
  <c r="AC17" i="126"/>
  <c r="AB17" i="126"/>
  <c r="AA17" i="126"/>
  <c r="Z17" i="126"/>
  <c r="Y17" i="126"/>
  <c r="X17" i="126"/>
  <c r="W17" i="126"/>
  <c r="V17" i="126"/>
  <c r="U17" i="126"/>
  <c r="S17" i="126"/>
  <c r="R17" i="126"/>
  <c r="Q17" i="126"/>
  <c r="P17" i="126"/>
  <c r="O17" i="126"/>
  <c r="N17" i="126"/>
  <c r="M17" i="126"/>
  <c r="L17" i="126"/>
  <c r="K17" i="126"/>
  <c r="J17" i="126"/>
  <c r="I17" i="126"/>
  <c r="H17" i="126"/>
  <c r="G17" i="126"/>
  <c r="F17" i="126"/>
  <c r="E17" i="126"/>
  <c r="D17" i="126"/>
  <c r="C17" i="126"/>
  <c r="B17" i="126"/>
  <c r="A17" i="126"/>
  <c r="AE15" i="126"/>
  <c r="X15" i="126"/>
  <c r="W15" i="126"/>
  <c r="V15" i="126"/>
  <c r="U15" i="126"/>
  <c r="T15" i="126"/>
  <c r="S15" i="126"/>
  <c r="Q15" i="126"/>
  <c r="C15" i="126"/>
  <c r="B15" i="126"/>
  <c r="A15" i="126"/>
  <c r="AH14" i="126"/>
  <c r="AE14" i="126"/>
  <c r="AD14" i="126"/>
  <c r="AC14" i="126"/>
  <c r="AB14" i="126"/>
  <c r="AA14" i="126"/>
  <c r="Z14" i="126"/>
  <c r="Y14" i="126"/>
  <c r="X14" i="126"/>
  <c r="W14" i="126"/>
  <c r="V14" i="126"/>
  <c r="U14" i="126"/>
  <c r="S14" i="126"/>
  <c r="R14" i="126"/>
  <c r="Q14" i="126"/>
  <c r="P14" i="126"/>
  <c r="O14" i="126"/>
  <c r="N14" i="126"/>
  <c r="M14" i="126"/>
  <c r="L14" i="126"/>
  <c r="K14" i="126"/>
  <c r="J14" i="126"/>
  <c r="I14" i="126"/>
  <c r="H14" i="126"/>
  <c r="G14" i="126"/>
  <c r="F14" i="126"/>
  <c r="E14" i="126"/>
  <c r="D14" i="126"/>
  <c r="C14" i="126"/>
  <c r="B14" i="126"/>
  <c r="A14" i="126"/>
  <c r="AH11" i="126"/>
  <c r="AB11" i="126"/>
  <c r="Z11" i="126"/>
  <c r="X11" i="126"/>
  <c r="W11" i="126"/>
  <c r="V11" i="126"/>
  <c r="R11" i="126"/>
  <c r="P11" i="126"/>
  <c r="O11" i="126"/>
  <c r="N11" i="126"/>
  <c r="M11" i="126"/>
  <c r="L11" i="126"/>
  <c r="K11" i="126"/>
  <c r="J11" i="126"/>
  <c r="I11" i="126"/>
  <c r="H11" i="126"/>
  <c r="G11" i="126"/>
  <c r="F11" i="126"/>
  <c r="E11" i="126"/>
  <c r="A11" i="126"/>
  <c r="Q4" i="126"/>
  <c r="Q3" i="126"/>
  <c r="O3" i="126"/>
  <c r="X5" i="126" s="1"/>
  <c r="M3" i="126"/>
  <c r="B2" i="126"/>
  <c r="AU10" i="124"/>
  <c r="AU9" i="124"/>
  <c r="D2" i="125"/>
  <c r="B2" i="125"/>
  <c r="C3" i="125"/>
  <c r="C4" i="125"/>
  <c r="DC142" i="125"/>
  <c r="DB142" i="125"/>
  <c r="DA142" i="125"/>
  <c r="CZ142" i="125"/>
  <c r="CY142" i="125"/>
  <c r="CX142" i="125"/>
  <c r="CW142" i="125"/>
  <c r="CV142" i="125"/>
  <c r="CU142" i="125"/>
  <c r="CT142" i="125"/>
  <c r="CS142" i="125"/>
  <c r="CR142" i="125"/>
  <c r="DC141" i="125"/>
  <c r="DB141" i="125"/>
  <c r="DA141" i="125"/>
  <c r="CZ141" i="125"/>
  <c r="CY141" i="125"/>
  <c r="CX141" i="125"/>
  <c r="CW141" i="125"/>
  <c r="CV141" i="125"/>
  <c r="CU141" i="125"/>
  <c r="CT141" i="125"/>
  <c r="CS141" i="125"/>
  <c r="CR141" i="125"/>
  <c r="DC138" i="125"/>
  <c r="DB138" i="125"/>
  <c r="DA138" i="125"/>
  <c r="CZ138" i="125"/>
  <c r="CY138" i="125"/>
  <c r="CX138" i="125"/>
  <c r="CW138" i="125"/>
  <c r="CV138" i="125"/>
  <c r="CU138" i="125"/>
  <c r="CT138" i="125"/>
  <c r="CS138" i="125"/>
  <c r="CR138" i="125"/>
  <c r="DC129" i="125"/>
  <c r="DB129" i="125"/>
  <c r="DA129" i="125"/>
  <c r="CZ129" i="125"/>
  <c r="CY129" i="125"/>
  <c r="CX129" i="125"/>
  <c r="CW129" i="125"/>
  <c r="CV129" i="125"/>
  <c r="CU129" i="125"/>
  <c r="CT129" i="125"/>
  <c r="CS129" i="125"/>
  <c r="CR129" i="125"/>
  <c r="DC128" i="125"/>
  <c r="DB128" i="125"/>
  <c r="DA128" i="125"/>
  <c r="CZ128" i="125"/>
  <c r="CY128" i="125"/>
  <c r="CX128" i="125"/>
  <c r="CW128" i="125"/>
  <c r="CV128" i="125"/>
  <c r="CU128" i="125"/>
  <c r="CT128" i="125"/>
  <c r="CS128" i="125"/>
  <c r="CR128" i="125"/>
  <c r="DC127" i="125"/>
  <c r="DB127" i="125"/>
  <c r="DA127" i="125"/>
  <c r="CZ127" i="125"/>
  <c r="CY127" i="125"/>
  <c r="CX127" i="125"/>
  <c r="CW127" i="125"/>
  <c r="CV127" i="125"/>
  <c r="CU127" i="125"/>
  <c r="CT127" i="125"/>
  <c r="CS127" i="125"/>
  <c r="CR127" i="125"/>
  <c r="DC126" i="125"/>
  <c r="DB126" i="125"/>
  <c r="DA126" i="125"/>
  <c r="CZ126" i="125"/>
  <c r="CY126" i="125"/>
  <c r="CX126" i="125"/>
  <c r="CW126" i="125"/>
  <c r="CV126" i="125"/>
  <c r="CU126" i="125"/>
  <c r="CT126" i="125"/>
  <c r="CS126" i="125"/>
  <c r="CR126" i="125"/>
  <c r="DU125" i="125"/>
  <c r="DO125" i="125"/>
  <c r="DM125" i="125"/>
  <c r="DI125" i="125"/>
  <c r="DG125" i="125"/>
  <c r="DF125" i="125"/>
  <c r="DE125" i="125"/>
  <c r="DK125" i="125" s="1"/>
  <c r="DC125" i="125"/>
  <c r="DB125" i="125"/>
  <c r="DA125" i="125"/>
  <c r="CZ125" i="125"/>
  <c r="CY125" i="125"/>
  <c r="CX125" i="125"/>
  <c r="CW125" i="125"/>
  <c r="CV125" i="125"/>
  <c r="CU125" i="125"/>
  <c r="CT125" i="125"/>
  <c r="CS125" i="125"/>
  <c r="CR125" i="125"/>
  <c r="E125" i="125"/>
  <c r="B125" i="125"/>
  <c r="B138" i="125" s="1"/>
  <c r="D122" i="125"/>
  <c r="B118" i="125"/>
  <c r="DC103" i="125"/>
  <c r="DB103" i="125"/>
  <c r="DA103" i="125"/>
  <c r="CZ103" i="125"/>
  <c r="CY103" i="125"/>
  <c r="CX103" i="125"/>
  <c r="CW103" i="125"/>
  <c r="CV103" i="125"/>
  <c r="CU103" i="125"/>
  <c r="CT103" i="125"/>
  <c r="CS103" i="125"/>
  <c r="CR103" i="125"/>
  <c r="DC102" i="125"/>
  <c r="DB102" i="125"/>
  <c r="DA102" i="125"/>
  <c r="CZ102" i="125"/>
  <c r="CY102" i="125"/>
  <c r="CX102" i="125"/>
  <c r="CW102" i="125"/>
  <c r="CV102" i="125"/>
  <c r="CU102" i="125"/>
  <c r="CT102" i="125"/>
  <c r="CS102" i="125"/>
  <c r="CR102" i="125"/>
  <c r="EG99" i="125"/>
  <c r="DC99" i="125"/>
  <c r="DB99" i="125"/>
  <c r="DA99" i="125"/>
  <c r="CZ99" i="125"/>
  <c r="CY99" i="125"/>
  <c r="CX99" i="125"/>
  <c r="CW99" i="125"/>
  <c r="CV99" i="125"/>
  <c r="CU99" i="125"/>
  <c r="CT99" i="125"/>
  <c r="CS99" i="125"/>
  <c r="CR99" i="125"/>
  <c r="AZ99" i="125"/>
  <c r="DC90" i="125"/>
  <c r="DB90" i="125"/>
  <c r="DA90" i="125"/>
  <c r="CZ90" i="125"/>
  <c r="CY90" i="125"/>
  <c r="CX90" i="125"/>
  <c r="CW90" i="125"/>
  <c r="CV90" i="125"/>
  <c r="CU90" i="125"/>
  <c r="CT90" i="125"/>
  <c r="CS90" i="125"/>
  <c r="CR90" i="125"/>
  <c r="DC89" i="125"/>
  <c r="DB89" i="125"/>
  <c r="DA89" i="125"/>
  <c r="CZ89" i="125"/>
  <c r="CY89" i="125"/>
  <c r="CX89" i="125"/>
  <c r="CW89" i="125"/>
  <c r="CV89" i="125"/>
  <c r="CU89" i="125"/>
  <c r="CT89" i="125"/>
  <c r="CS89" i="125"/>
  <c r="CR89" i="125"/>
  <c r="DC88" i="125"/>
  <c r="DB88" i="125"/>
  <c r="DA88" i="125"/>
  <c r="CZ88" i="125"/>
  <c r="CY88" i="125"/>
  <c r="CX88" i="125"/>
  <c r="CW88" i="125"/>
  <c r="CV88" i="125"/>
  <c r="CU88" i="125"/>
  <c r="CT88" i="125"/>
  <c r="CS88" i="125"/>
  <c r="CR88" i="125"/>
  <c r="DC87" i="125"/>
  <c r="DB87" i="125"/>
  <c r="DA87" i="125"/>
  <c r="CZ87" i="125"/>
  <c r="CY87" i="125"/>
  <c r="CX87" i="125"/>
  <c r="CW87" i="125"/>
  <c r="CV87" i="125"/>
  <c r="CU87" i="125"/>
  <c r="CT87" i="125"/>
  <c r="CS87" i="125"/>
  <c r="CR87" i="125"/>
  <c r="EQ86" i="125"/>
  <c r="EG86" i="125"/>
  <c r="EF86" i="125"/>
  <c r="ED86" i="125"/>
  <c r="EC86" i="125"/>
  <c r="EB86" i="125"/>
  <c r="DU86" i="125"/>
  <c r="DI86" i="125"/>
  <c r="DG86" i="125"/>
  <c r="DF86" i="125"/>
  <c r="DE86" i="125"/>
  <c r="DK86" i="125" s="1"/>
  <c r="DC86" i="125"/>
  <c r="DB86" i="125"/>
  <c r="DA86" i="125"/>
  <c r="CZ86" i="125"/>
  <c r="CY86" i="125"/>
  <c r="CX86" i="125"/>
  <c r="CW86" i="125"/>
  <c r="CV86" i="125"/>
  <c r="CU86" i="125"/>
  <c r="CT86" i="125"/>
  <c r="CS86" i="125"/>
  <c r="CR86" i="125"/>
  <c r="CM86" i="125"/>
  <c r="CJ86" i="125"/>
  <c r="E86" i="125"/>
  <c r="B86" i="125"/>
  <c r="B99" i="125" s="1"/>
  <c r="D79" i="125"/>
  <c r="B79" i="125"/>
  <c r="DC66" i="125"/>
  <c r="DB66" i="125"/>
  <c r="DA66" i="125"/>
  <c r="CZ66" i="125"/>
  <c r="CY66" i="125"/>
  <c r="CX66" i="125"/>
  <c r="CW66" i="125"/>
  <c r="CV66" i="125"/>
  <c r="CU66" i="125"/>
  <c r="CT66" i="125"/>
  <c r="CS66" i="125"/>
  <c r="CR66" i="125"/>
  <c r="DC65" i="125"/>
  <c r="DB65" i="125"/>
  <c r="DA65" i="125"/>
  <c r="CZ65" i="125"/>
  <c r="CY65" i="125"/>
  <c r="CX65" i="125"/>
  <c r="CW65" i="125"/>
  <c r="CV65" i="125"/>
  <c r="CU65" i="125"/>
  <c r="CT65" i="125"/>
  <c r="CS65" i="125"/>
  <c r="CR65" i="125"/>
  <c r="DC62" i="125"/>
  <c r="DB62" i="125"/>
  <c r="DA62" i="125"/>
  <c r="CZ62" i="125"/>
  <c r="CY62" i="125"/>
  <c r="CX62" i="125"/>
  <c r="CW62" i="125"/>
  <c r="CV62" i="125"/>
  <c r="CU62" i="125"/>
  <c r="CT62" i="125"/>
  <c r="CS62" i="125"/>
  <c r="CR62" i="125"/>
  <c r="AZ62" i="125"/>
  <c r="DC53" i="125"/>
  <c r="DB53" i="125"/>
  <c r="DA53" i="125"/>
  <c r="CZ53" i="125"/>
  <c r="CY53" i="125"/>
  <c r="CX53" i="125"/>
  <c r="CW53" i="125"/>
  <c r="CV53" i="125"/>
  <c r="CU53" i="125"/>
  <c r="CT53" i="125"/>
  <c r="CS53" i="125"/>
  <c r="CR53" i="125"/>
  <c r="DC52" i="125"/>
  <c r="DB52" i="125"/>
  <c r="DA52" i="125"/>
  <c r="CZ52" i="125"/>
  <c r="CY52" i="125"/>
  <c r="CX52" i="125"/>
  <c r="CW52" i="125"/>
  <c r="CV52" i="125"/>
  <c r="CU52" i="125"/>
  <c r="CT52" i="125"/>
  <c r="CS52" i="125"/>
  <c r="CR52" i="125"/>
  <c r="DC51" i="125"/>
  <c r="DB51" i="125"/>
  <c r="DA51" i="125"/>
  <c r="CZ51" i="125"/>
  <c r="CY51" i="125"/>
  <c r="CX51" i="125"/>
  <c r="CW51" i="125"/>
  <c r="CV51" i="125"/>
  <c r="CU51" i="125"/>
  <c r="CT51" i="125"/>
  <c r="CS51" i="125"/>
  <c r="CR51" i="125"/>
  <c r="DC50" i="125"/>
  <c r="DB50" i="125"/>
  <c r="DA50" i="125"/>
  <c r="CZ50" i="125"/>
  <c r="CY50" i="125"/>
  <c r="CX50" i="125"/>
  <c r="CW50" i="125"/>
  <c r="CV50" i="125"/>
  <c r="CU50" i="125"/>
  <c r="CT50" i="125"/>
  <c r="CS50" i="125"/>
  <c r="CR50" i="125"/>
  <c r="EQ49" i="125"/>
  <c r="EF49" i="125"/>
  <c r="ED49" i="125"/>
  <c r="EB49" i="125"/>
  <c r="DU49" i="125"/>
  <c r="DI49" i="125"/>
  <c r="DG49" i="125"/>
  <c r="DF49" i="125"/>
  <c r="DE49" i="125"/>
  <c r="DK49" i="125" s="1"/>
  <c r="DC49" i="125"/>
  <c r="DB49" i="125"/>
  <c r="DA49" i="125"/>
  <c r="CZ49" i="125"/>
  <c r="CY49" i="125"/>
  <c r="CX49" i="125"/>
  <c r="CW49" i="125"/>
  <c r="CV49" i="125"/>
  <c r="CU49" i="125"/>
  <c r="CT49" i="125"/>
  <c r="CS49" i="125"/>
  <c r="CR49" i="125"/>
  <c r="CM49" i="125"/>
  <c r="CJ49" i="125"/>
  <c r="E49" i="125"/>
  <c r="B49" i="125"/>
  <c r="B62" i="125" s="1"/>
  <c r="D42" i="125"/>
  <c r="B42" i="125"/>
  <c r="DC29" i="125"/>
  <c r="DB29" i="125"/>
  <c r="DA29" i="125"/>
  <c r="CZ29" i="125"/>
  <c r="CY29" i="125"/>
  <c r="CX29" i="125"/>
  <c r="CW29" i="125"/>
  <c r="CV29" i="125"/>
  <c r="CU29" i="125"/>
  <c r="CT29" i="125"/>
  <c r="CS29" i="125"/>
  <c r="CR29" i="125"/>
  <c r="DC28" i="125"/>
  <c r="DB28" i="125"/>
  <c r="DA28" i="125"/>
  <c r="CZ28" i="125"/>
  <c r="CY28" i="125"/>
  <c r="CX28" i="125"/>
  <c r="CW28" i="125"/>
  <c r="CV28" i="125"/>
  <c r="CU28" i="125"/>
  <c r="CT28" i="125"/>
  <c r="CS28" i="125"/>
  <c r="CR28" i="125"/>
  <c r="DC25" i="125"/>
  <c r="DB25" i="125"/>
  <c r="DA25" i="125"/>
  <c r="CZ25" i="125"/>
  <c r="CY25" i="125"/>
  <c r="CX25" i="125"/>
  <c r="CW25" i="125"/>
  <c r="CV25" i="125"/>
  <c r="CU25" i="125"/>
  <c r="CT25" i="125"/>
  <c r="CS25" i="125"/>
  <c r="CR25" i="125"/>
  <c r="AZ25" i="125"/>
  <c r="DC16" i="125"/>
  <c r="DB16" i="125"/>
  <c r="DA16" i="125"/>
  <c r="CZ16" i="125"/>
  <c r="CY16" i="125"/>
  <c r="CX16" i="125"/>
  <c r="CW16" i="125"/>
  <c r="CV16" i="125"/>
  <c r="CU16" i="125"/>
  <c r="CT16" i="125"/>
  <c r="CS16" i="125"/>
  <c r="CR16" i="125"/>
  <c r="DC15" i="125"/>
  <c r="DB15" i="125"/>
  <c r="DA15" i="125"/>
  <c r="CZ15" i="125"/>
  <c r="CY15" i="125"/>
  <c r="CX15" i="125"/>
  <c r="CW15" i="125"/>
  <c r="CV15" i="125"/>
  <c r="CU15" i="125"/>
  <c r="CT15" i="125"/>
  <c r="CS15" i="125"/>
  <c r="CR15" i="125"/>
  <c r="DC14" i="125"/>
  <c r="DB14" i="125"/>
  <c r="DA14" i="125"/>
  <c r="CZ14" i="125"/>
  <c r="CY14" i="125"/>
  <c r="CX14" i="125"/>
  <c r="CW14" i="125"/>
  <c r="CV14" i="125"/>
  <c r="CU14" i="125"/>
  <c r="CT14" i="125"/>
  <c r="CS14" i="125"/>
  <c r="CR14" i="125"/>
  <c r="DC13" i="125"/>
  <c r="DB13" i="125"/>
  <c r="DA13" i="125"/>
  <c r="CZ13" i="125"/>
  <c r="CY13" i="125"/>
  <c r="CX13" i="125"/>
  <c r="CW13" i="125"/>
  <c r="CV13" i="125"/>
  <c r="CU13" i="125"/>
  <c r="CT13" i="125"/>
  <c r="CS13" i="125"/>
  <c r="CR13" i="125"/>
  <c r="EQ12" i="125"/>
  <c r="EF12" i="125"/>
  <c r="ED12" i="125"/>
  <c r="EB12" i="125"/>
  <c r="DI12" i="125"/>
  <c r="DG12" i="125"/>
  <c r="DF12" i="125"/>
  <c r="DE12" i="125"/>
  <c r="DK12" i="125" s="1"/>
  <c r="DC12" i="125"/>
  <c r="DB12" i="125"/>
  <c r="DA12" i="125"/>
  <c r="CZ12" i="125"/>
  <c r="CY12" i="125"/>
  <c r="CX12" i="125"/>
  <c r="CW12" i="125"/>
  <c r="CV12" i="125"/>
  <c r="CU12" i="125"/>
  <c r="CT12" i="125"/>
  <c r="CS12" i="125"/>
  <c r="CR12" i="125"/>
  <c r="E12" i="125"/>
  <c r="B12" i="125"/>
  <c r="C6" i="125"/>
  <c r="AG642" i="124"/>
  <c r="AF642" i="124"/>
  <c r="W642" i="124"/>
  <c r="V642" i="124"/>
  <c r="U642" i="124"/>
  <c r="AG641" i="124"/>
  <c r="AF641" i="124"/>
  <c r="W641" i="124"/>
  <c r="V641" i="124"/>
  <c r="U641" i="124"/>
  <c r="AG640" i="124"/>
  <c r="AF640" i="124"/>
  <c r="W640" i="124"/>
  <c r="V640" i="124"/>
  <c r="U640" i="124"/>
  <c r="AG639" i="124"/>
  <c r="AF639" i="124"/>
  <c r="W639" i="124"/>
  <c r="V639" i="124"/>
  <c r="U639" i="124"/>
  <c r="AG638" i="124"/>
  <c r="AF638" i="124"/>
  <c r="W638" i="124"/>
  <c r="V638" i="124"/>
  <c r="U638" i="124"/>
  <c r="AG637" i="124"/>
  <c r="AF637" i="124"/>
  <c r="W637" i="124"/>
  <c r="V637" i="124"/>
  <c r="U637" i="124"/>
  <c r="AG636" i="124"/>
  <c r="AF636" i="124"/>
  <c r="W636" i="124"/>
  <c r="V636" i="124"/>
  <c r="U636" i="124"/>
  <c r="AG635" i="124"/>
  <c r="AF635" i="124"/>
  <c r="W635" i="124"/>
  <c r="V635" i="124"/>
  <c r="U635" i="124"/>
  <c r="AG633" i="124"/>
  <c r="AF633" i="124"/>
  <c r="W633" i="124"/>
  <c r="V633" i="124"/>
  <c r="U633" i="124"/>
  <c r="AG632" i="124"/>
  <c r="AF632" i="124"/>
  <c r="W632" i="124"/>
  <c r="V632" i="124"/>
  <c r="U632" i="124"/>
  <c r="AG631" i="124"/>
  <c r="AF631" i="124"/>
  <c r="W631" i="124"/>
  <c r="V631" i="124"/>
  <c r="U631" i="124"/>
  <c r="AG630" i="124"/>
  <c r="AF630" i="124"/>
  <c r="W630" i="124"/>
  <c r="V630" i="124"/>
  <c r="U630" i="124"/>
  <c r="AG629" i="124"/>
  <c r="AF629" i="124"/>
  <c r="W629" i="124"/>
  <c r="V629" i="124"/>
  <c r="U629" i="124"/>
  <c r="AG628" i="124"/>
  <c r="AF628" i="124"/>
  <c r="W628" i="124"/>
  <c r="V628" i="124"/>
  <c r="U628" i="124"/>
  <c r="AG627" i="124"/>
  <c r="AF627" i="124"/>
  <c r="W627" i="124"/>
  <c r="V627" i="124"/>
  <c r="U627" i="124"/>
  <c r="AG626" i="124"/>
  <c r="AF626" i="124"/>
  <c r="W626" i="124"/>
  <c r="V626" i="124"/>
  <c r="U626" i="124"/>
  <c r="AG624" i="124"/>
  <c r="AF624" i="124"/>
  <c r="W624" i="124"/>
  <c r="V624" i="124"/>
  <c r="U624" i="124"/>
  <c r="AG623" i="124"/>
  <c r="AF623" i="124"/>
  <c r="W623" i="124"/>
  <c r="V623" i="124"/>
  <c r="U623" i="124"/>
  <c r="AG622" i="124"/>
  <c r="AF622" i="124"/>
  <c r="W622" i="124"/>
  <c r="V622" i="124"/>
  <c r="U622" i="124"/>
  <c r="AG621" i="124"/>
  <c r="AF621" i="124"/>
  <c r="W621" i="124"/>
  <c r="V621" i="124"/>
  <c r="U621" i="124"/>
  <c r="AG620" i="124"/>
  <c r="AF620" i="124"/>
  <c r="W620" i="124"/>
  <c r="V620" i="124"/>
  <c r="U620" i="124"/>
  <c r="AG619" i="124"/>
  <c r="AF619" i="124"/>
  <c r="W619" i="124"/>
  <c r="V619" i="124"/>
  <c r="U619" i="124"/>
  <c r="AG618" i="124"/>
  <c r="AF618" i="124"/>
  <c r="W618" i="124"/>
  <c r="V618" i="124"/>
  <c r="U618" i="124"/>
  <c r="AG617" i="124"/>
  <c r="AF617" i="124"/>
  <c r="W617" i="124"/>
  <c r="V617" i="124"/>
  <c r="U617" i="124"/>
  <c r="G614" i="124"/>
  <c r="G612" i="124"/>
  <c r="H607" i="124"/>
  <c r="AU607" i="124" s="1"/>
  <c r="ET605" i="124"/>
  <c r="ES605" i="124"/>
  <c r="ER605" i="124"/>
  <c r="EQ605" i="124"/>
  <c r="EO605" i="124"/>
  <c r="EN605" i="124"/>
  <c r="EM605" i="124"/>
  <c r="EL605" i="124"/>
  <c r="EJ605" i="124"/>
  <c r="EI605" i="124"/>
  <c r="EH605" i="124"/>
  <c r="EG605" i="124"/>
  <c r="EE605" i="124"/>
  <c r="ED605" i="124"/>
  <c r="EC605" i="124"/>
  <c r="EB605" i="124"/>
  <c r="DY605" i="124"/>
  <c r="DV605" i="124"/>
  <c r="DU605" i="124"/>
  <c r="DS605" i="124"/>
  <c r="DT605" i="124" s="1"/>
  <c r="DQ605" i="124"/>
  <c r="DR605" i="124" s="1"/>
  <c r="DO605" i="124"/>
  <c r="DP605" i="124" s="1"/>
  <c r="DM605" i="124"/>
  <c r="DL605" i="124"/>
  <c r="DK605" i="124"/>
  <c r="DJ605" i="124"/>
  <c r="DI605" i="124"/>
  <c r="DH605" i="124"/>
  <c r="DG605" i="124"/>
  <c r="DF605" i="124"/>
  <c r="DE605" i="124"/>
  <c r="DD605" i="124"/>
  <c r="DC605" i="124"/>
  <c r="DB605" i="124"/>
  <c r="DA605" i="124"/>
  <c r="CZ605" i="124"/>
  <c r="CY605" i="124"/>
  <c r="CX605" i="124"/>
  <c r="CW605" i="124"/>
  <c r="CV605" i="124"/>
  <c r="CU605" i="124"/>
  <c r="CT605" i="124"/>
  <c r="CS605" i="124"/>
  <c r="CR605" i="124"/>
  <c r="CP605" i="124"/>
  <c r="CO605" i="124"/>
  <c r="CN605" i="124"/>
  <c r="CM605" i="124"/>
  <c r="CL605" i="124"/>
  <c r="CK605" i="124"/>
  <c r="CJ605" i="124"/>
  <c r="CI605" i="124"/>
  <c r="CD605" i="124"/>
  <c r="CH605" i="124" s="1"/>
  <c r="CC605" i="124"/>
  <c r="CG605" i="124" s="1"/>
  <c r="CB605" i="124"/>
  <c r="CF605" i="124" s="1"/>
  <c r="CA605" i="124"/>
  <c r="CE605" i="124" s="1"/>
  <c r="BZ605" i="124"/>
  <c r="G605" i="124"/>
  <c r="ET603" i="124"/>
  <c r="ES603" i="124"/>
  <c r="ER603" i="124"/>
  <c r="EQ603" i="124"/>
  <c r="EO603" i="124"/>
  <c r="EN603" i="124"/>
  <c r="EM603" i="124"/>
  <c r="EL603" i="124"/>
  <c r="EJ603" i="124"/>
  <c r="EI603" i="124"/>
  <c r="EH603" i="124"/>
  <c r="EG603" i="124"/>
  <c r="EE603" i="124"/>
  <c r="ED603" i="124"/>
  <c r="EC603" i="124"/>
  <c r="EB603" i="124"/>
  <c r="DY603" i="124"/>
  <c r="DV603" i="124"/>
  <c r="DU603" i="124"/>
  <c r="DS603" i="124"/>
  <c r="DT603" i="124" s="1"/>
  <c r="DQ603" i="124"/>
  <c r="DR603" i="124" s="1"/>
  <c r="DO603" i="124"/>
  <c r="DP603" i="124" s="1"/>
  <c r="DM603" i="124"/>
  <c r="DL603" i="124"/>
  <c r="DK603" i="124"/>
  <c r="DJ603" i="124"/>
  <c r="DI603" i="124"/>
  <c r="DH603" i="124"/>
  <c r="DG603" i="124"/>
  <c r="DF603" i="124"/>
  <c r="DE603" i="124"/>
  <c r="DD603" i="124"/>
  <c r="DC603" i="124"/>
  <c r="DB603" i="124"/>
  <c r="DA603" i="124"/>
  <c r="CZ603" i="124"/>
  <c r="CY603" i="124"/>
  <c r="CX603" i="124"/>
  <c r="CW603" i="124"/>
  <c r="CV603" i="124"/>
  <c r="CU603" i="124"/>
  <c r="CT603" i="124"/>
  <c r="CS603" i="124"/>
  <c r="CR603" i="124"/>
  <c r="CP603" i="124"/>
  <c r="CO603" i="124"/>
  <c r="CN603" i="124"/>
  <c r="CM603" i="124"/>
  <c r="CL603" i="124"/>
  <c r="CK603" i="124"/>
  <c r="CJ603" i="124"/>
  <c r="CI603" i="124"/>
  <c r="CD603" i="124"/>
  <c r="CH603" i="124" s="1"/>
  <c r="CC603" i="124"/>
  <c r="CG603" i="124" s="1"/>
  <c r="CB603" i="124"/>
  <c r="CF603" i="124" s="1"/>
  <c r="CA603" i="124"/>
  <c r="CE603" i="124" s="1"/>
  <c r="BZ603" i="124"/>
  <c r="G603" i="124"/>
  <c r="G601" i="124"/>
  <c r="H599" i="124"/>
  <c r="AU599" i="124" s="1"/>
  <c r="H597" i="124"/>
  <c r="AU597" i="124" s="1"/>
  <c r="Y595" i="124"/>
  <c r="H595" i="124"/>
  <c r="AU595" i="124" s="1"/>
  <c r="AM593" i="124"/>
  <c r="AJ593" i="124"/>
  <c r="S593" i="124"/>
  <c r="H593" i="124"/>
  <c r="AT591" i="124"/>
  <c r="S591" i="124"/>
  <c r="I591" i="124"/>
  <c r="AD591" i="124" s="1"/>
  <c r="H591" i="124"/>
  <c r="AU591" i="124" s="1"/>
  <c r="H589" i="124"/>
  <c r="AU589" i="124" s="1"/>
  <c r="BD340" i="124"/>
  <c r="BD339" i="124"/>
  <c r="BD338" i="124"/>
  <c r="BD337" i="124"/>
  <c r="BD213" i="124"/>
  <c r="W51" i="124"/>
  <c r="V51" i="124"/>
  <c r="U51" i="124"/>
  <c r="W50" i="124"/>
  <c r="V50" i="124"/>
  <c r="U50" i="124"/>
  <c r="AH47" i="124"/>
  <c r="AG47" i="124"/>
  <c r="AF47" i="124"/>
  <c r="AD47" i="124"/>
  <c r="AE47" i="124" s="1"/>
  <c r="AC47" i="124"/>
  <c r="AB47" i="124"/>
  <c r="Z47" i="124"/>
  <c r="U47" i="124"/>
  <c r="T47" i="124"/>
  <c r="S47" i="124"/>
  <c r="R47" i="124"/>
  <c r="AJ47" i="124" s="1"/>
  <c r="AG46" i="124"/>
  <c r="AF46" i="124"/>
  <c r="W46" i="124"/>
  <c r="V46" i="124"/>
  <c r="U46" i="124"/>
  <c r="AG45" i="124"/>
  <c r="AF45" i="124"/>
  <c r="W45" i="124"/>
  <c r="V45" i="124"/>
  <c r="U45" i="124"/>
  <c r="AG44" i="124"/>
  <c r="AF44" i="124"/>
  <c r="W44" i="124"/>
  <c r="V44" i="124"/>
  <c r="U44" i="124"/>
  <c r="AG43" i="124"/>
  <c r="AF43" i="124"/>
  <c r="W43" i="124"/>
  <c r="V43" i="124"/>
  <c r="U43" i="124"/>
  <c r="AG42" i="124"/>
  <c r="AF42" i="124"/>
  <c r="W42" i="124"/>
  <c r="V42" i="124"/>
  <c r="U42" i="124"/>
  <c r="AG41" i="124"/>
  <c r="AF41" i="124"/>
  <c r="W41" i="124"/>
  <c r="V41" i="124"/>
  <c r="U41" i="124"/>
  <c r="AG40" i="124"/>
  <c r="AF40" i="124"/>
  <c r="W40" i="124"/>
  <c r="V40" i="124"/>
  <c r="U40" i="124"/>
  <c r="AG39" i="124"/>
  <c r="AF39" i="124"/>
  <c r="W39" i="124"/>
  <c r="W47" i="124" s="1"/>
  <c r="V39" i="124"/>
  <c r="U39" i="124"/>
  <c r="AH38" i="124"/>
  <c r="AG38" i="124"/>
  <c r="AF38" i="124"/>
  <c r="AD38" i="124"/>
  <c r="AC38" i="124"/>
  <c r="AB38" i="124"/>
  <c r="Z38" i="124"/>
  <c r="U38" i="124"/>
  <c r="T38" i="124"/>
  <c r="S38" i="124"/>
  <c r="AI642" i="124" s="1"/>
  <c r="R38" i="124"/>
  <c r="AJ38" i="124" s="1"/>
  <c r="AG37" i="124"/>
  <c r="AF37" i="124"/>
  <c r="W37" i="124"/>
  <c r="V37" i="124"/>
  <c r="U37" i="124"/>
  <c r="AG36" i="124"/>
  <c r="AF36" i="124"/>
  <c r="W36" i="124"/>
  <c r="V36" i="124"/>
  <c r="U36" i="124"/>
  <c r="AG35" i="124"/>
  <c r="AF35" i="124"/>
  <c r="W35" i="124"/>
  <c r="V35" i="124"/>
  <c r="U35" i="124"/>
  <c r="AG34" i="124"/>
  <c r="AF34" i="124"/>
  <c r="W34" i="124"/>
  <c r="V34" i="124"/>
  <c r="U34" i="124"/>
  <c r="AG33" i="124"/>
  <c r="AF33" i="124"/>
  <c r="W33" i="124"/>
  <c r="V33" i="124"/>
  <c r="U33" i="124"/>
  <c r="AG32" i="124"/>
  <c r="AF32" i="124"/>
  <c r="W32" i="124"/>
  <c r="V32" i="124"/>
  <c r="U32" i="124"/>
  <c r="AG31" i="124"/>
  <c r="AF31" i="124"/>
  <c r="W31" i="124"/>
  <c r="V31" i="124"/>
  <c r="U31" i="124"/>
  <c r="AG30" i="124"/>
  <c r="AF30" i="124"/>
  <c r="W30" i="124"/>
  <c r="W38" i="124" s="1"/>
  <c r="V30" i="124"/>
  <c r="U30" i="124"/>
  <c r="AH29" i="124"/>
  <c r="AD29" i="124"/>
  <c r="AE29" i="124" s="1"/>
  <c r="AC29" i="124"/>
  <c r="AB29" i="124"/>
  <c r="Z29" i="124"/>
  <c r="U29" i="124"/>
  <c r="T29" i="124"/>
  <c r="S29" i="124"/>
  <c r="AI631" i="124" s="1"/>
  <c r="R29" i="124"/>
  <c r="AJ29" i="124" s="1"/>
  <c r="AG28" i="124"/>
  <c r="AF28" i="124"/>
  <c r="W28" i="124"/>
  <c r="V28" i="124"/>
  <c r="U28" i="124"/>
  <c r="AG27" i="124"/>
  <c r="AF27" i="124"/>
  <c r="W27" i="124"/>
  <c r="V27" i="124"/>
  <c r="U27" i="124"/>
  <c r="AG26" i="124"/>
  <c r="AF26" i="124"/>
  <c r="W26" i="124"/>
  <c r="V26" i="124"/>
  <c r="U26" i="124"/>
  <c r="AG25" i="124"/>
  <c r="AF25" i="124"/>
  <c r="W25" i="124"/>
  <c r="V25" i="124"/>
  <c r="U25" i="124"/>
  <c r="AG24" i="124"/>
  <c r="AF24" i="124"/>
  <c r="W24" i="124"/>
  <c r="V24" i="124"/>
  <c r="U24" i="124"/>
  <c r="AG23" i="124"/>
  <c r="AF23" i="124"/>
  <c r="W23" i="124"/>
  <c r="V23" i="124"/>
  <c r="U23" i="124"/>
  <c r="AG22" i="124"/>
  <c r="AF22" i="124"/>
  <c r="W22" i="124"/>
  <c r="V22" i="124"/>
  <c r="U22" i="124"/>
  <c r="AG21" i="124"/>
  <c r="AF21" i="124"/>
  <c r="W21" i="124"/>
  <c r="W29" i="124" s="1"/>
  <c r="V21" i="124"/>
  <c r="U21" i="124"/>
  <c r="AU16" i="124"/>
  <c r="AD16" i="124"/>
  <c r="AA16" i="124"/>
  <c r="S19" i="126" s="1"/>
  <c r="V16" i="124"/>
  <c r="G16" i="124"/>
  <c r="AU15" i="124"/>
  <c r="G15" i="124"/>
  <c r="ET14" i="124"/>
  <c r="ES14" i="124"/>
  <c r="ER14" i="124"/>
  <c r="EQ14" i="124"/>
  <c r="EO14" i="124"/>
  <c r="EN14" i="124"/>
  <c r="EM14" i="124"/>
  <c r="EL14" i="124"/>
  <c r="EJ14" i="124"/>
  <c r="EI14" i="124"/>
  <c r="EH14" i="124"/>
  <c r="EG14" i="124"/>
  <c r="EE14" i="124"/>
  <c r="ED14" i="124"/>
  <c r="EC14" i="124"/>
  <c r="EB14" i="124"/>
  <c r="DY14" i="124"/>
  <c r="DV14" i="124"/>
  <c r="DU14" i="124"/>
  <c r="DS14" i="124"/>
  <c r="DT14" i="124" s="1"/>
  <c r="DQ14" i="124"/>
  <c r="DR14" i="124" s="1"/>
  <c r="DO14" i="124"/>
  <c r="DP14" i="124" s="1"/>
  <c r="DM14" i="124"/>
  <c r="DL14" i="124"/>
  <c r="DK14" i="124"/>
  <c r="DJ14" i="124"/>
  <c r="DI14" i="124"/>
  <c r="DH14" i="124"/>
  <c r="DG14" i="124"/>
  <c r="DF14" i="124"/>
  <c r="DE14" i="124"/>
  <c r="DD14" i="124"/>
  <c r="DC14" i="124"/>
  <c r="DB14" i="124"/>
  <c r="DA14" i="124"/>
  <c r="CZ14" i="124"/>
  <c r="CY14" i="124"/>
  <c r="CX14" i="124"/>
  <c r="CW14" i="124"/>
  <c r="CV14" i="124"/>
  <c r="CU14" i="124"/>
  <c r="CT14" i="124"/>
  <c r="CS14" i="124"/>
  <c r="CR14" i="124"/>
  <c r="CP14" i="124"/>
  <c r="CO14" i="124"/>
  <c r="CN14" i="124"/>
  <c r="CM14" i="124"/>
  <c r="CL14" i="124"/>
  <c r="CK14" i="124"/>
  <c r="CJ14" i="124"/>
  <c r="CI14" i="124"/>
  <c r="CD14" i="124"/>
  <c r="CH14" i="124" s="1"/>
  <c r="CC14" i="124"/>
  <c r="CG14" i="124" s="1"/>
  <c r="CB14" i="124"/>
  <c r="CF14" i="124" s="1"/>
  <c r="CA14" i="124"/>
  <c r="CE14" i="124" s="1"/>
  <c r="BZ14" i="124"/>
  <c r="AU14" i="124"/>
  <c r="G14" i="124"/>
  <c r="AU13" i="124"/>
  <c r="AD13" i="124"/>
  <c r="AA13" i="124"/>
  <c r="S16" i="126" s="1"/>
  <c r="V13" i="124"/>
  <c r="G13" i="124"/>
  <c r="AU12" i="124"/>
  <c r="G12" i="124"/>
  <c r="ET11" i="124"/>
  <c r="ES11" i="124"/>
  <c r="ER11" i="124"/>
  <c r="EQ11" i="124"/>
  <c r="EO11" i="124"/>
  <c r="EN11" i="124"/>
  <c r="EM11" i="124"/>
  <c r="EL11" i="124"/>
  <c r="EJ11" i="124"/>
  <c r="EI11" i="124"/>
  <c r="EH11" i="124"/>
  <c r="EG11" i="124"/>
  <c r="EE11" i="124"/>
  <c r="ED11" i="124"/>
  <c r="EC11" i="124"/>
  <c r="EB11" i="124"/>
  <c r="DY11" i="124"/>
  <c r="DV11" i="124"/>
  <c r="DU11" i="124"/>
  <c r="DS11" i="124"/>
  <c r="DT11" i="124" s="1"/>
  <c r="DQ11" i="124"/>
  <c r="DR11" i="124" s="1"/>
  <c r="DO11" i="124"/>
  <c r="DP11" i="124" s="1"/>
  <c r="DM11" i="124"/>
  <c r="DL11" i="124"/>
  <c r="DK11" i="124"/>
  <c r="DJ11" i="124"/>
  <c r="DI11" i="124"/>
  <c r="DH11" i="124"/>
  <c r="DG11" i="124"/>
  <c r="DF11" i="124"/>
  <c r="DE11" i="124"/>
  <c r="DD11" i="124"/>
  <c r="DC11" i="124"/>
  <c r="DB11" i="124"/>
  <c r="DA11" i="124"/>
  <c r="CZ11" i="124"/>
  <c r="CY11" i="124"/>
  <c r="CX11" i="124"/>
  <c r="CW11" i="124"/>
  <c r="CV11" i="124"/>
  <c r="CU11" i="124"/>
  <c r="CT11" i="124"/>
  <c r="CS11" i="124"/>
  <c r="CR11" i="124"/>
  <c r="CP11" i="124"/>
  <c r="CO11" i="124"/>
  <c r="CN11" i="124"/>
  <c r="CM11" i="124"/>
  <c r="CL11" i="124"/>
  <c r="CK11" i="124"/>
  <c r="CJ11" i="124"/>
  <c r="CI11" i="124"/>
  <c r="CD11" i="124"/>
  <c r="CH11" i="124" s="1"/>
  <c r="CC11" i="124"/>
  <c r="CG11" i="124" s="1"/>
  <c r="CB11" i="124"/>
  <c r="CF11" i="124" s="1"/>
  <c r="CA11" i="124"/>
  <c r="CE11" i="124" s="1"/>
  <c r="BZ11" i="124"/>
  <c r="AU11" i="124"/>
  <c r="G11" i="124"/>
  <c r="AD10" i="124"/>
  <c r="V10" i="124"/>
  <c r="G10" i="124"/>
  <c r="G9" i="124"/>
  <c r="ES8" i="124"/>
  <c r="ER8" i="124"/>
  <c r="EQ8" i="124"/>
  <c r="EN8" i="124"/>
  <c r="EM8" i="124"/>
  <c r="EL8" i="124"/>
  <c r="EI8" i="124"/>
  <c r="EH8" i="124"/>
  <c r="EG8" i="124"/>
  <c r="ED8" i="124"/>
  <c r="EC8" i="124"/>
  <c r="EB8" i="124"/>
  <c r="DY8" i="124"/>
  <c r="DU8" i="124"/>
  <c r="DS8" i="124"/>
  <c r="DT8" i="124" s="1"/>
  <c r="DQ8" i="124"/>
  <c r="DR8" i="124" s="1"/>
  <c r="DO8" i="124"/>
  <c r="DP8" i="124" s="1"/>
  <c r="DL8" i="124"/>
  <c r="DK8" i="124"/>
  <c r="DJ8" i="124"/>
  <c r="DG8" i="124"/>
  <c r="DF8" i="124"/>
  <c r="DE8" i="124"/>
  <c r="DB8" i="124"/>
  <c r="DA8" i="124"/>
  <c r="CZ8" i="124"/>
  <c r="CX8" i="124"/>
  <c r="CW8" i="124"/>
  <c r="CV8" i="124"/>
  <c r="CT8" i="124"/>
  <c r="CS8" i="124"/>
  <c r="CR8" i="124"/>
  <c r="CO8" i="124"/>
  <c r="CN8" i="124"/>
  <c r="CM8" i="124"/>
  <c r="CK8" i="124"/>
  <c r="CJ8" i="124"/>
  <c r="CI8" i="124"/>
  <c r="CC8" i="124"/>
  <c r="CG8" i="124" s="1"/>
  <c r="CB8" i="124"/>
  <c r="CF8" i="124" s="1"/>
  <c r="CA8" i="124"/>
  <c r="CE8" i="124" s="1"/>
  <c r="BZ8" i="124"/>
  <c r="CP8" i="124" s="1"/>
  <c r="AG7" i="124"/>
  <c r="W10" i="126" s="1"/>
  <c r="AE7" i="124"/>
  <c r="V10" i="126" s="1"/>
  <c r="AC6" i="124"/>
  <c r="AB6" i="124"/>
  <c r="Y6" i="124"/>
  <c r="W6" i="124"/>
  <c r="F5" i="124"/>
  <c r="AQ1" i="124"/>
  <c r="AD1" i="124"/>
  <c r="AG46" i="1"/>
  <c r="AF46" i="1"/>
  <c r="W46" i="1"/>
  <c r="V46" i="1"/>
  <c r="U46" i="1"/>
  <c r="AG45" i="1"/>
  <c r="AF45" i="1"/>
  <c r="W45" i="1"/>
  <c r="V45" i="1"/>
  <c r="U45" i="1"/>
  <c r="AG44" i="1"/>
  <c r="AF44" i="1"/>
  <c r="W44" i="1"/>
  <c r="V44" i="1"/>
  <c r="U44" i="1"/>
  <c r="AG43" i="1"/>
  <c r="AF43" i="1"/>
  <c r="W43" i="1"/>
  <c r="V43" i="1"/>
  <c r="U43" i="1"/>
  <c r="AG42" i="1"/>
  <c r="AF42" i="1"/>
  <c r="W42" i="1"/>
  <c r="V42" i="1"/>
  <c r="U42" i="1"/>
  <c r="AG41" i="1"/>
  <c r="AF41" i="1"/>
  <c r="W41" i="1"/>
  <c r="V41" i="1"/>
  <c r="U41" i="1"/>
  <c r="AG40" i="1"/>
  <c r="AF40" i="1"/>
  <c r="W40" i="1"/>
  <c r="V40" i="1"/>
  <c r="U40" i="1"/>
  <c r="AG39" i="1"/>
  <c r="AF39" i="1"/>
  <c r="W39" i="1"/>
  <c r="V39" i="1"/>
  <c r="U39" i="1"/>
  <c r="AG37" i="1"/>
  <c r="AF37" i="1"/>
  <c r="W37" i="1"/>
  <c r="V37" i="1"/>
  <c r="U37" i="1"/>
  <c r="AG36" i="1"/>
  <c r="AF36" i="1"/>
  <c r="W36" i="1"/>
  <c r="V36" i="1"/>
  <c r="U36" i="1"/>
  <c r="AG35" i="1"/>
  <c r="AF35" i="1"/>
  <c r="W35" i="1"/>
  <c r="V35" i="1"/>
  <c r="U35" i="1"/>
  <c r="AG34" i="1"/>
  <c r="AF34" i="1"/>
  <c r="W34" i="1"/>
  <c r="V34" i="1"/>
  <c r="U34" i="1"/>
  <c r="AG33" i="1"/>
  <c r="AF33" i="1"/>
  <c r="W33" i="1"/>
  <c r="V33" i="1"/>
  <c r="U33" i="1"/>
  <c r="AG32" i="1"/>
  <c r="AF32" i="1"/>
  <c r="W32" i="1"/>
  <c r="V32" i="1"/>
  <c r="U32" i="1"/>
  <c r="AG31" i="1"/>
  <c r="AF31" i="1"/>
  <c r="W31" i="1"/>
  <c r="V31" i="1"/>
  <c r="U31" i="1"/>
  <c r="AG30" i="1"/>
  <c r="AF30" i="1"/>
  <c r="W30" i="1"/>
  <c r="V30" i="1"/>
  <c r="U30" i="1"/>
  <c r="G14" i="1"/>
  <c r="G11" i="1"/>
  <c r="BD213" i="1"/>
  <c r="AH14" i="101"/>
  <c r="DD11" i="1"/>
  <c r="E4" i="122"/>
  <c r="D3" i="123" s="1"/>
  <c r="B4" i="122"/>
  <c r="A3" i="123" s="1"/>
  <c r="B5" i="123"/>
  <c r="E5" i="123"/>
  <c r="F5" i="123"/>
  <c r="G5" i="123"/>
  <c r="B3" i="123"/>
  <c r="C3" i="123"/>
  <c r="E3" i="123"/>
  <c r="G3" i="123"/>
  <c r="H3" i="123"/>
  <c r="I3" i="123"/>
  <c r="EV49" i="125"/>
  <c r="EK49" i="125"/>
  <c r="EK86" i="125"/>
  <c r="EV86" i="125"/>
  <c r="AL45" i="100" l="1"/>
  <c r="B47" i="102"/>
  <c r="AL44" i="100"/>
  <c r="B46" i="102"/>
  <c r="C71" i="102"/>
  <c r="E69" i="100" a="1"/>
  <c r="E69" i="100" s="1"/>
  <c r="C70" i="102"/>
  <c r="E68" i="100" a="1"/>
  <c r="E68" i="100" s="1"/>
  <c r="C68" i="102"/>
  <c r="E66" i="100" a="1"/>
  <c r="E66" i="100" s="1"/>
  <c r="C48" i="102"/>
  <c r="E46" i="100" a="1"/>
  <c r="E46" i="100" s="1"/>
  <c r="C54" i="102"/>
  <c r="E52" i="100" a="1"/>
  <c r="E52" i="100" s="1"/>
  <c r="C72" i="102"/>
  <c r="E70" i="100" a="1"/>
  <c r="E70" i="100" s="1"/>
  <c r="C65" i="102"/>
  <c r="E63" i="100" a="1"/>
  <c r="E63" i="100" s="1"/>
  <c r="C64" i="102"/>
  <c r="E62" i="100" a="1"/>
  <c r="E62" i="100" s="1"/>
  <c r="A61" i="100"/>
  <c r="A63" i="102" s="1"/>
  <c r="E61" i="100" a="1"/>
  <c r="E61" i="100" s="1"/>
  <c r="C73" i="102"/>
  <c r="E71" i="100" a="1"/>
  <c r="E71" i="100" s="1"/>
  <c r="C47" i="102"/>
  <c r="E45" i="100" a="1"/>
  <c r="E45" i="100" s="1"/>
  <c r="C66" i="102"/>
  <c r="E64" i="100" a="1"/>
  <c r="E64" i="100" s="1"/>
  <c r="A60" i="100"/>
  <c r="A62" i="102" s="1"/>
  <c r="E60" i="100" a="1"/>
  <c r="E60" i="100" s="1"/>
  <c r="A59" i="100"/>
  <c r="A61" i="102" s="1"/>
  <c r="E59" i="100" a="1"/>
  <c r="E59" i="100" s="1"/>
  <c r="C60" i="102"/>
  <c r="E58" i="100" a="1"/>
  <c r="E58" i="100" s="1"/>
  <c r="C67" i="102"/>
  <c r="E65" i="100" a="1"/>
  <c r="E65" i="100" s="1"/>
  <c r="C59" i="102"/>
  <c r="E57" i="100" a="1"/>
  <c r="E57" i="100" s="1"/>
  <c r="C78" i="102"/>
  <c r="E76" i="100" a="1"/>
  <c r="E76" i="100" s="1"/>
  <c r="C58" i="102"/>
  <c r="E56" i="100" a="1"/>
  <c r="E56" i="100" s="1"/>
  <c r="A55" i="100"/>
  <c r="A57" i="102" s="1"/>
  <c r="E55" i="100" a="1"/>
  <c r="E55" i="100" s="1"/>
  <c r="C74" i="102"/>
  <c r="E72" i="100" a="1"/>
  <c r="E72" i="100" s="1"/>
  <c r="C46" i="102"/>
  <c r="E44" i="100" a="1"/>
  <c r="E44" i="100" s="1"/>
  <c r="C79" i="102"/>
  <c r="E77" i="100" a="1"/>
  <c r="E77" i="100" s="1"/>
  <c r="C77" i="102"/>
  <c r="E75" i="100" a="1"/>
  <c r="E75" i="100" s="1"/>
  <c r="C76" i="102"/>
  <c r="E74" i="100" a="1"/>
  <c r="E74" i="100" s="1"/>
  <c r="C56" i="102"/>
  <c r="E54" i="100" a="1"/>
  <c r="E54" i="100" s="1"/>
  <c r="C69" i="102"/>
  <c r="E67" i="100" a="1"/>
  <c r="E67" i="100" s="1"/>
  <c r="C75" i="102"/>
  <c r="E73" i="100" a="1"/>
  <c r="E73" i="100" s="1"/>
  <c r="C55" i="102"/>
  <c r="E53" i="100" a="1"/>
  <c r="E53" i="100" s="1"/>
  <c r="A46" i="100"/>
  <c r="A48" i="102" s="1"/>
  <c r="B25" i="125"/>
  <c r="N85" i="125"/>
  <c r="CU8" i="124"/>
  <c r="DM8" i="124"/>
  <c r="ET8" i="124"/>
  <c r="CY8" i="124"/>
  <c r="CD8" i="124"/>
  <c r="CH8" i="124" s="1"/>
  <c r="DC8" i="124"/>
  <c r="DD8" i="124" s="1"/>
  <c r="EE8" i="124"/>
  <c r="CL8" i="124"/>
  <c r="EJ8" i="124"/>
  <c r="DH8" i="124"/>
  <c r="DI8" i="124" s="1"/>
  <c r="EO8" i="124"/>
  <c r="AD593" i="124"/>
  <c r="AU593" i="124"/>
  <c r="A51" i="100"/>
  <c r="A53" i="102" s="1"/>
  <c r="A50" i="100"/>
  <c r="A52" i="102" s="1"/>
  <c r="A49" i="100"/>
  <c r="A51" i="102" s="1"/>
  <c r="A48" i="100"/>
  <c r="A50" i="102" s="1"/>
  <c r="H6" i="126"/>
  <c r="A47" i="100"/>
  <c r="A49" i="102" s="1"/>
  <c r="V38" i="124"/>
  <c r="H5" i="126"/>
  <c r="V29" i="124"/>
  <c r="N3" i="126"/>
  <c r="AI39" i="124"/>
  <c r="W6" i="126"/>
  <c r="AL76" i="100"/>
  <c r="G607" i="124"/>
  <c r="AL75" i="100"/>
  <c r="AL70" i="100"/>
  <c r="AL56" i="100"/>
  <c r="AI42" i="124"/>
  <c r="AL55" i="100"/>
  <c r="AL50" i="100"/>
  <c r="F52" i="102"/>
  <c r="AL63" i="100"/>
  <c r="AL62" i="100"/>
  <c r="AL61" i="100"/>
  <c r="AL60" i="100"/>
  <c r="AL59" i="100"/>
  <c r="AL58" i="100"/>
  <c r="AL77" i="100"/>
  <c r="AL57" i="100"/>
  <c r="AB6" i="126"/>
  <c r="AL74" i="100"/>
  <c r="AL54" i="100"/>
  <c r="AL73" i="100"/>
  <c r="AL53" i="100"/>
  <c r="AL72" i="100"/>
  <c r="AL52" i="100"/>
  <c r="AL71" i="100"/>
  <c r="AL51" i="100"/>
  <c r="AL69" i="100"/>
  <c r="AL49" i="100"/>
  <c r="AL68" i="100"/>
  <c r="AL48" i="100"/>
  <c r="G591" i="124"/>
  <c r="AL67" i="100"/>
  <c r="AL47" i="100"/>
  <c r="AL66" i="100"/>
  <c r="AL46" i="100"/>
  <c r="AL65" i="100"/>
  <c r="AL64" i="100"/>
  <c r="X66" i="100"/>
  <c r="AJ62" i="100"/>
  <c r="R45" i="100"/>
  <c r="AJ59" i="100"/>
  <c r="AF59" i="100"/>
  <c r="AH59" i="100"/>
  <c r="AA61" i="102" s="1"/>
  <c r="Z61" i="102"/>
  <c r="Y61" i="102"/>
  <c r="R46" i="102"/>
  <c r="T46" i="102"/>
  <c r="S46" i="102"/>
  <c r="Q46" i="102"/>
  <c r="H70" i="102"/>
  <c r="F70" i="102"/>
  <c r="C63" i="102"/>
  <c r="H78" i="102"/>
  <c r="DV8" i="124"/>
  <c r="B43" i="100" a="1"/>
  <c r="B43" i="100" s="1"/>
  <c r="B45" i="102" s="1"/>
  <c r="G8" i="124"/>
  <c r="F64" i="102"/>
  <c r="H64" i="102"/>
  <c r="F57" i="102"/>
  <c r="H57" i="102"/>
  <c r="H67" i="102"/>
  <c r="F67" i="102"/>
  <c r="AI33" i="124"/>
  <c r="H76" i="102"/>
  <c r="AI27" i="124"/>
  <c r="H66" i="102"/>
  <c r="H79" i="102"/>
  <c r="C61" i="102"/>
  <c r="H63" i="102"/>
  <c r="AI24" i="124"/>
  <c r="F54" i="102"/>
  <c r="AI36" i="124"/>
  <c r="F55" i="102"/>
  <c r="H55" i="102"/>
  <c r="F53" i="102"/>
  <c r="H53" i="102"/>
  <c r="F51" i="102"/>
  <c r="H51" i="102"/>
  <c r="F65" i="102"/>
  <c r="H65" i="102"/>
  <c r="F77" i="102"/>
  <c r="H77" i="102"/>
  <c r="H50" i="102"/>
  <c r="F50" i="102"/>
  <c r="F73" i="102"/>
  <c r="H61" i="102"/>
  <c r="C49" i="102"/>
  <c r="H75" i="102"/>
  <c r="H60" i="102"/>
  <c r="C53" i="102"/>
  <c r="C52" i="102"/>
  <c r="H58" i="102"/>
  <c r="H72" i="102"/>
  <c r="H71" i="102"/>
  <c r="F74" i="102"/>
  <c r="H62" i="102"/>
  <c r="H59" i="102"/>
  <c r="C51" i="102"/>
  <c r="C50" i="102"/>
  <c r="H56" i="102"/>
  <c r="C57" i="102"/>
  <c r="H69" i="102"/>
  <c r="H49" i="102"/>
  <c r="C62" i="102"/>
  <c r="H68" i="102"/>
  <c r="H48" i="102"/>
  <c r="R59" i="100"/>
  <c r="X69" i="100"/>
  <c r="P60" i="100"/>
  <c r="T62" i="100"/>
  <c r="V62" i="100"/>
  <c r="V59" i="100"/>
  <c r="AH62" i="100"/>
  <c r="AA64" i="102" s="1"/>
  <c r="T60" i="100"/>
  <c r="Z59" i="100"/>
  <c r="R58" i="100"/>
  <c r="X59" i="100"/>
  <c r="AB77" i="100"/>
  <c r="X72" i="100"/>
  <c r="X62" i="100"/>
  <c r="T59" i="100"/>
  <c r="R53" i="100"/>
  <c r="P76" i="100"/>
  <c r="T74" i="100"/>
  <c r="AF72" i="100"/>
  <c r="C4" i="127"/>
  <c r="G4" i="127"/>
  <c r="J10" i="125"/>
  <c r="E6" i="127"/>
  <c r="BT11" i="125"/>
  <c r="G6" i="127"/>
  <c r="BU11" i="125"/>
  <c r="AI35" i="124"/>
  <c r="G597" i="124"/>
  <c r="AI618" i="124"/>
  <c r="C15" i="127"/>
  <c r="E4" i="127"/>
  <c r="E5" i="127"/>
  <c r="G5" i="127"/>
  <c r="CD11" i="125"/>
  <c r="AI32" i="124"/>
  <c r="BR4" i="125"/>
  <c r="AI639" i="124"/>
  <c r="G599" i="124"/>
  <c r="BR81" i="125"/>
  <c r="AI45" i="124"/>
  <c r="R4" i="126"/>
  <c r="AJ591" i="124"/>
  <c r="AI624" i="124"/>
  <c r="AI637" i="124"/>
  <c r="Q5" i="126"/>
  <c r="AD48" i="124"/>
  <c r="W5" i="126"/>
  <c r="AI41" i="124"/>
  <c r="AI617" i="124"/>
  <c r="BS3" i="125"/>
  <c r="AH67" i="100"/>
  <c r="AA69" i="102" s="1"/>
  <c r="AB71" i="100"/>
  <c r="T68" i="100"/>
  <c r="AH53" i="100"/>
  <c r="AA55" i="102" s="1"/>
  <c r="R52" i="100"/>
  <c r="AD65" i="100"/>
  <c r="AD62" i="100"/>
  <c r="P61" i="100"/>
  <c r="P59" i="100"/>
  <c r="AF62" i="100"/>
  <c r="Z47" i="100"/>
  <c r="V54" i="100"/>
  <c r="P48" i="100"/>
  <c r="AJ55" i="100"/>
  <c r="AD48" i="100"/>
  <c r="R76" i="100"/>
  <c r="AH75" i="100"/>
  <c r="AA77" i="102" s="1"/>
  <c r="R69" i="100"/>
  <c r="AD69" i="100"/>
  <c r="AB69" i="100"/>
  <c r="R68" i="100"/>
  <c r="P68" i="100"/>
  <c r="AJ67" i="100"/>
  <c r="AH66" i="100"/>
  <c r="AA68" i="102" s="1"/>
  <c r="AF66" i="100"/>
  <c r="Z63" i="100"/>
  <c r="X65" i="100"/>
  <c r="X55" i="100"/>
  <c r="AD44" i="100"/>
  <c r="T65" i="100"/>
  <c r="AD66" i="100"/>
  <c r="R62" i="100"/>
  <c r="Z66" i="100"/>
  <c r="AJ64" i="100"/>
  <c r="V63" i="100"/>
  <c r="P62" i="100"/>
  <c r="T63" i="100"/>
  <c r="AJ61" i="100"/>
  <c r="P49" i="100"/>
  <c r="T66" i="100"/>
  <c r="AD45" i="100"/>
  <c r="AD56" i="100"/>
  <c r="T52" i="100"/>
  <c r="V45" i="100"/>
  <c r="Z75" i="100"/>
  <c r="T64" i="100"/>
  <c r="Z73" i="100"/>
  <c r="AB65" i="100"/>
  <c r="AB62" i="100"/>
  <c r="AJ65" i="100"/>
  <c r="P72" i="100"/>
  <c r="R64" i="100"/>
  <c r="AF70" i="100"/>
  <c r="AJ69" i="100"/>
  <c r="X73" i="100"/>
  <c r="Z68" i="100"/>
  <c r="Z65" i="100"/>
  <c r="AB59" i="100"/>
  <c r="R46" i="100"/>
  <c r="AD49" i="100"/>
  <c r="AB48" i="100"/>
  <c r="Z48" i="100"/>
  <c r="AJ49" i="100"/>
  <c r="R48" i="100"/>
  <c r="Z46" i="100"/>
  <c r="P52" i="100"/>
  <c r="V47" i="100"/>
  <c r="AF53" i="100"/>
  <c r="Z51" i="100"/>
  <c r="Z53" i="100"/>
  <c r="T50" i="100"/>
  <c r="AB45" i="100"/>
  <c r="AH46" i="100"/>
  <c r="AA48" i="102" s="1"/>
  <c r="AF46" i="100"/>
  <c r="X45" i="100"/>
  <c r="AD46" i="100"/>
  <c r="R51" i="100"/>
  <c r="AB49" i="100"/>
  <c r="P51" i="100"/>
  <c r="AB46" i="100"/>
  <c r="X49" i="100"/>
  <c r="AJ47" i="100"/>
  <c r="P45" i="100"/>
  <c r="AF57" i="100"/>
  <c r="V49" i="100"/>
  <c r="AF56" i="100"/>
  <c r="X52" i="100"/>
  <c r="AF47" i="100"/>
  <c r="V52" i="100"/>
  <c r="R49" i="100"/>
  <c r="P44" i="100"/>
  <c r="AB44" i="100"/>
  <c r="Z44" i="100"/>
  <c r="X44" i="100"/>
  <c r="V44" i="100"/>
  <c r="T44" i="100"/>
  <c r="X77" i="100"/>
  <c r="AJ76" i="100"/>
  <c r="R74" i="100"/>
  <c r="R73" i="100"/>
  <c r="AJ71" i="100"/>
  <c r="V71" i="100"/>
  <c r="Z70" i="100"/>
  <c r="P70" i="100"/>
  <c r="AD70" i="100"/>
  <c r="AJ68" i="100"/>
  <c r="AH68" i="100"/>
  <c r="AA70" i="102" s="1"/>
  <c r="AF67" i="100"/>
  <c r="X67" i="100"/>
  <c r="AB66" i="100"/>
  <c r="P65" i="100"/>
  <c r="P64" i="100"/>
  <c r="AF64" i="100"/>
  <c r="AB64" i="100"/>
  <c r="Z64" i="100"/>
  <c r="X64" i="100"/>
  <c r="V64" i="100"/>
  <c r="AH63" i="100"/>
  <c r="AA65" i="102" s="1"/>
  <c r="AF63" i="100"/>
  <c r="AB63" i="100"/>
  <c r="AD63" i="100"/>
  <c r="R63" i="100"/>
  <c r="P63" i="100"/>
  <c r="AB74" i="100"/>
  <c r="AF75" i="100"/>
  <c r="AD57" i="100"/>
  <c r="AJ54" i="100"/>
  <c r="V74" i="100"/>
  <c r="T73" i="100"/>
  <c r="AH71" i="100"/>
  <c r="AA73" i="102" s="1"/>
  <c r="AB57" i="100"/>
  <c r="V56" i="100"/>
  <c r="AJ51" i="100"/>
  <c r="R50" i="100"/>
  <c r="AD75" i="100"/>
  <c r="AF71" i="100"/>
  <c r="X70" i="100"/>
  <c r="T56" i="100"/>
  <c r="T53" i="100"/>
  <c r="AB50" i="100"/>
  <c r="X46" i="100"/>
  <c r="T45" i="100"/>
  <c r="V69" i="100"/>
  <c r="Z49" i="100"/>
  <c r="AB75" i="100"/>
  <c r="P69" i="100"/>
  <c r="R65" i="100"/>
  <c r="AJ58" i="100"/>
  <c r="AF54" i="100"/>
  <c r="Z50" i="100"/>
  <c r="AF68" i="100"/>
  <c r="AH76" i="100"/>
  <c r="AA78" i="102" s="1"/>
  <c r="P73" i="100"/>
  <c r="AD71" i="100"/>
  <c r="V66" i="100"/>
  <c r="AJ63" i="100"/>
  <c r="Z61" i="100"/>
  <c r="R56" i="100"/>
  <c r="P53" i="100"/>
  <c r="V46" i="100"/>
  <c r="R47" i="100"/>
  <c r="AF76" i="100"/>
  <c r="R70" i="100"/>
  <c r="AB67" i="100"/>
  <c r="P56" i="100"/>
  <c r="X47" i="100"/>
  <c r="AD76" i="100"/>
  <c r="AB51" i="100"/>
  <c r="T46" i="100"/>
  <c r="P55" i="100"/>
  <c r="X53" i="100"/>
  <c r="AJ75" i="100"/>
  <c r="T57" i="100"/>
  <c r="P66" i="100"/>
  <c r="AJ44" i="100"/>
  <c r="Z76" i="100"/>
  <c r="AJ73" i="100"/>
  <c r="AH64" i="100"/>
  <c r="AA66" i="102" s="1"/>
  <c r="AF55" i="100"/>
  <c r="AH77" i="100"/>
  <c r="AA79" i="102" s="1"/>
  <c r="X76" i="100"/>
  <c r="T75" i="100"/>
  <c r="AH69" i="100"/>
  <c r="AA71" i="102" s="1"/>
  <c r="Z62" i="100"/>
  <c r="AJ56" i="100"/>
  <c r="AD55" i="100"/>
  <c r="V51" i="100"/>
  <c r="P46" i="100"/>
  <c r="AH44" i="100"/>
  <c r="AA46" i="102" s="1"/>
  <c r="V76" i="100"/>
  <c r="T76" i="100"/>
  <c r="Z55" i="100"/>
  <c r="Z52" i="100"/>
  <c r="AH49" i="100"/>
  <c r="AA51" i="102" s="1"/>
  <c r="AJ46" i="100"/>
  <c r="AB56" i="100"/>
  <c r="AH57" i="100"/>
  <c r="AA59" i="102" s="1"/>
  <c r="V73" i="100"/>
  <c r="X56" i="100"/>
  <c r="AB76" i="100"/>
  <c r="X75" i="100"/>
  <c r="AJ72" i="100"/>
  <c r="R66" i="100"/>
  <c r="R44" i="100"/>
  <c r="AH72" i="100"/>
  <c r="AA74" i="102" s="1"/>
  <c r="AH55" i="100"/>
  <c r="AA57" i="102" s="1"/>
  <c r="AF77" i="100"/>
  <c r="R75" i="100"/>
  <c r="AH73" i="100"/>
  <c r="AA75" i="102" s="1"/>
  <c r="AF69" i="100"/>
  <c r="AH56" i="100"/>
  <c r="AA58" i="102" s="1"/>
  <c r="T51" i="100"/>
  <c r="AF44" i="100"/>
  <c r="R71" i="100"/>
  <c r="AH65" i="100"/>
  <c r="AA67" i="102" s="1"/>
  <c r="AJ45" i="100"/>
  <c r="AD77" i="100"/>
  <c r="P71" i="100"/>
  <c r="AJ66" i="100"/>
  <c r="AF65" i="100"/>
  <c r="X63" i="100"/>
  <c r="AJ53" i="100"/>
  <c r="AH45" i="100"/>
  <c r="AA47" i="102" s="1"/>
  <c r="AB60" i="100"/>
  <c r="R60" i="100"/>
  <c r="AD60" i="100"/>
  <c r="AF60" i="100"/>
  <c r="Z57" i="100"/>
  <c r="V57" i="100"/>
  <c r="Z77" i="100"/>
  <c r="AB58" i="100"/>
  <c r="AD54" i="100"/>
  <c r="AH50" i="100"/>
  <c r="AA52" i="102" s="1"/>
  <c r="Z54" i="100"/>
  <c r="V58" i="100"/>
  <c r="T72" i="100"/>
  <c r="Z72" i="100"/>
  <c r="AB72" i="100"/>
  <c r="AH52" i="100"/>
  <c r="AA54" i="102" s="1"/>
  <c r="AB52" i="100"/>
  <c r="AJ52" i="100"/>
  <c r="V77" i="100"/>
  <c r="X54" i="100"/>
  <c r="T71" i="100"/>
  <c r="X71" i="100"/>
  <c r="T58" i="100"/>
  <c r="AB61" i="100"/>
  <c r="AF61" i="100"/>
  <c r="AH61" i="100"/>
  <c r="AA63" i="102" s="1"/>
  <c r="V61" i="100"/>
  <c r="P74" i="100"/>
  <c r="AD74" i="100"/>
  <c r="R57" i="100"/>
  <c r="AB54" i="100"/>
  <c r="T70" i="100"/>
  <c r="V70" i="100"/>
  <c r="T77" i="100"/>
  <c r="V72" i="100"/>
  <c r="Z60" i="100"/>
  <c r="T54" i="100"/>
  <c r="AH54" i="100"/>
  <c r="AA56" i="102" s="1"/>
  <c r="P54" i="100"/>
  <c r="AJ60" i="100"/>
  <c r="AF48" i="100"/>
  <c r="T48" i="100"/>
  <c r="X48" i="100"/>
  <c r="R54" i="100"/>
  <c r="P67" i="100"/>
  <c r="R67" i="100"/>
  <c r="AD67" i="100"/>
  <c r="T67" i="100"/>
  <c r="AD52" i="100"/>
  <c r="X58" i="100"/>
  <c r="AH58" i="100"/>
  <c r="AA60" i="102" s="1"/>
  <c r="Z58" i="100"/>
  <c r="AJ74" i="100"/>
  <c r="AH74" i="100"/>
  <c r="AA76" i="102" s="1"/>
  <c r="AH60" i="100"/>
  <c r="AA62" i="102" s="1"/>
  <c r="P57" i="100"/>
  <c r="P77" i="100"/>
  <c r="X60" i="100"/>
  <c r="AF52" i="100"/>
  <c r="AJ48" i="100"/>
  <c r="Z74" i="100"/>
  <c r="AB68" i="100"/>
  <c r="AD61" i="100"/>
  <c r="X51" i="100"/>
  <c r="X74" i="100"/>
  <c r="R72" i="100"/>
  <c r="AJ70" i="100"/>
  <c r="V60" i="100"/>
  <c r="AH48" i="100"/>
  <c r="AA50" i="102" s="1"/>
  <c r="AB47" i="100"/>
  <c r="V75" i="100"/>
  <c r="P58" i="100"/>
  <c r="P50" i="100"/>
  <c r="AH47" i="100"/>
  <c r="AA49" i="102" s="1"/>
  <c r="AH70" i="100"/>
  <c r="AA72" i="102" s="1"/>
  <c r="R61" i="100"/>
  <c r="AJ57" i="100"/>
  <c r="AB55" i="100"/>
  <c r="V53" i="100"/>
  <c r="AD47" i="100"/>
  <c r="R77" i="100"/>
  <c r="AB70" i="100"/>
  <c r="Z69" i="100"/>
  <c r="X68" i="100"/>
  <c r="V67" i="100"/>
  <c r="AJ50" i="100"/>
  <c r="AF49" i="100"/>
  <c r="AF73" i="100"/>
  <c r="T55" i="100"/>
  <c r="AD72" i="100"/>
  <c r="AD58" i="100"/>
  <c r="AD50" i="100"/>
  <c r="AF74" i="100"/>
  <c r="Z71" i="100"/>
  <c r="T69" i="100"/>
  <c r="R55" i="100"/>
  <c r="T47" i="100"/>
  <c r="AD73" i="100"/>
  <c r="V48" i="100"/>
  <c r="AB73" i="100"/>
  <c r="AD51" i="100"/>
  <c r="AD53" i="100"/>
  <c r="X50" i="100"/>
  <c r="T49" i="100"/>
  <c r="P75" i="100"/>
  <c r="T61" i="100"/>
  <c r="AB53" i="100"/>
  <c r="V50" i="100"/>
  <c r="P47" i="100"/>
  <c r="AD68" i="100"/>
  <c r="X61" i="100"/>
  <c r="X57" i="100"/>
  <c r="V55" i="100"/>
  <c r="Z67" i="100"/>
  <c r="V65" i="100"/>
  <c r="AF50" i="100"/>
  <c r="AH51" i="100"/>
  <c r="AA53" i="102" s="1"/>
  <c r="AJ77" i="100"/>
  <c r="AD59" i="100"/>
  <c r="AF58" i="100"/>
  <c r="AF51" i="100"/>
  <c r="V68" i="100"/>
  <c r="AF45" i="100"/>
  <c r="Z45" i="100"/>
  <c r="Z56" i="100"/>
  <c r="A58" i="100"/>
  <c r="A60" i="102" s="1"/>
  <c r="A57" i="100"/>
  <c r="A59" i="102" s="1"/>
  <c r="A56" i="100"/>
  <c r="A58" i="102" s="1"/>
  <c r="A53" i="100"/>
  <c r="A55" i="102" s="1"/>
  <c r="A62" i="100"/>
  <c r="A64" i="102" s="1"/>
  <c r="A54" i="100"/>
  <c r="A56" i="102" s="1"/>
  <c r="A63" i="100"/>
  <c r="A65" i="102" s="1"/>
  <c r="A52" i="100"/>
  <c r="A54" i="102" s="1"/>
  <c r="K10" i="125"/>
  <c r="C138" i="125"/>
  <c r="BQ138" i="125" s="1"/>
  <c r="DO138" i="125" s="1"/>
  <c r="DM49" i="125"/>
  <c r="R86" i="125"/>
  <c r="DO86" i="125"/>
  <c r="AE2" i="126"/>
  <c r="AE4" i="126" s="1"/>
  <c r="P5" i="126"/>
  <c r="U19" i="126"/>
  <c r="T21" i="126"/>
  <c r="G593" i="124"/>
  <c r="R5" i="126"/>
  <c r="X6" i="126"/>
  <c r="T22" i="126"/>
  <c r="N4" i="126"/>
  <c r="S5" i="126"/>
  <c r="Y6" i="126"/>
  <c r="O4" i="126"/>
  <c r="T5" i="126"/>
  <c r="T4" i="126"/>
  <c r="Y5" i="126"/>
  <c r="Q9" i="126"/>
  <c r="U13" i="126"/>
  <c r="T14" i="126"/>
  <c r="R3" i="126"/>
  <c r="AA5" i="126"/>
  <c r="T9" i="126"/>
  <c r="T3" i="126"/>
  <c r="X4" i="126"/>
  <c r="T10" i="126"/>
  <c r="R2" i="126"/>
  <c r="AI636" i="124"/>
  <c r="R10" i="125"/>
  <c r="S2" i="126"/>
  <c r="AF2" i="126" s="1"/>
  <c r="AB4" i="126"/>
  <c r="T17" i="126"/>
  <c r="BS43" i="125"/>
  <c r="M84" i="125"/>
  <c r="T2" i="126"/>
  <c r="Y3" i="126"/>
  <c r="P6" i="126"/>
  <c r="K11" i="125"/>
  <c r="K48" i="125"/>
  <c r="O85" i="125"/>
  <c r="W2" i="126"/>
  <c r="AA3" i="126"/>
  <c r="Q6" i="126"/>
  <c r="C26" i="126"/>
  <c r="S4" i="126"/>
  <c r="S3" i="126"/>
  <c r="W4" i="126"/>
  <c r="Q10" i="126"/>
  <c r="D83" i="125"/>
  <c r="J11" i="125"/>
  <c r="AI628" i="124"/>
  <c r="AI640" i="124"/>
  <c r="L11" i="125"/>
  <c r="L48" i="125"/>
  <c r="R85" i="125"/>
  <c r="Y2" i="126"/>
  <c r="AB3" i="126"/>
  <c r="R6" i="126"/>
  <c r="Q8" i="126"/>
  <c r="V3" i="126"/>
  <c r="V2" i="126" s="1"/>
  <c r="Y4" i="126"/>
  <c r="W3" i="126"/>
  <c r="AA4" i="126"/>
  <c r="X3" i="126"/>
  <c r="N6" i="126"/>
  <c r="U16" i="126"/>
  <c r="AI632" i="124"/>
  <c r="M11" i="125"/>
  <c r="N48" i="125"/>
  <c r="AA2" i="126"/>
  <c r="S6" i="126"/>
  <c r="AI21" i="124"/>
  <c r="AI44" i="124"/>
  <c r="BS11" i="125"/>
  <c r="O48" i="125"/>
  <c r="DM86" i="125"/>
  <c r="AB2" i="126"/>
  <c r="T6" i="126"/>
  <c r="N11" i="125"/>
  <c r="M48" i="125"/>
  <c r="N84" i="125"/>
  <c r="Q48" i="125"/>
  <c r="BT85" i="125"/>
  <c r="AC48" i="124"/>
  <c r="Z48" i="124"/>
  <c r="AB48" i="124"/>
  <c r="C99" i="125"/>
  <c r="BA99" i="125" s="1"/>
  <c r="H120" i="125"/>
  <c r="G120" i="125" s="1"/>
  <c r="AM591" i="124"/>
  <c r="AO591" i="124"/>
  <c r="AQ591" i="124"/>
  <c r="C86" i="125"/>
  <c r="L86" i="125" s="1"/>
  <c r="C125" i="125"/>
  <c r="L125" i="125" s="1"/>
  <c r="K125" i="125" s="1"/>
  <c r="AI30" i="124"/>
  <c r="AI629" i="124"/>
  <c r="O11" i="125"/>
  <c r="BR44" i="125"/>
  <c r="B43" i="125"/>
  <c r="AI28" i="124"/>
  <c r="G595" i="124"/>
  <c r="AI621" i="124"/>
  <c r="AI641" i="124"/>
  <c r="G589" i="124"/>
  <c r="AI626" i="124"/>
  <c r="R49" i="125"/>
  <c r="O84" i="125"/>
  <c r="L84" i="125"/>
  <c r="R12" i="125"/>
  <c r="R84" i="125"/>
  <c r="EI86" i="125"/>
  <c r="DM12" i="125"/>
  <c r="ET86" i="125"/>
  <c r="N47" i="125"/>
  <c r="Q84" i="125"/>
  <c r="O47" i="125"/>
  <c r="P10" i="125"/>
  <c r="P47" i="125"/>
  <c r="W84" i="125"/>
  <c r="L10" i="125"/>
  <c r="M47" i="125"/>
  <c r="P84" i="125"/>
  <c r="M10" i="125"/>
  <c r="DO12" i="125"/>
  <c r="O10" i="125"/>
  <c r="Q10" i="125"/>
  <c r="W47" i="125"/>
  <c r="J44" i="125"/>
  <c r="W10" i="125"/>
  <c r="J48" i="125"/>
  <c r="Q85" i="125"/>
  <c r="C62" i="125"/>
  <c r="B119" i="125"/>
  <c r="N10" i="125"/>
  <c r="Q47" i="125"/>
  <c r="DO49" i="125"/>
  <c r="J84" i="125"/>
  <c r="BU85" i="125"/>
  <c r="C12" i="125"/>
  <c r="C25" i="125"/>
  <c r="I25" i="125" s="1"/>
  <c r="R47" i="125"/>
  <c r="K84" i="125"/>
  <c r="B3" i="125"/>
  <c r="R48" i="125"/>
  <c r="J85" i="125"/>
  <c r="D46" i="125"/>
  <c r="BT48" i="125"/>
  <c r="K85" i="125"/>
  <c r="B80" i="125"/>
  <c r="L85" i="125"/>
  <c r="Q11" i="125"/>
  <c r="BU48" i="125"/>
  <c r="X9" i="125"/>
  <c r="R11" i="125"/>
  <c r="K47" i="125"/>
  <c r="BS80" i="125"/>
  <c r="M85" i="125"/>
  <c r="D9" i="125"/>
  <c r="J47" i="125"/>
  <c r="AZ9" i="125"/>
  <c r="T11" i="125"/>
  <c r="L47" i="125"/>
  <c r="C49" i="125"/>
  <c r="EL49" i="125"/>
  <c r="EM49" i="125" s="1"/>
  <c r="EL86" i="125"/>
  <c r="EM86" i="125" s="1"/>
  <c r="EW49" i="125"/>
  <c r="EX49" i="125" s="1"/>
  <c r="EW86" i="125"/>
  <c r="EX86" i="125" s="1"/>
  <c r="CQ8" i="124"/>
  <c r="CQ14" i="124"/>
  <c r="CQ603" i="124"/>
  <c r="CQ11" i="124"/>
  <c r="CQ605" i="124"/>
  <c r="W48" i="124"/>
  <c r="AI630" i="124"/>
  <c r="Q593" i="124"/>
  <c r="AI34" i="124"/>
  <c r="AI46" i="124"/>
  <c r="AI638" i="124"/>
  <c r="AI31" i="124"/>
  <c r="AA591" i="124"/>
  <c r="AA593" i="124"/>
  <c r="AI633" i="124"/>
  <c r="J591" i="124"/>
  <c r="AI25" i="124"/>
  <c r="O593" i="124"/>
  <c r="AI622" i="124"/>
  <c r="Y591" i="124"/>
  <c r="AI627" i="124"/>
  <c r="AB591" i="124"/>
  <c r="AI623" i="124"/>
  <c r="AC591" i="124"/>
  <c r="AC593" i="124"/>
  <c r="AE38" i="124"/>
  <c r="AI37" i="124"/>
  <c r="P593" i="124"/>
  <c r="AI22" i="124"/>
  <c r="AI619" i="124"/>
  <c r="T593" i="124"/>
  <c r="AI26" i="124"/>
  <c r="AI43" i="124"/>
  <c r="AB593" i="124"/>
  <c r="AI635" i="124"/>
  <c r="AI23" i="124"/>
  <c r="AI40" i="124"/>
  <c r="AI620" i="124"/>
  <c r="Q14" i="101"/>
  <c r="G81" i="102"/>
  <c r="F81" i="102" s="1"/>
  <c r="AC14" i="101"/>
  <c r="D14" i="101"/>
  <c r="E158" i="100"/>
  <c r="W47" i="1"/>
  <c r="E14" i="104" s="1"/>
  <c r="W38" i="1"/>
  <c r="E13" i="104" s="1"/>
  <c r="S591" i="1"/>
  <c r="AH11" i="101"/>
  <c r="G8" i="1"/>
  <c r="H10" i="92"/>
  <c r="D10" i="92"/>
  <c r="F10" i="92"/>
  <c r="AI43" i="100"/>
  <c r="AG43" i="100"/>
  <c r="Z45" i="102" s="1"/>
  <c r="AE43" i="100"/>
  <c r="Y45" i="102" s="1"/>
  <c r="AC43" i="100"/>
  <c r="X45" i="102" s="1"/>
  <c r="AA43" i="100"/>
  <c r="W45" i="102" s="1"/>
  <c r="Y43" i="100"/>
  <c r="V45" i="102" s="1"/>
  <c r="W43" i="100"/>
  <c r="U45" i="102" s="1"/>
  <c r="U43" i="100"/>
  <c r="T45" i="102" s="1"/>
  <c r="S43" i="100"/>
  <c r="S45" i="102" s="1"/>
  <c r="Q43" i="100"/>
  <c r="R45" i="102" s="1"/>
  <c r="O43" i="100"/>
  <c r="Q45" i="102" s="1"/>
  <c r="N43" i="100"/>
  <c r="AI42" i="100"/>
  <c r="AG42" i="100"/>
  <c r="AE42" i="100"/>
  <c r="Y44" i="102" s="1"/>
  <c r="AC42" i="100"/>
  <c r="X44" i="102" s="1"/>
  <c r="AA42" i="100"/>
  <c r="W44" i="102" s="1"/>
  <c r="Y42" i="100"/>
  <c r="V44" i="102" s="1"/>
  <c r="W42" i="100"/>
  <c r="U44" i="102" s="1"/>
  <c r="U42" i="100"/>
  <c r="T44" i="102" s="1"/>
  <c r="S42" i="100"/>
  <c r="S44" i="102" s="1"/>
  <c r="Q42" i="100"/>
  <c r="R44" i="102" s="1"/>
  <c r="O42" i="100"/>
  <c r="Q44" i="102" s="1"/>
  <c r="N42" i="100"/>
  <c r="AI41" i="100"/>
  <c r="AG41" i="100"/>
  <c r="Z43" i="102" s="1"/>
  <c r="AE41" i="100"/>
  <c r="AC41" i="100"/>
  <c r="X43" i="102" s="1"/>
  <c r="AA41" i="100"/>
  <c r="W43" i="102" s="1"/>
  <c r="Y41" i="100"/>
  <c r="V43" i="102" s="1"/>
  <c r="W41" i="100"/>
  <c r="U43" i="102" s="1"/>
  <c r="U41" i="100"/>
  <c r="T43" i="102" s="1"/>
  <c r="S41" i="100"/>
  <c r="S43" i="102" s="1"/>
  <c r="Q41" i="100"/>
  <c r="R43" i="102" s="1"/>
  <c r="O41" i="100"/>
  <c r="Q43" i="102" s="1"/>
  <c r="N41" i="100"/>
  <c r="AI40" i="100"/>
  <c r="AG40" i="100"/>
  <c r="Z42" i="102" s="1"/>
  <c r="AE40" i="100"/>
  <c r="Y42" i="102" s="1"/>
  <c r="AC40" i="100"/>
  <c r="AA40" i="100"/>
  <c r="W42" i="102" s="1"/>
  <c r="Y40" i="100"/>
  <c r="V42" i="102" s="1"/>
  <c r="W40" i="100"/>
  <c r="U42" i="102" s="1"/>
  <c r="U40" i="100"/>
  <c r="S40" i="100"/>
  <c r="S42" i="102" s="1"/>
  <c r="Q40" i="100"/>
  <c r="R42" i="102" s="1"/>
  <c r="O40" i="100"/>
  <c r="Q42" i="102" s="1"/>
  <c r="N40" i="100"/>
  <c r="AI39" i="100"/>
  <c r="AG39" i="100"/>
  <c r="Z41" i="102" s="1"/>
  <c r="AE39" i="100"/>
  <c r="Y41" i="102" s="1"/>
  <c r="AC39" i="100"/>
  <c r="X41" i="102" s="1"/>
  <c r="AA39" i="100"/>
  <c r="W41" i="102" s="1"/>
  <c r="Y39" i="100"/>
  <c r="V41" i="102" s="1"/>
  <c r="W39" i="100"/>
  <c r="U39" i="100"/>
  <c r="T41" i="102" s="1"/>
  <c r="S39" i="100"/>
  <c r="S41" i="102" s="1"/>
  <c r="Q39" i="100"/>
  <c r="R41" i="102" s="1"/>
  <c r="O39" i="100"/>
  <c r="Q41" i="102" s="1"/>
  <c r="N39" i="100"/>
  <c r="AI38" i="100"/>
  <c r="AG38" i="100"/>
  <c r="Z40" i="102" s="1"/>
  <c r="AE38" i="100"/>
  <c r="Y40" i="102" s="1"/>
  <c r="AC38" i="100"/>
  <c r="X40" i="102" s="1"/>
  <c r="AA38" i="100"/>
  <c r="W40" i="102" s="1"/>
  <c r="Y38" i="100"/>
  <c r="V40" i="102" s="1"/>
  <c r="W38" i="100"/>
  <c r="U40" i="102" s="1"/>
  <c r="U38" i="100"/>
  <c r="T40" i="102" s="1"/>
  <c r="S38" i="100"/>
  <c r="S40" i="102" s="1"/>
  <c r="Q38" i="100"/>
  <c r="R40" i="102" s="1"/>
  <c r="O38" i="100"/>
  <c r="Q40" i="102" s="1"/>
  <c r="N38" i="100"/>
  <c r="AI37" i="100"/>
  <c r="AG37" i="100"/>
  <c r="Z39" i="102" s="1"/>
  <c r="AE37" i="100"/>
  <c r="Y39" i="102" s="1"/>
  <c r="AC37" i="100"/>
  <c r="X39" i="102" s="1"/>
  <c r="AA37" i="100"/>
  <c r="W39" i="102" s="1"/>
  <c r="Y37" i="100"/>
  <c r="V39" i="102" s="1"/>
  <c r="W37" i="100"/>
  <c r="U39" i="102" s="1"/>
  <c r="U37" i="100"/>
  <c r="T39" i="102" s="1"/>
  <c r="S37" i="100"/>
  <c r="S39" i="102" s="1"/>
  <c r="Q37" i="100"/>
  <c r="R39" i="102" s="1"/>
  <c r="O37" i="100"/>
  <c r="Q39" i="102" s="1"/>
  <c r="N37" i="100"/>
  <c r="AI36" i="100"/>
  <c r="AG36" i="100"/>
  <c r="Z38" i="102" s="1"/>
  <c r="AE36" i="100"/>
  <c r="AC36" i="100"/>
  <c r="X38" i="102" s="1"/>
  <c r="AA36" i="100"/>
  <c r="W38" i="102" s="1"/>
  <c r="Y36" i="100"/>
  <c r="V38" i="102" s="1"/>
  <c r="W36" i="100"/>
  <c r="U38" i="102" s="1"/>
  <c r="U36" i="100"/>
  <c r="T38" i="102" s="1"/>
  <c r="S36" i="100"/>
  <c r="S38" i="102" s="1"/>
  <c r="Q36" i="100"/>
  <c r="O36" i="100"/>
  <c r="Q38" i="102" s="1"/>
  <c r="N36" i="100"/>
  <c r="AI35" i="100"/>
  <c r="AG35" i="100"/>
  <c r="Z37" i="102" s="1"/>
  <c r="AE35" i="100"/>
  <c r="Y37" i="102" s="1"/>
  <c r="AC35" i="100"/>
  <c r="X37" i="102" s="1"/>
  <c r="AA35" i="100"/>
  <c r="W37" i="102" s="1"/>
  <c r="Y35" i="100"/>
  <c r="V37" i="102" s="1"/>
  <c r="W35" i="100"/>
  <c r="U37" i="102" s="1"/>
  <c r="U35" i="100"/>
  <c r="T37" i="102" s="1"/>
  <c r="S35" i="100"/>
  <c r="Q35" i="100"/>
  <c r="R37" i="102" s="1"/>
  <c r="O35" i="100"/>
  <c r="Q37" i="102" s="1"/>
  <c r="N35" i="100"/>
  <c r="AI34" i="100"/>
  <c r="AG34" i="100"/>
  <c r="Z36" i="102" s="1"/>
  <c r="AE34" i="100"/>
  <c r="Y36" i="102" s="1"/>
  <c r="AC34" i="100"/>
  <c r="X36" i="102" s="1"/>
  <c r="AA34" i="100"/>
  <c r="W36" i="102" s="1"/>
  <c r="Y34" i="100"/>
  <c r="V36" i="102" s="1"/>
  <c r="W34" i="100"/>
  <c r="U36" i="102" s="1"/>
  <c r="U34" i="100"/>
  <c r="T36" i="102" s="1"/>
  <c r="S34" i="100"/>
  <c r="S36" i="102" s="1"/>
  <c r="Q34" i="100"/>
  <c r="O34" i="100"/>
  <c r="Q36" i="102" s="1"/>
  <c r="N34" i="100"/>
  <c r="AI33" i="100"/>
  <c r="AG33" i="100"/>
  <c r="Z35" i="102" s="1"/>
  <c r="AE33" i="100"/>
  <c r="Y35" i="102" s="1"/>
  <c r="AC33" i="100"/>
  <c r="X35" i="102" s="1"/>
  <c r="AA33" i="100"/>
  <c r="W35" i="102" s="1"/>
  <c r="Y33" i="100"/>
  <c r="V35" i="102" s="1"/>
  <c r="W33" i="100"/>
  <c r="U35" i="102" s="1"/>
  <c r="U33" i="100"/>
  <c r="T35" i="102" s="1"/>
  <c r="S33" i="100"/>
  <c r="S35" i="102" s="1"/>
  <c r="Q33" i="100"/>
  <c r="R35" i="102" s="1"/>
  <c r="O33" i="100"/>
  <c r="Q35" i="102" s="1"/>
  <c r="N33" i="100"/>
  <c r="AI32" i="100"/>
  <c r="AG32" i="100"/>
  <c r="AE32" i="100"/>
  <c r="Y34" i="102" s="1"/>
  <c r="AC32" i="100"/>
  <c r="X34" i="102" s="1"/>
  <c r="AA32" i="100"/>
  <c r="W34" i="102" s="1"/>
  <c r="Y32" i="100"/>
  <c r="V34" i="102" s="1"/>
  <c r="W32" i="100"/>
  <c r="U32" i="100"/>
  <c r="T34" i="102" s="1"/>
  <c r="S32" i="100"/>
  <c r="S34" i="102" s="1"/>
  <c r="Q32" i="100"/>
  <c r="R34" i="102" s="1"/>
  <c r="O32" i="100"/>
  <c r="Q34" i="102" s="1"/>
  <c r="N32" i="100"/>
  <c r="AI31" i="100"/>
  <c r="AG31" i="100"/>
  <c r="Z33" i="102" s="1"/>
  <c r="AE31" i="100"/>
  <c r="Y33" i="102" s="1"/>
  <c r="AC31" i="100"/>
  <c r="X33" i="102" s="1"/>
  <c r="AA31" i="100"/>
  <c r="Y31" i="100"/>
  <c r="V33" i="102" s="1"/>
  <c r="W31" i="100"/>
  <c r="U33" i="102" s="1"/>
  <c r="U31" i="100"/>
  <c r="T33" i="102" s="1"/>
  <c r="S31" i="100"/>
  <c r="S33" i="102" s="1"/>
  <c r="Q31" i="100"/>
  <c r="R33" i="102" s="1"/>
  <c r="O31" i="100"/>
  <c r="Q33" i="102" s="1"/>
  <c r="N31" i="100"/>
  <c r="AI30" i="100"/>
  <c r="AG30" i="100"/>
  <c r="Z32" i="102" s="1"/>
  <c r="AE30" i="100"/>
  <c r="Y32" i="102" s="1"/>
  <c r="AC30" i="100"/>
  <c r="X32" i="102" s="1"/>
  <c r="AA30" i="100"/>
  <c r="W32" i="102" s="1"/>
  <c r="Y30" i="100"/>
  <c r="V32" i="102" s="1"/>
  <c r="W30" i="100"/>
  <c r="U32" i="102" s="1"/>
  <c r="U30" i="100"/>
  <c r="T32" i="102" s="1"/>
  <c r="S30" i="100"/>
  <c r="S32" i="102" s="1"/>
  <c r="Q30" i="100"/>
  <c r="R32" i="102" s="1"/>
  <c r="O30" i="100"/>
  <c r="Q32" i="102" s="1"/>
  <c r="N30" i="100"/>
  <c r="AI29" i="100"/>
  <c r="AG29" i="100"/>
  <c r="Z31" i="102" s="1"/>
  <c r="AE29" i="100"/>
  <c r="Y31" i="102" s="1"/>
  <c r="AC29" i="100"/>
  <c r="X31" i="102" s="1"/>
  <c r="AA29" i="100"/>
  <c r="W31" i="102" s="1"/>
  <c r="Y29" i="100"/>
  <c r="V31" i="102" s="1"/>
  <c r="W29" i="100"/>
  <c r="U31" i="102" s="1"/>
  <c r="U29" i="100"/>
  <c r="T31" i="102" s="1"/>
  <c r="S29" i="100"/>
  <c r="S31" i="102" s="1"/>
  <c r="Q29" i="100"/>
  <c r="O29" i="100"/>
  <c r="Q31" i="102" s="1"/>
  <c r="N29" i="100"/>
  <c r="AI28" i="100"/>
  <c r="AG28" i="100"/>
  <c r="Z30" i="102" s="1"/>
  <c r="AE28" i="100"/>
  <c r="Y30" i="102" s="1"/>
  <c r="AC28" i="100"/>
  <c r="X30" i="102" s="1"/>
  <c r="AA28" i="100"/>
  <c r="W30" i="102" s="1"/>
  <c r="Y28" i="100"/>
  <c r="V30" i="102" s="1"/>
  <c r="W28" i="100"/>
  <c r="U30" i="102" s="1"/>
  <c r="U28" i="100"/>
  <c r="T30" i="102" s="1"/>
  <c r="S28" i="100"/>
  <c r="S30" i="102" s="1"/>
  <c r="Q28" i="100"/>
  <c r="R30" i="102" s="1"/>
  <c r="O28" i="100"/>
  <c r="Q30" i="102" s="1"/>
  <c r="N28" i="100"/>
  <c r="AI27" i="100"/>
  <c r="AG27" i="100"/>
  <c r="Z29" i="102" s="1"/>
  <c r="AE27" i="100"/>
  <c r="Y29" i="102" s="1"/>
  <c r="AC27" i="100"/>
  <c r="X29" i="102" s="1"/>
  <c r="AA27" i="100"/>
  <c r="W29" i="102" s="1"/>
  <c r="Y27" i="100"/>
  <c r="V29" i="102" s="1"/>
  <c r="W27" i="100"/>
  <c r="U29" i="102" s="1"/>
  <c r="U27" i="100"/>
  <c r="T29" i="102" s="1"/>
  <c r="S27" i="100"/>
  <c r="S29" i="102" s="1"/>
  <c r="Q27" i="100"/>
  <c r="R29" i="102" s="1"/>
  <c r="O27" i="100"/>
  <c r="Q29" i="102" s="1"/>
  <c r="N27" i="100"/>
  <c r="AI26" i="100"/>
  <c r="AG26" i="100"/>
  <c r="Z28" i="102" s="1"/>
  <c r="AE26" i="100"/>
  <c r="AC26" i="100"/>
  <c r="X28" i="102" s="1"/>
  <c r="AA26" i="100"/>
  <c r="W28" i="102" s="1"/>
  <c r="Y26" i="100"/>
  <c r="V28" i="102" s="1"/>
  <c r="W26" i="100"/>
  <c r="U28" i="102" s="1"/>
  <c r="U26" i="100"/>
  <c r="T28" i="102" s="1"/>
  <c r="S26" i="100"/>
  <c r="S28" i="102" s="1"/>
  <c r="Q26" i="100"/>
  <c r="R28" i="102" s="1"/>
  <c r="O26" i="100"/>
  <c r="Q28" i="102" s="1"/>
  <c r="N26" i="100"/>
  <c r="AI25" i="100"/>
  <c r="AG25" i="100"/>
  <c r="Z27" i="102" s="1"/>
  <c r="AE25" i="100"/>
  <c r="Y27" i="102" s="1"/>
  <c r="AC25" i="100"/>
  <c r="X27" i="102" s="1"/>
  <c r="AA25" i="100"/>
  <c r="W27" i="102" s="1"/>
  <c r="Y25" i="100"/>
  <c r="V27" i="102" s="1"/>
  <c r="W25" i="100"/>
  <c r="U27" i="102" s="1"/>
  <c r="U25" i="100"/>
  <c r="T27" i="102" s="1"/>
  <c r="S25" i="100"/>
  <c r="S27" i="102" s="1"/>
  <c r="Q25" i="100"/>
  <c r="R27" i="102" s="1"/>
  <c r="O25" i="100"/>
  <c r="Q27" i="102" s="1"/>
  <c r="N25" i="100"/>
  <c r="AI24" i="100"/>
  <c r="AG24" i="100"/>
  <c r="Z26" i="102" s="1"/>
  <c r="AE24" i="100"/>
  <c r="Y26" i="102" s="1"/>
  <c r="AC24" i="100"/>
  <c r="X26" i="102" s="1"/>
  <c r="AA24" i="100"/>
  <c r="W26" i="102" s="1"/>
  <c r="Y24" i="100"/>
  <c r="V26" i="102" s="1"/>
  <c r="W24" i="100"/>
  <c r="U26" i="102" s="1"/>
  <c r="U24" i="100"/>
  <c r="T26" i="102" s="1"/>
  <c r="S24" i="100"/>
  <c r="S26" i="102" s="1"/>
  <c r="Q24" i="100"/>
  <c r="R26" i="102" s="1"/>
  <c r="O24" i="100"/>
  <c r="Q26" i="102" s="1"/>
  <c r="N24" i="100"/>
  <c r="AI23" i="100"/>
  <c r="AG23" i="100"/>
  <c r="Z25" i="102" s="1"/>
  <c r="AE23" i="100"/>
  <c r="Y25" i="102" s="1"/>
  <c r="AC23" i="100"/>
  <c r="X25" i="102" s="1"/>
  <c r="AA23" i="100"/>
  <c r="W25" i="102" s="1"/>
  <c r="Y23" i="100"/>
  <c r="V25" i="102" s="1"/>
  <c r="W23" i="100"/>
  <c r="U25" i="102" s="1"/>
  <c r="U23" i="100"/>
  <c r="T25" i="102" s="1"/>
  <c r="S23" i="100"/>
  <c r="S25" i="102" s="1"/>
  <c r="Q23" i="100"/>
  <c r="R25" i="102" s="1"/>
  <c r="O23" i="100"/>
  <c r="Q25" i="102" s="1"/>
  <c r="N23" i="100"/>
  <c r="AI22" i="100"/>
  <c r="AG22" i="100"/>
  <c r="Z24" i="102" s="1"/>
  <c r="AE22" i="100"/>
  <c r="Y24" i="102" s="1"/>
  <c r="AC22" i="100"/>
  <c r="X24" i="102" s="1"/>
  <c r="AA22" i="100"/>
  <c r="Y22" i="100"/>
  <c r="V24" i="102" s="1"/>
  <c r="W22" i="100"/>
  <c r="U24" i="102" s="1"/>
  <c r="U22" i="100"/>
  <c r="T24" i="102" s="1"/>
  <c r="S22" i="100"/>
  <c r="Q22" i="100"/>
  <c r="R24" i="102" s="1"/>
  <c r="O22" i="100"/>
  <c r="Q24" i="102" s="1"/>
  <c r="N22" i="100"/>
  <c r="AI21" i="100"/>
  <c r="AG21" i="100"/>
  <c r="Z23" i="102" s="1"/>
  <c r="AE21" i="100"/>
  <c r="Y23" i="102" s="1"/>
  <c r="AC21" i="100"/>
  <c r="X23" i="102" s="1"/>
  <c r="AA21" i="100"/>
  <c r="Y21" i="100"/>
  <c r="V23" i="102" s="1"/>
  <c r="W21" i="100"/>
  <c r="U21" i="100"/>
  <c r="S21" i="100"/>
  <c r="S23" i="102" s="1"/>
  <c r="Q21" i="100"/>
  <c r="R23" i="102" s="1"/>
  <c r="O21" i="100"/>
  <c r="Q23" i="102" s="1"/>
  <c r="N21" i="100"/>
  <c r="AI20" i="100"/>
  <c r="AG20" i="100"/>
  <c r="Z22" i="102" s="1"/>
  <c r="AE20" i="100"/>
  <c r="Y22" i="102" s="1"/>
  <c r="AC20" i="100"/>
  <c r="X22" i="102" s="1"/>
  <c r="AA20" i="100"/>
  <c r="W22" i="102" s="1"/>
  <c r="Y20" i="100"/>
  <c r="V22" i="102" s="1"/>
  <c r="W20" i="100"/>
  <c r="U22" i="102" s="1"/>
  <c r="U20" i="100"/>
  <c r="T22" i="102" s="1"/>
  <c r="S20" i="100"/>
  <c r="S22" i="102" s="1"/>
  <c r="Q20" i="100"/>
  <c r="R22" i="102" s="1"/>
  <c r="O20" i="100"/>
  <c r="Q22" i="102" s="1"/>
  <c r="N20" i="100"/>
  <c r="AI19" i="100"/>
  <c r="AG19" i="100"/>
  <c r="Z21" i="102" s="1"/>
  <c r="AE19" i="100"/>
  <c r="Y21" i="102" s="1"/>
  <c r="AC19" i="100"/>
  <c r="X21" i="102" s="1"/>
  <c r="AA19" i="100"/>
  <c r="W21" i="102" s="1"/>
  <c r="Y19" i="100"/>
  <c r="V21" i="102" s="1"/>
  <c r="W19" i="100"/>
  <c r="U21" i="102" s="1"/>
  <c r="U19" i="100"/>
  <c r="T21" i="102" s="1"/>
  <c r="S19" i="100"/>
  <c r="S21" i="102" s="1"/>
  <c r="Q19" i="100"/>
  <c r="R21" i="102" s="1"/>
  <c r="O19" i="100"/>
  <c r="Q21" i="102" s="1"/>
  <c r="N19" i="100"/>
  <c r="AI18" i="100"/>
  <c r="AG18" i="100"/>
  <c r="Z20" i="102" s="1"/>
  <c r="AE18" i="100"/>
  <c r="Y20" i="102" s="1"/>
  <c r="AC18" i="100"/>
  <c r="X20" i="102" s="1"/>
  <c r="AA18" i="100"/>
  <c r="W20" i="102" s="1"/>
  <c r="Y18" i="100"/>
  <c r="V20" i="102" s="1"/>
  <c r="W18" i="100"/>
  <c r="U20" i="102" s="1"/>
  <c r="U18" i="100"/>
  <c r="T20" i="102" s="1"/>
  <c r="S18" i="100"/>
  <c r="S20" i="102" s="1"/>
  <c r="Q18" i="100"/>
  <c r="R20" i="102" s="1"/>
  <c r="O18" i="100"/>
  <c r="Q20" i="102" s="1"/>
  <c r="N18" i="100"/>
  <c r="AI17" i="100"/>
  <c r="AG17" i="100"/>
  <c r="Z19" i="102" s="1"/>
  <c r="AE17" i="100"/>
  <c r="Y19" i="102" s="1"/>
  <c r="AC17" i="100"/>
  <c r="X19" i="102" s="1"/>
  <c r="AA17" i="100"/>
  <c r="W19" i="102" s="1"/>
  <c r="Y17" i="100"/>
  <c r="V19" i="102" s="1"/>
  <c r="W17" i="100"/>
  <c r="U19" i="102" s="1"/>
  <c r="U17" i="100"/>
  <c r="T19" i="102" s="1"/>
  <c r="S17" i="100"/>
  <c r="S19" i="102" s="1"/>
  <c r="Q17" i="100"/>
  <c r="R19" i="102" s="1"/>
  <c r="O17" i="100"/>
  <c r="Q19" i="102" s="1"/>
  <c r="N17" i="100"/>
  <c r="AI16" i="100"/>
  <c r="AG16" i="100"/>
  <c r="AE16" i="100"/>
  <c r="Y18" i="102" s="1"/>
  <c r="AC16" i="100"/>
  <c r="X18" i="102" s="1"/>
  <c r="AA16" i="100"/>
  <c r="Y16" i="100"/>
  <c r="V18" i="102" s="1"/>
  <c r="W16" i="100"/>
  <c r="U18" i="102" s="1"/>
  <c r="U16" i="100"/>
  <c r="T18" i="102" s="1"/>
  <c r="S16" i="100"/>
  <c r="S18" i="102" s="1"/>
  <c r="Q16" i="100"/>
  <c r="R18" i="102" s="1"/>
  <c r="O16" i="100"/>
  <c r="Q18" i="102" s="1"/>
  <c r="N16" i="100"/>
  <c r="AI15" i="100"/>
  <c r="AG15" i="100"/>
  <c r="Z17" i="102" s="1"/>
  <c r="AE15" i="100"/>
  <c r="Y17" i="102" s="1"/>
  <c r="AC15" i="100"/>
  <c r="X17" i="102" s="1"/>
  <c r="AA15" i="100"/>
  <c r="W17" i="102" s="1"/>
  <c r="Y15" i="100"/>
  <c r="V17" i="102" s="1"/>
  <c r="W15" i="100"/>
  <c r="U17" i="102" s="1"/>
  <c r="U15" i="100"/>
  <c r="T17" i="102" s="1"/>
  <c r="S15" i="100"/>
  <c r="S17" i="102" s="1"/>
  <c r="Q15" i="100"/>
  <c r="R17" i="102" s="1"/>
  <c r="O15" i="100"/>
  <c r="N15" i="100"/>
  <c r="AI14" i="100"/>
  <c r="AG14" i="100"/>
  <c r="Z16" i="102" s="1"/>
  <c r="AE14" i="100"/>
  <c r="Y16" i="102" s="1"/>
  <c r="AC14" i="100"/>
  <c r="AA14" i="100"/>
  <c r="W16" i="102" s="1"/>
  <c r="Y14" i="100"/>
  <c r="V16" i="102" s="1"/>
  <c r="W14" i="100"/>
  <c r="U16" i="102" s="1"/>
  <c r="U14" i="100"/>
  <c r="T16" i="102" s="1"/>
  <c r="S14" i="100"/>
  <c r="S16" i="102" s="1"/>
  <c r="Q14" i="100"/>
  <c r="O14" i="100"/>
  <c r="Q16" i="102" s="1"/>
  <c r="N14" i="100"/>
  <c r="AI13" i="100"/>
  <c r="AG13" i="100"/>
  <c r="Z15" i="102" s="1"/>
  <c r="AE13" i="100"/>
  <c r="AC13" i="100"/>
  <c r="X15" i="102" s="1"/>
  <c r="AA13" i="100"/>
  <c r="W15" i="102" s="1"/>
  <c r="Y13" i="100"/>
  <c r="V15" i="102" s="1"/>
  <c r="W13" i="100"/>
  <c r="U15" i="102" s="1"/>
  <c r="U13" i="100"/>
  <c r="T15" i="102" s="1"/>
  <c r="S13" i="100"/>
  <c r="S15" i="102" s="1"/>
  <c r="Q13" i="100"/>
  <c r="R15" i="102" s="1"/>
  <c r="O13" i="100"/>
  <c r="Q15" i="102" s="1"/>
  <c r="N13" i="100"/>
  <c r="AI12" i="100"/>
  <c r="AG12" i="100"/>
  <c r="Z14" i="102" s="1"/>
  <c r="AE12" i="100"/>
  <c r="Y14" i="102" s="1"/>
  <c r="AC12" i="100"/>
  <c r="X14" i="102" s="1"/>
  <c r="AA12" i="100"/>
  <c r="W14" i="102" s="1"/>
  <c r="Y12" i="100"/>
  <c r="V14" i="102" s="1"/>
  <c r="W12" i="100"/>
  <c r="U14" i="102" s="1"/>
  <c r="U12" i="100"/>
  <c r="T14" i="102" s="1"/>
  <c r="S12" i="100"/>
  <c r="Q12" i="100"/>
  <c r="R14" i="102" s="1"/>
  <c r="O12" i="100"/>
  <c r="Q14" i="102" s="1"/>
  <c r="N12" i="100"/>
  <c r="AI11" i="100"/>
  <c r="AG11" i="100"/>
  <c r="Z13" i="102" s="1"/>
  <c r="AE11" i="100"/>
  <c r="Y13" i="102" s="1"/>
  <c r="AC11" i="100"/>
  <c r="X13" i="102" s="1"/>
  <c r="AA11" i="100"/>
  <c r="W13" i="102" s="1"/>
  <c r="Y11" i="100"/>
  <c r="V13" i="102" s="1"/>
  <c r="W11" i="100"/>
  <c r="U13" i="102" s="1"/>
  <c r="U11" i="100"/>
  <c r="T13" i="102" s="1"/>
  <c r="S11" i="100"/>
  <c r="S13" i="102" s="1"/>
  <c r="Q11" i="100"/>
  <c r="R13" i="102" s="1"/>
  <c r="O11" i="100"/>
  <c r="Q13" i="102" s="1"/>
  <c r="N11" i="100"/>
  <c r="AI10" i="100"/>
  <c r="AG10" i="100"/>
  <c r="Z12" i="102" s="1"/>
  <c r="AE10" i="100"/>
  <c r="Y12" i="102" s="1"/>
  <c r="AC10" i="100"/>
  <c r="AA10" i="100"/>
  <c r="W12" i="102" s="1"/>
  <c r="Y10" i="100"/>
  <c r="V12" i="102" s="1"/>
  <c r="W10" i="100"/>
  <c r="U12" i="102" s="1"/>
  <c r="U10" i="100"/>
  <c r="T12" i="102" s="1"/>
  <c r="O10" i="100"/>
  <c r="Q12" i="102" s="1"/>
  <c r="AI9" i="100"/>
  <c r="AG9" i="100"/>
  <c r="Z11" i="102" s="1"/>
  <c r="AE9" i="100"/>
  <c r="Y11" i="102" s="1"/>
  <c r="AC9" i="100"/>
  <c r="X11" i="102" s="1"/>
  <c r="AA9" i="100"/>
  <c r="W11" i="102" s="1"/>
  <c r="Y9" i="100"/>
  <c r="V11" i="102" s="1"/>
  <c r="W9" i="100"/>
  <c r="U11" i="102" s="1"/>
  <c r="U9" i="100"/>
  <c r="T11" i="102" s="1"/>
  <c r="O9" i="100"/>
  <c r="Q11" i="102" s="1"/>
  <c r="AI8" i="100"/>
  <c r="AG8" i="100"/>
  <c r="Z10" i="102" s="1"/>
  <c r="AE8" i="100"/>
  <c r="Y10" i="102" s="1"/>
  <c r="AC8" i="100"/>
  <c r="X10" i="102" s="1"/>
  <c r="AA8" i="100"/>
  <c r="W10" i="102" s="1"/>
  <c r="Y8" i="100"/>
  <c r="V10" i="102" s="1"/>
  <c r="O8" i="100"/>
  <c r="Q10" i="102" s="1"/>
  <c r="C188" i="102"/>
  <c r="C19" i="92"/>
  <c r="C6" i="92"/>
  <c r="B10" i="92"/>
  <c r="Q4" i="101"/>
  <c r="AG7" i="1"/>
  <c r="AE7" i="1"/>
  <c r="AQ3" i="1"/>
  <c r="V4" i="1"/>
  <c r="O3" i="101"/>
  <c r="X3" i="1"/>
  <c r="AI6" i="101"/>
  <c r="H6" i="101"/>
  <c r="Q2" i="101"/>
  <c r="Q3" i="101"/>
  <c r="D6" i="101"/>
  <c r="AH21" i="101"/>
  <c r="AE21" i="101"/>
  <c r="AH22" i="101"/>
  <c r="AE22" i="101"/>
  <c r="B2" i="101"/>
  <c r="DI605" i="1"/>
  <c r="DI603" i="1"/>
  <c r="DI8" i="1"/>
  <c r="K14" i="102"/>
  <c r="K15" i="102"/>
  <c r="K17" i="102"/>
  <c r="K18" i="102"/>
  <c r="K24" i="102"/>
  <c r="K40" i="102"/>
  <c r="K34" i="102"/>
  <c r="K32" i="102"/>
  <c r="K27" i="102"/>
  <c r="K22" i="102"/>
  <c r="K13" i="102"/>
  <c r="N11" i="102"/>
  <c r="L12" i="102"/>
  <c r="O12" i="102"/>
  <c r="L13" i="102"/>
  <c r="K11" i="100"/>
  <c r="L14" i="102"/>
  <c r="M14" i="102"/>
  <c r="O14" i="102"/>
  <c r="L16" i="102"/>
  <c r="M16" i="102"/>
  <c r="N16" i="102"/>
  <c r="O16" i="102"/>
  <c r="K15" i="100"/>
  <c r="M17" i="102"/>
  <c r="N17" i="102"/>
  <c r="O17" i="102"/>
  <c r="M18" i="102"/>
  <c r="O18" i="102"/>
  <c r="N19" i="102"/>
  <c r="K18" i="100"/>
  <c r="M20" i="102"/>
  <c r="N20" i="102"/>
  <c r="O20" i="102"/>
  <c r="K19" i="100"/>
  <c r="N21" i="102"/>
  <c r="O21" i="102"/>
  <c r="K20" i="100"/>
  <c r="O22" i="102"/>
  <c r="K22" i="100"/>
  <c r="M24" i="102"/>
  <c r="N24" i="102"/>
  <c r="O24" i="102"/>
  <c r="K23" i="100"/>
  <c r="K24" i="100"/>
  <c r="L28" i="102"/>
  <c r="K26" i="100"/>
  <c r="N28" i="102"/>
  <c r="O28" i="102"/>
  <c r="M29" i="102"/>
  <c r="N29" i="102"/>
  <c r="O29" i="102"/>
  <c r="L30" i="102"/>
  <c r="L32" i="102"/>
  <c r="M32" i="102"/>
  <c r="N32" i="102"/>
  <c r="O32" i="102"/>
  <c r="L33" i="102"/>
  <c r="M33" i="102"/>
  <c r="N33" i="102"/>
  <c r="O33" i="102"/>
  <c r="L34" i="102"/>
  <c r="L36" i="102"/>
  <c r="O36" i="102"/>
  <c r="K35" i="100"/>
  <c r="M37" i="102"/>
  <c r="N37" i="102"/>
  <c r="O37" i="102"/>
  <c r="K38" i="102"/>
  <c r="M38" i="102"/>
  <c r="K38" i="100"/>
  <c r="M40" i="102"/>
  <c r="N40" i="102"/>
  <c r="O40" i="102"/>
  <c r="K39" i="100"/>
  <c r="M41" i="102"/>
  <c r="N41" i="102"/>
  <c r="O41" i="102"/>
  <c r="K40" i="100"/>
  <c r="M42" i="102"/>
  <c r="O42" i="102"/>
  <c r="K42" i="100"/>
  <c r="M44" i="102"/>
  <c r="N44" i="102"/>
  <c r="O44" i="102"/>
  <c r="K43" i="100"/>
  <c r="O45" i="102"/>
  <c r="K9" i="100"/>
  <c r="N9" i="100" s="1"/>
  <c r="K12" i="100"/>
  <c r="K13" i="100"/>
  <c r="K14" i="100"/>
  <c r="K16" i="100"/>
  <c r="K17" i="100"/>
  <c r="K21" i="100"/>
  <c r="K25" i="100"/>
  <c r="K27" i="100"/>
  <c r="K28" i="100"/>
  <c r="K29" i="100"/>
  <c r="K32" i="100"/>
  <c r="K33" i="100"/>
  <c r="K34" i="100"/>
  <c r="K36" i="100"/>
  <c r="K37" i="100"/>
  <c r="K41" i="100"/>
  <c r="K8" i="100"/>
  <c r="N8" i="100" s="1"/>
  <c r="AI337" i="100"/>
  <c r="AG337" i="100"/>
  <c r="Z181" i="102" s="1"/>
  <c r="AE337" i="100"/>
  <c r="AC337" i="100"/>
  <c r="X181" i="102" s="1"/>
  <c r="AA337" i="100"/>
  <c r="W181" i="102" s="1"/>
  <c r="Y337" i="100"/>
  <c r="V181" i="102" s="1"/>
  <c r="AI336" i="100"/>
  <c r="AG336" i="100"/>
  <c r="AE336" i="100"/>
  <c r="Y180" i="102" s="1"/>
  <c r="AC336" i="100"/>
  <c r="X180" i="102" s="1"/>
  <c r="AA336" i="100"/>
  <c r="W180" i="102" s="1"/>
  <c r="Y336" i="100"/>
  <c r="V180" i="102" s="1"/>
  <c r="AI335" i="100"/>
  <c r="AG335" i="100"/>
  <c r="Z179" i="102" s="1"/>
  <c r="AE335" i="100"/>
  <c r="Y179" i="102" s="1"/>
  <c r="AC335" i="100"/>
  <c r="X179" i="102" s="1"/>
  <c r="AA335" i="100"/>
  <c r="W179" i="102" s="1"/>
  <c r="Y335" i="100"/>
  <c r="V179" i="102" s="1"/>
  <c r="AI334" i="100"/>
  <c r="AG334" i="100"/>
  <c r="Z178" i="102" s="1"/>
  <c r="AE334" i="100"/>
  <c r="AC334" i="100"/>
  <c r="X178" i="102" s="1"/>
  <c r="AA334" i="100"/>
  <c r="W178" i="102" s="1"/>
  <c r="Y334" i="100"/>
  <c r="V178" i="102" s="1"/>
  <c r="AI333" i="100"/>
  <c r="AG333" i="100"/>
  <c r="Z177" i="102" s="1"/>
  <c r="AE333" i="100"/>
  <c r="Y177" i="102" s="1"/>
  <c r="AC333" i="100"/>
  <c r="X177" i="102" s="1"/>
  <c r="AA333" i="100"/>
  <c r="Y333" i="100"/>
  <c r="V177" i="102" s="1"/>
  <c r="AI332" i="100"/>
  <c r="AG332" i="100"/>
  <c r="AE332" i="100"/>
  <c r="Y176" i="102" s="1"/>
  <c r="AC332" i="100"/>
  <c r="X176" i="102" s="1"/>
  <c r="AA332" i="100"/>
  <c r="W176" i="102" s="1"/>
  <c r="Y332" i="100"/>
  <c r="V176" i="102" s="1"/>
  <c r="AI331" i="100"/>
  <c r="AG331" i="100"/>
  <c r="Z175" i="102" s="1"/>
  <c r="AE331" i="100"/>
  <c r="Y175" i="102" s="1"/>
  <c r="AC331" i="100"/>
  <c r="X175" i="102" s="1"/>
  <c r="AA331" i="100"/>
  <c r="W175" i="102" s="1"/>
  <c r="Y331" i="100"/>
  <c r="V175" i="102" s="1"/>
  <c r="AI330" i="100"/>
  <c r="AG330" i="100"/>
  <c r="Z174" i="102" s="1"/>
  <c r="AE330" i="100"/>
  <c r="AC330" i="100"/>
  <c r="X174" i="102" s="1"/>
  <c r="AA330" i="100"/>
  <c r="W174" i="102" s="1"/>
  <c r="Y330" i="100"/>
  <c r="V174" i="102" s="1"/>
  <c r="AI329" i="100"/>
  <c r="AG329" i="100"/>
  <c r="Z173" i="102" s="1"/>
  <c r="AE329" i="100"/>
  <c r="Y173" i="102" s="1"/>
  <c r="AC329" i="100"/>
  <c r="X173" i="102" s="1"/>
  <c r="AA329" i="100"/>
  <c r="Y329" i="100"/>
  <c r="V173" i="102" s="1"/>
  <c r="AI328" i="100"/>
  <c r="AG328" i="100"/>
  <c r="Z172" i="102" s="1"/>
  <c r="AE328" i="100"/>
  <c r="Y172" i="102" s="1"/>
  <c r="AC328" i="100"/>
  <c r="X172" i="102" s="1"/>
  <c r="AA328" i="100"/>
  <c r="W172" i="102" s="1"/>
  <c r="Y328" i="100"/>
  <c r="V172" i="102" s="1"/>
  <c r="AI327" i="100"/>
  <c r="AG327" i="100"/>
  <c r="Z171" i="102" s="1"/>
  <c r="AE327" i="100"/>
  <c r="Y171" i="102" s="1"/>
  <c r="AC327" i="100"/>
  <c r="X171" i="102" s="1"/>
  <c r="AA327" i="100"/>
  <c r="W171" i="102" s="1"/>
  <c r="Y327" i="100"/>
  <c r="V171" i="102" s="1"/>
  <c r="AI326" i="100"/>
  <c r="AG326" i="100"/>
  <c r="Z170" i="102" s="1"/>
  <c r="AE326" i="100"/>
  <c r="Y170" i="102" s="1"/>
  <c r="AC326" i="100"/>
  <c r="X170" i="102" s="1"/>
  <c r="AA326" i="100"/>
  <c r="W170" i="102" s="1"/>
  <c r="Y326" i="100"/>
  <c r="V170" i="102" s="1"/>
  <c r="AI325" i="100"/>
  <c r="AG325" i="100"/>
  <c r="Z169" i="102" s="1"/>
  <c r="AE325" i="100"/>
  <c r="Y169" i="102" s="1"/>
  <c r="AC325" i="100"/>
  <c r="X169" i="102" s="1"/>
  <c r="AA325" i="100"/>
  <c r="Y325" i="100"/>
  <c r="V169" i="102" s="1"/>
  <c r="AI324" i="100"/>
  <c r="AG324" i="100"/>
  <c r="Z168" i="102" s="1"/>
  <c r="AE324" i="100"/>
  <c r="AC324" i="100"/>
  <c r="X168" i="102" s="1"/>
  <c r="AA324" i="100"/>
  <c r="W168" i="102" s="1"/>
  <c r="Y324" i="100"/>
  <c r="V168" i="102" s="1"/>
  <c r="AI323" i="100"/>
  <c r="AG323" i="100"/>
  <c r="Z167" i="102" s="1"/>
  <c r="AE323" i="100"/>
  <c r="Y167" i="102" s="1"/>
  <c r="AC323" i="100"/>
  <c r="X167" i="102" s="1"/>
  <c r="AA323" i="100"/>
  <c r="W167" i="102" s="1"/>
  <c r="Y323" i="100"/>
  <c r="V167" i="102" s="1"/>
  <c r="AI322" i="100"/>
  <c r="AG322" i="100"/>
  <c r="Z166" i="102" s="1"/>
  <c r="AE322" i="100"/>
  <c r="Y166" i="102" s="1"/>
  <c r="AC322" i="100"/>
  <c r="X166" i="102" s="1"/>
  <c r="AA322" i="100"/>
  <c r="W166" i="102" s="1"/>
  <c r="Y322" i="100"/>
  <c r="V166" i="102" s="1"/>
  <c r="AI321" i="100"/>
  <c r="AG321" i="100"/>
  <c r="Z165" i="102" s="1"/>
  <c r="AE321" i="100"/>
  <c r="Y165" i="102" s="1"/>
  <c r="AC321" i="100"/>
  <c r="X165" i="102" s="1"/>
  <c r="AA321" i="100"/>
  <c r="W165" i="102" s="1"/>
  <c r="Y321" i="100"/>
  <c r="V165" i="102" s="1"/>
  <c r="AI320" i="100"/>
  <c r="AG320" i="100"/>
  <c r="Z164" i="102" s="1"/>
  <c r="AE320" i="100"/>
  <c r="Y164" i="102" s="1"/>
  <c r="AC320" i="100"/>
  <c r="X164" i="102" s="1"/>
  <c r="AA320" i="100"/>
  <c r="Y320" i="100"/>
  <c r="V164" i="102" s="1"/>
  <c r="AI319" i="100"/>
  <c r="AG319" i="100"/>
  <c r="Z163" i="102" s="1"/>
  <c r="AE319" i="100"/>
  <c r="Y163" i="102" s="1"/>
  <c r="AC319" i="100"/>
  <c r="X163" i="102" s="1"/>
  <c r="AA319" i="100"/>
  <c r="W163" i="102" s="1"/>
  <c r="Y319" i="100"/>
  <c r="V163" i="102" s="1"/>
  <c r="AI318" i="100"/>
  <c r="AG318" i="100"/>
  <c r="Z162" i="102" s="1"/>
  <c r="AE318" i="100"/>
  <c r="Y162" i="102" s="1"/>
  <c r="AC318" i="100"/>
  <c r="X162" i="102" s="1"/>
  <c r="AA318" i="100"/>
  <c r="W162" i="102" s="1"/>
  <c r="Y318" i="100"/>
  <c r="V162" i="102" s="1"/>
  <c r="AI317" i="100"/>
  <c r="AG317" i="100"/>
  <c r="Z161" i="102" s="1"/>
  <c r="AE317" i="100"/>
  <c r="Y161" i="102" s="1"/>
  <c r="AC317" i="100"/>
  <c r="X161" i="102" s="1"/>
  <c r="AA317" i="100"/>
  <c r="W161" i="102" s="1"/>
  <c r="Y317" i="100"/>
  <c r="V161" i="102" s="1"/>
  <c r="AI316" i="100"/>
  <c r="AG316" i="100"/>
  <c r="Z160" i="102" s="1"/>
  <c r="AE316" i="100"/>
  <c r="AC316" i="100"/>
  <c r="X160" i="102" s="1"/>
  <c r="AA316" i="100"/>
  <c r="W160" i="102" s="1"/>
  <c r="Y316" i="100"/>
  <c r="V160" i="102" s="1"/>
  <c r="AI315" i="100"/>
  <c r="AG315" i="100"/>
  <c r="Z159" i="102" s="1"/>
  <c r="AE315" i="100"/>
  <c r="Y159" i="102" s="1"/>
  <c r="AC315" i="100"/>
  <c r="X159" i="102" s="1"/>
  <c r="AA315" i="100"/>
  <c r="Y315" i="100"/>
  <c r="V159" i="102" s="1"/>
  <c r="AI314" i="100"/>
  <c r="AG314" i="100"/>
  <c r="AE314" i="100"/>
  <c r="Y158" i="102" s="1"/>
  <c r="AC314" i="100"/>
  <c r="X158" i="102" s="1"/>
  <c r="AA314" i="100"/>
  <c r="W158" i="102" s="1"/>
  <c r="Y314" i="100"/>
  <c r="V158" i="102" s="1"/>
  <c r="AI313" i="100"/>
  <c r="AG313" i="100"/>
  <c r="Z157" i="102" s="1"/>
  <c r="AE313" i="100"/>
  <c r="Y157" i="102" s="1"/>
  <c r="AC313" i="100"/>
  <c r="X157" i="102" s="1"/>
  <c r="AA313" i="100"/>
  <c r="W157" i="102" s="1"/>
  <c r="Y313" i="100"/>
  <c r="V157" i="102" s="1"/>
  <c r="AI312" i="100"/>
  <c r="AG312" i="100"/>
  <c r="Z156" i="102" s="1"/>
  <c r="AE312" i="100"/>
  <c r="Y156" i="102" s="1"/>
  <c r="AC312" i="100"/>
  <c r="X156" i="102" s="1"/>
  <c r="AA312" i="100"/>
  <c r="W156" i="102" s="1"/>
  <c r="Y312" i="100"/>
  <c r="AI311" i="100"/>
  <c r="AG311" i="100"/>
  <c r="Z155" i="102" s="1"/>
  <c r="AE311" i="100"/>
  <c r="Y155" i="102" s="1"/>
  <c r="AC311" i="100"/>
  <c r="X155" i="102" s="1"/>
  <c r="AA311" i="100"/>
  <c r="W155" i="102" s="1"/>
  <c r="Y311" i="100"/>
  <c r="V155" i="102" s="1"/>
  <c r="AI310" i="100"/>
  <c r="AG310" i="100"/>
  <c r="Z154" i="102" s="1"/>
  <c r="AE310" i="100"/>
  <c r="Y154" i="102" s="1"/>
  <c r="AC310" i="100"/>
  <c r="X154" i="102" s="1"/>
  <c r="AA310" i="100"/>
  <c r="W154" i="102" s="1"/>
  <c r="Y310" i="100"/>
  <c r="V154" i="102" s="1"/>
  <c r="AI309" i="100"/>
  <c r="AG309" i="100"/>
  <c r="Z153" i="102" s="1"/>
  <c r="AE309" i="100"/>
  <c r="Y153" i="102" s="1"/>
  <c r="AC309" i="100"/>
  <c r="X153" i="102" s="1"/>
  <c r="AA309" i="100"/>
  <c r="Y309" i="100"/>
  <c r="V153" i="102" s="1"/>
  <c r="AI308" i="100"/>
  <c r="AG308" i="100"/>
  <c r="Z152" i="102" s="1"/>
  <c r="AE308" i="100"/>
  <c r="AC308" i="100"/>
  <c r="X152" i="102" s="1"/>
  <c r="AA308" i="100"/>
  <c r="W152" i="102" s="1"/>
  <c r="Y308" i="100"/>
  <c r="V152" i="102" s="1"/>
  <c r="AI307" i="100"/>
  <c r="AG307" i="100"/>
  <c r="Z151" i="102" s="1"/>
  <c r="AE307" i="100"/>
  <c r="Y151" i="102" s="1"/>
  <c r="AC307" i="100"/>
  <c r="X151" i="102" s="1"/>
  <c r="AA307" i="100"/>
  <c r="Y307" i="100"/>
  <c r="V151" i="102" s="1"/>
  <c r="AI306" i="100"/>
  <c r="AG306" i="100"/>
  <c r="Z150" i="102" s="1"/>
  <c r="AE306" i="100"/>
  <c r="Y150" i="102" s="1"/>
  <c r="AC306" i="100"/>
  <c r="X150" i="102" s="1"/>
  <c r="AA306" i="100"/>
  <c r="W150" i="102" s="1"/>
  <c r="Y306" i="100"/>
  <c r="V150" i="102" s="1"/>
  <c r="AI305" i="100"/>
  <c r="AG305" i="100"/>
  <c r="Z149" i="102" s="1"/>
  <c r="AE305" i="100"/>
  <c r="Y149" i="102" s="1"/>
  <c r="AC305" i="100"/>
  <c r="X149" i="102" s="1"/>
  <c r="AA305" i="100"/>
  <c r="W149" i="102" s="1"/>
  <c r="Y305" i="100"/>
  <c r="V149" i="102" s="1"/>
  <c r="AI304" i="100"/>
  <c r="AG304" i="100"/>
  <c r="Z148" i="102" s="1"/>
  <c r="AE304" i="100"/>
  <c r="Y148" i="102" s="1"/>
  <c r="AC304" i="100"/>
  <c r="X148" i="102" s="1"/>
  <c r="AA304" i="100"/>
  <c r="W148" i="102" s="1"/>
  <c r="Y304" i="100"/>
  <c r="V148" i="102" s="1"/>
  <c r="AI303" i="100"/>
  <c r="AG303" i="100"/>
  <c r="Z147" i="102" s="1"/>
  <c r="AE303" i="100"/>
  <c r="Y147" i="102" s="1"/>
  <c r="AC303" i="100"/>
  <c r="X147" i="102" s="1"/>
  <c r="AA303" i="100"/>
  <c r="W147" i="102" s="1"/>
  <c r="Y303" i="100"/>
  <c r="V147" i="102" s="1"/>
  <c r="AI302" i="100"/>
  <c r="AG302" i="100"/>
  <c r="Z146" i="102" s="1"/>
  <c r="AE302" i="100"/>
  <c r="Y146" i="102" s="1"/>
  <c r="AC302" i="100"/>
  <c r="X146" i="102" s="1"/>
  <c r="AA302" i="100"/>
  <c r="W146" i="102" s="1"/>
  <c r="Y302" i="100"/>
  <c r="V146" i="102" s="1"/>
  <c r="AI301" i="100"/>
  <c r="AG301" i="100"/>
  <c r="Z145" i="102" s="1"/>
  <c r="AE301" i="100"/>
  <c r="Y145" i="102" s="1"/>
  <c r="AC301" i="100"/>
  <c r="X145" i="102" s="1"/>
  <c r="AA301" i="100"/>
  <c r="W145" i="102" s="1"/>
  <c r="Y301" i="100"/>
  <c r="V145" i="102" s="1"/>
  <c r="AI300" i="100"/>
  <c r="AG300" i="100"/>
  <c r="Z144" i="102" s="1"/>
  <c r="AE300" i="100"/>
  <c r="Y144" i="102" s="1"/>
  <c r="AC300" i="100"/>
  <c r="X144" i="102" s="1"/>
  <c r="AA300" i="100"/>
  <c r="W144" i="102" s="1"/>
  <c r="Y300" i="100"/>
  <c r="V144" i="102" s="1"/>
  <c r="AI299" i="100"/>
  <c r="AG299" i="100"/>
  <c r="Z143" i="102" s="1"/>
  <c r="AE299" i="100"/>
  <c r="Y143" i="102" s="1"/>
  <c r="AC299" i="100"/>
  <c r="X143" i="102" s="1"/>
  <c r="AA299" i="100"/>
  <c r="W143" i="102" s="1"/>
  <c r="Y299" i="100"/>
  <c r="V143" i="102" s="1"/>
  <c r="AI298" i="100"/>
  <c r="AG298" i="100"/>
  <c r="Z142" i="102" s="1"/>
  <c r="AE298" i="100"/>
  <c r="Y142" i="102" s="1"/>
  <c r="AC298" i="100"/>
  <c r="X142" i="102" s="1"/>
  <c r="AA298" i="100"/>
  <c r="W142" i="102" s="1"/>
  <c r="Y298" i="100"/>
  <c r="V142" i="102" s="1"/>
  <c r="AI297" i="100"/>
  <c r="AG297" i="100"/>
  <c r="Z141" i="102" s="1"/>
  <c r="AE297" i="100"/>
  <c r="Y141" i="102" s="1"/>
  <c r="AC297" i="100"/>
  <c r="X141" i="102" s="1"/>
  <c r="AA297" i="100"/>
  <c r="W141" i="102" s="1"/>
  <c r="Y297" i="100"/>
  <c r="V141" i="102" s="1"/>
  <c r="AI296" i="100"/>
  <c r="AG296" i="100"/>
  <c r="Z140" i="102" s="1"/>
  <c r="AE296" i="100"/>
  <c r="AC296" i="100"/>
  <c r="X140" i="102" s="1"/>
  <c r="AA296" i="100"/>
  <c r="W140" i="102" s="1"/>
  <c r="Y296" i="100"/>
  <c r="AI295" i="100"/>
  <c r="AG295" i="100"/>
  <c r="Z139" i="102" s="1"/>
  <c r="AE295" i="100"/>
  <c r="Y139" i="102" s="1"/>
  <c r="AC295" i="100"/>
  <c r="X139" i="102" s="1"/>
  <c r="AA295" i="100"/>
  <c r="W139" i="102" s="1"/>
  <c r="Y295" i="100"/>
  <c r="V139" i="102" s="1"/>
  <c r="AI294" i="100"/>
  <c r="AG294" i="100"/>
  <c r="Z138" i="102" s="1"/>
  <c r="AE294" i="100"/>
  <c r="Y138" i="102" s="1"/>
  <c r="AC294" i="100"/>
  <c r="X138" i="102" s="1"/>
  <c r="AA294" i="100"/>
  <c r="W138" i="102" s="1"/>
  <c r="Y294" i="100"/>
  <c r="V138" i="102" s="1"/>
  <c r="AI293" i="100"/>
  <c r="AG293" i="100"/>
  <c r="Z137" i="102" s="1"/>
  <c r="AE293" i="100"/>
  <c r="Y137" i="102" s="1"/>
  <c r="AC293" i="100"/>
  <c r="X137" i="102" s="1"/>
  <c r="AA293" i="100"/>
  <c r="W137" i="102" s="1"/>
  <c r="Y293" i="100"/>
  <c r="V137" i="102" s="1"/>
  <c r="AI292" i="100"/>
  <c r="AG292" i="100"/>
  <c r="Z136" i="102" s="1"/>
  <c r="AE292" i="100"/>
  <c r="Y136" i="102" s="1"/>
  <c r="AC292" i="100"/>
  <c r="X136" i="102" s="1"/>
  <c r="AA292" i="100"/>
  <c r="W136" i="102" s="1"/>
  <c r="Y292" i="100"/>
  <c r="V136" i="102" s="1"/>
  <c r="AI291" i="100"/>
  <c r="AG291" i="100"/>
  <c r="Z135" i="102" s="1"/>
  <c r="AE291" i="100"/>
  <c r="Y135" i="102" s="1"/>
  <c r="AC291" i="100"/>
  <c r="X135" i="102" s="1"/>
  <c r="AA291" i="100"/>
  <c r="W135" i="102" s="1"/>
  <c r="Y291" i="100"/>
  <c r="V135" i="102" s="1"/>
  <c r="AI290" i="100"/>
  <c r="AG290" i="100"/>
  <c r="Z134" i="102" s="1"/>
  <c r="AE290" i="100"/>
  <c r="Y134" i="102" s="1"/>
  <c r="AC290" i="100"/>
  <c r="X134" i="102" s="1"/>
  <c r="AA290" i="100"/>
  <c r="W134" i="102" s="1"/>
  <c r="Y290" i="100"/>
  <c r="V134" i="102" s="1"/>
  <c r="AI289" i="100"/>
  <c r="AG289" i="100"/>
  <c r="Z133" i="102" s="1"/>
  <c r="AE289" i="100"/>
  <c r="Y133" i="102" s="1"/>
  <c r="AC289" i="100"/>
  <c r="X133" i="102" s="1"/>
  <c r="AA289" i="100"/>
  <c r="W133" i="102" s="1"/>
  <c r="Y289" i="100"/>
  <c r="V133" i="102" s="1"/>
  <c r="AI288" i="100"/>
  <c r="AG288" i="100"/>
  <c r="Z132" i="102" s="1"/>
  <c r="AE288" i="100"/>
  <c r="Y132" i="102" s="1"/>
  <c r="AC288" i="100"/>
  <c r="X132" i="102" s="1"/>
  <c r="AA288" i="100"/>
  <c r="W132" i="102" s="1"/>
  <c r="Y288" i="100"/>
  <c r="V132" i="102" s="1"/>
  <c r="AI207" i="100"/>
  <c r="AG207" i="100"/>
  <c r="Z130" i="102" s="1"/>
  <c r="AE207" i="100"/>
  <c r="Y130" i="102" s="1"/>
  <c r="AC207" i="100"/>
  <c r="X130" i="102" s="1"/>
  <c r="AA207" i="100"/>
  <c r="W130" i="102" s="1"/>
  <c r="Y207" i="100"/>
  <c r="V130" i="102" s="1"/>
  <c r="AI206" i="100"/>
  <c r="AG206" i="100"/>
  <c r="AE206" i="100"/>
  <c r="Y129" i="102" s="1"/>
  <c r="AC206" i="100"/>
  <c r="AA206" i="100"/>
  <c r="W129" i="102" s="1"/>
  <c r="Y206" i="100"/>
  <c r="V129" i="102" s="1"/>
  <c r="AI205" i="100"/>
  <c r="AG205" i="100"/>
  <c r="Z128" i="102" s="1"/>
  <c r="AE205" i="100"/>
  <c r="Y128" i="102" s="1"/>
  <c r="AC205" i="100"/>
  <c r="AA205" i="100"/>
  <c r="W128" i="102" s="1"/>
  <c r="Y205" i="100"/>
  <c r="V128" i="102" s="1"/>
  <c r="AI204" i="100"/>
  <c r="AG204" i="100"/>
  <c r="Z127" i="102" s="1"/>
  <c r="AE204" i="100"/>
  <c r="AC204" i="100"/>
  <c r="X127" i="102" s="1"/>
  <c r="AA204" i="100"/>
  <c r="W127" i="102" s="1"/>
  <c r="Y204" i="100"/>
  <c r="AI203" i="100"/>
  <c r="AG203" i="100"/>
  <c r="Z126" i="102" s="1"/>
  <c r="AE203" i="100"/>
  <c r="Y126" i="102" s="1"/>
  <c r="AC203" i="100"/>
  <c r="X126" i="102" s="1"/>
  <c r="AA203" i="100"/>
  <c r="W126" i="102" s="1"/>
  <c r="Y203" i="100"/>
  <c r="V126" i="102" s="1"/>
  <c r="AI202" i="100"/>
  <c r="AG202" i="100"/>
  <c r="Z125" i="102" s="1"/>
  <c r="AE202" i="100"/>
  <c r="Y125" i="102" s="1"/>
  <c r="AC202" i="100"/>
  <c r="X125" i="102" s="1"/>
  <c r="AA202" i="100"/>
  <c r="W125" i="102" s="1"/>
  <c r="Y202" i="100"/>
  <c r="V125" i="102" s="1"/>
  <c r="AI201" i="100"/>
  <c r="AG201" i="100"/>
  <c r="Z124" i="102" s="1"/>
  <c r="AE201" i="100"/>
  <c r="Y124" i="102" s="1"/>
  <c r="AC201" i="100"/>
  <c r="AA201" i="100"/>
  <c r="W124" i="102" s="1"/>
  <c r="Y201" i="100"/>
  <c r="V124" i="102" s="1"/>
  <c r="AI200" i="100"/>
  <c r="AG200" i="100"/>
  <c r="Z123" i="102" s="1"/>
  <c r="AE200" i="100"/>
  <c r="AC200" i="100"/>
  <c r="X123" i="102" s="1"/>
  <c r="AA200" i="100"/>
  <c r="Y200" i="100"/>
  <c r="AI199" i="100"/>
  <c r="AG199" i="100"/>
  <c r="Z122" i="102" s="1"/>
  <c r="AE199" i="100"/>
  <c r="Y122" i="102" s="1"/>
  <c r="AC199" i="100"/>
  <c r="X122" i="102" s="1"/>
  <c r="AA199" i="100"/>
  <c r="Y199" i="100"/>
  <c r="V122" i="102" s="1"/>
  <c r="AI198" i="100"/>
  <c r="AG198" i="100"/>
  <c r="AE198" i="100"/>
  <c r="Y121" i="102" s="1"/>
  <c r="AC198" i="100"/>
  <c r="AA198" i="100"/>
  <c r="W121" i="102" s="1"/>
  <c r="Y198" i="100"/>
  <c r="V121" i="102" s="1"/>
  <c r="AI197" i="100"/>
  <c r="AG197" i="100"/>
  <c r="Z120" i="102" s="1"/>
  <c r="AE197" i="100"/>
  <c r="Y120" i="102" s="1"/>
  <c r="AC197" i="100"/>
  <c r="X120" i="102" s="1"/>
  <c r="AA197" i="100"/>
  <c r="W120" i="102" s="1"/>
  <c r="Y197" i="100"/>
  <c r="V120" i="102" s="1"/>
  <c r="AI196" i="100"/>
  <c r="AG196" i="100"/>
  <c r="AE196" i="100"/>
  <c r="AC196" i="100"/>
  <c r="X119" i="102" s="1"/>
  <c r="AA196" i="100"/>
  <c r="W119" i="102" s="1"/>
  <c r="Y196" i="100"/>
  <c r="V119" i="102" s="1"/>
  <c r="AI195" i="100"/>
  <c r="AG195" i="100"/>
  <c r="Z118" i="102" s="1"/>
  <c r="AE195" i="100"/>
  <c r="Y118" i="102" s="1"/>
  <c r="AC195" i="100"/>
  <c r="X118" i="102" s="1"/>
  <c r="AA195" i="100"/>
  <c r="Y195" i="100"/>
  <c r="V118" i="102" s="1"/>
  <c r="AI194" i="100"/>
  <c r="AG194" i="100"/>
  <c r="AE194" i="100"/>
  <c r="Y117" i="102" s="1"/>
  <c r="AC194" i="100"/>
  <c r="X117" i="102" s="1"/>
  <c r="AA194" i="100"/>
  <c r="W117" i="102" s="1"/>
  <c r="Y194" i="100"/>
  <c r="V117" i="102" s="1"/>
  <c r="AI193" i="100"/>
  <c r="AG193" i="100"/>
  <c r="Z116" i="102" s="1"/>
  <c r="AE193" i="100"/>
  <c r="Y116" i="102" s="1"/>
  <c r="AC193" i="100"/>
  <c r="X116" i="102" s="1"/>
  <c r="AA193" i="100"/>
  <c r="W116" i="102" s="1"/>
  <c r="Y193" i="100"/>
  <c r="V116" i="102" s="1"/>
  <c r="AI192" i="100"/>
  <c r="AG192" i="100"/>
  <c r="AE192" i="100"/>
  <c r="AC192" i="100"/>
  <c r="AA192" i="100"/>
  <c r="Y192" i="100"/>
  <c r="AI191" i="100"/>
  <c r="AG191" i="100"/>
  <c r="Z114" i="102" s="1"/>
  <c r="AE191" i="100"/>
  <c r="AC191" i="100"/>
  <c r="X114" i="102" s="1"/>
  <c r="AA191" i="100"/>
  <c r="W114" i="102" s="1"/>
  <c r="Y191" i="100"/>
  <c r="V114" i="102" s="1"/>
  <c r="AI190" i="100"/>
  <c r="AG190" i="100"/>
  <c r="Z113" i="102" s="1"/>
  <c r="AE190" i="100"/>
  <c r="AC190" i="100"/>
  <c r="AA190" i="100"/>
  <c r="W113" i="102" s="1"/>
  <c r="Y190" i="100"/>
  <c r="AI189" i="100"/>
  <c r="AG189" i="100"/>
  <c r="Z112" i="102" s="1"/>
  <c r="AE189" i="100"/>
  <c r="Y112" i="102" s="1"/>
  <c r="AC189" i="100"/>
  <c r="AA189" i="100"/>
  <c r="Y189" i="100"/>
  <c r="AI188" i="100"/>
  <c r="AG188" i="100"/>
  <c r="AE188" i="100"/>
  <c r="AC188" i="100"/>
  <c r="X111" i="102" s="1"/>
  <c r="AA188" i="100"/>
  <c r="W111" i="102" s="1"/>
  <c r="Y188" i="100"/>
  <c r="V111" i="102" s="1"/>
  <c r="AI187" i="100"/>
  <c r="AG187" i="100"/>
  <c r="Z110" i="102" s="1"/>
  <c r="AE187" i="100"/>
  <c r="AC187" i="100"/>
  <c r="X110" i="102" s="1"/>
  <c r="AA187" i="100"/>
  <c r="W110" i="102" s="1"/>
  <c r="Y187" i="100"/>
  <c r="V110" i="102" s="1"/>
  <c r="AI186" i="100"/>
  <c r="AG186" i="100"/>
  <c r="AE186" i="100"/>
  <c r="Y109" i="102" s="1"/>
  <c r="AC186" i="100"/>
  <c r="X109" i="102" s="1"/>
  <c r="AA186" i="100"/>
  <c r="W109" i="102" s="1"/>
  <c r="Y186" i="100"/>
  <c r="V109" i="102" s="1"/>
  <c r="AI185" i="100"/>
  <c r="AG185" i="100"/>
  <c r="Z108" i="102" s="1"/>
  <c r="AE185" i="100"/>
  <c r="Y108" i="102" s="1"/>
  <c r="AC185" i="100"/>
  <c r="AA185" i="100"/>
  <c r="Y185" i="100"/>
  <c r="V108" i="102" s="1"/>
  <c r="AI184" i="100"/>
  <c r="AG184" i="100"/>
  <c r="Z107" i="102" s="1"/>
  <c r="AE184" i="100"/>
  <c r="AC184" i="100"/>
  <c r="X107" i="102" s="1"/>
  <c r="AA184" i="100"/>
  <c r="W107" i="102" s="1"/>
  <c r="Y184" i="100"/>
  <c r="V107" i="102" s="1"/>
  <c r="AI183" i="100"/>
  <c r="AG183" i="100"/>
  <c r="Z106" i="102" s="1"/>
  <c r="AE183" i="100"/>
  <c r="Y106" i="102" s="1"/>
  <c r="AC183" i="100"/>
  <c r="AA183" i="100"/>
  <c r="Y183" i="100"/>
  <c r="V106" i="102" s="1"/>
  <c r="AI182" i="100"/>
  <c r="AG182" i="100"/>
  <c r="Z105" i="102" s="1"/>
  <c r="AE182" i="100"/>
  <c r="AC182" i="100"/>
  <c r="AA182" i="100"/>
  <c r="W105" i="102" s="1"/>
  <c r="Y182" i="100"/>
  <c r="V105" i="102" s="1"/>
  <c r="AI181" i="100"/>
  <c r="AG181" i="100"/>
  <c r="Z104" i="102" s="1"/>
  <c r="AE181" i="100"/>
  <c r="AC181" i="100"/>
  <c r="AA181" i="100"/>
  <c r="W104" i="102" s="1"/>
  <c r="Y181" i="100"/>
  <c r="V104" i="102" s="1"/>
  <c r="AI180" i="100"/>
  <c r="AG180" i="100"/>
  <c r="Z103" i="102" s="1"/>
  <c r="AE180" i="100"/>
  <c r="Y103" i="102" s="1"/>
  <c r="AC180" i="100"/>
  <c r="X103" i="102" s="1"/>
  <c r="AA180" i="100"/>
  <c r="W103" i="102" s="1"/>
  <c r="Y180" i="100"/>
  <c r="V103" i="102" s="1"/>
  <c r="AI179" i="100"/>
  <c r="AG179" i="100"/>
  <c r="Z102" i="102" s="1"/>
  <c r="AE179" i="100"/>
  <c r="Y102" i="102" s="1"/>
  <c r="AC179" i="100"/>
  <c r="X102" i="102" s="1"/>
  <c r="AA179" i="100"/>
  <c r="W102" i="102" s="1"/>
  <c r="Y179" i="100"/>
  <c r="V102" i="102" s="1"/>
  <c r="AI178" i="100"/>
  <c r="AG178" i="100"/>
  <c r="Z101" i="102" s="1"/>
  <c r="AE178" i="100"/>
  <c r="Y101" i="102" s="1"/>
  <c r="AC178" i="100"/>
  <c r="X101" i="102" s="1"/>
  <c r="AA178" i="100"/>
  <c r="W101" i="102" s="1"/>
  <c r="Y178" i="100"/>
  <c r="V101" i="102" s="1"/>
  <c r="AI177" i="100"/>
  <c r="AG177" i="100"/>
  <c r="Z100" i="102" s="1"/>
  <c r="AE177" i="100"/>
  <c r="Y100" i="102" s="1"/>
  <c r="AC177" i="100"/>
  <c r="X100" i="102" s="1"/>
  <c r="AA177" i="100"/>
  <c r="W100" i="102" s="1"/>
  <c r="Y177" i="100"/>
  <c r="V100" i="102" s="1"/>
  <c r="AI176" i="100"/>
  <c r="AG176" i="100"/>
  <c r="Z99" i="102" s="1"/>
  <c r="AE176" i="100"/>
  <c r="Y99" i="102" s="1"/>
  <c r="AC176" i="100"/>
  <c r="X99" i="102" s="1"/>
  <c r="AA176" i="100"/>
  <c r="Y176" i="100"/>
  <c r="V99" i="102" s="1"/>
  <c r="AI175" i="100"/>
  <c r="AG175" i="100"/>
  <c r="Z98" i="102" s="1"/>
  <c r="AE175" i="100"/>
  <c r="Y98" i="102" s="1"/>
  <c r="AC175" i="100"/>
  <c r="X98" i="102" s="1"/>
  <c r="AA175" i="100"/>
  <c r="W98" i="102" s="1"/>
  <c r="Y175" i="100"/>
  <c r="V98" i="102" s="1"/>
  <c r="AI174" i="100"/>
  <c r="AG174" i="100"/>
  <c r="Z97" i="102" s="1"/>
  <c r="AE174" i="100"/>
  <c r="Y97" i="102" s="1"/>
  <c r="AC174" i="100"/>
  <c r="X97" i="102" s="1"/>
  <c r="AA174" i="100"/>
  <c r="W97" i="102" s="1"/>
  <c r="Y174" i="100"/>
  <c r="AI173" i="100"/>
  <c r="AG173" i="100"/>
  <c r="Z96" i="102" s="1"/>
  <c r="AE173" i="100"/>
  <c r="Y96" i="102" s="1"/>
  <c r="AC173" i="100"/>
  <c r="X96" i="102" s="1"/>
  <c r="AA173" i="100"/>
  <c r="Y173" i="100"/>
  <c r="V96" i="102" s="1"/>
  <c r="AI172" i="100"/>
  <c r="AG172" i="100"/>
  <c r="AE172" i="100"/>
  <c r="Y95" i="102" s="1"/>
  <c r="AC172" i="100"/>
  <c r="X95" i="102" s="1"/>
  <c r="AA172" i="100"/>
  <c r="W95" i="102" s="1"/>
  <c r="Y172" i="100"/>
  <c r="V95" i="102" s="1"/>
  <c r="AI171" i="100"/>
  <c r="AG171" i="100"/>
  <c r="Z94" i="102" s="1"/>
  <c r="AE171" i="100"/>
  <c r="Y94" i="102" s="1"/>
  <c r="AC171" i="100"/>
  <c r="X94" i="102" s="1"/>
  <c r="AA171" i="100"/>
  <c r="W94" i="102" s="1"/>
  <c r="Y171" i="100"/>
  <c r="V94" i="102" s="1"/>
  <c r="AI170" i="100"/>
  <c r="AG170" i="100"/>
  <c r="Z93" i="102" s="1"/>
  <c r="AE170" i="100"/>
  <c r="Y93" i="102" s="1"/>
  <c r="AC170" i="100"/>
  <c r="X93" i="102" s="1"/>
  <c r="AA170" i="100"/>
  <c r="W93" i="102" s="1"/>
  <c r="Y170" i="100"/>
  <c r="V93" i="102" s="1"/>
  <c r="AI169" i="100"/>
  <c r="AG169" i="100"/>
  <c r="Z92" i="102" s="1"/>
  <c r="AE169" i="100"/>
  <c r="Y92" i="102" s="1"/>
  <c r="AC169" i="100"/>
  <c r="X92" i="102" s="1"/>
  <c r="AA169" i="100"/>
  <c r="W92" i="102" s="1"/>
  <c r="Y169" i="100"/>
  <c r="V92" i="102" s="1"/>
  <c r="AI168" i="100"/>
  <c r="AG168" i="100"/>
  <c r="AE168" i="100"/>
  <c r="Y91" i="102" s="1"/>
  <c r="AC168" i="100"/>
  <c r="X91" i="102" s="1"/>
  <c r="AA168" i="100"/>
  <c r="W91" i="102" s="1"/>
  <c r="Y168" i="100"/>
  <c r="V91" i="102" s="1"/>
  <c r="AI167" i="100"/>
  <c r="AG167" i="100"/>
  <c r="Z90" i="102" s="1"/>
  <c r="AE167" i="100"/>
  <c r="Y90" i="102" s="1"/>
  <c r="AC167" i="100"/>
  <c r="X90" i="102" s="1"/>
  <c r="AA167" i="100"/>
  <c r="W90" i="102" s="1"/>
  <c r="Y167" i="100"/>
  <c r="V90" i="102" s="1"/>
  <c r="AI166" i="100"/>
  <c r="AG166" i="100"/>
  <c r="Z89" i="102" s="1"/>
  <c r="AE166" i="100"/>
  <c r="Y89" i="102" s="1"/>
  <c r="AC166" i="100"/>
  <c r="X89" i="102" s="1"/>
  <c r="AA166" i="100"/>
  <c r="Y166" i="100"/>
  <c r="V89" i="102" s="1"/>
  <c r="AI165" i="100"/>
  <c r="AG165" i="100"/>
  <c r="Z88" i="102" s="1"/>
  <c r="AE165" i="100"/>
  <c r="Y88" i="102" s="1"/>
  <c r="AC165" i="100"/>
  <c r="X88" i="102" s="1"/>
  <c r="AA165" i="100"/>
  <c r="Y165" i="100"/>
  <c r="V88" i="102" s="1"/>
  <c r="AI164" i="100"/>
  <c r="AG164" i="100"/>
  <c r="Z87" i="102" s="1"/>
  <c r="AE164" i="100"/>
  <c r="Y87" i="102" s="1"/>
  <c r="AC164" i="100"/>
  <c r="X87" i="102" s="1"/>
  <c r="AA164" i="100"/>
  <c r="Y164" i="100"/>
  <c r="V87" i="102" s="1"/>
  <c r="AI163" i="100"/>
  <c r="AG163" i="100"/>
  <c r="Z86" i="102" s="1"/>
  <c r="AE163" i="100"/>
  <c r="Y86" i="102" s="1"/>
  <c r="AC163" i="100"/>
  <c r="X86" i="102" s="1"/>
  <c r="AA163" i="100"/>
  <c r="W86" i="102" s="1"/>
  <c r="Y163" i="100"/>
  <c r="V86" i="102" s="1"/>
  <c r="AI162" i="100"/>
  <c r="AG162" i="100"/>
  <c r="Z85" i="102" s="1"/>
  <c r="AE162" i="100"/>
  <c r="Y85" i="102" s="1"/>
  <c r="AC162" i="100"/>
  <c r="AA162" i="100"/>
  <c r="W85" i="102" s="1"/>
  <c r="Y162" i="100"/>
  <c r="V85" i="102" s="1"/>
  <c r="AI161" i="100"/>
  <c r="AG161" i="100"/>
  <c r="Z84" i="102" s="1"/>
  <c r="AE161" i="100"/>
  <c r="Y84" i="102" s="1"/>
  <c r="AC161" i="100"/>
  <c r="X84" i="102" s="1"/>
  <c r="AA161" i="100"/>
  <c r="W84" i="102" s="1"/>
  <c r="Y161" i="100"/>
  <c r="V84" i="102" s="1"/>
  <c r="AI160" i="100"/>
  <c r="AG160" i="100"/>
  <c r="Z83" i="102" s="1"/>
  <c r="AE160" i="100"/>
  <c r="Y83" i="102" s="1"/>
  <c r="AC160" i="100"/>
  <c r="X83" i="102" s="1"/>
  <c r="AA160" i="100"/>
  <c r="W83" i="102" s="1"/>
  <c r="Y160" i="100"/>
  <c r="V83" i="102" s="1"/>
  <c r="AI159" i="100"/>
  <c r="AG159" i="100"/>
  <c r="Z82" i="102" s="1"/>
  <c r="AE159" i="100"/>
  <c r="Y82" i="102" s="1"/>
  <c r="AC159" i="100"/>
  <c r="X82" i="102" s="1"/>
  <c r="AA159" i="100"/>
  <c r="W82" i="102" s="1"/>
  <c r="Y159" i="100"/>
  <c r="V82" i="102" s="1"/>
  <c r="AI158" i="100"/>
  <c r="AG158" i="100"/>
  <c r="Z81" i="102" s="1"/>
  <c r="AE158" i="100"/>
  <c r="Y81" i="102" s="1"/>
  <c r="AC158" i="100"/>
  <c r="X81" i="102" s="1"/>
  <c r="AA158" i="100"/>
  <c r="W81" i="102" s="1"/>
  <c r="Y158" i="100"/>
  <c r="V81" i="102" s="1"/>
  <c r="AZ62" i="90"/>
  <c r="AZ25" i="90"/>
  <c r="V3" i="1"/>
  <c r="V2" i="1"/>
  <c r="AB4" i="1"/>
  <c r="V1" i="1"/>
  <c r="D159" i="100"/>
  <c r="D82" i="102" s="1"/>
  <c r="D160" i="100"/>
  <c r="D83" i="102" s="1"/>
  <c r="D161" i="100"/>
  <c r="D84" i="102" s="1"/>
  <c r="D162" i="100"/>
  <c r="D85" i="102" s="1"/>
  <c r="D163" i="100"/>
  <c r="D86" i="102" s="1"/>
  <c r="D164" i="100"/>
  <c r="D87" i="102" s="1"/>
  <c r="D165" i="100"/>
  <c r="D88" i="102" s="1"/>
  <c r="D166" i="100"/>
  <c r="D89" i="102" s="1"/>
  <c r="D167" i="100"/>
  <c r="D90" i="102" s="1"/>
  <c r="D168" i="100"/>
  <c r="D91" i="102" s="1"/>
  <c r="D169" i="100"/>
  <c r="D92" i="102" s="1"/>
  <c r="D170" i="100"/>
  <c r="D93" i="102" s="1"/>
  <c r="D171" i="100"/>
  <c r="D94" i="102" s="1"/>
  <c r="D172" i="100"/>
  <c r="D95" i="102" s="1"/>
  <c r="D173" i="100"/>
  <c r="D96" i="102" s="1"/>
  <c r="D174" i="100"/>
  <c r="D97" i="102" s="1"/>
  <c r="D175" i="100"/>
  <c r="D98" i="102" s="1"/>
  <c r="D176" i="100"/>
  <c r="D99" i="102" s="1"/>
  <c r="D177" i="100"/>
  <c r="D100" i="102" s="1"/>
  <c r="D178" i="100"/>
  <c r="D101" i="102" s="1"/>
  <c r="D179" i="100"/>
  <c r="D102" i="102" s="1"/>
  <c r="D180" i="100"/>
  <c r="D103" i="102" s="1"/>
  <c r="D181" i="100"/>
  <c r="D104" i="102" s="1"/>
  <c r="D182" i="100"/>
  <c r="D105" i="102" s="1"/>
  <c r="D183" i="100"/>
  <c r="D106" i="102" s="1"/>
  <c r="D184" i="100"/>
  <c r="D107" i="102" s="1"/>
  <c r="D185" i="100"/>
  <c r="D108" i="102" s="1"/>
  <c r="D186" i="100"/>
  <c r="D109" i="102" s="1"/>
  <c r="D187" i="100"/>
  <c r="D110" i="102" s="1"/>
  <c r="D188" i="100"/>
  <c r="D111" i="102" s="1"/>
  <c r="D189" i="100"/>
  <c r="D112" i="102" s="1"/>
  <c r="D190" i="100"/>
  <c r="D113" i="102" s="1"/>
  <c r="D191" i="100"/>
  <c r="D114" i="102" s="1"/>
  <c r="D192" i="100"/>
  <c r="D115" i="102" s="1"/>
  <c r="D193" i="100"/>
  <c r="D116" i="102" s="1"/>
  <c r="D194" i="100"/>
  <c r="D117" i="102" s="1"/>
  <c r="D195" i="100"/>
  <c r="D118" i="102" s="1"/>
  <c r="D196" i="100"/>
  <c r="D119" i="102" s="1"/>
  <c r="D197" i="100"/>
  <c r="D120" i="102" s="1"/>
  <c r="D198" i="100"/>
  <c r="D121" i="102" s="1"/>
  <c r="D199" i="100"/>
  <c r="D122" i="102" s="1"/>
  <c r="D200" i="100"/>
  <c r="D123" i="102" s="1"/>
  <c r="D201" i="100"/>
  <c r="D124" i="102" s="1"/>
  <c r="D202" i="100"/>
  <c r="D125" i="102" s="1"/>
  <c r="D203" i="100"/>
  <c r="D126" i="102" s="1"/>
  <c r="D204" i="100"/>
  <c r="D127" i="102" s="1"/>
  <c r="D205" i="100"/>
  <c r="D128" i="102" s="1"/>
  <c r="D206" i="100"/>
  <c r="D129" i="102" s="1"/>
  <c r="D207" i="100"/>
  <c r="D130" i="102" s="1"/>
  <c r="D158" i="100"/>
  <c r="D81" i="102" s="1"/>
  <c r="L11" i="101"/>
  <c r="E15" i="102"/>
  <c r="W51" i="1"/>
  <c r="V51" i="1"/>
  <c r="U51" i="1"/>
  <c r="W50" i="1"/>
  <c r="V50" i="1"/>
  <c r="U50" i="1"/>
  <c r="D21" i="100"/>
  <c r="D23" i="102" s="1"/>
  <c r="D22" i="100"/>
  <c r="D24" i="102" s="1"/>
  <c r="D23" i="100"/>
  <c r="D25" i="102" s="1"/>
  <c r="D24" i="100"/>
  <c r="D26" i="102" s="1"/>
  <c r="D25" i="100"/>
  <c r="D27" i="102" s="1"/>
  <c r="D26" i="100"/>
  <c r="D28" i="102" s="1"/>
  <c r="D27" i="100"/>
  <c r="D29" i="102" s="1"/>
  <c r="D28" i="100"/>
  <c r="D30" i="102" s="1"/>
  <c r="D29" i="100"/>
  <c r="D31" i="102" s="1"/>
  <c r="D30" i="100"/>
  <c r="D32" i="102" s="1"/>
  <c r="D31" i="100"/>
  <c r="D33" i="102" s="1"/>
  <c r="D32" i="100"/>
  <c r="D34" i="102" s="1"/>
  <c r="D33" i="100"/>
  <c r="D35" i="102" s="1"/>
  <c r="D34" i="100"/>
  <c r="D36" i="102" s="1"/>
  <c r="D35" i="100"/>
  <c r="D37" i="102" s="1"/>
  <c r="D36" i="100"/>
  <c r="D38" i="102" s="1"/>
  <c r="D37" i="100"/>
  <c r="D39" i="102" s="1"/>
  <c r="D38" i="100"/>
  <c r="D40" i="102" s="1"/>
  <c r="D39" i="100"/>
  <c r="D41" i="102" s="1"/>
  <c r="D40" i="100"/>
  <c r="D42" i="102" s="1"/>
  <c r="D41" i="100"/>
  <c r="D43" i="102" s="1"/>
  <c r="D42" i="100"/>
  <c r="D44" i="102" s="1"/>
  <c r="D45" i="102"/>
  <c r="D8" i="100"/>
  <c r="D10" i="102" s="1"/>
  <c r="D10" i="100"/>
  <c r="D12" i="102" s="1"/>
  <c r="D11" i="100"/>
  <c r="D13" i="102" s="1"/>
  <c r="D15" i="100"/>
  <c r="D17" i="102" s="1"/>
  <c r="D16" i="100"/>
  <c r="D18" i="102" s="1"/>
  <c r="D17" i="100"/>
  <c r="D19" i="102" s="1"/>
  <c r="D18" i="100"/>
  <c r="D20" i="102" s="1"/>
  <c r="D19" i="100"/>
  <c r="D21" i="102" s="1"/>
  <c r="D20" i="100"/>
  <c r="D22" i="102" s="1"/>
  <c r="D13" i="100"/>
  <c r="D15" i="102" s="1"/>
  <c r="D14" i="100"/>
  <c r="D16" i="102" s="1"/>
  <c r="DI12" i="90"/>
  <c r="AK8" i="100"/>
  <c r="IK9" i="100"/>
  <c r="AK9" i="100" s="1"/>
  <c r="AZ99" i="90"/>
  <c r="AA16" i="1"/>
  <c r="P181" i="102"/>
  <c r="P180" i="102"/>
  <c r="P179" i="102"/>
  <c r="P178" i="102"/>
  <c r="P177" i="102"/>
  <c r="P176" i="102"/>
  <c r="P175" i="102"/>
  <c r="P174" i="102"/>
  <c r="P173" i="102"/>
  <c r="P172" i="102"/>
  <c r="P171" i="102"/>
  <c r="P170" i="102"/>
  <c r="P169" i="102"/>
  <c r="P168" i="102"/>
  <c r="P167" i="102"/>
  <c r="P166" i="102"/>
  <c r="P165" i="102"/>
  <c r="P164" i="102"/>
  <c r="P163" i="102"/>
  <c r="P162" i="102"/>
  <c r="P161" i="102"/>
  <c r="P160" i="102"/>
  <c r="P159" i="102"/>
  <c r="P158" i="102"/>
  <c r="P157" i="102"/>
  <c r="P156" i="102"/>
  <c r="P155" i="102"/>
  <c r="P154" i="102"/>
  <c r="P153" i="102"/>
  <c r="P152" i="102"/>
  <c r="P151" i="102"/>
  <c r="P150" i="102"/>
  <c r="P149" i="102"/>
  <c r="P148" i="102"/>
  <c r="P147" i="102"/>
  <c r="P146" i="102"/>
  <c r="P145" i="102"/>
  <c r="P144" i="102"/>
  <c r="P143" i="102"/>
  <c r="P142" i="102"/>
  <c r="P141" i="102"/>
  <c r="P140" i="102"/>
  <c r="P139" i="102"/>
  <c r="P138" i="102"/>
  <c r="P137" i="102"/>
  <c r="P136" i="102"/>
  <c r="P135" i="102"/>
  <c r="P134" i="102"/>
  <c r="P133" i="102"/>
  <c r="P132" i="102"/>
  <c r="P130" i="102"/>
  <c r="P129" i="102"/>
  <c r="P128" i="102"/>
  <c r="P127" i="102"/>
  <c r="P126" i="102"/>
  <c r="P125" i="102"/>
  <c r="P124" i="102"/>
  <c r="P123" i="102"/>
  <c r="P122" i="102"/>
  <c r="P121" i="102"/>
  <c r="P120" i="102"/>
  <c r="P119" i="102"/>
  <c r="P118" i="102"/>
  <c r="P117" i="102"/>
  <c r="P116" i="102"/>
  <c r="P115" i="102"/>
  <c r="P114" i="102"/>
  <c r="P113" i="102"/>
  <c r="P112" i="102"/>
  <c r="P111" i="102"/>
  <c r="P110" i="102"/>
  <c r="P109" i="102"/>
  <c r="P108" i="102"/>
  <c r="P107" i="102"/>
  <c r="P106" i="102"/>
  <c r="P105" i="102"/>
  <c r="P104" i="102"/>
  <c r="P103" i="102"/>
  <c r="P102" i="102"/>
  <c r="P101" i="102"/>
  <c r="P100" i="102"/>
  <c r="P99" i="102"/>
  <c r="P98" i="102"/>
  <c r="P97" i="102"/>
  <c r="P96" i="102"/>
  <c r="P95" i="102"/>
  <c r="P94" i="102"/>
  <c r="P93" i="102"/>
  <c r="P92" i="102"/>
  <c r="P91" i="102"/>
  <c r="P90" i="102"/>
  <c r="P89" i="102"/>
  <c r="P88" i="102"/>
  <c r="P87" i="102"/>
  <c r="P86" i="102"/>
  <c r="P85" i="102"/>
  <c r="P84" i="102"/>
  <c r="P83" i="102"/>
  <c r="P82" i="102"/>
  <c r="P81" i="102"/>
  <c r="C6" i="90"/>
  <c r="C3" i="90"/>
  <c r="G9" i="1"/>
  <c r="E12" i="90"/>
  <c r="B12" i="90"/>
  <c r="E49" i="90"/>
  <c r="DH49" i="90" s="1"/>
  <c r="E86" i="90"/>
  <c r="DH86" i="90" s="1"/>
  <c r="AI2" i="101"/>
  <c r="X6" i="75"/>
  <c r="X7" i="75"/>
  <c r="Q7" i="75" s="1"/>
  <c r="X8" i="75"/>
  <c r="Q8" i="75" s="1"/>
  <c r="X9" i="75"/>
  <c r="Q9" i="75" s="1"/>
  <c r="X10" i="75"/>
  <c r="Q10" i="75" s="1"/>
  <c r="X11" i="75"/>
  <c r="Q11" i="75" s="1"/>
  <c r="X12" i="75"/>
  <c r="Q12" i="75" s="1"/>
  <c r="X13" i="75"/>
  <c r="Q13" i="75" s="1"/>
  <c r="X14" i="75"/>
  <c r="Q14" i="75" s="1"/>
  <c r="X15" i="75"/>
  <c r="Q15" i="75" s="1"/>
  <c r="X16" i="75"/>
  <c r="Q16" i="75" s="1"/>
  <c r="X17" i="75"/>
  <c r="Q17" i="75" s="1"/>
  <c r="X18" i="75"/>
  <c r="Q18" i="75" s="1"/>
  <c r="X19" i="75"/>
  <c r="Q19" i="75" s="1"/>
  <c r="X20" i="75"/>
  <c r="Q20" i="75" s="1"/>
  <c r="X21" i="75"/>
  <c r="Q21" i="75" s="1"/>
  <c r="X22" i="75"/>
  <c r="Q22" i="75" s="1"/>
  <c r="X23" i="75"/>
  <c r="Q23" i="75" s="1"/>
  <c r="X24" i="75"/>
  <c r="Q24" i="75" s="1"/>
  <c r="X25" i="75"/>
  <c r="Q25" i="75" s="1"/>
  <c r="X26" i="75"/>
  <c r="Q26" i="75" s="1"/>
  <c r="X27" i="75"/>
  <c r="Q27" i="75" s="1"/>
  <c r="X5" i="75"/>
  <c r="C7" i="75"/>
  <c r="C8" i="75"/>
  <c r="C9" i="75"/>
  <c r="C10" i="75"/>
  <c r="C11" i="75"/>
  <c r="C12" i="75"/>
  <c r="C13" i="75"/>
  <c r="C14" i="75"/>
  <c r="C15" i="75"/>
  <c r="C16" i="75"/>
  <c r="C17" i="75"/>
  <c r="C18" i="75"/>
  <c r="C19" i="75"/>
  <c r="C20" i="75"/>
  <c r="C21" i="75"/>
  <c r="C22" i="75"/>
  <c r="C23" i="75"/>
  <c r="C24" i="75"/>
  <c r="C25" i="75"/>
  <c r="C26" i="75"/>
  <c r="C27" i="75"/>
  <c r="AD1" i="1"/>
  <c r="W6" i="1"/>
  <c r="X2" i="1"/>
  <c r="X1" i="1"/>
  <c r="AG642" i="1"/>
  <c r="AF642" i="1"/>
  <c r="W642" i="1"/>
  <c r="V642" i="1"/>
  <c r="U642" i="1"/>
  <c r="AG641" i="1"/>
  <c r="AF641" i="1"/>
  <c r="W641" i="1"/>
  <c r="V641" i="1"/>
  <c r="U641" i="1"/>
  <c r="AG640" i="1"/>
  <c r="AF640" i="1"/>
  <c r="W640" i="1"/>
  <c r="V640" i="1"/>
  <c r="U640" i="1"/>
  <c r="AG639" i="1"/>
  <c r="AF639" i="1"/>
  <c r="W639" i="1"/>
  <c r="V639" i="1"/>
  <c r="U639" i="1"/>
  <c r="AG638" i="1"/>
  <c r="AF638" i="1"/>
  <c r="W638" i="1"/>
  <c r="V638" i="1"/>
  <c r="U638" i="1"/>
  <c r="AG637" i="1"/>
  <c r="AF637" i="1"/>
  <c r="W637" i="1"/>
  <c r="V637" i="1"/>
  <c r="U637" i="1"/>
  <c r="AG636" i="1"/>
  <c r="AF636" i="1"/>
  <c r="W636" i="1"/>
  <c r="V636" i="1"/>
  <c r="U636" i="1"/>
  <c r="AG635" i="1"/>
  <c r="AF635" i="1"/>
  <c r="W635" i="1"/>
  <c r="V635" i="1"/>
  <c r="U635" i="1"/>
  <c r="AG633" i="1"/>
  <c r="AF633" i="1"/>
  <c r="W633" i="1"/>
  <c r="V633" i="1"/>
  <c r="U633" i="1"/>
  <c r="AG632" i="1"/>
  <c r="AF632" i="1"/>
  <c r="W632" i="1"/>
  <c r="V632" i="1"/>
  <c r="U632" i="1"/>
  <c r="AG631" i="1"/>
  <c r="AF631" i="1"/>
  <c r="W631" i="1"/>
  <c r="V631" i="1"/>
  <c r="U631" i="1"/>
  <c r="AG630" i="1"/>
  <c r="AF630" i="1"/>
  <c r="W630" i="1"/>
  <c r="V630" i="1"/>
  <c r="U630" i="1"/>
  <c r="AG629" i="1"/>
  <c r="AF629" i="1"/>
  <c r="W629" i="1"/>
  <c r="V629" i="1"/>
  <c r="U629" i="1"/>
  <c r="AG628" i="1"/>
  <c r="AF628" i="1"/>
  <c r="W628" i="1"/>
  <c r="V628" i="1"/>
  <c r="U628" i="1"/>
  <c r="AG627" i="1"/>
  <c r="AF627" i="1"/>
  <c r="W627" i="1"/>
  <c r="V627" i="1"/>
  <c r="U627" i="1"/>
  <c r="AG626" i="1"/>
  <c r="AF626" i="1"/>
  <c r="W626" i="1"/>
  <c r="V626" i="1"/>
  <c r="U626" i="1"/>
  <c r="AG624" i="1"/>
  <c r="AF624" i="1"/>
  <c r="W624" i="1"/>
  <c r="V624" i="1"/>
  <c r="U624" i="1"/>
  <c r="AG623" i="1"/>
  <c r="AF623" i="1"/>
  <c r="W623" i="1"/>
  <c r="V623" i="1"/>
  <c r="U623" i="1"/>
  <c r="AG622" i="1"/>
  <c r="AF622" i="1"/>
  <c r="W622" i="1"/>
  <c r="V622" i="1"/>
  <c r="U622" i="1"/>
  <c r="AG621" i="1"/>
  <c r="AF621" i="1"/>
  <c r="W621" i="1"/>
  <c r="V621" i="1"/>
  <c r="U621" i="1"/>
  <c r="AG620" i="1"/>
  <c r="AF620" i="1"/>
  <c r="W620" i="1"/>
  <c r="V620" i="1"/>
  <c r="U620" i="1"/>
  <c r="AG619" i="1"/>
  <c r="AF619" i="1"/>
  <c r="W619" i="1"/>
  <c r="V619" i="1"/>
  <c r="U619" i="1"/>
  <c r="AG618" i="1"/>
  <c r="AF618" i="1"/>
  <c r="W618" i="1"/>
  <c r="V618" i="1"/>
  <c r="U618" i="1"/>
  <c r="AG617" i="1"/>
  <c r="AF617" i="1"/>
  <c r="W617" i="1"/>
  <c r="V617" i="1"/>
  <c r="U617" i="1"/>
  <c r="BZ605" i="1"/>
  <c r="BZ603" i="1"/>
  <c r="BZ14" i="1"/>
  <c r="BZ11" i="1"/>
  <c r="BZ8" i="1"/>
  <c r="EQ8" i="1" s="1"/>
  <c r="DF8" i="1"/>
  <c r="ET605" i="1"/>
  <c r="ES605" i="1"/>
  <c r="ER605" i="1"/>
  <c r="EQ605" i="1"/>
  <c r="EO605" i="1"/>
  <c r="EN605" i="1"/>
  <c r="EM605" i="1"/>
  <c r="EL605" i="1"/>
  <c r="EJ605" i="1"/>
  <c r="EI605" i="1"/>
  <c r="EH605" i="1"/>
  <c r="EG605" i="1"/>
  <c r="EE605" i="1"/>
  <c r="ED605" i="1"/>
  <c r="EC605" i="1"/>
  <c r="EB605" i="1"/>
  <c r="DY605" i="1"/>
  <c r="DV605" i="1"/>
  <c r="DU605" i="1"/>
  <c r="DS605" i="1"/>
  <c r="DT605" i="1" s="1"/>
  <c r="DQ605" i="1"/>
  <c r="DR605" i="1" s="1"/>
  <c r="DO605" i="1"/>
  <c r="DP605" i="1" s="1"/>
  <c r="DM605" i="1"/>
  <c r="DL605" i="1"/>
  <c r="DK605" i="1"/>
  <c r="DJ605" i="1"/>
  <c r="DH605" i="1"/>
  <c r="DG605" i="1"/>
  <c r="DF605" i="1"/>
  <c r="DE605" i="1"/>
  <c r="DD605" i="1"/>
  <c r="DC605" i="1"/>
  <c r="DB605" i="1"/>
  <c r="DA605" i="1"/>
  <c r="CZ605" i="1"/>
  <c r="CY605" i="1"/>
  <c r="CX605" i="1"/>
  <c r="CW605" i="1"/>
  <c r="CV605" i="1"/>
  <c r="CU605" i="1"/>
  <c r="CT605" i="1"/>
  <c r="CS605" i="1"/>
  <c r="CR605" i="1"/>
  <c r="CP605" i="1"/>
  <c r="CO605" i="1"/>
  <c r="CN605" i="1"/>
  <c r="CM605" i="1"/>
  <c r="CL605" i="1"/>
  <c r="CK605" i="1"/>
  <c r="CJ605" i="1"/>
  <c r="CI605" i="1"/>
  <c r="CD605" i="1"/>
  <c r="CH605" i="1" s="1"/>
  <c r="CC605" i="1"/>
  <c r="CG605" i="1" s="1"/>
  <c r="CB605" i="1"/>
  <c r="CF605" i="1" s="1"/>
  <c r="CA605" i="1"/>
  <c r="CE605" i="1" s="1"/>
  <c r="ET603" i="1"/>
  <c r="ES603" i="1"/>
  <c r="ER603" i="1"/>
  <c r="EQ603" i="1"/>
  <c r="EO603" i="1"/>
  <c r="EN603" i="1"/>
  <c r="EM603" i="1"/>
  <c r="EL603" i="1"/>
  <c r="EJ603" i="1"/>
  <c r="EI603" i="1"/>
  <c r="EH603" i="1"/>
  <c r="EG603" i="1"/>
  <c r="EE603" i="1"/>
  <c r="ED603" i="1"/>
  <c r="EC603" i="1"/>
  <c r="EB603" i="1"/>
  <c r="DY603" i="1"/>
  <c r="DV603" i="1"/>
  <c r="DU603" i="1"/>
  <c r="DS603" i="1"/>
  <c r="DT603" i="1" s="1"/>
  <c r="DQ603" i="1"/>
  <c r="DR603" i="1" s="1"/>
  <c r="DO603" i="1"/>
  <c r="DP603" i="1" s="1"/>
  <c r="DM603" i="1"/>
  <c r="DL603" i="1"/>
  <c r="DK603" i="1"/>
  <c r="DJ603" i="1"/>
  <c r="DH603" i="1"/>
  <c r="DG603" i="1"/>
  <c r="DF603" i="1"/>
  <c r="DE603" i="1"/>
  <c r="DD603" i="1"/>
  <c r="DC603" i="1"/>
  <c r="DB603" i="1"/>
  <c r="DA603" i="1"/>
  <c r="CZ603" i="1"/>
  <c r="CY603" i="1"/>
  <c r="CX603" i="1"/>
  <c r="CW603" i="1"/>
  <c r="CV603" i="1"/>
  <c r="CU603" i="1"/>
  <c r="CT603" i="1"/>
  <c r="CS603" i="1"/>
  <c r="CR603" i="1"/>
  <c r="CP603" i="1"/>
  <c r="CO603" i="1"/>
  <c r="CN603" i="1"/>
  <c r="CM603" i="1"/>
  <c r="CL603" i="1"/>
  <c r="CK603" i="1"/>
  <c r="CJ603" i="1"/>
  <c r="CI603" i="1"/>
  <c r="CD603" i="1"/>
  <c r="CH603" i="1" s="1"/>
  <c r="CC603" i="1"/>
  <c r="CG603" i="1" s="1"/>
  <c r="CB603" i="1"/>
  <c r="CF603" i="1" s="1"/>
  <c r="CA603" i="1"/>
  <c r="CE603" i="1" s="1"/>
  <c r="ET14" i="1"/>
  <c r="ES14" i="1"/>
  <c r="ER14" i="1"/>
  <c r="EQ14" i="1"/>
  <c r="EO14" i="1"/>
  <c r="EN14" i="1"/>
  <c r="EM14" i="1"/>
  <c r="EL14" i="1"/>
  <c r="EJ14" i="1"/>
  <c r="EI14" i="1"/>
  <c r="EH14" i="1"/>
  <c r="EG14" i="1"/>
  <c r="EE14" i="1"/>
  <c r="ED14" i="1"/>
  <c r="EC14" i="1"/>
  <c r="EB14" i="1"/>
  <c r="DY14" i="1"/>
  <c r="DV14" i="1"/>
  <c r="DU14" i="1"/>
  <c r="DS14" i="1"/>
  <c r="DT14" i="1" s="1"/>
  <c r="DQ14" i="1"/>
  <c r="DR14" i="1" s="1"/>
  <c r="DO14" i="1"/>
  <c r="DP14" i="1" s="1"/>
  <c r="DM14" i="1"/>
  <c r="DL14" i="1"/>
  <c r="DK14" i="1"/>
  <c r="DJ14" i="1"/>
  <c r="DI14" i="1"/>
  <c r="DH14" i="1"/>
  <c r="DG14" i="1"/>
  <c r="DF14" i="1"/>
  <c r="DE14" i="1"/>
  <c r="DD14" i="1"/>
  <c r="DC14" i="1"/>
  <c r="DB14" i="1"/>
  <c r="DA14" i="1"/>
  <c r="CZ14" i="1"/>
  <c r="CY14" i="1"/>
  <c r="CX14" i="1"/>
  <c r="CW14" i="1"/>
  <c r="CV14" i="1"/>
  <c r="CU14" i="1"/>
  <c r="CT14" i="1"/>
  <c r="CS14" i="1"/>
  <c r="CR14" i="1"/>
  <c r="CP14" i="1"/>
  <c r="CO14" i="1"/>
  <c r="CN14" i="1"/>
  <c r="CM14" i="1"/>
  <c r="CL14" i="1"/>
  <c r="CK14" i="1"/>
  <c r="CJ14" i="1"/>
  <c r="CI14" i="1"/>
  <c r="CD14" i="1"/>
  <c r="CH14" i="1" s="1"/>
  <c r="CC14" i="1"/>
  <c r="CG14" i="1" s="1"/>
  <c r="CB14" i="1"/>
  <c r="CF14" i="1" s="1"/>
  <c r="CA14" i="1"/>
  <c r="CE14" i="1" s="1"/>
  <c r="ET11" i="1"/>
  <c r="ES11" i="1"/>
  <c r="ER11" i="1"/>
  <c r="EQ11" i="1"/>
  <c r="EO11" i="1"/>
  <c r="EN11" i="1"/>
  <c r="EM11" i="1"/>
  <c r="EL11" i="1"/>
  <c r="EJ11" i="1"/>
  <c r="EI11" i="1"/>
  <c r="EH11" i="1"/>
  <c r="EG11" i="1"/>
  <c r="EE11" i="1"/>
  <c r="ED11" i="1"/>
  <c r="EC11" i="1"/>
  <c r="EB11" i="1"/>
  <c r="DY11" i="1"/>
  <c r="DV11" i="1"/>
  <c r="DU11" i="1"/>
  <c r="DS11" i="1"/>
  <c r="DT11" i="1" s="1"/>
  <c r="DQ11" i="1"/>
  <c r="DR11" i="1" s="1"/>
  <c r="DO11" i="1"/>
  <c r="DP11" i="1" s="1"/>
  <c r="DM11" i="1"/>
  <c r="DL11" i="1"/>
  <c r="DK11" i="1"/>
  <c r="DJ11" i="1"/>
  <c r="DI11" i="1"/>
  <c r="DH11" i="1"/>
  <c r="DG11" i="1"/>
  <c r="DF11" i="1"/>
  <c r="DE11" i="1"/>
  <c r="DC11" i="1"/>
  <c r="DB11" i="1"/>
  <c r="DA11" i="1"/>
  <c r="CZ11" i="1"/>
  <c r="CY11" i="1"/>
  <c r="CX11" i="1"/>
  <c r="CW11" i="1"/>
  <c r="CV11" i="1"/>
  <c r="CU11" i="1"/>
  <c r="CT11" i="1"/>
  <c r="CS11" i="1"/>
  <c r="CR11" i="1"/>
  <c r="CP11" i="1"/>
  <c r="CO11" i="1"/>
  <c r="CN11" i="1"/>
  <c r="CM11" i="1"/>
  <c r="CL11" i="1"/>
  <c r="CK11" i="1"/>
  <c r="CJ11" i="1"/>
  <c r="CI11" i="1"/>
  <c r="CD11" i="1"/>
  <c r="CH11" i="1" s="1"/>
  <c r="CC11" i="1"/>
  <c r="CG11" i="1" s="1"/>
  <c r="CB11" i="1"/>
  <c r="CF11" i="1" s="1"/>
  <c r="CA11" i="1"/>
  <c r="CE11" i="1" s="1"/>
  <c r="ET8" i="1"/>
  <c r="DY8" i="1"/>
  <c r="DU8" i="1"/>
  <c r="DS8" i="1"/>
  <c r="DT8" i="1" s="1"/>
  <c r="DQ8" i="1"/>
  <c r="DR8" i="1" s="1"/>
  <c r="DO8" i="1"/>
  <c r="DP8" i="1" s="1"/>
  <c r="DE8" i="1"/>
  <c r="CZ8" i="1"/>
  <c r="CY8" i="1"/>
  <c r="CV8" i="1"/>
  <c r="CR8" i="1"/>
  <c r="CP8" i="1"/>
  <c r="CM8" i="1"/>
  <c r="AH47" i="1"/>
  <c r="O14" i="104" s="1"/>
  <c r="AE14" i="104" s="1"/>
  <c r="AH14" i="104" s="1"/>
  <c r="AH38" i="1"/>
  <c r="O13" i="104" s="1"/>
  <c r="AE13" i="104" s="1"/>
  <c r="AG13" i="104" s="1"/>
  <c r="AH29" i="1"/>
  <c r="O12" i="104" s="1"/>
  <c r="L181" i="102"/>
  <c r="L180" i="102"/>
  <c r="L179" i="102"/>
  <c r="L178" i="102"/>
  <c r="L177" i="102"/>
  <c r="L176" i="102"/>
  <c r="L175" i="102"/>
  <c r="L174" i="102"/>
  <c r="L173" i="102"/>
  <c r="L172" i="102"/>
  <c r="L171" i="102"/>
  <c r="L170" i="102"/>
  <c r="L169" i="102"/>
  <c r="L168" i="102"/>
  <c r="L167" i="102"/>
  <c r="L166" i="102"/>
  <c r="L165" i="102"/>
  <c r="L164" i="102"/>
  <c r="L163" i="102"/>
  <c r="L162" i="102"/>
  <c r="L161" i="102"/>
  <c r="L160" i="102"/>
  <c r="L159" i="102"/>
  <c r="L158" i="102"/>
  <c r="L157" i="102"/>
  <c r="L156" i="102"/>
  <c r="L155" i="102"/>
  <c r="L154" i="102"/>
  <c r="L153" i="102"/>
  <c r="L152" i="102"/>
  <c r="L151" i="102"/>
  <c r="L150" i="102"/>
  <c r="L149" i="102"/>
  <c r="L148" i="102"/>
  <c r="L147" i="102"/>
  <c r="L146" i="102"/>
  <c r="L145" i="102"/>
  <c r="L144" i="102"/>
  <c r="L143" i="102"/>
  <c r="L142" i="102"/>
  <c r="L141" i="102"/>
  <c r="L140" i="102"/>
  <c r="L139" i="102"/>
  <c r="L138" i="102"/>
  <c r="L137" i="102"/>
  <c r="L136" i="102"/>
  <c r="L135" i="102"/>
  <c r="L134" i="102"/>
  <c r="L133" i="102"/>
  <c r="L132" i="102"/>
  <c r="L130" i="102"/>
  <c r="L129" i="102"/>
  <c r="L128" i="102"/>
  <c r="L127" i="102"/>
  <c r="L126" i="102"/>
  <c r="L125" i="102"/>
  <c r="L124" i="102"/>
  <c r="L123" i="102"/>
  <c r="L122" i="102"/>
  <c r="L121" i="102"/>
  <c r="L120" i="102"/>
  <c r="L119" i="102"/>
  <c r="L118" i="102"/>
  <c r="L117" i="102"/>
  <c r="L116" i="102"/>
  <c r="L115" i="102"/>
  <c r="L114" i="102"/>
  <c r="L113" i="102"/>
  <c r="L112" i="102"/>
  <c r="L111" i="102"/>
  <c r="L110" i="102"/>
  <c r="L109" i="102"/>
  <c r="L108" i="102"/>
  <c r="L107" i="102"/>
  <c r="L106" i="102"/>
  <c r="L105" i="102"/>
  <c r="L104" i="102"/>
  <c r="L103" i="102"/>
  <c r="L102" i="102"/>
  <c r="L101" i="102"/>
  <c r="L100" i="102"/>
  <c r="L99" i="102"/>
  <c r="L98" i="102"/>
  <c r="L97" i="102"/>
  <c r="L96" i="102"/>
  <c r="L95" i="102"/>
  <c r="L94" i="102"/>
  <c r="L93" i="102"/>
  <c r="L92" i="102"/>
  <c r="L91" i="102"/>
  <c r="L90" i="102"/>
  <c r="L89" i="102"/>
  <c r="L88" i="102"/>
  <c r="L87" i="102"/>
  <c r="L86" i="102"/>
  <c r="L85" i="102"/>
  <c r="L84" i="102"/>
  <c r="L83" i="102"/>
  <c r="L82" i="102"/>
  <c r="L81" i="102"/>
  <c r="L45" i="102"/>
  <c r="L43" i="102"/>
  <c r="L42" i="102"/>
  <c r="L41" i="102"/>
  <c r="L40" i="102"/>
  <c r="L39" i="102"/>
  <c r="L38" i="102"/>
  <c r="L37" i="102"/>
  <c r="L35" i="102"/>
  <c r="L31" i="102"/>
  <c r="L29" i="102"/>
  <c r="L27" i="102"/>
  <c r="L26" i="102"/>
  <c r="L25" i="102"/>
  <c r="L23" i="102"/>
  <c r="L22" i="102"/>
  <c r="L21" i="102"/>
  <c r="L20" i="102"/>
  <c r="L19" i="102"/>
  <c r="L18" i="102"/>
  <c r="L17" i="102"/>
  <c r="L15" i="102"/>
  <c r="L11" i="102"/>
  <c r="L10" i="102"/>
  <c r="K337" i="100"/>
  <c r="K336" i="100"/>
  <c r="K335" i="100"/>
  <c r="K334" i="100"/>
  <c r="K333" i="100"/>
  <c r="K332" i="100"/>
  <c r="K331" i="100"/>
  <c r="K330" i="100"/>
  <c r="K329" i="100"/>
  <c r="K328" i="100"/>
  <c r="K327" i="100"/>
  <c r="K326" i="100"/>
  <c r="K325" i="100"/>
  <c r="K324" i="100"/>
  <c r="K323" i="100"/>
  <c r="K322" i="100"/>
  <c r="K321" i="100"/>
  <c r="K320" i="100"/>
  <c r="K319" i="100"/>
  <c r="K318" i="100"/>
  <c r="AF318" i="100" s="1"/>
  <c r="K317" i="100"/>
  <c r="K316" i="100"/>
  <c r="K315" i="100"/>
  <c r="K314" i="100"/>
  <c r="K313" i="100"/>
  <c r="K312" i="100"/>
  <c r="K311" i="100"/>
  <c r="K310" i="100"/>
  <c r="K309" i="100"/>
  <c r="K308" i="100"/>
  <c r="K307" i="100"/>
  <c r="K306" i="100"/>
  <c r="K305" i="100"/>
  <c r="K304" i="100"/>
  <c r="K303" i="100"/>
  <c r="K302" i="100"/>
  <c r="K301" i="100"/>
  <c r="K300" i="100"/>
  <c r="K299" i="100"/>
  <c r="K298" i="100"/>
  <c r="K297" i="100"/>
  <c r="K296" i="100"/>
  <c r="AF296" i="100" s="1"/>
  <c r="K295" i="100"/>
  <c r="K294" i="100"/>
  <c r="K293" i="100"/>
  <c r="K292" i="100"/>
  <c r="K291" i="100"/>
  <c r="K290" i="100"/>
  <c r="K289" i="100"/>
  <c r="K288" i="100"/>
  <c r="K207" i="100"/>
  <c r="K206" i="100"/>
  <c r="K205" i="100"/>
  <c r="K204" i="100"/>
  <c r="K203" i="100"/>
  <c r="K202" i="100"/>
  <c r="K201" i="100"/>
  <c r="K200" i="100"/>
  <c r="K199" i="100"/>
  <c r="K198" i="100"/>
  <c r="K197" i="100"/>
  <c r="K196" i="100"/>
  <c r="K195" i="100"/>
  <c r="K194" i="100"/>
  <c r="K193" i="100"/>
  <c r="K192" i="100"/>
  <c r="K191" i="100"/>
  <c r="K190" i="100"/>
  <c r="K189" i="100"/>
  <c r="K188" i="100"/>
  <c r="K187" i="100"/>
  <c r="K186" i="100"/>
  <c r="K185" i="100"/>
  <c r="K184" i="100"/>
  <c r="K183" i="100"/>
  <c r="K182" i="100"/>
  <c r="K181" i="100"/>
  <c r="K180" i="100"/>
  <c r="K179" i="100"/>
  <c r="K178" i="100"/>
  <c r="K177" i="100"/>
  <c r="K176" i="100"/>
  <c r="K175" i="100"/>
  <c r="K174" i="100"/>
  <c r="K173" i="100"/>
  <c r="K172" i="100"/>
  <c r="K171" i="100"/>
  <c r="K170" i="100"/>
  <c r="K169" i="100"/>
  <c r="K168" i="100"/>
  <c r="K167" i="100"/>
  <c r="K166" i="100"/>
  <c r="K165" i="100"/>
  <c r="K164" i="100"/>
  <c r="K163" i="100"/>
  <c r="K162" i="100"/>
  <c r="K161" i="100"/>
  <c r="K160" i="100"/>
  <c r="K159" i="100"/>
  <c r="K158" i="100"/>
  <c r="G130" i="102"/>
  <c r="J130" i="102" s="1"/>
  <c r="G129" i="102"/>
  <c r="H129" i="102" s="1"/>
  <c r="G128" i="102"/>
  <c r="J128" i="102" s="1"/>
  <c r="G127" i="102"/>
  <c r="H127" i="102" s="1"/>
  <c r="G126" i="102"/>
  <c r="H126" i="102" s="1"/>
  <c r="G125" i="102"/>
  <c r="J125" i="102" s="1"/>
  <c r="G124" i="102"/>
  <c r="J124" i="102" s="1"/>
  <c r="G123" i="102"/>
  <c r="J123" i="102" s="1"/>
  <c r="G122" i="102"/>
  <c r="F122" i="102" s="1"/>
  <c r="G121" i="102"/>
  <c r="H121" i="102" s="1"/>
  <c r="G120" i="102"/>
  <c r="F120" i="102" s="1"/>
  <c r="G119" i="102"/>
  <c r="J119" i="102" s="1"/>
  <c r="G118" i="102"/>
  <c r="J118" i="102" s="1"/>
  <c r="G117" i="102"/>
  <c r="H117" i="102" s="1"/>
  <c r="G116" i="102"/>
  <c r="F116" i="102" s="1"/>
  <c r="G115" i="102"/>
  <c r="J115" i="102" s="1"/>
  <c r="G114" i="102"/>
  <c r="F114" i="102" s="1"/>
  <c r="G113" i="102"/>
  <c r="F113" i="102" s="1"/>
  <c r="G112" i="102"/>
  <c r="H112" i="102" s="1"/>
  <c r="G111" i="102"/>
  <c r="J111" i="102" s="1"/>
  <c r="G110" i="102"/>
  <c r="H110" i="102" s="1"/>
  <c r="G109" i="102"/>
  <c r="J109" i="102" s="1"/>
  <c r="G108" i="102"/>
  <c r="H108" i="102" s="1"/>
  <c r="G107" i="102"/>
  <c r="F107" i="102" s="1"/>
  <c r="G106" i="102"/>
  <c r="J106" i="102" s="1"/>
  <c r="G105" i="102"/>
  <c r="J105" i="102" s="1"/>
  <c r="G104" i="102"/>
  <c r="J104" i="102" s="1"/>
  <c r="G103" i="102"/>
  <c r="J103" i="102" s="1"/>
  <c r="G102" i="102"/>
  <c r="H102" i="102" s="1"/>
  <c r="G101" i="102"/>
  <c r="F101" i="102" s="1"/>
  <c r="G100" i="102"/>
  <c r="J100" i="102" s="1"/>
  <c r="G99" i="102"/>
  <c r="H99" i="102" s="1"/>
  <c r="G98" i="102"/>
  <c r="H98" i="102" s="1"/>
  <c r="G97" i="102"/>
  <c r="J97" i="102" s="1"/>
  <c r="G96" i="102"/>
  <c r="F96" i="102" s="1"/>
  <c r="G95" i="102"/>
  <c r="H95" i="102" s="1"/>
  <c r="G94" i="102"/>
  <c r="J94" i="102" s="1"/>
  <c r="G93" i="102"/>
  <c r="F93" i="102" s="1"/>
  <c r="G92" i="102"/>
  <c r="F92" i="102" s="1"/>
  <c r="G91" i="102"/>
  <c r="H91" i="102" s="1"/>
  <c r="G90" i="102"/>
  <c r="J90" i="102" s="1"/>
  <c r="G89" i="102"/>
  <c r="H89" i="102" s="1"/>
  <c r="G88" i="102"/>
  <c r="J88" i="102" s="1"/>
  <c r="G87" i="102"/>
  <c r="J87" i="102" s="1"/>
  <c r="G86" i="102"/>
  <c r="J86" i="102" s="1"/>
  <c r="G85" i="102"/>
  <c r="J85" i="102" s="1"/>
  <c r="G84" i="102"/>
  <c r="F84" i="102" s="1"/>
  <c r="G83" i="102"/>
  <c r="H83" i="102" s="1"/>
  <c r="G82" i="102"/>
  <c r="H82" i="102" s="1"/>
  <c r="G181" i="102"/>
  <c r="H181" i="102" s="1"/>
  <c r="G180" i="102"/>
  <c r="F180" i="102" s="1"/>
  <c r="G179" i="102"/>
  <c r="H179" i="102" s="1"/>
  <c r="G178" i="102"/>
  <c r="H178" i="102" s="1"/>
  <c r="G177" i="102"/>
  <c r="F177" i="102" s="1"/>
  <c r="G176" i="102"/>
  <c r="F176" i="102" s="1"/>
  <c r="G175" i="102"/>
  <c r="F175" i="102" s="1"/>
  <c r="G174" i="102"/>
  <c r="F174" i="102" s="1"/>
  <c r="G173" i="102"/>
  <c r="F173" i="102" s="1"/>
  <c r="G172" i="102"/>
  <c r="F172" i="102" s="1"/>
  <c r="G171" i="102"/>
  <c r="H171" i="102" s="1"/>
  <c r="G170" i="102"/>
  <c r="H170" i="102" s="1"/>
  <c r="G169" i="102"/>
  <c r="F169" i="102" s="1"/>
  <c r="G168" i="102"/>
  <c r="F168" i="102" s="1"/>
  <c r="G167" i="102"/>
  <c r="H167" i="102" s="1"/>
  <c r="G166" i="102"/>
  <c r="H166" i="102" s="1"/>
  <c r="G165" i="102"/>
  <c r="G164" i="102"/>
  <c r="F164" i="102" s="1"/>
  <c r="G163" i="102"/>
  <c r="F163" i="102" s="1"/>
  <c r="G162" i="102"/>
  <c r="F162" i="102" s="1"/>
  <c r="G161" i="102"/>
  <c r="F161" i="102" s="1"/>
  <c r="G160" i="102"/>
  <c r="F160" i="102" s="1"/>
  <c r="G159" i="102"/>
  <c r="H159" i="102" s="1"/>
  <c r="G158" i="102"/>
  <c r="F158" i="102" s="1"/>
  <c r="G157" i="102"/>
  <c r="F157" i="102" s="1"/>
  <c r="G156" i="102"/>
  <c r="H156" i="102" s="1"/>
  <c r="G155" i="102"/>
  <c r="H155" i="102" s="1"/>
  <c r="G154" i="102"/>
  <c r="F154" i="102" s="1"/>
  <c r="G153" i="102"/>
  <c r="H153" i="102" s="1"/>
  <c r="G152" i="102"/>
  <c r="H152" i="102" s="1"/>
  <c r="G151" i="102"/>
  <c r="F151" i="102" s="1"/>
  <c r="G150" i="102"/>
  <c r="H150" i="102" s="1"/>
  <c r="G149" i="102"/>
  <c r="F149" i="102" s="1"/>
  <c r="G148" i="102"/>
  <c r="F148" i="102" s="1"/>
  <c r="G147" i="102"/>
  <c r="F147" i="102" s="1"/>
  <c r="G146" i="102"/>
  <c r="H146" i="102" s="1"/>
  <c r="G145" i="102"/>
  <c r="H145" i="102" s="1"/>
  <c r="G144" i="102"/>
  <c r="F144" i="102" s="1"/>
  <c r="G143" i="102"/>
  <c r="H143" i="102" s="1"/>
  <c r="G142" i="102"/>
  <c r="H142" i="102" s="1"/>
  <c r="G141" i="102"/>
  <c r="F141" i="102" s="1"/>
  <c r="G140" i="102"/>
  <c r="H140" i="102" s="1"/>
  <c r="G139" i="102"/>
  <c r="F139" i="102" s="1"/>
  <c r="G138" i="102"/>
  <c r="F138" i="102" s="1"/>
  <c r="G137" i="102"/>
  <c r="F137" i="102" s="1"/>
  <c r="G136" i="102"/>
  <c r="H136" i="102" s="1"/>
  <c r="G135" i="102"/>
  <c r="F135" i="102" s="1"/>
  <c r="G134" i="102"/>
  <c r="F134" i="102" s="1"/>
  <c r="G133" i="102"/>
  <c r="H133" i="102" s="1"/>
  <c r="G132" i="102"/>
  <c r="H132" i="102" s="1"/>
  <c r="G44" i="102"/>
  <c r="F44" i="102" s="1"/>
  <c r="G43" i="102"/>
  <c r="F43" i="102" s="1"/>
  <c r="G42" i="102"/>
  <c r="H42" i="102" s="1"/>
  <c r="G41" i="102"/>
  <c r="H41" i="102" s="1"/>
  <c r="G40" i="102"/>
  <c r="J40" i="102" s="1"/>
  <c r="G39" i="102"/>
  <c r="J39" i="102" s="1"/>
  <c r="G38" i="102"/>
  <c r="F38" i="102" s="1"/>
  <c r="G37" i="102"/>
  <c r="H37" i="102" s="1"/>
  <c r="G36" i="102"/>
  <c r="J36" i="102" s="1"/>
  <c r="G35" i="102"/>
  <c r="J35" i="102" s="1"/>
  <c r="G34" i="102"/>
  <c r="F34" i="102" s="1"/>
  <c r="G33" i="102"/>
  <c r="H33" i="102" s="1"/>
  <c r="G32" i="102"/>
  <c r="H32" i="102" s="1"/>
  <c r="G31" i="102"/>
  <c r="F31" i="102" s="1"/>
  <c r="G30" i="102"/>
  <c r="H30" i="102" s="1"/>
  <c r="G29" i="102"/>
  <c r="F29" i="102" s="1"/>
  <c r="G28" i="102"/>
  <c r="H28" i="102" s="1"/>
  <c r="G27" i="102"/>
  <c r="F27" i="102" s="1"/>
  <c r="G26" i="102"/>
  <c r="J26" i="102" s="1"/>
  <c r="G25" i="102"/>
  <c r="J25" i="102" s="1"/>
  <c r="G24" i="102"/>
  <c r="F24" i="102" s="1"/>
  <c r="G23" i="102"/>
  <c r="F23" i="102" s="1"/>
  <c r="G22" i="102"/>
  <c r="H22" i="102" s="1"/>
  <c r="G21" i="102"/>
  <c r="H21" i="102" s="1"/>
  <c r="E181" i="102"/>
  <c r="E180" i="102"/>
  <c r="E179" i="102"/>
  <c r="E178" i="102"/>
  <c r="E177" i="102"/>
  <c r="E176" i="102"/>
  <c r="E175" i="102"/>
  <c r="E174" i="102"/>
  <c r="E173" i="102"/>
  <c r="E172" i="102"/>
  <c r="E171" i="102"/>
  <c r="E170" i="102"/>
  <c r="E169" i="102"/>
  <c r="E168" i="102"/>
  <c r="E167" i="102"/>
  <c r="E166" i="102"/>
  <c r="E165" i="102"/>
  <c r="E164" i="102"/>
  <c r="E163" i="102"/>
  <c r="E162" i="102"/>
  <c r="E161" i="102"/>
  <c r="E160" i="102"/>
  <c r="E159" i="102"/>
  <c r="E158" i="102"/>
  <c r="E157" i="102"/>
  <c r="E156" i="102"/>
  <c r="E155" i="102"/>
  <c r="E154" i="102"/>
  <c r="E153" i="102"/>
  <c r="E152" i="102"/>
  <c r="E151" i="102"/>
  <c r="E150" i="102"/>
  <c r="E149" i="102"/>
  <c r="E148" i="102"/>
  <c r="E147" i="102"/>
  <c r="E146" i="102"/>
  <c r="E145" i="102"/>
  <c r="E144" i="102"/>
  <c r="E143" i="102"/>
  <c r="E142" i="102"/>
  <c r="E141" i="102"/>
  <c r="E140" i="102"/>
  <c r="E139" i="102"/>
  <c r="E138" i="102"/>
  <c r="E137" i="102"/>
  <c r="E136" i="102"/>
  <c r="E135" i="102"/>
  <c r="E134" i="102"/>
  <c r="E133" i="102"/>
  <c r="E132" i="102"/>
  <c r="E130" i="102"/>
  <c r="E129" i="102"/>
  <c r="E128" i="102"/>
  <c r="E127" i="102"/>
  <c r="E126" i="102"/>
  <c r="E125" i="102"/>
  <c r="E124" i="102"/>
  <c r="E123" i="102"/>
  <c r="E122" i="102"/>
  <c r="E121" i="102"/>
  <c r="E120" i="102"/>
  <c r="E119" i="102"/>
  <c r="E118" i="102"/>
  <c r="E117" i="102"/>
  <c r="E116" i="102"/>
  <c r="E115" i="102"/>
  <c r="E114" i="102"/>
  <c r="E113" i="102"/>
  <c r="E112" i="102"/>
  <c r="E111" i="102"/>
  <c r="E110" i="102"/>
  <c r="E109" i="102"/>
  <c r="E108" i="102"/>
  <c r="E107" i="102"/>
  <c r="E106" i="102"/>
  <c r="E105" i="102"/>
  <c r="E104" i="102"/>
  <c r="E103" i="102"/>
  <c r="E102" i="102"/>
  <c r="E101" i="102"/>
  <c r="E100" i="102"/>
  <c r="E99" i="102"/>
  <c r="E98" i="102"/>
  <c r="E97" i="102"/>
  <c r="E96" i="102"/>
  <c r="E95" i="102"/>
  <c r="E94" i="102"/>
  <c r="E93" i="102"/>
  <c r="E92" i="102"/>
  <c r="E91" i="102"/>
  <c r="E90" i="102"/>
  <c r="E89" i="102"/>
  <c r="E88" i="102"/>
  <c r="E87" i="102"/>
  <c r="E86" i="102"/>
  <c r="E85" i="102"/>
  <c r="E84" i="102"/>
  <c r="E83" i="102"/>
  <c r="E82" i="102"/>
  <c r="E81" i="102"/>
  <c r="E43" i="102"/>
  <c r="E44" i="102"/>
  <c r="E42" i="102"/>
  <c r="E41" i="102"/>
  <c r="E40" i="102"/>
  <c r="E39" i="102"/>
  <c r="E38" i="102"/>
  <c r="E37" i="102"/>
  <c r="E36" i="102"/>
  <c r="E35" i="102"/>
  <c r="E34" i="102"/>
  <c r="E33" i="102"/>
  <c r="E32" i="102"/>
  <c r="E31" i="102"/>
  <c r="E30" i="102"/>
  <c r="E29" i="102"/>
  <c r="E28" i="102"/>
  <c r="E27" i="102"/>
  <c r="E26" i="102"/>
  <c r="E25" i="102"/>
  <c r="E24" i="102"/>
  <c r="E23" i="102"/>
  <c r="E22" i="102"/>
  <c r="E21" i="102"/>
  <c r="E20" i="102"/>
  <c r="E19" i="102"/>
  <c r="E18" i="102"/>
  <c r="E17" i="102"/>
  <c r="E16" i="102"/>
  <c r="E14" i="102"/>
  <c r="E13" i="102"/>
  <c r="E12" i="102"/>
  <c r="E10" i="102"/>
  <c r="K134" i="102"/>
  <c r="M134" i="102"/>
  <c r="N134" i="102"/>
  <c r="O134" i="102"/>
  <c r="K135" i="102"/>
  <c r="M135" i="102"/>
  <c r="N135" i="102"/>
  <c r="O135" i="102"/>
  <c r="K136" i="102"/>
  <c r="M136" i="102"/>
  <c r="N136" i="102"/>
  <c r="O136" i="102"/>
  <c r="K137" i="102"/>
  <c r="M137" i="102"/>
  <c r="N137" i="102"/>
  <c r="O137" i="102"/>
  <c r="K138" i="102"/>
  <c r="M138" i="102"/>
  <c r="N138" i="102"/>
  <c r="O138" i="102"/>
  <c r="K139" i="102"/>
  <c r="M139" i="102"/>
  <c r="N139" i="102"/>
  <c r="O139" i="102"/>
  <c r="K140" i="102"/>
  <c r="M140" i="102"/>
  <c r="N140" i="102"/>
  <c r="O140" i="102"/>
  <c r="K141" i="102"/>
  <c r="M141" i="102"/>
  <c r="N141" i="102"/>
  <c r="O141" i="102"/>
  <c r="K142" i="102"/>
  <c r="M142" i="102"/>
  <c r="N142" i="102"/>
  <c r="O142" i="102"/>
  <c r="K143" i="102"/>
  <c r="M143" i="102"/>
  <c r="N143" i="102"/>
  <c r="O143" i="102"/>
  <c r="K144" i="102"/>
  <c r="M144" i="102"/>
  <c r="N144" i="102"/>
  <c r="O144" i="102"/>
  <c r="K145" i="102"/>
  <c r="M145" i="102"/>
  <c r="N145" i="102"/>
  <c r="O145" i="102"/>
  <c r="K146" i="102"/>
  <c r="M146" i="102"/>
  <c r="N146" i="102"/>
  <c r="O146" i="102"/>
  <c r="K147" i="102"/>
  <c r="M147" i="102"/>
  <c r="N147" i="102"/>
  <c r="O147" i="102"/>
  <c r="K148" i="102"/>
  <c r="M148" i="102"/>
  <c r="N148" i="102"/>
  <c r="O148" i="102"/>
  <c r="K149" i="102"/>
  <c r="M149" i="102"/>
  <c r="N149" i="102"/>
  <c r="O149" i="102"/>
  <c r="K150" i="102"/>
  <c r="M150" i="102"/>
  <c r="N150" i="102"/>
  <c r="O150" i="102"/>
  <c r="K151" i="102"/>
  <c r="M151" i="102"/>
  <c r="N151" i="102"/>
  <c r="O151" i="102"/>
  <c r="K152" i="102"/>
  <c r="M152" i="102"/>
  <c r="N152" i="102"/>
  <c r="O152" i="102"/>
  <c r="K153" i="102"/>
  <c r="M153" i="102"/>
  <c r="N153" i="102"/>
  <c r="O153" i="102"/>
  <c r="K154" i="102"/>
  <c r="M154" i="102"/>
  <c r="N154" i="102"/>
  <c r="O154" i="102"/>
  <c r="K155" i="102"/>
  <c r="M155" i="102"/>
  <c r="N155" i="102"/>
  <c r="O155" i="102"/>
  <c r="K156" i="102"/>
  <c r="M156" i="102"/>
  <c r="N156" i="102"/>
  <c r="O156" i="102"/>
  <c r="K157" i="102"/>
  <c r="M157" i="102"/>
  <c r="N157" i="102"/>
  <c r="O157" i="102"/>
  <c r="K158" i="102"/>
  <c r="M158" i="102"/>
  <c r="N158" i="102"/>
  <c r="O158" i="102"/>
  <c r="K159" i="102"/>
  <c r="M159" i="102"/>
  <c r="N159" i="102"/>
  <c r="O159" i="102"/>
  <c r="K160" i="102"/>
  <c r="M160" i="102"/>
  <c r="N160" i="102"/>
  <c r="O160" i="102"/>
  <c r="K161" i="102"/>
  <c r="M161" i="102"/>
  <c r="N161" i="102"/>
  <c r="O161" i="102"/>
  <c r="K162" i="102"/>
  <c r="M162" i="102"/>
  <c r="N162" i="102"/>
  <c r="O162" i="102"/>
  <c r="K163" i="102"/>
  <c r="M163" i="102"/>
  <c r="N163" i="102"/>
  <c r="O163" i="102"/>
  <c r="K164" i="102"/>
  <c r="M164" i="102"/>
  <c r="N164" i="102"/>
  <c r="O164" i="102"/>
  <c r="K165" i="102"/>
  <c r="M165" i="102"/>
  <c r="N165" i="102"/>
  <c r="O165" i="102"/>
  <c r="K166" i="102"/>
  <c r="M166" i="102"/>
  <c r="N166" i="102"/>
  <c r="O166" i="102"/>
  <c r="K167" i="102"/>
  <c r="M167" i="102"/>
  <c r="N167" i="102"/>
  <c r="O167" i="102"/>
  <c r="K168" i="102"/>
  <c r="M168" i="102"/>
  <c r="N168" i="102"/>
  <c r="O168" i="102"/>
  <c r="K169" i="102"/>
  <c r="M169" i="102"/>
  <c r="N169" i="102"/>
  <c r="O169" i="102"/>
  <c r="K170" i="102"/>
  <c r="M170" i="102"/>
  <c r="N170" i="102"/>
  <c r="O170" i="102"/>
  <c r="K171" i="102"/>
  <c r="M171" i="102"/>
  <c r="N171" i="102"/>
  <c r="O171" i="102"/>
  <c r="K172" i="102"/>
  <c r="M172" i="102"/>
  <c r="N172" i="102"/>
  <c r="O172" i="102"/>
  <c r="K173" i="102"/>
  <c r="M173" i="102"/>
  <c r="N173" i="102"/>
  <c r="O173" i="102"/>
  <c r="K174" i="102"/>
  <c r="M174" i="102"/>
  <c r="N174" i="102"/>
  <c r="O174" i="102"/>
  <c r="K175" i="102"/>
  <c r="M175" i="102"/>
  <c r="N175" i="102"/>
  <c r="O175" i="102"/>
  <c r="K176" i="102"/>
  <c r="M176" i="102"/>
  <c r="N176" i="102"/>
  <c r="O176" i="102"/>
  <c r="K177" i="102"/>
  <c r="M177" i="102"/>
  <c r="N177" i="102"/>
  <c r="O177" i="102"/>
  <c r="K178" i="102"/>
  <c r="M178" i="102"/>
  <c r="N178" i="102"/>
  <c r="O178" i="102"/>
  <c r="K179" i="102"/>
  <c r="M179" i="102"/>
  <c r="N179" i="102"/>
  <c r="O179" i="102"/>
  <c r="K180" i="102"/>
  <c r="M180" i="102"/>
  <c r="N180" i="102"/>
  <c r="O180" i="102"/>
  <c r="K181" i="102"/>
  <c r="M181" i="102"/>
  <c r="N181" i="102"/>
  <c r="O181" i="102"/>
  <c r="K83" i="102"/>
  <c r="M83" i="102"/>
  <c r="N83" i="102"/>
  <c r="O83" i="102"/>
  <c r="K84" i="102"/>
  <c r="M84" i="102"/>
  <c r="N84" i="102"/>
  <c r="O84" i="102"/>
  <c r="K85" i="102"/>
  <c r="M85" i="102"/>
  <c r="N85" i="102"/>
  <c r="O85" i="102"/>
  <c r="K86" i="102"/>
  <c r="M86" i="102"/>
  <c r="N86" i="102"/>
  <c r="O86" i="102"/>
  <c r="K87" i="102"/>
  <c r="M87" i="102"/>
  <c r="N87" i="102"/>
  <c r="O87" i="102"/>
  <c r="K88" i="102"/>
  <c r="M88" i="102"/>
  <c r="N88" i="102"/>
  <c r="O88" i="102"/>
  <c r="K89" i="102"/>
  <c r="M89" i="102"/>
  <c r="N89" i="102"/>
  <c r="O89" i="102"/>
  <c r="K90" i="102"/>
  <c r="M90" i="102"/>
  <c r="N90" i="102"/>
  <c r="O90" i="102"/>
  <c r="K91" i="102"/>
  <c r="M91" i="102"/>
  <c r="N91" i="102"/>
  <c r="O91" i="102"/>
  <c r="K92" i="102"/>
  <c r="M92" i="102"/>
  <c r="N92" i="102"/>
  <c r="O92" i="102"/>
  <c r="K93" i="102"/>
  <c r="M93" i="102"/>
  <c r="N93" i="102"/>
  <c r="O93" i="102"/>
  <c r="K94" i="102"/>
  <c r="M94" i="102"/>
  <c r="N94" i="102"/>
  <c r="O94" i="102"/>
  <c r="K95" i="102"/>
  <c r="M95" i="102"/>
  <c r="N95" i="102"/>
  <c r="O95" i="102"/>
  <c r="K96" i="102"/>
  <c r="M96" i="102"/>
  <c r="N96" i="102"/>
  <c r="O96" i="102"/>
  <c r="K97" i="102"/>
  <c r="M97" i="102"/>
  <c r="N97" i="102"/>
  <c r="O97" i="102"/>
  <c r="K98" i="102"/>
  <c r="M98" i="102"/>
  <c r="N98" i="102"/>
  <c r="O98" i="102"/>
  <c r="K99" i="102"/>
  <c r="M99" i="102"/>
  <c r="N99" i="102"/>
  <c r="O99" i="102"/>
  <c r="K100" i="102"/>
  <c r="M100" i="102"/>
  <c r="N100" i="102"/>
  <c r="O100" i="102"/>
  <c r="K101" i="102"/>
  <c r="M101" i="102"/>
  <c r="N101" i="102"/>
  <c r="O101" i="102"/>
  <c r="K102" i="102"/>
  <c r="M102" i="102"/>
  <c r="N102" i="102"/>
  <c r="O102" i="102"/>
  <c r="K103" i="102"/>
  <c r="M103" i="102"/>
  <c r="N103" i="102"/>
  <c r="O103" i="102"/>
  <c r="K104" i="102"/>
  <c r="M104" i="102"/>
  <c r="N104" i="102"/>
  <c r="O104" i="102"/>
  <c r="K105" i="102"/>
  <c r="M105" i="102"/>
  <c r="N105" i="102"/>
  <c r="O105" i="102"/>
  <c r="K106" i="102"/>
  <c r="M106" i="102"/>
  <c r="N106" i="102"/>
  <c r="O106" i="102"/>
  <c r="K107" i="102"/>
  <c r="M107" i="102"/>
  <c r="N107" i="102"/>
  <c r="O107" i="102"/>
  <c r="K108" i="102"/>
  <c r="M108" i="102"/>
  <c r="N108" i="102"/>
  <c r="O108" i="102"/>
  <c r="K109" i="102"/>
  <c r="M109" i="102"/>
  <c r="N109" i="102"/>
  <c r="O109" i="102"/>
  <c r="K110" i="102"/>
  <c r="M110" i="102"/>
  <c r="N110" i="102"/>
  <c r="O110" i="102"/>
  <c r="K111" i="102"/>
  <c r="M111" i="102"/>
  <c r="N111" i="102"/>
  <c r="O111" i="102"/>
  <c r="K112" i="102"/>
  <c r="M112" i="102"/>
  <c r="N112" i="102"/>
  <c r="O112" i="102"/>
  <c r="K113" i="102"/>
  <c r="M113" i="102"/>
  <c r="N113" i="102"/>
  <c r="O113" i="102"/>
  <c r="K114" i="102"/>
  <c r="M114" i="102"/>
  <c r="N114" i="102"/>
  <c r="O114" i="102"/>
  <c r="K115" i="102"/>
  <c r="M115" i="102"/>
  <c r="N115" i="102"/>
  <c r="O115" i="102"/>
  <c r="K116" i="102"/>
  <c r="M116" i="102"/>
  <c r="N116" i="102"/>
  <c r="O116" i="102"/>
  <c r="K117" i="102"/>
  <c r="M117" i="102"/>
  <c r="N117" i="102"/>
  <c r="O117" i="102"/>
  <c r="K118" i="102"/>
  <c r="M118" i="102"/>
  <c r="N118" i="102"/>
  <c r="O118" i="102"/>
  <c r="K119" i="102"/>
  <c r="M119" i="102"/>
  <c r="N119" i="102"/>
  <c r="O119" i="102"/>
  <c r="K120" i="102"/>
  <c r="M120" i="102"/>
  <c r="N120" i="102"/>
  <c r="O120" i="102"/>
  <c r="K121" i="102"/>
  <c r="M121" i="102"/>
  <c r="N121" i="102"/>
  <c r="O121" i="102"/>
  <c r="K122" i="102"/>
  <c r="M122" i="102"/>
  <c r="N122" i="102"/>
  <c r="O122" i="102"/>
  <c r="K123" i="102"/>
  <c r="M123" i="102"/>
  <c r="N123" i="102"/>
  <c r="O123" i="102"/>
  <c r="K124" i="102"/>
  <c r="M124" i="102"/>
  <c r="N124" i="102"/>
  <c r="O124" i="102"/>
  <c r="K125" i="102"/>
  <c r="M125" i="102"/>
  <c r="N125" i="102"/>
  <c r="O125" i="102"/>
  <c r="K126" i="102"/>
  <c r="M126" i="102"/>
  <c r="N126" i="102"/>
  <c r="O126" i="102"/>
  <c r="K127" i="102"/>
  <c r="M127" i="102"/>
  <c r="N127" i="102"/>
  <c r="O127" i="102"/>
  <c r="K128" i="102"/>
  <c r="M128" i="102"/>
  <c r="N128" i="102"/>
  <c r="O128" i="102"/>
  <c r="K129" i="102"/>
  <c r="M129" i="102"/>
  <c r="N129" i="102"/>
  <c r="O129" i="102"/>
  <c r="K130" i="102"/>
  <c r="M130" i="102"/>
  <c r="N130" i="102"/>
  <c r="O130" i="102"/>
  <c r="K11" i="102"/>
  <c r="M11" i="102"/>
  <c r="O11" i="102"/>
  <c r="P11" i="102"/>
  <c r="M12" i="102"/>
  <c r="N12" i="102"/>
  <c r="P12" i="102"/>
  <c r="M13" i="102"/>
  <c r="N13" i="102"/>
  <c r="O13" i="102"/>
  <c r="P13" i="102"/>
  <c r="N14" i="102"/>
  <c r="P14" i="102"/>
  <c r="M15" i="102"/>
  <c r="N15" i="102"/>
  <c r="O15" i="102"/>
  <c r="P15" i="102"/>
  <c r="P16" i="102"/>
  <c r="P17" i="102"/>
  <c r="N18" i="102"/>
  <c r="P18" i="102"/>
  <c r="M19" i="102"/>
  <c r="O19" i="102"/>
  <c r="P19" i="102"/>
  <c r="P20" i="102"/>
  <c r="K21" i="102"/>
  <c r="M21" i="102"/>
  <c r="P21" i="102"/>
  <c r="M22" i="102"/>
  <c r="N22" i="102"/>
  <c r="P22" i="102"/>
  <c r="M23" i="102"/>
  <c r="N23" i="102"/>
  <c r="O23" i="102"/>
  <c r="P23" i="102"/>
  <c r="P24" i="102"/>
  <c r="M25" i="102"/>
  <c r="N25" i="102"/>
  <c r="O25" i="102"/>
  <c r="P25" i="102"/>
  <c r="N26" i="102"/>
  <c r="O26" i="102"/>
  <c r="P26" i="102"/>
  <c r="M27" i="102"/>
  <c r="N27" i="102"/>
  <c r="O27" i="102"/>
  <c r="P27" i="102"/>
  <c r="P28" i="102"/>
  <c r="P29" i="102"/>
  <c r="M30" i="102"/>
  <c r="N30" i="102"/>
  <c r="O30" i="102"/>
  <c r="P30" i="102"/>
  <c r="K31" i="102"/>
  <c r="M31" i="102"/>
  <c r="N31" i="102"/>
  <c r="O31" i="102"/>
  <c r="P31" i="102"/>
  <c r="P32" i="102"/>
  <c r="K33" i="102"/>
  <c r="P33" i="102"/>
  <c r="M34" i="102"/>
  <c r="N34" i="102"/>
  <c r="O34" i="102"/>
  <c r="P34" i="102"/>
  <c r="M35" i="102"/>
  <c r="N35" i="102"/>
  <c r="O35" i="102"/>
  <c r="P35" i="102"/>
  <c r="M36" i="102"/>
  <c r="N36" i="102"/>
  <c r="P36" i="102"/>
  <c r="P37" i="102"/>
  <c r="N38" i="102"/>
  <c r="O38" i="102"/>
  <c r="P38" i="102"/>
  <c r="M39" i="102"/>
  <c r="N39" i="102"/>
  <c r="O39" i="102"/>
  <c r="P39" i="102"/>
  <c r="P40" i="102"/>
  <c r="K41" i="102"/>
  <c r="P41" i="102"/>
  <c r="N42" i="102"/>
  <c r="P42" i="102"/>
  <c r="M43" i="102"/>
  <c r="N43" i="102"/>
  <c r="O43" i="102"/>
  <c r="P43" i="102"/>
  <c r="P44" i="102"/>
  <c r="M45" i="102"/>
  <c r="N45" i="102"/>
  <c r="P45" i="102"/>
  <c r="N337" i="100"/>
  <c r="N336" i="100"/>
  <c r="N335" i="100"/>
  <c r="N334" i="100"/>
  <c r="N333" i="100"/>
  <c r="N332" i="100"/>
  <c r="N331" i="100"/>
  <c r="N330" i="100"/>
  <c r="N329" i="100"/>
  <c r="N328" i="100"/>
  <c r="N327" i="100"/>
  <c r="N326" i="100"/>
  <c r="N325" i="100"/>
  <c r="N324" i="100"/>
  <c r="N323" i="100"/>
  <c r="N322" i="100"/>
  <c r="N321" i="100"/>
  <c r="N320" i="100"/>
  <c r="N319" i="100"/>
  <c r="N318" i="100"/>
  <c r="N317" i="100"/>
  <c r="N316" i="100"/>
  <c r="N315" i="100"/>
  <c r="N314" i="100"/>
  <c r="N313" i="100"/>
  <c r="N312" i="100"/>
  <c r="N311" i="100"/>
  <c r="N310" i="100"/>
  <c r="N309" i="100"/>
  <c r="N308" i="100"/>
  <c r="N307" i="100"/>
  <c r="N306" i="100"/>
  <c r="N305" i="100"/>
  <c r="N304" i="100"/>
  <c r="N303" i="100"/>
  <c r="N302" i="100"/>
  <c r="N301" i="100"/>
  <c r="N300" i="100"/>
  <c r="N299" i="100"/>
  <c r="N298" i="100"/>
  <c r="N297" i="100"/>
  <c r="N296" i="100"/>
  <c r="N295" i="100"/>
  <c r="N294" i="100"/>
  <c r="N293" i="100"/>
  <c r="N292" i="100"/>
  <c r="N291" i="100"/>
  <c r="N290" i="100"/>
  <c r="N289" i="100"/>
  <c r="N288" i="100"/>
  <c r="N207" i="100"/>
  <c r="N206" i="100"/>
  <c r="N205" i="100"/>
  <c r="N204" i="100"/>
  <c r="N203" i="100"/>
  <c r="N202" i="100"/>
  <c r="N201" i="100"/>
  <c r="N200" i="100"/>
  <c r="N199" i="100"/>
  <c r="N198" i="100"/>
  <c r="N197" i="100"/>
  <c r="N196" i="100"/>
  <c r="N195" i="100"/>
  <c r="N194" i="100"/>
  <c r="N193" i="100"/>
  <c r="N192" i="100"/>
  <c r="N191" i="100"/>
  <c r="N190" i="100"/>
  <c r="N189" i="100"/>
  <c r="N188" i="100"/>
  <c r="N187" i="100"/>
  <c r="N186" i="100"/>
  <c r="N185" i="100"/>
  <c r="N184" i="100"/>
  <c r="N183" i="100"/>
  <c r="N182" i="100"/>
  <c r="N181" i="100"/>
  <c r="N180" i="100"/>
  <c r="N179" i="100"/>
  <c r="N178" i="100"/>
  <c r="N177" i="100"/>
  <c r="N176" i="100"/>
  <c r="N175" i="100"/>
  <c r="N174" i="100"/>
  <c r="N173" i="100"/>
  <c r="N172" i="100"/>
  <c r="N171" i="100"/>
  <c r="N170" i="100"/>
  <c r="N169" i="100"/>
  <c r="N168" i="100"/>
  <c r="N167" i="100"/>
  <c r="N166" i="100"/>
  <c r="N165" i="100"/>
  <c r="N164" i="100"/>
  <c r="N163" i="100"/>
  <c r="N162" i="100"/>
  <c r="N161" i="100"/>
  <c r="N160" i="100"/>
  <c r="N159" i="100"/>
  <c r="N158" i="100"/>
  <c r="E337" i="100"/>
  <c r="E336" i="100"/>
  <c r="E335" i="100"/>
  <c r="E334" i="100"/>
  <c r="E333" i="100"/>
  <c r="E332" i="100"/>
  <c r="E331" i="100"/>
  <c r="E330" i="100"/>
  <c r="E329" i="100"/>
  <c r="E328" i="100"/>
  <c r="E327" i="100"/>
  <c r="E326" i="100"/>
  <c r="E325" i="100"/>
  <c r="E324" i="100"/>
  <c r="E323" i="100"/>
  <c r="E322" i="100"/>
  <c r="E321" i="100"/>
  <c r="E320" i="100"/>
  <c r="E319" i="100"/>
  <c r="E318" i="100"/>
  <c r="E317" i="100"/>
  <c r="E316" i="100"/>
  <c r="E315" i="100"/>
  <c r="E314" i="100"/>
  <c r="E313" i="100"/>
  <c r="E312" i="100"/>
  <c r="E311" i="100"/>
  <c r="E310" i="100"/>
  <c r="E309" i="100"/>
  <c r="E308" i="100"/>
  <c r="E307" i="100"/>
  <c r="E306" i="100"/>
  <c r="E305" i="100"/>
  <c r="E304" i="100"/>
  <c r="E303" i="100"/>
  <c r="E302" i="100"/>
  <c r="E301" i="100"/>
  <c r="E300" i="100"/>
  <c r="E299" i="100"/>
  <c r="E298" i="100"/>
  <c r="E297" i="100"/>
  <c r="E296" i="100"/>
  <c r="E295" i="100"/>
  <c r="E294" i="100"/>
  <c r="E293" i="100"/>
  <c r="E292" i="100"/>
  <c r="E291" i="100"/>
  <c r="E290" i="100"/>
  <c r="E289" i="100"/>
  <c r="E288" i="100"/>
  <c r="D337" i="100"/>
  <c r="D181" i="102" s="1"/>
  <c r="D336" i="100"/>
  <c r="D180" i="102" s="1"/>
  <c r="D335" i="100"/>
  <c r="D179" i="102" s="1"/>
  <c r="D334" i="100"/>
  <c r="D178" i="102" s="1"/>
  <c r="D333" i="100"/>
  <c r="D177" i="102" s="1"/>
  <c r="D332" i="100"/>
  <c r="D176" i="102" s="1"/>
  <c r="D331" i="100"/>
  <c r="D175" i="102" s="1"/>
  <c r="D330" i="100"/>
  <c r="D174" i="102" s="1"/>
  <c r="D329" i="100"/>
  <c r="D173" i="102" s="1"/>
  <c r="D328" i="100"/>
  <c r="D172" i="102" s="1"/>
  <c r="D327" i="100"/>
  <c r="D171" i="102" s="1"/>
  <c r="D326" i="100"/>
  <c r="D170" i="102" s="1"/>
  <c r="D325" i="100"/>
  <c r="D169" i="102" s="1"/>
  <c r="D324" i="100"/>
  <c r="D168" i="102" s="1"/>
  <c r="D323" i="100"/>
  <c r="D167" i="102" s="1"/>
  <c r="D322" i="100"/>
  <c r="D166" i="102" s="1"/>
  <c r="D321" i="100"/>
  <c r="D165" i="102" s="1"/>
  <c r="D320" i="100"/>
  <c r="D164" i="102" s="1"/>
  <c r="D319" i="100"/>
  <c r="D163" i="102" s="1"/>
  <c r="D318" i="100"/>
  <c r="D162" i="102" s="1"/>
  <c r="D317" i="100"/>
  <c r="D161" i="102" s="1"/>
  <c r="D316" i="100"/>
  <c r="D160" i="102" s="1"/>
  <c r="D315" i="100"/>
  <c r="D159" i="102" s="1"/>
  <c r="D314" i="100"/>
  <c r="D158" i="102" s="1"/>
  <c r="D313" i="100"/>
  <c r="D157" i="102" s="1"/>
  <c r="D312" i="100"/>
  <c r="D156" i="102" s="1"/>
  <c r="D311" i="100"/>
  <c r="D155" i="102" s="1"/>
  <c r="D310" i="100"/>
  <c r="D154" i="102" s="1"/>
  <c r="D309" i="100"/>
  <c r="D153" i="102" s="1"/>
  <c r="D308" i="100"/>
  <c r="D152" i="102" s="1"/>
  <c r="D307" i="100"/>
  <c r="D151" i="102" s="1"/>
  <c r="D306" i="100"/>
  <c r="D150" i="102" s="1"/>
  <c r="D305" i="100"/>
  <c r="D149" i="102" s="1"/>
  <c r="D304" i="100"/>
  <c r="D148" i="102" s="1"/>
  <c r="D303" i="100"/>
  <c r="D147" i="102" s="1"/>
  <c r="D302" i="100"/>
  <c r="D146" i="102" s="1"/>
  <c r="D301" i="100"/>
  <c r="D145" i="102" s="1"/>
  <c r="D300" i="100"/>
  <c r="D144" i="102" s="1"/>
  <c r="D299" i="100"/>
  <c r="D143" i="102" s="1"/>
  <c r="D298" i="100"/>
  <c r="D142" i="102" s="1"/>
  <c r="D297" i="100"/>
  <c r="D141" i="102" s="1"/>
  <c r="D296" i="100"/>
  <c r="D140" i="102" s="1"/>
  <c r="D295" i="100"/>
  <c r="D139" i="102" s="1"/>
  <c r="D294" i="100"/>
  <c r="D138" i="102" s="1"/>
  <c r="D293" i="100"/>
  <c r="D137" i="102" s="1"/>
  <c r="D292" i="100"/>
  <c r="D136" i="102" s="1"/>
  <c r="D291" i="100"/>
  <c r="D135" i="102" s="1"/>
  <c r="D290" i="100"/>
  <c r="D134" i="102" s="1"/>
  <c r="D289" i="100"/>
  <c r="D133" i="102" s="1"/>
  <c r="D288" i="100"/>
  <c r="D132" i="102" s="1"/>
  <c r="C337" i="100"/>
  <c r="A337" i="100" s="1"/>
  <c r="A181" i="102" s="1"/>
  <c r="C336" i="100"/>
  <c r="A336" i="100" s="1"/>
  <c r="A180" i="102" s="1"/>
  <c r="C335" i="100"/>
  <c r="A335" i="100" s="1"/>
  <c r="A179" i="102" s="1"/>
  <c r="C334" i="100"/>
  <c r="C178" i="102" s="1"/>
  <c r="C333" i="100"/>
  <c r="A333" i="100" s="1"/>
  <c r="A177" i="102" s="1"/>
  <c r="C332" i="100"/>
  <c r="A332" i="100" s="1"/>
  <c r="A176" i="102" s="1"/>
  <c r="C331" i="100"/>
  <c r="C175" i="102" s="1"/>
  <c r="C330" i="100"/>
  <c r="C174" i="102" s="1"/>
  <c r="C329" i="100"/>
  <c r="A329" i="100" s="1"/>
  <c r="A173" i="102" s="1"/>
  <c r="C328" i="100"/>
  <c r="A328" i="100" s="1"/>
  <c r="A172" i="102" s="1"/>
  <c r="C327" i="100"/>
  <c r="C326" i="100"/>
  <c r="A326" i="100" s="1"/>
  <c r="A170" i="102" s="1"/>
  <c r="C325" i="100"/>
  <c r="A325" i="100" s="1"/>
  <c r="A169" i="102" s="1"/>
  <c r="C324" i="100"/>
  <c r="A324" i="100" s="1"/>
  <c r="A168" i="102" s="1"/>
  <c r="C323" i="100"/>
  <c r="A323" i="100" s="1"/>
  <c r="A167" i="102" s="1"/>
  <c r="C322" i="100"/>
  <c r="A322" i="100" s="1"/>
  <c r="A166" i="102" s="1"/>
  <c r="C321" i="100"/>
  <c r="A321" i="100" s="1"/>
  <c r="A165" i="102" s="1"/>
  <c r="C320" i="100"/>
  <c r="A320" i="100" s="1"/>
  <c r="A164" i="102" s="1"/>
  <c r="C319" i="100"/>
  <c r="C163" i="102" s="1"/>
  <c r="C318" i="100"/>
  <c r="C162" i="102" s="1"/>
  <c r="C317" i="100"/>
  <c r="C161" i="102" s="1"/>
  <c r="C316" i="100"/>
  <c r="C160" i="102" s="1"/>
  <c r="C315" i="100"/>
  <c r="C159" i="102" s="1"/>
  <c r="C314" i="100"/>
  <c r="A314" i="100" s="1"/>
  <c r="A158" i="102" s="1"/>
  <c r="C313" i="100"/>
  <c r="A313" i="100" s="1"/>
  <c r="A157" i="102" s="1"/>
  <c r="C312" i="100"/>
  <c r="C156" i="102" s="1"/>
  <c r="C311" i="100"/>
  <c r="C155" i="102" s="1"/>
  <c r="C310" i="100"/>
  <c r="A310" i="100" s="1"/>
  <c r="A154" i="102" s="1"/>
  <c r="C309" i="100"/>
  <c r="A309" i="100" s="1"/>
  <c r="A153" i="102" s="1"/>
  <c r="C308" i="100"/>
  <c r="C152" i="102" s="1"/>
  <c r="C307" i="100"/>
  <c r="A307" i="100" s="1"/>
  <c r="A151" i="102" s="1"/>
  <c r="C306" i="100"/>
  <c r="C150" i="102" s="1"/>
  <c r="C305" i="100"/>
  <c r="C149" i="102" s="1"/>
  <c r="C304" i="100"/>
  <c r="C148" i="102" s="1"/>
  <c r="C303" i="100"/>
  <c r="A303" i="100" s="1"/>
  <c r="A147" i="102" s="1"/>
  <c r="C302" i="100"/>
  <c r="A302" i="100" s="1"/>
  <c r="A146" i="102" s="1"/>
  <c r="C301" i="100"/>
  <c r="A301" i="100" s="1"/>
  <c r="A145" i="102" s="1"/>
  <c r="C300" i="100"/>
  <c r="A300" i="100" s="1"/>
  <c r="A144" i="102" s="1"/>
  <c r="C299" i="100"/>
  <c r="C143" i="102" s="1"/>
  <c r="C298" i="100"/>
  <c r="A298" i="100" s="1"/>
  <c r="A142" i="102" s="1"/>
  <c r="C297" i="100"/>
  <c r="A297" i="100" s="1"/>
  <c r="A141" i="102" s="1"/>
  <c r="C296" i="100"/>
  <c r="A296" i="100" s="1"/>
  <c r="A140" i="102" s="1"/>
  <c r="C295" i="100"/>
  <c r="C139" i="102" s="1"/>
  <c r="C294" i="100"/>
  <c r="C138" i="102" s="1"/>
  <c r="C293" i="100"/>
  <c r="C137" i="102" s="1"/>
  <c r="C292" i="100"/>
  <c r="C136" i="102" s="1"/>
  <c r="C291" i="100"/>
  <c r="C135" i="102" s="1"/>
  <c r="C290" i="100"/>
  <c r="C134" i="102" s="1"/>
  <c r="C289" i="100"/>
  <c r="C133" i="102" s="1"/>
  <c r="C288" i="100"/>
  <c r="C132" i="102" s="1"/>
  <c r="B337" i="100"/>
  <c r="B181" i="102" s="1"/>
  <c r="B336" i="100"/>
  <c r="B180" i="102" s="1"/>
  <c r="B335" i="100"/>
  <c r="B179" i="102" s="1"/>
  <c r="B334" i="100"/>
  <c r="AL334" i="100" s="1"/>
  <c r="B333" i="100"/>
  <c r="AL333" i="100" s="1"/>
  <c r="B332" i="100"/>
  <c r="B176" i="102" s="1"/>
  <c r="B331" i="100"/>
  <c r="AL331" i="100" s="1"/>
  <c r="B330" i="100"/>
  <c r="AL330" i="100" s="1"/>
  <c r="B329" i="100"/>
  <c r="AL329" i="100" s="1"/>
  <c r="B328" i="100"/>
  <c r="B172" i="102" s="1"/>
  <c r="B327" i="100"/>
  <c r="B171" i="102" s="1"/>
  <c r="B326" i="100"/>
  <c r="B170" i="102" s="1"/>
  <c r="B325" i="100"/>
  <c r="AL325" i="100" s="1"/>
  <c r="B324" i="100"/>
  <c r="B168" i="102" s="1"/>
  <c r="B323" i="100"/>
  <c r="AL323" i="100" s="1"/>
  <c r="B322" i="100"/>
  <c r="AL322" i="100" s="1"/>
  <c r="B321" i="100"/>
  <c r="B165" i="102" s="1"/>
  <c r="B320" i="100"/>
  <c r="AL320" i="100" s="1"/>
  <c r="B319" i="100"/>
  <c r="AL319" i="100" s="1"/>
  <c r="B318" i="100"/>
  <c r="AL318" i="100" s="1"/>
  <c r="B317" i="100"/>
  <c r="B161" i="102" s="1"/>
  <c r="B316" i="100"/>
  <c r="AL316" i="100" s="1"/>
  <c r="B315" i="100"/>
  <c r="B159" i="102" s="1"/>
  <c r="B314" i="100"/>
  <c r="AL314" i="100" s="1"/>
  <c r="B313" i="100"/>
  <c r="AL313" i="100" s="1"/>
  <c r="B312" i="100"/>
  <c r="AL312" i="100" s="1"/>
  <c r="B311" i="100"/>
  <c r="AL311" i="100" s="1"/>
  <c r="B310" i="100"/>
  <c r="AL310" i="100" s="1"/>
  <c r="B309" i="100"/>
  <c r="B153" i="102" s="1"/>
  <c r="B308" i="100"/>
  <c r="AL308" i="100" s="1"/>
  <c r="B307" i="100"/>
  <c r="AL307" i="100" s="1"/>
  <c r="B306" i="100"/>
  <c r="B150" i="102" s="1"/>
  <c r="B305" i="100"/>
  <c r="AL305" i="100" s="1"/>
  <c r="B304" i="100"/>
  <c r="B148" i="102" s="1"/>
  <c r="B303" i="100"/>
  <c r="AL303" i="100" s="1"/>
  <c r="B302" i="100"/>
  <c r="AL302" i="100" s="1"/>
  <c r="B301" i="100"/>
  <c r="AL301" i="100" s="1"/>
  <c r="B300" i="100"/>
  <c r="AL300" i="100" s="1"/>
  <c r="B299" i="100"/>
  <c r="B143" i="102" s="1"/>
  <c r="B298" i="100"/>
  <c r="B142" i="102" s="1"/>
  <c r="B297" i="100"/>
  <c r="AL297" i="100" s="1"/>
  <c r="B296" i="100"/>
  <c r="B140" i="102" s="1"/>
  <c r="B295" i="100"/>
  <c r="AL295" i="100" s="1"/>
  <c r="B294" i="100"/>
  <c r="B138" i="102" s="1"/>
  <c r="B293" i="100"/>
  <c r="AL293" i="100" s="1"/>
  <c r="B292" i="100"/>
  <c r="AL292" i="100" s="1"/>
  <c r="B291" i="100"/>
  <c r="B135" i="102" s="1"/>
  <c r="B290" i="100"/>
  <c r="B134" i="102" s="1"/>
  <c r="B289" i="100"/>
  <c r="B133" i="102" s="1"/>
  <c r="B288" i="100"/>
  <c r="B132" i="102" s="1"/>
  <c r="E207" i="100"/>
  <c r="E206" i="100"/>
  <c r="E205" i="100"/>
  <c r="E204" i="100"/>
  <c r="E203" i="100"/>
  <c r="E202" i="100"/>
  <c r="E201" i="100"/>
  <c r="E200" i="100"/>
  <c r="E199" i="100"/>
  <c r="E198" i="100"/>
  <c r="E197" i="100"/>
  <c r="E196" i="100"/>
  <c r="E195" i="100"/>
  <c r="E194" i="100"/>
  <c r="E193" i="100"/>
  <c r="E192" i="100"/>
  <c r="E191" i="100"/>
  <c r="E190" i="100"/>
  <c r="E189" i="100"/>
  <c r="E188" i="100"/>
  <c r="E187" i="100"/>
  <c r="E186" i="100"/>
  <c r="E185" i="100"/>
  <c r="E184" i="100"/>
  <c r="E183" i="100"/>
  <c r="E182" i="100"/>
  <c r="E181" i="100"/>
  <c r="E180" i="100"/>
  <c r="E179" i="100"/>
  <c r="E178" i="100"/>
  <c r="E177" i="100"/>
  <c r="E176" i="100"/>
  <c r="E175" i="100"/>
  <c r="E174" i="100"/>
  <c r="E173" i="100"/>
  <c r="E172" i="100"/>
  <c r="E171" i="100"/>
  <c r="E170" i="100"/>
  <c r="E169" i="100"/>
  <c r="E168" i="100"/>
  <c r="E167" i="100"/>
  <c r="E166" i="100"/>
  <c r="E165" i="100"/>
  <c r="E164" i="100"/>
  <c r="E163" i="100"/>
  <c r="E162" i="100"/>
  <c r="E161" i="100"/>
  <c r="E160" i="100"/>
  <c r="E159" i="100"/>
  <c r="C207" i="100"/>
  <c r="C130" i="102" s="1"/>
  <c r="C206" i="100"/>
  <c r="C205" i="100"/>
  <c r="C128" i="102" s="1"/>
  <c r="C204" i="100"/>
  <c r="A204" i="100" s="1"/>
  <c r="A127" i="102" s="1"/>
  <c r="C203" i="100"/>
  <c r="A203" i="100" s="1"/>
  <c r="A126" i="102" s="1"/>
  <c r="C202" i="100"/>
  <c r="A202" i="100" s="1"/>
  <c r="A125" i="102" s="1"/>
  <c r="C201" i="100"/>
  <c r="C124" i="102" s="1"/>
  <c r="C200" i="100"/>
  <c r="A200" i="100" s="1"/>
  <c r="A123" i="102" s="1"/>
  <c r="C199" i="100"/>
  <c r="C122" i="102" s="1"/>
  <c r="C198" i="100"/>
  <c r="C121" i="102" s="1"/>
  <c r="C197" i="100"/>
  <c r="A197" i="100" s="1"/>
  <c r="A120" i="102" s="1"/>
  <c r="C196" i="100"/>
  <c r="C119" i="102" s="1"/>
  <c r="C195" i="100"/>
  <c r="C118" i="102" s="1"/>
  <c r="C194" i="100"/>
  <c r="C117" i="102" s="1"/>
  <c r="C193" i="100"/>
  <c r="A193" i="100" s="1"/>
  <c r="A116" i="102" s="1"/>
  <c r="C192" i="100"/>
  <c r="C115" i="102" s="1"/>
  <c r="C191" i="100"/>
  <c r="A191" i="100" s="1"/>
  <c r="A114" i="102" s="1"/>
  <c r="C190" i="100"/>
  <c r="C113" i="102" s="1"/>
  <c r="C189" i="100"/>
  <c r="C112" i="102" s="1"/>
  <c r="C188" i="100"/>
  <c r="C111" i="102" s="1"/>
  <c r="C187" i="100"/>
  <c r="C110" i="102" s="1"/>
  <c r="C186" i="100"/>
  <c r="A186" i="100" s="1"/>
  <c r="A109" i="102" s="1"/>
  <c r="C185" i="100"/>
  <c r="A185" i="100" s="1"/>
  <c r="A108" i="102" s="1"/>
  <c r="C184" i="100"/>
  <c r="C107" i="102" s="1"/>
  <c r="C183" i="100"/>
  <c r="C106" i="102" s="1"/>
  <c r="C182" i="100"/>
  <c r="A182" i="100" s="1"/>
  <c r="A105" i="102" s="1"/>
  <c r="C181" i="100"/>
  <c r="C104" i="102" s="1"/>
  <c r="C180" i="100"/>
  <c r="C103" i="102" s="1"/>
  <c r="C179" i="100"/>
  <c r="A179" i="100" s="1"/>
  <c r="A102" i="102" s="1"/>
  <c r="C178" i="100"/>
  <c r="C101" i="102" s="1"/>
  <c r="C177" i="100"/>
  <c r="C176" i="100"/>
  <c r="C99" i="102" s="1"/>
  <c r="C175" i="100"/>
  <c r="A175" i="100" s="1"/>
  <c r="A98" i="102" s="1"/>
  <c r="C174" i="100"/>
  <c r="A174" i="100" s="1"/>
  <c r="A97" i="102" s="1"/>
  <c r="C173" i="100"/>
  <c r="C96" i="102" s="1"/>
  <c r="C172" i="100"/>
  <c r="C95" i="102" s="1"/>
  <c r="C171" i="100"/>
  <c r="A171" i="100" s="1"/>
  <c r="A94" i="102" s="1"/>
  <c r="C170" i="100"/>
  <c r="C93" i="102" s="1"/>
  <c r="C169" i="100"/>
  <c r="C92" i="102" s="1"/>
  <c r="C168" i="100"/>
  <c r="A168" i="100" s="1"/>
  <c r="A91" i="102" s="1"/>
  <c r="C167" i="100"/>
  <c r="C90" i="102" s="1"/>
  <c r="C166" i="100"/>
  <c r="C89" i="102" s="1"/>
  <c r="C165" i="100"/>
  <c r="A165" i="100" s="1"/>
  <c r="A88" i="102" s="1"/>
  <c r="C164" i="100"/>
  <c r="A164" i="100" s="1"/>
  <c r="A87" i="102" s="1"/>
  <c r="C163" i="100"/>
  <c r="A163" i="100" s="1"/>
  <c r="A86" i="102" s="1"/>
  <c r="C162" i="100"/>
  <c r="C85" i="102" s="1"/>
  <c r="C161" i="100"/>
  <c r="C84" i="102" s="1"/>
  <c r="C160" i="100"/>
  <c r="C83" i="102" s="1"/>
  <c r="C159" i="100"/>
  <c r="C82" i="102" s="1"/>
  <c r="C158" i="100"/>
  <c r="B207" i="100"/>
  <c r="AL207" i="100" s="1"/>
  <c r="B206" i="100"/>
  <c r="B129" i="102" s="1"/>
  <c r="B205" i="100"/>
  <c r="B128" i="102" s="1"/>
  <c r="B204" i="100"/>
  <c r="AL204" i="100" s="1"/>
  <c r="B203" i="100"/>
  <c r="B126" i="102" s="1"/>
  <c r="B202" i="100"/>
  <c r="AL202" i="100" s="1"/>
  <c r="B201" i="100"/>
  <c r="B124" i="102" s="1"/>
  <c r="B200" i="100"/>
  <c r="B123" i="102" s="1"/>
  <c r="B199" i="100"/>
  <c r="AL199" i="100" s="1"/>
  <c r="B198" i="100"/>
  <c r="B121" i="102" s="1"/>
  <c r="B197" i="100"/>
  <c r="AL197" i="100" s="1"/>
  <c r="B196" i="100"/>
  <c r="AL196" i="100" s="1"/>
  <c r="B195" i="100"/>
  <c r="AL195" i="100" s="1"/>
  <c r="B194" i="100"/>
  <c r="B117" i="102" s="1"/>
  <c r="B193" i="100"/>
  <c r="AL193" i="100" s="1"/>
  <c r="B192" i="100"/>
  <c r="AL192" i="100" s="1"/>
  <c r="B191" i="100"/>
  <c r="B114" i="102" s="1"/>
  <c r="B190" i="100"/>
  <c r="AL190" i="100" s="1"/>
  <c r="B189" i="100"/>
  <c r="AL189" i="100" s="1"/>
  <c r="B188" i="100"/>
  <c r="B111" i="102" s="1"/>
  <c r="B187" i="100"/>
  <c r="AL187" i="100" s="1"/>
  <c r="B186" i="100"/>
  <c r="AL186" i="100" s="1"/>
  <c r="B185" i="100"/>
  <c r="B108" i="102" s="1"/>
  <c r="B184" i="100"/>
  <c r="B107" i="102" s="1"/>
  <c r="B183" i="100"/>
  <c r="AL183" i="100" s="1"/>
  <c r="B182" i="100"/>
  <c r="B105" i="102" s="1"/>
  <c r="B181" i="100"/>
  <c r="B180" i="100"/>
  <c r="AL180" i="100" s="1"/>
  <c r="B179" i="100"/>
  <c r="B178" i="100"/>
  <c r="AL178" i="100" s="1"/>
  <c r="B177" i="100"/>
  <c r="AL177" i="100" s="1"/>
  <c r="B176" i="100"/>
  <c r="AL176" i="100" s="1"/>
  <c r="B175" i="100"/>
  <c r="B98" i="102" s="1"/>
  <c r="B174" i="100"/>
  <c r="AL174" i="100" s="1"/>
  <c r="B173" i="100"/>
  <c r="B96" i="102" s="1"/>
  <c r="B172" i="100"/>
  <c r="B95" i="102" s="1"/>
  <c r="B171" i="100"/>
  <c r="AL171" i="100" s="1"/>
  <c r="B170" i="100"/>
  <c r="AL170" i="100" s="1"/>
  <c r="B169" i="100"/>
  <c r="AL169" i="100" s="1"/>
  <c r="B168" i="100"/>
  <c r="AL168" i="100" s="1"/>
  <c r="B167" i="100"/>
  <c r="B90" i="102" s="1"/>
  <c r="B166" i="100"/>
  <c r="B89" i="102" s="1"/>
  <c r="B165" i="100"/>
  <c r="AL165" i="100" s="1"/>
  <c r="B164" i="100"/>
  <c r="B87" i="102" s="1"/>
  <c r="B163" i="100"/>
  <c r="AL163" i="100" s="1"/>
  <c r="B162" i="100"/>
  <c r="B85" i="102" s="1"/>
  <c r="B161" i="100"/>
  <c r="B84" i="102" s="1"/>
  <c r="B160" i="100"/>
  <c r="B83" i="102" s="1"/>
  <c r="B159" i="100"/>
  <c r="B82" i="102" s="1"/>
  <c r="B158" i="100"/>
  <c r="AL158" i="100" s="1"/>
  <c r="A76" i="100"/>
  <c r="A78" i="102" s="1"/>
  <c r="A73" i="100"/>
  <c r="A75" i="102" s="1"/>
  <c r="A72" i="100"/>
  <c r="A74" i="102" s="1"/>
  <c r="A70" i="100"/>
  <c r="A72" i="102" s="1"/>
  <c r="A68" i="100"/>
  <c r="A70" i="102" s="1"/>
  <c r="C42" i="100"/>
  <c r="E42" i="100" s="1" a="1"/>
  <c r="E42" i="100" s="1"/>
  <c r="C41" i="100"/>
  <c r="E41" i="100" s="1" a="1"/>
  <c r="E41" i="100" s="1"/>
  <c r="C40" i="100"/>
  <c r="E40" i="100" s="1" a="1"/>
  <c r="E40" i="100" s="1"/>
  <c r="C39" i="100"/>
  <c r="E39" i="100" s="1" a="1"/>
  <c r="E39" i="100" s="1"/>
  <c r="C38" i="100"/>
  <c r="E38" i="100" s="1" a="1"/>
  <c r="E38" i="100" s="1"/>
  <c r="C37" i="100"/>
  <c r="E37" i="100" s="1" a="1"/>
  <c r="E37" i="100" s="1"/>
  <c r="C36" i="100"/>
  <c r="E36" i="100" s="1" a="1"/>
  <c r="E36" i="100" s="1"/>
  <c r="C35" i="100"/>
  <c r="E35" i="100" s="1" a="1"/>
  <c r="E35" i="100" s="1"/>
  <c r="C34" i="100"/>
  <c r="E34" i="100" s="1" a="1"/>
  <c r="E34" i="100" s="1"/>
  <c r="C33" i="100"/>
  <c r="E33" i="100" s="1" a="1"/>
  <c r="E33" i="100" s="1"/>
  <c r="C32" i="100"/>
  <c r="E32" i="100" s="1" a="1"/>
  <c r="E32" i="100" s="1"/>
  <c r="C31" i="100"/>
  <c r="E31" i="100" s="1" a="1"/>
  <c r="E31" i="100" s="1"/>
  <c r="C30" i="100"/>
  <c r="E30" i="100" s="1" a="1"/>
  <c r="E30" i="100" s="1"/>
  <c r="C29" i="100"/>
  <c r="E29" i="100" s="1" a="1"/>
  <c r="E29" i="100" s="1"/>
  <c r="C28" i="100"/>
  <c r="E28" i="100" s="1" a="1"/>
  <c r="E28" i="100" s="1"/>
  <c r="C27" i="100"/>
  <c r="E27" i="100" s="1" a="1"/>
  <c r="E27" i="100" s="1"/>
  <c r="B27" i="100"/>
  <c r="B29" i="102" s="1"/>
  <c r="C26" i="100"/>
  <c r="E26" i="100" s="1" a="1"/>
  <c r="E26" i="100" s="1"/>
  <c r="C25" i="100"/>
  <c r="E25" i="100" s="1" a="1"/>
  <c r="E25" i="100" s="1"/>
  <c r="C24" i="100"/>
  <c r="E24" i="100" s="1" a="1"/>
  <c r="E24" i="100" s="1"/>
  <c r="C23" i="100"/>
  <c r="E23" i="100" s="1" a="1"/>
  <c r="E23" i="100" s="1"/>
  <c r="C22" i="100"/>
  <c r="E22" i="100" s="1" a="1"/>
  <c r="E22" i="100" s="1"/>
  <c r="C21" i="100"/>
  <c r="E21" i="100" s="1" a="1"/>
  <c r="E21" i="100" s="1"/>
  <c r="C20" i="100"/>
  <c r="E20" i="100" s="1" a="1"/>
  <c r="E20" i="100" s="1"/>
  <c r="C19" i="100"/>
  <c r="E19" i="100" s="1" a="1"/>
  <c r="E19" i="100" s="1"/>
  <c r="C16" i="100"/>
  <c r="E16" i="100" s="1" a="1"/>
  <c r="E16" i="100" s="1"/>
  <c r="C15" i="100"/>
  <c r="E15" i="100" s="1" a="1"/>
  <c r="E15" i="100" s="1"/>
  <c r="C14" i="100"/>
  <c r="E14" i="100" s="1" a="1"/>
  <c r="E14" i="100" s="1"/>
  <c r="C13" i="100"/>
  <c r="E13" i="100" s="1" a="1"/>
  <c r="E13" i="100" s="1"/>
  <c r="C12" i="100"/>
  <c r="E12" i="100" s="1" a="1"/>
  <c r="E12" i="100" s="1"/>
  <c r="C10" i="100"/>
  <c r="E10" i="100" s="1" a="1"/>
  <c r="E10" i="100" s="1"/>
  <c r="C8" i="100"/>
  <c r="B42" i="100"/>
  <c r="B44" i="102" s="1"/>
  <c r="B41" i="100"/>
  <c r="B43" i="102" s="1"/>
  <c r="B40" i="100"/>
  <c r="B42" i="102" s="1"/>
  <c r="B39" i="100"/>
  <c r="B41" i="102" s="1"/>
  <c r="B38" i="100"/>
  <c r="B40" i="102" s="1"/>
  <c r="B37" i="100"/>
  <c r="B39" i="102" s="1"/>
  <c r="B36" i="100"/>
  <c r="B35" i="100"/>
  <c r="B37" i="102" s="1"/>
  <c r="B34" i="100"/>
  <c r="B36" i="102" s="1"/>
  <c r="B33" i="100"/>
  <c r="B35" i="102" s="1"/>
  <c r="B32" i="100"/>
  <c r="B34" i="102" s="1"/>
  <c r="B31" i="100"/>
  <c r="B33" i="102" s="1"/>
  <c r="B30" i="100"/>
  <c r="B32" i="102" s="1"/>
  <c r="B29" i="100"/>
  <c r="B28" i="100"/>
  <c r="B26" i="100"/>
  <c r="B28" i="102" s="1"/>
  <c r="B25" i="100"/>
  <c r="B27" i="102" s="1"/>
  <c r="B24" i="100"/>
  <c r="B26" i="102" s="1"/>
  <c r="B23" i="100"/>
  <c r="B25" i="102" s="1"/>
  <c r="B22" i="100"/>
  <c r="B24" i="102" s="1"/>
  <c r="B21" i="100"/>
  <c r="B20" i="100"/>
  <c r="B19" i="100"/>
  <c r="B21" i="102" s="1"/>
  <c r="B18" i="100"/>
  <c r="B20" i="102" s="1"/>
  <c r="B17" i="100"/>
  <c r="B19" i="102" s="1"/>
  <c r="B15" i="100"/>
  <c r="B14" i="100"/>
  <c r="B16" i="102" s="1"/>
  <c r="B12" i="100"/>
  <c r="B11" i="100"/>
  <c r="AN287" i="100"/>
  <c r="AO287" i="100" s="1"/>
  <c r="AP287" i="100" s="1"/>
  <c r="AQ287" i="100" s="1"/>
  <c r="AR287" i="100" s="1"/>
  <c r="AS287" i="100" s="1"/>
  <c r="AT287" i="100" s="1"/>
  <c r="AU287" i="100" s="1"/>
  <c r="AV287" i="100" s="1"/>
  <c r="AW287" i="100" s="1"/>
  <c r="AX287" i="100" s="1"/>
  <c r="AY287" i="100" s="1"/>
  <c r="AZ287" i="100" s="1"/>
  <c r="BA287" i="100" s="1"/>
  <c r="BB287" i="100" s="1"/>
  <c r="BC287" i="100" s="1"/>
  <c r="BD287" i="100" s="1"/>
  <c r="BE287" i="100" s="1"/>
  <c r="BF287" i="100" s="1"/>
  <c r="BG287" i="100" s="1"/>
  <c r="BH287" i="100" s="1"/>
  <c r="BI287" i="100" s="1"/>
  <c r="BJ287" i="100" s="1"/>
  <c r="BK287" i="100" s="1"/>
  <c r="BL287" i="100" s="1"/>
  <c r="BM287" i="100" s="1"/>
  <c r="BN287" i="100" s="1"/>
  <c r="BO287" i="100" s="1"/>
  <c r="BP287" i="100" s="1"/>
  <c r="BQ287" i="100" s="1"/>
  <c r="BR287" i="100" s="1"/>
  <c r="BS287" i="100" s="1"/>
  <c r="BT287" i="100" s="1"/>
  <c r="BU287" i="100" s="1"/>
  <c r="BV287" i="100" s="1"/>
  <c r="BW287" i="100" s="1"/>
  <c r="BX287" i="100" s="1"/>
  <c r="BY287" i="100" s="1"/>
  <c r="BZ287" i="100" s="1"/>
  <c r="CA287" i="100" s="1"/>
  <c r="CB287" i="100" s="1"/>
  <c r="CC287" i="100" s="1"/>
  <c r="CD287" i="100" s="1"/>
  <c r="CE287" i="100" s="1"/>
  <c r="CF287" i="100" s="1"/>
  <c r="CG287" i="100" s="1"/>
  <c r="CH287" i="100" s="1"/>
  <c r="CI287" i="100" s="1"/>
  <c r="CJ287" i="100" s="1"/>
  <c r="CK287" i="100" s="1"/>
  <c r="CL287" i="100" s="1"/>
  <c r="CM287" i="100" s="1"/>
  <c r="CN287" i="100" s="1"/>
  <c r="CO287" i="100" s="1"/>
  <c r="CP287" i="100" s="1"/>
  <c r="CQ287" i="100" s="1"/>
  <c r="CR287" i="100" s="1"/>
  <c r="CS287" i="100" s="1"/>
  <c r="CT287" i="100" s="1"/>
  <c r="CU287" i="100" s="1"/>
  <c r="CV287" i="100" s="1"/>
  <c r="CW287" i="100" s="1"/>
  <c r="CX287" i="100" s="1"/>
  <c r="CY287" i="100" s="1"/>
  <c r="CZ287" i="100" s="1"/>
  <c r="DA287" i="100" s="1"/>
  <c r="DB287" i="100" s="1"/>
  <c r="DC287" i="100" s="1"/>
  <c r="DD287" i="100" s="1"/>
  <c r="DE287" i="100" s="1"/>
  <c r="DF287" i="100" s="1"/>
  <c r="DG287" i="100" s="1"/>
  <c r="DH287" i="100" s="1"/>
  <c r="DI287" i="100" s="1"/>
  <c r="DJ287" i="100" s="1"/>
  <c r="DK287" i="100" s="1"/>
  <c r="DL287" i="100" s="1"/>
  <c r="DM287" i="100" s="1"/>
  <c r="DN287" i="100" s="1"/>
  <c r="DO287" i="100" s="1"/>
  <c r="DP287" i="100" s="1"/>
  <c r="DQ287" i="100" s="1"/>
  <c r="DR287" i="100" s="1"/>
  <c r="DS287" i="100" s="1"/>
  <c r="DT287" i="100" s="1"/>
  <c r="DU287" i="100" s="1"/>
  <c r="DV287" i="100" s="1"/>
  <c r="DW287" i="100" s="1"/>
  <c r="DX287" i="100" s="1"/>
  <c r="DY287" i="100" s="1"/>
  <c r="DZ287" i="100" s="1"/>
  <c r="EA287" i="100" s="1"/>
  <c r="EB287" i="100" s="1"/>
  <c r="EC287" i="100" s="1"/>
  <c r="ED287" i="100" s="1"/>
  <c r="EE287" i="100" s="1"/>
  <c r="EF287" i="100" s="1"/>
  <c r="EG287" i="100" s="1"/>
  <c r="EH287" i="100" s="1"/>
  <c r="EI287" i="100" s="1"/>
  <c r="EJ287" i="100" s="1"/>
  <c r="EK287" i="100" s="1"/>
  <c r="EL287" i="100" s="1"/>
  <c r="EM287" i="100" s="1"/>
  <c r="AN157" i="100"/>
  <c r="AO157" i="100" s="1"/>
  <c r="AP157" i="100" s="1"/>
  <c r="AQ157" i="100" s="1"/>
  <c r="AR157" i="100" s="1"/>
  <c r="AS157" i="100" s="1"/>
  <c r="AT157" i="100" s="1"/>
  <c r="AU157" i="100" s="1"/>
  <c r="AV157" i="100" s="1"/>
  <c r="AW157" i="100" s="1"/>
  <c r="AX157" i="100" s="1"/>
  <c r="AY157" i="100" s="1"/>
  <c r="AZ157" i="100" s="1"/>
  <c r="BA157" i="100" s="1"/>
  <c r="BB157" i="100" s="1"/>
  <c r="BC157" i="100" s="1"/>
  <c r="BD157" i="100" s="1"/>
  <c r="BE157" i="100" s="1"/>
  <c r="BF157" i="100" s="1"/>
  <c r="BG157" i="100" s="1"/>
  <c r="BH157" i="100" s="1"/>
  <c r="BI157" i="100" s="1"/>
  <c r="BJ157" i="100" s="1"/>
  <c r="BK157" i="100" s="1"/>
  <c r="BL157" i="100" s="1"/>
  <c r="BM157" i="100" s="1"/>
  <c r="BN157" i="100" s="1"/>
  <c r="BO157" i="100" s="1"/>
  <c r="BP157" i="100" s="1"/>
  <c r="BQ157" i="100" s="1"/>
  <c r="BR157" i="100" s="1"/>
  <c r="BS157" i="100" s="1"/>
  <c r="BT157" i="100" s="1"/>
  <c r="BU157" i="100" s="1"/>
  <c r="BV157" i="100" s="1"/>
  <c r="BW157" i="100" s="1"/>
  <c r="BX157" i="100" s="1"/>
  <c r="BY157" i="100" s="1"/>
  <c r="BZ157" i="100" s="1"/>
  <c r="CA157" i="100" s="1"/>
  <c r="CB157" i="100" s="1"/>
  <c r="CC157" i="100" s="1"/>
  <c r="CD157" i="100" s="1"/>
  <c r="CE157" i="100" s="1"/>
  <c r="CF157" i="100" s="1"/>
  <c r="CG157" i="100" s="1"/>
  <c r="CH157" i="100" s="1"/>
  <c r="CI157" i="100" s="1"/>
  <c r="CJ157" i="100" s="1"/>
  <c r="CK157" i="100" s="1"/>
  <c r="CL157" i="100" s="1"/>
  <c r="CM157" i="100" s="1"/>
  <c r="CN157" i="100" s="1"/>
  <c r="CO157" i="100" s="1"/>
  <c r="CP157" i="100" s="1"/>
  <c r="CQ157" i="100" s="1"/>
  <c r="CR157" i="100" s="1"/>
  <c r="CS157" i="100" s="1"/>
  <c r="CT157" i="100" s="1"/>
  <c r="CU157" i="100" s="1"/>
  <c r="CV157" i="100" s="1"/>
  <c r="CW157" i="100" s="1"/>
  <c r="CX157" i="100" s="1"/>
  <c r="CY157" i="100" s="1"/>
  <c r="CZ157" i="100" s="1"/>
  <c r="DA157" i="100" s="1"/>
  <c r="DB157" i="100" s="1"/>
  <c r="DC157" i="100" s="1"/>
  <c r="DD157" i="100" s="1"/>
  <c r="DE157" i="100" s="1"/>
  <c r="DF157" i="100" s="1"/>
  <c r="DG157" i="100" s="1"/>
  <c r="DH157" i="100" s="1"/>
  <c r="DI157" i="100" s="1"/>
  <c r="DJ157" i="100" s="1"/>
  <c r="DK157" i="100" s="1"/>
  <c r="DL157" i="100" s="1"/>
  <c r="DM157" i="100" s="1"/>
  <c r="DN157" i="100" s="1"/>
  <c r="DO157" i="100" s="1"/>
  <c r="DP157" i="100" s="1"/>
  <c r="DQ157" i="100" s="1"/>
  <c r="DR157" i="100" s="1"/>
  <c r="DS157" i="100" s="1"/>
  <c r="DT157" i="100" s="1"/>
  <c r="DU157" i="100" s="1"/>
  <c r="DV157" i="100" s="1"/>
  <c r="DW157" i="100" s="1"/>
  <c r="DX157" i="100" s="1"/>
  <c r="DY157" i="100" s="1"/>
  <c r="DZ157" i="100" s="1"/>
  <c r="EA157" i="100" s="1"/>
  <c r="EB157" i="100" s="1"/>
  <c r="EC157" i="100" s="1"/>
  <c r="ED157" i="100" s="1"/>
  <c r="EE157" i="100" s="1"/>
  <c r="EF157" i="100" s="1"/>
  <c r="EG157" i="100" s="1"/>
  <c r="EH157" i="100" s="1"/>
  <c r="EI157" i="100" s="1"/>
  <c r="EJ157" i="100" s="1"/>
  <c r="EK157" i="100" s="1"/>
  <c r="EL157" i="100" s="1"/>
  <c r="EM157" i="100" s="1"/>
  <c r="EN157" i="100" s="1"/>
  <c r="EO157" i="100" s="1"/>
  <c r="EP157" i="100" s="1"/>
  <c r="EQ157" i="100" s="1"/>
  <c r="ER157" i="100" s="1"/>
  <c r="ES157" i="100" s="1"/>
  <c r="ET157" i="100" s="1"/>
  <c r="EU157" i="100" s="1"/>
  <c r="EV157" i="100" s="1"/>
  <c r="EW157" i="100" s="1"/>
  <c r="EX157" i="100" s="1"/>
  <c r="EY157" i="100" s="1"/>
  <c r="EZ157" i="100" s="1"/>
  <c r="FA157" i="100" s="1"/>
  <c r="FB157" i="100" s="1"/>
  <c r="FC157" i="100" s="1"/>
  <c r="FD157" i="100" s="1"/>
  <c r="FE157" i="100" s="1"/>
  <c r="FF157" i="100" s="1"/>
  <c r="FG157" i="100" s="1"/>
  <c r="FH157" i="100" s="1"/>
  <c r="FI157" i="100" s="1"/>
  <c r="FJ157" i="100" s="1"/>
  <c r="FK157" i="100" s="1"/>
  <c r="FL157" i="100" s="1"/>
  <c r="FM157" i="100" s="1"/>
  <c r="FN157" i="100" s="1"/>
  <c r="FO157" i="100" s="1"/>
  <c r="FP157" i="100" s="1"/>
  <c r="FQ157" i="100" s="1"/>
  <c r="FR157" i="100" s="1"/>
  <c r="FS157" i="100" s="1"/>
  <c r="FT157" i="100" s="1"/>
  <c r="FU157" i="100" s="1"/>
  <c r="FV157" i="100" s="1"/>
  <c r="FW157" i="100" s="1"/>
  <c r="FX157" i="100" s="1"/>
  <c r="FY157" i="100" s="1"/>
  <c r="FZ157" i="100" s="1"/>
  <c r="GA157" i="100" s="1"/>
  <c r="GB157" i="100" s="1"/>
  <c r="GC157" i="100" s="1"/>
  <c r="GD157" i="100" s="1"/>
  <c r="GE157" i="100" s="1"/>
  <c r="GF157" i="100" s="1"/>
  <c r="GG157" i="100" s="1"/>
  <c r="GH157" i="100" s="1"/>
  <c r="GI157" i="100" s="1"/>
  <c r="GJ157" i="100" s="1"/>
  <c r="GK157" i="100" s="1"/>
  <c r="GL157" i="100" s="1"/>
  <c r="GM157" i="100" s="1"/>
  <c r="GN157" i="100" s="1"/>
  <c r="GO157" i="100" s="1"/>
  <c r="GP157" i="100" s="1"/>
  <c r="GQ157" i="100" s="1"/>
  <c r="GR157" i="100" s="1"/>
  <c r="GS157" i="100" s="1"/>
  <c r="GT157" i="100" s="1"/>
  <c r="GU157" i="100" s="1"/>
  <c r="GV157" i="100" s="1"/>
  <c r="GW157" i="100" s="1"/>
  <c r="GX157" i="100" s="1"/>
  <c r="GY157" i="100" s="1"/>
  <c r="GZ157" i="100" s="1"/>
  <c r="HA157" i="100" s="1"/>
  <c r="HB157" i="100" s="1"/>
  <c r="HC157" i="100" s="1"/>
  <c r="HD157" i="100" s="1"/>
  <c r="HE157" i="100" s="1"/>
  <c r="HF157" i="100" s="1"/>
  <c r="HG157" i="100" s="1"/>
  <c r="HH157" i="100" s="1"/>
  <c r="HI157" i="100" s="1"/>
  <c r="HJ157" i="100" s="1"/>
  <c r="HK157" i="100" s="1"/>
  <c r="HL157" i="100" s="1"/>
  <c r="HM157" i="100" s="1"/>
  <c r="HN157" i="100" s="1"/>
  <c r="HO157" i="100" s="1"/>
  <c r="HP157" i="100" s="1"/>
  <c r="HQ157" i="100" s="1"/>
  <c r="HR157" i="100" s="1"/>
  <c r="HS157" i="100" s="1"/>
  <c r="HT157" i="100" s="1"/>
  <c r="HU157" i="100" s="1"/>
  <c r="HV157" i="100" s="1"/>
  <c r="HW157" i="100" s="1"/>
  <c r="HX157" i="100" s="1"/>
  <c r="HY157" i="100" s="1"/>
  <c r="HZ157" i="100" s="1"/>
  <c r="IA157" i="100" s="1"/>
  <c r="IB157" i="100" s="1"/>
  <c r="IC157" i="100" s="1"/>
  <c r="ID157" i="100" s="1"/>
  <c r="IE157" i="100" s="1"/>
  <c r="IF157" i="100" s="1"/>
  <c r="IG157" i="100" s="1"/>
  <c r="IH157" i="100" s="1"/>
  <c r="II157" i="100" s="1"/>
  <c r="IJ157" i="100" s="1"/>
  <c r="O292" i="100"/>
  <c r="Q136" i="102" s="1"/>
  <c r="Q292" i="100"/>
  <c r="R136" i="102" s="1"/>
  <c r="S292" i="100"/>
  <c r="S136" i="102" s="1"/>
  <c r="U292" i="100"/>
  <c r="T136" i="102" s="1"/>
  <c r="W292" i="100"/>
  <c r="U136" i="102" s="1"/>
  <c r="O293" i="100"/>
  <c r="Q137" i="102" s="1"/>
  <c r="Q293" i="100"/>
  <c r="R137" i="102" s="1"/>
  <c r="S293" i="100"/>
  <c r="S137" i="102" s="1"/>
  <c r="U293" i="100"/>
  <c r="T137" i="102" s="1"/>
  <c r="W293" i="100"/>
  <c r="U137" i="102" s="1"/>
  <c r="O294" i="100"/>
  <c r="Q138" i="102" s="1"/>
  <c r="Q294" i="100"/>
  <c r="R138" i="102" s="1"/>
  <c r="S294" i="100"/>
  <c r="S138" i="102" s="1"/>
  <c r="U294" i="100"/>
  <c r="T138" i="102" s="1"/>
  <c r="W294" i="100"/>
  <c r="U138" i="102" s="1"/>
  <c r="O295" i="100"/>
  <c r="Q139" i="102" s="1"/>
  <c r="Q295" i="100"/>
  <c r="R139" i="102" s="1"/>
  <c r="S295" i="100"/>
  <c r="S139" i="102" s="1"/>
  <c r="U295" i="100"/>
  <c r="T139" i="102" s="1"/>
  <c r="W295" i="100"/>
  <c r="U139" i="102" s="1"/>
  <c r="O296" i="100"/>
  <c r="Q140" i="102" s="1"/>
  <c r="Q296" i="100"/>
  <c r="R140" i="102" s="1"/>
  <c r="S296" i="100"/>
  <c r="U296" i="100"/>
  <c r="T140" i="102" s="1"/>
  <c r="W296" i="100"/>
  <c r="U140" i="102" s="1"/>
  <c r="O297" i="100"/>
  <c r="Q141" i="102" s="1"/>
  <c r="Q297" i="100"/>
  <c r="R141" i="102" s="1"/>
  <c r="S297" i="100"/>
  <c r="S141" i="102" s="1"/>
  <c r="U297" i="100"/>
  <c r="T141" i="102" s="1"/>
  <c r="W297" i="100"/>
  <c r="U141" i="102" s="1"/>
  <c r="O298" i="100"/>
  <c r="Q142" i="102" s="1"/>
  <c r="Q298" i="100"/>
  <c r="R142" i="102" s="1"/>
  <c r="S298" i="100"/>
  <c r="S142" i="102" s="1"/>
  <c r="U298" i="100"/>
  <c r="T142" i="102" s="1"/>
  <c r="W298" i="100"/>
  <c r="U142" i="102" s="1"/>
  <c r="O299" i="100"/>
  <c r="Q143" i="102" s="1"/>
  <c r="Q299" i="100"/>
  <c r="R143" i="102" s="1"/>
  <c r="S299" i="100"/>
  <c r="S143" i="102" s="1"/>
  <c r="U299" i="100"/>
  <c r="T143" i="102" s="1"/>
  <c r="W299" i="100"/>
  <c r="U143" i="102" s="1"/>
  <c r="O300" i="100"/>
  <c r="Q144" i="102" s="1"/>
  <c r="Q300" i="100"/>
  <c r="R144" i="102" s="1"/>
  <c r="S300" i="100"/>
  <c r="S144" i="102" s="1"/>
  <c r="U300" i="100"/>
  <c r="T144" i="102" s="1"/>
  <c r="W300" i="100"/>
  <c r="U144" i="102" s="1"/>
  <c r="O301" i="100"/>
  <c r="Q145" i="102" s="1"/>
  <c r="Q301" i="100"/>
  <c r="S301" i="100"/>
  <c r="S145" i="102" s="1"/>
  <c r="U301" i="100"/>
  <c r="T145" i="102" s="1"/>
  <c r="W301" i="100"/>
  <c r="O302" i="100"/>
  <c r="Q146" i="102" s="1"/>
  <c r="Q302" i="100"/>
  <c r="R146" i="102" s="1"/>
  <c r="S302" i="100"/>
  <c r="S146" i="102" s="1"/>
  <c r="U302" i="100"/>
  <c r="T146" i="102" s="1"/>
  <c r="W302" i="100"/>
  <c r="U146" i="102" s="1"/>
  <c r="O303" i="100"/>
  <c r="Q147" i="102" s="1"/>
  <c r="Q303" i="100"/>
  <c r="R147" i="102" s="1"/>
  <c r="S303" i="100"/>
  <c r="S147" i="102" s="1"/>
  <c r="U303" i="100"/>
  <c r="T147" i="102" s="1"/>
  <c r="W303" i="100"/>
  <c r="U147" i="102" s="1"/>
  <c r="O304" i="100"/>
  <c r="Q148" i="102" s="1"/>
  <c r="Q304" i="100"/>
  <c r="R148" i="102" s="1"/>
  <c r="S304" i="100"/>
  <c r="S148" i="102" s="1"/>
  <c r="U304" i="100"/>
  <c r="T148" i="102" s="1"/>
  <c r="W304" i="100"/>
  <c r="U148" i="102" s="1"/>
  <c r="O305" i="100"/>
  <c r="Q149" i="102" s="1"/>
  <c r="Q305" i="100"/>
  <c r="R149" i="102" s="1"/>
  <c r="S305" i="100"/>
  <c r="S149" i="102" s="1"/>
  <c r="U305" i="100"/>
  <c r="T149" i="102" s="1"/>
  <c r="W305" i="100"/>
  <c r="U149" i="102" s="1"/>
  <c r="O306" i="100"/>
  <c r="Q150" i="102" s="1"/>
  <c r="Q306" i="100"/>
  <c r="R150" i="102" s="1"/>
  <c r="S306" i="100"/>
  <c r="S150" i="102" s="1"/>
  <c r="U306" i="100"/>
  <c r="T150" i="102" s="1"/>
  <c r="W306" i="100"/>
  <c r="U150" i="102" s="1"/>
  <c r="O307" i="100"/>
  <c r="Q151" i="102" s="1"/>
  <c r="Q307" i="100"/>
  <c r="R151" i="102" s="1"/>
  <c r="S307" i="100"/>
  <c r="S151" i="102" s="1"/>
  <c r="U307" i="100"/>
  <c r="T151" i="102" s="1"/>
  <c r="W307" i="100"/>
  <c r="U151" i="102" s="1"/>
  <c r="O308" i="100"/>
  <c r="Q152" i="102" s="1"/>
  <c r="Q308" i="100"/>
  <c r="R152" i="102" s="1"/>
  <c r="S308" i="100"/>
  <c r="S152" i="102" s="1"/>
  <c r="U308" i="100"/>
  <c r="T152" i="102" s="1"/>
  <c r="W308" i="100"/>
  <c r="U152" i="102" s="1"/>
  <c r="O309" i="100"/>
  <c r="Q153" i="102" s="1"/>
  <c r="Q309" i="100"/>
  <c r="R153" i="102" s="1"/>
  <c r="S309" i="100"/>
  <c r="S153" i="102" s="1"/>
  <c r="U309" i="100"/>
  <c r="T153" i="102" s="1"/>
  <c r="W309" i="100"/>
  <c r="U153" i="102" s="1"/>
  <c r="O310" i="100"/>
  <c r="Q154" i="102" s="1"/>
  <c r="Q310" i="100"/>
  <c r="R154" i="102" s="1"/>
  <c r="S310" i="100"/>
  <c r="S154" i="102" s="1"/>
  <c r="U310" i="100"/>
  <c r="T154" i="102" s="1"/>
  <c r="W310" i="100"/>
  <c r="U154" i="102" s="1"/>
  <c r="O311" i="100"/>
  <c r="Q155" i="102" s="1"/>
  <c r="Q311" i="100"/>
  <c r="R155" i="102" s="1"/>
  <c r="S311" i="100"/>
  <c r="S155" i="102" s="1"/>
  <c r="U311" i="100"/>
  <c r="W311" i="100"/>
  <c r="O162" i="100"/>
  <c r="Q85" i="102" s="1"/>
  <c r="Q162" i="100"/>
  <c r="R85" i="102" s="1"/>
  <c r="S162" i="100"/>
  <c r="S85" i="102" s="1"/>
  <c r="U162" i="100"/>
  <c r="T85" i="102" s="1"/>
  <c r="W162" i="100"/>
  <c r="U85" i="102" s="1"/>
  <c r="O163" i="100"/>
  <c r="Q86" i="102" s="1"/>
  <c r="Q163" i="100"/>
  <c r="R86" i="102" s="1"/>
  <c r="S163" i="100"/>
  <c r="S86" i="102" s="1"/>
  <c r="U163" i="100"/>
  <c r="T86" i="102" s="1"/>
  <c r="W163" i="100"/>
  <c r="U86" i="102" s="1"/>
  <c r="O164" i="100"/>
  <c r="Q87" i="102" s="1"/>
  <c r="Q164" i="100"/>
  <c r="R87" i="102" s="1"/>
  <c r="S164" i="100"/>
  <c r="S87" i="102" s="1"/>
  <c r="U164" i="100"/>
  <c r="T87" i="102" s="1"/>
  <c r="W164" i="100"/>
  <c r="U87" i="102" s="1"/>
  <c r="O165" i="100"/>
  <c r="Q88" i="102" s="1"/>
  <c r="Q165" i="100"/>
  <c r="R88" i="102" s="1"/>
  <c r="S165" i="100"/>
  <c r="S88" i="102" s="1"/>
  <c r="U165" i="100"/>
  <c r="T88" i="102" s="1"/>
  <c r="W165" i="100"/>
  <c r="U88" i="102" s="1"/>
  <c r="O166" i="100"/>
  <c r="Q89" i="102" s="1"/>
  <c r="Q166" i="100"/>
  <c r="S166" i="100"/>
  <c r="S89" i="102" s="1"/>
  <c r="U166" i="100"/>
  <c r="T89" i="102" s="1"/>
  <c r="W166" i="100"/>
  <c r="U89" i="102" s="1"/>
  <c r="O167" i="100"/>
  <c r="Q90" i="102" s="1"/>
  <c r="Q167" i="100"/>
  <c r="S167" i="100"/>
  <c r="S90" i="102" s="1"/>
  <c r="U167" i="100"/>
  <c r="T90" i="102" s="1"/>
  <c r="W167" i="100"/>
  <c r="U90" i="102" s="1"/>
  <c r="O168" i="100"/>
  <c r="Q91" i="102" s="1"/>
  <c r="Q168" i="100"/>
  <c r="R91" i="102" s="1"/>
  <c r="S168" i="100"/>
  <c r="S91" i="102" s="1"/>
  <c r="U168" i="100"/>
  <c r="W168" i="100"/>
  <c r="U91" i="102" s="1"/>
  <c r="O169" i="100"/>
  <c r="Q92" i="102" s="1"/>
  <c r="Q169" i="100"/>
  <c r="R92" i="102" s="1"/>
  <c r="S169" i="100"/>
  <c r="S92" i="102" s="1"/>
  <c r="U169" i="100"/>
  <c r="T92" i="102" s="1"/>
  <c r="W169" i="100"/>
  <c r="U92" i="102" s="1"/>
  <c r="O170" i="100"/>
  <c r="Q93" i="102" s="1"/>
  <c r="Q170" i="100"/>
  <c r="R93" i="102" s="1"/>
  <c r="S170" i="100"/>
  <c r="S93" i="102" s="1"/>
  <c r="U170" i="100"/>
  <c r="T93" i="102" s="1"/>
  <c r="W170" i="100"/>
  <c r="U93" i="102" s="1"/>
  <c r="O171" i="100"/>
  <c r="Q94" i="102" s="1"/>
  <c r="Q171" i="100"/>
  <c r="S171" i="100"/>
  <c r="S94" i="102" s="1"/>
  <c r="U171" i="100"/>
  <c r="T94" i="102" s="1"/>
  <c r="W171" i="100"/>
  <c r="U94" i="102" s="1"/>
  <c r="O172" i="100"/>
  <c r="Q95" i="102" s="1"/>
  <c r="Q172" i="100"/>
  <c r="S172" i="100"/>
  <c r="S95" i="102" s="1"/>
  <c r="U172" i="100"/>
  <c r="T95" i="102" s="1"/>
  <c r="W172" i="100"/>
  <c r="U95" i="102" s="1"/>
  <c r="O173" i="100"/>
  <c r="Q96" i="102" s="1"/>
  <c r="Q173" i="100"/>
  <c r="R96" i="102" s="1"/>
  <c r="S173" i="100"/>
  <c r="S96" i="102" s="1"/>
  <c r="U173" i="100"/>
  <c r="T96" i="102" s="1"/>
  <c r="W173" i="100"/>
  <c r="U96" i="102" s="1"/>
  <c r="O174" i="100"/>
  <c r="Q174" i="100"/>
  <c r="S174" i="100"/>
  <c r="S97" i="102" s="1"/>
  <c r="U174" i="100"/>
  <c r="T97" i="102" s="1"/>
  <c r="W174" i="100"/>
  <c r="U97" i="102" s="1"/>
  <c r="O175" i="100"/>
  <c r="Q175" i="100"/>
  <c r="R98" i="102" s="1"/>
  <c r="S175" i="100"/>
  <c r="S98" i="102" s="1"/>
  <c r="U175" i="100"/>
  <c r="T98" i="102" s="1"/>
  <c r="W175" i="100"/>
  <c r="U98" i="102" s="1"/>
  <c r="O176" i="100"/>
  <c r="Q99" i="102" s="1"/>
  <c r="Q176" i="100"/>
  <c r="R99" i="102" s="1"/>
  <c r="S176" i="100"/>
  <c r="S99" i="102" s="1"/>
  <c r="U176" i="100"/>
  <c r="T99" i="102" s="1"/>
  <c r="W176" i="100"/>
  <c r="U99" i="102" s="1"/>
  <c r="O177" i="100"/>
  <c r="Q100" i="102" s="1"/>
  <c r="Q177" i="100"/>
  <c r="R100" i="102" s="1"/>
  <c r="S177" i="100"/>
  <c r="S100" i="102" s="1"/>
  <c r="U177" i="100"/>
  <c r="T100" i="102" s="1"/>
  <c r="W177" i="100"/>
  <c r="U100" i="102" s="1"/>
  <c r="O178" i="100"/>
  <c r="Q101" i="102" s="1"/>
  <c r="Q178" i="100"/>
  <c r="S178" i="100"/>
  <c r="S101" i="102" s="1"/>
  <c r="U178" i="100"/>
  <c r="T101" i="102" s="1"/>
  <c r="W178" i="100"/>
  <c r="U101" i="102" s="1"/>
  <c r="O179" i="100"/>
  <c r="Q102" i="102" s="1"/>
  <c r="Q179" i="100"/>
  <c r="R102" i="102" s="1"/>
  <c r="S179" i="100"/>
  <c r="S102" i="102" s="1"/>
  <c r="U179" i="100"/>
  <c r="T102" i="102" s="1"/>
  <c r="W179" i="100"/>
  <c r="U102" i="102" s="1"/>
  <c r="O180" i="100"/>
  <c r="Q103" i="102" s="1"/>
  <c r="Q180" i="100"/>
  <c r="R103" i="102" s="1"/>
  <c r="S180" i="100"/>
  <c r="S103" i="102" s="1"/>
  <c r="U180" i="100"/>
  <c r="T103" i="102" s="1"/>
  <c r="W180" i="100"/>
  <c r="U103" i="102" s="1"/>
  <c r="O181" i="100"/>
  <c r="Q104" i="102" s="1"/>
  <c r="Q181" i="100"/>
  <c r="R104" i="102" s="1"/>
  <c r="S181" i="100"/>
  <c r="U181" i="100"/>
  <c r="T104" i="102" s="1"/>
  <c r="W181" i="100"/>
  <c r="U104" i="102" s="1"/>
  <c r="W337" i="100"/>
  <c r="U181" i="102" s="1"/>
  <c r="U337" i="100"/>
  <c r="T181" i="102" s="1"/>
  <c r="S337" i="100"/>
  <c r="S181" i="102" s="1"/>
  <c r="Q337" i="100"/>
  <c r="R181" i="102" s="1"/>
  <c r="O337" i="100"/>
  <c r="Q181" i="102" s="1"/>
  <c r="W336" i="100"/>
  <c r="U180" i="102" s="1"/>
  <c r="U336" i="100"/>
  <c r="T180" i="102" s="1"/>
  <c r="S336" i="100"/>
  <c r="S180" i="102" s="1"/>
  <c r="Q336" i="100"/>
  <c r="R180" i="102" s="1"/>
  <c r="O336" i="100"/>
  <c r="Q180" i="102" s="1"/>
  <c r="W335" i="100"/>
  <c r="U179" i="102" s="1"/>
  <c r="U335" i="100"/>
  <c r="T179" i="102" s="1"/>
  <c r="S335" i="100"/>
  <c r="S179" i="102" s="1"/>
  <c r="Q335" i="100"/>
  <c r="R179" i="102" s="1"/>
  <c r="O335" i="100"/>
  <c r="Q179" i="102" s="1"/>
  <c r="W334" i="100"/>
  <c r="U178" i="102" s="1"/>
  <c r="U334" i="100"/>
  <c r="T178" i="102" s="1"/>
  <c r="S334" i="100"/>
  <c r="S178" i="102" s="1"/>
  <c r="Q334" i="100"/>
  <c r="R178" i="102" s="1"/>
  <c r="O334" i="100"/>
  <c r="Q178" i="102" s="1"/>
  <c r="W333" i="100"/>
  <c r="U177" i="102" s="1"/>
  <c r="U333" i="100"/>
  <c r="T177" i="102" s="1"/>
  <c r="S333" i="100"/>
  <c r="S177" i="102" s="1"/>
  <c r="Q333" i="100"/>
  <c r="R177" i="102" s="1"/>
  <c r="O333" i="100"/>
  <c r="Q177" i="102" s="1"/>
  <c r="W332" i="100"/>
  <c r="U176" i="102" s="1"/>
  <c r="U332" i="100"/>
  <c r="T176" i="102" s="1"/>
  <c r="S332" i="100"/>
  <c r="S176" i="102" s="1"/>
  <c r="Q332" i="100"/>
  <c r="R176" i="102" s="1"/>
  <c r="O332" i="100"/>
  <c r="Q176" i="102" s="1"/>
  <c r="W331" i="100"/>
  <c r="U175" i="102" s="1"/>
  <c r="U331" i="100"/>
  <c r="T175" i="102" s="1"/>
  <c r="S331" i="100"/>
  <c r="S175" i="102" s="1"/>
  <c r="Q331" i="100"/>
  <c r="R175" i="102" s="1"/>
  <c r="O331" i="100"/>
  <c r="Q175" i="102" s="1"/>
  <c r="W330" i="100"/>
  <c r="U174" i="102" s="1"/>
  <c r="U330" i="100"/>
  <c r="T174" i="102" s="1"/>
  <c r="S330" i="100"/>
  <c r="S174" i="102" s="1"/>
  <c r="Q330" i="100"/>
  <c r="R174" i="102" s="1"/>
  <c r="O330" i="100"/>
  <c r="Q174" i="102" s="1"/>
  <c r="W329" i="100"/>
  <c r="U173" i="102" s="1"/>
  <c r="U329" i="100"/>
  <c r="T173" i="102" s="1"/>
  <c r="S329" i="100"/>
  <c r="S173" i="102" s="1"/>
  <c r="Q329" i="100"/>
  <c r="R173" i="102" s="1"/>
  <c r="O329" i="100"/>
  <c r="Q173" i="102" s="1"/>
  <c r="W328" i="100"/>
  <c r="U328" i="100"/>
  <c r="T172" i="102" s="1"/>
  <c r="S328" i="100"/>
  <c r="S172" i="102" s="1"/>
  <c r="Q328" i="100"/>
  <c r="R172" i="102" s="1"/>
  <c r="O328" i="100"/>
  <c r="Q172" i="102" s="1"/>
  <c r="W327" i="100"/>
  <c r="U327" i="100"/>
  <c r="T171" i="102" s="1"/>
  <c r="S327" i="100"/>
  <c r="S171" i="102" s="1"/>
  <c r="Q327" i="100"/>
  <c r="R171" i="102" s="1"/>
  <c r="O327" i="100"/>
  <c r="Q171" i="102" s="1"/>
  <c r="W326" i="100"/>
  <c r="U170" i="102" s="1"/>
  <c r="U326" i="100"/>
  <c r="T170" i="102" s="1"/>
  <c r="S326" i="100"/>
  <c r="S170" i="102" s="1"/>
  <c r="Q326" i="100"/>
  <c r="R170" i="102" s="1"/>
  <c r="O326" i="100"/>
  <c r="Q170" i="102" s="1"/>
  <c r="W325" i="100"/>
  <c r="U169" i="102" s="1"/>
  <c r="U325" i="100"/>
  <c r="T169" i="102" s="1"/>
  <c r="S325" i="100"/>
  <c r="S169" i="102" s="1"/>
  <c r="Q325" i="100"/>
  <c r="O325" i="100"/>
  <c r="Q169" i="102" s="1"/>
  <c r="W324" i="100"/>
  <c r="U168" i="102" s="1"/>
  <c r="U324" i="100"/>
  <c r="T168" i="102" s="1"/>
  <c r="S324" i="100"/>
  <c r="S168" i="102" s="1"/>
  <c r="Q324" i="100"/>
  <c r="R168" i="102" s="1"/>
  <c r="O324" i="100"/>
  <c r="Q168" i="102" s="1"/>
  <c r="W323" i="100"/>
  <c r="U167" i="102" s="1"/>
  <c r="U323" i="100"/>
  <c r="T167" i="102" s="1"/>
  <c r="S323" i="100"/>
  <c r="S167" i="102" s="1"/>
  <c r="Q323" i="100"/>
  <c r="R167" i="102" s="1"/>
  <c r="O323" i="100"/>
  <c r="W322" i="100"/>
  <c r="U166" i="102" s="1"/>
  <c r="U322" i="100"/>
  <c r="T166" i="102" s="1"/>
  <c r="S322" i="100"/>
  <c r="S166" i="102" s="1"/>
  <c r="Q322" i="100"/>
  <c r="R166" i="102" s="1"/>
  <c r="O322" i="100"/>
  <c r="Q166" i="102" s="1"/>
  <c r="W321" i="100"/>
  <c r="U165" i="102" s="1"/>
  <c r="U321" i="100"/>
  <c r="T165" i="102" s="1"/>
  <c r="S321" i="100"/>
  <c r="Q321" i="100"/>
  <c r="R165" i="102" s="1"/>
  <c r="O321" i="100"/>
  <c r="Q165" i="102" s="1"/>
  <c r="W320" i="100"/>
  <c r="U164" i="102" s="1"/>
  <c r="U320" i="100"/>
  <c r="T164" i="102" s="1"/>
  <c r="S320" i="100"/>
  <c r="S164" i="102" s="1"/>
  <c r="Q320" i="100"/>
  <c r="R164" i="102" s="1"/>
  <c r="O320" i="100"/>
  <c r="W319" i="100"/>
  <c r="U163" i="102" s="1"/>
  <c r="U319" i="100"/>
  <c r="T163" i="102" s="1"/>
  <c r="S319" i="100"/>
  <c r="S163" i="102" s="1"/>
  <c r="Q319" i="100"/>
  <c r="R163" i="102" s="1"/>
  <c r="O319" i="100"/>
  <c r="Q163" i="102" s="1"/>
  <c r="W318" i="100"/>
  <c r="U162" i="102" s="1"/>
  <c r="U318" i="100"/>
  <c r="T162" i="102" s="1"/>
  <c r="S318" i="100"/>
  <c r="S162" i="102" s="1"/>
  <c r="Q318" i="100"/>
  <c r="R162" i="102" s="1"/>
  <c r="O318" i="100"/>
  <c r="Q162" i="102" s="1"/>
  <c r="W317" i="100"/>
  <c r="U161" i="102" s="1"/>
  <c r="U317" i="100"/>
  <c r="T161" i="102" s="1"/>
  <c r="S317" i="100"/>
  <c r="S161" i="102" s="1"/>
  <c r="Q317" i="100"/>
  <c r="R161" i="102" s="1"/>
  <c r="O317" i="100"/>
  <c r="Q161" i="102" s="1"/>
  <c r="W316" i="100"/>
  <c r="U160" i="102" s="1"/>
  <c r="U316" i="100"/>
  <c r="T160" i="102" s="1"/>
  <c r="S316" i="100"/>
  <c r="S160" i="102" s="1"/>
  <c r="Q316" i="100"/>
  <c r="R160" i="102" s="1"/>
  <c r="O316" i="100"/>
  <c r="Q160" i="102" s="1"/>
  <c r="W315" i="100"/>
  <c r="U159" i="102" s="1"/>
  <c r="U315" i="100"/>
  <c r="S315" i="100"/>
  <c r="Q315" i="100"/>
  <c r="R159" i="102" s="1"/>
  <c r="O315" i="100"/>
  <c r="W314" i="100"/>
  <c r="U158" i="102" s="1"/>
  <c r="U314" i="100"/>
  <c r="T158" i="102" s="1"/>
  <c r="S314" i="100"/>
  <c r="S158" i="102" s="1"/>
  <c r="Q314" i="100"/>
  <c r="R158" i="102" s="1"/>
  <c r="O314" i="100"/>
  <c r="Q158" i="102" s="1"/>
  <c r="W313" i="100"/>
  <c r="U157" i="102" s="1"/>
  <c r="U313" i="100"/>
  <c r="T157" i="102" s="1"/>
  <c r="S313" i="100"/>
  <c r="Q313" i="100"/>
  <c r="R157" i="102" s="1"/>
  <c r="O313" i="100"/>
  <c r="W312" i="100"/>
  <c r="U156" i="102" s="1"/>
  <c r="U312" i="100"/>
  <c r="T156" i="102" s="1"/>
  <c r="S312" i="100"/>
  <c r="S156" i="102" s="1"/>
  <c r="Q312" i="100"/>
  <c r="R156" i="102" s="1"/>
  <c r="O312" i="100"/>
  <c r="W291" i="100"/>
  <c r="U135" i="102" s="1"/>
  <c r="U291" i="100"/>
  <c r="T135" i="102" s="1"/>
  <c r="S291" i="100"/>
  <c r="S135" i="102" s="1"/>
  <c r="Q291" i="100"/>
  <c r="R135" i="102" s="1"/>
  <c r="O291" i="100"/>
  <c r="Q135" i="102" s="1"/>
  <c r="W290" i="100"/>
  <c r="U134" i="102" s="1"/>
  <c r="U290" i="100"/>
  <c r="T134" i="102" s="1"/>
  <c r="S290" i="100"/>
  <c r="S134" i="102" s="1"/>
  <c r="Q290" i="100"/>
  <c r="R134" i="102" s="1"/>
  <c r="O290" i="100"/>
  <c r="Q134" i="102" s="1"/>
  <c r="W289" i="100"/>
  <c r="U133" i="102" s="1"/>
  <c r="U289" i="100"/>
  <c r="T133" i="102" s="1"/>
  <c r="S289" i="100"/>
  <c r="S133" i="102" s="1"/>
  <c r="Q289" i="100"/>
  <c r="R133" i="102" s="1"/>
  <c r="O289" i="100"/>
  <c r="Q133" i="102" s="1"/>
  <c r="W288" i="100"/>
  <c r="U132" i="102" s="1"/>
  <c r="U288" i="100"/>
  <c r="T132" i="102" s="1"/>
  <c r="S288" i="100"/>
  <c r="S132" i="102" s="1"/>
  <c r="Q288" i="100"/>
  <c r="O288" i="100"/>
  <c r="Q132" i="102" s="1"/>
  <c r="W207" i="100"/>
  <c r="U130" i="102" s="1"/>
  <c r="U207" i="100"/>
  <c r="T130" i="102" s="1"/>
  <c r="S207" i="100"/>
  <c r="S130" i="102" s="1"/>
  <c r="Q207" i="100"/>
  <c r="R130" i="102" s="1"/>
  <c r="O207" i="100"/>
  <c r="Q130" i="102" s="1"/>
  <c r="W206" i="100"/>
  <c r="U129" i="102" s="1"/>
  <c r="U206" i="100"/>
  <c r="T129" i="102" s="1"/>
  <c r="S206" i="100"/>
  <c r="S129" i="102" s="1"/>
  <c r="Q206" i="100"/>
  <c r="R129" i="102" s="1"/>
  <c r="O206" i="100"/>
  <c r="Q129" i="102" s="1"/>
  <c r="W205" i="100"/>
  <c r="U128" i="102" s="1"/>
  <c r="U205" i="100"/>
  <c r="T128" i="102" s="1"/>
  <c r="S205" i="100"/>
  <c r="S128" i="102" s="1"/>
  <c r="Q205" i="100"/>
  <c r="R128" i="102" s="1"/>
  <c r="O205" i="100"/>
  <c r="Q128" i="102" s="1"/>
  <c r="W204" i="100"/>
  <c r="U127" i="102" s="1"/>
  <c r="U204" i="100"/>
  <c r="T127" i="102" s="1"/>
  <c r="S204" i="100"/>
  <c r="S127" i="102" s="1"/>
  <c r="Q204" i="100"/>
  <c r="R127" i="102" s="1"/>
  <c r="O204" i="100"/>
  <c r="W203" i="100"/>
  <c r="U126" i="102" s="1"/>
  <c r="U203" i="100"/>
  <c r="T126" i="102" s="1"/>
  <c r="S203" i="100"/>
  <c r="S126" i="102" s="1"/>
  <c r="Q203" i="100"/>
  <c r="O203" i="100"/>
  <c r="Q126" i="102" s="1"/>
  <c r="W202" i="100"/>
  <c r="U125" i="102" s="1"/>
  <c r="U202" i="100"/>
  <c r="T125" i="102" s="1"/>
  <c r="S202" i="100"/>
  <c r="S125" i="102" s="1"/>
  <c r="Q202" i="100"/>
  <c r="R125" i="102" s="1"/>
  <c r="O202" i="100"/>
  <c r="Q125" i="102" s="1"/>
  <c r="W201" i="100"/>
  <c r="U124" i="102" s="1"/>
  <c r="U201" i="100"/>
  <c r="T124" i="102" s="1"/>
  <c r="S201" i="100"/>
  <c r="S124" i="102" s="1"/>
  <c r="Q201" i="100"/>
  <c r="R124" i="102" s="1"/>
  <c r="O201" i="100"/>
  <c r="Q124" i="102" s="1"/>
  <c r="W200" i="100"/>
  <c r="U200" i="100"/>
  <c r="T123" i="102" s="1"/>
  <c r="S200" i="100"/>
  <c r="S123" i="102" s="1"/>
  <c r="Q200" i="100"/>
  <c r="O200" i="100"/>
  <c r="Q123" i="102" s="1"/>
  <c r="W199" i="100"/>
  <c r="U122" i="102" s="1"/>
  <c r="U199" i="100"/>
  <c r="T122" i="102" s="1"/>
  <c r="S199" i="100"/>
  <c r="S122" i="102" s="1"/>
  <c r="Q199" i="100"/>
  <c r="R122" i="102" s="1"/>
  <c r="O199" i="100"/>
  <c r="Q122" i="102" s="1"/>
  <c r="W198" i="100"/>
  <c r="U121" i="102" s="1"/>
  <c r="U198" i="100"/>
  <c r="T121" i="102" s="1"/>
  <c r="S198" i="100"/>
  <c r="S121" i="102" s="1"/>
  <c r="Q198" i="100"/>
  <c r="R121" i="102" s="1"/>
  <c r="O198" i="100"/>
  <c r="Q121" i="102" s="1"/>
  <c r="W197" i="100"/>
  <c r="U120" i="102" s="1"/>
  <c r="U197" i="100"/>
  <c r="T120" i="102" s="1"/>
  <c r="S197" i="100"/>
  <c r="S120" i="102" s="1"/>
  <c r="Q197" i="100"/>
  <c r="R120" i="102" s="1"/>
  <c r="O197" i="100"/>
  <c r="Q120" i="102" s="1"/>
  <c r="W196" i="100"/>
  <c r="U119" i="102" s="1"/>
  <c r="U196" i="100"/>
  <c r="T119" i="102" s="1"/>
  <c r="S196" i="100"/>
  <c r="S119" i="102" s="1"/>
  <c r="Q196" i="100"/>
  <c r="R119" i="102" s="1"/>
  <c r="O196" i="100"/>
  <c r="Q119" i="102" s="1"/>
  <c r="W195" i="100"/>
  <c r="U118" i="102" s="1"/>
  <c r="U195" i="100"/>
  <c r="T118" i="102" s="1"/>
  <c r="S195" i="100"/>
  <c r="S118" i="102" s="1"/>
  <c r="Q195" i="100"/>
  <c r="R118" i="102" s="1"/>
  <c r="O195" i="100"/>
  <c r="Q118" i="102" s="1"/>
  <c r="W194" i="100"/>
  <c r="U117" i="102" s="1"/>
  <c r="U194" i="100"/>
  <c r="T117" i="102" s="1"/>
  <c r="S194" i="100"/>
  <c r="S117" i="102" s="1"/>
  <c r="Q194" i="100"/>
  <c r="R117" i="102" s="1"/>
  <c r="O194" i="100"/>
  <c r="W193" i="100"/>
  <c r="U116" i="102" s="1"/>
  <c r="U193" i="100"/>
  <c r="T116" i="102" s="1"/>
  <c r="S193" i="100"/>
  <c r="S116" i="102" s="1"/>
  <c r="Q193" i="100"/>
  <c r="R116" i="102" s="1"/>
  <c r="O193" i="100"/>
  <c r="Q116" i="102" s="1"/>
  <c r="W192" i="100"/>
  <c r="U115" i="102" s="1"/>
  <c r="U192" i="100"/>
  <c r="S192" i="100"/>
  <c r="S115" i="102" s="1"/>
  <c r="Q192" i="100"/>
  <c r="R115" i="102" s="1"/>
  <c r="O192" i="100"/>
  <c r="Q115" i="102" s="1"/>
  <c r="W191" i="100"/>
  <c r="U114" i="102" s="1"/>
  <c r="U191" i="100"/>
  <c r="T114" i="102" s="1"/>
  <c r="S191" i="100"/>
  <c r="S114" i="102" s="1"/>
  <c r="Q191" i="100"/>
  <c r="O191" i="100"/>
  <c r="Q114" i="102" s="1"/>
  <c r="W190" i="100"/>
  <c r="U113" i="102" s="1"/>
  <c r="U190" i="100"/>
  <c r="S190" i="100"/>
  <c r="Q190" i="100"/>
  <c r="R113" i="102" s="1"/>
  <c r="O190" i="100"/>
  <c r="Q113" i="102" s="1"/>
  <c r="W189" i="100"/>
  <c r="U112" i="102" s="1"/>
  <c r="U189" i="100"/>
  <c r="T112" i="102" s="1"/>
  <c r="S189" i="100"/>
  <c r="S112" i="102" s="1"/>
  <c r="Q189" i="100"/>
  <c r="R112" i="102" s="1"/>
  <c r="O189" i="100"/>
  <c r="Q112" i="102" s="1"/>
  <c r="W188" i="100"/>
  <c r="U111" i="102" s="1"/>
  <c r="U188" i="100"/>
  <c r="T111" i="102" s="1"/>
  <c r="S188" i="100"/>
  <c r="S111" i="102" s="1"/>
  <c r="Q188" i="100"/>
  <c r="R111" i="102" s="1"/>
  <c r="O188" i="100"/>
  <c r="Q111" i="102" s="1"/>
  <c r="W187" i="100"/>
  <c r="U110" i="102" s="1"/>
  <c r="U187" i="100"/>
  <c r="T110" i="102" s="1"/>
  <c r="S187" i="100"/>
  <c r="S110" i="102" s="1"/>
  <c r="Q187" i="100"/>
  <c r="R110" i="102" s="1"/>
  <c r="O187" i="100"/>
  <c r="Q110" i="102" s="1"/>
  <c r="W186" i="100"/>
  <c r="U109" i="102" s="1"/>
  <c r="U186" i="100"/>
  <c r="T109" i="102" s="1"/>
  <c r="S186" i="100"/>
  <c r="S109" i="102" s="1"/>
  <c r="Q186" i="100"/>
  <c r="R109" i="102" s="1"/>
  <c r="O186" i="100"/>
  <c r="Q109" i="102" s="1"/>
  <c r="W185" i="100"/>
  <c r="U108" i="102" s="1"/>
  <c r="U185" i="100"/>
  <c r="T108" i="102" s="1"/>
  <c r="S185" i="100"/>
  <c r="S108" i="102" s="1"/>
  <c r="Q185" i="100"/>
  <c r="R108" i="102" s="1"/>
  <c r="O185" i="100"/>
  <c r="Q108" i="102" s="1"/>
  <c r="W184" i="100"/>
  <c r="U107" i="102" s="1"/>
  <c r="U184" i="100"/>
  <c r="T107" i="102" s="1"/>
  <c r="S184" i="100"/>
  <c r="S107" i="102" s="1"/>
  <c r="Q184" i="100"/>
  <c r="R107" i="102" s="1"/>
  <c r="O184" i="100"/>
  <c r="Q107" i="102" s="1"/>
  <c r="W183" i="100"/>
  <c r="U106" i="102" s="1"/>
  <c r="U183" i="100"/>
  <c r="T106" i="102" s="1"/>
  <c r="S183" i="100"/>
  <c r="S106" i="102" s="1"/>
  <c r="Q183" i="100"/>
  <c r="R106" i="102" s="1"/>
  <c r="O183" i="100"/>
  <c r="Q106" i="102" s="1"/>
  <c r="W182" i="100"/>
  <c r="U105" i="102" s="1"/>
  <c r="U182" i="100"/>
  <c r="T105" i="102" s="1"/>
  <c r="S182" i="100"/>
  <c r="S105" i="102" s="1"/>
  <c r="Q182" i="100"/>
  <c r="R105" i="102" s="1"/>
  <c r="O182" i="100"/>
  <c r="Q105" i="102" s="1"/>
  <c r="W161" i="100"/>
  <c r="U84" i="102" s="1"/>
  <c r="U161" i="100"/>
  <c r="T84" i="102" s="1"/>
  <c r="S161" i="100"/>
  <c r="S84" i="102" s="1"/>
  <c r="Q161" i="100"/>
  <c r="R84" i="102" s="1"/>
  <c r="O161" i="100"/>
  <c r="Q84" i="102" s="1"/>
  <c r="W160" i="100"/>
  <c r="U160" i="100"/>
  <c r="T83" i="102" s="1"/>
  <c r="S160" i="100"/>
  <c r="Q160" i="100"/>
  <c r="R83" i="102" s="1"/>
  <c r="O160" i="100"/>
  <c r="Q83" i="102" s="1"/>
  <c r="W159" i="100"/>
  <c r="U82" i="102" s="1"/>
  <c r="U159" i="100"/>
  <c r="T82" i="102" s="1"/>
  <c r="S159" i="100"/>
  <c r="Q159" i="100"/>
  <c r="R82" i="102" s="1"/>
  <c r="O159" i="100"/>
  <c r="Q82" i="102" s="1"/>
  <c r="W158" i="100"/>
  <c r="U81" i="102" s="1"/>
  <c r="U158" i="100"/>
  <c r="T81" i="102" s="1"/>
  <c r="S158" i="100"/>
  <c r="S81" i="102" s="1"/>
  <c r="Q158" i="100"/>
  <c r="R81" i="102" s="1"/>
  <c r="O158" i="100"/>
  <c r="Q81" i="102" s="1"/>
  <c r="AN7" i="100"/>
  <c r="AO7" i="100" s="1"/>
  <c r="AP7" i="100" s="1"/>
  <c r="D2" i="90"/>
  <c r="D79" i="90"/>
  <c r="D42" i="90"/>
  <c r="Y595" i="1"/>
  <c r="AD16" i="1"/>
  <c r="AD13" i="1"/>
  <c r="AD10" i="1"/>
  <c r="F15" i="110"/>
  <c r="M15" i="110" s="1"/>
  <c r="F14" i="110"/>
  <c r="M14" i="110" s="1"/>
  <c r="AQ2" i="1"/>
  <c r="AQ1" i="1"/>
  <c r="U47" i="1"/>
  <c r="U38" i="1"/>
  <c r="U29" i="1"/>
  <c r="U28" i="1"/>
  <c r="U27" i="1"/>
  <c r="U26" i="1"/>
  <c r="U25" i="1"/>
  <c r="U24" i="1"/>
  <c r="U23" i="1"/>
  <c r="U22" i="1"/>
  <c r="U21" i="1"/>
  <c r="X4" i="1"/>
  <c r="AB6" i="1"/>
  <c r="Y14" i="104"/>
  <c r="AA14" i="104" s="1"/>
  <c r="Y13" i="104"/>
  <c r="AD13" i="104" s="1"/>
  <c r="Y12" i="104"/>
  <c r="AB12" i="104" s="1"/>
  <c r="I26" i="105"/>
  <c r="I21" i="105"/>
  <c r="I18" i="105"/>
  <c r="I13" i="105"/>
  <c r="I10" i="105"/>
  <c r="F4" i="110" s="1"/>
  <c r="I5" i="105"/>
  <c r="AC6" i="1"/>
  <c r="A4" i="92"/>
  <c r="C4" i="92" s="1"/>
  <c r="A3" i="92"/>
  <c r="C15" i="92" s="1"/>
  <c r="Y6" i="1"/>
  <c r="EQ86" i="90"/>
  <c r="EF86" i="90"/>
  <c r="ED86" i="90"/>
  <c r="EB86" i="90"/>
  <c r="DU86" i="90"/>
  <c r="EQ49" i="90"/>
  <c r="EF49" i="90"/>
  <c r="ED49" i="90"/>
  <c r="EB49" i="90"/>
  <c r="DU49" i="90"/>
  <c r="EQ12" i="90"/>
  <c r="EF12" i="90"/>
  <c r="ED12" i="90"/>
  <c r="EB12" i="90"/>
  <c r="T1" i="1"/>
  <c r="V16" i="1"/>
  <c r="V13" i="1"/>
  <c r="V10" i="1"/>
  <c r="C4" i="90"/>
  <c r="F5" i="1"/>
  <c r="F230" i="116"/>
  <c r="E230" i="116"/>
  <c r="H230" i="116" s="1"/>
  <c r="O221" i="116"/>
  <c r="N221" i="116"/>
  <c r="M221" i="116"/>
  <c r="L221" i="116"/>
  <c r="O220" i="116"/>
  <c r="N220" i="116"/>
  <c r="M220" i="116"/>
  <c r="L220" i="116"/>
  <c r="F220" i="116"/>
  <c r="E220" i="116"/>
  <c r="J220" i="116" s="1"/>
  <c r="O211" i="116"/>
  <c r="N211" i="116"/>
  <c r="M211" i="116"/>
  <c r="L211" i="116"/>
  <c r="O210" i="116"/>
  <c r="N210" i="116"/>
  <c r="M210" i="116"/>
  <c r="L210" i="116"/>
  <c r="F210" i="116"/>
  <c r="E210" i="116"/>
  <c r="O201" i="116"/>
  <c r="N201" i="116"/>
  <c r="M201" i="116"/>
  <c r="L201" i="116"/>
  <c r="O200" i="116"/>
  <c r="N200" i="116"/>
  <c r="M200" i="116"/>
  <c r="L200" i="116"/>
  <c r="F200" i="116"/>
  <c r="E200" i="116"/>
  <c r="J200" i="116" s="1"/>
  <c r="O191" i="116"/>
  <c r="N191" i="116"/>
  <c r="M191" i="116"/>
  <c r="L191" i="116"/>
  <c r="O190" i="116"/>
  <c r="N190" i="116"/>
  <c r="M190" i="116"/>
  <c r="L190" i="116"/>
  <c r="F190" i="116"/>
  <c r="E190" i="116"/>
  <c r="O181" i="116"/>
  <c r="N181" i="116"/>
  <c r="M181" i="116"/>
  <c r="L181" i="116"/>
  <c r="O180" i="116"/>
  <c r="N180" i="116"/>
  <c r="M180" i="116"/>
  <c r="L180" i="116"/>
  <c r="F180" i="116"/>
  <c r="E180" i="116"/>
  <c r="J180" i="116" s="1"/>
  <c r="O171" i="116"/>
  <c r="N171" i="116"/>
  <c r="M171" i="116"/>
  <c r="L171" i="116"/>
  <c r="O170" i="116"/>
  <c r="N170" i="116"/>
  <c r="M170" i="116"/>
  <c r="L170" i="116"/>
  <c r="F170" i="116"/>
  <c r="E170" i="116"/>
  <c r="O161" i="116"/>
  <c r="N161" i="116"/>
  <c r="M161" i="116"/>
  <c r="L161" i="116"/>
  <c r="O160" i="116"/>
  <c r="N160" i="116"/>
  <c r="M160" i="116"/>
  <c r="L160" i="116"/>
  <c r="F160" i="116"/>
  <c r="E160" i="116"/>
  <c r="J160" i="116" s="1"/>
  <c r="O151" i="116"/>
  <c r="N151" i="116"/>
  <c r="M151" i="116"/>
  <c r="L151" i="116"/>
  <c r="O150" i="116"/>
  <c r="N150" i="116"/>
  <c r="M150" i="116"/>
  <c r="L150" i="116"/>
  <c r="F150" i="116"/>
  <c r="E150" i="116"/>
  <c r="H150" i="116" s="1"/>
  <c r="O141" i="116"/>
  <c r="N141" i="116"/>
  <c r="M141" i="116"/>
  <c r="L141" i="116"/>
  <c r="O140" i="116"/>
  <c r="N140" i="116"/>
  <c r="M140" i="116"/>
  <c r="L140" i="116"/>
  <c r="F140" i="116"/>
  <c r="E140" i="116"/>
  <c r="O131" i="116"/>
  <c r="N131" i="116"/>
  <c r="M131" i="116"/>
  <c r="L131" i="116"/>
  <c r="O130" i="116"/>
  <c r="N130" i="116"/>
  <c r="M130" i="116"/>
  <c r="L130" i="116"/>
  <c r="F130" i="116"/>
  <c r="E130" i="116"/>
  <c r="O121" i="116"/>
  <c r="N121" i="116"/>
  <c r="M121" i="116"/>
  <c r="L121" i="116"/>
  <c r="O120" i="116"/>
  <c r="N120" i="116"/>
  <c r="M120" i="116"/>
  <c r="L120" i="116"/>
  <c r="F120" i="116"/>
  <c r="E120" i="116"/>
  <c r="H120" i="116" s="1"/>
  <c r="O111" i="116"/>
  <c r="N111" i="116"/>
  <c r="M111" i="116"/>
  <c r="L111" i="116"/>
  <c r="O110" i="116"/>
  <c r="N110" i="116"/>
  <c r="M110" i="116"/>
  <c r="L110" i="116"/>
  <c r="F110" i="116"/>
  <c r="E110" i="116"/>
  <c r="J110" i="116" s="1"/>
  <c r="O101" i="116"/>
  <c r="N101" i="116"/>
  <c r="M101" i="116"/>
  <c r="L101" i="116"/>
  <c r="O100" i="116"/>
  <c r="N100" i="116"/>
  <c r="M100" i="116"/>
  <c r="L100" i="116"/>
  <c r="F100" i="116"/>
  <c r="E100" i="116"/>
  <c r="H100" i="116" s="1"/>
  <c r="O91" i="116"/>
  <c r="N91" i="116"/>
  <c r="M91" i="116"/>
  <c r="L91" i="116"/>
  <c r="O90" i="116"/>
  <c r="N90" i="116"/>
  <c r="M90" i="116"/>
  <c r="L90" i="116"/>
  <c r="F90" i="116"/>
  <c r="E90" i="116"/>
  <c r="H90" i="116" s="1"/>
  <c r="O81" i="116"/>
  <c r="N81" i="116"/>
  <c r="M81" i="116"/>
  <c r="L81" i="116"/>
  <c r="O80" i="116"/>
  <c r="N80" i="116"/>
  <c r="M80" i="116"/>
  <c r="L80" i="116"/>
  <c r="F80" i="116"/>
  <c r="E80" i="116"/>
  <c r="O71" i="116"/>
  <c r="N71" i="116"/>
  <c r="M71" i="116"/>
  <c r="L71" i="116"/>
  <c r="O70" i="116"/>
  <c r="N70" i="116"/>
  <c r="M70" i="116"/>
  <c r="L70" i="116"/>
  <c r="F70" i="116"/>
  <c r="E70" i="116"/>
  <c r="O61" i="116"/>
  <c r="N61" i="116"/>
  <c r="M61" i="116"/>
  <c r="L61" i="116"/>
  <c r="O60" i="116"/>
  <c r="N60" i="116"/>
  <c r="M60" i="116"/>
  <c r="L60" i="116"/>
  <c r="F60" i="116"/>
  <c r="E60" i="116"/>
  <c r="J60" i="116" s="1"/>
  <c r="O51" i="116"/>
  <c r="N51" i="116"/>
  <c r="M51" i="116"/>
  <c r="L51" i="116"/>
  <c r="O50" i="116"/>
  <c r="N50" i="116"/>
  <c r="M50" i="116"/>
  <c r="L50" i="116"/>
  <c r="F50" i="116"/>
  <c r="E50" i="116"/>
  <c r="O41" i="116"/>
  <c r="N41" i="116"/>
  <c r="M41" i="116"/>
  <c r="L41" i="116"/>
  <c r="O40" i="116"/>
  <c r="N40" i="116"/>
  <c r="M40" i="116"/>
  <c r="L40" i="116"/>
  <c r="F40" i="116"/>
  <c r="E40" i="116"/>
  <c r="O31" i="116"/>
  <c r="N31" i="116"/>
  <c r="M31" i="116"/>
  <c r="L31" i="116"/>
  <c r="O30" i="116"/>
  <c r="N30" i="116"/>
  <c r="M30" i="116"/>
  <c r="L30" i="116"/>
  <c r="F30" i="116"/>
  <c r="E30" i="116"/>
  <c r="O21" i="116"/>
  <c r="N21" i="116"/>
  <c r="M21" i="116"/>
  <c r="L21" i="116"/>
  <c r="O20" i="116"/>
  <c r="N20" i="116"/>
  <c r="M20" i="116"/>
  <c r="L20" i="116"/>
  <c r="F20" i="116"/>
  <c r="E20" i="116"/>
  <c r="R15" i="116"/>
  <c r="O11" i="116"/>
  <c r="N11" i="116"/>
  <c r="M11" i="116"/>
  <c r="L11" i="116"/>
  <c r="O10" i="116"/>
  <c r="N10" i="116"/>
  <c r="M10" i="116"/>
  <c r="L10" i="116"/>
  <c r="F10" i="116"/>
  <c r="E10" i="116"/>
  <c r="H10" i="116" s="1"/>
  <c r="F220" i="115"/>
  <c r="E220" i="115"/>
  <c r="H220" i="115" s="1"/>
  <c r="O211" i="115"/>
  <c r="M211" i="115"/>
  <c r="L211" i="115"/>
  <c r="O210" i="115"/>
  <c r="M210" i="115"/>
  <c r="L210" i="115"/>
  <c r="F210" i="115"/>
  <c r="E210" i="115"/>
  <c r="H210" i="115" s="1"/>
  <c r="O201" i="115"/>
  <c r="M201" i="115"/>
  <c r="L201" i="115"/>
  <c r="O200" i="115"/>
  <c r="M200" i="115"/>
  <c r="L200" i="115"/>
  <c r="F200" i="115"/>
  <c r="E200" i="115"/>
  <c r="H200" i="115" s="1"/>
  <c r="O191" i="115"/>
  <c r="M191" i="115"/>
  <c r="L191" i="115"/>
  <c r="O190" i="115"/>
  <c r="M190" i="115"/>
  <c r="L190" i="115"/>
  <c r="F190" i="115"/>
  <c r="E190" i="115"/>
  <c r="J190" i="115" s="1"/>
  <c r="O181" i="115"/>
  <c r="M181" i="115"/>
  <c r="L181" i="115"/>
  <c r="O180" i="115"/>
  <c r="M180" i="115"/>
  <c r="L180" i="115"/>
  <c r="F180" i="115"/>
  <c r="E180" i="115"/>
  <c r="O171" i="115"/>
  <c r="M171" i="115"/>
  <c r="L171" i="115"/>
  <c r="O170" i="115"/>
  <c r="M170" i="115"/>
  <c r="L170" i="115"/>
  <c r="F170" i="115"/>
  <c r="E170" i="115"/>
  <c r="J170" i="115" s="1"/>
  <c r="O161" i="115"/>
  <c r="M161" i="115"/>
  <c r="L161" i="115"/>
  <c r="O160" i="115"/>
  <c r="M160" i="115"/>
  <c r="L160" i="115"/>
  <c r="F160" i="115"/>
  <c r="E160" i="115"/>
  <c r="O151" i="115"/>
  <c r="M151" i="115"/>
  <c r="L151" i="115"/>
  <c r="O150" i="115"/>
  <c r="M150" i="115"/>
  <c r="L150" i="115"/>
  <c r="F150" i="115"/>
  <c r="E150" i="115"/>
  <c r="O141" i="115"/>
  <c r="M141" i="115"/>
  <c r="L141" i="115"/>
  <c r="O140" i="115"/>
  <c r="M140" i="115"/>
  <c r="L140" i="115"/>
  <c r="F140" i="115"/>
  <c r="E140" i="115"/>
  <c r="J140" i="115" s="1"/>
  <c r="O131" i="115"/>
  <c r="M131" i="115"/>
  <c r="L131" i="115"/>
  <c r="O130" i="115"/>
  <c r="M130" i="115"/>
  <c r="L130" i="115"/>
  <c r="F130" i="115"/>
  <c r="E130" i="115"/>
  <c r="J130" i="115" s="1"/>
  <c r="O121" i="115"/>
  <c r="M121" i="115"/>
  <c r="L121" i="115"/>
  <c r="O120" i="115"/>
  <c r="M120" i="115"/>
  <c r="L120" i="115"/>
  <c r="F120" i="115"/>
  <c r="E120" i="115"/>
  <c r="J120" i="115" s="1"/>
  <c r="O111" i="115"/>
  <c r="M111" i="115"/>
  <c r="L111" i="115"/>
  <c r="O110" i="115"/>
  <c r="M110" i="115"/>
  <c r="L110" i="115"/>
  <c r="F110" i="115"/>
  <c r="E110" i="115"/>
  <c r="J110" i="115" s="1"/>
  <c r="O101" i="115"/>
  <c r="M101" i="115"/>
  <c r="L101" i="115"/>
  <c r="O100" i="115"/>
  <c r="M100" i="115"/>
  <c r="L100" i="115"/>
  <c r="F100" i="115"/>
  <c r="E100" i="115"/>
  <c r="O91" i="115"/>
  <c r="M91" i="115"/>
  <c r="L91" i="115"/>
  <c r="O90" i="115"/>
  <c r="M90" i="115"/>
  <c r="L90" i="115"/>
  <c r="F90" i="115"/>
  <c r="E90" i="115"/>
  <c r="J90" i="115" s="1"/>
  <c r="O81" i="115"/>
  <c r="M81" i="115"/>
  <c r="L81" i="115"/>
  <c r="O80" i="115"/>
  <c r="M80" i="115"/>
  <c r="L80" i="115"/>
  <c r="F80" i="115"/>
  <c r="E80" i="115"/>
  <c r="O71" i="115"/>
  <c r="M71" i="115"/>
  <c r="L71" i="115"/>
  <c r="O70" i="115"/>
  <c r="M70" i="115"/>
  <c r="L70" i="115"/>
  <c r="F70" i="115"/>
  <c r="E70" i="115"/>
  <c r="J70" i="115" s="1"/>
  <c r="O61" i="115"/>
  <c r="M61" i="115"/>
  <c r="L61" i="115"/>
  <c r="O60" i="115"/>
  <c r="M60" i="115"/>
  <c r="L60" i="115"/>
  <c r="F60" i="115"/>
  <c r="E60" i="115"/>
  <c r="J60" i="115" s="1"/>
  <c r="O51" i="115"/>
  <c r="M51" i="115"/>
  <c r="L51" i="115"/>
  <c r="O50" i="115"/>
  <c r="M50" i="115"/>
  <c r="L50" i="115"/>
  <c r="F50" i="115"/>
  <c r="E50" i="115"/>
  <c r="J50" i="115" s="1"/>
  <c r="O41" i="115"/>
  <c r="M41" i="115"/>
  <c r="L41" i="115"/>
  <c r="O40" i="115"/>
  <c r="M40" i="115"/>
  <c r="L40" i="115"/>
  <c r="F40" i="115"/>
  <c r="E40" i="115"/>
  <c r="J40" i="115" s="1"/>
  <c r="F39" i="115"/>
  <c r="E39" i="115"/>
  <c r="H39" i="115" s="1"/>
  <c r="F38" i="115"/>
  <c r="E38" i="115"/>
  <c r="J38" i="115" s="1"/>
  <c r="F37" i="115"/>
  <c r="E37" i="115"/>
  <c r="H37" i="115" s="1"/>
  <c r="F36" i="115"/>
  <c r="E36" i="115"/>
  <c r="F35" i="115"/>
  <c r="E35" i="115"/>
  <c r="H35" i="115" s="1"/>
  <c r="F34" i="115"/>
  <c r="E34" i="115"/>
  <c r="F33" i="115"/>
  <c r="E33" i="115"/>
  <c r="H33" i="115" s="1"/>
  <c r="F32" i="115"/>
  <c r="E32" i="115"/>
  <c r="O31" i="115"/>
  <c r="M31" i="115"/>
  <c r="L31" i="115"/>
  <c r="F31" i="115"/>
  <c r="E31" i="115"/>
  <c r="O30" i="115"/>
  <c r="M30" i="115"/>
  <c r="L30" i="115"/>
  <c r="F30" i="115"/>
  <c r="E30" i="115"/>
  <c r="J30" i="115" s="1"/>
  <c r="O21" i="115"/>
  <c r="M21" i="115"/>
  <c r="L21" i="115"/>
  <c r="O20" i="115"/>
  <c r="M20" i="115"/>
  <c r="L20" i="115"/>
  <c r="F20" i="115"/>
  <c r="E20" i="115"/>
  <c r="J20" i="115" s="1"/>
  <c r="R15" i="115"/>
  <c r="F12" i="115"/>
  <c r="E12" i="115"/>
  <c r="J12" i="115" s="1"/>
  <c r="O11" i="115"/>
  <c r="M11" i="115"/>
  <c r="L11" i="115"/>
  <c r="O10" i="115"/>
  <c r="M10" i="115"/>
  <c r="L10" i="115"/>
  <c r="F210" i="114"/>
  <c r="E210" i="114"/>
  <c r="O201" i="114"/>
  <c r="N201" i="114"/>
  <c r="M201" i="114"/>
  <c r="L201" i="114"/>
  <c r="O200" i="114"/>
  <c r="N200" i="114"/>
  <c r="M200" i="114"/>
  <c r="L200" i="114"/>
  <c r="F200" i="114"/>
  <c r="E200" i="114"/>
  <c r="J200" i="114" s="1"/>
  <c r="O191" i="114"/>
  <c r="N191" i="114"/>
  <c r="M191" i="114"/>
  <c r="L191" i="114"/>
  <c r="O190" i="114"/>
  <c r="N190" i="114"/>
  <c r="M190" i="114"/>
  <c r="L190" i="114"/>
  <c r="F190" i="114"/>
  <c r="E190" i="114"/>
  <c r="J190" i="114" s="1"/>
  <c r="O181" i="114"/>
  <c r="N181" i="114"/>
  <c r="M181" i="114"/>
  <c r="L181" i="114"/>
  <c r="O180" i="114"/>
  <c r="N180" i="114"/>
  <c r="M180" i="114"/>
  <c r="L180" i="114"/>
  <c r="F180" i="114"/>
  <c r="E180" i="114"/>
  <c r="H180" i="114" s="1"/>
  <c r="O171" i="114"/>
  <c r="N171" i="114"/>
  <c r="M171" i="114"/>
  <c r="L171" i="114"/>
  <c r="O170" i="114"/>
  <c r="N170" i="114"/>
  <c r="M170" i="114"/>
  <c r="L170" i="114"/>
  <c r="F170" i="114"/>
  <c r="E170" i="114"/>
  <c r="J170" i="114" s="1"/>
  <c r="O161" i="114"/>
  <c r="N161" i="114"/>
  <c r="M161" i="114"/>
  <c r="L161" i="114"/>
  <c r="O160" i="114"/>
  <c r="N160" i="114"/>
  <c r="M160" i="114"/>
  <c r="L160" i="114"/>
  <c r="F160" i="114"/>
  <c r="E160" i="114"/>
  <c r="J160" i="114" s="1"/>
  <c r="O151" i="114"/>
  <c r="N151" i="114"/>
  <c r="M151" i="114"/>
  <c r="L151" i="114"/>
  <c r="O150" i="114"/>
  <c r="N150" i="114"/>
  <c r="M150" i="114"/>
  <c r="L150" i="114"/>
  <c r="F150" i="114"/>
  <c r="E150" i="114"/>
  <c r="H150" i="114" s="1"/>
  <c r="O141" i="114"/>
  <c r="N141" i="114"/>
  <c r="M141" i="114"/>
  <c r="L141" i="114"/>
  <c r="O140" i="114"/>
  <c r="N140" i="114"/>
  <c r="M140" i="114"/>
  <c r="L140" i="114"/>
  <c r="F140" i="114"/>
  <c r="E140" i="114"/>
  <c r="J140" i="114" s="1"/>
  <c r="O131" i="114"/>
  <c r="N131" i="114"/>
  <c r="M131" i="114"/>
  <c r="L131" i="114"/>
  <c r="O130" i="114"/>
  <c r="N130" i="114"/>
  <c r="M130" i="114"/>
  <c r="L130" i="114"/>
  <c r="F130" i="114"/>
  <c r="E130" i="114"/>
  <c r="H130" i="114" s="1"/>
  <c r="O121" i="114"/>
  <c r="N121" i="114"/>
  <c r="M121" i="114"/>
  <c r="L121" i="114"/>
  <c r="O120" i="114"/>
  <c r="N120" i="114"/>
  <c r="M120" i="114"/>
  <c r="L120" i="114"/>
  <c r="F120" i="114"/>
  <c r="E120" i="114"/>
  <c r="J120" i="114" s="1"/>
  <c r="O111" i="114"/>
  <c r="N111" i="114"/>
  <c r="M111" i="114"/>
  <c r="L111" i="114"/>
  <c r="O110" i="114"/>
  <c r="N110" i="114"/>
  <c r="M110" i="114"/>
  <c r="L110" i="114"/>
  <c r="F110" i="114"/>
  <c r="E110" i="114"/>
  <c r="J110" i="114" s="1"/>
  <c r="O101" i="114"/>
  <c r="N101" i="114"/>
  <c r="M101" i="114"/>
  <c r="L101" i="114"/>
  <c r="O100" i="114"/>
  <c r="N100" i="114"/>
  <c r="M100" i="114"/>
  <c r="L100" i="114"/>
  <c r="F100" i="114"/>
  <c r="E100" i="114"/>
  <c r="J100" i="114" s="1"/>
  <c r="O91" i="114"/>
  <c r="N91" i="114"/>
  <c r="M91" i="114"/>
  <c r="L91" i="114"/>
  <c r="O90" i="114"/>
  <c r="N90" i="114"/>
  <c r="M90" i="114"/>
  <c r="L90" i="114"/>
  <c r="F90" i="114"/>
  <c r="E90" i="114"/>
  <c r="J90" i="114" s="1"/>
  <c r="O81" i="114"/>
  <c r="N81" i="114"/>
  <c r="M81" i="114"/>
  <c r="L81" i="114"/>
  <c r="O80" i="114"/>
  <c r="N80" i="114"/>
  <c r="M80" i="114"/>
  <c r="L80" i="114"/>
  <c r="F80" i="114"/>
  <c r="E80" i="114"/>
  <c r="J80" i="114" s="1"/>
  <c r="O71" i="114"/>
  <c r="N71" i="114"/>
  <c r="M71" i="114"/>
  <c r="L71" i="114"/>
  <c r="O70" i="114"/>
  <c r="N70" i="114"/>
  <c r="M70" i="114"/>
  <c r="L70" i="114"/>
  <c r="F70" i="114"/>
  <c r="E70" i="114"/>
  <c r="J70" i="114" s="1"/>
  <c r="O61" i="114"/>
  <c r="N61" i="114"/>
  <c r="M61" i="114"/>
  <c r="L61" i="114"/>
  <c r="O60" i="114"/>
  <c r="N60" i="114"/>
  <c r="M60" i="114"/>
  <c r="L60" i="114"/>
  <c r="F60" i="114"/>
  <c r="E60" i="114"/>
  <c r="J60" i="114" s="1"/>
  <c r="O51" i="114"/>
  <c r="N51" i="114"/>
  <c r="M51" i="114"/>
  <c r="L51" i="114"/>
  <c r="O50" i="114"/>
  <c r="N50" i="114"/>
  <c r="M50" i="114"/>
  <c r="L50" i="114"/>
  <c r="F50" i="114"/>
  <c r="E50" i="114"/>
  <c r="H50" i="114" s="1"/>
  <c r="O41" i="114"/>
  <c r="N41" i="114"/>
  <c r="M41" i="114"/>
  <c r="L41" i="114"/>
  <c r="O40" i="114"/>
  <c r="N40" i="114"/>
  <c r="M40" i="114"/>
  <c r="L40" i="114"/>
  <c r="F40" i="114"/>
  <c r="E40" i="114"/>
  <c r="J40" i="114" s="1"/>
  <c r="O31" i="114"/>
  <c r="N31" i="114"/>
  <c r="M31" i="114"/>
  <c r="L31" i="114"/>
  <c r="O30" i="114"/>
  <c r="N30" i="114"/>
  <c r="M30" i="114"/>
  <c r="L30" i="114"/>
  <c r="F30" i="114"/>
  <c r="E30" i="114"/>
  <c r="J30" i="114" s="1"/>
  <c r="O21" i="114"/>
  <c r="N21" i="114"/>
  <c r="M21" i="114"/>
  <c r="L21" i="114"/>
  <c r="O20" i="114"/>
  <c r="N20" i="114"/>
  <c r="M20" i="114"/>
  <c r="L20" i="114"/>
  <c r="F20" i="114"/>
  <c r="E20" i="114"/>
  <c r="J20" i="114" s="1"/>
  <c r="R15" i="114"/>
  <c r="O11" i="114"/>
  <c r="N11" i="114"/>
  <c r="M11" i="114"/>
  <c r="L11" i="114"/>
  <c r="O10" i="114"/>
  <c r="N10" i="114"/>
  <c r="M10" i="114"/>
  <c r="L10" i="114"/>
  <c r="F10" i="114"/>
  <c r="E10" i="114"/>
  <c r="J10" i="114" s="1"/>
  <c r="O215" i="113"/>
  <c r="N215" i="113"/>
  <c r="M215" i="113"/>
  <c r="O214" i="113"/>
  <c r="N214" i="113"/>
  <c r="M214" i="113"/>
  <c r="AR210" i="113"/>
  <c r="AQ210" i="113"/>
  <c r="AT210" i="113" s="1"/>
  <c r="Y210" i="113"/>
  <c r="X210" i="113"/>
  <c r="AA210" i="113" s="1"/>
  <c r="O205" i="113"/>
  <c r="N205" i="113"/>
  <c r="M205" i="113"/>
  <c r="O204" i="113"/>
  <c r="N204" i="113"/>
  <c r="M204" i="113"/>
  <c r="AZ201" i="113"/>
  <c r="AY201" i="113"/>
  <c r="AX201" i="113"/>
  <c r="AW201" i="113"/>
  <c r="AG201" i="113"/>
  <c r="AF201" i="113"/>
  <c r="AE201" i="113"/>
  <c r="AD201" i="113"/>
  <c r="L201" i="113"/>
  <c r="AZ200" i="113"/>
  <c r="AY200" i="113"/>
  <c r="AX200" i="113"/>
  <c r="AW200" i="113"/>
  <c r="AR200" i="113"/>
  <c r="AQ200" i="113"/>
  <c r="AT200" i="113" s="1"/>
  <c r="AG200" i="113"/>
  <c r="AF200" i="113"/>
  <c r="AE200" i="113"/>
  <c r="AD200" i="113"/>
  <c r="Y200" i="113"/>
  <c r="X200" i="113"/>
  <c r="AA200" i="113" s="1"/>
  <c r="L200" i="113"/>
  <c r="O195" i="113"/>
  <c r="N195" i="113"/>
  <c r="M195" i="113"/>
  <c r="O194" i="113"/>
  <c r="N194" i="113"/>
  <c r="M194" i="113"/>
  <c r="AZ191" i="113"/>
  <c r="AY191" i="113"/>
  <c r="AX191" i="113"/>
  <c r="AW191" i="113"/>
  <c r="AG191" i="113"/>
  <c r="AF191" i="113"/>
  <c r="AE191" i="113"/>
  <c r="AD191" i="113"/>
  <c r="L191" i="113"/>
  <c r="AZ190" i="113"/>
  <c r="AY190" i="113"/>
  <c r="AX190" i="113"/>
  <c r="AW190" i="113"/>
  <c r="AR190" i="113"/>
  <c r="AQ190" i="113"/>
  <c r="AT190" i="113" s="1"/>
  <c r="AG190" i="113"/>
  <c r="AF190" i="113"/>
  <c r="AE190" i="113"/>
  <c r="AD190" i="113"/>
  <c r="Y190" i="113"/>
  <c r="X190" i="113"/>
  <c r="AA190" i="113" s="1"/>
  <c r="L190" i="113"/>
  <c r="O185" i="113"/>
  <c r="N185" i="113"/>
  <c r="M185" i="113"/>
  <c r="O184" i="113"/>
  <c r="N184" i="113"/>
  <c r="M184" i="113"/>
  <c r="AZ181" i="113"/>
  <c r="AY181" i="113"/>
  <c r="AX181" i="113"/>
  <c r="AW181" i="113"/>
  <c r="AG181" i="113"/>
  <c r="AF181" i="113"/>
  <c r="AE181" i="113"/>
  <c r="AD181" i="113"/>
  <c r="L181" i="113"/>
  <c r="AZ180" i="113"/>
  <c r="AY180" i="113"/>
  <c r="AX180" i="113"/>
  <c r="AW180" i="113"/>
  <c r="AR180" i="113"/>
  <c r="AQ180" i="113"/>
  <c r="AT180" i="113" s="1"/>
  <c r="AG180" i="113"/>
  <c r="AF180" i="113"/>
  <c r="AE180" i="113"/>
  <c r="AD180" i="113"/>
  <c r="Y180" i="113"/>
  <c r="X180" i="113"/>
  <c r="AA180" i="113" s="1"/>
  <c r="L180" i="113"/>
  <c r="O175" i="113"/>
  <c r="N175" i="113"/>
  <c r="M175" i="113"/>
  <c r="O174" i="113"/>
  <c r="N174" i="113"/>
  <c r="M174" i="113"/>
  <c r="AZ171" i="113"/>
  <c r="AY171" i="113"/>
  <c r="AX171" i="113"/>
  <c r="AW171" i="113"/>
  <c r="AG171" i="113"/>
  <c r="AF171" i="113"/>
  <c r="AE171" i="113"/>
  <c r="AD171" i="113"/>
  <c r="L171" i="113"/>
  <c r="AZ170" i="113"/>
  <c r="AY170" i="113"/>
  <c r="AX170" i="113"/>
  <c r="AW170" i="113"/>
  <c r="AR170" i="113"/>
  <c r="AQ170" i="113"/>
  <c r="AT170" i="113" s="1"/>
  <c r="AG170" i="113"/>
  <c r="AF170" i="113"/>
  <c r="AE170" i="113"/>
  <c r="AD170" i="113"/>
  <c r="Y170" i="113"/>
  <c r="X170" i="113"/>
  <c r="AA170" i="113" s="1"/>
  <c r="L170" i="113"/>
  <c r="O165" i="113"/>
  <c r="N165" i="113"/>
  <c r="M165" i="113"/>
  <c r="O164" i="113"/>
  <c r="N164" i="113"/>
  <c r="M164" i="113"/>
  <c r="AZ161" i="113"/>
  <c r="AY161" i="113"/>
  <c r="AX161" i="113"/>
  <c r="AW161" i="113"/>
  <c r="AG161" i="113"/>
  <c r="AF161" i="113"/>
  <c r="AE161" i="113"/>
  <c r="AD161" i="113"/>
  <c r="L161" i="113"/>
  <c r="AZ160" i="113"/>
  <c r="AY160" i="113"/>
  <c r="AX160" i="113"/>
  <c r="AW160" i="113"/>
  <c r="AR160" i="113"/>
  <c r="AQ160" i="113"/>
  <c r="AT160" i="113" s="1"/>
  <c r="AG160" i="113"/>
  <c r="AF160" i="113"/>
  <c r="AE160" i="113"/>
  <c r="AD160" i="113"/>
  <c r="Y160" i="113"/>
  <c r="X160" i="113"/>
  <c r="AA160" i="113" s="1"/>
  <c r="L160" i="113"/>
  <c r="O155" i="113"/>
  <c r="N155" i="113"/>
  <c r="M155" i="113"/>
  <c r="O154" i="113"/>
  <c r="N154" i="113"/>
  <c r="M154" i="113"/>
  <c r="AZ151" i="113"/>
  <c r="AY151" i="113"/>
  <c r="AX151" i="113"/>
  <c r="AW151" i="113"/>
  <c r="AG151" i="113"/>
  <c r="AF151" i="113"/>
  <c r="AE151" i="113"/>
  <c r="AD151" i="113"/>
  <c r="L151" i="113"/>
  <c r="AZ150" i="113"/>
  <c r="AY150" i="113"/>
  <c r="AX150" i="113"/>
  <c r="AW150" i="113"/>
  <c r="AR150" i="113"/>
  <c r="AQ150" i="113"/>
  <c r="AT150" i="113" s="1"/>
  <c r="AG150" i="113"/>
  <c r="AF150" i="113"/>
  <c r="AE150" i="113"/>
  <c r="AD150" i="113"/>
  <c r="Y150" i="113"/>
  <c r="X150" i="113"/>
  <c r="AA150" i="113" s="1"/>
  <c r="L150" i="113"/>
  <c r="O145" i="113"/>
  <c r="N145" i="113"/>
  <c r="M145" i="113"/>
  <c r="O144" i="113"/>
  <c r="N144" i="113"/>
  <c r="M144" i="113"/>
  <c r="AZ141" i="113"/>
  <c r="AY141" i="113"/>
  <c r="AX141" i="113"/>
  <c r="AW141" i="113"/>
  <c r="AG141" i="113"/>
  <c r="AF141" i="113"/>
  <c r="AE141" i="113"/>
  <c r="AD141" i="113"/>
  <c r="L141" i="113"/>
  <c r="AZ140" i="113"/>
  <c r="AY140" i="113"/>
  <c r="AX140" i="113"/>
  <c r="AW140" i="113"/>
  <c r="AR140" i="113"/>
  <c r="AQ140" i="113"/>
  <c r="AT140" i="113" s="1"/>
  <c r="AG140" i="113"/>
  <c r="AF140" i="113"/>
  <c r="AE140" i="113"/>
  <c r="AD140" i="113"/>
  <c r="Y140" i="113"/>
  <c r="X140" i="113"/>
  <c r="AA140" i="113" s="1"/>
  <c r="L140" i="113"/>
  <c r="O135" i="113"/>
  <c r="N135" i="113"/>
  <c r="M135" i="113"/>
  <c r="O134" i="113"/>
  <c r="N134" i="113"/>
  <c r="M134" i="113"/>
  <c r="AZ131" i="113"/>
  <c r="AY131" i="113"/>
  <c r="AX131" i="113"/>
  <c r="AW131" i="113"/>
  <c r="AG131" i="113"/>
  <c r="AF131" i="113"/>
  <c r="AE131" i="113"/>
  <c r="AD131" i="113"/>
  <c r="L131" i="113"/>
  <c r="AZ130" i="113"/>
  <c r="AY130" i="113"/>
  <c r="AX130" i="113"/>
  <c r="AW130" i="113"/>
  <c r="AR130" i="113"/>
  <c r="AQ130" i="113"/>
  <c r="AT130" i="113" s="1"/>
  <c r="AG130" i="113"/>
  <c r="AF130" i="113"/>
  <c r="AE130" i="113"/>
  <c r="AD130" i="113"/>
  <c r="Y130" i="113"/>
  <c r="X130" i="113"/>
  <c r="AA130" i="113" s="1"/>
  <c r="L130" i="113"/>
  <c r="O125" i="113"/>
  <c r="N125" i="113"/>
  <c r="M125" i="113"/>
  <c r="O124" i="113"/>
  <c r="N124" i="113"/>
  <c r="M124" i="113"/>
  <c r="AZ121" i="113"/>
  <c r="AY121" i="113"/>
  <c r="AX121" i="113"/>
  <c r="AW121" i="113"/>
  <c r="AG121" i="113"/>
  <c r="AF121" i="113"/>
  <c r="AE121" i="113"/>
  <c r="AD121" i="113"/>
  <c r="L121" i="113"/>
  <c r="AZ120" i="113"/>
  <c r="AY120" i="113"/>
  <c r="AX120" i="113"/>
  <c r="AW120" i="113"/>
  <c r="AR120" i="113"/>
  <c r="AQ120" i="113"/>
  <c r="AT120" i="113" s="1"/>
  <c r="AG120" i="113"/>
  <c r="AF120" i="113"/>
  <c r="AE120" i="113"/>
  <c r="AD120" i="113"/>
  <c r="Y120" i="113"/>
  <c r="X120" i="113"/>
  <c r="AA120" i="113" s="1"/>
  <c r="L120" i="113"/>
  <c r="O115" i="113"/>
  <c r="N115" i="113"/>
  <c r="M115" i="113"/>
  <c r="O114" i="113"/>
  <c r="N114" i="113"/>
  <c r="M114" i="113"/>
  <c r="AZ111" i="113"/>
  <c r="AY111" i="113"/>
  <c r="AX111" i="113"/>
  <c r="AW111" i="113"/>
  <c r="AG111" i="113"/>
  <c r="AF111" i="113"/>
  <c r="AE111" i="113"/>
  <c r="AD111" i="113"/>
  <c r="L111" i="113"/>
  <c r="AZ110" i="113"/>
  <c r="AY110" i="113"/>
  <c r="AX110" i="113"/>
  <c r="AW110" i="113"/>
  <c r="AR110" i="113"/>
  <c r="AQ110" i="113"/>
  <c r="AT110" i="113" s="1"/>
  <c r="AG110" i="113"/>
  <c r="AF110" i="113"/>
  <c r="AE110" i="113"/>
  <c r="AD110" i="113"/>
  <c r="Y110" i="113"/>
  <c r="X110" i="113"/>
  <c r="AA110" i="113" s="1"/>
  <c r="L110" i="113"/>
  <c r="O105" i="113"/>
  <c r="N105" i="113"/>
  <c r="M105" i="113"/>
  <c r="O104" i="113"/>
  <c r="N104" i="113"/>
  <c r="M104" i="113"/>
  <c r="AZ101" i="113"/>
  <c r="AY101" i="113"/>
  <c r="AX101" i="113"/>
  <c r="AW101" i="113"/>
  <c r="AG101" i="113"/>
  <c r="AF101" i="113"/>
  <c r="AE101" i="113"/>
  <c r="AD101" i="113"/>
  <c r="L101" i="113"/>
  <c r="AZ100" i="113"/>
  <c r="AY100" i="113"/>
  <c r="AX100" i="113"/>
  <c r="AW100" i="113"/>
  <c r="AR100" i="113"/>
  <c r="AQ100" i="113"/>
  <c r="AT100" i="113" s="1"/>
  <c r="AG100" i="113"/>
  <c r="AF100" i="113"/>
  <c r="AE100" i="113"/>
  <c r="AD100" i="113"/>
  <c r="Y100" i="113"/>
  <c r="X100" i="113"/>
  <c r="AA100" i="113" s="1"/>
  <c r="L100" i="113"/>
  <c r="O95" i="113"/>
  <c r="N95" i="113"/>
  <c r="M95" i="113"/>
  <c r="O94" i="113"/>
  <c r="N94" i="113"/>
  <c r="M94" i="113"/>
  <c r="AZ91" i="113"/>
  <c r="AY91" i="113"/>
  <c r="AX91" i="113"/>
  <c r="AW91" i="113"/>
  <c r="AG91" i="113"/>
  <c r="AF91" i="113"/>
  <c r="AE91" i="113"/>
  <c r="AD91" i="113"/>
  <c r="L91" i="113"/>
  <c r="AZ90" i="113"/>
  <c r="AY90" i="113"/>
  <c r="AX90" i="113"/>
  <c r="AW90" i="113"/>
  <c r="AR90" i="113"/>
  <c r="AQ90" i="113"/>
  <c r="AT90" i="113" s="1"/>
  <c r="AG90" i="113"/>
  <c r="AF90" i="113"/>
  <c r="AE90" i="113"/>
  <c r="AD90" i="113"/>
  <c r="Y90" i="113"/>
  <c r="X90" i="113"/>
  <c r="AA90" i="113" s="1"/>
  <c r="L90" i="113"/>
  <c r="O85" i="113"/>
  <c r="N85" i="113"/>
  <c r="M85" i="113"/>
  <c r="O84" i="113"/>
  <c r="N84" i="113"/>
  <c r="M84" i="113"/>
  <c r="AZ81" i="113"/>
  <c r="AY81" i="113"/>
  <c r="AX81" i="113"/>
  <c r="AW81" i="113"/>
  <c r="AG81" i="113"/>
  <c r="AF81" i="113"/>
  <c r="AE81" i="113"/>
  <c r="AD81" i="113"/>
  <c r="L81" i="113"/>
  <c r="AZ80" i="113"/>
  <c r="AY80" i="113"/>
  <c r="AX80" i="113"/>
  <c r="AW80" i="113"/>
  <c r="AR80" i="113"/>
  <c r="AQ80" i="113"/>
  <c r="AT80" i="113" s="1"/>
  <c r="AG80" i="113"/>
  <c r="AF80" i="113"/>
  <c r="AE80" i="113"/>
  <c r="AD80" i="113"/>
  <c r="Y80" i="113"/>
  <c r="X80" i="113"/>
  <c r="AA80" i="113" s="1"/>
  <c r="L80" i="113"/>
  <c r="O75" i="113"/>
  <c r="N75" i="113"/>
  <c r="M75" i="113"/>
  <c r="O74" i="113"/>
  <c r="N74" i="113"/>
  <c r="M74" i="113"/>
  <c r="AZ71" i="113"/>
  <c r="AY71" i="113"/>
  <c r="AX71" i="113"/>
  <c r="AW71" i="113"/>
  <c r="AG71" i="113"/>
  <c r="AF71" i="113"/>
  <c r="AE71" i="113"/>
  <c r="AD71" i="113"/>
  <c r="L71" i="113"/>
  <c r="AZ70" i="113"/>
  <c r="AY70" i="113"/>
  <c r="AX70" i="113"/>
  <c r="AW70" i="113"/>
  <c r="AR70" i="113"/>
  <c r="AQ70" i="113"/>
  <c r="AT70" i="113" s="1"/>
  <c r="AG70" i="113"/>
  <c r="AF70" i="113"/>
  <c r="AE70" i="113"/>
  <c r="AD70" i="113"/>
  <c r="Y70" i="113"/>
  <c r="X70" i="113"/>
  <c r="AA70" i="113" s="1"/>
  <c r="L70" i="113"/>
  <c r="O65" i="113"/>
  <c r="N65" i="113"/>
  <c r="M65" i="113"/>
  <c r="O64" i="113"/>
  <c r="N64" i="113"/>
  <c r="M64" i="113"/>
  <c r="AZ61" i="113"/>
  <c r="AY61" i="113"/>
  <c r="AX61" i="113"/>
  <c r="AW61" i="113"/>
  <c r="AG61" i="113"/>
  <c r="AF61" i="113"/>
  <c r="AE61" i="113"/>
  <c r="AD61" i="113"/>
  <c r="L61" i="113"/>
  <c r="AZ60" i="113"/>
  <c r="AY60" i="113"/>
  <c r="AX60" i="113"/>
  <c r="AW60" i="113"/>
  <c r="AR60" i="113"/>
  <c r="AQ60" i="113"/>
  <c r="AT60" i="113" s="1"/>
  <c r="AG60" i="113"/>
  <c r="AF60" i="113"/>
  <c r="AE60" i="113"/>
  <c r="AD60" i="113"/>
  <c r="Y60" i="113"/>
  <c r="X60" i="113"/>
  <c r="AA60" i="113" s="1"/>
  <c r="L60" i="113"/>
  <c r="O55" i="113"/>
  <c r="N55" i="113"/>
  <c r="M55" i="113"/>
  <c r="O54" i="113"/>
  <c r="N54" i="113"/>
  <c r="M54" i="113"/>
  <c r="AZ51" i="113"/>
  <c r="AY51" i="113"/>
  <c r="AX51" i="113"/>
  <c r="AW51" i="113"/>
  <c r="AG51" i="113"/>
  <c r="AF51" i="113"/>
  <c r="AE51" i="113"/>
  <c r="AD51" i="113"/>
  <c r="L51" i="113"/>
  <c r="AZ50" i="113"/>
  <c r="AY50" i="113"/>
  <c r="AX50" i="113"/>
  <c r="AW50" i="113"/>
  <c r="AR50" i="113"/>
  <c r="AQ50" i="113"/>
  <c r="AT50" i="113" s="1"/>
  <c r="AG50" i="113"/>
  <c r="AF50" i="113"/>
  <c r="AE50" i="113"/>
  <c r="AD50" i="113"/>
  <c r="Y50" i="113"/>
  <c r="X50" i="113"/>
  <c r="AA50" i="113" s="1"/>
  <c r="L50" i="113"/>
  <c r="O45" i="113"/>
  <c r="N45" i="113"/>
  <c r="M45" i="113"/>
  <c r="O44" i="113"/>
  <c r="N44" i="113"/>
  <c r="M44" i="113"/>
  <c r="AZ41" i="113"/>
  <c r="AY41" i="113"/>
  <c r="AX41" i="113"/>
  <c r="AW41" i="113"/>
  <c r="AG41" i="113"/>
  <c r="AF41" i="113"/>
  <c r="AE41" i="113"/>
  <c r="AD41" i="113"/>
  <c r="L41" i="113"/>
  <c r="AZ40" i="113"/>
  <c r="AY40" i="113"/>
  <c r="AX40" i="113"/>
  <c r="AW40" i="113"/>
  <c r="AR40" i="113"/>
  <c r="AQ40" i="113"/>
  <c r="AT40" i="113" s="1"/>
  <c r="AG40" i="113"/>
  <c r="AF40" i="113"/>
  <c r="AE40" i="113"/>
  <c r="AD40" i="113"/>
  <c r="Y40" i="113"/>
  <c r="X40" i="113"/>
  <c r="AA40" i="113" s="1"/>
  <c r="L40" i="113"/>
  <c r="O35" i="113"/>
  <c r="N35" i="113"/>
  <c r="M35" i="113"/>
  <c r="O34" i="113"/>
  <c r="N34" i="113"/>
  <c r="M34" i="113"/>
  <c r="AZ31" i="113"/>
  <c r="AY31" i="113"/>
  <c r="AX31" i="113"/>
  <c r="AW31" i="113"/>
  <c r="AG31" i="113"/>
  <c r="AF31" i="113"/>
  <c r="AE31" i="113"/>
  <c r="AD31" i="113"/>
  <c r="L31" i="113"/>
  <c r="AZ30" i="113"/>
  <c r="AY30" i="113"/>
  <c r="AX30" i="113"/>
  <c r="AW30" i="113"/>
  <c r="AR30" i="113"/>
  <c r="AQ30" i="113"/>
  <c r="AT30" i="113" s="1"/>
  <c r="AG30" i="113"/>
  <c r="AF30" i="113"/>
  <c r="AE30" i="113"/>
  <c r="AD30" i="113"/>
  <c r="Y30" i="113"/>
  <c r="X30" i="113"/>
  <c r="AA30" i="113" s="1"/>
  <c r="L30" i="113"/>
  <c r="AJ25" i="113"/>
  <c r="O25" i="113"/>
  <c r="N25" i="113"/>
  <c r="M25" i="113"/>
  <c r="O24" i="113"/>
  <c r="N24" i="113"/>
  <c r="M24" i="113"/>
  <c r="AZ21" i="113"/>
  <c r="AY21" i="113"/>
  <c r="AX21" i="113"/>
  <c r="AW21" i="113"/>
  <c r="AG21" i="113"/>
  <c r="AF21" i="113"/>
  <c r="AE21" i="113"/>
  <c r="AD21" i="113"/>
  <c r="L21" i="113"/>
  <c r="AZ20" i="113"/>
  <c r="AY20" i="113"/>
  <c r="AX20" i="113"/>
  <c r="AW20" i="113"/>
  <c r="AR20" i="113"/>
  <c r="AQ20" i="113"/>
  <c r="AT20" i="113" s="1"/>
  <c r="AG20" i="113"/>
  <c r="AF20" i="113"/>
  <c r="AE20" i="113"/>
  <c r="AD20" i="113"/>
  <c r="Y20" i="113"/>
  <c r="X20" i="113"/>
  <c r="AA20" i="113" s="1"/>
  <c r="L20" i="113"/>
  <c r="BC15" i="113"/>
  <c r="R15" i="113"/>
  <c r="AZ11" i="113"/>
  <c r="AY11" i="113"/>
  <c r="AX11" i="113"/>
  <c r="AW11" i="113"/>
  <c r="L11" i="113"/>
  <c r="AZ10" i="113"/>
  <c r="AY10" i="113"/>
  <c r="AX10" i="113"/>
  <c r="AW10" i="113"/>
  <c r="AR10" i="113"/>
  <c r="AQ10" i="113"/>
  <c r="AT10" i="113" s="1"/>
  <c r="O10" i="113"/>
  <c r="N10" i="113"/>
  <c r="M10" i="113"/>
  <c r="L10" i="113"/>
  <c r="F200" i="112"/>
  <c r="E200" i="112"/>
  <c r="J200" i="112" s="1"/>
  <c r="O191" i="112"/>
  <c r="N191" i="112"/>
  <c r="M191" i="112"/>
  <c r="L191" i="112"/>
  <c r="O190" i="112"/>
  <c r="N190" i="112"/>
  <c r="M190" i="112"/>
  <c r="L190" i="112"/>
  <c r="F190" i="112"/>
  <c r="E190" i="112"/>
  <c r="J190" i="112" s="1"/>
  <c r="O181" i="112"/>
  <c r="N181" i="112"/>
  <c r="M181" i="112"/>
  <c r="L181" i="112"/>
  <c r="O180" i="112"/>
  <c r="N180" i="112"/>
  <c r="M180" i="112"/>
  <c r="L180" i="112"/>
  <c r="F180" i="112"/>
  <c r="E180" i="112"/>
  <c r="H180" i="112" s="1"/>
  <c r="O171" i="112"/>
  <c r="N171" i="112"/>
  <c r="M171" i="112"/>
  <c r="L171" i="112"/>
  <c r="O170" i="112"/>
  <c r="N170" i="112"/>
  <c r="M170" i="112"/>
  <c r="L170" i="112"/>
  <c r="F170" i="112"/>
  <c r="E170" i="112"/>
  <c r="J170" i="112" s="1"/>
  <c r="O161" i="112"/>
  <c r="N161" i="112"/>
  <c r="M161" i="112"/>
  <c r="L161" i="112"/>
  <c r="O160" i="112"/>
  <c r="N160" i="112"/>
  <c r="M160" i="112"/>
  <c r="L160" i="112"/>
  <c r="F160" i="112"/>
  <c r="E160" i="112"/>
  <c r="J160" i="112" s="1"/>
  <c r="O151" i="112"/>
  <c r="N151" i="112"/>
  <c r="M151" i="112"/>
  <c r="L151" i="112"/>
  <c r="O150" i="112"/>
  <c r="N150" i="112"/>
  <c r="M150" i="112"/>
  <c r="L150" i="112"/>
  <c r="F150" i="112"/>
  <c r="E150" i="112"/>
  <c r="J150" i="112" s="1"/>
  <c r="O141" i="112"/>
  <c r="N141" i="112"/>
  <c r="M141" i="112"/>
  <c r="L141" i="112"/>
  <c r="O140" i="112"/>
  <c r="N140" i="112"/>
  <c r="M140" i="112"/>
  <c r="L140" i="112"/>
  <c r="F140" i="112"/>
  <c r="E140" i="112"/>
  <c r="O131" i="112"/>
  <c r="N131" i="112"/>
  <c r="M131" i="112"/>
  <c r="L131" i="112"/>
  <c r="O130" i="112"/>
  <c r="N130" i="112"/>
  <c r="M130" i="112"/>
  <c r="L130" i="112"/>
  <c r="F130" i="112"/>
  <c r="E130" i="112"/>
  <c r="J130" i="112" s="1"/>
  <c r="O121" i="112"/>
  <c r="N121" i="112"/>
  <c r="M121" i="112"/>
  <c r="L121" i="112"/>
  <c r="O120" i="112"/>
  <c r="N120" i="112"/>
  <c r="M120" i="112"/>
  <c r="L120" i="112"/>
  <c r="F120" i="112"/>
  <c r="E120" i="112"/>
  <c r="J120" i="112" s="1"/>
  <c r="O111" i="112"/>
  <c r="N111" i="112"/>
  <c r="M111" i="112"/>
  <c r="L111" i="112"/>
  <c r="O110" i="112"/>
  <c r="N110" i="112"/>
  <c r="M110" i="112"/>
  <c r="L110" i="112"/>
  <c r="F110" i="112"/>
  <c r="E110" i="112"/>
  <c r="O101" i="112"/>
  <c r="N101" i="112"/>
  <c r="M101" i="112"/>
  <c r="L101" i="112"/>
  <c r="O100" i="112"/>
  <c r="N100" i="112"/>
  <c r="M100" i="112"/>
  <c r="L100" i="112"/>
  <c r="F100" i="112"/>
  <c r="E100" i="112"/>
  <c r="O91" i="112"/>
  <c r="N91" i="112"/>
  <c r="M91" i="112"/>
  <c r="L91" i="112"/>
  <c r="O90" i="112"/>
  <c r="N90" i="112"/>
  <c r="M90" i="112"/>
  <c r="L90" i="112"/>
  <c r="F90" i="112"/>
  <c r="E90" i="112"/>
  <c r="J90" i="112" s="1"/>
  <c r="O81" i="112"/>
  <c r="N81" i="112"/>
  <c r="M81" i="112"/>
  <c r="L81" i="112"/>
  <c r="O80" i="112"/>
  <c r="N80" i="112"/>
  <c r="M80" i="112"/>
  <c r="L80" i="112"/>
  <c r="F80" i="112"/>
  <c r="E80" i="112"/>
  <c r="O71" i="112"/>
  <c r="N71" i="112"/>
  <c r="M71" i="112"/>
  <c r="L71" i="112"/>
  <c r="O70" i="112"/>
  <c r="N70" i="112"/>
  <c r="M70" i="112"/>
  <c r="L70" i="112"/>
  <c r="F70" i="112"/>
  <c r="E70" i="112"/>
  <c r="J70" i="112" s="1"/>
  <c r="O61" i="112"/>
  <c r="N61" i="112"/>
  <c r="M61" i="112"/>
  <c r="L61" i="112"/>
  <c r="O60" i="112"/>
  <c r="N60" i="112"/>
  <c r="M60" i="112"/>
  <c r="L60" i="112"/>
  <c r="F60" i="112"/>
  <c r="E60" i="112"/>
  <c r="J60" i="112" s="1"/>
  <c r="O51" i="112"/>
  <c r="N51" i="112"/>
  <c r="M51" i="112"/>
  <c r="L51" i="112"/>
  <c r="O50" i="112"/>
  <c r="N50" i="112"/>
  <c r="M50" i="112"/>
  <c r="L50" i="112"/>
  <c r="F50" i="112"/>
  <c r="E50" i="112"/>
  <c r="J50" i="112" s="1"/>
  <c r="O41" i="112"/>
  <c r="N41" i="112"/>
  <c r="M41" i="112"/>
  <c r="L41" i="112"/>
  <c r="O40" i="112"/>
  <c r="N40" i="112"/>
  <c r="M40" i="112"/>
  <c r="L40" i="112"/>
  <c r="F40" i="112"/>
  <c r="E40" i="112"/>
  <c r="J40" i="112" s="1"/>
  <c r="O31" i="112"/>
  <c r="N31" i="112"/>
  <c r="M31" i="112"/>
  <c r="L31" i="112"/>
  <c r="O30" i="112"/>
  <c r="N30" i="112"/>
  <c r="M30" i="112"/>
  <c r="L30" i="112"/>
  <c r="F30" i="112"/>
  <c r="E30" i="112"/>
  <c r="O21" i="112"/>
  <c r="N21" i="112"/>
  <c r="M21" i="112"/>
  <c r="L21" i="112"/>
  <c r="O20" i="112"/>
  <c r="N20" i="112"/>
  <c r="M20" i="112"/>
  <c r="L20" i="112"/>
  <c r="F20" i="112"/>
  <c r="E20" i="112"/>
  <c r="J20" i="112" s="1"/>
  <c r="R15" i="112"/>
  <c r="O11" i="112"/>
  <c r="N11" i="112"/>
  <c r="M11" i="112"/>
  <c r="L11" i="112"/>
  <c r="O10" i="112"/>
  <c r="N10" i="112"/>
  <c r="M10" i="112"/>
  <c r="L10" i="112"/>
  <c r="F10" i="112"/>
  <c r="E10" i="112"/>
  <c r="T6" i="112" s="1"/>
  <c r="C25" i="110"/>
  <c r="E24" i="110"/>
  <c r="E23" i="110"/>
  <c r="E22" i="110"/>
  <c r="D16" i="110"/>
  <c r="E16" i="110" s="1"/>
  <c r="C16" i="110"/>
  <c r="E15" i="110"/>
  <c r="C15" i="110"/>
  <c r="E14" i="110"/>
  <c r="C14" i="110"/>
  <c r="E13" i="110"/>
  <c r="C13" i="110"/>
  <c r="AU14" i="1"/>
  <c r="AU11" i="1"/>
  <c r="N133" i="102"/>
  <c r="N132" i="102"/>
  <c r="N82" i="102"/>
  <c r="N81" i="102"/>
  <c r="N10" i="102"/>
  <c r="D21" i="101"/>
  <c r="O28" i="110"/>
  <c r="AD22" i="101"/>
  <c r="AC22" i="101"/>
  <c r="AB22" i="101"/>
  <c r="AA22" i="101"/>
  <c r="Z22" i="101"/>
  <c r="Y22" i="101"/>
  <c r="I22" i="101"/>
  <c r="J22" i="101"/>
  <c r="K22" i="101"/>
  <c r="N22" i="101"/>
  <c r="N21" i="101"/>
  <c r="A22" i="101"/>
  <c r="X22" i="101"/>
  <c r="W22" i="101"/>
  <c r="V22" i="101"/>
  <c r="U22" i="101"/>
  <c r="S22" i="101"/>
  <c r="Q22" i="101"/>
  <c r="C22" i="101"/>
  <c r="B22" i="101"/>
  <c r="A21" i="101"/>
  <c r="AD21" i="101"/>
  <c r="AC21" i="101"/>
  <c r="AB21" i="101"/>
  <c r="AA21" i="101"/>
  <c r="Z21" i="101"/>
  <c r="Y21" i="101"/>
  <c r="X21" i="101"/>
  <c r="W21" i="101"/>
  <c r="V21" i="101"/>
  <c r="U21" i="101"/>
  <c r="S21" i="101"/>
  <c r="R21" i="101"/>
  <c r="Q21" i="101"/>
  <c r="P21" i="101"/>
  <c r="O21" i="101"/>
  <c r="M21" i="101"/>
  <c r="L21" i="101"/>
  <c r="K21" i="101"/>
  <c r="J21" i="101"/>
  <c r="I21" i="101"/>
  <c r="H21" i="101"/>
  <c r="G21" i="101"/>
  <c r="F21" i="101"/>
  <c r="E21" i="101"/>
  <c r="C21" i="101"/>
  <c r="B21" i="101"/>
  <c r="Q37" i="75"/>
  <c r="Q36" i="75"/>
  <c r="Q35" i="75"/>
  <c r="Q34" i="75"/>
  <c r="Q33" i="75"/>
  <c r="Q32" i="75"/>
  <c r="Q31" i="75"/>
  <c r="U27" i="75"/>
  <c r="U26" i="75"/>
  <c r="U25" i="75"/>
  <c r="U24" i="75"/>
  <c r="U23" i="75"/>
  <c r="U22" i="75"/>
  <c r="U21" i="75"/>
  <c r="U20" i="75"/>
  <c r="U19" i="75"/>
  <c r="U18" i="75"/>
  <c r="U17" i="75"/>
  <c r="U16" i="75"/>
  <c r="U15" i="75"/>
  <c r="U14" i="75"/>
  <c r="U13" i="75"/>
  <c r="U12" i="75"/>
  <c r="U11" i="75"/>
  <c r="U10" i="75"/>
  <c r="U9" i="75"/>
  <c r="U8" i="75"/>
  <c r="U7" i="75"/>
  <c r="U6" i="75"/>
  <c r="U5" i="75"/>
  <c r="C21" i="105"/>
  <c r="F23" i="105" s="1"/>
  <c r="C13" i="105"/>
  <c r="F15" i="105" s="1"/>
  <c r="C5" i="105"/>
  <c r="AU614" i="1"/>
  <c r="AU612" i="1"/>
  <c r="AU605" i="1"/>
  <c r="AU603" i="1"/>
  <c r="AU601" i="1"/>
  <c r="AU16" i="1"/>
  <c r="AU15" i="1"/>
  <c r="AU13" i="1"/>
  <c r="AU12" i="1"/>
  <c r="AU10" i="1"/>
  <c r="AU9" i="1"/>
  <c r="AI5" i="101"/>
  <c r="M5" i="101"/>
  <c r="D5" i="101"/>
  <c r="AI4" i="101"/>
  <c r="M4" i="101"/>
  <c r="H4" i="101"/>
  <c r="D4" i="101"/>
  <c r="AI3" i="101"/>
  <c r="W21" i="1"/>
  <c r="W29" i="1" s="1"/>
  <c r="E12" i="104" s="1"/>
  <c r="M3" i="101"/>
  <c r="H3" i="101"/>
  <c r="D3" i="101"/>
  <c r="X14" i="104"/>
  <c r="X13" i="104"/>
  <c r="X12" i="104"/>
  <c r="AA34" i="104"/>
  <c r="Z34" i="104"/>
  <c r="Y33" i="104"/>
  <c r="AA33" i="104" s="1"/>
  <c r="X33" i="104"/>
  <c r="Z33" i="104" s="1"/>
  <c r="AA32" i="104"/>
  <c r="Z32" i="104"/>
  <c r="Y31" i="104"/>
  <c r="AA31" i="104" s="1"/>
  <c r="X31" i="104"/>
  <c r="Z31" i="104" s="1"/>
  <c r="AA30" i="104"/>
  <c r="Z30" i="104"/>
  <c r="Y29" i="104"/>
  <c r="AA29" i="104" s="1"/>
  <c r="X29" i="104"/>
  <c r="Z29" i="104" s="1"/>
  <c r="AA28" i="104"/>
  <c r="Z28" i="104"/>
  <c r="Y27" i="104"/>
  <c r="AA27" i="104" s="1"/>
  <c r="X27" i="104"/>
  <c r="Z27" i="104" s="1"/>
  <c r="AA26" i="104"/>
  <c r="Z26" i="104"/>
  <c r="Y25" i="104"/>
  <c r="AA25" i="104" s="1"/>
  <c r="X25" i="104"/>
  <c r="Z25" i="104" s="1"/>
  <c r="AA24" i="104"/>
  <c r="Z24" i="104"/>
  <c r="Y23" i="104"/>
  <c r="AA23" i="104" s="1"/>
  <c r="X23" i="104"/>
  <c r="Z23" i="104" s="1"/>
  <c r="W23" i="104"/>
  <c r="W24" i="104" s="1"/>
  <c r="W25" i="104" s="1"/>
  <c r="W26" i="104" s="1"/>
  <c r="W27" i="104" s="1"/>
  <c r="W28" i="104" s="1"/>
  <c r="W29" i="104" s="1"/>
  <c r="W30" i="104" s="1"/>
  <c r="W31" i="104" s="1"/>
  <c r="W32" i="104" s="1"/>
  <c r="AA22" i="104"/>
  <c r="Z22" i="104"/>
  <c r="P15" i="104"/>
  <c r="K15" i="104"/>
  <c r="L14" i="104"/>
  <c r="L13" i="104"/>
  <c r="BD330" i="1"/>
  <c r="BD331" i="1"/>
  <c r="BD332" i="1"/>
  <c r="BD329" i="1"/>
  <c r="G614" i="1"/>
  <c r="G612" i="1"/>
  <c r="G605" i="1"/>
  <c r="G603" i="1"/>
  <c r="G601" i="1"/>
  <c r="G10" i="1"/>
  <c r="G12" i="1"/>
  <c r="G13" i="1"/>
  <c r="G15" i="1"/>
  <c r="G16" i="1"/>
  <c r="AG28" i="1"/>
  <c r="AF28" i="1"/>
  <c r="AG27" i="1"/>
  <c r="AF27" i="1"/>
  <c r="AG26" i="1"/>
  <c r="AF26" i="1"/>
  <c r="AG25" i="1"/>
  <c r="AF25" i="1"/>
  <c r="AG24" i="1"/>
  <c r="AF24" i="1"/>
  <c r="AG23" i="1"/>
  <c r="AF23" i="1"/>
  <c r="AG22" i="1"/>
  <c r="AF22" i="1"/>
  <c r="AG21" i="1"/>
  <c r="AF21" i="1"/>
  <c r="W28" i="1"/>
  <c r="W27" i="1"/>
  <c r="W26" i="1"/>
  <c r="W25" i="1"/>
  <c r="W24" i="1"/>
  <c r="W23" i="1"/>
  <c r="W22" i="1"/>
  <c r="V47" i="1"/>
  <c r="V38" i="1"/>
  <c r="V29" i="1"/>
  <c r="V28" i="1"/>
  <c r="V27" i="1"/>
  <c r="V26" i="1"/>
  <c r="V25" i="1"/>
  <c r="V24" i="1"/>
  <c r="V23" i="1"/>
  <c r="V22" i="1"/>
  <c r="V21" i="1"/>
  <c r="T29" i="1"/>
  <c r="AB14" i="101"/>
  <c r="Z14" i="101"/>
  <c r="X14" i="101"/>
  <c r="W14" i="101"/>
  <c r="V14" i="101"/>
  <c r="R14" i="101"/>
  <c r="P14" i="101"/>
  <c r="O14" i="101"/>
  <c r="M14" i="101"/>
  <c r="L14" i="101"/>
  <c r="H14" i="101"/>
  <c r="G14" i="101"/>
  <c r="F14" i="101"/>
  <c r="E14" i="101"/>
  <c r="B14" i="101"/>
  <c r="A14" i="101"/>
  <c r="AG47" i="1"/>
  <c r="AF47" i="1"/>
  <c r="AG38" i="1"/>
  <c r="AF38" i="1"/>
  <c r="AG29" i="1"/>
  <c r="AF29" i="1"/>
  <c r="K133" i="102"/>
  <c r="M133" i="102"/>
  <c r="O133" i="102"/>
  <c r="K132" i="102"/>
  <c r="M132" i="102"/>
  <c r="O132" i="102"/>
  <c r="K82" i="102"/>
  <c r="M82" i="102"/>
  <c r="O82" i="102"/>
  <c r="O81" i="102"/>
  <c r="M81" i="102"/>
  <c r="K81" i="102"/>
  <c r="P10" i="102"/>
  <c r="K10" i="102"/>
  <c r="M10" i="102"/>
  <c r="O10" i="102"/>
  <c r="DU125" i="90"/>
  <c r="AE18" i="101"/>
  <c r="X18" i="101"/>
  <c r="W18" i="101"/>
  <c r="V18" i="101"/>
  <c r="U18" i="101"/>
  <c r="T18" i="101"/>
  <c r="S18" i="101"/>
  <c r="Q18" i="101"/>
  <c r="C18" i="101"/>
  <c r="B18" i="101"/>
  <c r="A18" i="101"/>
  <c r="AE15" i="101"/>
  <c r="X15" i="101"/>
  <c r="W15" i="101"/>
  <c r="V15" i="101"/>
  <c r="U15" i="101"/>
  <c r="T15" i="101"/>
  <c r="S15" i="101"/>
  <c r="Q15" i="101"/>
  <c r="C15" i="101"/>
  <c r="B15" i="101"/>
  <c r="A15" i="101"/>
  <c r="AB17" i="101"/>
  <c r="Z17" i="101"/>
  <c r="X17" i="101"/>
  <c r="W17" i="101"/>
  <c r="V17" i="101"/>
  <c r="R17" i="101"/>
  <c r="Q17" i="101"/>
  <c r="P17" i="101"/>
  <c r="O17" i="101"/>
  <c r="N17" i="101"/>
  <c r="M17" i="101"/>
  <c r="L17" i="101"/>
  <c r="K17" i="101"/>
  <c r="J17" i="101"/>
  <c r="I17" i="101"/>
  <c r="H17" i="101"/>
  <c r="G17" i="101"/>
  <c r="F17" i="101"/>
  <c r="E17" i="101"/>
  <c r="B17" i="101"/>
  <c r="A17" i="101"/>
  <c r="A11" i="101"/>
  <c r="E11" i="101"/>
  <c r="F11" i="101"/>
  <c r="G11" i="101"/>
  <c r="H11" i="101"/>
  <c r="O11" i="101"/>
  <c r="P11" i="101"/>
  <c r="V11" i="101"/>
  <c r="W11" i="101"/>
  <c r="X11" i="101"/>
  <c r="Z11" i="101"/>
  <c r="AB11" i="101"/>
  <c r="S29" i="1"/>
  <c r="F7" i="98"/>
  <c r="D12" i="98"/>
  <c r="J12" i="98"/>
  <c r="N12" i="98"/>
  <c r="P12" i="98" s="1"/>
  <c r="O12" i="98"/>
  <c r="D13" i="98"/>
  <c r="J13" i="98"/>
  <c r="N13" i="98"/>
  <c r="P13" i="98" s="1"/>
  <c r="O13" i="98"/>
  <c r="D14" i="98"/>
  <c r="J14" i="98"/>
  <c r="N14" i="98"/>
  <c r="P14" i="98" s="1"/>
  <c r="O14" i="98"/>
  <c r="D15" i="98"/>
  <c r="J15" i="98"/>
  <c r="N15" i="98"/>
  <c r="P15" i="98" s="1"/>
  <c r="O15" i="98"/>
  <c r="D16" i="98"/>
  <c r="J16" i="98"/>
  <c r="N16" i="98"/>
  <c r="P16" i="98" s="1"/>
  <c r="O16" i="98"/>
  <c r="D17" i="98"/>
  <c r="J17" i="98"/>
  <c r="N17" i="98"/>
  <c r="P17" i="98" s="1"/>
  <c r="O17" i="98"/>
  <c r="D18" i="98"/>
  <c r="J18" i="98"/>
  <c r="N18" i="98"/>
  <c r="P18" i="98" s="1"/>
  <c r="O18" i="98"/>
  <c r="D19" i="98"/>
  <c r="J19" i="98"/>
  <c r="N19" i="98"/>
  <c r="P19" i="98" s="1"/>
  <c r="O19" i="98"/>
  <c r="D20" i="98"/>
  <c r="J20" i="98"/>
  <c r="N20" i="98"/>
  <c r="P20" i="98" s="1"/>
  <c r="O20" i="98"/>
  <c r="D21" i="98"/>
  <c r="J21" i="98"/>
  <c r="N21" i="98"/>
  <c r="P21" i="98" s="1"/>
  <c r="O21" i="98"/>
  <c r="N23" i="98"/>
  <c r="P23" i="98" s="1"/>
  <c r="O23" i="98"/>
  <c r="F7" i="97"/>
  <c r="D12" i="97"/>
  <c r="J12" i="97"/>
  <c r="N12" i="97"/>
  <c r="P12" i="97" s="1"/>
  <c r="O12" i="97"/>
  <c r="D13" i="97"/>
  <c r="J13" i="97"/>
  <c r="N13" i="97"/>
  <c r="P13" i="97" s="1"/>
  <c r="O13" i="97"/>
  <c r="D14" i="97"/>
  <c r="J14" i="97"/>
  <c r="N14" i="97"/>
  <c r="P14" i="97" s="1"/>
  <c r="O14" i="97"/>
  <c r="D15" i="97"/>
  <c r="J15" i="97"/>
  <c r="N15" i="97"/>
  <c r="P15" i="97" s="1"/>
  <c r="O15" i="97"/>
  <c r="D16" i="97"/>
  <c r="J16" i="97"/>
  <c r="N16" i="97"/>
  <c r="P16" i="97" s="1"/>
  <c r="O16" i="97"/>
  <c r="D17" i="97"/>
  <c r="J17" i="97"/>
  <c r="N17" i="97"/>
  <c r="P17" i="97" s="1"/>
  <c r="O17" i="97"/>
  <c r="N19" i="97"/>
  <c r="P19" i="97" s="1"/>
  <c r="O19" i="97"/>
  <c r="S47" i="1"/>
  <c r="D14" i="104" s="1"/>
  <c r="S38" i="1"/>
  <c r="DC142" i="90"/>
  <c r="DB142" i="90"/>
  <c r="DA142" i="90"/>
  <c r="CZ142" i="90"/>
  <c r="CY142" i="90"/>
  <c r="CX142" i="90"/>
  <c r="CW142" i="90"/>
  <c r="CV142" i="90"/>
  <c r="CU142" i="90"/>
  <c r="CT142" i="90"/>
  <c r="CS142" i="90"/>
  <c r="CR142" i="90"/>
  <c r="DC141" i="90"/>
  <c r="DB141" i="90"/>
  <c r="DA141" i="90"/>
  <c r="CZ141" i="90"/>
  <c r="CY141" i="90"/>
  <c r="CX141" i="90"/>
  <c r="CW141" i="90"/>
  <c r="CV141" i="90"/>
  <c r="CU141" i="90"/>
  <c r="CT141" i="90"/>
  <c r="CS141" i="90"/>
  <c r="CR141" i="90"/>
  <c r="DC129" i="90"/>
  <c r="DB129" i="90"/>
  <c r="DA129" i="90"/>
  <c r="CZ129" i="90"/>
  <c r="CY129" i="90"/>
  <c r="CX129" i="90"/>
  <c r="CW129" i="90"/>
  <c r="CV129" i="90"/>
  <c r="CU129" i="90"/>
  <c r="CT129" i="90"/>
  <c r="CS129" i="90"/>
  <c r="CR129" i="90"/>
  <c r="DC128" i="90"/>
  <c r="DB128" i="90"/>
  <c r="DA128" i="90"/>
  <c r="CZ128" i="90"/>
  <c r="CY128" i="90"/>
  <c r="CX128" i="90"/>
  <c r="CW128" i="90"/>
  <c r="CV128" i="90"/>
  <c r="CU128" i="90"/>
  <c r="CT128" i="90"/>
  <c r="CS128" i="90"/>
  <c r="CR128" i="90"/>
  <c r="DC125" i="90"/>
  <c r="DB125" i="90"/>
  <c r="DA125" i="90"/>
  <c r="CZ125" i="90"/>
  <c r="CY125" i="90"/>
  <c r="CX125" i="90"/>
  <c r="CW125" i="90"/>
  <c r="CV125" i="90"/>
  <c r="CU125" i="90"/>
  <c r="CT125" i="90"/>
  <c r="CS125" i="90"/>
  <c r="CR125" i="90"/>
  <c r="DC103" i="90"/>
  <c r="DB103" i="90"/>
  <c r="DA103" i="90"/>
  <c r="CZ103" i="90"/>
  <c r="CY103" i="90"/>
  <c r="CX103" i="90"/>
  <c r="CW103" i="90"/>
  <c r="CV103" i="90"/>
  <c r="CU103" i="90"/>
  <c r="CT103" i="90"/>
  <c r="CS103" i="90"/>
  <c r="CR103" i="90"/>
  <c r="DC102" i="90"/>
  <c r="DB102" i="90"/>
  <c r="DA102" i="90"/>
  <c r="CZ102" i="90"/>
  <c r="CY102" i="90"/>
  <c r="CX102" i="90"/>
  <c r="CW102" i="90"/>
  <c r="CV102" i="90"/>
  <c r="CU102" i="90"/>
  <c r="CT102" i="90"/>
  <c r="CS102" i="90"/>
  <c r="CR102" i="90"/>
  <c r="DC90" i="90"/>
  <c r="DB90" i="90"/>
  <c r="DA90" i="90"/>
  <c r="CZ90" i="90"/>
  <c r="CY90" i="90"/>
  <c r="CX90" i="90"/>
  <c r="CW90" i="90"/>
  <c r="CV90" i="90"/>
  <c r="CU90" i="90"/>
  <c r="CT90" i="90"/>
  <c r="CS90" i="90"/>
  <c r="CR90" i="90"/>
  <c r="DC89" i="90"/>
  <c r="DB89" i="90"/>
  <c r="DA89" i="90"/>
  <c r="CZ89" i="90"/>
  <c r="CY89" i="90"/>
  <c r="CX89" i="90"/>
  <c r="CW89" i="90"/>
  <c r="CV89" i="90"/>
  <c r="CU89" i="90"/>
  <c r="CT89" i="90"/>
  <c r="CS89" i="90"/>
  <c r="CR89" i="90"/>
  <c r="DC86" i="90"/>
  <c r="DB86" i="90"/>
  <c r="DA86" i="90"/>
  <c r="CZ86" i="90"/>
  <c r="CY86" i="90"/>
  <c r="CX86" i="90"/>
  <c r="CW86" i="90"/>
  <c r="CV86" i="90"/>
  <c r="CU86" i="90"/>
  <c r="CT86" i="90"/>
  <c r="CS86" i="90"/>
  <c r="CR86" i="90"/>
  <c r="DC66" i="90"/>
  <c r="DB66" i="90"/>
  <c r="DA66" i="90"/>
  <c r="CZ66" i="90"/>
  <c r="CY66" i="90"/>
  <c r="CX66" i="90"/>
  <c r="CW66" i="90"/>
  <c r="CV66" i="90"/>
  <c r="CU66" i="90"/>
  <c r="CT66" i="90"/>
  <c r="CS66" i="90"/>
  <c r="CR66" i="90"/>
  <c r="DC65" i="90"/>
  <c r="DB65" i="90"/>
  <c r="DA65" i="90"/>
  <c r="CZ65" i="90"/>
  <c r="CY65" i="90"/>
  <c r="CX65" i="90"/>
  <c r="CW65" i="90"/>
  <c r="CV65" i="90"/>
  <c r="CU65" i="90"/>
  <c r="CT65" i="90"/>
  <c r="CS65" i="90"/>
  <c r="CR65" i="90"/>
  <c r="DC53" i="90"/>
  <c r="DB53" i="90"/>
  <c r="DA53" i="90"/>
  <c r="CZ53" i="90"/>
  <c r="CY53" i="90"/>
  <c r="CX53" i="90"/>
  <c r="CW53" i="90"/>
  <c r="CV53" i="90"/>
  <c r="CU53" i="90"/>
  <c r="CT53" i="90"/>
  <c r="CS53" i="90"/>
  <c r="CR53" i="90"/>
  <c r="DC52" i="90"/>
  <c r="DB52" i="90"/>
  <c r="DA52" i="90"/>
  <c r="CZ52" i="90"/>
  <c r="CY52" i="90"/>
  <c r="CX52" i="90"/>
  <c r="CW52" i="90"/>
  <c r="CV52" i="90"/>
  <c r="CU52" i="90"/>
  <c r="CT52" i="90"/>
  <c r="CS52" i="90"/>
  <c r="CR52" i="90"/>
  <c r="DC49" i="90"/>
  <c r="DB49" i="90"/>
  <c r="DA49" i="90"/>
  <c r="CZ49" i="90"/>
  <c r="CY49" i="90"/>
  <c r="CX49" i="90"/>
  <c r="CW49" i="90"/>
  <c r="CV49" i="90"/>
  <c r="CU49" i="90"/>
  <c r="CT49" i="90"/>
  <c r="CS49" i="90"/>
  <c r="CR49" i="90"/>
  <c r="DC29" i="90"/>
  <c r="DB29" i="90"/>
  <c r="DA29" i="90"/>
  <c r="CZ29" i="90"/>
  <c r="CY29" i="90"/>
  <c r="CX29" i="90"/>
  <c r="CW29" i="90"/>
  <c r="CV29" i="90"/>
  <c r="CU29" i="90"/>
  <c r="CT29" i="90"/>
  <c r="CS29" i="90"/>
  <c r="CR29" i="90"/>
  <c r="DC28" i="90"/>
  <c r="DB28" i="90"/>
  <c r="DA28" i="90"/>
  <c r="CZ28" i="90"/>
  <c r="CY28" i="90"/>
  <c r="CX28" i="90"/>
  <c r="CW28" i="90"/>
  <c r="CV28" i="90"/>
  <c r="CU28" i="90"/>
  <c r="CT28" i="90"/>
  <c r="CS28" i="90"/>
  <c r="CR28" i="90"/>
  <c r="DC16" i="90"/>
  <c r="DB16" i="90"/>
  <c r="DA16" i="90"/>
  <c r="CZ16" i="90"/>
  <c r="CY16" i="90"/>
  <c r="CX16" i="90"/>
  <c r="CW16" i="90"/>
  <c r="CV16" i="90"/>
  <c r="CU16" i="90"/>
  <c r="CT16" i="90"/>
  <c r="CS16" i="90"/>
  <c r="CR16" i="90"/>
  <c r="DC15" i="90"/>
  <c r="DB15" i="90"/>
  <c r="DA15" i="90"/>
  <c r="CZ15" i="90"/>
  <c r="CY15" i="90"/>
  <c r="CX15" i="90"/>
  <c r="CW15" i="90"/>
  <c r="CV15" i="90"/>
  <c r="CU15" i="90"/>
  <c r="CT15" i="90"/>
  <c r="CS15" i="90"/>
  <c r="CR15" i="90"/>
  <c r="DC12" i="90"/>
  <c r="DB12" i="90"/>
  <c r="DA12" i="90"/>
  <c r="CZ12" i="90"/>
  <c r="CY12" i="90"/>
  <c r="CX12" i="90"/>
  <c r="CW12" i="90"/>
  <c r="CV12" i="90"/>
  <c r="CU12" i="90"/>
  <c r="CT12" i="90"/>
  <c r="CS12" i="90"/>
  <c r="CR12" i="90"/>
  <c r="DC126" i="90"/>
  <c r="DB126" i="90"/>
  <c r="DA126" i="90"/>
  <c r="CZ126" i="90"/>
  <c r="CY126" i="90"/>
  <c r="CX126" i="90"/>
  <c r="CW126" i="90"/>
  <c r="CV126" i="90"/>
  <c r="CU126" i="90"/>
  <c r="CT126" i="90"/>
  <c r="CS126" i="90"/>
  <c r="CR126" i="90"/>
  <c r="DC87" i="90"/>
  <c r="DB87" i="90"/>
  <c r="DA87" i="90"/>
  <c r="CZ87" i="90"/>
  <c r="CY87" i="90"/>
  <c r="CX87" i="90"/>
  <c r="CW87" i="90"/>
  <c r="CV87" i="90"/>
  <c r="CU87" i="90"/>
  <c r="CT87" i="90"/>
  <c r="CS87" i="90"/>
  <c r="CR87" i="90"/>
  <c r="DC50" i="90"/>
  <c r="DB50" i="90"/>
  <c r="DA50" i="90"/>
  <c r="CZ50" i="90"/>
  <c r="CY50" i="90"/>
  <c r="CX50" i="90"/>
  <c r="CW50" i="90"/>
  <c r="CV50" i="90"/>
  <c r="CU50" i="90"/>
  <c r="DC13" i="90"/>
  <c r="DB13" i="90"/>
  <c r="DA13" i="90"/>
  <c r="CZ13" i="90"/>
  <c r="CY13" i="90"/>
  <c r="CX13" i="90"/>
  <c r="CW13" i="90"/>
  <c r="CV13" i="90"/>
  <c r="CU13" i="90"/>
  <c r="CT13" i="90"/>
  <c r="CS13" i="90"/>
  <c r="CR13" i="90"/>
  <c r="CT50" i="90"/>
  <c r="CS50" i="90"/>
  <c r="CR50" i="90"/>
  <c r="DC127" i="90"/>
  <c r="DB127" i="90"/>
  <c r="DA127" i="90"/>
  <c r="CZ127" i="90"/>
  <c r="CY127" i="90"/>
  <c r="CX127" i="90"/>
  <c r="CW127" i="90"/>
  <c r="CV127" i="90"/>
  <c r="CU127" i="90"/>
  <c r="CT127" i="90"/>
  <c r="CS127" i="90"/>
  <c r="CR127" i="90"/>
  <c r="DC88" i="90"/>
  <c r="DB88" i="90"/>
  <c r="DA88" i="90"/>
  <c r="CZ88" i="90"/>
  <c r="CY88" i="90"/>
  <c r="CX88" i="90"/>
  <c r="CW88" i="90"/>
  <c r="CV88" i="90"/>
  <c r="CU88" i="90"/>
  <c r="CT88" i="90"/>
  <c r="CS88" i="90"/>
  <c r="CR88" i="90"/>
  <c r="DC51" i="90"/>
  <c r="DB51" i="90"/>
  <c r="DA51" i="90"/>
  <c r="CZ51" i="90"/>
  <c r="CY51" i="90"/>
  <c r="CX51" i="90"/>
  <c r="CW51" i="90"/>
  <c r="CV51" i="90"/>
  <c r="CU51" i="90"/>
  <c r="CT51" i="90"/>
  <c r="CS51" i="90"/>
  <c r="CR51" i="90"/>
  <c r="DC14" i="90"/>
  <c r="DB14" i="90"/>
  <c r="DA14" i="90"/>
  <c r="CZ14" i="90"/>
  <c r="CY14" i="90"/>
  <c r="CX14" i="90"/>
  <c r="CW14" i="90"/>
  <c r="CV14" i="90"/>
  <c r="CU14" i="90"/>
  <c r="CT14" i="90"/>
  <c r="CS14" i="90"/>
  <c r="CR14" i="90"/>
  <c r="DO125" i="90"/>
  <c r="DH138" i="90"/>
  <c r="DM125" i="90"/>
  <c r="DI125" i="90"/>
  <c r="DH99" i="90"/>
  <c r="DI86" i="90"/>
  <c r="DH62" i="90"/>
  <c r="DI49" i="90"/>
  <c r="B2" i="90"/>
  <c r="B118" i="90"/>
  <c r="B79" i="90"/>
  <c r="B42" i="90"/>
  <c r="DG125" i="90"/>
  <c r="DF125" i="90"/>
  <c r="DE125" i="90"/>
  <c r="DK125" i="90" s="1"/>
  <c r="DG86" i="90"/>
  <c r="DF86" i="90"/>
  <c r="DE86" i="90"/>
  <c r="DK86" i="90" s="1"/>
  <c r="DG49" i="90"/>
  <c r="DF49" i="90"/>
  <c r="DE49" i="90"/>
  <c r="DK49" i="90" s="1"/>
  <c r="E125" i="90"/>
  <c r="DH125" i="90" s="1"/>
  <c r="B125" i="90"/>
  <c r="B138" i="90" s="1"/>
  <c r="B86" i="90"/>
  <c r="B99" i="90" s="1"/>
  <c r="B49" i="90"/>
  <c r="B62" i="90" s="1"/>
  <c r="DH25" i="90"/>
  <c r="D122" i="90"/>
  <c r="AD29" i="1"/>
  <c r="AE29" i="1" s="1"/>
  <c r="AD38" i="1"/>
  <c r="AE38" i="1" s="1"/>
  <c r="AD47" i="1"/>
  <c r="AE47" i="1" s="1"/>
  <c r="AC29" i="1"/>
  <c r="AC38" i="1"/>
  <c r="AC47" i="1"/>
  <c r="AB29" i="1"/>
  <c r="S12" i="104" s="1"/>
  <c r="AB38" i="1"/>
  <c r="S13" i="104" s="1"/>
  <c r="AB47" i="1"/>
  <c r="S14" i="104" s="1"/>
  <c r="Z29" i="1"/>
  <c r="Z38" i="1"/>
  <c r="Z47" i="1"/>
  <c r="T47" i="1"/>
  <c r="I5" i="75"/>
  <c r="J5" i="75" s="1"/>
  <c r="H589" i="1"/>
  <c r="AU589" i="1" s="1"/>
  <c r="T38" i="1"/>
  <c r="H599" i="1"/>
  <c r="G599" i="1" s="1"/>
  <c r="H597" i="1"/>
  <c r="H595" i="1"/>
  <c r="AU595" i="1" s="1"/>
  <c r="H593" i="1"/>
  <c r="AB593" i="1" s="1"/>
  <c r="H591" i="1"/>
  <c r="AU591" i="1" s="1"/>
  <c r="H607" i="1"/>
  <c r="G607" i="1" s="1"/>
  <c r="DG1275" i="75"/>
  <c r="DF1276" i="75" s="1"/>
  <c r="DG1273" i="75"/>
  <c r="DF1274" i="75" s="1"/>
  <c r="DE1275" i="75" s="1" a="1"/>
  <c r="DE1276" i="75" s="1"/>
  <c r="DE1273" i="75"/>
  <c r="DG1271" i="75"/>
  <c r="DF1272" i="75" s="1"/>
  <c r="DE1271" i="75"/>
  <c r="DC1271" i="75"/>
  <c r="DG1269" i="75"/>
  <c r="DF1270" i="75" s="1"/>
  <c r="DE1269" i="75"/>
  <c r="DC1269" i="75"/>
  <c r="DA1269" i="75"/>
  <c r="DG1267" i="75"/>
  <c r="DF1268" i="75" s="1"/>
  <c r="DE1267" i="75"/>
  <c r="DC1267" i="75"/>
  <c r="DB1268" i="75" s="1"/>
  <c r="DA1267" i="75"/>
  <c r="CY1267" i="75"/>
  <c r="DG1265" i="75"/>
  <c r="DE1265" i="75"/>
  <c r="DD1266" i="75" s="1"/>
  <c r="DC1265" i="75"/>
  <c r="DA1265" i="75"/>
  <c r="CZ1266" i="75" s="1"/>
  <c r="CY1265" i="75"/>
  <c r="CX1266" i="75" s="1"/>
  <c r="CW1265" i="75"/>
  <c r="DG1263" i="75"/>
  <c r="DF1264" i="75" s="1"/>
  <c r="DE1263" i="75"/>
  <c r="DD1264" i="75" s="1"/>
  <c r="DC1263" i="75"/>
  <c r="DB1264" i="75" s="1"/>
  <c r="DA1263" i="75"/>
  <c r="CZ1264" i="75" s="1"/>
  <c r="CY1263" i="75"/>
  <c r="CX1264" i="75" s="1"/>
  <c r="CW1263" i="75"/>
  <c r="CV1264" i="75" s="1"/>
  <c r="CU1263" i="75"/>
  <c r="DG1261" i="75"/>
  <c r="DE1261" i="75"/>
  <c r="DD1262" i="75" s="1"/>
  <c r="DC1261" i="75"/>
  <c r="DB1262" i="75" s="1"/>
  <c r="DA1261" i="75"/>
  <c r="CY1261" i="75"/>
  <c r="CW1261" i="75"/>
  <c r="CV1262" i="75" s="1"/>
  <c r="CU1261" i="75"/>
  <c r="CS1261" i="75"/>
  <c r="DG1259" i="75"/>
  <c r="DF1260" i="75" s="1"/>
  <c r="DE1259" i="75"/>
  <c r="DC1259" i="75"/>
  <c r="DA1259" i="75"/>
  <c r="CY1259" i="75"/>
  <c r="CX1260" i="75" s="1"/>
  <c r="CW1259" i="75"/>
  <c r="CV1260" i="75" s="1"/>
  <c r="CU1259" i="75"/>
  <c r="CT1260" i="75" s="1"/>
  <c r="CS1259" i="75"/>
  <c r="CQ1259" i="75"/>
  <c r="DF1258" i="75"/>
  <c r="DD1258" i="75"/>
  <c r="DB1258" i="75"/>
  <c r="CZ1258" i="75"/>
  <c r="CX1258" i="75"/>
  <c r="CV1258" i="75"/>
  <c r="CT1258" i="75"/>
  <c r="CR1258" i="75"/>
  <c r="CP1258" i="75"/>
  <c r="DG1257" i="75"/>
  <c r="DE1257" i="75"/>
  <c r="DC1257" i="75"/>
  <c r="DA1257" i="75"/>
  <c r="CY1257" i="75"/>
  <c r="CW1257" i="75"/>
  <c r="CU1257" i="75"/>
  <c r="CS1257" i="75"/>
  <c r="CQ1257" i="75"/>
  <c r="CO1257" i="75"/>
  <c r="DF1256" i="75"/>
  <c r="DD1256" i="75"/>
  <c r="DB1256" i="75"/>
  <c r="CZ1256" i="75"/>
  <c r="CX1256" i="75"/>
  <c r="CV1256" i="75"/>
  <c r="CT1256" i="75"/>
  <c r="CR1256" i="75"/>
  <c r="CP1256" i="75"/>
  <c r="CN1256" i="75"/>
  <c r="DG1255" i="75"/>
  <c r="DE1255" i="75"/>
  <c r="DF1255" i="75" s="1"/>
  <c r="DC1255" i="75"/>
  <c r="DA1255" i="75"/>
  <c r="CY1255" i="75"/>
  <c r="CW1255" i="75"/>
  <c r="CU1255" i="75"/>
  <c r="CS1255" i="75"/>
  <c r="CQ1255" i="75"/>
  <c r="CO1255" i="75"/>
  <c r="CM1255" i="75"/>
  <c r="DF1254" i="75"/>
  <c r="DD1254" i="75"/>
  <c r="DB1254" i="75"/>
  <c r="CZ1254" i="75"/>
  <c r="CX1254" i="75"/>
  <c r="CV1254" i="75"/>
  <c r="CT1254" i="75"/>
  <c r="CR1254" i="75"/>
  <c r="CP1254" i="75"/>
  <c r="CN1254" i="75"/>
  <c r="CL1254" i="75"/>
  <c r="DG1253" i="75"/>
  <c r="DE1253" i="75"/>
  <c r="DC1253" i="75"/>
  <c r="DA1253" i="75"/>
  <c r="CY1253" i="75"/>
  <c r="CW1253" i="75"/>
  <c r="CU1253" i="75"/>
  <c r="CS1253" i="75"/>
  <c r="CQ1253" i="75"/>
  <c r="CO1253" i="75"/>
  <c r="CM1253" i="75"/>
  <c r="CK1253" i="75"/>
  <c r="DF1252" i="75"/>
  <c r="DD1252" i="75"/>
  <c r="DB1252" i="75"/>
  <c r="CZ1252" i="75"/>
  <c r="CX1252" i="75"/>
  <c r="CV1252" i="75"/>
  <c r="CT1252" i="75"/>
  <c r="CR1252" i="75"/>
  <c r="CP1252" i="75"/>
  <c r="CN1252" i="75"/>
  <c r="CL1252" i="75"/>
  <c r="CJ1252" i="75"/>
  <c r="DG1251" i="75"/>
  <c r="DE1251" i="75"/>
  <c r="DC1251" i="75"/>
  <c r="DA1251" i="75"/>
  <c r="CY1251" i="75"/>
  <c r="CW1251" i="75"/>
  <c r="CU1251" i="75"/>
  <c r="CS1251" i="75"/>
  <c r="CQ1251" i="75"/>
  <c r="CO1251" i="75"/>
  <c r="CM1251" i="75"/>
  <c r="CK1251" i="75"/>
  <c r="CI1251" i="75"/>
  <c r="DF1250" i="75"/>
  <c r="DD1250" i="75"/>
  <c r="DB1250" i="75"/>
  <c r="CZ1250" i="75"/>
  <c r="CX1250" i="75"/>
  <c r="CV1250" i="75"/>
  <c r="CT1250" i="75"/>
  <c r="CR1250" i="75"/>
  <c r="CP1250" i="75"/>
  <c r="CN1250" i="75"/>
  <c r="CL1250" i="75"/>
  <c r="CJ1250" i="75"/>
  <c r="CH1250" i="75"/>
  <c r="DG1249" i="75"/>
  <c r="DE1249" i="75"/>
  <c r="DC1249" i="75"/>
  <c r="DA1249" i="75"/>
  <c r="CY1249" i="75"/>
  <c r="CW1249" i="75"/>
  <c r="CU1249" i="75"/>
  <c r="CS1249" i="75"/>
  <c r="CQ1249" i="75"/>
  <c r="CO1249" i="75"/>
  <c r="CM1249" i="75"/>
  <c r="CK1249" i="75"/>
  <c r="CI1249" i="75"/>
  <c r="CG1249" i="75"/>
  <c r="DF1248" i="75"/>
  <c r="DD1248" i="75"/>
  <c r="DB1248" i="75"/>
  <c r="CZ1248" i="75"/>
  <c r="CX1248" i="75"/>
  <c r="CV1248" i="75"/>
  <c r="CT1248" i="75"/>
  <c r="CR1248" i="75"/>
  <c r="CP1248" i="75"/>
  <c r="CN1248" i="75"/>
  <c r="CL1248" i="75"/>
  <c r="CJ1248" i="75"/>
  <c r="CH1248" i="75"/>
  <c r="CF1248" i="75"/>
  <c r="DG1247" i="75"/>
  <c r="DE1247" i="75"/>
  <c r="DC1247" i="75"/>
  <c r="DA1247" i="75"/>
  <c r="CY1247" i="75"/>
  <c r="CW1247" i="75"/>
  <c r="CU1247" i="75"/>
  <c r="CS1247" i="75"/>
  <c r="CQ1247" i="75"/>
  <c r="CO1247" i="75"/>
  <c r="CM1247" i="75"/>
  <c r="CK1247" i="75"/>
  <c r="CI1247" i="75"/>
  <c r="CG1247" i="75"/>
  <c r="CE1247" i="75"/>
  <c r="DF1246" i="75"/>
  <c r="DD1246" i="75"/>
  <c r="DB1246" i="75"/>
  <c r="CZ1246" i="75"/>
  <c r="CX1246" i="75"/>
  <c r="CV1246" i="75"/>
  <c r="CT1246" i="75"/>
  <c r="CR1246" i="75"/>
  <c r="CP1246" i="75"/>
  <c r="CN1246" i="75"/>
  <c r="CL1246" i="75"/>
  <c r="CJ1246" i="75"/>
  <c r="CH1246" i="75"/>
  <c r="CF1246" i="75"/>
  <c r="CD1246" i="75"/>
  <c r="DG1245" i="75"/>
  <c r="DE1245" i="75"/>
  <c r="DC1245" i="75"/>
  <c r="DA1245" i="75"/>
  <c r="CY1245" i="75"/>
  <c r="CW1245" i="75"/>
  <c r="CU1245" i="75"/>
  <c r="CS1245" i="75"/>
  <c r="CQ1245" i="75"/>
  <c r="CO1245" i="75"/>
  <c r="CM1245" i="75"/>
  <c r="CK1245" i="75"/>
  <c r="CI1245" i="75"/>
  <c r="CG1245" i="75"/>
  <c r="CE1245" i="75"/>
  <c r="CC1245" i="75"/>
  <c r="DF1244" i="75"/>
  <c r="DD1244" i="75"/>
  <c r="DB1244" i="75"/>
  <c r="CZ1244" i="75"/>
  <c r="CX1244" i="75"/>
  <c r="CV1244" i="75"/>
  <c r="CT1244" i="75"/>
  <c r="CR1244" i="75"/>
  <c r="CP1244" i="75"/>
  <c r="CN1244" i="75"/>
  <c r="CL1244" i="75"/>
  <c r="CJ1244" i="75"/>
  <c r="CH1244" i="75"/>
  <c r="CF1244" i="75"/>
  <c r="CD1244" i="75"/>
  <c r="CB1244" i="75"/>
  <c r="DG1243" i="75"/>
  <c r="DE1243" i="75"/>
  <c r="DC1243" i="75"/>
  <c r="DA1243" i="75"/>
  <c r="CY1243" i="75"/>
  <c r="CW1243" i="75"/>
  <c r="CU1243" i="75"/>
  <c r="CS1243" i="75"/>
  <c r="CQ1243" i="75"/>
  <c r="CO1243" i="75"/>
  <c r="CM1243" i="75"/>
  <c r="CK1243" i="75"/>
  <c r="CI1243" i="75"/>
  <c r="CG1243" i="75"/>
  <c r="CE1243" i="75"/>
  <c r="CC1243" i="75"/>
  <c r="CA1243" i="75"/>
  <c r="DF1242" i="75"/>
  <c r="DD1242" i="75"/>
  <c r="DB1242" i="75"/>
  <c r="CZ1242" i="75"/>
  <c r="CX1242" i="75"/>
  <c r="CV1242" i="75"/>
  <c r="CT1242" i="75"/>
  <c r="CR1242" i="75"/>
  <c r="CP1242" i="75"/>
  <c r="CN1242" i="75"/>
  <c r="CL1242" i="75"/>
  <c r="CJ1242" i="75"/>
  <c r="CH1242" i="75"/>
  <c r="CF1242" i="75"/>
  <c r="CD1242" i="75"/>
  <c r="CB1242" i="75"/>
  <c r="BZ1242" i="75"/>
  <c r="DG1241" i="75"/>
  <c r="DE1241" i="75"/>
  <c r="DC1241" i="75"/>
  <c r="DA1241" i="75"/>
  <c r="CY1241" i="75"/>
  <c r="CW1241" i="75"/>
  <c r="CU1241" i="75"/>
  <c r="CS1241" i="75"/>
  <c r="CQ1241" i="75"/>
  <c r="CO1241" i="75"/>
  <c r="CM1241" i="75"/>
  <c r="CK1241" i="75"/>
  <c r="CI1241" i="75"/>
  <c r="CG1241" i="75"/>
  <c r="CE1241" i="75"/>
  <c r="CC1241" i="75"/>
  <c r="CA1241" i="75"/>
  <c r="BY1241" i="75"/>
  <c r="DF1240" i="75"/>
  <c r="DD1240" i="75"/>
  <c r="DB1240" i="75"/>
  <c r="CZ1240" i="75"/>
  <c r="CX1240" i="75"/>
  <c r="CV1240" i="75"/>
  <c r="CT1240" i="75"/>
  <c r="CR1240" i="75"/>
  <c r="CP1240" i="75"/>
  <c r="CN1240" i="75"/>
  <c r="CL1240" i="75"/>
  <c r="CJ1240" i="75"/>
  <c r="CH1240" i="75"/>
  <c r="CF1240" i="75"/>
  <c r="CD1240" i="75"/>
  <c r="CB1240" i="75"/>
  <c r="BZ1240" i="75"/>
  <c r="BX1240" i="75"/>
  <c r="DG1239" i="75"/>
  <c r="DE1239" i="75"/>
  <c r="DC1239" i="75"/>
  <c r="DA1239" i="75"/>
  <c r="CY1239" i="75"/>
  <c r="CW1239" i="75"/>
  <c r="CU1239" i="75"/>
  <c r="CS1239" i="75"/>
  <c r="CQ1239" i="75"/>
  <c r="CO1239" i="75"/>
  <c r="CM1239" i="75"/>
  <c r="CK1239" i="75"/>
  <c r="CI1239" i="75"/>
  <c r="CG1239" i="75"/>
  <c r="CE1239" i="75"/>
  <c r="CC1239" i="75"/>
  <c r="CA1239" i="75"/>
  <c r="BY1239" i="75"/>
  <c r="BW1239" i="75"/>
  <c r="DF1238" i="75"/>
  <c r="DD1238" i="75"/>
  <c r="DB1238" i="75"/>
  <c r="CZ1238" i="75"/>
  <c r="CX1238" i="75"/>
  <c r="CV1238" i="75"/>
  <c r="CT1238" i="75"/>
  <c r="CR1238" i="75"/>
  <c r="CP1238" i="75"/>
  <c r="CN1238" i="75"/>
  <c r="CL1238" i="75"/>
  <c r="CJ1238" i="75"/>
  <c r="CH1238" i="75"/>
  <c r="CF1238" i="75"/>
  <c r="CD1238" i="75"/>
  <c r="CB1238" i="75"/>
  <c r="BZ1238" i="75"/>
  <c r="BX1238" i="75"/>
  <c r="BV1238" i="75"/>
  <c r="DG1237" i="75"/>
  <c r="DE1237" i="75"/>
  <c r="DC1237" i="75"/>
  <c r="DA1237" i="75"/>
  <c r="CY1237" i="75"/>
  <c r="CW1237" i="75"/>
  <c r="CU1237" i="75"/>
  <c r="CS1237" i="75"/>
  <c r="CQ1237" i="75"/>
  <c r="CO1237" i="75"/>
  <c r="CM1237" i="75"/>
  <c r="CK1237" i="75"/>
  <c r="CI1237" i="75"/>
  <c r="CG1237" i="75"/>
  <c r="CE1237" i="75"/>
  <c r="CC1237" i="75"/>
  <c r="CA1237" i="75"/>
  <c r="BY1237" i="75"/>
  <c r="BW1237" i="75"/>
  <c r="BU1237" i="75"/>
  <c r="DF1236" i="75"/>
  <c r="DD1236" i="75"/>
  <c r="DB1236" i="75"/>
  <c r="CZ1236" i="75"/>
  <c r="CX1236" i="75"/>
  <c r="CV1236" i="75"/>
  <c r="CT1236" i="75"/>
  <c r="CR1236" i="75"/>
  <c r="CP1236" i="75"/>
  <c r="CN1236" i="75"/>
  <c r="CL1236" i="75"/>
  <c r="CJ1236" i="75"/>
  <c r="CH1236" i="75"/>
  <c r="CF1236" i="75"/>
  <c r="CD1236" i="75"/>
  <c r="CB1236" i="75"/>
  <c r="BZ1236" i="75"/>
  <c r="BX1236" i="75"/>
  <c r="BV1236" i="75"/>
  <c r="BT1236" i="75"/>
  <c r="DG1235" i="75"/>
  <c r="DE1235" i="75"/>
  <c r="DC1235" i="75"/>
  <c r="DA1235" i="75"/>
  <c r="CY1235" i="75"/>
  <c r="CW1235" i="75"/>
  <c r="CU1235" i="75"/>
  <c r="CS1235" i="75"/>
  <c r="CQ1235" i="75"/>
  <c r="CO1235" i="75"/>
  <c r="CM1235" i="75"/>
  <c r="CK1235" i="75"/>
  <c r="CI1235" i="75"/>
  <c r="CG1235" i="75"/>
  <c r="CE1235" i="75"/>
  <c r="CC1235" i="75"/>
  <c r="CA1235" i="75"/>
  <c r="BY1235" i="75"/>
  <c r="BW1235" i="75"/>
  <c r="BU1235" i="75"/>
  <c r="BS1235" i="75"/>
  <c r="DF1234" i="75"/>
  <c r="DD1234" i="75"/>
  <c r="DB1234" i="75"/>
  <c r="CZ1234" i="75"/>
  <c r="CX1234" i="75"/>
  <c r="CV1234" i="75"/>
  <c r="CT1234" i="75"/>
  <c r="CR1234" i="75"/>
  <c r="CP1234" i="75"/>
  <c r="CN1234" i="75"/>
  <c r="CL1234" i="75"/>
  <c r="CJ1234" i="75"/>
  <c r="CH1234" i="75"/>
  <c r="CF1234" i="75"/>
  <c r="CD1234" i="75"/>
  <c r="CB1234" i="75"/>
  <c r="BZ1234" i="75"/>
  <c r="BX1234" i="75"/>
  <c r="BV1234" i="75"/>
  <c r="BT1234" i="75"/>
  <c r="BR1234" i="75"/>
  <c r="DG1233" i="75"/>
  <c r="DE1233" i="75"/>
  <c r="DC1233" i="75"/>
  <c r="DA1233" i="75"/>
  <c r="CY1233" i="75"/>
  <c r="CW1233" i="75"/>
  <c r="CU1233" i="75"/>
  <c r="CS1233" i="75"/>
  <c r="CQ1233" i="75"/>
  <c r="CO1233" i="75"/>
  <c r="CM1233" i="75"/>
  <c r="CK1233" i="75"/>
  <c r="CI1233" i="75"/>
  <c r="CG1233" i="75"/>
  <c r="CE1233" i="75"/>
  <c r="CC1233" i="75"/>
  <c r="CA1233" i="75"/>
  <c r="BY1233" i="75"/>
  <c r="BW1233" i="75"/>
  <c r="BU1233" i="75"/>
  <c r="BS1233" i="75"/>
  <c r="BQ1233" i="75"/>
  <c r="DF1232" i="75"/>
  <c r="DD1232" i="75"/>
  <c r="DB1232" i="75"/>
  <c r="CZ1232" i="75"/>
  <c r="CX1232" i="75"/>
  <c r="CV1232" i="75"/>
  <c r="CT1232" i="75"/>
  <c r="CR1232" i="75"/>
  <c r="CP1232" i="75"/>
  <c r="CN1232" i="75"/>
  <c r="CL1232" i="75"/>
  <c r="CJ1232" i="75"/>
  <c r="CH1232" i="75"/>
  <c r="CF1232" i="75"/>
  <c r="CD1232" i="75"/>
  <c r="CB1232" i="75"/>
  <c r="BZ1232" i="75"/>
  <c r="BX1232" i="75"/>
  <c r="BV1232" i="75"/>
  <c r="BT1232" i="75"/>
  <c r="BR1232" i="75"/>
  <c r="BP1232" i="75"/>
  <c r="DG1231" i="75"/>
  <c r="DE1231" i="75"/>
  <c r="DC1231" i="75"/>
  <c r="DA1231" i="75"/>
  <c r="CY1231" i="75"/>
  <c r="CW1231" i="75"/>
  <c r="CU1231" i="75"/>
  <c r="CS1231" i="75"/>
  <c r="CQ1231" i="75"/>
  <c r="CO1231" i="75"/>
  <c r="CM1231" i="75"/>
  <c r="CK1231" i="75"/>
  <c r="CI1231" i="75"/>
  <c r="CG1231" i="75"/>
  <c r="CE1231" i="75"/>
  <c r="CC1231" i="75"/>
  <c r="CA1231" i="75"/>
  <c r="BY1231" i="75"/>
  <c r="BW1231" i="75"/>
  <c r="BU1231" i="75"/>
  <c r="BS1231" i="75"/>
  <c r="BQ1231" i="75"/>
  <c r="BO1231" i="75"/>
  <c r="DF1230" i="75"/>
  <c r="DD1230" i="75"/>
  <c r="DB1230" i="75"/>
  <c r="CZ1230" i="75"/>
  <c r="CX1230" i="75"/>
  <c r="CV1230" i="75"/>
  <c r="CT1230" i="75"/>
  <c r="CR1230" i="75"/>
  <c r="CP1230" i="75"/>
  <c r="CN1230" i="75"/>
  <c r="CL1230" i="75"/>
  <c r="CJ1230" i="75"/>
  <c r="CH1230" i="75"/>
  <c r="CF1230" i="75"/>
  <c r="CD1230" i="75"/>
  <c r="CB1230" i="75"/>
  <c r="BZ1230" i="75"/>
  <c r="BX1230" i="75"/>
  <c r="BV1230" i="75"/>
  <c r="BT1230" i="75"/>
  <c r="BR1230" i="75"/>
  <c r="BP1230" i="75"/>
  <c r="BN1230" i="75"/>
  <c r="DG1229" i="75"/>
  <c r="DE1229" i="75"/>
  <c r="DC1229" i="75"/>
  <c r="DA1229" i="75"/>
  <c r="CY1229" i="75"/>
  <c r="CW1229" i="75"/>
  <c r="CU1229" i="75"/>
  <c r="CS1229" i="75"/>
  <c r="CQ1229" i="75"/>
  <c r="CO1229" i="75"/>
  <c r="CM1229" i="75"/>
  <c r="CK1229" i="75"/>
  <c r="CI1229" i="75"/>
  <c r="CG1229" i="75"/>
  <c r="CE1229" i="75"/>
  <c r="CC1229" i="75"/>
  <c r="CA1229" i="75"/>
  <c r="BY1229" i="75"/>
  <c r="BW1229" i="75"/>
  <c r="BU1229" i="75"/>
  <c r="BS1229" i="75"/>
  <c r="BQ1229" i="75"/>
  <c r="BO1229" i="75"/>
  <c r="BM1229" i="75"/>
  <c r="DF1228" i="75"/>
  <c r="DD1228" i="75"/>
  <c r="DB1228" i="75"/>
  <c r="CZ1228" i="75"/>
  <c r="CX1228" i="75"/>
  <c r="CV1228" i="75"/>
  <c r="CT1228" i="75"/>
  <c r="CR1228" i="75"/>
  <c r="CP1228" i="75"/>
  <c r="CN1228" i="75"/>
  <c r="CL1228" i="75"/>
  <c r="CJ1228" i="75"/>
  <c r="CH1228" i="75"/>
  <c r="CF1228" i="75"/>
  <c r="CD1228" i="75"/>
  <c r="CB1228" i="75"/>
  <c r="BZ1228" i="75"/>
  <c r="BX1228" i="75"/>
  <c r="BV1228" i="75"/>
  <c r="BT1228" i="75"/>
  <c r="BR1228" i="75"/>
  <c r="BP1228" i="75"/>
  <c r="BN1228" i="75"/>
  <c r="BL1228" i="75"/>
  <c r="DG1227" i="75"/>
  <c r="DE1227" i="75"/>
  <c r="DC1227" i="75"/>
  <c r="DA1227" i="75"/>
  <c r="CY1227" i="75"/>
  <c r="CW1227" i="75"/>
  <c r="CU1227" i="75"/>
  <c r="CS1227" i="75"/>
  <c r="CQ1227" i="75"/>
  <c r="CO1227" i="75"/>
  <c r="CM1227" i="75"/>
  <c r="CK1227" i="75"/>
  <c r="CI1227" i="75"/>
  <c r="CG1227" i="75"/>
  <c r="CE1227" i="75"/>
  <c r="CC1227" i="75"/>
  <c r="CA1227" i="75"/>
  <c r="BY1227" i="75"/>
  <c r="BW1227" i="75"/>
  <c r="BU1227" i="75"/>
  <c r="BS1227" i="75"/>
  <c r="BQ1227" i="75"/>
  <c r="BO1227" i="75"/>
  <c r="BM1227" i="75"/>
  <c r="BK1227" i="75"/>
  <c r="DF1226" i="75"/>
  <c r="DD1226" i="75"/>
  <c r="DB1226" i="75"/>
  <c r="CZ1226" i="75"/>
  <c r="CX1226" i="75"/>
  <c r="CV1226" i="75"/>
  <c r="CT1226" i="75"/>
  <c r="CR1226" i="75"/>
  <c r="CP1226" i="75"/>
  <c r="CN1226" i="75"/>
  <c r="CL1226" i="75"/>
  <c r="CJ1226" i="75"/>
  <c r="CH1226" i="75"/>
  <c r="CF1226" i="75"/>
  <c r="CD1226" i="75"/>
  <c r="CB1226" i="75"/>
  <c r="BZ1226" i="75"/>
  <c r="BX1226" i="75"/>
  <c r="BV1226" i="75"/>
  <c r="BT1226" i="75"/>
  <c r="BR1226" i="75"/>
  <c r="BP1226" i="75"/>
  <c r="BN1226" i="75"/>
  <c r="BL1226" i="75"/>
  <c r="BJ1226" i="75"/>
  <c r="DG1225" i="75"/>
  <c r="DE1225" i="75"/>
  <c r="DC1225" i="75"/>
  <c r="DA1225" i="75"/>
  <c r="CY1225" i="75"/>
  <c r="CW1225" i="75"/>
  <c r="CU1225" i="75"/>
  <c r="CS1225" i="75"/>
  <c r="CQ1225" i="75"/>
  <c r="CO1225" i="75"/>
  <c r="CM1225" i="75"/>
  <c r="CK1225" i="75"/>
  <c r="CI1225" i="75"/>
  <c r="CG1225" i="75"/>
  <c r="CE1225" i="75"/>
  <c r="CC1225" i="75"/>
  <c r="CA1225" i="75"/>
  <c r="BY1225" i="75"/>
  <c r="BW1225" i="75"/>
  <c r="BU1225" i="75"/>
  <c r="BS1225" i="75"/>
  <c r="BQ1225" i="75"/>
  <c r="BO1225" i="75"/>
  <c r="BM1225" i="75"/>
  <c r="BK1225" i="75"/>
  <c r="BI1225" i="75"/>
  <c r="DF1224" i="75"/>
  <c r="DD1224" i="75"/>
  <c r="DB1224" i="75"/>
  <c r="CZ1224" i="75"/>
  <c r="CX1224" i="75"/>
  <c r="CV1224" i="75"/>
  <c r="CT1224" i="75"/>
  <c r="CR1224" i="75"/>
  <c r="CP1224" i="75"/>
  <c r="CN1224" i="75"/>
  <c r="CL1224" i="75"/>
  <c r="CJ1224" i="75"/>
  <c r="CH1224" i="75"/>
  <c r="CF1224" i="75"/>
  <c r="CD1224" i="75"/>
  <c r="CB1224" i="75"/>
  <c r="BZ1224" i="75"/>
  <c r="BX1224" i="75"/>
  <c r="BV1224" i="75"/>
  <c r="BT1224" i="75"/>
  <c r="BR1224" i="75"/>
  <c r="BP1224" i="75"/>
  <c r="BN1224" i="75"/>
  <c r="BL1224" i="75"/>
  <c r="BJ1224" i="75"/>
  <c r="BH1224" i="75"/>
  <c r="DG1223" i="75"/>
  <c r="DE1223" i="75"/>
  <c r="DC1223" i="75"/>
  <c r="DA1223" i="75"/>
  <c r="CY1223" i="75"/>
  <c r="CW1223" i="75"/>
  <c r="CU1223" i="75"/>
  <c r="CS1223" i="75"/>
  <c r="CQ1223" i="75"/>
  <c r="CO1223" i="75"/>
  <c r="CM1223" i="75"/>
  <c r="CK1223" i="75"/>
  <c r="CI1223" i="75"/>
  <c r="CG1223" i="75"/>
  <c r="CE1223" i="75"/>
  <c r="CC1223" i="75"/>
  <c r="CA1223" i="75"/>
  <c r="BY1223" i="75"/>
  <c r="BW1223" i="75"/>
  <c r="BU1223" i="75"/>
  <c r="BS1223" i="75"/>
  <c r="BQ1223" i="75"/>
  <c r="BO1223" i="75"/>
  <c r="BM1223" i="75"/>
  <c r="BK1223" i="75"/>
  <c r="BI1223" i="75"/>
  <c r="BG1223" i="75"/>
  <c r="DF1222" i="75"/>
  <c r="DD1222" i="75"/>
  <c r="DB1222" i="75"/>
  <c r="CZ1222" i="75"/>
  <c r="CX1222" i="75"/>
  <c r="CV1222" i="75"/>
  <c r="CT1222" i="75"/>
  <c r="CR1222" i="75"/>
  <c r="CP1222" i="75"/>
  <c r="CN1222" i="75"/>
  <c r="CL1222" i="75"/>
  <c r="CJ1222" i="75"/>
  <c r="CH1222" i="75"/>
  <c r="CF1222" i="75"/>
  <c r="CD1222" i="75"/>
  <c r="CB1222" i="75"/>
  <c r="BZ1222" i="75"/>
  <c r="BX1222" i="75"/>
  <c r="BV1222" i="75"/>
  <c r="BT1222" i="75"/>
  <c r="BR1222" i="75"/>
  <c r="BP1222" i="75"/>
  <c r="BN1222" i="75"/>
  <c r="BL1222" i="75"/>
  <c r="BJ1222" i="75"/>
  <c r="BH1222" i="75"/>
  <c r="BF1222" i="75"/>
  <c r="DG1221" i="75"/>
  <c r="DE1221" i="75"/>
  <c r="DC1221" i="75"/>
  <c r="DA1221" i="75"/>
  <c r="CY1221" i="75"/>
  <c r="CW1221" i="75"/>
  <c r="CU1221" i="75"/>
  <c r="CS1221" i="75"/>
  <c r="CQ1221" i="75"/>
  <c r="CO1221" i="75"/>
  <c r="CM1221" i="75"/>
  <c r="CK1221" i="75"/>
  <c r="CI1221" i="75"/>
  <c r="CG1221" i="75"/>
  <c r="CE1221" i="75"/>
  <c r="CC1221" i="75"/>
  <c r="CA1221" i="75"/>
  <c r="BY1221" i="75"/>
  <c r="BW1221" i="75"/>
  <c r="BU1221" i="75"/>
  <c r="BS1221" i="75"/>
  <c r="BQ1221" i="75"/>
  <c r="BO1221" i="75"/>
  <c r="BM1221" i="75"/>
  <c r="BK1221" i="75"/>
  <c r="BI1221" i="75"/>
  <c r="BG1221" i="75"/>
  <c r="BE1221" i="75"/>
  <c r="DF1220" i="75"/>
  <c r="DD1220" i="75"/>
  <c r="DB1220" i="75"/>
  <c r="CZ1220" i="75"/>
  <c r="CX1220" i="75"/>
  <c r="CV1220" i="75"/>
  <c r="CT1220" i="75"/>
  <c r="CR1220" i="75"/>
  <c r="CP1220" i="75"/>
  <c r="CN1220" i="75"/>
  <c r="CL1220" i="75"/>
  <c r="CJ1220" i="75"/>
  <c r="CH1220" i="75"/>
  <c r="CF1220" i="75"/>
  <c r="CD1220" i="75"/>
  <c r="CB1220" i="75"/>
  <c r="BZ1220" i="75"/>
  <c r="BX1220" i="75"/>
  <c r="BV1220" i="75"/>
  <c r="BT1220" i="75"/>
  <c r="BR1220" i="75"/>
  <c r="BP1220" i="75"/>
  <c r="BN1220" i="75"/>
  <c r="BL1220" i="75"/>
  <c r="BJ1220" i="75"/>
  <c r="BH1220" i="75"/>
  <c r="BF1220" i="75"/>
  <c r="BD1220" i="75"/>
  <c r="DG1215" i="75"/>
  <c r="DF1216" i="75" s="1"/>
  <c r="DG1213" i="75"/>
  <c r="DF1214" i="75" s="1"/>
  <c r="DE1215" i="75" s="1" a="1"/>
  <c r="DE1213" i="75"/>
  <c r="DG1211" i="75"/>
  <c r="DF1212" i="75" s="1"/>
  <c r="DE1211" i="75"/>
  <c r="DC1211" i="75"/>
  <c r="DG1209" i="75"/>
  <c r="DF1210" i="75" s="1"/>
  <c r="DE1209" i="75"/>
  <c r="DD1210" i="75" s="1"/>
  <c r="DC1209" i="75"/>
  <c r="DB1210" i="75" s="1"/>
  <c r="DA1209" i="75"/>
  <c r="DG1207" i="75"/>
  <c r="DF1208" i="75" s="1"/>
  <c r="DE1207" i="75"/>
  <c r="DD1208" i="75" s="1"/>
  <c r="DC1207" i="75"/>
  <c r="DB1208" i="75" s="1"/>
  <c r="DA1207" i="75"/>
  <c r="CY1207" i="75"/>
  <c r="DG1205" i="75"/>
  <c r="DF1206" i="75" s="1"/>
  <c r="DE1205" i="75"/>
  <c r="DC1205" i="75"/>
  <c r="DA1205" i="75"/>
  <c r="CZ1206" i="75" s="1"/>
  <c r="CY1205" i="75"/>
  <c r="CX1206" i="75" s="1"/>
  <c r="CW1205" i="75"/>
  <c r="DG1203" i="75"/>
  <c r="DE1203" i="75"/>
  <c r="DD1204" i="75" s="1"/>
  <c r="DC1203" i="75"/>
  <c r="DA1203" i="75"/>
  <c r="CY1203" i="75"/>
  <c r="CX1204" i="75" s="1"/>
  <c r="CW1203" i="75"/>
  <c r="CV1204" i="75" s="1"/>
  <c r="CU1203" i="75"/>
  <c r="DG1201" i="75"/>
  <c r="DF1202" i="75" s="1"/>
  <c r="DE1201" i="75"/>
  <c r="DD1202" i="75" s="1"/>
  <c r="DC1201" i="75"/>
  <c r="DA1201" i="75"/>
  <c r="CZ1202" i="75" s="1"/>
  <c r="CY1201" i="75"/>
  <c r="CX1202" i="75" s="1"/>
  <c r="CW1201" i="75"/>
  <c r="CU1201" i="75"/>
  <c r="CS1201" i="75"/>
  <c r="DG1199" i="75"/>
  <c r="DF1200" i="75" s="1"/>
  <c r="DE1199" i="75"/>
  <c r="DC1199" i="75"/>
  <c r="DB1200" i="75" s="1"/>
  <c r="DA1199" i="75"/>
  <c r="CZ1200" i="75" s="1"/>
  <c r="CY1199" i="75"/>
  <c r="CW1199" i="75"/>
  <c r="CU1199" i="75"/>
  <c r="CS1199" i="75"/>
  <c r="CQ1199" i="75"/>
  <c r="DF1198" i="75"/>
  <c r="DD1198" i="75"/>
  <c r="DB1198" i="75"/>
  <c r="CZ1198" i="75"/>
  <c r="CX1198" i="75"/>
  <c r="CV1198" i="75"/>
  <c r="CT1198" i="75"/>
  <c r="CR1198" i="75"/>
  <c r="CP1198" i="75"/>
  <c r="DG1197" i="75"/>
  <c r="DE1197" i="75"/>
  <c r="DC1197" i="75"/>
  <c r="DA1197" i="75"/>
  <c r="CY1197" i="75"/>
  <c r="CW1197" i="75"/>
  <c r="CU1197" i="75"/>
  <c r="CS1197" i="75"/>
  <c r="CQ1197" i="75"/>
  <c r="CO1197" i="75"/>
  <c r="DF1196" i="75"/>
  <c r="DD1196" i="75"/>
  <c r="DB1196" i="75"/>
  <c r="CZ1196" i="75"/>
  <c r="CX1196" i="75"/>
  <c r="CV1196" i="75"/>
  <c r="CT1196" i="75"/>
  <c r="CR1196" i="75"/>
  <c r="CP1196" i="75"/>
  <c r="CN1196" i="75"/>
  <c r="DG1195" i="75"/>
  <c r="DE1195" i="75"/>
  <c r="DC1195" i="75"/>
  <c r="DA1195" i="75"/>
  <c r="CY1195" i="75"/>
  <c r="CW1195" i="75"/>
  <c r="CU1195" i="75"/>
  <c r="CS1195" i="75"/>
  <c r="CQ1195" i="75"/>
  <c r="CO1195" i="75"/>
  <c r="CM1195" i="75"/>
  <c r="DF1194" i="75"/>
  <c r="DD1194" i="75"/>
  <c r="DB1194" i="75"/>
  <c r="CZ1194" i="75"/>
  <c r="CX1194" i="75"/>
  <c r="CV1194" i="75"/>
  <c r="CT1194" i="75"/>
  <c r="CR1194" i="75"/>
  <c r="CP1194" i="75"/>
  <c r="CN1194" i="75"/>
  <c r="CL1194" i="75"/>
  <c r="DG1193" i="75"/>
  <c r="DE1193" i="75"/>
  <c r="DC1193" i="75"/>
  <c r="DA1193" i="75"/>
  <c r="CY1193" i="75"/>
  <c r="CW1193" i="75"/>
  <c r="CU1193" i="75"/>
  <c r="CS1193" i="75"/>
  <c r="CQ1193" i="75"/>
  <c r="CO1193" i="75"/>
  <c r="CM1193" i="75"/>
  <c r="CK1193" i="75"/>
  <c r="DF1192" i="75"/>
  <c r="DD1192" i="75"/>
  <c r="DB1192" i="75"/>
  <c r="CZ1192" i="75"/>
  <c r="CX1192" i="75"/>
  <c r="CV1192" i="75"/>
  <c r="CT1192" i="75"/>
  <c r="CR1192" i="75"/>
  <c r="CP1192" i="75"/>
  <c r="CN1192" i="75"/>
  <c r="CL1192" i="75"/>
  <c r="CJ1192" i="75"/>
  <c r="DG1191" i="75"/>
  <c r="DE1191" i="75"/>
  <c r="DC1191" i="75"/>
  <c r="DA1191" i="75"/>
  <c r="CY1191" i="75"/>
  <c r="CW1191" i="75"/>
  <c r="CU1191" i="75"/>
  <c r="CS1191" i="75"/>
  <c r="CQ1191" i="75"/>
  <c r="CO1191" i="75"/>
  <c r="CM1191" i="75"/>
  <c r="CK1191" i="75"/>
  <c r="CI1191" i="75"/>
  <c r="DF1190" i="75"/>
  <c r="DD1190" i="75"/>
  <c r="DB1190" i="75"/>
  <c r="CZ1190" i="75"/>
  <c r="CX1190" i="75"/>
  <c r="CV1190" i="75"/>
  <c r="CT1190" i="75"/>
  <c r="CR1190" i="75"/>
  <c r="CP1190" i="75"/>
  <c r="CN1190" i="75"/>
  <c r="CL1190" i="75"/>
  <c r="CJ1190" i="75"/>
  <c r="CH1190" i="75"/>
  <c r="DG1189" i="75"/>
  <c r="DE1189" i="75"/>
  <c r="DC1189" i="75"/>
  <c r="DA1189" i="75"/>
  <c r="CY1189" i="75"/>
  <c r="CW1189" i="75"/>
  <c r="CU1189" i="75"/>
  <c r="CS1189" i="75"/>
  <c r="CQ1189" i="75"/>
  <c r="CO1189" i="75"/>
  <c r="CM1189" i="75"/>
  <c r="CK1189" i="75"/>
  <c r="CI1189" i="75"/>
  <c r="CG1189" i="75"/>
  <c r="DF1188" i="75"/>
  <c r="DD1188" i="75"/>
  <c r="DB1188" i="75"/>
  <c r="CZ1188" i="75"/>
  <c r="CX1188" i="75"/>
  <c r="CV1188" i="75"/>
  <c r="CT1188" i="75"/>
  <c r="CR1188" i="75"/>
  <c r="CP1188" i="75"/>
  <c r="CN1188" i="75"/>
  <c r="CL1188" i="75"/>
  <c r="CJ1188" i="75"/>
  <c r="CH1188" i="75"/>
  <c r="CF1188" i="75"/>
  <c r="DG1187" i="75"/>
  <c r="DE1187" i="75"/>
  <c r="DC1187" i="75"/>
  <c r="DA1187" i="75"/>
  <c r="CY1187" i="75"/>
  <c r="CW1187" i="75"/>
  <c r="CX1187" i="75" s="1"/>
  <c r="CU1187" i="75"/>
  <c r="CS1187" i="75"/>
  <c r="CQ1187" i="75"/>
  <c r="CO1187" i="75"/>
  <c r="CM1187" i="75"/>
  <c r="CK1187" i="75"/>
  <c r="CI1187" i="75"/>
  <c r="CG1187" i="75"/>
  <c r="CE1187" i="75"/>
  <c r="DF1186" i="75"/>
  <c r="DD1186" i="75"/>
  <c r="DB1186" i="75"/>
  <c r="CZ1186" i="75"/>
  <c r="CX1186" i="75"/>
  <c r="CV1186" i="75"/>
  <c r="CT1186" i="75"/>
  <c r="CR1186" i="75"/>
  <c r="CP1186" i="75"/>
  <c r="CN1186" i="75"/>
  <c r="CL1186" i="75"/>
  <c r="CJ1186" i="75"/>
  <c r="CH1186" i="75"/>
  <c r="CF1186" i="75"/>
  <c r="CD1186" i="75"/>
  <c r="DG1185" i="75"/>
  <c r="DE1185" i="75"/>
  <c r="DC1185" i="75"/>
  <c r="DA1185" i="75"/>
  <c r="CY1185" i="75"/>
  <c r="CW1185" i="75"/>
  <c r="CU1185" i="75"/>
  <c r="CS1185" i="75"/>
  <c r="CQ1185" i="75"/>
  <c r="CO1185" i="75"/>
  <c r="CM1185" i="75"/>
  <c r="CK1185" i="75"/>
  <c r="CI1185" i="75"/>
  <c r="CG1185" i="75"/>
  <c r="CE1185" i="75"/>
  <c r="CC1185" i="75"/>
  <c r="DF1184" i="75"/>
  <c r="DD1184" i="75"/>
  <c r="DB1184" i="75"/>
  <c r="CZ1184" i="75"/>
  <c r="CX1184" i="75"/>
  <c r="CV1184" i="75"/>
  <c r="CT1184" i="75"/>
  <c r="CR1184" i="75"/>
  <c r="CP1184" i="75"/>
  <c r="CN1184" i="75"/>
  <c r="CL1184" i="75"/>
  <c r="CJ1184" i="75"/>
  <c r="CH1184" i="75"/>
  <c r="CF1184" i="75"/>
  <c r="CD1184" i="75"/>
  <c r="CB1184" i="75"/>
  <c r="DG1183" i="75"/>
  <c r="DE1183" i="75"/>
  <c r="DC1183" i="75"/>
  <c r="DA1183" i="75"/>
  <c r="CY1183" i="75"/>
  <c r="CW1183" i="75"/>
  <c r="CU1183" i="75"/>
  <c r="CS1183" i="75"/>
  <c r="CQ1183" i="75"/>
  <c r="CO1183" i="75"/>
  <c r="CM1183" i="75"/>
  <c r="CK1183" i="75"/>
  <c r="CI1183" i="75"/>
  <c r="CG1183" i="75"/>
  <c r="CE1183" i="75"/>
  <c r="CC1183" i="75"/>
  <c r="CA1183" i="75"/>
  <c r="DF1182" i="75"/>
  <c r="DD1182" i="75"/>
  <c r="DB1182" i="75"/>
  <c r="CZ1182" i="75"/>
  <c r="CX1182" i="75"/>
  <c r="CV1182" i="75"/>
  <c r="CT1182" i="75"/>
  <c r="CR1182" i="75"/>
  <c r="CP1182" i="75"/>
  <c r="CN1182" i="75"/>
  <c r="CL1182" i="75"/>
  <c r="CJ1182" i="75"/>
  <c r="CH1182" i="75"/>
  <c r="CF1182" i="75"/>
  <c r="CD1182" i="75"/>
  <c r="CB1182" i="75"/>
  <c r="BZ1182" i="75"/>
  <c r="DG1181" i="75"/>
  <c r="DE1181" i="75"/>
  <c r="DC1181" i="75"/>
  <c r="DA1181" i="75"/>
  <c r="CY1181" i="75"/>
  <c r="CW1181" i="75"/>
  <c r="CU1181" i="75"/>
  <c r="CS1181" i="75"/>
  <c r="CQ1181" i="75"/>
  <c r="CO1181" i="75"/>
  <c r="CP1181" i="75" s="1"/>
  <c r="CM1181" i="75"/>
  <c r="CK1181" i="75"/>
  <c r="CI1181" i="75"/>
  <c r="CG1181" i="75"/>
  <c r="CE1181" i="75"/>
  <c r="CC1181" i="75"/>
  <c r="CA1181" i="75"/>
  <c r="BY1181" i="75"/>
  <c r="DF1180" i="75"/>
  <c r="DD1180" i="75"/>
  <c r="DB1180" i="75"/>
  <c r="CZ1180" i="75"/>
  <c r="CX1180" i="75"/>
  <c r="CV1180" i="75"/>
  <c r="CT1180" i="75"/>
  <c r="CR1180" i="75"/>
  <c r="CP1180" i="75"/>
  <c r="CN1180" i="75"/>
  <c r="CL1180" i="75"/>
  <c r="CJ1180" i="75"/>
  <c r="CH1180" i="75"/>
  <c r="CF1180" i="75"/>
  <c r="CD1180" i="75"/>
  <c r="CB1180" i="75"/>
  <c r="BZ1180" i="75"/>
  <c r="BX1180" i="75"/>
  <c r="DG1179" i="75"/>
  <c r="DE1179" i="75"/>
  <c r="DC1179" i="75"/>
  <c r="DA1179" i="75"/>
  <c r="CY1179" i="75"/>
  <c r="CW1179" i="75"/>
  <c r="CU1179" i="75"/>
  <c r="CS1179" i="75"/>
  <c r="CQ1179" i="75"/>
  <c r="CO1179" i="75"/>
  <c r="CM1179" i="75"/>
  <c r="CK1179" i="75"/>
  <c r="CI1179" i="75"/>
  <c r="CG1179" i="75"/>
  <c r="CE1179" i="75"/>
  <c r="CC1179" i="75"/>
  <c r="CA1179" i="75"/>
  <c r="BY1179" i="75"/>
  <c r="BW1179" i="75"/>
  <c r="DF1178" i="75"/>
  <c r="DD1178" i="75"/>
  <c r="DB1178" i="75"/>
  <c r="CZ1178" i="75"/>
  <c r="CX1178" i="75"/>
  <c r="CV1178" i="75"/>
  <c r="CT1178" i="75"/>
  <c r="CR1178" i="75"/>
  <c r="CP1178" i="75"/>
  <c r="CN1178" i="75"/>
  <c r="CL1178" i="75"/>
  <c r="CJ1178" i="75"/>
  <c r="CH1178" i="75"/>
  <c r="CF1178" i="75"/>
  <c r="CD1178" i="75"/>
  <c r="CB1178" i="75"/>
  <c r="BZ1178" i="75"/>
  <c r="BX1178" i="75"/>
  <c r="BV1178" i="75"/>
  <c r="DG1177" i="75"/>
  <c r="DE1177" i="75"/>
  <c r="DC1177" i="75"/>
  <c r="DA1177" i="75"/>
  <c r="CY1177" i="75"/>
  <c r="CW1177" i="75"/>
  <c r="CU1177" i="75"/>
  <c r="CS1177" i="75"/>
  <c r="CQ1177" i="75"/>
  <c r="CO1177" i="75"/>
  <c r="CM1177" i="75"/>
  <c r="CK1177" i="75"/>
  <c r="CI1177" i="75"/>
  <c r="CG1177" i="75"/>
  <c r="CE1177" i="75"/>
  <c r="CC1177" i="75"/>
  <c r="CA1177" i="75"/>
  <c r="BY1177" i="75"/>
  <c r="BW1177" i="75"/>
  <c r="BU1177" i="75"/>
  <c r="DF1176" i="75"/>
  <c r="DD1176" i="75"/>
  <c r="DB1176" i="75"/>
  <c r="CZ1176" i="75"/>
  <c r="CX1176" i="75"/>
  <c r="CV1176" i="75"/>
  <c r="CT1176" i="75"/>
  <c r="CR1176" i="75"/>
  <c r="CP1176" i="75"/>
  <c r="CN1176" i="75"/>
  <c r="CL1176" i="75"/>
  <c r="CJ1176" i="75"/>
  <c r="CH1176" i="75"/>
  <c r="CF1176" i="75"/>
  <c r="CD1176" i="75"/>
  <c r="CB1176" i="75"/>
  <c r="BZ1176" i="75"/>
  <c r="BX1176" i="75"/>
  <c r="BV1176" i="75"/>
  <c r="BT1176" i="75"/>
  <c r="DG1175" i="75"/>
  <c r="DE1175" i="75"/>
  <c r="DC1175" i="75"/>
  <c r="DA1175" i="75"/>
  <c r="CY1175" i="75"/>
  <c r="CW1175" i="75"/>
  <c r="CU1175" i="75"/>
  <c r="CS1175" i="75"/>
  <c r="CQ1175" i="75"/>
  <c r="CO1175" i="75"/>
  <c r="CM1175" i="75"/>
  <c r="CK1175" i="75"/>
  <c r="CI1175" i="75"/>
  <c r="CG1175" i="75"/>
  <c r="CE1175" i="75"/>
  <c r="CC1175" i="75"/>
  <c r="CA1175" i="75"/>
  <c r="BY1175" i="75"/>
  <c r="BW1175" i="75"/>
  <c r="BU1175" i="75"/>
  <c r="BS1175" i="75"/>
  <c r="DF1174" i="75"/>
  <c r="DD1174" i="75"/>
  <c r="DB1174" i="75"/>
  <c r="CZ1174" i="75"/>
  <c r="CX1174" i="75"/>
  <c r="CV1174" i="75"/>
  <c r="CT1174" i="75"/>
  <c r="CR1174" i="75"/>
  <c r="CP1174" i="75"/>
  <c r="CN1174" i="75"/>
  <c r="CL1174" i="75"/>
  <c r="CJ1174" i="75"/>
  <c r="CH1174" i="75"/>
  <c r="CF1174" i="75"/>
  <c r="CD1174" i="75"/>
  <c r="CB1174" i="75"/>
  <c r="BZ1174" i="75"/>
  <c r="BX1174" i="75"/>
  <c r="BV1174" i="75"/>
  <c r="BT1174" i="75"/>
  <c r="BR1174" i="75"/>
  <c r="DG1173" i="75"/>
  <c r="DE1173" i="75"/>
  <c r="DC1173" i="75"/>
  <c r="DA1173" i="75"/>
  <c r="CY1173" i="75"/>
  <c r="CW1173" i="75"/>
  <c r="CU1173" i="75"/>
  <c r="CS1173" i="75"/>
  <c r="CQ1173" i="75"/>
  <c r="CO1173" i="75"/>
  <c r="CM1173" i="75"/>
  <c r="CK1173" i="75"/>
  <c r="CI1173" i="75"/>
  <c r="CG1173" i="75"/>
  <c r="CE1173" i="75"/>
  <c r="CC1173" i="75"/>
  <c r="CA1173" i="75"/>
  <c r="BY1173" i="75"/>
  <c r="BW1173" i="75"/>
  <c r="BU1173" i="75"/>
  <c r="BS1173" i="75"/>
  <c r="BQ1173" i="75"/>
  <c r="DF1172" i="75"/>
  <c r="DD1172" i="75"/>
  <c r="DB1172" i="75"/>
  <c r="CZ1172" i="75"/>
  <c r="CX1172" i="75"/>
  <c r="CV1172" i="75"/>
  <c r="CT1172" i="75"/>
  <c r="CR1172" i="75"/>
  <c r="CP1172" i="75"/>
  <c r="CN1172" i="75"/>
  <c r="CL1172" i="75"/>
  <c r="CJ1172" i="75"/>
  <c r="CH1172" i="75"/>
  <c r="CF1172" i="75"/>
  <c r="CD1172" i="75"/>
  <c r="CB1172" i="75"/>
  <c r="BZ1172" i="75"/>
  <c r="BX1172" i="75"/>
  <c r="BV1172" i="75"/>
  <c r="BT1172" i="75"/>
  <c r="BR1172" i="75"/>
  <c r="BP1172" i="75"/>
  <c r="DG1171" i="75"/>
  <c r="DE1171" i="75"/>
  <c r="DC1171" i="75"/>
  <c r="DA1171" i="75"/>
  <c r="CY1171" i="75"/>
  <c r="CW1171" i="75"/>
  <c r="CU1171" i="75"/>
  <c r="CS1171" i="75"/>
  <c r="CQ1171" i="75"/>
  <c r="CO1171" i="75"/>
  <c r="CM1171" i="75"/>
  <c r="CK1171" i="75"/>
  <c r="CI1171" i="75"/>
  <c r="CG1171" i="75"/>
  <c r="CE1171" i="75"/>
  <c r="CC1171" i="75"/>
  <c r="CA1171" i="75"/>
  <c r="BY1171" i="75"/>
  <c r="BW1171" i="75"/>
  <c r="BU1171" i="75"/>
  <c r="BS1171" i="75"/>
  <c r="BQ1171" i="75"/>
  <c r="BO1171" i="75"/>
  <c r="DF1170" i="75"/>
  <c r="DD1170" i="75"/>
  <c r="DB1170" i="75"/>
  <c r="CZ1170" i="75"/>
  <c r="CX1170" i="75"/>
  <c r="CV1170" i="75"/>
  <c r="CT1170" i="75"/>
  <c r="CR1170" i="75"/>
  <c r="CP1170" i="75"/>
  <c r="CN1170" i="75"/>
  <c r="CL1170" i="75"/>
  <c r="CJ1170" i="75"/>
  <c r="CH1170" i="75"/>
  <c r="CF1170" i="75"/>
  <c r="CD1170" i="75"/>
  <c r="CB1170" i="75"/>
  <c r="BZ1170" i="75"/>
  <c r="BX1170" i="75"/>
  <c r="BV1170" i="75"/>
  <c r="BT1170" i="75"/>
  <c r="BR1170" i="75"/>
  <c r="BP1170" i="75"/>
  <c r="BN1170" i="75"/>
  <c r="DG1169" i="75"/>
  <c r="DE1169" i="75"/>
  <c r="DC1169" i="75"/>
  <c r="DA1169" i="75"/>
  <c r="DB1169" i="75" s="1"/>
  <c r="CY1169" i="75"/>
  <c r="CW1169" i="75"/>
  <c r="CU1169" i="75"/>
  <c r="CS1169" i="75"/>
  <c r="CQ1169" i="75"/>
  <c r="CO1169" i="75"/>
  <c r="CM1169" i="75"/>
  <c r="CK1169" i="75"/>
  <c r="CI1169" i="75"/>
  <c r="CG1169" i="75"/>
  <c r="CE1169" i="75"/>
  <c r="CC1169" i="75"/>
  <c r="CA1169" i="75"/>
  <c r="BY1169" i="75"/>
  <c r="BW1169" i="75"/>
  <c r="BU1169" i="75"/>
  <c r="BS1169" i="75"/>
  <c r="BQ1169" i="75"/>
  <c r="BO1169" i="75"/>
  <c r="BM1169" i="75"/>
  <c r="DF1168" i="75"/>
  <c r="DD1168" i="75"/>
  <c r="DB1168" i="75"/>
  <c r="CZ1168" i="75"/>
  <c r="CX1168" i="75"/>
  <c r="CV1168" i="75"/>
  <c r="CT1168" i="75"/>
  <c r="CR1168" i="75"/>
  <c r="CP1168" i="75"/>
  <c r="CN1168" i="75"/>
  <c r="CL1168" i="75"/>
  <c r="CJ1168" i="75"/>
  <c r="CH1168" i="75"/>
  <c r="CF1168" i="75"/>
  <c r="CD1168" i="75"/>
  <c r="CB1168" i="75"/>
  <c r="BZ1168" i="75"/>
  <c r="BX1168" i="75"/>
  <c r="BV1168" i="75"/>
  <c r="BT1168" i="75"/>
  <c r="BR1168" i="75"/>
  <c r="BP1168" i="75"/>
  <c r="BN1168" i="75"/>
  <c r="BL1168" i="75"/>
  <c r="DG1167" i="75"/>
  <c r="DE1167" i="75"/>
  <c r="DC1167" i="75"/>
  <c r="DA1167" i="75"/>
  <c r="CY1167" i="75"/>
  <c r="CW1167" i="75"/>
  <c r="CU1167" i="75"/>
  <c r="CS1167" i="75"/>
  <c r="CQ1167" i="75"/>
  <c r="CO1167" i="75"/>
  <c r="CM1167" i="75"/>
  <c r="CK1167" i="75"/>
  <c r="CI1167" i="75"/>
  <c r="CG1167" i="75"/>
  <c r="CE1167" i="75"/>
  <c r="CC1167" i="75"/>
  <c r="CA1167" i="75"/>
  <c r="BY1167" i="75"/>
  <c r="BW1167" i="75"/>
  <c r="BU1167" i="75"/>
  <c r="BS1167" i="75"/>
  <c r="BQ1167" i="75"/>
  <c r="BO1167" i="75"/>
  <c r="BM1167" i="75"/>
  <c r="BK1167" i="75"/>
  <c r="DF1166" i="75"/>
  <c r="DD1166" i="75"/>
  <c r="DB1166" i="75"/>
  <c r="CZ1166" i="75"/>
  <c r="CX1166" i="75"/>
  <c r="CV1166" i="75"/>
  <c r="CT1166" i="75"/>
  <c r="CR1166" i="75"/>
  <c r="CP1166" i="75"/>
  <c r="CN1166" i="75"/>
  <c r="CL1166" i="75"/>
  <c r="CJ1166" i="75"/>
  <c r="CH1166" i="75"/>
  <c r="CF1166" i="75"/>
  <c r="CD1166" i="75"/>
  <c r="CB1166" i="75"/>
  <c r="BZ1166" i="75"/>
  <c r="BX1166" i="75"/>
  <c r="BV1166" i="75"/>
  <c r="BT1166" i="75"/>
  <c r="BR1166" i="75"/>
  <c r="BP1166" i="75"/>
  <c r="BN1166" i="75"/>
  <c r="BL1166" i="75"/>
  <c r="BJ1166" i="75"/>
  <c r="DG1165" i="75"/>
  <c r="DE1165" i="75"/>
  <c r="DC1165" i="75"/>
  <c r="DA1165" i="75"/>
  <c r="CY1165" i="75"/>
  <c r="CW1165" i="75"/>
  <c r="CU1165" i="75"/>
  <c r="CS1165" i="75"/>
  <c r="CQ1165" i="75"/>
  <c r="CO1165" i="75"/>
  <c r="CM1165" i="75"/>
  <c r="CK1165" i="75"/>
  <c r="CI1165" i="75"/>
  <c r="CG1165" i="75"/>
  <c r="CE1165" i="75"/>
  <c r="CC1165" i="75"/>
  <c r="CA1165" i="75"/>
  <c r="BY1165" i="75"/>
  <c r="BW1165" i="75"/>
  <c r="BU1165" i="75"/>
  <c r="BS1165" i="75"/>
  <c r="BQ1165" i="75"/>
  <c r="BO1165" i="75"/>
  <c r="BM1165" i="75"/>
  <c r="BK1165" i="75"/>
  <c r="BI1165" i="75"/>
  <c r="DF1164" i="75"/>
  <c r="DD1164" i="75"/>
  <c r="DB1164" i="75"/>
  <c r="CZ1164" i="75"/>
  <c r="CX1164" i="75"/>
  <c r="CV1164" i="75"/>
  <c r="CT1164" i="75"/>
  <c r="CR1164" i="75"/>
  <c r="CP1164" i="75"/>
  <c r="CN1164" i="75"/>
  <c r="CL1164" i="75"/>
  <c r="CJ1164" i="75"/>
  <c r="CH1164" i="75"/>
  <c r="CF1164" i="75"/>
  <c r="CD1164" i="75"/>
  <c r="CB1164" i="75"/>
  <c r="BZ1164" i="75"/>
  <c r="BX1164" i="75"/>
  <c r="BV1164" i="75"/>
  <c r="BT1164" i="75"/>
  <c r="BR1164" i="75"/>
  <c r="BP1164" i="75"/>
  <c r="BN1164" i="75"/>
  <c r="BL1164" i="75"/>
  <c r="BJ1164" i="75"/>
  <c r="BH1164" i="75"/>
  <c r="DG1163" i="75"/>
  <c r="DE1163" i="75"/>
  <c r="DC1163" i="75"/>
  <c r="DA1163" i="75"/>
  <c r="CY1163" i="75"/>
  <c r="CW1163" i="75"/>
  <c r="CU1163" i="75"/>
  <c r="CS1163" i="75"/>
  <c r="CQ1163" i="75"/>
  <c r="CO1163" i="75"/>
  <c r="CM1163" i="75"/>
  <c r="CK1163" i="75"/>
  <c r="CI1163" i="75"/>
  <c r="CG1163" i="75"/>
  <c r="CE1163" i="75"/>
  <c r="CC1163" i="75"/>
  <c r="CA1163" i="75"/>
  <c r="BY1163" i="75"/>
  <c r="BW1163" i="75"/>
  <c r="BU1163" i="75"/>
  <c r="BS1163" i="75"/>
  <c r="BQ1163" i="75"/>
  <c r="BO1163" i="75"/>
  <c r="BM1163" i="75"/>
  <c r="BK1163" i="75"/>
  <c r="BI1163" i="75"/>
  <c r="BG1163" i="75"/>
  <c r="DF1162" i="75"/>
  <c r="DD1162" i="75"/>
  <c r="DB1162" i="75"/>
  <c r="CZ1162" i="75"/>
  <c r="CX1162" i="75"/>
  <c r="CV1162" i="75"/>
  <c r="CT1162" i="75"/>
  <c r="CR1162" i="75"/>
  <c r="CP1162" i="75"/>
  <c r="CN1162" i="75"/>
  <c r="CL1162" i="75"/>
  <c r="CJ1162" i="75"/>
  <c r="CH1162" i="75"/>
  <c r="CF1162" i="75"/>
  <c r="CD1162" i="75"/>
  <c r="CB1162" i="75"/>
  <c r="BZ1162" i="75"/>
  <c r="BX1162" i="75"/>
  <c r="BV1162" i="75"/>
  <c r="BT1162" i="75"/>
  <c r="BR1162" i="75"/>
  <c r="BP1162" i="75"/>
  <c r="BN1162" i="75"/>
  <c r="BL1162" i="75"/>
  <c r="BJ1162" i="75"/>
  <c r="BH1162" i="75"/>
  <c r="BF1162" i="75"/>
  <c r="DG1161" i="75"/>
  <c r="DE1161" i="75"/>
  <c r="DC1161" i="75"/>
  <c r="DA1161" i="75"/>
  <c r="CY1161" i="75"/>
  <c r="CW1161" i="75"/>
  <c r="CU1161" i="75"/>
  <c r="CS1161" i="75"/>
  <c r="CQ1161" i="75"/>
  <c r="CO1161" i="75"/>
  <c r="CM1161" i="75"/>
  <c r="CK1161" i="75"/>
  <c r="CI1161" i="75"/>
  <c r="CG1161" i="75"/>
  <c r="CE1161" i="75"/>
  <c r="CC1161" i="75"/>
  <c r="CA1161" i="75"/>
  <c r="BY1161" i="75"/>
  <c r="BW1161" i="75"/>
  <c r="BU1161" i="75"/>
  <c r="BS1161" i="75"/>
  <c r="BQ1161" i="75"/>
  <c r="BO1161" i="75"/>
  <c r="BM1161" i="75"/>
  <c r="BK1161" i="75"/>
  <c r="BI1161" i="75"/>
  <c r="BG1161" i="75"/>
  <c r="BE1161" i="75"/>
  <c r="DF1160" i="75"/>
  <c r="DD1160" i="75"/>
  <c r="DB1160" i="75"/>
  <c r="CZ1160" i="75"/>
  <c r="CX1160" i="75"/>
  <c r="CV1160" i="75"/>
  <c r="CT1160" i="75"/>
  <c r="CR1160" i="75"/>
  <c r="CP1160" i="75"/>
  <c r="CN1160" i="75"/>
  <c r="CL1160" i="75"/>
  <c r="CJ1160" i="75"/>
  <c r="CH1160" i="75"/>
  <c r="CF1160" i="75"/>
  <c r="CD1160" i="75"/>
  <c r="CB1160" i="75"/>
  <c r="BZ1160" i="75"/>
  <c r="BX1160" i="75"/>
  <c r="BV1160" i="75"/>
  <c r="BT1160" i="75"/>
  <c r="BR1160" i="75"/>
  <c r="BP1160" i="75"/>
  <c r="BN1160" i="75"/>
  <c r="BL1160" i="75"/>
  <c r="BJ1160" i="75"/>
  <c r="BH1160" i="75"/>
  <c r="BF1160" i="75"/>
  <c r="BD1160" i="75"/>
  <c r="DG1155" i="75"/>
  <c r="DF1156" i="75" s="1"/>
  <c r="DG1153" i="75"/>
  <c r="DF1154" i="75" s="1"/>
  <c r="DE1155" i="75" s="1" a="1"/>
  <c r="DE1155" i="75" s="1"/>
  <c r="DE1153" i="75"/>
  <c r="DG1151" i="75"/>
  <c r="DF1152" i="75" s="1"/>
  <c r="DE1151" i="75"/>
  <c r="DC1151" i="75"/>
  <c r="DG1149" i="75"/>
  <c r="DF1150" i="75" s="1"/>
  <c r="DE1149" i="75"/>
  <c r="DD1150" i="75" s="1"/>
  <c r="DC1149" i="75"/>
  <c r="DB1150" i="75" s="1"/>
  <c r="DA1149" i="75"/>
  <c r="DG1147" i="75"/>
  <c r="DF1148" i="75" s="1"/>
  <c r="DE1147" i="75"/>
  <c r="DC1147" i="75"/>
  <c r="DB1148" i="75" s="1"/>
  <c r="DA1147" i="75"/>
  <c r="CY1147" i="75"/>
  <c r="DG1145" i="75"/>
  <c r="DF1146" i="75" s="1"/>
  <c r="DE1145" i="75"/>
  <c r="DD1146" i="75" s="1"/>
  <c r="DC1145" i="75"/>
  <c r="DA1145" i="75"/>
  <c r="CZ1146" i="75" s="1"/>
  <c r="CY1145" i="75"/>
  <c r="CW1145" i="75"/>
  <c r="DG1143" i="75"/>
  <c r="DF1144" i="75" s="1"/>
  <c r="DE1143" i="75"/>
  <c r="DD1144" i="75" s="1"/>
  <c r="DC1143" i="75"/>
  <c r="DB1144" i="75" s="1"/>
  <c r="DA1143" i="75"/>
  <c r="CZ1144" i="75" s="1"/>
  <c r="CY1143" i="75"/>
  <c r="CX1144" i="75" s="1"/>
  <c r="CW1143" i="75"/>
  <c r="CU1143" i="75"/>
  <c r="DG1141" i="75"/>
  <c r="DE1141" i="75"/>
  <c r="DD1142" i="75" s="1"/>
  <c r="DC1141" i="75"/>
  <c r="DA1141" i="75"/>
  <c r="CZ1142" i="75" s="1"/>
  <c r="CY1141" i="75"/>
  <c r="CX1142" i="75" s="1"/>
  <c r="CW1141" i="75"/>
  <c r="CV1142" i="75" s="1"/>
  <c r="CU1141" i="75"/>
  <c r="CS1141" i="75"/>
  <c r="DG1139" i="75"/>
  <c r="DF1140" i="75" s="1"/>
  <c r="DE1139" i="75"/>
  <c r="DD1140" i="75" s="1"/>
  <c r="DC1139" i="75"/>
  <c r="DA1139" i="75"/>
  <c r="CZ1140" i="75" s="1"/>
  <c r="CY1139" i="75"/>
  <c r="CX1140" i="75" s="1"/>
  <c r="CW1139" i="75"/>
  <c r="CV1140" i="75" s="1"/>
  <c r="CU1139" i="75"/>
  <c r="CT1140" i="75" s="1"/>
  <c r="CS1139" i="75"/>
  <c r="CR1140" i="75" s="1"/>
  <c r="CQ1139" i="75"/>
  <c r="DF1138" i="75"/>
  <c r="DD1138" i="75"/>
  <c r="DB1138" i="75"/>
  <c r="CZ1138" i="75"/>
  <c r="CX1138" i="75"/>
  <c r="CV1138" i="75"/>
  <c r="CT1138" i="75"/>
  <c r="CR1138" i="75"/>
  <c r="CP1138" i="75"/>
  <c r="DG1137" i="75"/>
  <c r="DE1137" i="75"/>
  <c r="DC1137" i="75"/>
  <c r="DA1137" i="75"/>
  <c r="CY1137" i="75"/>
  <c r="CW1137" i="75"/>
  <c r="CU1137" i="75"/>
  <c r="CS1137" i="75"/>
  <c r="CQ1137" i="75"/>
  <c r="CO1137" i="75"/>
  <c r="DF1136" i="75"/>
  <c r="DD1136" i="75"/>
  <c r="DB1136" i="75"/>
  <c r="CZ1136" i="75"/>
  <c r="CX1136" i="75"/>
  <c r="CV1136" i="75"/>
  <c r="CT1136" i="75"/>
  <c r="CR1136" i="75"/>
  <c r="CP1136" i="75"/>
  <c r="CN1136" i="75"/>
  <c r="DG1135" i="75"/>
  <c r="DE1135" i="75"/>
  <c r="DC1135" i="75"/>
  <c r="DA1135" i="75"/>
  <c r="CY1135" i="75"/>
  <c r="CW1135" i="75"/>
  <c r="CU1135" i="75"/>
  <c r="CS1135" i="75"/>
  <c r="CQ1135" i="75"/>
  <c r="CO1135" i="75"/>
  <c r="CM1135" i="75"/>
  <c r="DF1134" i="75"/>
  <c r="DD1134" i="75"/>
  <c r="DB1134" i="75"/>
  <c r="CZ1134" i="75"/>
  <c r="CX1134" i="75"/>
  <c r="CV1134" i="75"/>
  <c r="CT1134" i="75"/>
  <c r="CR1134" i="75"/>
  <c r="CP1134" i="75"/>
  <c r="CN1134" i="75"/>
  <c r="CL1134" i="75"/>
  <c r="DG1133" i="75"/>
  <c r="DE1133" i="75"/>
  <c r="DC1133" i="75"/>
  <c r="DA1133" i="75"/>
  <c r="CY1133" i="75"/>
  <c r="CW1133" i="75"/>
  <c r="CU1133" i="75"/>
  <c r="CS1133" i="75"/>
  <c r="CQ1133" i="75"/>
  <c r="CO1133" i="75"/>
  <c r="CM1133" i="75"/>
  <c r="CK1133" i="75"/>
  <c r="DF1132" i="75"/>
  <c r="DD1132" i="75"/>
  <c r="DB1132" i="75"/>
  <c r="CZ1132" i="75"/>
  <c r="CX1132" i="75"/>
  <c r="CV1132" i="75"/>
  <c r="CT1132" i="75"/>
  <c r="CR1132" i="75"/>
  <c r="CP1132" i="75"/>
  <c r="CN1132" i="75"/>
  <c r="CL1132" i="75"/>
  <c r="CJ1132" i="75"/>
  <c r="DG1131" i="75"/>
  <c r="DE1131" i="75"/>
  <c r="DC1131" i="75"/>
  <c r="DA1131" i="75"/>
  <c r="CY1131" i="75"/>
  <c r="CW1131" i="75"/>
  <c r="CU1131" i="75"/>
  <c r="CS1131" i="75"/>
  <c r="CQ1131" i="75"/>
  <c r="CO1131" i="75"/>
  <c r="CM1131" i="75"/>
  <c r="CK1131" i="75"/>
  <c r="CI1131" i="75"/>
  <c r="DF1130" i="75"/>
  <c r="DD1130" i="75"/>
  <c r="DB1130" i="75"/>
  <c r="CZ1130" i="75"/>
  <c r="CX1130" i="75"/>
  <c r="CV1130" i="75"/>
  <c r="CT1130" i="75"/>
  <c r="CR1130" i="75"/>
  <c r="CP1130" i="75"/>
  <c r="CN1130" i="75"/>
  <c r="CL1130" i="75"/>
  <c r="CJ1130" i="75"/>
  <c r="CH1130" i="75"/>
  <c r="DG1129" i="75"/>
  <c r="DE1129" i="75"/>
  <c r="DC1129" i="75"/>
  <c r="DA1129" i="75"/>
  <c r="CY1129" i="75"/>
  <c r="CW1129" i="75"/>
  <c r="CU1129" i="75"/>
  <c r="CS1129" i="75"/>
  <c r="CQ1129" i="75"/>
  <c r="CO1129" i="75"/>
  <c r="CM1129" i="75"/>
  <c r="CK1129" i="75"/>
  <c r="CI1129" i="75"/>
  <c r="CG1129" i="75"/>
  <c r="DF1128" i="75"/>
  <c r="DD1128" i="75"/>
  <c r="DB1128" i="75"/>
  <c r="CZ1128" i="75"/>
  <c r="CX1128" i="75"/>
  <c r="CV1128" i="75"/>
  <c r="CT1128" i="75"/>
  <c r="CR1128" i="75"/>
  <c r="CP1128" i="75"/>
  <c r="CN1128" i="75"/>
  <c r="CL1128" i="75"/>
  <c r="CJ1128" i="75"/>
  <c r="CH1128" i="75"/>
  <c r="CF1128" i="75"/>
  <c r="DG1127" i="75"/>
  <c r="DE1127" i="75"/>
  <c r="DC1127" i="75"/>
  <c r="DA1127" i="75"/>
  <c r="CY1127" i="75"/>
  <c r="CW1127" i="75"/>
  <c r="CU1127" i="75"/>
  <c r="CS1127" i="75"/>
  <c r="CQ1127" i="75"/>
  <c r="CO1127" i="75"/>
  <c r="CM1127" i="75"/>
  <c r="CK1127" i="75"/>
  <c r="CI1127" i="75"/>
  <c r="CG1127" i="75"/>
  <c r="CE1127" i="75"/>
  <c r="DF1126" i="75"/>
  <c r="DD1126" i="75"/>
  <c r="DB1126" i="75"/>
  <c r="CZ1126" i="75"/>
  <c r="CX1126" i="75"/>
  <c r="CV1126" i="75"/>
  <c r="CT1126" i="75"/>
  <c r="CR1126" i="75"/>
  <c r="CP1126" i="75"/>
  <c r="CN1126" i="75"/>
  <c r="CL1126" i="75"/>
  <c r="CJ1126" i="75"/>
  <c r="CH1126" i="75"/>
  <c r="CF1126" i="75"/>
  <c r="CD1126" i="75"/>
  <c r="DG1125" i="75"/>
  <c r="DE1125" i="75"/>
  <c r="DC1125" i="75"/>
  <c r="DA1125" i="75"/>
  <c r="CY1125" i="75"/>
  <c r="CW1125" i="75"/>
  <c r="CU1125" i="75"/>
  <c r="CS1125" i="75"/>
  <c r="CQ1125" i="75"/>
  <c r="CO1125" i="75"/>
  <c r="CM1125" i="75"/>
  <c r="CK1125" i="75"/>
  <c r="CI1125" i="75"/>
  <c r="CG1125" i="75"/>
  <c r="CE1125" i="75"/>
  <c r="CC1125" i="75"/>
  <c r="DF1124" i="75"/>
  <c r="DD1124" i="75"/>
  <c r="DB1124" i="75"/>
  <c r="CZ1124" i="75"/>
  <c r="CX1124" i="75"/>
  <c r="CV1124" i="75"/>
  <c r="CT1124" i="75"/>
  <c r="CR1124" i="75"/>
  <c r="CP1124" i="75"/>
  <c r="CN1124" i="75"/>
  <c r="CL1124" i="75"/>
  <c r="CJ1124" i="75"/>
  <c r="CH1124" i="75"/>
  <c r="CF1124" i="75"/>
  <c r="CD1124" i="75"/>
  <c r="CB1124" i="75"/>
  <c r="DG1123" i="75"/>
  <c r="DE1123" i="75"/>
  <c r="DC1123" i="75"/>
  <c r="DA1123" i="75"/>
  <c r="CY1123" i="75"/>
  <c r="CW1123" i="75"/>
  <c r="CU1123" i="75"/>
  <c r="CS1123" i="75"/>
  <c r="CQ1123" i="75"/>
  <c r="CO1123" i="75"/>
  <c r="CM1123" i="75"/>
  <c r="CK1123" i="75"/>
  <c r="CI1123" i="75"/>
  <c r="CG1123" i="75"/>
  <c r="CE1123" i="75"/>
  <c r="CC1123" i="75"/>
  <c r="CA1123" i="75"/>
  <c r="DF1122" i="75"/>
  <c r="DD1122" i="75"/>
  <c r="DB1122" i="75"/>
  <c r="CZ1122" i="75"/>
  <c r="CX1122" i="75"/>
  <c r="CV1122" i="75"/>
  <c r="CT1122" i="75"/>
  <c r="CR1122" i="75"/>
  <c r="CP1122" i="75"/>
  <c r="CN1122" i="75"/>
  <c r="CL1122" i="75"/>
  <c r="CJ1122" i="75"/>
  <c r="CH1122" i="75"/>
  <c r="CF1122" i="75"/>
  <c r="CD1122" i="75"/>
  <c r="CB1122" i="75"/>
  <c r="BZ1122" i="75"/>
  <c r="DG1121" i="75"/>
  <c r="DE1121" i="75"/>
  <c r="DC1121" i="75"/>
  <c r="DA1121" i="75"/>
  <c r="CY1121" i="75"/>
  <c r="CW1121" i="75"/>
  <c r="CU1121" i="75"/>
  <c r="CS1121" i="75"/>
  <c r="CQ1121" i="75"/>
  <c r="CO1121" i="75"/>
  <c r="CM1121" i="75"/>
  <c r="CK1121" i="75"/>
  <c r="CI1121" i="75"/>
  <c r="CG1121" i="75"/>
  <c r="CE1121" i="75"/>
  <c r="CC1121" i="75"/>
  <c r="CA1121" i="75"/>
  <c r="BY1121" i="75"/>
  <c r="DF1120" i="75"/>
  <c r="DD1120" i="75"/>
  <c r="DB1120" i="75"/>
  <c r="CZ1120" i="75"/>
  <c r="CX1120" i="75"/>
  <c r="CV1120" i="75"/>
  <c r="CT1120" i="75"/>
  <c r="CR1120" i="75"/>
  <c r="CP1120" i="75"/>
  <c r="CN1120" i="75"/>
  <c r="CL1120" i="75"/>
  <c r="CJ1120" i="75"/>
  <c r="CH1120" i="75"/>
  <c r="CF1120" i="75"/>
  <c r="CD1120" i="75"/>
  <c r="CB1120" i="75"/>
  <c r="BZ1120" i="75"/>
  <c r="BX1120" i="75"/>
  <c r="DG1119" i="75"/>
  <c r="DE1119" i="75"/>
  <c r="DC1119" i="75"/>
  <c r="DA1119" i="75"/>
  <c r="CY1119" i="75"/>
  <c r="CW1119" i="75"/>
  <c r="CU1119" i="75"/>
  <c r="CS1119" i="75"/>
  <c r="CQ1119" i="75"/>
  <c r="CO1119" i="75"/>
  <c r="CM1119" i="75"/>
  <c r="CK1119" i="75"/>
  <c r="CI1119" i="75"/>
  <c r="CG1119" i="75"/>
  <c r="CE1119" i="75"/>
  <c r="CC1119" i="75"/>
  <c r="CA1119" i="75"/>
  <c r="BY1119" i="75"/>
  <c r="BW1119" i="75"/>
  <c r="DF1118" i="75"/>
  <c r="DD1118" i="75"/>
  <c r="DB1118" i="75"/>
  <c r="CZ1118" i="75"/>
  <c r="CX1118" i="75"/>
  <c r="CV1118" i="75"/>
  <c r="CT1118" i="75"/>
  <c r="CR1118" i="75"/>
  <c r="CP1118" i="75"/>
  <c r="CN1118" i="75"/>
  <c r="CL1118" i="75"/>
  <c r="CJ1118" i="75"/>
  <c r="CH1118" i="75"/>
  <c r="CF1118" i="75"/>
  <c r="CD1118" i="75"/>
  <c r="CB1118" i="75"/>
  <c r="BZ1118" i="75"/>
  <c r="BX1118" i="75"/>
  <c r="BV1118" i="75"/>
  <c r="DG1117" i="75"/>
  <c r="DE1117" i="75"/>
  <c r="DC1117" i="75"/>
  <c r="DA1117" i="75"/>
  <c r="CY1117" i="75"/>
  <c r="CW1117" i="75"/>
  <c r="CU1117" i="75"/>
  <c r="CS1117" i="75"/>
  <c r="CQ1117" i="75"/>
  <c r="CO1117" i="75"/>
  <c r="CM1117" i="75"/>
  <c r="CK1117" i="75"/>
  <c r="CI1117" i="75"/>
  <c r="CG1117" i="75"/>
  <c r="CE1117" i="75"/>
  <c r="CC1117" i="75"/>
  <c r="CA1117" i="75"/>
  <c r="BY1117" i="75"/>
  <c r="BW1117" i="75"/>
  <c r="BU1117" i="75"/>
  <c r="DF1116" i="75"/>
  <c r="DD1116" i="75"/>
  <c r="DB1116" i="75"/>
  <c r="CZ1116" i="75"/>
  <c r="CX1116" i="75"/>
  <c r="CV1116" i="75"/>
  <c r="CT1116" i="75"/>
  <c r="CR1116" i="75"/>
  <c r="CP1116" i="75"/>
  <c r="CN1116" i="75"/>
  <c r="CL1116" i="75"/>
  <c r="CJ1116" i="75"/>
  <c r="CH1116" i="75"/>
  <c r="CF1116" i="75"/>
  <c r="CD1116" i="75"/>
  <c r="CB1116" i="75"/>
  <c r="BZ1116" i="75"/>
  <c r="BX1116" i="75"/>
  <c r="BV1116" i="75"/>
  <c r="BT1116" i="75"/>
  <c r="DG1115" i="75"/>
  <c r="DE1115" i="75"/>
  <c r="DC1115" i="75"/>
  <c r="DA1115" i="75"/>
  <c r="CY1115" i="75"/>
  <c r="CW1115" i="75"/>
  <c r="CU1115" i="75"/>
  <c r="CS1115" i="75"/>
  <c r="CQ1115" i="75"/>
  <c r="CO1115" i="75"/>
  <c r="CM1115" i="75"/>
  <c r="CK1115" i="75"/>
  <c r="CI1115" i="75"/>
  <c r="CG1115" i="75"/>
  <c r="CE1115" i="75"/>
  <c r="CC1115" i="75"/>
  <c r="CA1115" i="75"/>
  <c r="BY1115" i="75"/>
  <c r="BW1115" i="75"/>
  <c r="BU1115" i="75"/>
  <c r="BS1115" i="75"/>
  <c r="DF1114" i="75"/>
  <c r="DD1114" i="75"/>
  <c r="DB1114" i="75"/>
  <c r="CZ1114" i="75"/>
  <c r="CX1114" i="75"/>
  <c r="CV1114" i="75"/>
  <c r="CT1114" i="75"/>
  <c r="CR1114" i="75"/>
  <c r="CP1114" i="75"/>
  <c r="CN1114" i="75"/>
  <c r="CL1114" i="75"/>
  <c r="CJ1114" i="75"/>
  <c r="CH1114" i="75"/>
  <c r="CF1114" i="75"/>
  <c r="CD1114" i="75"/>
  <c r="CB1114" i="75"/>
  <c r="BZ1114" i="75"/>
  <c r="BX1114" i="75"/>
  <c r="BV1114" i="75"/>
  <c r="BT1114" i="75"/>
  <c r="BR1114" i="75"/>
  <c r="DG1113" i="75"/>
  <c r="DE1113" i="75"/>
  <c r="DC1113" i="75"/>
  <c r="DA1113" i="75"/>
  <c r="CY1113" i="75"/>
  <c r="CW1113" i="75"/>
  <c r="CU1113" i="75"/>
  <c r="CS1113" i="75"/>
  <c r="CQ1113" i="75"/>
  <c r="CO1113" i="75"/>
  <c r="CM1113" i="75"/>
  <c r="CK1113" i="75"/>
  <c r="CI1113" i="75"/>
  <c r="CG1113" i="75"/>
  <c r="CE1113" i="75"/>
  <c r="CC1113" i="75"/>
  <c r="CA1113" i="75"/>
  <c r="BY1113" i="75"/>
  <c r="BW1113" i="75"/>
  <c r="BU1113" i="75"/>
  <c r="BS1113" i="75"/>
  <c r="BQ1113" i="75"/>
  <c r="DF1112" i="75"/>
  <c r="DD1112" i="75"/>
  <c r="DB1112" i="75"/>
  <c r="CZ1112" i="75"/>
  <c r="CX1112" i="75"/>
  <c r="CV1112" i="75"/>
  <c r="CT1112" i="75"/>
  <c r="CR1112" i="75"/>
  <c r="CP1112" i="75"/>
  <c r="CN1112" i="75"/>
  <c r="CL1112" i="75"/>
  <c r="CJ1112" i="75"/>
  <c r="CH1112" i="75"/>
  <c r="CF1112" i="75"/>
  <c r="CD1112" i="75"/>
  <c r="CB1112" i="75"/>
  <c r="BZ1112" i="75"/>
  <c r="BX1112" i="75"/>
  <c r="BV1112" i="75"/>
  <c r="BT1112" i="75"/>
  <c r="BR1112" i="75"/>
  <c r="BP1112" i="75"/>
  <c r="DG1111" i="75"/>
  <c r="DE1111" i="75"/>
  <c r="DC1111" i="75"/>
  <c r="DA1111" i="75"/>
  <c r="CY1111" i="75"/>
  <c r="CW1111" i="75"/>
  <c r="CU1111" i="75"/>
  <c r="CS1111" i="75"/>
  <c r="CQ1111" i="75"/>
  <c r="CO1111" i="75"/>
  <c r="CM1111" i="75"/>
  <c r="CK1111" i="75"/>
  <c r="CI1111" i="75"/>
  <c r="CG1111" i="75"/>
  <c r="CE1111" i="75"/>
  <c r="CC1111" i="75"/>
  <c r="CA1111" i="75"/>
  <c r="BY1111" i="75"/>
  <c r="BW1111" i="75"/>
  <c r="BU1111" i="75"/>
  <c r="BS1111" i="75"/>
  <c r="BQ1111" i="75"/>
  <c r="BO1111" i="75"/>
  <c r="DF1110" i="75"/>
  <c r="DD1110" i="75"/>
  <c r="DB1110" i="75"/>
  <c r="CZ1110" i="75"/>
  <c r="CX1110" i="75"/>
  <c r="CV1110" i="75"/>
  <c r="CT1110" i="75"/>
  <c r="CR1110" i="75"/>
  <c r="CP1110" i="75"/>
  <c r="CN1110" i="75"/>
  <c r="CL1110" i="75"/>
  <c r="CJ1110" i="75"/>
  <c r="CH1110" i="75"/>
  <c r="CF1110" i="75"/>
  <c r="CD1110" i="75"/>
  <c r="CB1110" i="75"/>
  <c r="BZ1110" i="75"/>
  <c r="BX1110" i="75"/>
  <c r="BV1110" i="75"/>
  <c r="BT1110" i="75"/>
  <c r="BR1110" i="75"/>
  <c r="BP1110" i="75"/>
  <c r="BN1110" i="75"/>
  <c r="DG1109" i="75"/>
  <c r="DE1109" i="75"/>
  <c r="DC1109" i="75"/>
  <c r="DA1109" i="75"/>
  <c r="CY1109" i="75"/>
  <c r="CW1109" i="75"/>
  <c r="CU1109" i="75"/>
  <c r="CS1109" i="75"/>
  <c r="CQ1109" i="75"/>
  <c r="CO1109" i="75"/>
  <c r="CM1109" i="75"/>
  <c r="CK1109" i="75"/>
  <c r="CI1109" i="75"/>
  <c r="CG1109" i="75"/>
  <c r="CE1109" i="75"/>
  <c r="CC1109" i="75"/>
  <c r="CA1109" i="75"/>
  <c r="BY1109" i="75"/>
  <c r="BW1109" i="75"/>
  <c r="BU1109" i="75"/>
  <c r="BS1109" i="75"/>
  <c r="BQ1109" i="75"/>
  <c r="BO1109" i="75"/>
  <c r="BM1109" i="75"/>
  <c r="DF1108" i="75"/>
  <c r="DD1108" i="75"/>
  <c r="DB1108" i="75"/>
  <c r="CZ1108" i="75"/>
  <c r="CX1108" i="75"/>
  <c r="CV1108" i="75"/>
  <c r="CT1108" i="75"/>
  <c r="CR1108" i="75"/>
  <c r="CP1108" i="75"/>
  <c r="CN1108" i="75"/>
  <c r="CL1108" i="75"/>
  <c r="CJ1108" i="75"/>
  <c r="CH1108" i="75"/>
  <c r="CF1108" i="75"/>
  <c r="CD1108" i="75"/>
  <c r="CB1108" i="75"/>
  <c r="BZ1108" i="75"/>
  <c r="BX1108" i="75"/>
  <c r="BV1108" i="75"/>
  <c r="BT1108" i="75"/>
  <c r="BR1108" i="75"/>
  <c r="BP1108" i="75"/>
  <c r="BN1108" i="75"/>
  <c r="BL1108" i="75"/>
  <c r="DG1107" i="75"/>
  <c r="DE1107" i="75"/>
  <c r="DC1107" i="75"/>
  <c r="DA1107" i="75"/>
  <c r="CY1107" i="75"/>
  <c r="CW1107" i="75"/>
  <c r="CU1107" i="75"/>
  <c r="CS1107" i="75"/>
  <c r="CQ1107" i="75"/>
  <c r="CO1107" i="75"/>
  <c r="CM1107" i="75"/>
  <c r="CK1107" i="75"/>
  <c r="CI1107" i="75"/>
  <c r="CG1107" i="75"/>
  <c r="CE1107" i="75"/>
  <c r="CC1107" i="75"/>
  <c r="CA1107" i="75"/>
  <c r="BY1107" i="75"/>
  <c r="BW1107" i="75"/>
  <c r="BU1107" i="75"/>
  <c r="BS1107" i="75"/>
  <c r="BQ1107" i="75"/>
  <c r="BO1107" i="75"/>
  <c r="BM1107" i="75"/>
  <c r="BK1107" i="75"/>
  <c r="DF1106" i="75"/>
  <c r="DD1106" i="75"/>
  <c r="DB1106" i="75"/>
  <c r="CZ1106" i="75"/>
  <c r="CX1106" i="75"/>
  <c r="CV1106" i="75"/>
  <c r="CT1106" i="75"/>
  <c r="CR1106" i="75"/>
  <c r="CP1106" i="75"/>
  <c r="CN1106" i="75"/>
  <c r="CL1106" i="75"/>
  <c r="CJ1106" i="75"/>
  <c r="CH1106" i="75"/>
  <c r="CF1106" i="75"/>
  <c r="CD1106" i="75"/>
  <c r="CB1106" i="75"/>
  <c r="BZ1106" i="75"/>
  <c r="BX1106" i="75"/>
  <c r="BV1106" i="75"/>
  <c r="BT1106" i="75"/>
  <c r="BR1106" i="75"/>
  <c r="BP1106" i="75"/>
  <c r="BN1106" i="75"/>
  <c r="BL1106" i="75"/>
  <c r="BJ1106" i="75"/>
  <c r="DG1105" i="75"/>
  <c r="DE1105" i="75"/>
  <c r="DC1105" i="75"/>
  <c r="DA1105" i="75"/>
  <c r="CY1105" i="75"/>
  <c r="CW1105" i="75"/>
  <c r="CU1105" i="75"/>
  <c r="CS1105" i="75"/>
  <c r="CQ1105" i="75"/>
  <c r="CO1105" i="75"/>
  <c r="CM1105" i="75"/>
  <c r="CK1105" i="75"/>
  <c r="CI1105" i="75"/>
  <c r="CG1105" i="75"/>
  <c r="CE1105" i="75"/>
  <c r="CC1105" i="75"/>
  <c r="CA1105" i="75"/>
  <c r="BY1105" i="75"/>
  <c r="BW1105" i="75"/>
  <c r="BU1105" i="75"/>
  <c r="BS1105" i="75"/>
  <c r="BQ1105" i="75"/>
  <c r="BO1105" i="75"/>
  <c r="BM1105" i="75"/>
  <c r="BK1105" i="75"/>
  <c r="BI1105" i="75"/>
  <c r="DF1104" i="75"/>
  <c r="DD1104" i="75"/>
  <c r="DB1104" i="75"/>
  <c r="CZ1104" i="75"/>
  <c r="CX1104" i="75"/>
  <c r="CV1104" i="75"/>
  <c r="CT1104" i="75"/>
  <c r="CR1104" i="75"/>
  <c r="CP1104" i="75"/>
  <c r="CN1104" i="75"/>
  <c r="CL1104" i="75"/>
  <c r="CJ1104" i="75"/>
  <c r="CH1104" i="75"/>
  <c r="CF1104" i="75"/>
  <c r="CD1104" i="75"/>
  <c r="CB1104" i="75"/>
  <c r="BZ1104" i="75"/>
  <c r="BX1104" i="75"/>
  <c r="BV1104" i="75"/>
  <c r="BT1104" i="75"/>
  <c r="BR1104" i="75"/>
  <c r="BP1104" i="75"/>
  <c r="BN1104" i="75"/>
  <c r="BL1104" i="75"/>
  <c r="BJ1104" i="75"/>
  <c r="BH1104" i="75"/>
  <c r="DG1103" i="75"/>
  <c r="DE1103" i="75"/>
  <c r="DC1103" i="75"/>
  <c r="DA1103" i="75"/>
  <c r="CY1103" i="75"/>
  <c r="CW1103" i="75"/>
  <c r="CU1103" i="75"/>
  <c r="CS1103" i="75"/>
  <c r="CQ1103" i="75"/>
  <c r="CO1103" i="75"/>
  <c r="CM1103" i="75"/>
  <c r="CK1103" i="75"/>
  <c r="CI1103" i="75"/>
  <c r="CG1103" i="75"/>
  <c r="CE1103" i="75"/>
  <c r="CC1103" i="75"/>
  <c r="CA1103" i="75"/>
  <c r="BY1103" i="75"/>
  <c r="BW1103" i="75"/>
  <c r="BU1103" i="75"/>
  <c r="BS1103" i="75"/>
  <c r="BQ1103" i="75"/>
  <c r="BO1103" i="75"/>
  <c r="BM1103" i="75"/>
  <c r="BK1103" i="75"/>
  <c r="BI1103" i="75"/>
  <c r="BG1103" i="75"/>
  <c r="DF1102" i="75"/>
  <c r="DD1102" i="75"/>
  <c r="DB1102" i="75"/>
  <c r="CZ1102" i="75"/>
  <c r="CX1102" i="75"/>
  <c r="CV1102" i="75"/>
  <c r="CT1102" i="75"/>
  <c r="CR1102" i="75"/>
  <c r="CP1102" i="75"/>
  <c r="CN1102" i="75"/>
  <c r="CL1102" i="75"/>
  <c r="CJ1102" i="75"/>
  <c r="CH1102" i="75"/>
  <c r="CF1102" i="75"/>
  <c r="CD1102" i="75"/>
  <c r="CB1102" i="75"/>
  <c r="BZ1102" i="75"/>
  <c r="BX1102" i="75"/>
  <c r="BV1102" i="75"/>
  <c r="BT1102" i="75"/>
  <c r="BR1102" i="75"/>
  <c r="BP1102" i="75"/>
  <c r="BN1102" i="75"/>
  <c r="BL1102" i="75"/>
  <c r="BJ1102" i="75"/>
  <c r="BH1102" i="75"/>
  <c r="BF1102" i="75"/>
  <c r="DG1101" i="75"/>
  <c r="DE1101" i="75"/>
  <c r="DC1101" i="75"/>
  <c r="DA1101" i="75"/>
  <c r="CY1101" i="75"/>
  <c r="CW1101" i="75"/>
  <c r="CU1101" i="75"/>
  <c r="CS1101" i="75"/>
  <c r="CQ1101" i="75"/>
  <c r="CO1101" i="75"/>
  <c r="CM1101" i="75"/>
  <c r="CK1101" i="75"/>
  <c r="CI1101" i="75"/>
  <c r="CG1101" i="75"/>
  <c r="CE1101" i="75"/>
  <c r="CC1101" i="75"/>
  <c r="CA1101" i="75"/>
  <c r="BY1101" i="75"/>
  <c r="BW1101" i="75"/>
  <c r="BU1101" i="75"/>
  <c r="BS1101" i="75"/>
  <c r="BQ1101" i="75"/>
  <c r="BO1101" i="75"/>
  <c r="BM1101" i="75"/>
  <c r="BK1101" i="75"/>
  <c r="BI1101" i="75"/>
  <c r="BG1101" i="75"/>
  <c r="BE1101" i="75"/>
  <c r="DF1100" i="75"/>
  <c r="DD1100" i="75"/>
  <c r="DB1100" i="75"/>
  <c r="CZ1100" i="75"/>
  <c r="CX1100" i="75"/>
  <c r="CV1100" i="75"/>
  <c r="CT1100" i="75"/>
  <c r="CR1100" i="75"/>
  <c r="CP1100" i="75"/>
  <c r="CN1100" i="75"/>
  <c r="CL1100" i="75"/>
  <c r="CJ1100" i="75"/>
  <c r="CH1100" i="75"/>
  <c r="CF1100" i="75"/>
  <c r="CD1100" i="75"/>
  <c r="CB1100" i="75"/>
  <c r="BZ1100" i="75"/>
  <c r="BX1100" i="75"/>
  <c r="BV1100" i="75"/>
  <c r="BT1100" i="75"/>
  <c r="BR1100" i="75"/>
  <c r="BP1100" i="75"/>
  <c r="BN1100" i="75"/>
  <c r="BL1100" i="75"/>
  <c r="BJ1100" i="75"/>
  <c r="BH1100" i="75"/>
  <c r="BF1100" i="75"/>
  <c r="BD1100" i="75"/>
  <c r="DG1095" i="75"/>
  <c r="DF1096" i="75" s="1"/>
  <c r="DG1093" i="75"/>
  <c r="DF1094" i="75" s="1"/>
  <c r="DE1095" i="75" s="1" a="1"/>
  <c r="DE1093" i="75"/>
  <c r="DG1091" i="75"/>
  <c r="DF1092" i="75" s="1"/>
  <c r="DE1091" i="75"/>
  <c r="DC1091" i="75"/>
  <c r="DG1089" i="75"/>
  <c r="DE1089" i="75"/>
  <c r="DC1089" i="75"/>
  <c r="DB1090" i="75" s="1"/>
  <c r="DA1089" i="75"/>
  <c r="DG1087" i="75"/>
  <c r="DF1088" i="75" s="1"/>
  <c r="DE1087" i="75"/>
  <c r="DD1088" i="75" s="1"/>
  <c r="DC1087" i="75"/>
  <c r="DB1088" i="75" s="1"/>
  <c r="DA1087" i="75"/>
  <c r="CY1087" i="75"/>
  <c r="DG1085" i="75"/>
  <c r="DF1086" i="75" s="1"/>
  <c r="DE1085" i="75"/>
  <c r="DC1085" i="75"/>
  <c r="DA1085" i="75"/>
  <c r="CY1085" i="75"/>
  <c r="CX1086" i="75" s="1"/>
  <c r="CW1085" i="75"/>
  <c r="DG1083" i="75"/>
  <c r="DF1084" i="75" s="1"/>
  <c r="DE1083" i="75"/>
  <c r="DC1083" i="75"/>
  <c r="DB1084" i="75" s="1"/>
  <c r="DA1083" i="75"/>
  <c r="CY1083" i="75"/>
  <c r="CW1083" i="75"/>
  <c r="CV1084" i="75" s="1"/>
  <c r="CU1083" i="75"/>
  <c r="DG1081" i="75"/>
  <c r="DE1081" i="75"/>
  <c r="DD1082" i="75" s="1"/>
  <c r="DC1081" i="75"/>
  <c r="DA1081" i="75"/>
  <c r="CY1081" i="75"/>
  <c r="CX1082" i="75" s="1"/>
  <c r="CW1081" i="75"/>
  <c r="CV1082" i="75" s="1"/>
  <c r="CU1081" i="75"/>
  <c r="CT1082" i="75" s="1"/>
  <c r="CS1081" i="75"/>
  <c r="DG1079" i="75"/>
  <c r="DF1080" i="75" s="1"/>
  <c r="DE1079" i="75"/>
  <c r="DC1079" i="75"/>
  <c r="DB1080" i="75" s="1"/>
  <c r="DA1079" i="75"/>
  <c r="CZ1080" i="75" s="1"/>
  <c r="CY1079" i="75"/>
  <c r="CW1079" i="75"/>
  <c r="CV1080" i="75" s="1"/>
  <c r="CU1079" i="75"/>
  <c r="CS1079" i="75"/>
  <c r="CR1080" i="75" s="1"/>
  <c r="CQ1079" i="75"/>
  <c r="DF1078" i="75"/>
  <c r="DD1078" i="75"/>
  <c r="DB1078" i="75"/>
  <c r="CZ1078" i="75"/>
  <c r="CX1078" i="75"/>
  <c r="CV1078" i="75"/>
  <c r="CT1078" i="75"/>
  <c r="CR1078" i="75"/>
  <c r="CP1078" i="75"/>
  <c r="DG1077" i="75"/>
  <c r="DE1077" i="75"/>
  <c r="DC1077" i="75"/>
  <c r="DA1077" i="75"/>
  <c r="CY1077" i="75"/>
  <c r="CW1077" i="75"/>
  <c r="CU1077" i="75"/>
  <c r="CS1077" i="75"/>
  <c r="CQ1077" i="75"/>
  <c r="CO1077" i="75"/>
  <c r="DF1076" i="75"/>
  <c r="DD1076" i="75"/>
  <c r="DB1076" i="75"/>
  <c r="CZ1076" i="75"/>
  <c r="CX1076" i="75"/>
  <c r="CV1076" i="75"/>
  <c r="CT1076" i="75"/>
  <c r="CR1076" i="75"/>
  <c r="CP1076" i="75"/>
  <c r="CN1076" i="75"/>
  <c r="DG1075" i="75"/>
  <c r="DE1075" i="75"/>
  <c r="DC1075" i="75"/>
  <c r="DA1075" i="75"/>
  <c r="CY1075" i="75"/>
  <c r="CW1075" i="75"/>
  <c r="CU1075" i="75"/>
  <c r="CS1075" i="75"/>
  <c r="CQ1075" i="75"/>
  <c r="CO1075" i="75"/>
  <c r="CM1075" i="75"/>
  <c r="DF1074" i="75"/>
  <c r="DD1074" i="75"/>
  <c r="DB1074" i="75"/>
  <c r="CZ1074" i="75"/>
  <c r="CX1074" i="75"/>
  <c r="CV1074" i="75"/>
  <c r="CT1074" i="75"/>
  <c r="CR1074" i="75"/>
  <c r="CP1074" i="75"/>
  <c r="CN1074" i="75"/>
  <c r="CL1074" i="75"/>
  <c r="DG1073" i="75"/>
  <c r="DE1073" i="75"/>
  <c r="DC1073" i="75"/>
  <c r="DA1073" i="75"/>
  <c r="CY1073" i="75"/>
  <c r="CW1073" i="75"/>
  <c r="CU1073" i="75"/>
  <c r="CS1073" i="75"/>
  <c r="CQ1073" i="75"/>
  <c r="CO1073" i="75"/>
  <c r="CM1073" i="75"/>
  <c r="CK1073" i="75"/>
  <c r="DF1072" i="75"/>
  <c r="DD1072" i="75"/>
  <c r="DB1072" i="75"/>
  <c r="CZ1072" i="75"/>
  <c r="CX1072" i="75"/>
  <c r="CV1072" i="75"/>
  <c r="CT1072" i="75"/>
  <c r="CR1072" i="75"/>
  <c r="CP1072" i="75"/>
  <c r="CN1072" i="75"/>
  <c r="CL1072" i="75"/>
  <c r="CJ1072" i="75"/>
  <c r="DG1071" i="75"/>
  <c r="DE1071" i="75"/>
  <c r="DC1071" i="75"/>
  <c r="DA1071" i="75"/>
  <c r="CY1071" i="75"/>
  <c r="CW1071" i="75"/>
  <c r="CU1071" i="75"/>
  <c r="CS1071" i="75"/>
  <c r="CQ1071" i="75"/>
  <c r="CO1071" i="75"/>
  <c r="CM1071" i="75"/>
  <c r="CK1071" i="75"/>
  <c r="CI1071" i="75"/>
  <c r="DF1070" i="75"/>
  <c r="DD1070" i="75"/>
  <c r="DB1070" i="75"/>
  <c r="CZ1070" i="75"/>
  <c r="CX1070" i="75"/>
  <c r="CV1070" i="75"/>
  <c r="CT1070" i="75"/>
  <c r="CR1070" i="75"/>
  <c r="CP1070" i="75"/>
  <c r="CN1070" i="75"/>
  <c r="CL1070" i="75"/>
  <c r="CJ1070" i="75"/>
  <c r="CH1070" i="75"/>
  <c r="DG1069" i="75"/>
  <c r="DE1069" i="75"/>
  <c r="DC1069" i="75"/>
  <c r="DA1069" i="75"/>
  <c r="CY1069" i="75"/>
  <c r="CW1069" i="75"/>
  <c r="CU1069" i="75"/>
  <c r="CS1069" i="75"/>
  <c r="CQ1069" i="75"/>
  <c r="CO1069" i="75"/>
  <c r="CM1069" i="75"/>
  <c r="CK1069" i="75"/>
  <c r="CI1069" i="75"/>
  <c r="CG1069" i="75"/>
  <c r="DF1068" i="75"/>
  <c r="DD1068" i="75"/>
  <c r="DB1068" i="75"/>
  <c r="CZ1068" i="75"/>
  <c r="CX1068" i="75"/>
  <c r="CV1068" i="75"/>
  <c r="CT1068" i="75"/>
  <c r="CR1068" i="75"/>
  <c r="CP1068" i="75"/>
  <c r="CN1068" i="75"/>
  <c r="CL1068" i="75"/>
  <c r="CJ1068" i="75"/>
  <c r="CH1068" i="75"/>
  <c r="CF1068" i="75"/>
  <c r="DG1067" i="75"/>
  <c r="DE1067" i="75"/>
  <c r="DC1067" i="75"/>
  <c r="DA1067" i="75"/>
  <c r="CY1067" i="75"/>
  <c r="CW1067" i="75"/>
  <c r="CU1067" i="75"/>
  <c r="CS1067" i="75"/>
  <c r="CQ1067" i="75"/>
  <c r="CO1067" i="75"/>
  <c r="CM1067" i="75"/>
  <c r="CK1067" i="75"/>
  <c r="CI1067" i="75"/>
  <c r="CG1067" i="75"/>
  <c r="CE1067" i="75"/>
  <c r="DF1066" i="75"/>
  <c r="DD1066" i="75"/>
  <c r="DB1066" i="75"/>
  <c r="CZ1066" i="75"/>
  <c r="CX1066" i="75"/>
  <c r="CV1066" i="75"/>
  <c r="CT1066" i="75"/>
  <c r="CR1066" i="75"/>
  <c r="CP1066" i="75"/>
  <c r="CN1066" i="75"/>
  <c r="CL1066" i="75"/>
  <c r="CJ1066" i="75"/>
  <c r="CH1066" i="75"/>
  <c r="CF1066" i="75"/>
  <c r="CD1066" i="75"/>
  <c r="DG1065" i="75"/>
  <c r="DE1065" i="75"/>
  <c r="DC1065" i="75"/>
  <c r="DA1065" i="75"/>
  <c r="CY1065" i="75"/>
  <c r="CW1065" i="75"/>
  <c r="CU1065" i="75"/>
  <c r="CS1065" i="75"/>
  <c r="CQ1065" i="75"/>
  <c r="CO1065" i="75"/>
  <c r="CM1065" i="75"/>
  <c r="CK1065" i="75"/>
  <c r="CI1065" i="75"/>
  <c r="CG1065" i="75"/>
  <c r="CE1065" i="75"/>
  <c r="CC1065" i="75"/>
  <c r="DF1064" i="75"/>
  <c r="DD1064" i="75"/>
  <c r="DB1064" i="75"/>
  <c r="CZ1064" i="75"/>
  <c r="CX1064" i="75"/>
  <c r="CV1064" i="75"/>
  <c r="CT1064" i="75"/>
  <c r="CR1064" i="75"/>
  <c r="CP1064" i="75"/>
  <c r="CN1064" i="75"/>
  <c r="CL1064" i="75"/>
  <c r="CJ1064" i="75"/>
  <c r="CH1064" i="75"/>
  <c r="CF1064" i="75"/>
  <c r="CD1064" i="75"/>
  <c r="CB1064" i="75"/>
  <c r="DG1063" i="75"/>
  <c r="DE1063" i="75"/>
  <c r="DC1063" i="75"/>
  <c r="DA1063" i="75"/>
  <c r="CY1063" i="75"/>
  <c r="CW1063" i="75"/>
  <c r="CU1063" i="75"/>
  <c r="CS1063" i="75"/>
  <c r="CQ1063" i="75"/>
  <c r="CO1063" i="75"/>
  <c r="CM1063" i="75"/>
  <c r="CK1063" i="75"/>
  <c r="CI1063" i="75"/>
  <c r="CG1063" i="75"/>
  <c r="CE1063" i="75"/>
  <c r="CC1063" i="75"/>
  <c r="CA1063" i="75"/>
  <c r="DF1062" i="75"/>
  <c r="DD1062" i="75"/>
  <c r="DB1062" i="75"/>
  <c r="CZ1062" i="75"/>
  <c r="CX1062" i="75"/>
  <c r="CV1062" i="75"/>
  <c r="CT1062" i="75"/>
  <c r="CR1062" i="75"/>
  <c r="CP1062" i="75"/>
  <c r="CN1062" i="75"/>
  <c r="CL1062" i="75"/>
  <c r="CJ1062" i="75"/>
  <c r="CH1062" i="75"/>
  <c r="CF1062" i="75"/>
  <c r="CD1062" i="75"/>
  <c r="CB1062" i="75"/>
  <c r="BZ1062" i="75"/>
  <c r="DG1061" i="75"/>
  <c r="DE1061" i="75"/>
  <c r="DC1061" i="75"/>
  <c r="DA1061" i="75"/>
  <c r="CY1061" i="75"/>
  <c r="CW1061" i="75"/>
  <c r="CU1061" i="75"/>
  <c r="CS1061" i="75"/>
  <c r="CQ1061" i="75"/>
  <c r="CO1061" i="75"/>
  <c r="CM1061" i="75"/>
  <c r="CK1061" i="75"/>
  <c r="CI1061" i="75"/>
  <c r="CG1061" i="75"/>
  <c r="CE1061" i="75"/>
  <c r="CC1061" i="75"/>
  <c r="CA1061" i="75"/>
  <c r="BY1061" i="75"/>
  <c r="DF1060" i="75"/>
  <c r="DD1060" i="75"/>
  <c r="DB1060" i="75"/>
  <c r="CZ1060" i="75"/>
  <c r="CX1060" i="75"/>
  <c r="CV1060" i="75"/>
  <c r="CT1060" i="75"/>
  <c r="CR1060" i="75"/>
  <c r="CP1060" i="75"/>
  <c r="CN1060" i="75"/>
  <c r="CL1060" i="75"/>
  <c r="CJ1060" i="75"/>
  <c r="CH1060" i="75"/>
  <c r="CF1060" i="75"/>
  <c r="CD1060" i="75"/>
  <c r="CB1060" i="75"/>
  <c r="BZ1060" i="75"/>
  <c r="BX1060" i="75"/>
  <c r="DG1059" i="75"/>
  <c r="DE1059" i="75"/>
  <c r="DC1059" i="75"/>
  <c r="DA1059" i="75"/>
  <c r="CY1059" i="75"/>
  <c r="CW1059" i="75"/>
  <c r="CU1059" i="75"/>
  <c r="CS1059" i="75"/>
  <c r="CQ1059" i="75"/>
  <c r="CO1059" i="75"/>
  <c r="CM1059" i="75"/>
  <c r="CK1059" i="75"/>
  <c r="CI1059" i="75"/>
  <c r="CG1059" i="75"/>
  <c r="CE1059" i="75"/>
  <c r="CC1059" i="75"/>
  <c r="CA1059" i="75"/>
  <c r="BY1059" i="75"/>
  <c r="BW1059" i="75"/>
  <c r="DF1058" i="75"/>
  <c r="DD1058" i="75"/>
  <c r="DB1058" i="75"/>
  <c r="CZ1058" i="75"/>
  <c r="CX1058" i="75"/>
  <c r="CV1058" i="75"/>
  <c r="CT1058" i="75"/>
  <c r="CR1058" i="75"/>
  <c r="CP1058" i="75"/>
  <c r="CN1058" i="75"/>
  <c r="CL1058" i="75"/>
  <c r="CJ1058" i="75"/>
  <c r="CH1058" i="75"/>
  <c r="CF1058" i="75"/>
  <c r="CD1058" i="75"/>
  <c r="CB1058" i="75"/>
  <c r="BZ1058" i="75"/>
  <c r="BX1058" i="75"/>
  <c r="BV1058" i="75"/>
  <c r="DG1057" i="75"/>
  <c r="DE1057" i="75"/>
  <c r="DC1057" i="75"/>
  <c r="DA1057" i="75"/>
  <c r="CY1057" i="75"/>
  <c r="CW1057" i="75"/>
  <c r="CU1057" i="75"/>
  <c r="CS1057" i="75"/>
  <c r="CQ1057" i="75"/>
  <c r="CO1057" i="75"/>
  <c r="CM1057" i="75"/>
  <c r="CK1057" i="75"/>
  <c r="CI1057" i="75"/>
  <c r="CG1057" i="75"/>
  <c r="CE1057" i="75"/>
  <c r="CC1057" i="75"/>
  <c r="CA1057" i="75"/>
  <c r="BY1057" i="75"/>
  <c r="BW1057" i="75"/>
  <c r="BU1057" i="75"/>
  <c r="DF1056" i="75"/>
  <c r="DD1056" i="75"/>
  <c r="DB1056" i="75"/>
  <c r="CZ1056" i="75"/>
  <c r="CX1056" i="75"/>
  <c r="CV1056" i="75"/>
  <c r="CT1056" i="75"/>
  <c r="CR1056" i="75"/>
  <c r="CP1056" i="75"/>
  <c r="CN1056" i="75"/>
  <c r="CL1056" i="75"/>
  <c r="CJ1056" i="75"/>
  <c r="CH1056" i="75"/>
  <c r="CF1056" i="75"/>
  <c r="CD1056" i="75"/>
  <c r="CB1056" i="75"/>
  <c r="BZ1056" i="75"/>
  <c r="BX1056" i="75"/>
  <c r="BV1056" i="75"/>
  <c r="BT1056" i="75"/>
  <c r="DG1055" i="75"/>
  <c r="DE1055" i="75"/>
  <c r="DC1055" i="75"/>
  <c r="DA1055" i="75"/>
  <c r="CY1055" i="75"/>
  <c r="CW1055" i="75"/>
  <c r="CU1055" i="75"/>
  <c r="CS1055" i="75"/>
  <c r="CQ1055" i="75"/>
  <c r="CO1055" i="75"/>
  <c r="CM1055" i="75"/>
  <c r="CK1055" i="75"/>
  <c r="CI1055" i="75"/>
  <c r="CG1055" i="75"/>
  <c r="CE1055" i="75"/>
  <c r="CC1055" i="75"/>
  <c r="CA1055" i="75"/>
  <c r="BY1055" i="75"/>
  <c r="BW1055" i="75"/>
  <c r="BU1055" i="75"/>
  <c r="BS1055" i="75"/>
  <c r="DF1054" i="75"/>
  <c r="DD1054" i="75"/>
  <c r="DB1054" i="75"/>
  <c r="CZ1054" i="75"/>
  <c r="CX1054" i="75"/>
  <c r="CV1054" i="75"/>
  <c r="CT1054" i="75"/>
  <c r="CR1054" i="75"/>
  <c r="CP1054" i="75"/>
  <c r="CN1054" i="75"/>
  <c r="CL1054" i="75"/>
  <c r="CJ1054" i="75"/>
  <c r="CH1054" i="75"/>
  <c r="CF1054" i="75"/>
  <c r="CD1054" i="75"/>
  <c r="CB1054" i="75"/>
  <c r="BZ1054" i="75"/>
  <c r="BX1054" i="75"/>
  <c r="BV1054" i="75"/>
  <c r="BT1054" i="75"/>
  <c r="BR1054" i="75"/>
  <c r="DG1053" i="75"/>
  <c r="DE1053" i="75"/>
  <c r="DC1053" i="75"/>
  <c r="DA1053" i="75"/>
  <c r="CY1053" i="75"/>
  <c r="CW1053" i="75"/>
  <c r="CU1053" i="75"/>
  <c r="CS1053" i="75"/>
  <c r="CQ1053" i="75"/>
  <c r="CO1053" i="75"/>
  <c r="CM1053" i="75"/>
  <c r="CK1053" i="75"/>
  <c r="CI1053" i="75"/>
  <c r="CG1053" i="75"/>
  <c r="CE1053" i="75"/>
  <c r="CC1053" i="75"/>
  <c r="CA1053" i="75"/>
  <c r="BY1053" i="75"/>
  <c r="BW1053" i="75"/>
  <c r="BU1053" i="75"/>
  <c r="BS1053" i="75"/>
  <c r="BQ1053" i="75"/>
  <c r="DF1052" i="75"/>
  <c r="DD1052" i="75"/>
  <c r="DB1052" i="75"/>
  <c r="CZ1052" i="75"/>
  <c r="CX1052" i="75"/>
  <c r="CV1052" i="75"/>
  <c r="CT1052" i="75"/>
  <c r="CR1052" i="75"/>
  <c r="CP1052" i="75"/>
  <c r="CN1052" i="75"/>
  <c r="CL1052" i="75"/>
  <c r="CJ1052" i="75"/>
  <c r="CH1052" i="75"/>
  <c r="CF1052" i="75"/>
  <c r="CD1052" i="75"/>
  <c r="CB1052" i="75"/>
  <c r="BZ1052" i="75"/>
  <c r="BX1052" i="75"/>
  <c r="BV1052" i="75"/>
  <c r="BT1052" i="75"/>
  <c r="BR1052" i="75"/>
  <c r="BP1052" i="75"/>
  <c r="DG1051" i="75"/>
  <c r="DE1051" i="75"/>
  <c r="DC1051" i="75"/>
  <c r="DA1051" i="75"/>
  <c r="CY1051" i="75"/>
  <c r="CW1051" i="75"/>
  <c r="CU1051" i="75"/>
  <c r="CS1051" i="75"/>
  <c r="CQ1051" i="75"/>
  <c r="CO1051" i="75"/>
  <c r="CM1051" i="75"/>
  <c r="CK1051" i="75"/>
  <c r="CI1051" i="75"/>
  <c r="CG1051" i="75"/>
  <c r="CE1051" i="75"/>
  <c r="CC1051" i="75"/>
  <c r="CA1051" i="75"/>
  <c r="BY1051" i="75"/>
  <c r="BW1051" i="75"/>
  <c r="BU1051" i="75"/>
  <c r="BS1051" i="75"/>
  <c r="BQ1051" i="75"/>
  <c r="BO1051" i="75"/>
  <c r="DF1050" i="75"/>
  <c r="DD1050" i="75"/>
  <c r="DB1050" i="75"/>
  <c r="CZ1050" i="75"/>
  <c r="CX1050" i="75"/>
  <c r="CV1050" i="75"/>
  <c r="CT1050" i="75"/>
  <c r="CR1050" i="75"/>
  <c r="CP1050" i="75"/>
  <c r="CN1050" i="75"/>
  <c r="CL1050" i="75"/>
  <c r="CJ1050" i="75"/>
  <c r="CH1050" i="75"/>
  <c r="CF1050" i="75"/>
  <c r="CD1050" i="75"/>
  <c r="CB1050" i="75"/>
  <c r="BZ1050" i="75"/>
  <c r="BX1050" i="75"/>
  <c r="BV1050" i="75"/>
  <c r="BT1050" i="75"/>
  <c r="BR1050" i="75"/>
  <c r="BP1050" i="75"/>
  <c r="BN1050" i="75"/>
  <c r="DG1049" i="75"/>
  <c r="DE1049" i="75"/>
  <c r="DC1049" i="75"/>
  <c r="DA1049" i="75"/>
  <c r="CY1049" i="75"/>
  <c r="CW1049" i="75"/>
  <c r="CU1049" i="75"/>
  <c r="CS1049" i="75"/>
  <c r="CQ1049" i="75"/>
  <c r="CO1049" i="75"/>
  <c r="CM1049" i="75"/>
  <c r="CK1049" i="75"/>
  <c r="CI1049" i="75"/>
  <c r="CG1049" i="75"/>
  <c r="CE1049" i="75"/>
  <c r="CC1049" i="75"/>
  <c r="CA1049" i="75"/>
  <c r="BY1049" i="75"/>
  <c r="BW1049" i="75"/>
  <c r="BU1049" i="75"/>
  <c r="BS1049" i="75"/>
  <c r="BQ1049" i="75"/>
  <c r="BO1049" i="75"/>
  <c r="BM1049" i="75"/>
  <c r="DF1048" i="75"/>
  <c r="DD1048" i="75"/>
  <c r="DB1048" i="75"/>
  <c r="CZ1048" i="75"/>
  <c r="CX1048" i="75"/>
  <c r="CV1048" i="75"/>
  <c r="CT1048" i="75"/>
  <c r="CR1048" i="75"/>
  <c r="CP1048" i="75"/>
  <c r="CN1048" i="75"/>
  <c r="CL1048" i="75"/>
  <c r="CJ1048" i="75"/>
  <c r="CH1048" i="75"/>
  <c r="CF1048" i="75"/>
  <c r="CD1048" i="75"/>
  <c r="CB1048" i="75"/>
  <c r="BZ1048" i="75"/>
  <c r="BX1048" i="75"/>
  <c r="BV1048" i="75"/>
  <c r="BT1048" i="75"/>
  <c r="BR1048" i="75"/>
  <c r="BP1048" i="75"/>
  <c r="BN1048" i="75"/>
  <c r="BL1048" i="75"/>
  <c r="DG1047" i="75"/>
  <c r="DE1047" i="75"/>
  <c r="DC1047" i="75"/>
  <c r="DA1047" i="75"/>
  <c r="CY1047" i="75"/>
  <c r="CW1047" i="75"/>
  <c r="CU1047" i="75"/>
  <c r="CS1047" i="75"/>
  <c r="CQ1047" i="75"/>
  <c r="CO1047" i="75"/>
  <c r="CM1047" i="75"/>
  <c r="CK1047" i="75"/>
  <c r="CI1047" i="75"/>
  <c r="CG1047" i="75"/>
  <c r="CE1047" i="75"/>
  <c r="CC1047" i="75"/>
  <c r="CA1047" i="75"/>
  <c r="BY1047" i="75"/>
  <c r="BW1047" i="75"/>
  <c r="BU1047" i="75"/>
  <c r="BS1047" i="75"/>
  <c r="BQ1047" i="75"/>
  <c r="BO1047" i="75"/>
  <c r="BM1047" i="75"/>
  <c r="BK1047" i="75"/>
  <c r="DF1046" i="75"/>
  <c r="DD1046" i="75"/>
  <c r="DB1046" i="75"/>
  <c r="CZ1046" i="75"/>
  <c r="CX1046" i="75"/>
  <c r="CV1046" i="75"/>
  <c r="CT1046" i="75"/>
  <c r="CR1046" i="75"/>
  <c r="CP1046" i="75"/>
  <c r="CN1046" i="75"/>
  <c r="CL1046" i="75"/>
  <c r="CJ1046" i="75"/>
  <c r="CH1046" i="75"/>
  <c r="CF1046" i="75"/>
  <c r="CD1046" i="75"/>
  <c r="CB1046" i="75"/>
  <c r="BZ1046" i="75"/>
  <c r="BX1046" i="75"/>
  <c r="BV1046" i="75"/>
  <c r="BT1046" i="75"/>
  <c r="BR1046" i="75"/>
  <c r="BP1046" i="75"/>
  <c r="BN1046" i="75"/>
  <c r="BL1046" i="75"/>
  <c r="BJ1046" i="75"/>
  <c r="DG1045" i="75"/>
  <c r="DE1045" i="75"/>
  <c r="DC1045" i="75"/>
  <c r="DA1045" i="75"/>
  <c r="CY1045" i="75"/>
  <c r="CW1045" i="75"/>
  <c r="CU1045" i="75"/>
  <c r="CS1045" i="75"/>
  <c r="CQ1045" i="75"/>
  <c r="CO1045" i="75"/>
  <c r="CM1045" i="75"/>
  <c r="CK1045" i="75"/>
  <c r="CI1045" i="75"/>
  <c r="CG1045" i="75"/>
  <c r="CE1045" i="75"/>
  <c r="CC1045" i="75"/>
  <c r="CA1045" i="75"/>
  <c r="BY1045" i="75"/>
  <c r="BW1045" i="75"/>
  <c r="BU1045" i="75"/>
  <c r="BS1045" i="75"/>
  <c r="BQ1045" i="75"/>
  <c r="BO1045" i="75"/>
  <c r="BM1045" i="75"/>
  <c r="BK1045" i="75"/>
  <c r="BI1045" i="75"/>
  <c r="DF1044" i="75"/>
  <c r="DD1044" i="75"/>
  <c r="DB1044" i="75"/>
  <c r="CZ1044" i="75"/>
  <c r="CX1044" i="75"/>
  <c r="CV1044" i="75"/>
  <c r="CT1044" i="75"/>
  <c r="CR1044" i="75"/>
  <c r="CP1044" i="75"/>
  <c r="CN1044" i="75"/>
  <c r="CL1044" i="75"/>
  <c r="CJ1044" i="75"/>
  <c r="CH1044" i="75"/>
  <c r="CF1044" i="75"/>
  <c r="CD1044" i="75"/>
  <c r="CB1044" i="75"/>
  <c r="BZ1044" i="75"/>
  <c r="BX1044" i="75"/>
  <c r="BV1044" i="75"/>
  <c r="BT1044" i="75"/>
  <c r="BR1044" i="75"/>
  <c r="BP1044" i="75"/>
  <c r="BN1044" i="75"/>
  <c r="BL1044" i="75"/>
  <c r="BJ1044" i="75"/>
  <c r="BH1044" i="75"/>
  <c r="DG1043" i="75"/>
  <c r="DE1043" i="75"/>
  <c r="DC1043" i="75"/>
  <c r="DA1043" i="75"/>
  <c r="CY1043" i="75"/>
  <c r="CW1043" i="75"/>
  <c r="CU1043" i="75"/>
  <c r="CS1043" i="75"/>
  <c r="CQ1043" i="75"/>
  <c r="CO1043" i="75"/>
  <c r="CM1043" i="75"/>
  <c r="CK1043" i="75"/>
  <c r="CI1043" i="75"/>
  <c r="CG1043" i="75"/>
  <c r="CE1043" i="75"/>
  <c r="CC1043" i="75"/>
  <c r="CA1043" i="75"/>
  <c r="BY1043" i="75"/>
  <c r="BW1043" i="75"/>
  <c r="BU1043" i="75"/>
  <c r="BS1043" i="75"/>
  <c r="BQ1043" i="75"/>
  <c r="BO1043" i="75"/>
  <c r="BM1043" i="75"/>
  <c r="BK1043" i="75"/>
  <c r="BI1043" i="75"/>
  <c r="BG1043" i="75"/>
  <c r="DF1042" i="75"/>
  <c r="DD1042" i="75"/>
  <c r="DB1042" i="75"/>
  <c r="CZ1042" i="75"/>
  <c r="CX1042" i="75"/>
  <c r="CV1042" i="75"/>
  <c r="CT1042" i="75"/>
  <c r="CR1042" i="75"/>
  <c r="CP1042" i="75"/>
  <c r="CN1042" i="75"/>
  <c r="CL1042" i="75"/>
  <c r="CJ1042" i="75"/>
  <c r="CH1042" i="75"/>
  <c r="CF1042" i="75"/>
  <c r="CD1042" i="75"/>
  <c r="CB1042" i="75"/>
  <c r="BZ1042" i="75"/>
  <c r="BX1042" i="75"/>
  <c r="BV1042" i="75"/>
  <c r="BT1042" i="75"/>
  <c r="BR1042" i="75"/>
  <c r="BP1042" i="75"/>
  <c r="BN1042" i="75"/>
  <c r="BL1042" i="75"/>
  <c r="BJ1042" i="75"/>
  <c r="BH1042" i="75"/>
  <c r="BF1042" i="75"/>
  <c r="DG1041" i="75"/>
  <c r="DE1041" i="75"/>
  <c r="DC1041" i="75"/>
  <c r="DA1041" i="75"/>
  <c r="CY1041" i="75"/>
  <c r="CW1041" i="75"/>
  <c r="CU1041" i="75"/>
  <c r="CS1041" i="75"/>
  <c r="CQ1041" i="75"/>
  <c r="CO1041" i="75"/>
  <c r="CM1041" i="75"/>
  <c r="CK1041" i="75"/>
  <c r="CI1041" i="75"/>
  <c r="CG1041" i="75"/>
  <c r="CE1041" i="75"/>
  <c r="CC1041" i="75"/>
  <c r="CA1041" i="75"/>
  <c r="BY1041" i="75"/>
  <c r="BW1041" i="75"/>
  <c r="BU1041" i="75"/>
  <c r="BS1041" i="75"/>
  <c r="BQ1041" i="75"/>
  <c r="BO1041" i="75"/>
  <c r="BM1041" i="75"/>
  <c r="BK1041" i="75"/>
  <c r="BI1041" i="75"/>
  <c r="BG1041" i="75"/>
  <c r="BE1041" i="75"/>
  <c r="DF1040" i="75"/>
  <c r="DD1040" i="75"/>
  <c r="DB1040" i="75"/>
  <c r="CZ1040" i="75"/>
  <c r="CX1040" i="75"/>
  <c r="CV1040" i="75"/>
  <c r="CT1040" i="75"/>
  <c r="CR1040" i="75"/>
  <c r="CP1040" i="75"/>
  <c r="CN1040" i="75"/>
  <c r="CL1040" i="75"/>
  <c r="CJ1040" i="75"/>
  <c r="CH1040" i="75"/>
  <c r="CF1040" i="75"/>
  <c r="CD1040" i="75"/>
  <c r="CB1040" i="75"/>
  <c r="BZ1040" i="75"/>
  <c r="BX1040" i="75"/>
  <c r="BV1040" i="75"/>
  <c r="BT1040" i="75"/>
  <c r="BR1040" i="75"/>
  <c r="BP1040" i="75"/>
  <c r="BN1040" i="75"/>
  <c r="BL1040" i="75"/>
  <c r="BJ1040" i="75"/>
  <c r="BH1040" i="75"/>
  <c r="BF1040" i="75"/>
  <c r="BD1040" i="75"/>
  <c r="DG1035" i="75"/>
  <c r="DF1036" i="75" s="1"/>
  <c r="DG1033" i="75"/>
  <c r="DF1034" i="75" s="1"/>
  <c r="DE1035" i="75" s="1" a="1"/>
  <c r="DE1035" i="75" s="1"/>
  <c r="DE1033" i="75"/>
  <c r="DG1031" i="75"/>
  <c r="DF1032" i="75" s="1"/>
  <c r="DE1031" i="75"/>
  <c r="DD1032" i="75" s="1"/>
  <c r="DC1031" i="75"/>
  <c r="DG1029" i="75"/>
  <c r="DE1029" i="75"/>
  <c r="DC1029" i="75"/>
  <c r="DB1030" i="75" s="1"/>
  <c r="DA1029" i="75"/>
  <c r="DG1027" i="75"/>
  <c r="DE1027" i="75"/>
  <c r="DD1028" i="75" s="1"/>
  <c r="DC1027" i="75"/>
  <c r="DA1027" i="75"/>
  <c r="CZ1028" i="75" s="1"/>
  <c r="CY1027" i="75"/>
  <c r="DG1025" i="75"/>
  <c r="DE1025" i="75"/>
  <c r="DC1025" i="75"/>
  <c r="DA1025" i="75"/>
  <c r="CZ1026" i="75" s="1"/>
  <c r="CY1025" i="75"/>
  <c r="CX1026" i="75" s="1"/>
  <c r="CW1025" i="75"/>
  <c r="DG1023" i="75"/>
  <c r="DF1024" i="75" s="1"/>
  <c r="DE1023" i="75"/>
  <c r="DC1023" i="75"/>
  <c r="DB1024" i="75" s="1"/>
  <c r="DA1023" i="75"/>
  <c r="CZ1024" i="75" s="1"/>
  <c r="CY1023" i="75"/>
  <c r="CW1023" i="75"/>
  <c r="CU1023" i="75"/>
  <c r="DG1021" i="75"/>
  <c r="DF1022" i="75" s="1"/>
  <c r="DE1021" i="75"/>
  <c r="DD1022" i="75" s="1"/>
  <c r="DC1021" i="75"/>
  <c r="DA1021" i="75"/>
  <c r="CY1021" i="75"/>
  <c r="CX1022" i="75" s="1"/>
  <c r="CW1021" i="75"/>
  <c r="CV1022" i="75" s="1"/>
  <c r="CU1021" i="75"/>
  <c r="CS1021" i="75"/>
  <c r="DG1019" i="75"/>
  <c r="DF1020" i="75" s="1"/>
  <c r="DE1019" i="75"/>
  <c r="DC1019" i="75"/>
  <c r="DA1019" i="75"/>
  <c r="CZ1020" i="75" s="1"/>
  <c r="CY1019" i="75"/>
  <c r="CX1020" i="75" s="1"/>
  <c r="CW1019" i="75"/>
  <c r="CV1020" i="75" s="1"/>
  <c r="CU1019" i="75"/>
  <c r="CT1020" i="75" s="1"/>
  <c r="CS1019" i="75"/>
  <c r="CR1020" i="75" s="1"/>
  <c r="CQ1019" i="75"/>
  <c r="DF1018" i="75"/>
  <c r="DD1018" i="75"/>
  <c r="DB1018" i="75"/>
  <c r="CZ1018" i="75"/>
  <c r="CX1018" i="75"/>
  <c r="CV1018" i="75"/>
  <c r="CT1018" i="75"/>
  <c r="CR1018" i="75"/>
  <c r="CP1018" i="75"/>
  <c r="DG1017" i="75"/>
  <c r="DE1017" i="75"/>
  <c r="DC1017" i="75"/>
  <c r="DA1017" i="75"/>
  <c r="CY1017" i="75"/>
  <c r="CW1017" i="75"/>
  <c r="CU1017" i="75"/>
  <c r="CS1017" i="75"/>
  <c r="CQ1017" i="75"/>
  <c r="CO1017" i="75"/>
  <c r="DF1016" i="75"/>
  <c r="DD1016" i="75"/>
  <c r="DB1016" i="75"/>
  <c r="CZ1016" i="75"/>
  <c r="CX1016" i="75"/>
  <c r="CV1016" i="75"/>
  <c r="CT1016" i="75"/>
  <c r="CR1016" i="75"/>
  <c r="CP1016" i="75"/>
  <c r="CN1016" i="75"/>
  <c r="DG1015" i="75"/>
  <c r="DE1015" i="75"/>
  <c r="DC1015" i="75"/>
  <c r="DA1015" i="75"/>
  <c r="CY1015" i="75"/>
  <c r="CW1015" i="75"/>
  <c r="CU1015" i="75"/>
  <c r="CS1015" i="75"/>
  <c r="CQ1015" i="75"/>
  <c r="CO1015" i="75"/>
  <c r="CM1015" i="75"/>
  <c r="DF1014" i="75"/>
  <c r="DD1014" i="75"/>
  <c r="DB1014" i="75"/>
  <c r="CZ1014" i="75"/>
  <c r="CX1014" i="75"/>
  <c r="CV1014" i="75"/>
  <c r="CT1014" i="75"/>
  <c r="CR1014" i="75"/>
  <c r="CP1014" i="75"/>
  <c r="CN1014" i="75"/>
  <c r="CL1014" i="75"/>
  <c r="DG1013" i="75"/>
  <c r="DE1013" i="75"/>
  <c r="DC1013" i="75"/>
  <c r="DA1013" i="75"/>
  <c r="CY1013" i="75"/>
  <c r="CW1013" i="75"/>
  <c r="CU1013" i="75"/>
  <c r="CS1013" i="75"/>
  <c r="CQ1013" i="75"/>
  <c r="CO1013" i="75"/>
  <c r="CM1013" i="75"/>
  <c r="CK1013" i="75"/>
  <c r="DF1012" i="75"/>
  <c r="DD1012" i="75"/>
  <c r="DB1012" i="75"/>
  <c r="CZ1012" i="75"/>
  <c r="CX1012" i="75"/>
  <c r="CV1012" i="75"/>
  <c r="CT1012" i="75"/>
  <c r="CR1012" i="75"/>
  <c r="CP1012" i="75"/>
  <c r="CN1012" i="75"/>
  <c r="CL1012" i="75"/>
  <c r="CJ1012" i="75"/>
  <c r="DG1011" i="75"/>
  <c r="DE1011" i="75"/>
  <c r="DC1011" i="75"/>
  <c r="DA1011" i="75"/>
  <c r="CY1011" i="75"/>
  <c r="CW1011" i="75"/>
  <c r="CU1011" i="75"/>
  <c r="CS1011" i="75"/>
  <c r="CQ1011" i="75"/>
  <c r="CO1011" i="75"/>
  <c r="CM1011" i="75"/>
  <c r="CK1011" i="75"/>
  <c r="CI1011" i="75"/>
  <c r="DF1010" i="75"/>
  <c r="DD1010" i="75"/>
  <c r="DB1010" i="75"/>
  <c r="CZ1010" i="75"/>
  <c r="CX1010" i="75"/>
  <c r="CV1010" i="75"/>
  <c r="CT1010" i="75"/>
  <c r="CR1010" i="75"/>
  <c r="CP1010" i="75"/>
  <c r="CN1010" i="75"/>
  <c r="CL1010" i="75"/>
  <c r="CJ1010" i="75"/>
  <c r="CH1010" i="75"/>
  <c r="DG1009" i="75"/>
  <c r="DE1009" i="75"/>
  <c r="DC1009" i="75"/>
  <c r="DA1009" i="75"/>
  <c r="CY1009" i="75"/>
  <c r="CW1009" i="75"/>
  <c r="CU1009" i="75"/>
  <c r="CS1009" i="75"/>
  <c r="CQ1009" i="75"/>
  <c r="CO1009" i="75"/>
  <c r="CM1009" i="75"/>
  <c r="CK1009" i="75"/>
  <c r="CI1009" i="75"/>
  <c r="CG1009" i="75"/>
  <c r="DF1008" i="75"/>
  <c r="DD1008" i="75"/>
  <c r="DB1008" i="75"/>
  <c r="CZ1008" i="75"/>
  <c r="CX1008" i="75"/>
  <c r="CV1008" i="75"/>
  <c r="CT1008" i="75"/>
  <c r="CR1008" i="75"/>
  <c r="CP1008" i="75"/>
  <c r="CN1008" i="75"/>
  <c r="CL1008" i="75"/>
  <c r="CJ1008" i="75"/>
  <c r="CH1008" i="75"/>
  <c r="CF1008" i="75"/>
  <c r="DG1007" i="75"/>
  <c r="DE1007" i="75"/>
  <c r="DC1007" i="75"/>
  <c r="DA1007" i="75"/>
  <c r="CY1007" i="75"/>
  <c r="CW1007" i="75"/>
  <c r="CU1007" i="75"/>
  <c r="CS1007" i="75"/>
  <c r="CQ1007" i="75"/>
  <c r="CO1007" i="75"/>
  <c r="CM1007" i="75"/>
  <c r="CK1007" i="75"/>
  <c r="CI1007" i="75"/>
  <c r="CG1007" i="75"/>
  <c r="CE1007" i="75"/>
  <c r="DF1006" i="75"/>
  <c r="DD1006" i="75"/>
  <c r="DB1006" i="75"/>
  <c r="CZ1006" i="75"/>
  <c r="CX1006" i="75"/>
  <c r="CV1006" i="75"/>
  <c r="CT1006" i="75"/>
  <c r="CR1006" i="75"/>
  <c r="CP1006" i="75"/>
  <c r="CN1006" i="75"/>
  <c r="CL1006" i="75"/>
  <c r="CJ1006" i="75"/>
  <c r="CH1006" i="75"/>
  <c r="CF1006" i="75"/>
  <c r="CD1006" i="75"/>
  <c r="DG1005" i="75"/>
  <c r="DE1005" i="75"/>
  <c r="DC1005" i="75"/>
  <c r="DA1005" i="75"/>
  <c r="CY1005" i="75"/>
  <c r="CW1005" i="75"/>
  <c r="CU1005" i="75"/>
  <c r="CS1005" i="75"/>
  <c r="CQ1005" i="75"/>
  <c r="CO1005" i="75"/>
  <c r="CM1005" i="75"/>
  <c r="CK1005" i="75"/>
  <c r="CI1005" i="75"/>
  <c r="CG1005" i="75"/>
  <c r="CE1005" i="75"/>
  <c r="CC1005" i="75"/>
  <c r="DF1004" i="75"/>
  <c r="DD1004" i="75"/>
  <c r="DB1004" i="75"/>
  <c r="CZ1004" i="75"/>
  <c r="CX1004" i="75"/>
  <c r="CV1004" i="75"/>
  <c r="CT1004" i="75"/>
  <c r="CR1004" i="75"/>
  <c r="CP1004" i="75"/>
  <c r="CN1004" i="75"/>
  <c r="CL1004" i="75"/>
  <c r="CJ1004" i="75"/>
  <c r="CH1004" i="75"/>
  <c r="CF1004" i="75"/>
  <c r="CD1004" i="75"/>
  <c r="CB1004" i="75"/>
  <c r="DG1003" i="75"/>
  <c r="DE1003" i="75"/>
  <c r="DC1003" i="75"/>
  <c r="DA1003" i="75"/>
  <c r="CY1003" i="75"/>
  <c r="CW1003" i="75"/>
  <c r="CU1003" i="75"/>
  <c r="CS1003" i="75"/>
  <c r="CQ1003" i="75"/>
  <c r="CO1003" i="75"/>
  <c r="CM1003" i="75"/>
  <c r="CK1003" i="75"/>
  <c r="CI1003" i="75"/>
  <c r="CG1003" i="75"/>
  <c r="CE1003" i="75"/>
  <c r="CC1003" i="75"/>
  <c r="CA1003" i="75"/>
  <c r="DF1002" i="75"/>
  <c r="DD1002" i="75"/>
  <c r="DB1002" i="75"/>
  <c r="CZ1002" i="75"/>
  <c r="CX1002" i="75"/>
  <c r="CV1002" i="75"/>
  <c r="CT1002" i="75"/>
  <c r="CR1002" i="75"/>
  <c r="CP1002" i="75"/>
  <c r="CN1002" i="75"/>
  <c r="CL1002" i="75"/>
  <c r="CJ1002" i="75"/>
  <c r="CH1002" i="75"/>
  <c r="CF1002" i="75"/>
  <c r="CD1002" i="75"/>
  <c r="CB1002" i="75"/>
  <c r="BZ1002" i="75"/>
  <c r="DG1001" i="75"/>
  <c r="DE1001" i="75"/>
  <c r="DC1001" i="75"/>
  <c r="DA1001" i="75"/>
  <c r="CY1001" i="75"/>
  <c r="CW1001" i="75"/>
  <c r="CU1001" i="75"/>
  <c r="CS1001" i="75"/>
  <c r="CQ1001" i="75"/>
  <c r="CO1001" i="75"/>
  <c r="CM1001" i="75"/>
  <c r="CK1001" i="75"/>
  <c r="CI1001" i="75"/>
  <c r="CG1001" i="75"/>
  <c r="CE1001" i="75"/>
  <c r="CC1001" i="75"/>
  <c r="CA1001" i="75"/>
  <c r="BY1001" i="75"/>
  <c r="DF1000" i="75"/>
  <c r="DD1000" i="75"/>
  <c r="DB1000" i="75"/>
  <c r="CZ1000" i="75"/>
  <c r="CX1000" i="75"/>
  <c r="CV1000" i="75"/>
  <c r="CT1000" i="75"/>
  <c r="CR1000" i="75"/>
  <c r="CP1000" i="75"/>
  <c r="CN1000" i="75"/>
  <c r="CL1000" i="75"/>
  <c r="CJ1000" i="75"/>
  <c r="CH1000" i="75"/>
  <c r="CF1000" i="75"/>
  <c r="CD1000" i="75"/>
  <c r="CB1000" i="75"/>
  <c r="BZ1000" i="75"/>
  <c r="BX1000" i="75"/>
  <c r="DG999" i="75"/>
  <c r="DE999" i="75"/>
  <c r="DC999" i="75"/>
  <c r="DA999" i="75"/>
  <c r="CY999" i="75"/>
  <c r="CW999" i="75"/>
  <c r="CU999" i="75"/>
  <c r="CS999" i="75"/>
  <c r="CQ999" i="75"/>
  <c r="CO999" i="75"/>
  <c r="CM999" i="75"/>
  <c r="CK999" i="75"/>
  <c r="CI999" i="75"/>
  <c r="CG999" i="75"/>
  <c r="CE999" i="75"/>
  <c r="CC999" i="75"/>
  <c r="CA999" i="75"/>
  <c r="BY999" i="75"/>
  <c r="BW999" i="75"/>
  <c r="DF998" i="75"/>
  <c r="DD998" i="75"/>
  <c r="DB998" i="75"/>
  <c r="CZ998" i="75"/>
  <c r="CX998" i="75"/>
  <c r="CV998" i="75"/>
  <c r="CT998" i="75"/>
  <c r="CR998" i="75"/>
  <c r="CP998" i="75"/>
  <c r="CN998" i="75"/>
  <c r="CL998" i="75"/>
  <c r="CJ998" i="75"/>
  <c r="CH998" i="75"/>
  <c r="CF998" i="75"/>
  <c r="CD998" i="75"/>
  <c r="CB998" i="75"/>
  <c r="BZ998" i="75"/>
  <c r="BX998" i="75"/>
  <c r="BV998" i="75"/>
  <c r="DG997" i="75"/>
  <c r="DE997" i="75"/>
  <c r="DC997" i="75"/>
  <c r="DA997" i="75"/>
  <c r="CY997" i="75"/>
  <c r="CW997" i="75"/>
  <c r="CU997" i="75"/>
  <c r="CS997" i="75"/>
  <c r="CQ997" i="75"/>
  <c r="CO997" i="75"/>
  <c r="CM997" i="75"/>
  <c r="CK997" i="75"/>
  <c r="CI997" i="75"/>
  <c r="CG997" i="75"/>
  <c r="CE997" i="75"/>
  <c r="CC997" i="75"/>
  <c r="CA997" i="75"/>
  <c r="BY997" i="75"/>
  <c r="BW997" i="75"/>
  <c r="BU997" i="75"/>
  <c r="DF996" i="75"/>
  <c r="DD996" i="75"/>
  <c r="DB996" i="75"/>
  <c r="CZ996" i="75"/>
  <c r="CX996" i="75"/>
  <c r="CV996" i="75"/>
  <c r="CT996" i="75"/>
  <c r="CR996" i="75"/>
  <c r="CP996" i="75"/>
  <c r="CN996" i="75"/>
  <c r="CL996" i="75"/>
  <c r="CJ996" i="75"/>
  <c r="CH996" i="75"/>
  <c r="CF996" i="75"/>
  <c r="CD996" i="75"/>
  <c r="CB996" i="75"/>
  <c r="BZ996" i="75"/>
  <c r="BX996" i="75"/>
  <c r="BV996" i="75"/>
  <c r="BT996" i="75"/>
  <c r="DG995" i="75"/>
  <c r="DE995" i="75"/>
  <c r="DC995" i="75"/>
  <c r="DA995" i="75"/>
  <c r="CY995" i="75"/>
  <c r="CW995" i="75"/>
  <c r="CU995" i="75"/>
  <c r="CS995" i="75"/>
  <c r="CQ995" i="75"/>
  <c r="CO995" i="75"/>
  <c r="CM995" i="75"/>
  <c r="CK995" i="75"/>
  <c r="CI995" i="75"/>
  <c r="CG995" i="75"/>
  <c r="CE995" i="75"/>
  <c r="CC995" i="75"/>
  <c r="CA995" i="75"/>
  <c r="BY995" i="75"/>
  <c r="BW995" i="75"/>
  <c r="BU995" i="75"/>
  <c r="BS995" i="75"/>
  <c r="DF994" i="75"/>
  <c r="DD994" i="75"/>
  <c r="DB994" i="75"/>
  <c r="CZ994" i="75"/>
  <c r="CX994" i="75"/>
  <c r="CV994" i="75"/>
  <c r="CT994" i="75"/>
  <c r="CR994" i="75"/>
  <c r="CP994" i="75"/>
  <c r="CN994" i="75"/>
  <c r="CL994" i="75"/>
  <c r="CJ994" i="75"/>
  <c r="CH994" i="75"/>
  <c r="CF994" i="75"/>
  <c r="CD994" i="75"/>
  <c r="CB994" i="75"/>
  <c r="BZ994" i="75"/>
  <c r="BX994" i="75"/>
  <c r="BV994" i="75"/>
  <c r="BT994" i="75"/>
  <c r="BR994" i="75"/>
  <c r="DG993" i="75"/>
  <c r="DE993" i="75"/>
  <c r="DC993" i="75"/>
  <c r="DA993" i="75"/>
  <c r="CY993" i="75"/>
  <c r="CW993" i="75"/>
  <c r="CU993" i="75"/>
  <c r="CS993" i="75"/>
  <c r="CQ993" i="75"/>
  <c r="CO993" i="75"/>
  <c r="CM993" i="75"/>
  <c r="CK993" i="75"/>
  <c r="CI993" i="75"/>
  <c r="CG993" i="75"/>
  <c r="CE993" i="75"/>
  <c r="CC993" i="75"/>
  <c r="CA993" i="75"/>
  <c r="BY993" i="75"/>
  <c r="BW993" i="75"/>
  <c r="BU993" i="75"/>
  <c r="BS993" i="75"/>
  <c r="BQ993" i="75"/>
  <c r="DF992" i="75"/>
  <c r="DD992" i="75"/>
  <c r="DB992" i="75"/>
  <c r="CZ992" i="75"/>
  <c r="CX992" i="75"/>
  <c r="CV992" i="75"/>
  <c r="CT992" i="75"/>
  <c r="CR992" i="75"/>
  <c r="CP992" i="75"/>
  <c r="CN992" i="75"/>
  <c r="CL992" i="75"/>
  <c r="CJ992" i="75"/>
  <c r="CH992" i="75"/>
  <c r="CF992" i="75"/>
  <c r="CD992" i="75"/>
  <c r="CB992" i="75"/>
  <c r="BZ992" i="75"/>
  <c r="BX992" i="75"/>
  <c r="BV992" i="75"/>
  <c r="BT992" i="75"/>
  <c r="BR992" i="75"/>
  <c r="BP992" i="75"/>
  <c r="DG991" i="75"/>
  <c r="DE991" i="75"/>
  <c r="DC991" i="75"/>
  <c r="DA991" i="75"/>
  <c r="CY991" i="75"/>
  <c r="CW991" i="75"/>
  <c r="CU991" i="75"/>
  <c r="CS991" i="75"/>
  <c r="CQ991" i="75"/>
  <c r="CO991" i="75"/>
  <c r="CM991" i="75"/>
  <c r="CK991" i="75"/>
  <c r="CI991" i="75"/>
  <c r="CG991" i="75"/>
  <c r="CE991" i="75"/>
  <c r="CC991" i="75"/>
  <c r="CA991" i="75"/>
  <c r="BY991" i="75"/>
  <c r="BW991" i="75"/>
  <c r="BU991" i="75"/>
  <c r="BS991" i="75"/>
  <c r="BQ991" i="75"/>
  <c r="BO991" i="75"/>
  <c r="DF990" i="75"/>
  <c r="DD990" i="75"/>
  <c r="DB990" i="75"/>
  <c r="CZ990" i="75"/>
  <c r="CX990" i="75"/>
  <c r="CV990" i="75"/>
  <c r="CT990" i="75"/>
  <c r="CR990" i="75"/>
  <c r="CP990" i="75"/>
  <c r="CN990" i="75"/>
  <c r="CL990" i="75"/>
  <c r="CJ990" i="75"/>
  <c r="CH990" i="75"/>
  <c r="CF990" i="75"/>
  <c r="CD990" i="75"/>
  <c r="CB990" i="75"/>
  <c r="BZ990" i="75"/>
  <c r="BX990" i="75"/>
  <c r="BV990" i="75"/>
  <c r="BT990" i="75"/>
  <c r="BR990" i="75"/>
  <c r="BP990" i="75"/>
  <c r="BN990" i="75"/>
  <c r="DG989" i="75"/>
  <c r="DE989" i="75"/>
  <c r="DC989" i="75"/>
  <c r="DA989" i="75"/>
  <c r="CY989" i="75"/>
  <c r="CW989" i="75"/>
  <c r="CU989" i="75"/>
  <c r="CS989" i="75"/>
  <c r="CQ989" i="75"/>
  <c r="CO989" i="75"/>
  <c r="CM989" i="75"/>
  <c r="CK989" i="75"/>
  <c r="CI989" i="75"/>
  <c r="CG989" i="75"/>
  <c r="CE989" i="75"/>
  <c r="CC989" i="75"/>
  <c r="CA989" i="75"/>
  <c r="BY989" i="75"/>
  <c r="BW989" i="75"/>
  <c r="BU989" i="75"/>
  <c r="BS989" i="75"/>
  <c r="BQ989" i="75"/>
  <c r="BO989" i="75"/>
  <c r="BM989" i="75"/>
  <c r="DF988" i="75"/>
  <c r="DD988" i="75"/>
  <c r="DB988" i="75"/>
  <c r="CZ988" i="75"/>
  <c r="CX988" i="75"/>
  <c r="CV988" i="75"/>
  <c r="CT988" i="75"/>
  <c r="CR988" i="75"/>
  <c r="CP988" i="75"/>
  <c r="CN988" i="75"/>
  <c r="CL988" i="75"/>
  <c r="CJ988" i="75"/>
  <c r="CH988" i="75"/>
  <c r="CF988" i="75"/>
  <c r="CD988" i="75"/>
  <c r="CB988" i="75"/>
  <c r="BZ988" i="75"/>
  <c r="BX988" i="75"/>
  <c r="BV988" i="75"/>
  <c r="BT988" i="75"/>
  <c r="BR988" i="75"/>
  <c r="BP988" i="75"/>
  <c r="BN988" i="75"/>
  <c r="BL988" i="75"/>
  <c r="DG987" i="75"/>
  <c r="DE987" i="75"/>
  <c r="DC987" i="75"/>
  <c r="DA987" i="75"/>
  <c r="CY987" i="75"/>
  <c r="CW987" i="75"/>
  <c r="CU987" i="75"/>
  <c r="CS987" i="75"/>
  <c r="CQ987" i="75"/>
  <c r="CO987" i="75"/>
  <c r="CM987" i="75"/>
  <c r="CK987" i="75"/>
  <c r="CI987" i="75"/>
  <c r="CG987" i="75"/>
  <c r="CE987" i="75"/>
  <c r="CC987" i="75"/>
  <c r="CA987" i="75"/>
  <c r="BY987" i="75"/>
  <c r="BW987" i="75"/>
  <c r="BU987" i="75"/>
  <c r="BS987" i="75"/>
  <c r="BQ987" i="75"/>
  <c r="BO987" i="75"/>
  <c r="BM987" i="75"/>
  <c r="BK987" i="75"/>
  <c r="DF986" i="75"/>
  <c r="DD986" i="75"/>
  <c r="DB986" i="75"/>
  <c r="CZ986" i="75"/>
  <c r="CX986" i="75"/>
  <c r="CV986" i="75"/>
  <c r="CT986" i="75"/>
  <c r="CR986" i="75"/>
  <c r="CP986" i="75"/>
  <c r="CN986" i="75"/>
  <c r="CL986" i="75"/>
  <c r="CJ986" i="75"/>
  <c r="CH986" i="75"/>
  <c r="CF986" i="75"/>
  <c r="CD986" i="75"/>
  <c r="CB986" i="75"/>
  <c r="BZ986" i="75"/>
  <c r="BX986" i="75"/>
  <c r="BV986" i="75"/>
  <c r="BT986" i="75"/>
  <c r="BR986" i="75"/>
  <c r="BP986" i="75"/>
  <c r="BN986" i="75"/>
  <c r="BL986" i="75"/>
  <c r="BJ986" i="75"/>
  <c r="DG985" i="75"/>
  <c r="DE985" i="75"/>
  <c r="DC985" i="75"/>
  <c r="DA985" i="75"/>
  <c r="CY985" i="75"/>
  <c r="CW985" i="75"/>
  <c r="CU985" i="75"/>
  <c r="CS985" i="75"/>
  <c r="CQ985" i="75"/>
  <c r="CO985" i="75"/>
  <c r="CM985" i="75"/>
  <c r="CK985" i="75"/>
  <c r="CI985" i="75"/>
  <c r="CG985" i="75"/>
  <c r="CE985" i="75"/>
  <c r="CC985" i="75"/>
  <c r="CA985" i="75"/>
  <c r="BY985" i="75"/>
  <c r="BW985" i="75"/>
  <c r="BU985" i="75"/>
  <c r="BS985" i="75"/>
  <c r="BQ985" i="75"/>
  <c r="BO985" i="75"/>
  <c r="BM985" i="75"/>
  <c r="BK985" i="75"/>
  <c r="BI985" i="75"/>
  <c r="DF984" i="75"/>
  <c r="DD984" i="75"/>
  <c r="DB984" i="75"/>
  <c r="CZ984" i="75"/>
  <c r="CX984" i="75"/>
  <c r="CV984" i="75"/>
  <c r="CT984" i="75"/>
  <c r="CR984" i="75"/>
  <c r="CP984" i="75"/>
  <c r="CN984" i="75"/>
  <c r="CL984" i="75"/>
  <c r="CJ984" i="75"/>
  <c r="CH984" i="75"/>
  <c r="CF984" i="75"/>
  <c r="CD984" i="75"/>
  <c r="CB984" i="75"/>
  <c r="BZ984" i="75"/>
  <c r="BX984" i="75"/>
  <c r="BV984" i="75"/>
  <c r="BT984" i="75"/>
  <c r="BR984" i="75"/>
  <c r="BP984" i="75"/>
  <c r="BN984" i="75"/>
  <c r="BL984" i="75"/>
  <c r="BJ984" i="75"/>
  <c r="BH984" i="75"/>
  <c r="DG983" i="75"/>
  <c r="DE983" i="75"/>
  <c r="DC983" i="75"/>
  <c r="DA983" i="75"/>
  <c r="CY983" i="75"/>
  <c r="CW983" i="75"/>
  <c r="CU983" i="75"/>
  <c r="CS983" i="75"/>
  <c r="CQ983" i="75"/>
  <c r="CO983" i="75"/>
  <c r="CM983" i="75"/>
  <c r="CK983" i="75"/>
  <c r="CI983" i="75"/>
  <c r="CG983" i="75"/>
  <c r="CE983" i="75"/>
  <c r="CC983" i="75"/>
  <c r="CA983" i="75"/>
  <c r="BY983" i="75"/>
  <c r="BW983" i="75"/>
  <c r="BU983" i="75"/>
  <c r="BS983" i="75"/>
  <c r="BQ983" i="75"/>
  <c r="BO983" i="75"/>
  <c r="BM983" i="75"/>
  <c r="BK983" i="75"/>
  <c r="BI983" i="75"/>
  <c r="BG983" i="75"/>
  <c r="DF982" i="75"/>
  <c r="DD982" i="75"/>
  <c r="DB982" i="75"/>
  <c r="CZ982" i="75"/>
  <c r="CX982" i="75"/>
  <c r="CV982" i="75"/>
  <c r="CT982" i="75"/>
  <c r="CR982" i="75"/>
  <c r="CP982" i="75"/>
  <c r="CN982" i="75"/>
  <c r="CL982" i="75"/>
  <c r="CJ982" i="75"/>
  <c r="CH982" i="75"/>
  <c r="CF982" i="75"/>
  <c r="CD982" i="75"/>
  <c r="CB982" i="75"/>
  <c r="BZ982" i="75"/>
  <c r="BX982" i="75"/>
  <c r="BV982" i="75"/>
  <c r="BT982" i="75"/>
  <c r="BR982" i="75"/>
  <c r="BP982" i="75"/>
  <c r="BN982" i="75"/>
  <c r="BL982" i="75"/>
  <c r="BJ982" i="75"/>
  <c r="BH982" i="75"/>
  <c r="BF982" i="75"/>
  <c r="DG981" i="75"/>
  <c r="DE981" i="75"/>
  <c r="DC981" i="75"/>
  <c r="DA981" i="75"/>
  <c r="CY981" i="75"/>
  <c r="CW981" i="75"/>
  <c r="CU981" i="75"/>
  <c r="CS981" i="75"/>
  <c r="CQ981" i="75"/>
  <c r="CO981" i="75"/>
  <c r="CM981" i="75"/>
  <c r="CK981" i="75"/>
  <c r="CI981" i="75"/>
  <c r="CG981" i="75"/>
  <c r="CE981" i="75"/>
  <c r="CC981" i="75"/>
  <c r="CA981" i="75"/>
  <c r="BY981" i="75"/>
  <c r="BW981" i="75"/>
  <c r="BU981" i="75"/>
  <c r="BS981" i="75"/>
  <c r="BQ981" i="75"/>
  <c r="BO981" i="75"/>
  <c r="BM981" i="75"/>
  <c r="BK981" i="75"/>
  <c r="BI981" i="75"/>
  <c r="BG981" i="75"/>
  <c r="BE981" i="75"/>
  <c r="DF980" i="75"/>
  <c r="DD980" i="75"/>
  <c r="DB980" i="75"/>
  <c r="CZ980" i="75"/>
  <c r="CX980" i="75"/>
  <c r="CV980" i="75"/>
  <c r="CT980" i="75"/>
  <c r="CR980" i="75"/>
  <c r="CP980" i="75"/>
  <c r="CN980" i="75"/>
  <c r="CL980" i="75"/>
  <c r="CJ980" i="75"/>
  <c r="CH980" i="75"/>
  <c r="CF980" i="75"/>
  <c r="CD980" i="75"/>
  <c r="CB980" i="75"/>
  <c r="BZ980" i="75"/>
  <c r="BX980" i="75"/>
  <c r="BV980" i="75"/>
  <c r="BT980" i="75"/>
  <c r="BR980" i="75"/>
  <c r="BP980" i="75"/>
  <c r="BN980" i="75"/>
  <c r="BL980" i="75"/>
  <c r="BJ980" i="75"/>
  <c r="BH980" i="75"/>
  <c r="BF980" i="75"/>
  <c r="BD980" i="75"/>
  <c r="DG975" i="75"/>
  <c r="DF976" i="75" s="1"/>
  <c r="DG973" i="75"/>
  <c r="DF974" i="75" s="1"/>
  <c r="DE975" i="75" s="1" a="1"/>
  <c r="DE975" i="75" s="1"/>
  <c r="DE973" i="75"/>
  <c r="DG971" i="75"/>
  <c r="DE971" i="75"/>
  <c r="DD972" i="75" s="1"/>
  <c r="DC971" i="75"/>
  <c r="DG969" i="75"/>
  <c r="DF970" i="75" s="1"/>
  <c r="DE969" i="75"/>
  <c r="DC969" i="75"/>
  <c r="DB970" i="75" s="1"/>
  <c r="DA969" i="75"/>
  <c r="DG967" i="75"/>
  <c r="DE967" i="75"/>
  <c r="DD968" i="75" s="1"/>
  <c r="DC967" i="75"/>
  <c r="DA967" i="75"/>
  <c r="CY967" i="75"/>
  <c r="DG965" i="75"/>
  <c r="DE965" i="75"/>
  <c r="DD966" i="75" s="1"/>
  <c r="DC965" i="75"/>
  <c r="DA965" i="75"/>
  <c r="CZ966" i="75" s="1"/>
  <c r="CY965" i="75"/>
  <c r="CX966" i="75" s="1"/>
  <c r="CW965" i="75"/>
  <c r="DG963" i="75"/>
  <c r="DF964" i="75" s="1"/>
  <c r="DE963" i="75"/>
  <c r="DC963" i="75"/>
  <c r="DB964" i="75" s="1"/>
  <c r="DA963" i="75"/>
  <c r="CZ964" i="75" s="1"/>
  <c r="CY963" i="75"/>
  <c r="CX964" i="75" s="1"/>
  <c r="CW963" i="75"/>
  <c r="CU963" i="75"/>
  <c r="DG961" i="75"/>
  <c r="DF962" i="75" s="1"/>
  <c r="DE961" i="75"/>
  <c r="DD962" i="75" s="1"/>
  <c r="DC961" i="75"/>
  <c r="DB962" i="75" s="1"/>
  <c r="DA961" i="75"/>
  <c r="CY961" i="75"/>
  <c r="CW961" i="75"/>
  <c r="CV962" i="75" s="1"/>
  <c r="CU961" i="75"/>
  <c r="CS961" i="75"/>
  <c r="DG959" i="75"/>
  <c r="DF960" i="75" s="1"/>
  <c r="DE959" i="75"/>
  <c r="DC959" i="75"/>
  <c r="DA959" i="75"/>
  <c r="CZ960" i="75" s="1"/>
  <c r="CY959" i="75"/>
  <c r="CW959" i="75"/>
  <c r="CV960" i="75" s="1"/>
  <c r="CU959" i="75"/>
  <c r="CS959" i="75"/>
  <c r="CR960" i="75" s="1"/>
  <c r="CQ959" i="75"/>
  <c r="DF958" i="75"/>
  <c r="DD958" i="75"/>
  <c r="DB958" i="75"/>
  <c r="CZ958" i="75"/>
  <c r="CX958" i="75"/>
  <c r="CV958" i="75"/>
  <c r="CT958" i="75"/>
  <c r="CR958" i="75"/>
  <c r="CP958" i="75"/>
  <c r="DG957" i="75"/>
  <c r="DE957" i="75"/>
  <c r="DC957" i="75"/>
  <c r="DA957" i="75"/>
  <c r="CY957" i="75"/>
  <c r="CW957" i="75"/>
  <c r="CU957" i="75"/>
  <c r="CS957" i="75"/>
  <c r="CQ957" i="75"/>
  <c r="CO957" i="75"/>
  <c r="DF956" i="75"/>
  <c r="DD956" i="75"/>
  <c r="DB956" i="75"/>
  <c r="CZ956" i="75"/>
  <c r="CX956" i="75"/>
  <c r="CV956" i="75"/>
  <c r="CT956" i="75"/>
  <c r="CR956" i="75"/>
  <c r="CP956" i="75"/>
  <c r="CN956" i="75"/>
  <c r="DG955" i="75"/>
  <c r="DE955" i="75"/>
  <c r="DC955" i="75"/>
  <c r="DA955" i="75"/>
  <c r="CY955" i="75"/>
  <c r="CW955" i="75"/>
  <c r="CU955" i="75"/>
  <c r="CS955" i="75"/>
  <c r="CQ955" i="75"/>
  <c r="CO955" i="75"/>
  <c r="CM955" i="75"/>
  <c r="DF954" i="75"/>
  <c r="DD954" i="75"/>
  <c r="DB954" i="75"/>
  <c r="CZ954" i="75"/>
  <c r="CX954" i="75"/>
  <c r="CV954" i="75"/>
  <c r="CT954" i="75"/>
  <c r="CR954" i="75"/>
  <c r="CP954" i="75"/>
  <c r="CN954" i="75"/>
  <c r="CL954" i="75"/>
  <c r="DG953" i="75"/>
  <c r="DE953" i="75"/>
  <c r="DC953" i="75"/>
  <c r="DA953" i="75"/>
  <c r="CY953" i="75"/>
  <c r="CW953" i="75"/>
  <c r="CU953" i="75"/>
  <c r="CS953" i="75"/>
  <c r="CQ953" i="75"/>
  <c r="CO953" i="75"/>
  <c r="CM953" i="75"/>
  <c r="CK953" i="75"/>
  <c r="DF952" i="75"/>
  <c r="DD952" i="75"/>
  <c r="DB952" i="75"/>
  <c r="CZ952" i="75"/>
  <c r="CX952" i="75"/>
  <c r="CV952" i="75"/>
  <c r="CT952" i="75"/>
  <c r="CR952" i="75"/>
  <c r="CP952" i="75"/>
  <c r="CN952" i="75"/>
  <c r="CL952" i="75"/>
  <c r="CJ952" i="75"/>
  <c r="DG951" i="75"/>
  <c r="DE951" i="75"/>
  <c r="DC951" i="75"/>
  <c r="DA951" i="75"/>
  <c r="CY951" i="75"/>
  <c r="CW951" i="75"/>
  <c r="CU951" i="75"/>
  <c r="CS951" i="75"/>
  <c r="CQ951" i="75"/>
  <c r="CO951" i="75"/>
  <c r="CM951" i="75"/>
  <c r="CK951" i="75"/>
  <c r="CI951" i="75"/>
  <c r="DF950" i="75"/>
  <c r="DD950" i="75"/>
  <c r="DB950" i="75"/>
  <c r="CZ950" i="75"/>
  <c r="CX950" i="75"/>
  <c r="CV950" i="75"/>
  <c r="CT950" i="75"/>
  <c r="CR950" i="75"/>
  <c r="CP950" i="75"/>
  <c r="CN950" i="75"/>
  <c r="CL950" i="75"/>
  <c r="CJ950" i="75"/>
  <c r="CH950" i="75"/>
  <c r="DG949" i="75"/>
  <c r="DE949" i="75"/>
  <c r="DC949" i="75"/>
  <c r="DA949" i="75"/>
  <c r="CY949" i="75"/>
  <c r="CW949" i="75"/>
  <c r="CU949" i="75"/>
  <c r="CS949" i="75"/>
  <c r="CQ949" i="75"/>
  <c r="CO949" i="75"/>
  <c r="CM949" i="75"/>
  <c r="CK949" i="75"/>
  <c r="CI949" i="75"/>
  <c r="CG949" i="75"/>
  <c r="DF948" i="75"/>
  <c r="DD948" i="75"/>
  <c r="DB948" i="75"/>
  <c r="CZ948" i="75"/>
  <c r="CX948" i="75"/>
  <c r="CV948" i="75"/>
  <c r="CT948" i="75"/>
  <c r="CR948" i="75"/>
  <c r="CP948" i="75"/>
  <c r="CN948" i="75"/>
  <c r="CL948" i="75"/>
  <c r="CJ948" i="75"/>
  <c r="CH948" i="75"/>
  <c r="CF948" i="75"/>
  <c r="DG947" i="75"/>
  <c r="DE947" i="75"/>
  <c r="DC947" i="75"/>
  <c r="DA947" i="75"/>
  <c r="CY947" i="75"/>
  <c r="CW947" i="75"/>
  <c r="CU947" i="75"/>
  <c r="CS947" i="75"/>
  <c r="CQ947" i="75"/>
  <c r="CO947" i="75"/>
  <c r="CM947" i="75"/>
  <c r="CK947" i="75"/>
  <c r="CI947" i="75"/>
  <c r="CG947" i="75"/>
  <c r="CE947" i="75"/>
  <c r="DF946" i="75"/>
  <c r="DD946" i="75"/>
  <c r="DB946" i="75"/>
  <c r="CZ946" i="75"/>
  <c r="CX946" i="75"/>
  <c r="CV946" i="75"/>
  <c r="CT946" i="75"/>
  <c r="CR946" i="75"/>
  <c r="CP946" i="75"/>
  <c r="CN946" i="75"/>
  <c r="CL946" i="75"/>
  <c r="CJ946" i="75"/>
  <c r="CH946" i="75"/>
  <c r="CF946" i="75"/>
  <c r="CD946" i="75"/>
  <c r="DG945" i="75"/>
  <c r="DE945" i="75"/>
  <c r="DC945" i="75"/>
  <c r="DA945" i="75"/>
  <c r="CY945" i="75"/>
  <c r="CW945" i="75"/>
  <c r="CU945" i="75"/>
  <c r="CS945" i="75"/>
  <c r="CQ945" i="75"/>
  <c r="CO945" i="75"/>
  <c r="CM945" i="75"/>
  <c r="CK945" i="75"/>
  <c r="CI945" i="75"/>
  <c r="CG945" i="75"/>
  <c r="CE945" i="75"/>
  <c r="CC945" i="75"/>
  <c r="DF944" i="75"/>
  <c r="DD944" i="75"/>
  <c r="DB944" i="75"/>
  <c r="CZ944" i="75"/>
  <c r="CX944" i="75"/>
  <c r="CV944" i="75"/>
  <c r="CT944" i="75"/>
  <c r="CR944" i="75"/>
  <c r="CP944" i="75"/>
  <c r="CN944" i="75"/>
  <c r="CL944" i="75"/>
  <c r="CJ944" i="75"/>
  <c r="CH944" i="75"/>
  <c r="CF944" i="75"/>
  <c r="CD944" i="75"/>
  <c r="CB944" i="75"/>
  <c r="DG943" i="75"/>
  <c r="DE943" i="75"/>
  <c r="DC943" i="75"/>
  <c r="DA943" i="75"/>
  <c r="CY943" i="75"/>
  <c r="CW943" i="75"/>
  <c r="CU943" i="75"/>
  <c r="CS943" i="75"/>
  <c r="CQ943" i="75"/>
  <c r="CO943" i="75"/>
  <c r="CM943" i="75"/>
  <c r="CK943" i="75"/>
  <c r="CI943" i="75"/>
  <c r="CG943" i="75"/>
  <c r="CE943" i="75"/>
  <c r="CC943" i="75"/>
  <c r="CA943" i="75"/>
  <c r="DF942" i="75"/>
  <c r="DD942" i="75"/>
  <c r="DB942" i="75"/>
  <c r="CZ942" i="75"/>
  <c r="CX942" i="75"/>
  <c r="CV942" i="75"/>
  <c r="CT942" i="75"/>
  <c r="CR942" i="75"/>
  <c r="CP942" i="75"/>
  <c r="CN942" i="75"/>
  <c r="CL942" i="75"/>
  <c r="CJ942" i="75"/>
  <c r="CH942" i="75"/>
  <c r="CF942" i="75"/>
  <c r="CD942" i="75"/>
  <c r="CB942" i="75"/>
  <c r="BZ942" i="75"/>
  <c r="DG941" i="75"/>
  <c r="DE941" i="75"/>
  <c r="DC941" i="75"/>
  <c r="DA941" i="75"/>
  <c r="CY941" i="75"/>
  <c r="CW941" i="75"/>
  <c r="CU941" i="75"/>
  <c r="CS941" i="75"/>
  <c r="CQ941" i="75"/>
  <c r="CO941" i="75"/>
  <c r="CM941" i="75"/>
  <c r="CK941" i="75"/>
  <c r="CI941" i="75"/>
  <c r="CG941" i="75"/>
  <c r="CE941" i="75"/>
  <c r="CC941" i="75"/>
  <c r="CA941" i="75"/>
  <c r="BY941" i="75"/>
  <c r="DF940" i="75"/>
  <c r="DD940" i="75"/>
  <c r="DB940" i="75"/>
  <c r="CZ940" i="75"/>
  <c r="CX940" i="75"/>
  <c r="CV940" i="75"/>
  <c r="CT940" i="75"/>
  <c r="CR940" i="75"/>
  <c r="CP940" i="75"/>
  <c r="CN940" i="75"/>
  <c r="CL940" i="75"/>
  <c r="CJ940" i="75"/>
  <c r="CH940" i="75"/>
  <c r="CF940" i="75"/>
  <c r="CD940" i="75"/>
  <c r="CB940" i="75"/>
  <c r="BZ940" i="75"/>
  <c r="BX940" i="75"/>
  <c r="DG939" i="75"/>
  <c r="DE939" i="75"/>
  <c r="DC939" i="75"/>
  <c r="DA939" i="75"/>
  <c r="CY939" i="75"/>
  <c r="CW939" i="75"/>
  <c r="CU939" i="75"/>
  <c r="CS939" i="75"/>
  <c r="CQ939" i="75"/>
  <c r="CO939" i="75"/>
  <c r="CM939" i="75"/>
  <c r="CK939" i="75"/>
  <c r="CI939" i="75"/>
  <c r="CG939" i="75"/>
  <c r="CE939" i="75"/>
  <c r="CC939" i="75"/>
  <c r="CA939" i="75"/>
  <c r="BY939" i="75"/>
  <c r="BW939" i="75"/>
  <c r="DF938" i="75"/>
  <c r="DD938" i="75"/>
  <c r="DB938" i="75"/>
  <c r="CZ938" i="75"/>
  <c r="CX938" i="75"/>
  <c r="CV938" i="75"/>
  <c r="CT938" i="75"/>
  <c r="CR938" i="75"/>
  <c r="CP938" i="75"/>
  <c r="CN938" i="75"/>
  <c r="CL938" i="75"/>
  <c r="CJ938" i="75"/>
  <c r="CH938" i="75"/>
  <c r="CF938" i="75"/>
  <c r="CD938" i="75"/>
  <c r="CB938" i="75"/>
  <c r="BZ938" i="75"/>
  <c r="BX938" i="75"/>
  <c r="BV938" i="75"/>
  <c r="DG937" i="75"/>
  <c r="DE937" i="75"/>
  <c r="DC937" i="75"/>
  <c r="DA937" i="75"/>
  <c r="CY937" i="75"/>
  <c r="CW937" i="75"/>
  <c r="CU937" i="75"/>
  <c r="CS937" i="75"/>
  <c r="CQ937" i="75"/>
  <c r="CO937" i="75"/>
  <c r="CM937" i="75"/>
  <c r="CK937" i="75"/>
  <c r="CI937" i="75"/>
  <c r="CG937" i="75"/>
  <c r="CE937" i="75"/>
  <c r="CC937" i="75"/>
  <c r="CA937" i="75"/>
  <c r="BY937" i="75"/>
  <c r="BW937" i="75"/>
  <c r="BU937" i="75"/>
  <c r="DF936" i="75"/>
  <c r="DD936" i="75"/>
  <c r="DB936" i="75"/>
  <c r="CZ936" i="75"/>
  <c r="CX936" i="75"/>
  <c r="CV936" i="75"/>
  <c r="CT936" i="75"/>
  <c r="CR936" i="75"/>
  <c r="CP936" i="75"/>
  <c r="CN936" i="75"/>
  <c r="CL936" i="75"/>
  <c r="CJ936" i="75"/>
  <c r="CH936" i="75"/>
  <c r="CF936" i="75"/>
  <c r="CD936" i="75"/>
  <c r="CB936" i="75"/>
  <c r="BZ936" i="75"/>
  <c r="BX936" i="75"/>
  <c r="BV936" i="75"/>
  <c r="BT936" i="75"/>
  <c r="DG935" i="75"/>
  <c r="DE935" i="75"/>
  <c r="DC935" i="75"/>
  <c r="DA935" i="75"/>
  <c r="CY935" i="75"/>
  <c r="CW935" i="75"/>
  <c r="CU935" i="75"/>
  <c r="CS935" i="75"/>
  <c r="CQ935" i="75"/>
  <c r="CO935" i="75"/>
  <c r="CM935" i="75"/>
  <c r="CK935" i="75"/>
  <c r="CI935" i="75"/>
  <c r="CG935" i="75"/>
  <c r="CE935" i="75"/>
  <c r="CC935" i="75"/>
  <c r="CA935" i="75"/>
  <c r="BY935" i="75"/>
  <c r="BW935" i="75"/>
  <c r="BU935" i="75"/>
  <c r="BS935" i="75"/>
  <c r="DF934" i="75"/>
  <c r="DD934" i="75"/>
  <c r="DB934" i="75"/>
  <c r="CZ934" i="75"/>
  <c r="CX934" i="75"/>
  <c r="CV934" i="75"/>
  <c r="CT934" i="75"/>
  <c r="CR934" i="75"/>
  <c r="CP934" i="75"/>
  <c r="CN934" i="75"/>
  <c r="CL934" i="75"/>
  <c r="CJ934" i="75"/>
  <c r="CH934" i="75"/>
  <c r="CF934" i="75"/>
  <c r="CD934" i="75"/>
  <c r="CB934" i="75"/>
  <c r="BZ934" i="75"/>
  <c r="BX934" i="75"/>
  <c r="BV934" i="75"/>
  <c r="BT934" i="75"/>
  <c r="BR934" i="75"/>
  <c r="DG933" i="75"/>
  <c r="DE933" i="75"/>
  <c r="DC933" i="75"/>
  <c r="DA933" i="75"/>
  <c r="CY933" i="75"/>
  <c r="CW933" i="75"/>
  <c r="CU933" i="75"/>
  <c r="CS933" i="75"/>
  <c r="CQ933" i="75"/>
  <c r="CO933" i="75"/>
  <c r="CM933" i="75"/>
  <c r="CK933" i="75"/>
  <c r="CI933" i="75"/>
  <c r="CG933" i="75"/>
  <c r="CE933" i="75"/>
  <c r="CC933" i="75"/>
  <c r="CA933" i="75"/>
  <c r="BY933" i="75"/>
  <c r="BW933" i="75"/>
  <c r="BU933" i="75"/>
  <c r="BS933" i="75"/>
  <c r="BQ933" i="75"/>
  <c r="DF932" i="75"/>
  <c r="DD932" i="75"/>
  <c r="DB932" i="75"/>
  <c r="CZ932" i="75"/>
  <c r="CX932" i="75"/>
  <c r="CV932" i="75"/>
  <c r="CT932" i="75"/>
  <c r="CR932" i="75"/>
  <c r="CP932" i="75"/>
  <c r="CN932" i="75"/>
  <c r="CL932" i="75"/>
  <c r="CJ932" i="75"/>
  <c r="CH932" i="75"/>
  <c r="CF932" i="75"/>
  <c r="CD932" i="75"/>
  <c r="CB932" i="75"/>
  <c r="BZ932" i="75"/>
  <c r="BX932" i="75"/>
  <c r="BV932" i="75"/>
  <c r="BT932" i="75"/>
  <c r="BR932" i="75"/>
  <c r="BP932" i="75"/>
  <c r="DG931" i="75"/>
  <c r="DE931" i="75"/>
  <c r="DC931" i="75"/>
  <c r="DA931" i="75"/>
  <c r="CY931" i="75"/>
  <c r="CW931" i="75"/>
  <c r="CU931" i="75"/>
  <c r="CS931" i="75"/>
  <c r="CQ931" i="75"/>
  <c r="CO931" i="75"/>
  <c r="CM931" i="75"/>
  <c r="CK931" i="75"/>
  <c r="CI931" i="75"/>
  <c r="CG931" i="75"/>
  <c r="CE931" i="75"/>
  <c r="CC931" i="75"/>
  <c r="CA931" i="75"/>
  <c r="BY931" i="75"/>
  <c r="BW931" i="75"/>
  <c r="BU931" i="75"/>
  <c r="BS931" i="75"/>
  <c r="BQ931" i="75"/>
  <c r="BO931" i="75"/>
  <c r="DF930" i="75"/>
  <c r="DD930" i="75"/>
  <c r="DB930" i="75"/>
  <c r="CZ930" i="75"/>
  <c r="CX930" i="75"/>
  <c r="CV930" i="75"/>
  <c r="CT930" i="75"/>
  <c r="CR930" i="75"/>
  <c r="CP930" i="75"/>
  <c r="CN930" i="75"/>
  <c r="CL930" i="75"/>
  <c r="CJ930" i="75"/>
  <c r="CH930" i="75"/>
  <c r="CF930" i="75"/>
  <c r="CD930" i="75"/>
  <c r="CB930" i="75"/>
  <c r="BZ930" i="75"/>
  <c r="BX930" i="75"/>
  <c r="BV930" i="75"/>
  <c r="BT930" i="75"/>
  <c r="BR930" i="75"/>
  <c r="BP930" i="75"/>
  <c r="BN930" i="75"/>
  <c r="DG929" i="75"/>
  <c r="DE929" i="75"/>
  <c r="DC929" i="75"/>
  <c r="DA929" i="75"/>
  <c r="CY929" i="75"/>
  <c r="CW929" i="75"/>
  <c r="CU929" i="75"/>
  <c r="CS929" i="75"/>
  <c r="CQ929" i="75"/>
  <c r="CO929" i="75"/>
  <c r="CM929" i="75"/>
  <c r="CK929" i="75"/>
  <c r="CI929" i="75"/>
  <c r="CG929" i="75"/>
  <c r="CE929" i="75"/>
  <c r="CC929" i="75"/>
  <c r="CA929" i="75"/>
  <c r="BY929" i="75"/>
  <c r="BW929" i="75"/>
  <c r="BU929" i="75"/>
  <c r="BS929" i="75"/>
  <c r="BQ929" i="75"/>
  <c r="BO929" i="75"/>
  <c r="BM929" i="75"/>
  <c r="DF928" i="75"/>
  <c r="DD928" i="75"/>
  <c r="DB928" i="75"/>
  <c r="CZ928" i="75"/>
  <c r="CX928" i="75"/>
  <c r="CV928" i="75"/>
  <c r="CT928" i="75"/>
  <c r="CR928" i="75"/>
  <c r="CP928" i="75"/>
  <c r="CN928" i="75"/>
  <c r="CL928" i="75"/>
  <c r="CJ928" i="75"/>
  <c r="CH928" i="75"/>
  <c r="CF928" i="75"/>
  <c r="CD928" i="75"/>
  <c r="CB928" i="75"/>
  <c r="BZ928" i="75"/>
  <c r="BX928" i="75"/>
  <c r="BV928" i="75"/>
  <c r="BT928" i="75"/>
  <c r="BR928" i="75"/>
  <c r="BP928" i="75"/>
  <c r="BN928" i="75"/>
  <c r="BL928" i="75"/>
  <c r="DG927" i="75"/>
  <c r="DE927" i="75"/>
  <c r="DC927" i="75"/>
  <c r="DA927" i="75"/>
  <c r="CY927" i="75"/>
  <c r="CW927" i="75"/>
  <c r="CU927" i="75"/>
  <c r="CS927" i="75"/>
  <c r="CQ927" i="75"/>
  <c r="CO927" i="75"/>
  <c r="CM927" i="75"/>
  <c r="CK927" i="75"/>
  <c r="CI927" i="75"/>
  <c r="CG927" i="75"/>
  <c r="CE927" i="75"/>
  <c r="CC927" i="75"/>
  <c r="CA927" i="75"/>
  <c r="BY927" i="75"/>
  <c r="BW927" i="75"/>
  <c r="BU927" i="75"/>
  <c r="BS927" i="75"/>
  <c r="BQ927" i="75"/>
  <c r="BO927" i="75"/>
  <c r="BM927" i="75"/>
  <c r="BK927" i="75"/>
  <c r="DF926" i="75"/>
  <c r="DD926" i="75"/>
  <c r="DB926" i="75"/>
  <c r="CZ926" i="75"/>
  <c r="CX926" i="75"/>
  <c r="CV926" i="75"/>
  <c r="CT926" i="75"/>
  <c r="CR926" i="75"/>
  <c r="CP926" i="75"/>
  <c r="CN926" i="75"/>
  <c r="CL926" i="75"/>
  <c r="CJ926" i="75"/>
  <c r="CH926" i="75"/>
  <c r="CF926" i="75"/>
  <c r="CD926" i="75"/>
  <c r="CB926" i="75"/>
  <c r="BZ926" i="75"/>
  <c r="BX926" i="75"/>
  <c r="BV926" i="75"/>
  <c r="BT926" i="75"/>
  <c r="BR926" i="75"/>
  <c r="BP926" i="75"/>
  <c r="BN926" i="75"/>
  <c r="BL926" i="75"/>
  <c r="BJ926" i="75"/>
  <c r="DG925" i="75"/>
  <c r="DE925" i="75"/>
  <c r="DC925" i="75"/>
  <c r="DA925" i="75"/>
  <c r="CY925" i="75"/>
  <c r="CW925" i="75"/>
  <c r="CU925" i="75"/>
  <c r="CS925" i="75"/>
  <c r="CQ925" i="75"/>
  <c r="CO925" i="75"/>
  <c r="CM925" i="75"/>
  <c r="CK925" i="75"/>
  <c r="CI925" i="75"/>
  <c r="CG925" i="75"/>
  <c r="CE925" i="75"/>
  <c r="CC925" i="75"/>
  <c r="CA925" i="75"/>
  <c r="BY925" i="75"/>
  <c r="BW925" i="75"/>
  <c r="BU925" i="75"/>
  <c r="BS925" i="75"/>
  <c r="BQ925" i="75"/>
  <c r="BO925" i="75"/>
  <c r="BM925" i="75"/>
  <c r="BK925" i="75"/>
  <c r="BI925" i="75"/>
  <c r="DF924" i="75"/>
  <c r="DD924" i="75"/>
  <c r="DB924" i="75"/>
  <c r="CZ924" i="75"/>
  <c r="CX924" i="75"/>
  <c r="CV924" i="75"/>
  <c r="CT924" i="75"/>
  <c r="CR924" i="75"/>
  <c r="CP924" i="75"/>
  <c r="CN924" i="75"/>
  <c r="CL924" i="75"/>
  <c r="CJ924" i="75"/>
  <c r="CH924" i="75"/>
  <c r="CF924" i="75"/>
  <c r="CD924" i="75"/>
  <c r="CB924" i="75"/>
  <c r="BZ924" i="75"/>
  <c r="BX924" i="75"/>
  <c r="BV924" i="75"/>
  <c r="BT924" i="75"/>
  <c r="BR924" i="75"/>
  <c r="BP924" i="75"/>
  <c r="BN924" i="75"/>
  <c r="BL924" i="75"/>
  <c r="BJ924" i="75"/>
  <c r="BH924" i="75"/>
  <c r="DG923" i="75"/>
  <c r="DE923" i="75"/>
  <c r="DC923" i="75"/>
  <c r="DA923" i="75"/>
  <c r="CY923" i="75"/>
  <c r="CW923" i="75"/>
  <c r="CU923" i="75"/>
  <c r="CS923" i="75"/>
  <c r="CQ923" i="75"/>
  <c r="CO923" i="75"/>
  <c r="CM923" i="75"/>
  <c r="CK923" i="75"/>
  <c r="CI923" i="75"/>
  <c r="CG923" i="75"/>
  <c r="CE923" i="75"/>
  <c r="CC923" i="75"/>
  <c r="CA923" i="75"/>
  <c r="BY923" i="75"/>
  <c r="BW923" i="75"/>
  <c r="BU923" i="75"/>
  <c r="BS923" i="75"/>
  <c r="BQ923" i="75"/>
  <c r="BO923" i="75"/>
  <c r="BM923" i="75"/>
  <c r="BK923" i="75"/>
  <c r="BI923" i="75"/>
  <c r="BG923" i="75"/>
  <c r="DF922" i="75"/>
  <c r="DD922" i="75"/>
  <c r="DB922" i="75"/>
  <c r="CZ922" i="75"/>
  <c r="CX922" i="75"/>
  <c r="CV922" i="75"/>
  <c r="CT922" i="75"/>
  <c r="CR922" i="75"/>
  <c r="CP922" i="75"/>
  <c r="CN922" i="75"/>
  <c r="CL922" i="75"/>
  <c r="CJ922" i="75"/>
  <c r="CH922" i="75"/>
  <c r="CF922" i="75"/>
  <c r="CD922" i="75"/>
  <c r="CB922" i="75"/>
  <c r="BZ922" i="75"/>
  <c r="BX922" i="75"/>
  <c r="BV922" i="75"/>
  <c r="BT922" i="75"/>
  <c r="BR922" i="75"/>
  <c r="BP922" i="75"/>
  <c r="BN922" i="75"/>
  <c r="BL922" i="75"/>
  <c r="BJ922" i="75"/>
  <c r="BH922" i="75"/>
  <c r="BF922" i="75"/>
  <c r="DG921" i="75"/>
  <c r="DE921" i="75"/>
  <c r="DC921" i="75"/>
  <c r="DA921" i="75"/>
  <c r="CY921" i="75"/>
  <c r="CW921" i="75"/>
  <c r="CU921" i="75"/>
  <c r="CS921" i="75"/>
  <c r="CQ921" i="75"/>
  <c r="CO921" i="75"/>
  <c r="CM921" i="75"/>
  <c r="CK921" i="75"/>
  <c r="CI921" i="75"/>
  <c r="CG921" i="75"/>
  <c r="CE921" i="75"/>
  <c r="CC921" i="75"/>
  <c r="CA921" i="75"/>
  <c r="BY921" i="75"/>
  <c r="BW921" i="75"/>
  <c r="BU921" i="75"/>
  <c r="BS921" i="75"/>
  <c r="BQ921" i="75"/>
  <c r="BO921" i="75"/>
  <c r="BM921" i="75"/>
  <c r="BK921" i="75"/>
  <c r="BI921" i="75"/>
  <c r="BG921" i="75"/>
  <c r="BE921" i="75"/>
  <c r="DF920" i="75"/>
  <c r="DD920" i="75"/>
  <c r="DB920" i="75"/>
  <c r="CZ920" i="75"/>
  <c r="CX920" i="75"/>
  <c r="CV920" i="75"/>
  <c r="CT920" i="75"/>
  <c r="CR920" i="75"/>
  <c r="CP920" i="75"/>
  <c r="CN920" i="75"/>
  <c r="CL920" i="75"/>
  <c r="CJ920" i="75"/>
  <c r="CH920" i="75"/>
  <c r="CF920" i="75"/>
  <c r="CD920" i="75"/>
  <c r="CB920" i="75"/>
  <c r="BZ920" i="75"/>
  <c r="BX920" i="75"/>
  <c r="BV920" i="75"/>
  <c r="BT920" i="75"/>
  <c r="BR920" i="75"/>
  <c r="BP920" i="75"/>
  <c r="BN920" i="75"/>
  <c r="BL920" i="75"/>
  <c r="BJ920" i="75"/>
  <c r="BH920" i="75"/>
  <c r="BF920" i="75"/>
  <c r="BD920" i="75"/>
  <c r="DG913" i="75"/>
  <c r="DF914" i="75" s="1"/>
  <c r="DG911" i="75"/>
  <c r="DF912" i="75" s="1"/>
  <c r="DE913" i="75" s="1" a="1"/>
  <c r="DE911" i="75"/>
  <c r="DG909" i="75"/>
  <c r="DE909" i="75"/>
  <c r="DC909" i="75"/>
  <c r="DG907" i="75"/>
  <c r="DF908" i="75" s="1"/>
  <c r="DE907" i="75"/>
  <c r="DC907" i="75"/>
  <c r="DA907" i="75"/>
  <c r="DG905" i="75"/>
  <c r="DF906" i="75" s="1"/>
  <c r="DE905" i="75"/>
  <c r="DC905" i="75"/>
  <c r="DA905" i="75"/>
  <c r="CZ906" i="75" s="1"/>
  <c r="CY905" i="75"/>
  <c r="DG903" i="75"/>
  <c r="DF904" i="75" s="1"/>
  <c r="DE903" i="75"/>
  <c r="DC903" i="75"/>
  <c r="DB904" i="75" s="1"/>
  <c r="DA903" i="75"/>
  <c r="CY903" i="75"/>
  <c r="CX904" i="75" s="1"/>
  <c r="CW903" i="75"/>
  <c r="DG901" i="75"/>
  <c r="DF902" i="75" s="1"/>
  <c r="DE901" i="75"/>
  <c r="DC901" i="75"/>
  <c r="DB902" i="75" s="1"/>
  <c r="DA901" i="75"/>
  <c r="CZ902" i="75" s="1"/>
  <c r="CY901" i="75"/>
  <c r="CX902" i="75" s="1"/>
  <c r="CW901" i="75"/>
  <c r="CV902" i="75" s="1"/>
  <c r="CU901" i="75"/>
  <c r="DG899" i="75"/>
  <c r="DF900" i="75" s="1"/>
  <c r="DE899" i="75"/>
  <c r="DC899" i="75"/>
  <c r="DA899" i="75"/>
  <c r="CZ900" i="75" s="1"/>
  <c r="CY899" i="75"/>
  <c r="CX900" i="75" s="1"/>
  <c r="CW899" i="75"/>
  <c r="CU899" i="75"/>
  <c r="CS899" i="75"/>
  <c r="DG897" i="75"/>
  <c r="DE897" i="75"/>
  <c r="DD898" i="75" s="1"/>
  <c r="DC897" i="75"/>
  <c r="DA897" i="75"/>
  <c r="CZ898" i="75" s="1"/>
  <c r="CY897" i="75"/>
  <c r="CX898" i="75" s="1"/>
  <c r="CW897" i="75"/>
  <c r="CV898" i="75" s="1"/>
  <c r="CU897" i="75"/>
  <c r="CS897" i="75"/>
  <c r="CQ897" i="75"/>
  <c r="DF896" i="75"/>
  <c r="DD896" i="75"/>
  <c r="DB896" i="75"/>
  <c r="CZ896" i="75"/>
  <c r="CX896" i="75"/>
  <c r="CV896" i="75"/>
  <c r="CT896" i="75"/>
  <c r="CR896" i="75"/>
  <c r="CP896" i="75"/>
  <c r="DG895" i="75"/>
  <c r="DE895" i="75"/>
  <c r="DC895" i="75"/>
  <c r="DA895" i="75"/>
  <c r="CY895" i="75"/>
  <c r="CW895" i="75"/>
  <c r="CU895" i="75"/>
  <c r="CS895" i="75"/>
  <c r="CQ895" i="75"/>
  <c r="CO895" i="75"/>
  <c r="DF894" i="75"/>
  <c r="DD894" i="75"/>
  <c r="DB894" i="75"/>
  <c r="CZ894" i="75"/>
  <c r="CX894" i="75"/>
  <c r="CV894" i="75"/>
  <c r="CT894" i="75"/>
  <c r="CR894" i="75"/>
  <c r="CP894" i="75"/>
  <c r="CN894" i="75"/>
  <c r="DG893" i="75"/>
  <c r="DE893" i="75"/>
  <c r="DC893" i="75"/>
  <c r="DA893" i="75"/>
  <c r="CY893" i="75"/>
  <c r="CW893" i="75"/>
  <c r="CU893" i="75"/>
  <c r="CS893" i="75"/>
  <c r="CQ893" i="75"/>
  <c r="CO893" i="75"/>
  <c r="CM893" i="75"/>
  <c r="DF892" i="75"/>
  <c r="DD892" i="75"/>
  <c r="DB892" i="75"/>
  <c r="CZ892" i="75"/>
  <c r="CX892" i="75"/>
  <c r="CV892" i="75"/>
  <c r="CT892" i="75"/>
  <c r="CR892" i="75"/>
  <c r="CP892" i="75"/>
  <c r="CN892" i="75"/>
  <c r="CL892" i="75"/>
  <c r="DG891" i="75"/>
  <c r="DE891" i="75"/>
  <c r="DC891" i="75"/>
  <c r="DA891" i="75"/>
  <c r="CY891" i="75"/>
  <c r="CW891" i="75"/>
  <c r="CU891" i="75"/>
  <c r="CS891" i="75"/>
  <c r="CQ891" i="75"/>
  <c r="CO891" i="75"/>
  <c r="CM891" i="75"/>
  <c r="CK891" i="75"/>
  <c r="DF890" i="75"/>
  <c r="DD890" i="75"/>
  <c r="DB890" i="75"/>
  <c r="CZ890" i="75"/>
  <c r="CX890" i="75"/>
  <c r="CV890" i="75"/>
  <c r="CT890" i="75"/>
  <c r="CR890" i="75"/>
  <c r="CP890" i="75"/>
  <c r="CN890" i="75"/>
  <c r="CL890" i="75"/>
  <c r="CJ890" i="75"/>
  <c r="DG889" i="75"/>
  <c r="DE889" i="75"/>
  <c r="DC889" i="75"/>
  <c r="DA889" i="75"/>
  <c r="CY889" i="75"/>
  <c r="CW889" i="75"/>
  <c r="CU889" i="75"/>
  <c r="CS889" i="75"/>
  <c r="CQ889" i="75"/>
  <c r="CO889" i="75"/>
  <c r="CM889" i="75"/>
  <c r="CK889" i="75"/>
  <c r="CI889" i="75"/>
  <c r="DF888" i="75"/>
  <c r="DD888" i="75"/>
  <c r="DB888" i="75"/>
  <c r="CZ888" i="75"/>
  <c r="CX888" i="75"/>
  <c r="CV888" i="75"/>
  <c r="CT888" i="75"/>
  <c r="CR888" i="75"/>
  <c r="CP888" i="75"/>
  <c r="CN888" i="75"/>
  <c r="CL888" i="75"/>
  <c r="CJ888" i="75"/>
  <c r="CH888" i="75"/>
  <c r="DG887" i="75"/>
  <c r="DE887" i="75"/>
  <c r="DC887" i="75"/>
  <c r="DA887" i="75"/>
  <c r="CY887" i="75"/>
  <c r="CW887" i="75"/>
  <c r="CU887" i="75"/>
  <c r="CS887" i="75"/>
  <c r="CQ887" i="75"/>
  <c r="CO887" i="75"/>
  <c r="CM887" i="75"/>
  <c r="CK887" i="75"/>
  <c r="CI887" i="75"/>
  <c r="CG887" i="75"/>
  <c r="DF886" i="75"/>
  <c r="DD886" i="75"/>
  <c r="DB886" i="75"/>
  <c r="CZ886" i="75"/>
  <c r="CX886" i="75"/>
  <c r="CV886" i="75"/>
  <c r="CT886" i="75"/>
  <c r="CR886" i="75"/>
  <c r="CP886" i="75"/>
  <c r="CN886" i="75"/>
  <c r="CL886" i="75"/>
  <c r="CJ886" i="75"/>
  <c r="CH886" i="75"/>
  <c r="CF886" i="75"/>
  <c r="DG885" i="75"/>
  <c r="DE885" i="75"/>
  <c r="DC885" i="75"/>
  <c r="DA885" i="75"/>
  <c r="CY885" i="75"/>
  <c r="CW885" i="75"/>
  <c r="CU885" i="75"/>
  <c r="CS885" i="75"/>
  <c r="CQ885" i="75"/>
  <c r="CO885" i="75"/>
  <c r="CM885" i="75"/>
  <c r="CK885" i="75"/>
  <c r="CI885" i="75"/>
  <c r="CG885" i="75"/>
  <c r="CE885" i="75"/>
  <c r="DF884" i="75"/>
  <c r="DD884" i="75"/>
  <c r="DB884" i="75"/>
  <c r="CZ884" i="75"/>
  <c r="CX884" i="75"/>
  <c r="CV884" i="75"/>
  <c r="CT884" i="75"/>
  <c r="CR884" i="75"/>
  <c r="CP884" i="75"/>
  <c r="CN884" i="75"/>
  <c r="CL884" i="75"/>
  <c r="CJ884" i="75"/>
  <c r="CH884" i="75"/>
  <c r="CF884" i="75"/>
  <c r="CD884" i="75"/>
  <c r="DG883" i="75"/>
  <c r="DE883" i="75"/>
  <c r="DC883" i="75"/>
  <c r="DA883" i="75"/>
  <c r="CY883" i="75"/>
  <c r="CW883" i="75"/>
  <c r="CU883" i="75"/>
  <c r="CS883" i="75"/>
  <c r="CQ883" i="75"/>
  <c r="CO883" i="75"/>
  <c r="CM883" i="75"/>
  <c r="CK883" i="75"/>
  <c r="CI883" i="75"/>
  <c r="CG883" i="75"/>
  <c r="CE883" i="75"/>
  <c r="CC883" i="75"/>
  <c r="DF882" i="75"/>
  <c r="DD882" i="75"/>
  <c r="DB882" i="75"/>
  <c r="CZ882" i="75"/>
  <c r="CX882" i="75"/>
  <c r="CV882" i="75"/>
  <c r="CT882" i="75"/>
  <c r="CR882" i="75"/>
  <c r="CP882" i="75"/>
  <c r="CN882" i="75"/>
  <c r="CL882" i="75"/>
  <c r="CJ882" i="75"/>
  <c r="CH882" i="75"/>
  <c r="CF882" i="75"/>
  <c r="CD882" i="75"/>
  <c r="CB882" i="75"/>
  <c r="DG881" i="75"/>
  <c r="DE881" i="75"/>
  <c r="DC881" i="75"/>
  <c r="DA881" i="75"/>
  <c r="CY881" i="75"/>
  <c r="CW881" i="75"/>
  <c r="CU881" i="75"/>
  <c r="CS881" i="75"/>
  <c r="CQ881" i="75"/>
  <c r="CO881" i="75"/>
  <c r="CM881" i="75"/>
  <c r="CK881" i="75"/>
  <c r="CI881" i="75"/>
  <c r="CG881" i="75"/>
  <c r="CE881" i="75"/>
  <c r="CC881" i="75"/>
  <c r="CA881" i="75"/>
  <c r="DF880" i="75"/>
  <c r="DD880" i="75"/>
  <c r="DB880" i="75"/>
  <c r="CZ880" i="75"/>
  <c r="CX880" i="75"/>
  <c r="CV880" i="75"/>
  <c r="CT880" i="75"/>
  <c r="CR880" i="75"/>
  <c r="CP880" i="75"/>
  <c r="CN880" i="75"/>
  <c r="CL880" i="75"/>
  <c r="CJ880" i="75"/>
  <c r="CH880" i="75"/>
  <c r="CF880" i="75"/>
  <c r="CD880" i="75"/>
  <c r="CB880" i="75"/>
  <c r="BZ880" i="75"/>
  <c r="DG879" i="75"/>
  <c r="DE879" i="75"/>
  <c r="DC879" i="75"/>
  <c r="DA879" i="75"/>
  <c r="CY879" i="75"/>
  <c r="CW879" i="75"/>
  <c r="CU879" i="75"/>
  <c r="CS879" i="75"/>
  <c r="CQ879" i="75"/>
  <c r="CO879" i="75"/>
  <c r="CM879" i="75"/>
  <c r="CK879" i="75"/>
  <c r="CI879" i="75"/>
  <c r="CG879" i="75"/>
  <c r="CE879" i="75"/>
  <c r="CC879" i="75"/>
  <c r="CA879" i="75"/>
  <c r="BY879" i="75"/>
  <c r="DF878" i="75"/>
  <c r="DD878" i="75"/>
  <c r="DB878" i="75"/>
  <c r="CZ878" i="75"/>
  <c r="CX878" i="75"/>
  <c r="CV878" i="75"/>
  <c r="CT878" i="75"/>
  <c r="CR878" i="75"/>
  <c r="CP878" i="75"/>
  <c r="CN878" i="75"/>
  <c r="CL878" i="75"/>
  <c r="CJ878" i="75"/>
  <c r="CH878" i="75"/>
  <c r="CF878" i="75"/>
  <c r="CD878" i="75"/>
  <c r="CB878" i="75"/>
  <c r="BZ878" i="75"/>
  <c r="BX878" i="75"/>
  <c r="DG877" i="75"/>
  <c r="DE877" i="75"/>
  <c r="DC877" i="75"/>
  <c r="DA877" i="75"/>
  <c r="CY877" i="75"/>
  <c r="CW877" i="75"/>
  <c r="CU877" i="75"/>
  <c r="CS877" i="75"/>
  <c r="CQ877" i="75"/>
  <c r="CO877" i="75"/>
  <c r="CM877" i="75"/>
  <c r="CK877" i="75"/>
  <c r="CI877" i="75"/>
  <c r="CG877" i="75"/>
  <c r="CE877" i="75"/>
  <c r="CC877" i="75"/>
  <c r="CA877" i="75"/>
  <c r="BY877" i="75"/>
  <c r="BW877" i="75"/>
  <c r="DF876" i="75"/>
  <c r="DD876" i="75"/>
  <c r="DB876" i="75"/>
  <c r="CZ876" i="75"/>
  <c r="CX876" i="75"/>
  <c r="CV876" i="75"/>
  <c r="CT876" i="75"/>
  <c r="CR876" i="75"/>
  <c r="CP876" i="75"/>
  <c r="CN876" i="75"/>
  <c r="CL876" i="75"/>
  <c r="CJ876" i="75"/>
  <c r="CH876" i="75"/>
  <c r="CF876" i="75"/>
  <c r="CD876" i="75"/>
  <c r="CB876" i="75"/>
  <c r="BZ876" i="75"/>
  <c r="BX876" i="75"/>
  <c r="BV876" i="75"/>
  <c r="DG875" i="75"/>
  <c r="DE875" i="75"/>
  <c r="DC875" i="75"/>
  <c r="DA875" i="75"/>
  <c r="CY875" i="75"/>
  <c r="CW875" i="75"/>
  <c r="CU875" i="75"/>
  <c r="CS875" i="75"/>
  <c r="CQ875" i="75"/>
  <c r="CO875" i="75"/>
  <c r="CM875" i="75"/>
  <c r="CK875" i="75"/>
  <c r="CI875" i="75"/>
  <c r="CG875" i="75"/>
  <c r="CE875" i="75"/>
  <c r="CC875" i="75"/>
  <c r="CA875" i="75"/>
  <c r="BY875" i="75"/>
  <c r="BW875" i="75"/>
  <c r="BU875" i="75"/>
  <c r="DF874" i="75"/>
  <c r="DD874" i="75"/>
  <c r="DB874" i="75"/>
  <c r="CZ874" i="75"/>
  <c r="CX874" i="75"/>
  <c r="CV874" i="75"/>
  <c r="CT874" i="75"/>
  <c r="CR874" i="75"/>
  <c r="CP874" i="75"/>
  <c r="CN874" i="75"/>
  <c r="CL874" i="75"/>
  <c r="CJ874" i="75"/>
  <c r="CH874" i="75"/>
  <c r="CF874" i="75"/>
  <c r="CD874" i="75"/>
  <c r="CB874" i="75"/>
  <c r="BZ874" i="75"/>
  <c r="BX874" i="75"/>
  <c r="BV874" i="75"/>
  <c r="BT874" i="75"/>
  <c r="DG873" i="75"/>
  <c r="DE873" i="75"/>
  <c r="DC873" i="75"/>
  <c r="DA873" i="75"/>
  <c r="CY873" i="75"/>
  <c r="CW873" i="75"/>
  <c r="CU873" i="75"/>
  <c r="CS873" i="75"/>
  <c r="CQ873" i="75"/>
  <c r="CO873" i="75"/>
  <c r="CM873" i="75"/>
  <c r="CK873" i="75"/>
  <c r="CI873" i="75"/>
  <c r="CG873" i="75"/>
  <c r="CE873" i="75"/>
  <c r="CC873" i="75"/>
  <c r="CA873" i="75"/>
  <c r="BY873" i="75"/>
  <c r="BW873" i="75"/>
  <c r="BU873" i="75"/>
  <c r="BS873" i="75"/>
  <c r="DF872" i="75"/>
  <c r="DD872" i="75"/>
  <c r="DB872" i="75"/>
  <c r="CZ872" i="75"/>
  <c r="CX872" i="75"/>
  <c r="CV872" i="75"/>
  <c r="CT872" i="75"/>
  <c r="CR872" i="75"/>
  <c r="CP872" i="75"/>
  <c r="CN872" i="75"/>
  <c r="CL872" i="75"/>
  <c r="CJ872" i="75"/>
  <c r="CH872" i="75"/>
  <c r="CF872" i="75"/>
  <c r="CD872" i="75"/>
  <c r="CB872" i="75"/>
  <c r="BZ872" i="75"/>
  <c r="BX872" i="75"/>
  <c r="BV872" i="75"/>
  <c r="BT872" i="75"/>
  <c r="BR872" i="75"/>
  <c r="DG871" i="75"/>
  <c r="DE871" i="75"/>
  <c r="DC871" i="75"/>
  <c r="DA871" i="75"/>
  <c r="CY871" i="75"/>
  <c r="CW871" i="75"/>
  <c r="CU871" i="75"/>
  <c r="CS871" i="75"/>
  <c r="CQ871" i="75"/>
  <c r="CO871" i="75"/>
  <c r="CM871" i="75"/>
  <c r="CK871" i="75"/>
  <c r="CI871" i="75"/>
  <c r="CG871" i="75"/>
  <c r="CE871" i="75"/>
  <c r="CC871" i="75"/>
  <c r="CA871" i="75"/>
  <c r="BY871" i="75"/>
  <c r="BW871" i="75"/>
  <c r="BU871" i="75"/>
  <c r="BS871" i="75"/>
  <c r="BQ871" i="75"/>
  <c r="DF870" i="75"/>
  <c r="DD870" i="75"/>
  <c r="DB870" i="75"/>
  <c r="CZ870" i="75"/>
  <c r="CX870" i="75"/>
  <c r="CV870" i="75"/>
  <c r="CT870" i="75"/>
  <c r="CR870" i="75"/>
  <c r="CP870" i="75"/>
  <c r="CN870" i="75"/>
  <c r="CL870" i="75"/>
  <c r="CJ870" i="75"/>
  <c r="CH870" i="75"/>
  <c r="CF870" i="75"/>
  <c r="CD870" i="75"/>
  <c r="CB870" i="75"/>
  <c r="BZ870" i="75"/>
  <c r="BX870" i="75"/>
  <c r="BV870" i="75"/>
  <c r="BT870" i="75"/>
  <c r="BR870" i="75"/>
  <c r="BP870" i="75"/>
  <c r="DG869" i="75"/>
  <c r="DE869" i="75"/>
  <c r="DC869" i="75"/>
  <c r="DA869" i="75"/>
  <c r="CY869" i="75"/>
  <c r="CW869" i="75"/>
  <c r="CU869" i="75"/>
  <c r="CS869" i="75"/>
  <c r="CQ869" i="75"/>
  <c r="CO869" i="75"/>
  <c r="CM869" i="75"/>
  <c r="CK869" i="75"/>
  <c r="CI869" i="75"/>
  <c r="CG869" i="75"/>
  <c r="CE869" i="75"/>
  <c r="CC869" i="75"/>
  <c r="CA869" i="75"/>
  <c r="BY869" i="75"/>
  <c r="BW869" i="75"/>
  <c r="BU869" i="75"/>
  <c r="BS869" i="75"/>
  <c r="BQ869" i="75"/>
  <c r="BO869" i="75"/>
  <c r="DF868" i="75"/>
  <c r="DD868" i="75"/>
  <c r="DB868" i="75"/>
  <c r="CZ868" i="75"/>
  <c r="CX868" i="75"/>
  <c r="CV868" i="75"/>
  <c r="CT868" i="75"/>
  <c r="CR868" i="75"/>
  <c r="CP868" i="75"/>
  <c r="CN868" i="75"/>
  <c r="CL868" i="75"/>
  <c r="CJ868" i="75"/>
  <c r="CH868" i="75"/>
  <c r="CF868" i="75"/>
  <c r="CD868" i="75"/>
  <c r="CB868" i="75"/>
  <c r="BZ868" i="75"/>
  <c r="BX868" i="75"/>
  <c r="BV868" i="75"/>
  <c r="BT868" i="75"/>
  <c r="BR868" i="75"/>
  <c r="BP868" i="75"/>
  <c r="BN868" i="75"/>
  <c r="DG867" i="75"/>
  <c r="DE867" i="75"/>
  <c r="DC867" i="75"/>
  <c r="DA867" i="75"/>
  <c r="CY867" i="75"/>
  <c r="CW867" i="75"/>
  <c r="CU867" i="75"/>
  <c r="CS867" i="75"/>
  <c r="CQ867" i="75"/>
  <c r="CO867" i="75"/>
  <c r="CM867" i="75"/>
  <c r="CK867" i="75"/>
  <c r="CI867" i="75"/>
  <c r="CG867" i="75"/>
  <c r="CE867" i="75"/>
  <c r="CC867" i="75"/>
  <c r="CA867" i="75"/>
  <c r="BY867" i="75"/>
  <c r="BW867" i="75"/>
  <c r="BU867" i="75"/>
  <c r="BS867" i="75"/>
  <c r="BQ867" i="75"/>
  <c r="BO867" i="75"/>
  <c r="BM867" i="75"/>
  <c r="DF866" i="75"/>
  <c r="DD866" i="75"/>
  <c r="DB866" i="75"/>
  <c r="CZ866" i="75"/>
  <c r="CX866" i="75"/>
  <c r="CV866" i="75"/>
  <c r="CT866" i="75"/>
  <c r="CR866" i="75"/>
  <c r="CP866" i="75"/>
  <c r="CN866" i="75"/>
  <c r="CL866" i="75"/>
  <c r="CJ866" i="75"/>
  <c r="CH866" i="75"/>
  <c r="CF866" i="75"/>
  <c r="CD866" i="75"/>
  <c r="CB866" i="75"/>
  <c r="BZ866" i="75"/>
  <c r="BX866" i="75"/>
  <c r="BV866" i="75"/>
  <c r="BT866" i="75"/>
  <c r="BR866" i="75"/>
  <c r="BP866" i="75"/>
  <c r="BN866" i="75"/>
  <c r="BL866" i="75"/>
  <c r="DG865" i="75"/>
  <c r="DE865" i="75"/>
  <c r="DC865" i="75"/>
  <c r="DA865" i="75"/>
  <c r="CY865" i="75"/>
  <c r="CW865" i="75"/>
  <c r="CU865" i="75"/>
  <c r="CS865" i="75"/>
  <c r="CQ865" i="75"/>
  <c r="CO865" i="75"/>
  <c r="CM865" i="75"/>
  <c r="CK865" i="75"/>
  <c r="CI865" i="75"/>
  <c r="CG865" i="75"/>
  <c r="CE865" i="75"/>
  <c r="CC865" i="75"/>
  <c r="CA865" i="75"/>
  <c r="BY865" i="75"/>
  <c r="BW865" i="75"/>
  <c r="BU865" i="75"/>
  <c r="BS865" i="75"/>
  <c r="BQ865" i="75"/>
  <c r="BO865" i="75"/>
  <c r="BM865" i="75"/>
  <c r="BK865" i="75"/>
  <c r="DF864" i="75"/>
  <c r="DD864" i="75"/>
  <c r="DB864" i="75"/>
  <c r="CZ864" i="75"/>
  <c r="CX864" i="75"/>
  <c r="CV864" i="75"/>
  <c r="CT864" i="75"/>
  <c r="CR864" i="75"/>
  <c r="CP864" i="75"/>
  <c r="CN864" i="75"/>
  <c r="CL864" i="75"/>
  <c r="CJ864" i="75"/>
  <c r="CH864" i="75"/>
  <c r="CF864" i="75"/>
  <c r="CD864" i="75"/>
  <c r="CB864" i="75"/>
  <c r="BZ864" i="75"/>
  <c r="BX864" i="75"/>
  <c r="BV864" i="75"/>
  <c r="BT864" i="75"/>
  <c r="BR864" i="75"/>
  <c r="BP864" i="75"/>
  <c r="BN864" i="75"/>
  <c r="BL864" i="75"/>
  <c r="BJ864" i="75"/>
  <c r="DG863" i="75"/>
  <c r="DE863" i="75"/>
  <c r="DC863" i="75"/>
  <c r="DA863" i="75"/>
  <c r="CY863" i="75"/>
  <c r="CW863" i="75"/>
  <c r="CU863" i="75"/>
  <c r="CS863" i="75"/>
  <c r="CQ863" i="75"/>
  <c r="CO863" i="75"/>
  <c r="CM863" i="75"/>
  <c r="CK863" i="75"/>
  <c r="CI863" i="75"/>
  <c r="CG863" i="75"/>
  <c r="CE863" i="75"/>
  <c r="CC863" i="75"/>
  <c r="CA863" i="75"/>
  <c r="BY863" i="75"/>
  <c r="BW863" i="75"/>
  <c r="BU863" i="75"/>
  <c r="BS863" i="75"/>
  <c r="BQ863" i="75"/>
  <c r="BO863" i="75"/>
  <c r="BM863" i="75"/>
  <c r="BK863" i="75"/>
  <c r="BI863" i="75"/>
  <c r="DF862" i="75"/>
  <c r="DD862" i="75"/>
  <c r="DB862" i="75"/>
  <c r="CZ862" i="75"/>
  <c r="CX862" i="75"/>
  <c r="CV862" i="75"/>
  <c r="CT862" i="75"/>
  <c r="CR862" i="75"/>
  <c r="CP862" i="75"/>
  <c r="CN862" i="75"/>
  <c r="CL862" i="75"/>
  <c r="CJ862" i="75"/>
  <c r="CH862" i="75"/>
  <c r="CF862" i="75"/>
  <c r="CD862" i="75"/>
  <c r="CB862" i="75"/>
  <c r="BZ862" i="75"/>
  <c r="BX862" i="75"/>
  <c r="BV862" i="75"/>
  <c r="BT862" i="75"/>
  <c r="BR862" i="75"/>
  <c r="BP862" i="75"/>
  <c r="BN862" i="75"/>
  <c r="BL862" i="75"/>
  <c r="BJ862" i="75"/>
  <c r="BH862" i="75"/>
  <c r="DG861" i="75"/>
  <c r="DE861" i="75"/>
  <c r="DC861" i="75"/>
  <c r="DA861" i="75"/>
  <c r="CY861" i="75"/>
  <c r="CW861" i="75"/>
  <c r="CU861" i="75"/>
  <c r="CS861" i="75"/>
  <c r="CQ861" i="75"/>
  <c r="CO861" i="75"/>
  <c r="CM861" i="75"/>
  <c r="CK861" i="75"/>
  <c r="CI861" i="75"/>
  <c r="CG861" i="75"/>
  <c r="CE861" i="75"/>
  <c r="CC861" i="75"/>
  <c r="CA861" i="75"/>
  <c r="BY861" i="75"/>
  <c r="BW861" i="75"/>
  <c r="BU861" i="75"/>
  <c r="BS861" i="75"/>
  <c r="BQ861" i="75"/>
  <c r="BO861" i="75"/>
  <c r="BM861" i="75"/>
  <c r="BK861" i="75"/>
  <c r="BI861" i="75"/>
  <c r="BG861" i="75"/>
  <c r="DF860" i="75"/>
  <c r="DD860" i="75"/>
  <c r="DB860" i="75"/>
  <c r="CZ860" i="75"/>
  <c r="CX860" i="75"/>
  <c r="CV860" i="75"/>
  <c r="CT860" i="75"/>
  <c r="CR860" i="75"/>
  <c r="CP860" i="75"/>
  <c r="CN860" i="75"/>
  <c r="CL860" i="75"/>
  <c r="CJ860" i="75"/>
  <c r="CH860" i="75"/>
  <c r="CF860" i="75"/>
  <c r="CD860" i="75"/>
  <c r="CB860" i="75"/>
  <c r="BZ860" i="75"/>
  <c r="BX860" i="75"/>
  <c r="BV860" i="75"/>
  <c r="BT860" i="75"/>
  <c r="BR860" i="75"/>
  <c r="BP860" i="75"/>
  <c r="BN860" i="75"/>
  <c r="BL860" i="75"/>
  <c r="BJ860" i="75"/>
  <c r="BH860" i="75"/>
  <c r="BF860" i="75"/>
  <c r="DG859" i="75"/>
  <c r="DE859" i="75"/>
  <c r="DC859" i="75"/>
  <c r="DA859" i="75"/>
  <c r="CY859" i="75"/>
  <c r="CW859" i="75"/>
  <c r="CU859" i="75"/>
  <c r="CS859" i="75"/>
  <c r="CQ859" i="75"/>
  <c r="CO859" i="75"/>
  <c r="CM859" i="75"/>
  <c r="CK859" i="75"/>
  <c r="CI859" i="75"/>
  <c r="CG859" i="75"/>
  <c r="CE859" i="75"/>
  <c r="CC859" i="75"/>
  <c r="CA859" i="75"/>
  <c r="BY859" i="75"/>
  <c r="BW859" i="75"/>
  <c r="BU859" i="75"/>
  <c r="BS859" i="75"/>
  <c r="BQ859" i="75"/>
  <c r="BO859" i="75"/>
  <c r="BM859" i="75"/>
  <c r="BK859" i="75"/>
  <c r="BI859" i="75"/>
  <c r="BG859" i="75"/>
  <c r="BE859" i="75"/>
  <c r="DF858" i="75"/>
  <c r="DD858" i="75"/>
  <c r="DB858" i="75"/>
  <c r="CZ858" i="75"/>
  <c r="CX858" i="75"/>
  <c r="CV858" i="75"/>
  <c r="CT858" i="75"/>
  <c r="CR858" i="75"/>
  <c r="CP858" i="75"/>
  <c r="CN858" i="75"/>
  <c r="CL858" i="75"/>
  <c r="CJ858" i="75"/>
  <c r="CH858" i="75"/>
  <c r="CF858" i="75"/>
  <c r="CD858" i="75"/>
  <c r="CB858" i="75"/>
  <c r="BZ858" i="75"/>
  <c r="BX858" i="75"/>
  <c r="BV858" i="75"/>
  <c r="BT858" i="75"/>
  <c r="BR858" i="75"/>
  <c r="BP858" i="75"/>
  <c r="BN858" i="75"/>
  <c r="BL858" i="75"/>
  <c r="BJ858" i="75"/>
  <c r="BH858" i="75"/>
  <c r="BF858" i="75"/>
  <c r="BD858" i="75"/>
  <c r="DG853" i="75"/>
  <c r="DF854" i="75" s="1"/>
  <c r="DG851" i="75"/>
  <c r="DF852" i="75" s="1"/>
  <c r="DE853" i="75" s="1" a="1"/>
  <c r="DE854" i="75" s="1"/>
  <c r="DE851" i="75"/>
  <c r="DG849" i="75"/>
  <c r="DE849" i="75"/>
  <c r="DD850" i="75" s="1"/>
  <c r="DC849" i="75"/>
  <c r="DG847" i="75"/>
  <c r="DF848" i="75" s="1"/>
  <c r="DE847" i="75"/>
  <c r="DC847" i="75"/>
  <c r="DA847" i="75"/>
  <c r="DG845" i="75"/>
  <c r="DE845" i="75"/>
  <c r="DD846" i="75" s="1"/>
  <c r="DC845" i="75"/>
  <c r="DA845" i="75"/>
  <c r="CZ846" i="75" s="1"/>
  <c r="CY845" i="75"/>
  <c r="DG843" i="75"/>
  <c r="DF844" i="75" s="1"/>
  <c r="DE843" i="75"/>
  <c r="DC843" i="75"/>
  <c r="DA843" i="75"/>
  <c r="CY843" i="75"/>
  <c r="CX844" i="75" s="1"/>
  <c r="CW843" i="75"/>
  <c r="DG841" i="75"/>
  <c r="DE841" i="75"/>
  <c r="DD842" i="75" s="1"/>
  <c r="DC841" i="75"/>
  <c r="DA841" i="75"/>
  <c r="CY841" i="75"/>
  <c r="CX842" i="75" s="1"/>
  <c r="CW841" i="75"/>
  <c r="CU841" i="75"/>
  <c r="DG839" i="75"/>
  <c r="DF840" i="75" s="1"/>
  <c r="DE839" i="75"/>
  <c r="DD840" i="75" s="1"/>
  <c r="DC839" i="75"/>
  <c r="DA839" i="75"/>
  <c r="CY839" i="75"/>
  <c r="CX840" i="75" s="1"/>
  <c r="CW839" i="75"/>
  <c r="CV840" i="75" s="1"/>
  <c r="CU839" i="75"/>
  <c r="CT840" i="75" s="1"/>
  <c r="CS839" i="75"/>
  <c r="DG837" i="75"/>
  <c r="DF838" i="75" s="1"/>
  <c r="DE837" i="75"/>
  <c r="DD838" i="75" s="1"/>
  <c r="DC837" i="75"/>
  <c r="DA837" i="75"/>
  <c r="CY837" i="75"/>
  <c r="CW837" i="75"/>
  <c r="CV838" i="75" s="1"/>
  <c r="CU837" i="75"/>
  <c r="CT838" i="75" s="1"/>
  <c r="CS837" i="75"/>
  <c r="CR838" i="75" s="1"/>
  <c r="CQ837" i="75"/>
  <c r="DF836" i="75"/>
  <c r="DD836" i="75"/>
  <c r="DB836" i="75"/>
  <c r="CZ836" i="75"/>
  <c r="CX836" i="75"/>
  <c r="CV836" i="75"/>
  <c r="CT836" i="75"/>
  <c r="CR836" i="75"/>
  <c r="CP836" i="75"/>
  <c r="DG835" i="75"/>
  <c r="DE835" i="75"/>
  <c r="DC835" i="75"/>
  <c r="DA835" i="75"/>
  <c r="CY835" i="75"/>
  <c r="CW835" i="75"/>
  <c r="CU835" i="75"/>
  <c r="CS835" i="75"/>
  <c r="CQ835" i="75"/>
  <c r="CO835" i="75"/>
  <c r="DF834" i="75"/>
  <c r="DD834" i="75"/>
  <c r="DB834" i="75"/>
  <c r="CZ834" i="75"/>
  <c r="CX834" i="75"/>
  <c r="CV834" i="75"/>
  <c r="CT834" i="75"/>
  <c r="CR834" i="75"/>
  <c r="CP834" i="75"/>
  <c r="CN834" i="75"/>
  <c r="DG833" i="75"/>
  <c r="DE833" i="75"/>
  <c r="DC833" i="75"/>
  <c r="DA833" i="75"/>
  <c r="CY833" i="75"/>
  <c r="CW833" i="75"/>
  <c r="CU833" i="75"/>
  <c r="CS833" i="75"/>
  <c r="CQ833" i="75"/>
  <c r="CO833" i="75"/>
  <c r="CM833" i="75"/>
  <c r="DF832" i="75"/>
  <c r="DD832" i="75"/>
  <c r="DB832" i="75"/>
  <c r="CZ832" i="75"/>
  <c r="CX832" i="75"/>
  <c r="CV832" i="75"/>
  <c r="CT832" i="75"/>
  <c r="CR832" i="75"/>
  <c r="CP832" i="75"/>
  <c r="CN832" i="75"/>
  <c r="CL832" i="75"/>
  <c r="DG831" i="75"/>
  <c r="DE831" i="75"/>
  <c r="DC831" i="75"/>
  <c r="DA831" i="75"/>
  <c r="CY831" i="75"/>
  <c r="CW831" i="75"/>
  <c r="CU831" i="75"/>
  <c r="CS831" i="75"/>
  <c r="CQ831" i="75"/>
  <c r="CO831" i="75"/>
  <c r="CM831" i="75"/>
  <c r="CK831" i="75"/>
  <c r="DF830" i="75"/>
  <c r="DD830" i="75"/>
  <c r="DB830" i="75"/>
  <c r="CZ830" i="75"/>
  <c r="CX830" i="75"/>
  <c r="CV830" i="75"/>
  <c r="CT830" i="75"/>
  <c r="CR830" i="75"/>
  <c r="CP830" i="75"/>
  <c r="CN830" i="75"/>
  <c r="CL830" i="75"/>
  <c r="CJ830" i="75"/>
  <c r="DG829" i="75"/>
  <c r="DE829" i="75"/>
  <c r="DC829" i="75"/>
  <c r="DA829" i="75"/>
  <c r="CY829" i="75"/>
  <c r="CW829" i="75"/>
  <c r="CU829" i="75"/>
  <c r="CS829" i="75"/>
  <c r="CQ829" i="75"/>
  <c r="CO829" i="75"/>
  <c r="CM829" i="75"/>
  <c r="CK829" i="75"/>
  <c r="CI829" i="75"/>
  <c r="DF828" i="75"/>
  <c r="DD828" i="75"/>
  <c r="DB828" i="75"/>
  <c r="CZ828" i="75"/>
  <c r="CX828" i="75"/>
  <c r="CV828" i="75"/>
  <c r="CT828" i="75"/>
  <c r="CR828" i="75"/>
  <c r="CP828" i="75"/>
  <c r="CN828" i="75"/>
  <c r="CL828" i="75"/>
  <c r="CJ828" i="75"/>
  <c r="CH828" i="75"/>
  <c r="DG827" i="75"/>
  <c r="DE827" i="75"/>
  <c r="DC827" i="75"/>
  <c r="DA827" i="75"/>
  <c r="CY827" i="75"/>
  <c r="CW827" i="75"/>
  <c r="CU827" i="75"/>
  <c r="CS827" i="75"/>
  <c r="CQ827" i="75"/>
  <c r="CO827" i="75"/>
  <c r="CM827" i="75"/>
  <c r="CK827" i="75"/>
  <c r="CI827" i="75"/>
  <c r="CG827" i="75"/>
  <c r="DF826" i="75"/>
  <c r="DD826" i="75"/>
  <c r="DB826" i="75"/>
  <c r="CZ826" i="75"/>
  <c r="CX826" i="75"/>
  <c r="CV826" i="75"/>
  <c r="CT826" i="75"/>
  <c r="CR826" i="75"/>
  <c r="CP826" i="75"/>
  <c r="CN826" i="75"/>
  <c r="CL826" i="75"/>
  <c r="CJ826" i="75"/>
  <c r="CH826" i="75"/>
  <c r="CF826" i="75"/>
  <c r="DG825" i="75"/>
  <c r="DE825" i="75"/>
  <c r="DC825" i="75"/>
  <c r="DA825" i="75"/>
  <c r="CY825" i="75"/>
  <c r="CW825" i="75"/>
  <c r="CU825" i="75"/>
  <c r="CS825" i="75"/>
  <c r="CQ825" i="75"/>
  <c r="CO825" i="75"/>
  <c r="CM825" i="75"/>
  <c r="CK825" i="75"/>
  <c r="CI825" i="75"/>
  <c r="CG825" i="75"/>
  <c r="CE825" i="75"/>
  <c r="DF824" i="75"/>
  <c r="DD824" i="75"/>
  <c r="DB824" i="75"/>
  <c r="CZ824" i="75"/>
  <c r="CX824" i="75"/>
  <c r="CV824" i="75"/>
  <c r="CT824" i="75"/>
  <c r="CR824" i="75"/>
  <c r="CP824" i="75"/>
  <c r="CN824" i="75"/>
  <c r="CL824" i="75"/>
  <c r="CJ824" i="75"/>
  <c r="CH824" i="75"/>
  <c r="CF824" i="75"/>
  <c r="CD824" i="75"/>
  <c r="DG823" i="75"/>
  <c r="DE823" i="75"/>
  <c r="DC823" i="75"/>
  <c r="DA823" i="75"/>
  <c r="CY823" i="75"/>
  <c r="CW823" i="75"/>
  <c r="CU823" i="75"/>
  <c r="CS823" i="75"/>
  <c r="CQ823" i="75"/>
  <c r="CO823" i="75"/>
  <c r="CM823" i="75"/>
  <c r="CK823" i="75"/>
  <c r="CI823" i="75"/>
  <c r="CG823" i="75"/>
  <c r="CE823" i="75"/>
  <c r="CC823" i="75"/>
  <c r="DF822" i="75"/>
  <c r="DD822" i="75"/>
  <c r="DB822" i="75"/>
  <c r="CZ822" i="75"/>
  <c r="CX822" i="75"/>
  <c r="CV822" i="75"/>
  <c r="CT822" i="75"/>
  <c r="CR822" i="75"/>
  <c r="CP822" i="75"/>
  <c r="CN822" i="75"/>
  <c r="CL822" i="75"/>
  <c r="CJ822" i="75"/>
  <c r="CH822" i="75"/>
  <c r="CF822" i="75"/>
  <c r="CD822" i="75"/>
  <c r="CB822" i="75"/>
  <c r="DG821" i="75"/>
  <c r="DE821" i="75"/>
  <c r="DC821" i="75"/>
  <c r="DA821" i="75"/>
  <c r="CY821" i="75"/>
  <c r="CW821" i="75"/>
  <c r="CU821" i="75"/>
  <c r="CS821" i="75"/>
  <c r="CQ821" i="75"/>
  <c r="CO821" i="75"/>
  <c r="CM821" i="75"/>
  <c r="CK821" i="75"/>
  <c r="CI821" i="75"/>
  <c r="CG821" i="75"/>
  <c r="CE821" i="75"/>
  <c r="CC821" i="75"/>
  <c r="CA821" i="75"/>
  <c r="DF820" i="75"/>
  <c r="DD820" i="75"/>
  <c r="DB820" i="75"/>
  <c r="CZ820" i="75"/>
  <c r="CX820" i="75"/>
  <c r="CV820" i="75"/>
  <c r="CT820" i="75"/>
  <c r="CR820" i="75"/>
  <c r="CP820" i="75"/>
  <c r="CN820" i="75"/>
  <c r="CL820" i="75"/>
  <c r="CJ820" i="75"/>
  <c r="CH820" i="75"/>
  <c r="CF820" i="75"/>
  <c r="CD820" i="75"/>
  <c r="CB820" i="75"/>
  <c r="BZ820" i="75"/>
  <c r="DG819" i="75"/>
  <c r="DE819" i="75"/>
  <c r="DC819" i="75"/>
  <c r="DA819" i="75"/>
  <c r="CY819" i="75"/>
  <c r="CW819" i="75"/>
  <c r="CU819" i="75"/>
  <c r="CS819" i="75"/>
  <c r="CQ819" i="75"/>
  <c r="CO819" i="75"/>
  <c r="CM819" i="75"/>
  <c r="CK819" i="75"/>
  <c r="CI819" i="75"/>
  <c r="CG819" i="75"/>
  <c r="CE819" i="75"/>
  <c r="CC819" i="75"/>
  <c r="CA819" i="75"/>
  <c r="BY819" i="75"/>
  <c r="DF818" i="75"/>
  <c r="DD818" i="75"/>
  <c r="DB818" i="75"/>
  <c r="CZ818" i="75"/>
  <c r="CX818" i="75"/>
  <c r="CV818" i="75"/>
  <c r="CT818" i="75"/>
  <c r="CR818" i="75"/>
  <c r="CP818" i="75"/>
  <c r="CN818" i="75"/>
  <c r="CL818" i="75"/>
  <c r="CJ818" i="75"/>
  <c r="CH818" i="75"/>
  <c r="CF818" i="75"/>
  <c r="CD818" i="75"/>
  <c r="CB818" i="75"/>
  <c r="BZ818" i="75"/>
  <c r="BX818" i="75"/>
  <c r="DG817" i="75"/>
  <c r="DE817" i="75"/>
  <c r="DC817" i="75"/>
  <c r="DA817" i="75"/>
  <c r="CY817" i="75"/>
  <c r="CW817" i="75"/>
  <c r="CU817" i="75"/>
  <c r="CS817" i="75"/>
  <c r="CQ817" i="75"/>
  <c r="CO817" i="75"/>
  <c r="CM817" i="75"/>
  <c r="CK817" i="75"/>
  <c r="CI817" i="75"/>
  <c r="CG817" i="75"/>
  <c r="CE817" i="75"/>
  <c r="CC817" i="75"/>
  <c r="CA817" i="75"/>
  <c r="BY817" i="75"/>
  <c r="BW817" i="75"/>
  <c r="DF816" i="75"/>
  <c r="DD816" i="75"/>
  <c r="DB816" i="75"/>
  <c r="CZ816" i="75"/>
  <c r="CX816" i="75"/>
  <c r="CV816" i="75"/>
  <c r="CT816" i="75"/>
  <c r="CR816" i="75"/>
  <c r="CP816" i="75"/>
  <c r="CN816" i="75"/>
  <c r="CL816" i="75"/>
  <c r="CJ816" i="75"/>
  <c r="CH816" i="75"/>
  <c r="CF816" i="75"/>
  <c r="CD816" i="75"/>
  <c r="CB816" i="75"/>
  <c r="BZ816" i="75"/>
  <c r="BX816" i="75"/>
  <c r="BV816" i="75"/>
  <c r="DG815" i="75"/>
  <c r="DE815" i="75"/>
  <c r="DC815" i="75"/>
  <c r="DA815" i="75"/>
  <c r="CY815" i="75"/>
  <c r="CW815" i="75"/>
  <c r="CU815" i="75"/>
  <c r="CS815" i="75"/>
  <c r="CQ815" i="75"/>
  <c r="CO815" i="75"/>
  <c r="CM815" i="75"/>
  <c r="CK815" i="75"/>
  <c r="CI815" i="75"/>
  <c r="CG815" i="75"/>
  <c r="CE815" i="75"/>
  <c r="CC815" i="75"/>
  <c r="CA815" i="75"/>
  <c r="BY815" i="75"/>
  <c r="BW815" i="75"/>
  <c r="BU815" i="75"/>
  <c r="DF814" i="75"/>
  <c r="DD814" i="75"/>
  <c r="DB814" i="75"/>
  <c r="CZ814" i="75"/>
  <c r="CX814" i="75"/>
  <c r="CV814" i="75"/>
  <c r="CT814" i="75"/>
  <c r="CR814" i="75"/>
  <c r="CP814" i="75"/>
  <c r="CN814" i="75"/>
  <c r="CL814" i="75"/>
  <c r="CJ814" i="75"/>
  <c r="CH814" i="75"/>
  <c r="CF814" i="75"/>
  <c r="CD814" i="75"/>
  <c r="CB814" i="75"/>
  <c r="BZ814" i="75"/>
  <c r="BX814" i="75"/>
  <c r="BV814" i="75"/>
  <c r="BT814" i="75"/>
  <c r="DG813" i="75"/>
  <c r="DE813" i="75"/>
  <c r="DC813" i="75"/>
  <c r="DA813" i="75"/>
  <c r="CY813" i="75"/>
  <c r="CW813" i="75"/>
  <c r="CX813" i="75" s="1"/>
  <c r="CU813" i="75"/>
  <c r="CS813" i="75"/>
  <c r="CQ813" i="75"/>
  <c r="CO813" i="75"/>
  <c r="CM813" i="75"/>
  <c r="CK813" i="75"/>
  <c r="CI813" i="75"/>
  <c r="CG813" i="75"/>
  <c r="CE813" i="75"/>
  <c r="CC813" i="75"/>
  <c r="CA813" i="75"/>
  <c r="BY813" i="75"/>
  <c r="BW813" i="75"/>
  <c r="BU813" i="75"/>
  <c r="BS813" i="75"/>
  <c r="DF812" i="75"/>
  <c r="DD812" i="75"/>
  <c r="DB812" i="75"/>
  <c r="CZ812" i="75"/>
  <c r="CX812" i="75"/>
  <c r="CV812" i="75"/>
  <c r="CT812" i="75"/>
  <c r="CR812" i="75"/>
  <c r="CP812" i="75"/>
  <c r="CN812" i="75"/>
  <c r="CL812" i="75"/>
  <c r="CJ812" i="75"/>
  <c r="CH812" i="75"/>
  <c r="CF812" i="75"/>
  <c r="CD812" i="75"/>
  <c r="CB812" i="75"/>
  <c r="BZ812" i="75"/>
  <c r="BX812" i="75"/>
  <c r="BV812" i="75"/>
  <c r="BT812" i="75"/>
  <c r="BR812" i="75"/>
  <c r="DG811" i="75"/>
  <c r="DE811" i="75"/>
  <c r="DC811" i="75"/>
  <c r="DA811" i="75"/>
  <c r="CY811" i="75"/>
  <c r="CW811" i="75"/>
  <c r="CU811" i="75"/>
  <c r="CS811" i="75"/>
  <c r="CQ811" i="75"/>
  <c r="CO811" i="75"/>
  <c r="CM811" i="75"/>
  <c r="CK811" i="75"/>
  <c r="CI811" i="75"/>
  <c r="CG811" i="75"/>
  <c r="CE811" i="75"/>
  <c r="CC811" i="75"/>
  <c r="CA811" i="75"/>
  <c r="BY811" i="75"/>
  <c r="BW811" i="75"/>
  <c r="BU811" i="75"/>
  <c r="BS811" i="75"/>
  <c r="BQ811" i="75"/>
  <c r="DF810" i="75"/>
  <c r="DD810" i="75"/>
  <c r="DB810" i="75"/>
  <c r="CZ810" i="75"/>
  <c r="CX810" i="75"/>
  <c r="CV810" i="75"/>
  <c r="CT810" i="75"/>
  <c r="CR810" i="75"/>
  <c r="CP810" i="75"/>
  <c r="CN810" i="75"/>
  <c r="CL810" i="75"/>
  <c r="CJ810" i="75"/>
  <c r="CH810" i="75"/>
  <c r="CF810" i="75"/>
  <c r="CD810" i="75"/>
  <c r="CB810" i="75"/>
  <c r="BZ810" i="75"/>
  <c r="BX810" i="75"/>
  <c r="BV810" i="75"/>
  <c r="BT810" i="75"/>
  <c r="BR810" i="75"/>
  <c r="BP810" i="75"/>
  <c r="DG809" i="75"/>
  <c r="DE809" i="75"/>
  <c r="DC809" i="75"/>
  <c r="DA809" i="75"/>
  <c r="CY809" i="75"/>
  <c r="CW809" i="75"/>
  <c r="CU809" i="75"/>
  <c r="CS809" i="75"/>
  <c r="CQ809" i="75"/>
  <c r="CO809" i="75"/>
  <c r="CM809" i="75"/>
  <c r="CK809" i="75"/>
  <c r="CI809" i="75"/>
  <c r="CG809" i="75"/>
  <c r="CE809" i="75"/>
  <c r="CC809" i="75"/>
  <c r="CA809" i="75"/>
  <c r="BY809" i="75"/>
  <c r="BW809" i="75"/>
  <c r="BU809" i="75"/>
  <c r="BS809" i="75"/>
  <c r="BQ809" i="75"/>
  <c r="BO809" i="75"/>
  <c r="DF808" i="75"/>
  <c r="DD808" i="75"/>
  <c r="DB808" i="75"/>
  <c r="CZ808" i="75"/>
  <c r="CX808" i="75"/>
  <c r="CV808" i="75"/>
  <c r="CT808" i="75"/>
  <c r="CR808" i="75"/>
  <c r="CP808" i="75"/>
  <c r="CN808" i="75"/>
  <c r="CL808" i="75"/>
  <c r="CJ808" i="75"/>
  <c r="CH808" i="75"/>
  <c r="CF808" i="75"/>
  <c r="CD808" i="75"/>
  <c r="CB808" i="75"/>
  <c r="BZ808" i="75"/>
  <c r="BX808" i="75"/>
  <c r="BV808" i="75"/>
  <c r="BT808" i="75"/>
  <c r="BR808" i="75"/>
  <c r="BP808" i="75"/>
  <c r="BN808" i="75"/>
  <c r="DG807" i="75"/>
  <c r="DE807" i="75"/>
  <c r="DC807" i="75"/>
  <c r="DA807" i="75"/>
  <c r="CY807" i="75"/>
  <c r="CW807" i="75"/>
  <c r="CU807" i="75"/>
  <c r="CS807" i="75"/>
  <c r="CQ807" i="75"/>
  <c r="CO807" i="75"/>
  <c r="CM807" i="75"/>
  <c r="CK807" i="75"/>
  <c r="CI807" i="75"/>
  <c r="CG807" i="75"/>
  <c r="CE807" i="75"/>
  <c r="CC807" i="75"/>
  <c r="CA807" i="75"/>
  <c r="BY807" i="75"/>
  <c r="BW807" i="75"/>
  <c r="BU807" i="75"/>
  <c r="BS807" i="75"/>
  <c r="BQ807" i="75"/>
  <c r="BO807" i="75"/>
  <c r="BM807" i="75"/>
  <c r="DF806" i="75"/>
  <c r="DD806" i="75"/>
  <c r="DB806" i="75"/>
  <c r="CZ806" i="75"/>
  <c r="CX806" i="75"/>
  <c r="CV806" i="75"/>
  <c r="CT806" i="75"/>
  <c r="CR806" i="75"/>
  <c r="CP806" i="75"/>
  <c r="CN806" i="75"/>
  <c r="CL806" i="75"/>
  <c r="CJ806" i="75"/>
  <c r="CH806" i="75"/>
  <c r="CF806" i="75"/>
  <c r="CD806" i="75"/>
  <c r="CB806" i="75"/>
  <c r="BZ806" i="75"/>
  <c r="BX806" i="75"/>
  <c r="BV806" i="75"/>
  <c r="BT806" i="75"/>
  <c r="BR806" i="75"/>
  <c r="BP806" i="75"/>
  <c r="BN806" i="75"/>
  <c r="BL806" i="75"/>
  <c r="DG805" i="75"/>
  <c r="DE805" i="75"/>
  <c r="DC805" i="75"/>
  <c r="DA805" i="75"/>
  <c r="CY805" i="75"/>
  <c r="CW805" i="75"/>
  <c r="CU805" i="75"/>
  <c r="CS805" i="75"/>
  <c r="CQ805" i="75"/>
  <c r="CO805" i="75"/>
  <c r="CM805" i="75"/>
  <c r="CK805" i="75"/>
  <c r="CI805" i="75"/>
  <c r="CG805" i="75"/>
  <c r="CE805" i="75"/>
  <c r="CC805" i="75"/>
  <c r="CA805" i="75"/>
  <c r="BY805" i="75"/>
  <c r="BW805" i="75"/>
  <c r="BU805" i="75"/>
  <c r="BS805" i="75"/>
  <c r="BQ805" i="75"/>
  <c r="BO805" i="75"/>
  <c r="BM805" i="75"/>
  <c r="BK805" i="75"/>
  <c r="DF804" i="75"/>
  <c r="DD804" i="75"/>
  <c r="DB804" i="75"/>
  <c r="CZ804" i="75"/>
  <c r="CX804" i="75"/>
  <c r="CV804" i="75"/>
  <c r="CT804" i="75"/>
  <c r="CR804" i="75"/>
  <c r="CP804" i="75"/>
  <c r="CN804" i="75"/>
  <c r="CL804" i="75"/>
  <c r="CJ804" i="75"/>
  <c r="CH804" i="75"/>
  <c r="CF804" i="75"/>
  <c r="CD804" i="75"/>
  <c r="CB804" i="75"/>
  <c r="BZ804" i="75"/>
  <c r="BX804" i="75"/>
  <c r="BV804" i="75"/>
  <c r="BT804" i="75"/>
  <c r="BR804" i="75"/>
  <c r="BP804" i="75"/>
  <c r="BN804" i="75"/>
  <c r="BL804" i="75"/>
  <c r="BJ804" i="75"/>
  <c r="DG803" i="75"/>
  <c r="DE803" i="75"/>
  <c r="DC803" i="75"/>
  <c r="DA803" i="75"/>
  <c r="CY803" i="75"/>
  <c r="CW803" i="75"/>
  <c r="CU803" i="75"/>
  <c r="CS803" i="75"/>
  <c r="CQ803" i="75"/>
  <c r="CO803" i="75"/>
  <c r="CM803" i="75"/>
  <c r="CK803" i="75"/>
  <c r="CI803" i="75"/>
  <c r="CG803" i="75"/>
  <c r="CE803" i="75"/>
  <c r="CC803" i="75"/>
  <c r="CA803" i="75"/>
  <c r="BY803" i="75"/>
  <c r="BW803" i="75"/>
  <c r="BU803" i="75"/>
  <c r="BS803" i="75"/>
  <c r="BQ803" i="75"/>
  <c r="BO803" i="75"/>
  <c r="BM803" i="75"/>
  <c r="BK803" i="75"/>
  <c r="BI803" i="75"/>
  <c r="DF802" i="75"/>
  <c r="DD802" i="75"/>
  <c r="DB802" i="75"/>
  <c r="CZ802" i="75"/>
  <c r="CX802" i="75"/>
  <c r="CV802" i="75"/>
  <c r="CT802" i="75"/>
  <c r="CR802" i="75"/>
  <c r="CP802" i="75"/>
  <c r="CN802" i="75"/>
  <c r="CL802" i="75"/>
  <c r="CJ802" i="75"/>
  <c r="CH802" i="75"/>
  <c r="CF802" i="75"/>
  <c r="CD802" i="75"/>
  <c r="CB802" i="75"/>
  <c r="BZ802" i="75"/>
  <c r="BX802" i="75"/>
  <c r="BV802" i="75"/>
  <c r="BT802" i="75"/>
  <c r="BR802" i="75"/>
  <c r="BP802" i="75"/>
  <c r="BN802" i="75"/>
  <c r="BL802" i="75"/>
  <c r="BJ802" i="75"/>
  <c r="BH802" i="75"/>
  <c r="DG801" i="75"/>
  <c r="DE801" i="75"/>
  <c r="DC801" i="75"/>
  <c r="DA801" i="75"/>
  <c r="CY801" i="75"/>
  <c r="CW801" i="75"/>
  <c r="CU801" i="75"/>
  <c r="CS801" i="75"/>
  <c r="CQ801" i="75"/>
  <c r="CO801" i="75"/>
  <c r="CM801" i="75"/>
  <c r="CK801" i="75"/>
  <c r="CI801" i="75"/>
  <c r="CG801" i="75"/>
  <c r="CE801" i="75"/>
  <c r="CC801" i="75"/>
  <c r="CA801" i="75"/>
  <c r="BY801" i="75"/>
  <c r="BW801" i="75"/>
  <c r="BU801" i="75"/>
  <c r="BS801" i="75"/>
  <c r="BQ801" i="75"/>
  <c r="BO801" i="75"/>
  <c r="BM801" i="75"/>
  <c r="BN801" i="75" s="1"/>
  <c r="BK801" i="75"/>
  <c r="BI801" i="75"/>
  <c r="BG801" i="75"/>
  <c r="DF800" i="75"/>
  <c r="DD800" i="75"/>
  <c r="DB800" i="75"/>
  <c r="CZ800" i="75"/>
  <c r="CX800" i="75"/>
  <c r="CV800" i="75"/>
  <c r="CT800" i="75"/>
  <c r="CR800" i="75"/>
  <c r="CP800" i="75"/>
  <c r="CN800" i="75"/>
  <c r="CL800" i="75"/>
  <c r="CJ800" i="75"/>
  <c r="CH800" i="75"/>
  <c r="CF800" i="75"/>
  <c r="CD800" i="75"/>
  <c r="CB800" i="75"/>
  <c r="BZ800" i="75"/>
  <c r="BX800" i="75"/>
  <c r="BV800" i="75"/>
  <c r="BT800" i="75"/>
  <c r="BR800" i="75"/>
  <c r="BP800" i="75"/>
  <c r="BN800" i="75"/>
  <c r="BL800" i="75"/>
  <c r="BJ800" i="75"/>
  <c r="BH800" i="75"/>
  <c r="BF800" i="75"/>
  <c r="DG799" i="75"/>
  <c r="DE799" i="75"/>
  <c r="DC799" i="75"/>
  <c r="DA799" i="75"/>
  <c r="CY799" i="75"/>
  <c r="CW799" i="75"/>
  <c r="CU799" i="75"/>
  <c r="CS799" i="75"/>
  <c r="CQ799" i="75"/>
  <c r="CO799" i="75"/>
  <c r="CM799" i="75"/>
  <c r="CK799" i="75"/>
  <c r="CI799" i="75"/>
  <c r="CG799" i="75"/>
  <c r="CE799" i="75"/>
  <c r="CC799" i="75"/>
  <c r="CA799" i="75"/>
  <c r="BY799" i="75"/>
  <c r="BW799" i="75"/>
  <c r="BU799" i="75"/>
  <c r="BS799" i="75"/>
  <c r="BQ799" i="75"/>
  <c r="BO799" i="75"/>
  <c r="BM799" i="75"/>
  <c r="BK799" i="75"/>
  <c r="BI799" i="75"/>
  <c r="BG799" i="75"/>
  <c r="BE799" i="75"/>
  <c r="DF798" i="75"/>
  <c r="DD798" i="75"/>
  <c r="DB798" i="75"/>
  <c r="CZ798" i="75"/>
  <c r="CX798" i="75"/>
  <c r="CV798" i="75"/>
  <c r="CT798" i="75"/>
  <c r="CR798" i="75"/>
  <c r="CP798" i="75"/>
  <c r="CN798" i="75"/>
  <c r="CL798" i="75"/>
  <c r="CJ798" i="75"/>
  <c r="CH798" i="75"/>
  <c r="CF798" i="75"/>
  <c r="CD798" i="75"/>
  <c r="CB798" i="75"/>
  <c r="BZ798" i="75"/>
  <c r="BX798" i="75"/>
  <c r="BV798" i="75"/>
  <c r="BT798" i="75"/>
  <c r="BR798" i="75"/>
  <c r="BP798" i="75"/>
  <c r="BN798" i="75"/>
  <c r="BL798" i="75"/>
  <c r="BJ798" i="75"/>
  <c r="BH798" i="75"/>
  <c r="BF798" i="75"/>
  <c r="BD798" i="75"/>
  <c r="DG793" i="75"/>
  <c r="DF794" i="75" s="1"/>
  <c r="DG791" i="75"/>
  <c r="DF792" i="75" s="1"/>
  <c r="DE793" i="75" s="1" a="1"/>
  <c r="DE791" i="75"/>
  <c r="DG789" i="75"/>
  <c r="DE789" i="75"/>
  <c r="DC789" i="75"/>
  <c r="DG787" i="75"/>
  <c r="DF788" i="75" s="1"/>
  <c r="DE787" i="75"/>
  <c r="DD788" i="75" s="1"/>
  <c r="DC787" i="75"/>
  <c r="DB788" i="75" s="1"/>
  <c r="DA787" i="75"/>
  <c r="DG785" i="75"/>
  <c r="DF786" i="75" s="1"/>
  <c r="DE785" i="75"/>
  <c r="DC785" i="75"/>
  <c r="DB786" i="75" s="1"/>
  <c r="DA785" i="75"/>
  <c r="CY785" i="75"/>
  <c r="DG783" i="75"/>
  <c r="DF784" i="75" s="1"/>
  <c r="DE783" i="75"/>
  <c r="DD784" i="75" s="1"/>
  <c r="DC783" i="75"/>
  <c r="DB784" i="75" s="1"/>
  <c r="DA783" i="75"/>
  <c r="CY783" i="75"/>
  <c r="CX784" i="75" s="1"/>
  <c r="CW783" i="75"/>
  <c r="DG781" i="75"/>
  <c r="DF782" i="75" s="1"/>
  <c r="DE781" i="75"/>
  <c r="DC781" i="75"/>
  <c r="DA781" i="75"/>
  <c r="CZ782" i="75" s="1"/>
  <c r="CY781" i="75"/>
  <c r="CW781" i="75"/>
  <c r="CV782" i="75" s="1"/>
  <c r="CU781" i="75"/>
  <c r="DG779" i="75"/>
  <c r="DF780" i="75" s="1"/>
  <c r="DE779" i="75"/>
  <c r="DC779" i="75"/>
  <c r="DA779" i="75"/>
  <c r="CZ780" i="75" s="1"/>
  <c r="CY779" i="75"/>
  <c r="CW779" i="75"/>
  <c r="CV780" i="75" s="1"/>
  <c r="CU779" i="75"/>
  <c r="CS779" i="75"/>
  <c r="DG777" i="75"/>
  <c r="DE777" i="75"/>
  <c r="DC777" i="75"/>
  <c r="DB778" i="75" s="1"/>
  <c r="DA777" i="75"/>
  <c r="CZ778" i="75" s="1"/>
  <c r="CY777" i="75"/>
  <c r="CW777" i="75"/>
  <c r="CU777" i="75"/>
  <c r="CS777" i="75"/>
  <c r="CR778" i="75" s="1"/>
  <c r="CQ777" i="75"/>
  <c r="DF776" i="75"/>
  <c r="DD776" i="75"/>
  <c r="DB776" i="75"/>
  <c r="CZ776" i="75"/>
  <c r="CX776" i="75"/>
  <c r="CV776" i="75"/>
  <c r="CT776" i="75"/>
  <c r="CR776" i="75"/>
  <c r="CP776" i="75"/>
  <c r="DG775" i="75"/>
  <c r="DE775" i="75"/>
  <c r="DC775" i="75"/>
  <c r="DA775" i="75"/>
  <c r="CY775" i="75"/>
  <c r="CW775" i="75"/>
  <c r="CU775" i="75"/>
  <c r="CS775" i="75"/>
  <c r="CQ775" i="75"/>
  <c r="CO775" i="75"/>
  <c r="DF774" i="75"/>
  <c r="DD774" i="75"/>
  <c r="DB774" i="75"/>
  <c r="CZ774" i="75"/>
  <c r="CX774" i="75"/>
  <c r="CV774" i="75"/>
  <c r="CT774" i="75"/>
  <c r="CR774" i="75"/>
  <c r="CP774" i="75"/>
  <c r="CN774" i="75"/>
  <c r="DG773" i="75"/>
  <c r="DE773" i="75"/>
  <c r="DC773" i="75"/>
  <c r="DA773" i="75"/>
  <c r="CY773" i="75"/>
  <c r="CW773" i="75"/>
  <c r="CU773" i="75"/>
  <c r="CS773" i="75"/>
  <c r="CQ773" i="75"/>
  <c r="CO773" i="75"/>
  <c r="CM773" i="75"/>
  <c r="DF772" i="75"/>
  <c r="DD772" i="75"/>
  <c r="DB772" i="75"/>
  <c r="CZ772" i="75"/>
  <c r="CX772" i="75"/>
  <c r="CV772" i="75"/>
  <c r="CT772" i="75"/>
  <c r="CR772" i="75"/>
  <c r="CP772" i="75"/>
  <c r="CN772" i="75"/>
  <c r="CL772" i="75"/>
  <c r="DG771" i="75"/>
  <c r="DE771" i="75"/>
  <c r="DC771" i="75"/>
  <c r="DA771" i="75"/>
  <c r="CY771" i="75"/>
  <c r="CW771" i="75"/>
  <c r="CU771" i="75"/>
  <c r="CS771" i="75"/>
  <c r="CQ771" i="75"/>
  <c r="CO771" i="75"/>
  <c r="CM771" i="75"/>
  <c r="CK771" i="75"/>
  <c r="DF770" i="75"/>
  <c r="DD770" i="75"/>
  <c r="DB770" i="75"/>
  <c r="CZ770" i="75"/>
  <c r="CX770" i="75"/>
  <c r="CV770" i="75"/>
  <c r="CT770" i="75"/>
  <c r="CR770" i="75"/>
  <c r="CP770" i="75"/>
  <c r="CN770" i="75"/>
  <c r="CL770" i="75"/>
  <c r="CJ770" i="75"/>
  <c r="DG769" i="75"/>
  <c r="DE769" i="75"/>
  <c r="DC769" i="75"/>
  <c r="DA769" i="75"/>
  <c r="CY769" i="75"/>
  <c r="CW769" i="75"/>
  <c r="CU769" i="75"/>
  <c r="CS769" i="75"/>
  <c r="CQ769" i="75"/>
  <c r="CO769" i="75"/>
  <c r="CM769" i="75"/>
  <c r="CK769" i="75"/>
  <c r="CI769" i="75"/>
  <c r="DF768" i="75"/>
  <c r="DD768" i="75"/>
  <c r="DB768" i="75"/>
  <c r="CZ768" i="75"/>
  <c r="CX768" i="75"/>
  <c r="CV768" i="75"/>
  <c r="CT768" i="75"/>
  <c r="CR768" i="75"/>
  <c r="CP768" i="75"/>
  <c r="CN768" i="75"/>
  <c r="CL768" i="75"/>
  <c r="CJ768" i="75"/>
  <c r="CH768" i="75"/>
  <c r="DG767" i="75"/>
  <c r="DE767" i="75"/>
  <c r="DC767" i="75"/>
  <c r="DA767" i="75"/>
  <c r="CY767" i="75"/>
  <c r="CW767" i="75"/>
  <c r="CU767" i="75"/>
  <c r="CS767" i="75"/>
  <c r="CQ767" i="75"/>
  <c r="CO767" i="75"/>
  <c r="CM767" i="75"/>
  <c r="CK767" i="75"/>
  <c r="CI767" i="75"/>
  <c r="CG767" i="75"/>
  <c r="DF766" i="75"/>
  <c r="DD766" i="75"/>
  <c r="DB766" i="75"/>
  <c r="CZ766" i="75"/>
  <c r="CX766" i="75"/>
  <c r="CV766" i="75"/>
  <c r="CT766" i="75"/>
  <c r="CR766" i="75"/>
  <c r="CP766" i="75"/>
  <c r="CN766" i="75"/>
  <c r="CL766" i="75"/>
  <c r="CJ766" i="75"/>
  <c r="CH766" i="75"/>
  <c r="CF766" i="75"/>
  <c r="DG765" i="75"/>
  <c r="DE765" i="75"/>
  <c r="DC765" i="75"/>
  <c r="DA765" i="75"/>
  <c r="CY765" i="75"/>
  <c r="CW765" i="75"/>
  <c r="CU765" i="75"/>
  <c r="CS765" i="75"/>
  <c r="CQ765" i="75"/>
  <c r="CO765" i="75"/>
  <c r="CM765" i="75"/>
  <c r="CK765" i="75"/>
  <c r="CI765" i="75"/>
  <c r="CG765" i="75"/>
  <c r="CE765" i="75"/>
  <c r="DF764" i="75"/>
  <c r="DD764" i="75"/>
  <c r="DB764" i="75"/>
  <c r="CZ764" i="75"/>
  <c r="CX764" i="75"/>
  <c r="CV764" i="75"/>
  <c r="CT764" i="75"/>
  <c r="CR764" i="75"/>
  <c r="CP764" i="75"/>
  <c r="CN764" i="75"/>
  <c r="CL764" i="75"/>
  <c r="CJ764" i="75"/>
  <c r="CH764" i="75"/>
  <c r="CF764" i="75"/>
  <c r="CD764" i="75"/>
  <c r="DG763" i="75"/>
  <c r="DE763" i="75"/>
  <c r="DC763" i="75"/>
  <c r="DA763" i="75"/>
  <c r="CY763" i="75"/>
  <c r="CW763" i="75"/>
  <c r="CU763" i="75"/>
  <c r="CS763" i="75"/>
  <c r="CQ763" i="75"/>
  <c r="CO763" i="75"/>
  <c r="CM763" i="75"/>
  <c r="CK763" i="75"/>
  <c r="CI763" i="75"/>
  <c r="CG763" i="75"/>
  <c r="CE763" i="75"/>
  <c r="CC763" i="75"/>
  <c r="DF762" i="75"/>
  <c r="DD762" i="75"/>
  <c r="DB762" i="75"/>
  <c r="CZ762" i="75"/>
  <c r="CX762" i="75"/>
  <c r="CV762" i="75"/>
  <c r="CT762" i="75"/>
  <c r="CR762" i="75"/>
  <c r="CP762" i="75"/>
  <c r="CN762" i="75"/>
  <c r="CL762" i="75"/>
  <c r="CJ762" i="75"/>
  <c r="CH762" i="75"/>
  <c r="CF762" i="75"/>
  <c r="CD762" i="75"/>
  <c r="CB762" i="75"/>
  <c r="DG761" i="75"/>
  <c r="DE761" i="75"/>
  <c r="DC761" i="75"/>
  <c r="DA761" i="75"/>
  <c r="CY761" i="75"/>
  <c r="CW761" i="75"/>
  <c r="CU761" i="75"/>
  <c r="CS761" i="75"/>
  <c r="CQ761" i="75"/>
  <c r="CO761" i="75"/>
  <c r="CM761" i="75"/>
  <c r="CK761" i="75"/>
  <c r="CI761" i="75"/>
  <c r="CG761" i="75"/>
  <c r="CE761" i="75"/>
  <c r="CC761" i="75"/>
  <c r="CA761" i="75"/>
  <c r="DF760" i="75"/>
  <c r="DD760" i="75"/>
  <c r="DB760" i="75"/>
  <c r="CZ760" i="75"/>
  <c r="CX760" i="75"/>
  <c r="CV760" i="75"/>
  <c r="CT760" i="75"/>
  <c r="CR760" i="75"/>
  <c r="CP760" i="75"/>
  <c r="CN760" i="75"/>
  <c r="CL760" i="75"/>
  <c r="CJ760" i="75"/>
  <c r="CH760" i="75"/>
  <c r="CF760" i="75"/>
  <c r="CD760" i="75"/>
  <c r="CB760" i="75"/>
  <c r="BZ760" i="75"/>
  <c r="DG759" i="75"/>
  <c r="DE759" i="75"/>
  <c r="DC759" i="75"/>
  <c r="DA759" i="75"/>
  <c r="CY759" i="75"/>
  <c r="CW759" i="75"/>
  <c r="CU759" i="75"/>
  <c r="CS759" i="75"/>
  <c r="CQ759" i="75"/>
  <c r="CO759" i="75"/>
  <c r="CM759" i="75"/>
  <c r="CK759" i="75"/>
  <c r="CI759" i="75"/>
  <c r="CG759" i="75"/>
  <c r="CE759" i="75"/>
  <c r="CC759" i="75"/>
  <c r="CA759" i="75"/>
  <c r="BY759" i="75"/>
  <c r="DF758" i="75"/>
  <c r="DD758" i="75"/>
  <c r="DB758" i="75"/>
  <c r="CZ758" i="75"/>
  <c r="CX758" i="75"/>
  <c r="CV758" i="75"/>
  <c r="CT758" i="75"/>
  <c r="CR758" i="75"/>
  <c r="CP758" i="75"/>
  <c r="CN758" i="75"/>
  <c r="CL758" i="75"/>
  <c r="CJ758" i="75"/>
  <c r="CH758" i="75"/>
  <c r="CF758" i="75"/>
  <c r="CD758" i="75"/>
  <c r="CB758" i="75"/>
  <c r="BZ758" i="75"/>
  <c r="BX758" i="75"/>
  <c r="DG757" i="75"/>
  <c r="DE757" i="75"/>
  <c r="DC757" i="75"/>
  <c r="DA757" i="75"/>
  <c r="CY757" i="75"/>
  <c r="CW757" i="75"/>
  <c r="CU757" i="75"/>
  <c r="CS757" i="75"/>
  <c r="CQ757" i="75"/>
  <c r="CO757" i="75"/>
  <c r="CM757" i="75"/>
  <c r="CK757" i="75"/>
  <c r="CI757" i="75"/>
  <c r="CG757" i="75"/>
  <c r="CE757" i="75"/>
  <c r="CC757" i="75"/>
  <c r="CA757" i="75"/>
  <c r="BY757" i="75"/>
  <c r="BW757" i="75"/>
  <c r="DF756" i="75"/>
  <c r="DD756" i="75"/>
  <c r="DB756" i="75"/>
  <c r="CZ756" i="75"/>
  <c r="CX756" i="75"/>
  <c r="CV756" i="75"/>
  <c r="CT756" i="75"/>
  <c r="CR756" i="75"/>
  <c r="CP756" i="75"/>
  <c r="CN756" i="75"/>
  <c r="CL756" i="75"/>
  <c r="CJ756" i="75"/>
  <c r="CH756" i="75"/>
  <c r="CF756" i="75"/>
  <c r="CD756" i="75"/>
  <c r="CB756" i="75"/>
  <c r="BZ756" i="75"/>
  <c r="BX756" i="75"/>
  <c r="BV756" i="75"/>
  <c r="DG755" i="75"/>
  <c r="DE755" i="75"/>
  <c r="DC755" i="75"/>
  <c r="DA755" i="75"/>
  <c r="CY755" i="75"/>
  <c r="CW755" i="75"/>
  <c r="CU755" i="75"/>
  <c r="CS755" i="75"/>
  <c r="CQ755" i="75"/>
  <c r="CO755" i="75"/>
  <c r="CM755" i="75"/>
  <c r="CK755" i="75"/>
  <c r="CI755" i="75"/>
  <c r="CG755" i="75"/>
  <c r="CE755" i="75"/>
  <c r="CC755" i="75"/>
  <c r="CA755" i="75"/>
  <c r="BY755" i="75"/>
  <c r="BW755" i="75"/>
  <c r="BU755" i="75"/>
  <c r="DF754" i="75"/>
  <c r="DD754" i="75"/>
  <c r="DB754" i="75"/>
  <c r="CZ754" i="75"/>
  <c r="CX754" i="75"/>
  <c r="CV754" i="75"/>
  <c r="CT754" i="75"/>
  <c r="CR754" i="75"/>
  <c r="CP754" i="75"/>
  <c r="CN754" i="75"/>
  <c r="CL754" i="75"/>
  <c r="CJ754" i="75"/>
  <c r="CH754" i="75"/>
  <c r="CF754" i="75"/>
  <c r="CD754" i="75"/>
  <c r="CB754" i="75"/>
  <c r="BZ754" i="75"/>
  <c r="BX754" i="75"/>
  <c r="BV754" i="75"/>
  <c r="BT754" i="75"/>
  <c r="DG753" i="75"/>
  <c r="DE753" i="75"/>
  <c r="DC753" i="75"/>
  <c r="DA753" i="75"/>
  <c r="CY753" i="75"/>
  <c r="CW753" i="75"/>
  <c r="CU753" i="75"/>
  <c r="CS753" i="75"/>
  <c r="CQ753" i="75"/>
  <c r="CO753" i="75"/>
  <c r="CM753" i="75"/>
  <c r="CK753" i="75"/>
  <c r="CI753" i="75"/>
  <c r="CG753" i="75"/>
  <c r="CE753" i="75"/>
  <c r="CC753" i="75"/>
  <c r="CA753" i="75"/>
  <c r="BY753" i="75"/>
  <c r="BW753" i="75"/>
  <c r="BU753" i="75"/>
  <c r="BS753" i="75"/>
  <c r="DF752" i="75"/>
  <c r="DD752" i="75"/>
  <c r="DB752" i="75"/>
  <c r="CZ752" i="75"/>
  <c r="CX752" i="75"/>
  <c r="CV752" i="75"/>
  <c r="CT752" i="75"/>
  <c r="CR752" i="75"/>
  <c r="CP752" i="75"/>
  <c r="CN752" i="75"/>
  <c r="CL752" i="75"/>
  <c r="CJ752" i="75"/>
  <c r="CH752" i="75"/>
  <c r="CF752" i="75"/>
  <c r="CD752" i="75"/>
  <c r="CB752" i="75"/>
  <c r="BZ752" i="75"/>
  <c r="BX752" i="75"/>
  <c r="BV752" i="75"/>
  <c r="BT752" i="75"/>
  <c r="BR752" i="75"/>
  <c r="DG751" i="75"/>
  <c r="DE751" i="75"/>
  <c r="DC751" i="75"/>
  <c r="DA751" i="75"/>
  <c r="CY751" i="75"/>
  <c r="CW751" i="75"/>
  <c r="CU751" i="75"/>
  <c r="CS751" i="75"/>
  <c r="CQ751" i="75"/>
  <c r="CO751" i="75"/>
  <c r="CM751" i="75"/>
  <c r="CK751" i="75"/>
  <c r="CI751" i="75"/>
  <c r="CG751" i="75"/>
  <c r="CE751" i="75"/>
  <c r="CC751" i="75"/>
  <c r="CA751" i="75"/>
  <c r="BY751" i="75"/>
  <c r="BW751" i="75"/>
  <c r="BU751" i="75"/>
  <c r="BS751" i="75"/>
  <c r="BQ751" i="75"/>
  <c r="DF750" i="75"/>
  <c r="DD750" i="75"/>
  <c r="DB750" i="75"/>
  <c r="CZ750" i="75"/>
  <c r="CX750" i="75"/>
  <c r="CV750" i="75"/>
  <c r="CT750" i="75"/>
  <c r="CR750" i="75"/>
  <c r="CP750" i="75"/>
  <c r="CN750" i="75"/>
  <c r="CL750" i="75"/>
  <c r="CJ750" i="75"/>
  <c r="CH750" i="75"/>
  <c r="CF750" i="75"/>
  <c r="CD750" i="75"/>
  <c r="CB750" i="75"/>
  <c r="BZ750" i="75"/>
  <c r="BX750" i="75"/>
  <c r="BV750" i="75"/>
  <c r="BT750" i="75"/>
  <c r="BR750" i="75"/>
  <c r="BP750" i="75"/>
  <c r="DG749" i="75"/>
  <c r="DE749" i="75"/>
  <c r="DC749" i="75"/>
  <c r="DA749" i="75"/>
  <c r="CY749" i="75"/>
  <c r="CW749" i="75"/>
  <c r="CU749" i="75"/>
  <c r="CS749" i="75"/>
  <c r="CQ749" i="75"/>
  <c r="CO749" i="75"/>
  <c r="CM749" i="75"/>
  <c r="CK749" i="75"/>
  <c r="CI749" i="75"/>
  <c r="CG749" i="75"/>
  <c r="CE749" i="75"/>
  <c r="CC749" i="75"/>
  <c r="CA749" i="75"/>
  <c r="BY749" i="75"/>
  <c r="BW749" i="75"/>
  <c r="BU749" i="75"/>
  <c r="BS749" i="75"/>
  <c r="BQ749" i="75"/>
  <c r="BO749" i="75"/>
  <c r="DF748" i="75"/>
  <c r="DD748" i="75"/>
  <c r="DB748" i="75"/>
  <c r="CZ748" i="75"/>
  <c r="CX748" i="75"/>
  <c r="CV748" i="75"/>
  <c r="CT748" i="75"/>
  <c r="CR748" i="75"/>
  <c r="CP748" i="75"/>
  <c r="CN748" i="75"/>
  <c r="CL748" i="75"/>
  <c r="CJ748" i="75"/>
  <c r="CH748" i="75"/>
  <c r="CF748" i="75"/>
  <c r="CD748" i="75"/>
  <c r="CB748" i="75"/>
  <c r="BZ748" i="75"/>
  <c r="BX748" i="75"/>
  <c r="BV748" i="75"/>
  <c r="BT748" i="75"/>
  <c r="BR748" i="75"/>
  <c r="BP748" i="75"/>
  <c r="BN748" i="75"/>
  <c r="DG747" i="75"/>
  <c r="DE747" i="75"/>
  <c r="DC747" i="75"/>
  <c r="DA747" i="75"/>
  <c r="CY747" i="75"/>
  <c r="CW747" i="75"/>
  <c r="CU747" i="75"/>
  <c r="CS747" i="75"/>
  <c r="CQ747" i="75"/>
  <c r="CO747" i="75"/>
  <c r="CM747" i="75"/>
  <c r="CK747" i="75"/>
  <c r="CI747" i="75"/>
  <c r="CG747" i="75"/>
  <c r="CE747" i="75"/>
  <c r="CC747" i="75"/>
  <c r="CA747" i="75"/>
  <c r="BY747" i="75"/>
  <c r="BW747" i="75"/>
  <c r="BU747" i="75"/>
  <c r="BS747" i="75"/>
  <c r="BQ747" i="75"/>
  <c r="BO747" i="75"/>
  <c r="BM747" i="75"/>
  <c r="DF746" i="75"/>
  <c r="DD746" i="75"/>
  <c r="DB746" i="75"/>
  <c r="CZ746" i="75"/>
  <c r="CX746" i="75"/>
  <c r="CV746" i="75"/>
  <c r="CT746" i="75"/>
  <c r="CR746" i="75"/>
  <c r="CP746" i="75"/>
  <c r="CN746" i="75"/>
  <c r="CL746" i="75"/>
  <c r="CJ746" i="75"/>
  <c r="CH746" i="75"/>
  <c r="CF746" i="75"/>
  <c r="CD746" i="75"/>
  <c r="CB746" i="75"/>
  <c r="BZ746" i="75"/>
  <c r="BX746" i="75"/>
  <c r="BV746" i="75"/>
  <c r="BT746" i="75"/>
  <c r="BR746" i="75"/>
  <c r="BP746" i="75"/>
  <c r="BN746" i="75"/>
  <c r="BL746" i="75"/>
  <c r="DG745" i="75"/>
  <c r="DE745" i="75"/>
  <c r="DC745" i="75"/>
  <c r="DA745" i="75"/>
  <c r="CY745" i="75"/>
  <c r="CW745" i="75"/>
  <c r="CU745" i="75"/>
  <c r="CS745" i="75"/>
  <c r="CQ745" i="75"/>
  <c r="CO745" i="75"/>
  <c r="CM745" i="75"/>
  <c r="CK745" i="75"/>
  <c r="CI745" i="75"/>
  <c r="CG745" i="75"/>
  <c r="CE745" i="75"/>
  <c r="CC745" i="75"/>
  <c r="CA745" i="75"/>
  <c r="BY745" i="75"/>
  <c r="BW745" i="75"/>
  <c r="BU745" i="75"/>
  <c r="BS745" i="75"/>
  <c r="BQ745" i="75"/>
  <c r="BO745" i="75"/>
  <c r="BM745" i="75"/>
  <c r="BK745" i="75"/>
  <c r="DF744" i="75"/>
  <c r="DD744" i="75"/>
  <c r="DB744" i="75"/>
  <c r="CZ744" i="75"/>
  <c r="CX744" i="75"/>
  <c r="CV744" i="75"/>
  <c r="CT744" i="75"/>
  <c r="CR744" i="75"/>
  <c r="CP744" i="75"/>
  <c r="CN744" i="75"/>
  <c r="CL744" i="75"/>
  <c r="CJ744" i="75"/>
  <c r="CH744" i="75"/>
  <c r="CF744" i="75"/>
  <c r="CD744" i="75"/>
  <c r="CB744" i="75"/>
  <c r="BZ744" i="75"/>
  <c r="BX744" i="75"/>
  <c r="BV744" i="75"/>
  <c r="BT744" i="75"/>
  <c r="BR744" i="75"/>
  <c r="BP744" i="75"/>
  <c r="BN744" i="75"/>
  <c r="BL744" i="75"/>
  <c r="BJ744" i="75"/>
  <c r="DG743" i="75"/>
  <c r="DE743" i="75"/>
  <c r="DC743" i="75"/>
  <c r="DA743" i="75"/>
  <c r="CY743" i="75"/>
  <c r="CW743" i="75"/>
  <c r="CU743" i="75"/>
  <c r="CS743" i="75"/>
  <c r="CQ743" i="75"/>
  <c r="CO743" i="75"/>
  <c r="CM743" i="75"/>
  <c r="CK743" i="75"/>
  <c r="CI743" i="75"/>
  <c r="CG743" i="75"/>
  <c r="CE743" i="75"/>
  <c r="CC743" i="75"/>
  <c r="CA743" i="75"/>
  <c r="BY743" i="75"/>
  <c r="BW743" i="75"/>
  <c r="BU743" i="75"/>
  <c r="BS743" i="75"/>
  <c r="BQ743" i="75"/>
  <c r="BO743" i="75"/>
  <c r="BM743" i="75"/>
  <c r="BK743" i="75"/>
  <c r="BI743" i="75"/>
  <c r="DF742" i="75"/>
  <c r="DD742" i="75"/>
  <c r="DB742" i="75"/>
  <c r="CZ742" i="75"/>
  <c r="CX742" i="75"/>
  <c r="CV742" i="75"/>
  <c r="CT742" i="75"/>
  <c r="CR742" i="75"/>
  <c r="CP742" i="75"/>
  <c r="CN742" i="75"/>
  <c r="CL742" i="75"/>
  <c r="CJ742" i="75"/>
  <c r="CH742" i="75"/>
  <c r="CF742" i="75"/>
  <c r="CD742" i="75"/>
  <c r="CB742" i="75"/>
  <c r="BZ742" i="75"/>
  <c r="BX742" i="75"/>
  <c r="BV742" i="75"/>
  <c r="BT742" i="75"/>
  <c r="BR742" i="75"/>
  <c r="BP742" i="75"/>
  <c r="BN742" i="75"/>
  <c r="BL742" i="75"/>
  <c r="BJ742" i="75"/>
  <c r="BH742" i="75"/>
  <c r="DG741" i="75"/>
  <c r="DE741" i="75"/>
  <c r="DC741" i="75"/>
  <c r="DA741" i="75"/>
  <c r="CY741" i="75"/>
  <c r="CW741" i="75"/>
  <c r="CU741" i="75"/>
  <c r="CS741" i="75"/>
  <c r="CQ741" i="75"/>
  <c r="CO741" i="75"/>
  <c r="CM741" i="75"/>
  <c r="CK741" i="75"/>
  <c r="CI741" i="75"/>
  <c r="CG741" i="75"/>
  <c r="CE741" i="75"/>
  <c r="CC741" i="75"/>
  <c r="CA741" i="75"/>
  <c r="BY741" i="75"/>
  <c r="BW741" i="75"/>
  <c r="BU741" i="75"/>
  <c r="BS741" i="75"/>
  <c r="BQ741" i="75"/>
  <c r="BO741" i="75"/>
  <c r="BM741" i="75"/>
  <c r="BK741" i="75"/>
  <c r="BI741" i="75"/>
  <c r="BG741" i="75"/>
  <c r="DF740" i="75"/>
  <c r="DD740" i="75"/>
  <c r="DB740" i="75"/>
  <c r="CZ740" i="75"/>
  <c r="CX740" i="75"/>
  <c r="CV740" i="75"/>
  <c r="CT740" i="75"/>
  <c r="CR740" i="75"/>
  <c r="CP740" i="75"/>
  <c r="CN740" i="75"/>
  <c r="CL740" i="75"/>
  <c r="CJ740" i="75"/>
  <c r="CH740" i="75"/>
  <c r="CF740" i="75"/>
  <c r="CD740" i="75"/>
  <c r="CB740" i="75"/>
  <c r="BZ740" i="75"/>
  <c r="BX740" i="75"/>
  <c r="BV740" i="75"/>
  <c r="BT740" i="75"/>
  <c r="BR740" i="75"/>
  <c r="BP740" i="75"/>
  <c r="BN740" i="75"/>
  <c r="BL740" i="75"/>
  <c r="BJ740" i="75"/>
  <c r="BH740" i="75"/>
  <c r="BF740" i="75"/>
  <c r="DG739" i="75"/>
  <c r="DE739" i="75"/>
  <c r="DC739" i="75"/>
  <c r="DA739" i="75"/>
  <c r="CY739" i="75"/>
  <c r="CW739" i="75"/>
  <c r="CU739" i="75"/>
  <c r="CS739" i="75"/>
  <c r="CQ739" i="75"/>
  <c r="CO739" i="75"/>
  <c r="CM739" i="75"/>
  <c r="CK739" i="75"/>
  <c r="CI739" i="75"/>
  <c r="CG739" i="75"/>
  <c r="CE739" i="75"/>
  <c r="CC739" i="75"/>
  <c r="CA739" i="75"/>
  <c r="BY739" i="75"/>
  <c r="BW739" i="75"/>
  <c r="BU739" i="75"/>
  <c r="BS739" i="75"/>
  <c r="BQ739" i="75"/>
  <c r="BO739" i="75"/>
  <c r="BM739" i="75"/>
  <c r="BK739" i="75"/>
  <c r="BI739" i="75"/>
  <c r="BG739" i="75"/>
  <c r="BE739" i="75"/>
  <c r="DF738" i="75"/>
  <c r="DD738" i="75"/>
  <c r="DB738" i="75"/>
  <c r="CZ738" i="75"/>
  <c r="CX738" i="75"/>
  <c r="CV738" i="75"/>
  <c r="CT738" i="75"/>
  <c r="CR738" i="75"/>
  <c r="CP738" i="75"/>
  <c r="CN738" i="75"/>
  <c r="CL738" i="75"/>
  <c r="CJ738" i="75"/>
  <c r="CH738" i="75"/>
  <c r="CF738" i="75"/>
  <c r="CD738" i="75"/>
  <c r="CB738" i="75"/>
  <c r="BZ738" i="75"/>
  <c r="BX738" i="75"/>
  <c r="BV738" i="75"/>
  <c r="BT738" i="75"/>
  <c r="BR738" i="75"/>
  <c r="BP738" i="75"/>
  <c r="BN738" i="75"/>
  <c r="BL738" i="75"/>
  <c r="BJ738" i="75"/>
  <c r="BH738" i="75"/>
  <c r="BF738" i="75"/>
  <c r="BD738" i="75"/>
  <c r="DG733" i="75"/>
  <c r="DF734" i="75" s="1"/>
  <c r="DG731" i="75"/>
  <c r="DF732" i="75" s="1"/>
  <c r="DE733" i="75" s="1" a="1"/>
  <c r="DE731" i="75"/>
  <c r="DG729" i="75"/>
  <c r="DF730" i="75" s="1"/>
  <c r="DE729" i="75"/>
  <c r="DD730" i="75" s="1"/>
  <c r="DC729" i="75"/>
  <c r="DG727" i="75"/>
  <c r="DF728" i="75" s="1"/>
  <c r="DE727" i="75"/>
  <c r="DC727" i="75"/>
  <c r="DA727" i="75"/>
  <c r="DG725" i="75"/>
  <c r="DF726" i="75" s="1"/>
  <c r="DE725" i="75"/>
  <c r="DD726" i="75" s="1"/>
  <c r="DC725" i="75"/>
  <c r="DB726" i="75" s="1"/>
  <c r="DA725" i="75"/>
  <c r="CZ726" i="75" s="1"/>
  <c r="CY725" i="75"/>
  <c r="DG723" i="75"/>
  <c r="DF724" i="75" s="1"/>
  <c r="DE723" i="75"/>
  <c r="DC723" i="75"/>
  <c r="DA723" i="75"/>
  <c r="CY723" i="75"/>
  <c r="CX724" i="75" s="1"/>
  <c r="CW723" i="75"/>
  <c r="DG721" i="75"/>
  <c r="DF722" i="75" s="1"/>
  <c r="DE721" i="75"/>
  <c r="DC721" i="75"/>
  <c r="DB722" i="75" s="1"/>
  <c r="DA721" i="75"/>
  <c r="CZ722" i="75" s="1"/>
  <c r="CY721" i="75"/>
  <c r="CW721" i="75"/>
  <c r="CV722" i="75" s="1"/>
  <c r="CU721" i="75"/>
  <c r="DG719" i="75"/>
  <c r="DF720" i="75" s="1"/>
  <c r="DE719" i="75"/>
  <c r="DD720" i="75" s="1"/>
  <c r="DC719" i="75"/>
  <c r="DA719" i="75"/>
  <c r="CZ720" i="75" s="1"/>
  <c r="CY719" i="75"/>
  <c r="CW719" i="75"/>
  <c r="CU719" i="75"/>
  <c r="CS719" i="75"/>
  <c r="DG717" i="75"/>
  <c r="DF718" i="75" s="1"/>
  <c r="DE717" i="75"/>
  <c r="DD718" i="75" s="1"/>
  <c r="DC717" i="75"/>
  <c r="DB718" i="75" s="1"/>
  <c r="DA717" i="75"/>
  <c r="CY717" i="75"/>
  <c r="CX718" i="75" s="1"/>
  <c r="CW717" i="75"/>
  <c r="CU717" i="75"/>
  <c r="CT718" i="75" s="1"/>
  <c r="CS717" i="75"/>
  <c r="CQ717" i="75"/>
  <c r="DF716" i="75"/>
  <c r="DD716" i="75"/>
  <c r="DB716" i="75"/>
  <c r="CZ716" i="75"/>
  <c r="CX716" i="75"/>
  <c r="CV716" i="75"/>
  <c r="CT716" i="75"/>
  <c r="CR716" i="75"/>
  <c r="CP716" i="75"/>
  <c r="DG715" i="75"/>
  <c r="DE715" i="75"/>
  <c r="DC715" i="75"/>
  <c r="DA715" i="75"/>
  <c r="CY715" i="75"/>
  <c r="CW715" i="75"/>
  <c r="CU715" i="75"/>
  <c r="CS715" i="75"/>
  <c r="CQ715" i="75"/>
  <c r="CO715" i="75"/>
  <c r="DF714" i="75"/>
  <c r="DD714" i="75"/>
  <c r="DB714" i="75"/>
  <c r="CZ714" i="75"/>
  <c r="CX714" i="75"/>
  <c r="CV714" i="75"/>
  <c r="CT714" i="75"/>
  <c r="CR714" i="75"/>
  <c r="CP714" i="75"/>
  <c r="CN714" i="75"/>
  <c r="DG713" i="75"/>
  <c r="DE713" i="75"/>
  <c r="DC713" i="75"/>
  <c r="DA713" i="75"/>
  <c r="CY713" i="75"/>
  <c r="CW713" i="75"/>
  <c r="CU713" i="75"/>
  <c r="CS713" i="75"/>
  <c r="CQ713" i="75"/>
  <c r="CO713" i="75"/>
  <c r="CM713" i="75"/>
  <c r="DF712" i="75"/>
  <c r="DD712" i="75"/>
  <c r="DB712" i="75"/>
  <c r="CZ712" i="75"/>
  <c r="CX712" i="75"/>
  <c r="CV712" i="75"/>
  <c r="CT712" i="75"/>
  <c r="CR712" i="75"/>
  <c r="CP712" i="75"/>
  <c r="CN712" i="75"/>
  <c r="CL712" i="75"/>
  <c r="DG711" i="75"/>
  <c r="DE711" i="75"/>
  <c r="DC711" i="75"/>
  <c r="DA711" i="75"/>
  <c r="CY711" i="75"/>
  <c r="CW711" i="75"/>
  <c r="CU711" i="75"/>
  <c r="CS711" i="75"/>
  <c r="CQ711" i="75"/>
  <c r="CO711" i="75"/>
  <c r="CM711" i="75"/>
  <c r="CK711" i="75"/>
  <c r="DF710" i="75"/>
  <c r="DD710" i="75"/>
  <c r="DB710" i="75"/>
  <c r="CZ710" i="75"/>
  <c r="CX710" i="75"/>
  <c r="CV710" i="75"/>
  <c r="CT710" i="75"/>
  <c r="CR710" i="75"/>
  <c r="CP710" i="75"/>
  <c r="CN710" i="75"/>
  <c r="CL710" i="75"/>
  <c r="CJ710" i="75"/>
  <c r="DG709" i="75"/>
  <c r="DE709" i="75"/>
  <c r="DC709" i="75"/>
  <c r="DA709" i="75"/>
  <c r="CY709" i="75"/>
  <c r="CW709" i="75"/>
  <c r="CU709" i="75"/>
  <c r="CS709" i="75"/>
  <c r="CQ709" i="75"/>
  <c r="CO709" i="75"/>
  <c r="CM709" i="75"/>
  <c r="CK709" i="75"/>
  <c r="CI709" i="75"/>
  <c r="DF708" i="75"/>
  <c r="DD708" i="75"/>
  <c r="DB708" i="75"/>
  <c r="CZ708" i="75"/>
  <c r="CX708" i="75"/>
  <c r="CV708" i="75"/>
  <c r="CT708" i="75"/>
  <c r="CR708" i="75"/>
  <c r="CP708" i="75"/>
  <c r="CN708" i="75"/>
  <c r="CL708" i="75"/>
  <c r="CJ708" i="75"/>
  <c r="CH708" i="75"/>
  <c r="DG707" i="75"/>
  <c r="DE707" i="75"/>
  <c r="DC707" i="75"/>
  <c r="DA707" i="75"/>
  <c r="CY707" i="75"/>
  <c r="CW707" i="75"/>
  <c r="CU707" i="75"/>
  <c r="CS707" i="75"/>
  <c r="CQ707" i="75"/>
  <c r="CO707" i="75"/>
  <c r="CM707" i="75"/>
  <c r="CK707" i="75"/>
  <c r="CI707" i="75"/>
  <c r="CG707" i="75"/>
  <c r="DF706" i="75"/>
  <c r="DD706" i="75"/>
  <c r="DB706" i="75"/>
  <c r="CZ706" i="75"/>
  <c r="CX706" i="75"/>
  <c r="CV706" i="75"/>
  <c r="CT706" i="75"/>
  <c r="CR706" i="75"/>
  <c r="CP706" i="75"/>
  <c r="CN706" i="75"/>
  <c r="CL706" i="75"/>
  <c r="CJ706" i="75"/>
  <c r="CH706" i="75"/>
  <c r="CF706" i="75"/>
  <c r="DG705" i="75"/>
  <c r="DE705" i="75"/>
  <c r="DC705" i="75"/>
  <c r="DA705" i="75"/>
  <c r="CY705" i="75"/>
  <c r="CW705" i="75"/>
  <c r="CU705" i="75"/>
  <c r="CS705" i="75"/>
  <c r="CQ705" i="75"/>
  <c r="CO705" i="75"/>
  <c r="CM705" i="75"/>
  <c r="CK705" i="75"/>
  <c r="CI705" i="75"/>
  <c r="CG705" i="75"/>
  <c r="CE705" i="75"/>
  <c r="DF704" i="75"/>
  <c r="DD704" i="75"/>
  <c r="DB704" i="75"/>
  <c r="CZ704" i="75"/>
  <c r="CX704" i="75"/>
  <c r="CV704" i="75"/>
  <c r="CT704" i="75"/>
  <c r="CR704" i="75"/>
  <c r="CP704" i="75"/>
  <c r="CN704" i="75"/>
  <c r="CL704" i="75"/>
  <c r="CJ704" i="75"/>
  <c r="CH704" i="75"/>
  <c r="CF704" i="75"/>
  <c r="CD704" i="75"/>
  <c r="DG703" i="75"/>
  <c r="DE703" i="75"/>
  <c r="DC703" i="75"/>
  <c r="DA703" i="75"/>
  <c r="CY703" i="75"/>
  <c r="CW703" i="75"/>
  <c r="CU703" i="75"/>
  <c r="CS703" i="75"/>
  <c r="CQ703" i="75"/>
  <c r="CO703" i="75"/>
  <c r="CM703" i="75"/>
  <c r="CK703" i="75"/>
  <c r="CI703" i="75"/>
  <c r="CG703" i="75"/>
  <c r="CE703" i="75"/>
  <c r="CC703" i="75"/>
  <c r="DF702" i="75"/>
  <c r="DD702" i="75"/>
  <c r="DB702" i="75"/>
  <c r="CZ702" i="75"/>
  <c r="CX702" i="75"/>
  <c r="CV702" i="75"/>
  <c r="CT702" i="75"/>
  <c r="CR702" i="75"/>
  <c r="CP702" i="75"/>
  <c r="CN702" i="75"/>
  <c r="CL702" i="75"/>
  <c r="CJ702" i="75"/>
  <c r="CH702" i="75"/>
  <c r="CF702" i="75"/>
  <c r="CD702" i="75"/>
  <c r="CB702" i="75"/>
  <c r="DG701" i="75"/>
  <c r="DE701" i="75"/>
  <c r="DC701" i="75"/>
  <c r="DA701" i="75"/>
  <c r="CY701" i="75"/>
  <c r="CW701" i="75"/>
  <c r="CU701" i="75"/>
  <c r="CS701" i="75"/>
  <c r="CQ701" i="75"/>
  <c r="CO701" i="75"/>
  <c r="CM701" i="75"/>
  <c r="CK701" i="75"/>
  <c r="CI701" i="75"/>
  <c r="CG701" i="75"/>
  <c r="CE701" i="75"/>
  <c r="CC701" i="75"/>
  <c r="CA701" i="75"/>
  <c r="DF700" i="75"/>
  <c r="DD700" i="75"/>
  <c r="DB700" i="75"/>
  <c r="CZ700" i="75"/>
  <c r="CX700" i="75"/>
  <c r="CV700" i="75"/>
  <c r="CT700" i="75"/>
  <c r="CR700" i="75"/>
  <c r="CP700" i="75"/>
  <c r="CN700" i="75"/>
  <c r="CL700" i="75"/>
  <c r="CJ700" i="75"/>
  <c r="CH700" i="75"/>
  <c r="CF700" i="75"/>
  <c r="CD700" i="75"/>
  <c r="CB700" i="75"/>
  <c r="BZ700" i="75"/>
  <c r="DG699" i="75"/>
  <c r="DE699" i="75"/>
  <c r="DC699" i="75"/>
  <c r="DA699" i="75"/>
  <c r="CY699" i="75"/>
  <c r="CW699" i="75"/>
  <c r="CU699" i="75"/>
  <c r="CS699" i="75"/>
  <c r="CQ699" i="75"/>
  <c r="CO699" i="75"/>
  <c r="CM699" i="75"/>
  <c r="CK699" i="75"/>
  <c r="CI699" i="75"/>
  <c r="CG699" i="75"/>
  <c r="CE699" i="75"/>
  <c r="CC699" i="75"/>
  <c r="CA699" i="75"/>
  <c r="BY699" i="75"/>
  <c r="DF698" i="75"/>
  <c r="DD698" i="75"/>
  <c r="DB698" i="75"/>
  <c r="CZ698" i="75"/>
  <c r="CX698" i="75"/>
  <c r="CV698" i="75"/>
  <c r="CT698" i="75"/>
  <c r="CR698" i="75"/>
  <c r="CP698" i="75"/>
  <c r="CN698" i="75"/>
  <c r="CL698" i="75"/>
  <c r="CJ698" i="75"/>
  <c r="CH698" i="75"/>
  <c r="CF698" i="75"/>
  <c r="CD698" i="75"/>
  <c r="CB698" i="75"/>
  <c r="BZ698" i="75"/>
  <c r="BX698" i="75"/>
  <c r="DG697" i="75"/>
  <c r="DE697" i="75"/>
  <c r="DC697" i="75"/>
  <c r="DA697" i="75"/>
  <c r="CY697" i="75"/>
  <c r="CW697" i="75"/>
  <c r="CU697" i="75"/>
  <c r="CS697" i="75"/>
  <c r="CQ697" i="75"/>
  <c r="CO697" i="75"/>
  <c r="CM697" i="75"/>
  <c r="CK697" i="75"/>
  <c r="CI697" i="75"/>
  <c r="CG697" i="75"/>
  <c r="CE697" i="75"/>
  <c r="CC697" i="75"/>
  <c r="CA697" i="75"/>
  <c r="BY697" i="75"/>
  <c r="BW697" i="75"/>
  <c r="DF696" i="75"/>
  <c r="DD696" i="75"/>
  <c r="DB696" i="75"/>
  <c r="CZ696" i="75"/>
  <c r="CX696" i="75"/>
  <c r="CV696" i="75"/>
  <c r="CT696" i="75"/>
  <c r="CR696" i="75"/>
  <c r="CP696" i="75"/>
  <c r="CN696" i="75"/>
  <c r="CL696" i="75"/>
  <c r="CJ696" i="75"/>
  <c r="CH696" i="75"/>
  <c r="CF696" i="75"/>
  <c r="CD696" i="75"/>
  <c r="CB696" i="75"/>
  <c r="BZ696" i="75"/>
  <c r="BX696" i="75"/>
  <c r="BV696" i="75"/>
  <c r="DG695" i="75"/>
  <c r="DE695" i="75"/>
  <c r="DC695" i="75"/>
  <c r="DA695" i="75"/>
  <c r="CY695" i="75"/>
  <c r="CW695" i="75"/>
  <c r="CU695" i="75"/>
  <c r="CS695" i="75"/>
  <c r="CQ695" i="75"/>
  <c r="CO695" i="75"/>
  <c r="CM695" i="75"/>
  <c r="CK695" i="75"/>
  <c r="CI695" i="75"/>
  <c r="CG695" i="75"/>
  <c r="CE695" i="75"/>
  <c r="CC695" i="75"/>
  <c r="CA695" i="75"/>
  <c r="BY695" i="75"/>
  <c r="BW695" i="75"/>
  <c r="BU695" i="75"/>
  <c r="DF694" i="75"/>
  <c r="DD694" i="75"/>
  <c r="DB694" i="75"/>
  <c r="CZ694" i="75"/>
  <c r="CX694" i="75"/>
  <c r="CV694" i="75"/>
  <c r="CT694" i="75"/>
  <c r="CR694" i="75"/>
  <c r="CP694" i="75"/>
  <c r="CN694" i="75"/>
  <c r="CL694" i="75"/>
  <c r="CJ694" i="75"/>
  <c r="CH694" i="75"/>
  <c r="CF694" i="75"/>
  <c r="CD694" i="75"/>
  <c r="CB694" i="75"/>
  <c r="BZ694" i="75"/>
  <c r="BX694" i="75"/>
  <c r="BV694" i="75"/>
  <c r="BT694" i="75"/>
  <c r="DG693" i="75"/>
  <c r="DE693" i="75"/>
  <c r="DC693" i="75"/>
  <c r="DA693" i="75"/>
  <c r="CY693" i="75"/>
  <c r="CW693" i="75"/>
  <c r="CU693" i="75"/>
  <c r="CS693" i="75"/>
  <c r="CQ693" i="75"/>
  <c r="CO693" i="75"/>
  <c r="CM693" i="75"/>
  <c r="CK693" i="75"/>
  <c r="CI693" i="75"/>
  <c r="CG693" i="75"/>
  <c r="CE693" i="75"/>
  <c r="CC693" i="75"/>
  <c r="CA693" i="75"/>
  <c r="BY693" i="75"/>
  <c r="BW693" i="75"/>
  <c r="BU693" i="75"/>
  <c r="BS693" i="75"/>
  <c r="DF692" i="75"/>
  <c r="DD692" i="75"/>
  <c r="DB692" i="75"/>
  <c r="CZ692" i="75"/>
  <c r="CX692" i="75"/>
  <c r="CV692" i="75"/>
  <c r="CT692" i="75"/>
  <c r="CR692" i="75"/>
  <c r="CP692" i="75"/>
  <c r="CN692" i="75"/>
  <c r="CL692" i="75"/>
  <c r="CJ692" i="75"/>
  <c r="CH692" i="75"/>
  <c r="CF692" i="75"/>
  <c r="CD692" i="75"/>
  <c r="CB692" i="75"/>
  <c r="BZ692" i="75"/>
  <c r="BX692" i="75"/>
  <c r="BV692" i="75"/>
  <c r="BT692" i="75"/>
  <c r="BR692" i="75"/>
  <c r="DG691" i="75"/>
  <c r="DE691" i="75"/>
  <c r="DC691" i="75"/>
  <c r="DA691" i="75"/>
  <c r="CY691" i="75"/>
  <c r="CW691" i="75"/>
  <c r="CU691" i="75"/>
  <c r="CS691" i="75"/>
  <c r="CQ691" i="75"/>
  <c r="CO691" i="75"/>
  <c r="CM691" i="75"/>
  <c r="CK691" i="75"/>
  <c r="CI691" i="75"/>
  <c r="CG691" i="75"/>
  <c r="CE691" i="75"/>
  <c r="CC691" i="75"/>
  <c r="CA691" i="75"/>
  <c r="BY691" i="75"/>
  <c r="BW691" i="75"/>
  <c r="BU691" i="75"/>
  <c r="BS691" i="75"/>
  <c r="BQ691" i="75"/>
  <c r="DF690" i="75"/>
  <c r="DD690" i="75"/>
  <c r="DB690" i="75"/>
  <c r="CZ690" i="75"/>
  <c r="CX690" i="75"/>
  <c r="CV690" i="75"/>
  <c r="CT690" i="75"/>
  <c r="CR690" i="75"/>
  <c r="CP690" i="75"/>
  <c r="CN690" i="75"/>
  <c r="CL690" i="75"/>
  <c r="CJ690" i="75"/>
  <c r="CH690" i="75"/>
  <c r="CF690" i="75"/>
  <c r="CD690" i="75"/>
  <c r="CB690" i="75"/>
  <c r="BZ690" i="75"/>
  <c r="BX690" i="75"/>
  <c r="BV690" i="75"/>
  <c r="BT690" i="75"/>
  <c r="BR690" i="75"/>
  <c r="BP690" i="75"/>
  <c r="DG689" i="75"/>
  <c r="DE689" i="75"/>
  <c r="DC689" i="75"/>
  <c r="DA689" i="75"/>
  <c r="CY689" i="75"/>
  <c r="CW689" i="75"/>
  <c r="CU689" i="75"/>
  <c r="CS689" i="75"/>
  <c r="CQ689" i="75"/>
  <c r="CO689" i="75"/>
  <c r="CM689" i="75"/>
  <c r="CK689" i="75"/>
  <c r="CI689" i="75"/>
  <c r="CG689" i="75"/>
  <c r="CE689" i="75"/>
  <c r="CC689" i="75"/>
  <c r="CA689" i="75"/>
  <c r="BY689" i="75"/>
  <c r="BW689" i="75"/>
  <c r="BU689" i="75"/>
  <c r="BS689" i="75"/>
  <c r="BQ689" i="75"/>
  <c r="BO689" i="75"/>
  <c r="DF688" i="75"/>
  <c r="DD688" i="75"/>
  <c r="DB688" i="75"/>
  <c r="CZ688" i="75"/>
  <c r="CX688" i="75"/>
  <c r="CV688" i="75"/>
  <c r="CT688" i="75"/>
  <c r="CR688" i="75"/>
  <c r="CP688" i="75"/>
  <c r="CN688" i="75"/>
  <c r="CL688" i="75"/>
  <c r="CJ688" i="75"/>
  <c r="CH688" i="75"/>
  <c r="CF688" i="75"/>
  <c r="CD688" i="75"/>
  <c r="CB688" i="75"/>
  <c r="BZ688" i="75"/>
  <c r="BX688" i="75"/>
  <c r="BV688" i="75"/>
  <c r="BT688" i="75"/>
  <c r="BR688" i="75"/>
  <c r="BP688" i="75"/>
  <c r="BN688" i="75"/>
  <c r="DG687" i="75"/>
  <c r="DE687" i="75"/>
  <c r="DC687" i="75"/>
  <c r="DA687" i="75"/>
  <c r="CY687" i="75"/>
  <c r="CW687" i="75"/>
  <c r="CU687" i="75"/>
  <c r="CS687" i="75"/>
  <c r="CQ687" i="75"/>
  <c r="CO687" i="75"/>
  <c r="CM687" i="75"/>
  <c r="CK687" i="75"/>
  <c r="CI687" i="75"/>
  <c r="CG687" i="75"/>
  <c r="CE687" i="75"/>
  <c r="CC687" i="75"/>
  <c r="CA687" i="75"/>
  <c r="BY687" i="75"/>
  <c r="BW687" i="75"/>
  <c r="BU687" i="75"/>
  <c r="BS687" i="75"/>
  <c r="BQ687" i="75"/>
  <c r="BO687" i="75"/>
  <c r="BM687" i="75"/>
  <c r="DF686" i="75"/>
  <c r="DD686" i="75"/>
  <c r="DB686" i="75"/>
  <c r="CZ686" i="75"/>
  <c r="CX686" i="75"/>
  <c r="CV686" i="75"/>
  <c r="CT686" i="75"/>
  <c r="CR686" i="75"/>
  <c r="CP686" i="75"/>
  <c r="CN686" i="75"/>
  <c r="CL686" i="75"/>
  <c r="CJ686" i="75"/>
  <c r="CH686" i="75"/>
  <c r="CF686" i="75"/>
  <c r="CD686" i="75"/>
  <c r="CB686" i="75"/>
  <c r="BZ686" i="75"/>
  <c r="BX686" i="75"/>
  <c r="BV686" i="75"/>
  <c r="BT686" i="75"/>
  <c r="BR686" i="75"/>
  <c r="BP686" i="75"/>
  <c r="BN686" i="75"/>
  <c r="BL686" i="75"/>
  <c r="DG685" i="75"/>
  <c r="DE685" i="75"/>
  <c r="DC685" i="75"/>
  <c r="DA685" i="75"/>
  <c r="CY685" i="75"/>
  <c r="CW685" i="75"/>
  <c r="CU685" i="75"/>
  <c r="CS685" i="75"/>
  <c r="CQ685" i="75"/>
  <c r="CO685" i="75"/>
  <c r="CM685" i="75"/>
  <c r="CK685" i="75"/>
  <c r="CI685" i="75"/>
  <c r="CG685" i="75"/>
  <c r="CE685" i="75"/>
  <c r="CC685" i="75"/>
  <c r="CA685" i="75"/>
  <c r="BY685" i="75"/>
  <c r="BW685" i="75"/>
  <c r="BU685" i="75"/>
  <c r="BS685" i="75"/>
  <c r="BQ685" i="75"/>
  <c r="BO685" i="75"/>
  <c r="BM685" i="75"/>
  <c r="BK685" i="75"/>
  <c r="DF684" i="75"/>
  <c r="DD684" i="75"/>
  <c r="DB684" i="75"/>
  <c r="CZ684" i="75"/>
  <c r="CX684" i="75"/>
  <c r="CV684" i="75"/>
  <c r="CT684" i="75"/>
  <c r="CR684" i="75"/>
  <c r="CP684" i="75"/>
  <c r="CN684" i="75"/>
  <c r="CL684" i="75"/>
  <c r="CJ684" i="75"/>
  <c r="CH684" i="75"/>
  <c r="CF684" i="75"/>
  <c r="CD684" i="75"/>
  <c r="CB684" i="75"/>
  <c r="BZ684" i="75"/>
  <c r="BX684" i="75"/>
  <c r="BV684" i="75"/>
  <c r="BT684" i="75"/>
  <c r="BR684" i="75"/>
  <c r="BP684" i="75"/>
  <c r="BN684" i="75"/>
  <c r="BL684" i="75"/>
  <c r="BJ684" i="75"/>
  <c r="DG683" i="75"/>
  <c r="DE683" i="75"/>
  <c r="DC683" i="75"/>
  <c r="DA683" i="75"/>
  <c r="CY683" i="75"/>
  <c r="CW683" i="75"/>
  <c r="CU683" i="75"/>
  <c r="CS683" i="75"/>
  <c r="CQ683" i="75"/>
  <c r="CO683" i="75"/>
  <c r="CM683" i="75"/>
  <c r="CK683" i="75"/>
  <c r="CI683" i="75"/>
  <c r="CG683" i="75"/>
  <c r="CE683" i="75"/>
  <c r="CC683" i="75"/>
  <c r="CA683" i="75"/>
  <c r="BY683" i="75"/>
  <c r="BW683" i="75"/>
  <c r="BU683" i="75"/>
  <c r="BS683" i="75"/>
  <c r="BQ683" i="75"/>
  <c r="BO683" i="75"/>
  <c r="BM683" i="75"/>
  <c r="BK683" i="75"/>
  <c r="BI683" i="75"/>
  <c r="DF682" i="75"/>
  <c r="DD682" i="75"/>
  <c r="DB682" i="75"/>
  <c r="CZ682" i="75"/>
  <c r="CX682" i="75"/>
  <c r="CV682" i="75"/>
  <c r="CT682" i="75"/>
  <c r="CR682" i="75"/>
  <c r="CP682" i="75"/>
  <c r="CN682" i="75"/>
  <c r="CL682" i="75"/>
  <c r="CJ682" i="75"/>
  <c r="CH682" i="75"/>
  <c r="CF682" i="75"/>
  <c r="CD682" i="75"/>
  <c r="CB682" i="75"/>
  <c r="BZ682" i="75"/>
  <c r="BX682" i="75"/>
  <c r="BV682" i="75"/>
  <c r="BT682" i="75"/>
  <c r="BR682" i="75"/>
  <c r="BP682" i="75"/>
  <c r="BN682" i="75"/>
  <c r="BL682" i="75"/>
  <c r="BJ682" i="75"/>
  <c r="BH682" i="75"/>
  <c r="DG681" i="75"/>
  <c r="DE681" i="75"/>
  <c r="DC681" i="75"/>
  <c r="DA681" i="75"/>
  <c r="CY681" i="75"/>
  <c r="CW681" i="75"/>
  <c r="CU681" i="75"/>
  <c r="CS681" i="75"/>
  <c r="CQ681" i="75"/>
  <c r="CO681" i="75"/>
  <c r="CM681" i="75"/>
  <c r="CK681" i="75"/>
  <c r="CI681" i="75"/>
  <c r="CG681" i="75"/>
  <c r="CE681" i="75"/>
  <c r="CC681" i="75"/>
  <c r="CA681" i="75"/>
  <c r="BY681" i="75"/>
  <c r="BW681" i="75"/>
  <c r="BU681" i="75"/>
  <c r="BS681" i="75"/>
  <c r="BQ681" i="75"/>
  <c r="BO681" i="75"/>
  <c r="BM681" i="75"/>
  <c r="BK681" i="75"/>
  <c r="BI681" i="75"/>
  <c r="BG681" i="75"/>
  <c r="DF680" i="75"/>
  <c r="DD680" i="75"/>
  <c r="DB680" i="75"/>
  <c r="CZ680" i="75"/>
  <c r="CX680" i="75"/>
  <c r="CV680" i="75"/>
  <c r="CT680" i="75"/>
  <c r="CR680" i="75"/>
  <c r="CP680" i="75"/>
  <c r="CN680" i="75"/>
  <c r="CL680" i="75"/>
  <c r="CJ680" i="75"/>
  <c r="CH680" i="75"/>
  <c r="CF680" i="75"/>
  <c r="CD680" i="75"/>
  <c r="CB680" i="75"/>
  <c r="BZ680" i="75"/>
  <c r="BX680" i="75"/>
  <c r="BV680" i="75"/>
  <c r="BT680" i="75"/>
  <c r="BR680" i="75"/>
  <c r="BP680" i="75"/>
  <c r="BN680" i="75"/>
  <c r="BL680" i="75"/>
  <c r="BJ680" i="75"/>
  <c r="BH680" i="75"/>
  <c r="BF680" i="75"/>
  <c r="DG679" i="75"/>
  <c r="DE679" i="75"/>
  <c r="DC679" i="75"/>
  <c r="DA679" i="75"/>
  <c r="CY679" i="75"/>
  <c r="CW679" i="75"/>
  <c r="CU679" i="75"/>
  <c r="CS679" i="75"/>
  <c r="CQ679" i="75"/>
  <c r="CO679" i="75"/>
  <c r="CM679" i="75"/>
  <c r="CK679" i="75"/>
  <c r="CI679" i="75"/>
  <c r="CG679" i="75"/>
  <c r="CE679" i="75"/>
  <c r="CC679" i="75"/>
  <c r="CA679" i="75"/>
  <c r="BY679" i="75"/>
  <c r="BW679" i="75"/>
  <c r="BU679" i="75"/>
  <c r="BS679" i="75"/>
  <c r="BQ679" i="75"/>
  <c r="BO679" i="75"/>
  <c r="BM679" i="75"/>
  <c r="BK679" i="75"/>
  <c r="BI679" i="75"/>
  <c r="BG679" i="75"/>
  <c r="BE679" i="75"/>
  <c r="DF678" i="75"/>
  <c r="DD678" i="75"/>
  <c r="DB678" i="75"/>
  <c r="CZ678" i="75"/>
  <c r="CX678" i="75"/>
  <c r="CV678" i="75"/>
  <c r="CT678" i="75"/>
  <c r="CR678" i="75"/>
  <c r="CP678" i="75"/>
  <c r="CN678" i="75"/>
  <c r="CL678" i="75"/>
  <c r="CJ678" i="75"/>
  <c r="CH678" i="75"/>
  <c r="CF678" i="75"/>
  <c r="CD678" i="75"/>
  <c r="CB678" i="75"/>
  <c r="BZ678" i="75"/>
  <c r="BX678" i="75"/>
  <c r="BV678" i="75"/>
  <c r="BT678" i="75"/>
  <c r="BR678" i="75"/>
  <c r="BP678" i="75"/>
  <c r="BN678" i="75"/>
  <c r="BL678" i="75"/>
  <c r="BJ678" i="75"/>
  <c r="BH678" i="75"/>
  <c r="BF678" i="75"/>
  <c r="BD678" i="75"/>
  <c r="DG673" i="75"/>
  <c r="DF674" i="75" s="1"/>
  <c r="DG671" i="75"/>
  <c r="DE671" i="75"/>
  <c r="DG669" i="75"/>
  <c r="DF670" i="75" s="1"/>
  <c r="DE669" i="75"/>
  <c r="DC669" i="75"/>
  <c r="DG667" i="75"/>
  <c r="DF668" i="75" s="1"/>
  <c r="DE667" i="75"/>
  <c r="DD668" i="75" s="1"/>
  <c r="DC667" i="75"/>
  <c r="DA667" i="75"/>
  <c r="DG665" i="75"/>
  <c r="DF666" i="75" s="1"/>
  <c r="DE665" i="75"/>
  <c r="DD666" i="75" s="1"/>
  <c r="DC665" i="75"/>
  <c r="DA665" i="75"/>
  <c r="CZ666" i="75" s="1"/>
  <c r="CY665" i="75"/>
  <c r="DG663" i="75"/>
  <c r="DF664" i="75" s="1"/>
  <c r="DE663" i="75"/>
  <c r="DC663" i="75"/>
  <c r="DB664" i="75" s="1"/>
  <c r="DA663" i="75"/>
  <c r="CY663" i="75"/>
  <c r="CX664" i="75" s="1"/>
  <c r="CW663" i="75"/>
  <c r="DG661" i="75"/>
  <c r="DF662" i="75" s="1"/>
  <c r="DE661" i="75"/>
  <c r="DC661" i="75"/>
  <c r="DA661" i="75"/>
  <c r="CY661" i="75"/>
  <c r="CW661" i="75"/>
  <c r="CV662" i="75" s="1"/>
  <c r="CU661" i="75"/>
  <c r="DG659" i="75"/>
  <c r="DF660" i="75" s="1"/>
  <c r="DE659" i="75"/>
  <c r="DC659" i="75"/>
  <c r="DA659" i="75"/>
  <c r="CZ660" i="75" s="1"/>
  <c r="CY659" i="75"/>
  <c r="CX660" i="75" s="1"/>
  <c r="CW659" i="75"/>
  <c r="CV660" i="75" s="1"/>
  <c r="CU659" i="75"/>
  <c r="CT660" i="75" s="1"/>
  <c r="CS659" i="75"/>
  <c r="DG657" i="75"/>
  <c r="DE657" i="75"/>
  <c r="DD658" i="75" s="1"/>
  <c r="DC657" i="75"/>
  <c r="DA657" i="75"/>
  <c r="CY657" i="75"/>
  <c r="CX658" i="75" s="1"/>
  <c r="CW657" i="75"/>
  <c r="CV658" i="75" s="1"/>
  <c r="CU657" i="75"/>
  <c r="CS657" i="75"/>
  <c r="CQ657" i="75"/>
  <c r="DF656" i="75"/>
  <c r="DD656" i="75"/>
  <c r="DB656" i="75"/>
  <c r="CZ656" i="75"/>
  <c r="CX656" i="75"/>
  <c r="CV656" i="75"/>
  <c r="CT656" i="75"/>
  <c r="CR656" i="75"/>
  <c r="CP656" i="75"/>
  <c r="DG655" i="75"/>
  <c r="DE655" i="75"/>
  <c r="DC655" i="75"/>
  <c r="DA655" i="75"/>
  <c r="CY655" i="75"/>
  <c r="CW655" i="75"/>
  <c r="CU655" i="75"/>
  <c r="CS655" i="75"/>
  <c r="CQ655" i="75"/>
  <c r="CO655" i="75"/>
  <c r="DF654" i="75"/>
  <c r="DD654" i="75"/>
  <c r="DB654" i="75"/>
  <c r="CZ654" i="75"/>
  <c r="CX654" i="75"/>
  <c r="CV654" i="75"/>
  <c r="CT654" i="75"/>
  <c r="CR654" i="75"/>
  <c r="CP654" i="75"/>
  <c r="CN654" i="75"/>
  <c r="DG653" i="75"/>
  <c r="DE653" i="75"/>
  <c r="DC653" i="75"/>
  <c r="DA653" i="75"/>
  <c r="CY653" i="75"/>
  <c r="CW653" i="75"/>
  <c r="CU653" i="75"/>
  <c r="CS653" i="75"/>
  <c r="CQ653" i="75"/>
  <c r="CO653" i="75"/>
  <c r="CM653" i="75"/>
  <c r="DF652" i="75"/>
  <c r="DD652" i="75"/>
  <c r="DB652" i="75"/>
  <c r="CZ652" i="75"/>
  <c r="CX652" i="75"/>
  <c r="CV652" i="75"/>
  <c r="CT652" i="75"/>
  <c r="CR652" i="75"/>
  <c r="CP652" i="75"/>
  <c r="CN652" i="75"/>
  <c r="CL652" i="75"/>
  <c r="DG651" i="75"/>
  <c r="DE651" i="75"/>
  <c r="DC651" i="75"/>
  <c r="DA651" i="75"/>
  <c r="CY651" i="75"/>
  <c r="CW651" i="75"/>
  <c r="CU651" i="75"/>
  <c r="CS651" i="75"/>
  <c r="CQ651" i="75"/>
  <c r="CO651" i="75"/>
  <c r="CM651" i="75"/>
  <c r="CK651" i="75"/>
  <c r="DF650" i="75"/>
  <c r="DD650" i="75"/>
  <c r="DB650" i="75"/>
  <c r="CZ650" i="75"/>
  <c r="CX650" i="75"/>
  <c r="CV650" i="75"/>
  <c r="CT650" i="75"/>
  <c r="CR650" i="75"/>
  <c r="CP650" i="75"/>
  <c r="CN650" i="75"/>
  <c r="CL650" i="75"/>
  <c r="CJ650" i="75"/>
  <c r="DG649" i="75"/>
  <c r="DE649" i="75"/>
  <c r="DC649" i="75"/>
  <c r="DA649" i="75"/>
  <c r="CY649" i="75"/>
  <c r="CW649" i="75"/>
  <c r="CU649" i="75"/>
  <c r="CS649" i="75"/>
  <c r="CQ649" i="75"/>
  <c r="CO649" i="75"/>
  <c r="CM649" i="75"/>
  <c r="CK649" i="75"/>
  <c r="CI649" i="75"/>
  <c r="DF648" i="75"/>
  <c r="DD648" i="75"/>
  <c r="DB648" i="75"/>
  <c r="CZ648" i="75"/>
  <c r="CX648" i="75"/>
  <c r="CV648" i="75"/>
  <c r="CT648" i="75"/>
  <c r="CR648" i="75"/>
  <c r="CP648" i="75"/>
  <c r="CN648" i="75"/>
  <c r="CL648" i="75"/>
  <c r="CJ648" i="75"/>
  <c r="CH648" i="75"/>
  <c r="DG647" i="75"/>
  <c r="DE647" i="75"/>
  <c r="DC647" i="75"/>
  <c r="DA647" i="75"/>
  <c r="CY647" i="75"/>
  <c r="CW647" i="75"/>
  <c r="CU647" i="75"/>
  <c r="CS647" i="75"/>
  <c r="CQ647" i="75"/>
  <c r="CO647" i="75"/>
  <c r="CM647" i="75"/>
  <c r="CK647" i="75"/>
  <c r="CI647" i="75"/>
  <c r="CG647" i="75"/>
  <c r="DF646" i="75"/>
  <c r="DD646" i="75"/>
  <c r="DB646" i="75"/>
  <c r="CZ646" i="75"/>
  <c r="CX646" i="75"/>
  <c r="CV646" i="75"/>
  <c r="CT646" i="75"/>
  <c r="CR646" i="75"/>
  <c r="CP646" i="75"/>
  <c r="CN646" i="75"/>
  <c r="CL646" i="75"/>
  <c r="CJ646" i="75"/>
  <c r="CH646" i="75"/>
  <c r="CF646" i="75"/>
  <c r="DG645" i="75"/>
  <c r="DE645" i="75"/>
  <c r="DC645" i="75"/>
  <c r="DA645" i="75"/>
  <c r="CY645" i="75"/>
  <c r="CW645" i="75"/>
  <c r="CU645" i="75"/>
  <c r="CS645" i="75"/>
  <c r="CQ645" i="75"/>
  <c r="CO645" i="75"/>
  <c r="CM645" i="75"/>
  <c r="CK645" i="75"/>
  <c r="CI645" i="75"/>
  <c r="CG645" i="75"/>
  <c r="CE645" i="75"/>
  <c r="DF644" i="75"/>
  <c r="DD644" i="75"/>
  <c r="DB644" i="75"/>
  <c r="CZ644" i="75"/>
  <c r="CX644" i="75"/>
  <c r="CV644" i="75"/>
  <c r="CT644" i="75"/>
  <c r="CR644" i="75"/>
  <c r="CP644" i="75"/>
  <c r="CN644" i="75"/>
  <c r="CL644" i="75"/>
  <c r="CJ644" i="75"/>
  <c r="CH644" i="75"/>
  <c r="CF644" i="75"/>
  <c r="CD644" i="75"/>
  <c r="DG643" i="75"/>
  <c r="DE643" i="75"/>
  <c r="DC643" i="75"/>
  <c r="DA643" i="75"/>
  <c r="CY643" i="75"/>
  <c r="CW643" i="75"/>
  <c r="CU643" i="75"/>
  <c r="CS643" i="75"/>
  <c r="CQ643" i="75"/>
  <c r="CO643" i="75"/>
  <c r="CM643" i="75"/>
  <c r="CK643" i="75"/>
  <c r="CI643" i="75"/>
  <c r="CG643" i="75"/>
  <c r="CE643" i="75"/>
  <c r="CC643" i="75"/>
  <c r="DF642" i="75"/>
  <c r="DD642" i="75"/>
  <c r="DB642" i="75"/>
  <c r="CZ642" i="75"/>
  <c r="CX642" i="75"/>
  <c r="CV642" i="75"/>
  <c r="CT642" i="75"/>
  <c r="CR642" i="75"/>
  <c r="CP642" i="75"/>
  <c r="CN642" i="75"/>
  <c r="CL642" i="75"/>
  <c r="CJ642" i="75"/>
  <c r="CH642" i="75"/>
  <c r="CF642" i="75"/>
  <c r="CD642" i="75"/>
  <c r="CB642" i="75"/>
  <c r="DG641" i="75"/>
  <c r="DE641" i="75"/>
  <c r="DC641" i="75"/>
  <c r="DA641" i="75"/>
  <c r="CY641" i="75"/>
  <c r="CW641" i="75"/>
  <c r="CU641" i="75"/>
  <c r="CS641" i="75"/>
  <c r="CQ641" i="75"/>
  <c r="CO641" i="75"/>
  <c r="CM641" i="75"/>
  <c r="CK641" i="75"/>
  <c r="CI641" i="75"/>
  <c r="CG641" i="75"/>
  <c r="CE641" i="75"/>
  <c r="CC641" i="75"/>
  <c r="CA641" i="75"/>
  <c r="DF640" i="75"/>
  <c r="DD640" i="75"/>
  <c r="DB640" i="75"/>
  <c r="CZ640" i="75"/>
  <c r="CX640" i="75"/>
  <c r="CV640" i="75"/>
  <c r="CT640" i="75"/>
  <c r="CR640" i="75"/>
  <c r="CP640" i="75"/>
  <c r="CN640" i="75"/>
  <c r="CL640" i="75"/>
  <c r="CJ640" i="75"/>
  <c r="CH640" i="75"/>
  <c r="CF640" i="75"/>
  <c r="CD640" i="75"/>
  <c r="CB640" i="75"/>
  <c r="BZ640" i="75"/>
  <c r="DG639" i="75"/>
  <c r="DE639" i="75"/>
  <c r="DC639" i="75"/>
  <c r="DA639" i="75"/>
  <c r="CY639" i="75"/>
  <c r="CW639" i="75"/>
  <c r="CU639" i="75"/>
  <c r="CS639" i="75"/>
  <c r="CQ639" i="75"/>
  <c r="CO639" i="75"/>
  <c r="CM639" i="75"/>
  <c r="CK639" i="75"/>
  <c r="CI639" i="75"/>
  <c r="CG639" i="75"/>
  <c r="CE639" i="75"/>
  <c r="CC639" i="75"/>
  <c r="CA639" i="75"/>
  <c r="BY639" i="75"/>
  <c r="DF638" i="75"/>
  <c r="DD638" i="75"/>
  <c r="DB638" i="75"/>
  <c r="CZ638" i="75"/>
  <c r="CX638" i="75"/>
  <c r="CV638" i="75"/>
  <c r="CT638" i="75"/>
  <c r="CR638" i="75"/>
  <c r="CP638" i="75"/>
  <c r="CN638" i="75"/>
  <c r="CL638" i="75"/>
  <c r="CJ638" i="75"/>
  <c r="CH638" i="75"/>
  <c r="CF638" i="75"/>
  <c r="CD638" i="75"/>
  <c r="CB638" i="75"/>
  <c r="BZ638" i="75"/>
  <c r="BX638" i="75"/>
  <c r="DG637" i="75"/>
  <c r="DE637" i="75"/>
  <c r="DC637" i="75"/>
  <c r="DA637" i="75"/>
  <c r="CY637" i="75"/>
  <c r="CW637" i="75"/>
  <c r="CU637" i="75"/>
  <c r="CS637" i="75"/>
  <c r="CQ637" i="75"/>
  <c r="CO637" i="75"/>
  <c r="CM637" i="75"/>
  <c r="CK637" i="75"/>
  <c r="CI637" i="75"/>
  <c r="CG637" i="75"/>
  <c r="CE637" i="75"/>
  <c r="CC637" i="75"/>
  <c r="CA637" i="75"/>
  <c r="BY637" i="75"/>
  <c r="BW637" i="75"/>
  <c r="DF636" i="75"/>
  <c r="DD636" i="75"/>
  <c r="DB636" i="75"/>
  <c r="CZ636" i="75"/>
  <c r="CX636" i="75"/>
  <c r="CV636" i="75"/>
  <c r="CT636" i="75"/>
  <c r="CR636" i="75"/>
  <c r="CP636" i="75"/>
  <c r="CN636" i="75"/>
  <c r="CL636" i="75"/>
  <c r="CJ636" i="75"/>
  <c r="CH636" i="75"/>
  <c r="CF636" i="75"/>
  <c r="CD636" i="75"/>
  <c r="CB636" i="75"/>
  <c r="BZ636" i="75"/>
  <c r="BX636" i="75"/>
  <c r="BV636" i="75"/>
  <c r="DG635" i="75"/>
  <c r="DE635" i="75"/>
  <c r="DC635" i="75"/>
  <c r="DA635" i="75"/>
  <c r="CY635" i="75"/>
  <c r="CW635" i="75"/>
  <c r="CU635" i="75"/>
  <c r="CS635" i="75"/>
  <c r="CQ635" i="75"/>
  <c r="CO635" i="75"/>
  <c r="CM635" i="75"/>
  <c r="CK635" i="75"/>
  <c r="CI635" i="75"/>
  <c r="CG635" i="75"/>
  <c r="CE635" i="75"/>
  <c r="CC635" i="75"/>
  <c r="CA635" i="75"/>
  <c r="BY635" i="75"/>
  <c r="BW635" i="75"/>
  <c r="BU635" i="75"/>
  <c r="DF634" i="75"/>
  <c r="DD634" i="75"/>
  <c r="DB634" i="75"/>
  <c r="CZ634" i="75"/>
  <c r="CX634" i="75"/>
  <c r="CV634" i="75"/>
  <c r="CT634" i="75"/>
  <c r="CR634" i="75"/>
  <c r="CP634" i="75"/>
  <c r="CN634" i="75"/>
  <c r="CL634" i="75"/>
  <c r="CJ634" i="75"/>
  <c r="CH634" i="75"/>
  <c r="CF634" i="75"/>
  <c r="CD634" i="75"/>
  <c r="CB634" i="75"/>
  <c r="BZ634" i="75"/>
  <c r="BX634" i="75"/>
  <c r="BV634" i="75"/>
  <c r="BT634" i="75"/>
  <c r="DG633" i="75"/>
  <c r="DE633" i="75"/>
  <c r="DC633" i="75"/>
  <c r="DA633" i="75"/>
  <c r="CY633" i="75"/>
  <c r="CW633" i="75"/>
  <c r="CU633" i="75"/>
  <c r="CS633" i="75"/>
  <c r="CQ633" i="75"/>
  <c r="CO633" i="75"/>
  <c r="CM633" i="75"/>
  <c r="CK633" i="75"/>
  <c r="CI633" i="75"/>
  <c r="CG633" i="75"/>
  <c r="CE633" i="75"/>
  <c r="CC633" i="75"/>
  <c r="CA633" i="75"/>
  <c r="BY633" i="75"/>
  <c r="BW633" i="75"/>
  <c r="BU633" i="75"/>
  <c r="BS633" i="75"/>
  <c r="DF632" i="75"/>
  <c r="DD632" i="75"/>
  <c r="DB632" i="75"/>
  <c r="CZ632" i="75"/>
  <c r="CX632" i="75"/>
  <c r="CV632" i="75"/>
  <c r="CT632" i="75"/>
  <c r="CR632" i="75"/>
  <c r="CP632" i="75"/>
  <c r="CN632" i="75"/>
  <c r="CL632" i="75"/>
  <c r="CJ632" i="75"/>
  <c r="CH632" i="75"/>
  <c r="CF632" i="75"/>
  <c r="CD632" i="75"/>
  <c r="CB632" i="75"/>
  <c r="BZ632" i="75"/>
  <c r="BX632" i="75"/>
  <c r="BV632" i="75"/>
  <c r="BT632" i="75"/>
  <c r="BR632" i="75"/>
  <c r="DG631" i="75"/>
  <c r="DE631" i="75"/>
  <c r="DC631" i="75"/>
  <c r="DA631" i="75"/>
  <c r="CY631" i="75"/>
  <c r="CW631" i="75"/>
  <c r="CU631" i="75"/>
  <c r="CS631" i="75"/>
  <c r="CQ631" i="75"/>
  <c r="CO631" i="75"/>
  <c r="CM631" i="75"/>
  <c r="CK631" i="75"/>
  <c r="CI631" i="75"/>
  <c r="CG631" i="75"/>
  <c r="CE631" i="75"/>
  <c r="CC631" i="75"/>
  <c r="CA631" i="75"/>
  <c r="BY631" i="75"/>
  <c r="BW631" i="75"/>
  <c r="BU631" i="75"/>
  <c r="BS631" i="75"/>
  <c r="BQ631" i="75"/>
  <c r="DF630" i="75"/>
  <c r="DD630" i="75"/>
  <c r="DB630" i="75"/>
  <c r="CZ630" i="75"/>
  <c r="CX630" i="75"/>
  <c r="CV630" i="75"/>
  <c r="CT630" i="75"/>
  <c r="CR630" i="75"/>
  <c r="CP630" i="75"/>
  <c r="CN630" i="75"/>
  <c r="CL630" i="75"/>
  <c r="CJ630" i="75"/>
  <c r="CH630" i="75"/>
  <c r="CF630" i="75"/>
  <c r="CD630" i="75"/>
  <c r="CB630" i="75"/>
  <c r="BZ630" i="75"/>
  <c r="BX630" i="75"/>
  <c r="BV630" i="75"/>
  <c r="BT630" i="75"/>
  <c r="BR630" i="75"/>
  <c r="BP630" i="75"/>
  <c r="DG629" i="75"/>
  <c r="DE629" i="75"/>
  <c r="DC629" i="75"/>
  <c r="DA629" i="75"/>
  <c r="CY629" i="75"/>
  <c r="CW629" i="75"/>
  <c r="CU629" i="75"/>
  <c r="CS629" i="75"/>
  <c r="CQ629" i="75"/>
  <c r="CO629" i="75"/>
  <c r="CM629" i="75"/>
  <c r="CK629" i="75"/>
  <c r="CI629" i="75"/>
  <c r="CG629" i="75"/>
  <c r="CE629" i="75"/>
  <c r="CC629" i="75"/>
  <c r="CA629" i="75"/>
  <c r="BY629" i="75"/>
  <c r="BW629" i="75"/>
  <c r="BU629" i="75"/>
  <c r="BS629" i="75"/>
  <c r="BQ629" i="75"/>
  <c r="BO629" i="75"/>
  <c r="DF628" i="75"/>
  <c r="DD628" i="75"/>
  <c r="DB628" i="75"/>
  <c r="CZ628" i="75"/>
  <c r="CX628" i="75"/>
  <c r="CV628" i="75"/>
  <c r="CT628" i="75"/>
  <c r="CR628" i="75"/>
  <c r="CP628" i="75"/>
  <c r="CN628" i="75"/>
  <c r="CL628" i="75"/>
  <c r="CJ628" i="75"/>
  <c r="CH628" i="75"/>
  <c r="CF628" i="75"/>
  <c r="CD628" i="75"/>
  <c r="CB628" i="75"/>
  <c r="BZ628" i="75"/>
  <c r="BX628" i="75"/>
  <c r="BV628" i="75"/>
  <c r="BT628" i="75"/>
  <c r="BR628" i="75"/>
  <c r="BP628" i="75"/>
  <c r="BN628" i="75"/>
  <c r="DG627" i="75"/>
  <c r="DE627" i="75"/>
  <c r="DC627" i="75"/>
  <c r="DA627" i="75"/>
  <c r="CY627" i="75"/>
  <c r="CW627" i="75"/>
  <c r="CU627" i="75"/>
  <c r="CS627" i="75"/>
  <c r="CQ627" i="75"/>
  <c r="CO627" i="75"/>
  <c r="CM627" i="75"/>
  <c r="CK627" i="75"/>
  <c r="CI627" i="75"/>
  <c r="CG627" i="75"/>
  <c r="CE627" i="75"/>
  <c r="CC627" i="75"/>
  <c r="CA627" i="75"/>
  <c r="BY627" i="75"/>
  <c r="BW627" i="75"/>
  <c r="BU627" i="75"/>
  <c r="BS627" i="75"/>
  <c r="BQ627" i="75"/>
  <c r="BO627" i="75"/>
  <c r="BM627" i="75"/>
  <c r="DF626" i="75"/>
  <c r="DD626" i="75"/>
  <c r="DB626" i="75"/>
  <c r="CZ626" i="75"/>
  <c r="CX626" i="75"/>
  <c r="CV626" i="75"/>
  <c r="CT626" i="75"/>
  <c r="CR626" i="75"/>
  <c r="CP626" i="75"/>
  <c r="CN626" i="75"/>
  <c r="CL626" i="75"/>
  <c r="CJ626" i="75"/>
  <c r="CH626" i="75"/>
  <c r="CF626" i="75"/>
  <c r="CD626" i="75"/>
  <c r="CB626" i="75"/>
  <c r="BZ626" i="75"/>
  <c r="BX626" i="75"/>
  <c r="BV626" i="75"/>
  <c r="BT626" i="75"/>
  <c r="BR626" i="75"/>
  <c r="BP626" i="75"/>
  <c r="BN626" i="75"/>
  <c r="BL626" i="75"/>
  <c r="DG625" i="75"/>
  <c r="DE625" i="75"/>
  <c r="DC625" i="75"/>
  <c r="DA625" i="75"/>
  <c r="CY625" i="75"/>
  <c r="CW625" i="75"/>
  <c r="CU625" i="75"/>
  <c r="CS625" i="75"/>
  <c r="CQ625" i="75"/>
  <c r="CO625" i="75"/>
  <c r="CM625" i="75"/>
  <c r="CK625" i="75"/>
  <c r="CI625" i="75"/>
  <c r="CG625" i="75"/>
  <c r="CE625" i="75"/>
  <c r="CC625" i="75"/>
  <c r="CA625" i="75"/>
  <c r="BY625" i="75"/>
  <c r="BW625" i="75"/>
  <c r="BU625" i="75"/>
  <c r="BS625" i="75"/>
  <c r="BQ625" i="75"/>
  <c r="BO625" i="75"/>
  <c r="BM625" i="75"/>
  <c r="BK625" i="75"/>
  <c r="DF624" i="75"/>
  <c r="DD624" i="75"/>
  <c r="DB624" i="75"/>
  <c r="CZ624" i="75"/>
  <c r="CX624" i="75"/>
  <c r="CV624" i="75"/>
  <c r="CT624" i="75"/>
  <c r="CR624" i="75"/>
  <c r="CP624" i="75"/>
  <c r="CN624" i="75"/>
  <c r="CL624" i="75"/>
  <c r="CJ624" i="75"/>
  <c r="CH624" i="75"/>
  <c r="CF624" i="75"/>
  <c r="CD624" i="75"/>
  <c r="CB624" i="75"/>
  <c r="BZ624" i="75"/>
  <c r="BX624" i="75"/>
  <c r="BV624" i="75"/>
  <c r="BT624" i="75"/>
  <c r="BR624" i="75"/>
  <c r="BP624" i="75"/>
  <c r="BN624" i="75"/>
  <c r="BL624" i="75"/>
  <c r="BJ624" i="75"/>
  <c r="DG623" i="75"/>
  <c r="DE623" i="75"/>
  <c r="DC623" i="75"/>
  <c r="DA623" i="75"/>
  <c r="CY623" i="75"/>
  <c r="CW623" i="75"/>
  <c r="CU623" i="75"/>
  <c r="CS623" i="75"/>
  <c r="CQ623" i="75"/>
  <c r="CO623" i="75"/>
  <c r="CM623" i="75"/>
  <c r="CK623" i="75"/>
  <c r="CI623" i="75"/>
  <c r="CG623" i="75"/>
  <c r="CE623" i="75"/>
  <c r="CC623" i="75"/>
  <c r="CA623" i="75"/>
  <c r="BY623" i="75"/>
  <c r="BW623" i="75"/>
  <c r="BU623" i="75"/>
  <c r="BS623" i="75"/>
  <c r="BQ623" i="75"/>
  <c r="BO623" i="75"/>
  <c r="BM623" i="75"/>
  <c r="BK623" i="75"/>
  <c r="BI623" i="75"/>
  <c r="DF622" i="75"/>
  <c r="DD622" i="75"/>
  <c r="DB622" i="75"/>
  <c r="CZ622" i="75"/>
  <c r="CX622" i="75"/>
  <c r="CV622" i="75"/>
  <c r="CT622" i="75"/>
  <c r="CR622" i="75"/>
  <c r="CP622" i="75"/>
  <c r="CN622" i="75"/>
  <c r="CL622" i="75"/>
  <c r="CJ622" i="75"/>
  <c r="CH622" i="75"/>
  <c r="CF622" i="75"/>
  <c r="CD622" i="75"/>
  <c r="CB622" i="75"/>
  <c r="BZ622" i="75"/>
  <c r="BX622" i="75"/>
  <c r="BV622" i="75"/>
  <c r="BT622" i="75"/>
  <c r="BR622" i="75"/>
  <c r="BP622" i="75"/>
  <c r="BN622" i="75"/>
  <c r="BL622" i="75"/>
  <c r="BJ622" i="75"/>
  <c r="BH622" i="75"/>
  <c r="DG621" i="75"/>
  <c r="DE621" i="75"/>
  <c r="DC621" i="75"/>
  <c r="DA621" i="75"/>
  <c r="CY621" i="75"/>
  <c r="CW621" i="75"/>
  <c r="CU621" i="75"/>
  <c r="CS621" i="75"/>
  <c r="CQ621" i="75"/>
  <c r="CO621" i="75"/>
  <c r="CM621" i="75"/>
  <c r="CK621" i="75"/>
  <c r="CI621" i="75"/>
  <c r="CG621" i="75"/>
  <c r="CE621" i="75"/>
  <c r="CC621" i="75"/>
  <c r="CA621" i="75"/>
  <c r="BY621" i="75"/>
  <c r="BW621" i="75"/>
  <c r="BU621" i="75"/>
  <c r="BS621" i="75"/>
  <c r="BQ621" i="75"/>
  <c r="BO621" i="75"/>
  <c r="BM621" i="75"/>
  <c r="BK621" i="75"/>
  <c r="BI621" i="75"/>
  <c r="BG621" i="75"/>
  <c r="DF620" i="75"/>
  <c r="DD620" i="75"/>
  <c r="DB620" i="75"/>
  <c r="CZ620" i="75"/>
  <c r="CX620" i="75"/>
  <c r="CV620" i="75"/>
  <c r="CT620" i="75"/>
  <c r="CR620" i="75"/>
  <c r="CP620" i="75"/>
  <c r="CN620" i="75"/>
  <c r="CL620" i="75"/>
  <c r="CJ620" i="75"/>
  <c r="CH620" i="75"/>
  <c r="CF620" i="75"/>
  <c r="CD620" i="75"/>
  <c r="CB620" i="75"/>
  <c r="BZ620" i="75"/>
  <c r="BX620" i="75"/>
  <c r="BV620" i="75"/>
  <c r="BT620" i="75"/>
  <c r="BR620" i="75"/>
  <c r="BP620" i="75"/>
  <c r="BN620" i="75"/>
  <c r="BL620" i="75"/>
  <c r="BJ620" i="75"/>
  <c r="BH620" i="75"/>
  <c r="BF620" i="75"/>
  <c r="DG619" i="75"/>
  <c r="DE619" i="75"/>
  <c r="DC619" i="75"/>
  <c r="DA619" i="75"/>
  <c r="CY619" i="75"/>
  <c r="CW619" i="75"/>
  <c r="CU619" i="75"/>
  <c r="CS619" i="75"/>
  <c r="CQ619" i="75"/>
  <c r="CO619" i="75"/>
  <c r="CM619" i="75"/>
  <c r="CK619" i="75"/>
  <c r="CI619" i="75"/>
  <c r="CG619" i="75"/>
  <c r="CE619" i="75"/>
  <c r="CC619" i="75"/>
  <c r="CA619" i="75"/>
  <c r="BY619" i="75"/>
  <c r="BW619" i="75"/>
  <c r="BU619" i="75"/>
  <c r="BS619" i="75"/>
  <c r="BQ619" i="75"/>
  <c r="BO619" i="75"/>
  <c r="BM619" i="75"/>
  <c r="BK619" i="75"/>
  <c r="BI619" i="75"/>
  <c r="BG619" i="75"/>
  <c r="BE619" i="75"/>
  <c r="DF618" i="75"/>
  <c r="DD618" i="75"/>
  <c r="DB618" i="75"/>
  <c r="CZ618" i="75"/>
  <c r="CX618" i="75"/>
  <c r="CV618" i="75"/>
  <c r="CT618" i="75"/>
  <c r="CR618" i="75"/>
  <c r="CP618" i="75"/>
  <c r="CN618" i="75"/>
  <c r="CL618" i="75"/>
  <c r="CJ618" i="75"/>
  <c r="CH618" i="75"/>
  <c r="CF618" i="75"/>
  <c r="CD618" i="75"/>
  <c r="CB618" i="75"/>
  <c r="BZ618" i="75"/>
  <c r="BX618" i="75"/>
  <c r="BV618" i="75"/>
  <c r="BT618" i="75"/>
  <c r="BR618" i="75"/>
  <c r="BP618" i="75"/>
  <c r="BN618" i="75"/>
  <c r="BL618" i="75"/>
  <c r="BJ618" i="75"/>
  <c r="BH618" i="75"/>
  <c r="BF618" i="75"/>
  <c r="BD618" i="75"/>
  <c r="DG613" i="75"/>
  <c r="DF614" i="75" s="1"/>
  <c r="DG611" i="75"/>
  <c r="DF612" i="75" s="1"/>
  <c r="DE613" i="75" s="1" a="1"/>
  <c r="DE611" i="75"/>
  <c r="DG609" i="75"/>
  <c r="DF610" i="75" s="1"/>
  <c r="DE609" i="75"/>
  <c r="DD610" i="75" s="1"/>
  <c r="DC609" i="75"/>
  <c r="DG607" i="75"/>
  <c r="DF608" i="75" s="1"/>
  <c r="DE607" i="75"/>
  <c r="DD608" i="75" s="1"/>
  <c r="DC607" i="75"/>
  <c r="DA607" i="75"/>
  <c r="DG605" i="75"/>
  <c r="DE605" i="75"/>
  <c r="DD606" i="75" s="1"/>
  <c r="DC605" i="75"/>
  <c r="DA605" i="75"/>
  <c r="CZ606" i="75" s="1"/>
  <c r="CY605" i="75"/>
  <c r="DG603" i="75"/>
  <c r="DF604" i="75" s="1"/>
  <c r="DE603" i="75"/>
  <c r="DD604" i="75" s="1"/>
  <c r="DC603" i="75"/>
  <c r="DB604" i="75" s="1"/>
  <c r="DA603" i="75"/>
  <c r="CZ604" i="75" s="1"/>
  <c r="CY603" i="75"/>
  <c r="CX604" i="75" s="1"/>
  <c r="CW603" i="75"/>
  <c r="DG601" i="75"/>
  <c r="DF602" i="75" s="1"/>
  <c r="DE601" i="75"/>
  <c r="DD602" i="75" s="1"/>
  <c r="DC601" i="75"/>
  <c r="DB602" i="75" s="1"/>
  <c r="DA601" i="75"/>
  <c r="CY601" i="75"/>
  <c r="CW601" i="75"/>
  <c r="CU601" i="75"/>
  <c r="DG599" i="75"/>
  <c r="DF600" i="75" s="1"/>
  <c r="DE599" i="75"/>
  <c r="DC599" i="75"/>
  <c r="DB600" i="75" s="1"/>
  <c r="DA599" i="75"/>
  <c r="CY599" i="75"/>
  <c r="CX600" i="75" s="1"/>
  <c r="CW599" i="75"/>
  <c r="CV600" i="75" s="1"/>
  <c r="CU599" i="75"/>
  <c r="CS599" i="75"/>
  <c r="DG597" i="75"/>
  <c r="DF598" i="75" s="1"/>
  <c r="DE597" i="75"/>
  <c r="DC597" i="75"/>
  <c r="DA597" i="75"/>
  <c r="CZ598" i="75" s="1"/>
  <c r="CY597" i="75"/>
  <c r="CX598" i="75" s="1"/>
  <c r="CW597" i="75"/>
  <c r="CU597" i="75"/>
  <c r="CT598" i="75" s="1"/>
  <c r="CS597" i="75"/>
  <c r="CQ597" i="75"/>
  <c r="DF596" i="75"/>
  <c r="DD596" i="75"/>
  <c r="DB596" i="75"/>
  <c r="CZ596" i="75"/>
  <c r="CX596" i="75"/>
  <c r="CV596" i="75"/>
  <c r="CT596" i="75"/>
  <c r="CR596" i="75"/>
  <c r="CP596" i="75"/>
  <c r="DG595" i="75"/>
  <c r="DE595" i="75"/>
  <c r="DC595" i="75"/>
  <c r="DA595" i="75"/>
  <c r="CY595" i="75"/>
  <c r="CW595" i="75"/>
  <c r="CU595" i="75"/>
  <c r="CS595" i="75"/>
  <c r="CQ595" i="75"/>
  <c r="CO595" i="75"/>
  <c r="DF594" i="75"/>
  <c r="DD594" i="75"/>
  <c r="DB594" i="75"/>
  <c r="CZ594" i="75"/>
  <c r="CX594" i="75"/>
  <c r="CV594" i="75"/>
  <c r="CT594" i="75"/>
  <c r="CR594" i="75"/>
  <c r="CP594" i="75"/>
  <c r="CN594" i="75"/>
  <c r="DG593" i="75"/>
  <c r="DE593" i="75"/>
  <c r="DC593" i="75"/>
  <c r="DA593" i="75"/>
  <c r="CY593" i="75"/>
  <c r="CW593" i="75"/>
  <c r="CU593" i="75"/>
  <c r="CS593" i="75"/>
  <c r="CQ593" i="75"/>
  <c r="CO593" i="75"/>
  <c r="CM593" i="75"/>
  <c r="DF592" i="75"/>
  <c r="DD592" i="75"/>
  <c r="DB592" i="75"/>
  <c r="CZ592" i="75"/>
  <c r="CX592" i="75"/>
  <c r="CV592" i="75"/>
  <c r="CT592" i="75"/>
  <c r="CR592" i="75"/>
  <c r="CP592" i="75"/>
  <c r="CN592" i="75"/>
  <c r="CL592" i="75"/>
  <c r="DG591" i="75"/>
  <c r="DE591" i="75"/>
  <c r="DC591" i="75"/>
  <c r="DA591" i="75"/>
  <c r="CY591" i="75"/>
  <c r="CW591" i="75"/>
  <c r="CU591" i="75"/>
  <c r="CS591" i="75"/>
  <c r="CQ591" i="75"/>
  <c r="CO591" i="75"/>
  <c r="CM591" i="75"/>
  <c r="CK591" i="75"/>
  <c r="DF590" i="75"/>
  <c r="DD590" i="75"/>
  <c r="DB590" i="75"/>
  <c r="CZ590" i="75"/>
  <c r="CX590" i="75"/>
  <c r="CV590" i="75"/>
  <c r="CT590" i="75"/>
  <c r="CR590" i="75"/>
  <c r="CP590" i="75"/>
  <c r="CN590" i="75"/>
  <c r="CL590" i="75"/>
  <c r="CJ590" i="75"/>
  <c r="DG589" i="75"/>
  <c r="DE589" i="75"/>
  <c r="DC589" i="75"/>
  <c r="DA589" i="75"/>
  <c r="CY589" i="75"/>
  <c r="CW589" i="75"/>
  <c r="CU589" i="75"/>
  <c r="CS589" i="75"/>
  <c r="CQ589" i="75"/>
  <c r="CO589" i="75"/>
  <c r="CM589" i="75"/>
  <c r="CK589" i="75"/>
  <c r="CI589" i="75"/>
  <c r="DF588" i="75"/>
  <c r="DD588" i="75"/>
  <c r="DB588" i="75"/>
  <c r="CZ588" i="75"/>
  <c r="CX588" i="75"/>
  <c r="CV588" i="75"/>
  <c r="CT588" i="75"/>
  <c r="CR588" i="75"/>
  <c r="CP588" i="75"/>
  <c r="CN588" i="75"/>
  <c r="CL588" i="75"/>
  <c r="CJ588" i="75"/>
  <c r="CH588" i="75"/>
  <c r="DG587" i="75"/>
  <c r="DE587" i="75"/>
  <c r="DC587" i="75"/>
  <c r="DA587" i="75"/>
  <c r="CY587" i="75"/>
  <c r="CW587" i="75"/>
  <c r="CU587" i="75"/>
  <c r="CS587" i="75"/>
  <c r="CQ587" i="75"/>
  <c r="CO587" i="75"/>
  <c r="CM587" i="75"/>
  <c r="CK587" i="75"/>
  <c r="CI587" i="75"/>
  <c r="CG587" i="75"/>
  <c r="DF586" i="75"/>
  <c r="DD586" i="75"/>
  <c r="DB586" i="75"/>
  <c r="CZ586" i="75"/>
  <c r="CX586" i="75"/>
  <c r="CV586" i="75"/>
  <c r="CT586" i="75"/>
  <c r="CR586" i="75"/>
  <c r="CP586" i="75"/>
  <c r="CN586" i="75"/>
  <c r="CL586" i="75"/>
  <c r="CJ586" i="75"/>
  <c r="CH586" i="75"/>
  <c r="CF586" i="75"/>
  <c r="DG585" i="75"/>
  <c r="DE585" i="75"/>
  <c r="DC585" i="75"/>
  <c r="DA585" i="75"/>
  <c r="CY585" i="75"/>
  <c r="CW585" i="75"/>
  <c r="CU585" i="75"/>
  <c r="CS585" i="75"/>
  <c r="CQ585" i="75"/>
  <c r="CO585" i="75"/>
  <c r="CM585" i="75"/>
  <c r="CK585" i="75"/>
  <c r="CI585" i="75"/>
  <c r="CG585" i="75"/>
  <c r="CE585" i="75"/>
  <c r="DF584" i="75"/>
  <c r="DD584" i="75"/>
  <c r="DB584" i="75"/>
  <c r="CZ584" i="75"/>
  <c r="CX584" i="75"/>
  <c r="CV584" i="75"/>
  <c r="CT584" i="75"/>
  <c r="CR584" i="75"/>
  <c r="CP584" i="75"/>
  <c r="CN584" i="75"/>
  <c r="CL584" i="75"/>
  <c r="CJ584" i="75"/>
  <c r="CH584" i="75"/>
  <c r="CF584" i="75"/>
  <c r="CD584" i="75"/>
  <c r="DG583" i="75"/>
  <c r="DE583" i="75"/>
  <c r="DC583" i="75"/>
  <c r="DA583" i="75"/>
  <c r="CY583" i="75"/>
  <c r="CW583" i="75"/>
  <c r="CU583" i="75"/>
  <c r="CS583" i="75"/>
  <c r="CQ583" i="75"/>
  <c r="CO583" i="75"/>
  <c r="CM583" i="75"/>
  <c r="CK583" i="75"/>
  <c r="CI583" i="75"/>
  <c r="CG583" i="75"/>
  <c r="CE583" i="75"/>
  <c r="CC583" i="75"/>
  <c r="DF582" i="75"/>
  <c r="DD582" i="75"/>
  <c r="DB582" i="75"/>
  <c r="CZ582" i="75"/>
  <c r="CX582" i="75"/>
  <c r="CV582" i="75"/>
  <c r="CT582" i="75"/>
  <c r="CR582" i="75"/>
  <c r="CP582" i="75"/>
  <c r="CN582" i="75"/>
  <c r="CL582" i="75"/>
  <c r="CJ582" i="75"/>
  <c r="CH582" i="75"/>
  <c r="CF582" i="75"/>
  <c r="CD582" i="75"/>
  <c r="CB582" i="75"/>
  <c r="DG581" i="75"/>
  <c r="DE581" i="75"/>
  <c r="DC581" i="75"/>
  <c r="DA581" i="75"/>
  <c r="CY581" i="75"/>
  <c r="CW581" i="75"/>
  <c r="CU581" i="75"/>
  <c r="CS581" i="75"/>
  <c r="CQ581" i="75"/>
  <c r="CO581" i="75"/>
  <c r="CM581" i="75"/>
  <c r="CK581" i="75"/>
  <c r="CI581" i="75"/>
  <c r="CG581" i="75"/>
  <c r="CE581" i="75"/>
  <c r="CC581" i="75"/>
  <c r="CA581" i="75"/>
  <c r="DF580" i="75"/>
  <c r="DD580" i="75"/>
  <c r="DB580" i="75"/>
  <c r="CZ580" i="75"/>
  <c r="CX580" i="75"/>
  <c r="CV580" i="75"/>
  <c r="CT580" i="75"/>
  <c r="CR580" i="75"/>
  <c r="CP580" i="75"/>
  <c r="CN580" i="75"/>
  <c r="CL580" i="75"/>
  <c r="CJ580" i="75"/>
  <c r="CH580" i="75"/>
  <c r="CF580" i="75"/>
  <c r="CD580" i="75"/>
  <c r="CB580" i="75"/>
  <c r="BZ580" i="75"/>
  <c r="DG579" i="75"/>
  <c r="DE579" i="75"/>
  <c r="DC579" i="75"/>
  <c r="DA579" i="75"/>
  <c r="CY579" i="75"/>
  <c r="CW579" i="75"/>
  <c r="CU579" i="75"/>
  <c r="CS579" i="75"/>
  <c r="CQ579" i="75"/>
  <c r="CO579" i="75"/>
  <c r="CM579" i="75"/>
  <c r="CK579" i="75"/>
  <c r="CI579" i="75"/>
  <c r="CG579" i="75"/>
  <c r="CE579" i="75"/>
  <c r="CC579" i="75"/>
  <c r="CA579" i="75"/>
  <c r="BY579" i="75"/>
  <c r="DF578" i="75"/>
  <c r="DD578" i="75"/>
  <c r="DB578" i="75"/>
  <c r="CZ578" i="75"/>
  <c r="CX578" i="75"/>
  <c r="CV578" i="75"/>
  <c r="CT578" i="75"/>
  <c r="CR578" i="75"/>
  <c r="CP578" i="75"/>
  <c r="CN578" i="75"/>
  <c r="CL578" i="75"/>
  <c r="CJ578" i="75"/>
  <c r="CH578" i="75"/>
  <c r="CF578" i="75"/>
  <c r="CD578" i="75"/>
  <c r="CB578" i="75"/>
  <c r="BZ578" i="75"/>
  <c r="BX578" i="75"/>
  <c r="DG577" i="75"/>
  <c r="DE577" i="75"/>
  <c r="DC577" i="75"/>
  <c r="DA577" i="75"/>
  <c r="CY577" i="75"/>
  <c r="CW577" i="75"/>
  <c r="CU577" i="75"/>
  <c r="CS577" i="75"/>
  <c r="CQ577" i="75"/>
  <c r="CO577" i="75"/>
  <c r="CM577" i="75"/>
  <c r="CK577" i="75"/>
  <c r="CI577" i="75"/>
  <c r="CG577" i="75"/>
  <c r="CE577" i="75"/>
  <c r="CC577" i="75"/>
  <c r="CA577" i="75"/>
  <c r="BY577" i="75"/>
  <c r="BW577" i="75"/>
  <c r="DF576" i="75"/>
  <c r="DD576" i="75"/>
  <c r="DB576" i="75"/>
  <c r="CZ576" i="75"/>
  <c r="CX576" i="75"/>
  <c r="CV576" i="75"/>
  <c r="CT576" i="75"/>
  <c r="CR576" i="75"/>
  <c r="CP576" i="75"/>
  <c r="CN576" i="75"/>
  <c r="CL576" i="75"/>
  <c r="CJ576" i="75"/>
  <c r="CH576" i="75"/>
  <c r="CF576" i="75"/>
  <c r="CD576" i="75"/>
  <c r="CB576" i="75"/>
  <c r="BZ576" i="75"/>
  <c r="BX576" i="75"/>
  <c r="BV576" i="75"/>
  <c r="DG575" i="75"/>
  <c r="DE575" i="75"/>
  <c r="DC575" i="75"/>
  <c r="DA575" i="75"/>
  <c r="CY575" i="75"/>
  <c r="CW575" i="75"/>
  <c r="CU575" i="75"/>
  <c r="CS575" i="75"/>
  <c r="CQ575" i="75"/>
  <c r="CO575" i="75"/>
  <c r="CM575" i="75"/>
  <c r="CK575" i="75"/>
  <c r="CI575" i="75"/>
  <c r="CG575" i="75"/>
  <c r="CE575" i="75"/>
  <c r="CC575" i="75"/>
  <c r="CA575" i="75"/>
  <c r="BY575" i="75"/>
  <c r="BW575" i="75"/>
  <c r="BU575" i="75"/>
  <c r="DF574" i="75"/>
  <c r="DD574" i="75"/>
  <c r="DB574" i="75"/>
  <c r="CZ574" i="75"/>
  <c r="CX574" i="75"/>
  <c r="CV574" i="75"/>
  <c r="CT574" i="75"/>
  <c r="CR574" i="75"/>
  <c r="CP574" i="75"/>
  <c r="CN574" i="75"/>
  <c r="CL574" i="75"/>
  <c r="CJ574" i="75"/>
  <c r="CH574" i="75"/>
  <c r="CF574" i="75"/>
  <c r="CD574" i="75"/>
  <c r="CB574" i="75"/>
  <c r="BZ574" i="75"/>
  <c r="BX574" i="75"/>
  <c r="BV574" i="75"/>
  <c r="BT574" i="75"/>
  <c r="DG573" i="75"/>
  <c r="DE573" i="75"/>
  <c r="DC573" i="75"/>
  <c r="DA573" i="75"/>
  <c r="CY573" i="75"/>
  <c r="CW573" i="75"/>
  <c r="CU573" i="75"/>
  <c r="CS573" i="75"/>
  <c r="CQ573" i="75"/>
  <c r="CO573" i="75"/>
  <c r="CM573" i="75"/>
  <c r="CK573" i="75"/>
  <c r="CI573" i="75"/>
  <c r="CG573" i="75"/>
  <c r="CE573" i="75"/>
  <c r="CC573" i="75"/>
  <c r="CA573" i="75"/>
  <c r="BY573" i="75"/>
  <c r="BW573" i="75"/>
  <c r="BU573" i="75"/>
  <c r="BS573" i="75"/>
  <c r="DF572" i="75"/>
  <c r="DD572" i="75"/>
  <c r="DB572" i="75"/>
  <c r="CZ572" i="75"/>
  <c r="CX572" i="75"/>
  <c r="CV572" i="75"/>
  <c r="CT572" i="75"/>
  <c r="CR572" i="75"/>
  <c r="CP572" i="75"/>
  <c r="CN572" i="75"/>
  <c r="CL572" i="75"/>
  <c r="CJ572" i="75"/>
  <c r="CH572" i="75"/>
  <c r="CF572" i="75"/>
  <c r="CD572" i="75"/>
  <c r="CB572" i="75"/>
  <c r="BZ572" i="75"/>
  <c r="BX572" i="75"/>
  <c r="BV572" i="75"/>
  <c r="BT572" i="75"/>
  <c r="BR572" i="75"/>
  <c r="DG571" i="75"/>
  <c r="DE571" i="75"/>
  <c r="DC571" i="75"/>
  <c r="DA571" i="75"/>
  <c r="CY571" i="75"/>
  <c r="CW571" i="75"/>
  <c r="CU571" i="75"/>
  <c r="CS571" i="75"/>
  <c r="CQ571" i="75"/>
  <c r="CO571" i="75"/>
  <c r="CM571" i="75"/>
  <c r="CK571" i="75"/>
  <c r="CI571" i="75"/>
  <c r="CG571" i="75"/>
  <c r="CE571" i="75"/>
  <c r="CC571" i="75"/>
  <c r="CA571" i="75"/>
  <c r="BY571" i="75"/>
  <c r="BW571" i="75"/>
  <c r="BU571" i="75"/>
  <c r="BS571" i="75"/>
  <c r="BQ571" i="75"/>
  <c r="DF570" i="75"/>
  <c r="DD570" i="75"/>
  <c r="DB570" i="75"/>
  <c r="CZ570" i="75"/>
  <c r="CX570" i="75"/>
  <c r="CV570" i="75"/>
  <c r="CT570" i="75"/>
  <c r="CR570" i="75"/>
  <c r="CP570" i="75"/>
  <c r="CN570" i="75"/>
  <c r="CL570" i="75"/>
  <c r="CJ570" i="75"/>
  <c r="CH570" i="75"/>
  <c r="CF570" i="75"/>
  <c r="CD570" i="75"/>
  <c r="CB570" i="75"/>
  <c r="BZ570" i="75"/>
  <c r="BX570" i="75"/>
  <c r="BV570" i="75"/>
  <c r="BT570" i="75"/>
  <c r="BR570" i="75"/>
  <c r="BP570" i="75"/>
  <c r="DG569" i="75"/>
  <c r="DE569" i="75"/>
  <c r="DC569" i="75"/>
  <c r="DA569" i="75"/>
  <c r="CY569" i="75"/>
  <c r="CW569" i="75"/>
  <c r="CU569" i="75"/>
  <c r="CS569" i="75"/>
  <c r="CQ569" i="75"/>
  <c r="CO569" i="75"/>
  <c r="CM569" i="75"/>
  <c r="CK569" i="75"/>
  <c r="CI569" i="75"/>
  <c r="CG569" i="75"/>
  <c r="CE569" i="75"/>
  <c r="CC569" i="75"/>
  <c r="CA569" i="75"/>
  <c r="BY569" i="75"/>
  <c r="BW569" i="75"/>
  <c r="BU569" i="75"/>
  <c r="BS569" i="75"/>
  <c r="BQ569" i="75"/>
  <c r="BO569" i="75"/>
  <c r="DF568" i="75"/>
  <c r="DD568" i="75"/>
  <c r="DB568" i="75"/>
  <c r="CZ568" i="75"/>
  <c r="CX568" i="75"/>
  <c r="CV568" i="75"/>
  <c r="CT568" i="75"/>
  <c r="CR568" i="75"/>
  <c r="CP568" i="75"/>
  <c r="CN568" i="75"/>
  <c r="CL568" i="75"/>
  <c r="CJ568" i="75"/>
  <c r="CH568" i="75"/>
  <c r="CF568" i="75"/>
  <c r="CD568" i="75"/>
  <c r="CB568" i="75"/>
  <c r="BZ568" i="75"/>
  <c r="BX568" i="75"/>
  <c r="BV568" i="75"/>
  <c r="BT568" i="75"/>
  <c r="BR568" i="75"/>
  <c r="BP568" i="75"/>
  <c r="BN568" i="75"/>
  <c r="DG567" i="75"/>
  <c r="DE567" i="75"/>
  <c r="DC567" i="75"/>
  <c r="DA567" i="75"/>
  <c r="CY567" i="75"/>
  <c r="CW567" i="75"/>
  <c r="CU567" i="75"/>
  <c r="CS567" i="75"/>
  <c r="CQ567" i="75"/>
  <c r="CO567" i="75"/>
  <c r="CM567" i="75"/>
  <c r="CK567" i="75"/>
  <c r="CI567" i="75"/>
  <c r="CG567" i="75"/>
  <c r="CE567" i="75"/>
  <c r="CC567" i="75"/>
  <c r="CA567" i="75"/>
  <c r="BY567" i="75"/>
  <c r="BW567" i="75"/>
  <c r="BU567" i="75"/>
  <c r="BS567" i="75"/>
  <c r="BQ567" i="75"/>
  <c r="BO567" i="75"/>
  <c r="BM567" i="75"/>
  <c r="DF566" i="75"/>
  <c r="DD566" i="75"/>
  <c r="DB566" i="75"/>
  <c r="CZ566" i="75"/>
  <c r="CX566" i="75"/>
  <c r="CV566" i="75"/>
  <c r="CT566" i="75"/>
  <c r="CR566" i="75"/>
  <c r="CP566" i="75"/>
  <c r="CN566" i="75"/>
  <c r="CL566" i="75"/>
  <c r="CJ566" i="75"/>
  <c r="CH566" i="75"/>
  <c r="CF566" i="75"/>
  <c r="CD566" i="75"/>
  <c r="CB566" i="75"/>
  <c r="BZ566" i="75"/>
  <c r="BX566" i="75"/>
  <c r="BV566" i="75"/>
  <c r="BT566" i="75"/>
  <c r="BR566" i="75"/>
  <c r="BP566" i="75"/>
  <c r="BN566" i="75"/>
  <c r="BL566" i="75"/>
  <c r="DG565" i="75"/>
  <c r="DE565" i="75"/>
  <c r="DC565" i="75"/>
  <c r="DA565" i="75"/>
  <c r="CY565" i="75"/>
  <c r="CW565" i="75"/>
  <c r="CU565" i="75"/>
  <c r="CS565" i="75"/>
  <c r="CQ565" i="75"/>
  <c r="CO565" i="75"/>
  <c r="CM565" i="75"/>
  <c r="CK565" i="75"/>
  <c r="CI565" i="75"/>
  <c r="CG565" i="75"/>
  <c r="CE565" i="75"/>
  <c r="CC565" i="75"/>
  <c r="CA565" i="75"/>
  <c r="BY565" i="75"/>
  <c r="BW565" i="75"/>
  <c r="BU565" i="75"/>
  <c r="BS565" i="75"/>
  <c r="BQ565" i="75"/>
  <c r="BO565" i="75"/>
  <c r="BM565" i="75"/>
  <c r="BK565" i="75"/>
  <c r="DF564" i="75"/>
  <c r="DD564" i="75"/>
  <c r="DB564" i="75"/>
  <c r="CZ564" i="75"/>
  <c r="CX564" i="75"/>
  <c r="CV564" i="75"/>
  <c r="CT564" i="75"/>
  <c r="CR564" i="75"/>
  <c r="CP564" i="75"/>
  <c r="CN564" i="75"/>
  <c r="CL564" i="75"/>
  <c r="CJ564" i="75"/>
  <c r="CH564" i="75"/>
  <c r="CF564" i="75"/>
  <c r="CD564" i="75"/>
  <c r="CB564" i="75"/>
  <c r="BZ564" i="75"/>
  <c r="BX564" i="75"/>
  <c r="BV564" i="75"/>
  <c r="BT564" i="75"/>
  <c r="BR564" i="75"/>
  <c r="BP564" i="75"/>
  <c r="BN564" i="75"/>
  <c r="BL564" i="75"/>
  <c r="BJ564" i="75"/>
  <c r="DG563" i="75"/>
  <c r="DE563" i="75"/>
  <c r="DC563" i="75"/>
  <c r="DA563" i="75"/>
  <c r="CY563" i="75"/>
  <c r="CW563" i="75"/>
  <c r="CU563" i="75"/>
  <c r="CS563" i="75"/>
  <c r="CQ563" i="75"/>
  <c r="CO563" i="75"/>
  <c r="CM563" i="75"/>
  <c r="CK563" i="75"/>
  <c r="CI563" i="75"/>
  <c r="CG563" i="75"/>
  <c r="CE563" i="75"/>
  <c r="CC563" i="75"/>
  <c r="CA563" i="75"/>
  <c r="BY563" i="75"/>
  <c r="BW563" i="75"/>
  <c r="BU563" i="75"/>
  <c r="BS563" i="75"/>
  <c r="BQ563" i="75"/>
  <c r="BO563" i="75"/>
  <c r="BM563" i="75"/>
  <c r="BK563" i="75"/>
  <c r="BI563" i="75"/>
  <c r="DF562" i="75"/>
  <c r="DD562" i="75"/>
  <c r="DB562" i="75"/>
  <c r="CZ562" i="75"/>
  <c r="CX562" i="75"/>
  <c r="CV562" i="75"/>
  <c r="CT562" i="75"/>
  <c r="CR562" i="75"/>
  <c r="CP562" i="75"/>
  <c r="CN562" i="75"/>
  <c r="CL562" i="75"/>
  <c r="CJ562" i="75"/>
  <c r="CH562" i="75"/>
  <c r="CF562" i="75"/>
  <c r="CD562" i="75"/>
  <c r="CB562" i="75"/>
  <c r="BZ562" i="75"/>
  <c r="BX562" i="75"/>
  <c r="BV562" i="75"/>
  <c r="BT562" i="75"/>
  <c r="BR562" i="75"/>
  <c r="BP562" i="75"/>
  <c r="BN562" i="75"/>
  <c r="BL562" i="75"/>
  <c r="BJ562" i="75"/>
  <c r="BH562" i="75"/>
  <c r="DG561" i="75"/>
  <c r="DE561" i="75"/>
  <c r="DC561" i="75"/>
  <c r="DA561" i="75"/>
  <c r="CY561" i="75"/>
  <c r="CW561" i="75"/>
  <c r="CU561" i="75"/>
  <c r="CS561" i="75"/>
  <c r="CQ561" i="75"/>
  <c r="CO561" i="75"/>
  <c r="CM561" i="75"/>
  <c r="CK561" i="75"/>
  <c r="CI561" i="75"/>
  <c r="CG561" i="75"/>
  <c r="CE561" i="75"/>
  <c r="CC561" i="75"/>
  <c r="CA561" i="75"/>
  <c r="BY561" i="75"/>
  <c r="BW561" i="75"/>
  <c r="BU561" i="75"/>
  <c r="BS561" i="75"/>
  <c r="BQ561" i="75"/>
  <c r="BO561" i="75"/>
  <c r="BM561" i="75"/>
  <c r="BK561" i="75"/>
  <c r="BI561" i="75"/>
  <c r="BG561" i="75"/>
  <c r="DF560" i="75"/>
  <c r="DD560" i="75"/>
  <c r="DB560" i="75"/>
  <c r="CZ560" i="75"/>
  <c r="CX560" i="75"/>
  <c r="CV560" i="75"/>
  <c r="CT560" i="75"/>
  <c r="CR560" i="75"/>
  <c r="CP560" i="75"/>
  <c r="CN560" i="75"/>
  <c r="CL560" i="75"/>
  <c r="CJ560" i="75"/>
  <c r="CH560" i="75"/>
  <c r="CF560" i="75"/>
  <c r="CD560" i="75"/>
  <c r="CB560" i="75"/>
  <c r="BZ560" i="75"/>
  <c r="BX560" i="75"/>
  <c r="BV560" i="75"/>
  <c r="BT560" i="75"/>
  <c r="BR560" i="75"/>
  <c r="BP560" i="75"/>
  <c r="BN560" i="75"/>
  <c r="BL560" i="75"/>
  <c r="BJ560" i="75"/>
  <c r="BH560" i="75"/>
  <c r="BF560" i="75"/>
  <c r="DG559" i="75"/>
  <c r="DE559" i="75"/>
  <c r="DC559" i="75"/>
  <c r="DA559" i="75"/>
  <c r="CY559" i="75"/>
  <c r="CW559" i="75"/>
  <c r="CU559" i="75"/>
  <c r="CS559" i="75"/>
  <c r="CQ559" i="75"/>
  <c r="CO559" i="75"/>
  <c r="CM559" i="75"/>
  <c r="CK559" i="75"/>
  <c r="CI559" i="75"/>
  <c r="CG559" i="75"/>
  <c r="CE559" i="75"/>
  <c r="CC559" i="75"/>
  <c r="CA559" i="75"/>
  <c r="BY559" i="75"/>
  <c r="BW559" i="75"/>
  <c r="BU559" i="75"/>
  <c r="BS559" i="75"/>
  <c r="BQ559" i="75"/>
  <c r="BO559" i="75"/>
  <c r="BM559" i="75"/>
  <c r="BK559" i="75"/>
  <c r="BI559" i="75"/>
  <c r="BG559" i="75"/>
  <c r="BE559" i="75"/>
  <c r="DF558" i="75"/>
  <c r="DD558" i="75"/>
  <c r="DB558" i="75"/>
  <c r="CZ558" i="75"/>
  <c r="CX558" i="75"/>
  <c r="CV558" i="75"/>
  <c r="CT558" i="75"/>
  <c r="CR558" i="75"/>
  <c r="CP558" i="75"/>
  <c r="CN558" i="75"/>
  <c r="CL558" i="75"/>
  <c r="CJ558" i="75"/>
  <c r="CH558" i="75"/>
  <c r="CF558" i="75"/>
  <c r="CD558" i="75"/>
  <c r="CB558" i="75"/>
  <c r="BZ558" i="75"/>
  <c r="BX558" i="75"/>
  <c r="BV558" i="75"/>
  <c r="BT558" i="75"/>
  <c r="BR558" i="75"/>
  <c r="BP558" i="75"/>
  <c r="BN558" i="75"/>
  <c r="BL558" i="75"/>
  <c r="BJ558" i="75"/>
  <c r="BH558" i="75"/>
  <c r="BF558" i="75"/>
  <c r="BD558" i="75"/>
  <c r="DG551" i="75"/>
  <c r="DF552" i="75" s="1"/>
  <c r="DG549" i="75"/>
  <c r="DF550" i="75" s="1"/>
  <c r="DE551" i="75" s="1" a="1"/>
  <c r="DE552" i="75" s="1"/>
  <c r="DE549" i="75"/>
  <c r="DG547" i="75"/>
  <c r="DF548" i="75" s="1"/>
  <c r="DE547" i="75"/>
  <c r="DC547" i="75"/>
  <c r="DG545" i="75"/>
  <c r="DE545" i="75"/>
  <c r="DD546" i="75" s="1"/>
  <c r="DC545" i="75"/>
  <c r="DA545" i="75"/>
  <c r="DG543" i="75"/>
  <c r="DE543" i="75"/>
  <c r="DD544" i="75" s="1"/>
  <c r="DC543" i="75"/>
  <c r="DB544" i="75" s="1"/>
  <c r="DA543" i="75"/>
  <c r="CZ544" i="75" s="1"/>
  <c r="CY543" i="75"/>
  <c r="DG541" i="75"/>
  <c r="DE541" i="75"/>
  <c r="DD542" i="75" s="1"/>
  <c r="DC541" i="75"/>
  <c r="DB542" i="75" s="1"/>
  <c r="DA541" i="75"/>
  <c r="CZ542" i="75" s="1"/>
  <c r="CY541" i="75"/>
  <c r="CX542" i="75" s="1"/>
  <c r="CW541" i="75"/>
  <c r="DG539" i="75"/>
  <c r="DF540" i="75" s="1"/>
  <c r="DE539" i="75"/>
  <c r="DC539" i="75"/>
  <c r="DB540" i="75" s="1"/>
  <c r="DA539" i="75"/>
  <c r="CY539" i="75"/>
  <c r="CX540" i="75" s="1"/>
  <c r="CW539" i="75"/>
  <c r="CU539" i="75"/>
  <c r="DG537" i="75"/>
  <c r="DF538" i="75" s="1"/>
  <c r="DE537" i="75"/>
  <c r="DD538" i="75" s="1"/>
  <c r="DC537" i="75"/>
  <c r="DB538" i="75" s="1"/>
  <c r="DA537" i="75"/>
  <c r="CY537" i="75"/>
  <c r="CX538" i="75" s="1"/>
  <c r="CW537" i="75"/>
  <c r="CV538" i="75" s="1"/>
  <c r="CU537" i="75"/>
  <c r="CS537" i="75"/>
  <c r="DG535" i="75"/>
  <c r="DF536" i="75" s="1"/>
  <c r="DE535" i="75"/>
  <c r="DD536" i="75" s="1"/>
  <c r="DC535" i="75"/>
  <c r="DB536" i="75" s="1"/>
  <c r="DA535" i="75"/>
  <c r="CZ536" i="75" s="1"/>
  <c r="CY535" i="75"/>
  <c r="CW535" i="75"/>
  <c r="CU535" i="75"/>
  <c r="CS535" i="75"/>
  <c r="CR536" i="75" s="1"/>
  <c r="CQ535" i="75"/>
  <c r="DF534" i="75"/>
  <c r="DD534" i="75"/>
  <c r="DB534" i="75"/>
  <c r="CZ534" i="75"/>
  <c r="CX534" i="75"/>
  <c r="CV534" i="75"/>
  <c r="CT534" i="75"/>
  <c r="CR534" i="75"/>
  <c r="CP534" i="75"/>
  <c r="DG533" i="75"/>
  <c r="DE533" i="75"/>
  <c r="DC533" i="75"/>
  <c r="DA533" i="75"/>
  <c r="CY533" i="75"/>
  <c r="CW533" i="75"/>
  <c r="CU533" i="75"/>
  <c r="CS533" i="75"/>
  <c r="CQ533" i="75"/>
  <c r="CO533" i="75"/>
  <c r="DF532" i="75"/>
  <c r="DD532" i="75"/>
  <c r="DB532" i="75"/>
  <c r="CZ532" i="75"/>
  <c r="CX532" i="75"/>
  <c r="CV532" i="75"/>
  <c r="CT532" i="75"/>
  <c r="CR532" i="75"/>
  <c r="CP532" i="75"/>
  <c r="CN532" i="75"/>
  <c r="DG531" i="75"/>
  <c r="DE531" i="75"/>
  <c r="DC531" i="75"/>
  <c r="DA531" i="75"/>
  <c r="CY531" i="75"/>
  <c r="CW531" i="75"/>
  <c r="CU531" i="75"/>
  <c r="CS531" i="75"/>
  <c r="CQ531" i="75"/>
  <c r="CO531" i="75"/>
  <c r="CM531" i="75"/>
  <c r="DF530" i="75"/>
  <c r="DD530" i="75"/>
  <c r="DB530" i="75"/>
  <c r="CZ530" i="75"/>
  <c r="CX530" i="75"/>
  <c r="CV530" i="75"/>
  <c r="CT530" i="75"/>
  <c r="CR530" i="75"/>
  <c r="CP530" i="75"/>
  <c r="CN530" i="75"/>
  <c r="CL530" i="75"/>
  <c r="DG529" i="75"/>
  <c r="DE529" i="75"/>
  <c r="DC529" i="75"/>
  <c r="DA529" i="75"/>
  <c r="CY529" i="75"/>
  <c r="CW529" i="75"/>
  <c r="CU529" i="75"/>
  <c r="CS529" i="75"/>
  <c r="CQ529" i="75"/>
  <c r="CO529" i="75"/>
  <c r="CM529" i="75"/>
  <c r="CK529" i="75"/>
  <c r="DF528" i="75"/>
  <c r="DD528" i="75"/>
  <c r="DB528" i="75"/>
  <c r="CZ528" i="75"/>
  <c r="CX528" i="75"/>
  <c r="CV528" i="75"/>
  <c r="CT528" i="75"/>
  <c r="CR528" i="75"/>
  <c r="CP528" i="75"/>
  <c r="CN528" i="75"/>
  <c r="CL528" i="75"/>
  <c r="CJ528" i="75"/>
  <c r="DG527" i="75"/>
  <c r="DE527" i="75"/>
  <c r="DC527" i="75"/>
  <c r="DA527" i="75"/>
  <c r="CY527" i="75"/>
  <c r="CW527" i="75"/>
  <c r="CU527" i="75"/>
  <c r="CS527" i="75"/>
  <c r="CQ527" i="75"/>
  <c r="CO527" i="75"/>
  <c r="CM527" i="75"/>
  <c r="CK527" i="75"/>
  <c r="CI527" i="75"/>
  <c r="DF526" i="75"/>
  <c r="DD526" i="75"/>
  <c r="DB526" i="75"/>
  <c r="CZ526" i="75"/>
  <c r="CX526" i="75"/>
  <c r="CV526" i="75"/>
  <c r="CT526" i="75"/>
  <c r="CR526" i="75"/>
  <c r="CP526" i="75"/>
  <c r="CN526" i="75"/>
  <c r="CL526" i="75"/>
  <c r="CJ526" i="75"/>
  <c r="CH526" i="75"/>
  <c r="DG525" i="75"/>
  <c r="DE525" i="75"/>
  <c r="DC525" i="75"/>
  <c r="DA525" i="75"/>
  <c r="CY525" i="75"/>
  <c r="CW525" i="75"/>
  <c r="CU525" i="75"/>
  <c r="CS525" i="75"/>
  <c r="CQ525" i="75"/>
  <c r="CO525" i="75"/>
  <c r="CM525" i="75"/>
  <c r="CK525" i="75"/>
  <c r="CI525" i="75"/>
  <c r="CG525" i="75"/>
  <c r="DF524" i="75"/>
  <c r="DD524" i="75"/>
  <c r="DB524" i="75"/>
  <c r="CZ524" i="75"/>
  <c r="CX524" i="75"/>
  <c r="CV524" i="75"/>
  <c r="CT524" i="75"/>
  <c r="CR524" i="75"/>
  <c r="CP524" i="75"/>
  <c r="CN524" i="75"/>
  <c r="CL524" i="75"/>
  <c r="CJ524" i="75"/>
  <c r="CH524" i="75"/>
  <c r="CF524" i="75"/>
  <c r="DG523" i="75"/>
  <c r="DE523" i="75"/>
  <c r="DC523" i="75"/>
  <c r="DA523" i="75"/>
  <c r="CY523" i="75"/>
  <c r="CW523" i="75"/>
  <c r="CU523" i="75"/>
  <c r="CS523" i="75"/>
  <c r="CQ523" i="75"/>
  <c r="CO523" i="75"/>
  <c r="CM523" i="75"/>
  <c r="CK523" i="75"/>
  <c r="CI523" i="75"/>
  <c r="CG523" i="75"/>
  <c r="CE523" i="75"/>
  <c r="DF522" i="75"/>
  <c r="DD522" i="75"/>
  <c r="DB522" i="75"/>
  <c r="CZ522" i="75"/>
  <c r="CX522" i="75"/>
  <c r="CV522" i="75"/>
  <c r="CT522" i="75"/>
  <c r="CR522" i="75"/>
  <c r="CP522" i="75"/>
  <c r="CN522" i="75"/>
  <c r="CL522" i="75"/>
  <c r="CJ522" i="75"/>
  <c r="CH522" i="75"/>
  <c r="CF522" i="75"/>
  <c r="CD522" i="75"/>
  <c r="DG521" i="75"/>
  <c r="DE521" i="75"/>
  <c r="DC521" i="75"/>
  <c r="DA521" i="75"/>
  <c r="CY521" i="75"/>
  <c r="CW521" i="75"/>
  <c r="CU521" i="75"/>
  <c r="CS521" i="75"/>
  <c r="CQ521" i="75"/>
  <c r="CO521" i="75"/>
  <c r="CM521" i="75"/>
  <c r="CK521" i="75"/>
  <c r="CI521" i="75"/>
  <c r="CG521" i="75"/>
  <c r="CE521" i="75"/>
  <c r="CC521" i="75"/>
  <c r="DF520" i="75"/>
  <c r="DD520" i="75"/>
  <c r="DB520" i="75"/>
  <c r="CZ520" i="75"/>
  <c r="CX520" i="75"/>
  <c r="CV520" i="75"/>
  <c r="CT520" i="75"/>
  <c r="CR520" i="75"/>
  <c r="CP520" i="75"/>
  <c r="CN520" i="75"/>
  <c r="CL520" i="75"/>
  <c r="CJ520" i="75"/>
  <c r="CH520" i="75"/>
  <c r="CF520" i="75"/>
  <c r="CD520" i="75"/>
  <c r="CB520" i="75"/>
  <c r="DG519" i="75"/>
  <c r="DE519" i="75"/>
  <c r="DC519" i="75"/>
  <c r="DA519" i="75"/>
  <c r="CY519" i="75"/>
  <c r="CW519" i="75"/>
  <c r="CU519" i="75"/>
  <c r="CS519" i="75"/>
  <c r="CQ519" i="75"/>
  <c r="CO519" i="75"/>
  <c r="CM519" i="75"/>
  <c r="CK519" i="75"/>
  <c r="CI519" i="75"/>
  <c r="CG519" i="75"/>
  <c r="CE519" i="75"/>
  <c r="CC519" i="75"/>
  <c r="CA519" i="75"/>
  <c r="DF518" i="75"/>
  <c r="DD518" i="75"/>
  <c r="DB518" i="75"/>
  <c r="CZ518" i="75"/>
  <c r="CX518" i="75"/>
  <c r="CV518" i="75"/>
  <c r="CT518" i="75"/>
  <c r="CR518" i="75"/>
  <c r="CP518" i="75"/>
  <c r="CN518" i="75"/>
  <c r="CL518" i="75"/>
  <c r="CJ518" i="75"/>
  <c r="CH518" i="75"/>
  <c r="CF518" i="75"/>
  <c r="CD518" i="75"/>
  <c r="CB518" i="75"/>
  <c r="BZ518" i="75"/>
  <c r="DG517" i="75"/>
  <c r="DE517" i="75"/>
  <c r="DC517" i="75"/>
  <c r="DA517" i="75"/>
  <c r="CY517" i="75"/>
  <c r="CW517" i="75"/>
  <c r="CU517" i="75"/>
  <c r="CS517" i="75"/>
  <c r="CQ517" i="75"/>
  <c r="CO517" i="75"/>
  <c r="CM517" i="75"/>
  <c r="CK517" i="75"/>
  <c r="CI517" i="75"/>
  <c r="CG517" i="75"/>
  <c r="CE517" i="75"/>
  <c r="CC517" i="75"/>
  <c r="CA517" i="75"/>
  <c r="BY517" i="75"/>
  <c r="DF516" i="75"/>
  <c r="DD516" i="75"/>
  <c r="DB516" i="75"/>
  <c r="CZ516" i="75"/>
  <c r="CX516" i="75"/>
  <c r="CV516" i="75"/>
  <c r="CT516" i="75"/>
  <c r="CR516" i="75"/>
  <c r="CP516" i="75"/>
  <c r="CN516" i="75"/>
  <c r="CL516" i="75"/>
  <c r="CJ516" i="75"/>
  <c r="CH516" i="75"/>
  <c r="CF516" i="75"/>
  <c r="CD516" i="75"/>
  <c r="CB516" i="75"/>
  <c r="BZ516" i="75"/>
  <c r="BX516" i="75"/>
  <c r="DG515" i="75"/>
  <c r="DE515" i="75"/>
  <c r="DC515" i="75"/>
  <c r="DA515" i="75"/>
  <c r="CY515" i="75"/>
  <c r="CW515" i="75"/>
  <c r="CU515" i="75"/>
  <c r="CS515" i="75"/>
  <c r="CQ515" i="75"/>
  <c r="CO515" i="75"/>
  <c r="CM515" i="75"/>
  <c r="CK515" i="75"/>
  <c r="CI515" i="75"/>
  <c r="CG515" i="75"/>
  <c r="CE515" i="75"/>
  <c r="CC515" i="75"/>
  <c r="CA515" i="75"/>
  <c r="BY515" i="75"/>
  <c r="BW515" i="75"/>
  <c r="DF514" i="75"/>
  <c r="DD514" i="75"/>
  <c r="DB514" i="75"/>
  <c r="CZ514" i="75"/>
  <c r="CX514" i="75"/>
  <c r="CV514" i="75"/>
  <c r="CT514" i="75"/>
  <c r="CR514" i="75"/>
  <c r="CP514" i="75"/>
  <c r="CN514" i="75"/>
  <c r="CL514" i="75"/>
  <c r="CJ514" i="75"/>
  <c r="CH514" i="75"/>
  <c r="CF514" i="75"/>
  <c r="CD514" i="75"/>
  <c r="CB514" i="75"/>
  <c r="BZ514" i="75"/>
  <c r="BX514" i="75"/>
  <c r="BV514" i="75"/>
  <c r="DG513" i="75"/>
  <c r="DE513" i="75"/>
  <c r="DC513" i="75"/>
  <c r="DA513" i="75"/>
  <c r="CY513" i="75"/>
  <c r="CW513" i="75"/>
  <c r="CU513" i="75"/>
  <c r="CS513" i="75"/>
  <c r="CQ513" i="75"/>
  <c r="CO513" i="75"/>
  <c r="CM513" i="75"/>
  <c r="CK513" i="75"/>
  <c r="CI513" i="75"/>
  <c r="CG513" i="75"/>
  <c r="CE513" i="75"/>
  <c r="CC513" i="75"/>
  <c r="CA513" i="75"/>
  <c r="BY513" i="75"/>
  <c r="BW513" i="75"/>
  <c r="BU513" i="75"/>
  <c r="DF512" i="75"/>
  <c r="DD512" i="75"/>
  <c r="DB512" i="75"/>
  <c r="CZ512" i="75"/>
  <c r="CX512" i="75"/>
  <c r="CV512" i="75"/>
  <c r="CT512" i="75"/>
  <c r="CR512" i="75"/>
  <c r="CP512" i="75"/>
  <c r="CN512" i="75"/>
  <c r="CL512" i="75"/>
  <c r="CJ512" i="75"/>
  <c r="CH512" i="75"/>
  <c r="CF512" i="75"/>
  <c r="CD512" i="75"/>
  <c r="CB512" i="75"/>
  <c r="BZ512" i="75"/>
  <c r="BX512" i="75"/>
  <c r="BV512" i="75"/>
  <c r="BT512" i="75"/>
  <c r="DG511" i="75"/>
  <c r="DE511" i="75"/>
  <c r="DC511" i="75"/>
  <c r="DA511" i="75"/>
  <c r="CY511" i="75"/>
  <c r="CW511" i="75"/>
  <c r="CU511" i="75"/>
  <c r="CS511" i="75"/>
  <c r="CQ511" i="75"/>
  <c r="CO511" i="75"/>
  <c r="CM511" i="75"/>
  <c r="CK511" i="75"/>
  <c r="CI511" i="75"/>
  <c r="CG511" i="75"/>
  <c r="CE511" i="75"/>
  <c r="CC511" i="75"/>
  <c r="CA511" i="75"/>
  <c r="BY511" i="75"/>
  <c r="BW511" i="75"/>
  <c r="BU511" i="75"/>
  <c r="BS511" i="75"/>
  <c r="DF510" i="75"/>
  <c r="DD510" i="75"/>
  <c r="DB510" i="75"/>
  <c r="CZ510" i="75"/>
  <c r="CX510" i="75"/>
  <c r="CV510" i="75"/>
  <c r="CT510" i="75"/>
  <c r="CR510" i="75"/>
  <c r="CP510" i="75"/>
  <c r="CN510" i="75"/>
  <c r="CL510" i="75"/>
  <c r="CJ510" i="75"/>
  <c r="CH510" i="75"/>
  <c r="CF510" i="75"/>
  <c r="CD510" i="75"/>
  <c r="CB510" i="75"/>
  <c r="BZ510" i="75"/>
  <c r="BX510" i="75"/>
  <c r="BV510" i="75"/>
  <c r="BT510" i="75"/>
  <c r="BR510" i="75"/>
  <c r="DG509" i="75"/>
  <c r="DE509" i="75"/>
  <c r="DC509" i="75"/>
  <c r="DA509" i="75"/>
  <c r="CY509" i="75"/>
  <c r="CW509" i="75"/>
  <c r="CU509" i="75"/>
  <c r="CS509" i="75"/>
  <c r="CQ509" i="75"/>
  <c r="CO509" i="75"/>
  <c r="CM509" i="75"/>
  <c r="CK509" i="75"/>
  <c r="CI509" i="75"/>
  <c r="CG509" i="75"/>
  <c r="CE509" i="75"/>
  <c r="CC509" i="75"/>
  <c r="CA509" i="75"/>
  <c r="BY509" i="75"/>
  <c r="BW509" i="75"/>
  <c r="BU509" i="75"/>
  <c r="BS509" i="75"/>
  <c r="BQ509" i="75"/>
  <c r="DF508" i="75"/>
  <c r="DD508" i="75"/>
  <c r="DB508" i="75"/>
  <c r="CZ508" i="75"/>
  <c r="CX508" i="75"/>
  <c r="CV508" i="75"/>
  <c r="CT508" i="75"/>
  <c r="CR508" i="75"/>
  <c r="CP508" i="75"/>
  <c r="CN508" i="75"/>
  <c r="CL508" i="75"/>
  <c r="CJ508" i="75"/>
  <c r="CH508" i="75"/>
  <c r="CF508" i="75"/>
  <c r="CD508" i="75"/>
  <c r="CB508" i="75"/>
  <c r="BZ508" i="75"/>
  <c r="BX508" i="75"/>
  <c r="BV508" i="75"/>
  <c r="BT508" i="75"/>
  <c r="BR508" i="75"/>
  <c r="BP508" i="75"/>
  <c r="DG507" i="75"/>
  <c r="DE507" i="75"/>
  <c r="DC507" i="75"/>
  <c r="DA507" i="75"/>
  <c r="CY507" i="75"/>
  <c r="CW507" i="75"/>
  <c r="CU507" i="75"/>
  <c r="CS507" i="75"/>
  <c r="CQ507" i="75"/>
  <c r="CO507" i="75"/>
  <c r="CM507" i="75"/>
  <c r="CK507" i="75"/>
  <c r="CI507" i="75"/>
  <c r="CG507" i="75"/>
  <c r="CE507" i="75"/>
  <c r="CC507" i="75"/>
  <c r="CA507" i="75"/>
  <c r="BY507" i="75"/>
  <c r="BW507" i="75"/>
  <c r="BU507" i="75"/>
  <c r="BS507" i="75"/>
  <c r="BQ507" i="75"/>
  <c r="BO507" i="75"/>
  <c r="DF506" i="75"/>
  <c r="DD506" i="75"/>
  <c r="DB506" i="75"/>
  <c r="CZ506" i="75"/>
  <c r="CX506" i="75"/>
  <c r="CV506" i="75"/>
  <c r="CT506" i="75"/>
  <c r="CR506" i="75"/>
  <c r="CP506" i="75"/>
  <c r="CN506" i="75"/>
  <c r="CL506" i="75"/>
  <c r="CJ506" i="75"/>
  <c r="CH506" i="75"/>
  <c r="CF506" i="75"/>
  <c r="CD506" i="75"/>
  <c r="CB506" i="75"/>
  <c r="BZ506" i="75"/>
  <c r="BX506" i="75"/>
  <c r="BV506" i="75"/>
  <c r="BT506" i="75"/>
  <c r="BR506" i="75"/>
  <c r="BP506" i="75"/>
  <c r="BN506" i="75"/>
  <c r="DG505" i="75"/>
  <c r="DE505" i="75"/>
  <c r="DC505" i="75"/>
  <c r="DA505" i="75"/>
  <c r="CY505" i="75"/>
  <c r="CW505" i="75"/>
  <c r="CU505" i="75"/>
  <c r="CS505" i="75"/>
  <c r="CQ505" i="75"/>
  <c r="CO505" i="75"/>
  <c r="CM505" i="75"/>
  <c r="CK505" i="75"/>
  <c r="CI505" i="75"/>
  <c r="CG505" i="75"/>
  <c r="CE505" i="75"/>
  <c r="CC505" i="75"/>
  <c r="CA505" i="75"/>
  <c r="BY505" i="75"/>
  <c r="BW505" i="75"/>
  <c r="BU505" i="75"/>
  <c r="BS505" i="75"/>
  <c r="BQ505" i="75"/>
  <c r="BO505" i="75"/>
  <c r="BM505" i="75"/>
  <c r="DF504" i="75"/>
  <c r="DD504" i="75"/>
  <c r="DB504" i="75"/>
  <c r="CZ504" i="75"/>
  <c r="CX504" i="75"/>
  <c r="CV504" i="75"/>
  <c r="CT504" i="75"/>
  <c r="CR504" i="75"/>
  <c r="CP504" i="75"/>
  <c r="CN504" i="75"/>
  <c r="CL504" i="75"/>
  <c r="CJ504" i="75"/>
  <c r="CH504" i="75"/>
  <c r="CF504" i="75"/>
  <c r="CD504" i="75"/>
  <c r="CB504" i="75"/>
  <c r="BZ504" i="75"/>
  <c r="BX504" i="75"/>
  <c r="BV504" i="75"/>
  <c r="BT504" i="75"/>
  <c r="BR504" i="75"/>
  <c r="BP504" i="75"/>
  <c r="BN504" i="75"/>
  <c r="BL504" i="75"/>
  <c r="DG503" i="75"/>
  <c r="DE503" i="75"/>
  <c r="DC503" i="75"/>
  <c r="DA503" i="75"/>
  <c r="CY503" i="75"/>
  <c r="CW503" i="75"/>
  <c r="CU503" i="75"/>
  <c r="CS503" i="75"/>
  <c r="CQ503" i="75"/>
  <c r="CO503" i="75"/>
  <c r="CM503" i="75"/>
  <c r="CK503" i="75"/>
  <c r="CI503" i="75"/>
  <c r="CG503" i="75"/>
  <c r="CE503" i="75"/>
  <c r="CC503" i="75"/>
  <c r="CA503" i="75"/>
  <c r="BY503" i="75"/>
  <c r="BW503" i="75"/>
  <c r="BU503" i="75"/>
  <c r="BS503" i="75"/>
  <c r="BQ503" i="75"/>
  <c r="BO503" i="75"/>
  <c r="BM503" i="75"/>
  <c r="BK503" i="75"/>
  <c r="DF502" i="75"/>
  <c r="DD502" i="75"/>
  <c r="DB502" i="75"/>
  <c r="CZ502" i="75"/>
  <c r="CX502" i="75"/>
  <c r="CV502" i="75"/>
  <c r="CT502" i="75"/>
  <c r="CR502" i="75"/>
  <c r="CP502" i="75"/>
  <c r="CN502" i="75"/>
  <c r="CL502" i="75"/>
  <c r="CJ502" i="75"/>
  <c r="CH502" i="75"/>
  <c r="CF502" i="75"/>
  <c r="CD502" i="75"/>
  <c r="CB502" i="75"/>
  <c r="BZ502" i="75"/>
  <c r="BX502" i="75"/>
  <c r="BV502" i="75"/>
  <c r="BT502" i="75"/>
  <c r="BR502" i="75"/>
  <c r="BP502" i="75"/>
  <c r="BN502" i="75"/>
  <c r="BL502" i="75"/>
  <c r="BJ502" i="75"/>
  <c r="DG501" i="75"/>
  <c r="DE501" i="75"/>
  <c r="DC501" i="75"/>
  <c r="DA501" i="75"/>
  <c r="CY501" i="75"/>
  <c r="CW501" i="75"/>
  <c r="CU501" i="75"/>
  <c r="CS501" i="75"/>
  <c r="CQ501" i="75"/>
  <c r="CO501" i="75"/>
  <c r="CM501" i="75"/>
  <c r="CK501" i="75"/>
  <c r="CI501" i="75"/>
  <c r="CG501" i="75"/>
  <c r="CE501" i="75"/>
  <c r="CC501" i="75"/>
  <c r="CA501" i="75"/>
  <c r="BY501" i="75"/>
  <c r="BW501" i="75"/>
  <c r="BU501" i="75"/>
  <c r="BS501" i="75"/>
  <c r="BQ501" i="75"/>
  <c r="BO501" i="75"/>
  <c r="BM501" i="75"/>
  <c r="BK501" i="75"/>
  <c r="BI501" i="75"/>
  <c r="DF500" i="75"/>
  <c r="DD500" i="75"/>
  <c r="DB500" i="75"/>
  <c r="CZ500" i="75"/>
  <c r="CX500" i="75"/>
  <c r="CV500" i="75"/>
  <c r="CT500" i="75"/>
  <c r="CR500" i="75"/>
  <c r="CP500" i="75"/>
  <c r="CN500" i="75"/>
  <c r="CL500" i="75"/>
  <c r="CJ500" i="75"/>
  <c r="CH500" i="75"/>
  <c r="CF500" i="75"/>
  <c r="CD500" i="75"/>
  <c r="CB500" i="75"/>
  <c r="BZ500" i="75"/>
  <c r="BX500" i="75"/>
  <c r="BV500" i="75"/>
  <c r="BT500" i="75"/>
  <c r="BR500" i="75"/>
  <c r="BP500" i="75"/>
  <c r="BN500" i="75"/>
  <c r="BL500" i="75"/>
  <c r="BJ500" i="75"/>
  <c r="BH500" i="75"/>
  <c r="DG499" i="75"/>
  <c r="DE499" i="75"/>
  <c r="DC499" i="75"/>
  <c r="DA499" i="75"/>
  <c r="CY499" i="75"/>
  <c r="CW499" i="75"/>
  <c r="CU499" i="75"/>
  <c r="CS499" i="75"/>
  <c r="CQ499" i="75"/>
  <c r="CO499" i="75"/>
  <c r="CM499" i="75"/>
  <c r="CK499" i="75"/>
  <c r="CI499" i="75"/>
  <c r="CG499" i="75"/>
  <c r="CE499" i="75"/>
  <c r="CC499" i="75"/>
  <c r="CA499" i="75"/>
  <c r="BY499" i="75"/>
  <c r="BW499" i="75"/>
  <c r="BU499" i="75"/>
  <c r="BS499" i="75"/>
  <c r="BQ499" i="75"/>
  <c r="BO499" i="75"/>
  <c r="BM499" i="75"/>
  <c r="BK499" i="75"/>
  <c r="BI499" i="75"/>
  <c r="BG499" i="75"/>
  <c r="DF498" i="75"/>
  <c r="DD498" i="75"/>
  <c r="DB498" i="75"/>
  <c r="CZ498" i="75"/>
  <c r="CX498" i="75"/>
  <c r="CV498" i="75"/>
  <c r="CT498" i="75"/>
  <c r="CR498" i="75"/>
  <c r="CP498" i="75"/>
  <c r="CN498" i="75"/>
  <c r="CL498" i="75"/>
  <c r="CJ498" i="75"/>
  <c r="CH498" i="75"/>
  <c r="CF498" i="75"/>
  <c r="CD498" i="75"/>
  <c r="CB498" i="75"/>
  <c r="BZ498" i="75"/>
  <c r="BX498" i="75"/>
  <c r="BV498" i="75"/>
  <c r="BT498" i="75"/>
  <c r="BR498" i="75"/>
  <c r="BP498" i="75"/>
  <c r="BN498" i="75"/>
  <c r="BL498" i="75"/>
  <c r="BJ498" i="75"/>
  <c r="BH498" i="75"/>
  <c r="BF498" i="75"/>
  <c r="DG497" i="75"/>
  <c r="DE497" i="75"/>
  <c r="DC497" i="75"/>
  <c r="DA497" i="75"/>
  <c r="CY497" i="75"/>
  <c r="CW497" i="75"/>
  <c r="CU497" i="75"/>
  <c r="CS497" i="75"/>
  <c r="CQ497" i="75"/>
  <c r="CO497" i="75"/>
  <c r="CM497" i="75"/>
  <c r="CK497" i="75"/>
  <c r="CI497" i="75"/>
  <c r="CG497" i="75"/>
  <c r="CE497" i="75"/>
  <c r="CC497" i="75"/>
  <c r="CA497" i="75"/>
  <c r="BY497" i="75"/>
  <c r="BW497" i="75"/>
  <c r="BU497" i="75"/>
  <c r="BS497" i="75"/>
  <c r="BQ497" i="75"/>
  <c r="BO497" i="75"/>
  <c r="BM497" i="75"/>
  <c r="BK497" i="75"/>
  <c r="BI497" i="75"/>
  <c r="BG497" i="75"/>
  <c r="BE497" i="75"/>
  <c r="DF496" i="75"/>
  <c r="DD496" i="75"/>
  <c r="DB496" i="75"/>
  <c r="CZ496" i="75"/>
  <c r="CX496" i="75"/>
  <c r="CV496" i="75"/>
  <c r="CT496" i="75"/>
  <c r="CR496" i="75"/>
  <c r="CP496" i="75"/>
  <c r="CN496" i="75"/>
  <c r="CL496" i="75"/>
  <c r="CJ496" i="75"/>
  <c r="CH496" i="75"/>
  <c r="CF496" i="75"/>
  <c r="CD496" i="75"/>
  <c r="CB496" i="75"/>
  <c r="BZ496" i="75"/>
  <c r="BX496" i="75"/>
  <c r="BV496" i="75"/>
  <c r="BT496" i="75"/>
  <c r="BR496" i="75"/>
  <c r="BP496" i="75"/>
  <c r="BN496" i="75"/>
  <c r="BL496" i="75"/>
  <c r="BJ496" i="75"/>
  <c r="BH496" i="75"/>
  <c r="BF496" i="75"/>
  <c r="BD496" i="75"/>
  <c r="DG491" i="75"/>
  <c r="DF492" i="75" s="1"/>
  <c r="DG489" i="75"/>
  <c r="DF490" i="75" s="1"/>
  <c r="DE491" i="75" s="1" a="1"/>
  <c r="DE492" i="75" s="1"/>
  <c r="DE489" i="75"/>
  <c r="DG487" i="75"/>
  <c r="DF488" i="75" s="1"/>
  <c r="DE487" i="75"/>
  <c r="DD488" i="75" s="1"/>
  <c r="DC487" i="75"/>
  <c r="DG485" i="75"/>
  <c r="DF486" i="75" s="1"/>
  <c r="DE485" i="75"/>
  <c r="DD486" i="75" s="1"/>
  <c r="DC485" i="75"/>
  <c r="DB486" i="75" s="1"/>
  <c r="DA485" i="75"/>
  <c r="DG483" i="75"/>
  <c r="DE483" i="75"/>
  <c r="DD484" i="75" s="1"/>
  <c r="DC483" i="75"/>
  <c r="DA483" i="75"/>
  <c r="CZ484" i="75" s="1"/>
  <c r="CY483" i="75"/>
  <c r="DG481" i="75"/>
  <c r="DF482" i="75" s="1"/>
  <c r="DE481" i="75"/>
  <c r="DD482" i="75" s="1"/>
  <c r="DC481" i="75"/>
  <c r="DA481" i="75"/>
  <c r="CZ482" i="75" s="1"/>
  <c r="CY481" i="75"/>
  <c r="CW481" i="75"/>
  <c r="DG479" i="75"/>
  <c r="DF480" i="75" s="1"/>
  <c r="DE479" i="75"/>
  <c r="DD480" i="75" s="1"/>
  <c r="DC479" i="75"/>
  <c r="DB480" i="75" s="1"/>
  <c r="DA479" i="75"/>
  <c r="CY479" i="75"/>
  <c r="CX480" i="75" s="1"/>
  <c r="CW479" i="75"/>
  <c r="CV480" i="75" s="1"/>
  <c r="CU479" i="75"/>
  <c r="DG477" i="75"/>
  <c r="DF478" i="75" s="1"/>
  <c r="DE477" i="75"/>
  <c r="DD478" i="75" s="1"/>
  <c r="DC477" i="75"/>
  <c r="DB478" i="75" s="1"/>
  <c r="DA477" i="75"/>
  <c r="CZ478" i="75" s="1"/>
  <c r="CY477" i="75"/>
  <c r="CX478" i="75" s="1"/>
  <c r="CW477" i="75"/>
  <c r="CV478" i="75" s="1"/>
  <c r="CU477" i="75"/>
  <c r="CT478" i="75" s="1"/>
  <c r="CS477" i="75"/>
  <c r="DG475" i="75"/>
  <c r="DF476" i="75" s="1"/>
  <c r="DE475" i="75"/>
  <c r="DC475" i="75"/>
  <c r="DB476" i="75" s="1"/>
  <c r="DA475" i="75"/>
  <c r="CY475" i="75"/>
  <c r="CX476" i="75" s="1"/>
  <c r="CW475" i="75"/>
  <c r="CU475" i="75"/>
  <c r="CS475" i="75"/>
  <c r="CR476" i="75" s="1"/>
  <c r="CQ475" i="75"/>
  <c r="DF474" i="75"/>
  <c r="DD474" i="75"/>
  <c r="DB474" i="75"/>
  <c r="CZ474" i="75"/>
  <c r="CX474" i="75"/>
  <c r="CV474" i="75"/>
  <c r="CT474" i="75"/>
  <c r="CR474" i="75"/>
  <c r="CP474" i="75"/>
  <c r="DG473" i="75"/>
  <c r="DE473" i="75"/>
  <c r="DC473" i="75"/>
  <c r="DA473" i="75"/>
  <c r="CY473" i="75"/>
  <c r="CW473" i="75"/>
  <c r="CU473" i="75"/>
  <c r="CS473" i="75"/>
  <c r="CQ473" i="75"/>
  <c r="CO473" i="75"/>
  <c r="DF472" i="75"/>
  <c r="DD472" i="75"/>
  <c r="DB472" i="75"/>
  <c r="CZ472" i="75"/>
  <c r="CX472" i="75"/>
  <c r="CV472" i="75"/>
  <c r="CT472" i="75"/>
  <c r="CR472" i="75"/>
  <c r="CP472" i="75"/>
  <c r="CN472" i="75"/>
  <c r="DG471" i="75"/>
  <c r="DE471" i="75"/>
  <c r="DC471" i="75"/>
  <c r="DA471" i="75"/>
  <c r="CY471" i="75"/>
  <c r="CW471" i="75"/>
  <c r="CU471" i="75"/>
  <c r="CS471" i="75"/>
  <c r="CQ471" i="75"/>
  <c r="CO471" i="75"/>
  <c r="CM471" i="75"/>
  <c r="DF470" i="75"/>
  <c r="DD470" i="75"/>
  <c r="DB470" i="75"/>
  <c r="CZ470" i="75"/>
  <c r="CX470" i="75"/>
  <c r="CV470" i="75"/>
  <c r="CT470" i="75"/>
  <c r="CR470" i="75"/>
  <c r="CP470" i="75"/>
  <c r="CN470" i="75"/>
  <c r="CL470" i="75"/>
  <c r="DG469" i="75"/>
  <c r="DE469" i="75"/>
  <c r="DC469" i="75"/>
  <c r="DA469" i="75"/>
  <c r="CY469" i="75"/>
  <c r="CW469" i="75"/>
  <c r="CU469" i="75"/>
  <c r="CS469" i="75"/>
  <c r="CQ469" i="75"/>
  <c r="CO469" i="75"/>
  <c r="CM469" i="75"/>
  <c r="CK469" i="75"/>
  <c r="DF468" i="75"/>
  <c r="DD468" i="75"/>
  <c r="DB468" i="75"/>
  <c r="CZ468" i="75"/>
  <c r="CX468" i="75"/>
  <c r="CV468" i="75"/>
  <c r="CT468" i="75"/>
  <c r="CR468" i="75"/>
  <c r="CP468" i="75"/>
  <c r="CN468" i="75"/>
  <c r="CL468" i="75"/>
  <c r="CJ468" i="75"/>
  <c r="DG467" i="75"/>
  <c r="DE467" i="75"/>
  <c r="DC467" i="75"/>
  <c r="DA467" i="75"/>
  <c r="CY467" i="75"/>
  <c r="CW467" i="75"/>
  <c r="CU467" i="75"/>
  <c r="CS467" i="75"/>
  <c r="CQ467" i="75"/>
  <c r="CO467" i="75"/>
  <c r="CM467" i="75"/>
  <c r="CK467" i="75"/>
  <c r="CI467" i="75"/>
  <c r="DF466" i="75"/>
  <c r="DD466" i="75"/>
  <c r="DB466" i="75"/>
  <c r="CZ466" i="75"/>
  <c r="CX466" i="75"/>
  <c r="CV466" i="75"/>
  <c r="CT466" i="75"/>
  <c r="CR466" i="75"/>
  <c r="CP466" i="75"/>
  <c r="CN466" i="75"/>
  <c r="CL466" i="75"/>
  <c r="CJ466" i="75"/>
  <c r="CH466" i="75"/>
  <c r="DG465" i="75"/>
  <c r="DE465" i="75"/>
  <c r="DC465" i="75"/>
  <c r="DA465" i="75"/>
  <c r="CY465" i="75"/>
  <c r="CW465" i="75"/>
  <c r="CU465" i="75"/>
  <c r="CS465" i="75"/>
  <c r="CQ465" i="75"/>
  <c r="CO465" i="75"/>
  <c r="CM465" i="75"/>
  <c r="CK465" i="75"/>
  <c r="CI465" i="75"/>
  <c r="CG465" i="75"/>
  <c r="DF464" i="75"/>
  <c r="DD464" i="75"/>
  <c r="DB464" i="75"/>
  <c r="CZ464" i="75"/>
  <c r="CX464" i="75"/>
  <c r="CV464" i="75"/>
  <c r="CT464" i="75"/>
  <c r="CR464" i="75"/>
  <c r="CP464" i="75"/>
  <c r="CN464" i="75"/>
  <c r="CL464" i="75"/>
  <c r="CJ464" i="75"/>
  <c r="CH464" i="75"/>
  <c r="CF464" i="75"/>
  <c r="DG463" i="75"/>
  <c r="DE463" i="75"/>
  <c r="DC463" i="75"/>
  <c r="DA463" i="75"/>
  <c r="CY463" i="75"/>
  <c r="CW463" i="75"/>
  <c r="CU463" i="75"/>
  <c r="CS463" i="75"/>
  <c r="CQ463" i="75"/>
  <c r="CO463" i="75"/>
  <c r="CM463" i="75"/>
  <c r="CK463" i="75"/>
  <c r="CI463" i="75"/>
  <c r="CG463" i="75"/>
  <c r="CE463" i="75"/>
  <c r="DF462" i="75"/>
  <c r="DD462" i="75"/>
  <c r="DB462" i="75"/>
  <c r="CZ462" i="75"/>
  <c r="CX462" i="75"/>
  <c r="CV462" i="75"/>
  <c r="CT462" i="75"/>
  <c r="CR462" i="75"/>
  <c r="CP462" i="75"/>
  <c r="CN462" i="75"/>
  <c r="CL462" i="75"/>
  <c r="CJ462" i="75"/>
  <c r="CH462" i="75"/>
  <c r="CF462" i="75"/>
  <c r="CD462" i="75"/>
  <c r="DG461" i="75"/>
  <c r="DE461" i="75"/>
  <c r="DC461" i="75"/>
  <c r="DA461" i="75"/>
  <c r="CY461" i="75"/>
  <c r="CW461" i="75"/>
  <c r="CU461" i="75"/>
  <c r="CS461" i="75"/>
  <c r="CQ461" i="75"/>
  <c r="CO461" i="75"/>
  <c r="CM461" i="75"/>
  <c r="CK461" i="75"/>
  <c r="CI461" i="75"/>
  <c r="CG461" i="75"/>
  <c r="CE461" i="75"/>
  <c r="CC461" i="75"/>
  <c r="DF460" i="75"/>
  <c r="DD460" i="75"/>
  <c r="DB460" i="75"/>
  <c r="CZ460" i="75"/>
  <c r="CX460" i="75"/>
  <c r="CV460" i="75"/>
  <c r="CT460" i="75"/>
  <c r="CR460" i="75"/>
  <c r="CP460" i="75"/>
  <c r="CN460" i="75"/>
  <c r="CL460" i="75"/>
  <c r="CJ460" i="75"/>
  <c r="CH460" i="75"/>
  <c r="CF460" i="75"/>
  <c r="CD460" i="75"/>
  <c r="CB460" i="75"/>
  <c r="DG459" i="75"/>
  <c r="DE459" i="75"/>
  <c r="DC459" i="75"/>
  <c r="DA459" i="75"/>
  <c r="CY459" i="75"/>
  <c r="CW459" i="75"/>
  <c r="CU459" i="75"/>
  <c r="CS459" i="75"/>
  <c r="CQ459" i="75"/>
  <c r="CO459" i="75"/>
  <c r="CM459" i="75"/>
  <c r="CK459" i="75"/>
  <c r="CI459" i="75"/>
  <c r="CG459" i="75"/>
  <c r="CE459" i="75"/>
  <c r="CC459" i="75"/>
  <c r="CA459" i="75"/>
  <c r="DF458" i="75"/>
  <c r="DD458" i="75"/>
  <c r="DB458" i="75"/>
  <c r="CZ458" i="75"/>
  <c r="CX458" i="75"/>
  <c r="CV458" i="75"/>
  <c r="CT458" i="75"/>
  <c r="CR458" i="75"/>
  <c r="CP458" i="75"/>
  <c r="CN458" i="75"/>
  <c r="CL458" i="75"/>
  <c r="CJ458" i="75"/>
  <c r="CH458" i="75"/>
  <c r="CF458" i="75"/>
  <c r="CD458" i="75"/>
  <c r="CB458" i="75"/>
  <c r="BZ458" i="75"/>
  <c r="DG457" i="75"/>
  <c r="DE457" i="75"/>
  <c r="DC457" i="75"/>
  <c r="DA457" i="75"/>
  <c r="CY457" i="75"/>
  <c r="CW457" i="75"/>
  <c r="CU457" i="75"/>
  <c r="CS457" i="75"/>
  <c r="CQ457" i="75"/>
  <c r="CO457" i="75"/>
  <c r="CM457" i="75"/>
  <c r="CK457" i="75"/>
  <c r="CI457" i="75"/>
  <c r="CG457" i="75"/>
  <c r="CE457" i="75"/>
  <c r="CC457" i="75"/>
  <c r="CA457" i="75"/>
  <c r="BY457" i="75"/>
  <c r="DF456" i="75"/>
  <c r="DD456" i="75"/>
  <c r="DB456" i="75"/>
  <c r="CZ456" i="75"/>
  <c r="CX456" i="75"/>
  <c r="CV456" i="75"/>
  <c r="CT456" i="75"/>
  <c r="CR456" i="75"/>
  <c r="CP456" i="75"/>
  <c r="CN456" i="75"/>
  <c r="CL456" i="75"/>
  <c r="CJ456" i="75"/>
  <c r="CH456" i="75"/>
  <c r="CF456" i="75"/>
  <c r="CD456" i="75"/>
  <c r="CB456" i="75"/>
  <c r="BZ456" i="75"/>
  <c r="BX456" i="75"/>
  <c r="DG455" i="75"/>
  <c r="DE455" i="75"/>
  <c r="DC455" i="75"/>
  <c r="DA455" i="75"/>
  <c r="CY455" i="75"/>
  <c r="CW455" i="75"/>
  <c r="CU455" i="75"/>
  <c r="CS455" i="75"/>
  <c r="CQ455" i="75"/>
  <c r="CO455" i="75"/>
  <c r="CM455" i="75"/>
  <c r="CK455" i="75"/>
  <c r="CI455" i="75"/>
  <c r="CG455" i="75"/>
  <c r="CE455" i="75"/>
  <c r="CC455" i="75"/>
  <c r="CA455" i="75"/>
  <c r="BY455" i="75"/>
  <c r="BW455" i="75"/>
  <c r="DF454" i="75"/>
  <c r="DD454" i="75"/>
  <c r="DB454" i="75"/>
  <c r="CZ454" i="75"/>
  <c r="CX454" i="75"/>
  <c r="CV454" i="75"/>
  <c r="CT454" i="75"/>
  <c r="CR454" i="75"/>
  <c r="CP454" i="75"/>
  <c r="CN454" i="75"/>
  <c r="CL454" i="75"/>
  <c r="CJ454" i="75"/>
  <c r="CH454" i="75"/>
  <c r="CF454" i="75"/>
  <c r="CD454" i="75"/>
  <c r="CB454" i="75"/>
  <c r="BZ454" i="75"/>
  <c r="BX454" i="75"/>
  <c r="BV454" i="75"/>
  <c r="DG453" i="75"/>
  <c r="DE453" i="75"/>
  <c r="DC453" i="75"/>
  <c r="DA453" i="75"/>
  <c r="CY453" i="75"/>
  <c r="CW453" i="75"/>
  <c r="CU453" i="75"/>
  <c r="CS453" i="75"/>
  <c r="CQ453" i="75"/>
  <c r="CO453" i="75"/>
  <c r="CM453" i="75"/>
  <c r="CK453" i="75"/>
  <c r="CI453" i="75"/>
  <c r="CG453" i="75"/>
  <c r="CE453" i="75"/>
  <c r="CC453" i="75"/>
  <c r="CA453" i="75"/>
  <c r="BY453" i="75"/>
  <c r="BW453" i="75"/>
  <c r="BU453" i="75"/>
  <c r="DF452" i="75"/>
  <c r="DD452" i="75"/>
  <c r="DB452" i="75"/>
  <c r="CZ452" i="75"/>
  <c r="CX452" i="75"/>
  <c r="CV452" i="75"/>
  <c r="CT452" i="75"/>
  <c r="CR452" i="75"/>
  <c r="CP452" i="75"/>
  <c r="CN452" i="75"/>
  <c r="CL452" i="75"/>
  <c r="CJ452" i="75"/>
  <c r="CH452" i="75"/>
  <c r="CF452" i="75"/>
  <c r="CD452" i="75"/>
  <c r="CB452" i="75"/>
  <c r="BZ452" i="75"/>
  <c r="BX452" i="75"/>
  <c r="BV452" i="75"/>
  <c r="BT452" i="75"/>
  <c r="DG451" i="75"/>
  <c r="DE451" i="75"/>
  <c r="DC451" i="75"/>
  <c r="DA451" i="75"/>
  <c r="CY451" i="75"/>
  <c r="CW451" i="75"/>
  <c r="CU451" i="75"/>
  <c r="CS451" i="75"/>
  <c r="CQ451" i="75"/>
  <c r="CO451" i="75"/>
  <c r="CM451" i="75"/>
  <c r="CK451" i="75"/>
  <c r="CI451" i="75"/>
  <c r="CG451" i="75"/>
  <c r="CE451" i="75"/>
  <c r="CC451" i="75"/>
  <c r="CA451" i="75"/>
  <c r="BY451" i="75"/>
  <c r="BW451" i="75"/>
  <c r="BU451" i="75"/>
  <c r="BS451" i="75"/>
  <c r="DF450" i="75"/>
  <c r="DD450" i="75"/>
  <c r="DB450" i="75"/>
  <c r="CZ450" i="75"/>
  <c r="CX450" i="75"/>
  <c r="CV450" i="75"/>
  <c r="CT450" i="75"/>
  <c r="CR450" i="75"/>
  <c r="CP450" i="75"/>
  <c r="CN450" i="75"/>
  <c r="CL450" i="75"/>
  <c r="CJ450" i="75"/>
  <c r="CH450" i="75"/>
  <c r="CF450" i="75"/>
  <c r="CD450" i="75"/>
  <c r="CB450" i="75"/>
  <c r="BZ450" i="75"/>
  <c r="BX450" i="75"/>
  <c r="BV450" i="75"/>
  <c r="BT450" i="75"/>
  <c r="BR450" i="75"/>
  <c r="DG449" i="75"/>
  <c r="DE449" i="75"/>
  <c r="DC449" i="75"/>
  <c r="DA449" i="75"/>
  <c r="CY449" i="75"/>
  <c r="CW449" i="75"/>
  <c r="CU449" i="75"/>
  <c r="CS449" i="75"/>
  <c r="CQ449" i="75"/>
  <c r="CO449" i="75"/>
  <c r="CM449" i="75"/>
  <c r="CK449" i="75"/>
  <c r="CI449" i="75"/>
  <c r="CG449" i="75"/>
  <c r="CE449" i="75"/>
  <c r="CC449" i="75"/>
  <c r="CA449" i="75"/>
  <c r="BY449" i="75"/>
  <c r="BW449" i="75"/>
  <c r="BU449" i="75"/>
  <c r="BS449" i="75"/>
  <c r="BQ449" i="75"/>
  <c r="DF448" i="75"/>
  <c r="DD448" i="75"/>
  <c r="DB448" i="75"/>
  <c r="CZ448" i="75"/>
  <c r="CX448" i="75"/>
  <c r="CV448" i="75"/>
  <c r="CT448" i="75"/>
  <c r="CR448" i="75"/>
  <c r="CP448" i="75"/>
  <c r="CN448" i="75"/>
  <c r="CL448" i="75"/>
  <c r="CJ448" i="75"/>
  <c r="CH448" i="75"/>
  <c r="CF448" i="75"/>
  <c r="CD448" i="75"/>
  <c r="CB448" i="75"/>
  <c r="BZ448" i="75"/>
  <c r="BX448" i="75"/>
  <c r="BV448" i="75"/>
  <c r="BT448" i="75"/>
  <c r="BR448" i="75"/>
  <c r="BP448" i="75"/>
  <c r="DG447" i="75"/>
  <c r="DE447" i="75"/>
  <c r="DC447" i="75"/>
  <c r="DA447" i="75"/>
  <c r="CY447" i="75"/>
  <c r="CW447" i="75"/>
  <c r="CU447" i="75"/>
  <c r="CS447" i="75"/>
  <c r="CQ447" i="75"/>
  <c r="CO447" i="75"/>
  <c r="CM447" i="75"/>
  <c r="CK447" i="75"/>
  <c r="CI447" i="75"/>
  <c r="CG447" i="75"/>
  <c r="CE447" i="75"/>
  <c r="CC447" i="75"/>
  <c r="CA447" i="75"/>
  <c r="BY447" i="75"/>
  <c r="BW447" i="75"/>
  <c r="BU447" i="75"/>
  <c r="BS447" i="75"/>
  <c r="BQ447" i="75"/>
  <c r="BO447" i="75"/>
  <c r="DF446" i="75"/>
  <c r="DD446" i="75"/>
  <c r="DB446" i="75"/>
  <c r="CZ446" i="75"/>
  <c r="CX446" i="75"/>
  <c r="CV446" i="75"/>
  <c r="CT446" i="75"/>
  <c r="CR446" i="75"/>
  <c r="CP446" i="75"/>
  <c r="CN446" i="75"/>
  <c r="CL446" i="75"/>
  <c r="CJ446" i="75"/>
  <c r="CH446" i="75"/>
  <c r="CF446" i="75"/>
  <c r="CD446" i="75"/>
  <c r="CB446" i="75"/>
  <c r="BZ446" i="75"/>
  <c r="BX446" i="75"/>
  <c r="BV446" i="75"/>
  <c r="BT446" i="75"/>
  <c r="BR446" i="75"/>
  <c r="BP446" i="75"/>
  <c r="BN446" i="75"/>
  <c r="DG445" i="75"/>
  <c r="DE445" i="75"/>
  <c r="DC445" i="75"/>
  <c r="DA445" i="75"/>
  <c r="CY445" i="75"/>
  <c r="CW445" i="75"/>
  <c r="CU445" i="75"/>
  <c r="CS445" i="75"/>
  <c r="CQ445" i="75"/>
  <c r="CO445" i="75"/>
  <c r="CM445" i="75"/>
  <c r="CK445" i="75"/>
  <c r="CI445" i="75"/>
  <c r="CG445" i="75"/>
  <c r="CE445" i="75"/>
  <c r="CC445" i="75"/>
  <c r="CA445" i="75"/>
  <c r="BY445" i="75"/>
  <c r="BW445" i="75"/>
  <c r="BU445" i="75"/>
  <c r="BS445" i="75"/>
  <c r="BQ445" i="75"/>
  <c r="BO445" i="75"/>
  <c r="BM445" i="75"/>
  <c r="DF444" i="75"/>
  <c r="DD444" i="75"/>
  <c r="DB444" i="75"/>
  <c r="CZ444" i="75"/>
  <c r="CX444" i="75"/>
  <c r="CV444" i="75"/>
  <c r="CT444" i="75"/>
  <c r="CR444" i="75"/>
  <c r="CP444" i="75"/>
  <c r="CN444" i="75"/>
  <c r="CL444" i="75"/>
  <c r="CJ444" i="75"/>
  <c r="CH444" i="75"/>
  <c r="CF444" i="75"/>
  <c r="CD444" i="75"/>
  <c r="CB444" i="75"/>
  <c r="BZ444" i="75"/>
  <c r="BX444" i="75"/>
  <c r="BV444" i="75"/>
  <c r="BT444" i="75"/>
  <c r="BR444" i="75"/>
  <c r="BP444" i="75"/>
  <c r="BN444" i="75"/>
  <c r="BL444" i="75"/>
  <c r="DG443" i="75"/>
  <c r="DE443" i="75"/>
  <c r="DC443" i="75"/>
  <c r="DA443" i="75"/>
  <c r="CY443" i="75"/>
  <c r="CW443" i="75"/>
  <c r="CU443" i="75"/>
  <c r="CS443" i="75"/>
  <c r="CQ443" i="75"/>
  <c r="CO443" i="75"/>
  <c r="CM443" i="75"/>
  <c r="CK443" i="75"/>
  <c r="CI443" i="75"/>
  <c r="CG443" i="75"/>
  <c r="CE443" i="75"/>
  <c r="CC443" i="75"/>
  <c r="CA443" i="75"/>
  <c r="BY443" i="75"/>
  <c r="BW443" i="75"/>
  <c r="BU443" i="75"/>
  <c r="BS443" i="75"/>
  <c r="BQ443" i="75"/>
  <c r="BO443" i="75"/>
  <c r="BM443" i="75"/>
  <c r="BK443" i="75"/>
  <c r="DF442" i="75"/>
  <c r="DD442" i="75"/>
  <c r="DB442" i="75"/>
  <c r="CZ442" i="75"/>
  <c r="CX442" i="75"/>
  <c r="CV442" i="75"/>
  <c r="CT442" i="75"/>
  <c r="CR442" i="75"/>
  <c r="CP442" i="75"/>
  <c r="CN442" i="75"/>
  <c r="CL442" i="75"/>
  <c r="CJ442" i="75"/>
  <c r="CH442" i="75"/>
  <c r="CF442" i="75"/>
  <c r="CD442" i="75"/>
  <c r="CB442" i="75"/>
  <c r="BZ442" i="75"/>
  <c r="BX442" i="75"/>
  <c r="BV442" i="75"/>
  <c r="BT442" i="75"/>
  <c r="BR442" i="75"/>
  <c r="BP442" i="75"/>
  <c r="BN442" i="75"/>
  <c r="BL442" i="75"/>
  <c r="BJ442" i="75"/>
  <c r="DG441" i="75"/>
  <c r="DE441" i="75"/>
  <c r="DC441" i="75"/>
  <c r="DA441" i="75"/>
  <c r="CY441" i="75"/>
  <c r="CW441" i="75"/>
  <c r="CU441" i="75"/>
  <c r="CS441" i="75"/>
  <c r="CQ441" i="75"/>
  <c r="CO441" i="75"/>
  <c r="CM441" i="75"/>
  <c r="CK441" i="75"/>
  <c r="CI441" i="75"/>
  <c r="CG441" i="75"/>
  <c r="CE441" i="75"/>
  <c r="CC441" i="75"/>
  <c r="CA441" i="75"/>
  <c r="BY441" i="75"/>
  <c r="BW441" i="75"/>
  <c r="BU441" i="75"/>
  <c r="BS441" i="75"/>
  <c r="BQ441" i="75"/>
  <c r="BO441" i="75"/>
  <c r="BM441" i="75"/>
  <c r="BK441" i="75"/>
  <c r="BI441" i="75"/>
  <c r="DF440" i="75"/>
  <c r="DD440" i="75"/>
  <c r="DB440" i="75"/>
  <c r="CZ440" i="75"/>
  <c r="CX440" i="75"/>
  <c r="CV440" i="75"/>
  <c r="CT440" i="75"/>
  <c r="CR440" i="75"/>
  <c r="CP440" i="75"/>
  <c r="CN440" i="75"/>
  <c r="CL440" i="75"/>
  <c r="CJ440" i="75"/>
  <c r="CH440" i="75"/>
  <c r="CF440" i="75"/>
  <c r="CD440" i="75"/>
  <c r="CB440" i="75"/>
  <c r="BZ440" i="75"/>
  <c r="BX440" i="75"/>
  <c r="BV440" i="75"/>
  <c r="BT440" i="75"/>
  <c r="BR440" i="75"/>
  <c r="BP440" i="75"/>
  <c r="BN440" i="75"/>
  <c r="BL440" i="75"/>
  <c r="BJ440" i="75"/>
  <c r="BH440" i="75"/>
  <c r="DG439" i="75"/>
  <c r="DE439" i="75"/>
  <c r="DC439" i="75"/>
  <c r="DA439" i="75"/>
  <c r="CY439" i="75"/>
  <c r="CW439" i="75"/>
  <c r="CU439" i="75"/>
  <c r="CS439" i="75"/>
  <c r="CQ439" i="75"/>
  <c r="CO439" i="75"/>
  <c r="CM439" i="75"/>
  <c r="CK439" i="75"/>
  <c r="CI439" i="75"/>
  <c r="CG439" i="75"/>
  <c r="CE439" i="75"/>
  <c r="CC439" i="75"/>
  <c r="CA439" i="75"/>
  <c r="BY439" i="75"/>
  <c r="BW439" i="75"/>
  <c r="BU439" i="75"/>
  <c r="BS439" i="75"/>
  <c r="BQ439" i="75"/>
  <c r="BO439" i="75"/>
  <c r="BM439" i="75"/>
  <c r="BK439" i="75"/>
  <c r="BI439" i="75"/>
  <c r="BG439" i="75"/>
  <c r="DF438" i="75"/>
  <c r="DD438" i="75"/>
  <c r="DB438" i="75"/>
  <c r="CZ438" i="75"/>
  <c r="CX438" i="75"/>
  <c r="CV438" i="75"/>
  <c r="CT438" i="75"/>
  <c r="CR438" i="75"/>
  <c r="CP438" i="75"/>
  <c r="CN438" i="75"/>
  <c r="CL438" i="75"/>
  <c r="CJ438" i="75"/>
  <c r="CH438" i="75"/>
  <c r="CF438" i="75"/>
  <c r="CD438" i="75"/>
  <c r="CB438" i="75"/>
  <c r="BZ438" i="75"/>
  <c r="BX438" i="75"/>
  <c r="BV438" i="75"/>
  <c r="BT438" i="75"/>
  <c r="BR438" i="75"/>
  <c r="BP438" i="75"/>
  <c r="BN438" i="75"/>
  <c r="BL438" i="75"/>
  <c r="BJ438" i="75"/>
  <c r="BH438" i="75"/>
  <c r="BF438" i="75"/>
  <c r="DG437" i="75"/>
  <c r="DE437" i="75"/>
  <c r="DC437" i="75"/>
  <c r="DA437" i="75"/>
  <c r="CY437" i="75"/>
  <c r="CW437" i="75"/>
  <c r="CU437" i="75"/>
  <c r="CS437" i="75"/>
  <c r="CQ437" i="75"/>
  <c r="CO437" i="75"/>
  <c r="CM437" i="75"/>
  <c r="CK437" i="75"/>
  <c r="CI437" i="75"/>
  <c r="CG437" i="75"/>
  <c r="CE437" i="75"/>
  <c r="CC437" i="75"/>
  <c r="CA437" i="75"/>
  <c r="BY437" i="75"/>
  <c r="BW437" i="75"/>
  <c r="BU437" i="75"/>
  <c r="BS437" i="75"/>
  <c r="BQ437" i="75"/>
  <c r="BO437" i="75"/>
  <c r="BM437" i="75"/>
  <c r="BK437" i="75"/>
  <c r="BI437" i="75"/>
  <c r="BG437" i="75"/>
  <c r="BE437" i="75"/>
  <c r="DF436" i="75"/>
  <c r="DD436" i="75"/>
  <c r="DB436" i="75"/>
  <c r="CZ436" i="75"/>
  <c r="CX436" i="75"/>
  <c r="CV436" i="75"/>
  <c r="CT436" i="75"/>
  <c r="CR436" i="75"/>
  <c r="CP436" i="75"/>
  <c r="CN436" i="75"/>
  <c r="CL436" i="75"/>
  <c r="CJ436" i="75"/>
  <c r="CH436" i="75"/>
  <c r="CF436" i="75"/>
  <c r="CD436" i="75"/>
  <c r="CB436" i="75"/>
  <c r="BZ436" i="75"/>
  <c r="BX436" i="75"/>
  <c r="BV436" i="75"/>
  <c r="BT436" i="75"/>
  <c r="BR436" i="75"/>
  <c r="BP436" i="75"/>
  <c r="BN436" i="75"/>
  <c r="BL436" i="75"/>
  <c r="BJ436" i="75"/>
  <c r="BH436" i="75"/>
  <c r="BF436" i="75"/>
  <c r="BD436" i="75"/>
  <c r="DG431" i="75"/>
  <c r="DF432" i="75" s="1"/>
  <c r="DG429" i="75"/>
  <c r="DF430" i="75" s="1"/>
  <c r="DE431" i="75" s="1" a="1"/>
  <c r="DE429" i="75"/>
  <c r="DG427" i="75"/>
  <c r="DE427" i="75"/>
  <c r="DD428" i="75" s="1"/>
  <c r="DC427" i="75"/>
  <c r="DG425" i="75"/>
  <c r="DF426" i="75" s="1"/>
  <c r="DE425" i="75"/>
  <c r="DD426" i="75" s="1"/>
  <c r="DC425" i="75"/>
  <c r="DB426" i="75" s="1"/>
  <c r="DA425" i="75"/>
  <c r="DG423" i="75"/>
  <c r="DF424" i="75" s="1"/>
  <c r="DE423" i="75"/>
  <c r="DC423" i="75"/>
  <c r="DB424" i="75" s="1"/>
  <c r="DA423" i="75"/>
  <c r="CY423" i="75"/>
  <c r="DG421" i="75"/>
  <c r="DE421" i="75"/>
  <c r="DD422" i="75" s="1"/>
  <c r="DC421" i="75"/>
  <c r="DA421" i="75"/>
  <c r="CY421" i="75"/>
  <c r="CX422" i="75" s="1"/>
  <c r="CW421" i="75"/>
  <c r="DG419" i="75"/>
  <c r="DE419" i="75"/>
  <c r="DD420" i="75" s="1"/>
  <c r="DC419" i="75"/>
  <c r="DA419" i="75"/>
  <c r="CZ420" i="75" s="1"/>
  <c r="CY419" i="75"/>
  <c r="CX420" i="75" s="1"/>
  <c r="CW419" i="75"/>
  <c r="CV420" i="75" s="1"/>
  <c r="CU419" i="75"/>
  <c r="DG417" i="75"/>
  <c r="DE417" i="75"/>
  <c r="DC417" i="75"/>
  <c r="DB418" i="75" s="1"/>
  <c r="DA417" i="75"/>
  <c r="CZ418" i="75" s="1"/>
  <c r="CY417" i="75"/>
  <c r="CX418" i="75" s="1"/>
  <c r="CW417" i="75"/>
  <c r="CV418" i="75" s="1"/>
  <c r="CU417" i="75"/>
  <c r="CT418" i="75" s="1"/>
  <c r="CS417" i="75"/>
  <c r="DG415" i="75"/>
  <c r="DF416" i="75" s="1"/>
  <c r="DE415" i="75"/>
  <c r="DD416" i="75" s="1"/>
  <c r="DC415" i="75"/>
  <c r="DB416" i="75" s="1"/>
  <c r="DA415" i="75"/>
  <c r="CY415" i="75"/>
  <c r="CX416" i="75" s="1"/>
  <c r="CW415" i="75"/>
  <c r="CV416" i="75" s="1"/>
  <c r="CU415" i="75"/>
  <c r="CT416" i="75" s="1"/>
  <c r="CS415" i="75"/>
  <c r="CQ415" i="75"/>
  <c r="DF414" i="75"/>
  <c r="DD414" i="75"/>
  <c r="DB414" i="75"/>
  <c r="CZ414" i="75"/>
  <c r="CX414" i="75"/>
  <c r="CV414" i="75"/>
  <c r="CT414" i="75"/>
  <c r="CR414" i="75"/>
  <c r="CP414" i="75"/>
  <c r="DG413" i="75"/>
  <c r="DE413" i="75"/>
  <c r="DC413" i="75"/>
  <c r="DA413" i="75"/>
  <c r="CY413" i="75"/>
  <c r="CW413" i="75"/>
  <c r="CU413" i="75"/>
  <c r="CS413" i="75"/>
  <c r="CQ413" i="75"/>
  <c r="CO413" i="75"/>
  <c r="DF412" i="75"/>
  <c r="DD412" i="75"/>
  <c r="DB412" i="75"/>
  <c r="CZ412" i="75"/>
  <c r="CX412" i="75"/>
  <c r="CV412" i="75"/>
  <c r="CT412" i="75"/>
  <c r="CR412" i="75"/>
  <c r="CP412" i="75"/>
  <c r="CN412" i="75"/>
  <c r="DG411" i="75"/>
  <c r="DE411" i="75"/>
  <c r="DC411" i="75"/>
  <c r="DA411" i="75"/>
  <c r="CY411" i="75"/>
  <c r="CW411" i="75"/>
  <c r="CU411" i="75"/>
  <c r="CS411" i="75"/>
  <c r="CQ411" i="75"/>
  <c r="CO411" i="75"/>
  <c r="CM411" i="75"/>
  <c r="DF410" i="75"/>
  <c r="DD410" i="75"/>
  <c r="DB410" i="75"/>
  <c r="CZ410" i="75"/>
  <c r="CX410" i="75"/>
  <c r="CV410" i="75"/>
  <c r="CT410" i="75"/>
  <c r="CR410" i="75"/>
  <c r="CP410" i="75"/>
  <c r="CN410" i="75"/>
  <c r="CL410" i="75"/>
  <c r="DG409" i="75"/>
  <c r="DE409" i="75"/>
  <c r="DC409" i="75"/>
  <c r="DA409" i="75"/>
  <c r="CY409" i="75"/>
  <c r="CW409" i="75"/>
  <c r="CU409" i="75"/>
  <c r="CS409" i="75"/>
  <c r="CQ409" i="75"/>
  <c r="CO409" i="75"/>
  <c r="CM409" i="75"/>
  <c r="CK409" i="75"/>
  <c r="DF408" i="75"/>
  <c r="DD408" i="75"/>
  <c r="DB408" i="75"/>
  <c r="CZ408" i="75"/>
  <c r="CX408" i="75"/>
  <c r="CV408" i="75"/>
  <c r="CT408" i="75"/>
  <c r="CR408" i="75"/>
  <c r="CP408" i="75"/>
  <c r="CN408" i="75"/>
  <c r="CL408" i="75"/>
  <c r="CJ408" i="75"/>
  <c r="DG407" i="75"/>
  <c r="DE407" i="75"/>
  <c r="DC407" i="75"/>
  <c r="DA407" i="75"/>
  <c r="CY407" i="75"/>
  <c r="CW407" i="75"/>
  <c r="CU407" i="75"/>
  <c r="CS407" i="75"/>
  <c r="CQ407" i="75"/>
  <c r="CO407" i="75"/>
  <c r="CM407" i="75"/>
  <c r="CK407" i="75"/>
  <c r="CI407" i="75"/>
  <c r="DF406" i="75"/>
  <c r="DD406" i="75"/>
  <c r="DB406" i="75"/>
  <c r="CZ406" i="75"/>
  <c r="CX406" i="75"/>
  <c r="CV406" i="75"/>
  <c r="CT406" i="75"/>
  <c r="CR406" i="75"/>
  <c r="CP406" i="75"/>
  <c r="CN406" i="75"/>
  <c r="CL406" i="75"/>
  <c r="CJ406" i="75"/>
  <c r="CH406" i="75"/>
  <c r="DG405" i="75"/>
  <c r="DE405" i="75"/>
  <c r="DC405" i="75"/>
  <c r="DA405" i="75"/>
  <c r="CY405" i="75"/>
  <c r="CW405" i="75"/>
  <c r="CU405" i="75"/>
  <c r="CS405" i="75"/>
  <c r="CQ405" i="75"/>
  <c r="CO405" i="75"/>
  <c r="CM405" i="75"/>
  <c r="CK405" i="75"/>
  <c r="CI405" i="75"/>
  <c r="CG405" i="75"/>
  <c r="DF404" i="75"/>
  <c r="DD404" i="75"/>
  <c r="DB404" i="75"/>
  <c r="CZ404" i="75"/>
  <c r="CX404" i="75"/>
  <c r="CV404" i="75"/>
  <c r="CT404" i="75"/>
  <c r="CR404" i="75"/>
  <c r="CP404" i="75"/>
  <c r="CN404" i="75"/>
  <c r="CL404" i="75"/>
  <c r="CJ404" i="75"/>
  <c r="CH404" i="75"/>
  <c r="CF404" i="75"/>
  <c r="DG403" i="75"/>
  <c r="DE403" i="75"/>
  <c r="DC403" i="75"/>
  <c r="DA403" i="75"/>
  <c r="CY403" i="75"/>
  <c r="CW403" i="75"/>
  <c r="CU403" i="75"/>
  <c r="CS403" i="75"/>
  <c r="CQ403" i="75"/>
  <c r="CO403" i="75"/>
  <c r="CM403" i="75"/>
  <c r="CK403" i="75"/>
  <c r="CI403" i="75"/>
  <c r="CG403" i="75"/>
  <c r="CE403" i="75"/>
  <c r="DF402" i="75"/>
  <c r="DD402" i="75"/>
  <c r="DB402" i="75"/>
  <c r="CZ402" i="75"/>
  <c r="CX402" i="75"/>
  <c r="CV402" i="75"/>
  <c r="CT402" i="75"/>
  <c r="CR402" i="75"/>
  <c r="CP402" i="75"/>
  <c r="CN402" i="75"/>
  <c r="CL402" i="75"/>
  <c r="CJ402" i="75"/>
  <c r="CH402" i="75"/>
  <c r="CF402" i="75"/>
  <c r="CD402" i="75"/>
  <c r="DG401" i="75"/>
  <c r="DE401" i="75"/>
  <c r="DC401" i="75"/>
  <c r="DA401" i="75"/>
  <c r="CY401" i="75"/>
  <c r="CW401" i="75"/>
  <c r="CU401" i="75"/>
  <c r="CS401" i="75"/>
  <c r="CQ401" i="75"/>
  <c r="CO401" i="75"/>
  <c r="CM401" i="75"/>
  <c r="CK401" i="75"/>
  <c r="CI401" i="75"/>
  <c r="CG401" i="75"/>
  <c r="CE401" i="75"/>
  <c r="CC401" i="75"/>
  <c r="DF400" i="75"/>
  <c r="DD400" i="75"/>
  <c r="DB400" i="75"/>
  <c r="CZ400" i="75"/>
  <c r="CX400" i="75"/>
  <c r="CV400" i="75"/>
  <c r="CT400" i="75"/>
  <c r="CR400" i="75"/>
  <c r="CP400" i="75"/>
  <c r="CN400" i="75"/>
  <c r="CL400" i="75"/>
  <c r="CJ400" i="75"/>
  <c r="CH400" i="75"/>
  <c r="CF400" i="75"/>
  <c r="CD400" i="75"/>
  <c r="CB400" i="75"/>
  <c r="DG399" i="75"/>
  <c r="DE399" i="75"/>
  <c r="DC399" i="75"/>
  <c r="DA399" i="75"/>
  <c r="CY399" i="75"/>
  <c r="CW399" i="75"/>
  <c r="CU399" i="75"/>
  <c r="CS399" i="75"/>
  <c r="CQ399" i="75"/>
  <c r="CO399" i="75"/>
  <c r="CM399" i="75"/>
  <c r="CK399" i="75"/>
  <c r="CI399" i="75"/>
  <c r="CG399" i="75"/>
  <c r="CE399" i="75"/>
  <c r="CC399" i="75"/>
  <c r="CA399" i="75"/>
  <c r="DF398" i="75"/>
  <c r="DD398" i="75"/>
  <c r="DB398" i="75"/>
  <c r="CZ398" i="75"/>
  <c r="CX398" i="75"/>
  <c r="CV398" i="75"/>
  <c r="CT398" i="75"/>
  <c r="CR398" i="75"/>
  <c r="CP398" i="75"/>
  <c r="CN398" i="75"/>
  <c r="CL398" i="75"/>
  <c r="CJ398" i="75"/>
  <c r="CH398" i="75"/>
  <c r="CF398" i="75"/>
  <c r="CD398" i="75"/>
  <c r="CB398" i="75"/>
  <c r="BZ398" i="75"/>
  <c r="DG397" i="75"/>
  <c r="DE397" i="75"/>
  <c r="DC397" i="75"/>
  <c r="DA397" i="75"/>
  <c r="CY397" i="75"/>
  <c r="CW397" i="75"/>
  <c r="CU397" i="75"/>
  <c r="CS397" i="75"/>
  <c r="CQ397" i="75"/>
  <c r="CO397" i="75"/>
  <c r="CM397" i="75"/>
  <c r="CK397" i="75"/>
  <c r="CI397" i="75"/>
  <c r="CG397" i="75"/>
  <c r="CE397" i="75"/>
  <c r="CC397" i="75"/>
  <c r="CA397" i="75"/>
  <c r="BY397" i="75"/>
  <c r="DF396" i="75"/>
  <c r="DD396" i="75"/>
  <c r="DB396" i="75"/>
  <c r="CZ396" i="75"/>
  <c r="CX396" i="75"/>
  <c r="CV396" i="75"/>
  <c r="CT396" i="75"/>
  <c r="CR396" i="75"/>
  <c r="CP396" i="75"/>
  <c r="CN396" i="75"/>
  <c r="CL396" i="75"/>
  <c r="CJ396" i="75"/>
  <c r="CH396" i="75"/>
  <c r="CF396" i="75"/>
  <c r="CD396" i="75"/>
  <c r="CB396" i="75"/>
  <c r="BZ396" i="75"/>
  <c r="BX396" i="75"/>
  <c r="DG395" i="75"/>
  <c r="DE395" i="75"/>
  <c r="DC395" i="75"/>
  <c r="DA395" i="75"/>
  <c r="CY395" i="75"/>
  <c r="CW395" i="75"/>
  <c r="CU395" i="75"/>
  <c r="CS395" i="75"/>
  <c r="CQ395" i="75"/>
  <c r="CO395" i="75"/>
  <c r="CM395" i="75"/>
  <c r="CK395" i="75"/>
  <c r="CI395" i="75"/>
  <c r="CG395" i="75"/>
  <c r="CE395" i="75"/>
  <c r="CC395" i="75"/>
  <c r="CA395" i="75"/>
  <c r="BY395" i="75"/>
  <c r="BW395" i="75"/>
  <c r="DF394" i="75"/>
  <c r="DD394" i="75"/>
  <c r="DB394" i="75"/>
  <c r="CZ394" i="75"/>
  <c r="CX394" i="75"/>
  <c r="CV394" i="75"/>
  <c r="CT394" i="75"/>
  <c r="CR394" i="75"/>
  <c r="CP394" i="75"/>
  <c r="CN394" i="75"/>
  <c r="CL394" i="75"/>
  <c r="CJ394" i="75"/>
  <c r="CH394" i="75"/>
  <c r="CF394" i="75"/>
  <c r="CD394" i="75"/>
  <c r="CB394" i="75"/>
  <c r="BZ394" i="75"/>
  <c r="BX394" i="75"/>
  <c r="BV394" i="75"/>
  <c r="DG393" i="75"/>
  <c r="DE393" i="75"/>
  <c r="DC393" i="75"/>
  <c r="DA393" i="75"/>
  <c r="CY393" i="75"/>
  <c r="CW393" i="75"/>
  <c r="CU393" i="75"/>
  <c r="CS393" i="75"/>
  <c r="CQ393" i="75"/>
  <c r="CO393" i="75"/>
  <c r="CM393" i="75"/>
  <c r="CK393" i="75"/>
  <c r="CI393" i="75"/>
  <c r="CG393" i="75"/>
  <c r="CE393" i="75"/>
  <c r="CC393" i="75"/>
  <c r="CA393" i="75"/>
  <c r="BY393" i="75"/>
  <c r="BW393" i="75"/>
  <c r="BU393" i="75"/>
  <c r="DF392" i="75"/>
  <c r="DD392" i="75"/>
  <c r="DB392" i="75"/>
  <c r="CZ392" i="75"/>
  <c r="CX392" i="75"/>
  <c r="CV392" i="75"/>
  <c r="CT392" i="75"/>
  <c r="CR392" i="75"/>
  <c r="CP392" i="75"/>
  <c r="CN392" i="75"/>
  <c r="CL392" i="75"/>
  <c r="CJ392" i="75"/>
  <c r="CH392" i="75"/>
  <c r="CF392" i="75"/>
  <c r="CD392" i="75"/>
  <c r="CB392" i="75"/>
  <c r="BZ392" i="75"/>
  <c r="BX392" i="75"/>
  <c r="BV392" i="75"/>
  <c r="BT392" i="75"/>
  <c r="DG391" i="75"/>
  <c r="DE391" i="75"/>
  <c r="DC391" i="75"/>
  <c r="DA391" i="75"/>
  <c r="CY391" i="75"/>
  <c r="CW391" i="75"/>
  <c r="CU391" i="75"/>
  <c r="CS391" i="75"/>
  <c r="CQ391" i="75"/>
  <c r="CO391" i="75"/>
  <c r="CM391" i="75"/>
  <c r="CK391" i="75"/>
  <c r="CI391" i="75"/>
  <c r="CG391" i="75"/>
  <c r="CE391" i="75"/>
  <c r="CC391" i="75"/>
  <c r="CA391" i="75"/>
  <c r="BY391" i="75"/>
  <c r="BW391" i="75"/>
  <c r="BU391" i="75"/>
  <c r="BS391" i="75"/>
  <c r="DF390" i="75"/>
  <c r="DD390" i="75"/>
  <c r="DB390" i="75"/>
  <c r="CZ390" i="75"/>
  <c r="CX390" i="75"/>
  <c r="CV390" i="75"/>
  <c r="CT390" i="75"/>
  <c r="CR390" i="75"/>
  <c r="CP390" i="75"/>
  <c r="CN390" i="75"/>
  <c r="CL390" i="75"/>
  <c r="CJ390" i="75"/>
  <c r="CH390" i="75"/>
  <c r="CF390" i="75"/>
  <c r="CD390" i="75"/>
  <c r="CB390" i="75"/>
  <c r="BZ390" i="75"/>
  <c r="BX390" i="75"/>
  <c r="BV390" i="75"/>
  <c r="BT390" i="75"/>
  <c r="BR390" i="75"/>
  <c r="DG389" i="75"/>
  <c r="DE389" i="75"/>
  <c r="DC389" i="75"/>
  <c r="DA389" i="75"/>
  <c r="CY389" i="75"/>
  <c r="CW389" i="75"/>
  <c r="CU389" i="75"/>
  <c r="CS389" i="75"/>
  <c r="CQ389" i="75"/>
  <c r="CO389" i="75"/>
  <c r="CM389" i="75"/>
  <c r="CK389" i="75"/>
  <c r="CI389" i="75"/>
  <c r="CG389" i="75"/>
  <c r="CE389" i="75"/>
  <c r="CC389" i="75"/>
  <c r="CA389" i="75"/>
  <c r="BY389" i="75"/>
  <c r="BW389" i="75"/>
  <c r="BU389" i="75"/>
  <c r="BS389" i="75"/>
  <c r="BQ389" i="75"/>
  <c r="DF388" i="75"/>
  <c r="DD388" i="75"/>
  <c r="DB388" i="75"/>
  <c r="CZ388" i="75"/>
  <c r="CX388" i="75"/>
  <c r="CV388" i="75"/>
  <c r="CT388" i="75"/>
  <c r="CR388" i="75"/>
  <c r="CP388" i="75"/>
  <c r="CN388" i="75"/>
  <c r="CL388" i="75"/>
  <c r="CJ388" i="75"/>
  <c r="CH388" i="75"/>
  <c r="CF388" i="75"/>
  <c r="CD388" i="75"/>
  <c r="CB388" i="75"/>
  <c r="BZ388" i="75"/>
  <c r="BX388" i="75"/>
  <c r="BV388" i="75"/>
  <c r="BT388" i="75"/>
  <c r="BR388" i="75"/>
  <c r="BP388" i="75"/>
  <c r="DG387" i="75"/>
  <c r="DE387" i="75"/>
  <c r="DC387" i="75"/>
  <c r="DA387" i="75"/>
  <c r="CY387" i="75"/>
  <c r="CW387" i="75"/>
  <c r="CU387" i="75"/>
  <c r="CS387" i="75"/>
  <c r="CQ387" i="75"/>
  <c r="CO387" i="75"/>
  <c r="CM387" i="75"/>
  <c r="CK387" i="75"/>
  <c r="CI387" i="75"/>
  <c r="CG387" i="75"/>
  <c r="CE387" i="75"/>
  <c r="CC387" i="75"/>
  <c r="CA387" i="75"/>
  <c r="BY387" i="75"/>
  <c r="BW387" i="75"/>
  <c r="BU387" i="75"/>
  <c r="BS387" i="75"/>
  <c r="BQ387" i="75"/>
  <c r="BO387" i="75"/>
  <c r="DF386" i="75"/>
  <c r="DD386" i="75"/>
  <c r="DB386" i="75"/>
  <c r="CZ386" i="75"/>
  <c r="CX386" i="75"/>
  <c r="CV386" i="75"/>
  <c r="CT386" i="75"/>
  <c r="CR386" i="75"/>
  <c r="CP386" i="75"/>
  <c r="CN386" i="75"/>
  <c r="CL386" i="75"/>
  <c r="CJ386" i="75"/>
  <c r="CH386" i="75"/>
  <c r="CF386" i="75"/>
  <c r="CD386" i="75"/>
  <c r="CB386" i="75"/>
  <c r="BZ386" i="75"/>
  <c r="BX386" i="75"/>
  <c r="BV386" i="75"/>
  <c r="BT386" i="75"/>
  <c r="BR386" i="75"/>
  <c r="BP386" i="75"/>
  <c r="BN386" i="75"/>
  <c r="DG385" i="75"/>
  <c r="DE385" i="75"/>
  <c r="DC385" i="75"/>
  <c r="DA385" i="75"/>
  <c r="CY385" i="75"/>
  <c r="CW385" i="75"/>
  <c r="CU385" i="75"/>
  <c r="CS385" i="75"/>
  <c r="CQ385" i="75"/>
  <c r="CO385" i="75"/>
  <c r="CM385" i="75"/>
  <c r="CK385" i="75"/>
  <c r="CI385" i="75"/>
  <c r="CG385" i="75"/>
  <c r="CE385" i="75"/>
  <c r="CC385" i="75"/>
  <c r="CA385" i="75"/>
  <c r="BY385" i="75"/>
  <c r="BW385" i="75"/>
  <c r="BU385" i="75"/>
  <c r="BS385" i="75"/>
  <c r="BQ385" i="75"/>
  <c r="BO385" i="75"/>
  <c r="BM385" i="75"/>
  <c r="DF384" i="75"/>
  <c r="DD384" i="75"/>
  <c r="DB384" i="75"/>
  <c r="CZ384" i="75"/>
  <c r="CX384" i="75"/>
  <c r="CV384" i="75"/>
  <c r="CT384" i="75"/>
  <c r="CR384" i="75"/>
  <c r="CP384" i="75"/>
  <c r="CN384" i="75"/>
  <c r="CL384" i="75"/>
  <c r="CJ384" i="75"/>
  <c r="CH384" i="75"/>
  <c r="CF384" i="75"/>
  <c r="CD384" i="75"/>
  <c r="CB384" i="75"/>
  <c r="BZ384" i="75"/>
  <c r="BX384" i="75"/>
  <c r="BV384" i="75"/>
  <c r="BT384" i="75"/>
  <c r="BR384" i="75"/>
  <c r="BP384" i="75"/>
  <c r="BN384" i="75"/>
  <c r="BL384" i="75"/>
  <c r="DG383" i="75"/>
  <c r="DE383" i="75"/>
  <c r="DC383" i="75"/>
  <c r="DA383" i="75"/>
  <c r="CY383" i="75"/>
  <c r="CW383" i="75"/>
  <c r="CU383" i="75"/>
  <c r="CS383" i="75"/>
  <c r="CQ383" i="75"/>
  <c r="CO383" i="75"/>
  <c r="CM383" i="75"/>
  <c r="CK383" i="75"/>
  <c r="CI383" i="75"/>
  <c r="CG383" i="75"/>
  <c r="CE383" i="75"/>
  <c r="CC383" i="75"/>
  <c r="CA383" i="75"/>
  <c r="BY383" i="75"/>
  <c r="BW383" i="75"/>
  <c r="BU383" i="75"/>
  <c r="BS383" i="75"/>
  <c r="BQ383" i="75"/>
  <c r="BO383" i="75"/>
  <c r="BM383" i="75"/>
  <c r="BK383" i="75"/>
  <c r="DF382" i="75"/>
  <c r="DD382" i="75"/>
  <c r="DB382" i="75"/>
  <c r="CZ382" i="75"/>
  <c r="CX382" i="75"/>
  <c r="CV382" i="75"/>
  <c r="CT382" i="75"/>
  <c r="CR382" i="75"/>
  <c r="CP382" i="75"/>
  <c r="CN382" i="75"/>
  <c r="CL382" i="75"/>
  <c r="CJ382" i="75"/>
  <c r="CH382" i="75"/>
  <c r="CF382" i="75"/>
  <c r="CD382" i="75"/>
  <c r="CB382" i="75"/>
  <c r="BZ382" i="75"/>
  <c r="BX382" i="75"/>
  <c r="BV382" i="75"/>
  <c r="BT382" i="75"/>
  <c r="BR382" i="75"/>
  <c r="BP382" i="75"/>
  <c r="BN382" i="75"/>
  <c r="BL382" i="75"/>
  <c r="BJ382" i="75"/>
  <c r="DG381" i="75"/>
  <c r="DE381" i="75"/>
  <c r="DC381" i="75"/>
  <c r="DA381" i="75"/>
  <c r="CY381" i="75"/>
  <c r="CW381" i="75"/>
  <c r="CU381" i="75"/>
  <c r="CS381" i="75"/>
  <c r="CQ381" i="75"/>
  <c r="CO381" i="75"/>
  <c r="CM381" i="75"/>
  <c r="CK381" i="75"/>
  <c r="CI381" i="75"/>
  <c r="CG381" i="75"/>
  <c r="CE381" i="75"/>
  <c r="CC381" i="75"/>
  <c r="CA381" i="75"/>
  <c r="BY381" i="75"/>
  <c r="BW381" i="75"/>
  <c r="BU381" i="75"/>
  <c r="BS381" i="75"/>
  <c r="BQ381" i="75"/>
  <c r="BO381" i="75"/>
  <c r="BM381" i="75"/>
  <c r="BK381" i="75"/>
  <c r="BI381" i="75"/>
  <c r="DF380" i="75"/>
  <c r="DD380" i="75"/>
  <c r="DB380" i="75"/>
  <c r="CZ380" i="75"/>
  <c r="CX380" i="75"/>
  <c r="CV380" i="75"/>
  <c r="CT380" i="75"/>
  <c r="CR380" i="75"/>
  <c r="CP380" i="75"/>
  <c r="CN380" i="75"/>
  <c r="CL380" i="75"/>
  <c r="CJ380" i="75"/>
  <c r="CH380" i="75"/>
  <c r="CF380" i="75"/>
  <c r="CD380" i="75"/>
  <c r="CB380" i="75"/>
  <c r="BZ380" i="75"/>
  <c r="BX380" i="75"/>
  <c r="BV380" i="75"/>
  <c r="BT380" i="75"/>
  <c r="BR380" i="75"/>
  <c r="BP380" i="75"/>
  <c r="BN380" i="75"/>
  <c r="BL380" i="75"/>
  <c r="BJ380" i="75"/>
  <c r="BH380" i="75"/>
  <c r="DG379" i="75"/>
  <c r="DE379" i="75"/>
  <c r="DC379" i="75"/>
  <c r="DA379" i="75"/>
  <c r="CY379" i="75"/>
  <c r="CW379" i="75"/>
  <c r="CU379" i="75"/>
  <c r="CS379" i="75"/>
  <c r="CQ379" i="75"/>
  <c r="CO379" i="75"/>
  <c r="CM379" i="75"/>
  <c r="CK379" i="75"/>
  <c r="CI379" i="75"/>
  <c r="CG379" i="75"/>
  <c r="CE379" i="75"/>
  <c r="CC379" i="75"/>
  <c r="CA379" i="75"/>
  <c r="BY379" i="75"/>
  <c r="BW379" i="75"/>
  <c r="BU379" i="75"/>
  <c r="BS379" i="75"/>
  <c r="BQ379" i="75"/>
  <c r="BO379" i="75"/>
  <c r="BM379" i="75"/>
  <c r="BK379" i="75"/>
  <c r="BI379" i="75"/>
  <c r="BG379" i="75"/>
  <c r="DF378" i="75"/>
  <c r="DD378" i="75"/>
  <c r="DB378" i="75"/>
  <c r="CZ378" i="75"/>
  <c r="CX378" i="75"/>
  <c r="CV378" i="75"/>
  <c r="CT378" i="75"/>
  <c r="CR378" i="75"/>
  <c r="CP378" i="75"/>
  <c r="CN378" i="75"/>
  <c r="CL378" i="75"/>
  <c r="CJ378" i="75"/>
  <c r="CH378" i="75"/>
  <c r="CF378" i="75"/>
  <c r="CD378" i="75"/>
  <c r="CB378" i="75"/>
  <c r="BZ378" i="75"/>
  <c r="BX378" i="75"/>
  <c r="BV378" i="75"/>
  <c r="BT378" i="75"/>
  <c r="BR378" i="75"/>
  <c r="BP378" i="75"/>
  <c r="BN378" i="75"/>
  <c r="BL378" i="75"/>
  <c r="BJ378" i="75"/>
  <c r="BH378" i="75"/>
  <c r="BF378" i="75"/>
  <c r="DG377" i="75"/>
  <c r="DE377" i="75"/>
  <c r="DC377" i="75"/>
  <c r="DA377" i="75"/>
  <c r="CY377" i="75"/>
  <c r="CW377" i="75"/>
  <c r="CU377" i="75"/>
  <c r="CS377" i="75"/>
  <c r="CQ377" i="75"/>
  <c r="CO377" i="75"/>
  <c r="CM377" i="75"/>
  <c r="CK377" i="75"/>
  <c r="CI377" i="75"/>
  <c r="CG377" i="75"/>
  <c r="CE377" i="75"/>
  <c r="CC377" i="75"/>
  <c r="CA377" i="75"/>
  <c r="BY377" i="75"/>
  <c r="BW377" i="75"/>
  <c r="BU377" i="75"/>
  <c r="BS377" i="75"/>
  <c r="BQ377" i="75"/>
  <c r="BO377" i="75"/>
  <c r="BM377" i="75"/>
  <c r="BK377" i="75"/>
  <c r="BI377" i="75"/>
  <c r="BG377" i="75"/>
  <c r="BE377" i="75"/>
  <c r="DF376" i="75"/>
  <c r="DD376" i="75"/>
  <c r="DB376" i="75"/>
  <c r="CZ376" i="75"/>
  <c r="CX376" i="75"/>
  <c r="CV376" i="75"/>
  <c r="CT376" i="75"/>
  <c r="CR376" i="75"/>
  <c r="CP376" i="75"/>
  <c r="CN376" i="75"/>
  <c r="CL376" i="75"/>
  <c r="CJ376" i="75"/>
  <c r="CH376" i="75"/>
  <c r="CF376" i="75"/>
  <c r="CD376" i="75"/>
  <c r="CB376" i="75"/>
  <c r="BZ376" i="75"/>
  <c r="BX376" i="75"/>
  <c r="BV376" i="75"/>
  <c r="BT376" i="75"/>
  <c r="BR376" i="75"/>
  <c r="BP376" i="75"/>
  <c r="BN376" i="75"/>
  <c r="BL376" i="75"/>
  <c r="BJ376" i="75"/>
  <c r="BH376" i="75"/>
  <c r="BF376" i="75"/>
  <c r="BD376" i="75"/>
  <c r="DG371" i="75"/>
  <c r="DF372" i="75" s="1"/>
  <c r="DG369" i="75"/>
  <c r="DF370" i="75" s="1"/>
  <c r="DE371" i="75" s="1" a="1"/>
  <c r="DE372" i="75" s="1"/>
  <c r="DE369" i="75"/>
  <c r="DG367" i="75"/>
  <c r="DF368" i="75" s="1"/>
  <c r="DE367" i="75"/>
  <c r="DD368" i="75" s="1"/>
  <c r="DC367" i="75"/>
  <c r="DG365" i="75"/>
  <c r="DF366" i="75" s="1"/>
  <c r="DE365" i="75"/>
  <c r="DC365" i="75"/>
  <c r="DB366" i="75" s="1"/>
  <c r="DA365" i="75"/>
  <c r="DG363" i="75"/>
  <c r="DF364" i="75" s="1"/>
  <c r="DE363" i="75"/>
  <c r="DD364" i="75" s="1"/>
  <c r="DC363" i="75"/>
  <c r="DA363" i="75"/>
  <c r="CZ364" i="75" s="1"/>
  <c r="CY363" i="75"/>
  <c r="DG361" i="75"/>
  <c r="DF362" i="75" s="1"/>
  <c r="DE361" i="75"/>
  <c r="DC361" i="75"/>
  <c r="DB362" i="75" s="1"/>
  <c r="DA361" i="75"/>
  <c r="CY361" i="75"/>
  <c r="CX362" i="75" s="1"/>
  <c r="CW361" i="75"/>
  <c r="DG359" i="75"/>
  <c r="DF360" i="75" s="1"/>
  <c r="DE359" i="75"/>
  <c r="DD360" i="75" s="1"/>
  <c r="DC359" i="75"/>
  <c r="DB360" i="75" s="1"/>
  <c r="DA359" i="75"/>
  <c r="CZ360" i="75" s="1"/>
  <c r="CY359" i="75"/>
  <c r="CW359" i="75"/>
  <c r="CV360" i="75" s="1"/>
  <c r="CU359" i="75"/>
  <c r="DG357" i="75"/>
  <c r="DF358" i="75" s="1"/>
  <c r="DE357" i="75"/>
  <c r="DC357" i="75"/>
  <c r="DA357" i="75"/>
  <c r="CY357" i="75"/>
  <c r="CX358" i="75" s="1"/>
  <c r="CW357" i="75"/>
  <c r="CV358" i="75" s="1"/>
  <c r="CU357" i="75"/>
  <c r="CT358" i="75" s="1"/>
  <c r="CS357" i="75"/>
  <c r="DG355" i="75"/>
  <c r="DF356" i="75" s="1"/>
  <c r="DE355" i="75"/>
  <c r="DD356" i="75" s="1"/>
  <c r="DC355" i="75"/>
  <c r="DB356" i="75" s="1"/>
  <c r="DA355" i="75"/>
  <c r="CY355" i="75"/>
  <c r="CX356" i="75" s="1"/>
  <c r="CW355" i="75"/>
  <c r="CU355" i="75"/>
  <c r="CT356" i="75" s="1"/>
  <c r="CS355" i="75"/>
  <c r="CR356" i="75" s="1"/>
  <c r="CQ355" i="75"/>
  <c r="DF354" i="75"/>
  <c r="DD354" i="75"/>
  <c r="DB354" i="75"/>
  <c r="CZ354" i="75"/>
  <c r="CX354" i="75"/>
  <c r="CV354" i="75"/>
  <c r="CT354" i="75"/>
  <c r="CR354" i="75"/>
  <c r="CP354" i="75"/>
  <c r="DG353" i="75"/>
  <c r="DE353" i="75"/>
  <c r="DC353" i="75"/>
  <c r="DA353" i="75"/>
  <c r="CY353" i="75"/>
  <c r="CW353" i="75"/>
  <c r="CU353" i="75"/>
  <c r="CS353" i="75"/>
  <c r="CQ353" i="75"/>
  <c r="CO353" i="75"/>
  <c r="DF352" i="75"/>
  <c r="DD352" i="75"/>
  <c r="DB352" i="75"/>
  <c r="CZ352" i="75"/>
  <c r="CX352" i="75"/>
  <c r="CV352" i="75"/>
  <c r="CT352" i="75"/>
  <c r="CR352" i="75"/>
  <c r="CP352" i="75"/>
  <c r="CN352" i="75"/>
  <c r="DG351" i="75"/>
  <c r="DE351" i="75"/>
  <c r="DC351" i="75"/>
  <c r="DA351" i="75"/>
  <c r="CY351" i="75"/>
  <c r="CW351" i="75"/>
  <c r="CU351" i="75"/>
  <c r="CS351" i="75"/>
  <c r="CQ351" i="75"/>
  <c r="CO351" i="75"/>
  <c r="CM351" i="75"/>
  <c r="DF350" i="75"/>
  <c r="DD350" i="75"/>
  <c r="DB350" i="75"/>
  <c r="CZ350" i="75"/>
  <c r="CX350" i="75"/>
  <c r="CV350" i="75"/>
  <c r="CT350" i="75"/>
  <c r="CR350" i="75"/>
  <c r="CP350" i="75"/>
  <c r="CN350" i="75"/>
  <c r="CL350" i="75"/>
  <c r="DG349" i="75"/>
  <c r="DE349" i="75"/>
  <c r="DC349" i="75"/>
  <c r="DA349" i="75"/>
  <c r="CY349" i="75"/>
  <c r="CW349" i="75"/>
  <c r="CU349" i="75"/>
  <c r="CS349" i="75"/>
  <c r="CQ349" i="75"/>
  <c r="CO349" i="75"/>
  <c r="CM349" i="75"/>
  <c r="CK349" i="75"/>
  <c r="DF348" i="75"/>
  <c r="DD348" i="75"/>
  <c r="DB348" i="75"/>
  <c r="CZ348" i="75"/>
  <c r="CX348" i="75"/>
  <c r="CV348" i="75"/>
  <c r="CT348" i="75"/>
  <c r="CR348" i="75"/>
  <c r="CP348" i="75"/>
  <c r="CN348" i="75"/>
  <c r="CL348" i="75"/>
  <c r="CJ348" i="75"/>
  <c r="DG347" i="75"/>
  <c r="DE347" i="75"/>
  <c r="DC347" i="75"/>
  <c r="DA347" i="75"/>
  <c r="CY347" i="75"/>
  <c r="CW347" i="75"/>
  <c r="CU347" i="75"/>
  <c r="CS347" i="75"/>
  <c r="CQ347" i="75"/>
  <c r="CO347" i="75"/>
  <c r="CM347" i="75"/>
  <c r="CK347" i="75"/>
  <c r="CI347" i="75"/>
  <c r="DF346" i="75"/>
  <c r="DD346" i="75"/>
  <c r="DB346" i="75"/>
  <c r="CZ346" i="75"/>
  <c r="CX346" i="75"/>
  <c r="CV346" i="75"/>
  <c r="CT346" i="75"/>
  <c r="CR346" i="75"/>
  <c r="CP346" i="75"/>
  <c r="CN346" i="75"/>
  <c r="CL346" i="75"/>
  <c r="CJ346" i="75"/>
  <c r="CH346" i="75"/>
  <c r="DG345" i="75"/>
  <c r="DE345" i="75"/>
  <c r="DC345" i="75"/>
  <c r="DA345" i="75"/>
  <c r="CY345" i="75"/>
  <c r="CW345" i="75"/>
  <c r="CU345" i="75"/>
  <c r="CS345" i="75"/>
  <c r="CQ345" i="75"/>
  <c r="CO345" i="75"/>
  <c r="CM345" i="75"/>
  <c r="CK345" i="75"/>
  <c r="CI345" i="75"/>
  <c r="CG345" i="75"/>
  <c r="DF344" i="75"/>
  <c r="DD344" i="75"/>
  <c r="DB344" i="75"/>
  <c r="CZ344" i="75"/>
  <c r="CX344" i="75"/>
  <c r="CV344" i="75"/>
  <c r="CT344" i="75"/>
  <c r="CR344" i="75"/>
  <c r="CP344" i="75"/>
  <c r="CN344" i="75"/>
  <c r="CL344" i="75"/>
  <c r="CJ344" i="75"/>
  <c r="CH344" i="75"/>
  <c r="CF344" i="75"/>
  <c r="DG343" i="75"/>
  <c r="DE343" i="75"/>
  <c r="DC343" i="75"/>
  <c r="DA343" i="75"/>
  <c r="CY343" i="75"/>
  <c r="CW343" i="75"/>
  <c r="CU343" i="75"/>
  <c r="CS343" i="75"/>
  <c r="CQ343" i="75"/>
  <c r="CO343" i="75"/>
  <c r="CM343" i="75"/>
  <c r="CK343" i="75"/>
  <c r="CI343" i="75"/>
  <c r="CG343" i="75"/>
  <c r="CE343" i="75"/>
  <c r="DF342" i="75"/>
  <c r="DD342" i="75"/>
  <c r="DB342" i="75"/>
  <c r="CZ342" i="75"/>
  <c r="CX342" i="75"/>
  <c r="CV342" i="75"/>
  <c r="CT342" i="75"/>
  <c r="CR342" i="75"/>
  <c r="CP342" i="75"/>
  <c r="CN342" i="75"/>
  <c r="CL342" i="75"/>
  <c r="CJ342" i="75"/>
  <c r="CH342" i="75"/>
  <c r="CF342" i="75"/>
  <c r="CD342" i="75"/>
  <c r="DG341" i="75"/>
  <c r="DE341" i="75"/>
  <c r="DC341" i="75"/>
  <c r="DA341" i="75"/>
  <c r="CY341" i="75"/>
  <c r="CW341" i="75"/>
  <c r="CU341" i="75"/>
  <c r="CS341" i="75"/>
  <c r="CQ341" i="75"/>
  <c r="CO341" i="75"/>
  <c r="CM341" i="75"/>
  <c r="CK341" i="75"/>
  <c r="CI341" i="75"/>
  <c r="CG341" i="75"/>
  <c r="CE341" i="75"/>
  <c r="CC341" i="75"/>
  <c r="DF340" i="75"/>
  <c r="DD340" i="75"/>
  <c r="DB340" i="75"/>
  <c r="CZ340" i="75"/>
  <c r="CX340" i="75"/>
  <c r="CV340" i="75"/>
  <c r="CT340" i="75"/>
  <c r="CR340" i="75"/>
  <c r="CP340" i="75"/>
  <c r="CN340" i="75"/>
  <c r="CL340" i="75"/>
  <c r="CJ340" i="75"/>
  <c r="CH340" i="75"/>
  <c r="CF340" i="75"/>
  <c r="CD340" i="75"/>
  <c r="CB340" i="75"/>
  <c r="DG339" i="75"/>
  <c r="DE339" i="75"/>
  <c r="DC339" i="75"/>
  <c r="DA339" i="75"/>
  <c r="CY339" i="75"/>
  <c r="CW339" i="75"/>
  <c r="CU339" i="75"/>
  <c r="CS339" i="75"/>
  <c r="CQ339" i="75"/>
  <c r="CO339" i="75"/>
  <c r="CM339" i="75"/>
  <c r="CK339" i="75"/>
  <c r="CI339" i="75"/>
  <c r="CG339" i="75"/>
  <c r="CE339" i="75"/>
  <c r="CC339" i="75"/>
  <c r="CA339" i="75"/>
  <c r="DF338" i="75"/>
  <c r="DD338" i="75"/>
  <c r="DB338" i="75"/>
  <c r="CZ338" i="75"/>
  <c r="CX338" i="75"/>
  <c r="CV338" i="75"/>
  <c r="CT338" i="75"/>
  <c r="CR338" i="75"/>
  <c r="CP338" i="75"/>
  <c r="CN338" i="75"/>
  <c r="CL338" i="75"/>
  <c r="CJ338" i="75"/>
  <c r="CH338" i="75"/>
  <c r="CF338" i="75"/>
  <c r="CD338" i="75"/>
  <c r="CB338" i="75"/>
  <c r="BZ338" i="75"/>
  <c r="DG337" i="75"/>
  <c r="DE337" i="75"/>
  <c r="DC337" i="75"/>
  <c r="DA337" i="75"/>
  <c r="CY337" i="75"/>
  <c r="CW337" i="75"/>
  <c r="CU337" i="75"/>
  <c r="CS337" i="75"/>
  <c r="CQ337" i="75"/>
  <c r="CO337" i="75"/>
  <c r="CM337" i="75"/>
  <c r="CK337" i="75"/>
  <c r="CI337" i="75"/>
  <c r="CG337" i="75"/>
  <c r="CE337" i="75"/>
  <c r="CC337" i="75"/>
  <c r="CA337" i="75"/>
  <c r="BY337" i="75"/>
  <c r="DF336" i="75"/>
  <c r="DD336" i="75"/>
  <c r="DB336" i="75"/>
  <c r="CZ336" i="75"/>
  <c r="CX336" i="75"/>
  <c r="CV336" i="75"/>
  <c r="CT336" i="75"/>
  <c r="CR336" i="75"/>
  <c r="CP336" i="75"/>
  <c r="CN336" i="75"/>
  <c r="CL336" i="75"/>
  <c r="CJ336" i="75"/>
  <c r="CH336" i="75"/>
  <c r="CF336" i="75"/>
  <c r="CD336" i="75"/>
  <c r="CB336" i="75"/>
  <c r="BZ336" i="75"/>
  <c r="BX336" i="75"/>
  <c r="DG335" i="75"/>
  <c r="DE335" i="75"/>
  <c r="DC335" i="75"/>
  <c r="DA335" i="75"/>
  <c r="CY335" i="75"/>
  <c r="CW335" i="75"/>
  <c r="CU335" i="75"/>
  <c r="CS335" i="75"/>
  <c r="CQ335" i="75"/>
  <c r="CO335" i="75"/>
  <c r="CM335" i="75"/>
  <c r="CK335" i="75"/>
  <c r="CI335" i="75"/>
  <c r="CG335" i="75"/>
  <c r="CE335" i="75"/>
  <c r="CC335" i="75"/>
  <c r="CA335" i="75"/>
  <c r="BY335" i="75"/>
  <c r="BW335" i="75"/>
  <c r="DF334" i="75"/>
  <c r="DD334" i="75"/>
  <c r="DB334" i="75"/>
  <c r="CZ334" i="75"/>
  <c r="CX334" i="75"/>
  <c r="CV334" i="75"/>
  <c r="CT334" i="75"/>
  <c r="CR334" i="75"/>
  <c r="CP334" i="75"/>
  <c r="CN334" i="75"/>
  <c r="CL334" i="75"/>
  <c r="CJ334" i="75"/>
  <c r="CH334" i="75"/>
  <c r="CF334" i="75"/>
  <c r="CD334" i="75"/>
  <c r="CB334" i="75"/>
  <c r="BZ334" i="75"/>
  <c r="BX334" i="75"/>
  <c r="BV334" i="75"/>
  <c r="DG333" i="75"/>
  <c r="DE333" i="75"/>
  <c r="DC333" i="75"/>
  <c r="DA333" i="75"/>
  <c r="CY333" i="75"/>
  <c r="CW333" i="75"/>
  <c r="CU333" i="75"/>
  <c r="CS333" i="75"/>
  <c r="CQ333" i="75"/>
  <c r="CO333" i="75"/>
  <c r="CM333" i="75"/>
  <c r="CK333" i="75"/>
  <c r="CI333" i="75"/>
  <c r="CG333" i="75"/>
  <c r="CE333" i="75"/>
  <c r="CC333" i="75"/>
  <c r="CA333" i="75"/>
  <c r="BY333" i="75"/>
  <c r="BW333" i="75"/>
  <c r="BU333" i="75"/>
  <c r="DF332" i="75"/>
  <c r="DD332" i="75"/>
  <c r="DB332" i="75"/>
  <c r="CZ332" i="75"/>
  <c r="CX332" i="75"/>
  <c r="CV332" i="75"/>
  <c r="CT332" i="75"/>
  <c r="CR332" i="75"/>
  <c r="CP332" i="75"/>
  <c r="CN332" i="75"/>
  <c r="CL332" i="75"/>
  <c r="CJ332" i="75"/>
  <c r="CH332" i="75"/>
  <c r="CF332" i="75"/>
  <c r="CD332" i="75"/>
  <c r="CB332" i="75"/>
  <c r="BZ332" i="75"/>
  <c r="BX332" i="75"/>
  <c r="BV332" i="75"/>
  <c r="BT332" i="75"/>
  <c r="DG331" i="75"/>
  <c r="DE331" i="75"/>
  <c r="DC331" i="75"/>
  <c r="DA331" i="75"/>
  <c r="CY331" i="75"/>
  <c r="CW331" i="75"/>
  <c r="CU331" i="75"/>
  <c r="CS331" i="75"/>
  <c r="CQ331" i="75"/>
  <c r="CO331" i="75"/>
  <c r="CM331" i="75"/>
  <c r="CK331" i="75"/>
  <c r="CI331" i="75"/>
  <c r="CG331" i="75"/>
  <c r="CE331" i="75"/>
  <c r="CC331" i="75"/>
  <c r="CA331" i="75"/>
  <c r="BY331" i="75"/>
  <c r="BW331" i="75"/>
  <c r="BU331" i="75"/>
  <c r="BS331" i="75"/>
  <c r="DF330" i="75"/>
  <c r="DD330" i="75"/>
  <c r="DB330" i="75"/>
  <c r="CZ330" i="75"/>
  <c r="CX330" i="75"/>
  <c r="CV330" i="75"/>
  <c r="CT330" i="75"/>
  <c r="CR330" i="75"/>
  <c r="CP330" i="75"/>
  <c r="CN330" i="75"/>
  <c r="CL330" i="75"/>
  <c r="CJ330" i="75"/>
  <c r="CH330" i="75"/>
  <c r="CF330" i="75"/>
  <c r="CD330" i="75"/>
  <c r="CB330" i="75"/>
  <c r="BZ330" i="75"/>
  <c r="BX330" i="75"/>
  <c r="BV330" i="75"/>
  <c r="BT330" i="75"/>
  <c r="BR330" i="75"/>
  <c r="DG329" i="75"/>
  <c r="DE329" i="75"/>
  <c r="DC329" i="75"/>
  <c r="DA329" i="75"/>
  <c r="CY329" i="75"/>
  <c r="CW329" i="75"/>
  <c r="CU329" i="75"/>
  <c r="CS329" i="75"/>
  <c r="CQ329" i="75"/>
  <c r="CO329" i="75"/>
  <c r="CM329" i="75"/>
  <c r="CK329" i="75"/>
  <c r="CI329" i="75"/>
  <c r="CG329" i="75"/>
  <c r="CE329" i="75"/>
  <c r="CC329" i="75"/>
  <c r="CA329" i="75"/>
  <c r="BY329" i="75"/>
  <c r="BW329" i="75"/>
  <c r="BU329" i="75"/>
  <c r="BS329" i="75"/>
  <c r="BQ329" i="75"/>
  <c r="DF328" i="75"/>
  <c r="DD328" i="75"/>
  <c r="DB328" i="75"/>
  <c r="CZ328" i="75"/>
  <c r="CX328" i="75"/>
  <c r="CV328" i="75"/>
  <c r="CT328" i="75"/>
  <c r="CR328" i="75"/>
  <c r="CP328" i="75"/>
  <c r="CN328" i="75"/>
  <c r="CL328" i="75"/>
  <c r="CJ328" i="75"/>
  <c r="CH328" i="75"/>
  <c r="CF328" i="75"/>
  <c r="CD328" i="75"/>
  <c r="CB328" i="75"/>
  <c r="BZ328" i="75"/>
  <c r="BX328" i="75"/>
  <c r="BV328" i="75"/>
  <c r="BT328" i="75"/>
  <c r="BR328" i="75"/>
  <c r="BP328" i="75"/>
  <c r="DG327" i="75"/>
  <c r="DE327" i="75"/>
  <c r="DC327" i="75"/>
  <c r="DA327" i="75"/>
  <c r="CY327" i="75"/>
  <c r="CW327" i="75"/>
  <c r="CU327" i="75"/>
  <c r="CS327" i="75"/>
  <c r="CQ327" i="75"/>
  <c r="CO327" i="75"/>
  <c r="CM327" i="75"/>
  <c r="CK327" i="75"/>
  <c r="CI327" i="75"/>
  <c r="CG327" i="75"/>
  <c r="CE327" i="75"/>
  <c r="CC327" i="75"/>
  <c r="CA327" i="75"/>
  <c r="BY327" i="75"/>
  <c r="BW327" i="75"/>
  <c r="BU327" i="75"/>
  <c r="BS327" i="75"/>
  <c r="BQ327" i="75"/>
  <c r="BO327" i="75"/>
  <c r="DF326" i="75"/>
  <c r="DD326" i="75"/>
  <c r="DB326" i="75"/>
  <c r="CZ326" i="75"/>
  <c r="CX326" i="75"/>
  <c r="CV326" i="75"/>
  <c r="CT326" i="75"/>
  <c r="CR326" i="75"/>
  <c r="CP326" i="75"/>
  <c r="CN326" i="75"/>
  <c r="CL326" i="75"/>
  <c r="CJ326" i="75"/>
  <c r="CH326" i="75"/>
  <c r="CF326" i="75"/>
  <c r="CD326" i="75"/>
  <c r="CB326" i="75"/>
  <c r="BZ326" i="75"/>
  <c r="BX326" i="75"/>
  <c r="BV326" i="75"/>
  <c r="BT326" i="75"/>
  <c r="BR326" i="75"/>
  <c r="BP326" i="75"/>
  <c r="BN326" i="75"/>
  <c r="DG325" i="75"/>
  <c r="DE325" i="75"/>
  <c r="DC325" i="75"/>
  <c r="DA325" i="75"/>
  <c r="CY325" i="75"/>
  <c r="CW325" i="75"/>
  <c r="CU325" i="75"/>
  <c r="CS325" i="75"/>
  <c r="CQ325" i="75"/>
  <c r="CO325" i="75"/>
  <c r="CM325" i="75"/>
  <c r="CK325" i="75"/>
  <c r="CI325" i="75"/>
  <c r="CG325" i="75"/>
  <c r="CE325" i="75"/>
  <c r="CC325" i="75"/>
  <c r="CA325" i="75"/>
  <c r="BY325" i="75"/>
  <c r="BW325" i="75"/>
  <c r="BU325" i="75"/>
  <c r="BS325" i="75"/>
  <c r="BQ325" i="75"/>
  <c r="BO325" i="75"/>
  <c r="BM325" i="75"/>
  <c r="DF324" i="75"/>
  <c r="DD324" i="75"/>
  <c r="DB324" i="75"/>
  <c r="CZ324" i="75"/>
  <c r="CX324" i="75"/>
  <c r="CV324" i="75"/>
  <c r="CT324" i="75"/>
  <c r="CR324" i="75"/>
  <c r="CP324" i="75"/>
  <c r="CN324" i="75"/>
  <c r="CL324" i="75"/>
  <c r="CJ324" i="75"/>
  <c r="CH324" i="75"/>
  <c r="CF324" i="75"/>
  <c r="CD324" i="75"/>
  <c r="CB324" i="75"/>
  <c r="BZ324" i="75"/>
  <c r="BX324" i="75"/>
  <c r="BV324" i="75"/>
  <c r="BT324" i="75"/>
  <c r="BR324" i="75"/>
  <c r="BP324" i="75"/>
  <c r="BN324" i="75"/>
  <c r="BL324" i="75"/>
  <c r="DG323" i="75"/>
  <c r="DE323" i="75"/>
  <c r="DC323" i="75"/>
  <c r="DA323" i="75"/>
  <c r="CY323" i="75"/>
  <c r="CW323" i="75"/>
  <c r="CU323" i="75"/>
  <c r="CS323" i="75"/>
  <c r="CQ323" i="75"/>
  <c r="CO323" i="75"/>
  <c r="CM323" i="75"/>
  <c r="CK323" i="75"/>
  <c r="CI323" i="75"/>
  <c r="CG323" i="75"/>
  <c r="CE323" i="75"/>
  <c r="CC323" i="75"/>
  <c r="CA323" i="75"/>
  <c r="BY323" i="75"/>
  <c r="BW323" i="75"/>
  <c r="BU323" i="75"/>
  <c r="BS323" i="75"/>
  <c r="BQ323" i="75"/>
  <c r="BO323" i="75"/>
  <c r="BM323" i="75"/>
  <c r="BK323" i="75"/>
  <c r="DF322" i="75"/>
  <c r="DD322" i="75"/>
  <c r="DB322" i="75"/>
  <c r="CZ322" i="75"/>
  <c r="CX322" i="75"/>
  <c r="CV322" i="75"/>
  <c r="CT322" i="75"/>
  <c r="CR322" i="75"/>
  <c r="CP322" i="75"/>
  <c r="CN322" i="75"/>
  <c r="CL322" i="75"/>
  <c r="CJ322" i="75"/>
  <c r="CH322" i="75"/>
  <c r="CF322" i="75"/>
  <c r="CD322" i="75"/>
  <c r="CB322" i="75"/>
  <c r="BZ322" i="75"/>
  <c r="BX322" i="75"/>
  <c r="BV322" i="75"/>
  <c r="BT322" i="75"/>
  <c r="BR322" i="75"/>
  <c r="BP322" i="75"/>
  <c r="BN322" i="75"/>
  <c r="BL322" i="75"/>
  <c r="BJ322" i="75"/>
  <c r="DG321" i="75"/>
  <c r="DE321" i="75"/>
  <c r="DC321" i="75"/>
  <c r="DA321" i="75"/>
  <c r="CY321" i="75"/>
  <c r="CW321" i="75"/>
  <c r="CU321" i="75"/>
  <c r="CS321" i="75"/>
  <c r="CQ321" i="75"/>
  <c r="CO321" i="75"/>
  <c r="CM321" i="75"/>
  <c r="CK321" i="75"/>
  <c r="CI321" i="75"/>
  <c r="CG321" i="75"/>
  <c r="CE321" i="75"/>
  <c r="CC321" i="75"/>
  <c r="CA321" i="75"/>
  <c r="BY321" i="75"/>
  <c r="BW321" i="75"/>
  <c r="BU321" i="75"/>
  <c r="BS321" i="75"/>
  <c r="BQ321" i="75"/>
  <c r="BO321" i="75"/>
  <c r="BM321" i="75"/>
  <c r="BK321" i="75"/>
  <c r="BI321" i="75"/>
  <c r="DF320" i="75"/>
  <c r="DD320" i="75"/>
  <c r="DB320" i="75"/>
  <c r="CZ320" i="75"/>
  <c r="CX320" i="75"/>
  <c r="CV320" i="75"/>
  <c r="CT320" i="75"/>
  <c r="CR320" i="75"/>
  <c r="CP320" i="75"/>
  <c r="CN320" i="75"/>
  <c r="CL320" i="75"/>
  <c r="CJ320" i="75"/>
  <c r="CH320" i="75"/>
  <c r="CF320" i="75"/>
  <c r="CD320" i="75"/>
  <c r="CB320" i="75"/>
  <c r="BZ320" i="75"/>
  <c r="BX320" i="75"/>
  <c r="BV320" i="75"/>
  <c r="BT320" i="75"/>
  <c r="BR320" i="75"/>
  <c r="BP320" i="75"/>
  <c r="BN320" i="75"/>
  <c r="BL320" i="75"/>
  <c r="BJ320" i="75"/>
  <c r="BH320" i="75"/>
  <c r="DG319" i="75"/>
  <c r="DE319" i="75"/>
  <c r="DC319" i="75"/>
  <c r="DA319" i="75"/>
  <c r="CY319" i="75"/>
  <c r="CW319" i="75"/>
  <c r="CU319" i="75"/>
  <c r="CS319" i="75"/>
  <c r="CQ319" i="75"/>
  <c r="CO319" i="75"/>
  <c r="CM319" i="75"/>
  <c r="CK319" i="75"/>
  <c r="CI319" i="75"/>
  <c r="CG319" i="75"/>
  <c r="CE319" i="75"/>
  <c r="CC319" i="75"/>
  <c r="CA319" i="75"/>
  <c r="BY319" i="75"/>
  <c r="BW319" i="75"/>
  <c r="BU319" i="75"/>
  <c r="BS319" i="75"/>
  <c r="BQ319" i="75"/>
  <c r="BO319" i="75"/>
  <c r="BM319" i="75"/>
  <c r="BK319" i="75"/>
  <c r="BI319" i="75"/>
  <c r="BG319" i="75"/>
  <c r="DF318" i="75"/>
  <c r="DD318" i="75"/>
  <c r="DB318" i="75"/>
  <c r="CZ318" i="75"/>
  <c r="CX318" i="75"/>
  <c r="CV318" i="75"/>
  <c r="CT318" i="75"/>
  <c r="CR318" i="75"/>
  <c r="CP318" i="75"/>
  <c r="CN318" i="75"/>
  <c r="CL318" i="75"/>
  <c r="CJ318" i="75"/>
  <c r="CH318" i="75"/>
  <c r="CF318" i="75"/>
  <c r="CD318" i="75"/>
  <c r="CB318" i="75"/>
  <c r="BZ318" i="75"/>
  <c r="BX318" i="75"/>
  <c r="BV318" i="75"/>
  <c r="BT318" i="75"/>
  <c r="BR318" i="75"/>
  <c r="BP318" i="75"/>
  <c r="BN318" i="75"/>
  <c r="BL318" i="75"/>
  <c r="BJ318" i="75"/>
  <c r="BH318" i="75"/>
  <c r="BF318" i="75"/>
  <c r="DG317" i="75"/>
  <c r="DE317" i="75"/>
  <c r="DC317" i="75"/>
  <c r="DA317" i="75"/>
  <c r="CY317" i="75"/>
  <c r="CW317" i="75"/>
  <c r="CU317" i="75"/>
  <c r="CS317" i="75"/>
  <c r="CQ317" i="75"/>
  <c r="CO317" i="75"/>
  <c r="CM317" i="75"/>
  <c r="CK317" i="75"/>
  <c r="CI317" i="75"/>
  <c r="CG317" i="75"/>
  <c r="CE317" i="75"/>
  <c r="CC317" i="75"/>
  <c r="CA317" i="75"/>
  <c r="BY317" i="75"/>
  <c r="BW317" i="75"/>
  <c r="BU317" i="75"/>
  <c r="BS317" i="75"/>
  <c r="BQ317" i="75"/>
  <c r="BO317" i="75"/>
  <c r="BM317" i="75"/>
  <c r="BK317" i="75"/>
  <c r="BI317" i="75"/>
  <c r="BG317" i="75"/>
  <c r="BE317" i="75"/>
  <c r="DF316" i="75"/>
  <c r="DD316" i="75"/>
  <c r="DB316" i="75"/>
  <c r="CZ316" i="75"/>
  <c r="CX316" i="75"/>
  <c r="CV316" i="75"/>
  <c r="CT316" i="75"/>
  <c r="CR316" i="75"/>
  <c r="CP316" i="75"/>
  <c r="CN316" i="75"/>
  <c r="CL316" i="75"/>
  <c r="CJ316" i="75"/>
  <c r="CH316" i="75"/>
  <c r="CF316" i="75"/>
  <c r="CD316" i="75"/>
  <c r="CB316" i="75"/>
  <c r="BZ316" i="75"/>
  <c r="BX316" i="75"/>
  <c r="BV316" i="75"/>
  <c r="BT316" i="75"/>
  <c r="BR316" i="75"/>
  <c r="BP316" i="75"/>
  <c r="BN316" i="75"/>
  <c r="BL316" i="75"/>
  <c r="BJ316" i="75"/>
  <c r="BH316" i="75"/>
  <c r="BF316" i="75"/>
  <c r="BD316" i="75"/>
  <c r="DG311" i="75"/>
  <c r="DF312" i="75" s="1"/>
  <c r="DG309" i="75"/>
  <c r="DE309" i="75"/>
  <c r="DG307" i="75"/>
  <c r="DF308" i="75" s="1"/>
  <c r="DE307" i="75"/>
  <c r="DD308" i="75" s="1"/>
  <c r="DC307" i="75"/>
  <c r="DG305" i="75"/>
  <c r="DF306" i="75" s="1"/>
  <c r="DE305" i="75"/>
  <c r="DD306" i="75" s="1"/>
  <c r="DC305" i="75"/>
  <c r="DB306" i="75" s="1"/>
  <c r="DA305" i="75"/>
  <c r="DG303" i="75"/>
  <c r="DF304" i="75" s="1"/>
  <c r="DE303" i="75"/>
  <c r="DC303" i="75"/>
  <c r="DB304" i="75" s="1"/>
  <c r="DA303" i="75"/>
  <c r="CZ304" i="75" s="1"/>
  <c r="CY303" i="75"/>
  <c r="DG301" i="75"/>
  <c r="DF302" i="75" s="1"/>
  <c r="DE301" i="75"/>
  <c r="DD302" i="75" s="1"/>
  <c r="DC301" i="75"/>
  <c r="DB302" i="75" s="1"/>
  <c r="DA301" i="75"/>
  <c r="CZ302" i="75" s="1"/>
  <c r="CY301" i="75"/>
  <c r="CX302" i="75" s="1"/>
  <c r="CW301" i="75"/>
  <c r="DG299" i="75"/>
  <c r="DF300" i="75" s="1"/>
  <c r="DE299" i="75"/>
  <c r="DD300" i="75" s="1"/>
  <c r="DC299" i="75"/>
  <c r="DB300" i="75" s="1"/>
  <c r="DA299" i="75"/>
  <c r="CZ300" i="75" s="1"/>
  <c r="CY299" i="75"/>
  <c r="CX300" i="75" s="1"/>
  <c r="CW299" i="75"/>
  <c r="CU299" i="75"/>
  <c r="DG297" i="75"/>
  <c r="DF298" i="75" s="1"/>
  <c r="DE297" i="75"/>
  <c r="DC297" i="75"/>
  <c r="DB298" i="75" s="1"/>
  <c r="DA297" i="75"/>
  <c r="CZ298" i="75" s="1"/>
  <c r="CY297" i="75"/>
  <c r="CX298" i="75" s="1"/>
  <c r="CW297" i="75"/>
  <c r="CV298" i="75" s="1"/>
  <c r="CU297" i="75"/>
  <c r="CS297" i="75"/>
  <c r="DG295" i="75"/>
  <c r="DF296" i="75" s="1"/>
  <c r="DE295" i="75"/>
  <c r="DD296" i="75" s="1"/>
  <c r="DC295" i="75"/>
  <c r="DB296" i="75" s="1"/>
  <c r="DA295" i="75"/>
  <c r="CZ296" i="75" s="1"/>
  <c r="CY295" i="75"/>
  <c r="CX296" i="75" s="1"/>
  <c r="CW295" i="75"/>
  <c r="CV296" i="75" s="1"/>
  <c r="CU295" i="75"/>
  <c r="CT296" i="75" s="1"/>
  <c r="CS295" i="75"/>
  <c r="CR296" i="75" s="1"/>
  <c r="CQ295" i="75"/>
  <c r="DF294" i="75"/>
  <c r="DD294" i="75"/>
  <c r="DB294" i="75"/>
  <c r="CZ294" i="75"/>
  <c r="CX294" i="75"/>
  <c r="CV294" i="75"/>
  <c r="CT294" i="75"/>
  <c r="CR294" i="75"/>
  <c r="CP294" i="75"/>
  <c r="DG293" i="75"/>
  <c r="DE293" i="75"/>
  <c r="DC293" i="75"/>
  <c r="DA293" i="75"/>
  <c r="CY293" i="75"/>
  <c r="CW293" i="75"/>
  <c r="CU293" i="75"/>
  <c r="CS293" i="75"/>
  <c r="CQ293" i="75"/>
  <c r="CO293" i="75"/>
  <c r="DF292" i="75"/>
  <c r="DD292" i="75"/>
  <c r="DB292" i="75"/>
  <c r="CZ292" i="75"/>
  <c r="CX292" i="75"/>
  <c r="CV292" i="75"/>
  <c r="CT292" i="75"/>
  <c r="CR292" i="75"/>
  <c r="CP292" i="75"/>
  <c r="CN292" i="75"/>
  <c r="DG291" i="75"/>
  <c r="DE291" i="75"/>
  <c r="DC291" i="75"/>
  <c r="DA291" i="75"/>
  <c r="CY291" i="75"/>
  <c r="CW291" i="75"/>
  <c r="CU291" i="75"/>
  <c r="CS291" i="75"/>
  <c r="CQ291" i="75"/>
  <c r="CO291" i="75"/>
  <c r="CM291" i="75"/>
  <c r="DF290" i="75"/>
  <c r="DD290" i="75"/>
  <c r="DB290" i="75"/>
  <c r="CZ290" i="75"/>
  <c r="CX290" i="75"/>
  <c r="CV290" i="75"/>
  <c r="CT290" i="75"/>
  <c r="CR290" i="75"/>
  <c r="CP290" i="75"/>
  <c r="CN290" i="75"/>
  <c r="CL290" i="75"/>
  <c r="DG289" i="75"/>
  <c r="DE289" i="75"/>
  <c r="DC289" i="75"/>
  <c r="DA289" i="75"/>
  <c r="CY289" i="75"/>
  <c r="CW289" i="75"/>
  <c r="CU289" i="75"/>
  <c r="CS289" i="75"/>
  <c r="CQ289" i="75"/>
  <c r="CO289" i="75"/>
  <c r="CM289" i="75"/>
  <c r="CK289" i="75"/>
  <c r="DF288" i="75"/>
  <c r="DD288" i="75"/>
  <c r="DB288" i="75"/>
  <c r="CZ288" i="75"/>
  <c r="CX288" i="75"/>
  <c r="CV288" i="75"/>
  <c r="CT288" i="75"/>
  <c r="CR288" i="75"/>
  <c r="CP288" i="75"/>
  <c r="CN288" i="75"/>
  <c r="CL288" i="75"/>
  <c r="CJ288" i="75"/>
  <c r="DG287" i="75"/>
  <c r="DE287" i="75"/>
  <c r="DC287" i="75"/>
  <c r="DA287" i="75"/>
  <c r="CY287" i="75"/>
  <c r="CW287" i="75"/>
  <c r="CU287" i="75"/>
  <c r="CS287" i="75"/>
  <c r="CQ287" i="75"/>
  <c r="CO287" i="75"/>
  <c r="CM287" i="75"/>
  <c r="CK287" i="75"/>
  <c r="CI287" i="75"/>
  <c r="DF286" i="75"/>
  <c r="DD286" i="75"/>
  <c r="DB286" i="75"/>
  <c r="CZ286" i="75"/>
  <c r="CX286" i="75"/>
  <c r="CV286" i="75"/>
  <c r="CT286" i="75"/>
  <c r="CR286" i="75"/>
  <c r="CP286" i="75"/>
  <c r="CN286" i="75"/>
  <c r="CL286" i="75"/>
  <c r="CJ286" i="75"/>
  <c r="CH286" i="75"/>
  <c r="DG285" i="75"/>
  <c r="DE285" i="75"/>
  <c r="DC285" i="75"/>
  <c r="DA285" i="75"/>
  <c r="CY285" i="75"/>
  <c r="CW285" i="75"/>
  <c r="CU285" i="75"/>
  <c r="CS285" i="75"/>
  <c r="CQ285" i="75"/>
  <c r="CO285" i="75"/>
  <c r="CM285" i="75"/>
  <c r="CK285" i="75"/>
  <c r="CI285" i="75"/>
  <c r="CG285" i="75"/>
  <c r="DF284" i="75"/>
  <c r="DD284" i="75"/>
  <c r="DB284" i="75"/>
  <c r="CZ284" i="75"/>
  <c r="CX284" i="75"/>
  <c r="CV284" i="75"/>
  <c r="CT284" i="75"/>
  <c r="CR284" i="75"/>
  <c r="CP284" i="75"/>
  <c r="CN284" i="75"/>
  <c r="CL284" i="75"/>
  <c r="CJ284" i="75"/>
  <c r="CH284" i="75"/>
  <c r="CF284" i="75"/>
  <c r="DG283" i="75"/>
  <c r="DE283" i="75"/>
  <c r="DC283" i="75"/>
  <c r="DA283" i="75"/>
  <c r="CY283" i="75"/>
  <c r="CW283" i="75"/>
  <c r="CU283" i="75"/>
  <c r="CS283" i="75"/>
  <c r="CQ283" i="75"/>
  <c r="CO283" i="75"/>
  <c r="CM283" i="75"/>
  <c r="CK283" i="75"/>
  <c r="CI283" i="75"/>
  <c r="CG283" i="75"/>
  <c r="CE283" i="75"/>
  <c r="DF282" i="75"/>
  <c r="DD282" i="75"/>
  <c r="DB282" i="75"/>
  <c r="CZ282" i="75"/>
  <c r="CX282" i="75"/>
  <c r="CV282" i="75"/>
  <c r="CT282" i="75"/>
  <c r="CR282" i="75"/>
  <c r="CP282" i="75"/>
  <c r="CN282" i="75"/>
  <c r="CL282" i="75"/>
  <c r="CJ282" i="75"/>
  <c r="CH282" i="75"/>
  <c r="CF282" i="75"/>
  <c r="CD282" i="75"/>
  <c r="DG281" i="75"/>
  <c r="DE281" i="75"/>
  <c r="DC281" i="75"/>
  <c r="DA281" i="75"/>
  <c r="CY281" i="75"/>
  <c r="CW281" i="75"/>
  <c r="CU281" i="75"/>
  <c r="CS281" i="75"/>
  <c r="CQ281" i="75"/>
  <c r="CO281" i="75"/>
  <c r="CM281" i="75"/>
  <c r="CK281" i="75"/>
  <c r="CI281" i="75"/>
  <c r="CG281" i="75"/>
  <c r="CE281" i="75"/>
  <c r="CC281" i="75"/>
  <c r="DF280" i="75"/>
  <c r="DD280" i="75"/>
  <c r="DB280" i="75"/>
  <c r="CZ280" i="75"/>
  <c r="CX280" i="75"/>
  <c r="CV280" i="75"/>
  <c r="CT280" i="75"/>
  <c r="CR280" i="75"/>
  <c r="CP280" i="75"/>
  <c r="CN280" i="75"/>
  <c r="CL280" i="75"/>
  <c r="CJ280" i="75"/>
  <c r="CH280" i="75"/>
  <c r="CF280" i="75"/>
  <c r="CD280" i="75"/>
  <c r="CB280" i="75"/>
  <c r="DG279" i="75"/>
  <c r="DE279" i="75"/>
  <c r="DC279" i="75"/>
  <c r="DA279" i="75"/>
  <c r="CY279" i="75"/>
  <c r="CW279" i="75"/>
  <c r="CU279" i="75"/>
  <c r="CS279" i="75"/>
  <c r="CQ279" i="75"/>
  <c r="CO279" i="75"/>
  <c r="CM279" i="75"/>
  <c r="CK279" i="75"/>
  <c r="CI279" i="75"/>
  <c r="CG279" i="75"/>
  <c r="CE279" i="75"/>
  <c r="CC279" i="75"/>
  <c r="CA279" i="75"/>
  <c r="DF278" i="75"/>
  <c r="DD278" i="75"/>
  <c r="DB278" i="75"/>
  <c r="CZ278" i="75"/>
  <c r="CX278" i="75"/>
  <c r="CV278" i="75"/>
  <c r="CT278" i="75"/>
  <c r="CR278" i="75"/>
  <c r="CP278" i="75"/>
  <c r="CN278" i="75"/>
  <c r="CL278" i="75"/>
  <c r="CJ278" i="75"/>
  <c r="CH278" i="75"/>
  <c r="CF278" i="75"/>
  <c r="CD278" i="75"/>
  <c r="CB278" i="75"/>
  <c r="BZ278" i="75"/>
  <c r="DG277" i="75"/>
  <c r="DE277" i="75"/>
  <c r="DC277" i="75"/>
  <c r="DA277" i="75"/>
  <c r="CY277" i="75"/>
  <c r="CW277" i="75"/>
  <c r="CU277" i="75"/>
  <c r="CS277" i="75"/>
  <c r="CQ277" i="75"/>
  <c r="CO277" i="75"/>
  <c r="CM277" i="75"/>
  <c r="CK277" i="75"/>
  <c r="CI277" i="75"/>
  <c r="CG277" i="75"/>
  <c r="CE277" i="75"/>
  <c r="CC277" i="75"/>
  <c r="CA277" i="75"/>
  <c r="BY277" i="75"/>
  <c r="DF276" i="75"/>
  <c r="DD276" i="75"/>
  <c r="DB276" i="75"/>
  <c r="CZ276" i="75"/>
  <c r="CX276" i="75"/>
  <c r="CV276" i="75"/>
  <c r="CT276" i="75"/>
  <c r="CR276" i="75"/>
  <c r="CP276" i="75"/>
  <c r="CN276" i="75"/>
  <c r="CL276" i="75"/>
  <c r="CJ276" i="75"/>
  <c r="CH276" i="75"/>
  <c r="CF276" i="75"/>
  <c r="CD276" i="75"/>
  <c r="CB276" i="75"/>
  <c r="BZ276" i="75"/>
  <c r="BX276" i="75"/>
  <c r="DG275" i="75"/>
  <c r="DE275" i="75"/>
  <c r="DC275" i="75"/>
  <c r="DA275" i="75"/>
  <c r="CY275" i="75"/>
  <c r="CW275" i="75"/>
  <c r="CU275" i="75"/>
  <c r="CS275" i="75"/>
  <c r="CQ275" i="75"/>
  <c r="CO275" i="75"/>
  <c r="CM275" i="75"/>
  <c r="CK275" i="75"/>
  <c r="CI275" i="75"/>
  <c r="CG275" i="75"/>
  <c r="CE275" i="75"/>
  <c r="CC275" i="75"/>
  <c r="CA275" i="75"/>
  <c r="BY275" i="75"/>
  <c r="BW275" i="75"/>
  <c r="DF274" i="75"/>
  <c r="DD274" i="75"/>
  <c r="DB274" i="75"/>
  <c r="CZ274" i="75"/>
  <c r="CX274" i="75"/>
  <c r="CV274" i="75"/>
  <c r="CT274" i="75"/>
  <c r="CR274" i="75"/>
  <c r="CP274" i="75"/>
  <c r="CN274" i="75"/>
  <c r="CL274" i="75"/>
  <c r="CJ274" i="75"/>
  <c r="CH274" i="75"/>
  <c r="CF274" i="75"/>
  <c r="CD274" i="75"/>
  <c r="CB274" i="75"/>
  <c r="BZ274" i="75"/>
  <c r="BX274" i="75"/>
  <c r="BV274" i="75"/>
  <c r="DG273" i="75"/>
  <c r="DE273" i="75"/>
  <c r="DC273" i="75"/>
  <c r="DA273" i="75"/>
  <c r="CY273" i="75"/>
  <c r="CW273" i="75"/>
  <c r="CU273" i="75"/>
  <c r="CS273" i="75"/>
  <c r="CQ273" i="75"/>
  <c r="CO273" i="75"/>
  <c r="CM273" i="75"/>
  <c r="CK273" i="75"/>
  <c r="CI273" i="75"/>
  <c r="CG273" i="75"/>
  <c r="CE273" i="75"/>
  <c r="CC273" i="75"/>
  <c r="CA273" i="75"/>
  <c r="BY273" i="75"/>
  <c r="BW273" i="75"/>
  <c r="BU273" i="75"/>
  <c r="DF272" i="75"/>
  <c r="DD272" i="75"/>
  <c r="DB272" i="75"/>
  <c r="CZ272" i="75"/>
  <c r="CX272" i="75"/>
  <c r="CV272" i="75"/>
  <c r="CT272" i="75"/>
  <c r="CR272" i="75"/>
  <c r="CP272" i="75"/>
  <c r="CN272" i="75"/>
  <c r="CL272" i="75"/>
  <c r="CJ272" i="75"/>
  <c r="CH272" i="75"/>
  <c r="CF272" i="75"/>
  <c r="CD272" i="75"/>
  <c r="CB272" i="75"/>
  <c r="BZ272" i="75"/>
  <c r="BX272" i="75"/>
  <c r="BV272" i="75"/>
  <c r="BT272" i="75"/>
  <c r="DG271" i="75"/>
  <c r="DE271" i="75"/>
  <c r="DC271" i="75"/>
  <c r="DA271" i="75"/>
  <c r="CY271" i="75"/>
  <c r="CW271" i="75"/>
  <c r="CU271" i="75"/>
  <c r="CS271" i="75"/>
  <c r="CQ271" i="75"/>
  <c r="CO271" i="75"/>
  <c r="CM271" i="75"/>
  <c r="CK271" i="75"/>
  <c r="CI271" i="75"/>
  <c r="CG271" i="75"/>
  <c r="CE271" i="75"/>
  <c r="CC271" i="75"/>
  <c r="CA271" i="75"/>
  <c r="BY271" i="75"/>
  <c r="BW271" i="75"/>
  <c r="BU271" i="75"/>
  <c r="BS271" i="75"/>
  <c r="DF270" i="75"/>
  <c r="DD270" i="75"/>
  <c r="DB270" i="75"/>
  <c r="CZ270" i="75"/>
  <c r="CX270" i="75"/>
  <c r="CV270" i="75"/>
  <c r="CT270" i="75"/>
  <c r="CR270" i="75"/>
  <c r="CP270" i="75"/>
  <c r="CN270" i="75"/>
  <c r="CL270" i="75"/>
  <c r="CJ270" i="75"/>
  <c r="CH270" i="75"/>
  <c r="CF270" i="75"/>
  <c r="CD270" i="75"/>
  <c r="CB270" i="75"/>
  <c r="BZ270" i="75"/>
  <c r="BX270" i="75"/>
  <c r="BV270" i="75"/>
  <c r="BT270" i="75"/>
  <c r="BR270" i="75"/>
  <c r="DG269" i="75"/>
  <c r="DE269" i="75"/>
  <c r="DC269" i="75"/>
  <c r="DA269" i="75"/>
  <c r="CY269" i="75"/>
  <c r="CW269" i="75"/>
  <c r="CU269" i="75"/>
  <c r="CS269" i="75"/>
  <c r="CQ269" i="75"/>
  <c r="CO269" i="75"/>
  <c r="CM269" i="75"/>
  <c r="CK269" i="75"/>
  <c r="CI269" i="75"/>
  <c r="CG269" i="75"/>
  <c r="CE269" i="75"/>
  <c r="CC269" i="75"/>
  <c r="CA269" i="75"/>
  <c r="BY269" i="75"/>
  <c r="BW269" i="75"/>
  <c r="BU269" i="75"/>
  <c r="BS269" i="75"/>
  <c r="BQ269" i="75"/>
  <c r="DF268" i="75"/>
  <c r="DD268" i="75"/>
  <c r="DB268" i="75"/>
  <c r="CZ268" i="75"/>
  <c r="CX268" i="75"/>
  <c r="CV268" i="75"/>
  <c r="CT268" i="75"/>
  <c r="CR268" i="75"/>
  <c r="CP268" i="75"/>
  <c r="CN268" i="75"/>
  <c r="CL268" i="75"/>
  <c r="CJ268" i="75"/>
  <c r="CH268" i="75"/>
  <c r="CF268" i="75"/>
  <c r="CD268" i="75"/>
  <c r="CB268" i="75"/>
  <c r="BZ268" i="75"/>
  <c r="BX268" i="75"/>
  <c r="BV268" i="75"/>
  <c r="BT268" i="75"/>
  <c r="BR268" i="75"/>
  <c r="BP268" i="75"/>
  <c r="DG267" i="75"/>
  <c r="DE267" i="75"/>
  <c r="DC267" i="75"/>
  <c r="DA267" i="75"/>
  <c r="CY267" i="75"/>
  <c r="CW267" i="75"/>
  <c r="CU267" i="75"/>
  <c r="CS267" i="75"/>
  <c r="CQ267" i="75"/>
  <c r="CO267" i="75"/>
  <c r="CM267" i="75"/>
  <c r="CK267" i="75"/>
  <c r="CI267" i="75"/>
  <c r="CG267" i="75"/>
  <c r="CE267" i="75"/>
  <c r="CC267" i="75"/>
  <c r="CA267" i="75"/>
  <c r="BY267" i="75"/>
  <c r="BW267" i="75"/>
  <c r="BU267" i="75"/>
  <c r="BS267" i="75"/>
  <c r="BQ267" i="75"/>
  <c r="BO267" i="75"/>
  <c r="DF266" i="75"/>
  <c r="DD266" i="75"/>
  <c r="DB266" i="75"/>
  <c r="CZ266" i="75"/>
  <c r="CX266" i="75"/>
  <c r="CV266" i="75"/>
  <c r="CT266" i="75"/>
  <c r="CR266" i="75"/>
  <c r="CP266" i="75"/>
  <c r="CN266" i="75"/>
  <c r="CL266" i="75"/>
  <c r="CJ266" i="75"/>
  <c r="CH266" i="75"/>
  <c r="CF266" i="75"/>
  <c r="CD266" i="75"/>
  <c r="CB266" i="75"/>
  <c r="BZ266" i="75"/>
  <c r="BX266" i="75"/>
  <c r="BV266" i="75"/>
  <c r="BT266" i="75"/>
  <c r="BR266" i="75"/>
  <c r="BP266" i="75"/>
  <c r="BN266" i="75"/>
  <c r="DG265" i="75"/>
  <c r="DE265" i="75"/>
  <c r="DC265" i="75"/>
  <c r="DA265" i="75"/>
  <c r="CY265" i="75"/>
  <c r="CW265" i="75"/>
  <c r="CU265" i="75"/>
  <c r="CS265" i="75"/>
  <c r="CQ265" i="75"/>
  <c r="CO265" i="75"/>
  <c r="CM265" i="75"/>
  <c r="CK265" i="75"/>
  <c r="CI265" i="75"/>
  <c r="CG265" i="75"/>
  <c r="CE265" i="75"/>
  <c r="CC265" i="75"/>
  <c r="CA265" i="75"/>
  <c r="BY265" i="75"/>
  <c r="BW265" i="75"/>
  <c r="BU265" i="75"/>
  <c r="BS265" i="75"/>
  <c r="BQ265" i="75"/>
  <c r="BO265" i="75"/>
  <c r="BM265" i="75"/>
  <c r="DF264" i="75"/>
  <c r="DD264" i="75"/>
  <c r="DB264" i="75"/>
  <c r="CZ264" i="75"/>
  <c r="CX264" i="75"/>
  <c r="CV264" i="75"/>
  <c r="CT264" i="75"/>
  <c r="CR264" i="75"/>
  <c r="CP264" i="75"/>
  <c r="CN264" i="75"/>
  <c r="CL264" i="75"/>
  <c r="CJ264" i="75"/>
  <c r="CH264" i="75"/>
  <c r="CF264" i="75"/>
  <c r="CD264" i="75"/>
  <c r="CB264" i="75"/>
  <c r="BZ264" i="75"/>
  <c r="BX264" i="75"/>
  <c r="BV264" i="75"/>
  <c r="BT264" i="75"/>
  <c r="BR264" i="75"/>
  <c r="BP264" i="75"/>
  <c r="BN264" i="75"/>
  <c r="BL264" i="75"/>
  <c r="DG263" i="75"/>
  <c r="DE263" i="75"/>
  <c r="DC263" i="75"/>
  <c r="DA263" i="75"/>
  <c r="CY263" i="75"/>
  <c r="CW263" i="75"/>
  <c r="CU263" i="75"/>
  <c r="CS263" i="75"/>
  <c r="CQ263" i="75"/>
  <c r="CO263" i="75"/>
  <c r="CM263" i="75"/>
  <c r="CK263" i="75"/>
  <c r="CI263" i="75"/>
  <c r="CG263" i="75"/>
  <c r="CE263" i="75"/>
  <c r="CC263" i="75"/>
  <c r="CA263" i="75"/>
  <c r="BY263" i="75"/>
  <c r="BW263" i="75"/>
  <c r="BU263" i="75"/>
  <c r="BS263" i="75"/>
  <c r="BQ263" i="75"/>
  <c r="BO263" i="75"/>
  <c r="BM263" i="75"/>
  <c r="BK263" i="75"/>
  <c r="DF262" i="75"/>
  <c r="DD262" i="75"/>
  <c r="DB262" i="75"/>
  <c r="CZ262" i="75"/>
  <c r="CX262" i="75"/>
  <c r="CV262" i="75"/>
  <c r="CT262" i="75"/>
  <c r="CR262" i="75"/>
  <c r="CP262" i="75"/>
  <c r="CN262" i="75"/>
  <c r="CL262" i="75"/>
  <c r="CJ262" i="75"/>
  <c r="CH262" i="75"/>
  <c r="CF262" i="75"/>
  <c r="CD262" i="75"/>
  <c r="CB262" i="75"/>
  <c r="BZ262" i="75"/>
  <c r="BX262" i="75"/>
  <c r="BV262" i="75"/>
  <c r="BT262" i="75"/>
  <c r="BR262" i="75"/>
  <c r="BP262" i="75"/>
  <c r="BN262" i="75"/>
  <c r="BL262" i="75"/>
  <c r="BJ262" i="75"/>
  <c r="DG261" i="75"/>
  <c r="DE261" i="75"/>
  <c r="DC261" i="75"/>
  <c r="DA261" i="75"/>
  <c r="CY261" i="75"/>
  <c r="CW261" i="75"/>
  <c r="CU261" i="75"/>
  <c r="CS261" i="75"/>
  <c r="CQ261" i="75"/>
  <c r="CO261" i="75"/>
  <c r="CM261" i="75"/>
  <c r="CK261" i="75"/>
  <c r="CI261" i="75"/>
  <c r="CG261" i="75"/>
  <c r="CE261" i="75"/>
  <c r="CC261" i="75"/>
  <c r="CA261" i="75"/>
  <c r="BY261" i="75"/>
  <c r="BW261" i="75"/>
  <c r="BU261" i="75"/>
  <c r="BS261" i="75"/>
  <c r="BQ261" i="75"/>
  <c r="BO261" i="75"/>
  <c r="BM261" i="75"/>
  <c r="BK261" i="75"/>
  <c r="BI261" i="75"/>
  <c r="DF260" i="75"/>
  <c r="DD260" i="75"/>
  <c r="DB260" i="75"/>
  <c r="CZ260" i="75"/>
  <c r="CX260" i="75"/>
  <c r="CV260" i="75"/>
  <c r="CT260" i="75"/>
  <c r="CR260" i="75"/>
  <c r="CP260" i="75"/>
  <c r="CN260" i="75"/>
  <c r="CL260" i="75"/>
  <c r="CJ260" i="75"/>
  <c r="CH260" i="75"/>
  <c r="CF260" i="75"/>
  <c r="CD260" i="75"/>
  <c r="CB260" i="75"/>
  <c r="BZ260" i="75"/>
  <c r="BX260" i="75"/>
  <c r="BV260" i="75"/>
  <c r="BT260" i="75"/>
  <c r="BR260" i="75"/>
  <c r="BP260" i="75"/>
  <c r="BN260" i="75"/>
  <c r="BL260" i="75"/>
  <c r="BJ260" i="75"/>
  <c r="BH260" i="75"/>
  <c r="DG259" i="75"/>
  <c r="DE259" i="75"/>
  <c r="DC259" i="75"/>
  <c r="DA259" i="75"/>
  <c r="CY259" i="75"/>
  <c r="CW259" i="75"/>
  <c r="CU259" i="75"/>
  <c r="CS259" i="75"/>
  <c r="CQ259" i="75"/>
  <c r="CO259" i="75"/>
  <c r="CM259" i="75"/>
  <c r="CK259" i="75"/>
  <c r="CI259" i="75"/>
  <c r="CG259" i="75"/>
  <c r="CE259" i="75"/>
  <c r="CC259" i="75"/>
  <c r="CA259" i="75"/>
  <c r="BY259" i="75"/>
  <c r="BW259" i="75"/>
  <c r="BU259" i="75"/>
  <c r="BS259" i="75"/>
  <c r="BQ259" i="75"/>
  <c r="BO259" i="75"/>
  <c r="BM259" i="75"/>
  <c r="BK259" i="75"/>
  <c r="BI259" i="75"/>
  <c r="BG259" i="75"/>
  <c r="DF258" i="75"/>
  <c r="DD258" i="75"/>
  <c r="DB258" i="75"/>
  <c r="CZ258" i="75"/>
  <c r="CX258" i="75"/>
  <c r="CV258" i="75"/>
  <c r="CT258" i="75"/>
  <c r="CR258" i="75"/>
  <c r="CP258" i="75"/>
  <c r="CN258" i="75"/>
  <c r="CL258" i="75"/>
  <c r="CJ258" i="75"/>
  <c r="CH258" i="75"/>
  <c r="CF258" i="75"/>
  <c r="CD258" i="75"/>
  <c r="CB258" i="75"/>
  <c r="BZ258" i="75"/>
  <c r="BX258" i="75"/>
  <c r="BV258" i="75"/>
  <c r="BT258" i="75"/>
  <c r="BR258" i="75"/>
  <c r="BP258" i="75"/>
  <c r="BN258" i="75"/>
  <c r="BL258" i="75"/>
  <c r="BJ258" i="75"/>
  <c r="BH258" i="75"/>
  <c r="BF258" i="75"/>
  <c r="DG257" i="75"/>
  <c r="DE257" i="75"/>
  <c r="DC257" i="75"/>
  <c r="DA257" i="75"/>
  <c r="CY257" i="75"/>
  <c r="CW257" i="75"/>
  <c r="CU257" i="75"/>
  <c r="CS257" i="75"/>
  <c r="CQ257" i="75"/>
  <c r="CO257" i="75"/>
  <c r="CM257" i="75"/>
  <c r="CK257" i="75"/>
  <c r="CI257" i="75"/>
  <c r="CG257" i="75"/>
  <c r="CE257" i="75"/>
  <c r="CC257" i="75"/>
  <c r="CA257" i="75"/>
  <c r="BY257" i="75"/>
  <c r="BW257" i="75"/>
  <c r="BU257" i="75"/>
  <c r="BS257" i="75"/>
  <c r="BQ257" i="75"/>
  <c r="BO257" i="75"/>
  <c r="BM257" i="75"/>
  <c r="BK257" i="75"/>
  <c r="BI257" i="75"/>
  <c r="BG257" i="75"/>
  <c r="BE257" i="75"/>
  <c r="DF256" i="75"/>
  <c r="DD256" i="75"/>
  <c r="DB256" i="75"/>
  <c r="CZ256" i="75"/>
  <c r="CX256" i="75"/>
  <c r="CV256" i="75"/>
  <c r="CT256" i="75"/>
  <c r="CR256" i="75"/>
  <c r="CP256" i="75"/>
  <c r="CN256" i="75"/>
  <c r="CL256" i="75"/>
  <c r="CJ256" i="75"/>
  <c r="CH256" i="75"/>
  <c r="CF256" i="75"/>
  <c r="CD256" i="75"/>
  <c r="CB256" i="75"/>
  <c r="BZ256" i="75"/>
  <c r="BX256" i="75"/>
  <c r="BV256" i="75"/>
  <c r="BT256" i="75"/>
  <c r="BR256" i="75"/>
  <c r="BP256" i="75"/>
  <c r="BN256" i="75"/>
  <c r="BL256" i="75"/>
  <c r="BJ256" i="75"/>
  <c r="BH256" i="75"/>
  <c r="BF256" i="75"/>
  <c r="BD256" i="75"/>
  <c r="DG251" i="75"/>
  <c r="DF252" i="75" s="1"/>
  <c r="DG249" i="75"/>
  <c r="DF250" i="75" s="1"/>
  <c r="DE251" i="75" s="1" a="1"/>
  <c r="DE249" i="75"/>
  <c r="DG247" i="75"/>
  <c r="DF248" i="75" s="1"/>
  <c r="DE247" i="75"/>
  <c r="DD248" i="75" s="1"/>
  <c r="DC247" i="75"/>
  <c r="DG245" i="75"/>
  <c r="DF246" i="75" s="1"/>
  <c r="DE245" i="75"/>
  <c r="DD246" i="75" s="1"/>
  <c r="DC245" i="75"/>
  <c r="DA245" i="75"/>
  <c r="DG243" i="75"/>
  <c r="DF244" i="75" s="1"/>
  <c r="DE243" i="75"/>
  <c r="DD244" i="75" s="1"/>
  <c r="DC243" i="75"/>
  <c r="DB244" i="75" s="1"/>
  <c r="DA243" i="75"/>
  <c r="CZ244" i="75" s="1"/>
  <c r="CY243" i="75"/>
  <c r="DG241" i="75"/>
  <c r="DE241" i="75"/>
  <c r="DD242" i="75" s="1"/>
  <c r="DC241" i="75"/>
  <c r="DA241" i="75"/>
  <c r="CZ242" i="75" s="1"/>
  <c r="CY241" i="75"/>
  <c r="CW241" i="75"/>
  <c r="DG239" i="75"/>
  <c r="DF240" i="75" s="1"/>
  <c r="DE239" i="75"/>
  <c r="DD240" i="75" s="1"/>
  <c r="DC239" i="75"/>
  <c r="DB240" i="75" s="1"/>
  <c r="DA239" i="75"/>
  <c r="CY239" i="75"/>
  <c r="CX240" i="75" s="1"/>
  <c r="CW239" i="75"/>
  <c r="CV240" i="75" s="1"/>
  <c r="CU239" i="75"/>
  <c r="DG237" i="75"/>
  <c r="DE237" i="75"/>
  <c r="DD238" i="75" s="1"/>
  <c r="DC237" i="75"/>
  <c r="DB238" i="75" s="1"/>
  <c r="DA237" i="75"/>
  <c r="CZ238" i="75" s="1"/>
  <c r="CY237" i="75"/>
  <c r="CW237" i="75"/>
  <c r="CU237" i="75"/>
  <c r="CT238" i="75" s="1"/>
  <c r="CS237" i="75"/>
  <c r="DG235" i="75"/>
  <c r="DF236" i="75" s="1"/>
  <c r="DE235" i="75"/>
  <c r="DD236" i="75" s="1"/>
  <c r="DC235" i="75"/>
  <c r="DB236" i="75" s="1"/>
  <c r="DA235" i="75"/>
  <c r="CY235" i="75"/>
  <c r="CW235" i="75"/>
  <c r="CV236" i="75" s="1"/>
  <c r="CU235" i="75"/>
  <c r="CT236" i="75" s="1"/>
  <c r="CS235" i="75"/>
  <c r="CR236" i="75" s="1"/>
  <c r="CQ235" i="75"/>
  <c r="DF234" i="75"/>
  <c r="DD234" i="75"/>
  <c r="DB234" i="75"/>
  <c r="CZ234" i="75"/>
  <c r="CX234" i="75"/>
  <c r="CV234" i="75"/>
  <c r="CT234" i="75"/>
  <c r="CR234" i="75"/>
  <c r="CP234" i="75"/>
  <c r="DG233" i="75"/>
  <c r="DE233" i="75"/>
  <c r="DC233" i="75"/>
  <c r="DA233" i="75"/>
  <c r="CY233" i="75"/>
  <c r="CW233" i="75"/>
  <c r="CU233" i="75"/>
  <c r="CS233" i="75"/>
  <c r="CQ233" i="75"/>
  <c r="CO233" i="75"/>
  <c r="DF232" i="75"/>
  <c r="DD232" i="75"/>
  <c r="DB232" i="75"/>
  <c r="CZ232" i="75"/>
  <c r="CX232" i="75"/>
  <c r="CV232" i="75"/>
  <c r="CT232" i="75"/>
  <c r="CR232" i="75"/>
  <c r="CP232" i="75"/>
  <c r="CN232" i="75"/>
  <c r="DG231" i="75"/>
  <c r="DE231" i="75"/>
  <c r="DC231" i="75"/>
  <c r="DA231" i="75"/>
  <c r="CY231" i="75"/>
  <c r="CW231" i="75"/>
  <c r="CU231" i="75"/>
  <c r="CS231" i="75"/>
  <c r="CQ231" i="75"/>
  <c r="CO231" i="75"/>
  <c r="CM231" i="75"/>
  <c r="DF230" i="75"/>
  <c r="DD230" i="75"/>
  <c r="DB230" i="75"/>
  <c r="CZ230" i="75"/>
  <c r="CX230" i="75"/>
  <c r="CV230" i="75"/>
  <c r="CT230" i="75"/>
  <c r="CR230" i="75"/>
  <c r="CP230" i="75"/>
  <c r="CN230" i="75"/>
  <c r="CL230" i="75"/>
  <c r="DG229" i="75"/>
  <c r="DE229" i="75"/>
  <c r="DC229" i="75"/>
  <c r="DA229" i="75"/>
  <c r="CY229" i="75"/>
  <c r="CW229" i="75"/>
  <c r="CU229" i="75"/>
  <c r="CS229" i="75"/>
  <c r="CQ229" i="75"/>
  <c r="CO229" i="75"/>
  <c r="CM229" i="75"/>
  <c r="CK229" i="75"/>
  <c r="DF228" i="75"/>
  <c r="DD228" i="75"/>
  <c r="DB228" i="75"/>
  <c r="CZ228" i="75"/>
  <c r="CX228" i="75"/>
  <c r="CV228" i="75"/>
  <c r="CT228" i="75"/>
  <c r="CR228" i="75"/>
  <c r="CP228" i="75"/>
  <c r="CN228" i="75"/>
  <c r="CL228" i="75"/>
  <c r="CJ228" i="75"/>
  <c r="DG227" i="75"/>
  <c r="DE227" i="75"/>
  <c r="DC227" i="75"/>
  <c r="DA227" i="75"/>
  <c r="CY227" i="75"/>
  <c r="CW227" i="75"/>
  <c r="CU227" i="75"/>
  <c r="CS227" i="75"/>
  <c r="CQ227" i="75"/>
  <c r="CO227" i="75"/>
  <c r="CM227" i="75"/>
  <c r="CK227" i="75"/>
  <c r="CI227" i="75"/>
  <c r="DF226" i="75"/>
  <c r="DD226" i="75"/>
  <c r="DB226" i="75"/>
  <c r="CZ226" i="75"/>
  <c r="CX226" i="75"/>
  <c r="CV226" i="75"/>
  <c r="CT226" i="75"/>
  <c r="CR226" i="75"/>
  <c r="CP226" i="75"/>
  <c r="CN226" i="75"/>
  <c r="CL226" i="75"/>
  <c r="CJ226" i="75"/>
  <c r="CH226" i="75"/>
  <c r="DG225" i="75"/>
  <c r="DE225" i="75"/>
  <c r="DC225" i="75"/>
  <c r="DA225" i="75"/>
  <c r="CY225" i="75"/>
  <c r="CW225" i="75"/>
  <c r="CU225" i="75"/>
  <c r="CS225" i="75"/>
  <c r="CQ225" i="75"/>
  <c r="CO225" i="75"/>
  <c r="CM225" i="75"/>
  <c r="CK225" i="75"/>
  <c r="CI225" i="75"/>
  <c r="CG225" i="75"/>
  <c r="DF224" i="75"/>
  <c r="DD224" i="75"/>
  <c r="DB224" i="75"/>
  <c r="CZ224" i="75"/>
  <c r="CX224" i="75"/>
  <c r="CV224" i="75"/>
  <c r="CT224" i="75"/>
  <c r="CR224" i="75"/>
  <c r="CP224" i="75"/>
  <c r="CN224" i="75"/>
  <c r="CL224" i="75"/>
  <c r="CJ224" i="75"/>
  <c r="CH224" i="75"/>
  <c r="CF224" i="75"/>
  <c r="DG223" i="75"/>
  <c r="DE223" i="75"/>
  <c r="DC223" i="75"/>
  <c r="DA223" i="75"/>
  <c r="CY223" i="75"/>
  <c r="CW223" i="75"/>
  <c r="CU223" i="75"/>
  <c r="CS223" i="75"/>
  <c r="CQ223" i="75"/>
  <c r="CO223" i="75"/>
  <c r="CM223" i="75"/>
  <c r="CK223" i="75"/>
  <c r="CI223" i="75"/>
  <c r="CG223" i="75"/>
  <c r="CE223" i="75"/>
  <c r="DF222" i="75"/>
  <c r="DD222" i="75"/>
  <c r="DB222" i="75"/>
  <c r="CZ222" i="75"/>
  <c r="CX222" i="75"/>
  <c r="CV222" i="75"/>
  <c r="CT222" i="75"/>
  <c r="CR222" i="75"/>
  <c r="CP222" i="75"/>
  <c r="CN222" i="75"/>
  <c r="CL222" i="75"/>
  <c r="CJ222" i="75"/>
  <c r="CH222" i="75"/>
  <c r="CF222" i="75"/>
  <c r="CD222" i="75"/>
  <c r="DG221" i="75"/>
  <c r="DE221" i="75"/>
  <c r="DC221" i="75"/>
  <c r="DA221" i="75"/>
  <c r="CY221" i="75"/>
  <c r="CW221" i="75"/>
  <c r="CU221" i="75"/>
  <c r="CS221" i="75"/>
  <c r="CQ221" i="75"/>
  <c r="CO221" i="75"/>
  <c r="CM221" i="75"/>
  <c r="CK221" i="75"/>
  <c r="CI221" i="75"/>
  <c r="CG221" i="75"/>
  <c r="CE221" i="75"/>
  <c r="CC221" i="75"/>
  <c r="DF220" i="75"/>
  <c r="DD220" i="75"/>
  <c r="DB220" i="75"/>
  <c r="CZ220" i="75"/>
  <c r="CX220" i="75"/>
  <c r="CV220" i="75"/>
  <c r="CT220" i="75"/>
  <c r="CR220" i="75"/>
  <c r="CP220" i="75"/>
  <c r="CN220" i="75"/>
  <c r="CL220" i="75"/>
  <c r="CJ220" i="75"/>
  <c r="CH220" i="75"/>
  <c r="CF220" i="75"/>
  <c r="CD220" i="75"/>
  <c r="CB220" i="75"/>
  <c r="DG219" i="75"/>
  <c r="DE219" i="75"/>
  <c r="DC219" i="75"/>
  <c r="DA219" i="75"/>
  <c r="CY219" i="75"/>
  <c r="CW219" i="75"/>
  <c r="CU219" i="75"/>
  <c r="CS219" i="75"/>
  <c r="CQ219" i="75"/>
  <c r="CO219" i="75"/>
  <c r="CM219" i="75"/>
  <c r="CK219" i="75"/>
  <c r="CI219" i="75"/>
  <c r="CG219" i="75"/>
  <c r="CE219" i="75"/>
  <c r="CC219" i="75"/>
  <c r="CA219" i="75"/>
  <c r="DF218" i="75"/>
  <c r="DD218" i="75"/>
  <c r="DB218" i="75"/>
  <c r="CZ218" i="75"/>
  <c r="CX218" i="75"/>
  <c r="CV218" i="75"/>
  <c r="CT218" i="75"/>
  <c r="CR218" i="75"/>
  <c r="CP218" i="75"/>
  <c r="CN218" i="75"/>
  <c r="CL218" i="75"/>
  <c r="CJ218" i="75"/>
  <c r="CH218" i="75"/>
  <c r="CF218" i="75"/>
  <c r="CD218" i="75"/>
  <c r="CB218" i="75"/>
  <c r="BZ218" i="75"/>
  <c r="DG217" i="75"/>
  <c r="DE217" i="75"/>
  <c r="DC217" i="75"/>
  <c r="DA217" i="75"/>
  <c r="CY217" i="75"/>
  <c r="CW217" i="75"/>
  <c r="CU217" i="75"/>
  <c r="CS217" i="75"/>
  <c r="CQ217" i="75"/>
  <c r="CO217" i="75"/>
  <c r="CM217" i="75"/>
  <c r="CK217" i="75"/>
  <c r="CI217" i="75"/>
  <c r="CG217" i="75"/>
  <c r="CE217" i="75"/>
  <c r="CC217" i="75"/>
  <c r="CA217" i="75"/>
  <c r="BY217" i="75"/>
  <c r="DF216" i="75"/>
  <c r="DD216" i="75"/>
  <c r="DB216" i="75"/>
  <c r="CZ216" i="75"/>
  <c r="CX216" i="75"/>
  <c r="CV216" i="75"/>
  <c r="CT216" i="75"/>
  <c r="CR216" i="75"/>
  <c r="CP216" i="75"/>
  <c r="CN216" i="75"/>
  <c r="CL216" i="75"/>
  <c r="CJ216" i="75"/>
  <c r="CH216" i="75"/>
  <c r="CF216" i="75"/>
  <c r="CD216" i="75"/>
  <c r="CB216" i="75"/>
  <c r="BZ216" i="75"/>
  <c r="BX216" i="75"/>
  <c r="DG215" i="75"/>
  <c r="DE215" i="75"/>
  <c r="DC215" i="75"/>
  <c r="DA215" i="75"/>
  <c r="CY215" i="75"/>
  <c r="CW215" i="75"/>
  <c r="CU215" i="75"/>
  <c r="CS215" i="75"/>
  <c r="CQ215" i="75"/>
  <c r="CO215" i="75"/>
  <c r="CM215" i="75"/>
  <c r="CK215" i="75"/>
  <c r="CI215" i="75"/>
  <c r="CG215" i="75"/>
  <c r="CE215" i="75"/>
  <c r="CC215" i="75"/>
  <c r="CA215" i="75"/>
  <c r="BY215" i="75"/>
  <c r="BW215" i="75"/>
  <c r="DF214" i="75"/>
  <c r="DD214" i="75"/>
  <c r="DB214" i="75"/>
  <c r="CZ214" i="75"/>
  <c r="CX214" i="75"/>
  <c r="CV214" i="75"/>
  <c r="CT214" i="75"/>
  <c r="CR214" i="75"/>
  <c r="CP214" i="75"/>
  <c r="CN214" i="75"/>
  <c r="CL214" i="75"/>
  <c r="CJ214" i="75"/>
  <c r="CH214" i="75"/>
  <c r="CF214" i="75"/>
  <c r="CD214" i="75"/>
  <c r="CB214" i="75"/>
  <c r="BZ214" i="75"/>
  <c r="BX214" i="75"/>
  <c r="BV214" i="75"/>
  <c r="DG213" i="75"/>
  <c r="DE213" i="75"/>
  <c r="DC213" i="75"/>
  <c r="DA213" i="75"/>
  <c r="CY213" i="75"/>
  <c r="CW213" i="75"/>
  <c r="CU213" i="75"/>
  <c r="CS213" i="75"/>
  <c r="CQ213" i="75"/>
  <c r="CO213" i="75"/>
  <c r="CM213" i="75"/>
  <c r="CK213" i="75"/>
  <c r="CI213" i="75"/>
  <c r="CG213" i="75"/>
  <c r="CE213" i="75"/>
  <c r="CC213" i="75"/>
  <c r="CA213" i="75"/>
  <c r="BY213" i="75"/>
  <c r="BW213" i="75"/>
  <c r="BU213" i="75"/>
  <c r="DF212" i="75"/>
  <c r="DD212" i="75"/>
  <c r="DB212" i="75"/>
  <c r="CZ212" i="75"/>
  <c r="CX212" i="75"/>
  <c r="CV212" i="75"/>
  <c r="CT212" i="75"/>
  <c r="CR212" i="75"/>
  <c r="CP212" i="75"/>
  <c r="CN212" i="75"/>
  <c r="CL212" i="75"/>
  <c r="CJ212" i="75"/>
  <c r="CH212" i="75"/>
  <c r="CF212" i="75"/>
  <c r="CD212" i="75"/>
  <c r="CB212" i="75"/>
  <c r="BZ212" i="75"/>
  <c r="BX212" i="75"/>
  <c r="BV212" i="75"/>
  <c r="BT212" i="75"/>
  <c r="DG211" i="75"/>
  <c r="DE211" i="75"/>
  <c r="DC211" i="75"/>
  <c r="DA211" i="75"/>
  <c r="CY211" i="75"/>
  <c r="CW211" i="75"/>
  <c r="CU211" i="75"/>
  <c r="CS211" i="75"/>
  <c r="CQ211" i="75"/>
  <c r="CO211" i="75"/>
  <c r="CM211" i="75"/>
  <c r="CK211" i="75"/>
  <c r="CI211" i="75"/>
  <c r="CG211" i="75"/>
  <c r="CE211" i="75"/>
  <c r="CC211" i="75"/>
  <c r="CA211" i="75"/>
  <c r="BY211" i="75"/>
  <c r="BW211" i="75"/>
  <c r="BU211" i="75"/>
  <c r="BS211" i="75"/>
  <c r="DF210" i="75"/>
  <c r="DD210" i="75"/>
  <c r="DB210" i="75"/>
  <c r="CZ210" i="75"/>
  <c r="CX210" i="75"/>
  <c r="CV210" i="75"/>
  <c r="CT210" i="75"/>
  <c r="CR210" i="75"/>
  <c r="CP210" i="75"/>
  <c r="CN210" i="75"/>
  <c r="CL210" i="75"/>
  <c r="CJ210" i="75"/>
  <c r="CH210" i="75"/>
  <c r="CF210" i="75"/>
  <c r="CD210" i="75"/>
  <c r="CB210" i="75"/>
  <c r="BZ210" i="75"/>
  <c r="BX210" i="75"/>
  <c r="BV210" i="75"/>
  <c r="BT210" i="75"/>
  <c r="BR210" i="75"/>
  <c r="DG209" i="75"/>
  <c r="DE209" i="75"/>
  <c r="DC209" i="75"/>
  <c r="DA209" i="75"/>
  <c r="CY209" i="75"/>
  <c r="CW209" i="75"/>
  <c r="CU209" i="75"/>
  <c r="CS209" i="75"/>
  <c r="CQ209" i="75"/>
  <c r="CO209" i="75"/>
  <c r="CM209" i="75"/>
  <c r="CK209" i="75"/>
  <c r="CI209" i="75"/>
  <c r="CG209" i="75"/>
  <c r="CE209" i="75"/>
  <c r="CC209" i="75"/>
  <c r="CA209" i="75"/>
  <c r="BY209" i="75"/>
  <c r="BW209" i="75"/>
  <c r="BU209" i="75"/>
  <c r="BS209" i="75"/>
  <c r="BQ209" i="75"/>
  <c r="DF208" i="75"/>
  <c r="DD208" i="75"/>
  <c r="DB208" i="75"/>
  <c r="CZ208" i="75"/>
  <c r="CX208" i="75"/>
  <c r="CV208" i="75"/>
  <c r="CT208" i="75"/>
  <c r="CR208" i="75"/>
  <c r="CP208" i="75"/>
  <c r="CN208" i="75"/>
  <c r="CL208" i="75"/>
  <c r="CJ208" i="75"/>
  <c r="CH208" i="75"/>
  <c r="CF208" i="75"/>
  <c r="CD208" i="75"/>
  <c r="CB208" i="75"/>
  <c r="BZ208" i="75"/>
  <c r="BX208" i="75"/>
  <c r="BV208" i="75"/>
  <c r="BT208" i="75"/>
  <c r="BR208" i="75"/>
  <c r="BP208" i="75"/>
  <c r="DG207" i="75"/>
  <c r="DE207" i="75"/>
  <c r="DC207" i="75"/>
  <c r="DA207" i="75"/>
  <c r="CY207" i="75"/>
  <c r="CW207" i="75"/>
  <c r="CU207" i="75"/>
  <c r="CS207" i="75"/>
  <c r="CQ207" i="75"/>
  <c r="CO207" i="75"/>
  <c r="CM207" i="75"/>
  <c r="CK207" i="75"/>
  <c r="CI207" i="75"/>
  <c r="CG207" i="75"/>
  <c r="CE207" i="75"/>
  <c r="CC207" i="75"/>
  <c r="CA207" i="75"/>
  <c r="BY207" i="75"/>
  <c r="BW207" i="75"/>
  <c r="BU207" i="75"/>
  <c r="BS207" i="75"/>
  <c r="BQ207" i="75"/>
  <c r="BO207" i="75"/>
  <c r="DF206" i="75"/>
  <c r="DD206" i="75"/>
  <c r="DB206" i="75"/>
  <c r="CZ206" i="75"/>
  <c r="CX206" i="75"/>
  <c r="CV206" i="75"/>
  <c r="CT206" i="75"/>
  <c r="CR206" i="75"/>
  <c r="CP206" i="75"/>
  <c r="CN206" i="75"/>
  <c r="CL206" i="75"/>
  <c r="CJ206" i="75"/>
  <c r="CH206" i="75"/>
  <c r="CF206" i="75"/>
  <c r="CD206" i="75"/>
  <c r="CB206" i="75"/>
  <c r="BZ206" i="75"/>
  <c r="BX206" i="75"/>
  <c r="BV206" i="75"/>
  <c r="BT206" i="75"/>
  <c r="BR206" i="75"/>
  <c r="BP206" i="75"/>
  <c r="BN206" i="75"/>
  <c r="DG205" i="75"/>
  <c r="DE205" i="75"/>
  <c r="DC205" i="75"/>
  <c r="DA205" i="75"/>
  <c r="CY205" i="75"/>
  <c r="CW205" i="75"/>
  <c r="CU205" i="75"/>
  <c r="CS205" i="75"/>
  <c r="CQ205" i="75"/>
  <c r="CO205" i="75"/>
  <c r="CM205" i="75"/>
  <c r="CK205" i="75"/>
  <c r="CI205" i="75"/>
  <c r="CG205" i="75"/>
  <c r="CE205" i="75"/>
  <c r="CC205" i="75"/>
  <c r="CA205" i="75"/>
  <c r="BY205" i="75"/>
  <c r="BW205" i="75"/>
  <c r="BU205" i="75"/>
  <c r="BS205" i="75"/>
  <c r="BQ205" i="75"/>
  <c r="BO205" i="75"/>
  <c r="BM205" i="75"/>
  <c r="DF204" i="75"/>
  <c r="DD204" i="75"/>
  <c r="DB204" i="75"/>
  <c r="CZ204" i="75"/>
  <c r="CX204" i="75"/>
  <c r="CV204" i="75"/>
  <c r="CT204" i="75"/>
  <c r="CR204" i="75"/>
  <c r="CP204" i="75"/>
  <c r="CN204" i="75"/>
  <c r="CL204" i="75"/>
  <c r="CJ204" i="75"/>
  <c r="CH204" i="75"/>
  <c r="CF204" i="75"/>
  <c r="CD204" i="75"/>
  <c r="CB204" i="75"/>
  <c r="BZ204" i="75"/>
  <c r="BX204" i="75"/>
  <c r="BV204" i="75"/>
  <c r="BT204" i="75"/>
  <c r="BR204" i="75"/>
  <c r="BP204" i="75"/>
  <c r="BN204" i="75"/>
  <c r="BL204" i="75"/>
  <c r="DG203" i="75"/>
  <c r="DE203" i="75"/>
  <c r="DC203" i="75"/>
  <c r="DA203" i="75"/>
  <c r="CY203" i="75"/>
  <c r="CW203" i="75"/>
  <c r="CU203" i="75"/>
  <c r="CS203" i="75"/>
  <c r="CQ203" i="75"/>
  <c r="CO203" i="75"/>
  <c r="CM203" i="75"/>
  <c r="CK203" i="75"/>
  <c r="CI203" i="75"/>
  <c r="CG203" i="75"/>
  <c r="CE203" i="75"/>
  <c r="CC203" i="75"/>
  <c r="CA203" i="75"/>
  <c r="BY203" i="75"/>
  <c r="BW203" i="75"/>
  <c r="BU203" i="75"/>
  <c r="BS203" i="75"/>
  <c r="BQ203" i="75"/>
  <c r="BO203" i="75"/>
  <c r="BM203" i="75"/>
  <c r="BK203" i="75"/>
  <c r="DF202" i="75"/>
  <c r="DD202" i="75"/>
  <c r="DB202" i="75"/>
  <c r="CZ202" i="75"/>
  <c r="CX202" i="75"/>
  <c r="CV202" i="75"/>
  <c r="CT202" i="75"/>
  <c r="CR202" i="75"/>
  <c r="CP202" i="75"/>
  <c r="CN202" i="75"/>
  <c r="CL202" i="75"/>
  <c r="CJ202" i="75"/>
  <c r="CH202" i="75"/>
  <c r="CF202" i="75"/>
  <c r="CD202" i="75"/>
  <c r="CB202" i="75"/>
  <c r="BZ202" i="75"/>
  <c r="BX202" i="75"/>
  <c r="BV202" i="75"/>
  <c r="BT202" i="75"/>
  <c r="BR202" i="75"/>
  <c r="BP202" i="75"/>
  <c r="BN202" i="75"/>
  <c r="BL202" i="75"/>
  <c r="BJ202" i="75"/>
  <c r="DG201" i="75"/>
  <c r="DE201" i="75"/>
  <c r="DC201" i="75"/>
  <c r="DA201" i="75"/>
  <c r="CY201" i="75"/>
  <c r="CW201" i="75"/>
  <c r="CU201" i="75"/>
  <c r="CS201" i="75"/>
  <c r="CQ201" i="75"/>
  <c r="CO201" i="75"/>
  <c r="CM201" i="75"/>
  <c r="CK201" i="75"/>
  <c r="CI201" i="75"/>
  <c r="CG201" i="75"/>
  <c r="CE201" i="75"/>
  <c r="CC201" i="75"/>
  <c r="CA201" i="75"/>
  <c r="BY201" i="75"/>
  <c r="BW201" i="75"/>
  <c r="BU201" i="75"/>
  <c r="BS201" i="75"/>
  <c r="BQ201" i="75"/>
  <c r="BO201" i="75"/>
  <c r="BM201" i="75"/>
  <c r="BK201" i="75"/>
  <c r="BI201" i="75"/>
  <c r="DF200" i="75"/>
  <c r="DD200" i="75"/>
  <c r="DB200" i="75"/>
  <c r="CZ200" i="75"/>
  <c r="CX200" i="75"/>
  <c r="CV200" i="75"/>
  <c r="CT200" i="75"/>
  <c r="CR200" i="75"/>
  <c r="CP200" i="75"/>
  <c r="CN200" i="75"/>
  <c r="CL200" i="75"/>
  <c r="CJ200" i="75"/>
  <c r="CH200" i="75"/>
  <c r="CF200" i="75"/>
  <c r="CD200" i="75"/>
  <c r="CB200" i="75"/>
  <c r="BZ200" i="75"/>
  <c r="BX200" i="75"/>
  <c r="BV200" i="75"/>
  <c r="BT200" i="75"/>
  <c r="BR200" i="75"/>
  <c r="BP200" i="75"/>
  <c r="BN200" i="75"/>
  <c r="BL200" i="75"/>
  <c r="BJ200" i="75"/>
  <c r="BH200" i="75"/>
  <c r="DG199" i="75"/>
  <c r="DE199" i="75"/>
  <c r="DC199" i="75"/>
  <c r="DA199" i="75"/>
  <c r="CY199" i="75"/>
  <c r="CW199" i="75"/>
  <c r="CU199" i="75"/>
  <c r="CS199" i="75"/>
  <c r="CQ199" i="75"/>
  <c r="CO199" i="75"/>
  <c r="CM199" i="75"/>
  <c r="CK199" i="75"/>
  <c r="CI199" i="75"/>
  <c r="CG199" i="75"/>
  <c r="CE199" i="75"/>
  <c r="CC199" i="75"/>
  <c r="CA199" i="75"/>
  <c r="BY199" i="75"/>
  <c r="BW199" i="75"/>
  <c r="BU199" i="75"/>
  <c r="BS199" i="75"/>
  <c r="BQ199" i="75"/>
  <c r="BO199" i="75"/>
  <c r="BM199" i="75"/>
  <c r="BK199" i="75"/>
  <c r="BI199" i="75"/>
  <c r="BG199" i="75"/>
  <c r="DF198" i="75"/>
  <c r="DD198" i="75"/>
  <c r="DB198" i="75"/>
  <c r="CZ198" i="75"/>
  <c r="CX198" i="75"/>
  <c r="CV198" i="75"/>
  <c r="CT198" i="75"/>
  <c r="CR198" i="75"/>
  <c r="CP198" i="75"/>
  <c r="CN198" i="75"/>
  <c r="CL198" i="75"/>
  <c r="CJ198" i="75"/>
  <c r="CH198" i="75"/>
  <c r="CF198" i="75"/>
  <c r="CD198" i="75"/>
  <c r="CB198" i="75"/>
  <c r="BZ198" i="75"/>
  <c r="BX198" i="75"/>
  <c r="BV198" i="75"/>
  <c r="BT198" i="75"/>
  <c r="BR198" i="75"/>
  <c r="BP198" i="75"/>
  <c r="BN198" i="75"/>
  <c r="BL198" i="75"/>
  <c r="BJ198" i="75"/>
  <c r="BH198" i="75"/>
  <c r="BF198" i="75"/>
  <c r="DG197" i="75"/>
  <c r="DE197" i="75"/>
  <c r="DC197" i="75"/>
  <c r="DA197" i="75"/>
  <c r="CY197" i="75"/>
  <c r="CW197" i="75"/>
  <c r="CU197" i="75"/>
  <c r="CS197" i="75"/>
  <c r="CQ197" i="75"/>
  <c r="CO197" i="75"/>
  <c r="CM197" i="75"/>
  <c r="CK197" i="75"/>
  <c r="CI197" i="75"/>
  <c r="CG197" i="75"/>
  <c r="CE197" i="75"/>
  <c r="CC197" i="75"/>
  <c r="CA197" i="75"/>
  <c r="BY197" i="75"/>
  <c r="BW197" i="75"/>
  <c r="BU197" i="75"/>
  <c r="BS197" i="75"/>
  <c r="BQ197" i="75"/>
  <c r="BO197" i="75"/>
  <c r="BM197" i="75"/>
  <c r="BK197" i="75"/>
  <c r="BI197" i="75"/>
  <c r="BG197" i="75"/>
  <c r="BE197" i="75"/>
  <c r="DF196" i="75"/>
  <c r="DD196" i="75"/>
  <c r="DB196" i="75"/>
  <c r="CZ196" i="75"/>
  <c r="CX196" i="75"/>
  <c r="CV196" i="75"/>
  <c r="CT196" i="75"/>
  <c r="CR196" i="75"/>
  <c r="CP196" i="75"/>
  <c r="CN196" i="75"/>
  <c r="CL196" i="75"/>
  <c r="CJ196" i="75"/>
  <c r="CH196" i="75"/>
  <c r="CF196" i="75"/>
  <c r="CD196" i="75"/>
  <c r="CB196" i="75"/>
  <c r="BZ196" i="75"/>
  <c r="BX196" i="75"/>
  <c r="BV196" i="75"/>
  <c r="BT196" i="75"/>
  <c r="BR196" i="75"/>
  <c r="BP196" i="75"/>
  <c r="BN196" i="75"/>
  <c r="BL196" i="75"/>
  <c r="BJ196" i="75"/>
  <c r="BH196" i="75"/>
  <c r="BF196" i="75"/>
  <c r="BD196" i="75"/>
  <c r="I591" i="1"/>
  <c r="J591" i="1" s="1"/>
  <c r="AR591" i="1" s="1"/>
  <c r="AM593" i="1"/>
  <c r="AJ593" i="1"/>
  <c r="S593" i="1"/>
  <c r="I17" i="75"/>
  <c r="J17" i="75" s="1"/>
  <c r="I21" i="75"/>
  <c r="J21" i="75" s="1"/>
  <c r="A5" i="75"/>
  <c r="B5" i="75" s="1"/>
  <c r="K5" i="75"/>
  <c r="S5" i="75"/>
  <c r="A6" i="75"/>
  <c r="B6" i="75" s="1"/>
  <c r="S6" i="75"/>
  <c r="A7" i="75"/>
  <c r="B7" i="75" s="1"/>
  <c r="I7" i="75"/>
  <c r="J7" i="75" s="1"/>
  <c r="K7" i="75"/>
  <c r="L7" i="75"/>
  <c r="S7" i="75"/>
  <c r="A8" i="75"/>
  <c r="B8" i="75" s="1"/>
  <c r="I8" i="75"/>
  <c r="J8" i="75" s="1"/>
  <c r="K8" i="75"/>
  <c r="L8" i="75"/>
  <c r="S8" i="75"/>
  <c r="A9" i="75"/>
  <c r="B9" i="75" s="1"/>
  <c r="I9" i="75"/>
  <c r="J9" i="75" s="1"/>
  <c r="K9" i="75"/>
  <c r="L9" i="75"/>
  <c r="S9" i="75"/>
  <c r="A10" i="75"/>
  <c r="B10" i="75" s="1"/>
  <c r="I10" i="75"/>
  <c r="J10" i="75" s="1"/>
  <c r="K10" i="75"/>
  <c r="L10" i="75"/>
  <c r="S10" i="75"/>
  <c r="A11" i="75"/>
  <c r="B11" i="75" s="1"/>
  <c r="I11" i="75"/>
  <c r="J11" i="75" s="1"/>
  <c r="K11" i="75"/>
  <c r="L11" i="75"/>
  <c r="S11" i="75"/>
  <c r="A12" i="75"/>
  <c r="B12" i="75" s="1"/>
  <c r="I12" i="75"/>
  <c r="J12" i="75" s="1"/>
  <c r="K12" i="75"/>
  <c r="L12" i="75"/>
  <c r="S12" i="75"/>
  <c r="A13" i="75"/>
  <c r="B13" i="75" s="1"/>
  <c r="I13" i="75"/>
  <c r="J13" i="75" s="1"/>
  <c r="K13" i="75"/>
  <c r="L13" i="75"/>
  <c r="S13" i="75"/>
  <c r="A14" i="75"/>
  <c r="B14" i="75" s="1"/>
  <c r="I14" i="75"/>
  <c r="J14" i="75" s="1"/>
  <c r="K14" i="75"/>
  <c r="L14" i="75"/>
  <c r="S14" i="75"/>
  <c r="A15" i="75"/>
  <c r="B15" i="75" s="1"/>
  <c r="I15" i="75"/>
  <c r="J15" i="75" s="1"/>
  <c r="K15" i="75"/>
  <c r="L15" i="75"/>
  <c r="S15" i="75"/>
  <c r="A16" i="75"/>
  <c r="B16" i="75" s="1"/>
  <c r="I16" i="75"/>
  <c r="J16" i="75" s="1"/>
  <c r="K16" i="75"/>
  <c r="L16" i="75"/>
  <c r="S16" i="75"/>
  <c r="A17" i="75"/>
  <c r="B17" i="75" s="1"/>
  <c r="K17" i="75"/>
  <c r="L17" i="75"/>
  <c r="S17" i="75"/>
  <c r="A18" i="75"/>
  <c r="B18" i="75" s="1"/>
  <c r="I18" i="75"/>
  <c r="J18" i="75" s="1"/>
  <c r="K18" i="75"/>
  <c r="L18" i="75"/>
  <c r="S18" i="75"/>
  <c r="A19" i="75"/>
  <c r="B19" i="75" s="1"/>
  <c r="I19" i="75"/>
  <c r="J19" i="75" s="1"/>
  <c r="K19" i="75"/>
  <c r="L19" i="75"/>
  <c r="S19" i="75"/>
  <c r="A20" i="75"/>
  <c r="B20" i="75" s="1"/>
  <c r="I20" i="75"/>
  <c r="J20" i="75" s="1"/>
  <c r="K20" i="75"/>
  <c r="L20" i="75"/>
  <c r="S20" i="75"/>
  <c r="A21" i="75"/>
  <c r="B21" i="75" s="1"/>
  <c r="K21" i="75"/>
  <c r="L21" i="75"/>
  <c r="S21" i="75"/>
  <c r="A22" i="75"/>
  <c r="B22" i="75" s="1"/>
  <c r="I22" i="75"/>
  <c r="J22" i="75" s="1"/>
  <c r="K22" i="75"/>
  <c r="L22" i="75"/>
  <c r="S22" i="75"/>
  <c r="A23" i="75"/>
  <c r="B23" i="75" s="1"/>
  <c r="I23" i="75"/>
  <c r="J23" i="75" s="1"/>
  <c r="K23" i="75"/>
  <c r="L23" i="75"/>
  <c r="S23" i="75"/>
  <c r="A24" i="75"/>
  <c r="B24" i="75" s="1"/>
  <c r="I24" i="75"/>
  <c r="J24" i="75" s="1"/>
  <c r="K24" i="75"/>
  <c r="L24" i="75"/>
  <c r="S24" i="75"/>
  <c r="A25" i="75"/>
  <c r="B25" i="75" s="1"/>
  <c r="I25" i="75"/>
  <c r="J25" i="75" s="1"/>
  <c r="K25" i="75"/>
  <c r="L25" i="75"/>
  <c r="S25" i="75"/>
  <c r="A26" i="75"/>
  <c r="B26" i="75" s="1"/>
  <c r="I26" i="75"/>
  <c r="J26" i="75" s="1"/>
  <c r="K26" i="75"/>
  <c r="L26" i="75"/>
  <c r="S26" i="75"/>
  <c r="A27" i="75"/>
  <c r="B27" i="75" s="1"/>
  <c r="I27" i="75"/>
  <c r="J27" i="75" s="1"/>
  <c r="K27" i="75"/>
  <c r="L27" i="75"/>
  <c r="S27" i="75"/>
  <c r="A31" i="75"/>
  <c r="I31" i="75"/>
  <c r="J31" i="75" s="1"/>
  <c r="K31" i="75"/>
  <c r="L31" i="75"/>
  <c r="S31" i="75"/>
  <c r="U31" i="75"/>
  <c r="A32" i="75"/>
  <c r="I32" i="75"/>
  <c r="J32" i="75" s="1"/>
  <c r="K32" i="75"/>
  <c r="L32" i="75"/>
  <c r="U32" i="75"/>
  <c r="S32" i="75"/>
  <c r="A33" i="75"/>
  <c r="I33" i="75"/>
  <c r="J33" i="75" s="1"/>
  <c r="K33" i="75"/>
  <c r="L33" i="75"/>
  <c r="S33" i="75"/>
  <c r="U33" i="75"/>
  <c r="A34" i="75"/>
  <c r="I34" i="75"/>
  <c r="J34" i="75" s="1"/>
  <c r="K34" i="75"/>
  <c r="L34" i="75"/>
  <c r="S34" i="75"/>
  <c r="U34" i="75"/>
  <c r="A35" i="75"/>
  <c r="I35" i="75"/>
  <c r="J35" i="75" s="1"/>
  <c r="K35" i="75"/>
  <c r="L35" i="75"/>
  <c r="S35" i="75"/>
  <c r="U35" i="75"/>
  <c r="A36" i="75"/>
  <c r="I36" i="75"/>
  <c r="J36" i="75" s="1"/>
  <c r="K36" i="75"/>
  <c r="L36" i="75"/>
  <c r="S36" i="75"/>
  <c r="U36" i="75"/>
  <c r="A37" i="75"/>
  <c r="I37" i="75"/>
  <c r="J37" i="75" s="1"/>
  <c r="K37" i="75"/>
  <c r="L37" i="75"/>
  <c r="S37" i="75"/>
  <c r="U37" i="75"/>
  <c r="AT591" i="1"/>
  <c r="DF12" i="90"/>
  <c r="DG12" i="90"/>
  <c r="DE12" i="90"/>
  <c r="DK12" i="90" s="1"/>
  <c r="R11" i="101"/>
  <c r="BZ1057" i="75"/>
  <c r="CW25" i="90"/>
  <c r="CW138" i="90"/>
  <c r="DC62" i="90"/>
  <c r="DB99" i="90"/>
  <c r="DC25" i="90"/>
  <c r="CS25" i="90"/>
  <c r="CY99" i="90"/>
  <c r="CV138" i="90"/>
  <c r="CU138" i="90"/>
  <c r="CX99" i="90"/>
  <c r="DA25" i="90"/>
  <c r="CZ25" i="90"/>
  <c r="DA99" i="90"/>
  <c r="CV99" i="90"/>
  <c r="CW99" i="90"/>
  <c r="CR99" i="90"/>
  <c r="CX62" i="90"/>
  <c r="DC99" i="90"/>
  <c r="CT25" i="90"/>
  <c r="CR25" i="90"/>
  <c r="CY138" i="90"/>
  <c r="DB25" i="90"/>
  <c r="CY25" i="90"/>
  <c r="CX25" i="90"/>
  <c r="CS138" i="90"/>
  <c r="CV25" i="90"/>
  <c r="DB138" i="90"/>
  <c r="CU99" i="90"/>
  <c r="CZ99" i="90"/>
  <c r="CT99" i="90"/>
  <c r="CU25" i="90"/>
  <c r="CS99" i="90"/>
  <c r="N11" i="101"/>
  <c r="CV62" i="90"/>
  <c r="CU62" i="90"/>
  <c r="CZ62" i="90"/>
  <c r="CT62" i="90"/>
  <c r="DA62" i="90"/>
  <c r="CY62" i="90"/>
  <c r="CR62" i="90"/>
  <c r="CW62" i="90"/>
  <c r="CS62" i="90"/>
  <c r="DB62" i="90"/>
  <c r="J14" i="101"/>
  <c r="K14" i="101"/>
  <c r="I14" i="101"/>
  <c r="CR138" i="90"/>
  <c r="DC138" i="90"/>
  <c r="CT138" i="90"/>
  <c r="DA138" i="90"/>
  <c r="CZ138" i="90"/>
  <c r="CX138" i="90"/>
  <c r="N14" i="101"/>
  <c r="J11" i="101"/>
  <c r="K11" i="101"/>
  <c r="I11" i="101"/>
  <c r="AA17" i="101"/>
  <c r="Y17" i="101"/>
  <c r="AA14" i="101"/>
  <c r="Y14" i="101"/>
  <c r="AC17" i="101"/>
  <c r="C17" i="101"/>
  <c r="C14" i="101"/>
  <c r="S17" i="101"/>
  <c r="R47" i="1"/>
  <c r="AJ47" i="1" s="1"/>
  <c r="U17" i="101"/>
  <c r="AF17" i="101"/>
  <c r="AE17" i="101"/>
  <c r="AD17" i="101"/>
  <c r="D17" i="101"/>
  <c r="U14" i="101"/>
  <c r="B15" i="105"/>
  <c r="B23" i="105"/>
  <c r="M11" i="101"/>
  <c r="H20" i="114"/>
  <c r="H60" i="114"/>
  <c r="H80" i="114"/>
  <c r="H100" i="114"/>
  <c r="H120" i="114"/>
  <c r="H140" i="114"/>
  <c r="H50" i="115"/>
  <c r="H70" i="115"/>
  <c r="H120" i="115"/>
  <c r="H180" i="116"/>
  <c r="G31" i="116"/>
  <c r="EC86" i="90"/>
  <c r="EG99" i="90"/>
  <c r="EG86" i="90"/>
  <c r="C26" i="91"/>
  <c r="H26" i="91" s="1"/>
  <c r="C18" i="100"/>
  <c r="E18" i="100" s="1" a="1"/>
  <c r="E18" i="100" s="1"/>
  <c r="G20" i="102"/>
  <c r="H20" i="102" s="1"/>
  <c r="C17" i="100"/>
  <c r="E17" i="100" s="1" a="1"/>
  <c r="E17" i="100" s="1"/>
  <c r="G19" i="102"/>
  <c r="J19" i="102" s="1"/>
  <c r="DD8" i="1"/>
  <c r="G17" i="102"/>
  <c r="J17" i="102" s="1"/>
  <c r="G18" i="102"/>
  <c r="H18" i="102" s="1"/>
  <c r="J180" i="114"/>
  <c r="C11" i="100"/>
  <c r="E11" i="100" s="1" a="1"/>
  <c r="E11" i="100" s="1"/>
  <c r="B10" i="100"/>
  <c r="H30" i="115"/>
  <c r="B8" i="100"/>
  <c r="R29" i="1"/>
  <c r="AJ29" i="1" s="1"/>
  <c r="B11" i="101"/>
  <c r="DV8" i="1"/>
  <c r="R38" i="1"/>
  <c r="AJ38" i="1" s="1"/>
  <c r="B16" i="100"/>
  <c r="D9" i="100"/>
  <c r="D11" i="102" s="1"/>
  <c r="D12" i="100"/>
  <c r="D14" i="102" s="1"/>
  <c r="CM86" i="90"/>
  <c r="CM49" i="90"/>
  <c r="B13" i="100"/>
  <c r="B15" i="102" s="1"/>
  <c r="G16" i="102"/>
  <c r="H16" i="102" s="1"/>
  <c r="G14" i="102"/>
  <c r="H14" i="102" s="1"/>
  <c r="G13" i="102"/>
  <c r="H13" i="102" s="1"/>
  <c r="G15" i="102"/>
  <c r="F15" i="102" s="1"/>
  <c r="CW8" i="1"/>
  <c r="EM8" i="1"/>
  <c r="CB8" i="1"/>
  <c r="CF8" i="1" s="1"/>
  <c r="CS8" i="1"/>
  <c r="EH8" i="1"/>
  <c r="DK8" i="1"/>
  <c r="CN8" i="1"/>
  <c r="EC8" i="1"/>
  <c r="DA8" i="1"/>
  <c r="CJ8" i="1"/>
  <c r="ER8" i="1"/>
  <c r="DB8" i="1"/>
  <c r="DG8" i="1"/>
  <c r="DL8" i="1"/>
  <c r="CO8" i="1"/>
  <c r="ES8" i="1"/>
  <c r="CK8" i="1"/>
  <c r="EN8" i="1"/>
  <c r="CC8" i="1"/>
  <c r="CG8" i="1" s="1"/>
  <c r="CX8" i="1"/>
  <c r="EI8" i="1"/>
  <c r="CT8" i="1"/>
  <c r="ED8" i="1"/>
  <c r="E11" i="102"/>
  <c r="Y105" i="102"/>
  <c r="W106" i="102"/>
  <c r="Y107" i="102"/>
  <c r="W122" i="102"/>
  <c r="Y113" i="102"/>
  <c r="Y127" i="102"/>
  <c r="Z190" i="100"/>
  <c r="W118" i="102"/>
  <c r="Z121" i="102"/>
  <c r="Y123" i="102"/>
  <c r="X112" i="102"/>
  <c r="V113" i="102"/>
  <c r="AB190" i="100"/>
  <c r="Y115" i="102"/>
  <c r="Y119" i="102"/>
  <c r="X106" i="102"/>
  <c r="X115" i="102"/>
  <c r="Z158" i="102"/>
  <c r="V156" i="102"/>
  <c r="Y178" i="102"/>
  <c r="Z176" i="102"/>
  <c r="Y140" i="102"/>
  <c r="W151" i="102"/>
  <c r="Y152" i="102"/>
  <c r="W169" i="102"/>
  <c r="W159" i="102"/>
  <c r="W173" i="102"/>
  <c r="Y174" i="102"/>
  <c r="AF330" i="100"/>
  <c r="AJ328" i="100"/>
  <c r="W177" i="102"/>
  <c r="Z180" i="102"/>
  <c r="AF310" i="100"/>
  <c r="AH308" i="100"/>
  <c r="AA152" i="102" s="1"/>
  <c r="AB310" i="100"/>
  <c r="AB318" i="100"/>
  <c r="AD330" i="100"/>
  <c r="X85" i="102"/>
  <c r="X105" i="102"/>
  <c r="V115" i="102"/>
  <c r="V123" i="102"/>
  <c r="V127" i="102"/>
  <c r="Z91" i="102"/>
  <c r="Z95" i="102"/>
  <c r="Y111" i="102"/>
  <c r="X128" i="102"/>
  <c r="Z129" i="102"/>
  <c r="Y104" i="102"/>
  <c r="X108" i="102"/>
  <c r="Z109" i="102"/>
  <c r="V112" i="102"/>
  <c r="W108" i="102"/>
  <c r="Z111" i="102"/>
  <c r="W112" i="102"/>
  <c r="Z115" i="102"/>
  <c r="Z119" i="102"/>
  <c r="X121" i="102"/>
  <c r="X129" i="102"/>
  <c r="Y168" i="102"/>
  <c r="Y160" i="102"/>
  <c r="W99" i="102"/>
  <c r="W88" i="102"/>
  <c r="W96" i="102"/>
  <c r="W89" i="102"/>
  <c r="M28" i="102"/>
  <c r="K31" i="100"/>
  <c r="K30" i="100"/>
  <c r="K10" i="100"/>
  <c r="N10" i="100" s="1"/>
  <c r="M26" i="102"/>
  <c r="L24" i="102"/>
  <c r="L44" i="102"/>
  <c r="K29" i="102"/>
  <c r="K28" i="102"/>
  <c r="K30" i="102"/>
  <c r="K36" i="102"/>
  <c r="K16" i="102"/>
  <c r="K37" i="102"/>
  <c r="K45" i="102"/>
  <c r="K35" i="102"/>
  <c r="K39" i="102"/>
  <c r="K20" i="102"/>
  <c r="K25" i="102"/>
  <c r="K23" i="102"/>
  <c r="K42" i="102"/>
  <c r="K43" i="102"/>
  <c r="K26" i="102"/>
  <c r="K44" i="102"/>
  <c r="K19" i="102"/>
  <c r="K12" i="102"/>
  <c r="W18" i="102"/>
  <c r="W33" i="102"/>
  <c r="C180" i="102"/>
  <c r="Q6" i="75"/>
  <c r="DV49" i="125"/>
  <c r="DV25" i="125"/>
  <c r="I16" i="110"/>
  <c r="EK86" i="90"/>
  <c r="I13" i="110"/>
  <c r="EV49" i="90"/>
  <c r="I24" i="110"/>
  <c r="EY49" i="125"/>
  <c r="ER86" i="125"/>
  <c r="EK49" i="90"/>
  <c r="I14" i="110"/>
  <c r="I15" i="110"/>
  <c r="EN49" i="125"/>
  <c r="EN86" i="125"/>
  <c r="I23" i="110"/>
  <c r="EE86" i="125"/>
  <c r="EY86" i="125"/>
  <c r="EV86" i="90"/>
  <c r="I22" i="110"/>
  <c r="H190" i="112" l="1"/>
  <c r="D129" i="112"/>
  <c r="F129" i="112" s="1"/>
  <c r="D118" i="112"/>
  <c r="H160" i="112"/>
  <c r="I26" i="116"/>
  <c r="J120" i="116"/>
  <c r="H20" i="112"/>
  <c r="H170" i="115"/>
  <c r="D38" i="112"/>
  <c r="E38" i="112" s="1"/>
  <c r="J38" i="112" s="1"/>
  <c r="D119" i="112"/>
  <c r="E119" i="112" s="1"/>
  <c r="J119" i="112" s="1"/>
  <c r="D18" i="116"/>
  <c r="F18" i="116" s="1"/>
  <c r="I198" i="116"/>
  <c r="CR1163" i="75"/>
  <c r="C27" i="101"/>
  <c r="Z200" i="100"/>
  <c r="BJ983" i="75"/>
  <c r="J10" i="116"/>
  <c r="CX1257" i="75"/>
  <c r="D30" i="113"/>
  <c r="M30" i="113" s="1"/>
  <c r="CJ223" i="75"/>
  <c r="DF911" i="75"/>
  <c r="DD912" i="75" s="1" a="1"/>
  <c r="CV1055" i="75"/>
  <c r="DF741" i="75"/>
  <c r="BL1047" i="75"/>
  <c r="I138" i="115"/>
  <c r="I187" i="115"/>
  <c r="AJ193" i="100"/>
  <c r="H200" i="112"/>
  <c r="H130" i="112"/>
  <c r="H20" i="115"/>
  <c r="H150" i="112"/>
  <c r="I116" i="115"/>
  <c r="I219" i="115"/>
  <c r="G133" i="116"/>
  <c r="G193" i="116"/>
  <c r="G215" i="116"/>
  <c r="AH336" i="100"/>
  <c r="AA180" i="102" s="1"/>
  <c r="AE3" i="126"/>
  <c r="DC8" i="1"/>
  <c r="DJ8" i="1"/>
  <c r="DM8" i="1"/>
  <c r="EB8" i="1"/>
  <c r="EG8" i="1"/>
  <c r="EL8" i="1"/>
  <c r="CA8" i="1"/>
  <c r="CE8" i="1" s="1"/>
  <c r="EO8" i="1"/>
  <c r="CI8" i="1"/>
  <c r="CL8" i="1"/>
  <c r="CP517" i="75"/>
  <c r="CT709" i="75"/>
  <c r="CL985" i="75"/>
  <c r="DF485" i="75"/>
  <c r="G120" i="113"/>
  <c r="N111" i="113" s="1"/>
  <c r="I29" i="116"/>
  <c r="I183" i="116"/>
  <c r="CN385" i="75"/>
  <c r="DD401" i="75"/>
  <c r="CR463" i="75"/>
  <c r="CZ1207" i="75"/>
  <c r="G212" i="116"/>
  <c r="H140" i="115"/>
  <c r="G129" i="112"/>
  <c r="I39" i="116"/>
  <c r="I59" i="116"/>
  <c r="I111" i="116"/>
  <c r="I133" i="116"/>
  <c r="I158" i="116"/>
  <c r="I194" i="116"/>
  <c r="AB317" i="100"/>
  <c r="DE1275" i="75"/>
  <c r="DF1275" i="75" s="1"/>
  <c r="CV211" i="75"/>
  <c r="CF219" i="75"/>
  <c r="BH257" i="75"/>
  <c r="CN289" i="75"/>
  <c r="CF391" i="75"/>
  <c r="I83" i="116"/>
  <c r="I121" i="116"/>
  <c r="I167" i="116"/>
  <c r="D207" i="115"/>
  <c r="F207" i="115" s="1"/>
  <c r="CP223" i="75"/>
  <c r="CP533" i="75"/>
  <c r="CR647" i="75"/>
  <c r="I14" i="112"/>
  <c r="D110" i="113"/>
  <c r="M101" i="113" s="1"/>
  <c r="Z315" i="100"/>
  <c r="Z193" i="100"/>
  <c r="H12" i="125"/>
  <c r="CD1165" i="75"/>
  <c r="G19" i="114"/>
  <c r="H40" i="112"/>
  <c r="CD579" i="75"/>
  <c r="DF649" i="75"/>
  <c r="DB1087" i="75"/>
  <c r="I13" i="115"/>
  <c r="G68" i="116"/>
  <c r="I105" i="116"/>
  <c r="I122" i="116"/>
  <c r="I141" i="116"/>
  <c r="I207" i="116"/>
  <c r="I224" i="116"/>
  <c r="AJ321" i="100"/>
  <c r="DF787" i="75"/>
  <c r="CD385" i="75"/>
  <c r="BN1047" i="75"/>
  <c r="DB1193" i="75"/>
  <c r="CR231" i="75"/>
  <c r="CR233" i="75"/>
  <c r="CV393" i="75"/>
  <c r="BT439" i="75"/>
  <c r="CB457" i="75"/>
  <c r="CJ507" i="75"/>
  <c r="CR533" i="75"/>
  <c r="CR569" i="75"/>
  <c r="CF575" i="75"/>
  <c r="DD581" i="75"/>
  <c r="CN625" i="75"/>
  <c r="CZ629" i="75"/>
  <c r="BT689" i="75"/>
  <c r="CV693" i="75"/>
  <c r="CZ941" i="75"/>
  <c r="CR1249" i="75"/>
  <c r="CT1045" i="75"/>
  <c r="DF1123" i="75"/>
  <c r="CT577" i="75"/>
  <c r="CL817" i="75"/>
  <c r="J33" i="115"/>
  <c r="CR951" i="75"/>
  <c r="D20" i="113"/>
  <c r="F20" i="113" s="1"/>
  <c r="D16" i="116"/>
  <c r="G216" i="116"/>
  <c r="Q10" i="100"/>
  <c r="R12" i="102" s="1"/>
  <c r="Q9" i="100"/>
  <c r="S9" i="100" s="1"/>
  <c r="S11" i="102" s="1"/>
  <c r="AD332" i="100"/>
  <c r="AD292" i="100"/>
  <c r="AF316" i="100"/>
  <c r="AB296" i="100"/>
  <c r="AD310" i="100"/>
  <c r="AD168" i="100"/>
  <c r="AF171" i="100"/>
  <c r="Z326" i="100"/>
  <c r="Z289" i="100"/>
  <c r="AJ298" i="100"/>
  <c r="AB172" i="100"/>
  <c r="H12" i="90"/>
  <c r="I12" i="90"/>
  <c r="A45" i="100"/>
  <c r="A47" i="102" s="1"/>
  <c r="G47" i="102" a="1"/>
  <c r="G47" i="102" s="1"/>
  <c r="F47" i="102" s="1"/>
  <c r="G46" i="102" a="1"/>
  <c r="G46" i="102" s="1"/>
  <c r="AC11" i="126"/>
  <c r="T11" i="126"/>
  <c r="C11" i="126"/>
  <c r="AA11" i="126"/>
  <c r="Y11" i="126"/>
  <c r="D11" i="126"/>
  <c r="J4" i="125"/>
  <c r="AA10" i="124"/>
  <c r="AC10" i="124"/>
  <c r="T13" i="126" s="1"/>
  <c r="I155" i="116"/>
  <c r="DF487" i="75"/>
  <c r="H90" i="114"/>
  <c r="I159" i="116"/>
  <c r="H110" i="115"/>
  <c r="BT685" i="75"/>
  <c r="DC731" i="75" a="1"/>
  <c r="DC732" i="75" s="1"/>
  <c r="CZ945" i="75"/>
  <c r="DD949" i="75"/>
  <c r="CN1015" i="75"/>
  <c r="DD1233" i="75"/>
  <c r="I66" i="115"/>
  <c r="I75" i="116"/>
  <c r="I96" i="116"/>
  <c r="I119" i="116"/>
  <c r="I154" i="116"/>
  <c r="I197" i="116"/>
  <c r="AH192" i="100"/>
  <c r="AA115" i="102" s="1"/>
  <c r="I152" i="116"/>
  <c r="H60" i="115"/>
  <c r="Z298" i="100"/>
  <c r="CZ243" i="75"/>
  <c r="BR621" i="75"/>
  <c r="CP1061" i="75"/>
  <c r="BR1105" i="75"/>
  <c r="D69" i="112"/>
  <c r="F69" i="112" s="1"/>
  <c r="G83" i="112"/>
  <c r="G168" i="112"/>
  <c r="D98" i="115"/>
  <c r="F98" i="115" s="1"/>
  <c r="D34" i="116"/>
  <c r="AJ174" i="100"/>
  <c r="H38" i="115"/>
  <c r="CL397" i="75"/>
  <c r="CT457" i="75"/>
  <c r="DB473" i="75"/>
  <c r="DB571" i="75"/>
  <c r="CL757" i="75"/>
  <c r="BZ807" i="75"/>
  <c r="CL925" i="75"/>
  <c r="DB1075" i="75"/>
  <c r="D142" i="115"/>
  <c r="G36" i="116"/>
  <c r="G77" i="116"/>
  <c r="G96" i="116"/>
  <c r="G138" i="116"/>
  <c r="CN389" i="75"/>
  <c r="CJ393" i="75"/>
  <c r="CF803" i="75"/>
  <c r="BX861" i="75"/>
  <c r="CV1059" i="75"/>
  <c r="G13" i="114"/>
  <c r="D27" i="116"/>
  <c r="D149" i="116"/>
  <c r="DF225" i="75"/>
  <c r="CV239" i="75"/>
  <c r="DB257" i="75"/>
  <c r="BJ321" i="75"/>
  <c r="DB349" i="75"/>
  <c r="CX353" i="75"/>
  <c r="CD377" i="75"/>
  <c r="CT417" i="75"/>
  <c r="BR499" i="75"/>
  <c r="DB627" i="75"/>
  <c r="CP629" i="75"/>
  <c r="DF715" i="75"/>
  <c r="DB815" i="75"/>
  <c r="BJ925" i="75"/>
  <c r="CX1059" i="75"/>
  <c r="DB1115" i="75"/>
  <c r="BV1167" i="75"/>
  <c r="BZ1173" i="75"/>
  <c r="CP1187" i="75"/>
  <c r="CH1233" i="75"/>
  <c r="DB1253" i="75"/>
  <c r="R38" i="115"/>
  <c r="D149" i="115"/>
  <c r="J210" i="115"/>
  <c r="H170" i="112"/>
  <c r="BT203" i="75"/>
  <c r="CR229" i="75"/>
  <c r="CZ279" i="75"/>
  <c r="CV563" i="75"/>
  <c r="CZ567" i="75"/>
  <c r="CZ581" i="75"/>
  <c r="CY727" i="75" a="1"/>
  <c r="CZ799" i="75"/>
  <c r="CV863" i="75"/>
  <c r="CN869" i="75"/>
  <c r="CV999" i="75"/>
  <c r="CZ1169" i="75"/>
  <c r="CB1175" i="75"/>
  <c r="CB1221" i="75"/>
  <c r="CJ1245" i="75"/>
  <c r="D78" i="112"/>
  <c r="D179" i="112"/>
  <c r="CV223" i="75"/>
  <c r="DD291" i="75"/>
  <c r="CV335" i="75"/>
  <c r="CF403" i="75"/>
  <c r="DC489" i="75" a="1"/>
  <c r="CJ565" i="75"/>
  <c r="DD639" i="75"/>
  <c r="BT753" i="75"/>
  <c r="CF759" i="75"/>
  <c r="CZ831" i="75"/>
  <c r="DB1083" i="75"/>
  <c r="CB1117" i="75"/>
  <c r="CB327" i="75"/>
  <c r="CB697" i="75"/>
  <c r="DD761" i="75"/>
  <c r="DD935" i="75"/>
  <c r="CX963" i="75"/>
  <c r="CV964" i="75"/>
  <c r="CF1057" i="75"/>
  <c r="D172" i="116"/>
  <c r="D177" i="116"/>
  <c r="DD1080" i="75"/>
  <c r="DF1079" i="75"/>
  <c r="CX1263" i="75"/>
  <c r="DF837" i="75"/>
  <c r="C19" i="102"/>
  <c r="C20" i="102"/>
  <c r="A18" i="100"/>
  <c r="A20" i="102" s="1"/>
  <c r="CV963" i="75"/>
  <c r="J80" i="112"/>
  <c r="H80" i="112"/>
  <c r="H100" i="112"/>
  <c r="J100" i="112"/>
  <c r="J140" i="112"/>
  <c r="H140" i="112"/>
  <c r="J36" i="115"/>
  <c r="H36" i="115"/>
  <c r="J180" i="115"/>
  <c r="H180" i="115"/>
  <c r="I35" i="116"/>
  <c r="I34" i="116"/>
  <c r="I31" i="116"/>
  <c r="I33" i="116"/>
  <c r="I55" i="116"/>
  <c r="I57" i="116"/>
  <c r="I136" i="116"/>
  <c r="I135" i="116"/>
  <c r="I134" i="116"/>
  <c r="I138" i="116"/>
  <c r="I173" i="116"/>
  <c r="I172" i="116"/>
  <c r="I176" i="116"/>
  <c r="I175" i="116"/>
  <c r="I174" i="116"/>
  <c r="I212" i="116"/>
  <c r="I211" i="116"/>
  <c r="I215" i="116"/>
  <c r="I219" i="116"/>
  <c r="C29" i="102"/>
  <c r="A27" i="100"/>
  <c r="A29" i="102" s="1"/>
  <c r="C30" i="102"/>
  <c r="I128" i="116"/>
  <c r="G109" i="112"/>
  <c r="R32" i="115"/>
  <c r="C31" i="102"/>
  <c r="A29" i="100"/>
  <c r="A31" i="102" s="1"/>
  <c r="J150" i="114"/>
  <c r="H90" i="115"/>
  <c r="CF401" i="75"/>
  <c r="CJ405" i="75"/>
  <c r="CF437" i="75"/>
  <c r="BP619" i="75"/>
  <c r="CZ811" i="75"/>
  <c r="CN891" i="75"/>
  <c r="CJ931" i="75"/>
  <c r="BX935" i="75"/>
  <c r="BX937" i="75"/>
  <c r="CV943" i="75"/>
  <c r="CV953" i="75"/>
  <c r="CR957" i="75"/>
  <c r="DF973" i="75"/>
  <c r="CJ983" i="75"/>
  <c r="BL985" i="75"/>
  <c r="CZ985" i="75"/>
  <c r="CF987" i="75"/>
  <c r="BP989" i="75"/>
  <c r="DD989" i="75"/>
  <c r="CR991" i="75"/>
  <c r="CJ993" i="75"/>
  <c r="CF997" i="75"/>
  <c r="CJ999" i="75"/>
  <c r="CR1001" i="75"/>
  <c r="CF1005" i="75"/>
  <c r="CZ1007" i="75"/>
  <c r="DD1013" i="75"/>
  <c r="CZ1015" i="75"/>
  <c r="CZ1017" i="75"/>
  <c r="CN1047" i="75"/>
  <c r="CN1101" i="75"/>
  <c r="BL1103" i="75"/>
  <c r="CZ1103" i="75"/>
  <c r="CB1105" i="75"/>
  <c r="CV1107" i="75"/>
  <c r="CF1109" i="75"/>
  <c r="BT1111" i="75"/>
  <c r="CZ1113" i="75"/>
  <c r="CV1115" i="75"/>
  <c r="CV1117" i="75"/>
  <c r="CZ1119" i="75"/>
  <c r="CF1123" i="75"/>
  <c r="CV1125" i="75"/>
  <c r="CZ1129" i="75"/>
  <c r="CN1131" i="75"/>
  <c r="BH1161" i="75"/>
  <c r="CV1161" i="75"/>
  <c r="BT1163" i="75"/>
  <c r="BP1167" i="75"/>
  <c r="DD1167" i="75"/>
  <c r="CN1169" i="75"/>
  <c r="DD1175" i="75"/>
  <c r="CB1181" i="75"/>
  <c r="CN1183" i="75"/>
  <c r="DD1185" i="75"/>
  <c r="CJ1187" i="75"/>
  <c r="CV1191" i="75"/>
  <c r="CN1193" i="75"/>
  <c r="BP1221" i="75"/>
  <c r="CB1223" i="75"/>
  <c r="CR1225" i="75"/>
  <c r="CV1229" i="75"/>
  <c r="CJ1231" i="75"/>
  <c r="CB1233" i="75"/>
  <c r="BX1237" i="75"/>
  <c r="CB1239" i="75"/>
  <c r="CJ1241" i="75"/>
  <c r="CV1243" i="75"/>
  <c r="DD1251" i="75"/>
  <c r="CR1255" i="75"/>
  <c r="CR1257" i="75"/>
  <c r="DF1273" i="75"/>
  <c r="DD1274" i="75" s="1" a="1"/>
  <c r="DD1274" i="75" s="1"/>
  <c r="G28" i="112"/>
  <c r="G49" i="112"/>
  <c r="G66" i="112"/>
  <c r="G89" i="112"/>
  <c r="G108" i="112"/>
  <c r="G128" i="112"/>
  <c r="G141" i="112"/>
  <c r="D169" i="112"/>
  <c r="F169" i="112" s="1"/>
  <c r="D189" i="112"/>
  <c r="G170" i="113"/>
  <c r="N170" i="113" s="1"/>
  <c r="D96" i="115"/>
  <c r="E96" i="115" s="1"/>
  <c r="D121" i="115"/>
  <c r="F121" i="115" s="1"/>
  <c r="C10" i="102"/>
  <c r="C33" i="102"/>
  <c r="A31" i="100"/>
  <c r="A33" i="102" s="1"/>
  <c r="C12" i="102"/>
  <c r="A10" i="100"/>
  <c r="A12" i="102" s="1"/>
  <c r="I138" i="114"/>
  <c r="C14" i="102"/>
  <c r="C35" i="102"/>
  <c r="A33" i="100"/>
  <c r="A35" i="102" s="1"/>
  <c r="CR745" i="75"/>
  <c r="D12" i="114"/>
  <c r="D38" i="114"/>
  <c r="E38" i="114" s="1"/>
  <c r="G79" i="114"/>
  <c r="D179" i="114"/>
  <c r="E179" i="114" s="1"/>
  <c r="D21" i="115"/>
  <c r="E21" i="115" s="1"/>
  <c r="J21" i="115" s="1"/>
  <c r="D173" i="115"/>
  <c r="E173" i="115" s="1"/>
  <c r="J173" i="115" s="1"/>
  <c r="G23" i="116"/>
  <c r="G67" i="116"/>
  <c r="G84" i="116"/>
  <c r="G184" i="116"/>
  <c r="G223" i="116"/>
  <c r="H30" i="114"/>
  <c r="H40" i="115"/>
  <c r="DD381" i="75"/>
  <c r="CZ1084" i="75"/>
  <c r="G39" i="116"/>
  <c r="BL321" i="75"/>
  <c r="DD651" i="75"/>
  <c r="CZ699" i="75"/>
  <c r="CJ923" i="75"/>
  <c r="D151" i="115"/>
  <c r="E151" i="115" s="1"/>
  <c r="J151" i="115" s="1"/>
  <c r="D202" i="115"/>
  <c r="F202" i="115" s="1"/>
  <c r="I41" i="116"/>
  <c r="I61" i="116"/>
  <c r="I123" i="116"/>
  <c r="I144" i="116"/>
  <c r="I188" i="116"/>
  <c r="I225" i="116"/>
  <c r="C16" i="102"/>
  <c r="C37" i="102"/>
  <c r="A35" i="100"/>
  <c r="A37" i="102" s="1"/>
  <c r="H190" i="114"/>
  <c r="CX799" i="75"/>
  <c r="G130" i="113"/>
  <c r="N121" i="113" s="1"/>
  <c r="G133" i="114"/>
  <c r="C18" i="102"/>
  <c r="C39" i="102"/>
  <c r="J220" i="115"/>
  <c r="CX1165" i="75"/>
  <c r="CX1197" i="75"/>
  <c r="CL1227" i="75"/>
  <c r="CL1237" i="75"/>
  <c r="C21" i="102"/>
  <c r="C40" i="102"/>
  <c r="C41" i="102"/>
  <c r="A39" i="100"/>
  <c r="A41" i="102" s="1"/>
  <c r="AB306" i="100"/>
  <c r="CH263" i="75"/>
  <c r="BV449" i="75"/>
  <c r="DF453" i="75"/>
  <c r="CH565" i="75"/>
  <c r="DB593" i="75"/>
  <c r="CT647" i="75"/>
  <c r="CD749" i="75"/>
  <c r="CT923" i="75"/>
  <c r="CP1011" i="75"/>
  <c r="BV1043" i="75"/>
  <c r="BV1053" i="75"/>
  <c r="CL1163" i="75"/>
  <c r="G60" i="113"/>
  <c r="N60" i="113" s="1"/>
  <c r="D69" i="114"/>
  <c r="F69" i="114" s="1"/>
  <c r="D12" i="116"/>
  <c r="E12" i="116" s="1"/>
  <c r="C43" i="102"/>
  <c r="C25" i="102"/>
  <c r="A23" i="100"/>
  <c r="A25" i="102" s="1"/>
  <c r="C44" i="102"/>
  <c r="CT475" i="75"/>
  <c r="CT633" i="75"/>
  <c r="DF639" i="75"/>
  <c r="BR681" i="75"/>
  <c r="DB695" i="75"/>
  <c r="CH705" i="75"/>
  <c r="BV745" i="75"/>
  <c r="CH759" i="75"/>
  <c r="CX1223" i="75"/>
  <c r="D131" i="115"/>
  <c r="F131" i="115" s="1"/>
  <c r="D189" i="115"/>
  <c r="E189" i="115" s="1"/>
  <c r="J189" i="115" s="1"/>
  <c r="D134" i="116"/>
  <c r="F134" i="116" s="1"/>
  <c r="D195" i="116"/>
  <c r="C26" i="102"/>
  <c r="X21" i="104"/>
  <c r="Z21" i="104" s="1"/>
  <c r="H70" i="114"/>
  <c r="DB329" i="75"/>
  <c r="CT463" i="75"/>
  <c r="CT471" i="75"/>
  <c r="CT507" i="75"/>
  <c r="CL801" i="75"/>
  <c r="CT871" i="75"/>
  <c r="CP873" i="75"/>
  <c r="G90" i="113"/>
  <c r="I149" i="114"/>
  <c r="D214" i="115"/>
  <c r="I16" i="116"/>
  <c r="G195" i="116"/>
  <c r="C13" i="102"/>
  <c r="A11" i="100"/>
  <c r="A13" i="102" s="1"/>
  <c r="DE976" i="75"/>
  <c r="CH751" i="75"/>
  <c r="CH757" i="75"/>
  <c r="DF835" i="75"/>
  <c r="DF1181" i="75"/>
  <c r="D50" i="113"/>
  <c r="E50" i="113" s="1"/>
  <c r="J50" i="113" s="1"/>
  <c r="D51" i="114"/>
  <c r="E51" i="114" s="1"/>
  <c r="J51" i="114" s="1"/>
  <c r="D71" i="114"/>
  <c r="E71" i="114" s="1"/>
  <c r="J71" i="114" s="1"/>
  <c r="D99" i="114"/>
  <c r="E99" i="114" s="1"/>
  <c r="J99" i="114" s="1"/>
  <c r="D115" i="114"/>
  <c r="D131" i="114"/>
  <c r="D151" i="114"/>
  <c r="F151" i="114" s="1"/>
  <c r="D171" i="114"/>
  <c r="D193" i="114"/>
  <c r="D14" i="115"/>
  <c r="H60" i="112"/>
  <c r="D91" i="114"/>
  <c r="F91" i="114" s="1"/>
  <c r="DF1031" i="75"/>
  <c r="CT387" i="75"/>
  <c r="BV861" i="75"/>
  <c r="CT947" i="75"/>
  <c r="G200" i="113"/>
  <c r="I17" i="114"/>
  <c r="I143" i="115"/>
  <c r="G28" i="116"/>
  <c r="G47" i="116"/>
  <c r="I65" i="116"/>
  <c r="G87" i="116"/>
  <c r="I107" i="116"/>
  <c r="G129" i="116"/>
  <c r="G143" i="116"/>
  <c r="I166" i="116"/>
  <c r="I186" i="116"/>
  <c r="I201" i="116"/>
  <c r="G222" i="116"/>
  <c r="G89" i="116"/>
  <c r="I175" i="114"/>
  <c r="DF609" i="75"/>
  <c r="D179" i="115"/>
  <c r="E179" i="115" s="1"/>
  <c r="G82" i="116"/>
  <c r="CJ401" i="75"/>
  <c r="BP1051" i="75"/>
  <c r="BV1175" i="75"/>
  <c r="D74" i="114"/>
  <c r="E74" i="114" s="1"/>
  <c r="J74" i="114" s="1"/>
  <c r="BT1167" i="75"/>
  <c r="CD217" i="75"/>
  <c r="BZ317" i="75"/>
  <c r="CT379" i="75"/>
  <c r="CZ387" i="75"/>
  <c r="CN391" i="75"/>
  <c r="CT395" i="75"/>
  <c r="CX453" i="75"/>
  <c r="CZ455" i="75"/>
  <c r="CP467" i="75"/>
  <c r="CD507" i="75"/>
  <c r="DF511" i="75"/>
  <c r="CT563" i="75"/>
  <c r="CL569" i="75"/>
  <c r="CX581" i="75"/>
  <c r="BN623" i="75"/>
  <c r="CH635" i="75"/>
  <c r="CF679" i="75"/>
  <c r="CT681" i="75"/>
  <c r="CH747" i="75"/>
  <c r="DB751" i="75"/>
  <c r="CD809" i="75"/>
  <c r="CP821" i="75"/>
  <c r="CL825" i="75"/>
  <c r="CX829" i="75"/>
  <c r="BX865" i="75"/>
  <c r="CL869" i="75"/>
  <c r="CB871" i="75"/>
  <c r="CX881" i="75"/>
  <c r="CT895" i="75"/>
  <c r="CT1009" i="75"/>
  <c r="BL1043" i="75"/>
  <c r="DB1043" i="75"/>
  <c r="BP1107" i="75"/>
  <c r="DF1117" i="75"/>
  <c r="BR1161" i="75"/>
  <c r="CT1165" i="75"/>
  <c r="CJ1171" i="75"/>
  <c r="CD1179" i="75"/>
  <c r="G18" i="112"/>
  <c r="I15" i="114"/>
  <c r="G54" i="114"/>
  <c r="G74" i="114"/>
  <c r="G91" i="114"/>
  <c r="G118" i="114"/>
  <c r="G158" i="114"/>
  <c r="I41" i="115"/>
  <c r="D52" i="115"/>
  <c r="E52" i="115" s="1"/>
  <c r="J52" i="115" s="1"/>
  <c r="D104" i="115"/>
  <c r="E104" i="115" s="1"/>
  <c r="J104" i="115" s="1"/>
  <c r="I124" i="115"/>
  <c r="D154" i="115"/>
  <c r="E154" i="115" s="1"/>
  <c r="H154" i="115" s="1"/>
  <c r="D209" i="115"/>
  <c r="E209" i="115" s="1"/>
  <c r="I24" i="116"/>
  <c r="I44" i="116"/>
  <c r="I66" i="116"/>
  <c r="G83" i="116"/>
  <c r="I103" i="116"/>
  <c r="G121" i="116"/>
  <c r="I143" i="116"/>
  <c r="I169" i="116"/>
  <c r="G189" i="116"/>
  <c r="I209" i="116"/>
  <c r="I229" i="116"/>
  <c r="H200" i="114"/>
  <c r="H110" i="114"/>
  <c r="I153" i="116"/>
  <c r="H40" i="114"/>
  <c r="DF343" i="75"/>
  <c r="DF353" i="75"/>
  <c r="CL625" i="75"/>
  <c r="CX629" i="75"/>
  <c r="CX707" i="75"/>
  <c r="CL709" i="75"/>
  <c r="CH877" i="75"/>
  <c r="CX993" i="75"/>
  <c r="CD1175" i="75"/>
  <c r="CX1195" i="75"/>
  <c r="DF1225" i="75"/>
  <c r="CL1235" i="75"/>
  <c r="CX1241" i="75"/>
  <c r="DF1257" i="75"/>
  <c r="I59" i="112"/>
  <c r="I76" i="112"/>
  <c r="I119" i="112"/>
  <c r="I30" i="113"/>
  <c r="O21" i="113" s="1"/>
  <c r="G109" i="114"/>
  <c r="DE491" i="75"/>
  <c r="I19" i="116"/>
  <c r="G229" i="116"/>
  <c r="J180" i="112"/>
  <c r="BV265" i="75"/>
  <c r="I178" i="115"/>
  <c r="I48" i="115"/>
  <c r="CZ201" i="75"/>
  <c r="CJ225" i="75"/>
  <c r="CN273" i="75"/>
  <c r="CN317" i="75"/>
  <c r="CZ319" i="75"/>
  <c r="CB321" i="75"/>
  <c r="BH377" i="75"/>
  <c r="CB387" i="75"/>
  <c r="CB397" i="75"/>
  <c r="CN399" i="75"/>
  <c r="CJ403" i="75"/>
  <c r="CN409" i="75"/>
  <c r="CV445" i="75"/>
  <c r="CJ499" i="75"/>
  <c r="BL501" i="75"/>
  <c r="CF513" i="75"/>
  <c r="CR517" i="75"/>
  <c r="DD529" i="75"/>
  <c r="CZ533" i="75"/>
  <c r="CV599" i="75"/>
  <c r="CZ621" i="75"/>
  <c r="CB623" i="75"/>
  <c r="CZ631" i="75"/>
  <c r="CV643" i="75"/>
  <c r="CN649" i="75"/>
  <c r="CF1161" i="75"/>
  <c r="BT1165" i="75"/>
  <c r="CN1167" i="75"/>
  <c r="CN1185" i="75"/>
  <c r="G37" i="112"/>
  <c r="G99" i="112"/>
  <c r="G151" i="112"/>
  <c r="G191" i="112"/>
  <c r="I69" i="114"/>
  <c r="I83" i="114"/>
  <c r="I147" i="114"/>
  <c r="I167" i="114"/>
  <c r="I69" i="115"/>
  <c r="I112" i="115"/>
  <c r="I164" i="115"/>
  <c r="I213" i="115"/>
  <c r="G15" i="116"/>
  <c r="D32" i="116"/>
  <c r="D59" i="116"/>
  <c r="D74" i="116"/>
  <c r="F74" i="116" s="1"/>
  <c r="D95" i="116"/>
  <c r="F95" i="116" s="1"/>
  <c r="D113" i="116"/>
  <c r="F113" i="116" s="1"/>
  <c r="D132" i="116"/>
  <c r="E132" i="116" s="1"/>
  <c r="J132" i="116" s="1"/>
  <c r="D157" i="116"/>
  <c r="D171" i="116"/>
  <c r="D192" i="116"/>
  <c r="E192" i="116" s="1"/>
  <c r="D211" i="116"/>
  <c r="E211" i="116" s="1"/>
  <c r="J211" i="116" s="1"/>
  <c r="D171" i="115"/>
  <c r="F171" i="115" s="1"/>
  <c r="CH213" i="75"/>
  <c r="CL225" i="75"/>
  <c r="CP273" i="75"/>
  <c r="DB303" i="75"/>
  <c r="BV327" i="75"/>
  <c r="CX331" i="75"/>
  <c r="CD397" i="75"/>
  <c r="CL403" i="75"/>
  <c r="BN501" i="75"/>
  <c r="DF529" i="75"/>
  <c r="DB533" i="75"/>
  <c r="CP565" i="75"/>
  <c r="CT571" i="75"/>
  <c r="DB803" i="75"/>
  <c r="DF807" i="75"/>
  <c r="CT809" i="75"/>
  <c r="CL811" i="75"/>
  <c r="CH815" i="75"/>
  <c r="CH823" i="75"/>
  <c r="DB833" i="75"/>
  <c r="BV863" i="75"/>
  <c r="CP883" i="75"/>
  <c r="BV931" i="75"/>
  <c r="CX935" i="75"/>
  <c r="CH943" i="75"/>
  <c r="BV983" i="75"/>
  <c r="CX1011" i="75"/>
  <c r="DF1041" i="75"/>
  <c r="BZ1101" i="75"/>
  <c r="CL1113" i="75"/>
  <c r="DB1171" i="75"/>
  <c r="D48" i="115"/>
  <c r="E48" i="115" s="1"/>
  <c r="J48" i="115" s="1"/>
  <c r="R36" i="115"/>
  <c r="CT1139" i="75"/>
  <c r="R31" i="115"/>
  <c r="R34" i="115"/>
  <c r="H90" i="112"/>
  <c r="CJ823" i="75"/>
  <c r="D135" i="116"/>
  <c r="E135" i="116" s="1"/>
  <c r="H160" i="114"/>
  <c r="AD333" i="100"/>
  <c r="T36" i="115"/>
  <c r="I125" i="115"/>
  <c r="I172" i="115"/>
  <c r="D58" i="116"/>
  <c r="E58" i="116" s="1"/>
  <c r="I119" i="115"/>
  <c r="D49" i="116"/>
  <c r="CF635" i="75"/>
  <c r="G86" i="116"/>
  <c r="I203" i="116"/>
  <c r="G182" i="116"/>
  <c r="G144" i="116"/>
  <c r="G141" i="116"/>
  <c r="G105" i="116"/>
  <c r="I113" i="115"/>
  <c r="I63" i="115"/>
  <c r="G197" i="112"/>
  <c r="D131" i="116"/>
  <c r="E131" i="116" s="1"/>
  <c r="J131" i="116" s="1"/>
  <c r="DE1156" i="75"/>
  <c r="I101" i="116"/>
  <c r="G48" i="116"/>
  <c r="BR263" i="75"/>
  <c r="DB457" i="75"/>
  <c r="CT653" i="75"/>
  <c r="DB749" i="75"/>
  <c r="CT767" i="75"/>
  <c r="DB827" i="75"/>
  <c r="CX959" i="75"/>
  <c r="BZ981" i="75"/>
  <c r="CT1001" i="75"/>
  <c r="CX1107" i="75"/>
  <c r="DB1113" i="75"/>
  <c r="I14" i="114"/>
  <c r="D25" i="116"/>
  <c r="D48" i="116"/>
  <c r="D62" i="116"/>
  <c r="D121" i="116"/>
  <c r="F121" i="116" s="1"/>
  <c r="D165" i="116"/>
  <c r="D228" i="116"/>
  <c r="D218" i="116"/>
  <c r="D179" i="116"/>
  <c r="I149" i="116"/>
  <c r="G209" i="116"/>
  <c r="G46" i="116"/>
  <c r="D174" i="116"/>
  <c r="E174" i="116" s="1"/>
  <c r="J174" i="116" s="1"/>
  <c r="D136" i="116"/>
  <c r="F136" i="116" s="1"/>
  <c r="G101" i="116"/>
  <c r="I46" i="116"/>
  <c r="D103" i="115"/>
  <c r="E103" i="115" s="1"/>
  <c r="J103" i="115" s="1"/>
  <c r="CT279" i="75"/>
  <c r="CD323" i="75"/>
  <c r="CP691" i="75"/>
  <c r="DB1161" i="75"/>
  <c r="CT1183" i="75"/>
  <c r="CT1193" i="75"/>
  <c r="CP1197" i="75"/>
  <c r="R35" i="115"/>
  <c r="G24" i="116"/>
  <c r="G44" i="116"/>
  <c r="G127" i="116"/>
  <c r="G142" i="116"/>
  <c r="G162" i="116"/>
  <c r="G181" i="116"/>
  <c r="G205" i="116"/>
  <c r="G226" i="116"/>
  <c r="AH337" i="100"/>
  <c r="AA181" i="102" s="1"/>
  <c r="D159" i="116"/>
  <c r="F159" i="116" s="1"/>
  <c r="DD295" i="75"/>
  <c r="CT600" i="75"/>
  <c r="G221" i="116"/>
  <c r="G201" i="116"/>
  <c r="I64" i="116"/>
  <c r="G203" i="116"/>
  <c r="I142" i="116"/>
  <c r="D139" i="116"/>
  <c r="F139" i="116" s="1"/>
  <c r="G43" i="116"/>
  <c r="D109" i="115"/>
  <c r="E109" i="115" s="1"/>
  <c r="J109" i="115" s="1"/>
  <c r="G128" i="116"/>
  <c r="DF299" i="75"/>
  <c r="D161" i="116"/>
  <c r="E161" i="116" s="1"/>
  <c r="J161" i="116" s="1"/>
  <c r="D38" i="116"/>
  <c r="F38" i="116" s="1"/>
  <c r="G228" i="116"/>
  <c r="D158" i="116"/>
  <c r="E158" i="116" s="1"/>
  <c r="J158" i="116" s="1"/>
  <c r="I42" i="116"/>
  <c r="G21" i="116"/>
  <c r="I111" i="115"/>
  <c r="CZ1143" i="75"/>
  <c r="CV227" i="75"/>
  <c r="CN695" i="75"/>
  <c r="CN821" i="75"/>
  <c r="AB179" i="100"/>
  <c r="I69" i="116"/>
  <c r="I79" i="112"/>
  <c r="G166" i="116"/>
  <c r="I67" i="116"/>
  <c r="I129" i="116"/>
  <c r="G27" i="116"/>
  <c r="G169" i="112"/>
  <c r="CX631" i="75"/>
  <c r="D152" i="115"/>
  <c r="E152" i="115" s="1"/>
  <c r="I227" i="116"/>
  <c r="I181" i="116"/>
  <c r="D23" i="116"/>
  <c r="E23" i="116" s="1"/>
  <c r="G29" i="116"/>
  <c r="I16" i="112"/>
  <c r="DD535" i="75"/>
  <c r="G11" i="112"/>
  <c r="G224" i="116"/>
  <c r="D191" i="116"/>
  <c r="E191" i="116" s="1"/>
  <c r="I211" i="115"/>
  <c r="G62" i="116"/>
  <c r="D128" i="116"/>
  <c r="E128" i="116" s="1"/>
  <c r="J128" i="116" s="1"/>
  <c r="G167" i="116"/>
  <c r="G227" i="116"/>
  <c r="D216" i="116"/>
  <c r="F216" i="116" s="1"/>
  <c r="I187" i="116"/>
  <c r="G188" i="116"/>
  <c r="I125" i="116"/>
  <c r="I63" i="116"/>
  <c r="D91" i="116"/>
  <c r="E91" i="116" s="1"/>
  <c r="J91" i="116" s="1"/>
  <c r="G65" i="116"/>
  <c r="DD443" i="75"/>
  <c r="CN445" i="75"/>
  <c r="BT449" i="75"/>
  <c r="CV685" i="75"/>
  <c r="CB749" i="75"/>
  <c r="CR825" i="75"/>
  <c r="CJ871" i="75"/>
  <c r="CN981" i="75"/>
  <c r="CR1239" i="75"/>
  <c r="D5" i="134"/>
  <c r="F5" i="134" s="1"/>
  <c r="E5" i="135"/>
  <c r="E25" i="135"/>
  <c r="E26" i="135"/>
  <c r="E6" i="135"/>
  <c r="E7" i="135"/>
  <c r="E8" i="135"/>
  <c r="E28" i="135"/>
  <c r="E4" i="135"/>
  <c r="E9" i="135"/>
  <c r="E10" i="135"/>
  <c r="E4" i="134"/>
  <c r="E21" i="135"/>
  <c r="E11" i="135"/>
  <c r="E12" i="135"/>
  <c r="E13" i="135"/>
  <c r="E27" i="135"/>
  <c r="E14" i="135"/>
  <c r="E18" i="135"/>
  <c r="E15" i="135"/>
  <c r="E16" i="135"/>
  <c r="E17" i="135"/>
  <c r="E20" i="135"/>
  <c r="E19" i="135"/>
  <c r="E22" i="135"/>
  <c r="E23" i="135"/>
  <c r="E24" i="135"/>
  <c r="O593" i="1"/>
  <c r="D31" i="116"/>
  <c r="F31" i="116" s="1"/>
  <c r="G225" i="116"/>
  <c r="D125" i="116"/>
  <c r="G123" i="116"/>
  <c r="D46" i="116"/>
  <c r="F46" i="116" s="1"/>
  <c r="I216" i="115"/>
  <c r="I89" i="116"/>
  <c r="G69" i="116"/>
  <c r="D205" i="115"/>
  <c r="I114" i="112"/>
  <c r="CP407" i="75"/>
  <c r="CL507" i="75"/>
  <c r="CP679" i="75"/>
  <c r="I37" i="112"/>
  <c r="I112" i="112"/>
  <c r="J35" i="115"/>
  <c r="D224" i="116"/>
  <c r="D212" i="116"/>
  <c r="E212" i="116" s="1"/>
  <c r="J212" i="116" s="1"/>
  <c r="D175" i="116"/>
  <c r="E175" i="116" s="1"/>
  <c r="I124" i="116"/>
  <c r="G169" i="116"/>
  <c r="D122" i="116"/>
  <c r="F122" i="116" s="1"/>
  <c r="I45" i="116"/>
  <c r="I214" i="115"/>
  <c r="D72" i="116"/>
  <c r="E72" i="116" s="1"/>
  <c r="D206" i="115"/>
  <c r="I65" i="115"/>
  <c r="DB401" i="75"/>
  <c r="BJ501" i="75"/>
  <c r="CX960" i="75"/>
  <c r="DD903" i="75"/>
  <c r="D159" i="115"/>
  <c r="CT295" i="75"/>
  <c r="I221" i="116"/>
  <c r="I208" i="116"/>
  <c r="G122" i="116"/>
  <c r="G64" i="116"/>
  <c r="H12" i="115"/>
  <c r="I68" i="115"/>
  <c r="I206" i="116"/>
  <c r="D168" i="116"/>
  <c r="E168" i="116" s="1"/>
  <c r="J168" i="116" s="1"/>
  <c r="G149" i="116"/>
  <c r="I62" i="116"/>
  <c r="I168" i="115"/>
  <c r="I193" i="116"/>
  <c r="DD511" i="75"/>
  <c r="D219" i="116"/>
  <c r="D215" i="116"/>
  <c r="E215" i="116" s="1"/>
  <c r="J215" i="116" s="1"/>
  <c r="I165" i="116"/>
  <c r="G147" i="116"/>
  <c r="D119" i="116"/>
  <c r="F119" i="116" s="1"/>
  <c r="D93" i="116"/>
  <c r="E93" i="116" s="1"/>
  <c r="J93" i="116" s="1"/>
  <c r="I169" i="115"/>
  <c r="CF689" i="75"/>
  <c r="DD833" i="75"/>
  <c r="CL859" i="75"/>
  <c r="BV995" i="75"/>
  <c r="BJ1045" i="75"/>
  <c r="CD1047" i="75"/>
  <c r="CD1057" i="75"/>
  <c r="D140" i="113"/>
  <c r="I118" i="115"/>
  <c r="D15" i="116"/>
  <c r="E15" i="116" s="1"/>
  <c r="J15" i="116" s="1"/>
  <c r="I37" i="116"/>
  <c r="I151" i="116"/>
  <c r="I179" i="116"/>
  <c r="I213" i="116"/>
  <c r="AH309" i="100"/>
  <c r="AA153" i="102" s="1"/>
  <c r="G202" i="116"/>
  <c r="D213" i="116"/>
  <c r="D117" i="116"/>
  <c r="E117" i="116" s="1"/>
  <c r="J117" i="116" s="1"/>
  <c r="I163" i="115"/>
  <c r="G61" i="112"/>
  <c r="G101" i="112"/>
  <c r="D147" i="112"/>
  <c r="G181" i="112"/>
  <c r="I91" i="115"/>
  <c r="D39" i="116"/>
  <c r="E39" i="116" s="1"/>
  <c r="J39" i="116" s="1"/>
  <c r="D57" i="116"/>
  <c r="E57" i="116" s="1"/>
  <c r="D79" i="116"/>
  <c r="F79" i="116" s="1"/>
  <c r="D98" i="116"/>
  <c r="E98" i="116" s="1"/>
  <c r="J98" i="116" s="1"/>
  <c r="D112" i="116"/>
  <c r="F112" i="116" s="1"/>
  <c r="D138" i="116"/>
  <c r="E138" i="116" s="1"/>
  <c r="D152" i="116"/>
  <c r="D176" i="116"/>
  <c r="E176" i="116" s="1"/>
  <c r="J176" i="116" s="1"/>
  <c r="I19" i="114"/>
  <c r="BV439" i="75"/>
  <c r="I108" i="116"/>
  <c r="I68" i="116"/>
  <c r="D198" i="116"/>
  <c r="F198" i="116" s="1"/>
  <c r="DF479" i="75"/>
  <c r="H110" i="116"/>
  <c r="G108" i="116"/>
  <c r="D196" i="116"/>
  <c r="E196" i="116" s="1"/>
  <c r="J196" i="116" s="1"/>
  <c r="I104" i="116"/>
  <c r="G145" i="116"/>
  <c r="D115" i="116"/>
  <c r="E115" i="116" s="1"/>
  <c r="I162" i="116"/>
  <c r="G81" i="116"/>
  <c r="D36" i="116"/>
  <c r="E36" i="116" s="1"/>
  <c r="J36" i="116" s="1"/>
  <c r="D157" i="115"/>
  <c r="F157" i="115" s="1"/>
  <c r="D158" i="115"/>
  <c r="D52" i="114"/>
  <c r="E52" i="114" s="1"/>
  <c r="DF1139" i="75"/>
  <c r="DF1073" i="75"/>
  <c r="G106" i="116"/>
  <c r="I145" i="116"/>
  <c r="J150" i="116"/>
  <c r="I102" i="116"/>
  <c r="I164" i="116"/>
  <c r="D156" i="115"/>
  <c r="E156" i="115" s="1"/>
  <c r="J156" i="115" s="1"/>
  <c r="CT643" i="75"/>
  <c r="I109" i="116"/>
  <c r="D71" i="116"/>
  <c r="F71" i="116" s="1"/>
  <c r="DB1027" i="75"/>
  <c r="I146" i="116"/>
  <c r="D155" i="115"/>
  <c r="G68" i="112"/>
  <c r="G186" i="116"/>
  <c r="G146" i="116"/>
  <c r="I13" i="114"/>
  <c r="BH199" i="75"/>
  <c r="CJ265" i="75"/>
  <c r="BT377" i="75"/>
  <c r="CZ649" i="75"/>
  <c r="CV713" i="75"/>
  <c r="CL763" i="75"/>
  <c r="CN925" i="75"/>
  <c r="CN1059" i="75"/>
  <c r="CN1069" i="75"/>
  <c r="CR1161" i="75"/>
  <c r="DD1189" i="75"/>
  <c r="CF1231" i="75"/>
  <c r="BX1239" i="75"/>
  <c r="CN1255" i="75"/>
  <c r="CR1259" i="75"/>
  <c r="D50" i="134"/>
  <c r="F50" i="134" s="1"/>
  <c r="D66" i="134"/>
  <c r="F66" i="134" s="1"/>
  <c r="E59" i="134"/>
  <c r="D41" i="134"/>
  <c r="F41" i="134" s="1"/>
  <c r="D34" i="134"/>
  <c r="F34" i="134" s="1"/>
  <c r="E80" i="134"/>
  <c r="E61" i="134"/>
  <c r="D27" i="134"/>
  <c r="F27" i="134" s="1"/>
  <c r="E86" i="134"/>
  <c r="E11" i="134"/>
  <c r="D18" i="134"/>
  <c r="F18" i="134" s="1"/>
  <c r="D17" i="134"/>
  <c r="F17" i="134" s="1"/>
  <c r="E17" i="134"/>
  <c r="E73" i="134"/>
  <c r="D76" i="134"/>
  <c r="F76" i="134" s="1"/>
  <c r="E12" i="134"/>
  <c r="D29" i="134"/>
  <c r="F29" i="134" s="1"/>
  <c r="E65" i="134"/>
  <c r="D22" i="134"/>
  <c r="F22" i="134" s="1"/>
  <c r="E71" i="134"/>
  <c r="D31" i="134"/>
  <c r="F31" i="134" s="1"/>
  <c r="E20" i="134"/>
  <c r="E47" i="134"/>
  <c r="E18" i="134"/>
  <c r="E7" i="134"/>
  <c r="E81" i="134"/>
  <c r="D56" i="134"/>
  <c r="F56" i="134" s="1"/>
  <c r="E33" i="134"/>
  <c r="E79" i="134"/>
  <c r="D72" i="134"/>
  <c r="F72" i="134" s="1"/>
  <c r="E15" i="134"/>
  <c r="D52" i="134"/>
  <c r="F52" i="134" s="1"/>
  <c r="E45" i="134"/>
  <c r="E50" i="134"/>
  <c r="D87" i="134"/>
  <c r="F87" i="134" s="1"/>
  <c r="E9" i="134"/>
  <c r="E40" i="134"/>
  <c r="D71" i="134"/>
  <c r="F71" i="134" s="1"/>
  <c r="D49" i="134"/>
  <c r="F49" i="134" s="1"/>
  <c r="D78" i="134"/>
  <c r="F78" i="134" s="1"/>
  <c r="E24" i="134"/>
  <c r="E31" i="134"/>
  <c r="E32" i="134"/>
  <c r="D84" i="134"/>
  <c r="F84" i="134" s="1"/>
  <c r="D85" i="134"/>
  <c r="F85" i="134" s="1"/>
  <c r="D35" i="134"/>
  <c r="F35" i="134" s="1"/>
  <c r="E36" i="134"/>
  <c r="E67" i="134"/>
  <c r="D86" i="134"/>
  <c r="F86" i="134" s="1"/>
  <c r="D57" i="134"/>
  <c r="F57" i="134" s="1"/>
  <c r="D14" i="134"/>
  <c r="F14" i="134" s="1"/>
  <c r="E82" i="134"/>
  <c r="E60" i="134"/>
  <c r="D6" i="134"/>
  <c r="F6" i="134" s="1"/>
  <c r="E21" i="134"/>
  <c r="E72" i="134"/>
  <c r="E37" i="134"/>
  <c r="D69" i="134"/>
  <c r="F69" i="134" s="1"/>
  <c r="E84" i="134"/>
  <c r="D75" i="134"/>
  <c r="F75" i="134" s="1"/>
  <c r="E10" i="134"/>
  <c r="E39" i="134"/>
  <c r="E74" i="134"/>
  <c r="D32" i="134"/>
  <c r="F32" i="134" s="1"/>
  <c r="D59" i="134"/>
  <c r="F59" i="134" s="1"/>
  <c r="E62" i="134"/>
  <c r="E68" i="134"/>
  <c r="D61" i="134"/>
  <c r="F61" i="134" s="1"/>
  <c r="E25" i="134"/>
  <c r="E83" i="134"/>
  <c r="E42" i="134"/>
  <c r="D64" i="134"/>
  <c r="F64" i="134" s="1"/>
  <c r="D55" i="134"/>
  <c r="F55" i="134" s="1"/>
  <c r="D58" i="134"/>
  <c r="F58" i="134" s="1"/>
  <c r="D21" i="134"/>
  <c r="F21" i="134" s="1"/>
  <c r="D37" i="134"/>
  <c r="F37" i="134" s="1"/>
  <c r="D19" i="134"/>
  <c r="F19" i="134" s="1"/>
  <c r="D70" i="134"/>
  <c r="F70" i="134" s="1"/>
  <c r="E70" i="134"/>
  <c r="D40" i="134"/>
  <c r="F40" i="134" s="1"/>
  <c r="D68" i="134"/>
  <c r="F68" i="134" s="1"/>
  <c r="E51" i="134"/>
  <c r="D7" i="134"/>
  <c r="F7" i="134" s="1"/>
  <c r="E23" i="134"/>
  <c r="D30" i="134"/>
  <c r="F30" i="134" s="1"/>
  <c r="E22" i="134"/>
  <c r="E28" i="134"/>
  <c r="E13" i="134"/>
  <c r="D20" i="134"/>
  <c r="F20" i="134" s="1"/>
  <c r="D81" i="134"/>
  <c r="F81" i="134" s="1"/>
  <c r="E78" i="134"/>
  <c r="D10" i="134"/>
  <c r="F10" i="134" s="1"/>
  <c r="D48" i="134"/>
  <c r="F48" i="134" s="1"/>
  <c r="D79" i="134"/>
  <c r="F79" i="134" s="1"/>
  <c r="E76" i="134"/>
  <c r="D4" i="134"/>
  <c r="F4" i="134" s="1"/>
  <c r="E44" i="134"/>
  <c r="E52" i="134"/>
  <c r="E34" i="134"/>
  <c r="E58" i="134"/>
  <c r="E41" i="134"/>
  <c r="D63" i="134"/>
  <c r="F63" i="134" s="1"/>
  <c r="D82" i="134"/>
  <c r="F82" i="134" s="1"/>
  <c r="D38" i="134"/>
  <c r="F38" i="134" s="1"/>
  <c r="E46" i="134"/>
  <c r="D8" i="134"/>
  <c r="F8" i="134" s="1"/>
  <c r="D39" i="134"/>
  <c r="F39" i="134" s="1"/>
  <c r="E56" i="134"/>
  <c r="E75" i="134"/>
  <c r="D28" i="134"/>
  <c r="F28" i="134" s="1"/>
  <c r="D44" i="134"/>
  <c r="F44" i="134" s="1"/>
  <c r="E14" i="134"/>
  <c r="E38" i="134"/>
  <c r="D51" i="134"/>
  <c r="F51" i="134" s="1"/>
  <c r="D62" i="134"/>
  <c r="F62" i="134" s="1"/>
  <c r="E49" i="134"/>
  <c r="D33" i="134"/>
  <c r="F33" i="134" s="1"/>
  <c r="D74" i="134"/>
  <c r="F74" i="134" s="1"/>
  <c r="D24" i="134"/>
  <c r="F24" i="134" s="1"/>
  <c r="E87" i="134"/>
  <c r="D83" i="134"/>
  <c r="F83" i="134" s="1"/>
  <c r="D9" i="134"/>
  <c r="F9" i="134" s="1"/>
  <c r="E43" i="134"/>
  <c r="D65" i="134"/>
  <c r="F65" i="134" s="1"/>
  <c r="D43" i="134"/>
  <c r="F43" i="134" s="1"/>
  <c r="E55" i="134"/>
  <c r="D36" i="134"/>
  <c r="F36" i="134" s="1"/>
  <c r="E6" i="134"/>
  <c r="D54" i="134"/>
  <c r="F54" i="134" s="1"/>
  <c r="D77" i="134"/>
  <c r="F77" i="134" s="1"/>
  <c r="E85" i="134"/>
  <c r="D23" i="134"/>
  <c r="F23" i="134" s="1"/>
  <c r="E63" i="134"/>
  <c r="E48" i="134"/>
  <c r="D47" i="134"/>
  <c r="F47" i="134" s="1"/>
  <c r="E54" i="134"/>
  <c r="E64" i="134"/>
  <c r="D67" i="134"/>
  <c r="F67" i="134" s="1"/>
  <c r="D45" i="134"/>
  <c r="F45" i="134" s="1"/>
  <c r="D73" i="134"/>
  <c r="F73" i="134" s="1"/>
  <c r="D25" i="134"/>
  <c r="F25" i="134" s="1"/>
  <c r="D42" i="134"/>
  <c r="F42" i="134" s="1"/>
  <c r="E16" i="134"/>
  <c r="D80" i="134"/>
  <c r="F80" i="134" s="1"/>
  <c r="D46" i="134"/>
  <c r="F46" i="134" s="1"/>
  <c r="E27" i="134"/>
  <c r="D11" i="134"/>
  <c r="F11" i="134" s="1"/>
  <c r="E66" i="134"/>
  <c r="D12" i="134"/>
  <c r="F12" i="134" s="1"/>
  <c r="D53" i="134"/>
  <c r="F53" i="134" s="1"/>
  <c r="E29" i="134"/>
  <c r="E35" i="134"/>
  <c r="D15" i="134"/>
  <c r="F15" i="134" s="1"/>
  <c r="D60" i="134"/>
  <c r="F60" i="134" s="1"/>
  <c r="E77" i="134"/>
  <c r="E26" i="134"/>
  <c r="E5" i="134"/>
  <c r="D13" i="134"/>
  <c r="F13" i="134" s="1"/>
  <c r="E30" i="134"/>
  <c r="D16" i="134"/>
  <c r="F16" i="134" s="1"/>
  <c r="E69" i="134"/>
  <c r="E8" i="134"/>
  <c r="E53" i="134"/>
  <c r="E19" i="134"/>
  <c r="E57" i="134"/>
  <c r="D26" i="134"/>
  <c r="F26" i="134" s="1"/>
  <c r="BV693" i="75"/>
  <c r="CN287" i="75"/>
  <c r="CJ699" i="75"/>
  <c r="CK833" i="75" a="1"/>
  <c r="CK837" i="75" s="1"/>
  <c r="CV951" i="75"/>
  <c r="I212" i="115"/>
  <c r="G92" i="116"/>
  <c r="G69" i="112"/>
  <c r="D77" i="114"/>
  <c r="CT203" i="75"/>
  <c r="DF217" i="75"/>
  <c r="BR269" i="75"/>
  <c r="CL279" i="75"/>
  <c r="DF285" i="75"/>
  <c r="CT287" i="75"/>
  <c r="DB347" i="75"/>
  <c r="CP353" i="75"/>
  <c r="DB385" i="75"/>
  <c r="CP387" i="75"/>
  <c r="CH389" i="75"/>
  <c r="CD391" i="75"/>
  <c r="DB399" i="75"/>
  <c r="CX413" i="75"/>
  <c r="CT477" i="75"/>
  <c r="BZ501" i="75"/>
  <c r="CP623" i="75"/>
  <c r="CP751" i="75"/>
  <c r="DF819" i="75"/>
  <c r="CD821" i="75"/>
  <c r="CT889" i="75"/>
  <c r="CP957" i="75"/>
  <c r="BR1045" i="75"/>
  <c r="BZ1171" i="75"/>
  <c r="I28" i="112"/>
  <c r="I44" i="112"/>
  <c r="I61" i="112"/>
  <c r="I88" i="112"/>
  <c r="I108" i="112"/>
  <c r="I148" i="112"/>
  <c r="I167" i="112"/>
  <c r="I187" i="112"/>
  <c r="D39" i="114"/>
  <c r="E39" i="114" s="1"/>
  <c r="J39" i="114" s="1"/>
  <c r="G53" i="114"/>
  <c r="G78" i="114"/>
  <c r="G99" i="114"/>
  <c r="G111" i="114"/>
  <c r="D139" i="114"/>
  <c r="F139" i="114" s="1"/>
  <c r="D159" i="114"/>
  <c r="F159" i="114" s="1"/>
  <c r="G177" i="114"/>
  <c r="G198" i="114"/>
  <c r="D19" i="115"/>
  <c r="E19" i="115" s="1"/>
  <c r="J19" i="115" s="1"/>
  <c r="I97" i="115"/>
  <c r="I146" i="115"/>
  <c r="I194" i="115"/>
  <c r="G119" i="114"/>
  <c r="D128" i="115"/>
  <c r="G172" i="114"/>
  <c r="H120" i="112"/>
  <c r="G126" i="116"/>
  <c r="G183" i="116"/>
  <c r="D137" i="116"/>
  <c r="H130" i="115"/>
  <c r="CH205" i="75"/>
  <c r="CX211" i="75"/>
  <c r="CX213" i="75"/>
  <c r="BV269" i="75"/>
  <c r="CD277" i="75"/>
  <c r="DB403" i="75"/>
  <c r="DB713" i="75"/>
  <c r="CD803" i="75"/>
  <c r="CX823" i="75"/>
  <c r="DF989" i="75"/>
  <c r="CX1229" i="75"/>
  <c r="DF1251" i="75"/>
  <c r="I18" i="114"/>
  <c r="G26" i="116"/>
  <c r="G63" i="116"/>
  <c r="G88" i="116"/>
  <c r="G148" i="116"/>
  <c r="CN261" i="75"/>
  <c r="DC611" i="75" a="1"/>
  <c r="CR1183" i="75"/>
  <c r="I68" i="112"/>
  <c r="BL623" i="75"/>
  <c r="CJ201" i="75"/>
  <c r="CJ319" i="75"/>
  <c r="CZ423" i="75"/>
  <c r="CF445" i="75"/>
  <c r="CV453" i="75"/>
  <c r="CJ579" i="75"/>
  <c r="DD627" i="75"/>
  <c r="CJ637" i="75"/>
  <c r="CZ645" i="75"/>
  <c r="CR697" i="75"/>
  <c r="CX699" i="75"/>
  <c r="CT745" i="75"/>
  <c r="CF935" i="75"/>
  <c r="BR1051" i="75"/>
  <c r="DD1161" i="75"/>
  <c r="CT1169" i="75"/>
  <c r="CB1173" i="75"/>
  <c r="BX1175" i="75"/>
  <c r="CH1181" i="75"/>
  <c r="CV1193" i="75"/>
  <c r="CD1237" i="75"/>
  <c r="D108" i="115"/>
  <c r="F108" i="115" s="1"/>
  <c r="I22" i="116"/>
  <c r="CZ1027" i="75"/>
  <c r="CZ1083" i="75"/>
  <c r="D29" i="115"/>
  <c r="G138" i="114"/>
  <c r="J37" i="115"/>
  <c r="H10" i="112"/>
  <c r="I177" i="116"/>
  <c r="D173" i="116"/>
  <c r="D53" i="116"/>
  <c r="D33" i="116"/>
  <c r="H170" i="114"/>
  <c r="CZ197" i="75"/>
  <c r="CL201" i="75"/>
  <c r="BR203" i="75"/>
  <c r="CR235" i="75"/>
  <c r="DF257" i="75"/>
  <c r="CF259" i="75"/>
  <c r="CB271" i="75"/>
  <c r="DF325" i="75"/>
  <c r="DD343" i="75"/>
  <c r="BH379" i="75"/>
  <c r="CP391" i="75"/>
  <c r="CH445" i="75"/>
  <c r="DA487" i="75" a="1"/>
  <c r="CB619" i="75"/>
  <c r="DB645" i="75"/>
  <c r="CN647" i="75"/>
  <c r="DF651" i="75"/>
  <c r="DB725" i="75"/>
  <c r="DB741" i="75"/>
  <c r="CX755" i="75"/>
  <c r="DD757" i="75"/>
  <c r="CL803" i="75"/>
  <c r="CR837" i="75"/>
  <c r="CJ981" i="75"/>
  <c r="CZ1057" i="75"/>
  <c r="DB1069" i="75"/>
  <c r="CL1127" i="75"/>
  <c r="CN1171" i="75"/>
  <c r="CN1239" i="75"/>
  <c r="DD1257" i="75"/>
  <c r="D37" i="112"/>
  <c r="G57" i="112"/>
  <c r="G71" i="112"/>
  <c r="I93" i="112"/>
  <c r="D198" i="112"/>
  <c r="F198" i="112" s="1"/>
  <c r="D47" i="116"/>
  <c r="D109" i="116"/>
  <c r="F109" i="116" s="1"/>
  <c r="D148" i="116"/>
  <c r="DB777" i="75"/>
  <c r="CX1141" i="75"/>
  <c r="J10" i="112"/>
  <c r="H10" i="114"/>
  <c r="CT383" i="75"/>
  <c r="T34" i="115"/>
  <c r="CX1139" i="75"/>
  <c r="DF425" i="75"/>
  <c r="D136" i="114"/>
  <c r="BP197" i="75"/>
  <c r="CJ207" i="75"/>
  <c r="CB215" i="75"/>
  <c r="CZ293" i="75"/>
  <c r="CZ395" i="75"/>
  <c r="CN407" i="75"/>
  <c r="CT569" i="75"/>
  <c r="CH575" i="75"/>
  <c r="DF719" i="75"/>
  <c r="CX831" i="75"/>
  <c r="DF1155" i="75"/>
  <c r="CZ1231" i="75"/>
  <c r="I82" i="114"/>
  <c r="DB417" i="75"/>
  <c r="G115" i="114"/>
  <c r="I48" i="112"/>
  <c r="DD827" i="75"/>
  <c r="D174" i="115"/>
  <c r="F174" i="115" s="1"/>
  <c r="DF717" i="75"/>
  <c r="G25" i="116"/>
  <c r="AE6" i="126"/>
  <c r="DE551" i="75"/>
  <c r="I196" i="115"/>
  <c r="G96" i="114"/>
  <c r="G199" i="114"/>
  <c r="H160" i="116"/>
  <c r="D144" i="115"/>
  <c r="H220" i="116"/>
  <c r="I121" i="115"/>
  <c r="D93" i="115"/>
  <c r="E93" i="115" s="1"/>
  <c r="H93" i="115" s="1"/>
  <c r="G43" i="112"/>
  <c r="DB603" i="75"/>
  <c r="G21" i="112"/>
  <c r="G159" i="114"/>
  <c r="D129" i="115"/>
  <c r="I39" i="114"/>
  <c r="I197" i="115"/>
  <c r="G94" i="114"/>
  <c r="H200" i="116"/>
  <c r="I198" i="115"/>
  <c r="G92" i="114"/>
  <c r="I38" i="114"/>
  <c r="BX205" i="75"/>
  <c r="CN651" i="75"/>
  <c r="CC705" i="75" a="1"/>
  <c r="CC732" i="75" s="1"/>
  <c r="CF881" i="75"/>
  <c r="G106" i="112"/>
  <c r="D146" i="115"/>
  <c r="D198" i="115"/>
  <c r="CV355" i="75"/>
  <c r="CZ875" i="75"/>
  <c r="D16" i="114"/>
  <c r="E16" i="114" s="1"/>
  <c r="D13" i="114"/>
  <c r="F13" i="114" s="1"/>
  <c r="G153" i="114"/>
  <c r="I156" i="114"/>
  <c r="D49" i="115"/>
  <c r="E49" i="115" s="1"/>
  <c r="H49" i="115" s="1"/>
  <c r="Q35" i="115"/>
  <c r="H20" i="116"/>
  <c r="J20" i="116"/>
  <c r="H140" i="116"/>
  <c r="J140" i="116"/>
  <c r="D158" i="114"/>
  <c r="D15" i="115"/>
  <c r="F15" i="115" s="1"/>
  <c r="T35" i="115"/>
  <c r="I44" i="115"/>
  <c r="I175" i="115"/>
  <c r="I177" i="115"/>
  <c r="D191" i="115"/>
  <c r="DB649" i="75"/>
  <c r="DF607" i="75"/>
  <c r="D13" i="115"/>
  <c r="F13" i="115" s="1"/>
  <c r="I179" i="115"/>
  <c r="D46" i="115"/>
  <c r="G52" i="114"/>
  <c r="G113" i="114"/>
  <c r="G187" i="112"/>
  <c r="CZ215" i="75"/>
  <c r="CZ225" i="75"/>
  <c r="BX331" i="75"/>
  <c r="CX355" i="75"/>
  <c r="CV356" i="75"/>
  <c r="CJ389" i="75"/>
  <c r="CV477" i="75"/>
  <c r="CN763" i="75"/>
  <c r="G39" i="114"/>
  <c r="G51" i="114"/>
  <c r="G76" i="114"/>
  <c r="G93" i="114"/>
  <c r="G152" i="114"/>
  <c r="G173" i="114"/>
  <c r="I18" i="115"/>
  <c r="I15" i="115"/>
  <c r="I93" i="115"/>
  <c r="I95" i="115"/>
  <c r="I141" i="115"/>
  <c r="I199" i="115"/>
  <c r="D124" i="116"/>
  <c r="F124" i="116" s="1"/>
  <c r="G125" i="116"/>
  <c r="G124" i="116"/>
  <c r="G168" i="116"/>
  <c r="G165" i="116"/>
  <c r="G163" i="116"/>
  <c r="G161" i="116"/>
  <c r="G185" i="116"/>
  <c r="D186" i="116"/>
  <c r="E186" i="116" s="1"/>
  <c r="J186" i="116" s="1"/>
  <c r="G207" i="116"/>
  <c r="D208" i="116"/>
  <c r="F208" i="116" s="1"/>
  <c r="D175" i="115"/>
  <c r="F175" i="115" s="1"/>
  <c r="D28" i="115"/>
  <c r="D42" i="115"/>
  <c r="F42" i="115" s="1"/>
  <c r="G34" i="114"/>
  <c r="DB1089" i="75"/>
  <c r="G176" i="114"/>
  <c r="D27" i="115"/>
  <c r="G97" i="114"/>
  <c r="I59" i="114"/>
  <c r="CT197" i="75"/>
  <c r="DF209" i="75"/>
  <c r="CL219" i="75"/>
  <c r="BV317" i="75"/>
  <c r="CH319" i="75"/>
  <c r="CH329" i="75"/>
  <c r="CX343" i="75"/>
  <c r="CX351" i="75"/>
  <c r="DF381" i="75"/>
  <c r="CL391" i="75"/>
  <c r="CL401" i="75"/>
  <c r="CP405" i="75"/>
  <c r="CL693" i="75"/>
  <c r="CP941" i="75"/>
  <c r="BZ1163" i="75"/>
  <c r="DB1243" i="75"/>
  <c r="D178" i="114"/>
  <c r="F178" i="114" s="1"/>
  <c r="D18" i="115"/>
  <c r="E18" i="115" s="1"/>
  <c r="J18" i="115" s="1"/>
  <c r="D14" i="114"/>
  <c r="D96" i="114"/>
  <c r="CT1200" i="75"/>
  <c r="CV1199" i="75"/>
  <c r="J30" i="112"/>
  <c r="H30" i="112"/>
  <c r="J110" i="112"/>
  <c r="H110" i="112"/>
  <c r="D201" i="115"/>
  <c r="E201" i="115" s="1"/>
  <c r="J201" i="115" s="1"/>
  <c r="D203" i="115"/>
  <c r="F203" i="115" s="1"/>
  <c r="I48" i="116"/>
  <c r="I43" i="116"/>
  <c r="I84" i="116"/>
  <c r="I86" i="116"/>
  <c r="I85" i="116"/>
  <c r="I88" i="116"/>
  <c r="I184" i="116"/>
  <c r="I182" i="116"/>
  <c r="I189" i="116"/>
  <c r="I185" i="116"/>
  <c r="I202" i="116"/>
  <c r="I205" i="116"/>
  <c r="I204" i="116"/>
  <c r="I222" i="116"/>
  <c r="I223" i="116"/>
  <c r="DD1209" i="75"/>
  <c r="G131" i="114"/>
  <c r="G151" i="114"/>
  <c r="G88" i="112"/>
  <c r="D17" i="115"/>
  <c r="E17" i="115" s="1"/>
  <c r="J17" i="115" s="1"/>
  <c r="I144" i="115"/>
  <c r="BZ575" i="75"/>
  <c r="BR859" i="75"/>
  <c r="CT885" i="75"/>
  <c r="DE914" i="75"/>
  <c r="DE913" i="75"/>
  <c r="DF913" i="75" s="1"/>
  <c r="DF1107" i="75"/>
  <c r="I99" i="115"/>
  <c r="D119" i="114"/>
  <c r="E119" i="114" s="1"/>
  <c r="J119" i="114" s="1"/>
  <c r="G41" i="112"/>
  <c r="D197" i="114"/>
  <c r="I16" i="115"/>
  <c r="I184" i="112"/>
  <c r="G103" i="112"/>
  <c r="CN1127" i="75"/>
  <c r="CP201" i="75"/>
  <c r="CH207" i="75"/>
  <c r="CV261" i="75"/>
  <c r="CX261" i="75"/>
  <c r="CD273" i="75"/>
  <c r="CG287" i="75" a="1"/>
  <c r="CG309" i="75" s="1"/>
  <c r="CB317" i="75"/>
  <c r="BP321" i="75"/>
  <c r="CJ333" i="75"/>
  <c r="CL377" i="75"/>
  <c r="BZ381" i="75"/>
  <c r="CD399" i="75"/>
  <c r="CL407" i="75"/>
  <c r="BZ499" i="75"/>
  <c r="CN569" i="75"/>
  <c r="CD573" i="75"/>
  <c r="CB575" i="75"/>
  <c r="DF623" i="75"/>
  <c r="BV627" i="75"/>
  <c r="DF645" i="75"/>
  <c r="CV681" i="75"/>
  <c r="BR689" i="75"/>
  <c r="DD689" i="75"/>
  <c r="CT693" i="75"/>
  <c r="BV1115" i="75"/>
  <c r="CX901" i="75"/>
  <c r="BP1045" i="75"/>
  <c r="I78" i="114"/>
  <c r="D111" i="114"/>
  <c r="D49" i="112"/>
  <c r="F49" i="112" s="1"/>
  <c r="I145" i="115"/>
  <c r="G179" i="114"/>
  <c r="H179" i="114" s="1"/>
  <c r="DF1263" i="75"/>
  <c r="BX257" i="75"/>
  <c r="CJ259" i="75"/>
  <c r="CR277" i="75"/>
  <c r="CJ285" i="75"/>
  <c r="CF317" i="75"/>
  <c r="CN341" i="75"/>
  <c r="CB381" i="75"/>
  <c r="CV401" i="75"/>
  <c r="CZ405" i="75"/>
  <c r="CZ593" i="75"/>
  <c r="CF619" i="75"/>
  <c r="BX627" i="75"/>
  <c r="CN679" i="75"/>
  <c r="CN709" i="75"/>
  <c r="DD719" i="75"/>
  <c r="DD891" i="75"/>
  <c r="BP1101" i="75"/>
  <c r="DD1101" i="75"/>
  <c r="BX1107" i="75"/>
  <c r="CJ1111" i="75"/>
  <c r="CV1123" i="75"/>
  <c r="CR1127" i="75"/>
  <c r="CV1139" i="75"/>
  <c r="CH1173" i="75"/>
  <c r="CJ1173" i="75"/>
  <c r="CF1175" i="75"/>
  <c r="CF1177" i="75"/>
  <c r="DD1193" i="75"/>
  <c r="CR1223" i="75"/>
  <c r="BT1225" i="75"/>
  <c r="CN1227" i="75"/>
  <c r="BX1229" i="75"/>
  <c r="CR1233" i="75"/>
  <c r="CN1237" i="75"/>
  <c r="G119" i="112"/>
  <c r="G179" i="112"/>
  <c r="G199" i="112"/>
  <c r="I148" i="115"/>
  <c r="I127" i="115"/>
  <c r="I49" i="115"/>
  <c r="G104" i="112"/>
  <c r="BZ203" i="75"/>
  <c r="CT231" i="75"/>
  <c r="CT233" i="75"/>
  <c r="DB261" i="75"/>
  <c r="BR265" i="75"/>
  <c r="CH271" i="75"/>
  <c r="DF279" i="75"/>
  <c r="BV321" i="75"/>
  <c r="CP331" i="75"/>
  <c r="DD487" i="75"/>
  <c r="DF581" i="75"/>
  <c r="BN681" i="75"/>
  <c r="CX685" i="75"/>
  <c r="DD974" i="75" a="1"/>
  <c r="DD717" i="75"/>
  <c r="DA789" i="75" a="1"/>
  <c r="DA792" i="75" s="1"/>
  <c r="G188" i="112"/>
  <c r="I126" i="115"/>
  <c r="G71" i="114"/>
  <c r="D47" i="115"/>
  <c r="E47" i="115" s="1"/>
  <c r="G76" i="112"/>
  <c r="CZ1265" i="75"/>
  <c r="DE1036" i="75"/>
  <c r="I191" i="115"/>
  <c r="I98" i="115"/>
  <c r="G116" i="114"/>
  <c r="Q31" i="115"/>
  <c r="I71" i="112"/>
  <c r="H70" i="112"/>
  <c r="DE853" i="75"/>
  <c r="J100" i="116"/>
  <c r="H60" i="116"/>
  <c r="I195" i="115"/>
  <c r="I196" i="114"/>
  <c r="D41" i="115"/>
  <c r="I67" i="112"/>
  <c r="CN683" i="75"/>
  <c r="CN801" i="75"/>
  <c r="CN1051" i="75"/>
  <c r="DD1223" i="75"/>
  <c r="I61" i="115"/>
  <c r="I161" i="115"/>
  <c r="I58" i="116"/>
  <c r="D22" i="112"/>
  <c r="E22" i="112" s="1"/>
  <c r="J22" i="112" s="1"/>
  <c r="CV225" i="75"/>
  <c r="CT403" i="75"/>
  <c r="CV413" i="75"/>
  <c r="I16" i="114"/>
  <c r="J130" i="114"/>
  <c r="CZ257" i="75"/>
  <c r="DD749" i="75"/>
  <c r="CZ815" i="75"/>
  <c r="CD933" i="75"/>
  <c r="CL941" i="75"/>
  <c r="DB985" i="75"/>
  <c r="CH987" i="75"/>
  <c r="CL993" i="75"/>
  <c r="CH995" i="75"/>
  <c r="CL999" i="75"/>
  <c r="CH1005" i="75"/>
  <c r="BZ1049" i="75"/>
  <c r="BN1103" i="75"/>
  <c r="DB1103" i="75"/>
  <c r="CD1105" i="75"/>
  <c r="CH1109" i="75"/>
  <c r="CX1117" i="75"/>
  <c r="DB1119" i="75"/>
  <c r="DB1129" i="75"/>
  <c r="BJ1161" i="75"/>
  <c r="CX1161" i="75"/>
  <c r="BV1163" i="75"/>
  <c r="CL1165" i="75"/>
  <c r="BR1167" i="75"/>
  <c r="DF1167" i="75"/>
  <c r="CP1169" i="75"/>
  <c r="CD1171" i="75"/>
  <c r="BV1173" i="75"/>
  <c r="DF1177" i="75"/>
  <c r="CP1183" i="75"/>
  <c r="DF1185" i="75"/>
  <c r="CX1191" i="75"/>
  <c r="BR1221" i="75"/>
  <c r="DF1221" i="75"/>
  <c r="BZ1227" i="75"/>
  <c r="CL1231" i="75"/>
  <c r="BZ1235" i="75"/>
  <c r="BV619" i="75"/>
  <c r="CD981" i="75"/>
  <c r="CL995" i="75"/>
  <c r="BF1101" i="75"/>
  <c r="CL1123" i="75"/>
  <c r="BN1161" i="75"/>
  <c r="BZ1179" i="75"/>
  <c r="BN1229" i="75"/>
  <c r="DB1229" i="75"/>
  <c r="CD1235" i="75"/>
  <c r="I176" i="115"/>
  <c r="G41" i="116"/>
  <c r="G61" i="116"/>
  <c r="G103" i="116"/>
  <c r="DD741" i="75"/>
  <c r="DF757" i="75"/>
  <c r="BL799" i="75"/>
  <c r="CF809" i="75"/>
  <c r="CR821" i="75"/>
  <c r="CP825" i="75"/>
  <c r="CZ829" i="75"/>
  <c r="CH871" i="75"/>
  <c r="BP925" i="75"/>
  <c r="CL819" i="75"/>
  <c r="DB1009" i="75"/>
  <c r="DF1055" i="75"/>
  <c r="DF1057" i="75"/>
  <c r="CP1073" i="75"/>
  <c r="CT1105" i="75"/>
  <c r="CD1113" i="75"/>
  <c r="BZ1117" i="75"/>
  <c r="CT1135" i="75"/>
  <c r="CT1137" i="75"/>
  <c r="CT1181" i="75"/>
  <c r="CP1227" i="75"/>
  <c r="CT1239" i="75"/>
  <c r="CP1245" i="75"/>
  <c r="CN275" i="75"/>
  <c r="DF603" i="75"/>
  <c r="D196" i="112"/>
  <c r="G199" i="116"/>
  <c r="I17" i="112"/>
  <c r="BL201" i="75"/>
  <c r="CF211" i="75"/>
  <c r="CF213" i="75"/>
  <c r="CR285" i="75"/>
  <c r="CZ329" i="75"/>
  <c r="CV331" i="75"/>
  <c r="CF339" i="75"/>
  <c r="CJ381" i="75"/>
  <c r="CX419" i="75"/>
  <c r="CR441" i="75"/>
  <c r="CF503" i="75"/>
  <c r="CJ515" i="75"/>
  <c r="CZ579" i="75"/>
  <c r="CN583" i="75"/>
  <c r="D192" i="115"/>
  <c r="F192" i="115" s="1"/>
  <c r="J50" i="114"/>
  <c r="G17" i="112"/>
  <c r="CT259" i="75"/>
  <c r="AJ207" i="100"/>
  <c r="AJ327" i="100"/>
  <c r="G64" i="112"/>
  <c r="G87" i="112"/>
  <c r="R33" i="115"/>
  <c r="G75" i="114"/>
  <c r="G72" i="114"/>
  <c r="D176" i="114"/>
  <c r="E176" i="114" s="1"/>
  <c r="J176" i="114" s="1"/>
  <c r="I92" i="115"/>
  <c r="G154" i="114"/>
  <c r="I133" i="114"/>
  <c r="Q39" i="115"/>
  <c r="I162" i="112"/>
  <c r="CT1019" i="75"/>
  <c r="CB201" i="75"/>
  <c r="CX215" i="75"/>
  <c r="CT257" i="75"/>
  <c r="BT259" i="75"/>
  <c r="CN279" i="75"/>
  <c r="CX299" i="75"/>
  <c r="CR321" i="75"/>
  <c r="BV323" i="75"/>
  <c r="CJ327" i="75"/>
  <c r="BX377" i="75"/>
  <c r="CJ379" i="75"/>
  <c r="BL381" i="75"/>
  <c r="CZ381" i="75"/>
  <c r="CR387" i="75"/>
  <c r="CR397" i="75"/>
  <c r="DD409" i="75"/>
  <c r="CR455" i="75"/>
  <c r="CZ509" i="75"/>
  <c r="CB579" i="75"/>
  <c r="BV625" i="75"/>
  <c r="DD649" i="75"/>
  <c r="CR653" i="75"/>
  <c r="CF685" i="75"/>
  <c r="CF703" i="75"/>
  <c r="CZ705" i="75"/>
  <c r="CI711" i="75" a="1"/>
  <c r="CX749" i="75"/>
  <c r="CR767" i="75"/>
  <c r="CV813" i="75"/>
  <c r="CV815" i="75"/>
  <c r="CZ817" i="75"/>
  <c r="CL881" i="75"/>
  <c r="DD963" i="75"/>
  <c r="G164" i="112"/>
  <c r="D56" i="114"/>
  <c r="F56" i="114" s="1"/>
  <c r="D24" i="115"/>
  <c r="F24" i="115" s="1"/>
  <c r="D193" i="115"/>
  <c r="DD725" i="75"/>
  <c r="CX657" i="75"/>
  <c r="BN199" i="75"/>
  <c r="CH219" i="75"/>
  <c r="DF273" i="75"/>
  <c r="CX339" i="75"/>
  <c r="CT351" i="75"/>
  <c r="CT353" i="75"/>
  <c r="CL389" i="75"/>
  <c r="CH437" i="75"/>
  <c r="CT455" i="75"/>
  <c r="DB683" i="75"/>
  <c r="CH739" i="75"/>
  <c r="CT741" i="75"/>
  <c r="CP753" i="75"/>
  <c r="CX805" i="75"/>
  <c r="DB811" i="75"/>
  <c r="BJ859" i="75"/>
  <c r="CP891" i="75"/>
  <c r="DF921" i="75"/>
  <c r="DD1212" i="75"/>
  <c r="DF1211" i="75"/>
  <c r="CZ1025" i="75"/>
  <c r="CZ417" i="75"/>
  <c r="BZ331" i="75"/>
  <c r="DB295" i="75"/>
  <c r="D79" i="114"/>
  <c r="E79" i="114" s="1"/>
  <c r="J79" i="114" s="1"/>
  <c r="I114" i="114"/>
  <c r="BN925" i="75"/>
  <c r="CB875" i="75"/>
  <c r="CD687" i="75"/>
  <c r="DF663" i="75"/>
  <c r="CU1265" i="75" a="1"/>
  <c r="CU1265" i="75" s="1"/>
  <c r="CV1265" i="75" s="1"/>
  <c r="DF537" i="75"/>
  <c r="D44" i="115"/>
  <c r="F44" i="115" s="1"/>
  <c r="G17" i="116"/>
  <c r="D133" i="116"/>
  <c r="D178" i="116"/>
  <c r="D193" i="116"/>
  <c r="E193" i="116" s="1"/>
  <c r="J193" i="116" s="1"/>
  <c r="G56" i="114"/>
  <c r="G194" i="114"/>
  <c r="CZ1011" i="75"/>
  <c r="CL827" i="75"/>
  <c r="CP921" i="75"/>
  <c r="CD925" i="75"/>
  <c r="DF1109" i="75"/>
  <c r="CR203" i="75"/>
  <c r="DD485" i="75"/>
  <c r="CT619" i="75"/>
  <c r="CH623" i="75"/>
  <c r="CL627" i="75"/>
  <c r="BZ629" i="75"/>
  <c r="BR631" i="75"/>
  <c r="DF631" i="75"/>
  <c r="CH689" i="75"/>
  <c r="BZ691" i="75"/>
  <c r="BV695" i="75"/>
  <c r="CH699" i="75"/>
  <c r="DB709" i="75"/>
  <c r="CX743" i="75"/>
  <c r="CD745" i="75"/>
  <c r="CP759" i="75"/>
  <c r="CP817" i="75"/>
  <c r="CT839" i="75"/>
  <c r="DF905" i="75"/>
  <c r="BZ931" i="75"/>
  <c r="DB935" i="75"/>
  <c r="BZ983" i="75"/>
  <c r="CP985" i="75"/>
  <c r="BV997" i="75"/>
  <c r="DB1049" i="75"/>
  <c r="CX1111" i="75"/>
  <c r="DF1127" i="75"/>
  <c r="DF1137" i="75"/>
  <c r="CL1161" i="75"/>
  <c r="BR1171" i="75"/>
  <c r="CT1175" i="75"/>
  <c r="CD1183" i="75"/>
  <c r="CT1185" i="75"/>
  <c r="CH1225" i="75"/>
  <c r="DB1227" i="75"/>
  <c r="CL1229" i="75"/>
  <c r="DF1233" i="75"/>
  <c r="DB1235" i="75"/>
  <c r="DB1237" i="75"/>
  <c r="DB1245" i="75"/>
  <c r="DF1249" i="75"/>
  <c r="CT1251" i="75"/>
  <c r="CL1253" i="75"/>
  <c r="I96" i="115"/>
  <c r="I147" i="115"/>
  <c r="DA1211" i="75" a="1"/>
  <c r="DA1211" i="75" s="1"/>
  <c r="DB1211" i="75" s="1"/>
  <c r="DF247" i="75"/>
  <c r="I94" i="115"/>
  <c r="DD1261" i="75"/>
  <c r="AH328" i="100"/>
  <c r="AA172" i="102" s="1"/>
  <c r="H190" i="115"/>
  <c r="CN211" i="75"/>
  <c r="CF279" i="75"/>
  <c r="CV281" i="75"/>
  <c r="CZ285" i="75"/>
  <c r="BH317" i="75"/>
  <c r="CV317" i="75"/>
  <c r="BT329" i="75"/>
  <c r="CR381" i="75"/>
  <c r="CV385" i="75"/>
  <c r="BX391" i="75"/>
  <c r="BX393" i="75"/>
  <c r="CF443" i="75"/>
  <c r="CR447" i="75"/>
  <c r="CR457" i="75"/>
  <c r="CR515" i="75"/>
  <c r="CZ561" i="75"/>
  <c r="CZ571" i="75"/>
  <c r="CN589" i="75"/>
  <c r="DD599" i="75"/>
  <c r="CV619" i="75"/>
  <c r="BT621" i="75"/>
  <c r="DD625" i="75"/>
  <c r="CN627" i="75"/>
  <c r="CB629" i="75"/>
  <c r="BT631" i="75"/>
  <c r="DD643" i="75"/>
  <c r="CX661" i="75"/>
  <c r="DD679" i="75"/>
  <c r="CJ689" i="75"/>
  <c r="BX693" i="75"/>
  <c r="BX695" i="75"/>
  <c r="DD709" i="75"/>
  <c r="CR715" i="75"/>
  <c r="CV717" i="75"/>
  <c r="CJ741" i="75"/>
  <c r="CR749" i="75"/>
  <c r="CJ757" i="75"/>
  <c r="CN823" i="75"/>
  <c r="CB863" i="75"/>
  <c r="DD937" i="75"/>
  <c r="BX987" i="75"/>
  <c r="BX995" i="75"/>
  <c r="CR1007" i="75"/>
  <c r="CF1047" i="75"/>
  <c r="CN1161" i="75"/>
  <c r="CZ1189" i="75"/>
  <c r="CN1191" i="75"/>
  <c r="BH1221" i="75"/>
  <c r="CV1221" i="75"/>
  <c r="CJ1225" i="75"/>
  <c r="CN1229" i="75"/>
  <c r="CB1231" i="75"/>
  <c r="DD1245" i="75"/>
  <c r="AD331" i="100"/>
  <c r="D4" i="125"/>
  <c r="H4" i="125" s="1"/>
  <c r="CX199" i="75"/>
  <c r="BZ201" i="75"/>
  <c r="CT211" i="75"/>
  <c r="CH261" i="75"/>
  <c r="DB263" i="75"/>
  <c r="CH283" i="75"/>
  <c r="BN317" i="75"/>
  <c r="DB317" i="75"/>
  <c r="BZ335" i="75"/>
  <c r="CT349" i="75"/>
  <c r="DB409" i="75"/>
  <c r="CX447" i="75"/>
  <c r="CL497" i="75"/>
  <c r="CX509" i="75"/>
  <c r="CD519" i="75"/>
  <c r="BN565" i="75"/>
  <c r="CL591" i="75"/>
  <c r="BN687" i="75"/>
  <c r="CP699" i="75"/>
  <c r="CD703" i="75"/>
  <c r="CX705" i="75"/>
  <c r="CX759" i="75"/>
  <c r="BZ923" i="75"/>
  <c r="CT943" i="75"/>
  <c r="CD997" i="75"/>
  <c r="CP1053" i="75"/>
  <c r="CL1055" i="75"/>
  <c r="CX1129" i="75"/>
  <c r="CL1131" i="75"/>
  <c r="BF1161" i="75"/>
  <c r="DB1167" i="75"/>
  <c r="CL1169" i="75"/>
  <c r="DF1173" i="75"/>
  <c r="DF1179" i="75"/>
  <c r="BZ1181" i="75"/>
  <c r="CL1183" i="75"/>
  <c r="CT1191" i="75"/>
  <c r="BZ1233" i="75"/>
  <c r="BV1235" i="75"/>
  <c r="CH1241" i="75"/>
  <c r="CF1241" i="75"/>
  <c r="CT1243" i="75"/>
  <c r="DB1251" i="75"/>
  <c r="CT1253" i="75"/>
  <c r="CP1257" i="75"/>
  <c r="CT960" i="75"/>
  <c r="CV959" i="75"/>
  <c r="G22" i="112"/>
  <c r="I26" i="112"/>
  <c r="I21" i="112"/>
  <c r="G23" i="112"/>
  <c r="G25" i="112"/>
  <c r="I45" i="112"/>
  <c r="I47" i="112"/>
  <c r="D48" i="112"/>
  <c r="G42" i="112"/>
  <c r="D43" i="112"/>
  <c r="F43" i="112" s="1"/>
  <c r="G48" i="112"/>
  <c r="D62" i="112"/>
  <c r="E62" i="112" s="1"/>
  <c r="I65" i="112"/>
  <c r="D65" i="112"/>
  <c r="I66" i="112"/>
  <c r="G84" i="112"/>
  <c r="D89" i="112"/>
  <c r="E89" i="112" s="1"/>
  <c r="J89" i="112" s="1"/>
  <c r="G86" i="112"/>
  <c r="I86" i="112"/>
  <c r="G81" i="112"/>
  <c r="I104" i="112"/>
  <c r="D105" i="112"/>
  <c r="E105" i="112" s="1"/>
  <c r="J105" i="112" s="1"/>
  <c r="I101" i="112"/>
  <c r="I105" i="112"/>
  <c r="I109" i="112"/>
  <c r="I121" i="112"/>
  <c r="D121" i="112"/>
  <c r="I126" i="112"/>
  <c r="I143" i="112"/>
  <c r="D144" i="112"/>
  <c r="E144" i="112" s="1"/>
  <c r="J144" i="112" s="1"/>
  <c r="G147" i="112"/>
  <c r="I147" i="112"/>
  <c r="G142" i="112"/>
  <c r="G149" i="112"/>
  <c r="D148" i="112"/>
  <c r="E148" i="112" s="1"/>
  <c r="J148" i="112" s="1"/>
  <c r="I142" i="112"/>
  <c r="D188" i="112"/>
  <c r="E188" i="112" s="1"/>
  <c r="G183" i="112"/>
  <c r="I185" i="112"/>
  <c r="D186" i="112"/>
  <c r="E186" i="112" s="1"/>
  <c r="J186" i="112" s="1"/>
  <c r="G184" i="112"/>
  <c r="G17" i="114"/>
  <c r="G12" i="114"/>
  <c r="G18" i="114"/>
  <c r="G16" i="114"/>
  <c r="D33" i="114"/>
  <c r="F33" i="114" s="1"/>
  <c r="D31" i="114"/>
  <c r="D78" i="114"/>
  <c r="D73" i="114"/>
  <c r="F73" i="114" s="1"/>
  <c r="D97" i="114"/>
  <c r="F97" i="114" s="1"/>
  <c r="D98" i="114"/>
  <c r="F98" i="114" s="1"/>
  <c r="D93" i="114"/>
  <c r="F93" i="114" s="1"/>
  <c r="D113" i="114"/>
  <c r="E113" i="114" s="1"/>
  <c r="J113" i="114" s="1"/>
  <c r="D117" i="114"/>
  <c r="E117" i="114" s="1"/>
  <c r="J117" i="114" s="1"/>
  <c r="D118" i="114"/>
  <c r="E118" i="114" s="1"/>
  <c r="J118" i="114" s="1"/>
  <c r="D135" i="114"/>
  <c r="E135" i="114" s="1"/>
  <c r="D134" i="114"/>
  <c r="F134" i="114" s="1"/>
  <c r="D153" i="114"/>
  <c r="D157" i="114"/>
  <c r="F157" i="114" s="1"/>
  <c r="D152" i="114"/>
  <c r="E152" i="114" s="1"/>
  <c r="J152" i="114" s="1"/>
  <c r="D173" i="114"/>
  <c r="E173" i="114" s="1"/>
  <c r="D172" i="114"/>
  <c r="D175" i="114"/>
  <c r="D195" i="114"/>
  <c r="F195" i="114" s="1"/>
  <c r="D192" i="114"/>
  <c r="D194" i="114"/>
  <c r="D196" i="114"/>
  <c r="D23" i="115"/>
  <c r="D25" i="115"/>
  <c r="F25" i="115" s="1"/>
  <c r="D26" i="115"/>
  <c r="E26" i="115" s="1"/>
  <c r="J26" i="115" s="1"/>
  <c r="T33" i="115"/>
  <c r="T39" i="115"/>
  <c r="I43" i="115"/>
  <c r="I46" i="115"/>
  <c r="I45" i="115"/>
  <c r="D78" i="115"/>
  <c r="E78" i="115" s="1"/>
  <c r="I76" i="115"/>
  <c r="D94" i="115"/>
  <c r="D95" i="115"/>
  <c r="F95" i="115" s="1"/>
  <c r="D91" i="115"/>
  <c r="F91" i="115" s="1"/>
  <c r="D97" i="115"/>
  <c r="E97" i="115" s="1"/>
  <c r="D92" i="115"/>
  <c r="F92" i="115" s="1"/>
  <c r="I129" i="115"/>
  <c r="I122" i="115"/>
  <c r="D126" i="115"/>
  <c r="I123" i="115"/>
  <c r="D125" i="115"/>
  <c r="D143" i="115"/>
  <c r="E143" i="115" s="1"/>
  <c r="D147" i="115"/>
  <c r="D148" i="115"/>
  <c r="I174" i="115"/>
  <c r="D176" i="115"/>
  <c r="F176" i="115" s="1"/>
  <c r="D178" i="115"/>
  <c r="E178" i="115" s="1"/>
  <c r="I171" i="115"/>
  <c r="I173" i="115"/>
  <c r="D177" i="115"/>
  <c r="E177" i="115" s="1"/>
  <c r="H177" i="115" s="1"/>
  <c r="D137" i="114"/>
  <c r="F137" i="114" s="1"/>
  <c r="D95" i="114"/>
  <c r="E95" i="114" s="1"/>
  <c r="J95" i="114" s="1"/>
  <c r="I186" i="112"/>
  <c r="F52" i="115"/>
  <c r="DD359" i="75"/>
  <c r="CP321" i="75"/>
  <c r="I144" i="112"/>
  <c r="G185" i="112"/>
  <c r="I49" i="112"/>
  <c r="CP1255" i="75"/>
  <c r="CV1259" i="75"/>
  <c r="G144" i="112"/>
  <c r="G45" i="112"/>
  <c r="DB237" i="75"/>
  <c r="E139" i="116"/>
  <c r="J139" i="116" s="1"/>
  <c r="G145" i="112"/>
  <c r="D191" i="114"/>
  <c r="E191" i="114" s="1"/>
  <c r="J191" i="114" s="1"/>
  <c r="G82" i="112"/>
  <c r="G143" i="112"/>
  <c r="G27" i="112"/>
  <c r="DB359" i="75"/>
  <c r="F173" i="115"/>
  <c r="BX625" i="75"/>
  <c r="DD305" i="75"/>
  <c r="G121" i="112"/>
  <c r="D155" i="114"/>
  <c r="I79" i="115"/>
  <c r="I141" i="112"/>
  <c r="I23" i="112"/>
  <c r="I42" i="112"/>
  <c r="I106" i="112"/>
  <c r="I163" i="112"/>
  <c r="I12" i="114"/>
  <c r="G55" i="114"/>
  <c r="G73" i="114"/>
  <c r="D172" i="115"/>
  <c r="F172" i="115" s="1"/>
  <c r="I147" i="116"/>
  <c r="G187" i="116"/>
  <c r="Z335" i="100"/>
  <c r="CJ205" i="75"/>
  <c r="BX207" i="75"/>
  <c r="DD209" i="75"/>
  <c r="DD225" i="75"/>
  <c r="CR227" i="75"/>
  <c r="CR265" i="75"/>
  <c r="BT271" i="75"/>
  <c r="CF277" i="75"/>
  <c r="CR289" i="75"/>
  <c r="CR295" i="75"/>
  <c r="BT317" i="75"/>
  <c r="CF319" i="75"/>
  <c r="CB323" i="75"/>
  <c r="CN327" i="75"/>
  <c r="CF329" i="75"/>
  <c r="CB333" i="75"/>
  <c r="CN337" i="75"/>
  <c r="CZ349" i="75"/>
  <c r="CJ383" i="75"/>
  <c r="CV397" i="75"/>
  <c r="BH439" i="75"/>
  <c r="CR453" i="75"/>
  <c r="CR461" i="75"/>
  <c r="CJ467" i="75"/>
  <c r="CZ477" i="75"/>
  <c r="BL503" i="75"/>
  <c r="CJ519" i="75"/>
  <c r="CV645" i="75"/>
  <c r="CV653" i="75"/>
  <c r="CX663" i="75"/>
  <c r="CB679" i="75"/>
  <c r="CN681" i="75"/>
  <c r="BP683" i="75"/>
  <c r="CJ685" i="75"/>
  <c r="BT687" i="75"/>
  <c r="CV689" i="75"/>
  <c r="CN691" i="75"/>
  <c r="CJ693" i="75"/>
  <c r="CJ695" i="75"/>
  <c r="CN697" i="75"/>
  <c r="CV699" i="75"/>
  <c r="CJ703" i="75"/>
  <c r="DD705" i="75"/>
  <c r="CN707" i="75"/>
  <c r="DD713" i="75"/>
  <c r="DD715" i="75"/>
  <c r="BH741" i="75"/>
  <c r="BX743" i="75"/>
  <c r="CB747" i="75"/>
  <c r="CV751" i="75"/>
  <c r="CR755" i="75"/>
  <c r="DD759" i="75"/>
  <c r="CB761" i="75"/>
  <c r="CR763" i="75"/>
  <c r="CJ769" i="75"/>
  <c r="CZ813" i="75"/>
  <c r="CF923" i="75"/>
  <c r="BL1107" i="75"/>
  <c r="CJ1123" i="75"/>
  <c r="CZ1125" i="75"/>
  <c r="BT1175" i="75"/>
  <c r="BX1179" i="75"/>
  <c r="CF1181" i="75"/>
  <c r="CN1187" i="75"/>
  <c r="CR1193" i="75"/>
  <c r="CN1195" i="75"/>
  <c r="CR1199" i="75"/>
  <c r="CF1223" i="75"/>
  <c r="CF1233" i="75"/>
  <c r="CB1237" i="75"/>
  <c r="CN1241" i="75"/>
  <c r="CZ1253" i="75"/>
  <c r="CX1265" i="75"/>
  <c r="CV891" i="75"/>
  <c r="DD1115" i="75"/>
  <c r="I44" i="114"/>
  <c r="G69" i="114"/>
  <c r="G84" i="114"/>
  <c r="I106" i="114"/>
  <c r="D128" i="114"/>
  <c r="F128" i="114" s="1"/>
  <c r="I146" i="114"/>
  <c r="I168" i="114"/>
  <c r="G183" i="114"/>
  <c r="D83" i="115"/>
  <c r="F83" i="115" s="1"/>
  <c r="I158" i="115"/>
  <c r="D188" i="115"/>
  <c r="E188" i="115" s="1"/>
  <c r="I209" i="115"/>
  <c r="CN259" i="75"/>
  <c r="CN269" i="75"/>
  <c r="CV319" i="75"/>
  <c r="CR475" i="75"/>
  <c r="CR643" i="75"/>
  <c r="CV647" i="75"/>
  <c r="CZ695" i="75"/>
  <c r="CR747" i="75"/>
  <c r="CZ769" i="75"/>
  <c r="CV825" i="75"/>
  <c r="DD983" i="75"/>
  <c r="CF985" i="75"/>
  <c r="CZ987" i="75"/>
  <c r="DD993" i="75"/>
  <c r="DD999" i="75"/>
  <c r="BL1041" i="75"/>
  <c r="CR1049" i="75"/>
  <c r="CN1067" i="75"/>
  <c r="CZ1109" i="75"/>
  <c r="BH1223" i="75"/>
  <c r="DD1231" i="75"/>
  <c r="CV1233" i="75"/>
  <c r="CV1249" i="75"/>
  <c r="G137" i="112"/>
  <c r="CD1229" i="75"/>
  <c r="I29" i="115"/>
  <c r="D62" i="115"/>
  <c r="I86" i="115"/>
  <c r="D118" i="115"/>
  <c r="E118" i="115" s="1"/>
  <c r="I132" i="115"/>
  <c r="D162" i="115"/>
  <c r="I188" i="115"/>
  <c r="D215" i="115"/>
  <c r="F215" i="115" s="1"/>
  <c r="I13" i="116"/>
  <c r="G38" i="116"/>
  <c r="G78" i="116"/>
  <c r="G97" i="116"/>
  <c r="G113" i="116"/>
  <c r="G135" i="116"/>
  <c r="G179" i="116"/>
  <c r="G192" i="116"/>
  <c r="G218" i="116"/>
  <c r="DB201" i="75"/>
  <c r="BV261" i="75"/>
  <c r="DB277" i="75"/>
  <c r="CP281" i="75"/>
  <c r="CI349" i="75" a="1"/>
  <c r="CI349" i="75" s="1"/>
  <c r="CP385" i="75"/>
  <c r="DF391" i="75"/>
  <c r="BZ497" i="75"/>
  <c r="CH503" i="75"/>
  <c r="CH511" i="75"/>
  <c r="BT693" i="75"/>
  <c r="CR701" i="75"/>
  <c r="CZ747" i="75"/>
  <c r="CN749" i="75"/>
  <c r="CB755" i="75"/>
  <c r="CZ761" i="75"/>
  <c r="CB799" i="75"/>
  <c r="BT807" i="75"/>
  <c r="CN817" i="75"/>
  <c r="DB825" i="75"/>
  <c r="CN827" i="75"/>
  <c r="DF831" i="75"/>
  <c r="CP865" i="75"/>
  <c r="CE887" i="75" a="1"/>
  <c r="CE893" i="75" s="1"/>
  <c r="CN985" i="75"/>
  <c r="DF995" i="75"/>
  <c r="BX999" i="75"/>
  <c r="CL1051" i="75"/>
  <c r="CX1063" i="75"/>
  <c r="DF1071" i="75"/>
  <c r="CX1073" i="75"/>
  <c r="CH1107" i="75"/>
  <c r="CH1115" i="75"/>
  <c r="CH1117" i="75"/>
  <c r="DB1181" i="75"/>
  <c r="BV1231" i="75"/>
  <c r="DB1233" i="75"/>
  <c r="CF1247" i="75"/>
  <c r="CC463" i="75" a="1"/>
  <c r="CC490" i="75" s="1"/>
  <c r="CA823" i="75" a="1"/>
  <c r="CA842" i="75" s="1"/>
  <c r="I28" i="115"/>
  <c r="I62" i="115"/>
  <c r="I115" i="115"/>
  <c r="I166" i="115"/>
  <c r="I218" i="115"/>
  <c r="D13" i="116"/>
  <c r="E13" i="116" s="1"/>
  <c r="D37" i="116"/>
  <c r="I54" i="116"/>
  <c r="D76" i="116"/>
  <c r="E76" i="116" s="1"/>
  <c r="J76" i="116" s="1"/>
  <c r="D114" i="116"/>
  <c r="F114" i="116" s="1"/>
  <c r="I131" i="116"/>
  <c r="I156" i="116"/>
  <c r="I171" i="116"/>
  <c r="I192" i="116"/>
  <c r="I216" i="116"/>
  <c r="I85" i="112"/>
  <c r="D141" i="115"/>
  <c r="E141" i="115" s="1"/>
  <c r="H141" i="115" s="1"/>
  <c r="G13" i="116"/>
  <c r="CL1053" i="75"/>
  <c r="CH1055" i="75"/>
  <c r="CH1057" i="75"/>
  <c r="CT1061" i="75"/>
  <c r="DB1067" i="75"/>
  <c r="CL1069" i="75"/>
  <c r="DB1077" i="75"/>
  <c r="CT1103" i="75"/>
  <c r="CX1167" i="75"/>
  <c r="BV1171" i="75"/>
  <c r="BV1223" i="75"/>
  <c r="BR1227" i="75"/>
  <c r="DF1227" i="75"/>
  <c r="BV1233" i="75"/>
  <c r="DF1235" i="75"/>
  <c r="DF1237" i="75"/>
  <c r="CD1241" i="75"/>
  <c r="CP1243" i="75"/>
  <c r="CL1247" i="75"/>
  <c r="DD1271" i="75"/>
  <c r="D87" i="112"/>
  <c r="F87" i="112" s="1"/>
  <c r="D145" i="112"/>
  <c r="F145" i="112" s="1"/>
  <c r="D181" i="112"/>
  <c r="F181" i="112" s="1"/>
  <c r="CV199" i="75"/>
  <c r="CR257" i="75"/>
  <c r="BP259" i="75"/>
  <c r="CF261" i="75"/>
  <c r="CN321" i="75"/>
  <c r="BX335" i="75"/>
  <c r="CZ347" i="75"/>
  <c r="CB391" i="75"/>
  <c r="CZ409" i="75"/>
  <c r="CN623" i="75"/>
  <c r="DD775" i="75"/>
  <c r="CB807" i="75"/>
  <c r="CB821" i="75"/>
  <c r="CV1015" i="75"/>
  <c r="CJ1057" i="75"/>
  <c r="CR1191" i="75"/>
  <c r="BT1235" i="75"/>
  <c r="G44" i="112"/>
  <c r="D19" i="114"/>
  <c r="F19" i="114" s="1"/>
  <c r="R39" i="115"/>
  <c r="D21" i="114"/>
  <c r="F21" i="114" s="1"/>
  <c r="I209" i="114"/>
  <c r="DC309" i="75" a="1"/>
  <c r="G219" i="116"/>
  <c r="G34" i="116"/>
  <c r="CM413" i="75" a="1"/>
  <c r="G176" i="116"/>
  <c r="H176" i="116" s="1"/>
  <c r="CZ355" i="75"/>
  <c r="DF415" i="75"/>
  <c r="D211" i="115"/>
  <c r="F211" i="115" s="1"/>
  <c r="G93" i="116"/>
  <c r="D161" i="115"/>
  <c r="E161" i="115" s="1"/>
  <c r="D216" i="115"/>
  <c r="D164" i="115"/>
  <c r="F164" i="115" s="1"/>
  <c r="G89" i="114"/>
  <c r="CZ299" i="75"/>
  <c r="F12" i="116"/>
  <c r="E38" i="116"/>
  <c r="J38" i="116" s="1"/>
  <c r="DF305" i="75"/>
  <c r="D68" i="114"/>
  <c r="E68" i="114" s="1"/>
  <c r="G33" i="116"/>
  <c r="DD307" i="75"/>
  <c r="G79" i="116"/>
  <c r="I214" i="116"/>
  <c r="I217" i="116"/>
  <c r="G174" i="116"/>
  <c r="G194" i="116"/>
  <c r="G32" i="116"/>
  <c r="D56" i="116"/>
  <c r="I215" i="115"/>
  <c r="D55" i="116"/>
  <c r="E55" i="116" s="1"/>
  <c r="J55" i="116" s="1"/>
  <c r="I153" i="115"/>
  <c r="I162" i="115"/>
  <c r="D63" i="115"/>
  <c r="E63" i="115" s="1"/>
  <c r="D147" i="114"/>
  <c r="DD1181" i="75"/>
  <c r="DF491" i="75"/>
  <c r="CZ1073" i="75"/>
  <c r="DB705" i="75"/>
  <c r="CZ1141" i="75"/>
  <c r="G181" i="114"/>
  <c r="G71" i="116"/>
  <c r="G214" i="116"/>
  <c r="G217" i="116"/>
  <c r="G191" i="116"/>
  <c r="I189" i="115"/>
  <c r="G24" i="114"/>
  <c r="CL1241" i="75"/>
  <c r="DB358" i="75"/>
  <c r="DD357" i="75"/>
  <c r="D113" i="115"/>
  <c r="D114" i="115"/>
  <c r="E114" i="115" s="1"/>
  <c r="D115" i="115"/>
  <c r="D117" i="115"/>
  <c r="F117" i="115" s="1"/>
  <c r="D165" i="115"/>
  <c r="D168" i="115"/>
  <c r="F168" i="115" s="1"/>
  <c r="D218" i="115"/>
  <c r="F218" i="115" s="1"/>
  <c r="D212" i="115"/>
  <c r="D219" i="115"/>
  <c r="E219" i="115" s="1"/>
  <c r="H219" i="115" s="1"/>
  <c r="I11" i="116"/>
  <c r="I17" i="116"/>
  <c r="G58" i="116"/>
  <c r="G57" i="116"/>
  <c r="G56" i="116"/>
  <c r="G131" i="116"/>
  <c r="G132" i="116"/>
  <c r="G153" i="116"/>
  <c r="G156" i="116"/>
  <c r="I183" i="115"/>
  <c r="G206" i="114"/>
  <c r="CF741" i="75"/>
  <c r="CF751" i="75"/>
  <c r="CF757" i="75"/>
  <c r="CN759" i="75"/>
  <c r="CX783" i="75"/>
  <c r="CV819" i="75"/>
  <c r="DD825" i="75"/>
  <c r="DD835" i="75"/>
  <c r="CJ859" i="75"/>
  <c r="DD869" i="75"/>
  <c r="DD879" i="75"/>
  <c r="BP923" i="75"/>
  <c r="DD923" i="75"/>
  <c r="BL927" i="75"/>
  <c r="CZ937" i="75"/>
  <c r="CZ981" i="75"/>
  <c r="CF1001" i="75"/>
  <c r="CR1003" i="75"/>
  <c r="BT1041" i="75"/>
  <c r="CF1043" i="75"/>
  <c r="CV1045" i="75"/>
  <c r="CB1047" i="75"/>
  <c r="CZ1049" i="75"/>
  <c r="CB1055" i="75"/>
  <c r="CB1057" i="75"/>
  <c r="CF1059" i="75"/>
  <c r="CN1061" i="75"/>
  <c r="CV1075" i="75"/>
  <c r="CX1085" i="75"/>
  <c r="CB1101" i="75"/>
  <c r="DD1127" i="75"/>
  <c r="CR1221" i="75"/>
  <c r="BP1223" i="75"/>
  <c r="CF1225" i="75"/>
  <c r="CZ1227" i="75"/>
  <c r="I64" i="115"/>
  <c r="I114" i="115"/>
  <c r="I218" i="116"/>
  <c r="G204" i="114"/>
  <c r="H156" i="115"/>
  <c r="G42" i="114"/>
  <c r="G196" i="116"/>
  <c r="D213" i="115"/>
  <c r="G123" i="114"/>
  <c r="CR827" i="75"/>
  <c r="G161" i="112"/>
  <c r="G189" i="112"/>
  <c r="D118" i="116"/>
  <c r="F118" i="116" s="1"/>
  <c r="D153" i="116"/>
  <c r="E153" i="116" s="1"/>
  <c r="J153" i="116" s="1"/>
  <c r="D151" i="116"/>
  <c r="E151" i="116" s="1"/>
  <c r="J151" i="116" s="1"/>
  <c r="G37" i="116"/>
  <c r="G111" i="116"/>
  <c r="G198" i="116"/>
  <c r="D122" i="114"/>
  <c r="F122" i="114" s="1"/>
  <c r="G23" i="114"/>
  <c r="CE225" i="75" a="1"/>
  <c r="CE233" i="75" s="1"/>
  <c r="CO235" i="75" a="1"/>
  <c r="CO248" i="75" s="1"/>
  <c r="DB269" i="75"/>
  <c r="DF331" i="75"/>
  <c r="DF333" i="75"/>
  <c r="DF377" i="75"/>
  <c r="CD389" i="75"/>
  <c r="CD395" i="75"/>
  <c r="CT411" i="75"/>
  <c r="BN441" i="75"/>
  <c r="CX573" i="75"/>
  <c r="DB577" i="75"/>
  <c r="CL645" i="75"/>
  <c r="BV803" i="75"/>
  <c r="CL1001" i="75"/>
  <c r="DF1035" i="75"/>
  <c r="BZ1041" i="75"/>
  <c r="DB1045" i="75"/>
  <c r="BQ1235" i="75" a="1"/>
  <c r="BQ1269" i="75" s="1"/>
  <c r="D23" i="112"/>
  <c r="F23" i="112" s="1"/>
  <c r="D24" i="112"/>
  <c r="D44" i="112"/>
  <c r="F44" i="112" s="1"/>
  <c r="D41" i="112"/>
  <c r="E41" i="112" s="1"/>
  <c r="D109" i="112"/>
  <c r="D102" i="112"/>
  <c r="E102" i="112" s="1"/>
  <c r="J102" i="112" s="1"/>
  <c r="D165" i="112"/>
  <c r="F165" i="112" s="1"/>
  <c r="D168" i="112"/>
  <c r="E168" i="112" s="1"/>
  <c r="J168" i="112" s="1"/>
  <c r="I193" i="115"/>
  <c r="I47" i="114"/>
  <c r="G205" i="114"/>
  <c r="D111" i="115"/>
  <c r="F111" i="115" s="1"/>
  <c r="G211" i="116"/>
  <c r="G171" i="116"/>
  <c r="I133" i="115"/>
  <c r="G184" i="114"/>
  <c r="I203" i="114"/>
  <c r="G119" i="116"/>
  <c r="G152" i="116"/>
  <c r="DB365" i="75"/>
  <c r="G175" i="116"/>
  <c r="G172" i="116"/>
  <c r="I67" i="115"/>
  <c r="CZ1161" i="75"/>
  <c r="CR865" i="75"/>
  <c r="E122" i="116"/>
  <c r="J122" i="116" s="1"/>
  <c r="J90" i="116"/>
  <c r="D88" i="114"/>
  <c r="F88" i="114" s="1"/>
  <c r="CP265" i="75"/>
  <c r="G59" i="116"/>
  <c r="D129" i="114"/>
  <c r="F129" i="114" s="1"/>
  <c r="DB299" i="75"/>
  <c r="G187" i="114"/>
  <c r="G73" i="116"/>
  <c r="G177" i="116"/>
  <c r="G116" i="116"/>
  <c r="G35" i="116"/>
  <c r="I87" i="115"/>
  <c r="BX863" i="75"/>
  <c r="CX889" i="75"/>
  <c r="G32" i="114"/>
  <c r="G36" i="114"/>
  <c r="G112" i="114"/>
  <c r="G114" i="114"/>
  <c r="G139" i="114"/>
  <c r="G135" i="114"/>
  <c r="J31" i="115"/>
  <c r="H31" i="115"/>
  <c r="I21" i="116"/>
  <c r="G22" i="116"/>
  <c r="G49" i="116"/>
  <c r="I47" i="116"/>
  <c r="G45" i="116"/>
  <c r="I106" i="116"/>
  <c r="G107" i="116"/>
  <c r="G102" i="116"/>
  <c r="G109" i="116"/>
  <c r="G104" i="116"/>
  <c r="I127" i="116"/>
  <c r="I126" i="116"/>
  <c r="I163" i="116"/>
  <c r="G164" i="116"/>
  <c r="I168" i="116"/>
  <c r="G204" i="116"/>
  <c r="G206" i="116"/>
  <c r="I226" i="116"/>
  <c r="I228" i="116"/>
  <c r="D222" i="116"/>
  <c r="F222" i="116" s="1"/>
  <c r="G95" i="116"/>
  <c r="BX1111" i="75"/>
  <c r="BV1111" i="75"/>
  <c r="CT1225" i="75"/>
  <c r="CV1225" i="75"/>
  <c r="CT1247" i="75"/>
  <c r="CV1247" i="75"/>
  <c r="G114" i="116"/>
  <c r="G155" i="116"/>
  <c r="I28" i="114"/>
  <c r="G72" i="116"/>
  <c r="I181" i="115"/>
  <c r="CP289" i="75"/>
  <c r="DD906" i="75"/>
  <c r="F93" i="116"/>
  <c r="F179" i="114"/>
  <c r="A14" i="100"/>
  <c r="A16" i="102" s="1"/>
  <c r="G51" i="116"/>
  <c r="D109" i="114"/>
  <c r="G117" i="116"/>
  <c r="H117" i="116" s="1"/>
  <c r="G52" i="116"/>
  <c r="G157" i="116"/>
  <c r="I14" i="116"/>
  <c r="I36" i="116"/>
  <c r="I167" i="115"/>
  <c r="D64" i="115"/>
  <c r="F64" i="115" s="1"/>
  <c r="D65" i="115"/>
  <c r="E65" i="115" s="1"/>
  <c r="J65" i="115" s="1"/>
  <c r="CZ899" i="75"/>
  <c r="I139" i="115"/>
  <c r="D119" i="115"/>
  <c r="F119" i="115" s="1"/>
  <c r="I81" i="115"/>
  <c r="G139" i="116"/>
  <c r="DF1145" i="75"/>
  <c r="E119" i="116"/>
  <c r="J119" i="116" s="1"/>
  <c r="CH685" i="75"/>
  <c r="CX477" i="75"/>
  <c r="D116" i="116"/>
  <c r="E116" i="116" s="1"/>
  <c r="J116" i="116" s="1"/>
  <c r="I157" i="116"/>
  <c r="G134" i="116"/>
  <c r="I112" i="116"/>
  <c r="G159" i="116"/>
  <c r="I38" i="116"/>
  <c r="D167" i="115"/>
  <c r="E167" i="115" s="1"/>
  <c r="D116" i="115"/>
  <c r="E116" i="115" s="1"/>
  <c r="H116" i="115" s="1"/>
  <c r="D67" i="115"/>
  <c r="I18" i="116"/>
  <c r="CZ419" i="75"/>
  <c r="DC1033" i="75" a="1"/>
  <c r="DC1033" i="75" s="1"/>
  <c r="DD1033" i="75" s="1"/>
  <c r="CD319" i="75"/>
  <c r="G115" i="116"/>
  <c r="G158" i="116"/>
  <c r="I12" i="116"/>
  <c r="D112" i="115"/>
  <c r="F112" i="115" s="1"/>
  <c r="CN811" i="75"/>
  <c r="I48" i="114"/>
  <c r="D217" i="116"/>
  <c r="F217" i="116" s="1"/>
  <c r="I195" i="116"/>
  <c r="I137" i="116"/>
  <c r="D154" i="116"/>
  <c r="D155" i="116"/>
  <c r="I132" i="116"/>
  <c r="I52" i="116"/>
  <c r="I77" i="116"/>
  <c r="D35" i="116"/>
  <c r="F35" i="116" s="1"/>
  <c r="D163" i="115"/>
  <c r="I117" i="115"/>
  <c r="I134" i="115"/>
  <c r="CZ1201" i="75"/>
  <c r="D194" i="116"/>
  <c r="F194" i="116" s="1"/>
  <c r="G137" i="116"/>
  <c r="D156" i="116"/>
  <c r="G154" i="116"/>
  <c r="D217" i="115"/>
  <c r="F217" i="115" s="1"/>
  <c r="D166" i="115"/>
  <c r="E166" i="115" s="1"/>
  <c r="J166" i="115" s="1"/>
  <c r="CJ1109" i="75"/>
  <c r="BV197" i="75"/>
  <c r="BJ201" i="75"/>
  <c r="CD203" i="75"/>
  <c r="CD211" i="75"/>
  <c r="DB219" i="75"/>
  <c r="CP259" i="75"/>
  <c r="CL271" i="75"/>
  <c r="CL273" i="75"/>
  <c r="CX277" i="75"/>
  <c r="CP285" i="75"/>
  <c r="DF301" i="75"/>
  <c r="CJ317" i="75"/>
  <c r="BJ319" i="75"/>
  <c r="CX319" i="75"/>
  <c r="BZ321" i="75"/>
  <c r="CT333" i="75"/>
  <c r="CX335" i="75"/>
  <c r="DF337" i="75"/>
  <c r="CL347" i="75"/>
  <c r="DF379" i="75"/>
  <c r="BN383" i="75"/>
  <c r="DB383" i="75"/>
  <c r="BX387" i="75"/>
  <c r="DB393" i="75"/>
  <c r="DF395" i="75"/>
  <c r="CL399" i="75"/>
  <c r="CT445" i="75"/>
  <c r="DB467" i="75"/>
  <c r="DD479" i="75"/>
  <c r="CD521" i="75"/>
  <c r="CX523" i="75"/>
  <c r="CH525" i="75"/>
  <c r="CL573" i="75"/>
  <c r="DF585" i="75"/>
  <c r="CX621" i="75"/>
  <c r="BZ623" i="75"/>
  <c r="BF679" i="75"/>
  <c r="DB685" i="75"/>
  <c r="DB693" i="75"/>
  <c r="DB703" i="75"/>
  <c r="DF707" i="75"/>
  <c r="CL711" i="75"/>
  <c r="BN739" i="75"/>
  <c r="DB739" i="75"/>
  <c r="BV753" i="75"/>
  <c r="CP765" i="75"/>
  <c r="DB769" i="75"/>
  <c r="CP775" i="75"/>
  <c r="CT1235" i="75"/>
  <c r="CD1243" i="75"/>
  <c r="G19" i="112"/>
  <c r="D31" i="112"/>
  <c r="F31" i="112" s="1"/>
  <c r="D53" i="112"/>
  <c r="E53" i="112" s="1"/>
  <c r="J53" i="112" s="1"/>
  <c r="D95" i="112"/>
  <c r="F95" i="112" s="1"/>
  <c r="D111" i="112"/>
  <c r="D139" i="112"/>
  <c r="E139" i="112" s="1"/>
  <c r="J139" i="112" s="1"/>
  <c r="D159" i="112"/>
  <c r="D176" i="112"/>
  <c r="F176" i="112" s="1"/>
  <c r="D210" i="113"/>
  <c r="E210" i="113" s="1"/>
  <c r="J210" i="113" s="1"/>
  <c r="D64" i="114"/>
  <c r="D102" i="114"/>
  <c r="E102" i="114" s="1"/>
  <c r="J102" i="114" s="1"/>
  <c r="D161" i="114"/>
  <c r="D182" i="114"/>
  <c r="E182" i="114" s="1"/>
  <c r="J182" i="114" s="1"/>
  <c r="I25" i="115"/>
  <c r="I84" i="115"/>
  <c r="I137" i="115"/>
  <c r="G11" i="116"/>
  <c r="BZ197" i="75"/>
  <c r="CP271" i="75"/>
  <c r="CH339" i="75"/>
  <c r="BV389" i="75"/>
  <c r="CX407" i="75"/>
  <c r="CT473" i="75"/>
  <c r="CP1251" i="75"/>
  <c r="AH206" i="100"/>
  <c r="AA129" i="102" s="1"/>
  <c r="CR1229" i="75"/>
  <c r="I27" i="112"/>
  <c r="I89" i="112"/>
  <c r="I125" i="112"/>
  <c r="DF203" i="75"/>
  <c r="CP219" i="75"/>
  <c r="BR257" i="75"/>
  <c r="CD259" i="75"/>
  <c r="CT261" i="75"/>
  <c r="CL277" i="75"/>
  <c r="CT293" i="75"/>
  <c r="CL319" i="75"/>
  <c r="BN321" i="75"/>
  <c r="CT327" i="75"/>
  <c r="CL329" i="75"/>
  <c r="CH333" i="75"/>
  <c r="CT337" i="75"/>
  <c r="DB351" i="75"/>
  <c r="BZ385" i="75"/>
  <c r="CT389" i="75"/>
  <c r="DB623" i="75"/>
  <c r="CH625" i="75"/>
  <c r="BR627" i="75"/>
  <c r="DF627" i="75"/>
  <c r="CT629" i="75"/>
  <c r="CL631" i="75"/>
  <c r="CH633" i="75"/>
  <c r="CL637" i="75"/>
  <c r="CH643" i="75"/>
  <c r="DB653" i="75"/>
  <c r="BV683" i="75"/>
  <c r="CP685" i="75"/>
  <c r="BZ687" i="75"/>
  <c r="DB689" i="75"/>
  <c r="CT691" i="75"/>
  <c r="CP693" i="75"/>
  <c r="CP695" i="75"/>
  <c r="CT697" i="75"/>
  <c r="DB699" i="75"/>
  <c r="CP703" i="75"/>
  <c r="CT707" i="75"/>
  <c r="CP739" i="75"/>
  <c r="BN741" i="75"/>
  <c r="CX745" i="75"/>
  <c r="BV749" i="75"/>
  <c r="CH761" i="75"/>
  <c r="CX763" i="75"/>
  <c r="DB767" i="75"/>
  <c r="CP769" i="75"/>
  <c r="BV801" i="75"/>
  <c r="BR805" i="75"/>
  <c r="CB809" i="75"/>
  <c r="CD819" i="75"/>
  <c r="DF859" i="75"/>
  <c r="BZ865" i="75"/>
  <c r="CD871" i="75"/>
  <c r="BZ873" i="75"/>
  <c r="CL879" i="75"/>
  <c r="CR895" i="75"/>
  <c r="CL923" i="75"/>
  <c r="DD929" i="75"/>
  <c r="CT941" i="75"/>
  <c r="CT999" i="75"/>
  <c r="CP1041" i="75"/>
  <c r="DB1053" i="75"/>
  <c r="BJ1101" i="75"/>
  <c r="DD1125" i="75"/>
  <c r="CV1131" i="75"/>
  <c r="BP1161" i="75"/>
  <c r="CD1163" i="75"/>
  <c r="CR1165" i="75"/>
  <c r="BX1167" i="75"/>
  <c r="CX1169" i="75"/>
  <c r="CD1173" i="75"/>
  <c r="BZ1175" i="75"/>
  <c r="BX1177" i="75"/>
  <c r="CV1183" i="75"/>
  <c r="DD1191" i="75"/>
  <c r="CX1193" i="75"/>
  <c r="CR1195" i="75"/>
  <c r="CH1237" i="75"/>
  <c r="DF1253" i="75"/>
  <c r="DB1265" i="75"/>
  <c r="D59" i="115"/>
  <c r="E59" i="115" s="1"/>
  <c r="J59" i="115" s="1"/>
  <c r="DF961" i="75"/>
  <c r="CF217" i="75"/>
  <c r="CN223" i="75"/>
  <c r="CH269" i="75"/>
  <c r="CV293" i="75"/>
  <c r="CV379" i="75"/>
  <c r="BX381" i="75"/>
  <c r="DD387" i="75"/>
  <c r="BR623" i="75"/>
  <c r="CV639" i="75"/>
  <c r="CV691" i="75"/>
  <c r="DD699" i="75"/>
  <c r="CJ747" i="75"/>
  <c r="CF871" i="75"/>
  <c r="BT1161" i="75"/>
  <c r="CT1261" i="75"/>
  <c r="AF200" i="100"/>
  <c r="DF975" i="75"/>
  <c r="I25" i="112"/>
  <c r="BR799" i="75"/>
  <c r="Z320" i="100"/>
  <c r="Z310" i="100"/>
  <c r="Z323" i="100"/>
  <c r="Z290" i="100"/>
  <c r="AF292" i="100"/>
  <c r="AD328" i="100"/>
  <c r="AH172" i="100"/>
  <c r="AA95" i="102" s="1"/>
  <c r="AH185" i="100"/>
  <c r="AA108" i="102" s="1"/>
  <c r="AB193" i="100"/>
  <c r="AB308" i="100"/>
  <c r="AH168" i="100"/>
  <c r="AA91" i="102" s="1"/>
  <c r="AB176" i="100"/>
  <c r="AJ177" i="100"/>
  <c r="AD197" i="100"/>
  <c r="IK10" i="100"/>
  <c r="AK10" i="100" s="1"/>
  <c r="EJ8" i="1"/>
  <c r="CU8" i="1"/>
  <c r="G591" i="1"/>
  <c r="A315" i="100"/>
  <c r="A159" i="102" s="1"/>
  <c r="DH8" i="1"/>
  <c r="A295" i="100"/>
  <c r="A139" i="102" s="1"/>
  <c r="CD8" i="1"/>
  <c r="CH8" i="1" s="1"/>
  <c r="EE8" i="1"/>
  <c r="A44" i="100"/>
  <c r="A46" i="102" s="1"/>
  <c r="F167" i="102"/>
  <c r="AH297" i="100"/>
  <c r="AA141" i="102" s="1"/>
  <c r="AJ299" i="100"/>
  <c r="AJ330" i="100"/>
  <c r="AF293" i="100"/>
  <c r="AD319" i="100"/>
  <c r="AF314" i="100"/>
  <c r="AJ334" i="100"/>
  <c r="AH178" i="100"/>
  <c r="AA101" i="102" s="1"/>
  <c r="AJ198" i="100"/>
  <c r="AD199" i="100"/>
  <c r="AJ201" i="100"/>
  <c r="AD174" i="100"/>
  <c r="AF23" i="100"/>
  <c r="AB39" i="100"/>
  <c r="Z330" i="100"/>
  <c r="AB299" i="100"/>
  <c r="AD299" i="100"/>
  <c r="AB337" i="100"/>
  <c r="P299" i="100"/>
  <c r="AD293" i="100"/>
  <c r="Z329" i="100"/>
  <c r="AB201" i="100"/>
  <c r="Z170" i="100"/>
  <c r="AF198" i="100"/>
  <c r="AF174" i="100"/>
  <c r="AF165" i="100"/>
  <c r="AD198" i="100"/>
  <c r="AJ178" i="100"/>
  <c r="AP62" i="100"/>
  <c r="R42" i="100"/>
  <c r="AH40" i="100"/>
  <c r="AA42" i="102" s="1"/>
  <c r="Q8" i="100"/>
  <c r="R8" i="100" s="1"/>
  <c r="AD325" i="100"/>
  <c r="Z332" i="100"/>
  <c r="AF312" i="100"/>
  <c r="AD322" i="100"/>
  <c r="AB185" i="100"/>
  <c r="AB195" i="100"/>
  <c r="T193" i="100"/>
  <c r="Z195" i="100"/>
  <c r="AJ195" i="100"/>
  <c r="Z180" i="100"/>
  <c r="AB202" i="100"/>
  <c r="AD203" i="100"/>
  <c r="A30" i="100"/>
  <c r="A32" i="102" s="1"/>
  <c r="A15" i="100"/>
  <c r="A17" i="102" s="1"/>
  <c r="A42" i="100"/>
  <c r="A44" i="102" s="1"/>
  <c r="A37" i="100"/>
  <c r="A39" i="102" s="1"/>
  <c r="A40" i="100"/>
  <c r="A42" i="102" s="1"/>
  <c r="A28" i="100"/>
  <c r="A30" i="102" s="1"/>
  <c r="A34" i="100"/>
  <c r="A36" i="102" s="1"/>
  <c r="A38" i="100"/>
  <c r="A40" i="102" s="1"/>
  <c r="A19" i="100"/>
  <c r="A21" i="102" s="1"/>
  <c r="A20" i="100"/>
  <c r="A22" i="102" s="1"/>
  <c r="A17" i="100"/>
  <c r="A19" i="102" s="1"/>
  <c r="A13" i="100"/>
  <c r="A15" i="102" s="1"/>
  <c r="A21" i="100"/>
  <c r="A23" i="102" s="1"/>
  <c r="A41" i="100"/>
  <c r="A43" i="102" s="1"/>
  <c r="H154" i="102"/>
  <c r="A22" i="100"/>
  <c r="A24" i="102" s="1"/>
  <c r="C158" i="102"/>
  <c r="A24" i="100"/>
  <c r="A26" i="102" s="1"/>
  <c r="A25" i="100"/>
  <c r="A27" i="102" s="1"/>
  <c r="A12" i="100"/>
  <c r="A14" i="102" s="1"/>
  <c r="A26" i="100"/>
  <c r="A28" i="102" s="1"/>
  <c r="A32" i="100"/>
  <c r="A34" i="102" s="1"/>
  <c r="A16" i="100"/>
  <c r="A18" i="102" s="1"/>
  <c r="A36" i="100"/>
  <c r="A38" i="102" s="1"/>
  <c r="Y138" i="125"/>
  <c r="BR138" i="125"/>
  <c r="AM62" i="100"/>
  <c r="AD308" i="100"/>
  <c r="AJ294" i="100"/>
  <c r="AF332" i="100"/>
  <c r="Z312" i="100"/>
  <c r="AD314" i="100"/>
  <c r="AH312" i="100"/>
  <c r="AA156" i="102" s="1"/>
  <c r="AF334" i="100"/>
  <c r="AJ314" i="100"/>
  <c r="AF315" i="100"/>
  <c r="AH319" i="100"/>
  <c r="AA163" i="102" s="1"/>
  <c r="AJ312" i="100"/>
  <c r="AD312" i="100"/>
  <c r="AB302" i="100"/>
  <c r="AJ187" i="100"/>
  <c r="AB189" i="100"/>
  <c r="AB191" i="100"/>
  <c r="AB175" i="100"/>
  <c r="Z169" i="100"/>
  <c r="AJ175" i="100"/>
  <c r="T160" i="100"/>
  <c r="T178" i="100"/>
  <c r="AM63" i="100"/>
  <c r="AJ301" i="100"/>
  <c r="Z303" i="100"/>
  <c r="AF295" i="100"/>
  <c r="AH314" i="100"/>
  <c r="AA158" i="102" s="1"/>
  <c r="Z309" i="100"/>
  <c r="AJ171" i="100"/>
  <c r="P174" i="100"/>
  <c r="V170" i="100"/>
  <c r="AB161" i="100"/>
  <c r="AJ167" i="100"/>
  <c r="AB163" i="100"/>
  <c r="AB183" i="100"/>
  <c r="AH194" i="100"/>
  <c r="AA117" i="102" s="1"/>
  <c r="AM46" i="100"/>
  <c r="AM51" i="100"/>
  <c r="AM56" i="100"/>
  <c r="AM54" i="100"/>
  <c r="AP63" i="100"/>
  <c r="AF41" i="100"/>
  <c r="Y43" i="102"/>
  <c r="AO46" i="100"/>
  <c r="AO62" i="100"/>
  <c r="AO63" i="100"/>
  <c r="AN60" i="100"/>
  <c r="AN51" i="100"/>
  <c r="AN63" i="100"/>
  <c r="AN46" i="100"/>
  <c r="AP46" i="100"/>
  <c r="AN62" i="100"/>
  <c r="T39" i="100"/>
  <c r="AP51" i="100"/>
  <c r="Z13" i="100"/>
  <c r="AN57" i="100"/>
  <c r="AP54" i="100"/>
  <c r="AO54" i="100"/>
  <c r="AO50" i="100"/>
  <c r="AM48" i="100"/>
  <c r="AP48" i="100"/>
  <c r="AN48" i="100"/>
  <c r="AO48" i="100"/>
  <c r="U41" i="102"/>
  <c r="X39" i="100"/>
  <c r="P26" i="100"/>
  <c r="AM50" i="100"/>
  <c r="AN50" i="100"/>
  <c r="AP50" i="100"/>
  <c r="Y28" i="102"/>
  <c r="AF26" i="100"/>
  <c r="AF36" i="100"/>
  <c r="Y38" i="102"/>
  <c r="AD42" i="100"/>
  <c r="P36" i="100"/>
  <c r="AN58" i="100"/>
  <c r="AP58" i="100"/>
  <c r="AM58" i="100"/>
  <c r="AO58" i="100"/>
  <c r="AN49" i="100"/>
  <c r="AO49" i="100"/>
  <c r="AP49" i="100"/>
  <c r="AM49" i="100"/>
  <c r="AO53" i="100"/>
  <c r="AN61" i="100"/>
  <c r="AO56" i="100"/>
  <c r="AP56" i="100"/>
  <c r="AN56" i="100"/>
  <c r="AP57" i="100"/>
  <c r="AM55" i="100"/>
  <c r="AP55" i="100"/>
  <c r="AN55" i="100"/>
  <c r="AO55" i="100"/>
  <c r="AP61" i="100"/>
  <c r="AM60" i="100"/>
  <c r="AN53" i="100"/>
  <c r="AM61" i="100"/>
  <c r="AO61" i="100"/>
  <c r="AP53" i="100"/>
  <c r="AO47" i="100"/>
  <c r="AM47" i="100"/>
  <c r="AP47" i="100"/>
  <c r="AN47" i="100"/>
  <c r="AO51" i="100"/>
  <c r="AP59" i="100"/>
  <c r="AO59" i="100"/>
  <c r="AN59" i="100"/>
  <c r="AM59" i="100"/>
  <c r="AM53" i="100"/>
  <c r="AM57" i="100"/>
  <c r="AP60" i="100"/>
  <c r="AO57" i="100"/>
  <c r="AO52" i="100"/>
  <c r="AM52" i="100"/>
  <c r="AN52" i="100"/>
  <c r="AO60" i="100"/>
  <c r="AN54" i="100"/>
  <c r="AP52" i="100"/>
  <c r="BA138" i="125"/>
  <c r="L138" i="125"/>
  <c r="AH191" i="100"/>
  <c r="AA114" i="102" s="1"/>
  <c r="AH199" i="100"/>
  <c r="AA122" i="102" s="1"/>
  <c r="Z191" i="100"/>
  <c r="R191" i="100"/>
  <c r="AJ306" i="100"/>
  <c r="AH326" i="100"/>
  <c r="AA170" i="102" s="1"/>
  <c r="AH171" i="100"/>
  <c r="AA94" i="102" s="1"/>
  <c r="V193" i="100"/>
  <c r="AJ309" i="100"/>
  <c r="AH169" i="100"/>
  <c r="AA92" i="102" s="1"/>
  <c r="AF297" i="100"/>
  <c r="AJ159" i="100"/>
  <c r="Z305" i="100"/>
  <c r="AB180" i="100"/>
  <c r="AJ169" i="100"/>
  <c r="AB333" i="100"/>
  <c r="AD297" i="100"/>
  <c r="AF299" i="100"/>
  <c r="AF160" i="100"/>
  <c r="AH304" i="100"/>
  <c r="AA148" i="102" s="1"/>
  <c r="AH324" i="100"/>
  <c r="AA168" i="102" s="1"/>
  <c r="AD335" i="100"/>
  <c r="AD295" i="100"/>
  <c r="AH176" i="100"/>
  <c r="AA99" i="102" s="1"/>
  <c r="AF335" i="100"/>
  <c r="AF170" i="100"/>
  <c r="AF178" i="100"/>
  <c r="AJ204" i="100"/>
  <c r="AJ170" i="100"/>
  <c r="AJ290" i="100"/>
  <c r="Z306" i="100"/>
  <c r="AJ197" i="100"/>
  <c r="Z196" i="100"/>
  <c r="V180" i="100"/>
  <c r="AJ317" i="100"/>
  <c r="P315" i="100"/>
  <c r="V315" i="100"/>
  <c r="AF184" i="100"/>
  <c r="AD188" i="100"/>
  <c r="AJ315" i="100"/>
  <c r="AF195" i="100"/>
  <c r="AH301" i="100"/>
  <c r="AA145" i="102" s="1"/>
  <c r="AH295" i="100"/>
  <c r="AA139" i="102" s="1"/>
  <c r="Z295" i="100"/>
  <c r="AD323" i="100"/>
  <c r="AF319" i="100"/>
  <c r="AJ303" i="100"/>
  <c r="AH170" i="100"/>
  <c r="AA93" i="102" s="1"/>
  <c r="AB171" i="100"/>
  <c r="Z337" i="100"/>
  <c r="AB326" i="100"/>
  <c r="AD303" i="100"/>
  <c r="AD195" i="100"/>
  <c r="AJ337" i="100"/>
  <c r="AB323" i="100"/>
  <c r="AD298" i="100"/>
  <c r="AD318" i="100"/>
  <c r="AJ186" i="100"/>
  <c r="AJ326" i="100"/>
  <c r="AD205" i="100"/>
  <c r="Z163" i="100"/>
  <c r="AD181" i="100"/>
  <c r="AD201" i="100"/>
  <c r="AF181" i="100"/>
  <c r="Z299" i="100"/>
  <c r="Z319" i="100"/>
  <c r="Z199" i="100"/>
  <c r="AB159" i="100"/>
  <c r="AD207" i="100"/>
  <c r="AH316" i="100"/>
  <c r="AA160" i="102" s="1"/>
  <c r="AH159" i="100"/>
  <c r="AA82" i="102" s="1"/>
  <c r="Z181" i="100"/>
  <c r="X104" i="102"/>
  <c r="AH188" i="100"/>
  <c r="AA111" i="102" s="1"/>
  <c r="T159" i="100"/>
  <c r="AD177" i="100"/>
  <c r="Z117" i="102"/>
  <c r="AB167" i="100"/>
  <c r="AF159" i="100"/>
  <c r="AD187" i="100"/>
  <c r="AH167" i="100"/>
  <c r="AA90" i="102" s="1"/>
  <c r="Z172" i="100"/>
  <c r="AH335" i="100"/>
  <c r="AA179" i="102" s="1"/>
  <c r="AH330" i="100"/>
  <c r="AA174" i="102" s="1"/>
  <c r="AD306" i="100"/>
  <c r="AJ325" i="100"/>
  <c r="AF329" i="100"/>
  <c r="AF189" i="100"/>
  <c r="Q97" i="102"/>
  <c r="AF192" i="100"/>
  <c r="AH290" i="100"/>
  <c r="AA134" i="102" s="1"/>
  <c r="Z160" i="100"/>
  <c r="Z317" i="100"/>
  <c r="AF323" i="100"/>
  <c r="Z171" i="100"/>
  <c r="AJ319" i="100"/>
  <c r="AB319" i="100"/>
  <c r="Z178" i="100"/>
  <c r="AH198" i="100"/>
  <c r="AA121" i="102" s="1"/>
  <c r="AH298" i="100"/>
  <c r="AA142" i="102" s="1"/>
  <c r="AF320" i="100"/>
  <c r="AJ176" i="100"/>
  <c r="T167" i="100"/>
  <c r="Z188" i="100"/>
  <c r="X324" i="100"/>
  <c r="Z198" i="100"/>
  <c r="AF308" i="100"/>
  <c r="AH323" i="100"/>
  <c r="AA167" i="102" s="1"/>
  <c r="Z328" i="100"/>
  <c r="AD316" i="100"/>
  <c r="Z321" i="100"/>
  <c r="AJ295" i="100"/>
  <c r="AB197" i="100"/>
  <c r="AF169" i="100"/>
  <c r="AH204" i="100"/>
  <c r="AA127" i="102" s="1"/>
  <c r="AF180" i="100"/>
  <c r="Z316" i="100"/>
  <c r="AB314" i="100"/>
  <c r="AB315" i="100"/>
  <c r="AJ189" i="100"/>
  <c r="AB177" i="100"/>
  <c r="Z336" i="100"/>
  <c r="T181" i="100"/>
  <c r="AJ333" i="100"/>
  <c r="X301" i="100"/>
  <c r="AH306" i="100"/>
  <c r="AA150" i="102" s="1"/>
  <c r="P191" i="100"/>
  <c r="AH321" i="100"/>
  <c r="AA165" i="102" s="1"/>
  <c r="AB327" i="100"/>
  <c r="V204" i="100"/>
  <c r="V321" i="100"/>
  <c r="P175" i="100"/>
  <c r="AH164" i="100"/>
  <c r="AA87" i="102" s="1"/>
  <c r="AB321" i="100"/>
  <c r="AF301" i="100"/>
  <c r="AF324" i="100"/>
  <c r="AD327" i="100"/>
  <c r="AH207" i="100"/>
  <c r="AA130" i="102" s="1"/>
  <c r="AF207" i="100"/>
  <c r="X124" i="102"/>
  <c r="AB207" i="100"/>
  <c r="AD315" i="100"/>
  <c r="AH315" i="100"/>
  <c r="AA159" i="102" s="1"/>
  <c r="AF327" i="100"/>
  <c r="AH201" i="100"/>
  <c r="AA124" i="102" s="1"/>
  <c r="X174" i="100"/>
  <c r="AH196" i="100"/>
  <c r="AA119" i="102" s="1"/>
  <c r="AH296" i="100"/>
  <c r="AA140" i="102" s="1"/>
  <c r="AB198" i="100"/>
  <c r="AB184" i="100"/>
  <c r="P165" i="100"/>
  <c r="P177" i="100"/>
  <c r="Q98" i="102"/>
  <c r="AD334" i="100"/>
  <c r="AH334" i="100"/>
  <c r="AA178" i="102" s="1"/>
  <c r="R319" i="100"/>
  <c r="AB199" i="100"/>
  <c r="P297" i="100"/>
  <c r="AH327" i="100"/>
  <c r="AA171" i="102" s="1"/>
  <c r="X295" i="100"/>
  <c r="V289" i="100"/>
  <c r="V176" i="100"/>
  <c r="AH179" i="100"/>
  <c r="AA102" i="102" s="1"/>
  <c r="R203" i="100"/>
  <c r="AJ182" i="100"/>
  <c r="AJ323" i="100"/>
  <c r="R171" i="100"/>
  <c r="Z168" i="100"/>
  <c r="Z203" i="100"/>
  <c r="X299" i="100"/>
  <c r="AH317" i="100"/>
  <c r="AA161" i="102" s="1"/>
  <c r="AD329" i="100"/>
  <c r="AH329" i="100"/>
  <c r="AA173" i="102" s="1"/>
  <c r="AD200" i="100"/>
  <c r="AD161" i="100"/>
  <c r="AD175" i="100"/>
  <c r="AD171" i="100"/>
  <c r="X321" i="100"/>
  <c r="Z292" i="100"/>
  <c r="AH197" i="100"/>
  <c r="AA120" i="102" s="1"/>
  <c r="AJ163" i="100"/>
  <c r="AF294" i="100"/>
  <c r="R114" i="102"/>
  <c r="AH162" i="100"/>
  <c r="AA85" i="102" s="1"/>
  <c r="AD190" i="100"/>
  <c r="R163" i="100"/>
  <c r="Z166" i="100"/>
  <c r="AD186" i="100"/>
  <c r="AD206" i="100"/>
  <c r="AD194" i="100"/>
  <c r="AH294" i="100"/>
  <c r="AA138" i="102" s="1"/>
  <c r="V297" i="100"/>
  <c r="AD176" i="100"/>
  <c r="P300" i="100"/>
  <c r="AB325" i="100"/>
  <c r="AF336" i="100"/>
  <c r="AF167" i="100"/>
  <c r="X198" i="100"/>
  <c r="AD336" i="100"/>
  <c r="AB334" i="100"/>
  <c r="AJ185" i="100"/>
  <c r="T189" i="100"/>
  <c r="AF196" i="100"/>
  <c r="AF326" i="100"/>
  <c r="AF300" i="100"/>
  <c r="AF190" i="100"/>
  <c r="Z184" i="100"/>
  <c r="AH190" i="100"/>
  <c r="AA113" i="102" s="1"/>
  <c r="P205" i="100"/>
  <c r="Z176" i="100"/>
  <c r="AD196" i="100"/>
  <c r="X296" i="100"/>
  <c r="AF176" i="100"/>
  <c r="AF186" i="100"/>
  <c r="V160" i="100"/>
  <c r="AD326" i="100"/>
  <c r="AF197" i="100"/>
  <c r="AB187" i="100"/>
  <c r="Z164" i="100"/>
  <c r="Z325" i="100"/>
  <c r="AH200" i="100"/>
  <c r="AA123" i="102" s="1"/>
  <c r="AF168" i="100"/>
  <c r="R180" i="100"/>
  <c r="X312" i="100"/>
  <c r="R174" i="100"/>
  <c r="T295" i="100"/>
  <c r="AH318" i="100"/>
  <c r="AA162" i="102" s="1"/>
  <c r="AB298" i="100"/>
  <c r="Z207" i="100"/>
  <c r="Z327" i="100"/>
  <c r="R177" i="100"/>
  <c r="AD179" i="100"/>
  <c r="R310" i="100"/>
  <c r="V168" i="100"/>
  <c r="AF161" i="100"/>
  <c r="AB181" i="100"/>
  <c r="AD321" i="100"/>
  <c r="AH303" i="100"/>
  <c r="AA147" i="102" s="1"/>
  <c r="R173" i="100"/>
  <c r="P335" i="100"/>
  <c r="R169" i="100"/>
  <c r="AH203" i="100"/>
  <c r="AA126" i="102" s="1"/>
  <c r="AD320" i="100"/>
  <c r="Z308" i="100"/>
  <c r="AF306" i="100"/>
  <c r="AF298" i="100"/>
  <c r="R186" i="100"/>
  <c r="X294" i="100"/>
  <c r="R326" i="100"/>
  <c r="V318" i="100"/>
  <c r="AJ329" i="100"/>
  <c r="AD191" i="100"/>
  <c r="AF166" i="100"/>
  <c r="AH186" i="100"/>
  <c r="AA109" i="102" s="1"/>
  <c r="X314" i="100"/>
  <c r="AJ313" i="100"/>
  <c r="AH333" i="100"/>
  <c r="AA177" i="102" s="1"/>
  <c r="AD290" i="100"/>
  <c r="R295" i="100"/>
  <c r="AD178" i="100"/>
  <c r="T166" i="100"/>
  <c r="AH182" i="100"/>
  <c r="AA105" i="102" s="1"/>
  <c r="AF325" i="100"/>
  <c r="AH325" i="100"/>
  <c r="AA169" i="102" s="1"/>
  <c r="AH302" i="100"/>
  <c r="AA146" i="102" s="1"/>
  <c r="X305" i="100"/>
  <c r="Z182" i="100"/>
  <c r="AB322" i="100"/>
  <c r="Z201" i="100"/>
  <c r="AH165" i="100"/>
  <c r="AA88" i="102" s="1"/>
  <c r="Z186" i="100"/>
  <c r="AB194" i="100"/>
  <c r="P319" i="100"/>
  <c r="V302" i="100"/>
  <c r="AD202" i="100"/>
  <c r="Z167" i="100"/>
  <c r="AB165" i="100"/>
  <c r="X113" i="102"/>
  <c r="AH205" i="100"/>
  <c r="AA128" i="102" s="1"/>
  <c r="AB182" i="100"/>
  <c r="AH202" i="100"/>
  <c r="AA125" i="102" s="1"/>
  <c r="Z322" i="100"/>
  <c r="AD160" i="100"/>
  <c r="Z187" i="100"/>
  <c r="Z197" i="100"/>
  <c r="AD180" i="100"/>
  <c r="AD182" i="100"/>
  <c r="AJ322" i="100"/>
  <c r="V171" i="100"/>
  <c r="AF202" i="100"/>
  <c r="Z177" i="100"/>
  <c r="T196" i="100"/>
  <c r="X164" i="100"/>
  <c r="AD184" i="100"/>
  <c r="AD204" i="100"/>
  <c r="P304" i="100"/>
  <c r="Z174" i="100"/>
  <c r="AH180" i="100"/>
  <c r="AA103" i="102" s="1"/>
  <c r="Z204" i="100"/>
  <c r="AD170" i="100"/>
  <c r="P25" i="100"/>
  <c r="AF185" i="100"/>
  <c r="R185" i="100"/>
  <c r="P207" i="100"/>
  <c r="V165" i="100"/>
  <c r="AF305" i="100"/>
  <c r="AD305" i="100"/>
  <c r="U145" i="102"/>
  <c r="AB290" i="100"/>
  <c r="AH166" i="100"/>
  <c r="AA89" i="102" s="1"/>
  <c r="AH183" i="100"/>
  <c r="AA106" i="102" s="1"/>
  <c r="Z162" i="100"/>
  <c r="S104" i="102"/>
  <c r="R159" i="100"/>
  <c r="V197" i="100"/>
  <c r="V177" i="100"/>
  <c r="P313" i="100"/>
  <c r="AD302" i="100"/>
  <c r="AB188" i="100"/>
  <c r="X196" i="100"/>
  <c r="AD166" i="100"/>
  <c r="Z301" i="100"/>
  <c r="B169" i="102"/>
  <c r="P327" i="100"/>
  <c r="X310" i="100"/>
  <c r="AB305" i="100"/>
  <c r="Z313" i="100"/>
  <c r="AF302" i="100"/>
  <c r="AF290" i="100"/>
  <c r="AD165" i="100"/>
  <c r="Z179" i="100"/>
  <c r="AJ179" i="100"/>
  <c r="R126" i="102"/>
  <c r="R183" i="100"/>
  <c r="T197" i="100"/>
  <c r="AD162" i="100"/>
  <c r="Z297" i="100"/>
  <c r="AH177" i="100"/>
  <c r="AA100" i="102" s="1"/>
  <c r="T91" i="102"/>
  <c r="AD172" i="100"/>
  <c r="Z192" i="100"/>
  <c r="Q159" i="102"/>
  <c r="P199" i="100"/>
  <c r="V205" i="100"/>
  <c r="AH193" i="100"/>
  <c r="AA116" i="102" s="1"/>
  <c r="P183" i="100"/>
  <c r="R323" i="100"/>
  <c r="X333" i="100"/>
  <c r="X203" i="100"/>
  <c r="P298" i="100"/>
  <c r="P180" i="100"/>
  <c r="T305" i="100"/>
  <c r="T186" i="100"/>
  <c r="AD164" i="100"/>
  <c r="S83" i="102"/>
  <c r="AH310" i="100"/>
  <c r="AA154" i="102" s="1"/>
  <c r="P164" i="100"/>
  <c r="AD337" i="100"/>
  <c r="R294" i="100"/>
  <c r="AH184" i="100"/>
  <c r="AA107" i="102" s="1"/>
  <c r="T194" i="100"/>
  <c r="AH161" i="100"/>
  <c r="AA84" i="102" s="1"/>
  <c r="T201" i="100"/>
  <c r="V184" i="100"/>
  <c r="P176" i="100"/>
  <c r="P204" i="100"/>
  <c r="T185" i="100"/>
  <c r="T299" i="100"/>
  <c r="T165" i="100"/>
  <c r="V97" i="102"/>
  <c r="Q127" i="102"/>
  <c r="P294" i="100"/>
  <c r="T303" i="100"/>
  <c r="Z324" i="100"/>
  <c r="X326" i="100"/>
  <c r="Z314" i="100"/>
  <c r="Z194" i="100"/>
  <c r="AB204" i="100"/>
  <c r="AF204" i="100"/>
  <c r="R94" i="102"/>
  <c r="X290" i="100"/>
  <c r="AF188" i="100"/>
  <c r="Z333" i="100"/>
  <c r="AH305" i="100"/>
  <c r="AA149" i="102" s="1"/>
  <c r="Z318" i="100"/>
  <c r="AJ305" i="100"/>
  <c r="AD317" i="100"/>
  <c r="P318" i="100"/>
  <c r="Z205" i="100"/>
  <c r="AH181" i="100"/>
  <c r="AA104" i="102" s="1"/>
  <c r="AD167" i="100"/>
  <c r="AF179" i="100"/>
  <c r="P197" i="100"/>
  <c r="Z334" i="100"/>
  <c r="R184" i="100"/>
  <c r="V201" i="100"/>
  <c r="X191" i="100"/>
  <c r="V199" i="100"/>
  <c r="P336" i="100"/>
  <c r="T173" i="100"/>
  <c r="T161" i="100"/>
  <c r="R182" i="100"/>
  <c r="T177" i="100"/>
  <c r="T326" i="100"/>
  <c r="X187" i="100"/>
  <c r="R187" i="100"/>
  <c r="R318" i="100"/>
  <c r="AF203" i="100"/>
  <c r="R188" i="100"/>
  <c r="P192" i="100"/>
  <c r="V203" i="100"/>
  <c r="R316" i="100"/>
  <c r="AD20" i="100"/>
  <c r="P188" i="100"/>
  <c r="P200" i="100"/>
  <c r="X178" i="100"/>
  <c r="R325" i="100"/>
  <c r="AD291" i="100"/>
  <c r="R335" i="100"/>
  <c r="X167" i="100"/>
  <c r="X297" i="100"/>
  <c r="P309" i="100"/>
  <c r="T293" i="100"/>
  <c r="T172" i="100"/>
  <c r="P289" i="100"/>
  <c r="P305" i="100"/>
  <c r="X204" i="100"/>
  <c r="P306" i="100"/>
  <c r="T296" i="100"/>
  <c r="T202" i="100"/>
  <c r="R204" i="100"/>
  <c r="R327" i="100"/>
  <c r="P196" i="100"/>
  <c r="T159" i="102"/>
  <c r="AH174" i="100"/>
  <c r="AA97" i="102" s="1"/>
  <c r="X319" i="100"/>
  <c r="AD185" i="100"/>
  <c r="R176" i="100"/>
  <c r="P316" i="100"/>
  <c r="V299" i="100"/>
  <c r="R206" i="100"/>
  <c r="P326" i="100"/>
  <c r="T200" i="100"/>
  <c r="R168" i="100"/>
  <c r="R181" i="100"/>
  <c r="V298" i="100"/>
  <c r="R164" i="100"/>
  <c r="V206" i="100"/>
  <c r="R165" i="100"/>
  <c r="T179" i="100"/>
  <c r="V301" i="100"/>
  <c r="T301" i="100"/>
  <c r="R303" i="100"/>
  <c r="R299" i="100"/>
  <c r="V162" i="100"/>
  <c r="V191" i="100"/>
  <c r="T176" i="100"/>
  <c r="V167" i="100"/>
  <c r="V330" i="100"/>
  <c r="X320" i="100"/>
  <c r="AH163" i="100"/>
  <c r="AA86" i="102" s="1"/>
  <c r="R298" i="100"/>
  <c r="V294" i="100"/>
  <c r="P159" i="100"/>
  <c r="P296" i="100"/>
  <c r="P320" i="100"/>
  <c r="X163" i="100"/>
  <c r="AB303" i="100"/>
  <c r="P203" i="100"/>
  <c r="X190" i="100"/>
  <c r="P169" i="100"/>
  <c r="P187" i="100"/>
  <c r="Z161" i="100"/>
  <c r="T175" i="100"/>
  <c r="V187" i="100"/>
  <c r="X317" i="100"/>
  <c r="AF303" i="100"/>
  <c r="AD163" i="100"/>
  <c r="V164" i="100"/>
  <c r="V172" i="100"/>
  <c r="Q157" i="102"/>
  <c r="V159" i="100"/>
  <c r="P161" i="100"/>
  <c r="T321" i="100"/>
  <c r="X322" i="100"/>
  <c r="AB203" i="100"/>
  <c r="AF163" i="100"/>
  <c r="X170" i="100"/>
  <c r="P179" i="100"/>
  <c r="P325" i="100"/>
  <c r="R161" i="100"/>
  <c r="V198" i="100"/>
  <c r="R178" i="100"/>
  <c r="R166" i="100"/>
  <c r="P173" i="100"/>
  <c r="R193" i="100"/>
  <c r="AF333" i="100"/>
  <c r="V194" i="100"/>
  <c r="T163" i="100"/>
  <c r="P181" i="100"/>
  <c r="R306" i="100"/>
  <c r="T323" i="100"/>
  <c r="P167" i="100"/>
  <c r="R199" i="100"/>
  <c r="R189" i="100"/>
  <c r="H138" i="125"/>
  <c r="AL17" i="100"/>
  <c r="F145" i="102"/>
  <c r="H134" i="102"/>
  <c r="AL324" i="100"/>
  <c r="A294" i="100"/>
  <c r="A138" i="102" s="1"/>
  <c r="AB292" i="100"/>
  <c r="V326" i="100"/>
  <c r="R328" i="100"/>
  <c r="AH289" i="100"/>
  <c r="AA133" i="102" s="1"/>
  <c r="V314" i="100"/>
  <c r="X306" i="100"/>
  <c r="AH293" i="100"/>
  <c r="AA137" i="102" s="1"/>
  <c r="T314" i="100"/>
  <c r="AD296" i="100"/>
  <c r="T310" i="100"/>
  <c r="Q164" i="102"/>
  <c r="V316" i="100"/>
  <c r="AD294" i="100"/>
  <c r="T319" i="100"/>
  <c r="X315" i="100"/>
  <c r="X304" i="100"/>
  <c r="T335" i="100"/>
  <c r="T298" i="100"/>
  <c r="T327" i="100"/>
  <c r="T322" i="100"/>
  <c r="X300" i="100"/>
  <c r="P332" i="100"/>
  <c r="AH299" i="100"/>
  <c r="AA143" i="102" s="1"/>
  <c r="P337" i="100"/>
  <c r="T309" i="100"/>
  <c r="X329" i="100"/>
  <c r="T320" i="100"/>
  <c r="AD304" i="100"/>
  <c r="R324" i="100"/>
  <c r="AJ316" i="100"/>
  <c r="X308" i="100"/>
  <c r="AJ310" i="100"/>
  <c r="R311" i="100"/>
  <c r="X331" i="100"/>
  <c r="X332" i="100"/>
  <c r="T336" i="100"/>
  <c r="AF289" i="100"/>
  <c r="R169" i="102"/>
  <c r="Z291" i="100"/>
  <c r="T311" i="100"/>
  <c r="AH313" i="100"/>
  <c r="AA157" i="102" s="1"/>
  <c r="R302" i="100"/>
  <c r="X316" i="100"/>
  <c r="R317" i="100"/>
  <c r="T331" i="100"/>
  <c r="V329" i="100"/>
  <c r="R312" i="100"/>
  <c r="AD313" i="100"/>
  <c r="AB313" i="100"/>
  <c r="Z304" i="100"/>
  <c r="AB329" i="100"/>
  <c r="T325" i="100"/>
  <c r="P302" i="100"/>
  <c r="X313" i="100"/>
  <c r="P295" i="100"/>
  <c r="R334" i="100"/>
  <c r="X334" i="100"/>
  <c r="AF307" i="100"/>
  <c r="AF311" i="100"/>
  <c r="AH311" i="100"/>
  <c r="AA155" i="102" s="1"/>
  <c r="Z311" i="100"/>
  <c r="R332" i="100"/>
  <c r="Z331" i="100"/>
  <c r="AJ311" i="100"/>
  <c r="T289" i="100"/>
  <c r="P291" i="100"/>
  <c r="R329" i="100"/>
  <c r="X292" i="100"/>
  <c r="AD324" i="100"/>
  <c r="AJ324" i="100"/>
  <c r="AF304" i="100"/>
  <c r="AJ291" i="100"/>
  <c r="AB294" i="100"/>
  <c r="R313" i="100"/>
  <c r="AH300" i="100"/>
  <c r="AA144" i="102" s="1"/>
  <c r="P331" i="100"/>
  <c r="R289" i="100"/>
  <c r="V296" i="100"/>
  <c r="R337" i="100"/>
  <c r="AF313" i="100"/>
  <c r="X336" i="100"/>
  <c r="X288" i="100"/>
  <c r="V323" i="100"/>
  <c r="V300" i="100"/>
  <c r="R314" i="100"/>
  <c r="X330" i="100"/>
  <c r="S140" i="102"/>
  <c r="R300" i="100"/>
  <c r="V324" i="100"/>
  <c r="AH331" i="100"/>
  <c r="AA175" i="102" s="1"/>
  <c r="AF291" i="100"/>
  <c r="V332" i="100"/>
  <c r="T300" i="100"/>
  <c r="T312" i="100"/>
  <c r="AH320" i="100"/>
  <c r="AA164" i="102" s="1"/>
  <c r="AF317" i="100"/>
  <c r="AJ331" i="100"/>
  <c r="R322" i="100"/>
  <c r="AD311" i="100"/>
  <c r="R292" i="100"/>
  <c r="R297" i="100"/>
  <c r="P311" i="100"/>
  <c r="R321" i="100"/>
  <c r="Z294" i="100"/>
  <c r="Z293" i="100"/>
  <c r="AB291" i="100"/>
  <c r="AH332" i="100"/>
  <c r="AA176" i="102" s="1"/>
  <c r="X318" i="100"/>
  <c r="P310" i="100"/>
  <c r="S165" i="102"/>
  <c r="R291" i="100"/>
  <c r="V293" i="100"/>
  <c r="AD300" i="100"/>
  <c r="R333" i="100"/>
  <c r="AH292" i="100"/>
  <c r="AA136" i="102" s="1"/>
  <c r="AH291" i="100"/>
  <c r="AA135" i="102" s="1"/>
  <c r="AB311" i="100"/>
  <c r="AJ293" i="100"/>
  <c r="AF331" i="100"/>
  <c r="R304" i="100"/>
  <c r="T304" i="100"/>
  <c r="P303" i="100"/>
  <c r="R309" i="100"/>
  <c r="AD309" i="100"/>
  <c r="R290" i="100"/>
  <c r="P301" i="100"/>
  <c r="V312" i="100"/>
  <c r="V337" i="100"/>
  <c r="R170" i="100"/>
  <c r="AB173" i="100"/>
  <c r="T174" i="100"/>
  <c r="R89" i="102"/>
  <c r="AH173" i="100"/>
  <c r="AA96" i="102" s="1"/>
  <c r="AF177" i="100"/>
  <c r="T207" i="100"/>
  <c r="T162" i="100"/>
  <c r="AF194" i="100"/>
  <c r="V185" i="100"/>
  <c r="T182" i="100"/>
  <c r="V169" i="100"/>
  <c r="AF173" i="100"/>
  <c r="AD193" i="100"/>
  <c r="AJ194" i="100"/>
  <c r="R201" i="100"/>
  <c r="R97" i="102"/>
  <c r="R101" i="102"/>
  <c r="AH187" i="100"/>
  <c r="AA110" i="102" s="1"/>
  <c r="R198" i="100"/>
  <c r="R196" i="100"/>
  <c r="AD173" i="100"/>
  <c r="X193" i="100"/>
  <c r="T180" i="100"/>
  <c r="V173" i="100"/>
  <c r="R172" i="100"/>
  <c r="V189" i="100"/>
  <c r="T188" i="100"/>
  <c r="R194" i="100"/>
  <c r="T191" i="100"/>
  <c r="AH189" i="100"/>
  <c r="AA112" i="102" s="1"/>
  <c r="AD189" i="100"/>
  <c r="Z189" i="100"/>
  <c r="AB169" i="100"/>
  <c r="X205" i="100"/>
  <c r="P168" i="100"/>
  <c r="X182" i="100"/>
  <c r="X202" i="100"/>
  <c r="AD169" i="100"/>
  <c r="V166" i="100"/>
  <c r="X159" i="100"/>
  <c r="AD159" i="100"/>
  <c r="P170" i="100"/>
  <c r="X161" i="100"/>
  <c r="P202" i="100"/>
  <c r="X185" i="100"/>
  <c r="X173" i="100"/>
  <c r="P178" i="100"/>
  <c r="X172" i="100"/>
  <c r="T195" i="100"/>
  <c r="S82" i="102"/>
  <c r="X201" i="100"/>
  <c r="R202" i="100"/>
  <c r="X189" i="100"/>
  <c r="X22" i="100"/>
  <c r="AF19" i="100"/>
  <c r="P20" i="100"/>
  <c r="T13" i="100"/>
  <c r="Y99" i="125"/>
  <c r="CE226" i="75"/>
  <c r="CX360" i="75"/>
  <c r="CU361" i="75" s="1" a="1"/>
  <c r="CZ359" i="75"/>
  <c r="DF420" i="75"/>
  <c r="DF419" i="75"/>
  <c r="DE431" i="75"/>
  <c r="DE432" i="75"/>
  <c r="CP503" i="75"/>
  <c r="CN503" i="75"/>
  <c r="DE733" i="75"/>
  <c r="DF733" i="75" s="1"/>
  <c r="DE734" i="75"/>
  <c r="BQ1247" i="75"/>
  <c r="F188" i="115"/>
  <c r="DD425" i="75"/>
  <c r="BL441" i="75"/>
  <c r="CY245" i="75" a="1"/>
  <c r="DD600" i="75"/>
  <c r="DD331" i="75"/>
  <c r="E21" i="114"/>
  <c r="J21" i="114" s="1"/>
  <c r="CR411" i="75"/>
  <c r="DE251" i="75"/>
  <c r="DF251" i="75" s="1"/>
  <c r="DE252" i="75"/>
  <c r="BN261" i="75"/>
  <c r="F148" i="112"/>
  <c r="CZ219" i="75"/>
  <c r="CJ271" i="75"/>
  <c r="DD293" i="75"/>
  <c r="DD327" i="75"/>
  <c r="CR333" i="75"/>
  <c r="DD337" i="75"/>
  <c r="CR377" i="75"/>
  <c r="BL383" i="75"/>
  <c r="CX391" i="75"/>
  <c r="CZ391" i="75"/>
  <c r="CX393" i="75"/>
  <c r="CZ393" i="75"/>
  <c r="DD395" i="75"/>
  <c r="DF418" i="75"/>
  <c r="DF417" i="75"/>
  <c r="CB559" i="75"/>
  <c r="BZ559" i="75"/>
  <c r="DB666" i="75"/>
  <c r="CY667" i="75" s="1" a="1"/>
  <c r="CY671" i="75" s="1"/>
  <c r="DD665" i="75"/>
  <c r="DB728" i="75"/>
  <c r="DD727" i="75"/>
  <c r="BZ805" i="75"/>
  <c r="CB805" i="75"/>
  <c r="DB968" i="75"/>
  <c r="DD967" i="75"/>
  <c r="CN1045" i="75"/>
  <c r="CL1045" i="75"/>
  <c r="DD1092" i="75"/>
  <c r="DC1093" i="75" s="1" a="1"/>
  <c r="DF1091" i="75"/>
  <c r="CZ1123" i="75"/>
  <c r="CX1123" i="75"/>
  <c r="DD1206" i="75"/>
  <c r="DF1205" i="75"/>
  <c r="CR1237" i="75"/>
  <c r="CP1237" i="75"/>
  <c r="D12" i="112"/>
  <c r="F12" i="112" s="1"/>
  <c r="D17" i="112"/>
  <c r="E17" i="112" s="1"/>
  <c r="J17" i="112" s="1"/>
  <c r="D11" i="112"/>
  <c r="D18" i="112"/>
  <c r="E18" i="112" s="1"/>
  <c r="J18" i="112" s="1"/>
  <c r="D13" i="112"/>
  <c r="F13" i="112" s="1"/>
  <c r="D16" i="112"/>
  <c r="I38" i="112"/>
  <c r="G35" i="112"/>
  <c r="G38" i="112"/>
  <c r="G31" i="112"/>
  <c r="I33" i="112"/>
  <c r="I39" i="112"/>
  <c r="I32" i="112"/>
  <c r="D35" i="112"/>
  <c r="I36" i="112"/>
  <c r="I57" i="112"/>
  <c r="G52" i="112"/>
  <c r="I52" i="112"/>
  <c r="G54" i="112"/>
  <c r="I54" i="112"/>
  <c r="G59" i="112"/>
  <c r="I56" i="112"/>
  <c r="G51" i="112"/>
  <c r="G58" i="112"/>
  <c r="I51" i="112"/>
  <c r="I58" i="112"/>
  <c r="G53" i="112"/>
  <c r="I53" i="112"/>
  <c r="D54" i="112"/>
  <c r="E54" i="112" s="1"/>
  <c r="G55" i="112"/>
  <c r="D71" i="112"/>
  <c r="F71" i="112" s="1"/>
  <c r="G72" i="112"/>
  <c r="I72" i="112"/>
  <c r="G74" i="112"/>
  <c r="I78" i="112"/>
  <c r="G73" i="112"/>
  <c r="I73" i="112"/>
  <c r="I75" i="112"/>
  <c r="I77" i="112"/>
  <c r="I92" i="112"/>
  <c r="G96" i="112"/>
  <c r="G93" i="112"/>
  <c r="G95" i="112"/>
  <c r="I95" i="112"/>
  <c r="I97" i="112"/>
  <c r="I99" i="112"/>
  <c r="D98" i="112"/>
  <c r="F98" i="112" s="1"/>
  <c r="G92" i="112"/>
  <c r="I96" i="112"/>
  <c r="I98" i="112"/>
  <c r="I91" i="112"/>
  <c r="I117" i="112"/>
  <c r="G116" i="112"/>
  <c r="I116" i="112"/>
  <c r="G111" i="112"/>
  <c r="G118" i="112"/>
  <c r="I111" i="112"/>
  <c r="I118" i="112"/>
  <c r="G113" i="112"/>
  <c r="I113" i="112"/>
  <c r="G115" i="112"/>
  <c r="I115" i="112"/>
  <c r="G117" i="112"/>
  <c r="I139" i="112"/>
  <c r="D138" i="112"/>
  <c r="F138" i="112" s="1"/>
  <c r="G139" i="112"/>
  <c r="H139" i="112" s="1"/>
  <c r="I132" i="112"/>
  <c r="I136" i="112"/>
  <c r="I135" i="112"/>
  <c r="D136" i="112"/>
  <c r="G159" i="112"/>
  <c r="D153" i="112"/>
  <c r="E153" i="112" s="1"/>
  <c r="J153" i="112" s="1"/>
  <c r="G155" i="112"/>
  <c r="D157" i="112"/>
  <c r="F157" i="112" s="1"/>
  <c r="I155" i="112"/>
  <c r="I159" i="112"/>
  <c r="D158" i="112"/>
  <c r="I175" i="112"/>
  <c r="I179" i="112"/>
  <c r="G176" i="112"/>
  <c r="G177" i="112"/>
  <c r="I176" i="112"/>
  <c r="I177" i="112"/>
  <c r="D177" i="112"/>
  <c r="F177" i="112" s="1"/>
  <c r="G178" i="112"/>
  <c r="I178" i="112"/>
  <c r="D178" i="112"/>
  <c r="F178" i="112" s="1"/>
  <c r="I192" i="112"/>
  <c r="I194" i="112"/>
  <c r="G193" i="112"/>
  <c r="D194" i="112"/>
  <c r="E194" i="112" s="1"/>
  <c r="J194" i="112" s="1"/>
  <c r="G195" i="112"/>
  <c r="I195" i="112"/>
  <c r="I199" i="112"/>
  <c r="G194" i="112"/>
  <c r="I197" i="112"/>
  <c r="D195" i="112"/>
  <c r="F195" i="112" s="1"/>
  <c r="G196" i="112"/>
  <c r="I196" i="112"/>
  <c r="D197" i="112"/>
  <c r="G198" i="112"/>
  <c r="D199" i="112"/>
  <c r="F199" i="112" s="1"/>
  <c r="I29" i="114"/>
  <c r="D23" i="114"/>
  <c r="I24" i="114"/>
  <c r="D25" i="114"/>
  <c r="E25" i="114" s="1"/>
  <c r="J25" i="114" s="1"/>
  <c r="I26" i="114"/>
  <c r="G28" i="114"/>
  <c r="I21" i="114"/>
  <c r="D22" i="114"/>
  <c r="I23" i="114"/>
  <c r="G29" i="114"/>
  <c r="D24" i="114"/>
  <c r="E24" i="114" s="1"/>
  <c r="J24" i="114" s="1"/>
  <c r="G27" i="114"/>
  <c r="I25" i="114"/>
  <c r="G25" i="114"/>
  <c r="D26" i="114"/>
  <c r="G47" i="114"/>
  <c r="I41" i="114"/>
  <c r="G41" i="114"/>
  <c r="G44" i="114"/>
  <c r="D48" i="114"/>
  <c r="F48" i="114" s="1"/>
  <c r="I43" i="114"/>
  <c r="G46" i="114"/>
  <c r="I45" i="114"/>
  <c r="D46" i="114"/>
  <c r="E46" i="114" s="1"/>
  <c r="J46" i="114" s="1"/>
  <c r="I42" i="114"/>
  <c r="D45" i="114"/>
  <c r="I46" i="114"/>
  <c r="G48" i="114"/>
  <c r="D49" i="114"/>
  <c r="E49" i="114" s="1"/>
  <c r="J49" i="114" s="1"/>
  <c r="D47" i="114"/>
  <c r="F47" i="114" s="1"/>
  <c r="I49" i="114"/>
  <c r="G68" i="114"/>
  <c r="I68" i="114"/>
  <c r="G63" i="114"/>
  <c r="G65" i="114"/>
  <c r="I65" i="114"/>
  <c r="G62" i="114"/>
  <c r="H62" i="114" s="1"/>
  <c r="G67" i="114"/>
  <c r="H67" i="114" s="1"/>
  <c r="I64" i="114"/>
  <c r="G66" i="114"/>
  <c r="I66" i="114"/>
  <c r="D67" i="114"/>
  <c r="E67" i="114" s="1"/>
  <c r="G81" i="114"/>
  <c r="I81" i="114"/>
  <c r="G85" i="114"/>
  <c r="I85" i="114"/>
  <c r="G87" i="114"/>
  <c r="D81" i="114"/>
  <c r="I87" i="114"/>
  <c r="G82" i="114"/>
  <c r="I84" i="114"/>
  <c r="D85" i="114"/>
  <c r="F85" i="114" s="1"/>
  <c r="D87" i="114"/>
  <c r="E87" i="114" s="1"/>
  <c r="J87" i="114" s="1"/>
  <c r="I88" i="114"/>
  <c r="D89" i="114"/>
  <c r="F89" i="114" s="1"/>
  <c r="G102" i="114"/>
  <c r="I102" i="114"/>
  <c r="G107" i="114"/>
  <c r="I104" i="114"/>
  <c r="G108" i="114"/>
  <c r="I108" i="114"/>
  <c r="I109" i="114"/>
  <c r="G101" i="114"/>
  <c r="I101" i="114"/>
  <c r="G103" i="114"/>
  <c r="I103" i="114"/>
  <c r="I105" i="114"/>
  <c r="D103" i="114"/>
  <c r="E103" i="114" s="1"/>
  <c r="J103" i="114" s="1"/>
  <c r="I107" i="114"/>
  <c r="D105" i="114"/>
  <c r="F105" i="114" s="1"/>
  <c r="G106" i="114"/>
  <c r="I126" i="114"/>
  <c r="I128" i="114"/>
  <c r="G121" i="114"/>
  <c r="I121" i="114"/>
  <c r="G122" i="114"/>
  <c r="I123" i="114"/>
  <c r="I122" i="114"/>
  <c r="D124" i="114"/>
  <c r="D123" i="114"/>
  <c r="E123" i="114" s="1"/>
  <c r="G125" i="114"/>
  <c r="I124" i="114"/>
  <c r="I125" i="114"/>
  <c r="D125" i="114"/>
  <c r="F125" i="114" s="1"/>
  <c r="G127" i="114"/>
  <c r="G126" i="114"/>
  <c r="I127" i="114"/>
  <c r="G128" i="114"/>
  <c r="G142" i="114"/>
  <c r="I142" i="114"/>
  <c r="I144" i="114"/>
  <c r="D145" i="114"/>
  <c r="G146" i="114"/>
  <c r="I148" i="114"/>
  <c r="D148" i="114"/>
  <c r="E148" i="114" s="1"/>
  <c r="J148" i="114" s="1"/>
  <c r="I141" i="114"/>
  <c r="I143" i="114"/>
  <c r="I145" i="114"/>
  <c r="D146" i="114"/>
  <c r="I163" i="114"/>
  <c r="G165" i="114"/>
  <c r="I169" i="114"/>
  <c r="G161" i="114"/>
  <c r="I161" i="114"/>
  <c r="G163" i="114"/>
  <c r="G167" i="114"/>
  <c r="G168" i="114"/>
  <c r="G162" i="114"/>
  <c r="G164" i="114"/>
  <c r="I166" i="114"/>
  <c r="I184" i="114"/>
  <c r="I182" i="114"/>
  <c r="G186" i="114"/>
  <c r="D189" i="114"/>
  <c r="D181" i="114"/>
  <c r="F181" i="114" s="1"/>
  <c r="G189" i="114"/>
  <c r="D187" i="114"/>
  <c r="F187" i="114" s="1"/>
  <c r="G188" i="114"/>
  <c r="I188" i="114"/>
  <c r="I181" i="114"/>
  <c r="I185" i="114"/>
  <c r="I189" i="114"/>
  <c r="I183" i="114"/>
  <c r="G185" i="114"/>
  <c r="D186" i="114"/>
  <c r="F186" i="114" s="1"/>
  <c r="I187" i="114"/>
  <c r="G182" i="114"/>
  <c r="G209" i="114"/>
  <c r="D201" i="114"/>
  <c r="E201" i="114" s="1"/>
  <c r="J201" i="114" s="1"/>
  <c r="I201" i="114"/>
  <c r="G203" i="114"/>
  <c r="D202" i="114"/>
  <c r="E202" i="114" s="1"/>
  <c r="I205" i="114"/>
  <c r="G202" i="114"/>
  <c r="I207" i="114"/>
  <c r="G201" i="114"/>
  <c r="G207" i="114"/>
  <c r="I208" i="114"/>
  <c r="I206" i="114"/>
  <c r="I204" i="114"/>
  <c r="I202" i="114"/>
  <c r="D87" i="115"/>
  <c r="D88" i="115"/>
  <c r="F88" i="115" s="1"/>
  <c r="I109" i="115"/>
  <c r="I106" i="115"/>
  <c r="I104" i="115"/>
  <c r="I103" i="115"/>
  <c r="I105" i="115"/>
  <c r="D137" i="115"/>
  <c r="D133" i="115"/>
  <c r="D135" i="115"/>
  <c r="E135" i="115" s="1"/>
  <c r="J135" i="115" s="1"/>
  <c r="D134" i="115"/>
  <c r="D138" i="115"/>
  <c r="F138" i="115" s="1"/>
  <c r="D139" i="115"/>
  <c r="D136" i="115"/>
  <c r="E136" i="115" s="1"/>
  <c r="J136" i="115" s="1"/>
  <c r="I154" i="115"/>
  <c r="I155" i="115"/>
  <c r="I157" i="115"/>
  <c r="I159" i="115"/>
  <c r="I151" i="115"/>
  <c r="D184" i="115"/>
  <c r="E184" i="115" s="1"/>
  <c r="H184" i="115" s="1"/>
  <c r="D187" i="115"/>
  <c r="F187" i="115" s="1"/>
  <c r="D181" i="115"/>
  <c r="D186" i="115"/>
  <c r="E186" i="115" s="1"/>
  <c r="H30" i="116"/>
  <c r="J30" i="116"/>
  <c r="H50" i="116"/>
  <c r="J50" i="116"/>
  <c r="J70" i="116"/>
  <c r="H70" i="116"/>
  <c r="J130" i="116"/>
  <c r="H130" i="116"/>
  <c r="J170" i="116"/>
  <c r="H170" i="116"/>
  <c r="J190" i="116"/>
  <c r="H190" i="116"/>
  <c r="H210" i="116"/>
  <c r="J210" i="116"/>
  <c r="Q117" i="102"/>
  <c r="P194" i="100"/>
  <c r="CZ357" i="75"/>
  <c r="DB357" i="75"/>
  <c r="BQ1259" i="75"/>
  <c r="F22" i="112"/>
  <c r="BX321" i="75"/>
  <c r="DF429" i="75"/>
  <c r="DD430" i="75" s="1" a="1"/>
  <c r="CT515" i="75"/>
  <c r="DD333" i="75"/>
  <c r="DA789" i="75"/>
  <c r="DB789" i="75" s="1"/>
  <c r="CX357" i="75"/>
  <c r="BV329" i="75"/>
  <c r="CX1177" i="75"/>
  <c r="CV1177" i="75"/>
  <c r="D63" i="112"/>
  <c r="E63" i="112" s="1"/>
  <c r="J63" i="112" s="1"/>
  <c r="D66" i="112"/>
  <c r="E66" i="112" s="1"/>
  <c r="H66" i="112" s="1"/>
  <c r="D128" i="112"/>
  <c r="E128" i="112" s="1"/>
  <c r="J128" i="112" s="1"/>
  <c r="D125" i="112"/>
  <c r="D142" i="112"/>
  <c r="E142" i="112" s="1"/>
  <c r="J142" i="112" s="1"/>
  <c r="BZ205" i="75"/>
  <c r="BN259" i="75"/>
  <c r="DB259" i="75"/>
  <c r="CZ271" i="75"/>
  <c r="CZ281" i="75"/>
  <c r="CP287" i="75"/>
  <c r="CL321" i="75"/>
  <c r="BT323" i="75"/>
  <c r="CR325" i="75"/>
  <c r="CF327" i="75"/>
  <c r="CD337" i="75"/>
  <c r="CR339" i="75"/>
  <c r="DF341" i="75"/>
  <c r="CN343" i="75"/>
  <c r="CR349" i="75"/>
  <c r="CR355" i="75"/>
  <c r="CD379" i="75"/>
  <c r="CT381" i="75"/>
  <c r="CB383" i="75"/>
  <c r="CN387" i="75"/>
  <c r="BZ391" i="75"/>
  <c r="BZ393" i="75"/>
  <c r="CF395" i="75"/>
  <c r="CN397" i="75"/>
  <c r="CX409" i="75"/>
  <c r="CT413" i="75"/>
  <c r="CZ989" i="75"/>
  <c r="CV1017" i="75"/>
  <c r="CZ1177" i="75"/>
  <c r="BL1221" i="75"/>
  <c r="BT1227" i="75"/>
  <c r="G63" i="112"/>
  <c r="G125" i="112"/>
  <c r="G122" i="112"/>
  <c r="G163" i="112"/>
  <c r="G165" i="112"/>
  <c r="J210" i="114"/>
  <c r="H210" i="114"/>
  <c r="DD908" i="75"/>
  <c r="DF907" i="75"/>
  <c r="I41" i="112"/>
  <c r="I43" i="112"/>
  <c r="I62" i="112"/>
  <c r="I63" i="112"/>
  <c r="I64" i="112"/>
  <c r="I161" i="112"/>
  <c r="I164" i="112"/>
  <c r="G14" i="114"/>
  <c r="D15" i="114"/>
  <c r="E15" i="114" s="1"/>
  <c r="J15" i="114" s="1"/>
  <c r="D18" i="114"/>
  <c r="T32" i="115"/>
  <c r="Q32" i="115"/>
  <c r="Q34" i="115"/>
  <c r="J160" i="115"/>
  <c r="H160" i="115"/>
  <c r="BR259" i="75"/>
  <c r="DB281" i="75"/>
  <c r="DF809" i="75"/>
  <c r="CT815" i="75"/>
  <c r="CX817" i="75"/>
  <c r="CH931" i="75"/>
  <c r="BZ939" i="75"/>
  <c r="CB939" i="75"/>
  <c r="BV981" i="75"/>
  <c r="DB1003" i="75"/>
  <c r="CD1041" i="75"/>
  <c r="CX1051" i="75"/>
  <c r="CL1057" i="75"/>
  <c r="CP1069" i="75"/>
  <c r="DF1111" i="75"/>
  <c r="DB1141" i="75"/>
  <c r="BR1163" i="75"/>
  <c r="BR1173" i="75"/>
  <c r="DB1175" i="75"/>
  <c r="CP1225" i="75"/>
  <c r="CH1231" i="75"/>
  <c r="BV1237" i="75"/>
  <c r="D59" i="112"/>
  <c r="E59" i="112" s="1"/>
  <c r="X177" i="100"/>
  <c r="D21" i="112"/>
  <c r="E21" i="112" s="1"/>
  <c r="J21" i="112" s="1"/>
  <c r="CR629" i="75"/>
  <c r="D141" i="112"/>
  <c r="F141" i="112" s="1"/>
  <c r="D39" i="112"/>
  <c r="E39" i="112" s="1"/>
  <c r="J39" i="112" s="1"/>
  <c r="I122" i="112"/>
  <c r="D85" i="112"/>
  <c r="E85" i="112" s="1"/>
  <c r="J85" i="112" s="1"/>
  <c r="BV1229" i="75"/>
  <c r="CX639" i="75"/>
  <c r="CZ1263" i="75"/>
  <c r="CB1235" i="75"/>
  <c r="CR753" i="75"/>
  <c r="G14" i="112"/>
  <c r="BT1233" i="75"/>
  <c r="DB246" i="75"/>
  <c r="DA247" i="75" s="1" a="1"/>
  <c r="DA248" i="75" s="1"/>
  <c r="DD245" i="75"/>
  <c r="DD910" i="75"/>
  <c r="DD909" i="75"/>
  <c r="CP1131" i="75"/>
  <c r="CR1131" i="75"/>
  <c r="CZ1204" i="75"/>
  <c r="CZ1203" i="75"/>
  <c r="I11" i="114"/>
  <c r="G37" i="114"/>
  <c r="G38" i="114"/>
  <c r="H38" i="114" s="1"/>
  <c r="G132" i="114"/>
  <c r="G134" i="114"/>
  <c r="G136" i="114"/>
  <c r="G155" i="114"/>
  <c r="G157" i="114"/>
  <c r="I14" i="115"/>
  <c r="I17" i="115"/>
  <c r="I27" i="116"/>
  <c r="I25" i="116"/>
  <c r="I49" i="116"/>
  <c r="G42" i="116"/>
  <c r="G85" i="116"/>
  <c r="I81" i="116"/>
  <c r="E18" i="116"/>
  <c r="E136" i="116"/>
  <c r="J136" i="116" s="1"/>
  <c r="H48" i="115"/>
  <c r="X303" i="100"/>
  <c r="CD619" i="75"/>
  <c r="D188" i="114"/>
  <c r="CV407" i="75"/>
  <c r="CX379" i="75"/>
  <c r="CR327" i="75"/>
  <c r="D161" i="112"/>
  <c r="D83" i="112"/>
  <c r="I129" i="112"/>
  <c r="CP1229" i="75"/>
  <c r="CD1231" i="75"/>
  <c r="BT1221" i="75"/>
  <c r="E176" i="115"/>
  <c r="H176" i="115" s="1"/>
  <c r="D17" i="114"/>
  <c r="D45" i="115"/>
  <c r="I166" i="112"/>
  <c r="I82" i="112"/>
  <c r="D45" i="112"/>
  <c r="F45" i="112" s="1"/>
  <c r="I169" i="112"/>
  <c r="D126" i="112"/>
  <c r="F126" i="112" s="1"/>
  <c r="I15" i="116"/>
  <c r="D163" i="112"/>
  <c r="D86" i="112"/>
  <c r="F86" i="112" s="1"/>
  <c r="CL1225" i="75"/>
  <c r="CZ301" i="75"/>
  <c r="CD317" i="75"/>
  <c r="BV503" i="75"/>
  <c r="CP637" i="75"/>
  <c r="CX681" i="75"/>
  <c r="DB1183" i="75"/>
  <c r="BT1223" i="75"/>
  <c r="CR201" i="75"/>
  <c r="BP265" i="75"/>
  <c r="CP341" i="75"/>
  <c r="DB379" i="75"/>
  <c r="BZ503" i="75"/>
  <c r="CJ571" i="75"/>
  <c r="CH573" i="75"/>
  <c r="CL577" i="75"/>
  <c r="CF583" i="75"/>
  <c r="CZ595" i="75"/>
  <c r="CR621" i="75"/>
  <c r="CT637" i="75"/>
  <c r="BL681" i="75"/>
  <c r="CN747" i="75"/>
  <c r="CP761" i="75"/>
  <c r="BP799" i="75"/>
  <c r="DF799" i="75"/>
  <c r="CD801" i="75"/>
  <c r="CR803" i="75"/>
  <c r="CT825" i="75"/>
  <c r="CV831" i="75"/>
  <c r="CX995" i="75"/>
  <c r="CP1049" i="75"/>
  <c r="DF1065" i="75"/>
  <c r="CL1067" i="75"/>
  <c r="BZ1229" i="75"/>
  <c r="CT1233" i="75"/>
  <c r="CT1249" i="75"/>
  <c r="CR459" i="75"/>
  <c r="DB479" i="75"/>
  <c r="DD681" i="75"/>
  <c r="CF683" i="75"/>
  <c r="CJ687" i="75"/>
  <c r="BX689" i="75"/>
  <c r="DD691" i="75"/>
  <c r="CZ693" i="75"/>
  <c r="CJ701" i="75"/>
  <c r="BX751" i="75"/>
  <c r="CR771" i="75"/>
  <c r="CN773" i="75"/>
  <c r="BT799" i="75"/>
  <c r="BX991" i="75"/>
  <c r="BX1059" i="75"/>
  <c r="CF1061" i="75"/>
  <c r="CZ1071" i="75"/>
  <c r="CN1111" i="75"/>
  <c r="CF1113" i="75"/>
  <c r="CJ1221" i="75"/>
  <c r="BX1225" i="75"/>
  <c r="CR1227" i="75"/>
  <c r="DD1241" i="75"/>
  <c r="CJ1251" i="75"/>
  <c r="DD1267" i="75"/>
  <c r="G13" i="112"/>
  <c r="G16" i="112"/>
  <c r="D36" i="112"/>
  <c r="D32" i="112"/>
  <c r="E32" i="112" s="1"/>
  <c r="J32" i="112" s="1"/>
  <c r="D52" i="112"/>
  <c r="E52" i="112" s="1"/>
  <c r="J52" i="112" s="1"/>
  <c r="D135" i="112"/>
  <c r="E135" i="112" s="1"/>
  <c r="J135" i="112" s="1"/>
  <c r="D191" i="112"/>
  <c r="E191" i="112" s="1"/>
  <c r="D28" i="114"/>
  <c r="E28" i="114" s="1"/>
  <c r="J28" i="114" s="1"/>
  <c r="D43" i="114"/>
  <c r="E43" i="114" s="1"/>
  <c r="J43" i="114" s="1"/>
  <c r="D41" i="114"/>
  <c r="E41" i="114" s="1"/>
  <c r="J41" i="114" s="1"/>
  <c r="D42" i="114"/>
  <c r="F42" i="114" s="1"/>
  <c r="D44" i="114"/>
  <c r="D84" i="114"/>
  <c r="E84" i="114" s="1"/>
  <c r="D108" i="114"/>
  <c r="E108" i="114" s="1"/>
  <c r="J108" i="114" s="1"/>
  <c r="D106" i="114"/>
  <c r="E106" i="114" s="1"/>
  <c r="D127" i="114"/>
  <c r="E127" i="114" s="1"/>
  <c r="D168" i="114"/>
  <c r="F168" i="114" s="1"/>
  <c r="D184" i="114"/>
  <c r="F184" i="114" s="1"/>
  <c r="I26" i="115"/>
  <c r="I27" i="115"/>
  <c r="J100" i="115"/>
  <c r="H100" i="115"/>
  <c r="I136" i="115"/>
  <c r="I135" i="115"/>
  <c r="I184" i="115"/>
  <c r="I186" i="115"/>
  <c r="D27" i="114"/>
  <c r="F27" i="114" s="1"/>
  <c r="DF1241" i="75"/>
  <c r="CR207" i="75"/>
  <c r="CR217" i="75"/>
  <c r="CZ231" i="75"/>
  <c r="CZ267" i="75"/>
  <c r="CN271" i="75"/>
  <c r="BT327" i="75"/>
  <c r="CZ345" i="75"/>
  <c r="BP437" i="75"/>
  <c r="CV459" i="75"/>
  <c r="CV469" i="75"/>
  <c r="CR471" i="75"/>
  <c r="CR507" i="75"/>
  <c r="CF521" i="75"/>
  <c r="G33" i="112"/>
  <c r="H33" i="112" s="1"/>
  <c r="G94" i="112"/>
  <c r="CH203" i="75"/>
  <c r="BR205" i="75"/>
  <c r="CL215" i="75"/>
  <c r="DF229" i="75"/>
  <c r="DD241" i="75"/>
  <c r="BZ265" i="75"/>
  <c r="DB267" i="75"/>
  <c r="CT269" i="75"/>
  <c r="CT275" i="75"/>
  <c r="CT285" i="75"/>
  <c r="BN319" i="75"/>
  <c r="DB319" i="75"/>
  <c r="CD321" i="75"/>
  <c r="DB335" i="75"/>
  <c r="CP347" i="75"/>
  <c r="DD358" i="75"/>
  <c r="DF357" i="75"/>
  <c r="BJ377" i="75"/>
  <c r="CD387" i="75"/>
  <c r="CP409" i="75"/>
  <c r="DD427" i="75"/>
  <c r="BR437" i="75"/>
  <c r="CD439" i="75"/>
  <c r="CT441" i="75"/>
  <c r="BZ443" i="75"/>
  <c r="CX445" i="75"/>
  <c r="CD455" i="75"/>
  <c r="CX459" i="75"/>
  <c r="DF467" i="75"/>
  <c r="DB501" i="75"/>
  <c r="CT819" i="75"/>
  <c r="CX937" i="75"/>
  <c r="DF1005" i="75"/>
  <c r="CL1103" i="75"/>
  <c r="DB1105" i="75"/>
  <c r="D27" i="112"/>
  <c r="F27" i="112" s="1"/>
  <c r="CL701" i="75"/>
  <c r="BT739" i="75"/>
  <c r="CX1080" i="75"/>
  <c r="CZ1079" i="75"/>
  <c r="D69" i="115"/>
  <c r="E69" i="115" s="1"/>
  <c r="J69" i="115" s="1"/>
  <c r="D68" i="115"/>
  <c r="F68" i="115" s="1"/>
  <c r="D66" i="115"/>
  <c r="G55" i="116"/>
  <c r="G98" i="116"/>
  <c r="H98" i="116" s="1"/>
  <c r="G136" i="116"/>
  <c r="G197" i="116"/>
  <c r="DF551" i="75"/>
  <c r="CV1167" i="75"/>
  <c r="J80" i="115"/>
  <c r="H80" i="115"/>
  <c r="I165" i="115"/>
  <c r="F152" i="115"/>
  <c r="D58" i="112"/>
  <c r="F58" i="112" s="1"/>
  <c r="I21" i="115"/>
  <c r="G12" i="116"/>
  <c r="H12" i="116" s="1"/>
  <c r="J200" i="115"/>
  <c r="I131" i="115"/>
  <c r="D107" i="114"/>
  <c r="F107" i="114" s="1"/>
  <c r="D192" i="112"/>
  <c r="F192" i="112" s="1"/>
  <c r="BZ1177" i="75"/>
  <c r="CZ1019" i="75"/>
  <c r="CX1019" i="75"/>
  <c r="CR199" i="75"/>
  <c r="CX359" i="75"/>
  <c r="CB395" i="75"/>
  <c r="DD469" i="75"/>
  <c r="BT501" i="75"/>
  <c r="CZ507" i="75"/>
  <c r="CR509" i="75"/>
  <c r="CN513" i="75"/>
  <c r="CZ517" i="75"/>
  <c r="CN521" i="75"/>
  <c r="CN559" i="75"/>
  <c r="BL561" i="75"/>
  <c r="CV565" i="75"/>
  <c r="BT569" i="75"/>
  <c r="CZ577" i="75"/>
  <c r="CF581" i="75"/>
  <c r="CV583" i="75"/>
  <c r="CZ587" i="75"/>
  <c r="CV989" i="75"/>
  <c r="CR685" i="75"/>
  <c r="CV697" i="75"/>
  <c r="CN1249" i="75"/>
  <c r="CZ895" i="75"/>
  <c r="BX929" i="75"/>
  <c r="CN945" i="75"/>
  <c r="CD985" i="75"/>
  <c r="DB999" i="75"/>
  <c r="CH1003" i="75"/>
  <c r="CD1051" i="75"/>
  <c r="CX1071" i="75"/>
  <c r="CB1113" i="75"/>
  <c r="CD1119" i="75"/>
  <c r="CZ1187" i="75"/>
  <c r="CF1221" i="75"/>
  <c r="DB1231" i="75"/>
  <c r="CN1235" i="75"/>
  <c r="CZ1241" i="75"/>
  <c r="CZ1267" i="75"/>
  <c r="G56" i="112"/>
  <c r="G114" i="112"/>
  <c r="G136" i="112"/>
  <c r="G192" i="112"/>
  <c r="G21" i="114"/>
  <c r="G86" i="114"/>
  <c r="G105" i="114"/>
  <c r="G208" i="114"/>
  <c r="D84" i="115"/>
  <c r="I32" i="116"/>
  <c r="BH619" i="75"/>
  <c r="CJ623" i="75"/>
  <c r="DD633" i="75"/>
  <c r="CB639" i="75"/>
  <c r="CN641" i="75"/>
  <c r="CH645" i="75"/>
  <c r="CV649" i="75"/>
  <c r="CL651" i="75"/>
  <c r="BZ697" i="75"/>
  <c r="CH741" i="75"/>
  <c r="BJ743" i="75"/>
  <c r="BN747" i="75"/>
  <c r="DB747" i="75"/>
  <c r="CP749" i="75"/>
  <c r="DB761" i="75"/>
  <c r="CD763" i="75"/>
  <c r="CH767" i="75"/>
  <c r="DB771" i="75"/>
  <c r="CX775" i="75"/>
  <c r="CD799" i="75"/>
  <c r="CP801" i="75"/>
  <c r="BT803" i="75"/>
  <c r="CL805" i="75"/>
  <c r="BX807" i="75"/>
  <c r="CZ819" i="75"/>
  <c r="DF825" i="75"/>
  <c r="CV839" i="75"/>
  <c r="CZ845" i="75"/>
  <c r="CN859" i="75"/>
  <c r="BL861" i="75"/>
  <c r="CX861" i="75"/>
  <c r="CX887" i="75"/>
  <c r="BT923" i="75"/>
  <c r="CJ925" i="75"/>
  <c r="CN929" i="75"/>
  <c r="BT933" i="75"/>
  <c r="DF949" i="75"/>
  <c r="CR985" i="75"/>
  <c r="BZ993" i="75"/>
  <c r="BX997" i="75"/>
  <c r="CB999" i="75"/>
  <c r="CH1001" i="75"/>
  <c r="CP1007" i="75"/>
  <c r="DD1011" i="75"/>
  <c r="CR1015" i="75"/>
  <c r="CR1017" i="75"/>
  <c r="CV1019" i="75"/>
  <c r="BX1041" i="75"/>
  <c r="CH1043" i="75"/>
  <c r="CX1045" i="75"/>
  <c r="CP1051" i="75"/>
  <c r="CH1053" i="75"/>
  <c r="CD1055" i="75"/>
  <c r="CH1069" i="75"/>
  <c r="DD1073" i="75"/>
  <c r="CN1107" i="75"/>
  <c r="CR1113" i="75"/>
  <c r="CN1115" i="75"/>
  <c r="CN1117" i="75"/>
  <c r="CN1125" i="75"/>
  <c r="BF1221" i="75"/>
  <c r="CN1243" i="75"/>
  <c r="G46" i="112"/>
  <c r="G62" i="112"/>
  <c r="H62" i="112" s="1"/>
  <c r="D143" i="112"/>
  <c r="F143" i="112" s="1"/>
  <c r="D61" i="115"/>
  <c r="I217" i="115"/>
  <c r="I86" i="114"/>
  <c r="I162" i="114"/>
  <c r="V6" i="126"/>
  <c r="D11" i="114"/>
  <c r="F11" i="114" s="1"/>
  <c r="D54" i="114"/>
  <c r="F54" i="114" s="1"/>
  <c r="D114" i="114"/>
  <c r="V4" i="126"/>
  <c r="DB225" i="75"/>
  <c r="CP227" i="75"/>
  <c r="CL261" i="75"/>
  <c r="CX287" i="75"/>
  <c r="CL327" i="75"/>
  <c r="CD329" i="75"/>
  <c r="CP443" i="75"/>
  <c r="CN453" i="75"/>
  <c r="CR623" i="75"/>
  <c r="CX627" i="75"/>
  <c r="BZ633" i="75"/>
  <c r="CZ683" i="75"/>
  <c r="BR687" i="75"/>
  <c r="DF687" i="75"/>
  <c r="CT689" i="75"/>
  <c r="CT699" i="75"/>
  <c r="DF701" i="75"/>
  <c r="CL707" i="75"/>
  <c r="BR921" i="75"/>
  <c r="CD923" i="75"/>
  <c r="BZ927" i="75"/>
  <c r="DB1007" i="75"/>
  <c r="R200" i="100"/>
  <c r="AF206" i="100"/>
  <c r="L99" i="125"/>
  <c r="G91" i="112"/>
  <c r="CH1171" i="75"/>
  <c r="BV1177" i="75"/>
  <c r="DB1191" i="75"/>
  <c r="BJ1225" i="75"/>
  <c r="CX1225" i="75"/>
  <c r="CP1241" i="75"/>
  <c r="CX1247" i="75"/>
  <c r="CX1255" i="75"/>
  <c r="V192" i="100"/>
  <c r="P163" i="100"/>
  <c r="I138" i="125"/>
  <c r="BQ99" i="125"/>
  <c r="DO99" i="125" s="1"/>
  <c r="BQ25" i="125"/>
  <c r="DO25" i="125" s="1"/>
  <c r="H25" i="125"/>
  <c r="J230" i="116"/>
  <c r="DD418" i="75"/>
  <c r="DD417" i="75"/>
  <c r="CR761" i="75"/>
  <c r="CT761" i="75"/>
  <c r="DD1030" i="75"/>
  <c r="DD1029" i="75"/>
  <c r="C5" i="75"/>
  <c r="L5" i="75"/>
  <c r="H99" i="125"/>
  <c r="I99" i="125"/>
  <c r="BK99" i="125"/>
  <c r="D73" i="112"/>
  <c r="F73" i="112" s="1"/>
  <c r="D72" i="112"/>
  <c r="F72" i="112" s="1"/>
  <c r="D79" i="112"/>
  <c r="F79" i="112" s="1"/>
  <c r="D61" i="114"/>
  <c r="D65" i="114"/>
  <c r="F65" i="114" s="1"/>
  <c r="D62" i="114"/>
  <c r="E62" i="114" s="1"/>
  <c r="J62" i="114" s="1"/>
  <c r="D82" i="114"/>
  <c r="E82" i="114" s="1"/>
  <c r="J82" i="114" s="1"/>
  <c r="D86" i="114"/>
  <c r="F86" i="114" s="1"/>
  <c r="D126" i="114"/>
  <c r="E126" i="114" s="1"/>
  <c r="D121" i="114"/>
  <c r="E121" i="114" s="1"/>
  <c r="D141" i="114"/>
  <c r="F141" i="114" s="1"/>
  <c r="D144" i="114"/>
  <c r="E144" i="114" s="1"/>
  <c r="J144" i="114" s="1"/>
  <c r="I22" i="115"/>
  <c r="I23" i="115"/>
  <c r="I82" i="115"/>
  <c r="I83" i="115"/>
  <c r="J150" i="115"/>
  <c r="H150" i="115"/>
  <c r="I182" i="115"/>
  <c r="I185" i="115"/>
  <c r="G16" i="116"/>
  <c r="G18" i="116"/>
  <c r="CL317" i="75"/>
  <c r="DF327" i="75"/>
  <c r="CX329" i="75"/>
  <c r="BR379" i="75"/>
  <c r="CP441" i="75"/>
  <c r="BZ449" i="75"/>
  <c r="BV497" i="75"/>
  <c r="CX501" i="75"/>
  <c r="CD503" i="75"/>
  <c r="CD513" i="75"/>
  <c r="CX533" i="75"/>
  <c r="DF563" i="75"/>
  <c r="BV567" i="75"/>
  <c r="CP571" i="75"/>
  <c r="CL575" i="75"/>
  <c r="CP577" i="75"/>
  <c r="CX579" i="75"/>
  <c r="DF595" i="75"/>
  <c r="CT635" i="75"/>
  <c r="BZ689" i="75"/>
  <c r="BR691" i="75"/>
  <c r="BZ699" i="75"/>
  <c r="CP743" i="75"/>
  <c r="CT747" i="75"/>
  <c r="CH749" i="75"/>
  <c r="CP773" i="75"/>
  <c r="I12" i="112"/>
  <c r="I13" i="112"/>
  <c r="I15" i="112"/>
  <c r="G32" i="112"/>
  <c r="G34" i="112"/>
  <c r="G36" i="112"/>
  <c r="G78" i="112"/>
  <c r="G75" i="112"/>
  <c r="G98" i="112"/>
  <c r="G97" i="112"/>
  <c r="G49" i="114"/>
  <c r="G45" i="114"/>
  <c r="G43" i="114"/>
  <c r="G64" i="114"/>
  <c r="G61" i="114"/>
  <c r="G166" i="114"/>
  <c r="G169" i="114"/>
  <c r="D183" i="115"/>
  <c r="D182" i="115"/>
  <c r="E182" i="115" s="1"/>
  <c r="J182" i="115" s="1"/>
  <c r="D185" i="115"/>
  <c r="E185" i="115" s="1"/>
  <c r="D17" i="116"/>
  <c r="D11" i="116"/>
  <c r="D51" i="116"/>
  <c r="F51" i="116" s="1"/>
  <c r="G54" i="116"/>
  <c r="G53" i="116"/>
  <c r="D54" i="116"/>
  <c r="E54" i="116" s="1"/>
  <c r="J54" i="116" s="1"/>
  <c r="D52" i="116"/>
  <c r="E52" i="116" s="1"/>
  <c r="D99" i="116"/>
  <c r="D97" i="116"/>
  <c r="I117" i="116"/>
  <c r="G112" i="116"/>
  <c r="I178" i="116"/>
  <c r="G173" i="116"/>
  <c r="G178" i="116"/>
  <c r="D199" i="116"/>
  <c r="D197" i="116"/>
  <c r="I191" i="116"/>
  <c r="I196" i="116"/>
  <c r="G213" i="116"/>
  <c r="D214" i="116"/>
  <c r="BR807" i="75"/>
  <c r="CH813" i="75"/>
  <c r="DF821" i="75"/>
  <c r="DB869" i="75"/>
  <c r="DB879" i="75"/>
  <c r="BN923" i="75"/>
  <c r="CP951" i="75"/>
  <c r="CD991" i="75"/>
  <c r="BZ1055" i="75"/>
  <c r="X307" i="100"/>
  <c r="DB668" i="75"/>
  <c r="DA669" i="75" s="1" a="1"/>
  <c r="DA673" i="75" s="1"/>
  <c r="DD667" i="75"/>
  <c r="DF1262" i="75"/>
  <c r="DF1261" i="75"/>
  <c r="I24" i="115"/>
  <c r="D104" i="114"/>
  <c r="F104" i="114" s="1"/>
  <c r="D101" i="114"/>
  <c r="E101" i="114" s="1"/>
  <c r="D34" i="112"/>
  <c r="E34" i="112" s="1"/>
  <c r="CL687" i="75"/>
  <c r="CT1227" i="75"/>
  <c r="BZ681" i="75"/>
  <c r="CT711" i="75"/>
  <c r="DF923" i="75"/>
  <c r="BN1049" i="75"/>
  <c r="P206" i="100"/>
  <c r="F158" i="116"/>
  <c r="DF606" i="75"/>
  <c r="DF605" i="75"/>
  <c r="CZ1086" i="75"/>
  <c r="CZ1085" i="75"/>
  <c r="I22" i="112"/>
  <c r="G29" i="112"/>
  <c r="G24" i="112"/>
  <c r="I24" i="112"/>
  <c r="I84" i="112"/>
  <c r="I81" i="112"/>
  <c r="D82" i="112"/>
  <c r="D107" i="112"/>
  <c r="F107" i="112" s="1"/>
  <c r="G105" i="112"/>
  <c r="D106" i="112"/>
  <c r="F106" i="112" s="1"/>
  <c r="I102" i="112"/>
  <c r="D108" i="112"/>
  <c r="E108" i="112" s="1"/>
  <c r="J108" i="112" s="1"/>
  <c r="D103" i="112"/>
  <c r="F103" i="112" s="1"/>
  <c r="G123" i="112"/>
  <c r="G126" i="112"/>
  <c r="D127" i="112"/>
  <c r="D164" i="112"/>
  <c r="G166" i="112"/>
  <c r="I165" i="112"/>
  <c r="D167" i="112"/>
  <c r="F167" i="112" s="1"/>
  <c r="G167" i="112"/>
  <c r="I183" i="112"/>
  <c r="G182" i="112"/>
  <c r="I189" i="112"/>
  <c r="I188" i="112"/>
  <c r="CZ358" i="75"/>
  <c r="H74" i="114"/>
  <c r="D193" i="112"/>
  <c r="E193" i="112" s="1"/>
  <c r="J193" i="112" s="1"/>
  <c r="CR577" i="75"/>
  <c r="F23" i="116"/>
  <c r="X165" i="100"/>
  <c r="DF239" i="75"/>
  <c r="D56" i="112"/>
  <c r="DD799" i="75"/>
  <c r="BP317" i="75"/>
  <c r="BX323" i="75"/>
  <c r="CV339" i="75"/>
  <c r="CR351" i="75"/>
  <c r="CR353" i="75"/>
  <c r="CD383" i="75"/>
  <c r="CF393" i="75"/>
  <c r="DF441" i="75"/>
  <c r="BV445" i="75"/>
  <c r="CZ447" i="75"/>
  <c r="CP455" i="75"/>
  <c r="CN497" i="75"/>
  <c r="DD701" i="75"/>
  <c r="P290" i="100"/>
  <c r="P198" i="100"/>
  <c r="E19" i="114"/>
  <c r="J19" i="114" s="1"/>
  <c r="P334" i="100"/>
  <c r="CP747" i="75"/>
  <c r="CZ685" i="75"/>
  <c r="F74" i="114"/>
  <c r="CH683" i="75"/>
  <c r="F144" i="112"/>
  <c r="E215" i="115"/>
  <c r="J215" i="115" s="1"/>
  <c r="F13" i="116"/>
  <c r="P314" i="100"/>
  <c r="P330" i="100"/>
  <c r="DD415" i="75"/>
  <c r="CJ645" i="75"/>
  <c r="G14" i="116"/>
  <c r="D14" i="116"/>
  <c r="F14" i="116" s="1"/>
  <c r="D55" i="112"/>
  <c r="F55" i="112" s="1"/>
  <c r="D33" i="112"/>
  <c r="E33" i="112" s="1"/>
  <c r="J33" i="112" s="1"/>
  <c r="DB759" i="75"/>
  <c r="DF1207" i="75"/>
  <c r="DB923" i="75"/>
  <c r="DB933" i="75"/>
  <c r="DB969" i="75"/>
  <c r="BJ981" i="75"/>
  <c r="BV993" i="75"/>
  <c r="CL1007" i="75"/>
  <c r="DD1031" i="75"/>
  <c r="DB1032" i="75" s="1" a="1"/>
  <c r="CD1043" i="75"/>
  <c r="CX1049" i="75"/>
  <c r="CD1053" i="75"/>
  <c r="BN1105" i="75"/>
  <c r="CV1175" i="75"/>
  <c r="CF1183" i="75"/>
  <c r="CB1241" i="75"/>
  <c r="CV1251" i="75"/>
  <c r="CX1251" i="75"/>
  <c r="CN1253" i="75"/>
  <c r="CF519" i="75"/>
  <c r="DB573" i="75"/>
  <c r="BZ579" i="75"/>
  <c r="CJ681" i="75"/>
  <c r="CZ715" i="75"/>
  <c r="CN755" i="75"/>
  <c r="CN799" i="75"/>
  <c r="BT809" i="75"/>
  <c r="CF821" i="75"/>
  <c r="CV823" i="75"/>
  <c r="CN829" i="75"/>
  <c r="CB869" i="75"/>
  <c r="CV889" i="75"/>
  <c r="BP921" i="75"/>
  <c r="DD921" i="75"/>
  <c r="CB923" i="75"/>
  <c r="CR925" i="75"/>
  <c r="BX927" i="75"/>
  <c r="CV929" i="75"/>
  <c r="CB933" i="75"/>
  <c r="CJ941" i="75"/>
  <c r="DD951" i="75"/>
  <c r="CR955" i="75"/>
  <c r="G162" i="112"/>
  <c r="Q37" i="115"/>
  <c r="D43" i="115"/>
  <c r="BV743" i="75"/>
  <c r="CP745" i="75"/>
  <c r="BZ747" i="75"/>
  <c r="CP755" i="75"/>
  <c r="CP799" i="75"/>
  <c r="CH807" i="75"/>
  <c r="DB817" i="75"/>
  <c r="BR865" i="75"/>
  <c r="BV871" i="75"/>
  <c r="CP881" i="75"/>
  <c r="CX929" i="75"/>
  <c r="CL931" i="75"/>
  <c r="BZ935" i="75"/>
  <c r="CD939" i="75"/>
  <c r="CX943" i="75"/>
  <c r="DF951" i="75"/>
  <c r="CX953" i="75"/>
  <c r="CT955" i="75"/>
  <c r="CT957" i="75"/>
  <c r="CL983" i="75"/>
  <c r="CT991" i="75"/>
  <c r="CL1009" i="75"/>
  <c r="DF1013" i="75"/>
  <c r="DB1017" i="75"/>
  <c r="CH1123" i="75"/>
  <c r="CD1239" i="75"/>
  <c r="BX981" i="75"/>
  <c r="CX1253" i="75"/>
  <c r="CT929" i="75"/>
  <c r="CX1081" i="75"/>
  <c r="CZ1259" i="75"/>
  <c r="CZ1191" i="75"/>
  <c r="CX985" i="75"/>
  <c r="DF1201" i="75"/>
  <c r="CT1077" i="75"/>
  <c r="BR1109" i="75"/>
  <c r="CT1111" i="75"/>
  <c r="CL1119" i="75"/>
  <c r="CT1121" i="75"/>
  <c r="CR1167" i="75"/>
  <c r="DF1171" i="75"/>
  <c r="CT1177" i="75"/>
  <c r="CL1191" i="75"/>
  <c r="BR1223" i="75"/>
  <c r="DF1223" i="75"/>
  <c r="BN1227" i="75"/>
  <c r="BZ1231" i="75"/>
  <c r="BR1233" i="75"/>
  <c r="DF1239" i="75"/>
  <c r="CL1243" i="75"/>
  <c r="CH1247" i="75"/>
  <c r="CV1263" i="75"/>
  <c r="DF1269" i="75"/>
  <c r="CX801" i="75"/>
  <c r="CL829" i="75"/>
  <c r="DB921" i="75"/>
  <c r="CP1101" i="75"/>
  <c r="CX1115" i="75"/>
  <c r="CD1233" i="75"/>
  <c r="BZ1237" i="75"/>
  <c r="CT1255" i="75"/>
  <c r="DB211" i="75"/>
  <c r="BZ217" i="75"/>
  <c r="CT227" i="75"/>
  <c r="CH267" i="75"/>
  <c r="BV271" i="75"/>
  <c r="CP291" i="75"/>
  <c r="CP293" i="75"/>
  <c r="BX317" i="75"/>
  <c r="CP337" i="75"/>
  <c r="CZ361" i="75"/>
  <c r="CL383" i="75"/>
  <c r="BV385" i="75"/>
  <c r="CX397" i="75"/>
  <c r="CB561" i="75"/>
  <c r="CV581" i="75"/>
  <c r="CR585" i="75"/>
  <c r="CR593" i="75"/>
  <c r="BJ623" i="75"/>
  <c r="CH631" i="75"/>
  <c r="CH647" i="75"/>
  <c r="DB657" i="75"/>
  <c r="CZ663" i="75"/>
  <c r="CD679" i="75"/>
  <c r="CP681" i="75"/>
  <c r="BR683" i="75"/>
  <c r="DF683" i="75"/>
  <c r="BV687" i="75"/>
  <c r="CZ689" i="75"/>
  <c r="CR691" i="75"/>
  <c r="CN693" i="75"/>
  <c r="CL695" i="75"/>
  <c r="CP697" i="75"/>
  <c r="CL703" i="75"/>
  <c r="CP707" i="75"/>
  <c r="DF713" i="75"/>
  <c r="CZ725" i="75"/>
  <c r="BJ741" i="75"/>
  <c r="CV745" i="75"/>
  <c r="CF747" i="75"/>
  <c r="DF749" i="75"/>
  <c r="CV753" i="75"/>
  <c r="CZ757" i="75"/>
  <c r="DF759" i="75"/>
  <c r="CV763" i="75"/>
  <c r="BP805" i="75"/>
  <c r="DD805" i="75"/>
  <c r="BT811" i="75"/>
  <c r="DD813" i="75"/>
  <c r="CB819" i="75"/>
  <c r="DD823" i="75"/>
  <c r="CJ825" i="75"/>
  <c r="CV829" i="75"/>
  <c r="BP859" i="75"/>
  <c r="DD859" i="75"/>
  <c r="CJ869" i="75"/>
  <c r="CJ879" i="75"/>
  <c r="CV881" i="75"/>
  <c r="DD889" i="75"/>
  <c r="CR893" i="75"/>
  <c r="BL925" i="75"/>
  <c r="CF927" i="75"/>
  <c r="BP929" i="75"/>
  <c r="CR931" i="75"/>
  <c r="CJ939" i="75"/>
  <c r="CR941" i="75"/>
  <c r="CF945" i="75"/>
  <c r="CZ947" i="75"/>
  <c r="CJ949" i="75"/>
  <c r="CR999" i="75"/>
  <c r="CN1041" i="75"/>
  <c r="CV1047" i="75"/>
  <c r="CZ1053" i="75"/>
  <c r="CV1057" i="75"/>
  <c r="CV1065" i="75"/>
  <c r="CN1071" i="75"/>
  <c r="CB1111" i="75"/>
  <c r="CJ1127" i="75"/>
  <c r="D32" i="114"/>
  <c r="F32" i="114" s="1"/>
  <c r="D53" i="114"/>
  <c r="D92" i="114"/>
  <c r="E92" i="114" s="1"/>
  <c r="J92" i="114" s="1"/>
  <c r="D112" i="114"/>
  <c r="D133" i="114"/>
  <c r="E133" i="114" s="1"/>
  <c r="D156" i="114"/>
  <c r="D199" i="114"/>
  <c r="E199" i="114" s="1"/>
  <c r="H199" i="114" s="1"/>
  <c r="Q33" i="115"/>
  <c r="D79" i="115"/>
  <c r="E79" i="115" s="1"/>
  <c r="J79" i="115" s="1"/>
  <c r="D127" i="115"/>
  <c r="F127" i="115" s="1"/>
  <c r="I23" i="116"/>
  <c r="I148" i="116"/>
  <c r="DF667" i="75"/>
  <c r="V10" i="101"/>
  <c r="W10" i="101"/>
  <c r="B85" i="90"/>
  <c r="B85" i="125"/>
  <c r="BX501" i="75"/>
  <c r="BZ505" i="75"/>
  <c r="CT509" i="75"/>
  <c r="CP513" i="75"/>
  <c r="CB519" i="75"/>
  <c r="CR521" i="75"/>
  <c r="BN561" i="75"/>
  <c r="BV569" i="75"/>
  <c r="CX575" i="75"/>
  <c r="CJ581" i="75"/>
  <c r="CX583" i="75"/>
  <c r="BV631" i="75"/>
  <c r="DF635" i="75"/>
  <c r="CN645" i="75"/>
  <c r="CP651" i="75"/>
  <c r="CN653" i="75"/>
  <c r="BT679" i="75"/>
  <c r="DF679" i="75"/>
  <c r="DD743" i="75"/>
  <c r="BT747" i="75"/>
  <c r="DF747" i="75"/>
  <c r="CV749" i="75"/>
  <c r="CN757" i="75"/>
  <c r="CN767" i="75"/>
  <c r="DD773" i="75"/>
  <c r="BH801" i="75"/>
  <c r="CT801" i="75"/>
  <c r="BX803" i="75"/>
  <c r="CP805" i="75"/>
  <c r="BP809" i="75"/>
  <c r="DB809" i="75"/>
  <c r="CT811" i="75"/>
  <c r="CP813" i="75"/>
  <c r="CP815" i="75"/>
  <c r="DD819" i="75"/>
  <c r="CR823" i="75"/>
  <c r="CT827" i="75"/>
  <c r="CP859" i="75"/>
  <c r="BN861" i="75"/>
  <c r="CX865" i="75"/>
  <c r="DB871" i="75"/>
  <c r="CZ873" i="75"/>
  <c r="CX875" i="75"/>
  <c r="CH881" i="75"/>
  <c r="DB887" i="75"/>
  <c r="CX921" i="75"/>
  <c r="BV923" i="75"/>
  <c r="BT927" i="75"/>
  <c r="CD931" i="75"/>
  <c r="BX933" i="75"/>
  <c r="DF937" i="75"/>
  <c r="CP943" i="75"/>
  <c r="CL947" i="75"/>
  <c r="CP953" i="75"/>
  <c r="DB963" i="75"/>
  <c r="BR981" i="75"/>
  <c r="DF981" i="75"/>
  <c r="CD983" i="75"/>
  <c r="CT985" i="75"/>
  <c r="CX989" i="75"/>
  <c r="CL991" i="75"/>
  <c r="CD993" i="75"/>
  <c r="BZ997" i="75"/>
  <c r="CD999" i="75"/>
  <c r="CX1003" i="75"/>
  <c r="CT1007" i="75"/>
  <c r="DF1011" i="75"/>
  <c r="CT1015" i="75"/>
  <c r="CT1017" i="75"/>
  <c r="CL1043" i="75"/>
  <c r="CH1047" i="75"/>
  <c r="BT1049" i="75"/>
  <c r="CT1051" i="75"/>
  <c r="CN1053" i="75"/>
  <c r="DF1063" i="75"/>
  <c r="DD1067" i="75"/>
  <c r="CZ1167" i="75"/>
  <c r="CJ1169" i="75"/>
  <c r="CZ1221" i="75"/>
  <c r="BX1233" i="75"/>
  <c r="CR1243" i="75"/>
  <c r="CN1247" i="75"/>
  <c r="CR1253" i="75"/>
  <c r="AF182" i="100"/>
  <c r="BK138" i="125"/>
  <c r="V138" i="125"/>
  <c r="J138" i="125" s="1"/>
  <c r="H5" i="101"/>
  <c r="P321" i="100"/>
  <c r="CP647" i="75"/>
  <c r="CH809" i="75"/>
  <c r="BT859" i="75"/>
  <c r="CX983" i="75"/>
  <c r="CB1003" i="75"/>
  <c r="CD1167" i="75"/>
  <c r="BN1169" i="75"/>
  <c r="CH1179" i="75"/>
  <c r="CD1185" i="75"/>
  <c r="CH1189" i="75"/>
  <c r="BR1225" i="75"/>
  <c r="CP1239" i="75"/>
  <c r="DF1247" i="75"/>
  <c r="CP1249" i="75"/>
  <c r="AB331" i="100"/>
  <c r="V99" i="125"/>
  <c r="J99" i="125" s="1"/>
  <c r="CZ389" i="75"/>
  <c r="BH437" i="75"/>
  <c r="CJ441" i="75"/>
  <c r="DF549" i="75"/>
  <c r="DD550" i="75" s="1" a="1"/>
  <c r="DD551" i="75" s="1"/>
  <c r="CJ561" i="75"/>
  <c r="CF573" i="75"/>
  <c r="CR579" i="75"/>
  <c r="DD597" i="75"/>
  <c r="CN643" i="75"/>
  <c r="BH739" i="75"/>
  <c r="BT751" i="75"/>
  <c r="CV769" i="75"/>
  <c r="CN771" i="75"/>
  <c r="BX805" i="75"/>
  <c r="BX813" i="75"/>
  <c r="DD829" i="75"/>
  <c r="CR833" i="75"/>
  <c r="DF851" i="75"/>
  <c r="DD852" i="75" s="1" a="1"/>
  <c r="BX859" i="75"/>
  <c r="CZ863" i="75"/>
  <c r="CF865" i="75"/>
  <c r="DD867" i="75"/>
  <c r="CR869" i="75"/>
  <c r="CF873" i="75"/>
  <c r="CJ877" i="75"/>
  <c r="CZ893" i="75"/>
  <c r="CZ931" i="75"/>
  <c r="CR933" i="75"/>
  <c r="CN935" i="75"/>
  <c r="CN937" i="75"/>
  <c r="CR939" i="75"/>
  <c r="CR949" i="75"/>
  <c r="CF1003" i="75"/>
  <c r="DD1021" i="75"/>
  <c r="BP1047" i="75"/>
  <c r="DD1055" i="75"/>
  <c r="CB1061" i="75"/>
  <c r="CJ1067" i="75"/>
  <c r="CB1103" i="75"/>
  <c r="CR1105" i="75"/>
  <c r="BX1115" i="75"/>
  <c r="BX1117" i="75"/>
  <c r="CB1119" i="75"/>
  <c r="DD1131" i="75"/>
  <c r="CV1133" i="75"/>
  <c r="CR1135" i="75"/>
  <c r="T308" i="100"/>
  <c r="AF172" i="100"/>
  <c r="AB36" i="100"/>
  <c r="T43" i="100"/>
  <c r="BT197" i="75"/>
  <c r="CZ205" i="75"/>
  <c r="CD215" i="75"/>
  <c r="CZ229" i="75"/>
  <c r="CX235" i="75"/>
  <c r="CB257" i="75"/>
  <c r="BT265" i="75"/>
  <c r="CV267" i="75"/>
  <c r="CL275" i="75"/>
  <c r="CN285" i="75"/>
  <c r="DF289" i="75"/>
  <c r="DB291" i="75"/>
  <c r="BH319" i="75"/>
  <c r="CR323" i="75"/>
  <c r="CB325" i="75"/>
  <c r="CV329" i="75"/>
  <c r="CR331" i="75"/>
  <c r="CB339" i="75"/>
  <c r="CV345" i="75"/>
  <c r="CJ347" i="75"/>
  <c r="BP379" i="75"/>
  <c r="CD381" i="75"/>
  <c r="CZ383" i="75"/>
  <c r="CJ385" i="75"/>
  <c r="CH399" i="75"/>
  <c r="CX437" i="75"/>
  <c r="BT443" i="75"/>
  <c r="DF443" i="75"/>
  <c r="BT451" i="75"/>
  <c r="CR469" i="75"/>
  <c r="BT497" i="75"/>
  <c r="DF497" i="75"/>
  <c r="CT501" i="75"/>
  <c r="CB503" i="75"/>
  <c r="CZ505" i="75"/>
  <c r="CF509" i="75"/>
  <c r="BZ513" i="75"/>
  <c r="CF515" i="75"/>
  <c r="CL517" i="75"/>
  <c r="CZ519" i="75"/>
  <c r="CV523" i="75"/>
  <c r="CZ529" i="75"/>
  <c r="CV531" i="75"/>
  <c r="CT533" i="75"/>
  <c r="DB563" i="75"/>
  <c r="DF567" i="75"/>
  <c r="CN571" i="75"/>
  <c r="CJ573" i="75"/>
  <c r="CJ575" i="75"/>
  <c r="CN577" i="75"/>
  <c r="CV579" i="75"/>
  <c r="DD585" i="75"/>
  <c r="CN587" i="75"/>
  <c r="DD593" i="75"/>
  <c r="DB595" i="75"/>
  <c r="BP681" i="75"/>
  <c r="CF705" i="75"/>
  <c r="BX757" i="75"/>
  <c r="CN765" i="75"/>
  <c r="CT803" i="75"/>
  <c r="CR981" i="75"/>
  <c r="BP983" i="75"/>
  <c r="CJ989" i="75"/>
  <c r="CX997" i="75"/>
  <c r="DB1029" i="75"/>
  <c r="CP1063" i="75"/>
  <c r="CN1121" i="75"/>
  <c r="I55" i="112"/>
  <c r="G77" i="112"/>
  <c r="I94" i="112"/>
  <c r="G112" i="112"/>
  <c r="G132" i="112"/>
  <c r="G158" i="112"/>
  <c r="D132" i="115"/>
  <c r="T33" i="100"/>
  <c r="BK25" i="125"/>
  <c r="W8" i="125"/>
  <c r="BA25" i="125"/>
  <c r="EG62" i="125"/>
  <c r="EC49" i="125"/>
  <c r="EG49" i="125"/>
  <c r="L49" i="125"/>
  <c r="Y25" i="125"/>
  <c r="BA62" i="125"/>
  <c r="BQ62" i="125"/>
  <c r="BK62" i="125"/>
  <c r="Y62" i="125"/>
  <c r="V62" i="125"/>
  <c r="J62" i="125" s="1"/>
  <c r="L62" i="125"/>
  <c r="I62" i="125"/>
  <c r="H62" i="125"/>
  <c r="V25" i="125"/>
  <c r="DU25" i="125"/>
  <c r="ES49" i="125"/>
  <c r="ES86" i="125"/>
  <c r="EU86" i="125" s="1"/>
  <c r="EZ86" i="125" s="1"/>
  <c r="EH86" i="125"/>
  <c r="EJ86" i="125" s="1"/>
  <c r="EO86" i="125" s="1"/>
  <c r="EH49" i="125"/>
  <c r="AS591" i="124"/>
  <c r="AP591" i="124"/>
  <c r="J143" i="115"/>
  <c r="H143" i="115"/>
  <c r="CZ921" i="75"/>
  <c r="CZ839" i="75"/>
  <c r="N51" i="113"/>
  <c r="F219" i="115"/>
  <c r="DF599" i="75"/>
  <c r="CP339" i="75"/>
  <c r="CZ784" i="75"/>
  <c r="CW785" i="75" s="1" a="1"/>
  <c r="CW786" i="75" s="1"/>
  <c r="CZ783" i="75"/>
  <c r="CV921" i="75"/>
  <c r="CT921" i="75"/>
  <c r="I29" i="112"/>
  <c r="G47" i="112"/>
  <c r="G65" i="112"/>
  <c r="D84" i="112"/>
  <c r="E84" i="112" s="1"/>
  <c r="J84" i="112" s="1"/>
  <c r="D104" i="112"/>
  <c r="D124" i="112"/>
  <c r="D146" i="112"/>
  <c r="F146" i="112" s="1"/>
  <c r="D183" i="112"/>
  <c r="F183" i="112" s="1"/>
  <c r="J179" i="114"/>
  <c r="H36" i="116"/>
  <c r="CZ963" i="75"/>
  <c r="BR323" i="75"/>
  <c r="CX385" i="75"/>
  <c r="DB517" i="75"/>
  <c r="D187" i="112"/>
  <c r="CJ799" i="75"/>
  <c r="CH799" i="75"/>
  <c r="DB846" i="75"/>
  <c r="DB845" i="75"/>
  <c r="DD845" i="75"/>
  <c r="DB908" i="75"/>
  <c r="DB907" i="75"/>
  <c r="E198" i="116"/>
  <c r="J198" i="116" s="1"/>
  <c r="CZ583" i="75"/>
  <c r="BX923" i="75"/>
  <c r="DB819" i="75"/>
  <c r="CV1007" i="75"/>
  <c r="CZ724" i="75"/>
  <c r="CZ723" i="75"/>
  <c r="CP947" i="75"/>
  <c r="CR947" i="75"/>
  <c r="CF995" i="75"/>
  <c r="CD995" i="75"/>
  <c r="CJ1009" i="75"/>
  <c r="CH1009" i="75"/>
  <c r="DB1020" i="75"/>
  <c r="DD1019" i="75"/>
  <c r="CR1043" i="75"/>
  <c r="CP1043" i="75"/>
  <c r="DB1142" i="75"/>
  <c r="DD1141" i="75"/>
  <c r="DD1177" i="75"/>
  <c r="DB1177" i="75"/>
  <c r="DB1221" i="75"/>
  <c r="DD1221" i="75"/>
  <c r="BX1227" i="75"/>
  <c r="BV1227" i="75"/>
  <c r="AI22" i="1"/>
  <c r="AI35" i="1"/>
  <c r="AI31" i="1"/>
  <c r="AI34" i="1"/>
  <c r="AI37" i="1"/>
  <c r="AI30" i="1"/>
  <c r="AI33" i="1"/>
  <c r="AI36" i="1"/>
  <c r="AI32" i="1"/>
  <c r="D28" i="112"/>
  <c r="E28" i="112" s="1"/>
  <c r="J28" i="112" s="1"/>
  <c r="D25" i="112"/>
  <c r="F25" i="112" s="1"/>
  <c r="D46" i="112"/>
  <c r="I46" i="112"/>
  <c r="D64" i="112"/>
  <c r="D67" i="112"/>
  <c r="I69" i="112"/>
  <c r="I83" i="112"/>
  <c r="D81" i="112"/>
  <c r="I87" i="112"/>
  <c r="D88" i="112"/>
  <c r="E88" i="112" s="1"/>
  <c r="J88" i="112" s="1"/>
  <c r="I103" i="112"/>
  <c r="G107" i="112"/>
  <c r="I107" i="112"/>
  <c r="G102" i="112"/>
  <c r="H102" i="112" s="1"/>
  <c r="I123" i="112"/>
  <c r="G127" i="112"/>
  <c r="G124" i="112"/>
  <c r="I127" i="112"/>
  <c r="I124" i="112"/>
  <c r="I145" i="112"/>
  <c r="G146" i="112"/>
  <c r="I149" i="112"/>
  <c r="I182" i="112"/>
  <c r="I181" i="112"/>
  <c r="D182" i="112"/>
  <c r="G35" i="114"/>
  <c r="D36" i="114"/>
  <c r="E36" i="114" s="1"/>
  <c r="J36" i="114" s="1"/>
  <c r="G33" i="114"/>
  <c r="D37" i="114"/>
  <c r="E37" i="114" s="1"/>
  <c r="D34" i="114"/>
  <c r="E34" i="114" s="1"/>
  <c r="J34" i="114" s="1"/>
  <c r="D35" i="114"/>
  <c r="F35" i="114" s="1"/>
  <c r="D59" i="114"/>
  <c r="E59" i="114" s="1"/>
  <c r="G59" i="114"/>
  <c r="G57" i="114"/>
  <c r="D72" i="114"/>
  <c r="F72" i="114" s="1"/>
  <c r="D75" i="114"/>
  <c r="D76" i="114"/>
  <c r="G77" i="114"/>
  <c r="D94" i="114"/>
  <c r="G95" i="114"/>
  <c r="G98" i="114"/>
  <c r="D116" i="114"/>
  <c r="E116" i="114" s="1"/>
  <c r="J116" i="114" s="1"/>
  <c r="G117" i="114"/>
  <c r="G137" i="114"/>
  <c r="D138" i="114"/>
  <c r="E138" i="114" s="1"/>
  <c r="J138" i="114" s="1"/>
  <c r="I152" i="114"/>
  <c r="G156" i="114"/>
  <c r="D177" i="114"/>
  <c r="G191" i="114"/>
  <c r="D198" i="114"/>
  <c r="I19" i="115"/>
  <c r="D16" i="115"/>
  <c r="E16" i="115" s="1"/>
  <c r="J16" i="115" s="1"/>
  <c r="D22" i="115"/>
  <c r="E22" i="115" s="1"/>
  <c r="J22" i="115" s="1"/>
  <c r="Q36" i="115"/>
  <c r="Q38" i="115"/>
  <c r="D145" i="115"/>
  <c r="E145" i="115" s="1"/>
  <c r="I149" i="115"/>
  <c r="J40" i="116"/>
  <c r="H40" i="116"/>
  <c r="J80" i="116"/>
  <c r="H80" i="116"/>
  <c r="BY279" i="75" a="1"/>
  <c r="BY294" i="75" s="1"/>
  <c r="CJ283" i="75"/>
  <c r="DD317" i="75"/>
  <c r="CJ337" i="75"/>
  <c r="CZ411" i="75"/>
  <c r="CB501" i="75"/>
  <c r="CX415" i="75"/>
  <c r="CD335" i="75"/>
  <c r="CL379" i="75"/>
  <c r="DB381" i="75"/>
  <c r="BR385" i="75"/>
  <c r="CL395" i="75"/>
  <c r="BV441" i="75"/>
  <c r="CT465" i="75"/>
  <c r="CK471" i="75" a="1"/>
  <c r="CK485" i="75" s="1"/>
  <c r="DB483" i="75"/>
  <c r="DB499" i="75"/>
  <c r="CX503" i="75"/>
  <c r="DB509" i="75"/>
  <c r="CX511" i="75"/>
  <c r="DD724" i="75"/>
  <c r="DF723" i="75"/>
  <c r="E129" i="114"/>
  <c r="J129" i="114" s="1"/>
  <c r="DF245" i="75"/>
  <c r="CD327" i="75"/>
  <c r="DE371" i="75"/>
  <c r="DF371" i="75" s="1"/>
  <c r="CP1001" i="75"/>
  <c r="DB539" i="75"/>
  <c r="CX537" i="75"/>
  <c r="CF201" i="75"/>
  <c r="DB221" i="75"/>
  <c r="CT898" i="75"/>
  <c r="CV897" i="75"/>
  <c r="CJ933" i="75"/>
  <c r="CH933" i="75"/>
  <c r="CV1169" i="75"/>
  <c r="AL16" i="100"/>
  <c r="B18" i="102"/>
  <c r="BR927" i="75"/>
  <c r="CV197" i="75"/>
  <c r="BP203" i="75"/>
  <c r="CB207" i="75"/>
  <c r="DD211" i="75"/>
  <c r="DD221" i="75"/>
  <c r="CR283" i="75"/>
  <c r="CV289" i="75"/>
  <c r="DD339" i="75"/>
  <c r="CZ353" i="75"/>
  <c r="CR395" i="75"/>
  <c r="CN401" i="75"/>
  <c r="CR405" i="75"/>
  <c r="BT499" i="75"/>
  <c r="BX575" i="75"/>
  <c r="DD1260" i="75"/>
  <c r="DF1259" i="75"/>
  <c r="D15" i="112"/>
  <c r="D19" i="112"/>
  <c r="I11" i="112"/>
  <c r="D14" i="112"/>
  <c r="F14" i="112" s="1"/>
  <c r="G15" i="112"/>
  <c r="I102" i="115"/>
  <c r="D101" i="115"/>
  <c r="E101" i="115" s="1"/>
  <c r="D153" i="115"/>
  <c r="F153" i="115" s="1"/>
  <c r="I152" i="115"/>
  <c r="I156" i="115"/>
  <c r="I203" i="115"/>
  <c r="D208" i="115"/>
  <c r="D204" i="115"/>
  <c r="E204" i="115" s="1"/>
  <c r="H204" i="115" s="1"/>
  <c r="I82" i="116"/>
  <c r="I87" i="116"/>
  <c r="F21" i="115"/>
  <c r="DF367" i="75"/>
  <c r="CB217" i="75"/>
  <c r="E192" i="114"/>
  <c r="F192" i="114"/>
  <c r="CT1161" i="75"/>
  <c r="CX1183" i="75"/>
  <c r="BV501" i="75"/>
  <c r="DD475" i="75"/>
  <c r="CR953" i="75"/>
  <c r="CR287" i="75"/>
  <c r="CX839" i="75"/>
  <c r="CH1127" i="75"/>
  <c r="DD1003" i="75"/>
  <c r="DD1263" i="75"/>
  <c r="DD907" i="75"/>
  <c r="CH581" i="75"/>
  <c r="DD243" i="75"/>
  <c r="CZ415" i="75"/>
  <c r="E79" i="116"/>
  <c r="J79" i="116" s="1"/>
  <c r="CH509" i="75"/>
  <c r="CJ509" i="75"/>
  <c r="J135" i="114"/>
  <c r="BQ1241" i="75"/>
  <c r="DB243" i="75"/>
  <c r="CD393" i="75"/>
  <c r="DF339" i="75"/>
  <c r="DB305" i="75"/>
  <c r="F19" i="115"/>
  <c r="CL1101" i="75"/>
  <c r="CT959" i="75"/>
  <c r="BQ1254" i="75"/>
  <c r="CR293" i="75"/>
  <c r="CL1193" i="75"/>
  <c r="DB1209" i="75"/>
  <c r="CX457" i="75"/>
  <c r="BZ569" i="75"/>
  <c r="CT805" i="75"/>
  <c r="CD807" i="75"/>
  <c r="CR813" i="75"/>
  <c r="CV817" i="75"/>
  <c r="CX827" i="75"/>
  <c r="BV927" i="75"/>
  <c r="CN947" i="75"/>
  <c r="BT981" i="75"/>
  <c r="CB997" i="75"/>
  <c r="DF1077" i="75"/>
  <c r="CX1103" i="75"/>
  <c r="CD1123" i="75"/>
  <c r="DF1147" i="75"/>
  <c r="DF1163" i="75"/>
  <c r="CH1165" i="75"/>
  <c r="BN1167" i="75"/>
  <c r="CH1187" i="75"/>
  <c r="BZ1223" i="75"/>
  <c r="CT1229" i="75"/>
  <c r="BZ1239" i="75"/>
  <c r="CP1247" i="75"/>
  <c r="DF1175" i="75"/>
  <c r="CX1243" i="75"/>
  <c r="CT1257" i="75"/>
  <c r="G67" i="112"/>
  <c r="G85" i="112"/>
  <c r="G186" i="112"/>
  <c r="H186" i="112" s="1"/>
  <c r="BV273" i="75"/>
  <c r="BZ275" i="75"/>
  <c r="CR799" i="75"/>
  <c r="BL805" i="75"/>
  <c r="CJ807" i="75"/>
  <c r="BN859" i="75"/>
  <c r="CZ859" i="75"/>
  <c r="CR867" i="75"/>
  <c r="CF869" i="75"/>
  <c r="BX871" i="75"/>
  <c r="BV873" i="75"/>
  <c r="CF879" i="75"/>
  <c r="CN885" i="75"/>
  <c r="CZ889" i="75"/>
  <c r="CR891" i="75"/>
  <c r="CP893" i="75"/>
  <c r="CP895" i="75"/>
  <c r="CR897" i="75"/>
  <c r="BT921" i="75"/>
  <c r="CH923" i="75"/>
  <c r="CV925" i="75"/>
  <c r="CB927" i="75"/>
  <c r="BN929" i="75"/>
  <c r="CZ929" i="75"/>
  <c r="CN931" i="75"/>
  <c r="CF933" i="75"/>
  <c r="CB935" i="75"/>
  <c r="CB937" i="75"/>
  <c r="CF939" i="75"/>
  <c r="CN941" i="75"/>
  <c r="CD945" i="75"/>
  <c r="CX947" i="75"/>
  <c r="CH949" i="75"/>
  <c r="CZ953" i="75"/>
  <c r="CX955" i="75"/>
  <c r="CV957" i="75"/>
  <c r="CP983" i="75"/>
  <c r="BP985" i="75"/>
  <c r="DF985" i="75"/>
  <c r="CV991" i="75"/>
  <c r="CN999" i="75"/>
  <c r="DD1007" i="75"/>
  <c r="CN1009" i="75"/>
  <c r="DD1017" i="75"/>
  <c r="CT1101" i="75"/>
  <c r="BR1103" i="75"/>
  <c r="DD1103" i="75"/>
  <c r="CH1105" i="75"/>
  <c r="BN1107" i="75"/>
  <c r="DB1107" i="75"/>
  <c r="CL1109" i="75"/>
  <c r="BZ1111" i="75"/>
  <c r="BR1113" i="75"/>
  <c r="DF1113" i="75"/>
  <c r="CZ1115" i="75"/>
  <c r="DB1117" i="75"/>
  <c r="DD1119" i="75"/>
  <c r="CF1127" i="75"/>
  <c r="DD1129" i="75"/>
  <c r="CT1131" i="75"/>
  <c r="CL1133" i="75"/>
  <c r="CB1227" i="75"/>
  <c r="CN1231" i="75"/>
  <c r="CF1239" i="75"/>
  <c r="CV1257" i="75"/>
  <c r="CN231" i="75"/>
  <c r="DB239" i="75"/>
  <c r="DC249" i="75" a="1"/>
  <c r="DC250" i="75" s="1"/>
  <c r="BT257" i="75"/>
  <c r="CB263" i="75"/>
  <c r="CN267" i="75"/>
  <c r="CB273" i="75"/>
  <c r="CN277" i="75"/>
  <c r="CV283" i="75"/>
  <c r="CZ295" i="75"/>
  <c r="BT325" i="75"/>
  <c r="DD353" i="75"/>
  <c r="CJ377" i="75"/>
  <c r="CR383" i="75"/>
  <c r="CB385" i="75"/>
  <c r="CR393" i="75"/>
  <c r="DD397" i="75"/>
  <c r="CR401" i="75"/>
  <c r="CV405" i="75"/>
  <c r="BX447" i="75"/>
  <c r="CZ451" i="75"/>
  <c r="DD455" i="75"/>
  <c r="CJ459" i="75"/>
  <c r="CF463" i="75"/>
  <c r="CR467" i="75"/>
  <c r="CN501" i="75"/>
  <c r="BX509" i="75"/>
  <c r="CR519" i="75"/>
  <c r="CR529" i="75"/>
  <c r="CN531" i="75"/>
  <c r="BT559" i="75"/>
  <c r="CN579" i="75"/>
  <c r="CV593" i="75"/>
  <c r="CX603" i="75"/>
  <c r="BP623" i="75"/>
  <c r="BT627" i="75"/>
  <c r="CJ633" i="75"/>
  <c r="CN637" i="75"/>
  <c r="CJ643" i="75"/>
  <c r="DD653" i="75"/>
  <c r="BH681" i="75"/>
  <c r="BX683" i="75"/>
  <c r="CR703" i="75"/>
  <c r="CJ709" i="75"/>
  <c r="BX811" i="75"/>
  <c r="CF861" i="75"/>
  <c r="CB865" i="75"/>
  <c r="CZ867" i="75"/>
  <c r="CV885" i="75"/>
  <c r="CJ1011" i="75"/>
  <c r="BT1115" i="75"/>
  <c r="CX283" i="75"/>
  <c r="BZ509" i="75"/>
  <c r="BV511" i="75"/>
  <c r="BV513" i="75"/>
  <c r="BZ515" i="75"/>
  <c r="CT529" i="75"/>
  <c r="CP531" i="75"/>
  <c r="D68" i="112"/>
  <c r="F68" i="112" s="1"/>
  <c r="H50" i="112"/>
  <c r="CP1253" i="75"/>
  <c r="CZ1268" i="75"/>
  <c r="DB1267" i="75"/>
  <c r="CJ1047" i="75"/>
  <c r="CN1043" i="75"/>
  <c r="CJ583" i="75"/>
  <c r="CH583" i="75"/>
  <c r="DD790" i="75"/>
  <c r="DD789" i="75"/>
  <c r="H191" i="116"/>
  <c r="I146" i="112"/>
  <c r="D47" i="112"/>
  <c r="E47" i="112" s="1"/>
  <c r="G26" i="112"/>
  <c r="DD1239" i="75"/>
  <c r="DD1207" i="75"/>
  <c r="I40" i="113"/>
  <c r="AL15" i="100"/>
  <c r="B17" i="102"/>
  <c r="Z16" i="100"/>
  <c r="AL20" i="100"/>
  <c r="B22" i="102"/>
  <c r="D26" i="112"/>
  <c r="E26" i="112" s="1"/>
  <c r="J26" i="112" s="1"/>
  <c r="D42" i="112"/>
  <c r="F42" i="112" s="1"/>
  <c r="D122" i="112"/>
  <c r="D166" i="112"/>
  <c r="D185" i="112"/>
  <c r="F185" i="112" s="1"/>
  <c r="D132" i="114"/>
  <c r="F132" i="114" s="1"/>
  <c r="D154" i="114"/>
  <c r="F154" i="114" s="1"/>
  <c r="AL21" i="100"/>
  <c r="B23" i="102"/>
  <c r="DB1001" i="75"/>
  <c r="BN1043" i="75"/>
  <c r="BV1051" i="75"/>
  <c r="CL1105" i="75"/>
  <c r="CP1123" i="75"/>
  <c r="CP1133" i="75"/>
  <c r="CB1179" i="75"/>
  <c r="CJ1181" i="75"/>
  <c r="CR1187" i="75"/>
  <c r="CR1197" i="75"/>
  <c r="CD583" i="75"/>
  <c r="CX585" i="75"/>
  <c r="CZ603" i="75"/>
  <c r="CP621" i="75"/>
  <c r="CL633" i="75"/>
  <c r="DF655" i="75"/>
  <c r="BZ683" i="75"/>
  <c r="CT685" i="75"/>
  <c r="DF689" i="75"/>
  <c r="CT703" i="75"/>
  <c r="DB763" i="75"/>
  <c r="DF767" i="75"/>
  <c r="BV815" i="75"/>
  <c r="BZ817" i="75"/>
  <c r="CT831" i="75"/>
  <c r="BZ985" i="75"/>
  <c r="CP1137" i="75"/>
  <c r="CF1173" i="75"/>
  <c r="CB1177" i="75"/>
  <c r="CZ1183" i="75"/>
  <c r="CZ1193" i="75"/>
  <c r="CV1231" i="75"/>
  <c r="CN1233" i="75"/>
  <c r="DD1255" i="75"/>
  <c r="DB389" i="75"/>
  <c r="CD499" i="75"/>
  <c r="CT621" i="75"/>
  <c r="BV623" i="75"/>
  <c r="CP625" i="75"/>
  <c r="DB691" i="75"/>
  <c r="CH701" i="75"/>
  <c r="CX739" i="75"/>
  <c r="CL743" i="75"/>
  <c r="DF745" i="75"/>
  <c r="DF763" i="75"/>
  <c r="CX769" i="75"/>
  <c r="CP771" i="75"/>
  <c r="AI46" i="1"/>
  <c r="AI42" i="1"/>
  <c r="AI39" i="1"/>
  <c r="AI45" i="1"/>
  <c r="AI41" i="1"/>
  <c r="AI44" i="1"/>
  <c r="AI40" i="1"/>
  <c r="AI43" i="1"/>
  <c r="AL28" i="100"/>
  <c r="B30" i="102"/>
  <c r="I18" i="112"/>
  <c r="AL29" i="100"/>
  <c r="B31" i="102"/>
  <c r="BL987" i="75"/>
  <c r="DD1009" i="75"/>
  <c r="BT1047" i="75"/>
  <c r="BT1055" i="75"/>
  <c r="CR1063" i="75"/>
  <c r="CR1073" i="75"/>
  <c r="CR1079" i="75"/>
  <c r="CB1115" i="75"/>
  <c r="CF1119" i="75"/>
  <c r="BN1165" i="75"/>
  <c r="CT1223" i="75"/>
  <c r="CB1229" i="75"/>
  <c r="BP1231" i="75"/>
  <c r="DB1241" i="75"/>
  <c r="CB1243" i="75"/>
  <c r="CR1245" i="75"/>
  <c r="G104" i="114"/>
  <c r="G124" i="114"/>
  <c r="I186" i="114"/>
  <c r="CV323" i="75"/>
  <c r="CF325" i="75"/>
  <c r="CN347" i="75"/>
  <c r="DD437" i="75"/>
  <c r="CR571" i="75"/>
  <c r="CN575" i="75"/>
  <c r="CN619" i="75"/>
  <c r="BZ1225" i="75"/>
  <c r="R35" i="100"/>
  <c r="CL509" i="75"/>
  <c r="CH513" i="75"/>
  <c r="BL679" i="75"/>
  <c r="CN713" i="75"/>
  <c r="CB753" i="75"/>
  <c r="CZ771" i="75"/>
  <c r="CV775" i="75"/>
  <c r="CV809" i="75"/>
  <c r="CJ813" i="75"/>
  <c r="BH861" i="75"/>
  <c r="CV861" i="75"/>
  <c r="CB867" i="75"/>
  <c r="BP869" i="75"/>
  <c r="CR873" i="75"/>
  <c r="CR875" i="75"/>
  <c r="CV877" i="75"/>
  <c r="CB881" i="75"/>
  <c r="CR883" i="75"/>
  <c r="CV887" i="75"/>
  <c r="CJ889" i="75"/>
  <c r="CR921" i="75"/>
  <c r="CF925" i="75"/>
  <c r="CZ927" i="75"/>
  <c r="CJ929" i="75"/>
  <c r="DD939" i="75"/>
  <c r="BX983" i="75"/>
  <c r="BX993" i="75"/>
  <c r="BT995" i="75"/>
  <c r="CN1007" i="75"/>
  <c r="CR1013" i="75"/>
  <c r="CR1019" i="75"/>
  <c r="DB1023" i="75"/>
  <c r="CF1053" i="75"/>
  <c r="CZ1063" i="75"/>
  <c r="CP1167" i="75"/>
  <c r="BZ1169" i="75"/>
  <c r="CT1173" i="75"/>
  <c r="CT1179" i="75"/>
  <c r="CP1185" i="75"/>
  <c r="CP1221" i="75"/>
  <c r="BN1223" i="75"/>
  <c r="DB1223" i="75"/>
  <c r="CD1225" i="75"/>
  <c r="CX1227" i="75"/>
  <c r="CH1229" i="75"/>
  <c r="CX1235" i="75"/>
  <c r="DB1239" i="75"/>
  <c r="CH1243" i="75"/>
  <c r="DB1249" i="75"/>
  <c r="CD197" i="75"/>
  <c r="CL211" i="75"/>
  <c r="CP225" i="75"/>
  <c r="BJ259" i="75"/>
  <c r="CT271" i="75"/>
  <c r="CX285" i="75"/>
  <c r="CL287" i="75"/>
  <c r="CH321" i="75"/>
  <c r="DF329" i="75"/>
  <c r="DB633" i="75"/>
  <c r="DB635" i="75"/>
  <c r="DF637" i="75"/>
  <c r="BZ639" i="75"/>
  <c r="DF647" i="75"/>
  <c r="CT649" i="75"/>
  <c r="CV661" i="75"/>
  <c r="CP715" i="75"/>
  <c r="CD753" i="75"/>
  <c r="CD755" i="75"/>
  <c r="CX765" i="75"/>
  <c r="CP811" i="75"/>
  <c r="DF869" i="75"/>
  <c r="CL889" i="75"/>
  <c r="BF921" i="75"/>
  <c r="DB927" i="75"/>
  <c r="DF939" i="75"/>
  <c r="CL943" i="75"/>
  <c r="CH947" i="75"/>
  <c r="CT951" i="75"/>
  <c r="CL953" i="75"/>
  <c r="DF969" i="75"/>
  <c r="CT989" i="75"/>
  <c r="CH991" i="75"/>
  <c r="BV1041" i="75"/>
  <c r="CX1067" i="75"/>
  <c r="CP1129" i="75"/>
  <c r="BX1231" i="75"/>
  <c r="CZ1235" i="75"/>
  <c r="CR1251" i="75"/>
  <c r="T334" i="100"/>
  <c r="AL11" i="100"/>
  <c r="Z28" i="100"/>
  <c r="CT525" i="75"/>
  <c r="BR625" i="75"/>
  <c r="CT817" i="75"/>
  <c r="BZ987" i="75"/>
  <c r="BR1049" i="75"/>
  <c r="DF1049" i="75"/>
  <c r="CJ1247" i="75"/>
  <c r="AL36" i="100"/>
  <c r="B38" i="102"/>
  <c r="G593" i="1"/>
  <c r="AE14" i="101"/>
  <c r="AD14" i="101"/>
  <c r="S14" i="101"/>
  <c r="AA13" i="1"/>
  <c r="C15" i="105" s="1"/>
  <c r="I15" i="105" s="1"/>
  <c r="AI641" i="1"/>
  <c r="A291" i="100"/>
  <c r="A135" i="102" s="1"/>
  <c r="H152" i="115"/>
  <c r="J152" i="115"/>
  <c r="F179" i="116"/>
  <c r="E179" i="116"/>
  <c r="J13" i="116"/>
  <c r="H13" i="116"/>
  <c r="DB245" i="75"/>
  <c r="CZ246" i="75" s="1" a="1"/>
  <c r="CZ1117" i="75"/>
  <c r="H212" i="116"/>
  <c r="BJ257" i="75"/>
  <c r="CX257" i="75"/>
  <c r="DF271" i="75"/>
  <c r="BZ323" i="75"/>
  <c r="CT343" i="75"/>
  <c r="BN381" i="75"/>
  <c r="CH391" i="75"/>
  <c r="CH393" i="75"/>
  <c r="CT439" i="75"/>
  <c r="CP461" i="75"/>
  <c r="CX513" i="75"/>
  <c r="F193" i="116"/>
  <c r="BL203" i="75"/>
  <c r="F151" i="115"/>
  <c r="DB943" i="75"/>
  <c r="CZ943" i="75"/>
  <c r="CZ1082" i="75"/>
  <c r="DB1081" i="75"/>
  <c r="E129" i="112"/>
  <c r="J129" i="112" s="1"/>
  <c r="CE235" i="75"/>
  <c r="E49" i="112"/>
  <c r="J49" i="112" s="1"/>
  <c r="H51" i="114"/>
  <c r="E218" i="115"/>
  <c r="H218" i="115" s="1"/>
  <c r="H196" i="116"/>
  <c r="DD509" i="75"/>
  <c r="DF1103" i="75"/>
  <c r="CR1200" i="75"/>
  <c r="CT1199" i="75"/>
  <c r="DB1204" i="75"/>
  <c r="DD1203" i="75"/>
  <c r="G15" i="114"/>
  <c r="D55" i="114"/>
  <c r="E55" i="114" s="1"/>
  <c r="D174" i="114"/>
  <c r="F174" i="114" s="1"/>
  <c r="BW337" i="75" a="1"/>
  <c r="BW346" i="75" s="1"/>
  <c r="CJ621" i="75"/>
  <c r="BP627" i="75"/>
  <c r="CF643" i="75"/>
  <c r="CV720" i="75"/>
  <c r="CX719" i="75"/>
  <c r="CN831" i="75"/>
  <c r="CX957" i="75"/>
  <c r="CN1165" i="75"/>
  <c r="DF513" i="75"/>
  <c r="DF559" i="75"/>
  <c r="BZ565" i="75"/>
  <c r="BZ573" i="75"/>
  <c r="F212" i="116"/>
  <c r="E15" i="115"/>
  <c r="J15" i="115" s="1"/>
  <c r="E69" i="114"/>
  <c r="J69" i="114" s="1"/>
  <c r="DF307" i="75"/>
  <c r="CP1193" i="75"/>
  <c r="CX1231" i="75"/>
  <c r="DF1119" i="75"/>
  <c r="DF1151" i="75"/>
  <c r="BZ199" i="75"/>
  <c r="BV211" i="75"/>
  <c r="CT229" i="75"/>
  <c r="CH259" i="75"/>
  <c r="BN265" i="75"/>
  <c r="CD281" i="75"/>
  <c r="CX293" i="75"/>
  <c r="CP335" i="75"/>
  <c r="CL341" i="75"/>
  <c r="BJ379" i="75"/>
  <c r="CT393" i="75"/>
  <c r="DF397" i="75"/>
  <c r="DF449" i="75"/>
  <c r="DF455" i="75"/>
  <c r="CH463" i="75"/>
  <c r="DF465" i="75"/>
  <c r="CT467" i="75"/>
  <c r="CL469" i="75"/>
  <c r="CV479" i="75"/>
  <c r="DB527" i="75"/>
  <c r="CN621" i="75"/>
  <c r="DD623" i="75"/>
  <c r="CN631" i="75"/>
  <c r="CJ635" i="75"/>
  <c r="DD645" i="75"/>
  <c r="CJ679" i="75"/>
  <c r="CB687" i="75"/>
  <c r="CX691" i="75"/>
  <c r="CR693" i="75"/>
  <c r="DD751" i="75"/>
  <c r="DF957" i="75"/>
  <c r="CL1063" i="75"/>
  <c r="CP1223" i="75"/>
  <c r="CN1223" i="75"/>
  <c r="CV955" i="75"/>
  <c r="CN331" i="75"/>
  <c r="CN333" i="75"/>
  <c r="CX383" i="75"/>
  <c r="CV437" i="75"/>
  <c r="CX505" i="75"/>
  <c r="CT579" i="75"/>
  <c r="CR631" i="75"/>
  <c r="E202" i="115"/>
  <c r="H202" i="115" s="1"/>
  <c r="H39" i="116"/>
  <c r="E157" i="115"/>
  <c r="F62" i="112"/>
  <c r="DB889" i="75"/>
  <c r="CF1105" i="75"/>
  <c r="DB1203" i="75"/>
  <c r="CP1235" i="75"/>
  <c r="CR1235" i="75"/>
  <c r="CX1262" i="75"/>
  <c r="CX1261" i="75"/>
  <c r="BP1103" i="75"/>
  <c r="BJ1223" i="75"/>
  <c r="E192" i="115"/>
  <c r="E13" i="115"/>
  <c r="H13" i="115" s="1"/>
  <c r="CX1024" i="75"/>
  <c r="CZ1023" i="75"/>
  <c r="I34" i="112"/>
  <c r="I35" i="112"/>
  <c r="G22" i="114"/>
  <c r="I22" i="114"/>
  <c r="I27" i="114"/>
  <c r="I164" i="114"/>
  <c r="I165" i="114"/>
  <c r="F114" i="115"/>
  <c r="F103" i="114"/>
  <c r="DB901" i="75"/>
  <c r="CT891" i="75"/>
  <c r="CD623" i="75"/>
  <c r="CX633" i="75"/>
  <c r="CH641" i="75"/>
  <c r="CP649" i="75"/>
  <c r="CX778" i="75"/>
  <c r="CZ777" i="75"/>
  <c r="BO1233" i="75" a="1"/>
  <c r="BO1265" i="75" s="1"/>
  <c r="CA1245" i="75" a="1"/>
  <c r="CA1247" i="75" s="1"/>
  <c r="CC1247" i="75" a="1"/>
  <c r="CC1257" i="75" s="1"/>
  <c r="CM1257" i="75" a="1"/>
  <c r="CM1266" i="75" s="1"/>
  <c r="D51" i="112"/>
  <c r="D156" i="112"/>
  <c r="D63" i="114"/>
  <c r="E63" i="114" s="1"/>
  <c r="D66" i="114"/>
  <c r="F66" i="114" s="1"/>
  <c r="D83" i="114"/>
  <c r="F83" i="114" s="1"/>
  <c r="D143" i="114"/>
  <c r="E143" i="114" s="1"/>
  <c r="J143" i="114" s="1"/>
  <c r="D142" i="114"/>
  <c r="D208" i="114"/>
  <c r="J34" i="115"/>
  <c r="H34" i="115"/>
  <c r="DA1151" i="75" a="1"/>
  <c r="DA1156" i="75" s="1"/>
  <c r="F104" i="115"/>
  <c r="BQ1264" i="75"/>
  <c r="F109" i="115"/>
  <c r="H23" i="116"/>
  <c r="CD1181" i="75"/>
  <c r="DD1149" i="75"/>
  <c r="DB953" i="75"/>
  <c r="DB242" i="75"/>
  <c r="CR1169" i="75"/>
  <c r="BV805" i="75"/>
  <c r="CN633" i="75"/>
  <c r="DD201" i="75"/>
  <c r="CN215" i="75"/>
  <c r="CV217" i="75"/>
  <c r="DD223" i="75"/>
  <c r="CI229" i="75" a="1"/>
  <c r="CI238" i="75" s="1"/>
  <c r="CR263" i="75"/>
  <c r="CB265" i="75"/>
  <c r="DD277" i="75"/>
  <c r="CK291" i="75" a="1"/>
  <c r="CK295" i="75" s="1"/>
  <c r="CO295" i="75" a="1"/>
  <c r="CO310" i="75" s="1"/>
  <c r="BP319" i="75"/>
  <c r="BL323" i="75"/>
  <c r="CJ325" i="75"/>
  <c r="BX327" i="75"/>
  <c r="CZ333" i="75"/>
  <c r="CZ341" i="75"/>
  <c r="DD345" i="75"/>
  <c r="BX395" i="75"/>
  <c r="CZ469" i="75"/>
  <c r="CV471" i="75"/>
  <c r="CZ475" i="75"/>
  <c r="CB497" i="75"/>
  <c r="BT505" i="75"/>
  <c r="DD533" i="75"/>
  <c r="J154" i="115"/>
  <c r="CA834" i="75"/>
  <c r="DC733" i="75"/>
  <c r="J191" i="116"/>
  <c r="CZ1081" i="75"/>
  <c r="BQ1262" i="75"/>
  <c r="E174" i="115"/>
  <c r="J174" i="115" s="1"/>
  <c r="F115" i="116"/>
  <c r="E95" i="116"/>
  <c r="J95" i="116" s="1"/>
  <c r="E139" i="114"/>
  <c r="H139" i="114" s="1"/>
  <c r="BQ1248" i="75"/>
  <c r="CX239" i="75"/>
  <c r="CJ631" i="75"/>
  <c r="CZ283" i="75"/>
  <c r="DD1276" i="75"/>
  <c r="F47" i="115"/>
  <c r="D58" i="114"/>
  <c r="F58" i="114" s="1"/>
  <c r="G12" i="112"/>
  <c r="D184" i="112"/>
  <c r="D162" i="112"/>
  <c r="E162" i="112" s="1"/>
  <c r="J162" i="112" s="1"/>
  <c r="CT769" i="75"/>
  <c r="CP831" i="75"/>
  <c r="CP579" i="75"/>
  <c r="DD541" i="75"/>
  <c r="H18" i="115"/>
  <c r="CX689" i="75"/>
  <c r="F52" i="114"/>
  <c r="H119" i="112"/>
  <c r="CH385" i="75"/>
  <c r="DD301" i="75"/>
  <c r="F95" i="114"/>
  <c r="D123" i="112"/>
  <c r="F123" i="112" s="1"/>
  <c r="CP1233" i="75"/>
  <c r="CP931" i="75"/>
  <c r="CX991" i="75"/>
  <c r="CA854" i="75"/>
  <c r="BQ1260" i="75"/>
  <c r="E87" i="112"/>
  <c r="J87" i="112" s="1"/>
  <c r="BQ1267" i="75"/>
  <c r="J49" i="115"/>
  <c r="CN219" i="75"/>
  <c r="DF359" i="75"/>
  <c r="H168" i="116"/>
  <c r="G11" i="114"/>
  <c r="D57" i="114"/>
  <c r="F57" i="114" s="1"/>
  <c r="I31" i="112"/>
  <c r="I74" i="112"/>
  <c r="D57" i="112"/>
  <c r="E57" i="112" s="1"/>
  <c r="J57" i="112" s="1"/>
  <c r="CD501" i="75"/>
  <c r="DB905" i="75"/>
  <c r="CX1259" i="75"/>
  <c r="CT953" i="75"/>
  <c r="CD1005" i="75"/>
  <c r="CL1047" i="75"/>
  <c r="CV1255" i="75"/>
  <c r="DD787" i="75"/>
  <c r="BN799" i="75"/>
  <c r="DB799" i="75"/>
  <c r="BX801" i="75"/>
  <c r="CN803" i="75"/>
  <c r="CP803" i="75"/>
  <c r="BT805" i="75"/>
  <c r="CT807" i="75"/>
  <c r="BV813" i="75"/>
  <c r="BX817" i="75"/>
  <c r="CT821" i="75"/>
  <c r="CN825" i="75"/>
  <c r="DB829" i="75"/>
  <c r="CR831" i="75"/>
  <c r="DD841" i="75"/>
  <c r="CZ881" i="75"/>
  <c r="CB921" i="75"/>
  <c r="CX931" i="75"/>
  <c r="CL937" i="75"/>
  <c r="CX941" i="75"/>
  <c r="DF965" i="75"/>
  <c r="CT987" i="75"/>
  <c r="CD989" i="75"/>
  <c r="BR991" i="75"/>
  <c r="DD991" i="75"/>
  <c r="CR997" i="75"/>
  <c r="CV1009" i="75"/>
  <c r="CR1041" i="75"/>
  <c r="CJ1049" i="75"/>
  <c r="DB1055" i="75"/>
  <c r="CZ1065" i="75"/>
  <c r="DB1101" i="75"/>
  <c r="CP1105" i="75"/>
  <c r="CT1109" i="75"/>
  <c r="CF1111" i="75"/>
  <c r="BV1117" i="75"/>
  <c r="CT1123" i="75"/>
  <c r="CP1127" i="75"/>
  <c r="CZ1131" i="75"/>
  <c r="CT1133" i="75"/>
  <c r="CP1135" i="75"/>
  <c r="DF1161" i="75"/>
  <c r="CF1163" i="75"/>
  <c r="CB1167" i="75"/>
  <c r="CL1171" i="75"/>
  <c r="CF1179" i="75"/>
  <c r="CT1187" i="75"/>
  <c r="DF1191" i="75"/>
  <c r="CZ1199" i="75"/>
  <c r="DD1225" i="75"/>
  <c r="CL499" i="75"/>
  <c r="BR505" i="75"/>
  <c r="CT517" i="75"/>
  <c r="DD519" i="75"/>
  <c r="DF519" i="75"/>
  <c r="CH521" i="75"/>
  <c r="DB523" i="75"/>
  <c r="CL525" i="75"/>
  <c r="DB531" i="75"/>
  <c r="BL621" i="75"/>
  <c r="DB660" i="75"/>
  <c r="DB659" i="75"/>
  <c r="CZ939" i="75"/>
  <c r="CV981" i="75"/>
  <c r="DF983" i="75"/>
  <c r="BN987" i="75"/>
  <c r="DB987" i="75"/>
  <c r="DF993" i="75"/>
  <c r="CN1003" i="75"/>
  <c r="DF1009" i="75"/>
  <c r="CV1011" i="75"/>
  <c r="CN1013" i="75"/>
  <c r="BN1041" i="75"/>
  <c r="DB1041" i="75"/>
  <c r="BZ1043" i="75"/>
  <c r="CR1045" i="75"/>
  <c r="CB1059" i="75"/>
  <c r="DF1093" i="75"/>
  <c r="DD1094" i="75" s="1" a="1"/>
  <c r="DD1095" i="75" s="1"/>
  <c r="BX1101" i="75"/>
  <c r="CJ1103" i="75"/>
  <c r="CX1171" i="75"/>
  <c r="CP1173" i="75"/>
  <c r="CL1175" i="75"/>
  <c r="CL1177" i="75"/>
  <c r="CP1179" i="75"/>
  <c r="DF1187" i="75"/>
  <c r="CP1189" i="75"/>
  <c r="DF1195" i="75"/>
  <c r="DF1197" i="75"/>
  <c r="CZ1237" i="75"/>
  <c r="CZ1245" i="75"/>
  <c r="DD1249" i="75"/>
  <c r="CV1187" i="75"/>
  <c r="CR959" i="75"/>
  <c r="AD24" i="100"/>
  <c r="R192" i="100"/>
  <c r="CH199" i="75"/>
  <c r="CX201" i="75"/>
  <c r="CT377" i="75"/>
  <c r="BR389" i="75"/>
  <c r="BZ397" i="75"/>
  <c r="CH403" i="75"/>
  <c r="DF405" i="75"/>
  <c r="CT407" i="75"/>
  <c r="CL409" i="75"/>
  <c r="CV419" i="75"/>
  <c r="BN437" i="75"/>
  <c r="DB437" i="75"/>
  <c r="BZ439" i="75"/>
  <c r="BV451" i="75"/>
  <c r="CH457" i="75"/>
  <c r="CT459" i="75"/>
  <c r="CP463" i="75"/>
  <c r="CT469" i="75"/>
  <c r="CP471" i="75"/>
  <c r="CH499" i="75"/>
  <c r="CP507" i="75"/>
  <c r="CX531" i="75"/>
  <c r="CP561" i="75"/>
  <c r="CL583" i="75"/>
  <c r="BL685" i="75"/>
  <c r="DD697" i="75"/>
  <c r="CP981" i="75"/>
  <c r="CX1041" i="75"/>
  <c r="BR1047" i="75"/>
  <c r="CD1061" i="75"/>
  <c r="DD1091" i="75"/>
  <c r="CL1111" i="75"/>
  <c r="X192" i="100"/>
  <c r="X200" i="100"/>
  <c r="BV1225" i="75"/>
  <c r="AH39" i="100"/>
  <c r="AA41" i="102" s="1"/>
  <c r="CV203" i="75"/>
  <c r="CH337" i="75"/>
  <c r="CT339" i="75"/>
  <c r="CP343" i="75"/>
  <c r="BN385" i="75"/>
  <c r="BT441" i="75"/>
  <c r="CN443" i="75"/>
  <c r="BX445" i="75"/>
  <c r="CZ457" i="75"/>
  <c r="CN461" i="75"/>
  <c r="CR465" i="75"/>
  <c r="BL499" i="75"/>
  <c r="CZ499" i="75"/>
  <c r="CV503" i="75"/>
  <c r="DF507" i="75"/>
  <c r="CV521" i="75"/>
  <c r="BT561" i="75"/>
  <c r="CN581" i="75"/>
  <c r="DB687" i="75"/>
  <c r="CD739" i="75"/>
  <c r="CP741" i="75"/>
  <c r="CL755" i="75"/>
  <c r="CT779" i="75"/>
  <c r="CV827" i="75"/>
  <c r="CJ829" i="75"/>
  <c r="CF931" i="75"/>
  <c r="AB196" i="100"/>
  <c r="AJ336" i="100"/>
  <c r="CH693" i="75"/>
  <c r="CH695" i="75"/>
  <c r="CH703" i="75"/>
  <c r="CH223" i="75"/>
  <c r="BJ439" i="75"/>
  <c r="DD559" i="75"/>
  <c r="DD589" i="75"/>
  <c r="CX623" i="75"/>
  <c r="CD625" i="75"/>
  <c r="BN627" i="75"/>
  <c r="CD633" i="75"/>
  <c r="CD635" i="75"/>
  <c r="CP639" i="75"/>
  <c r="DB641" i="75"/>
  <c r="DB651" i="75"/>
  <c r="CX653" i="75"/>
  <c r="CX655" i="75"/>
  <c r="DD1211" i="75"/>
  <c r="DB1212" i="75" s="1" a="1"/>
  <c r="DB1212" i="75" s="1"/>
  <c r="DF310" i="75"/>
  <c r="DE311" i="75" s="1" a="1"/>
  <c r="DF309" i="75"/>
  <c r="DD310" i="75" s="1" a="1"/>
  <c r="DD311" i="75" s="1"/>
  <c r="CF331" i="75"/>
  <c r="CH331" i="75"/>
  <c r="BT381" i="75"/>
  <c r="BV381" i="75"/>
  <c r="CZ424" i="75"/>
  <c r="DB423" i="75"/>
  <c r="CZ664" i="75"/>
  <c r="DB663" i="75"/>
  <c r="CL685" i="75"/>
  <c r="CN685" i="75"/>
  <c r="CN739" i="75"/>
  <c r="CL739" i="75"/>
  <c r="CX741" i="75"/>
  <c r="CZ741" i="75"/>
  <c r="BT749" i="75"/>
  <c r="BR749" i="75"/>
  <c r="CX751" i="75"/>
  <c r="CZ751" i="75"/>
  <c r="CT755" i="75"/>
  <c r="CV755" i="75"/>
  <c r="CX767" i="75"/>
  <c r="CZ767" i="75"/>
  <c r="CN769" i="75"/>
  <c r="CL769" i="75"/>
  <c r="DD786" i="75"/>
  <c r="DD785" i="75"/>
  <c r="DF785" i="75"/>
  <c r="CK852" i="75"/>
  <c r="DD548" i="75"/>
  <c r="DC549" i="75" s="1" a="1"/>
  <c r="DC552" i="75" s="1"/>
  <c r="DF547" i="75"/>
  <c r="DE614" i="75"/>
  <c r="DE613" i="75"/>
  <c r="DF613" i="75" s="1"/>
  <c r="BZ619" i="75"/>
  <c r="BX619" i="75"/>
  <c r="CR639" i="75"/>
  <c r="CT639" i="75"/>
  <c r="DD641" i="75"/>
  <c r="DF641" i="75"/>
  <c r="CL647" i="75"/>
  <c r="CJ647" i="75"/>
  <c r="DB655" i="75"/>
  <c r="CZ655" i="75"/>
  <c r="F128" i="116"/>
  <c r="F212" i="115"/>
  <c r="E212" i="115"/>
  <c r="J212" i="115" s="1"/>
  <c r="E59" i="116"/>
  <c r="F59" i="116"/>
  <c r="F41" i="115"/>
  <c r="E41" i="115"/>
  <c r="H41" i="115" s="1"/>
  <c r="F28" i="114"/>
  <c r="H128" i="116"/>
  <c r="E216" i="116"/>
  <c r="H93" i="116"/>
  <c r="CX295" i="75"/>
  <c r="E32" i="116"/>
  <c r="J32" i="116" s="1"/>
  <c r="F32" i="116"/>
  <c r="F179" i="115"/>
  <c r="E136" i="114"/>
  <c r="F136" i="114"/>
  <c r="E71" i="116"/>
  <c r="J71" i="116" s="1"/>
  <c r="CR707" i="75"/>
  <c r="CR681" i="75"/>
  <c r="CJ329" i="75"/>
  <c r="E96" i="114"/>
  <c r="J96" i="114" s="1"/>
  <c r="F96" i="114"/>
  <c r="E198" i="112"/>
  <c r="H26" i="115"/>
  <c r="CB259" i="75"/>
  <c r="CZ351" i="75"/>
  <c r="CD747" i="75"/>
  <c r="BL859" i="75"/>
  <c r="CR337" i="75"/>
  <c r="CN703" i="75"/>
  <c r="CA839" i="75"/>
  <c r="CA847" i="75"/>
  <c r="DD203" i="75"/>
  <c r="CA846" i="75"/>
  <c r="H131" i="116"/>
  <c r="CR389" i="75"/>
  <c r="J62" i="112"/>
  <c r="E77" i="114"/>
  <c r="J77" i="114" s="1"/>
  <c r="F77" i="114"/>
  <c r="E65" i="112"/>
  <c r="F65" i="112"/>
  <c r="CA832" i="75"/>
  <c r="CA851" i="75"/>
  <c r="E171" i="116"/>
  <c r="J171" i="116" s="1"/>
  <c r="F171" i="116"/>
  <c r="DD355" i="75"/>
  <c r="E171" i="114"/>
  <c r="J171" i="114" s="1"/>
  <c r="F171" i="114"/>
  <c r="E208" i="116"/>
  <c r="J208" i="116" s="1"/>
  <c r="E92" i="115"/>
  <c r="H92" i="115" s="1"/>
  <c r="F172" i="116"/>
  <c r="E172" i="116"/>
  <c r="E155" i="115"/>
  <c r="H155" i="115" s="1"/>
  <c r="F155" i="115"/>
  <c r="F198" i="115"/>
  <c r="E198" i="115"/>
  <c r="H198" i="115" s="1"/>
  <c r="CA849" i="75"/>
  <c r="CA823" i="75"/>
  <c r="CB823" i="75" s="1"/>
  <c r="F58" i="116"/>
  <c r="DF355" i="75"/>
  <c r="CX757" i="75"/>
  <c r="DD1275" i="75"/>
  <c r="E176" i="112"/>
  <c r="DF235" i="75"/>
  <c r="DB541" i="75"/>
  <c r="CP885" i="75"/>
  <c r="DB227" i="75"/>
  <c r="CP231" i="75"/>
  <c r="DF249" i="75"/>
  <c r="DD250" i="75" s="1" a="1"/>
  <c r="DD250" i="75" s="1"/>
  <c r="CP267" i="75"/>
  <c r="CF271" i="75"/>
  <c r="CF273" i="75"/>
  <c r="CH275" i="75"/>
  <c r="DD279" i="75"/>
  <c r="CF281" i="75"/>
  <c r="CH285" i="75"/>
  <c r="DB289" i="75"/>
  <c r="CX291" i="75"/>
  <c r="CZ363" i="75"/>
  <c r="CN377" i="75"/>
  <c r="CZ379" i="75"/>
  <c r="BT387" i="75"/>
  <c r="CV391" i="75"/>
  <c r="CF399" i="75"/>
  <c r="CT401" i="75"/>
  <c r="DF439" i="75"/>
  <c r="CH441" i="75"/>
  <c r="BN443" i="75"/>
  <c r="CL445" i="75"/>
  <c r="BZ447" i="75"/>
  <c r="DB451" i="75"/>
  <c r="CL459" i="75"/>
  <c r="DB461" i="75"/>
  <c r="CR501" i="75"/>
  <c r="BX503" i="75"/>
  <c r="CV505" i="75"/>
  <c r="CV519" i="75"/>
  <c r="BR985" i="75"/>
  <c r="CD927" i="75"/>
  <c r="CH939" i="75"/>
  <c r="BR443" i="75"/>
  <c r="CZ665" i="75"/>
  <c r="CZ691" i="75"/>
  <c r="CN983" i="75"/>
  <c r="DF489" i="75"/>
  <c r="DD490" i="75" s="1" a="1"/>
  <c r="DD492" i="75" s="1"/>
  <c r="BP505" i="75"/>
  <c r="CD935" i="75"/>
  <c r="DB665" i="75"/>
  <c r="CV333" i="75"/>
  <c r="DD393" i="75"/>
  <c r="CT679" i="75"/>
  <c r="DF681" i="75"/>
  <c r="BZ741" i="75"/>
  <c r="BZ751" i="75"/>
  <c r="BV755" i="75"/>
  <c r="CT771" i="75"/>
  <c r="CV803" i="75"/>
  <c r="CX843" i="75"/>
  <c r="CN861" i="75"/>
  <c r="DD863" i="75"/>
  <c r="DB959" i="75"/>
  <c r="DD985" i="75"/>
  <c r="CZ959" i="75"/>
  <c r="CZ965" i="75"/>
  <c r="DD659" i="75"/>
  <c r="DB667" i="75"/>
  <c r="BC679" i="75" a="1"/>
  <c r="BC704" i="75" s="1"/>
  <c r="BH679" i="75"/>
  <c r="CV679" i="75"/>
  <c r="BV681" i="75"/>
  <c r="BG683" i="75" a="1"/>
  <c r="BG722" i="75" s="1"/>
  <c r="BI685" i="75" a="1"/>
  <c r="BI721" i="75" s="1"/>
  <c r="BK687" i="75" a="1"/>
  <c r="BK713" i="75" s="1"/>
  <c r="CP687" i="75"/>
  <c r="CD689" i="75"/>
  <c r="BQ693" i="75" a="1"/>
  <c r="BQ713" i="75" s="1"/>
  <c r="BS695" i="75" a="1"/>
  <c r="BS714" i="75" s="1"/>
  <c r="BU697" i="75" a="1"/>
  <c r="BU716" i="75" s="1"/>
  <c r="DD703" i="75"/>
  <c r="CG709" i="75" a="1"/>
  <c r="CG723" i="75" s="1"/>
  <c r="CX709" i="75"/>
  <c r="CP711" i="75"/>
  <c r="CO717" i="75" a="1"/>
  <c r="CO719" i="75" s="1"/>
  <c r="BC739" i="75" a="1"/>
  <c r="BC741" i="75" s="1"/>
  <c r="BR739" i="75"/>
  <c r="CB741" i="75"/>
  <c r="BG743" i="75" a="1"/>
  <c r="BG769" i="75" s="1"/>
  <c r="CT743" i="75"/>
  <c r="BI745" i="75" a="1"/>
  <c r="BI781" i="75" s="1"/>
  <c r="BK747" i="75" a="1"/>
  <c r="BK767" i="75" s="1"/>
  <c r="CJ749" i="75"/>
  <c r="BO751" i="75" a="1"/>
  <c r="BO754" i="75" s="1"/>
  <c r="BQ753" i="75" a="1"/>
  <c r="BQ794" i="75" s="1"/>
  <c r="BX755" i="75"/>
  <c r="BU757" i="75" a="1"/>
  <c r="BU784" i="75" s="1"/>
  <c r="BW759" i="75" a="1"/>
  <c r="BW778" i="75" s="1"/>
  <c r="CG769" i="75" a="1"/>
  <c r="CG778" i="75" s="1"/>
  <c r="CV771" i="75"/>
  <c r="CR773" i="75"/>
  <c r="DD781" i="75"/>
  <c r="DF791" i="75"/>
  <c r="DD792" i="75" s="1" a="1"/>
  <c r="DD794" i="75" s="1"/>
  <c r="BV799" i="75"/>
  <c r="BE801" i="75" a="1"/>
  <c r="BE816" i="75" s="1"/>
  <c r="BJ803" i="75"/>
  <c r="BM809" i="75" a="1"/>
  <c r="BM851" i="75" s="1"/>
  <c r="BQ813" i="75" a="1"/>
  <c r="BQ836" i="75" s="1"/>
  <c r="BS815" i="75" a="1"/>
  <c r="BS846" i="75" s="1"/>
  <c r="CX825" i="75"/>
  <c r="CI831" i="75" a="1"/>
  <c r="CI847" i="75" s="1"/>
  <c r="CD859" i="75"/>
  <c r="BR863" i="75"/>
  <c r="DF863" i="75"/>
  <c r="BI865" i="75" a="1"/>
  <c r="BI866" i="75" s="1"/>
  <c r="CN865" i="75"/>
  <c r="BV867" i="75"/>
  <c r="BO871" i="75" a="1"/>
  <c r="BO879" i="75" s="1"/>
  <c r="BQ873" i="75" a="1"/>
  <c r="BQ885" i="75" s="1"/>
  <c r="DF895" i="75"/>
  <c r="BZ925" i="75"/>
  <c r="CT927" i="75"/>
  <c r="CF929" i="75"/>
  <c r="DF931" i="75"/>
  <c r="BU939" i="75" a="1"/>
  <c r="BU953" i="75" s="1"/>
  <c r="DF941" i="75"/>
  <c r="CD943" i="75"/>
  <c r="DB929" i="75"/>
  <c r="BC197" i="75" a="1"/>
  <c r="BC240" i="75" s="1"/>
  <c r="BE199" i="75" a="1"/>
  <c r="BE246" i="75" s="1"/>
  <c r="BG201" i="75" a="1"/>
  <c r="BG224" i="75" s="1"/>
  <c r="BI203" i="75" a="1"/>
  <c r="BI211" i="75" s="1"/>
  <c r="BK205" i="75" a="1"/>
  <c r="BK228" i="75" s="1"/>
  <c r="BM207" i="75" a="1"/>
  <c r="BM237" i="75" s="1"/>
  <c r="BQ211" i="75" a="1"/>
  <c r="BQ228" i="75" s="1"/>
  <c r="BU215" i="75" a="1"/>
  <c r="BU238" i="75" s="1"/>
  <c r="CC223" i="75" a="1"/>
  <c r="CC228" i="75" s="1"/>
  <c r="BC257" i="75" a="1"/>
  <c r="BC264" i="75" s="1"/>
  <c r="BE259" i="75" a="1"/>
  <c r="BE259" i="75" s="1"/>
  <c r="BF259" i="75" s="1"/>
  <c r="BG261" i="75" a="1"/>
  <c r="BG306" i="75" s="1"/>
  <c r="BI263" i="75" a="1"/>
  <c r="BI295" i="75" s="1"/>
  <c r="BK265" i="75" a="1"/>
  <c r="BK298" i="75" s="1"/>
  <c r="BM267" i="75" a="1"/>
  <c r="BM309" i="75" s="1"/>
  <c r="BO269" i="75" a="1"/>
  <c r="BO306" i="75" s="1"/>
  <c r="BS273" i="75" a="1"/>
  <c r="BS298" i="75" s="1"/>
  <c r="CC283" i="75" a="1"/>
  <c r="CC312" i="75" s="1"/>
  <c r="BE319" i="75" a="1"/>
  <c r="BE334" i="75" s="1"/>
  <c r="BG321" i="75" a="1"/>
  <c r="BG366" i="75" s="1"/>
  <c r="BQ331" i="75" a="1"/>
  <c r="BQ356" i="75" s="1"/>
  <c r="BS333" i="75" a="1"/>
  <c r="BS342" i="75" s="1"/>
  <c r="BY339" i="75" a="1"/>
  <c r="BY341" i="75" s="1"/>
  <c r="CO355" i="75" a="1"/>
  <c r="CO368" i="75" s="1"/>
  <c r="CV359" i="75"/>
  <c r="BC377" i="75" a="1"/>
  <c r="BC412" i="75" s="1"/>
  <c r="BM387" i="75" a="1"/>
  <c r="BM417" i="75" s="1"/>
  <c r="CH387" i="75"/>
  <c r="BO389" i="75" a="1"/>
  <c r="BO418" i="75" s="1"/>
  <c r="BS393" i="75" a="1"/>
  <c r="BS396" i="75" s="1"/>
  <c r="BU395" i="75" a="1"/>
  <c r="BU426" i="75" s="1"/>
  <c r="BY399" i="75" a="1"/>
  <c r="BY401" i="75" s="1"/>
  <c r="CT399" i="75"/>
  <c r="CP403" i="75"/>
  <c r="CE405" i="75" a="1"/>
  <c r="CE428" i="75" s="1"/>
  <c r="DB407" i="75"/>
  <c r="CT409" i="75"/>
  <c r="CT415" i="75"/>
  <c r="BJ441" i="75"/>
  <c r="BN445" i="75"/>
  <c r="DB459" i="75"/>
  <c r="BE499" i="75" a="1"/>
  <c r="BE524" i="75" s="1"/>
  <c r="BG501" i="75" a="1"/>
  <c r="BG503" i="75" s="1"/>
  <c r="BR501" i="75"/>
  <c r="BQ511" i="75" a="1"/>
  <c r="BQ537" i="75" s="1"/>
  <c r="CL511" i="75"/>
  <c r="CX517" i="75"/>
  <c r="DF523" i="75"/>
  <c r="CP525" i="75"/>
  <c r="DF531" i="75"/>
  <c r="CL559" i="75"/>
  <c r="BG563" i="75" a="1"/>
  <c r="BG579" i="75" s="1"/>
  <c r="BZ563" i="75"/>
  <c r="CD567" i="75"/>
  <c r="BM569" i="75" a="1"/>
  <c r="BM580" i="75" s="1"/>
  <c r="BR569" i="75"/>
  <c r="DF569" i="75"/>
  <c r="CX571" i="75"/>
  <c r="CT573" i="75"/>
  <c r="CT575" i="75"/>
  <c r="CX577" i="75"/>
  <c r="DF579" i="75"/>
  <c r="CT583" i="75"/>
  <c r="CE587" i="75" a="1"/>
  <c r="CE610" i="75" s="1"/>
  <c r="CX587" i="75"/>
  <c r="CL589" i="75"/>
  <c r="CO597" i="75" a="1"/>
  <c r="CO598" i="75" s="1"/>
  <c r="BC619" i="75" a="1"/>
  <c r="BC672" i="75" s="1"/>
  <c r="CR619" i="75"/>
  <c r="DD621" i="75"/>
  <c r="BI625" i="75" a="1"/>
  <c r="BI637" i="75" s="1"/>
  <c r="BK627" i="75" a="1"/>
  <c r="BK639" i="75" s="1"/>
  <c r="BM629" i="75" a="1"/>
  <c r="BM653" i="75" s="1"/>
  <c r="BO631" i="75" a="1"/>
  <c r="BO651" i="75" s="1"/>
  <c r="DD631" i="75"/>
  <c r="CM655" i="75" a="1"/>
  <c r="CM669" i="75" s="1"/>
  <c r="BX697" i="75"/>
  <c r="CB745" i="75"/>
  <c r="CH805" i="75"/>
  <c r="CT887" i="75"/>
  <c r="CJ321" i="75"/>
  <c r="DD323" i="75"/>
  <c r="CN339" i="75"/>
  <c r="DD377" i="75"/>
  <c r="BX383" i="75"/>
  <c r="DD407" i="75"/>
  <c r="F32" i="112"/>
  <c r="CX925" i="75"/>
  <c r="CL197" i="75"/>
  <c r="DD217" i="75"/>
  <c r="CL227" i="75"/>
  <c r="BZ267" i="75"/>
  <c r="DF275" i="75"/>
  <c r="DC369" i="75" a="1"/>
  <c r="BV377" i="75"/>
  <c r="BJ381" i="75"/>
  <c r="CX403" i="75"/>
  <c r="CL443" i="75"/>
  <c r="CV447" i="75"/>
  <c r="CP449" i="75"/>
  <c r="CL451" i="75"/>
  <c r="CL453" i="75"/>
  <c r="CL461" i="75"/>
  <c r="DF463" i="75"/>
  <c r="CP465" i="75"/>
  <c r="DF471" i="75"/>
  <c r="DF473" i="75"/>
  <c r="CB695" i="75"/>
  <c r="CN699" i="75"/>
  <c r="CV705" i="75"/>
  <c r="CV715" i="75"/>
  <c r="BP743" i="75"/>
  <c r="CN751" i="75"/>
  <c r="CJ753" i="75"/>
  <c r="BV869" i="75"/>
  <c r="CP889" i="75"/>
  <c r="BJ921" i="75"/>
  <c r="DF927" i="75"/>
  <c r="CD941" i="75"/>
  <c r="DF945" i="75"/>
  <c r="CX951" i="75"/>
  <c r="DD971" i="75"/>
  <c r="BZ995" i="75"/>
  <c r="DD901" i="75"/>
  <c r="CF205" i="75"/>
  <c r="CV213" i="75"/>
  <c r="DB215" i="75"/>
  <c r="BP263" i="75"/>
  <c r="CN265" i="75"/>
  <c r="CB267" i="75"/>
  <c r="BT269" i="75"/>
  <c r="CB329" i="75"/>
  <c r="BP385" i="75"/>
  <c r="BX443" i="75"/>
  <c r="CX965" i="75"/>
  <c r="BT263" i="75"/>
  <c r="CF267" i="75"/>
  <c r="CZ325" i="75"/>
  <c r="CZ339" i="75"/>
  <c r="CV351" i="75"/>
  <c r="CV353" i="75"/>
  <c r="CX361" i="75"/>
  <c r="CR443" i="75"/>
  <c r="BZ445" i="75"/>
  <c r="CV449" i="75"/>
  <c r="CP451" i="75"/>
  <c r="CB459" i="75"/>
  <c r="CH277" i="75"/>
  <c r="CX499" i="75"/>
  <c r="CF323" i="75"/>
  <c r="DD325" i="75"/>
  <c r="BV565" i="75"/>
  <c r="BT619" i="75"/>
  <c r="CF621" i="75"/>
  <c r="CF631" i="75"/>
  <c r="BM1051" i="75" a="1"/>
  <c r="BM1056" i="75" s="1"/>
  <c r="BO1053" i="75" a="1"/>
  <c r="BO1090" i="75" s="1"/>
  <c r="BZ1053" i="75"/>
  <c r="CH1061" i="75"/>
  <c r="CP1067" i="75"/>
  <c r="CP1075" i="75"/>
  <c r="DD1083" i="75"/>
  <c r="BS1117" i="75" a="1"/>
  <c r="BS1133" i="75" s="1"/>
  <c r="CI1133" i="75" a="1"/>
  <c r="CI1147" i="75" s="1"/>
  <c r="DD1139" i="75"/>
  <c r="CP1163" i="75"/>
  <c r="CL1167" i="75"/>
  <c r="BW1181" i="75" a="1"/>
  <c r="BW1211" i="75" s="1"/>
  <c r="I31" i="114"/>
  <c r="I51" i="114"/>
  <c r="I71" i="114"/>
  <c r="I93" i="114"/>
  <c r="I113" i="114"/>
  <c r="I132" i="114"/>
  <c r="I151" i="114"/>
  <c r="I176" i="114"/>
  <c r="I195" i="114"/>
  <c r="I59" i="115"/>
  <c r="D28" i="116"/>
  <c r="F28" i="116" s="1"/>
  <c r="D42" i="116"/>
  <c r="E42" i="116" s="1"/>
  <c r="D63" i="116"/>
  <c r="F63" i="116" s="1"/>
  <c r="D84" i="116"/>
  <c r="F84" i="116" s="1"/>
  <c r="D105" i="116"/>
  <c r="D127" i="116"/>
  <c r="E127" i="116" s="1"/>
  <c r="D146" i="116"/>
  <c r="F146" i="116" s="1"/>
  <c r="D163" i="116"/>
  <c r="F163" i="116" s="1"/>
  <c r="D182" i="116"/>
  <c r="D209" i="116"/>
  <c r="D225" i="116"/>
  <c r="DB949" i="75"/>
  <c r="BR987" i="75"/>
  <c r="BZ1047" i="75"/>
  <c r="CX1079" i="75"/>
  <c r="AJ166" i="100"/>
  <c r="AB186" i="100"/>
  <c r="BH499" i="75"/>
  <c r="CD505" i="75"/>
  <c r="BR507" i="75"/>
  <c r="CV509" i="75"/>
  <c r="CT511" i="75"/>
  <c r="CH563" i="75"/>
  <c r="DB565" i="75"/>
  <c r="CZ573" i="75"/>
  <c r="CZ575" i="75"/>
  <c r="DF577" i="75"/>
  <c r="CL581" i="75"/>
  <c r="DB583" i="75"/>
  <c r="CH585" i="75"/>
  <c r="DD587" i="75"/>
  <c r="CR589" i="75"/>
  <c r="CL623" i="75"/>
  <c r="DF625" i="75"/>
  <c r="DF633" i="75"/>
  <c r="CR641" i="75"/>
  <c r="CX649" i="75"/>
  <c r="CR651" i="75"/>
  <c r="CV701" i="75"/>
  <c r="BZ739" i="75"/>
  <c r="BN743" i="75"/>
  <c r="DF771" i="75"/>
  <c r="CF799" i="75"/>
  <c r="CR801" i="75"/>
  <c r="BR803" i="75"/>
  <c r="DF803" i="75"/>
  <c r="BV807" i="75"/>
  <c r="CZ809" i="75"/>
  <c r="CN813" i="75"/>
  <c r="CN815" i="75"/>
  <c r="DF833" i="75"/>
  <c r="BJ861" i="75"/>
  <c r="CZ861" i="75"/>
  <c r="CV865" i="75"/>
  <c r="CF867" i="75"/>
  <c r="BT869" i="75"/>
  <c r="CZ871" i="75"/>
  <c r="CT873" i="75"/>
  <c r="CV875" i="75"/>
  <c r="DF879" i="75"/>
  <c r="CD881" i="75"/>
  <c r="CV883" i="75"/>
  <c r="CN889" i="75"/>
  <c r="CO897" i="75" a="1"/>
  <c r="CO912" i="75" s="1"/>
  <c r="CB931" i="75"/>
  <c r="BR933" i="75"/>
  <c r="DB937" i="75"/>
  <c r="CB941" i="75"/>
  <c r="CN943" i="75"/>
  <c r="CJ947" i="75"/>
  <c r="CN953" i="75"/>
  <c r="BP981" i="75"/>
  <c r="DD981" i="75"/>
  <c r="CJ991" i="75"/>
  <c r="CB993" i="75"/>
  <c r="BZ999" i="75"/>
  <c r="CJ1001" i="75"/>
  <c r="DB1011" i="75"/>
  <c r="CV1013" i="75"/>
  <c r="CP1015" i="75"/>
  <c r="CP1017" i="75"/>
  <c r="CJ1043" i="75"/>
  <c r="DD1049" i="75"/>
  <c r="CF1055" i="75"/>
  <c r="CH1059" i="75"/>
  <c r="DD1063" i="75"/>
  <c r="CZ1067" i="75"/>
  <c r="CJ1069" i="75"/>
  <c r="DB1073" i="75"/>
  <c r="CX1075" i="75"/>
  <c r="CX1077" i="75"/>
  <c r="CF1101" i="75"/>
  <c r="CR1103" i="75"/>
  <c r="BT1105" i="75"/>
  <c r="BX1109" i="75"/>
  <c r="CZ1111" i="75"/>
  <c r="CZ1121" i="75"/>
  <c r="CR1129" i="75"/>
  <c r="DF1135" i="75"/>
  <c r="CD1169" i="75"/>
  <c r="CX1179" i="75"/>
  <c r="CR1185" i="75"/>
  <c r="CZ503" i="75"/>
  <c r="CZ521" i="75"/>
  <c r="CP527" i="75"/>
  <c r="DD609" i="75"/>
  <c r="DB610" i="75" s="1" a="1"/>
  <c r="BZ625" i="75"/>
  <c r="CL629" i="75"/>
  <c r="CD637" i="75"/>
  <c r="CL639" i="75"/>
  <c r="CT645" i="75"/>
  <c r="CX651" i="75"/>
  <c r="CT655" i="75"/>
  <c r="BX679" i="75"/>
  <c r="CH691" i="75"/>
  <c r="CD693" i="75"/>
  <c r="CJ697" i="75"/>
  <c r="CR699" i="75"/>
  <c r="DB701" i="75"/>
  <c r="DD711" i="75"/>
  <c r="CF739" i="75"/>
  <c r="CR741" i="75"/>
  <c r="BT743" i="75"/>
  <c r="DF743" i="75"/>
  <c r="BX747" i="75"/>
  <c r="CZ749" i="75"/>
  <c r="CR751" i="75"/>
  <c r="CN753" i="75"/>
  <c r="CZ759" i="75"/>
  <c r="CP767" i="75"/>
  <c r="CL799" i="75"/>
  <c r="BJ801" i="75"/>
  <c r="CR805" i="75"/>
  <c r="CX811" i="75"/>
  <c r="CT813" i="75"/>
  <c r="CR859" i="75"/>
  <c r="BX869" i="75"/>
  <c r="DF871" i="75"/>
  <c r="CV901" i="75"/>
  <c r="BN921" i="75"/>
  <c r="CR929" i="75"/>
  <c r="BZ933" i="75"/>
  <c r="DB951" i="75"/>
  <c r="BJ985" i="75"/>
  <c r="CV985" i="75"/>
  <c r="CD987" i="75"/>
  <c r="BN989" i="75"/>
  <c r="DB989" i="75"/>
  <c r="CB995" i="75"/>
  <c r="CF999" i="75"/>
  <c r="CN1001" i="75"/>
  <c r="CZ1003" i="75"/>
  <c r="CX1015" i="75"/>
  <c r="CB1041" i="75"/>
  <c r="DF1045" i="75"/>
  <c r="BV1049" i="75"/>
  <c r="CJ1065" i="75"/>
  <c r="BZ1105" i="75"/>
  <c r="CT1125" i="75"/>
  <c r="BL1167" i="75"/>
  <c r="CH1169" i="75"/>
  <c r="CJ1183" i="75"/>
  <c r="CX1185" i="75"/>
  <c r="CF1187" i="75"/>
  <c r="I140" i="113"/>
  <c r="CN1225" i="75"/>
  <c r="CZ1251" i="75"/>
  <c r="D190" i="113"/>
  <c r="CZ779" i="75"/>
  <c r="CZ901" i="75"/>
  <c r="BN985" i="75"/>
  <c r="BT1173" i="75"/>
  <c r="BX1235" i="75"/>
  <c r="CR1247" i="75"/>
  <c r="CV1253" i="75"/>
  <c r="CD1223" i="75"/>
  <c r="CV535" i="75"/>
  <c r="V183" i="100"/>
  <c r="R331" i="100"/>
  <c r="CR769" i="75"/>
  <c r="BJ799" i="75"/>
  <c r="DF805" i="75"/>
  <c r="CP807" i="75"/>
  <c r="DF823" i="75"/>
  <c r="CD861" i="75"/>
  <c r="CX891" i="75"/>
  <c r="CT893" i="75"/>
  <c r="BZ921" i="75"/>
  <c r="DB925" i="75"/>
  <c r="CH927" i="75"/>
  <c r="DF929" i="75"/>
  <c r="DF943" i="75"/>
  <c r="DF953" i="75"/>
  <c r="CP1005" i="75"/>
  <c r="CP1071" i="75"/>
  <c r="X183" i="100"/>
  <c r="T164" i="100"/>
  <c r="I100" i="113"/>
  <c r="CD1177" i="75"/>
  <c r="Y591" i="1"/>
  <c r="C91" i="102"/>
  <c r="AC591" i="1"/>
  <c r="A316" i="100"/>
  <c r="A160" i="102" s="1"/>
  <c r="A189" i="100"/>
  <c r="A112" i="102" s="1"/>
  <c r="B122" i="102"/>
  <c r="C140" i="102"/>
  <c r="AI637" i="1"/>
  <c r="H147" i="102"/>
  <c r="F126" i="102"/>
  <c r="C144" i="102"/>
  <c r="G589" i="1"/>
  <c r="AL159" i="100"/>
  <c r="B25" i="90"/>
  <c r="BU85" i="90"/>
  <c r="J4" i="90"/>
  <c r="EI86" i="90"/>
  <c r="DH12" i="90"/>
  <c r="G12" i="102"/>
  <c r="H12" i="102" s="1"/>
  <c r="AL12" i="100"/>
  <c r="F26" i="102"/>
  <c r="H26" i="102"/>
  <c r="J44" i="102"/>
  <c r="F28" i="102"/>
  <c r="J28" i="102"/>
  <c r="AL35" i="100"/>
  <c r="AM591" i="1"/>
  <c r="B144" i="102"/>
  <c r="AB591" i="1"/>
  <c r="AD591" i="1"/>
  <c r="AJ591" i="1"/>
  <c r="C176" i="102"/>
  <c r="T3" i="101"/>
  <c r="AO591" i="1"/>
  <c r="A331" i="100"/>
  <c r="A175" i="102" s="1"/>
  <c r="AS591" i="1"/>
  <c r="AA591" i="1"/>
  <c r="DF233" i="75"/>
  <c r="DD233" i="75"/>
  <c r="CL503" i="75"/>
  <c r="CJ503" i="75"/>
  <c r="CZ643" i="75"/>
  <c r="CX643" i="75"/>
  <c r="BP685" i="75"/>
  <c r="BR685" i="75"/>
  <c r="DD693" i="75"/>
  <c r="DF693" i="75"/>
  <c r="CN701" i="75"/>
  <c r="CP701" i="75"/>
  <c r="DD739" i="75"/>
  <c r="DF739" i="75"/>
  <c r="BZ753" i="75"/>
  <c r="BX753" i="75"/>
  <c r="CB757" i="75"/>
  <c r="CD757" i="75"/>
  <c r="CL759" i="75"/>
  <c r="CJ759" i="75"/>
  <c r="CX761" i="75"/>
  <c r="CV761" i="75"/>
  <c r="DF769" i="75"/>
  <c r="DD769" i="75"/>
  <c r="CT775" i="75"/>
  <c r="CR775" i="75"/>
  <c r="DB838" i="75"/>
  <c r="DD837" i="75"/>
  <c r="CN873" i="75"/>
  <c r="CL873" i="75"/>
  <c r="CN951" i="75"/>
  <c r="CL951" i="75"/>
  <c r="BF981" i="75"/>
  <c r="BH981" i="75"/>
  <c r="BT983" i="75"/>
  <c r="BR983" i="75"/>
  <c r="CJ985" i="75"/>
  <c r="CH985" i="75"/>
  <c r="BZ991" i="75"/>
  <c r="CB991" i="75"/>
  <c r="BT993" i="75"/>
  <c r="BR993" i="75"/>
  <c r="DF1030" i="75"/>
  <c r="DF1029" i="75"/>
  <c r="BX1047" i="75"/>
  <c r="BV1047" i="75"/>
  <c r="CT1049" i="75"/>
  <c r="CV1049" i="75"/>
  <c r="CH1051" i="75"/>
  <c r="CJ1051" i="75"/>
  <c r="BX1055" i="75"/>
  <c r="BV1055" i="75"/>
  <c r="BX1057" i="75"/>
  <c r="BV1057" i="75"/>
  <c r="CT1063" i="75"/>
  <c r="CV1063" i="75"/>
  <c r="BL1105" i="75"/>
  <c r="BJ1105" i="75"/>
  <c r="BP1109" i="75"/>
  <c r="BN1109" i="75"/>
  <c r="CP1111" i="75"/>
  <c r="CR1111" i="75"/>
  <c r="CZ1135" i="75"/>
  <c r="CX1135" i="75"/>
  <c r="BT1169" i="75"/>
  <c r="BV1169" i="75"/>
  <c r="BX867" i="75"/>
  <c r="DF242" i="75"/>
  <c r="DF241" i="75"/>
  <c r="CR273" i="75"/>
  <c r="CT273" i="75"/>
  <c r="CB279" i="75"/>
  <c r="CD279" i="75"/>
  <c r="DF428" i="75"/>
  <c r="DC429" i="75" s="1" a="1"/>
  <c r="DC429" i="75" s="1"/>
  <c r="DD429" i="75" s="1"/>
  <c r="DF427" i="75"/>
  <c r="CN515" i="75"/>
  <c r="CP515" i="75"/>
  <c r="BT691" i="75"/>
  <c r="BV691" i="75"/>
  <c r="CB699" i="75"/>
  <c r="CD699" i="75"/>
  <c r="CV747" i="75"/>
  <c r="CX747" i="75"/>
  <c r="CT900" i="75"/>
  <c r="CT899" i="75"/>
  <c r="CV899" i="75"/>
  <c r="BL923" i="75"/>
  <c r="BJ923" i="75"/>
  <c r="CZ923" i="75"/>
  <c r="CX923" i="75"/>
  <c r="CT935" i="75"/>
  <c r="CV935" i="75"/>
  <c r="CZ1105" i="75"/>
  <c r="CX1105" i="75"/>
  <c r="DD1109" i="75"/>
  <c r="DB1109" i="75"/>
  <c r="CJ1113" i="75"/>
  <c r="CH1113" i="75"/>
  <c r="CF1115" i="75"/>
  <c r="CD1115" i="75"/>
  <c r="CJ257" i="75"/>
  <c r="CL257" i="75"/>
  <c r="CV259" i="75"/>
  <c r="CX259" i="75"/>
  <c r="DD267" i="75"/>
  <c r="DF267" i="75"/>
  <c r="CZ377" i="75"/>
  <c r="DB377" i="75"/>
  <c r="BX379" i="75"/>
  <c r="BZ379" i="75"/>
  <c r="BT383" i="75"/>
  <c r="BV383" i="75"/>
  <c r="CJ683" i="75"/>
  <c r="CL683" i="75"/>
  <c r="CL705" i="75"/>
  <c r="CJ705" i="75"/>
  <c r="BX745" i="75"/>
  <c r="BZ745" i="75"/>
  <c r="CD751" i="75"/>
  <c r="CB751" i="75"/>
  <c r="CV778" i="75"/>
  <c r="CX777" i="75"/>
  <c r="CL921" i="75"/>
  <c r="CN921" i="75"/>
  <c r="CV937" i="75"/>
  <c r="CT937" i="75"/>
  <c r="DD304" i="75"/>
  <c r="DD303" i="75"/>
  <c r="DF303" i="75"/>
  <c r="CL221" i="75"/>
  <c r="CJ221" i="75"/>
  <c r="E30" i="113"/>
  <c r="J30" i="113" s="1"/>
  <c r="BP267" i="75"/>
  <c r="BR267" i="75"/>
  <c r="CR281" i="75"/>
  <c r="CT281" i="75"/>
  <c r="CZ323" i="75"/>
  <c r="DB323" i="75"/>
  <c r="CN411" i="75"/>
  <c r="CP411" i="75"/>
  <c r="DB420" i="75"/>
  <c r="DB419" i="75"/>
  <c r="DB606" i="75"/>
  <c r="DB605" i="75"/>
  <c r="DF695" i="75"/>
  <c r="DD695" i="75"/>
  <c r="CH1119" i="75"/>
  <c r="CJ1119" i="75"/>
  <c r="DD419" i="75"/>
  <c r="J58" i="116"/>
  <c r="F30" i="113"/>
  <c r="CT347" i="75"/>
  <c r="CR347" i="75"/>
  <c r="DD365" i="75"/>
  <c r="DD366" i="75"/>
  <c r="DA367" i="75" s="1" a="1"/>
  <c r="DA371" i="75" s="1"/>
  <c r="CH397" i="75"/>
  <c r="CF397" i="75"/>
  <c r="CZ600" i="75"/>
  <c r="CS601" i="75" s="1" a="1"/>
  <c r="CS602" i="75" s="1"/>
  <c r="CZ599" i="75"/>
  <c r="DB599" i="75"/>
  <c r="CX722" i="75"/>
  <c r="CZ721" i="75"/>
  <c r="CR765" i="75"/>
  <c r="CT765" i="75"/>
  <c r="CZ844" i="75"/>
  <c r="DB843" i="75"/>
  <c r="CZ843" i="75"/>
  <c r="BT931" i="75"/>
  <c r="BR931" i="75"/>
  <c r="CV945" i="75"/>
  <c r="CT945" i="75"/>
  <c r="CX949" i="75"/>
  <c r="CZ949" i="75"/>
  <c r="DF968" i="75"/>
  <c r="DF967" i="75"/>
  <c r="CV1023" i="75"/>
  <c r="CV1024" i="75"/>
  <c r="CX1023" i="75"/>
  <c r="DB1071" i="75"/>
  <c r="DD1071" i="75"/>
  <c r="CT1073" i="75"/>
  <c r="CV1073" i="75"/>
  <c r="CT1080" i="75"/>
  <c r="CV1079" i="75"/>
  <c r="CT1079" i="75"/>
  <c r="CD1107" i="75"/>
  <c r="CF1107" i="75"/>
  <c r="CF1117" i="75"/>
  <c r="CD1117" i="75"/>
  <c r="CR1121" i="75"/>
  <c r="CP1121" i="75"/>
  <c r="DB1123" i="75"/>
  <c r="DD1123" i="75"/>
  <c r="CD1125" i="75"/>
  <c r="CF1125" i="75"/>
  <c r="CZ1127" i="75"/>
  <c r="CX1127" i="75"/>
  <c r="DD1133" i="75"/>
  <c r="DB1133" i="75"/>
  <c r="CX1137" i="75"/>
  <c r="CZ1137" i="75"/>
  <c r="CX1146" i="75"/>
  <c r="CX1145" i="75"/>
  <c r="CZ1145" i="75"/>
  <c r="DF1165" i="75"/>
  <c r="DD1165" i="75"/>
  <c r="CL325" i="75"/>
  <c r="CP619" i="75"/>
  <c r="CJ511" i="75"/>
  <c r="J59" i="112"/>
  <c r="BP501" i="75"/>
  <c r="CJ339" i="75"/>
  <c r="CL339" i="75"/>
  <c r="N161" i="113"/>
  <c r="CP1045" i="75"/>
  <c r="CZ297" i="75"/>
  <c r="N200" i="113"/>
  <c r="N191" i="113"/>
  <c r="E34" i="116"/>
  <c r="J34" i="116" s="1"/>
  <c r="F34" i="116"/>
  <c r="CC464" i="75"/>
  <c r="CC465" i="75"/>
  <c r="CC470" i="75"/>
  <c r="BX261" i="75"/>
  <c r="BZ261" i="75"/>
  <c r="CK844" i="75"/>
  <c r="CK849" i="75"/>
  <c r="CK836" i="75"/>
  <c r="CK843" i="75"/>
  <c r="CK854" i="75"/>
  <c r="CK835" i="75"/>
  <c r="CX1181" i="75"/>
  <c r="CV1181" i="75"/>
  <c r="CJ1185" i="75"/>
  <c r="CL1185" i="75"/>
  <c r="E121" i="116"/>
  <c r="E157" i="116"/>
  <c r="H157" i="116" s="1"/>
  <c r="F157" i="116"/>
  <c r="N90" i="113"/>
  <c r="N81" i="113"/>
  <c r="E173" i="116"/>
  <c r="F173" i="116"/>
  <c r="E27" i="116"/>
  <c r="F27" i="116"/>
  <c r="F135" i="115"/>
  <c r="DA791" i="75"/>
  <c r="DA790" i="75"/>
  <c r="E29" i="115"/>
  <c r="F29" i="115"/>
  <c r="DA794" i="75"/>
  <c r="F48" i="116"/>
  <c r="E48" i="116"/>
  <c r="H48" i="116" s="1"/>
  <c r="E191" i="115"/>
  <c r="H191" i="115" s="1"/>
  <c r="F191" i="115"/>
  <c r="E126" i="115"/>
  <c r="H126" i="115" s="1"/>
  <c r="F126" i="115"/>
  <c r="CA401" i="75" a="1"/>
  <c r="CA404" i="75" s="1"/>
  <c r="J72" i="116"/>
  <c r="CE906" i="75"/>
  <c r="F97" i="115"/>
  <c r="CJ349" i="75"/>
  <c r="DB488" i="75" a="1"/>
  <c r="DB488" i="75" s="1"/>
  <c r="J32" i="115"/>
  <c r="H32" i="115"/>
  <c r="I202" i="115"/>
  <c r="I205" i="115"/>
  <c r="J23" i="116"/>
  <c r="CM429" i="75"/>
  <c r="P193" i="100"/>
  <c r="E93" i="114"/>
  <c r="F17" i="115"/>
  <c r="D207" i="116"/>
  <c r="E207" i="116" s="1"/>
  <c r="D82" i="116"/>
  <c r="F82" i="116" s="1"/>
  <c r="D167" i="116"/>
  <c r="D69" i="116"/>
  <c r="I193" i="114"/>
  <c r="I137" i="114"/>
  <c r="DF369" i="75"/>
  <c r="DD370" i="75" s="1" a="1"/>
  <c r="CT505" i="75"/>
  <c r="DF991" i="75"/>
  <c r="BQ1257" i="75"/>
  <c r="H151" i="115"/>
  <c r="H21" i="115"/>
  <c r="D223" i="116"/>
  <c r="E223" i="116" s="1"/>
  <c r="J223" i="116" s="1"/>
  <c r="D143" i="116"/>
  <c r="D103" i="116"/>
  <c r="E103" i="116" s="1"/>
  <c r="J103" i="116" s="1"/>
  <c r="D144" i="116"/>
  <c r="F144" i="116" s="1"/>
  <c r="D169" i="116"/>
  <c r="D45" i="116"/>
  <c r="I96" i="114"/>
  <c r="I155" i="114"/>
  <c r="I99" i="114"/>
  <c r="BQ1235" i="75"/>
  <c r="BR1235" i="75" s="1"/>
  <c r="CL815" i="75"/>
  <c r="D226" i="116"/>
  <c r="D123" i="116"/>
  <c r="F123" i="116" s="1"/>
  <c r="D126" i="116"/>
  <c r="I191" i="114"/>
  <c r="I74" i="114"/>
  <c r="I192" i="114"/>
  <c r="I35" i="114"/>
  <c r="CV1237" i="75"/>
  <c r="CX1237" i="75"/>
  <c r="CV1245" i="75"/>
  <c r="CX1245" i="75"/>
  <c r="I179" i="114"/>
  <c r="D206" i="116"/>
  <c r="F206" i="116" s="1"/>
  <c r="D205" i="116"/>
  <c r="F205" i="116" s="1"/>
  <c r="D106" i="116"/>
  <c r="F106" i="116" s="1"/>
  <c r="D65" i="116"/>
  <c r="F65" i="116" s="1"/>
  <c r="I97" i="114"/>
  <c r="I77" i="114"/>
  <c r="CR503" i="75"/>
  <c r="CT503" i="75"/>
  <c r="CX877" i="75"/>
  <c r="CZ877" i="75"/>
  <c r="BP927" i="75"/>
  <c r="BN927" i="75"/>
  <c r="DD945" i="75"/>
  <c r="DB945" i="75"/>
  <c r="CT1003" i="75"/>
  <c r="CV1003" i="75"/>
  <c r="DD1024" i="75"/>
  <c r="DD1023" i="75"/>
  <c r="CF1065" i="75"/>
  <c r="CD1065" i="75"/>
  <c r="DB1079" i="75"/>
  <c r="DD1079" i="75"/>
  <c r="D108" i="116"/>
  <c r="E108" i="116" s="1"/>
  <c r="J108" i="116" s="1"/>
  <c r="F15" i="116"/>
  <c r="D221" i="116"/>
  <c r="E221" i="116" s="1"/>
  <c r="D141" i="116"/>
  <c r="D101" i="116"/>
  <c r="D142" i="116"/>
  <c r="D66" i="116"/>
  <c r="D41" i="116"/>
  <c r="F41" i="116" s="1"/>
  <c r="I194" i="114"/>
  <c r="I94" i="114"/>
  <c r="I174" i="114"/>
  <c r="I153" i="114"/>
  <c r="CB509" i="75"/>
  <c r="CZ291" i="75"/>
  <c r="CV325" i="75"/>
  <c r="BX333" i="75"/>
  <c r="CJ395" i="75"/>
  <c r="D204" i="116"/>
  <c r="D203" i="116"/>
  <c r="D166" i="116"/>
  <c r="D104" i="116"/>
  <c r="D64" i="116"/>
  <c r="D61" i="116"/>
  <c r="D29" i="116"/>
  <c r="I177" i="114"/>
  <c r="I199" i="114"/>
  <c r="I75" i="114"/>
  <c r="I55" i="114"/>
  <c r="CD267" i="75"/>
  <c r="DD603" i="75"/>
  <c r="CT321" i="75"/>
  <c r="DD662" i="75"/>
  <c r="DF661" i="75"/>
  <c r="CT780" i="75"/>
  <c r="CV779" i="75"/>
  <c r="CZ840" i="75"/>
  <c r="DB839" i="75"/>
  <c r="DF861" i="75"/>
  <c r="DD861" i="75"/>
  <c r="BT935" i="75"/>
  <c r="BV935" i="75"/>
  <c r="CF941" i="75"/>
  <c r="CH941" i="75"/>
  <c r="DF972" i="75"/>
  <c r="DC973" i="75" s="1" a="1"/>
  <c r="DF971" i="75"/>
  <c r="CH983" i="75"/>
  <c r="CF983" i="75"/>
  <c r="CN991" i="75"/>
  <c r="CP991" i="75"/>
  <c r="CF993" i="75"/>
  <c r="CH993" i="75"/>
  <c r="CZ1013" i="75"/>
  <c r="DB1013" i="75"/>
  <c r="CX1175" i="75"/>
  <c r="CZ1175" i="75"/>
  <c r="I98" i="114"/>
  <c r="D129" i="116"/>
  <c r="F129" i="116" s="1"/>
  <c r="D164" i="116"/>
  <c r="I134" i="114"/>
  <c r="I92" i="114"/>
  <c r="I57" i="114"/>
  <c r="CF1229" i="75"/>
  <c r="BN257" i="75"/>
  <c r="BZ259" i="75"/>
  <c r="CP261" i="75"/>
  <c r="CR279" i="75"/>
  <c r="CV387" i="75"/>
  <c r="F151" i="116"/>
  <c r="D68" i="116"/>
  <c r="D202" i="116"/>
  <c r="D183" i="116"/>
  <c r="D162" i="116"/>
  <c r="E162" i="116" s="1"/>
  <c r="D102" i="116"/>
  <c r="F102" i="116" s="1"/>
  <c r="D85" i="116"/>
  <c r="D22" i="116"/>
  <c r="E22" i="116" s="1"/>
  <c r="E187" i="114"/>
  <c r="J187" i="114" s="1"/>
  <c r="I52" i="114"/>
  <c r="CV403" i="75"/>
  <c r="E178" i="114"/>
  <c r="J178" i="114" s="1"/>
  <c r="D185" i="116"/>
  <c r="F185" i="116" s="1"/>
  <c r="H158" i="116"/>
  <c r="D21" i="116"/>
  <c r="E21" i="116" s="1"/>
  <c r="D87" i="116"/>
  <c r="D24" i="116"/>
  <c r="F24" i="116" s="1"/>
  <c r="I173" i="114"/>
  <c r="I54" i="114"/>
  <c r="CX1200" i="75"/>
  <c r="DB783" i="75"/>
  <c r="CT589" i="75"/>
  <c r="DB1143" i="75"/>
  <c r="F192" i="116"/>
  <c r="D187" i="116"/>
  <c r="D184" i="116"/>
  <c r="D26" i="116"/>
  <c r="F26" i="116" s="1"/>
  <c r="I154" i="114"/>
  <c r="I32" i="114"/>
  <c r="I56" i="114"/>
  <c r="D229" i="116"/>
  <c r="E229" i="116" s="1"/>
  <c r="J229" i="116" s="1"/>
  <c r="D189" i="116"/>
  <c r="D81" i="116"/>
  <c r="F81" i="116" s="1"/>
  <c r="D83" i="116"/>
  <c r="E83" i="116" s="1"/>
  <c r="I171" i="114"/>
  <c r="I34" i="114"/>
  <c r="I53" i="114"/>
  <c r="I58" i="114"/>
  <c r="F174" i="116"/>
  <c r="I158" i="114"/>
  <c r="I201" i="115"/>
  <c r="I37" i="114"/>
  <c r="I36" i="114"/>
  <c r="CV659" i="75"/>
  <c r="CH317" i="75"/>
  <c r="CT319" i="75"/>
  <c r="DB327" i="75"/>
  <c r="CT329" i="75"/>
  <c r="CT335" i="75"/>
  <c r="CP459" i="75"/>
  <c r="BR497" i="75"/>
  <c r="CD509" i="75"/>
  <c r="DF527" i="75"/>
  <c r="CT531" i="75"/>
  <c r="DB585" i="75"/>
  <c r="BJ681" i="75"/>
  <c r="CD701" i="75"/>
  <c r="CV781" i="75"/>
  <c r="CN833" i="75"/>
  <c r="CX536" i="75"/>
  <c r="CZ535" i="75"/>
  <c r="CZ1022" i="75"/>
  <c r="CZ1021" i="75"/>
  <c r="DD1152" i="75"/>
  <c r="DC1153" i="75" s="1" a="1"/>
  <c r="DC1156" i="75" s="1"/>
  <c r="DD1151" i="75"/>
  <c r="CL1181" i="75"/>
  <c r="CN1181" i="75"/>
  <c r="CV1195" i="75"/>
  <c r="CT1195" i="75"/>
  <c r="CT1197" i="75"/>
  <c r="CV1197" i="75"/>
  <c r="DB1266" i="75"/>
  <c r="DD1265" i="75"/>
  <c r="F65" i="115"/>
  <c r="D227" i="116"/>
  <c r="D147" i="116"/>
  <c r="D107" i="116"/>
  <c r="F107" i="116" s="1"/>
  <c r="D181" i="116"/>
  <c r="D88" i="116"/>
  <c r="F88" i="116" s="1"/>
  <c r="I204" i="115"/>
  <c r="I172" i="114"/>
  <c r="BX511" i="75"/>
  <c r="CZ401" i="75"/>
  <c r="E25" i="115"/>
  <c r="H25" i="115" s="1"/>
  <c r="D86" i="116"/>
  <c r="D44" i="116"/>
  <c r="E44" i="116" s="1"/>
  <c r="J44" i="116" s="1"/>
  <c r="D43" i="116"/>
  <c r="I197" i="114"/>
  <c r="I206" i="115"/>
  <c r="I33" i="114"/>
  <c r="CT865" i="75"/>
  <c r="BZ1167" i="75"/>
  <c r="BQ1252" i="75"/>
  <c r="H89" i="112"/>
  <c r="F78" i="115"/>
  <c r="H168" i="112"/>
  <c r="E56" i="114"/>
  <c r="J56" i="114" s="1"/>
  <c r="F26" i="115"/>
  <c r="I207" i="115"/>
  <c r="BN981" i="75"/>
  <c r="BZ941" i="75"/>
  <c r="CT449" i="75"/>
  <c r="CL587" i="75"/>
  <c r="CM422" i="75"/>
  <c r="P185" i="100"/>
  <c r="BQ1236" i="75"/>
  <c r="H39" i="114"/>
  <c r="DD237" i="75"/>
  <c r="CT391" i="75"/>
  <c r="DF295" i="75"/>
  <c r="E73" i="114"/>
  <c r="J73" i="114" s="1"/>
  <c r="F176" i="114"/>
  <c r="D145" i="116"/>
  <c r="F145" i="116" s="1"/>
  <c r="I208" i="115"/>
  <c r="I157" i="114"/>
  <c r="I139" i="114"/>
  <c r="CT523" i="75"/>
  <c r="CX871" i="75"/>
  <c r="DD239" i="75"/>
  <c r="CV597" i="75"/>
  <c r="DD547" i="75"/>
  <c r="CD1227" i="75"/>
  <c r="CX897" i="75"/>
  <c r="CB701" i="75"/>
  <c r="CL679" i="75"/>
  <c r="CX701" i="75"/>
  <c r="CX711" i="75"/>
  <c r="CR811" i="75"/>
  <c r="DB447" i="75"/>
  <c r="BJ559" i="75"/>
  <c r="CP567" i="75"/>
  <c r="DF573" i="75"/>
  <c r="DD583" i="75"/>
  <c r="CL585" i="75"/>
  <c r="CV589" i="75"/>
  <c r="BR743" i="75"/>
  <c r="DF773" i="75"/>
  <c r="DB861" i="75"/>
  <c r="CZ951" i="75"/>
  <c r="CN955" i="75"/>
  <c r="CB987" i="75"/>
  <c r="CX1025" i="75"/>
  <c r="DD1045" i="75"/>
  <c r="CV1051" i="75"/>
  <c r="DD1075" i="75"/>
  <c r="DD1077" i="75"/>
  <c r="BX1105" i="75"/>
  <c r="CR1107" i="75"/>
  <c r="BP1111" i="75"/>
  <c r="CB1123" i="75"/>
  <c r="CR1125" i="75"/>
  <c r="CP1191" i="75"/>
  <c r="DD1272" i="75"/>
  <c r="DC1273" i="75" s="1" a="1"/>
  <c r="DC1274" i="75" s="1"/>
  <c r="DF1271" i="75"/>
  <c r="DB1272" i="75" s="1" a="1"/>
  <c r="CD333" i="75"/>
  <c r="CH335" i="75"/>
  <c r="CR1260" i="75"/>
  <c r="CT1259" i="75"/>
  <c r="CR261" i="75"/>
  <c r="BX263" i="75"/>
  <c r="CJ267" i="75"/>
  <c r="BX273" i="75"/>
  <c r="CJ277" i="75"/>
  <c r="DD287" i="75"/>
  <c r="DB321" i="75"/>
  <c r="CJ345" i="75"/>
  <c r="DF349" i="75"/>
  <c r="DB353" i="75"/>
  <c r="CN437" i="75"/>
  <c r="BL439" i="75"/>
  <c r="CD441" i="75"/>
  <c r="BV447" i="75"/>
  <c r="CX451" i="75"/>
  <c r="DB455" i="75"/>
  <c r="CH459" i="75"/>
  <c r="CX461" i="75"/>
  <c r="DB465" i="75"/>
  <c r="BV499" i="75"/>
  <c r="BR503" i="75"/>
  <c r="CP505" i="75"/>
  <c r="BV509" i="75"/>
  <c r="CN893" i="75"/>
  <c r="CJ1005" i="75"/>
  <c r="CR1101" i="75"/>
  <c r="CZ1107" i="75"/>
  <c r="DD1113" i="75"/>
  <c r="BN197" i="75"/>
  <c r="BZ511" i="75"/>
  <c r="CN635" i="75"/>
  <c r="BT813" i="75"/>
  <c r="CF819" i="75"/>
  <c r="CN879" i="75"/>
  <c r="CR995" i="75"/>
  <c r="CH1223" i="75"/>
  <c r="CJ1233" i="75"/>
  <c r="CH1249" i="75"/>
  <c r="CZ467" i="75"/>
  <c r="CF499" i="75"/>
  <c r="CX782" i="75"/>
  <c r="CZ781" i="75"/>
  <c r="BJ863" i="75"/>
  <c r="CP879" i="75"/>
  <c r="BR925" i="75"/>
  <c r="DF1001" i="75"/>
  <c r="CA1005" i="75" a="1"/>
  <c r="CA1007" i="75" s="1"/>
  <c r="CL1011" i="75"/>
  <c r="BF1041" i="75"/>
  <c r="BR1043" i="75"/>
  <c r="DF1043" i="75"/>
  <c r="BK1049" i="75" a="1"/>
  <c r="BK1072" i="75" s="1"/>
  <c r="DF1053" i="75"/>
  <c r="CV1165" i="75"/>
  <c r="CZ701" i="75"/>
  <c r="CV621" i="75"/>
  <c r="BX623" i="75"/>
  <c r="CV631" i="75"/>
  <c r="CB985" i="75"/>
  <c r="CZ897" i="75"/>
  <c r="CJ209" i="75"/>
  <c r="CZ233" i="75"/>
  <c r="BX265" i="75"/>
  <c r="BX497" i="75"/>
  <c r="CZ501" i="75"/>
  <c r="CZ523" i="75"/>
  <c r="CN573" i="75"/>
  <c r="CL649" i="75"/>
  <c r="H113" i="114"/>
  <c r="DB787" i="75"/>
  <c r="CL199" i="75"/>
  <c r="BP201" i="75"/>
  <c r="BN621" i="75"/>
  <c r="BL1045" i="75"/>
  <c r="CR1051" i="75"/>
  <c r="CJ1059" i="75"/>
  <c r="CH1065" i="75"/>
  <c r="CZ1077" i="75"/>
  <c r="CT1129" i="75"/>
  <c r="CZ1147" i="75"/>
  <c r="BL1227" i="75"/>
  <c r="CJ1243" i="75"/>
  <c r="DF413" i="75"/>
  <c r="CL437" i="75"/>
  <c r="BX441" i="75"/>
  <c r="CB445" i="75"/>
  <c r="DD447" i="75"/>
  <c r="DB559" i="75"/>
  <c r="BZ561" i="75"/>
  <c r="CP563" i="75"/>
  <c r="CH569" i="75"/>
  <c r="BZ571" i="75"/>
  <c r="BV573" i="75"/>
  <c r="BV575" i="75"/>
  <c r="BX577" i="75"/>
  <c r="BY581" i="75" a="1"/>
  <c r="BY598" i="75" s="1"/>
  <c r="CP585" i="75"/>
  <c r="DB589" i="75"/>
  <c r="CT591" i="75"/>
  <c r="CP595" i="75"/>
  <c r="DB724" i="75"/>
  <c r="DD723" i="75"/>
  <c r="BZ879" i="75"/>
  <c r="CP955" i="75"/>
  <c r="G210" i="113"/>
  <c r="N201" i="113" s="1"/>
  <c r="I110" i="113"/>
  <c r="BP689" i="75"/>
  <c r="BV811" i="75"/>
  <c r="DD849" i="75"/>
  <c r="CZ1229" i="75"/>
  <c r="CH865" i="75"/>
  <c r="DF867" i="75"/>
  <c r="CN871" i="75"/>
  <c r="CN877" i="75"/>
  <c r="DF881" i="75"/>
  <c r="CH883" i="75"/>
  <c r="DF891" i="75"/>
  <c r="DB893" i="75"/>
  <c r="DB895" i="75"/>
  <c r="BC921" i="75" a="1"/>
  <c r="BC957" i="75" s="1"/>
  <c r="CH921" i="75"/>
  <c r="BH923" i="75"/>
  <c r="CB929" i="75"/>
  <c r="BM931" i="75" a="1"/>
  <c r="BM953" i="75" s="1"/>
  <c r="BP931" i="75"/>
  <c r="CV933" i="75"/>
  <c r="CR935" i="75"/>
  <c r="CR937" i="75"/>
  <c r="CV939" i="75"/>
  <c r="BW941" i="75" a="1"/>
  <c r="BW944" i="75" s="1"/>
  <c r="CB943" i="75"/>
  <c r="CM957" i="75" a="1"/>
  <c r="CM976" i="75" s="1"/>
  <c r="CO959" i="75" a="1"/>
  <c r="CO968" i="75" s="1"/>
  <c r="CV1127" i="75"/>
  <c r="DF1131" i="75"/>
  <c r="CZ1133" i="75"/>
  <c r="CV1135" i="75"/>
  <c r="CV1137" i="75"/>
  <c r="CZ1165" i="75"/>
  <c r="CF1167" i="75"/>
  <c r="BP1169" i="75"/>
  <c r="DD1169" i="75"/>
  <c r="CR1171" i="75"/>
  <c r="CH1175" i="75"/>
  <c r="CJ1179" i="75"/>
  <c r="CR1181" i="75"/>
  <c r="DD1183" i="75"/>
  <c r="CF1185" i="75"/>
  <c r="CJ1189" i="75"/>
  <c r="CZ1195" i="75"/>
  <c r="CZ1197" i="75"/>
  <c r="I120" i="113"/>
  <c r="BP739" i="75"/>
  <c r="CR743" i="75"/>
  <c r="CH801" i="75"/>
  <c r="CX803" i="75"/>
  <c r="CT1011" i="75"/>
  <c r="CN1245" i="75"/>
  <c r="D100" i="113"/>
  <c r="DF231" i="75"/>
  <c r="CX275" i="75"/>
  <c r="BF317" i="75"/>
  <c r="CT317" i="75"/>
  <c r="BZ327" i="75"/>
  <c r="DF335" i="75"/>
  <c r="CH343" i="75"/>
  <c r="CF623" i="75"/>
  <c r="CX679" i="75"/>
  <c r="DF703" i="75"/>
  <c r="CD741" i="75"/>
  <c r="BZ755" i="75"/>
  <c r="CX771" i="75"/>
  <c r="CJ801" i="75"/>
  <c r="CV927" i="75"/>
  <c r="I80" i="113"/>
  <c r="CP211" i="75"/>
  <c r="CR215" i="75"/>
  <c r="DB217" i="75"/>
  <c r="CT225" i="75"/>
  <c r="CZ259" i="75"/>
  <c r="CV263" i="75"/>
  <c r="CH265" i="75"/>
  <c r="BV267" i="75"/>
  <c r="CV273" i="75"/>
  <c r="CX281" i="75"/>
  <c r="DF323" i="75"/>
  <c r="CL343" i="75"/>
  <c r="CP349" i="75"/>
  <c r="CZ441" i="75"/>
  <c r="CZ473" i="75"/>
  <c r="CZ1171" i="75"/>
  <c r="CN1177" i="75"/>
  <c r="CR1179" i="75"/>
  <c r="CZ1181" i="75"/>
  <c r="DB1201" i="75"/>
  <c r="CV209" i="75"/>
  <c r="CB219" i="75"/>
  <c r="DD269" i="75"/>
  <c r="CJ279" i="75"/>
  <c r="CF283" i="75"/>
  <c r="DD285" i="75"/>
  <c r="D60" i="113"/>
  <c r="T12" i="100"/>
  <c r="T190" i="100"/>
  <c r="T198" i="100"/>
  <c r="X337" i="100"/>
  <c r="I170" i="113"/>
  <c r="V295" i="100"/>
  <c r="Z14" i="100"/>
  <c r="R11" i="100"/>
  <c r="BT207" i="75"/>
  <c r="CN227" i="75"/>
  <c r="CV257" i="75"/>
  <c r="DF269" i="75"/>
  <c r="DB271" i="75"/>
  <c r="DD273" i="75"/>
  <c r="BL317" i="75"/>
  <c r="BX319" i="75"/>
  <c r="CT325" i="75"/>
  <c r="BT331" i="75"/>
  <c r="BV333" i="75"/>
  <c r="BR377" i="75"/>
  <c r="CF379" i="75"/>
  <c r="CV381" i="75"/>
  <c r="BZ383" i="75"/>
  <c r="BP441" i="75"/>
  <c r="CJ443" i="75"/>
  <c r="CJ453" i="75"/>
  <c r="CN465" i="75"/>
  <c r="DD471" i="75"/>
  <c r="DB507" i="75"/>
  <c r="CR559" i="75"/>
  <c r="BP561" i="75"/>
  <c r="DD561" i="75"/>
  <c r="CD563" i="75"/>
  <c r="BL565" i="75"/>
  <c r="CZ565" i="75"/>
  <c r="CJ567" i="75"/>
  <c r="BX569" i="75"/>
  <c r="DD577" i="75"/>
  <c r="DB587" i="75"/>
  <c r="BP679" i="75"/>
  <c r="DD803" i="75"/>
  <c r="CX819" i="75"/>
  <c r="D130" i="113"/>
  <c r="AH322" i="100"/>
  <c r="AA166" i="102" s="1"/>
  <c r="BP749" i="75"/>
  <c r="CZ801" i="75"/>
  <c r="CB803" i="75"/>
  <c r="CZ827" i="75"/>
  <c r="CT925" i="75"/>
  <c r="R167" i="100"/>
  <c r="AF205" i="100"/>
  <c r="DD197" i="75"/>
  <c r="CB199" i="75"/>
  <c r="BX203" i="75"/>
  <c r="DD423" i="75"/>
  <c r="CZ461" i="75"/>
  <c r="CF937" i="75"/>
  <c r="DD943" i="75"/>
  <c r="CF1049" i="75"/>
  <c r="CP1165" i="75"/>
  <c r="CP1195" i="75"/>
  <c r="G140" i="113"/>
  <c r="AF288" i="100"/>
  <c r="AJ308" i="100"/>
  <c r="AF328" i="100"/>
  <c r="AH160" i="100"/>
  <c r="AA83" i="102" s="1"/>
  <c r="AD32" i="100"/>
  <c r="R15" i="100"/>
  <c r="AF13" i="100"/>
  <c r="P190" i="100"/>
  <c r="AF309" i="100"/>
  <c r="AJ29" i="100"/>
  <c r="AE2" i="101"/>
  <c r="AE3" i="101" s="1"/>
  <c r="J117" i="102"/>
  <c r="C145" i="102"/>
  <c r="H116" i="102"/>
  <c r="AL337" i="100"/>
  <c r="J98" i="102"/>
  <c r="H180" i="102"/>
  <c r="AL291" i="100"/>
  <c r="H130" i="102"/>
  <c r="F130" i="102"/>
  <c r="H172" i="102"/>
  <c r="B151" i="102"/>
  <c r="B175" i="102"/>
  <c r="F150" i="102"/>
  <c r="J116" i="102"/>
  <c r="B100" i="102"/>
  <c r="H151" i="102"/>
  <c r="A299" i="100"/>
  <c r="A143" i="102" s="1"/>
  <c r="F115" i="102"/>
  <c r="B155" i="102"/>
  <c r="C166" i="102"/>
  <c r="B99" i="102"/>
  <c r="C142" i="102"/>
  <c r="F153" i="102"/>
  <c r="C170" i="102"/>
  <c r="AL309" i="100"/>
  <c r="A178" i="100"/>
  <c r="A101" i="102" s="1"/>
  <c r="C169" i="102"/>
  <c r="A167" i="100"/>
  <c r="A90" i="102" s="1"/>
  <c r="B119" i="102"/>
  <c r="CE231" i="75"/>
  <c r="H104" i="115"/>
  <c r="CK834" i="75"/>
  <c r="DA1215" i="75"/>
  <c r="M50" i="113"/>
  <c r="J12" i="116"/>
  <c r="E194" i="116"/>
  <c r="H194" i="116" s="1"/>
  <c r="H189" i="115"/>
  <c r="CK842" i="75"/>
  <c r="DA1213" i="75"/>
  <c r="H38" i="116"/>
  <c r="CM424" i="75"/>
  <c r="CK846" i="75"/>
  <c r="E199" i="112"/>
  <c r="J199" i="112" s="1"/>
  <c r="BT1107" i="75"/>
  <c r="BV1107" i="75"/>
  <c r="M20" i="113"/>
  <c r="J93" i="115"/>
  <c r="E31" i="116"/>
  <c r="H31" i="116" s="1"/>
  <c r="E119" i="115"/>
  <c r="J119" i="115" s="1"/>
  <c r="F224" i="116"/>
  <c r="E224" i="116"/>
  <c r="J224" i="116" s="1"/>
  <c r="E24" i="112"/>
  <c r="J24" i="112" s="1"/>
  <c r="F24" i="112"/>
  <c r="CV995" i="75"/>
  <c r="CT995" i="75"/>
  <c r="CX999" i="75"/>
  <c r="CZ999" i="75"/>
  <c r="CV1005" i="75"/>
  <c r="CT1005" i="75"/>
  <c r="CZ1009" i="75"/>
  <c r="CX1009" i="75"/>
  <c r="DF1028" i="75"/>
  <c r="DF1027" i="75"/>
  <c r="CT1041" i="75"/>
  <c r="CV1041" i="75"/>
  <c r="CJ1045" i="75"/>
  <c r="CH1045" i="75"/>
  <c r="DB1047" i="75"/>
  <c r="DD1047" i="75"/>
  <c r="CL1049" i="75"/>
  <c r="CN1049" i="75"/>
  <c r="BZ1051" i="75"/>
  <c r="CB1051" i="75"/>
  <c r="BT1053" i="75"/>
  <c r="BR1053" i="75"/>
  <c r="DD1057" i="75"/>
  <c r="DB1057" i="75"/>
  <c r="DD1065" i="75"/>
  <c r="DB1065" i="75"/>
  <c r="CV1071" i="75"/>
  <c r="CT1071" i="75"/>
  <c r="CL1073" i="75"/>
  <c r="CN1073" i="75"/>
  <c r="CK473" i="75"/>
  <c r="CE244" i="75"/>
  <c r="CT215" i="75"/>
  <c r="CZ967" i="75"/>
  <c r="CZ968" i="75"/>
  <c r="DB967" i="75"/>
  <c r="BL983" i="75"/>
  <c r="BN983" i="75"/>
  <c r="DB983" i="75"/>
  <c r="CZ983" i="75"/>
  <c r="CV987" i="75"/>
  <c r="CX987" i="75"/>
  <c r="CH989" i="75"/>
  <c r="CF989" i="75"/>
  <c r="BV991" i="75"/>
  <c r="BT991" i="75"/>
  <c r="CZ993" i="75"/>
  <c r="DB993" i="75"/>
  <c r="N120" i="113"/>
  <c r="AS124" i="113" s="1"/>
  <c r="F139" i="115"/>
  <c r="E139" i="115"/>
  <c r="BZ859" i="75"/>
  <c r="CB859" i="75"/>
  <c r="BN863" i="75"/>
  <c r="BP863" i="75"/>
  <c r="BT867" i="75"/>
  <c r="BR867" i="75"/>
  <c r="CT869" i="75"/>
  <c r="CV869" i="75"/>
  <c r="CJ873" i="75"/>
  <c r="CH873" i="75"/>
  <c r="CH875" i="75"/>
  <c r="CJ875" i="75"/>
  <c r="CV879" i="75"/>
  <c r="CT879" i="75"/>
  <c r="DB885" i="75"/>
  <c r="DD885" i="75"/>
  <c r="CN887" i="75"/>
  <c r="CL887" i="75"/>
  <c r="BX925" i="75"/>
  <c r="BV925" i="75"/>
  <c r="CP927" i="75"/>
  <c r="CR927" i="75"/>
  <c r="DB931" i="75"/>
  <c r="DD931" i="75"/>
  <c r="DD941" i="75"/>
  <c r="DB941" i="75"/>
  <c r="CP945" i="75"/>
  <c r="CR945" i="75"/>
  <c r="CT949" i="75"/>
  <c r="CV949" i="75"/>
  <c r="CX962" i="75"/>
  <c r="CZ961" i="75"/>
  <c r="E109" i="116"/>
  <c r="J109" i="116" s="1"/>
  <c r="M21" i="113"/>
  <c r="E131" i="115"/>
  <c r="J131" i="115" s="1"/>
  <c r="CT209" i="75"/>
  <c r="CR209" i="75"/>
  <c r="CB261" i="75"/>
  <c r="CD261" i="75"/>
  <c r="DD298" i="75"/>
  <c r="DF297" i="75"/>
  <c r="BT319" i="75"/>
  <c r="BR319" i="75"/>
  <c r="BV437" i="75"/>
  <c r="BT437" i="75"/>
  <c r="CN499" i="75"/>
  <c r="CP499" i="75"/>
  <c r="DD501" i="75"/>
  <c r="DF501" i="75"/>
  <c r="CV507" i="75"/>
  <c r="CX507" i="75"/>
  <c r="CN509" i="75"/>
  <c r="CP509" i="75"/>
  <c r="CL513" i="75"/>
  <c r="CJ513" i="75"/>
  <c r="CL521" i="75"/>
  <c r="CJ521" i="75"/>
  <c r="BH561" i="75"/>
  <c r="BJ561" i="75"/>
  <c r="CX561" i="75"/>
  <c r="CV561" i="75"/>
  <c r="CE238" i="75"/>
  <c r="M201" i="113"/>
  <c r="F159" i="115"/>
  <c r="E159" i="115"/>
  <c r="E88" i="114"/>
  <c r="J88" i="114" s="1"/>
  <c r="CE234" i="75"/>
  <c r="CE912" i="75"/>
  <c r="CC478" i="75"/>
  <c r="CJ921" i="75"/>
  <c r="E159" i="116"/>
  <c r="E108" i="115"/>
  <c r="J96" i="115"/>
  <c r="H96" i="115"/>
  <c r="F155" i="114"/>
  <c r="E155" i="114"/>
  <c r="J155" i="114" s="1"/>
  <c r="F48" i="112"/>
  <c r="E48" i="112"/>
  <c r="J48" i="112" s="1"/>
  <c r="CE909" i="75"/>
  <c r="CC488" i="75"/>
  <c r="BC251" i="75"/>
  <c r="F55" i="116"/>
  <c r="CJ883" i="75"/>
  <c r="E69" i="112"/>
  <c r="J69" i="112" s="1"/>
  <c r="E114" i="116"/>
  <c r="CC480" i="75"/>
  <c r="J141" i="115"/>
  <c r="F94" i="115"/>
  <c r="E94" i="115"/>
  <c r="CC492" i="75"/>
  <c r="M131" i="113"/>
  <c r="F140" i="113"/>
  <c r="E145" i="112"/>
  <c r="CE239" i="75"/>
  <c r="CC477" i="75"/>
  <c r="CK851" i="75"/>
  <c r="E211" i="115"/>
  <c r="H211" i="115" s="1"/>
  <c r="CP213" i="75"/>
  <c r="BP323" i="75"/>
  <c r="CP381" i="75"/>
  <c r="DB782" i="75"/>
  <c r="DB781" i="75"/>
  <c r="CV923" i="75"/>
  <c r="DF1204" i="75"/>
  <c r="DF1203" i="75"/>
  <c r="E44" i="115"/>
  <c r="H44" i="115" s="1"/>
  <c r="E98" i="114"/>
  <c r="J98" i="114" s="1"/>
  <c r="DD235" i="75"/>
  <c r="CL1059" i="75"/>
  <c r="DD271" i="75"/>
  <c r="BN1045" i="75"/>
  <c r="CF801" i="75"/>
  <c r="CH451" i="75"/>
  <c r="CL455" i="75"/>
  <c r="CH461" i="75"/>
  <c r="DB463" i="75"/>
  <c r="CL465" i="75"/>
  <c r="DF469" i="75"/>
  <c r="CH497" i="75"/>
  <c r="CT499" i="75"/>
  <c r="CP511" i="75"/>
  <c r="CP521" i="75"/>
  <c r="DB561" i="75"/>
  <c r="CH567" i="75"/>
  <c r="CP589" i="75"/>
  <c r="BP625" i="75"/>
  <c r="CZ803" i="75"/>
  <c r="BP807" i="75"/>
  <c r="DD807" i="75"/>
  <c r="CR809" i="75"/>
  <c r="CJ811" i="75"/>
  <c r="CF813" i="75"/>
  <c r="CF815" i="75"/>
  <c r="CJ817" i="75"/>
  <c r="CR819" i="75"/>
  <c r="DD821" i="75"/>
  <c r="CZ825" i="75"/>
  <c r="CZ833" i="75"/>
  <c r="CZ835" i="75"/>
  <c r="CZ933" i="75"/>
  <c r="CZ1041" i="75"/>
  <c r="CF1051" i="75"/>
  <c r="DF1153" i="75"/>
  <c r="DD1154" i="75" s="1" a="1"/>
  <c r="DD1154" i="75" s="1"/>
  <c r="G118" i="116"/>
  <c r="E13" i="114"/>
  <c r="E112" i="115"/>
  <c r="J112" i="115" s="1"/>
  <c r="F96" i="115"/>
  <c r="BQ1255" i="75"/>
  <c r="DF729" i="75"/>
  <c r="DD199" i="75"/>
  <c r="BV207" i="75"/>
  <c r="DB209" i="75"/>
  <c r="CJ497" i="75"/>
  <c r="DD507" i="75"/>
  <c r="CR511" i="75"/>
  <c r="CR513" i="75"/>
  <c r="CX515" i="75"/>
  <c r="DF517" i="75"/>
  <c r="CZ537" i="75"/>
  <c r="BR571" i="75"/>
  <c r="DF571" i="75"/>
  <c r="DB575" i="75"/>
  <c r="DF587" i="75"/>
  <c r="CR627" i="75"/>
  <c r="CF629" i="75"/>
  <c r="BX631" i="75"/>
  <c r="BX637" i="75"/>
  <c r="CH745" i="75"/>
  <c r="DD747" i="75"/>
  <c r="CT749" i="75"/>
  <c r="CJ751" i="75"/>
  <c r="CH753" i="75"/>
  <c r="DF761" i="75"/>
  <c r="CH763" i="75"/>
  <c r="DD771" i="75"/>
  <c r="BP803" i="75"/>
  <c r="CJ815" i="75"/>
  <c r="CN989" i="75"/>
  <c r="F16" i="114"/>
  <c r="F116" i="115"/>
  <c r="E117" i="115"/>
  <c r="E195" i="112"/>
  <c r="BQ1263" i="75"/>
  <c r="BF197" i="75"/>
  <c r="BR199" i="75"/>
  <c r="CZ203" i="75"/>
  <c r="CZ221" i="75"/>
  <c r="CN283" i="75"/>
  <c r="BR317" i="75"/>
  <c r="DF317" i="75"/>
  <c r="CJ585" i="75"/>
  <c r="CJ1129" i="75"/>
  <c r="CH1129" i="75"/>
  <c r="DB1140" i="75"/>
  <c r="CQ1141" i="75" s="1" a="1"/>
  <c r="CQ1143" i="75" s="1"/>
  <c r="DB1139" i="75"/>
  <c r="DF853" i="75"/>
  <c r="CN205" i="75"/>
  <c r="BR209" i="75"/>
  <c r="DD213" i="75"/>
  <c r="DF215" i="75"/>
  <c r="BP257" i="75"/>
  <c r="CV265" i="75"/>
  <c r="CB269" i="75"/>
  <c r="CX321" i="75"/>
  <c r="CP327" i="75"/>
  <c r="CT397" i="75"/>
  <c r="CR451" i="75"/>
  <c r="CV455" i="75"/>
  <c r="DD457" i="75"/>
  <c r="CV465" i="75"/>
  <c r="DF778" i="75"/>
  <c r="DF777" i="75"/>
  <c r="BL197" i="75"/>
  <c r="BX199" i="75"/>
  <c r="CN201" i="75"/>
  <c r="CP205" i="75"/>
  <c r="DF213" i="75"/>
  <c r="BW217" i="75" a="1"/>
  <c r="BW244" i="75" s="1"/>
  <c r="CA221" i="75" a="1"/>
  <c r="CA227" i="75" s="1"/>
  <c r="BZ271" i="75"/>
  <c r="CD275" i="75"/>
  <c r="CX279" i="75"/>
  <c r="CX289" i="75"/>
  <c r="BP325" i="75"/>
  <c r="CP379" i="75"/>
  <c r="BR381" i="75"/>
  <c r="BQ573" i="75" a="1"/>
  <c r="BQ609" i="75" s="1"/>
  <c r="CZ362" i="75"/>
  <c r="DB361" i="75"/>
  <c r="DD1268" i="75"/>
  <c r="CY1269" i="75" s="1" a="1"/>
  <c r="CY1270" i="75" s="1"/>
  <c r="DF1267" i="75"/>
  <c r="DD1086" i="75"/>
  <c r="DF1085" i="75"/>
  <c r="CV417" i="75"/>
  <c r="DB658" i="75"/>
  <c r="DD657" i="75"/>
  <c r="CT720" i="75"/>
  <c r="CV719" i="75"/>
  <c r="CH1101" i="75"/>
  <c r="CT1119" i="75"/>
  <c r="DB1121" i="75"/>
  <c r="F116" i="116"/>
  <c r="F63" i="112"/>
  <c r="H215" i="116"/>
  <c r="H132" i="116"/>
  <c r="DF1023" i="75"/>
  <c r="BF437" i="75"/>
  <c r="CT437" i="75"/>
  <c r="BR439" i="75"/>
  <c r="BR449" i="75"/>
  <c r="BZ457" i="75"/>
  <c r="CH517" i="75"/>
  <c r="CP523" i="75"/>
  <c r="CH561" i="75"/>
  <c r="BJ563" i="75"/>
  <c r="CV629" i="75"/>
  <c r="DD655" i="75"/>
  <c r="DD801" i="75"/>
  <c r="BV809" i="75"/>
  <c r="CX815" i="75"/>
  <c r="CH821" i="75"/>
  <c r="CP829" i="75"/>
  <c r="BT865" i="75"/>
  <c r="DF865" i="75"/>
  <c r="CP867" i="75"/>
  <c r="CD869" i="75"/>
  <c r="BT873" i="75"/>
  <c r="DF873" i="75"/>
  <c r="DF875" i="75"/>
  <c r="BX877" i="75"/>
  <c r="BZ937" i="75"/>
  <c r="CV947" i="75"/>
  <c r="BR989" i="75"/>
  <c r="CF1165" i="75"/>
  <c r="BX1171" i="75"/>
  <c r="DD1173" i="75"/>
  <c r="DD1179" i="75"/>
  <c r="CZ1185" i="75"/>
  <c r="BQ391" i="75" a="1"/>
  <c r="BQ417" i="75" s="1"/>
  <c r="DD540" i="75"/>
  <c r="DF539" i="75"/>
  <c r="H128" i="112"/>
  <c r="E46" i="116"/>
  <c r="J46" i="116" s="1"/>
  <c r="BX197" i="75"/>
  <c r="CJ199" i="75"/>
  <c r="CF203" i="75"/>
  <c r="CD221" i="75"/>
  <c r="CX267" i="75"/>
  <c r="CP275" i="75"/>
  <c r="DF291" i="75"/>
  <c r="DF293" i="75"/>
  <c r="CP377" i="75"/>
  <c r="BP443" i="75"/>
  <c r="CP445" i="75"/>
  <c r="CD447" i="75"/>
  <c r="DF451" i="75"/>
  <c r="CD457" i="75"/>
  <c r="CN459" i="75"/>
  <c r="DD461" i="75"/>
  <c r="CX529" i="75"/>
  <c r="CV536" i="75"/>
  <c r="CX535" i="75"/>
  <c r="BT623" i="75"/>
  <c r="CP631" i="75"/>
  <c r="CR637" i="75"/>
  <c r="CZ639" i="75"/>
  <c r="CT659" i="75"/>
  <c r="CF743" i="75"/>
  <c r="BL745" i="75"/>
  <c r="BX749" i="75"/>
  <c r="CZ763" i="75"/>
  <c r="BF799" i="75"/>
  <c r="DF801" i="75"/>
  <c r="I72" i="114"/>
  <c r="I95" i="114"/>
  <c r="I112" i="114"/>
  <c r="I131" i="114"/>
  <c r="I159" i="114"/>
  <c r="I71" i="115"/>
  <c r="BN201" i="75"/>
  <c r="CF257" i="75"/>
  <c r="BT261" i="75"/>
  <c r="CN263" i="75"/>
  <c r="CR269" i="75"/>
  <c r="CZ437" i="75"/>
  <c r="CV501" i="75"/>
  <c r="CV533" i="75"/>
  <c r="DD595" i="75"/>
  <c r="CZ605" i="75"/>
  <c r="DB842" i="75"/>
  <c r="DB841" i="75"/>
  <c r="DF850" i="75"/>
  <c r="DC851" i="75" s="1" a="1"/>
  <c r="DC851" i="75" s="1"/>
  <c r="DD851" i="75" s="1"/>
  <c r="DF849" i="75"/>
  <c r="CX893" i="75"/>
  <c r="CT961" i="75"/>
  <c r="DF966" i="75"/>
  <c r="BH983" i="75"/>
  <c r="CR987" i="75"/>
  <c r="CB989" i="75"/>
  <c r="BP991" i="75"/>
  <c r="CV993" i="75"/>
  <c r="CP997" i="75"/>
  <c r="CF1171" i="75"/>
  <c r="BX1173" i="75"/>
  <c r="F113" i="114"/>
  <c r="CR213" i="75"/>
  <c r="BZ801" i="75"/>
  <c r="CB801" i="75"/>
  <c r="CT962" i="75"/>
  <c r="CV961" i="75"/>
  <c r="CH197" i="75"/>
  <c r="BV201" i="75"/>
  <c r="BT201" i="75"/>
  <c r="CZ207" i="75"/>
  <c r="CN213" i="75"/>
  <c r="CZ217" i="75"/>
  <c r="CN257" i="75"/>
  <c r="BT267" i="75"/>
  <c r="CZ269" i="75"/>
  <c r="CA281" i="75" a="1"/>
  <c r="CA283" i="75" s="1"/>
  <c r="CF387" i="75"/>
  <c r="CN403" i="75"/>
  <c r="CZ407" i="75"/>
  <c r="CN457" i="75"/>
  <c r="DF1059" i="75"/>
  <c r="CH1067" i="75"/>
  <c r="DF1069" i="75"/>
  <c r="CV1083" i="75"/>
  <c r="CV1200" i="75"/>
  <c r="CX1199" i="75"/>
  <c r="BW517" i="75" a="1"/>
  <c r="BW552" i="75" s="1"/>
  <c r="BP387" i="75"/>
  <c r="DD439" i="75"/>
  <c r="BT503" i="75"/>
  <c r="CR505" i="75"/>
  <c r="CF507" i="75"/>
  <c r="BT511" i="75"/>
  <c r="BX515" i="75"/>
  <c r="CF517" i="75"/>
  <c r="CF561" i="75"/>
  <c r="CB565" i="75"/>
  <c r="CF577" i="75"/>
  <c r="CT585" i="75"/>
  <c r="DF589" i="75"/>
  <c r="CV595" i="75"/>
  <c r="CZ623" i="75"/>
  <c r="CF625" i="75"/>
  <c r="CZ653" i="75"/>
  <c r="DF705" i="75"/>
  <c r="CF807" i="75"/>
  <c r="BX939" i="75"/>
  <c r="CD1101" i="75"/>
  <c r="CP1113" i="75"/>
  <c r="BH1163" i="75"/>
  <c r="CT1163" i="75"/>
  <c r="X328" i="100"/>
  <c r="Z185" i="100"/>
  <c r="G100" i="113"/>
  <c r="T169" i="100"/>
  <c r="DD319" i="75"/>
  <c r="CX323" i="75"/>
  <c r="CV377" i="75"/>
  <c r="CL381" i="75"/>
  <c r="BR383" i="75"/>
  <c r="BZ627" i="75"/>
  <c r="CT631" i="75"/>
  <c r="DB639" i="75"/>
  <c r="CF701" i="75"/>
  <c r="CV703" i="75"/>
  <c r="CX867" i="75"/>
  <c r="CJ1041" i="75"/>
  <c r="BH1043" i="75"/>
  <c r="CR1047" i="75"/>
  <c r="CB1049" i="75"/>
  <c r="CV1053" i="75"/>
  <c r="CR1055" i="75"/>
  <c r="CR1057" i="75"/>
  <c r="DD1061" i="75"/>
  <c r="CB1063" i="75"/>
  <c r="CR1065" i="75"/>
  <c r="CV1069" i="75"/>
  <c r="CJ1071" i="75"/>
  <c r="CX1125" i="75"/>
  <c r="BP1227" i="75"/>
  <c r="DD1227" i="75"/>
  <c r="DD1235" i="75"/>
  <c r="DD1237" i="75"/>
  <c r="I150" i="113"/>
  <c r="V190" i="100"/>
  <c r="T206" i="100"/>
  <c r="CP835" i="75"/>
  <c r="CJ937" i="75"/>
  <c r="CV941" i="75"/>
  <c r="CJ945" i="75"/>
  <c r="CP995" i="75"/>
  <c r="DB1149" i="75"/>
  <c r="G30" i="113"/>
  <c r="BR207" i="75"/>
  <c r="DD207" i="75"/>
  <c r="CV215" i="75"/>
  <c r="CX225" i="75"/>
  <c r="BF257" i="75"/>
  <c r="CH439" i="75"/>
  <c r="CR525" i="75"/>
  <c r="DB621" i="75"/>
  <c r="DF685" i="75"/>
  <c r="CB689" i="75"/>
  <c r="CP935" i="75"/>
  <c r="CP937" i="75"/>
  <c r="CB1163" i="75"/>
  <c r="G180" i="113"/>
  <c r="T199" i="100"/>
  <c r="AH175" i="100"/>
  <c r="AA98" i="102" s="1"/>
  <c r="P195" i="100"/>
  <c r="DB1131" i="75"/>
  <c r="I60" i="113"/>
  <c r="Z158" i="100"/>
  <c r="BZ1221" i="75"/>
  <c r="BN1225" i="75"/>
  <c r="CH1227" i="75"/>
  <c r="BR1229" i="75"/>
  <c r="DF1229" i="75"/>
  <c r="CT1231" i="75"/>
  <c r="CL1233" i="75"/>
  <c r="CH1235" i="75"/>
  <c r="CL1239" i="75"/>
  <c r="CT1241" i="75"/>
  <c r="DF1243" i="75"/>
  <c r="CH1245" i="75"/>
  <c r="DB1247" i="75"/>
  <c r="DB1257" i="75"/>
  <c r="D61" i="112"/>
  <c r="D40" i="113"/>
  <c r="AJ318" i="100"/>
  <c r="CB621" i="75"/>
  <c r="CT627" i="75"/>
  <c r="BZ631" i="75"/>
  <c r="BV633" i="75"/>
  <c r="BV635" i="75"/>
  <c r="BZ637" i="75"/>
  <c r="CT641" i="75"/>
  <c r="CP653" i="75"/>
  <c r="CR655" i="75"/>
  <c r="CR817" i="75"/>
  <c r="BL981" i="75"/>
  <c r="BT987" i="75"/>
  <c r="CR989" i="75"/>
  <c r="CF991" i="75"/>
  <c r="DF997" i="75"/>
  <c r="CD1001" i="75"/>
  <c r="CP1003" i="75"/>
  <c r="CV1171" i="75"/>
  <c r="CJ1175" i="75"/>
  <c r="CN1179" i="75"/>
  <c r="DD1197" i="75"/>
  <c r="D67" i="116"/>
  <c r="AD301" i="100"/>
  <c r="AJ320" i="100"/>
  <c r="AJ162" i="100"/>
  <c r="AJ202" i="100"/>
  <c r="AB301" i="100"/>
  <c r="CN329" i="75"/>
  <c r="CJ331" i="75"/>
  <c r="CN345" i="75"/>
  <c r="CH377" i="75"/>
  <c r="CZ397" i="75"/>
  <c r="CD445" i="75"/>
  <c r="CX449" i="75"/>
  <c r="CV451" i="75"/>
  <c r="CT453" i="75"/>
  <c r="CX455" i="75"/>
  <c r="CF459" i="75"/>
  <c r="CT461" i="75"/>
  <c r="CX465" i="75"/>
  <c r="CN467" i="75"/>
  <c r="CV497" i="75"/>
  <c r="DF499" i="75"/>
  <c r="BI503" i="75" a="1"/>
  <c r="BI527" i="75" s="1"/>
  <c r="CN505" i="75"/>
  <c r="CB507" i="75"/>
  <c r="BR509" i="75"/>
  <c r="DF509" i="75"/>
  <c r="BS513" i="75" a="1"/>
  <c r="BS524" i="75" s="1"/>
  <c r="DB513" i="75"/>
  <c r="BU515" i="75" a="1"/>
  <c r="BU529" i="75" s="1"/>
  <c r="CN519" i="75"/>
  <c r="DD521" i="75"/>
  <c r="CJ523" i="75"/>
  <c r="CV527" i="75"/>
  <c r="CN529" i="75"/>
  <c r="CK531" i="75" a="1"/>
  <c r="CK533" i="75" s="1"/>
  <c r="CO535" i="75" a="1"/>
  <c r="CO543" i="75" s="1"/>
  <c r="BP559" i="75"/>
  <c r="CL691" i="75"/>
  <c r="Z183" i="100"/>
  <c r="AJ11" i="100"/>
  <c r="T22" i="100"/>
  <c r="Z8" i="100"/>
  <c r="AH21" i="100"/>
  <c r="AA23" i="102" s="1"/>
  <c r="R14" i="100"/>
  <c r="AH12" i="100"/>
  <c r="AA14" i="102" s="1"/>
  <c r="X13" i="100"/>
  <c r="AD36" i="100"/>
  <c r="X25" i="100"/>
  <c r="AB17" i="100"/>
  <c r="T42" i="100"/>
  <c r="S14" i="102"/>
  <c r="R17" i="100"/>
  <c r="AB13" i="100"/>
  <c r="T30" i="100"/>
  <c r="P32" i="100"/>
  <c r="AF14" i="100"/>
  <c r="R36" i="100"/>
  <c r="X9" i="100"/>
  <c r="R16" i="102"/>
  <c r="R12" i="100"/>
  <c r="AD9" i="100"/>
  <c r="X21" i="100"/>
  <c r="AB16" i="100"/>
  <c r="AD11" i="100"/>
  <c r="Z41" i="100"/>
  <c r="T20" i="100"/>
  <c r="T35" i="100"/>
  <c r="V40" i="100"/>
  <c r="T28" i="100"/>
  <c r="AF9" i="100"/>
  <c r="AH32" i="100"/>
  <c r="AA34" i="102" s="1"/>
  <c r="AD14" i="100"/>
  <c r="V21" i="100"/>
  <c r="AJ42" i="100"/>
  <c r="AJ40" i="100"/>
  <c r="P40" i="100"/>
  <c r="T23" i="102"/>
  <c r="P33" i="100"/>
  <c r="AD43" i="100"/>
  <c r="X35" i="100"/>
  <c r="S37" i="102"/>
  <c r="R25" i="100"/>
  <c r="AH14" i="100"/>
  <c r="AA16" i="102" s="1"/>
  <c r="Z32" i="100"/>
  <c r="Z12" i="100"/>
  <c r="T23" i="100"/>
  <c r="T11" i="100"/>
  <c r="R31" i="100"/>
  <c r="R27" i="100"/>
  <c r="T40" i="100"/>
  <c r="T32" i="100"/>
  <c r="Z34" i="102"/>
  <c r="Y15" i="102"/>
  <c r="U23" i="102"/>
  <c r="P22" i="100"/>
  <c r="AH13" i="100"/>
  <c r="AA15" i="102" s="1"/>
  <c r="AB33" i="100"/>
  <c r="R38" i="102"/>
  <c r="AD12" i="100"/>
  <c r="X12" i="100"/>
  <c r="AB19" i="100"/>
  <c r="P24" i="100"/>
  <c r="T42" i="102"/>
  <c r="AF12" i="100"/>
  <c r="AB34" i="100"/>
  <c r="AH43" i="100"/>
  <c r="AA45" i="102" s="1"/>
  <c r="AD15" i="100"/>
  <c r="AH24" i="100"/>
  <c r="AA26" i="102" s="1"/>
  <c r="V26" i="100"/>
  <c r="P11" i="100"/>
  <c r="X29" i="100"/>
  <c r="S24" i="102"/>
  <c r="Z36" i="100"/>
  <c r="X20" i="100"/>
  <c r="AD28" i="100"/>
  <c r="AD26" i="100"/>
  <c r="T307" i="100"/>
  <c r="R307" i="100"/>
  <c r="V327" i="100"/>
  <c r="R330" i="100"/>
  <c r="V307" i="100"/>
  <c r="T316" i="100"/>
  <c r="V313" i="100"/>
  <c r="P322" i="100"/>
  <c r="T333" i="100"/>
  <c r="X323" i="100"/>
  <c r="R296" i="100"/>
  <c r="X298" i="100"/>
  <c r="X327" i="100"/>
  <c r="Z307" i="100"/>
  <c r="AD307" i="100"/>
  <c r="AH307" i="100"/>
  <c r="AA151" i="102" s="1"/>
  <c r="U172" i="102"/>
  <c r="X293" i="100"/>
  <c r="Z302" i="100"/>
  <c r="AB330" i="100"/>
  <c r="AB295" i="100"/>
  <c r="AJ307" i="100"/>
  <c r="V334" i="100"/>
  <c r="V290" i="100"/>
  <c r="V322" i="100"/>
  <c r="R308" i="100"/>
  <c r="T330" i="100"/>
  <c r="T337" i="100"/>
  <c r="T297" i="100"/>
  <c r="X291" i="100"/>
  <c r="V305" i="100"/>
  <c r="R301" i="100"/>
  <c r="AB324" i="100"/>
  <c r="AB307" i="100"/>
  <c r="T290" i="100"/>
  <c r="T329" i="100"/>
  <c r="V308" i="100"/>
  <c r="T328" i="100"/>
  <c r="V320" i="100"/>
  <c r="AD289" i="100"/>
  <c r="T291" i="100"/>
  <c r="V303" i="100"/>
  <c r="V310" i="100"/>
  <c r="P333" i="100"/>
  <c r="X309" i="100"/>
  <c r="P293" i="100"/>
  <c r="T332" i="100"/>
  <c r="V292" i="100"/>
  <c r="T292" i="100"/>
  <c r="P324" i="100"/>
  <c r="U171" i="102"/>
  <c r="X302" i="100"/>
  <c r="R320" i="100"/>
  <c r="P308" i="100"/>
  <c r="V333" i="100"/>
  <c r="V306" i="100"/>
  <c r="X335" i="100"/>
  <c r="V331" i="100"/>
  <c r="AJ302" i="100"/>
  <c r="AF322" i="100"/>
  <c r="V328" i="100"/>
  <c r="R315" i="100"/>
  <c r="P328" i="100"/>
  <c r="P312" i="100"/>
  <c r="AB304" i="100"/>
  <c r="T306" i="100"/>
  <c r="P329" i="100"/>
  <c r="AB335" i="100"/>
  <c r="V304" i="100"/>
  <c r="P288" i="100"/>
  <c r="AH288" i="100"/>
  <c r="AA132" i="102" s="1"/>
  <c r="AJ288" i="100"/>
  <c r="T288" i="100"/>
  <c r="V288" i="100"/>
  <c r="AD288" i="100"/>
  <c r="AB288" i="100"/>
  <c r="Z288" i="100"/>
  <c r="AB316" i="100"/>
  <c r="R293" i="100"/>
  <c r="V336" i="100"/>
  <c r="X289" i="100"/>
  <c r="AJ289" i="100"/>
  <c r="V317" i="100"/>
  <c r="V335" i="100"/>
  <c r="T324" i="100"/>
  <c r="R336" i="100"/>
  <c r="AF321" i="100"/>
  <c r="P307" i="100"/>
  <c r="V291" i="100"/>
  <c r="AJ292" i="100"/>
  <c r="AB293" i="100"/>
  <c r="X325" i="100"/>
  <c r="V309" i="100"/>
  <c r="P323" i="100"/>
  <c r="P317" i="100"/>
  <c r="T318" i="100"/>
  <c r="T294" i="100"/>
  <c r="T317" i="100"/>
  <c r="V325" i="100"/>
  <c r="V319" i="100"/>
  <c r="AJ296" i="100"/>
  <c r="Z202" i="100"/>
  <c r="AH195" i="100"/>
  <c r="AA118" i="102" s="1"/>
  <c r="V163" i="100"/>
  <c r="T113" i="102"/>
  <c r="P182" i="100"/>
  <c r="R190" i="100"/>
  <c r="V202" i="100"/>
  <c r="X169" i="100"/>
  <c r="P160" i="100"/>
  <c r="X197" i="100"/>
  <c r="V181" i="100"/>
  <c r="AF175" i="100"/>
  <c r="T171" i="100"/>
  <c r="V195" i="100"/>
  <c r="V175" i="100"/>
  <c r="R195" i="100"/>
  <c r="S113" i="102"/>
  <c r="X194" i="100"/>
  <c r="R175" i="100"/>
  <c r="P189" i="100"/>
  <c r="Z206" i="100"/>
  <c r="Z175" i="100"/>
  <c r="AJ205" i="100"/>
  <c r="X186" i="100"/>
  <c r="V186" i="100"/>
  <c r="U123" i="102"/>
  <c r="AB205" i="100"/>
  <c r="T192" i="100"/>
  <c r="R207" i="100"/>
  <c r="X181" i="100"/>
  <c r="R205" i="100"/>
  <c r="P201" i="100"/>
  <c r="T205" i="100"/>
  <c r="AF162" i="100"/>
  <c r="X179" i="100"/>
  <c r="V182" i="100"/>
  <c r="P184" i="100"/>
  <c r="X168" i="100"/>
  <c r="AB170" i="100"/>
  <c r="T184" i="100"/>
  <c r="V200" i="100"/>
  <c r="T170" i="100"/>
  <c r="AJ206" i="100"/>
  <c r="V196" i="100"/>
  <c r="R123" i="102"/>
  <c r="R160" i="100"/>
  <c r="T187" i="100"/>
  <c r="P172" i="100"/>
  <c r="X206" i="100"/>
  <c r="R90" i="102"/>
  <c r="X184" i="100"/>
  <c r="AJ199" i="100"/>
  <c r="X195" i="100"/>
  <c r="V174" i="100"/>
  <c r="V179" i="100"/>
  <c r="R179" i="100"/>
  <c r="AJ180" i="100"/>
  <c r="AJ203" i="100"/>
  <c r="T183" i="100"/>
  <c r="X166" i="100"/>
  <c r="T203" i="100"/>
  <c r="AF193" i="100"/>
  <c r="Z159" i="100"/>
  <c r="AD158" i="100"/>
  <c r="V158" i="100"/>
  <c r="P158" i="100"/>
  <c r="AJ158" i="100"/>
  <c r="AH158" i="100"/>
  <c r="AA81" i="102" s="1"/>
  <c r="R158" i="100"/>
  <c r="AF158" i="100"/>
  <c r="X158" i="100"/>
  <c r="X188" i="100"/>
  <c r="P166" i="100"/>
  <c r="AB166" i="100"/>
  <c r="V207" i="100"/>
  <c r="V161" i="100"/>
  <c r="AJ172" i="100"/>
  <c r="T158" i="100"/>
  <c r="T115" i="102"/>
  <c r="X207" i="100"/>
  <c r="X199" i="100"/>
  <c r="X176" i="100"/>
  <c r="R197" i="100"/>
  <c r="V188" i="100"/>
  <c r="R162" i="100"/>
  <c r="X175" i="100"/>
  <c r="P162" i="100"/>
  <c r="AB178" i="100"/>
  <c r="AF199" i="100"/>
  <c r="AB162" i="100"/>
  <c r="P171" i="100"/>
  <c r="X162" i="100"/>
  <c r="P186" i="100"/>
  <c r="V178" i="100"/>
  <c r="T204" i="100"/>
  <c r="X171" i="100"/>
  <c r="AB10" i="100"/>
  <c r="AF10" i="100"/>
  <c r="T15" i="100"/>
  <c r="AJ10" i="100"/>
  <c r="AD10" i="100"/>
  <c r="AD35" i="100"/>
  <c r="R29" i="100"/>
  <c r="X32" i="100"/>
  <c r="AH22" i="100"/>
  <c r="AA24" i="102" s="1"/>
  <c r="Z24" i="100"/>
  <c r="T21" i="100"/>
  <c r="AH42" i="100"/>
  <c r="AA44" i="102" s="1"/>
  <c r="X26" i="100"/>
  <c r="P38" i="100"/>
  <c r="AB11" i="100"/>
  <c r="AB21" i="100"/>
  <c r="P15" i="100"/>
  <c r="R32" i="100"/>
  <c r="AJ28" i="100"/>
  <c r="AF38" i="100"/>
  <c r="AD37" i="100"/>
  <c r="AF27" i="100"/>
  <c r="Z29" i="100"/>
  <c r="X12" i="102"/>
  <c r="AB42" i="100"/>
  <c r="V27" i="100"/>
  <c r="Z35" i="100"/>
  <c r="AB35" i="100"/>
  <c r="X40" i="100"/>
  <c r="X27" i="100"/>
  <c r="AJ20" i="100"/>
  <c r="AB22" i="100"/>
  <c r="R34" i="100"/>
  <c r="AD40" i="100"/>
  <c r="AD27" i="100"/>
  <c r="AJ30" i="100"/>
  <c r="X42" i="100"/>
  <c r="X24" i="100"/>
  <c r="V34" i="100"/>
  <c r="P18" i="100"/>
  <c r="X16" i="100"/>
  <c r="V13" i="100"/>
  <c r="AJ24" i="100"/>
  <c r="AH34" i="100"/>
  <c r="AA36" i="102" s="1"/>
  <c r="V41" i="100"/>
  <c r="AH16" i="100"/>
  <c r="AA18" i="102" s="1"/>
  <c r="X10" i="100"/>
  <c r="AD13" i="100"/>
  <c r="AJ16" i="100"/>
  <c r="AJ9" i="100"/>
  <c r="AD8" i="100"/>
  <c r="AF8" i="100"/>
  <c r="T41" i="100"/>
  <c r="V16" i="100"/>
  <c r="W24" i="102"/>
  <c r="X42" i="102"/>
  <c r="Z11" i="100"/>
  <c r="AF28" i="100"/>
  <c r="T38" i="100"/>
  <c r="Z44" i="102"/>
  <c r="R36" i="102"/>
  <c r="Z18" i="102"/>
  <c r="AF34" i="100"/>
  <c r="Z27" i="100"/>
  <c r="AF35" i="100"/>
  <c r="Q17" i="102"/>
  <c r="AF18" i="100"/>
  <c r="AB18" i="100"/>
  <c r="P39" i="100"/>
  <c r="AB23" i="100"/>
  <c r="P28" i="100"/>
  <c r="AF37" i="100"/>
  <c r="P37" i="100"/>
  <c r="X15" i="100"/>
  <c r="X16" i="102"/>
  <c r="AB27" i="100"/>
  <c r="X41" i="100"/>
  <c r="V23" i="100"/>
  <c r="AF22" i="100"/>
  <c r="R31" i="102"/>
  <c r="AJ43" i="100"/>
  <c r="U34" i="102"/>
  <c r="X11" i="100"/>
  <c r="AF16" i="100"/>
  <c r="V36" i="100"/>
  <c r="X23" i="100"/>
  <c r="AJ18" i="100"/>
  <c r="AH25" i="100"/>
  <c r="AA27" i="102" s="1"/>
  <c r="AB41" i="100"/>
  <c r="AB37" i="100"/>
  <c r="AD41" i="100"/>
  <c r="AH20" i="100"/>
  <c r="AA22" i="102" s="1"/>
  <c r="AJ25" i="100"/>
  <c r="AJ38" i="100"/>
  <c r="AD23" i="100"/>
  <c r="AB38" i="100"/>
  <c r="AF15" i="100"/>
  <c r="W23" i="102"/>
  <c r="Z18" i="100"/>
  <c r="AF40" i="100"/>
  <c r="AH41" i="100"/>
  <c r="AA43" i="102" s="1"/>
  <c r="AH23" i="100"/>
  <c r="AA25" i="102" s="1"/>
  <c r="V43" i="100"/>
  <c r="R16" i="100"/>
  <c r="R38" i="100"/>
  <c r="AJ41" i="100"/>
  <c r="P42" i="100"/>
  <c r="AH15" i="100"/>
  <c r="AA17" i="102" s="1"/>
  <c r="AD22" i="100"/>
  <c r="AJ23" i="100"/>
  <c r="R23" i="100"/>
  <c r="AB40" i="100"/>
  <c r="V15" i="100"/>
  <c r="R40" i="100"/>
  <c r="V37" i="100"/>
  <c r="AB15" i="100"/>
  <c r="AH29" i="100"/>
  <c r="AA31" i="102" s="1"/>
  <c r="P12" i="100"/>
  <c r="A308" i="100"/>
  <c r="A152" i="102" s="1"/>
  <c r="H97" i="102"/>
  <c r="AI638" i="1"/>
  <c r="AI636" i="1"/>
  <c r="D13" i="104"/>
  <c r="F110" i="102"/>
  <c r="F89" i="102"/>
  <c r="F128" i="102"/>
  <c r="J107" i="102"/>
  <c r="H128" i="102"/>
  <c r="B92" i="102"/>
  <c r="A195" i="100"/>
  <c r="A118" i="102" s="1"/>
  <c r="A161" i="100"/>
  <c r="A84" i="102" s="1"/>
  <c r="H101" i="102"/>
  <c r="H107" i="102"/>
  <c r="J101" i="102"/>
  <c r="F85" i="102"/>
  <c r="H85" i="102"/>
  <c r="C105" i="102"/>
  <c r="J81" i="102"/>
  <c r="F83" i="102"/>
  <c r="F102" i="102"/>
  <c r="A196" i="100"/>
  <c r="A119" i="102" s="1"/>
  <c r="AL201" i="100"/>
  <c r="J83" i="102"/>
  <c r="F103" i="102"/>
  <c r="AI640" i="1"/>
  <c r="AI635" i="1"/>
  <c r="AI642" i="1"/>
  <c r="AI639" i="1"/>
  <c r="H149" i="102"/>
  <c r="F94" i="102"/>
  <c r="C27" i="102"/>
  <c r="C28" i="102"/>
  <c r="C45" i="102"/>
  <c r="AL27" i="100"/>
  <c r="AL34" i="100"/>
  <c r="A64" i="100"/>
  <c r="A66" i="102" s="1"/>
  <c r="CC710" i="75"/>
  <c r="CC730" i="75"/>
  <c r="CC722" i="75"/>
  <c r="CC714" i="75"/>
  <c r="CC717" i="75"/>
  <c r="CC725" i="75"/>
  <c r="CC712" i="75"/>
  <c r="CC728" i="75"/>
  <c r="CC711" i="75"/>
  <c r="CC729" i="75"/>
  <c r="CC705" i="75"/>
  <c r="CD705" i="75" s="1"/>
  <c r="CC720" i="75"/>
  <c r="CC718" i="75"/>
  <c r="CC708" i="75"/>
  <c r="CC723" i="75"/>
  <c r="CI728" i="75"/>
  <c r="CI715" i="75"/>
  <c r="CI732" i="75"/>
  <c r="CI724" i="75"/>
  <c r="CI723" i="75"/>
  <c r="CI721" i="75"/>
  <c r="CI726" i="75"/>
  <c r="CC719" i="75"/>
  <c r="CC709" i="75"/>
  <c r="CC713" i="75"/>
  <c r="CC715" i="75"/>
  <c r="R10" i="100"/>
  <c r="P10" i="100"/>
  <c r="CU1272" i="75"/>
  <c r="CU1267" i="75"/>
  <c r="CU1274" i="75"/>
  <c r="CU1273" i="75"/>
  <c r="CU1276" i="75"/>
  <c r="AB30" i="100"/>
  <c r="P30" i="100"/>
  <c r="X30" i="100"/>
  <c r="CC733" i="75"/>
  <c r="CU1269" i="75"/>
  <c r="CC706" i="75"/>
  <c r="CC707" i="75"/>
  <c r="CI713" i="75"/>
  <c r="CC727" i="75"/>
  <c r="CI718" i="75"/>
  <c r="CC731" i="75"/>
  <c r="CC726" i="75"/>
  <c r="CC734" i="75"/>
  <c r="CC716" i="75"/>
  <c r="CC724" i="75"/>
  <c r="H57" i="116"/>
  <c r="J57" i="116"/>
  <c r="CA831" i="75"/>
  <c r="CC481" i="75"/>
  <c r="M110" i="113"/>
  <c r="H15" i="116"/>
  <c r="CA845" i="75"/>
  <c r="CC491" i="75"/>
  <c r="CA844" i="75"/>
  <c r="CE245" i="75"/>
  <c r="E171" i="115"/>
  <c r="CC482" i="75"/>
  <c r="CK840" i="75"/>
  <c r="CA852" i="75"/>
  <c r="CE900" i="75"/>
  <c r="CC468" i="75"/>
  <c r="CK848" i="75"/>
  <c r="H119" i="116"/>
  <c r="CA830" i="75"/>
  <c r="CE896" i="75"/>
  <c r="CC476" i="75"/>
  <c r="BC708" i="75"/>
  <c r="CA825" i="75"/>
  <c r="H103" i="115"/>
  <c r="CE243" i="75"/>
  <c r="CC474" i="75"/>
  <c r="BS1152" i="75"/>
  <c r="CE250" i="75"/>
  <c r="CI366" i="75"/>
  <c r="H18" i="112"/>
  <c r="H173" i="115"/>
  <c r="CC486" i="75"/>
  <c r="J115" i="116"/>
  <c r="CE242" i="75"/>
  <c r="DA793" i="75"/>
  <c r="E151" i="114"/>
  <c r="F119" i="112"/>
  <c r="H201" i="115"/>
  <c r="F176" i="116"/>
  <c r="F117" i="116"/>
  <c r="F178" i="115"/>
  <c r="F57" i="116"/>
  <c r="E12" i="112"/>
  <c r="F162" i="115"/>
  <c r="E162" i="115"/>
  <c r="G174" i="114"/>
  <c r="G178" i="114"/>
  <c r="G175" i="114"/>
  <c r="G171" i="114"/>
  <c r="G197" i="114"/>
  <c r="G195" i="114"/>
  <c r="G193" i="114"/>
  <c r="G192" i="114"/>
  <c r="G196" i="114"/>
  <c r="I47" i="115"/>
  <c r="T31" i="115"/>
  <c r="T37" i="115"/>
  <c r="T38" i="115"/>
  <c r="I42" i="115"/>
  <c r="D106" i="115"/>
  <c r="D105" i="115"/>
  <c r="I108" i="115"/>
  <c r="D107" i="115"/>
  <c r="I101" i="115"/>
  <c r="I107" i="115"/>
  <c r="D102" i="115"/>
  <c r="D122" i="115"/>
  <c r="D124" i="115"/>
  <c r="F124" i="115" s="1"/>
  <c r="D123" i="115"/>
  <c r="E123" i="115" s="1"/>
  <c r="J116" i="115"/>
  <c r="J38" i="114"/>
  <c r="H153" i="116"/>
  <c r="H97" i="115"/>
  <c r="J97" i="115"/>
  <c r="E144" i="115"/>
  <c r="F144" i="115"/>
  <c r="H24" i="114"/>
  <c r="E207" i="115"/>
  <c r="J207" i="115" s="1"/>
  <c r="E152" i="116"/>
  <c r="J152" i="116" s="1"/>
  <c r="F152" i="116"/>
  <c r="E146" i="114"/>
  <c r="F146" i="114"/>
  <c r="BV1161" i="75"/>
  <c r="BX1161" i="75"/>
  <c r="CH1163" i="75"/>
  <c r="CJ1163" i="75"/>
  <c r="BJ1165" i="75"/>
  <c r="BL1165" i="75"/>
  <c r="H109" i="115"/>
  <c r="F54" i="116"/>
  <c r="E25" i="116"/>
  <c r="F25" i="116"/>
  <c r="CB693" i="75"/>
  <c r="BZ693" i="75"/>
  <c r="CF697" i="75"/>
  <c r="CD697" i="75"/>
  <c r="E205" i="115"/>
  <c r="J205" i="115" s="1"/>
  <c r="F205" i="115"/>
  <c r="E161" i="114"/>
  <c r="J161" i="114" s="1"/>
  <c r="F161" i="114"/>
  <c r="CJ629" i="75"/>
  <c r="CH629" i="75"/>
  <c r="CJ639" i="75"/>
  <c r="CH639" i="75"/>
  <c r="CR645" i="75"/>
  <c r="CP645" i="75"/>
  <c r="CV651" i="75"/>
  <c r="CT651" i="75"/>
  <c r="F131" i="116"/>
  <c r="E91" i="114"/>
  <c r="F18" i="115"/>
  <c r="F214" i="115"/>
  <c r="E214" i="115"/>
  <c r="BN559" i="75"/>
  <c r="BL559" i="75"/>
  <c r="CT581" i="75"/>
  <c r="CR581" i="75"/>
  <c r="CP593" i="75"/>
  <c r="CN593" i="75"/>
  <c r="CR598" i="75"/>
  <c r="CT597" i="75"/>
  <c r="E46" i="115"/>
  <c r="J46" i="115" s="1"/>
  <c r="F46" i="115"/>
  <c r="F139" i="112"/>
  <c r="F51" i="114"/>
  <c r="H79" i="114"/>
  <c r="F153" i="116"/>
  <c r="F172" i="114"/>
  <c r="E172" i="114"/>
  <c r="J172" i="114" s="1"/>
  <c r="E131" i="114"/>
  <c r="J131" i="114" s="1"/>
  <c r="F131" i="114"/>
  <c r="F79" i="114"/>
  <c r="E148" i="115"/>
  <c r="F148" i="115"/>
  <c r="E193" i="114"/>
  <c r="J193" i="114" s="1"/>
  <c r="F193" i="114"/>
  <c r="CP323" i="75"/>
  <c r="CN323" i="75"/>
  <c r="CT345" i="75"/>
  <c r="CR345" i="75"/>
  <c r="F161" i="116"/>
  <c r="H19" i="115"/>
  <c r="E121" i="112"/>
  <c r="F121" i="112"/>
  <c r="F52" i="116"/>
  <c r="E146" i="115"/>
  <c r="F146" i="115"/>
  <c r="E67" i="115"/>
  <c r="F67" i="115"/>
  <c r="F118" i="112"/>
  <c r="E118" i="112"/>
  <c r="F28" i="115"/>
  <c r="E28" i="115"/>
  <c r="E154" i="116"/>
  <c r="J154" i="116" s="1"/>
  <c r="F154" i="116"/>
  <c r="E137" i="115"/>
  <c r="J137" i="115" s="1"/>
  <c r="F137" i="115"/>
  <c r="E142" i="115"/>
  <c r="F142" i="115"/>
  <c r="E178" i="112"/>
  <c r="F133" i="114"/>
  <c r="F39" i="112"/>
  <c r="E112" i="116"/>
  <c r="E194" i="114"/>
  <c r="J194" i="114" s="1"/>
  <c r="F194" i="114"/>
  <c r="E26" i="114"/>
  <c r="J26" i="114" s="1"/>
  <c r="F26" i="114"/>
  <c r="E137" i="114"/>
  <c r="F78" i="114"/>
  <c r="E78" i="114"/>
  <c r="J78" i="114" s="1"/>
  <c r="F118" i="114"/>
  <c r="E195" i="114"/>
  <c r="J195" i="114" s="1"/>
  <c r="F175" i="116"/>
  <c r="E175" i="115"/>
  <c r="F38" i="112"/>
  <c r="H211" i="116"/>
  <c r="H84" i="112"/>
  <c r="E157" i="114"/>
  <c r="J157" i="114" s="1"/>
  <c r="CV357" i="75"/>
  <c r="CZ327" i="75"/>
  <c r="F49" i="115"/>
  <c r="F154" i="115"/>
  <c r="F126" i="114"/>
  <c r="E112" i="114"/>
  <c r="F112" i="114"/>
  <c r="CF209" i="75"/>
  <c r="BP261" i="75"/>
  <c r="CZ439" i="75"/>
  <c r="H193" i="112"/>
  <c r="CX1133" i="75"/>
  <c r="DD543" i="75"/>
  <c r="CZ541" i="75"/>
  <c r="CP437" i="75"/>
  <c r="E111" i="115"/>
  <c r="H111" i="115" s="1"/>
  <c r="E143" i="112"/>
  <c r="H174" i="116"/>
  <c r="I91" i="114"/>
  <c r="I72" i="115"/>
  <c r="CF563" i="75"/>
  <c r="DF535" i="75"/>
  <c r="BL319" i="75"/>
  <c r="CV341" i="75"/>
  <c r="CH381" i="75"/>
  <c r="E165" i="112"/>
  <c r="H165" i="112" s="1"/>
  <c r="I73" i="115"/>
  <c r="CL1179" i="75"/>
  <c r="DB297" i="75"/>
  <c r="CT753" i="75"/>
  <c r="CP199" i="75"/>
  <c r="DD231" i="75"/>
  <c r="BR809" i="75"/>
  <c r="CT823" i="75"/>
  <c r="I135" i="114"/>
  <c r="I119" i="114"/>
  <c r="I73" i="114"/>
  <c r="I75" i="115"/>
  <c r="CT1127" i="75"/>
  <c r="CV295" i="75"/>
  <c r="DB1197" i="75"/>
  <c r="CR317" i="75"/>
  <c r="DB1165" i="75"/>
  <c r="CZ786" i="75"/>
  <c r="DB785" i="75"/>
  <c r="H118" i="114"/>
  <c r="I117" i="114"/>
  <c r="I77" i="115"/>
  <c r="DF477" i="75"/>
  <c r="CJ197" i="75"/>
  <c r="DB207" i="75"/>
  <c r="CR225" i="75"/>
  <c r="DD563" i="75"/>
  <c r="CV569" i="75"/>
  <c r="CL643" i="75"/>
  <c r="DF658" i="75"/>
  <c r="DF657" i="75"/>
  <c r="CH679" i="75"/>
  <c r="I78" i="115"/>
  <c r="DD505" i="75"/>
  <c r="CF511" i="75"/>
  <c r="CJ525" i="75"/>
  <c r="BN805" i="75"/>
  <c r="DB805" i="75"/>
  <c r="BR811" i="75"/>
  <c r="DF811" i="75"/>
  <c r="DB813" i="75"/>
  <c r="DF827" i="75"/>
  <c r="CH1185" i="75"/>
  <c r="CK231" i="75" a="1"/>
  <c r="CK238" i="75" s="1"/>
  <c r="BC799" i="75" a="1"/>
  <c r="BC810" i="75" s="1"/>
  <c r="Y21" i="104"/>
  <c r="AA21" i="104" s="1"/>
  <c r="E203" i="115"/>
  <c r="J203" i="115" s="1"/>
  <c r="I136" i="114"/>
  <c r="I116" i="114"/>
  <c r="E97" i="114"/>
  <c r="J97" i="114" s="1"/>
  <c r="I115" i="114"/>
  <c r="CT1171" i="75"/>
  <c r="CX209" i="75"/>
  <c r="CT213" i="75"/>
  <c r="CL447" i="75"/>
  <c r="CD449" i="75"/>
  <c r="BV921" i="75"/>
  <c r="I76" i="114"/>
  <c r="F84" i="112"/>
  <c r="BT209" i="75"/>
  <c r="BX563" i="75"/>
  <c r="CR565" i="75"/>
  <c r="BP569" i="75"/>
  <c r="BW579" i="75" a="1"/>
  <c r="BW614" i="75" s="1"/>
  <c r="CB581" i="75"/>
  <c r="CJ589" i="75"/>
  <c r="CM595" i="75" a="1"/>
  <c r="CM598" i="75" s="1"/>
  <c r="CX599" i="75"/>
  <c r="CT625" i="75"/>
  <c r="BQ633" i="75" a="1"/>
  <c r="BQ650" i="75" s="1"/>
  <c r="BW639" i="75" a="1"/>
  <c r="BW661" i="75" s="1"/>
  <c r="CD641" i="75"/>
  <c r="CH687" i="75"/>
  <c r="BV689" i="75"/>
  <c r="CX695" i="75"/>
  <c r="BY701" i="75" a="1"/>
  <c r="BY734" i="75" s="1"/>
  <c r="DB707" i="75"/>
  <c r="CP709" i="75"/>
  <c r="CR807" i="75"/>
  <c r="DB1199" i="75"/>
  <c r="CF223" i="75"/>
  <c r="CZ287" i="75"/>
  <c r="BI443" i="75" a="1"/>
  <c r="BI471" i="75" s="1"/>
  <c r="BK445" i="75" a="1"/>
  <c r="BK484" i="75" s="1"/>
  <c r="BU455" i="75" a="1"/>
  <c r="BU460" i="75" s="1"/>
  <c r="CL229" i="75"/>
  <c r="BN325" i="75"/>
  <c r="DF399" i="75"/>
  <c r="CH401" i="75"/>
  <c r="DF409" i="75"/>
  <c r="DB411" i="75"/>
  <c r="DB413" i="75"/>
  <c r="BL625" i="75"/>
  <c r="CF645" i="75"/>
  <c r="DD647" i="75"/>
  <c r="CR649" i="75"/>
  <c r="CN687" i="75"/>
  <c r="BU275" i="75" a="1"/>
  <c r="BU283" i="75" s="1"/>
  <c r="BU335" i="75" a="1"/>
  <c r="BU352" i="75" s="1"/>
  <c r="E43" i="112"/>
  <c r="J43" i="112" s="1"/>
  <c r="H186" i="116"/>
  <c r="I111" i="114"/>
  <c r="I79" i="114"/>
  <c r="CT237" i="75"/>
  <c r="CG227" i="75" a="1"/>
  <c r="CG251" i="75" s="1"/>
  <c r="CP229" i="75"/>
  <c r="CP395" i="75"/>
  <c r="DD403" i="75"/>
  <c r="CK411" i="75" a="1"/>
  <c r="CK422" i="75" s="1"/>
  <c r="DD411" i="75"/>
  <c r="R288" i="100"/>
  <c r="R132" i="102"/>
  <c r="E217" i="115"/>
  <c r="CT513" i="75"/>
  <c r="BL741" i="75"/>
  <c r="CF497" i="75"/>
  <c r="CZ1139" i="75"/>
  <c r="CR205" i="75"/>
  <c r="CF207" i="75"/>
  <c r="BV213" i="75"/>
  <c r="BZ215" i="75"/>
  <c r="CD263" i="75"/>
  <c r="CL335" i="75"/>
  <c r="CC343" i="75" a="1"/>
  <c r="CC364" i="75" s="1"/>
  <c r="DB343" i="75"/>
  <c r="BI383" i="75" a="1"/>
  <c r="BI405" i="75" s="1"/>
  <c r="BX385" i="75"/>
  <c r="CP393" i="75"/>
  <c r="CN451" i="75"/>
  <c r="CZ483" i="75"/>
  <c r="BV739" i="75"/>
  <c r="CC825" i="75" a="1"/>
  <c r="CH209" i="75"/>
  <c r="CI289" i="75" a="1"/>
  <c r="CI308" i="75" s="1"/>
  <c r="CX205" i="75"/>
  <c r="BO209" i="75" a="1"/>
  <c r="BO238" i="75" s="1"/>
  <c r="BZ211" i="75"/>
  <c r="BX213" i="75"/>
  <c r="CT223" i="75"/>
  <c r="CX229" i="75"/>
  <c r="CF263" i="75"/>
  <c r="CR267" i="75"/>
  <c r="BX325" i="75"/>
  <c r="BT565" i="75"/>
  <c r="CF569" i="75"/>
  <c r="BX571" i="75"/>
  <c r="BT573" i="75"/>
  <c r="CF579" i="75"/>
  <c r="DF583" i="75"/>
  <c r="CN585" i="75"/>
  <c r="CZ589" i="75"/>
  <c r="CR591" i="75"/>
  <c r="BN619" i="75"/>
  <c r="CP655" i="75"/>
  <c r="DD669" i="75"/>
  <c r="CB681" i="75"/>
  <c r="CT683" i="75"/>
  <c r="CX687" i="75"/>
  <c r="CL689" i="75"/>
  <c r="CD691" i="75"/>
  <c r="BZ695" i="75"/>
  <c r="DF709" i="75"/>
  <c r="CV711" i="75"/>
  <c r="CT715" i="75"/>
  <c r="BX739" i="75"/>
  <c r="BL743" i="75"/>
  <c r="DB213" i="75"/>
  <c r="BX269" i="75"/>
  <c r="CL283" i="75"/>
  <c r="CB319" i="75"/>
  <c r="CV349" i="75"/>
  <c r="CX381" i="75"/>
  <c r="CB455" i="75"/>
  <c r="DB505" i="75"/>
  <c r="CH515" i="75"/>
  <c r="DB519" i="75"/>
  <c r="DB529" i="75"/>
  <c r="BR567" i="75"/>
  <c r="CJ625" i="75"/>
  <c r="BR923" i="75"/>
  <c r="BX931" i="75"/>
  <c r="CJ943" i="75"/>
  <c r="CF947" i="75"/>
  <c r="BX1043" i="75"/>
  <c r="BX1053" i="75"/>
  <c r="I130" i="113"/>
  <c r="G150" i="113"/>
  <c r="I200" i="113"/>
  <c r="AB164" i="100"/>
  <c r="AJ192" i="100"/>
  <c r="AJ19" i="100"/>
  <c r="DD995" i="75"/>
  <c r="DD997" i="75"/>
  <c r="CB1001" i="75"/>
  <c r="DD1005" i="75"/>
  <c r="CJ1007" i="75"/>
  <c r="BJ1221" i="75"/>
  <c r="CX1221" i="75"/>
  <c r="DF1245" i="75"/>
  <c r="G20" i="113"/>
  <c r="AD21" i="100"/>
  <c r="X34" i="100"/>
  <c r="AF17" i="100"/>
  <c r="P9" i="100"/>
  <c r="AF29" i="100"/>
  <c r="Z34" i="100"/>
  <c r="BT385" i="75"/>
  <c r="DF385" i="75"/>
  <c r="BX437" i="75"/>
  <c r="CX441" i="75"/>
  <c r="CB443" i="75"/>
  <c r="DB445" i="75"/>
  <c r="CP447" i="75"/>
  <c r="CH449" i="75"/>
  <c r="CD451" i="75"/>
  <c r="CD453" i="75"/>
  <c r="CH455" i="75"/>
  <c r="CP457" i="75"/>
  <c r="CZ459" i="75"/>
  <c r="CD461" i="75"/>
  <c r="CH465" i="75"/>
  <c r="CX473" i="75"/>
  <c r="CV517" i="75"/>
  <c r="DD523" i="75"/>
  <c r="DD531" i="75"/>
  <c r="BT563" i="75"/>
  <c r="BX567" i="75"/>
  <c r="DF593" i="75"/>
  <c r="CF863" i="75"/>
  <c r="CZ865" i="75"/>
  <c r="CF885" i="75"/>
  <c r="DD887" i="75"/>
  <c r="CR889" i="75"/>
  <c r="BL921" i="75"/>
  <c r="BR1041" i="75"/>
  <c r="CD1059" i="75"/>
  <c r="CT1067" i="75"/>
  <c r="CT1075" i="75"/>
  <c r="BX1223" i="75"/>
  <c r="CH559" i="75"/>
  <c r="BF739" i="75"/>
  <c r="CL747" i="75"/>
  <c r="DF751" i="75"/>
  <c r="DB755" i="75"/>
  <c r="BZ759" i="75"/>
  <c r="CH765" i="75"/>
  <c r="CE767" i="75" a="1"/>
  <c r="CE794" i="75" s="1"/>
  <c r="CL771" i="75"/>
  <c r="BH859" i="75"/>
  <c r="CV859" i="75"/>
  <c r="BT861" i="75"/>
  <c r="CJ863" i="75"/>
  <c r="DD865" i="75"/>
  <c r="CN867" i="75"/>
  <c r="BT871" i="75"/>
  <c r="DD875" i="75"/>
  <c r="CL891" i="75"/>
  <c r="CB983" i="75"/>
  <c r="I128" i="115"/>
  <c r="I139" i="116"/>
  <c r="ET86" i="90"/>
  <c r="AJ161" i="100"/>
  <c r="AJ164" i="100"/>
  <c r="V12" i="100"/>
  <c r="AJ13" i="100"/>
  <c r="AD34" i="100"/>
  <c r="Z165" i="100"/>
  <c r="V9" i="100"/>
  <c r="R13" i="100"/>
  <c r="AH26" i="100"/>
  <c r="AA28" i="102" s="1"/>
  <c r="CP319" i="75"/>
  <c r="BR321" i="75"/>
  <c r="DF321" i="75"/>
  <c r="CL323" i="75"/>
  <c r="CP329" i="75"/>
  <c r="CL331" i="75"/>
  <c r="BR441" i="75"/>
  <c r="CN455" i="75"/>
  <c r="CX625" i="75"/>
  <c r="CF627" i="75"/>
  <c r="CV633" i="75"/>
  <c r="CF641" i="75"/>
  <c r="CV721" i="75"/>
  <c r="CN743" i="75"/>
  <c r="BT745" i="75"/>
  <c r="CF749" i="75"/>
  <c r="CX841" i="75"/>
  <c r="CH879" i="75"/>
  <c r="CX1013" i="75"/>
  <c r="D160" i="113"/>
  <c r="G5" i="92"/>
  <c r="W87" i="102"/>
  <c r="Z9" i="100"/>
  <c r="AB12" i="100"/>
  <c r="Z20" i="100"/>
  <c r="R22" i="100"/>
  <c r="AJ34" i="100"/>
  <c r="AB158" i="100"/>
  <c r="AB9" i="100"/>
  <c r="CN1103" i="75"/>
  <c r="BP1105" i="75"/>
  <c r="DD1105" i="75"/>
  <c r="CJ1107" i="75"/>
  <c r="CV1111" i="75"/>
  <c r="BY1123" i="75" a="1"/>
  <c r="BY1128" i="75" s="1"/>
  <c r="CJ1125" i="75"/>
  <c r="DB1127" i="75"/>
  <c r="CL1129" i="75"/>
  <c r="DF1133" i="75"/>
  <c r="CH1167" i="75"/>
  <c r="BR1169" i="75"/>
  <c r="DF1169" i="75"/>
  <c r="DF1183" i="75"/>
  <c r="DF1193" i="75"/>
  <c r="DB1195" i="75"/>
  <c r="BG1225" i="75" a="1"/>
  <c r="BG1261" i="75" s="1"/>
  <c r="BS1237" i="75" a="1"/>
  <c r="BS1240" i="75" s="1"/>
  <c r="BW1241" i="75" a="1"/>
  <c r="BW1267" i="75" s="1"/>
  <c r="BY1243" i="75" a="1"/>
  <c r="BY1272" i="75" s="1"/>
  <c r="CG1251" i="75" a="1"/>
  <c r="CG1261" i="75" s="1"/>
  <c r="DD1253" i="75"/>
  <c r="CZ1255" i="75"/>
  <c r="G70" i="113"/>
  <c r="P35" i="100"/>
  <c r="DD219" i="75"/>
  <c r="CF221" i="75"/>
  <c r="DB229" i="75"/>
  <c r="CJ273" i="75"/>
  <c r="CV383" i="75"/>
  <c r="BF619" i="75"/>
  <c r="CX1061" i="75"/>
  <c r="CL1065" i="75"/>
  <c r="DF1067" i="75"/>
  <c r="G50" i="113"/>
  <c r="X311" i="100"/>
  <c r="P8" i="100"/>
  <c r="V11" i="100"/>
  <c r="P19" i="100"/>
  <c r="AF20" i="100"/>
  <c r="AB25" i="100"/>
  <c r="BR201" i="75"/>
  <c r="CD339" i="75"/>
  <c r="DD389" i="75"/>
  <c r="CJ505" i="75"/>
  <c r="CX521" i="75"/>
  <c r="CV559" i="75"/>
  <c r="CP627" i="75"/>
  <c r="CD629" i="75"/>
  <c r="DD635" i="75"/>
  <c r="CD639" i="75"/>
  <c r="BY641" i="75" a="1"/>
  <c r="BY647" i="75" s="1"/>
  <c r="CP641" i="75"/>
  <c r="DF643" i="75"/>
  <c r="DB679" i="75"/>
  <c r="BX681" i="75"/>
  <c r="CP683" i="75"/>
  <c r="BV685" i="75"/>
  <c r="BX691" i="75"/>
  <c r="CF699" i="75"/>
  <c r="CT701" i="75"/>
  <c r="CP705" i="75"/>
  <c r="CR711" i="75"/>
  <c r="CP713" i="75"/>
  <c r="CV807" i="75"/>
  <c r="CJ809" i="75"/>
  <c r="CB811" i="75"/>
  <c r="BX815" i="75"/>
  <c r="CJ819" i="75"/>
  <c r="CR835" i="75"/>
  <c r="CV837" i="75"/>
  <c r="CB873" i="75"/>
  <c r="CB981" i="75"/>
  <c r="CL987" i="75"/>
  <c r="BT989" i="75"/>
  <c r="CP993" i="75"/>
  <c r="CH997" i="75"/>
  <c r="CV1001" i="75"/>
  <c r="DF1003" i="75"/>
  <c r="CR1119" i="75"/>
  <c r="CD1221" i="75"/>
  <c r="BT1229" i="75"/>
  <c r="G39" i="112"/>
  <c r="H39" i="112" s="1"/>
  <c r="I50" i="113"/>
  <c r="T168" i="100"/>
  <c r="AJ160" i="100"/>
  <c r="AJ165" i="100"/>
  <c r="R41" i="100"/>
  <c r="V38" i="100"/>
  <c r="T18" i="100"/>
  <c r="AJ12" i="100"/>
  <c r="T27" i="100"/>
  <c r="BE861" i="75" a="1"/>
  <c r="BE914" i="75" s="1"/>
  <c r="CC885" i="75" a="1"/>
  <c r="CC889" i="75" s="1"/>
  <c r="CI891" i="75" a="1"/>
  <c r="CI895" i="75" s="1"/>
  <c r="BQ935" i="75" a="1"/>
  <c r="BQ958" i="75" s="1"/>
  <c r="BS937" i="75" a="1"/>
  <c r="CG951" i="75" a="1"/>
  <c r="CG967" i="75" s="1"/>
  <c r="CI953" i="75" a="1"/>
  <c r="CI971" i="75" s="1"/>
  <c r="BC1041" i="75" a="1"/>
  <c r="BC1045" i="75" s="1"/>
  <c r="BG1045" i="75" a="1"/>
  <c r="BG1096" i="75" s="1"/>
  <c r="CE1129" i="75" a="1"/>
  <c r="CE1147" i="75" s="1"/>
  <c r="BM1171" i="75" a="1"/>
  <c r="BM1200" i="75" s="1"/>
  <c r="BS1177" i="75" a="1"/>
  <c r="BS1184" i="75" s="1"/>
  <c r="BU1179" i="75" a="1"/>
  <c r="BU1214" i="75" s="1"/>
  <c r="CM1197" i="75" a="1"/>
  <c r="CM1202" i="75" s="1"/>
  <c r="CO1199" i="75" a="1"/>
  <c r="CO1212" i="75" s="1"/>
  <c r="I129" i="114"/>
  <c r="DB807" i="75"/>
  <c r="CP809" i="75"/>
  <c r="CH811" i="75"/>
  <c r="CD813" i="75"/>
  <c r="CD815" i="75"/>
  <c r="CR983" i="75"/>
  <c r="BT985" i="75"/>
  <c r="BO993" i="75" a="1"/>
  <c r="BO1007" i="75" s="1"/>
  <c r="BU999" i="75" a="1"/>
  <c r="BU1034" i="75" s="1"/>
  <c r="CP999" i="75"/>
  <c r="DF1007" i="75"/>
  <c r="CG1011" i="75" a="1"/>
  <c r="CG1029" i="75" s="1"/>
  <c r="CI1013" i="75" a="1"/>
  <c r="CI1030" i="75" s="1"/>
  <c r="DF1015" i="75"/>
  <c r="DF1017" i="75"/>
  <c r="CL1041" i="75"/>
  <c r="BJ1043" i="75"/>
  <c r="CX1043" i="75"/>
  <c r="BZ1045" i="75"/>
  <c r="CT1047" i="75"/>
  <c r="CD1049" i="75"/>
  <c r="DF1051" i="75"/>
  <c r="CX1053" i="75"/>
  <c r="CT1055" i="75"/>
  <c r="CT1057" i="75"/>
  <c r="DF1061" i="75"/>
  <c r="CD1063" i="75"/>
  <c r="CT1065" i="75"/>
  <c r="CX1069" i="75"/>
  <c r="CL1071" i="75"/>
  <c r="CT1107" i="75"/>
  <c r="CD1109" i="75"/>
  <c r="BR1111" i="75"/>
  <c r="CX1113" i="75"/>
  <c r="CT1115" i="75"/>
  <c r="CT1117" i="75"/>
  <c r="CX1119" i="75"/>
  <c r="DF1121" i="75"/>
  <c r="CV1129" i="75"/>
  <c r="CJ1131" i="75"/>
  <c r="BJ1163" i="75"/>
  <c r="CX1163" i="75"/>
  <c r="BZ1165" i="75"/>
  <c r="CB1169" i="75"/>
  <c r="BP1171" i="75"/>
  <c r="DD1171" i="75"/>
  <c r="CV1173" i="75"/>
  <c r="CR1175" i="75"/>
  <c r="CR1177" i="75"/>
  <c r="CV1179" i="75"/>
  <c r="CB1183" i="75"/>
  <c r="CV1189" i="75"/>
  <c r="CJ1191" i="75"/>
  <c r="G79" i="112"/>
  <c r="X43" i="100"/>
  <c r="CO1019" i="75" a="1"/>
  <c r="CO1020" i="75" s="1"/>
  <c r="CX497" i="75"/>
  <c r="CL501" i="75"/>
  <c r="DF503" i="75"/>
  <c r="CP519" i="75"/>
  <c r="CP529" i="75"/>
  <c r="CB631" i="75"/>
  <c r="BX633" i="75"/>
  <c r="CZ687" i="75"/>
  <c r="CF691" i="75"/>
  <c r="CZ1043" i="75"/>
  <c r="Z19" i="100"/>
  <c r="BL263" i="75"/>
  <c r="CZ263" i="75"/>
  <c r="BX267" i="75"/>
  <c r="CX271" i="75"/>
  <c r="CX273" i="75"/>
  <c r="DB275" i="75"/>
  <c r="DB285" i="75"/>
  <c r="CM293" i="75" a="1"/>
  <c r="CM307" i="75" s="1"/>
  <c r="DB331" i="75"/>
  <c r="DB333" i="75"/>
  <c r="CB337" i="75"/>
  <c r="DB341" i="75"/>
  <c r="CJ343" i="75"/>
  <c r="CV347" i="75"/>
  <c r="CT385" i="75"/>
  <c r="BT391" i="75"/>
  <c r="DF393" i="75"/>
  <c r="CP399" i="75"/>
  <c r="CX479" i="75"/>
  <c r="BN497" i="75"/>
  <c r="DB497" i="75"/>
  <c r="CP501" i="75"/>
  <c r="CH507" i="75"/>
  <c r="CT519" i="75"/>
  <c r="BX565" i="75"/>
  <c r="CV567" i="75"/>
  <c r="CJ569" i="75"/>
  <c r="CB571" i="75"/>
  <c r="BX573" i="75"/>
  <c r="CV591" i="75"/>
  <c r="DF619" i="75"/>
  <c r="CD621" i="75"/>
  <c r="CZ651" i="75"/>
  <c r="BL683" i="75"/>
  <c r="DD687" i="75"/>
  <c r="CR689" i="75"/>
  <c r="CF693" i="75"/>
  <c r="CF695" i="75"/>
  <c r="CH697" i="75"/>
  <c r="CJ707" i="75"/>
  <c r="CB739" i="75"/>
  <c r="CN741" i="75"/>
  <c r="CF859" i="75"/>
  <c r="BT863" i="75"/>
  <c r="CL865" i="75"/>
  <c r="CP871" i="75"/>
  <c r="DF885" i="75"/>
  <c r="DF893" i="75"/>
  <c r="DD895" i="75"/>
  <c r="BP1043" i="75"/>
  <c r="DD1043" i="75"/>
  <c r="CZ1047" i="75"/>
  <c r="CH1049" i="75"/>
  <c r="BX1051" i="75"/>
  <c r="DD1053" i="75"/>
  <c r="CZ1055" i="75"/>
  <c r="CX1057" i="75"/>
  <c r="CJ1063" i="75"/>
  <c r="CX1065" i="75"/>
  <c r="CF1067" i="75"/>
  <c r="DD1069" i="75"/>
  <c r="CR1071" i="75"/>
  <c r="BP1163" i="75"/>
  <c r="DD1163" i="75"/>
  <c r="DB1173" i="75"/>
  <c r="CH1183" i="75"/>
  <c r="DB1189" i="75"/>
  <c r="BL1223" i="75"/>
  <c r="CZ1223" i="75"/>
  <c r="CB1225" i="75"/>
  <c r="CV1227" i="75"/>
  <c r="DF1231" i="75"/>
  <c r="CV1235" i="75"/>
  <c r="CT1237" i="75"/>
  <c r="CF1243" i="75"/>
  <c r="CT1245" i="75"/>
  <c r="CK1255" i="75" a="1"/>
  <c r="CK1268" i="75" s="1"/>
  <c r="CO1259" i="75" a="1"/>
  <c r="CO1275" i="75" s="1"/>
  <c r="D170" i="113"/>
  <c r="G31" i="114"/>
  <c r="I161" i="116"/>
  <c r="AB29" i="100"/>
  <c r="AF11" i="100"/>
  <c r="BP497" i="75"/>
  <c r="CR523" i="75"/>
  <c r="BN567" i="75"/>
  <c r="CH577" i="75"/>
  <c r="CX593" i="75"/>
  <c r="CX595" i="75"/>
  <c r="CZ597" i="75"/>
  <c r="CX645" i="75"/>
  <c r="CX809" i="75"/>
  <c r="CL823" i="75"/>
  <c r="CP875" i="75"/>
  <c r="CT877" i="75"/>
  <c r="G148" i="112"/>
  <c r="AH11" i="100"/>
  <c r="AA13" i="102" s="1"/>
  <c r="T34" i="100"/>
  <c r="AH35" i="100"/>
  <c r="AA37" i="102" s="1"/>
  <c r="CH327" i="75"/>
  <c r="BV331" i="75"/>
  <c r="BV453" i="75"/>
  <c r="CP473" i="75"/>
  <c r="CV801" i="75"/>
  <c r="BZ863" i="75"/>
  <c r="CD867" i="75"/>
  <c r="BR869" i="75"/>
  <c r="CT875" i="75"/>
  <c r="CT883" i="75"/>
  <c r="CT981" i="75"/>
  <c r="CF1007" i="75"/>
  <c r="CR1011" i="75"/>
  <c r="BH1101" i="75"/>
  <c r="CJ1105" i="75"/>
  <c r="DD1107" i="75"/>
  <c r="DD1117" i="75"/>
  <c r="CN1123" i="75"/>
  <c r="DB1125" i="75"/>
  <c r="DF1129" i="75"/>
  <c r="DB1185" i="75"/>
  <c r="CT1221" i="75"/>
  <c r="BZ1241" i="75"/>
  <c r="R37" i="115"/>
  <c r="D19" i="116"/>
  <c r="X180" i="100"/>
  <c r="AB297" i="100"/>
  <c r="AB8" i="100"/>
  <c r="AH19" i="100"/>
  <c r="AA21" i="102" s="1"/>
  <c r="DC614" i="75"/>
  <c r="DC612" i="75"/>
  <c r="CG299" i="75"/>
  <c r="CG297" i="75"/>
  <c r="CO250" i="75"/>
  <c r="CO238" i="75"/>
  <c r="CO252" i="75"/>
  <c r="CO245" i="75"/>
  <c r="CO240" i="75"/>
  <c r="CO244" i="75"/>
  <c r="BE206" i="75"/>
  <c r="BE220" i="75"/>
  <c r="BE231" i="75"/>
  <c r="V31" i="100"/>
  <c r="CG308" i="75"/>
  <c r="BE214" i="75"/>
  <c r="CG294" i="75"/>
  <c r="CG304" i="75"/>
  <c r="CG288" i="75"/>
  <c r="CG292" i="75"/>
  <c r="CG287" i="75"/>
  <c r="CH287" i="75" s="1"/>
  <c r="CG295" i="75"/>
  <c r="CG291" i="75"/>
  <c r="CG311" i="75"/>
  <c r="CG301" i="75"/>
  <c r="CG307" i="75"/>
  <c r="CG300" i="75"/>
  <c r="CG305" i="75"/>
  <c r="CG293" i="75"/>
  <c r="BE208" i="75"/>
  <c r="BC776" i="75"/>
  <c r="P31" i="100"/>
  <c r="CO249" i="75"/>
  <c r="CG289" i="75"/>
  <c r="CO251" i="75"/>
  <c r="CO247" i="75"/>
  <c r="CG302" i="75"/>
  <c r="CO246" i="75"/>
  <c r="AD31" i="100"/>
  <c r="CG310" i="75"/>
  <c r="CO236" i="75"/>
  <c r="BC694" i="75"/>
  <c r="BC686" i="75"/>
  <c r="BC691" i="75"/>
  <c r="BC717" i="75"/>
  <c r="BC698" i="75"/>
  <c r="BC683" i="75"/>
  <c r="BC700" i="75"/>
  <c r="BC696" i="75"/>
  <c r="BC711" i="75"/>
  <c r="BC688" i="75"/>
  <c r="E218" i="116"/>
  <c r="F218" i="116"/>
  <c r="CE894" i="75"/>
  <c r="CE903" i="75"/>
  <c r="CE895" i="75"/>
  <c r="CE887" i="75"/>
  <c r="CF887" i="75" s="1"/>
  <c r="CE891" i="75"/>
  <c r="CE897" i="75"/>
  <c r="CE899" i="75"/>
  <c r="CE892" i="75"/>
  <c r="CE914" i="75"/>
  <c r="CE902" i="75"/>
  <c r="CE908" i="75"/>
  <c r="CE889" i="75"/>
  <c r="CE913" i="75"/>
  <c r="CE890" i="75"/>
  <c r="DD975" i="75"/>
  <c r="DD976" i="75"/>
  <c r="CO235" i="75"/>
  <c r="CP235" i="75" s="1"/>
  <c r="BG760" i="75"/>
  <c r="BG745" i="75"/>
  <c r="BG784" i="75"/>
  <c r="BG766" i="75"/>
  <c r="BG758" i="75"/>
  <c r="BE818" i="75"/>
  <c r="BE827" i="75"/>
  <c r="BE853" i="75"/>
  <c r="BE852" i="75"/>
  <c r="BE843" i="75"/>
  <c r="BE801" i="75"/>
  <c r="BF801" i="75" s="1"/>
  <c r="BE839" i="75"/>
  <c r="BM662" i="75"/>
  <c r="BM640" i="75"/>
  <c r="BQ339" i="75"/>
  <c r="BQ340" i="75"/>
  <c r="BQ358" i="75"/>
  <c r="BQ332" i="75"/>
  <c r="BQ360" i="75"/>
  <c r="BQ352" i="75"/>
  <c r="BQ361" i="75"/>
  <c r="BQ348" i="75"/>
  <c r="CG298" i="75"/>
  <c r="CG296" i="75"/>
  <c r="CG312" i="75"/>
  <c r="BE215" i="75"/>
  <c r="CE904" i="75"/>
  <c r="F110" i="113"/>
  <c r="CO239" i="75"/>
  <c r="BC739" i="75"/>
  <c r="BD739" i="75" s="1"/>
  <c r="T31" i="100"/>
  <c r="AH30" i="100"/>
  <c r="AA32" i="102" s="1"/>
  <c r="AD30" i="100"/>
  <c r="CG290" i="75"/>
  <c r="CE905" i="75"/>
  <c r="E110" i="113"/>
  <c r="CO241" i="75"/>
  <c r="BC197" i="75"/>
  <c r="BD197" i="75" s="1"/>
  <c r="BC212" i="75"/>
  <c r="BC248" i="75"/>
  <c r="BC230" i="75"/>
  <c r="BC203" i="75"/>
  <c r="BC224" i="75"/>
  <c r="BC231" i="75"/>
  <c r="BC217" i="75"/>
  <c r="CG303" i="75"/>
  <c r="Z31" i="100"/>
  <c r="AJ31" i="100"/>
  <c r="CG306" i="75"/>
  <c r="BQ351" i="75"/>
  <c r="DD974" i="75"/>
  <c r="CE911" i="75"/>
  <c r="BM674" i="75"/>
  <c r="E149" i="116"/>
  <c r="F149" i="116"/>
  <c r="DD430" i="75"/>
  <c r="DD432" i="75"/>
  <c r="E184" i="114"/>
  <c r="CE588" i="75"/>
  <c r="CE589" i="75"/>
  <c r="CC467" i="75"/>
  <c r="CC487" i="75"/>
  <c r="CC489" i="75"/>
  <c r="CC471" i="75"/>
  <c r="CC475" i="75"/>
  <c r="CC484" i="75"/>
  <c r="CC463" i="75"/>
  <c r="CD463" i="75" s="1"/>
  <c r="CC473" i="75"/>
  <c r="CC466" i="75"/>
  <c r="CC485" i="75"/>
  <c r="CK472" i="75"/>
  <c r="CK488" i="75"/>
  <c r="CU1275" i="75"/>
  <c r="CU1268" i="75"/>
  <c r="CU1270" i="75"/>
  <c r="J114" i="115"/>
  <c r="H114" i="115"/>
  <c r="J41" i="112"/>
  <c r="H41" i="112"/>
  <c r="E159" i="112"/>
  <c r="F159" i="112"/>
  <c r="H174" i="115"/>
  <c r="BM1082" i="75"/>
  <c r="BM1091" i="75"/>
  <c r="BQ522" i="75"/>
  <c r="CU1271" i="75"/>
  <c r="F189" i="115"/>
  <c r="M41" i="113"/>
  <c r="CO731" i="75"/>
  <c r="CO725" i="75"/>
  <c r="J135" i="116"/>
  <c r="H135" i="116"/>
  <c r="F50" i="113"/>
  <c r="CE230" i="75"/>
  <c r="CE225" i="75"/>
  <c r="CF225" i="75" s="1"/>
  <c r="CE227" i="75"/>
  <c r="CE247" i="75"/>
  <c r="E89" i="114"/>
  <c r="J89" i="114" s="1"/>
  <c r="BY291" i="75"/>
  <c r="BY312" i="75"/>
  <c r="BC258" i="75"/>
  <c r="F149" i="115"/>
  <c r="E149" i="115"/>
  <c r="BO765" i="75"/>
  <c r="CC721" i="75"/>
  <c r="BM295" i="75"/>
  <c r="CI717" i="75"/>
  <c r="CI712" i="75"/>
  <c r="CI729" i="75"/>
  <c r="F14" i="115"/>
  <c r="E14" i="115"/>
  <c r="CM427" i="75"/>
  <c r="J167" i="115"/>
  <c r="H167" i="115"/>
  <c r="F145" i="115"/>
  <c r="J34" i="112"/>
  <c r="H34" i="112"/>
  <c r="H52" i="114"/>
  <c r="J52" i="114"/>
  <c r="J138" i="116"/>
  <c r="H138" i="116"/>
  <c r="CO371" i="75"/>
  <c r="CM413" i="75"/>
  <c r="CN413" i="75" s="1"/>
  <c r="F228" i="116"/>
  <c r="E228" i="116"/>
  <c r="M11" i="113"/>
  <c r="W25" i="113" s="1"/>
  <c r="E20" i="113"/>
  <c r="F153" i="114"/>
  <c r="E153" i="114"/>
  <c r="F158" i="114"/>
  <c r="E158" i="114"/>
  <c r="J158" i="114" s="1"/>
  <c r="H82" i="114"/>
  <c r="F196" i="114"/>
  <c r="E196" i="114"/>
  <c r="J179" i="115"/>
  <c r="H179" i="115"/>
  <c r="CW605" i="75" a="1"/>
  <c r="CW607" i="75" s="1"/>
  <c r="O30" i="113"/>
  <c r="H173" i="114"/>
  <c r="J173" i="114"/>
  <c r="BK788" i="75"/>
  <c r="CM418" i="75"/>
  <c r="F179" i="112"/>
  <c r="E179" i="112"/>
  <c r="J179" i="112" s="1"/>
  <c r="J192" i="114"/>
  <c r="E84" i="115"/>
  <c r="F84" i="115"/>
  <c r="H122" i="116"/>
  <c r="CM430" i="75"/>
  <c r="E74" i="116"/>
  <c r="J74" i="116" s="1"/>
  <c r="E27" i="115"/>
  <c r="F27" i="115"/>
  <c r="E45" i="115"/>
  <c r="F45" i="115"/>
  <c r="H16" i="114"/>
  <c r="J16" i="114"/>
  <c r="F125" i="115"/>
  <c r="E125" i="115"/>
  <c r="BP445" i="75"/>
  <c r="BR445" i="75"/>
  <c r="CL449" i="75"/>
  <c r="CJ449" i="75"/>
  <c r="CH453" i="75"/>
  <c r="CF453" i="75"/>
  <c r="DD459" i="75"/>
  <c r="DF459" i="75"/>
  <c r="DB471" i="75"/>
  <c r="CZ471" i="75"/>
  <c r="DB482" i="75"/>
  <c r="DD481" i="75"/>
  <c r="DF542" i="75"/>
  <c r="CW543" i="75" s="1" a="1"/>
  <c r="CW552" i="75" s="1"/>
  <c r="DF541" i="75"/>
  <c r="CB567" i="75"/>
  <c r="BZ567" i="75"/>
  <c r="DD569" i="75"/>
  <c r="DB569" i="75"/>
  <c r="CP573" i="75"/>
  <c r="CR573" i="75"/>
  <c r="CP575" i="75"/>
  <c r="CR575" i="75"/>
  <c r="DB579" i="75"/>
  <c r="DD579" i="75"/>
  <c r="CP583" i="75"/>
  <c r="CR583" i="75"/>
  <c r="CT587" i="75"/>
  <c r="CV587" i="75"/>
  <c r="CL619" i="75"/>
  <c r="CJ619" i="75"/>
  <c r="BJ621" i="75"/>
  <c r="BH621" i="75"/>
  <c r="CB627" i="75"/>
  <c r="CD627" i="75"/>
  <c r="BR629" i="75"/>
  <c r="BP629" i="75"/>
  <c r="CX637" i="75"/>
  <c r="CV637" i="75"/>
  <c r="DB681" i="75"/>
  <c r="CZ681" i="75"/>
  <c r="CB683" i="75"/>
  <c r="CD683" i="75"/>
  <c r="CZ697" i="75"/>
  <c r="DB697" i="75"/>
  <c r="CT799" i="75"/>
  <c r="CV799" i="75"/>
  <c r="BT801" i="75"/>
  <c r="BR801" i="75"/>
  <c r="CJ803" i="75"/>
  <c r="CH803" i="75"/>
  <c r="BZ809" i="75"/>
  <c r="BX809" i="75"/>
  <c r="CL821" i="75"/>
  <c r="CJ821" i="75"/>
  <c r="DB823" i="75"/>
  <c r="CZ823" i="75"/>
  <c r="CH825" i="75"/>
  <c r="CF825" i="75"/>
  <c r="CT829" i="75"/>
  <c r="CR829" i="75"/>
  <c r="F99" i="114"/>
  <c r="H119" i="114"/>
  <c r="E83" i="115"/>
  <c r="E16" i="116"/>
  <c r="J16" i="116" s="1"/>
  <c r="F16" i="116"/>
  <c r="E56" i="116"/>
  <c r="F56" i="116"/>
  <c r="BV563" i="75"/>
  <c r="DB205" i="75"/>
  <c r="DD205" i="75"/>
  <c r="CZ236" i="75"/>
  <c r="DB235" i="75"/>
  <c r="CX242" i="75"/>
  <c r="CX241" i="75"/>
  <c r="CZ241" i="75"/>
  <c r="DF261" i="75"/>
  <c r="DD261" i="75"/>
  <c r="E68" i="116"/>
  <c r="J68" i="116" s="1"/>
  <c r="F68" i="116"/>
  <c r="F37" i="114"/>
  <c r="H71" i="114"/>
  <c r="E195" i="116"/>
  <c r="J195" i="116" s="1"/>
  <c r="F195" i="116"/>
  <c r="F25" i="114"/>
  <c r="F115" i="115"/>
  <c r="E115" i="115"/>
  <c r="H99" i="114"/>
  <c r="F71" i="114"/>
  <c r="J202" i="115"/>
  <c r="F189" i="112"/>
  <c r="E189" i="112"/>
  <c r="F141" i="115"/>
  <c r="J192" i="116"/>
  <c r="H192" i="116"/>
  <c r="H63" i="115"/>
  <c r="J63" i="115"/>
  <c r="E83" i="114"/>
  <c r="J83" i="114" s="1"/>
  <c r="E37" i="112"/>
  <c r="F37" i="112"/>
  <c r="F213" i="116"/>
  <c r="E213" i="116"/>
  <c r="F115" i="114"/>
  <c r="E115" i="114"/>
  <c r="F12" i="114"/>
  <c r="E12" i="114"/>
  <c r="J12" i="114" s="1"/>
  <c r="CL807" i="75"/>
  <c r="H152" i="114"/>
  <c r="E128" i="115"/>
  <c r="F128" i="115"/>
  <c r="F11" i="112"/>
  <c r="E11" i="112"/>
  <c r="F135" i="114"/>
  <c r="H175" i="116"/>
  <c r="F127" i="114"/>
  <c r="F81" i="114"/>
  <c r="E81" i="114"/>
  <c r="E140" i="113"/>
  <c r="F219" i="116"/>
  <c r="E219" i="116"/>
  <c r="J219" i="116" s="1"/>
  <c r="E136" i="112"/>
  <c r="H136" i="112" s="1"/>
  <c r="F136" i="112"/>
  <c r="M140" i="113"/>
  <c r="F137" i="116"/>
  <c r="E137" i="116"/>
  <c r="F202" i="114"/>
  <c r="J18" i="116"/>
  <c r="F78" i="112"/>
  <c r="E78" i="112"/>
  <c r="H47" i="115"/>
  <c r="J47" i="115"/>
  <c r="F14" i="114"/>
  <c r="E14" i="114"/>
  <c r="BT509" i="75"/>
  <c r="CT451" i="75"/>
  <c r="CR1173" i="75"/>
  <c r="CW790" i="75"/>
  <c r="BZ209" i="75"/>
  <c r="BX209" i="75"/>
  <c r="CZ240" i="75"/>
  <c r="CU241" i="75" s="1" a="1"/>
  <c r="CU249" i="75" s="1"/>
  <c r="CZ239" i="75"/>
  <c r="CX265" i="75"/>
  <c r="CZ265" i="75"/>
  <c r="CF269" i="75"/>
  <c r="CD269" i="75"/>
  <c r="CT291" i="75"/>
  <c r="CR291" i="75"/>
  <c r="CF341" i="75"/>
  <c r="CD341" i="75"/>
  <c r="CC403" i="75" a="1"/>
  <c r="CI409" i="75" a="1"/>
  <c r="CI425" i="75" s="1"/>
  <c r="CX421" i="75"/>
  <c r="DD817" i="75"/>
  <c r="CM835" i="75" a="1"/>
  <c r="CM841" i="75" s="1"/>
  <c r="DF846" i="75"/>
  <c r="DF845" i="75"/>
  <c r="BN865" i="75"/>
  <c r="BP865" i="75"/>
  <c r="DD873" i="75"/>
  <c r="DB873" i="75"/>
  <c r="CV201" i="75"/>
  <c r="CT201" i="75"/>
  <c r="CD209" i="75"/>
  <c r="CB209" i="75"/>
  <c r="CN383" i="75"/>
  <c r="CP383" i="75"/>
  <c r="J67" i="114"/>
  <c r="BQ1266" i="75"/>
  <c r="DF1105" i="75"/>
  <c r="DD227" i="75"/>
  <c r="DF227" i="75"/>
  <c r="DF265" i="75"/>
  <c r="DD265" i="75"/>
  <c r="CL269" i="75"/>
  <c r="CJ269" i="75"/>
  <c r="CN335" i="75"/>
  <c r="DD362" i="75"/>
  <c r="DD361" i="75"/>
  <c r="D53" i="115"/>
  <c r="I53" i="115"/>
  <c r="D55" i="115"/>
  <c r="I52" i="115"/>
  <c r="D54" i="115"/>
  <c r="I55" i="115"/>
  <c r="I54" i="115"/>
  <c r="D57" i="115"/>
  <c r="D56" i="115"/>
  <c r="I57" i="115"/>
  <c r="I56" i="115"/>
  <c r="I51" i="115"/>
  <c r="I58" i="115"/>
  <c r="D51" i="115"/>
  <c r="D77" i="115"/>
  <c r="D76" i="115"/>
  <c r="D75" i="115"/>
  <c r="D74" i="115"/>
  <c r="D73" i="115"/>
  <c r="D71" i="115"/>
  <c r="F71" i="115" s="1"/>
  <c r="D72" i="115"/>
  <c r="E72" i="115" s="1"/>
  <c r="D197" i="115"/>
  <c r="F197" i="115" s="1"/>
  <c r="D196" i="115"/>
  <c r="D195" i="115"/>
  <c r="D194" i="115"/>
  <c r="D199" i="115"/>
  <c r="I53" i="116"/>
  <c r="I51" i="116"/>
  <c r="I56" i="116"/>
  <c r="D75" i="116"/>
  <c r="F75" i="116" s="1"/>
  <c r="D73" i="116"/>
  <c r="I78" i="116"/>
  <c r="I73" i="116"/>
  <c r="I76" i="116"/>
  <c r="G75" i="116"/>
  <c r="D77" i="116"/>
  <c r="E77" i="116" s="1"/>
  <c r="J77" i="116" s="1"/>
  <c r="D78" i="116"/>
  <c r="G74" i="116"/>
  <c r="I74" i="116"/>
  <c r="I79" i="116"/>
  <c r="G76" i="116"/>
  <c r="H76" i="116" s="1"/>
  <c r="I72" i="116"/>
  <c r="I71" i="116"/>
  <c r="G94" i="116"/>
  <c r="D96" i="116"/>
  <c r="D94" i="116"/>
  <c r="I99" i="116"/>
  <c r="I97" i="116"/>
  <c r="I95" i="116"/>
  <c r="I93" i="116"/>
  <c r="I98" i="116"/>
  <c r="I94" i="116"/>
  <c r="I92" i="116"/>
  <c r="D92" i="116"/>
  <c r="G99" i="116"/>
  <c r="I114" i="116"/>
  <c r="I116" i="116"/>
  <c r="I113" i="116"/>
  <c r="I115" i="116"/>
  <c r="I118" i="116"/>
  <c r="E35" i="112"/>
  <c r="F35" i="112"/>
  <c r="CV1119" i="75"/>
  <c r="DD902" i="75"/>
  <c r="CU903" i="75" s="1" a="1"/>
  <c r="DF901" i="75"/>
  <c r="DB1086" i="75"/>
  <c r="DD1085" i="75"/>
  <c r="DB1085" i="75"/>
  <c r="BV1109" i="75"/>
  <c r="BT1109" i="75"/>
  <c r="F125" i="112"/>
  <c r="E125" i="112"/>
  <c r="BQ1239" i="75"/>
  <c r="BQ1245" i="75"/>
  <c r="BQ1246" i="75"/>
  <c r="BQ1272" i="75"/>
  <c r="BQ1256" i="75"/>
  <c r="CR879" i="75"/>
  <c r="CP1103" i="75"/>
  <c r="E97" i="116"/>
  <c r="F97" i="116"/>
  <c r="E33" i="116"/>
  <c r="J33" i="116" s="1"/>
  <c r="F33" i="116"/>
  <c r="H182" i="114"/>
  <c r="BQ1271" i="75"/>
  <c r="BV859" i="75"/>
  <c r="BZ441" i="75"/>
  <c r="CB441" i="75"/>
  <c r="CV443" i="75"/>
  <c r="CT443" i="75"/>
  <c r="BR447" i="75"/>
  <c r="BT447" i="75"/>
  <c r="DB546" i="75"/>
  <c r="DB545" i="75"/>
  <c r="DD545" i="75"/>
  <c r="BP565" i="75"/>
  <c r="BR565" i="75"/>
  <c r="DD565" i="75"/>
  <c r="DF565" i="75"/>
  <c r="CB569" i="75"/>
  <c r="CD569" i="75"/>
  <c r="BT571" i="75"/>
  <c r="BV571" i="75"/>
  <c r="DD575" i="75"/>
  <c r="DF575" i="75"/>
  <c r="CH861" i="75"/>
  <c r="CJ861" i="75"/>
  <c r="BN867" i="75"/>
  <c r="BP867" i="75"/>
  <c r="CD875" i="75"/>
  <c r="CF875" i="75"/>
  <c r="DB881" i="75"/>
  <c r="DD881" i="75"/>
  <c r="CF883" i="75"/>
  <c r="CD883" i="75"/>
  <c r="CX885" i="75"/>
  <c r="CZ885" i="75"/>
  <c r="CH887" i="75"/>
  <c r="CJ887" i="75"/>
  <c r="DB891" i="75"/>
  <c r="CZ891" i="75"/>
  <c r="CV895" i="75"/>
  <c r="CX895" i="75"/>
  <c r="CP923" i="75"/>
  <c r="CN923" i="75"/>
  <c r="CV931" i="75"/>
  <c r="CT931" i="75"/>
  <c r="CH935" i="75"/>
  <c r="CJ935" i="75"/>
  <c r="DB947" i="75"/>
  <c r="DD947" i="75"/>
  <c r="DD957" i="75"/>
  <c r="DB957" i="75"/>
  <c r="DD960" i="75"/>
  <c r="DF959" i="75"/>
  <c r="DB966" i="75"/>
  <c r="DD965" i="75"/>
  <c r="DB965" i="75"/>
  <c r="DD1026" i="75"/>
  <c r="DD1025" i="75"/>
  <c r="BX1045" i="75"/>
  <c r="BV1045" i="75"/>
  <c r="DD1051" i="75"/>
  <c r="DB1051" i="75"/>
  <c r="CB1109" i="75"/>
  <c r="BZ1109" i="75"/>
  <c r="DB1111" i="75"/>
  <c r="DD1111" i="75"/>
  <c r="CT1113" i="75"/>
  <c r="CV1113" i="75"/>
  <c r="CP1115" i="75"/>
  <c r="CR1115" i="75"/>
  <c r="CR1117" i="75"/>
  <c r="CP1117" i="75"/>
  <c r="CT1142" i="75"/>
  <c r="CV1141" i="75"/>
  <c r="CT1141" i="75"/>
  <c r="CH1161" i="75"/>
  <c r="CJ1161" i="75"/>
  <c r="BV1165" i="75"/>
  <c r="BX1165" i="75"/>
  <c r="CN1175" i="75"/>
  <c r="CP1175" i="75"/>
  <c r="CR1189" i="75"/>
  <c r="CT1189" i="75"/>
  <c r="CT1202" i="75"/>
  <c r="CV1201" i="75"/>
  <c r="CT1201" i="75"/>
  <c r="G141" i="114"/>
  <c r="G148" i="114"/>
  <c r="G145" i="114"/>
  <c r="G147" i="114"/>
  <c r="G143" i="114"/>
  <c r="G144" i="114"/>
  <c r="H144" i="114" s="1"/>
  <c r="D165" i="114"/>
  <c r="D167" i="114"/>
  <c r="D163" i="114"/>
  <c r="D164" i="114"/>
  <c r="D162" i="114"/>
  <c r="D166" i="114"/>
  <c r="I88" i="115"/>
  <c r="I89" i="115"/>
  <c r="D85" i="115"/>
  <c r="I85" i="115"/>
  <c r="D86" i="115"/>
  <c r="F37" i="116"/>
  <c r="E37" i="116"/>
  <c r="J37" i="116" s="1"/>
  <c r="CH937" i="75"/>
  <c r="BP439" i="75"/>
  <c r="BN439" i="75"/>
  <c r="BY459" i="75" a="1"/>
  <c r="BY477" i="75" s="1"/>
  <c r="BN503" i="75"/>
  <c r="BP503" i="75"/>
  <c r="DB503" i="75"/>
  <c r="DD503" i="75"/>
  <c r="CK538" i="75"/>
  <c r="CV540" i="75"/>
  <c r="CX539" i="75"/>
  <c r="CZ559" i="75"/>
  <c r="CX559" i="75"/>
  <c r="BX561" i="75"/>
  <c r="BV561" i="75"/>
  <c r="CX602" i="75"/>
  <c r="CZ601" i="75"/>
  <c r="BZ621" i="75"/>
  <c r="BX621" i="75"/>
  <c r="BG623" i="75" a="1"/>
  <c r="BG650" i="75" s="1"/>
  <c r="CR658" i="75"/>
  <c r="CR657" i="75"/>
  <c r="CT657" i="75"/>
  <c r="CX662" i="75"/>
  <c r="CZ661" i="75"/>
  <c r="BX685" i="75"/>
  <c r="BZ685" i="75"/>
  <c r="DF781" i="75"/>
  <c r="DD782" i="75"/>
  <c r="CZ838" i="75"/>
  <c r="DB837" i="75"/>
  <c r="CZ904" i="75"/>
  <c r="CZ903" i="75"/>
  <c r="DB903" i="75"/>
  <c r="CF921" i="75"/>
  <c r="CD921" i="75"/>
  <c r="CH981" i="75"/>
  <c r="CF981" i="75"/>
  <c r="CN987" i="75"/>
  <c r="CP987" i="75"/>
  <c r="CZ991" i="75"/>
  <c r="DB991" i="75"/>
  <c r="CT993" i="75"/>
  <c r="CR993" i="75"/>
  <c r="CN997" i="75"/>
  <c r="CL997" i="75"/>
  <c r="CZ1001" i="75"/>
  <c r="CX1001" i="75"/>
  <c r="CN1005" i="75"/>
  <c r="CL1005" i="75"/>
  <c r="CR1009" i="75"/>
  <c r="CP1009" i="75"/>
  <c r="CT1022" i="75"/>
  <c r="CT1021" i="75"/>
  <c r="CV1021" i="75"/>
  <c r="E13" i="112"/>
  <c r="E91" i="115"/>
  <c r="D82" i="115"/>
  <c r="CD459" i="75"/>
  <c r="DF403" i="75"/>
  <c r="CZ465" i="75"/>
  <c r="CV235" i="75"/>
  <c r="DD477" i="75"/>
  <c r="E177" i="116"/>
  <c r="F177" i="116"/>
  <c r="E147" i="112"/>
  <c r="J147" i="112" s="1"/>
  <c r="F147" i="112"/>
  <c r="DB301" i="75"/>
  <c r="CV539" i="75"/>
  <c r="CD873" i="75"/>
  <c r="BF859" i="75"/>
  <c r="DD1121" i="75"/>
  <c r="J184" i="115"/>
  <c r="F98" i="116"/>
  <c r="E33" i="114"/>
  <c r="F215" i="116"/>
  <c r="F197" i="116"/>
  <c r="E197" i="116"/>
  <c r="J197" i="116" s="1"/>
  <c r="BL863" i="75"/>
  <c r="DD573" i="75"/>
  <c r="CX238" i="75"/>
  <c r="CZ237" i="75"/>
  <c r="CG407" i="75" a="1"/>
  <c r="DB477" i="75"/>
  <c r="BX211" i="75"/>
  <c r="CY305" i="75" a="1"/>
  <c r="BW767" i="75"/>
  <c r="E85" i="114"/>
  <c r="F168" i="116"/>
  <c r="E113" i="116"/>
  <c r="E47" i="114"/>
  <c r="BV1105" i="75"/>
  <c r="BX1169" i="75"/>
  <c r="CA1275" i="75"/>
  <c r="CA1257" i="75"/>
  <c r="CA1260" i="75"/>
  <c r="CA1266" i="75"/>
  <c r="E22" i="114"/>
  <c r="F22" i="114"/>
  <c r="E177" i="112"/>
  <c r="CT235" i="75"/>
  <c r="CO900" i="75"/>
  <c r="CO904" i="75"/>
  <c r="CO906" i="75"/>
  <c r="H116" i="114"/>
  <c r="F206" i="115"/>
  <c r="E206" i="115"/>
  <c r="CL1107" i="75"/>
  <c r="CT267" i="75"/>
  <c r="CP1177" i="75"/>
  <c r="BQ1270" i="75"/>
  <c r="BS291" i="75"/>
  <c r="CB691" i="75"/>
  <c r="CD681" i="75"/>
  <c r="F196" i="116"/>
  <c r="G149" i="114"/>
  <c r="CZ481" i="75"/>
  <c r="CR385" i="75"/>
  <c r="DD341" i="75"/>
  <c r="DB279" i="75"/>
  <c r="E62" i="115"/>
  <c r="F62" i="115"/>
  <c r="F196" i="112"/>
  <c r="E196" i="112"/>
  <c r="F47" i="112"/>
  <c r="DF361" i="75"/>
  <c r="CP1107" i="75"/>
  <c r="CN1113" i="75"/>
  <c r="BH559" i="75"/>
  <c r="D81" i="115"/>
  <c r="DB481" i="75"/>
  <c r="DD247" i="75"/>
  <c r="DB248" i="75" s="1" a="1"/>
  <c r="DB251" i="75" s="1"/>
  <c r="CV279" i="75"/>
  <c r="H63" i="112"/>
  <c r="E42" i="115"/>
  <c r="E27" i="112"/>
  <c r="E144" i="116"/>
  <c r="J144" i="116" s="1"/>
  <c r="E213" i="115"/>
  <c r="F213" i="115"/>
  <c r="D169" i="114"/>
  <c r="I74" i="115"/>
  <c r="E126" i="112"/>
  <c r="CL267" i="75"/>
  <c r="CJ1115" i="75"/>
  <c r="CL1115" i="75"/>
  <c r="CL1117" i="75"/>
  <c r="CJ1117" i="75"/>
  <c r="CN1119" i="75"/>
  <c r="CP1119" i="75"/>
  <c r="CX1121" i="75"/>
  <c r="CV1121" i="75"/>
  <c r="CC1127" i="75" a="1"/>
  <c r="CC1146" i="75" s="1"/>
  <c r="DB1135" i="75"/>
  <c r="DD1135" i="75"/>
  <c r="DD1137" i="75"/>
  <c r="DB1137" i="75"/>
  <c r="DB1146" i="75"/>
  <c r="DD1145" i="75"/>
  <c r="DB1145" i="75"/>
  <c r="BC1161" i="75" a="1"/>
  <c r="BC1189" i="75" s="1"/>
  <c r="CD1161" i="75"/>
  <c r="CB1161" i="75"/>
  <c r="BP1165" i="75"/>
  <c r="BR1165" i="75"/>
  <c r="BO1173" i="75" a="1"/>
  <c r="BO1199" i="75" s="1"/>
  <c r="CL1173" i="75"/>
  <c r="CN1173" i="75"/>
  <c r="BQ1175" i="75" a="1"/>
  <c r="BQ1194" i="75" s="1"/>
  <c r="CH1177" i="75"/>
  <c r="CJ1177" i="75"/>
  <c r="DD1187" i="75"/>
  <c r="DB1187" i="75"/>
  <c r="CL1189" i="75"/>
  <c r="CN1189" i="75"/>
  <c r="DD1200" i="75"/>
  <c r="DF1199" i="75"/>
  <c r="DD1199" i="75"/>
  <c r="CL1223" i="75"/>
  <c r="CJ1223" i="75"/>
  <c r="CZ1225" i="75"/>
  <c r="DB1225" i="75"/>
  <c r="CL1249" i="75"/>
  <c r="CJ1249" i="75"/>
  <c r="DB1260" i="75"/>
  <c r="DD1259" i="75"/>
  <c r="D75" i="112"/>
  <c r="D74" i="112"/>
  <c r="D77" i="112"/>
  <c r="D76" i="112"/>
  <c r="D91" i="112"/>
  <c r="D92" i="112"/>
  <c r="D93" i="112"/>
  <c r="D94" i="112"/>
  <c r="D97" i="112"/>
  <c r="D96" i="112"/>
  <c r="CZ1088" i="75"/>
  <c r="CY1089" i="75" s="1" a="1"/>
  <c r="CY1094" i="75" s="1"/>
  <c r="CZ1087" i="75"/>
  <c r="CZ1148" i="75"/>
  <c r="DB1147" i="75"/>
  <c r="CV1202" i="75"/>
  <c r="CX1201" i="75"/>
  <c r="DF1266" i="75"/>
  <c r="DF1265" i="75"/>
  <c r="D112" i="112"/>
  <c r="D114" i="112"/>
  <c r="D116" i="112"/>
  <c r="D113" i="112"/>
  <c r="D115" i="112"/>
  <c r="D137" i="112"/>
  <c r="G138" i="112"/>
  <c r="I131" i="112"/>
  <c r="I138" i="112"/>
  <c r="D132" i="112"/>
  <c r="G133" i="112"/>
  <c r="I133" i="112"/>
  <c r="D134" i="112"/>
  <c r="D131" i="112"/>
  <c r="G154" i="112"/>
  <c r="I151" i="112"/>
  <c r="I154" i="112"/>
  <c r="D152" i="112"/>
  <c r="D155" i="112"/>
  <c r="E155" i="112" s="1"/>
  <c r="G153" i="112"/>
  <c r="H153" i="112" s="1"/>
  <c r="G156" i="112"/>
  <c r="I153" i="112"/>
  <c r="I156" i="112"/>
  <c r="D154" i="112"/>
  <c r="I171" i="112"/>
  <c r="D171" i="112"/>
  <c r="D172" i="112"/>
  <c r="G172" i="112"/>
  <c r="I172" i="112"/>
  <c r="G173" i="112"/>
  <c r="D173" i="112"/>
  <c r="I173" i="112"/>
  <c r="G171" i="112"/>
  <c r="D174" i="112"/>
  <c r="G175" i="112"/>
  <c r="I191" i="112"/>
  <c r="I198" i="112"/>
  <c r="I193" i="112"/>
  <c r="CN1129" i="75"/>
  <c r="BG381" i="75" a="1"/>
  <c r="BG403" i="75" s="1"/>
  <c r="DF383" i="75"/>
  <c r="DD383" i="75"/>
  <c r="DF546" i="75"/>
  <c r="DF545" i="75"/>
  <c r="CT658" i="75"/>
  <c r="CV657" i="75"/>
  <c r="CZ662" i="75"/>
  <c r="DB661" i="75"/>
  <c r="CZ743" i="75"/>
  <c r="DB743" i="75"/>
  <c r="BR747" i="75"/>
  <c r="BP747" i="75"/>
  <c r="CH755" i="75"/>
  <c r="CF755" i="75"/>
  <c r="CR759" i="75"/>
  <c r="CT759" i="75"/>
  <c r="CZ765" i="75"/>
  <c r="DB765" i="75"/>
  <c r="CL767" i="75"/>
  <c r="CJ767" i="75"/>
  <c r="CZ773" i="75"/>
  <c r="DB773" i="75"/>
  <c r="DB775" i="75"/>
  <c r="CZ775" i="75"/>
  <c r="DE794" i="75"/>
  <c r="DE793" i="75"/>
  <c r="DF793" i="75" s="1"/>
  <c r="BZ799" i="75"/>
  <c r="BX799" i="75"/>
  <c r="BL803" i="75"/>
  <c r="BN803" i="75"/>
  <c r="CF823" i="75"/>
  <c r="CD823" i="75"/>
  <c r="CJ827" i="75"/>
  <c r="CH827" i="75"/>
  <c r="DD831" i="75"/>
  <c r="DB831" i="75"/>
  <c r="I137" i="112"/>
  <c r="I158" i="112"/>
  <c r="F122" i="112"/>
  <c r="E122" i="112"/>
  <c r="CX1055" i="75"/>
  <c r="CH1063" i="75"/>
  <c r="DD1195" i="75"/>
  <c r="CP861" i="75"/>
  <c r="CR861" i="75"/>
  <c r="CZ869" i="75"/>
  <c r="CX869" i="75"/>
  <c r="CL875" i="75"/>
  <c r="CN875" i="75"/>
  <c r="CR877" i="75"/>
  <c r="CP877" i="75"/>
  <c r="CZ879" i="75"/>
  <c r="CX879" i="75"/>
  <c r="CN883" i="75"/>
  <c r="CL883" i="75"/>
  <c r="CP887" i="75"/>
  <c r="CR887" i="75"/>
  <c r="DB1028" i="75"/>
  <c r="DD1027" i="75"/>
  <c r="CD1045" i="75"/>
  <c r="CF1045" i="75"/>
  <c r="DB1059" i="75"/>
  <c r="DD1059" i="75"/>
  <c r="CZ1208" i="75"/>
  <c r="CY1209" i="75" s="1" a="1"/>
  <c r="CY1216" i="75" s="1"/>
  <c r="DB1207" i="75"/>
  <c r="CL1221" i="75"/>
  <c r="CN1221" i="75"/>
  <c r="BT1231" i="75"/>
  <c r="BR1231" i="75"/>
  <c r="CZ1233" i="75"/>
  <c r="CX1233" i="75"/>
  <c r="CZ1239" i="75"/>
  <c r="CX1239" i="75"/>
  <c r="CX1249" i="75"/>
  <c r="CZ1249" i="75"/>
  <c r="CN1251" i="75"/>
  <c r="CL1251" i="75"/>
  <c r="CZ1262" i="75"/>
  <c r="CZ1261" i="75"/>
  <c r="DB1261" i="75"/>
  <c r="I61" i="114"/>
  <c r="I62" i="114"/>
  <c r="I63" i="114"/>
  <c r="I67" i="114"/>
  <c r="G83" i="114"/>
  <c r="G88" i="114"/>
  <c r="D185" i="114"/>
  <c r="D183" i="114"/>
  <c r="D204" i="114"/>
  <c r="D209" i="114"/>
  <c r="D206" i="114"/>
  <c r="D207" i="114"/>
  <c r="D205" i="114"/>
  <c r="D203" i="114"/>
  <c r="CL1125" i="75"/>
  <c r="H178" i="115"/>
  <c r="J178" i="115"/>
  <c r="F124" i="114"/>
  <c r="E124" i="114"/>
  <c r="G135" i="112"/>
  <c r="D175" i="112"/>
  <c r="I152" i="112"/>
  <c r="I134" i="112"/>
  <c r="D117" i="112"/>
  <c r="DB1255" i="75"/>
  <c r="CJ1167" i="75"/>
  <c r="E45" i="114"/>
  <c r="F45" i="114"/>
  <c r="I157" i="112"/>
  <c r="G131" i="112"/>
  <c r="I174" i="112"/>
  <c r="G152" i="112"/>
  <c r="G134" i="112"/>
  <c r="CR871" i="75"/>
  <c r="CX1047" i="75"/>
  <c r="E156" i="114"/>
  <c r="J156" i="114" s="1"/>
  <c r="F156" i="114"/>
  <c r="G157" i="112"/>
  <c r="F127" i="112"/>
  <c r="E127" i="112"/>
  <c r="G174" i="112"/>
  <c r="D151" i="112"/>
  <c r="D133" i="112"/>
  <c r="CF745" i="75"/>
  <c r="BN205" i="75"/>
  <c r="CD213" i="75"/>
  <c r="CB213" i="75"/>
  <c r="CN209" i="75"/>
  <c r="CL209" i="75"/>
  <c r="BS635" i="75" a="1"/>
  <c r="BS669" i="75" s="1"/>
  <c r="BI323" i="75" a="1"/>
  <c r="BI332" i="75" s="1"/>
  <c r="CP325" i="75"/>
  <c r="CN325" i="75"/>
  <c r="BP377" i="75"/>
  <c r="BN377" i="75"/>
  <c r="BK385" i="75" a="1"/>
  <c r="BK399" i="75" s="1"/>
  <c r="BV391" i="75"/>
  <c r="BV393" i="75"/>
  <c r="CG467" i="75" a="1"/>
  <c r="CG476" i="75" s="1"/>
  <c r="CP469" i="75"/>
  <c r="CN469" i="75"/>
  <c r="CD571" i="75"/>
  <c r="CF571" i="75"/>
  <c r="CH637" i="75"/>
  <c r="CF637" i="75"/>
  <c r="CP757" i="75"/>
  <c r="CR757" i="75"/>
  <c r="DB844" i="75"/>
  <c r="DD843" i="75"/>
  <c r="DF431" i="75"/>
  <c r="CT559" i="75"/>
  <c r="CZ476" i="75"/>
  <c r="DB475" i="75"/>
  <c r="CR625" i="75"/>
  <c r="DB629" i="75"/>
  <c r="DD629" i="75"/>
  <c r="CR633" i="75"/>
  <c r="CP633" i="75"/>
  <c r="CR635" i="75"/>
  <c r="CP635" i="75"/>
  <c r="CB641" i="75"/>
  <c r="DB720" i="75"/>
  <c r="DB719" i="75"/>
  <c r="CR739" i="75"/>
  <c r="CT739" i="75"/>
  <c r="BP741" i="75"/>
  <c r="BR741" i="75"/>
  <c r="DB745" i="75"/>
  <c r="CZ745" i="75"/>
  <c r="DD780" i="75"/>
  <c r="DF779" i="75"/>
  <c r="CO837" i="75" a="1"/>
  <c r="CO842" i="75" s="1"/>
  <c r="DF839" i="75"/>
  <c r="CT859" i="75"/>
  <c r="BR861" i="75"/>
  <c r="BP861" i="75"/>
  <c r="CL867" i="75"/>
  <c r="BR871" i="75"/>
  <c r="DB875" i="75"/>
  <c r="DF877" i="75"/>
  <c r="CK893" i="75" a="1"/>
  <c r="CK893" i="75" s="1"/>
  <c r="CL893" i="75" s="1"/>
  <c r="CL263" i="75"/>
  <c r="CP269" i="75"/>
  <c r="CJ281" i="75"/>
  <c r="CR687" i="75"/>
  <c r="CT687" i="75"/>
  <c r="CR718" i="75"/>
  <c r="CT717" i="75"/>
  <c r="CP581" i="75"/>
  <c r="BL619" i="75"/>
  <c r="BT625" i="75"/>
  <c r="BW1001" i="75" a="1"/>
  <c r="BW1015" i="75" s="1"/>
  <c r="CC1007" i="75" a="1"/>
  <c r="CC1023" i="75" s="1"/>
  <c r="DF345" i="75"/>
  <c r="BL497" i="75"/>
  <c r="CN523" i="75"/>
  <c r="CL523" i="75"/>
  <c r="CZ527" i="75"/>
  <c r="CX527" i="75"/>
  <c r="CZ540" i="75"/>
  <c r="CZ539" i="75"/>
  <c r="BX635" i="75"/>
  <c r="BZ635" i="75"/>
  <c r="CV641" i="75"/>
  <c r="CX641" i="75"/>
  <c r="DB662" i="75"/>
  <c r="DD661" i="75"/>
  <c r="CZ718" i="75"/>
  <c r="DB717" i="75"/>
  <c r="CB625" i="75"/>
  <c r="CZ641" i="75"/>
  <c r="CL753" i="75"/>
  <c r="CN447" i="75"/>
  <c r="CJ263" i="75"/>
  <c r="CJ867" i="75"/>
  <c r="DB865" i="75"/>
  <c r="H103" i="114"/>
  <c r="CB637" i="75"/>
  <c r="H92" i="114"/>
  <c r="CH743" i="75"/>
  <c r="CZ717" i="75"/>
  <c r="CD517" i="75"/>
  <c r="CZ497" i="75"/>
  <c r="DF725" i="75"/>
  <c r="CX726" i="75" s="1" a="1"/>
  <c r="CX733" i="75" s="1"/>
  <c r="CR717" i="75"/>
  <c r="DF899" i="75"/>
  <c r="DD900" i="75"/>
  <c r="CG1191" i="75" a="1"/>
  <c r="CG1199" i="75" s="1"/>
  <c r="DD1015" i="75"/>
  <c r="DB1015" i="75"/>
  <c r="DB1026" i="75"/>
  <c r="DB1025" i="75"/>
  <c r="CD577" i="75"/>
  <c r="CV623" i="75"/>
  <c r="CZ627" i="75"/>
  <c r="CN629" i="75"/>
  <c r="CB633" i="75"/>
  <c r="CB635" i="75"/>
  <c r="CN639" i="75"/>
  <c r="CJ745" i="75"/>
  <c r="CL745" i="75"/>
  <c r="BV747" i="75"/>
  <c r="DF765" i="75"/>
  <c r="DD778" i="75"/>
  <c r="DD777" i="75"/>
  <c r="DF898" i="75"/>
  <c r="DF897" i="75"/>
  <c r="DD601" i="75"/>
  <c r="CR197" i="75"/>
  <c r="CD201" i="75"/>
  <c r="CJ987" i="75"/>
  <c r="CH447" i="75"/>
  <c r="CF447" i="75"/>
  <c r="CA461" i="75" a="1"/>
  <c r="CN993" i="75"/>
  <c r="CX1021" i="75"/>
  <c r="DD215" i="75"/>
  <c r="CV287" i="75"/>
  <c r="CX837" i="75"/>
  <c r="DD539" i="75"/>
  <c r="DD664" i="75"/>
  <c r="DD663" i="75"/>
  <c r="CV664" i="75" s="1" a="1"/>
  <c r="CV664" i="75" s="1"/>
  <c r="CX720" i="75"/>
  <c r="CZ719" i="75"/>
  <c r="CL1061" i="75"/>
  <c r="CJ1061" i="75"/>
  <c r="DF790" i="75"/>
  <c r="DF789" i="75"/>
  <c r="BM1231" i="75" a="1"/>
  <c r="BM1232" i="75" s="1"/>
  <c r="BI927" i="75" a="1"/>
  <c r="BI964" i="75" s="1"/>
  <c r="DB1082" i="75"/>
  <c r="DD1081" i="75"/>
  <c r="BP1041" i="75"/>
  <c r="DD1087" i="75"/>
  <c r="CX1203" i="75"/>
  <c r="CL205" i="75"/>
  <c r="CV997" i="75"/>
  <c r="CT997" i="75"/>
  <c r="DD893" i="75"/>
  <c r="DF1209" i="75"/>
  <c r="CZ1210" i="75" s="1" a="1"/>
  <c r="CZ1213" i="75" s="1"/>
  <c r="DF1087" i="75"/>
  <c r="CV1203" i="75"/>
  <c r="BT683" i="75"/>
  <c r="BX687" i="75"/>
  <c r="CF943" i="75"/>
  <c r="CK1015" i="75" a="1"/>
  <c r="CK1034" i="75" s="1"/>
  <c r="BZ1061" i="75"/>
  <c r="DB1205" i="75"/>
  <c r="BX215" i="75"/>
  <c r="CL223" i="75"/>
  <c r="CX227" i="75"/>
  <c r="DD399" i="75"/>
  <c r="CZ403" i="75"/>
  <c r="DB415" i="75"/>
  <c r="CB451" i="75"/>
  <c r="CB743" i="75"/>
  <c r="BZ743" i="75"/>
  <c r="CD761" i="75"/>
  <c r="CF761" i="75"/>
  <c r="BL801" i="75"/>
  <c r="DB906" i="75"/>
  <c r="CY907" i="75" s="1" a="1"/>
  <c r="DD905" i="75"/>
  <c r="DB939" i="75"/>
  <c r="CX945" i="75"/>
  <c r="DD1090" i="75"/>
  <c r="DD1089" i="75"/>
  <c r="CZ1205" i="75"/>
  <c r="DD961" i="75"/>
  <c r="CF199" i="75"/>
  <c r="CL345" i="75"/>
  <c r="CX387" i="75"/>
  <c r="CD443" i="75"/>
  <c r="CF451" i="75"/>
  <c r="CJ455" i="75"/>
  <c r="CF461" i="75"/>
  <c r="CJ465" i="75"/>
  <c r="CX481" i="75"/>
  <c r="CP587" i="75"/>
  <c r="CR587" i="75"/>
  <c r="BL865" i="75"/>
  <c r="DD871" i="75"/>
  <c r="DD877" i="75"/>
  <c r="CX883" i="75"/>
  <c r="CZ883" i="75"/>
  <c r="CX1084" i="75"/>
  <c r="CX1083" i="75"/>
  <c r="BP1225" i="75"/>
  <c r="CJ1227" i="75"/>
  <c r="CJ1235" i="75"/>
  <c r="CJ1237" i="75"/>
  <c r="CV1241" i="75"/>
  <c r="DD1247" i="75"/>
  <c r="D120" i="113"/>
  <c r="D89" i="115"/>
  <c r="CL213" i="75"/>
  <c r="CP215" i="75"/>
  <c r="DB233" i="75"/>
  <c r="CT341" i="75"/>
  <c r="BL379" i="75"/>
  <c r="DC1213" i="75" a="1"/>
  <c r="T13" i="104"/>
  <c r="N13" i="104" s="1"/>
  <c r="Q13" i="104" s="1"/>
  <c r="G58" i="114"/>
  <c r="BJ199" i="75"/>
  <c r="CT199" i="75"/>
  <c r="CX345" i="75"/>
  <c r="BN379" i="75"/>
  <c r="DF363" i="75"/>
  <c r="CV1081" i="75"/>
  <c r="CN197" i="75"/>
  <c r="BL199" i="75"/>
  <c r="CB205" i="75"/>
  <c r="G129" i="114"/>
  <c r="AD192" i="100"/>
  <c r="P27" i="100"/>
  <c r="AJ32" i="100"/>
  <c r="AD38" i="100"/>
  <c r="CH325" i="75"/>
  <c r="CR379" i="75"/>
  <c r="CD401" i="75"/>
  <c r="BX449" i="75"/>
  <c r="CX619" i="75"/>
  <c r="CR679" i="75"/>
  <c r="CZ707" i="75"/>
  <c r="CZ785" i="75"/>
  <c r="CH859" i="75"/>
  <c r="CT861" i="75"/>
  <c r="CR923" i="75"/>
  <c r="CJ927" i="75"/>
  <c r="BV929" i="75"/>
  <c r="CP933" i="75"/>
  <c r="CL935" i="75"/>
  <c r="CP939" i="75"/>
  <c r="CA945" i="75" a="1"/>
  <c r="CL945" i="75"/>
  <c r="DF947" i="75"/>
  <c r="CP949" i="75"/>
  <c r="DF955" i="75"/>
  <c r="CJ997" i="75"/>
  <c r="BT1045" i="75"/>
  <c r="BX1049" i="75"/>
  <c r="CZ1051" i="75"/>
  <c r="BQ1055" i="75" a="1"/>
  <c r="BQ1078" i="75" s="1"/>
  <c r="BS1057" i="75" a="1"/>
  <c r="BS1071" i="75" s="1"/>
  <c r="CT1059" i="75"/>
  <c r="CC1067" i="75" a="1"/>
  <c r="CC1077" i="75" s="1"/>
  <c r="CE1069" i="75" a="1"/>
  <c r="CE1072" i="75" s="1"/>
  <c r="CT1069" i="75"/>
  <c r="CM1077" i="75" a="1"/>
  <c r="CM1085" i="75" s="1"/>
  <c r="D99" i="112"/>
  <c r="D149" i="114"/>
  <c r="I142" i="115"/>
  <c r="G19" i="116"/>
  <c r="X18" i="100"/>
  <c r="R37" i="100"/>
  <c r="R18" i="100"/>
  <c r="I180" i="113"/>
  <c r="I89" i="114"/>
  <c r="D201" i="116"/>
  <c r="AJ332" i="100"/>
  <c r="CD207" i="75"/>
  <c r="BV209" i="75"/>
  <c r="DF211" i="75"/>
  <c r="DD275" i="75"/>
  <c r="BR329" i="75"/>
  <c r="BZ337" i="75"/>
  <c r="CJ447" i="75"/>
  <c r="BX453" i="75"/>
  <c r="CX469" i="75"/>
  <c r="CR473" i="75"/>
  <c r="DB601" i="75"/>
  <c r="CF639" i="75"/>
  <c r="DF697" i="75"/>
  <c r="CJ743" i="75"/>
  <c r="DD745" i="75"/>
  <c r="BR751" i="75"/>
  <c r="DD753" i="75"/>
  <c r="DD755" i="75"/>
  <c r="CB759" i="75"/>
  <c r="CN761" i="75"/>
  <c r="DD763" i="75"/>
  <c r="CJ765" i="75"/>
  <c r="BP801" i="75"/>
  <c r="CV805" i="75"/>
  <c r="CZ905" i="75"/>
  <c r="CJ951" i="75"/>
  <c r="CZ1059" i="75"/>
  <c r="CF1063" i="75"/>
  <c r="G160" i="113"/>
  <c r="D180" i="113"/>
  <c r="G91" i="116"/>
  <c r="H91" i="116" s="1"/>
  <c r="Z15" i="100"/>
  <c r="R33" i="100"/>
  <c r="X37" i="100"/>
  <c r="Z43" i="100"/>
  <c r="CD561" i="75"/>
  <c r="CR563" i="75"/>
  <c r="BR619" i="75"/>
  <c r="CT623" i="75"/>
  <c r="CV709" i="75"/>
  <c r="CN711" i="75"/>
  <c r="DB727" i="75"/>
  <c r="DF755" i="75"/>
  <c r="CD759" i="75"/>
  <c r="CL765" i="75"/>
  <c r="CZ805" i="75"/>
  <c r="CD929" i="75"/>
  <c r="CX933" i="75"/>
  <c r="DB1259" i="75"/>
  <c r="I160" i="113"/>
  <c r="D111" i="116"/>
  <c r="G208" i="116"/>
  <c r="P292" i="100"/>
  <c r="AL321" i="100"/>
  <c r="Z173" i="100"/>
  <c r="AJ300" i="100"/>
  <c r="AF25" i="100"/>
  <c r="P14" i="100"/>
  <c r="V18" i="100"/>
  <c r="P23" i="100"/>
  <c r="AH28" i="100"/>
  <c r="AA30" i="102" s="1"/>
  <c r="AJ35" i="100"/>
  <c r="AB43" i="100"/>
  <c r="R21" i="100"/>
  <c r="V35" i="100"/>
  <c r="V24" i="100"/>
  <c r="AH9" i="100"/>
  <c r="AA11" i="102" s="1"/>
  <c r="P17" i="100"/>
  <c r="T14" i="100"/>
  <c r="R26" i="100"/>
  <c r="V33" i="100"/>
  <c r="AF43" i="100"/>
  <c r="AD16" i="100"/>
  <c r="V14" i="100"/>
  <c r="T26" i="100"/>
  <c r="P29" i="100"/>
  <c r="X33" i="100"/>
  <c r="CB211" i="75"/>
  <c r="CV229" i="75"/>
  <c r="DD257" i="75"/>
  <c r="BX271" i="75"/>
  <c r="BF377" i="75"/>
  <c r="BP383" i="75"/>
  <c r="DD441" i="75"/>
  <c r="DF475" i="75"/>
  <c r="CZ531" i="75"/>
  <c r="DD567" i="75"/>
  <c r="CD575" i="75"/>
  <c r="CJ577" i="75"/>
  <c r="CZ585" i="75"/>
  <c r="CJ587" i="75"/>
  <c r="DD591" i="75"/>
  <c r="CL621" i="75"/>
  <c r="CV655" i="75"/>
  <c r="DD729" i="75"/>
  <c r="CL1013" i="75"/>
  <c r="BH1041" i="75"/>
  <c r="CP1161" i="75"/>
  <c r="BE1163" i="75" a="1"/>
  <c r="BE1196" i="75" s="1"/>
  <c r="CB1165" i="75"/>
  <c r="CT1167" i="75"/>
  <c r="CF1169" i="75"/>
  <c r="BT1171" i="75"/>
  <c r="CZ1179" i="75"/>
  <c r="CV1185" i="75"/>
  <c r="CX1189" i="75"/>
  <c r="CI1193" i="75" a="1"/>
  <c r="CI1200" i="75" s="1"/>
  <c r="CK1195" i="75" a="1"/>
  <c r="D70" i="113"/>
  <c r="T17" i="100"/>
  <c r="AD18" i="100"/>
  <c r="AH37" i="100"/>
  <c r="AA39" i="102" s="1"/>
  <c r="V42" i="100"/>
  <c r="AJ190" i="100"/>
  <c r="AB206" i="100"/>
  <c r="AJ14" i="100"/>
  <c r="AJ15" i="100"/>
  <c r="V17" i="100"/>
  <c r="Z23" i="100"/>
  <c r="Z33" i="100"/>
  <c r="AJ37" i="100"/>
  <c r="BV257" i="75"/>
  <c r="DB391" i="75"/>
  <c r="CF559" i="75"/>
  <c r="BR563" i="75"/>
  <c r="CL571" i="75"/>
  <c r="DF591" i="75"/>
  <c r="BV679" i="75"/>
  <c r="CH681" i="75"/>
  <c r="CJ691" i="75"/>
  <c r="I70" i="113"/>
  <c r="I90" i="113"/>
  <c r="G110" i="113"/>
  <c r="G26" i="114"/>
  <c r="I118" i="114"/>
  <c r="G66" i="116"/>
  <c r="I91" i="116"/>
  <c r="R305" i="100"/>
  <c r="T302" i="100"/>
  <c r="AF164" i="100"/>
  <c r="AB289" i="100"/>
  <c r="Z40" i="100"/>
  <c r="AJ22" i="100"/>
  <c r="X17" i="100"/>
  <c r="T29" i="100"/>
  <c r="Z42" i="100"/>
  <c r="CX223" i="75"/>
  <c r="CH225" i="75"/>
  <c r="CZ261" i="75"/>
  <c r="CD331" i="75"/>
  <c r="DB339" i="75"/>
  <c r="CV343" i="75"/>
  <c r="DF347" i="75"/>
  <c r="CX349" i="75"/>
  <c r="BX505" i="75"/>
  <c r="CR561" i="75"/>
  <c r="CX569" i="75"/>
  <c r="CD695" i="75"/>
  <c r="CH707" i="75"/>
  <c r="DB711" i="75"/>
  <c r="CX713" i="75"/>
  <c r="CX715" i="75"/>
  <c r="CF763" i="75"/>
  <c r="CB817" i="75"/>
  <c r="CH819" i="75"/>
  <c r="CV821" i="75"/>
  <c r="CZ841" i="75"/>
  <c r="CB861" i="75"/>
  <c r="CR863" i="75"/>
  <c r="CV867" i="75"/>
  <c r="BX873" i="75"/>
  <c r="BX875" i="75"/>
  <c r="CB877" i="75"/>
  <c r="DF935" i="75"/>
  <c r="DB981" i="75"/>
  <c r="BV987" i="75"/>
  <c r="D90" i="113"/>
  <c r="G190" i="113"/>
  <c r="D29" i="114"/>
  <c r="I178" i="114"/>
  <c r="I199" i="116"/>
  <c r="AH8" i="100"/>
  <c r="AA10" i="102" s="1"/>
  <c r="P16" i="100"/>
  <c r="Z17" i="100"/>
  <c r="Z26" i="100"/>
  <c r="V29" i="100"/>
  <c r="Z39" i="100"/>
  <c r="I190" i="113"/>
  <c r="I210" i="113"/>
  <c r="O201" i="113" s="1"/>
  <c r="AJ8" i="100"/>
  <c r="T25" i="100"/>
  <c r="V32" i="100"/>
  <c r="P41" i="100"/>
  <c r="CV207" i="75"/>
  <c r="CZ223" i="75"/>
  <c r="DB231" i="75"/>
  <c r="DB293" i="75"/>
  <c r="BR325" i="75"/>
  <c r="CJ335" i="75"/>
  <c r="DD367" i="75"/>
  <c r="DF447" i="75"/>
  <c r="CZ543" i="75"/>
  <c r="CN565" i="75"/>
  <c r="CZ569" i="75"/>
  <c r="DF711" i="75"/>
  <c r="CJ755" i="75"/>
  <c r="CJ763" i="75"/>
  <c r="DD765" i="75"/>
  <c r="CX807" i="75"/>
  <c r="CB813" i="75"/>
  <c r="CN819" i="75"/>
  <c r="CG829" i="75" a="1"/>
  <c r="DF829" i="75"/>
  <c r="CV1067" i="75"/>
  <c r="BL1101" i="75"/>
  <c r="CZ1101" i="75"/>
  <c r="BX1103" i="75"/>
  <c r="CN1105" i="75"/>
  <c r="CR1109" i="75"/>
  <c r="BX1113" i="75"/>
  <c r="BX1119" i="75"/>
  <c r="CF1121" i="75"/>
  <c r="CR1123" i="75"/>
  <c r="DF1125" i="75"/>
  <c r="CX1131" i="75"/>
  <c r="BL1161" i="75"/>
  <c r="BX1163" i="75"/>
  <c r="CL1187" i="75"/>
  <c r="I28" i="116"/>
  <c r="Q156" i="102"/>
  <c r="R95" i="102"/>
  <c r="R20" i="100"/>
  <c r="T16" i="100"/>
  <c r="AF33" i="100"/>
  <c r="AF42" i="100"/>
  <c r="CH817" i="75"/>
  <c r="CP819" i="75"/>
  <c r="DB821" i="75"/>
  <c r="CX833" i="75"/>
  <c r="CX863" i="75"/>
  <c r="BN1101" i="75"/>
  <c r="BZ1103" i="75"/>
  <c r="CH1111" i="75"/>
  <c r="BZ1113" i="75"/>
  <c r="BZ1119" i="75"/>
  <c r="CR1133" i="75"/>
  <c r="CN1135" i="75"/>
  <c r="CR1139" i="75"/>
  <c r="CJ1229" i="75"/>
  <c r="I128" i="112"/>
  <c r="I198" i="114"/>
  <c r="AD17" i="100"/>
  <c r="AH33" i="100"/>
  <c r="AA35" i="102" s="1"/>
  <c r="I19" i="112"/>
  <c r="I168" i="112"/>
  <c r="T37" i="100"/>
  <c r="AB32" i="100"/>
  <c r="AJ33" i="100"/>
  <c r="BP207" i="75"/>
  <c r="CL333" i="75"/>
  <c r="DD351" i="75"/>
  <c r="BL443" i="75"/>
  <c r="CZ443" i="75"/>
  <c r="CJ445" i="75"/>
  <c r="DD449" i="75"/>
  <c r="BT507" i="75"/>
  <c r="CV511" i="75"/>
  <c r="CV513" i="75"/>
  <c r="CN527" i="75"/>
  <c r="CF567" i="75"/>
  <c r="CV573" i="75"/>
  <c r="CT751" i="75"/>
  <c r="CJ805" i="75"/>
  <c r="CX1007" i="75"/>
  <c r="CX1017" i="75"/>
  <c r="DB1019" i="75"/>
  <c r="CR1137" i="75"/>
  <c r="D80" i="113"/>
  <c r="D150" i="113"/>
  <c r="D169" i="115"/>
  <c r="AF183" i="100"/>
  <c r="T36" i="100"/>
  <c r="R19" i="100"/>
  <c r="AH17" i="100"/>
  <c r="AA19" i="102" s="1"/>
  <c r="T19" i="100"/>
  <c r="Z25" i="100"/>
  <c r="AJ26" i="100"/>
  <c r="AD29" i="100"/>
  <c r="CR221" i="75"/>
  <c r="BH259" i="75"/>
  <c r="CV297" i="75"/>
  <c r="CH383" i="75"/>
  <c r="CA643" i="75" a="1"/>
  <c r="CA674" i="75" s="1"/>
  <c r="CO657" i="75" a="1"/>
  <c r="CE1249" i="75" a="1"/>
  <c r="AJ184" i="100"/>
  <c r="AJ200" i="100"/>
  <c r="AB320" i="100"/>
  <c r="AJ17" i="100"/>
  <c r="V19" i="100"/>
  <c r="Z22" i="100"/>
  <c r="AF32" i="100"/>
  <c r="AJ36" i="100"/>
  <c r="Z38" i="100"/>
  <c r="CD265" i="75"/>
  <c r="CJ287" i="75"/>
  <c r="CD325" i="75"/>
  <c r="BR327" i="75"/>
  <c r="BP381" i="75"/>
  <c r="CX399" i="75"/>
  <c r="DB443" i="75"/>
  <c r="CB447" i="75"/>
  <c r="DD453" i="75"/>
  <c r="CL505" i="75"/>
  <c r="DB511" i="75"/>
  <c r="DF515" i="75"/>
  <c r="BZ517" i="75"/>
  <c r="CL519" i="75"/>
  <c r="DB521" i="75"/>
  <c r="CH523" i="75"/>
  <c r="DF525" i="75"/>
  <c r="CT527" i="75"/>
  <c r="CL529" i="75"/>
  <c r="BF559" i="75"/>
  <c r="DF561" i="75"/>
  <c r="BP621" i="75"/>
  <c r="DF621" i="75"/>
  <c r="BN625" i="75"/>
  <c r="CZ633" i="75"/>
  <c r="CZ635" i="75"/>
  <c r="DD637" i="75"/>
  <c r="CJ641" i="75"/>
  <c r="DB647" i="75"/>
  <c r="CF687" i="75"/>
  <c r="CR695" i="75"/>
  <c r="CL813" i="75"/>
  <c r="DD953" i="75"/>
  <c r="CZ957" i="75"/>
  <c r="I20" i="113"/>
  <c r="G40" i="113"/>
  <c r="G80" i="113"/>
  <c r="D200" i="113"/>
  <c r="D89" i="116"/>
  <c r="D188" i="116"/>
  <c r="AF201" i="100"/>
  <c r="AB312" i="100"/>
  <c r="AB332" i="100"/>
  <c r="X38" i="100"/>
  <c r="X19" i="100"/>
  <c r="P34" i="100"/>
  <c r="R43" i="100"/>
  <c r="BI234" i="75"/>
  <c r="CR1053" i="75"/>
  <c r="CT1053" i="75"/>
  <c r="CN1055" i="75"/>
  <c r="CP1055" i="75"/>
  <c r="DE1096" i="75"/>
  <c r="DE1095" i="75"/>
  <c r="DF1095" i="75" s="1"/>
  <c r="DB1269" i="75"/>
  <c r="DB1270" i="75"/>
  <c r="BI233" i="75"/>
  <c r="BI219" i="75"/>
  <c r="BO911" i="75"/>
  <c r="BI237" i="75"/>
  <c r="BI223" i="75"/>
  <c r="BI231" i="75"/>
  <c r="BI250" i="75"/>
  <c r="CY728" i="75"/>
  <c r="CY734" i="75"/>
  <c r="CY730" i="75"/>
  <c r="CY727" i="75"/>
  <c r="CZ727" i="75" s="1"/>
  <c r="CY732" i="75"/>
  <c r="CY731" i="75"/>
  <c r="CY729" i="75"/>
  <c r="CY733" i="75"/>
  <c r="CP1057" i="75"/>
  <c r="CN1057" i="75"/>
  <c r="CZ1061" i="75"/>
  <c r="DB1061" i="75"/>
  <c r="CP1065" i="75"/>
  <c r="CN1065" i="75"/>
  <c r="BI243" i="75"/>
  <c r="BI631" i="75"/>
  <c r="BI654" i="75"/>
  <c r="BI674" i="75"/>
  <c r="BI639" i="75"/>
  <c r="BI671" i="75"/>
  <c r="BI657" i="75"/>
  <c r="BI668" i="75"/>
  <c r="BI236" i="75"/>
  <c r="BI214" i="75"/>
  <c r="BI210" i="75"/>
  <c r="BI228" i="75"/>
  <c r="BI224" i="75"/>
  <c r="BI252" i="75"/>
  <c r="DD1269" i="75"/>
  <c r="BO878" i="75"/>
  <c r="BO892" i="75"/>
  <c r="BO910" i="75"/>
  <c r="BO912" i="75"/>
  <c r="BO881" i="75"/>
  <c r="BO904" i="75"/>
  <c r="BO908" i="75"/>
  <c r="BO886" i="75"/>
  <c r="BO871" i="75"/>
  <c r="BP871" i="75" s="1"/>
  <c r="BO890" i="75"/>
  <c r="BO880" i="75"/>
  <c r="BO874" i="75"/>
  <c r="BO891" i="75"/>
  <c r="BI241" i="75"/>
  <c r="BI225" i="75"/>
  <c r="BI226" i="75"/>
  <c r="BM826" i="75"/>
  <c r="BG242" i="75"/>
  <c r="BI242" i="75"/>
  <c r="BI221" i="75"/>
  <c r="BO873" i="75"/>
  <c r="BK307" i="75"/>
  <c r="BK282" i="75"/>
  <c r="BK287" i="75"/>
  <c r="BK297" i="75"/>
  <c r="BK286" i="75"/>
  <c r="BK274" i="75"/>
  <c r="BK271" i="75"/>
  <c r="BK304" i="75"/>
  <c r="BK266" i="75"/>
  <c r="BK272" i="75"/>
  <c r="BK280" i="75"/>
  <c r="BK299" i="75"/>
  <c r="BK265" i="75"/>
  <c r="BL265" i="75" s="1"/>
  <c r="BK301" i="75"/>
  <c r="BK290" i="75"/>
  <c r="BU962" i="75"/>
  <c r="BU971" i="75"/>
  <c r="BU945" i="75"/>
  <c r="BU941" i="75"/>
  <c r="BU946" i="75"/>
  <c r="BU965" i="75"/>
  <c r="BU957" i="75"/>
  <c r="BU939" i="75"/>
  <c r="BV939" i="75" s="1"/>
  <c r="BU959" i="75"/>
  <c r="BU961" i="75"/>
  <c r="BU970" i="75"/>
  <c r="BU944" i="75"/>
  <c r="BU954" i="75"/>
  <c r="BU791" i="75"/>
  <c r="BU783" i="75"/>
  <c r="BU759" i="75"/>
  <c r="BU757" i="75"/>
  <c r="BV757" i="75" s="1"/>
  <c r="BU788" i="75"/>
  <c r="BI249" i="75"/>
  <c r="BI230" i="75"/>
  <c r="BS1131" i="75"/>
  <c r="BS1135" i="75"/>
  <c r="BS1127" i="75"/>
  <c r="BS1141" i="75"/>
  <c r="BG283" i="75"/>
  <c r="BG279" i="75"/>
  <c r="DA1216" i="75"/>
  <c r="DA1214" i="75"/>
  <c r="DA1212" i="75"/>
  <c r="BI208" i="75"/>
  <c r="BI206" i="75"/>
  <c r="BS1120" i="75"/>
  <c r="BO273" i="75"/>
  <c r="BO301" i="75"/>
  <c r="BO293" i="75"/>
  <c r="BO300" i="75"/>
  <c r="BO281" i="75"/>
  <c r="BO292" i="75"/>
  <c r="BO296" i="75"/>
  <c r="BO289" i="75"/>
  <c r="BO275" i="75"/>
  <c r="BO302" i="75"/>
  <c r="BO291" i="75"/>
  <c r="BO303" i="75"/>
  <c r="DD914" i="75"/>
  <c r="DD912" i="75"/>
  <c r="BC702" i="75"/>
  <c r="BC712" i="75"/>
  <c r="BC699" i="75"/>
  <c r="BC679" i="75"/>
  <c r="BD679" i="75" s="1"/>
  <c r="BC681" i="75"/>
  <c r="BC713" i="75"/>
  <c r="BC727" i="75"/>
  <c r="BC690" i="75"/>
  <c r="BC709" i="75"/>
  <c r="BC715" i="75"/>
  <c r="BC729" i="75"/>
  <c r="BC732" i="75"/>
  <c r="BC684" i="75"/>
  <c r="BC647" i="75"/>
  <c r="BO635" i="75"/>
  <c r="BO659" i="75"/>
  <c r="BO645" i="75"/>
  <c r="BO666" i="75"/>
  <c r="BO656" i="75"/>
  <c r="BO671" i="75"/>
  <c r="BO638" i="75"/>
  <c r="BO665" i="75"/>
  <c r="BO667" i="75"/>
  <c r="BW941" i="75"/>
  <c r="BX941" i="75" s="1"/>
  <c r="BW945" i="75"/>
  <c r="BW959" i="75"/>
  <c r="DC611" i="75"/>
  <c r="DD611" i="75" s="1"/>
  <c r="DC613" i="75"/>
  <c r="BS708" i="75"/>
  <c r="BS706" i="75"/>
  <c r="BS715" i="75"/>
  <c r="BC649" i="75"/>
  <c r="BC661" i="75"/>
  <c r="BC631" i="75"/>
  <c r="BC666" i="75"/>
  <c r="BC630" i="75"/>
  <c r="BC633" i="75"/>
  <c r="BC670" i="75"/>
  <c r="BC657" i="75"/>
  <c r="BC663" i="75"/>
  <c r="CC286" i="75"/>
  <c r="CC479" i="75"/>
  <c r="CC483" i="75"/>
  <c r="BC410" i="75"/>
  <c r="BC389" i="75"/>
  <c r="CI730" i="75"/>
  <c r="CI722" i="75"/>
  <c r="CI720" i="75"/>
  <c r="CI734" i="75"/>
  <c r="CI711" i="75"/>
  <c r="CJ711" i="75" s="1"/>
  <c r="DD913" i="75"/>
  <c r="BO393" i="75"/>
  <c r="BO410" i="75"/>
  <c r="BO414" i="75"/>
  <c r="BO425" i="75"/>
  <c r="BO400" i="75"/>
  <c r="CI356" i="75"/>
  <c r="CI352" i="75"/>
  <c r="CI369" i="75"/>
  <c r="CI361" i="75"/>
  <c r="BC660" i="75"/>
  <c r="BC645" i="75"/>
  <c r="BE284" i="75"/>
  <c r="BE310" i="75"/>
  <c r="BC247" i="75"/>
  <c r="BC236" i="75"/>
  <c r="BC210" i="75"/>
  <c r="BC207" i="75"/>
  <c r="BC234" i="75"/>
  <c r="BC252" i="75"/>
  <c r="BC238" i="75"/>
  <c r="BC249" i="75"/>
  <c r="BC213" i="75"/>
  <c r="BC222" i="75"/>
  <c r="BC220" i="75"/>
  <c r="BC206" i="75"/>
  <c r="CO243" i="75"/>
  <c r="BU401" i="75"/>
  <c r="BU399" i="75"/>
  <c r="CO242" i="75"/>
  <c r="CO237" i="75"/>
  <c r="CA411" i="75"/>
  <c r="BI685" i="75"/>
  <c r="BJ685" i="75" s="1"/>
  <c r="CM672" i="75"/>
  <c r="CM661" i="75"/>
  <c r="CM671" i="75"/>
  <c r="CM667" i="75"/>
  <c r="BQ411" i="75"/>
  <c r="BQ397" i="75"/>
  <c r="BQ391" i="75"/>
  <c r="BR391" i="75" s="1"/>
  <c r="DA492" i="75"/>
  <c r="DA491" i="75"/>
  <c r="DA489" i="75"/>
  <c r="BI702" i="75"/>
  <c r="BI714" i="75"/>
  <c r="BI691" i="75"/>
  <c r="CM1259" i="75"/>
  <c r="CO360" i="75"/>
  <c r="CO363" i="75"/>
  <c r="BS356" i="75"/>
  <c r="BS363" i="75"/>
  <c r="BW787" i="75"/>
  <c r="CO540" i="75"/>
  <c r="CS359" i="75" a="1"/>
  <c r="BW774" i="75"/>
  <c r="BO1243" i="75"/>
  <c r="BO1269" i="75"/>
  <c r="BO1267" i="75"/>
  <c r="BO1251" i="75"/>
  <c r="CM417" i="75"/>
  <c r="CM421" i="75"/>
  <c r="BS347" i="75"/>
  <c r="BS344" i="75"/>
  <c r="BS369" i="75"/>
  <c r="BS335" i="75"/>
  <c r="BM951" i="75"/>
  <c r="CO362" i="75"/>
  <c r="BS358" i="75"/>
  <c r="DC1034" i="75"/>
  <c r="DC1035" i="75"/>
  <c r="DC1036" i="75"/>
  <c r="BG1230" i="75"/>
  <c r="BW785" i="75"/>
  <c r="BW769" i="75"/>
  <c r="BW784" i="75"/>
  <c r="BW768" i="75"/>
  <c r="BW783" i="75"/>
  <c r="BW786" i="75"/>
  <c r="CO372" i="75"/>
  <c r="CZ668" i="75" a="1"/>
  <c r="CO361" i="75"/>
  <c r="DC731" i="75"/>
  <c r="DD731" i="75" s="1"/>
  <c r="BS274" i="75"/>
  <c r="CO367" i="75"/>
  <c r="DC734" i="75"/>
  <c r="DC249" i="75"/>
  <c r="DD249" i="75" s="1"/>
  <c r="DF237" i="75"/>
  <c r="DF238" i="75"/>
  <c r="BC292" i="75"/>
  <c r="BW347" i="75"/>
  <c r="CS479" i="75" a="1"/>
  <c r="CS479" i="75" s="1"/>
  <c r="CT479" i="75" s="1"/>
  <c r="BW356" i="75"/>
  <c r="BY279" i="75"/>
  <c r="BZ279" i="75" s="1"/>
  <c r="CW794" i="75"/>
  <c r="CC1276" i="75"/>
  <c r="BC294" i="75"/>
  <c r="BC261" i="75"/>
  <c r="CC1250" i="75"/>
  <c r="CC1264" i="75"/>
  <c r="CC1259" i="75"/>
  <c r="CV1043" i="75"/>
  <c r="CT1043" i="75"/>
  <c r="DF1026" i="75"/>
  <c r="DF1025" i="75"/>
  <c r="CA1245" i="75"/>
  <c r="CB1245" i="75" s="1"/>
  <c r="BQ1237" i="75"/>
  <c r="DF887" i="75"/>
  <c r="CM895" i="75" a="1"/>
  <c r="CM908" i="75" s="1"/>
  <c r="DB900" i="75"/>
  <c r="DB899" i="75"/>
  <c r="DD899" i="75"/>
  <c r="DD883" i="75"/>
  <c r="DB883" i="75"/>
  <c r="CH885" i="75"/>
  <c r="CJ885" i="75"/>
  <c r="CN561" i="75"/>
  <c r="CL561" i="75"/>
  <c r="BP563" i="75"/>
  <c r="BN563" i="75"/>
  <c r="CX683" i="75"/>
  <c r="CV683" i="75"/>
  <c r="CD685" i="75"/>
  <c r="CB685" i="75"/>
  <c r="CP689" i="75"/>
  <c r="CN689" i="75"/>
  <c r="CL699" i="75"/>
  <c r="CR705" i="75"/>
  <c r="CT705" i="75"/>
  <c r="CT713" i="75"/>
  <c r="CR713" i="75"/>
  <c r="CV718" i="75"/>
  <c r="CX717" i="75"/>
  <c r="DB721" i="75"/>
  <c r="DD721" i="75"/>
  <c r="DF672" i="75"/>
  <c r="DE673" i="75" s="1" a="1"/>
  <c r="DF671" i="75"/>
  <c r="DD672" i="75" s="1" a="1"/>
  <c r="CP203" i="75"/>
  <c r="CN203" i="75"/>
  <c r="CA221" i="75"/>
  <c r="CB221" i="75" s="1"/>
  <c r="BP199" i="75"/>
  <c r="CA1015" i="75"/>
  <c r="CV275" i="75"/>
  <c r="CV285" i="75"/>
  <c r="CF389" i="75"/>
  <c r="CL681" i="75"/>
  <c r="BN683" i="75"/>
  <c r="BP687" i="75"/>
  <c r="DD722" i="75"/>
  <c r="DF721" i="75"/>
  <c r="BW879" i="75" a="1"/>
  <c r="BW898" i="75" s="1"/>
  <c r="CD879" i="75"/>
  <c r="CB879" i="75"/>
  <c r="DF883" i="75"/>
  <c r="CL885" i="75"/>
  <c r="DB1022" i="75"/>
  <c r="DB1021" i="75"/>
  <c r="DF1213" i="75"/>
  <c r="DD1214" i="75" s="1" a="1"/>
  <c r="DD1216" i="75" s="1"/>
  <c r="BC1221" i="75" a="1"/>
  <c r="BC1224" i="75" s="1"/>
  <c r="BV1221" i="75"/>
  <c r="BX1221" i="75"/>
  <c r="BL1225" i="75"/>
  <c r="CF1227" i="75"/>
  <c r="BP1229" i="75"/>
  <c r="DD1229" i="75"/>
  <c r="CR1231" i="75"/>
  <c r="CF1235" i="75"/>
  <c r="CF1237" i="75"/>
  <c r="BU1239" i="75" a="1"/>
  <c r="BU1270" i="75" s="1"/>
  <c r="CH1239" i="75"/>
  <c r="CJ1239" i="75"/>
  <c r="CR1241" i="75"/>
  <c r="DD1243" i="75"/>
  <c r="CD1245" i="75"/>
  <c r="CF1245" i="75"/>
  <c r="CZ1247" i="75"/>
  <c r="CZ1257" i="75"/>
  <c r="CZ1260" i="75"/>
  <c r="CN863" i="75"/>
  <c r="CL863" i="75"/>
  <c r="CF457" i="75"/>
  <c r="CR497" i="75"/>
  <c r="CP497" i="75"/>
  <c r="BN499" i="75"/>
  <c r="BP499" i="75"/>
  <c r="DD499" i="75"/>
  <c r="CF501" i="75"/>
  <c r="DB515" i="75"/>
  <c r="CZ515" i="75"/>
  <c r="CH519" i="75"/>
  <c r="DB525" i="75"/>
  <c r="CZ525" i="75"/>
  <c r="CZ842" i="75"/>
  <c r="DD848" i="75"/>
  <c r="DF847" i="75"/>
  <c r="DB859" i="75"/>
  <c r="BZ861" i="75"/>
  <c r="CP863" i="75"/>
  <c r="BV865" i="75"/>
  <c r="CT867" i="75"/>
  <c r="CH869" i="75"/>
  <c r="BV875" i="75"/>
  <c r="BZ877" i="75"/>
  <c r="CA883" i="75" a="1"/>
  <c r="CX1005" i="75"/>
  <c r="CZ1005" i="75"/>
  <c r="DF259" i="75"/>
  <c r="BN263" i="75"/>
  <c r="DB485" i="75"/>
  <c r="CZ486" i="75" s="1" a="1"/>
  <c r="BC497" i="75" a="1"/>
  <c r="BC524" i="75" s="1"/>
  <c r="BF497" i="75"/>
  <c r="CT497" i="75"/>
  <c r="CH501" i="75"/>
  <c r="BX507" i="75"/>
  <c r="CZ511" i="75"/>
  <c r="CZ513" i="75"/>
  <c r="DD515" i="75"/>
  <c r="CF523" i="75"/>
  <c r="DD525" i="75"/>
  <c r="CR527" i="75"/>
  <c r="BC981" i="75" a="1"/>
  <c r="BC1007" i="75" s="1"/>
  <c r="CX981" i="75"/>
  <c r="DD987" i="75"/>
  <c r="DF987" i="75"/>
  <c r="CP989" i="75"/>
  <c r="BM991" i="75" a="1"/>
  <c r="BM1009" i="75" s="1"/>
  <c r="DB995" i="75"/>
  <c r="BS997" i="75" a="1"/>
  <c r="BS1019" i="75" s="1"/>
  <c r="DB997" i="75"/>
  <c r="CZ997" i="75"/>
  <c r="DF999" i="75"/>
  <c r="BZ1001" i="75"/>
  <c r="BY1003" i="75" a="1"/>
  <c r="CL1003" i="75"/>
  <c r="CJ1003" i="75"/>
  <c r="DB1005" i="75"/>
  <c r="CH1007" i="75"/>
  <c r="DB1206" i="75"/>
  <c r="CW1207" i="75" s="1" a="1"/>
  <c r="CW1210" i="75" s="1"/>
  <c r="DD1205" i="75"/>
  <c r="CL809" i="75"/>
  <c r="CN809" i="75"/>
  <c r="CD811" i="75"/>
  <c r="CF811" i="75"/>
  <c r="BZ815" i="75"/>
  <c r="CB815" i="75"/>
  <c r="CD817" i="75"/>
  <c r="CF817" i="75"/>
  <c r="CX821" i="75"/>
  <c r="CZ821" i="75"/>
  <c r="CT833" i="75"/>
  <c r="CV833" i="75"/>
  <c r="CT835" i="75"/>
  <c r="CV835" i="75"/>
  <c r="CX838" i="75"/>
  <c r="CZ837" i="75"/>
  <c r="DD970" i="75"/>
  <c r="DA971" i="75" s="1" a="1"/>
  <c r="DD969" i="75"/>
  <c r="DD1148" i="75"/>
  <c r="DD1147" i="75"/>
  <c r="BL1163" i="75"/>
  <c r="BN1163" i="75"/>
  <c r="CZ1163" i="75"/>
  <c r="DB1163" i="75"/>
  <c r="CZ1173" i="75"/>
  <c r="CX1173" i="75"/>
  <c r="BH497" i="75"/>
  <c r="BJ497" i="75"/>
  <c r="CX635" i="75"/>
  <c r="CV635" i="75"/>
  <c r="CZ637" i="75"/>
  <c r="DB637" i="75"/>
  <c r="CZ647" i="75"/>
  <c r="CX647" i="75"/>
  <c r="CD805" i="75"/>
  <c r="CF805" i="75"/>
  <c r="DB1202" i="75"/>
  <c r="DD1201" i="75"/>
  <c r="DB631" i="75"/>
  <c r="CX659" i="75"/>
  <c r="CZ659" i="75"/>
  <c r="DB364" i="75"/>
  <c r="CY365" i="75" s="1" a="1"/>
  <c r="DD363" i="75"/>
  <c r="DD467" i="75"/>
  <c r="CT476" i="75"/>
  <c r="CV475" i="75"/>
  <c r="CZ625" i="75"/>
  <c r="DD964" i="75"/>
  <c r="CU965" i="75" s="1" a="1"/>
  <c r="DF963" i="75"/>
  <c r="DF1142" i="75"/>
  <c r="DF1141" i="75"/>
  <c r="CL217" i="75"/>
  <c r="CJ217" i="75"/>
  <c r="BO449" i="75" a="1"/>
  <c r="BO449" i="75" s="1"/>
  <c r="BP449" i="75" s="1"/>
  <c r="CF449" i="75"/>
  <c r="BX451" i="75"/>
  <c r="BZ451" i="75"/>
  <c r="BS453" i="75" a="1"/>
  <c r="BS465" i="75" s="1"/>
  <c r="CX475" i="75"/>
  <c r="CV476" i="75"/>
  <c r="DB607" i="75"/>
  <c r="BJ619" i="75"/>
  <c r="DD783" i="75"/>
  <c r="CX1101" i="75"/>
  <c r="CV1101" i="75"/>
  <c r="BT1103" i="75"/>
  <c r="BV1103" i="75"/>
  <c r="BR1107" i="75"/>
  <c r="CP1109" i="75"/>
  <c r="CD1111" i="75"/>
  <c r="BV1113" i="75"/>
  <c r="BT1113" i="75"/>
  <c r="BQ1115" i="75" a="1"/>
  <c r="BQ1128" i="75" s="1"/>
  <c r="DF1115" i="75"/>
  <c r="BW1121" i="75" a="1"/>
  <c r="CD1121" i="75"/>
  <c r="CB1121" i="75"/>
  <c r="CN1133" i="75"/>
  <c r="CO1139" i="75" a="1"/>
  <c r="CV1143" i="75"/>
  <c r="DB608" i="75"/>
  <c r="DA609" i="75" s="1" a="1"/>
  <c r="DD607" i="75"/>
  <c r="CX780" i="75"/>
  <c r="CX779" i="75"/>
  <c r="DF1090" i="75"/>
  <c r="DF1089" i="75"/>
  <c r="CV1144" i="75"/>
  <c r="CU1145" i="75" s="1" a="1"/>
  <c r="CX1143" i="75"/>
  <c r="BZ437" i="75"/>
  <c r="CB437" i="75"/>
  <c r="CJ439" i="75"/>
  <c r="CL439" i="75"/>
  <c r="DD445" i="75"/>
  <c r="CZ602" i="75"/>
  <c r="DB779" i="75"/>
  <c r="BU1119" i="75" a="1"/>
  <c r="BU1121" i="75" s="1"/>
  <c r="CJ215" i="75"/>
  <c r="CR343" i="75"/>
  <c r="CP351" i="75"/>
  <c r="CD437" i="75"/>
  <c r="CN439" i="75"/>
  <c r="DB441" i="75"/>
  <c r="CH443" i="75"/>
  <c r="DD767" i="75"/>
  <c r="CK773" i="75" a="1"/>
  <c r="CM775" i="75" a="1"/>
  <c r="CM775" i="75" s="1"/>
  <c r="CN775" i="75" s="1"/>
  <c r="CO777" i="75" a="1"/>
  <c r="DB780" i="75"/>
  <c r="DD779" i="75"/>
  <c r="DB955" i="75"/>
  <c r="CZ955" i="75"/>
  <c r="DB960" i="75"/>
  <c r="DD959" i="75"/>
  <c r="DD421" i="75"/>
  <c r="DB422" i="75"/>
  <c r="CR595" i="75"/>
  <c r="CT595" i="75"/>
  <c r="CV598" i="75"/>
  <c r="CX597" i="75"/>
  <c r="DB753" i="75"/>
  <c r="CZ753" i="75"/>
  <c r="CJ761" i="75"/>
  <c r="CL761" i="75"/>
  <c r="BR929" i="75"/>
  <c r="BT929" i="75"/>
  <c r="CN933" i="75"/>
  <c r="CL933" i="75"/>
  <c r="CN939" i="75"/>
  <c r="CL939" i="75"/>
  <c r="CL949" i="75"/>
  <c r="CN949" i="75"/>
  <c r="DD1084" i="75"/>
  <c r="DF1083" i="75"/>
  <c r="BS575" i="75" a="1"/>
  <c r="CC585" i="75" a="1"/>
  <c r="CX591" i="75"/>
  <c r="CZ591" i="75"/>
  <c r="CT593" i="75"/>
  <c r="BP745" i="75"/>
  <c r="BN745" i="75"/>
  <c r="DF925" i="75"/>
  <c r="DD925" i="75"/>
  <c r="CX207" i="75"/>
  <c r="CP209" i="75"/>
  <c r="CH323" i="75"/>
  <c r="CF333" i="75"/>
  <c r="DB405" i="75"/>
  <c r="DB567" i="75"/>
  <c r="CP569" i="75"/>
  <c r="CH571" i="75"/>
  <c r="DB581" i="75"/>
  <c r="CV585" i="75"/>
  <c r="CH587" i="75"/>
  <c r="CI591" i="75" a="1"/>
  <c r="DB591" i="75"/>
  <c r="BV741" i="75"/>
  <c r="BT741" i="75"/>
  <c r="BR745" i="75"/>
  <c r="BV751" i="75"/>
  <c r="DD904" i="75"/>
  <c r="DF903" i="75"/>
  <c r="BT925" i="75"/>
  <c r="CL927" i="75"/>
  <c r="CN927" i="75"/>
  <c r="CN319" i="75"/>
  <c r="DD321" i="75"/>
  <c r="DD405" i="75"/>
  <c r="CD565" i="75"/>
  <c r="CF565" i="75"/>
  <c r="BP567" i="75"/>
  <c r="BL739" i="75"/>
  <c r="CZ739" i="75"/>
  <c r="BX741" i="75"/>
  <c r="CF1041" i="75"/>
  <c r="CH1041" i="75"/>
  <c r="BE1043" i="75" a="1"/>
  <c r="CP1047" i="75"/>
  <c r="CP1059" i="75"/>
  <c r="CR1059" i="75"/>
  <c r="BW1061" i="75" a="1"/>
  <c r="CR1069" i="75"/>
  <c r="CG1071" i="75" a="1"/>
  <c r="CG1085" i="75" s="1"/>
  <c r="CK1075" i="75" a="1"/>
  <c r="CK1076" i="75" s="1"/>
  <c r="DF199" i="75"/>
  <c r="CH201" i="75"/>
  <c r="BV259" i="75"/>
  <c r="CZ275" i="75"/>
  <c r="CZ303" i="75"/>
  <c r="CR319" i="75"/>
  <c r="CT447" i="75"/>
  <c r="CF455" i="75"/>
  <c r="DD513" i="75"/>
  <c r="CB517" i="75"/>
  <c r="CJ559" i="75"/>
  <c r="DD683" i="75"/>
  <c r="CZ713" i="75"/>
  <c r="CT933" i="75"/>
  <c r="CT1081" i="75"/>
  <c r="CE1189" i="75" a="1"/>
  <c r="DF1189" i="75"/>
  <c r="BR197" i="75"/>
  <c r="DB197" i="75"/>
  <c r="CZ273" i="75"/>
  <c r="CZ343" i="75"/>
  <c r="DB469" i="75"/>
  <c r="CX471" i="75"/>
  <c r="CV473" i="75"/>
  <c r="BX499" i="75"/>
  <c r="CN805" i="75"/>
  <c r="BZ875" i="75"/>
  <c r="CP1013" i="75"/>
  <c r="BT1051" i="75"/>
  <c r="CA1185" i="75" a="1"/>
  <c r="CA1208" i="75" s="1"/>
  <c r="DF207" i="75"/>
  <c r="CH221" i="75"/>
  <c r="DB273" i="75"/>
  <c r="BZ277" i="75"/>
  <c r="BZ325" i="75"/>
  <c r="DD349" i="75"/>
  <c r="DB597" i="75"/>
  <c r="DD619" i="75"/>
  <c r="DB715" i="75"/>
  <c r="CL749" i="75"/>
  <c r="CC947" i="75" a="1"/>
  <c r="CE949" i="75" a="1"/>
  <c r="BZ1115" i="75"/>
  <c r="CL1121" i="75"/>
  <c r="CJ1165" i="75"/>
  <c r="BK1169" i="75" a="1"/>
  <c r="BK1196" i="75" s="1"/>
  <c r="CB1171" i="75"/>
  <c r="DF197" i="75"/>
  <c r="DB203" i="75"/>
  <c r="CX217" i="75"/>
  <c r="CV231" i="75"/>
  <c r="CP333" i="75"/>
  <c r="CR335" i="75"/>
  <c r="CJ391" i="75"/>
  <c r="CR403" i="75"/>
  <c r="CX439" i="75"/>
  <c r="CJ451" i="75"/>
  <c r="DD497" i="75"/>
  <c r="CB499" i="75"/>
  <c r="CP559" i="75"/>
  <c r="DF597" i="75"/>
  <c r="DF731" i="75"/>
  <c r="DD732" i="75" s="1" a="1"/>
  <c r="CV743" i="75"/>
  <c r="BZ803" i="75"/>
  <c r="CD865" i="75"/>
  <c r="DB867" i="75"/>
  <c r="CP869" i="75"/>
  <c r="CX961" i="75"/>
  <c r="CT1013" i="75"/>
  <c r="DF1149" i="75"/>
  <c r="CV1239" i="75"/>
  <c r="BZ263" i="75"/>
  <c r="CV409" i="75"/>
  <c r="BP447" i="75"/>
  <c r="CR449" i="75"/>
  <c r="CJ461" i="75"/>
  <c r="DD463" i="75"/>
  <c r="DD473" i="75"/>
  <c r="DD476" i="75"/>
  <c r="BX513" i="75"/>
  <c r="CJ517" i="75"/>
  <c r="DD527" i="75"/>
  <c r="CV529" i="75"/>
  <c r="CR531" i="75"/>
  <c r="CB563" i="75"/>
  <c r="CV627" i="75"/>
  <c r="CT719" i="75"/>
  <c r="CV765" i="75"/>
  <c r="CT773" i="75"/>
  <c r="CX781" i="75"/>
  <c r="DB863" i="75"/>
  <c r="CL877" i="75"/>
  <c r="BH921" i="75"/>
  <c r="CX927" i="75"/>
  <c r="BT1043" i="75"/>
  <c r="CD199" i="75"/>
  <c r="BZ207" i="75"/>
  <c r="CZ211" i="75"/>
  <c r="CN221" i="75"/>
  <c r="DB223" i="75"/>
  <c r="DD229" i="75"/>
  <c r="CX231" i="75"/>
  <c r="CX233" i="75"/>
  <c r="CR341" i="75"/>
  <c r="DD379" i="75"/>
  <c r="CN395" i="75"/>
  <c r="CP453" i="75"/>
  <c r="CD515" i="75"/>
  <c r="CX519" i="75"/>
  <c r="CT599" i="75"/>
  <c r="CH621" i="75"/>
  <c r="CD631" i="75"/>
  <c r="CV773" i="75"/>
  <c r="CR815" i="75"/>
  <c r="DF889" i="75"/>
  <c r="CH925" i="75"/>
  <c r="CZ935" i="75"/>
  <c r="CH999" i="75"/>
  <c r="CH1125" i="75"/>
  <c r="BW277" i="75" a="1"/>
  <c r="DF223" i="75"/>
  <c r="CP283" i="75"/>
  <c r="CV389" i="75"/>
  <c r="CH405" i="75"/>
  <c r="CN507" i="75"/>
  <c r="CB513" i="75"/>
  <c r="CD581" i="75"/>
  <c r="CF753" i="75"/>
  <c r="CV205" i="75"/>
  <c r="CD219" i="75"/>
  <c r="DB265" i="75"/>
  <c r="CN291" i="75"/>
  <c r="CF441" i="75"/>
  <c r="CX541" i="75"/>
  <c r="CV575" i="75"/>
  <c r="CX697" i="75"/>
  <c r="DF699" i="75"/>
  <c r="DD927" i="75"/>
  <c r="CP929" i="75"/>
  <c r="BV933" i="75"/>
  <c r="DD1041" i="75"/>
  <c r="CB1043" i="75"/>
  <c r="BZ1059" i="75"/>
  <c r="CN1075" i="75"/>
  <c r="CF197" i="75"/>
  <c r="CV221" i="75"/>
  <c r="CD257" i="75"/>
  <c r="CD271" i="75"/>
  <c r="CT283" i="75"/>
  <c r="DB287" i="75"/>
  <c r="BJ317" i="75"/>
  <c r="CX317" i="75"/>
  <c r="BV319" i="75"/>
  <c r="BC437" i="75" a="1"/>
  <c r="BC454" i="75" s="1"/>
  <c r="BX439" i="75"/>
  <c r="DF481" i="75"/>
  <c r="CD497" i="75"/>
  <c r="CL515" i="75"/>
  <c r="CJ563" i="75"/>
  <c r="BT681" i="75"/>
  <c r="BN685" i="75"/>
  <c r="CX693" i="75"/>
  <c r="CJ739" i="75"/>
  <c r="CN745" i="75"/>
  <c r="CA763" i="75" a="1"/>
  <c r="DD811" i="75"/>
  <c r="CV871" i="75"/>
  <c r="DD897" i="75"/>
  <c r="CP925" i="75"/>
  <c r="CR943" i="75"/>
  <c r="CA1125" i="75" a="1"/>
  <c r="CA1134" i="75" s="1"/>
  <c r="CP1125" i="75"/>
  <c r="CK1135" i="75" a="1"/>
  <c r="BZ1161" i="75"/>
  <c r="CI651" i="75" a="1"/>
  <c r="BG925" i="75" a="1"/>
  <c r="BM1111" i="75" a="1"/>
  <c r="BM1128" i="75" s="1"/>
  <c r="BE1223" i="75" a="1"/>
  <c r="BE1254" i="75" s="1"/>
  <c r="BI1227" i="75" a="1"/>
  <c r="BI1267" i="75" s="1"/>
  <c r="CX341" i="75"/>
  <c r="CB379" i="75"/>
  <c r="CB399" i="75"/>
  <c r="CL441" i="75"/>
  <c r="BR559" i="75"/>
  <c r="CL567" i="75"/>
  <c r="DD685" i="75"/>
  <c r="CV741" i="75"/>
  <c r="DF817" i="75"/>
  <c r="CJ1101" i="75"/>
  <c r="CV1103" i="75"/>
  <c r="BZ213" i="75"/>
  <c r="CH281" i="75"/>
  <c r="BZ329" i="75"/>
  <c r="CF343" i="75"/>
  <c r="DB345" i="75"/>
  <c r="CR445" i="75"/>
  <c r="DD465" i="75"/>
  <c r="CR499" i="75"/>
  <c r="CZ679" i="75"/>
  <c r="CH867" i="75"/>
  <c r="DB395" i="75"/>
  <c r="CB439" i="75"/>
  <c r="DF533" i="75"/>
  <c r="BV559" i="75"/>
  <c r="BN679" i="75"/>
  <c r="CX903" i="75"/>
  <c r="CM1017" i="75" a="1"/>
  <c r="CR1061" i="75"/>
  <c r="CX1205" i="75"/>
  <c r="CL203" i="75"/>
  <c r="CR219" i="75"/>
  <c r="DF221" i="75"/>
  <c r="CT263" i="75"/>
  <c r="DF283" i="75"/>
  <c r="DD289" i="75"/>
  <c r="CX325" i="75"/>
  <c r="CB335" i="75"/>
  <c r="CF337" i="75"/>
  <c r="CB377" i="75"/>
  <c r="CH379" i="75"/>
  <c r="DD391" i="75"/>
  <c r="CJ399" i="75"/>
  <c r="CX405" i="75"/>
  <c r="CF439" i="75"/>
  <c r="BJ499" i="75"/>
  <c r="BP507" i="75"/>
  <c r="CV515" i="75"/>
  <c r="CH579" i="75"/>
  <c r="CR597" i="75"/>
  <c r="CP643" i="75"/>
  <c r="BR679" i="75"/>
  <c r="CR683" i="75"/>
  <c r="CD743" i="75"/>
  <c r="CP833" i="75"/>
  <c r="CH863" i="75"/>
  <c r="CZ925" i="75"/>
  <c r="CR1005" i="75"/>
  <c r="CE1009" i="75" a="1"/>
  <c r="CE1035" i="75" s="1"/>
  <c r="CM1137" i="75" a="1"/>
  <c r="BX201" i="75"/>
  <c r="CV269" i="75"/>
  <c r="CZ277" i="75"/>
  <c r="BZ333" i="75"/>
  <c r="CB449" i="75"/>
  <c r="DF461" i="75"/>
  <c r="CI529" i="75" a="1"/>
  <c r="CM533" i="75" a="1"/>
  <c r="CM535" i="75" s="1"/>
  <c r="CJ649" i="75"/>
  <c r="CV1061" i="75"/>
  <c r="CH211" i="75"/>
  <c r="CV219" i="75"/>
  <c r="CF265" i="75"/>
  <c r="CZ321" i="75"/>
  <c r="CF335" i="75"/>
  <c r="CF377" i="75"/>
  <c r="CZ445" i="75"/>
  <c r="BZ455" i="75"/>
  <c r="CN463" i="75"/>
  <c r="CH505" i="75"/>
  <c r="CT521" i="75"/>
  <c r="CX563" i="75"/>
  <c r="CX567" i="75"/>
  <c r="CL579" i="75"/>
  <c r="CV625" i="75"/>
  <c r="BJ683" i="75"/>
  <c r="BJ739" i="75"/>
  <c r="CV739" i="75"/>
  <c r="CF765" i="75"/>
  <c r="BZ813" i="75"/>
  <c r="CH945" i="75"/>
  <c r="CZ995" i="75"/>
  <c r="DF1075" i="75"/>
  <c r="C173" i="102"/>
  <c r="C116" i="102"/>
  <c r="H113" i="102"/>
  <c r="AL14" i="100"/>
  <c r="Q593" i="1"/>
  <c r="H94" i="102"/>
  <c r="H114" i="102"/>
  <c r="A312" i="100"/>
  <c r="A156" i="102" s="1"/>
  <c r="B145" i="102"/>
  <c r="X6" i="101"/>
  <c r="J114" i="102"/>
  <c r="H163" i="102"/>
  <c r="H138" i="102"/>
  <c r="A198" i="100"/>
  <c r="A121" i="102" s="1"/>
  <c r="AU607" i="1"/>
  <c r="A311" i="100"/>
  <c r="A155" i="102" s="1"/>
  <c r="H137" i="102"/>
  <c r="AU593" i="1"/>
  <c r="AL304" i="100"/>
  <c r="F136" i="102"/>
  <c r="R3" i="101"/>
  <c r="T22" i="101"/>
  <c r="F140" i="102"/>
  <c r="AL164" i="100"/>
  <c r="AL33" i="100"/>
  <c r="H84" i="102"/>
  <c r="J24" i="102"/>
  <c r="AD48" i="1"/>
  <c r="H139" i="102"/>
  <c r="AA5" i="101"/>
  <c r="P593" i="1"/>
  <c r="H115" i="102"/>
  <c r="AC14" i="104"/>
  <c r="A290" i="100"/>
  <c r="A134" i="102" s="1"/>
  <c r="AL26" i="100"/>
  <c r="AL162" i="100"/>
  <c r="F179" i="102"/>
  <c r="AL327" i="100"/>
  <c r="B164" i="102"/>
  <c r="B154" i="102"/>
  <c r="F100" i="102"/>
  <c r="E6" i="92"/>
  <c r="AL160" i="100"/>
  <c r="F178" i="102"/>
  <c r="AD593" i="1"/>
  <c r="C157" i="102"/>
  <c r="F95" i="102"/>
  <c r="AC593" i="1"/>
  <c r="AP591" i="1"/>
  <c r="A190" i="100"/>
  <c r="A113" i="102" s="1"/>
  <c r="H177" i="102"/>
  <c r="T593" i="1"/>
  <c r="J112" i="102"/>
  <c r="AL161" i="100"/>
  <c r="H111" i="102"/>
  <c r="R84" i="90"/>
  <c r="M48" i="90"/>
  <c r="R85" i="90"/>
  <c r="N84" i="90"/>
  <c r="BS11" i="90"/>
  <c r="Q85" i="90"/>
  <c r="M85" i="90"/>
  <c r="L47" i="90"/>
  <c r="K10" i="90"/>
  <c r="Q84" i="90"/>
  <c r="T5" i="101"/>
  <c r="Y3" i="101"/>
  <c r="BS3" i="90"/>
  <c r="L84" i="90"/>
  <c r="BU48" i="90"/>
  <c r="W10" i="90"/>
  <c r="Q10" i="90"/>
  <c r="R49" i="90"/>
  <c r="N10" i="90"/>
  <c r="BU11" i="90"/>
  <c r="Q47" i="90"/>
  <c r="R47" i="90"/>
  <c r="O11" i="90"/>
  <c r="BT85" i="90"/>
  <c r="DM86" i="90"/>
  <c r="DO12" i="90"/>
  <c r="R10" i="90"/>
  <c r="R11" i="90"/>
  <c r="BR44" i="90"/>
  <c r="BT48" i="90"/>
  <c r="DO49" i="90"/>
  <c r="K47" i="90"/>
  <c r="C25" i="101"/>
  <c r="V3" i="101"/>
  <c r="V4" i="101" s="1"/>
  <c r="BS43" i="90"/>
  <c r="O27" i="110"/>
  <c r="W47" i="90"/>
  <c r="N48" i="90"/>
  <c r="BR4" i="90"/>
  <c r="T11" i="90"/>
  <c r="J10" i="90"/>
  <c r="O47" i="90"/>
  <c r="P47" i="90"/>
  <c r="AA4" i="101"/>
  <c r="K84" i="90"/>
  <c r="N85" i="90"/>
  <c r="K85" i="90"/>
  <c r="K48" i="90"/>
  <c r="J85" i="90"/>
  <c r="J48" i="90"/>
  <c r="DC492" i="75"/>
  <c r="DC491" i="75"/>
  <c r="DC489" i="75"/>
  <c r="DD489" i="75" s="1"/>
  <c r="DC490" i="75"/>
  <c r="BG792" i="75"/>
  <c r="CA836" i="75"/>
  <c r="CA838" i="75"/>
  <c r="CA828" i="75"/>
  <c r="CA843" i="75"/>
  <c r="CA850" i="75"/>
  <c r="CA835" i="75"/>
  <c r="CA853" i="75"/>
  <c r="CA827" i="75"/>
  <c r="CA826" i="75"/>
  <c r="CA840" i="75"/>
  <c r="CA833" i="75"/>
  <c r="CA841" i="75"/>
  <c r="CA848" i="75"/>
  <c r="CA837" i="75"/>
  <c r="BI298" i="75"/>
  <c r="BG764" i="75"/>
  <c r="CK486" i="75"/>
  <c r="BG780" i="75"/>
  <c r="BQ813" i="75"/>
  <c r="BR813" i="75" s="1"/>
  <c r="BQ848" i="75"/>
  <c r="BQ832" i="75"/>
  <c r="BQ819" i="75"/>
  <c r="BQ852" i="75"/>
  <c r="BQ845" i="75"/>
  <c r="BQ838" i="75"/>
  <c r="BQ824" i="75"/>
  <c r="BQ821" i="75"/>
  <c r="BQ817" i="75"/>
  <c r="BQ825" i="75"/>
  <c r="BQ834" i="75"/>
  <c r="BQ826" i="75"/>
  <c r="BQ846" i="75"/>
  <c r="BQ822" i="75"/>
  <c r="BQ843" i="75"/>
  <c r="BQ835" i="75"/>
  <c r="BQ830" i="75"/>
  <c r="BI292" i="75"/>
  <c r="CK475" i="75"/>
  <c r="BG757" i="75"/>
  <c r="BE309" i="75"/>
  <c r="BE267" i="75"/>
  <c r="CK471" i="75"/>
  <c r="CL471" i="75" s="1"/>
  <c r="BG771" i="75"/>
  <c r="BE269" i="75"/>
  <c r="BM569" i="75"/>
  <c r="BN569" i="75" s="1"/>
  <c r="BE301" i="75"/>
  <c r="BM609" i="75"/>
  <c r="BM606" i="75"/>
  <c r="BM582" i="75"/>
  <c r="BI793" i="75"/>
  <c r="BE264" i="75"/>
  <c r="BE293" i="75"/>
  <c r="BE281" i="75"/>
  <c r="BE261" i="75"/>
  <c r="BE312" i="75"/>
  <c r="BE292" i="75"/>
  <c r="BE266" i="75"/>
  <c r="BE286" i="75"/>
  <c r="BE274" i="75"/>
  <c r="BK650" i="75"/>
  <c r="BK628" i="75"/>
  <c r="BK633" i="75"/>
  <c r="BK673" i="75"/>
  <c r="BK671" i="75"/>
  <c r="BK665" i="75"/>
  <c r="CK480" i="75"/>
  <c r="CK483" i="75"/>
  <c r="CK492" i="75"/>
  <c r="CK482" i="75"/>
  <c r="CK474" i="75"/>
  <c r="CK476" i="75"/>
  <c r="CK478" i="75"/>
  <c r="CK484" i="75"/>
  <c r="BG781" i="75"/>
  <c r="BG783" i="75"/>
  <c r="BG761" i="75"/>
  <c r="BG765" i="75"/>
  <c r="BG752" i="75"/>
  <c r="BG787" i="75"/>
  <c r="BG776" i="75"/>
  <c r="BG751" i="75"/>
  <c r="BG749" i="75"/>
  <c r="BG788" i="75"/>
  <c r="BG756" i="75"/>
  <c r="BG744" i="75"/>
  <c r="BG778" i="75"/>
  <c r="BG782" i="75"/>
  <c r="BG767" i="75"/>
  <c r="BG794" i="75"/>
  <c r="BG772" i="75"/>
  <c r="BG748" i="75"/>
  <c r="BG753" i="75"/>
  <c r="BG763" i="75"/>
  <c r="BG755" i="75"/>
  <c r="BG768" i="75"/>
  <c r="BG747" i="75"/>
  <c r="BG774" i="75"/>
  <c r="BK643" i="75"/>
  <c r="BI289" i="75"/>
  <c r="BI293" i="75"/>
  <c r="BI280" i="75"/>
  <c r="BI288" i="75"/>
  <c r="BI303" i="75"/>
  <c r="BI309" i="75"/>
  <c r="BI306" i="75"/>
  <c r="BI290" i="75"/>
  <c r="BI278" i="75"/>
  <c r="BI308" i="75"/>
  <c r="BI311" i="75"/>
  <c r="CI363" i="75"/>
  <c r="CI362" i="75"/>
  <c r="CI355" i="75"/>
  <c r="CI358" i="75"/>
  <c r="CI357" i="75"/>
  <c r="CI371" i="75"/>
  <c r="CI351" i="75"/>
  <c r="CI360" i="75"/>
  <c r="CI350" i="75"/>
  <c r="CI353" i="75"/>
  <c r="CI359" i="75"/>
  <c r="CI364" i="75"/>
  <c r="CI370" i="75"/>
  <c r="CI354" i="75"/>
  <c r="CI367" i="75"/>
  <c r="BI307" i="75"/>
  <c r="CI368" i="75"/>
  <c r="BG746" i="75"/>
  <c r="CI372" i="75"/>
  <c r="BK634" i="75"/>
  <c r="BQ833" i="75"/>
  <c r="BG762" i="75"/>
  <c r="CI365" i="75"/>
  <c r="BK658" i="75"/>
  <c r="BQ837" i="75"/>
  <c r="CY248" i="75"/>
  <c r="CY247" i="75"/>
  <c r="CY250" i="75"/>
  <c r="CY246" i="75"/>
  <c r="CY249" i="75"/>
  <c r="CY245" i="75"/>
  <c r="CZ245" i="75" s="1"/>
  <c r="CY251" i="75"/>
  <c r="CY252" i="75"/>
  <c r="BO653" i="75"/>
  <c r="BO634" i="75"/>
  <c r="BO649" i="75"/>
  <c r="BO668" i="75"/>
  <c r="BO662" i="75"/>
  <c r="BO637" i="75"/>
  <c r="BO641" i="75"/>
  <c r="BO650" i="75"/>
  <c r="BO643" i="75"/>
  <c r="BO673" i="75"/>
  <c r="BO632" i="75"/>
  <c r="BO655" i="75"/>
  <c r="BO654" i="75"/>
  <c r="BO664" i="75"/>
  <c r="BO1082" i="75"/>
  <c r="BO1076" i="75"/>
  <c r="BO1079" i="75"/>
  <c r="BO1077" i="75"/>
  <c r="BO1063" i="75"/>
  <c r="BO1094" i="75"/>
  <c r="BO1053" i="75"/>
  <c r="BP1053" i="75" s="1"/>
  <c r="BO1096" i="75"/>
  <c r="BO1081" i="75"/>
  <c r="BO1060" i="75"/>
  <c r="BO1095" i="75"/>
  <c r="BO1054" i="75"/>
  <c r="BO1072" i="75"/>
  <c r="BO1056" i="75"/>
  <c r="BO1075" i="75"/>
  <c r="BC426" i="75"/>
  <c r="BC421" i="75"/>
  <c r="BC377" i="75"/>
  <c r="BD377" i="75" s="1"/>
  <c r="BC427" i="75"/>
  <c r="BC399" i="75"/>
  <c r="BC407" i="75"/>
  <c r="BC430" i="75"/>
  <c r="BC392" i="75"/>
  <c r="BC415" i="75"/>
  <c r="CI714" i="75"/>
  <c r="CI731" i="75"/>
  <c r="CI733" i="75"/>
  <c r="CI725" i="75"/>
  <c r="CI719" i="75"/>
  <c r="CI727" i="75"/>
  <c r="CI716" i="75"/>
  <c r="BS1126" i="75"/>
  <c r="BS1155" i="75"/>
  <c r="BS1148" i="75"/>
  <c r="BS1149" i="75"/>
  <c r="BS1142" i="75"/>
  <c r="BS1153" i="75"/>
  <c r="BS1121" i="75"/>
  <c r="BS1132" i="75"/>
  <c r="BS1140" i="75"/>
  <c r="BS1146" i="75"/>
  <c r="BS1134" i="75"/>
  <c r="BS1151" i="75"/>
  <c r="BS1117" i="75"/>
  <c r="BT1117" i="75" s="1"/>
  <c r="BS1139" i="75"/>
  <c r="BS1118" i="75"/>
  <c r="BS1144" i="75"/>
  <c r="BS1154" i="75"/>
  <c r="BY412" i="75"/>
  <c r="BS1150" i="75"/>
  <c r="CO730" i="75"/>
  <c r="CO718" i="75"/>
  <c r="CO732" i="75"/>
  <c r="BS699" i="75"/>
  <c r="BS726" i="75"/>
  <c r="BS730" i="75"/>
  <c r="BS724" i="75"/>
  <c r="BS733" i="75"/>
  <c r="BS723" i="75"/>
  <c r="BS702" i="75"/>
  <c r="BW973" i="75"/>
  <c r="BW955" i="75"/>
  <c r="BW950" i="75"/>
  <c r="BS1143" i="75"/>
  <c r="BS729" i="75"/>
  <c r="BI688" i="75"/>
  <c r="BI710" i="75"/>
  <c r="BG326" i="75"/>
  <c r="BG369" i="75"/>
  <c r="BG336" i="75"/>
  <c r="BG338" i="75"/>
  <c r="BG357" i="75"/>
  <c r="BG348" i="75"/>
  <c r="BG328" i="75"/>
  <c r="BG334" i="75"/>
  <c r="BG335" i="75"/>
  <c r="BG358" i="75"/>
  <c r="BG346" i="75"/>
  <c r="BG352" i="75"/>
  <c r="BG363" i="75"/>
  <c r="BG350" i="75"/>
  <c r="BG325" i="75"/>
  <c r="BG354" i="75"/>
  <c r="BG349" i="75"/>
  <c r="BG345" i="75"/>
  <c r="BG329" i="75"/>
  <c r="BG337" i="75"/>
  <c r="BG344" i="75"/>
  <c r="BG356" i="75"/>
  <c r="BG333" i="75"/>
  <c r="DA247" i="75"/>
  <c r="DB247" i="75" s="1"/>
  <c r="DA252" i="75"/>
  <c r="BM968" i="75"/>
  <c r="CA420" i="75"/>
  <c r="CA403" i="75"/>
  <c r="CA432" i="75"/>
  <c r="BM957" i="75"/>
  <c r="BM973" i="75"/>
  <c r="BO1252" i="75"/>
  <c r="BS364" i="75"/>
  <c r="DA488" i="75"/>
  <c r="BS348" i="75"/>
  <c r="BS354" i="75"/>
  <c r="BS301" i="75"/>
  <c r="BY292" i="75"/>
  <c r="BO1268" i="75"/>
  <c r="BW527" i="75"/>
  <c r="BW542" i="75"/>
  <c r="BS372" i="75"/>
  <c r="BS283" i="75"/>
  <c r="DA487" i="75"/>
  <c r="DB487" i="75" s="1"/>
  <c r="BS365" i="75"/>
  <c r="CO355" i="75"/>
  <c r="CP355" i="75" s="1"/>
  <c r="BO1254" i="75"/>
  <c r="DC1153" i="75"/>
  <c r="DD1153" i="75" s="1"/>
  <c r="DC1155" i="75"/>
  <c r="CO535" i="75"/>
  <c r="CP535" i="75" s="1"/>
  <c r="BO1263" i="75"/>
  <c r="BO1246" i="75"/>
  <c r="BC921" i="75"/>
  <c r="BD921" i="75" s="1"/>
  <c r="BC970" i="75"/>
  <c r="BC942" i="75"/>
  <c r="BC963" i="75"/>
  <c r="BC947" i="75"/>
  <c r="BS355" i="75"/>
  <c r="DA490" i="75"/>
  <c r="BO1249" i="75"/>
  <c r="BO1262" i="75"/>
  <c r="CG782" i="75"/>
  <c r="BS346" i="75"/>
  <c r="BY285" i="75"/>
  <c r="BO1257" i="75"/>
  <c r="BI466" i="75"/>
  <c r="BO1245" i="75"/>
  <c r="BO1235" i="75"/>
  <c r="BO1271" i="75"/>
  <c r="BO1261" i="75"/>
  <c r="BO1255" i="75"/>
  <c r="BO1253" i="75"/>
  <c r="BO1247" i="75"/>
  <c r="BO1237" i="75"/>
  <c r="BO1239" i="75"/>
  <c r="BO1275" i="75"/>
  <c r="BO1270" i="75"/>
  <c r="BO1258" i="75"/>
  <c r="BO1242" i="75"/>
  <c r="BO1272" i="75"/>
  <c r="BO1256" i="75"/>
  <c r="BO1240" i="75"/>
  <c r="CA296" i="75"/>
  <c r="CA303" i="75"/>
  <c r="CA293" i="75"/>
  <c r="CA309" i="75"/>
  <c r="CA311" i="75"/>
  <c r="CA290" i="75"/>
  <c r="CA288" i="75"/>
  <c r="CA284" i="75"/>
  <c r="BS339" i="75"/>
  <c r="BS353" i="75"/>
  <c r="BS334" i="75"/>
  <c r="CA298" i="75"/>
  <c r="DD431" i="75"/>
  <c r="BS370" i="75"/>
  <c r="BY310" i="75"/>
  <c r="CA307" i="75"/>
  <c r="BQ578" i="75"/>
  <c r="BQ608" i="75"/>
  <c r="BQ573" i="75"/>
  <c r="BR573" i="75" s="1"/>
  <c r="BQ593" i="75"/>
  <c r="BS304" i="75"/>
  <c r="CM432" i="75"/>
  <c r="BY307" i="75"/>
  <c r="BO1236" i="75"/>
  <c r="CA308" i="75"/>
  <c r="CY673" i="75"/>
  <c r="CY674" i="75"/>
  <c r="CY670" i="75"/>
  <c r="CI1154" i="75"/>
  <c r="CQ297" i="75" a="1"/>
  <c r="DA427" i="75" a="1"/>
  <c r="DA430" i="75" s="1"/>
  <c r="CI1150" i="75"/>
  <c r="CI1134" i="75"/>
  <c r="CI1140" i="75"/>
  <c r="CI1136" i="75"/>
  <c r="CI1146" i="75"/>
  <c r="CI1138" i="75"/>
  <c r="CI1145" i="75"/>
  <c r="CI1143" i="75"/>
  <c r="CI1135" i="75"/>
  <c r="CI1152" i="75"/>
  <c r="CE1155" i="75"/>
  <c r="BV199" i="75"/>
  <c r="CX203" i="75"/>
  <c r="CR881" i="75"/>
  <c r="CT881" i="75"/>
  <c r="DF263" i="75"/>
  <c r="DD263" i="75"/>
  <c r="CR439" i="75"/>
  <c r="CP439" i="75"/>
  <c r="CI469" i="75" a="1"/>
  <c r="CD877" i="75"/>
  <c r="CF877" i="75"/>
  <c r="CV233" i="75"/>
  <c r="CX337" i="75"/>
  <c r="CV337" i="75"/>
  <c r="CZ463" i="75"/>
  <c r="CX463" i="75"/>
  <c r="CR416" i="75"/>
  <c r="CR415" i="75"/>
  <c r="CT778" i="75"/>
  <c r="CV777" i="75"/>
  <c r="CT777" i="75"/>
  <c r="DF1143" i="75"/>
  <c r="DD1143" i="75"/>
  <c r="CB197" i="75"/>
  <c r="CX236" i="75"/>
  <c r="CZ235" i="75"/>
  <c r="DF933" i="75"/>
  <c r="DD933" i="75"/>
  <c r="DD844" i="75"/>
  <c r="DF843" i="75"/>
  <c r="CX221" i="75"/>
  <c r="CV695" i="75"/>
  <c r="CT695" i="75"/>
  <c r="DD1020" i="75"/>
  <c r="DF1019" i="75"/>
  <c r="CR259" i="75"/>
  <c r="DD839" i="75"/>
  <c r="DB840" i="75"/>
  <c r="DF910" i="75"/>
  <c r="DC911" i="75" s="1" a="1"/>
  <c r="DF909" i="75"/>
  <c r="DB910" i="75" s="1" a="1"/>
  <c r="BH1103" i="75"/>
  <c r="BJ1103" i="75"/>
  <c r="CT207" i="75"/>
  <c r="CT277" i="75"/>
  <c r="CV277" i="75"/>
  <c r="CV537" i="75"/>
  <c r="CT538" i="75"/>
  <c r="CT537" i="75"/>
  <c r="DD670" i="75"/>
  <c r="DC671" i="75" s="1" a="1"/>
  <c r="DF669" i="75"/>
  <c r="BO329" i="75" a="1"/>
  <c r="BO367" i="75" s="1"/>
  <c r="CV900" i="75"/>
  <c r="CX899" i="75"/>
  <c r="CT221" i="75"/>
  <c r="CN199" i="75"/>
  <c r="DB241" i="75"/>
  <c r="DA307" i="75" a="1"/>
  <c r="CJ211" i="75"/>
  <c r="CP257" i="75"/>
  <c r="BL259" i="75"/>
  <c r="CL463" i="75"/>
  <c r="CJ463" i="75"/>
  <c r="CX525" i="75"/>
  <c r="CV525" i="75"/>
  <c r="CJ527" i="75"/>
  <c r="CL527" i="75"/>
  <c r="CV601" i="75"/>
  <c r="CV602" i="75"/>
  <c r="CX601" i="75"/>
  <c r="CB331" i="75"/>
  <c r="BZ389" i="75"/>
  <c r="CB389" i="75"/>
  <c r="DF484" i="75"/>
  <c r="DF483" i="75"/>
  <c r="BT199" i="75"/>
  <c r="CR399" i="75"/>
  <c r="DE1216" i="75"/>
  <c r="DE1215" i="75"/>
  <c r="DF1215" i="75" s="1"/>
  <c r="BV263" i="75"/>
  <c r="DF287" i="75"/>
  <c r="CT323" i="75"/>
  <c r="BY519" i="75" a="1"/>
  <c r="DF691" i="75"/>
  <c r="BK807" i="75" a="1"/>
  <c r="CZ807" i="75"/>
  <c r="BJ1041" i="75"/>
  <c r="CZ213" i="75"/>
  <c r="CL259" i="75"/>
  <c r="CV271" i="75"/>
  <c r="CR275" i="75"/>
  <c r="CL281" i="75"/>
  <c r="DD283" i="75"/>
  <c r="CL285" i="75"/>
  <c r="CZ289" i="75"/>
  <c r="BP327" i="75"/>
  <c r="CL337" i="75"/>
  <c r="BL377" i="75"/>
  <c r="DD385" i="75"/>
  <c r="CL405" i="75"/>
  <c r="CV411" i="75"/>
  <c r="CV439" i="75"/>
  <c r="BT445" i="75"/>
  <c r="DF445" i="75"/>
  <c r="BZ453" i="75"/>
  <c r="CT565" i="75"/>
  <c r="CH619" i="75"/>
  <c r="CZ703" i="75"/>
  <c r="DD707" i="75"/>
  <c r="BY761" i="75" a="1"/>
  <c r="CX773" i="75"/>
  <c r="CR885" i="75"/>
  <c r="BX921" i="75"/>
  <c r="CN1011" i="75"/>
  <c r="BN1221" i="75"/>
  <c r="CJ203" i="75"/>
  <c r="CC645" i="75" a="1"/>
  <c r="BE741" i="75" a="1"/>
  <c r="BE744" i="75" s="1"/>
  <c r="CI771" i="75" a="1"/>
  <c r="CC1187" i="75" a="1"/>
  <c r="BK1229" i="75" a="1"/>
  <c r="CT355" i="75"/>
  <c r="CX197" i="75"/>
  <c r="DF201" i="75"/>
  <c r="BT211" i="75"/>
  <c r="CP233" i="75"/>
  <c r="CH257" i="75"/>
  <c r="DD299" i="75"/>
  <c r="CZ317" i="75"/>
  <c r="DF319" i="75"/>
  <c r="CF321" i="75"/>
  <c r="BN323" i="75"/>
  <c r="CR329" i="75"/>
  <c r="CX347" i="75"/>
  <c r="CN349" i="75"/>
  <c r="BZ395" i="75"/>
  <c r="CP401" i="75"/>
  <c r="CZ413" i="75"/>
  <c r="DB425" i="75"/>
  <c r="CZ426" i="75" s="1" a="1"/>
  <c r="DF521" i="75"/>
  <c r="BR561" i="75"/>
  <c r="CX565" i="75"/>
  <c r="CF633" i="75"/>
  <c r="CF681" i="75"/>
  <c r="CT757" i="75"/>
  <c r="CT837" i="75"/>
  <c r="CV841" i="75"/>
  <c r="DF1047" i="75"/>
  <c r="CZ1069" i="75"/>
  <c r="BO1113" i="75" a="1"/>
  <c r="BR261" i="75"/>
  <c r="BZ319" i="75"/>
  <c r="DB439" i="75"/>
  <c r="BM447" i="75" a="1"/>
  <c r="BW457" i="75" a="1"/>
  <c r="BV505" i="75"/>
  <c r="DD537" i="75"/>
  <c r="BW699" i="75" a="1"/>
  <c r="CX723" i="75"/>
  <c r="CT897" i="75"/>
  <c r="CO1079" i="75" a="1"/>
  <c r="DF601" i="75"/>
  <c r="DF205" i="75"/>
  <c r="CP207" i="75"/>
  <c r="DF277" i="75"/>
  <c r="CX301" i="75"/>
  <c r="CX377" i="75"/>
  <c r="CB393" i="75"/>
  <c r="CJ397" i="75"/>
  <c r="CT405" i="75"/>
  <c r="CR437" i="75"/>
  <c r="CN449" i="75"/>
  <c r="CV463" i="75"/>
  <c r="DF505" i="75"/>
  <c r="DD598" i="75"/>
  <c r="CD643" i="75"/>
  <c r="DF659" i="75"/>
  <c r="BZ679" i="75"/>
  <c r="CN705" i="75"/>
  <c r="CV757" i="75"/>
  <c r="CP763" i="75"/>
  <c r="DF775" i="75"/>
  <c r="CX835" i="75"/>
  <c r="BZ867" i="75"/>
  <c r="BZ1121" i="75"/>
  <c r="CP1231" i="75"/>
  <c r="DD347" i="75"/>
  <c r="BO509" i="75" a="1"/>
  <c r="BO547" i="75" s="1"/>
  <c r="DB961" i="75"/>
  <c r="BU1059" i="75" a="1"/>
  <c r="BX559" i="75"/>
  <c r="CJ219" i="75"/>
  <c r="CN225" i="75"/>
  <c r="CT331" i="75"/>
  <c r="CH341" i="75"/>
  <c r="CH345" i="75"/>
  <c r="CN351" i="75"/>
  <c r="BE379" i="75" a="1"/>
  <c r="BE406" i="75" s="1"/>
  <c r="BT379" i="75"/>
  <c r="CF381" i="75"/>
  <c r="CF385" i="75"/>
  <c r="BR387" i="75"/>
  <c r="DB387" i="75"/>
  <c r="CP389" i="75"/>
  <c r="CH395" i="75"/>
  <c r="CX401" i="75"/>
  <c r="CJ407" i="75"/>
  <c r="DF411" i="75"/>
  <c r="CV499" i="75"/>
  <c r="CN517" i="75"/>
  <c r="CN563" i="75"/>
  <c r="DD571" i="75"/>
  <c r="CL635" i="75"/>
  <c r="CZ709" i="75"/>
  <c r="BZ749" i="75"/>
  <c r="CX753" i="75"/>
  <c r="DB757" i="75"/>
  <c r="CT763" i="75"/>
  <c r="BH799" i="75"/>
  <c r="DD809" i="75"/>
  <c r="CV811" i="75"/>
  <c r="CP827" i="75"/>
  <c r="DB835" i="75"/>
  <c r="CD863" i="75"/>
  <c r="CB1053" i="75"/>
  <c r="CN1163" i="75"/>
  <c r="CP1171" i="75"/>
  <c r="BW819" i="75" a="1"/>
  <c r="BO933" i="75" a="1"/>
  <c r="CG1131" i="75" a="1"/>
  <c r="DD329" i="75"/>
  <c r="BZ377" i="75"/>
  <c r="CP397" i="75"/>
  <c r="CV399" i="75"/>
  <c r="CV457" i="75"/>
  <c r="CB505" i="75"/>
  <c r="CZ657" i="75"/>
  <c r="CZ755" i="75"/>
  <c r="CV767" i="75"/>
  <c r="CP823" i="75"/>
  <c r="BN203" i="75"/>
  <c r="CD205" i="75"/>
  <c r="CH217" i="75"/>
  <c r="CP263" i="75"/>
  <c r="CB277" i="75"/>
  <c r="BX329" i="75"/>
  <c r="CX333" i="75"/>
  <c r="DB337" i="75"/>
  <c r="DB363" i="75"/>
  <c r="CL385" i="75"/>
  <c r="BV387" i="75"/>
  <c r="CN511" i="75"/>
  <c r="DB543" i="75"/>
  <c r="CR567" i="75"/>
  <c r="CA583" i="75" a="1"/>
  <c r="CA595" i="75" s="1"/>
  <c r="BV621" i="75"/>
  <c r="BT629" i="75"/>
  <c r="CK653" i="75" a="1"/>
  <c r="DF665" i="75"/>
  <c r="CX859" i="75"/>
  <c r="BZ869" i="75"/>
  <c r="CJ995" i="75"/>
  <c r="CZ1045" i="75"/>
  <c r="BP1049" i="75"/>
  <c r="CJ1053" i="75"/>
  <c r="CR1067" i="75"/>
  <c r="BC1101" i="75" a="1"/>
  <c r="BC1129" i="75" s="1"/>
  <c r="DF1101" i="75"/>
  <c r="BG1105" i="75" a="1"/>
  <c r="BG1137" i="75" s="1"/>
  <c r="CV1105" i="75"/>
  <c r="BI1107" i="75" a="1"/>
  <c r="BI1107" i="75" s="1"/>
  <c r="BJ1107" i="75" s="1"/>
  <c r="BK1109" i="75" a="1"/>
  <c r="BK1119" i="75" s="1"/>
  <c r="CL1245" i="75"/>
  <c r="DD1270" i="75"/>
  <c r="DD259" i="75"/>
  <c r="CP279" i="75"/>
  <c r="DF281" i="75"/>
  <c r="CP345" i="75"/>
  <c r="CN381" i="75"/>
  <c r="CX389" i="75"/>
  <c r="CR407" i="75"/>
  <c r="CX417" i="75"/>
  <c r="DF437" i="75"/>
  <c r="CN441" i="75"/>
  <c r="BQ451" i="75" a="1"/>
  <c r="BQ487" i="75" s="1"/>
  <c r="CD559" i="75"/>
  <c r="BL563" i="75"/>
  <c r="DB625" i="75"/>
  <c r="CN807" i="75"/>
  <c r="CE827" i="75" a="1"/>
  <c r="BK929" i="75" a="1"/>
  <c r="BZ929" i="75"/>
  <c r="BZ989" i="75"/>
  <c r="CN995" i="75"/>
  <c r="BV1101" i="75"/>
  <c r="CH1103" i="75"/>
  <c r="CH1221" i="75"/>
  <c r="CE647" i="75" a="1"/>
  <c r="CE671" i="75" s="1"/>
  <c r="BG985" i="75" a="1"/>
  <c r="BG1008" i="75" s="1"/>
  <c r="BI987" i="75" a="1"/>
  <c r="BI1012" i="75" s="1"/>
  <c r="CM233" i="75" a="1"/>
  <c r="BZ273" i="75"/>
  <c r="CZ335" i="75"/>
  <c r="BZ387" i="75"/>
  <c r="CR391" i="75"/>
  <c r="BE439" i="75" a="1"/>
  <c r="BE471" i="75" s="1"/>
  <c r="BG441" i="75" a="1"/>
  <c r="CK593" i="75" a="1"/>
  <c r="CK613" i="75" s="1"/>
  <c r="CL697" i="75"/>
  <c r="BS755" i="75" a="1"/>
  <c r="CB925" i="75"/>
  <c r="CR1075" i="75"/>
  <c r="CR535" i="75"/>
  <c r="BV203" i="75"/>
  <c r="CX219" i="75"/>
  <c r="CX263" i="75"/>
  <c r="CB275" i="75"/>
  <c r="CL289" i="75"/>
  <c r="CJ323" i="75"/>
  <c r="DB325" i="75"/>
  <c r="DD335" i="75"/>
  <c r="CE345" i="75" a="1"/>
  <c r="CZ399" i="75"/>
  <c r="BV443" i="75"/>
  <c r="CZ453" i="75"/>
  <c r="DF457" i="75"/>
  <c r="CV461" i="75"/>
  <c r="BV507" i="75"/>
  <c r="DD517" i="75"/>
  <c r="CN525" i="75"/>
  <c r="CG527" i="75" a="1"/>
  <c r="CX589" i="75"/>
  <c r="CA703" i="75" a="1"/>
  <c r="CL741" i="75"/>
  <c r="BZ757" i="75"/>
  <c r="BZ819" i="75"/>
  <c r="CL831" i="75"/>
  <c r="DB877" i="75"/>
  <c r="BY881" i="75" a="1"/>
  <c r="CJ881" i="75"/>
  <c r="CL981" i="75"/>
  <c r="CJ1055" i="75"/>
  <c r="DB1063" i="75"/>
  <c r="CV1077" i="75"/>
  <c r="BU577" i="75" a="1"/>
  <c r="CG589" i="75" a="1"/>
  <c r="BS875" i="75" a="1"/>
  <c r="CI1073" i="75" a="1"/>
  <c r="DB1092" i="75" a="1"/>
  <c r="CZ209" i="75"/>
  <c r="CR211" i="75"/>
  <c r="CH273" i="75"/>
  <c r="CP277" i="75"/>
  <c r="BT321" i="75"/>
  <c r="BV325" i="75"/>
  <c r="BX389" i="75"/>
  <c r="CX395" i="75"/>
  <c r="CR409" i="75"/>
  <c r="CO415" i="75" a="1"/>
  <c r="CO428" i="75" s="1"/>
  <c r="DF421" i="75"/>
  <c r="DD451" i="75"/>
  <c r="CL467" i="75"/>
  <c r="BZ507" i="75"/>
  <c r="CT561" i="75"/>
  <c r="BT567" i="75"/>
  <c r="CB573" i="75"/>
  <c r="BT633" i="75"/>
  <c r="CL641" i="75"/>
  <c r="BJ679" i="75"/>
  <c r="CE707" i="75" a="1"/>
  <c r="CR777" i="75"/>
  <c r="BZ811" i="75"/>
  <c r="DF813" i="75"/>
  <c r="DF815" i="75"/>
  <c r="CT863" i="75"/>
  <c r="CN881" i="75"/>
  <c r="CT939" i="75"/>
  <c r="CR223" i="75"/>
  <c r="DB397" i="75"/>
  <c r="CE525" i="75" a="1"/>
  <c r="CX721" i="75"/>
  <c r="CA1065" i="75" a="1"/>
  <c r="CZ1075" i="75"/>
  <c r="DB1179" i="75"/>
  <c r="BH197" i="75"/>
  <c r="DF219" i="75"/>
  <c r="CL265" i="75"/>
  <c r="CX269" i="75"/>
  <c r="CT289" i="75"/>
  <c r="CP317" i="75"/>
  <c r="DF351" i="75"/>
  <c r="CN379" i="75"/>
  <c r="CF383" i="75"/>
  <c r="CZ385" i="75"/>
  <c r="CL387" i="75"/>
  <c r="DF389" i="75"/>
  <c r="CP413" i="75"/>
  <c r="CL565" i="75"/>
  <c r="DB643" i="75"/>
  <c r="CV707" i="75"/>
  <c r="CL751" i="75"/>
  <c r="CC765" i="75" a="1"/>
  <c r="CL861" i="75"/>
  <c r="CL929" i="75"/>
  <c r="CX939" i="75"/>
  <c r="BP987" i="75"/>
  <c r="CL989" i="75"/>
  <c r="DD1001" i="75"/>
  <c r="CD1003" i="75"/>
  <c r="CB1045" i="75"/>
  <c r="C86" i="90"/>
  <c r="L86" i="90" s="1"/>
  <c r="B43" i="90"/>
  <c r="C49" i="90"/>
  <c r="C25" i="90"/>
  <c r="BQ25" i="90" s="1"/>
  <c r="DO25" i="90" s="1"/>
  <c r="B80" i="90"/>
  <c r="D2" i="91"/>
  <c r="C12" i="90"/>
  <c r="J44" i="90"/>
  <c r="EG49" i="90" s="1"/>
  <c r="C138" i="90"/>
  <c r="Y138" i="90" s="1"/>
  <c r="B119" i="90"/>
  <c r="C99" i="90"/>
  <c r="L99" i="90" s="1"/>
  <c r="B3" i="90"/>
  <c r="C62" i="90"/>
  <c r="BK62" i="90" s="1"/>
  <c r="C125" i="90"/>
  <c r="H120" i="90"/>
  <c r="G120" i="90" s="1"/>
  <c r="C42" i="102"/>
  <c r="H44" i="102"/>
  <c r="H23" i="102"/>
  <c r="H24" i="102"/>
  <c r="C6" i="75"/>
  <c r="A67" i="100"/>
  <c r="A69" i="102" s="1"/>
  <c r="H25" i="102"/>
  <c r="A77" i="100"/>
  <c r="A79" i="102" s="1"/>
  <c r="C24" i="102"/>
  <c r="F40" i="102"/>
  <c r="A75" i="100"/>
  <c r="A77" i="102" s="1"/>
  <c r="C34" i="102"/>
  <c r="H35" i="102"/>
  <c r="AL38" i="100"/>
  <c r="AL13" i="100"/>
  <c r="F39" i="102"/>
  <c r="B9" i="100"/>
  <c r="C15" i="102"/>
  <c r="G6" i="92"/>
  <c r="C5" i="92"/>
  <c r="E5" i="92"/>
  <c r="C127" i="102"/>
  <c r="H87" i="102"/>
  <c r="H109" i="102"/>
  <c r="AL336" i="100"/>
  <c r="H168" i="102"/>
  <c r="J43" i="102"/>
  <c r="AL317" i="100"/>
  <c r="C172" i="102"/>
  <c r="F119" i="102"/>
  <c r="B178" i="102"/>
  <c r="B118" i="102"/>
  <c r="B120" i="102"/>
  <c r="H120" i="102"/>
  <c r="B141" i="102"/>
  <c r="H174" i="102"/>
  <c r="F133" i="102"/>
  <c r="A166" i="100"/>
  <c r="A89" i="102" s="1"/>
  <c r="H169" i="102"/>
  <c r="C17" i="102"/>
  <c r="C154" i="102"/>
  <c r="H86" i="102"/>
  <c r="F86" i="102"/>
  <c r="J120" i="102"/>
  <c r="H135" i="102"/>
  <c r="B101" i="102"/>
  <c r="C86" i="102"/>
  <c r="AL294" i="100"/>
  <c r="F152" i="102"/>
  <c r="C114" i="102"/>
  <c r="B130" i="102"/>
  <c r="J23" i="102"/>
  <c r="C88" i="102"/>
  <c r="C38" i="102"/>
  <c r="B81" i="102"/>
  <c r="H43" i="102"/>
  <c r="AL198" i="100"/>
  <c r="AI26" i="1"/>
  <c r="AL326" i="100"/>
  <c r="H175" i="102"/>
  <c r="F109" i="102"/>
  <c r="F123" i="102"/>
  <c r="B136" i="102"/>
  <c r="F111" i="102"/>
  <c r="H164" i="102"/>
  <c r="F82" i="102"/>
  <c r="AL205" i="100"/>
  <c r="A158" i="100"/>
  <c r="A81" i="102" s="1"/>
  <c r="F87" i="102"/>
  <c r="AL289" i="100"/>
  <c r="F156" i="102"/>
  <c r="B137" i="102"/>
  <c r="E15" i="104"/>
  <c r="V5" i="126" s="1"/>
  <c r="A192" i="100"/>
  <c r="A115" i="102" s="1"/>
  <c r="A319" i="100"/>
  <c r="A163" i="102" s="1"/>
  <c r="C179" i="102"/>
  <c r="J82" i="102"/>
  <c r="B177" i="102"/>
  <c r="AL296" i="100"/>
  <c r="C120" i="102"/>
  <c r="A183" i="100"/>
  <c r="A106" i="102" s="1"/>
  <c r="AL175" i="100"/>
  <c r="C164" i="102"/>
  <c r="H100" i="102"/>
  <c r="F25" i="102"/>
  <c r="J127" i="102"/>
  <c r="R5" i="101"/>
  <c r="F129" i="102"/>
  <c r="F97" i="102"/>
  <c r="R4" i="101"/>
  <c r="J129" i="102"/>
  <c r="H124" i="102"/>
  <c r="B139" i="102"/>
  <c r="AL191" i="100"/>
  <c r="F98" i="102"/>
  <c r="A306" i="100"/>
  <c r="A150" i="102" s="1"/>
  <c r="F117" i="102"/>
  <c r="AC48" i="1"/>
  <c r="A181" i="100"/>
  <c r="A104" i="102" s="1"/>
  <c r="AI619" i="1"/>
  <c r="F181" i="102"/>
  <c r="AL332" i="100"/>
  <c r="B160" i="102"/>
  <c r="X3" i="101"/>
  <c r="AL172" i="100"/>
  <c r="C109" i="102"/>
  <c r="H157" i="102"/>
  <c r="H106" i="102"/>
  <c r="J22" i="102"/>
  <c r="F125" i="102"/>
  <c r="B162" i="102"/>
  <c r="AL315" i="100"/>
  <c r="F146" i="102"/>
  <c r="F99" i="102"/>
  <c r="AL328" i="100"/>
  <c r="B88" i="102"/>
  <c r="C125" i="102"/>
  <c r="F142" i="102"/>
  <c r="C141" i="102"/>
  <c r="H125" i="102"/>
  <c r="AL25" i="100"/>
  <c r="A317" i="100"/>
  <c r="A161" i="102" s="1"/>
  <c r="B112" i="102"/>
  <c r="R6" i="101"/>
  <c r="B146" i="102"/>
  <c r="C36" i="102"/>
  <c r="B173" i="102"/>
  <c r="C98" i="102"/>
  <c r="S6" i="101"/>
  <c r="H103" i="102"/>
  <c r="F124" i="102"/>
  <c r="A188" i="100"/>
  <c r="A111" i="102" s="1"/>
  <c r="F159" i="102"/>
  <c r="A176" i="100"/>
  <c r="A99" i="102" s="1"/>
  <c r="J20" i="102"/>
  <c r="B158" i="102"/>
  <c r="F35" i="102"/>
  <c r="B113" i="102"/>
  <c r="B174" i="102"/>
  <c r="B157" i="102"/>
  <c r="AL299" i="100"/>
  <c r="S3" i="101"/>
  <c r="J113" i="102"/>
  <c r="AI630" i="1"/>
  <c r="J84" i="102"/>
  <c r="F112" i="102"/>
  <c r="C81" i="102"/>
  <c r="J126" i="102"/>
  <c r="G4" i="92"/>
  <c r="S15" i="104"/>
  <c r="W5" i="101"/>
  <c r="F37" i="102"/>
  <c r="T10" i="101"/>
  <c r="A334" i="100"/>
  <c r="A178" i="102" s="1"/>
  <c r="C177" i="102"/>
  <c r="J92" i="102"/>
  <c r="AL306" i="100"/>
  <c r="AL30" i="100"/>
  <c r="J110" i="102"/>
  <c r="H173" i="102"/>
  <c r="C167" i="102"/>
  <c r="H96" i="102"/>
  <c r="Q9" i="101"/>
  <c r="C181" i="102"/>
  <c r="AI21" i="1"/>
  <c r="A305" i="100"/>
  <c r="A149" i="102" s="1"/>
  <c r="C32" i="102"/>
  <c r="J37" i="102"/>
  <c r="C29" i="101"/>
  <c r="AA3" i="101"/>
  <c r="C153" i="102"/>
  <c r="A69" i="100"/>
  <c r="A71" i="102" s="1"/>
  <c r="AL39" i="100"/>
  <c r="M84" i="90"/>
  <c r="J11" i="90"/>
  <c r="M11" i="90"/>
  <c r="C151" i="102"/>
  <c r="J96" i="102"/>
  <c r="O10" i="90"/>
  <c r="T21" i="101"/>
  <c r="AI624" i="1"/>
  <c r="O4" i="101"/>
  <c r="AL23" i="100"/>
  <c r="A66" i="100"/>
  <c r="A68" i="102" s="1"/>
  <c r="C108" i="102"/>
  <c r="A318" i="100"/>
  <c r="A162" i="102" s="1"/>
  <c r="F88" i="102"/>
  <c r="AL167" i="100"/>
  <c r="AL24" i="100"/>
  <c r="B166" i="102"/>
  <c r="AI623" i="1"/>
  <c r="A201" i="100"/>
  <c r="A124" i="102" s="1"/>
  <c r="H88" i="102"/>
  <c r="A289" i="100"/>
  <c r="A133" i="102" s="1"/>
  <c r="N3" i="101"/>
  <c r="A173" i="100"/>
  <c r="A96" i="102" s="1"/>
  <c r="AA12" i="104"/>
  <c r="H144" i="102"/>
  <c r="S19" i="101"/>
  <c r="AL185" i="100"/>
  <c r="W3" i="101"/>
  <c r="C123" i="102"/>
  <c r="AI25" i="1"/>
  <c r="B127" i="102"/>
  <c r="H158" i="102"/>
  <c r="AL206" i="100"/>
  <c r="AC12" i="104"/>
  <c r="AI617" i="1"/>
  <c r="AB48" i="1"/>
  <c r="C26" i="101"/>
  <c r="R2" i="101"/>
  <c r="AL22" i="100"/>
  <c r="J16" i="102"/>
  <c r="A172" i="100"/>
  <c r="A95" i="102" s="1"/>
  <c r="C126" i="102"/>
  <c r="J93" i="102"/>
  <c r="H81" i="102"/>
  <c r="U19" i="101"/>
  <c r="AI629" i="1"/>
  <c r="C94" i="102"/>
  <c r="C23" i="105"/>
  <c r="I23" i="105" s="1"/>
  <c r="AI23" i="1"/>
  <c r="B110" i="102"/>
  <c r="AI621" i="1"/>
  <c r="AB2" i="101"/>
  <c r="U16" i="101"/>
  <c r="AL182" i="100"/>
  <c r="Q6" i="101"/>
  <c r="F121" i="102"/>
  <c r="A71" i="100"/>
  <c r="A73" i="102" s="1"/>
  <c r="J102" i="102"/>
  <c r="BT11" i="90"/>
  <c r="DM49" i="90"/>
  <c r="J122" i="102"/>
  <c r="H93" i="102"/>
  <c r="J47" i="90"/>
  <c r="S4" i="101"/>
  <c r="X5" i="101"/>
  <c r="AI628" i="1"/>
  <c r="H161" i="102"/>
  <c r="D83" i="90"/>
  <c r="C14" i="104"/>
  <c r="A184" i="100"/>
  <c r="A107" i="102" s="1"/>
  <c r="C147" i="102"/>
  <c r="AI626" i="1"/>
  <c r="A205" i="100"/>
  <c r="A128" i="102" s="1"/>
  <c r="H122" i="102"/>
  <c r="A169" i="100"/>
  <c r="A92" i="102" s="1"/>
  <c r="W6" i="101"/>
  <c r="S5" i="101"/>
  <c r="Q5" i="101"/>
  <c r="AB13" i="104"/>
  <c r="J91" i="102"/>
  <c r="T2" i="101"/>
  <c r="H176" i="102"/>
  <c r="P84" i="90"/>
  <c r="BS80" i="90"/>
  <c r="L10" i="90"/>
  <c r="O85" i="90"/>
  <c r="Q10" i="101"/>
  <c r="H119" i="102"/>
  <c r="H123" i="102"/>
  <c r="O48" i="90"/>
  <c r="J121" i="102"/>
  <c r="A292" i="100"/>
  <c r="A136" i="102" s="1"/>
  <c r="AI631" i="1"/>
  <c r="C146" i="102"/>
  <c r="H92" i="102"/>
  <c r="F143" i="102"/>
  <c r="B109" i="102"/>
  <c r="AI622" i="1"/>
  <c r="AI620" i="1"/>
  <c r="AL173" i="100"/>
  <c r="AI627" i="1"/>
  <c r="U13" i="101"/>
  <c r="P6" i="101"/>
  <c r="F19" i="102"/>
  <c r="AL37" i="100"/>
  <c r="AL32" i="100"/>
  <c r="R12" i="90"/>
  <c r="L85" i="90"/>
  <c r="R86" i="90"/>
  <c r="AL203" i="100"/>
  <c r="A159" i="100"/>
  <c r="A82" i="102" s="1"/>
  <c r="B147" i="102"/>
  <c r="H148" i="102"/>
  <c r="N11" i="90"/>
  <c r="AA2" i="101"/>
  <c r="AD14" i="104"/>
  <c r="P10" i="90"/>
  <c r="F106" i="102"/>
  <c r="AL19" i="100"/>
  <c r="AI24" i="1"/>
  <c r="AL335" i="100"/>
  <c r="AI632" i="1"/>
  <c r="J89" i="102"/>
  <c r="AI27" i="1"/>
  <c r="AL166" i="100"/>
  <c r="Q8" i="101"/>
  <c r="Y6" i="101"/>
  <c r="F104" i="102"/>
  <c r="AI618" i="1"/>
  <c r="W4" i="101"/>
  <c r="H141" i="102"/>
  <c r="CD11" i="90"/>
  <c r="Q48" i="90"/>
  <c r="R48" i="90"/>
  <c r="A304" i="100"/>
  <c r="A148" i="102" s="1"/>
  <c r="AL188" i="100"/>
  <c r="J84" i="90"/>
  <c r="Y5" i="101"/>
  <c r="A65" i="100"/>
  <c r="A67" i="102" s="1"/>
  <c r="AB14" i="104"/>
  <c r="K11" i="90"/>
  <c r="B116" i="102"/>
  <c r="AA13" i="104"/>
  <c r="F118" i="102"/>
  <c r="D12" i="104"/>
  <c r="AL41" i="100"/>
  <c r="AB6" i="101"/>
  <c r="S2" i="101"/>
  <c r="AF2" i="101" s="1"/>
  <c r="N4" i="101"/>
  <c r="AI633" i="1"/>
  <c r="AL40" i="100"/>
  <c r="B93" i="102"/>
  <c r="AB3" i="101"/>
  <c r="H104" i="102"/>
  <c r="N6" i="101"/>
  <c r="AA593" i="1"/>
  <c r="F171" i="102"/>
  <c r="F91" i="102"/>
  <c r="H36" i="102"/>
  <c r="AL10" i="100"/>
  <c r="AL43" i="100"/>
  <c r="AZ9" i="90"/>
  <c r="M47" i="90"/>
  <c r="B97" i="102"/>
  <c r="O84" i="90"/>
  <c r="T17" i="101"/>
  <c r="X9" i="90"/>
  <c r="C102" i="102"/>
  <c r="AC13" i="104"/>
  <c r="H90" i="102"/>
  <c r="T14" i="101"/>
  <c r="B167" i="102"/>
  <c r="AD12" i="104"/>
  <c r="T4" i="101"/>
  <c r="H19" i="102"/>
  <c r="AL42" i="100"/>
  <c r="AL18" i="100"/>
  <c r="AL194" i="100"/>
  <c r="AE4" i="101"/>
  <c r="P5" i="101"/>
  <c r="H118" i="102"/>
  <c r="M10" i="90"/>
  <c r="N47" i="90"/>
  <c r="Q11" i="90"/>
  <c r="B163" i="102"/>
  <c r="A180" i="100"/>
  <c r="A103" i="102" s="1"/>
  <c r="J108" i="102"/>
  <c r="L11" i="90"/>
  <c r="X4" i="101"/>
  <c r="C165" i="102"/>
  <c r="B115" i="102"/>
  <c r="L48" i="90"/>
  <c r="B156" i="102"/>
  <c r="A293" i="100"/>
  <c r="A137" i="102" s="1"/>
  <c r="AL31" i="100"/>
  <c r="F90" i="102"/>
  <c r="W2" i="101"/>
  <c r="A187" i="100"/>
  <c r="A110" i="102" s="1"/>
  <c r="AI28" i="1"/>
  <c r="B106" i="102"/>
  <c r="T6" i="101"/>
  <c r="AB4" i="101"/>
  <c r="Y2" i="101"/>
  <c r="T9" i="101"/>
  <c r="AA6" i="101"/>
  <c r="A74" i="100"/>
  <c r="A76" i="102" s="1"/>
  <c r="J95" i="102"/>
  <c r="H105" i="102"/>
  <c r="F105" i="102"/>
  <c r="D9" i="90"/>
  <c r="DO86" i="90"/>
  <c r="BR81" i="90"/>
  <c r="B91" i="102"/>
  <c r="H160" i="102"/>
  <c r="F108" i="102"/>
  <c r="A207" i="100"/>
  <c r="A130" i="102" s="1"/>
  <c r="D46" i="90"/>
  <c r="Y4" i="101"/>
  <c r="DM12" i="90"/>
  <c r="W84" i="90"/>
  <c r="B86" i="102"/>
  <c r="H40" i="102"/>
  <c r="H29" i="102"/>
  <c r="J38" i="102"/>
  <c r="H38" i="102"/>
  <c r="J33" i="102"/>
  <c r="F20" i="102"/>
  <c r="J27" i="102"/>
  <c r="J29" i="102"/>
  <c r="F42" i="102"/>
  <c r="H27" i="102"/>
  <c r="F22" i="102"/>
  <c r="J31" i="102"/>
  <c r="F13" i="102"/>
  <c r="J42" i="102"/>
  <c r="H31" i="102"/>
  <c r="J13" i="102"/>
  <c r="F41" i="102"/>
  <c r="J41" i="102"/>
  <c r="F21" i="102"/>
  <c r="J21" i="102"/>
  <c r="F33" i="102"/>
  <c r="F16" i="102"/>
  <c r="J15" i="102"/>
  <c r="H39" i="102"/>
  <c r="J30" i="102"/>
  <c r="F30" i="102"/>
  <c r="H15" i="102"/>
  <c r="J14" i="102"/>
  <c r="J32" i="102"/>
  <c r="F32" i="102"/>
  <c r="F14" i="102"/>
  <c r="F17" i="102"/>
  <c r="F18" i="102"/>
  <c r="J18" i="102"/>
  <c r="J34" i="102"/>
  <c r="H34" i="102"/>
  <c r="H17" i="102"/>
  <c r="F36" i="102"/>
  <c r="C23" i="102"/>
  <c r="AL8" i="100"/>
  <c r="B125" i="102"/>
  <c r="AL184" i="100"/>
  <c r="B94" i="102"/>
  <c r="C87" i="102"/>
  <c r="J99" i="102"/>
  <c r="W48" i="1"/>
  <c r="A162" i="100"/>
  <c r="A85" i="102" s="1"/>
  <c r="C22" i="102"/>
  <c r="Z48" i="1"/>
  <c r="A330" i="100"/>
  <c r="A174" i="102" s="1"/>
  <c r="T14" i="104"/>
  <c r="N14" i="104" s="1"/>
  <c r="Q14" i="104" s="1"/>
  <c r="B103" i="102"/>
  <c r="B152" i="102"/>
  <c r="F155" i="102"/>
  <c r="A160" i="100"/>
  <c r="A83" i="102" s="1"/>
  <c r="A199" i="100"/>
  <c r="A122" i="102" s="1"/>
  <c r="F170" i="102"/>
  <c r="G595" i="1"/>
  <c r="AU599" i="1"/>
  <c r="AL298" i="100"/>
  <c r="C97" i="102"/>
  <c r="AL288" i="100"/>
  <c r="CQ603" i="1"/>
  <c r="AF13" i="104"/>
  <c r="AI13" i="104" s="1"/>
  <c r="AH13" i="104"/>
  <c r="AF14" i="104"/>
  <c r="AI14" i="104" s="1"/>
  <c r="EN287" i="100"/>
  <c r="AQ7" i="100"/>
  <c r="AQ49" i="100" s="1"/>
  <c r="AF30" i="100"/>
  <c r="V30" i="100"/>
  <c r="R30" i="100"/>
  <c r="AH31" i="100"/>
  <c r="AA33" i="102" s="1"/>
  <c r="AF31" i="100"/>
  <c r="X31" i="100"/>
  <c r="BE505" i="75"/>
  <c r="BE537" i="75"/>
  <c r="BE543" i="75"/>
  <c r="BE499" i="75"/>
  <c r="BF499" i="75" s="1"/>
  <c r="BE549" i="75"/>
  <c r="BE502" i="75"/>
  <c r="BE534" i="75"/>
  <c r="BC764" i="75"/>
  <c r="BC769" i="75"/>
  <c r="BC791" i="75"/>
  <c r="BC763" i="75"/>
  <c r="BC785" i="75"/>
  <c r="BC762" i="75"/>
  <c r="BC794" i="75"/>
  <c r="BC772" i="75"/>
  <c r="BC758" i="75"/>
  <c r="BC782" i="75"/>
  <c r="BC761" i="75"/>
  <c r="BC742" i="75"/>
  <c r="BC746" i="75"/>
  <c r="BC749" i="75"/>
  <c r="BC770" i="75"/>
  <c r="BC756" i="75"/>
  <c r="BC755" i="75"/>
  <c r="BC789" i="75"/>
  <c r="BC753" i="75"/>
  <c r="BC783" i="75"/>
  <c r="BC780" i="75"/>
  <c r="BC748" i="75"/>
  <c r="BC759" i="75"/>
  <c r="BC740" i="75"/>
  <c r="BC779" i="75"/>
  <c r="BC792" i="75"/>
  <c r="BC788" i="75"/>
  <c r="BC757" i="75"/>
  <c r="BC787" i="75"/>
  <c r="BC775" i="75"/>
  <c r="BC774" i="75"/>
  <c r="BC760" i="75"/>
  <c r="BC786" i="75"/>
  <c r="BC771" i="75"/>
  <c r="BC793" i="75"/>
  <c r="BC752" i="75"/>
  <c r="BC754" i="75"/>
  <c r="BC767" i="75"/>
  <c r="BC777" i="75"/>
  <c r="BE539" i="75"/>
  <c r="BE523" i="75"/>
  <c r="BE538" i="75"/>
  <c r="BE513" i="75"/>
  <c r="BE508" i="75"/>
  <c r="BE530" i="75"/>
  <c r="BE518" i="75"/>
  <c r="BE546" i="75"/>
  <c r="BE547" i="75"/>
  <c r="BE512" i="75"/>
  <c r="BE514" i="75"/>
  <c r="BE521" i="75"/>
  <c r="BE525" i="75"/>
  <c r="BE552" i="75"/>
  <c r="BE522" i="75"/>
  <c r="BE544" i="75"/>
  <c r="BE520" i="75"/>
  <c r="BE510" i="75"/>
  <c r="BE550" i="75"/>
  <c r="BG603" i="75"/>
  <c r="BG613" i="75"/>
  <c r="BG594" i="75"/>
  <c r="BG605" i="75"/>
  <c r="BG604" i="75"/>
  <c r="BG609" i="75"/>
  <c r="BG576" i="75"/>
  <c r="BG584" i="75"/>
  <c r="BG564" i="75"/>
  <c r="BG572" i="75"/>
  <c r="BG574" i="75"/>
  <c r="BG566" i="75"/>
  <c r="BG586" i="75"/>
  <c r="BG563" i="75"/>
  <c r="BH563" i="75" s="1"/>
  <c r="BG601" i="75"/>
  <c r="BE533" i="75"/>
  <c r="BE507" i="75"/>
  <c r="BQ878" i="75"/>
  <c r="BQ914" i="75"/>
  <c r="BQ907" i="75"/>
  <c r="BQ896" i="75"/>
  <c r="BQ903" i="75"/>
  <c r="BQ913" i="75"/>
  <c r="BQ906" i="75"/>
  <c r="BQ877" i="75"/>
  <c r="BQ874" i="75"/>
  <c r="BQ911" i="75"/>
  <c r="BQ912" i="75"/>
  <c r="BQ895" i="75"/>
  <c r="BQ884" i="75"/>
  <c r="BQ879" i="75"/>
  <c r="BQ898" i="75"/>
  <c r="BQ890" i="75"/>
  <c r="BQ899" i="75"/>
  <c r="BQ904" i="75"/>
  <c r="BQ910" i="75"/>
  <c r="BU236" i="75"/>
  <c r="BU244" i="75"/>
  <c r="BU221" i="75"/>
  <c r="CK838" i="75"/>
  <c r="CK850" i="75"/>
  <c r="CK833" i="75"/>
  <c r="CL833" i="75" s="1"/>
  <c r="CK853" i="75"/>
  <c r="CK847" i="75"/>
  <c r="CK845" i="75"/>
  <c r="CK839" i="75"/>
  <c r="CK841" i="75"/>
  <c r="CI853" i="75"/>
  <c r="BE847" i="75"/>
  <c r="BE810" i="75"/>
  <c r="BE851" i="75"/>
  <c r="BE819" i="75"/>
  <c r="BE850" i="75"/>
  <c r="BE837" i="75"/>
  <c r="BE832" i="75"/>
  <c r="F49" i="116"/>
  <c r="E49" i="116"/>
  <c r="CG711" i="75"/>
  <c r="CG722" i="75"/>
  <c r="CG718" i="75"/>
  <c r="CG721" i="75"/>
  <c r="CG730" i="75"/>
  <c r="BC397" i="75"/>
  <c r="BC414" i="75"/>
  <c r="BC383" i="75"/>
  <c r="BC411" i="75"/>
  <c r="BC418" i="75"/>
  <c r="BC406" i="75"/>
  <c r="BC403" i="75"/>
  <c r="BC431" i="75"/>
  <c r="BC413" i="75"/>
  <c r="BC409" i="75"/>
  <c r="BC381" i="75"/>
  <c r="BC422" i="75"/>
  <c r="BC385" i="75"/>
  <c r="BC394" i="75"/>
  <c r="BC423" i="75"/>
  <c r="BC380" i="75"/>
  <c r="BO1065" i="75"/>
  <c r="BO1066" i="75"/>
  <c r="BO1084" i="75"/>
  <c r="BO1070" i="75"/>
  <c r="BO1091" i="75"/>
  <c r="BI718" i="75"/>
  <c r="BI704" i="75"/>
  <c r="BI697" i="75"/>
  <c r="BI686" i="75"/>
  <c r="BI730" i="75"/>
  <c r="BO1086" i="75"/>
  <c r="BQ696" i="75"/>
  <c r="BQ722" i="75"/>
  <c r="CO720" i="75"/>
  <c r="BS1123" i="75"/>
  <c r="BS1136" i="75"/>
  <c r="BQ734" i="75"/>
  <c r="BS1147" i="75"/>
  <c r="CM426" i="75"/>
  <c r="H78" i="115"/>
  <c r="J78" i="115"/>
  <c r="E159" i="114"/>
  <c r="BG321" i="75"/>
  <c r="BH321" i="75" s="1"/>
  <c r="E148" i="116"/>
  <c r="F148" i="116"/>
  <c r="J68" i="114"/>
  <c r="H68" i="114"/>
  <c r="BC280" i="75"/>
  <c r="BE356" i="75"/>
  <c r="BW372" i="75"/>
  <c r="CM658" i="75"/>
  <c r="E98" i="115"/>
  <c r="BG372" i="75"/>
  <c r="BG341" i="75"/>
  <c r="BS308" i="75"/>
  <c r="BS282" i="75"/>
  <c r="BS296" i="75"/>
  <c r="BS309" i="75"/>
  <c r="BS292" i="75"/>
  <c r="BS289" i="75"/>
  <c r="BS297" i="75"/>
  <c r="BS277" i="75"/>
  <c r="BS305" i="75"/>
  <c r="BS281" i="75"/>
  <c r="BS275" i="75"/>
  <c r="BC281" i="75"/>
  <c r="BC272" i="75"/>
  <c r="BC259" i="75"/>
  <c r="BC278" i="75"/>
  <c r="BC274" i="75"/>
  <c r="BC257" i="75"/>
  <c r="BD257" i="75" s="1"/>
  <c r="BC296" i="75"/>
  <c r="BC282" i="75"/>
  <c r="BC288" i="75"/>
  <c r="BC267" i="75"/>
  <c r="BC308" i="75"/>
  <c r="BC311" i="75"/>
  <c r="BC285" i="75"/>
  <c r="BC277" i="75"/>
  <c r="BC302" i="75"/>
  <c r="BC283" i="75"/>
  <c r="BC286" i="75"/>
  <c r="BC305" i="75"/>
  <c r="DC311" i="75"/>
  <c r="DC310" i="75"/>
  <c r="DC309" i="75"/>
  <c r="DD309" i="75" s="1"/>
  <c r="DC312" i="75"/>
  <c r="F201" i="115"/>
  <c r="CO369" i="75"/>
  <c r="CO356" i="75"/>
  <c r="CM666" i="75"/>
  <c r="CM668" i="75"/>
  <c r="CM663" i="75"/>
  <c r="CM670" i="75"/>
  <c r="CM674" i="75"/>
  <c r="J211" i="115"/>
  <c r="CM423" i="75"/>
  <c r="CM428" i="75"/>
  <c r="CM415" i="75"/>
  <c r="CM420" i="75"/>
  <c r="CM425" i="75"/>
  <c r="BW343" i="75"/>
  <c r="BW342" i="75"/>
  <c r="BE322" i="75"/>
  <c r="BE357" i="75"/>
  <c r="BE349" i="75"/>
  <c r="W26" i="113"/>
  <c r="H38" i="112"/>
  <c r="BC271" i="75"/>
  <c r="CM414" i="75"/>
  <c r="CO365" i="75"/>
  <c r="BC295" i="75"/>
  <c r="E109" i="112"/>
  <c r="F109" i="112"/>
  <c r="CM431" i="75"/>
  <c r="BC290" i="75"/>
  <c r="BM934" i="75"/>
  <c r="BM949" i="75"/>
  <c r="BM974" i="75"/>
  <c r="BM960" i="75"/>
  <c r="BM959" i="75"/>
  <c r="BM935" i="75"/>
  <c r="BM938" i="75"/>
  <c r="BM955" i="75"/>
  <c r="BM943" i="75"/>
  <c r="DA251" i="75"/>
  <c r="CA431" i="75"/>
  <c r="BY282" i="75"/>
  <c r="N130" i="113"/>
  <c r="DA250" i="75"/>
  <c r="CA418" i="75"/>
  <c r="BY305" i="75"/>
  <c r="F38" i="114"/>
  <c r="E129" i="115"/>
  <c r="F129" i="115"/>
  <c r="DC551" i="75"/>
  <c r="DC549" i="75"/>
  <c r="DD549" i="75" s="1"/>
  <c r="F68" i="114"/>
  <c r="E181" i="114"/>
  <c r="H136" i="115"/>
  <c r="CW303" i="75" a="1"/>
  <c r="CA425" i="75"/>
  <c r="BY287" i="75"/>
  <c r="E121" i="115"/>
  <c r="BY290" i="75"/>
  <c r="E138" i="112"/>
  <c r="F136" i="115"/>
  <c r="E109" i="114"/>
  <c r="F109" i="114"/>
  <c r="J172" i="116"/>
  <c r="E128" i="114"/>
  <c r="BY303" i="75"/>
  <c r="E158" i="112"/>
  <c r="F158" i="112"/>
  <c r="BY281" i="75"/>
  <c r="BY283" i="75"/>
  <c r="BY296" i="75"/>
  <c r="F178" i="116"/>
  <c r="E178" i="116"/>
  <c r="E87" i="115"/>
  <c r="F87" i="115"/>
  <c r="DC1275" i="75"/>
  <c r="J219" i="115"/>
  <c r="E147" i="115"/>
  <c r="F147" i="115"/>
  <c r="F138" i="116"/>
  <c r="F216" i="115"/>
  <c r="E216" i="115"/>
  <c r="F53" i="116"/>
  <c r="E53" i="116"/>
  <c r="F92" i="114"/>
  <c r="E181" i="112"/>
  <c r="J181" i="112" s="1"/>
  <c r="E48" i="114"/>
  <c r="F165" i="116"/>
  <c r="E165" i="116"/>
  <c r="J199" i="114"/>
  <c r="F62" i="116"/>
  <c r="E62" i="116"/>
  <c r="F156" i="116"/>
  <c r="E156" i="116"/>
  <c r="F76" i="114"/>
  <c r="E76" i="114"/>
  <c r="BV989" i="75"/>
  <c r="BX989" i="75"/>
  <c r="BT1101" i="75"/>
  <c r="BR1101" i="75"/>
  <c r="CD1103" i="75"/>
  <c r="CF1103" i="75"/>
  <c r="CB1107" i="75"/>
  <c r="BZ1107" i="75"/>
  <c r="CX1109" i="75"/>
  <c r="CV1109" i="75"/>
  <c r="CJ1121" i="75"/>
  <c r="CH1121" i="75"/>
  <c r="E222" i="116"/>
  <c r="CZ421" i="75"/>
  <c r="CZ422" i="75"/>
  <c r="DB421" i="75"/>
  <c r="CZ449" i="75"/>
  <c r="DB449" i="75"/>
  <c r="CZ619" i="75"/>
  <c r="DB619" i="75"/>
  <c r="CJ627" i="75"/>
  <c r="CH627" i="75"/>
  <c r="BX629" i="75"/>
  <c r="BV629" i="75"/>
  <c r="DF1082" i="75"/>
  <c r="DF1081" i="75"/>
  <c r="F221" i="116"/>
  <c r="E111" i="112"/>
  <c r="F111" i="112"/>
  <c r="F59" i="115"/>
  <c r="E167" i="112"/>
  <c r="H193" i="116"/>
  <c r="H55" i="116"/>
  <c r="DB1036" i="75"/>
  <c r="DB1034" i="75"/>
  <c r="DB1035" i="75"/>
  <c r="F132" i="116"/>
  <c r="J25" i="115"/>
  <c r="F39" i="116"/>
  <c r="H22" i="115"/>
  <c r="E64" i="115"/>
  <c r="F36" i="116"/>
  <c r="E35" i="116"/>
  <c r="F101" i="115"/>
  <c r="F158" i="115"/>
  <c r="E158" i="115"/>
  <c r="E147" i="114"/>
  <c r="F147" i="114"/>
  <c r="BK467" i="75"/>
  <c r="BK473" i="75"/>
  <c r="H49" i="114"/>
  <c r="F204" i="115"/>
  <c r="F211" i="116"/>
  <c r="F126" i="116"/>
  <c r="E126" i="116"/>
  <c r="J126" i="116" s="1"/>
  <c r="F63" i="115"/>
  <c r="F156" i="115"/>
  <c r="F72" i="116"/>
  <c r="E183" i="115"/>
  <c r="F183" i="115"/>
  <c r="BW604" i="75"/>
  <c r="F116" i="114"/>
  <c r="F168" i="112"/>
  <c r="F125" i="116"/>
  <c r="E125" i="116"/>
  <c r="F62" i="114"/>
  <c r="J175" i="116"/>
  <c r="E174" i="114"/>
  <c r="CK294" i="75"/>
  <c r="CK307" i="75"/>
  <c r="CK293" i="75"/>
  <c r="CK309" i="75"/>
  <c r="CK312" i="75"/>
  <c r="F91" i="116"/>
  <c r="E172" i="115"/>
  <c r="BQ602" i="75"/>
  <c r="BQ612" i="75"/>
  <c r="BQ596" i="75"/>
  <c r="BQ580" i="75"/>
  <c r="BQ611" i="75"/>
  <c r="BQ587" i="75"/>
  <c r="BQ605" i="75"/>
  <c r="BQ589" i="75"/>
  <c r="BQ591" i="75"/>
  <c r="BQ575" i="75"/>
  <c r="BQ601" i="75"/>
  <c r="BQ598" i="75"/>
  <c r="E168" i="115"/>
  <c r="CA282" i="75"/>
  <c r="CW792" i="75"/>
  <c r="BG1265" i="75"/>
  <c r="BC826" i="75"/>
  <c r="CA297" i="75"/>
  <c r="CA295" i="75"/>
  <c r="CW787" i="75"/>
  <c r="E168" i="114"/>
  <c r="BW224" i="75"/>
  <c r="CA300" i="75"/>
  <c r="CA285" i="75"/>
  <c r="CG794" i="75"/>
  <c r="BG1225" i="75"/>
  <c r="BH1225" i="75" s="1"/>
  <c r="BC1211" i="75"/>
  <c r="BW245" i="75"/>
  <c r="BW233" i="75"/>
  <c r="CM312" i="75"/>
  <c r="CA299" i="75"/>
  <c r="CA286" i="75"/>
  <c r="CW785" i="75"/>
  <c r="CX785" i="75" s="1"/>
  <c r="CG784" i="75"/>
  <c r="E82" i="116"/>
  <c r="BW249" i="75"/>
  <c r="BW227" i="75"/>
  <c r="CA301" i="75"/>
  <c r="CA287" i="75"/>
  <c r="E217" i="116"/>
  <c r="BC836" i="75"/>
  <c r="CA304" i="75"/>
  <c r="CA289" i="75"/>
  <c r="BW1272" i="75"/>
  <c r="BW235" i="75"/>
  <c r="CA302" i="75"/>
  <c r="CA292" i="75"/>
  <c r="BU486" i="75"/>
  <c r="CG775" i="75"/>
  <c r="F144" i="114"/>
  <c r="BG1274" i="75"/>
  <c r="BW241" i="75"/>
  <c r="CW788" i="75"/>
  <c r="BG1263" i="75"/>
  <c r="BE1103" i="75" a="1"/>
  <c r="BS1251" i="75"/>
  <c r="DF611" i="75"/>
  <c r="DD612" i="75" s="1" a="1"/>
  <c r="CV983" i="75"/>
  <c r="CT983" i="75"/>
  <c r="BV985" i="75"/>
  <c r="BX985" i="75"/>
  <c r="CR1077" i="75"/>
  <c r="CP1077" i="75"/>
  <c r="BQ1150" i="75"/>
  <c r="CP221" i="75"/>
  <c r="CP591" i="75"/>
  <c r="CN591" i="75"/>
  <c r="CP217" i="75"/>
  <c r="CN217" i="75"/>
  <c r="CV395" i="75"/>
  <c r="CV299" i="75"/>
  <c r="CV300" i="75"/>
  <c r="CU301" i="75" s="1" a="1"/>
  <c r="CV238" i="75"/>
  <c r="CX237" i="75"/>
  <c r="BL261" i="75"/>
  <c r="BJ261" i="75"/>
  <c r="BV205" i="75"/>
  <c r="BT205" i="75"/>
  <c r="BZ269" i="75"/>
  <c r="CX327" i="75"/>
  <c r="CV327" i="75"/>
  <c r="CB515" i="75"/>
  <c r="BS213" i="75" a="1"/>
  <c r="CB577" i="75"/>
  <c r="BZ577" i="75"/>
  <c r="CV687" i="75"/>
  <c r="DD815" i="75"/>
  <c r="BK867" i="75" a="1"/>
  <c r="BZ871" i="75"/>
  <c r="BY219" i="75" a="1"/>
  <c r="CX297" i="75"/>
  <c r="CG347" i="75" a="1"/>
  <c r="BN505" i="75"/>
  <c r="BV379" i="75"/>
  <c r="CH215" i="75"/>
  <c r="BL257" i="75"/>
  <c r="DD281" i="75"/>
  <c r="CX467" i="75"/>
  <c r="CV467" i="75"/>
  <c r="DF727" i="75"/>
  <c r="DD728" i="75"/>
  <c r="DA729" i="75" s="1" a="1"/>
  <c r="CJ341" i="75"/>
  <c r="CJ457" i="75"/>
  <c r="CL457" i="75"/>
  <c r="CN471" i="75"/>
  <c r="CZ538" i="75"/>
  <c r="DB537" i="75"/>
  <c r="BK325" i="75" a="1"/>
  <c r="CB511" i="75"/>
  <c r="CD511" i="75"/>
  <c r="CA341" i="75" a="1"/>
  <c r="DD660" i="75"/>
  <c r="CS661" i="75" s="1" a="1"/>
  <c r="BE681" i="75" a="1"/>
  <c r="BC317" i="75" a="1"/>
  <c r="BJ437" i="75"/>
  <c r="BL437" i="75"/>
  <c r="CX443" i="75"/>
  <c r="CZ337" i="75"/>
  <c r="BJ197" i="75"/>
  <c r="CP197" i="75"/>
  <c r="CB453" i="75"/>
  <c r="CN229" i="75"/>
  <c r="BX259" i="75"/>
  <c r="DF653" i="75"/>
  <c r="CZ658" i="75"/>
  <c r="BN807" i="75"/>
  <c r="CF585" i="75"/>
  <c r="CT297" i="75"/>
  <c r="CT298" i="75"/>
  <c r="DD483" i="75"/>
  <c r="DB484" i="75"/>
  <c r="BI565" i="75" a="1"/>
  <c r="CT1262" i="75"/>
  <c r="CV1261" i="75"/>
  <c r="AQ591" i="1"/>
  <c r="CZ227" i="75"/>
  <c r="CV237" i="75"/>
  <c r="CJ261" i="75"/>
  <c r="BQ271" i="75" a="1"/>
  <c r="BM327" i="75" a="1"/>
  <c r="BE621" i="75" a="1"/>
  <c r="BC859" i="75" a="1"/>
  <c r="BU877" i="75" a="1"/>
  <c r="CG889" i="75" a="1"/>
  <c r="BU817" i="75" a="1"/>
  <c r="CB203" i="75"/>
  <c r="BZ257" i="75"/>
  <c r="DF407" i="75"/>
  <c r="CR413" i="75"/>
  <c r="DF422" i="75"/>
  <c r="CC523" i="75" a="1"/>
  <c r="BI805" i="75" a="1"/>
  <c r="BX455" i="75"/>
  <c r="BW397" i="75" a="1"/>
  <c r="CZ479" i="75"/>
  <c r="CT480" i="75" s="1" a="1"/>
  <c r="CZ480" i="75"/>
  <c r="CU481" i="75" s="1" a="1"/>
  <c r="BM689" i="75" a="1"/>
  <c r="BM869" i="75" a="1"/>
  <c r="DD605" i="75"/>
  <c r="CN405" i="75"/>
  <c r="CV441" i="75"/>
  <c r="CV571" i="75"/>
  <c r="BU637" i="75" a="1"/>
  <c r="DB801" i="75"/>
  <c r="BY943" i="75" a="1"/>
  <c r="DB723" i="75"/>
  <c r="CT205" i="75"/>
  <c r="CF215" i="75"/>
  <c r="CV321" i="75"/>
  <c r="CX411" i="75"/>
  <c r="CV415" i="75"/>
  <c r="DB453" i="75"/>
  <c r="BM507" i="75" a="1"/>
  <c r="DF753" i="75"/>
  <c r="CR898" i="75"/>
  <c r="CJ213" i="75"/>
  <c r="BX275" i="75"/>
  <c r="CN281" i="75"/>
  <c r="DB283" i="75"/>
  <c r="DD297" i="75"/>
  <c r="DF387" i="75"/>
  <c r="CF505" i="75"/>
  <c r="DB598" i="75"/>
  <c r="BE923" i="75" a="1"/>
  <c r="BK989" i="75" a="1"/>
  <c r="DF423" i="75"/>
  <c r="DD424" i="75"/>
  <c r="CY425" i="75" s="1" a="1"/>
  <c r="CE465" i="75" a="1"/>
  <c r="CT535" i="75"/>
  <c r="CT536" i="75"/>
  <c r="BO571" i="75" a="1"/>
  <c r="CG649" i="75" a="1"/>
  <c r="DF243" i="75"/>
  <c r="CX244" i="75" s="1" a="1"/>
  <c r="DB355" i="75"/>
  <c r="CZ356" i="75"/>
  <c r="CQ357" i="75" s="1" a="1"/>
  <c r="DD413" i="75"/>
  <c r="CJ437" i="75"/>
  <c r="CM473" i="75" a="1"/>
  <c r="CX482" i="75"/>
  <c r="CJ501" i="75"/>
  <c r="BE561" i="75" a="1"/>
  <c r="CN567" i="75"/>
  <c r="BG803" i="75" a="1"/>
  <c r="BG1165" i="75" a="1"/>
  <c r="DB199" i="75"/>
  <c r="CZ199" i="75"/>
  <c r="BP205" i="75"/>
  <c r="CH279" i="75"/>
  <c r="CK351" i="75" a="1"/>
  <c r="CN393" i="75"/>
  <c r="CL393" i="75"/>
  <c r="CO475" i="75" a="1"/>
  <c r="BC559" i="75" a="1"/>
  <c r="BK567" i="75" a="1"/>
  <c r="BO691" i="75" a="1"/>
  <c r="BV937" i="75"/>
  <c r="CE285" i="75" a="1"/>
  <c r="CA521" i="75" a="1"/>
  <c r="BO811" i="75" a="1"/>
  <c r="DB848" i="75"/>
  <c r="DB847" i="75"/>
  <c r="DD847" i="75"/>
  <c r="CX873" i="75"/>
  <c r="CV873" i="75"/>
  <c r="CT219" i="75"/>
  <c r="CJ227" i="75"/>
  <c r="CF275" i="75"/>
  <c r="CV291" i="75"/>
  <c r="BT389" i="75"/>
  <c r="BK505" i="75" a="1"/>
  <c r="CT567" i="75"/>
  <c r="CK713" i="75" a="1"/>
  <c r="BM749" i="75" a="1"/>
  <c r="BG863" i="75" a="1"/>
  <c r="CN207" i="75"/>
  <c r="CL207" i="75"/>
  <c r="CT265" i="75"/>
  <c r="CJ275" i="75"/>
  <c r="CZ331" i="75"/>
  <c r="DF365" i="75"/>
  <c r="CZ366" i="75" s="1" a="1"/>
  <c r="DF401" i="75"/>
  <c r="DF544" i="75"/>
  <c r="CY545" i="75" s="1" a="1"/>
  <c r="DF543" i="75"/>
  <c r="CZ563" i="75"/>
  <c r="CM715" i="75" a="1"/>
  <c r="DF783" i="75"/>
  <c r="DF842" i="75"/>
  <c r="DF841" i="75"/>
  <c r="DB535" i="75"/>
  <c r="CT217" i="75"/>
  <c r="CR271" i="75"/>
  <c r="CL349" i="75"/>
  <c r="CM353" i="75" a="1"/>
  <c r="CT357" i="75"/>
  <c r="CJ387" i="75"/>
  <c r="DF629" i="75"/>
  <c r="CR709" i="75"/>
  <c r="CV759" i="75"/>
  <c r="BY821" i="75" a="1"/>
  <c r="CV842" i="75"/>
  <c r="DB897" i="75"/>
  <c r="CV1163" i="75"/>
  <c r="CZ1243" i="75"/>
  <c r="D101" i="112"/>
  <c r="CL563" i="75"/>
  <c r="CZ887" i="75"/>
  <c r="DB898" i="75"/>
  <c r="CN1063" i="75"/>
  <c r="BI1167" i="75" a="1"/>
  <c r="CI1253" i="75" a="1"/>
  <c r="D58" i="115"/>
  <c r="C100" i="102"/>
  <c r="A177" i="100"/>
  <c r="A100" i="102" s="1"/>
  <c r="CV577" i="75"/>
  <c r="CX703" i="75"/>
  <c r="CZ711" i="75"/>
  <c r="D149" i="112"/>
  <c r="I192" i="115"/>
  <c r="CL871" i="75"/>
  <c r="BE983" i="75" a="1"/>
  <c r="BQ995" i="75" a="1"/>
  <c r="BI1047" i="75" a="1"/>
  <c r="T315" i="100"/>
  <c r="S159" i="102"/>
  <c r="C129" i="102"/>
  <c r="A206" i="100"/>
  <c r="A129" i="102" s="1"/>
  <c r="DD955" i="75"/>
  <c r="CN1109" i="75"/>
  <c r="CV1223" i="75"/>
  <c r="DB1263" i="75"/>
  <c r="CT1264" i="75" s="1" a="1"/>
  <c r="CK955" i="75" a="1"/>
  <c r="BY1183" i="75" a="1"/>
  <c r="B102" i="102"/>
  <c r="AL179" i="100"/>
  <c r="G597" i="1"/>
  <c r="AU597" i="1"/>
  <c r="G151" i="116"/>
  <c r="H151" i="116" s="1"/>
  <c r="F165" i="102"/>
  <c r="H165" i="102"/>
  <c r="T313" i="100"/>
  <c r="S157" i="102"/>
  <c r="E339" i="100"/>
  <c r="EM338" i="100" s="1"/>
  <c r="A288" i="100"/>
  <c r="A132" i="102" s="1"/>
  <c r="DF1033" i="75"/>
  <c r="DD1034" i="75" s="1" a="1"/>
  <c r="Y114" i="102"/>
  <c r="AF191" i="100"/>
  <c r="B104" i="102"/>
  <c r="AL181" i="100"/>
  <c r="V311" i="100"/>
  <c r="T155" i="102"/>
  <c r="DF1021" i="75"/>
  <c r="B3" i="92"/>
  <c r="E4" i="92"/>
  <c r="X160" i="100"/>
  <c r="U83" i="102"/>
  <c r="CZ416" i="75"/>
  <c r="CV893" i="75"/>
  <c r="CD937" i="75"/>
  <c r="D99" i="115"/>
  <c r="C171" i="102"/>
  <c r="A327" i="100"/>
  <c r="A171" i="102" s="1"/>
  <c r="D29" i="112"/>
  <c r="BY1063" i="75" a="1"/>
  <c r="CJ865" i="75"/>
  <c r="CH929" i="75"/>
  <c r="CZ962" i="75"/>
  <c r="J39" i="115"/>
  <c r="AL290" i="100"/>
  <c r="H162" i="102"/>
  <c r="AB200" i="100"/>
  <c r="W123" i="102"/>
  <c r="A170" i="100"/>
  <c r="A93" i="102" s="1"/>
  <c r="AB28" i="100"/>
  <c r="V28" i="100"/>
  <c r="AB31" i="100"/>
  <c r="AJ188" i="100"/>
  <c r="AJ27" i="100"/>
  <c r="AH27" i="100"/>
  <c r="AA29" i="102" s="1"/>
  <c r="E209" i="100"/>
  <c r="AJ173" i="100"/>
  <c r="AJ191" i="100"/>
  <c r="AD183" i="100"/>
  <c r="W115" i="102"/>
  <c r="AB192" i="100"/>
  <c r="F132" i="102"/>
  <c r="F166" i="102"/>
  <c r="AB160" i="100"/>
  <c r="AJ297" i="100"/>
  <c r="AB168" i="100"/>
  <c r="AJ304" i="100"/>
  <c r="Q167" i="102"/>
  <c r="B149" i="102"/>
  <c r="AB328" i="100"/>
  <c r="Z30" i="100"/>
  <c r="AJ183" i="100"/>
  <c r="Z296" i="100"/>
  <c r="V140" i="102"/>
  <c r="R145" i="102"/>
  <c r="AF337" i="100"/>
  <c r="Y181" i="102"/>
  <c r="AJ168" i="100"/>
  <c r="V10" i="100"/>
  <c r="AD39" i="100"/>
  <c r="V39" i="100"/>
  <c r="R39" i="100"/>
  <c r="Z10" i="100"/>
  <c r="R28" i="100"/>
  <c r="AF39" i="100"/>
  <c r="A194" i="100"/>
  <c r="A117" i="102" s="1"/>
  <c r="AF187" i="100"/>
  <c r="Y110" i="102"/>
  <c r="C168" i="102"/>
  <c r="AJ181" i="100"/>
  <c r="Z300" i="100"/>
  <c r="AB309" i="100"/>
  <c r="AJ39" i="100"/>
  <c r="U155" i="102"/>
  <c r="AL200" i="100"/>
  <c r="F127" i="102"/>
  <c r="AJ196" i="100"/>
  <c r="AB300" i="100"/>
  <c r="AJ335" i="100"/>
  <c r="AH10" i="100"/>
  <c r="AA12" i="102" s="1"/>
  <c r="X28" i="100"/>
  <c r="AB174" i="100"/>
  <c r="AB336" i="100"/>
  <c r="V20" i="100"/>
  <c r="V22" i="100"/>
  <c r="V25" i="100"/>
  <c r="W153" i="102"/>
  <c r="P13" i="100"/>
  <c r="Z37" i="100"/>
  <c r="CQ14" i="1"/>
  <c r="X36" i="100"/>
  <c r="Z21" i="100"/>
  <c r="AB24" i="100"/>
  <c r="AD19" i="100"/>
  <c r="X14" i="100"/>
  <c r="AB20" i="100"/>
  <c r="AB26" i="100"/>
  <c r="AD33" i="100"/>
  <c r="AH38" i="100"/>
  <c r="AF24" i="100"/>
  <c r="AD25" i="100"/>
  <c r="W164" i="102"/>
  <c r="AH36" i="100"/>
  <c r="AA38" i="102" s="1"/>
  <c r="AB14" i="100"/>
  <c r="AH18" i="100"/>
  <c r="AA20" i="102" s="1"/>
  <c r="AF21" i="100"/>
  <c r="AJ21" i="100"/>
  <c r="R24" i="100"/>
  <c r="P21" i="100"/>
  <c r="T24" i="100"/>
  <c r="P43" i="100"/>
  <c r="EW86" i="90"/>
  <c r="EX86" i="90" s="1"/>
  <c r="EW49" i="90"/>
  <c r="EX49" i="90" s="1"/>
  <c r="EL86" i="90"/>
  <c r="EM86" i="90" s="1"/>
  <c r="EL49" i="90"/>
  <c r="EM49" i="90" s="1"/>
  <c r="AG14" i="104"/>
  <c r="CQ8" i="1"/>
  <c r="CQ11" i="1"/>
  <c r="CQ605" i="1"/>
  <c r="DV86" i="125"/>
  <c r="I4" i="125"/>
  <c r="BT120" i="125"/>
  <c r="DV99" i="125"/>
  <c r="DT120" i="125"/>
  <c r="DV125" i="125"/>
  <c r="DS99" i="125"/>
  <c r="DS62" i="125"/>
  <c r="DV62" i="125"/>
  <c r="BT4" i="125"/>
  <c r="DV138" i="125"/>
  <c r="M138" i="125"/>
  <c r="DS138" i="125"/>
  <c r="I120" i="125"/>
  <c r="DT4" i="125"/>
  <c r="ER86" i="90"/>
  <c r="DV125" i="90"/>
  <c r="DV49" i="90"/>
  <c r="EE49" i="125"/>
  <c r="EY49" i="90"/>
  <c r="EN49" i="90"/>
  <c r="ER49" i="125"/>
  <c r="EN86" i="90"/>
  <c r="EE86" i="90"/>
  <c r="EY86" i="90"/>
  <c r="Q5" i="75"/>
  <c r="BU780" i="75" l="1"/>
  <c r="BG370" i="75"/>
  <c r="BE503" i="75"/>
  <c r="BE548" i="75"/>
  <c r="BS343" i="75"/>
  <c r="BS1182" i="75"/>
  <c r="BS351" i="75"/>
  <c r="BG365" i="75"/>
  <c r="BG340" i="75"/>
  <c r="BO631" i="75"/>
  <c r="BP631" i="75" s="1"/>
  <c r="BQ844" i="75"/>
  <c r="BQ816" i="75"/>
  <c r="BQ408" i="75"/>
  <c r="BO390" i="75"/>
  <c r="BC648" i="75"/>
  <c r="BO642" i="75"/>
  <c r="BU770" i="75"/>
  <c r="BK309" i="75"/>
  <c r="DD1096" i="75"/>
  <c r="BS352" i="75"/>
  <c r="BW1200" i="75"/>
  <c r="BC701" i="75"/>
  <c r="BQ345" i="75"/>
  <c r="BG754" i="75"/>
  <c r="CK491" i="75"/>
  <c r="BQ393" i="75"/>
  <c r="BO398" i="75"/>
  <c r="BU782" i="75"/>
  <c r="BS337" i="75"/>
  <c r="BE203" i="75"/>
  <c r="BE235" i="75"/>
  <c r="CO311" i="75"/>
  <c r="F49" i="114"/>
  <c r="BS345" i="75"/>
  <c r="BG331" i="75"/>
  <c r="BO640" i="75"/>
  <c r="BQ847" i="75"/>
  <c r="BQ414" i="75"/>
  <c r="BO413" i="75"/>
  <c r="BC636" i="75"/>
  <c r="BO672" i="75"/>
  <c r="BU773" i="75"/>
  <c r="BK283" i="75"/>
  <c r="CC232" i="75"/>
  <c r="CO298" i="75"/>
  <c r="BE238" i="75"/>
  <c r="F188" i="112"/>
  <c r="CA427" i="75"/>
  <c r="BE519" i="75"/>
  <c r="BS338" i="75"/>
  <c r="CA423" i="75"/>
  <c r="BG323" i="75"/>
  <c r="BS1122" i="75"/>
  <c r="BC417" i="75"/>
  <c r="BO647" i="75"/>
  <c r="DB491" i="75"/>
  <c r="BI281" i="75"/>
  <c r="BG773" i="75"/>
  <c r="CK487" i="75"/>
  <c r="BQ842" i="75"/>
  <c r="BQ827" i="75"/>
  <c r="CM1269" i="75"/>
  <c r="BY608" i="75"/>
  <c r="BI724" i="75"/>
  <c r="BC243" i="75"/>
  <c r="BO759" i="75"/>
  <c r="BO658" i="75"/>
  <c r="BS1156" i="75"/>
  <c r="BK312" i="75"/>
  <c r="BO906" i="75"/>
  <c r="CX846" i="75" a="1"/>
  <c r="BC309" i="75"/>
  <c r="BM1080" i="75"/>
  <c r="BC232" i="75"/>
  <c r="BQ342" i="75"/>
  <c r="BC734" i="75"/>
  <c r="F85" i="112"/>
  <c r="BK791" i="75"/>
  <c r="CA829" i="75"/>
  <c r="F121" i="114"/>
  <c r="CC469" i="75"/>
  <c r="H95" i="114"/>
  <c r="BE240" i="75"/>
  <c r="BE205" i="75"/>
  <c r="E118" i="116"/>
  <c r="J118" i="116" s="1"/>
  <c r="CC472" i="75"/>
  <c r="CZ306" i="75" a="1"/>
  <c r="BS357" i="75"/>
  <c r="BS336" i="75"/>
  <c r="BS359" i="75"/>
  <c r="BG364" i="75"/>
  <c r="BO663" i="75"/>
  <c r="BG743" i="75"/>
  <c r="BH743" i="75" s="1"/>
  <c r="BG789" i="75"/>
  <c r="BQ840" i="75"/>
  <c r="BQ853" i="75"/>
  <c r="BG786" i="75"/>
  <c r="CM1268" i="75"/>
  <c r="CA402" i="75"/>
  <c r="BC687" i="75"/>
  <c r="BK270" i="75"/>
  <c r="BS341" i="75"/>
  <c r="BS367" i="75"/>
  <c r="BY297" i="75"/>
  <c r="BI703" i="75"/>
  <c r="BC246" i="75"/>
  <c r="BM648" i="75"/>
  <c r="BC705" i="75"/>
  <c r="BE226" i="75"/>
  <c r="CO304" i="75"/>
  <c r="F135" i="116"/>
  <c r="BS340" i="75"/>
  <c r="BC931" i="75"/>
  <c r="BS361" i="75"/>
  <c r="E84" i="116"/>
  <c r="J84" i="116" s="1"/>
  <c r="BC229" i="75"/>
  <c r="BC731" i="75"/>
  <c r="BE224" i="75"/>
  <c r="BE243" i="75"/>
  <c r="CM300" i="75"/>
  <c r="BE239" i="75"/>
  <c r="BU217" i="75"/>
  <c r="BE511" i="75"/>
  <c r="BE541" i="75"/>
  <c r="BE545" i="75"/>
  <c r="BE509" i="75"/>
  <c r="BC959" i="75"/>
  <c r="BG322" i="75"/>
  <c r="BG339" i="75"/>
  <c r="BO660" i="75"/>
  <c r="BG770" i="75"/>
  <c r="BK667" i="75"/>
  <c r="BM596" i="75"/>
  <c r="BQ850" i="75"/>
  <c r="BI490" i="75"/>
  <c r="BC719" i="75"/>
  <c r="BU772" i="75"/>
  <c r="CO908" i="75"/>
  <c r="BC235" i="75"/>
  <c r="BE234" i="75"/>
  <c r="BC689" i="75"/>
  <c r="F153" i="112"/>
  <c r="BC706" i="75"/>
  <c r="CA824" i="75"/>
  <c r="BQ1244" i="75"/>
  <c r="BQ1274" i="75"/>
  <c r="BU530" i="75"/>
  <c r="CC1260" i="75"/>
  <c r="CZ1030" i="75" a="1"/>
  <c r="CZ1032" i="75" s="1"/>
  <c r="BU551" i="75"/>
  <c r="BI711" i="75"/>
  <c r="CT1024" i="75" a="1"/>
  <c r="BQ968" i="75"/>
  <c r="BO791" i="75"/>
  <c r="BQ944" i="75"/>
  <c r="BC378" i="75"/>
  <c r="BI731" i="75"/>
  <c r="BW970" i="75"/>
  <c r="BC634" i="75"/>
  <c r="BM660" i="75"/>
  <c r="BO669" i="75"/>
  <c r="BO784" i="75"/>
  <c r="BC393" i="75"/>
  <c r="BC432" i="75"/>
  <c r="BO776" i="75"/>
  <c r="F143" i="114"/>
  <c r="BC1216" i="75"/>
  <c r="BC398" i="75"/>
  <c r="BC404" i="75"/>
  <c r="BC388" i="75"/>
  <c r="BW1199" i="75"/>
  <c r="BC658" i="75"/>
  <c r="BU769" i="75"/>
  <c r="CX1028" i="75" a="1"/>
  <c r="CX1034" i="75" s="1"/>
  <c r="BQ711" i="75"/>
  <c r="BS821" i="75"/>
  <c r="CE246" i="75"/>
  <c r="BU226" i="75"/>
  <c r="CK548" i="75"/>
  <c r="BI708" i="75"/>
  <c r="BQ530" i="75"/>
  <c r="BU246" i="75"/>
  <c r="BI719" i="75"/>
  <c r="BC408" i="75"/>
  <c r="BQ549" i="75"/>
  <c r="BQ1275" i="75"/>
  <c r="H116" i="116"/>
  <c r="BQ1276" i="75"/>
  <c r="DA368" i="75"/>
  <c r="BG353" i="75"/>
  <c r="BI729" i="75"/>
  <c r="BE294" i="75"/>
  <c r="BI299" i="75"/>
  <c r="BK630" i="75"/>
  <c r="BQ828" i="75"/>
  <c r="BE305" i="75"/>
  <c r="BE290" i="75"/>
  <c r="CA1259" i="75"/>
  <c r="CO552" i="75"/>
  <c r="BQ421" i="75"/>
  <c r="BU425" i="75"/>
  <c r="BU701" i="75"/>
  <c r="BC390" i="75"/>
  <c r="BO752" i="75"/>
  <c r="BU771" i="75"/>
  <c r="E132" i="114"/>
  <c r="BC284" i="75"/>
  <c r="BG608" i="75"/>
  <c r="CE597" i="75"/>
  <c r="BQ1243" i="75"/>
  <c r="BQ1250" i="75"/>
  <c r="BC382" i="75"/>
  <c r="CC896" i="75"/>
  <c r="BC401" i="75"/>
  <c r="BW541" i="75"/>
  <c r="BG367" i="75"/>
  <c r="BI709" i="75"/>
  <c r="BI266" i="75"/>
  <c r="BI304" i="75"/>
  <c r="BK652" i="75"/>
  <c r="BQ831" i="75"/>
  <c r="CA1251" i="75"/>
  <c r="BY584" i="75"/>
  <c r="BU550" i="75"/>
  <c r="BQ424" i="75"/>
  <c r="BU415" i="75"/>
  <c r="BC396" i="75"/>
  <c r="BO789" i="75"/>
  <c r="BC629" i="75"/>
  <c r="BU775" i="75"/>
  <c r="BO877" i="75"/>
  <c r="E123" i="112"/>
  <c r="J123" i="112" s="1"/>
  <c r="BK793" i="75"/>
  <c r="BQ1240" i="75"/>
  <c r="E98" i="112"/>
  <c r="BQ1273" i="75"/>
  <c r="E169" i="112"/>
  <c r="BW543" i="75"/>
  <c r="BU516" i="75"/>
  <c r="BQ419" i="75"/>
  <c r="BC405" i="75"/>
  <c r="BO756" i="75"/>
  <c r="DD1094" i="75"/>
  <c r="CC1248" i="75"/>
  <c r="BC223" i="75"/>
  <c r="BS818" i="75"/>
  <c r="BQ1242" i="75"/>
  <c r="J25" i="125"/>
  <c r="DR25" i="125" s="1"/>
  <c r="J188" i="112"/>
  <c r="H188" i="112"/>
  <c r="E72" i="114"/>
  <c r="H72" i="114" s="1"/>
  <c r="E86" i="114"/>
  <c r="F54" i="112"/>
  <c r="BM289" i="75"/>
  <c r="CK546" i="75"/>
  <c r="BY581" i="75"/>
  <c r="BZ581" i="75" s="1"/>
  <c r="BU718" i="75"/>
  <c r="BU524" i="75"/>
  <c r="BQ599" i="75"/>
  <c r="CK542" i="75"/>
  <c r="BY588" i="75"/>
  <c r="CA405" i="75"/>
  <c r="BU731" i="75"/>
  <c r="H201" i="114"/>
  <c r="AP11" i="113"/>
  <c r="BG599" i="75"/>
  <c r="CK539" i="75"/>
  <c r="BY589" i="75"/>
  <c r="CA419" i="75"/>
  <c r="BY403" i="75"/>
  <c r="BG261" i="75"/>
  <c r="BH261" i="75" s="1"/>
  <c r="BW1208" i="75"/>
  <c r="BM246" i="75"/>
  <c r="BU482" i="75"/>
  <c r="BQ603" i="75"/>
  <c r="BC312" i="75"/>
  <c r="BC268" i="75"/>
  <c r="BG602" i="75"/>
  <c r="CK547" i="75"/>
  <c r="BS719" i="75"/>
  <c r="BK640" i="75"/>
  <c r="BE300" i="75"/>
  <c r="BY606" i="75"/>
  <c r="BU539" i="75"/>
  <c r="CA416" i="75"/>
  <c r="BC623" i="75"/>
  <c r="BY430" i="75"/>
  <c r="BG277" i="75"/>
  <c r="BO903" i="75"/>
  <c r="BI632" i="75"/>
  <c r="BW1210" i="75"/>
  <c r="DA1154" i="75"/>
  <c r="CG732" i="75"/>
  <c r="BM214" i="75"/>
  <c r="CQ1081" i="75" a="1"/>
  <c r="H65" i="115"/>
  <c r="CK531" i="75"/>
  <c r="CL531" i="75" s="1"/>
  <c r="BY605" i="75"/>
  <c r="CA430" i="75"/>
  <c r="CD1128" i="75" a="1"/>
  <c r="BQ594" i="75"/>
  <c r="CK543" i="75"/>
  <c r="CA407" i="75"/>
  <c r="BK632" i="75"/>
  <c r="BY601" i="75"/>
  <c r="BU552" i="75"/>
  <c r="CA422" i="75"/>
  <c r="BG312" i="75"/>
  <c r="BQ701" i="75"/>
  <c r="BQ607" i="75"/>
  <c r="BG612" i="75"/>
  <c r="BQ610" i="75"/>
  <c r="BK655" i="75"/>
  <c r="BC262" i="75"/>
  <c r="BW762" i="75"/>
  <c r="CA408" i="75"/>
  <c r="BG299" i="75"/>
  <c r="BK672" i="75"/>
  <c r="BO889" i="75"/>
  <c r="CW665" i="75" a="1"/>
  <c r="CW666" i="75" s="1"/>
  <c r="BW530" i="75"/>
  <c r="BY591" i="75"/>
  <c r="BW526" i="75"/>
  <c r="BY429" i="75"/>
  <c r="BK668" i="75"/>
  <c r="BW794" i="75"/>
  <c r="BW776" i="75"/>
  <c r="CE775" i="75"/>
  <c r="BO893" i="75"/>
  <c r="BY582" i="75"/>
  <c r="F185" i="115"/>
  <c r="F43" i="114"/>
  <c r="DB1213" i="75"/>
  <c r="F201" i="114"/>
  <c r="E186" i="114"/>
  <c r="J186" i="114" s="1"/>
  <c r="BW792" i="75"/>
  <c r="BQ586" i="75"/>
  <c r="H77" i="114"/>
  <c r="BC297" i="75"/>
  <c r="BQ889" i="75"/>
  <c r="BG592" i="75"/>
  <c r="BY592" i="75"/>
  <c r="CK532" i="75"/>
  <c r="BW521" i="75"/>
  <c r="DA249" i="75"/>
  <c r="BY417" i="75"/>
  <c r="CK490" i="75"/>
  <c r="BE260" i="75"/>
  <c r="BM607" i="75"/>
  <c r="BW781" i="75"/>
  <c r="CE772" i="75"/>
  <c r="CM1201" i="75"/>
  <c r="DD792" i="75"/>
  <c r="BO913" i="75"/>
  <c r="BC673" i="75"/>
  <c r="BI705" i="75"/>
  <c r="F207" i="116"/>
  <c r="BG606" i="75"/>
  <c r="BW522" i="75"/>
  <c r="BY427" i="75"/>
  <c r="BM608" i="75"/>
  <c r="BO887" i="75"/>
  <c r="BI663" i="75"/>
  <c r="E65" i="116"/>
  <c r="BC640" i="75"/>
  <c r="H192" i="114"/>
  <c r="F152" i="114"/>
  <c r="BW525" i="75"/>
  <c r="BG568" i="75"/>
  <c r="BC1200" i="75"/>
  <c r="BC275" i="75"/>
  <c r="BG598" i="75"/>
  <c r="BS550" i="75"/>
  <c r="CZ308" i="75"/>
  <c r="BY432" i="75"/>
  <c r="BO895" i="75"/>
  <c r="BI628" i="75"/>
  <c r="BC632" i="75"/>
  <c r="E71" i="112"/>
  <c r="J71" i="112" s="1"/>
  <c r="E164" i="115"/>
  <c r="BS1260" i="75"/>
  <c r="BG590" i="75"/>
  <c r="BG575" i="75"/>
  <c r="BO769" i="75"/>
  <c r="BI712" i="75"/>
  <c r="CJ1254" i="75" a="1"/>
  <c r="BW226" i="75"/>
  <c r="BI732" i="75"/>
  <c r="BC387" i="75"/>
  <c r="BC419" i="75"/>
  <c r="BK662" i="75"/>
  <c r="BI274" i="75"/>
  <c r="BY1148" i="75"/>
  <c r="BO774" i="75"/>
  <c r="BY423" i="75"/>
  <c r="BG270" i="75"/>
  <c r="BK635" i="75"/>
  <c r="BW221" i="75"/>
  <c r="BW243" i="75"/>
  <c r="CK297" i="75"/>
  <c r="BC379" i="75"/>
  <c r="BG595" i="75"/>
  <c r="BG611" i="75"/>
  <c r="BW246" i="75"/>
  <c r="CA306" i="75"/>
  <c r="CA294" i="75"/>
  <c r="BG368" i="75"/>
  <c r="BG330" i="75"/>
  <c r="BI734" i="75"/>
  <c r="BC416" i="75"/>
  <c r="BC425" i="75"/>
  <c r="BQ829" i="75"/>
  <c r="BK659" i="75"/>
  <c r="BI296" i="75"/>
  <c r="BK670" i="75"/>
  <c r="BK653" i="75"/>
  <c r="BI269" i="75"/>
  <c r="BQ814" i="75"/>
  <c r="BI285" i="75"/>
  <c r="BO223" i="75"/>
  <c r="BI720" i="75"/>
  <c r="BO771" i="75"/>
  <c r="BY420" i="75"/>
  <c r="BG287" i="75"/>
  <c r="BK627" i="75"/>
  <c r="BL627" i="75" s="1"/>
  <c r="CA1265" i="75"/>
  <c r="H21" i="114"/>
  <c r="BO792" i="75"/>
  <c r="BI713" i="75"/>
  <c r="BI689" i="75"/>
  <c r="CK310" i="75"/>
  <c r="BM225" i="75"/>
  <c r="F53" i="112"/>
  <c r="F117" i="114"/>
  <c r="BS1239" i="75"/>
  <c r="BS1252" i="75"/>
  <c r="BG600" i="75"/>
  <c r="BG596" i="75"/>
  <c r="CX424" i="75" a="1"/>
  <c r="BW250" i="75"/>
  <c r="H147" i="112"/>
  <c r="BG593" i="75"/>
  <c r="BG588" i="75"/>
  <c r="BW1255" i="75"/>
  <c r="BW219" i="75"/>
  <c r="CW791" i="75"/>
  <c r="CK304" i="75"/>
  <c r="BC420" i="75"/>
  <c r="BG578" i="75"/>
  <c r="BG610" i="75"/>
  <c r="CA281" i="75"/>
  <c r="CB281" i="75" s="1"/>
  <c r="BG332" i="75"/>
  <c r="BG360" i="75"/>
  <c r="BI716" i="75"/>
  <c r="BY405" i="75"/>
  <c r="BC386" i="75"/>
  <c r="BC400" i="75"/>
  <c r="BK663" i="75"/>
  <c r="BI265" i="75"/>
  <c r="BK647" i="75"/>
  <c r="BK629" i="75"/>
  <c r="BK648" i="75"/>
  <c r="BQ815" i="75"/>
  <c r="BI282" i="75"/>
  <c r="BG1242" i="75"/>
  <c r="BO768" i="75"/>
  <c r="BY431" i="75"/>
  <c r="BG286" i="75"/>
  <c r="BK651" i="75"/>
  <c r="CA1273" i="75"/>
  <c r="J48" i="116"/>
  <c r="BI722" i="75"/>
  <c r="BU699" i="75"/>
  <c r="E44" i="112"/>
  <c r="F41" i="112"/>
  <c r="BG573" i="75"/>
  <c r="BG565" i="75"/>
  <c r="BG607" i="75"/>
  <c r="BY426" i="75"/>
  <c r="BK656" i="75"/>
  <c r="BK666" i="75"/>
  <c r="BU704" i="75"/>
  <c r="BG296" i="75"/>
  <c r="CA1013" i="75"/>
  <c r="BG716" i="75"/>
  <c r="BI725" i="75"/>
  <c r="BG571" i="75"/>
  <c r="BG567" i="75"/>
  <c r="CM1205" i="75"/>
  <c r="BS542" i="75"/>
  <c r="BY399" i="75"/>
  <c r="BZ399" i="75" s="1"/>
  <c r="BK638" i="75"/>
  <c r="BK636" i="75"/>
  <c r="CA1012" i="75"/>
  <c r="BU728" i="75"/>
  <c r="BU720" i="75"/>
  <c r="BU724" i="75"/>
  <c r="BG292" i="75"/>
  <c r="BQ541" i="75"/>
  <c r="BM664" i="75"/>
  <c r="BI264" i="75"/>
  <c r="H166" i="115"/>
  <c r="BW1269" i="75"/>
  <c r="BY407" i="75"/>
  <c r="BK674" i="75"/>
  <c r="BK644" i="75"/>
  <c r="BK642" i="75"/>
  <c r="BU709" i="75"/>
  <c r="BG310" i="75"/>
  <c r="BM643" i="75"/>
  <c r="E11" i="114"/>
  <c r="J11" i="114" s="1"/>
  <c r="CU1205" i="75" a="1"/>
  <c r="CU1266" i="75"/>
  <c r="F186" i="116"/>
  <c r="F89" i="112"/>
  <c r="CO1265" i="75"/>
  <c r="BW252" i="75"/>
  <c r="BI694" i="75"/>
  <c r="BC424" i="75"/>
  <c r="BG577" i="75"/>
  <c r="BG583" i="75"/>
  <c r="BG570" i="75"/>
  <c r="CI1144" i="75"/>
  <c r="BY408" i="75"/>
  <c r="BC429" i="75"/>
  <c r="BI310" i="75"/>
  <c r="BK660" i="75"/>
  <c r="BK646" i="75"/>
  <c r="BG300" i="75"/>
  <c r="BQ512" i="75"/>
  <c r="BM637" i="75"/>
  <c r="BK250" i="75"/>
  <c r="BM241" i="75"/>
  <c r="CW793" i="75"/>
  <c r="BG587" i="75"/>
  <c r="BM636" i="75"/>
  <c r="BU715" i="75"/>
  <c r="F48" i="115"/>
  <c r="CZ310" i="75"/>
  <c r="BU733" i="75"/>
  <c r="BG614" i="75"/>
  <c r="BG581" i="75"/>
  <c r="BG569" i="75"/>
  <c r="BS523" i="75"/>
  <c r="BY416" i="75"/>
  <c r="BK641" i="75"/>
  <c r="BK637" i="75"/>
  <c r="BY411" i="75"/>
  <c r="BS1237" i="75"/>
  <c r="BT1237" i="75" s="1"/>
  <c r="CY1091" i="75"/>
  <c r="BW232" i="75"/>
  <c r="BU304" i="75"/>
  <c r="CZ309" i="75"/>
  <c r="BU726" i="75"/>
  <c r="BG589" i="75"/>
  <c r="BG582" i="75"/>
  <c r="BG591" i="75"/>
  <c r="CI1149" i="75"/>
  <c r="BQ403" i="75"/>
  <c r="CA312" i="75"/>
  <c r="BG327" i="75"/>
  <c r="BG361" i="75"/>
  <c r="BY415" i="75"/>
  <c r="BC395" i="75"/>
  <c r="BI283" i="75"/>
  <c r="BK664" i="75"/>
  <c r="BK657" i="75"/>
  <c r="BQ820" i="75"/>
  <c r="BQ823" i="75"/>
  <c r="BC391" i="75"/>
  <c r="BY421" i="75"/>
  <c r="BG304" i="75"/>
  <c r="CK303" i="75"/>
  <c r="CW789" i="75"/>
  <c r="BQ715" i="75"/>
  <c r="BM635" i="75"/>
  <c r="BU711" i="75"/>
  <c r="BO766" i="75"/>
  <c r="CE587" i="75"/>
  <c r="CF587" i="75" s="1"/>
  <c r="H18" i="116"/>
  <c r="BU700" i="75"/>
  <c r="BG295" i="75"/>
  <c r="BS1244" i="75"/>
  <c r="BW242" i="75"/>
  <c r="BU278" i="75"/>
  <c r="BG580" i="75"/>
  <c r="BG597" i="75"/>
  <c r="BG585" i="75"/>
  <c r="CI1156" i="75"/>
  <c r="BY425" i="75"/>
  <c r="BC428" i="75"/>
  <c r="BI275" i="75"/>
  <c r="BI279" i="75"/>
  <c r="BK631" i="75"/>
  <c r="BK661" i="75"/>
  <c r="BI284" i="75"/>
  <c r="BI728" i="75"/>
  <c r="BC384" i="75"/>
  <c r="BY422" i="75"/>
  <c r="BG274" i="75"/>
  <c r="CK311" i="75"/>
  <c r="BO773" i="75"/>
  <c r="BO761" i="75"/>
  <c r="BG701" i="75"/>
  <c r="BM659" i="75"/>
  <c r="BU729" i="75"/>
  <c r="BY424" i="75"/>
  <c r="BG263" i="75"/>
  <c r="BO755" i="75"/>
  <c r="BO780" i="75"/>
  <c r="BG708" i="75"/>
  <c r="BM641" i="75"/>
  <c r="BU705" i="75"/>
  <c r="CO972" i="75"/>
  <c r="BK645" i="75"/>
  <c r="BY404" i="75"/>
  <c r="BG269" i="75"/>
  <c r="BO763" i="75"/>
  <c r="BI687" i="75"/>
  <c r="DA1152" i="75"/>
  <c r="BM252" i="75"/>
  <c r="E205" i="116"/>
  <c r="BY406" i="75"/>
  <c r="BG303" i="75"/>
  <c r="BW1241" i="75"/>
  <c r="BX1241" i="75" s="1"/>
  <c r="BK654" i="75"/>
  <c r="BS1274" i="75"/>
  <c r="BW237" i="75"/>
  <c r="BI690" i="75"/>
  <c r="BC402" i="75"/>
  <c r="BI300" i="75"/>
  <c r="BI276" i="75"/>
  <c r="BK649" i="75"/>
  <c r="BI270" i="75"/>
  <c r="BI481" i="75"/>
  <c r="BO760" i="75"/>
  <c r="BY419" i="75"/>
  <c r="BG271" i="75"/>
  <c r="BI700" i="75"/>
  <c r="CC303" i="75"/>
  <c r="CK296" i="75"/>
  <c r="BO1092" i="75"/>
  <c r="E31" i="112"/>
  <c r="J31" i="112" s="1"/>
  <c r="E134" i="116"/>
  <c r="R11" i="102"/>
  <c r="R9" i="100"/>
  <c r="T9" i="100"/>
  <c r="L25" i="125"/>
  <c r="EC12" i="125"/>
  <c r="BS4" i="125"/>
  <c r="CM12" i="125" s="1"/>
  <c r="BE5" i="125"/>
  <c r="AS81" i="125"/>
  <c r="BE4" i="125"/>
  <c r="AB4" i="125"/>
  <c r="FA12" i="125" s="1"/>
  <c r="H47" i="102"/>
  <c r="BD81" i="125"/>
  <c r="CI86" i="125" s="1"/>
  <c r="AM45" i="100"/>
  <c r="AC4" i="125"/>
  <c r="H2" i="125"/>
  <c r="AN45" i="100"/>
  <c r="BD4" i="125"/>
  <c r="AO44" i="100"/>
  <c r="BS5" i="125"/>
  <c r="AC81" i="125"/>
  <c r="CH86" i="125" s="1"/>
  <c r="EG25" i="125"/>
  <c r="AO45" i="100"/>
  <c r="AP45" i="100"/>
  <c r="BD44" i="125"/>
  <c r="CI49" i="125" s="1"/>
  <c r="AS4" i="125"/>
  <c r="AB5" i="125"/>
  <c r="AS44" i="125"/>
  <c r="AC44" i="125"/>
  <c r="CH49" i="125" s="1"/>
  <c r="EG12" i="125"/>
  <c r="BD5" i="125"/>
  <c r="BM811" i="75"/>
  <c r="CO971" i="75"/>
  <c r="BW363" i="75"/>
  <c r="BW357" i="75"/>
  <c r="CM1265" i="75"/>
  <c r="BM849" i="75"/>
  <c r="BW344" i="75"/>
  <c r="F128" i="112"/>
  <c r="BM810" i="75"/>
  <c r="E106" i="116"/>
  <c r="BE347" i="75"/>
  <c r="BW353" i="75"/>
  <c r="CM1260" i="75"/>
  <c r="CK536" i="75"/>
  <c r="BW531" i="75"/>
  <c r="BO1058" i="75"/>
  <c r="BO1061" i="75"/>
  <c r="CC1247" i="75"/>
  <c r="CD1247" i="75" s="1"/>
  <c r="CM1270" i="75"/>
  <c r="BM839" i="75"/>
  <c r="CC1256" i="75"/>
  <c r="BU223" i="75"/>
  <c r="BE807" i="75"/>
  <c r="E105" i="114"/>
  <c r="BS853" i="75"/>
  <c r="BW351" i="75"/>
  <c r="BM830" i="75"/>
  <c r="BE867" i="75"/>
  <c r="BE359" i="75"/>
  <c r="BW337" i="75"/>
  <c r="BX337" i="75" s="1"/>
  <c r="CK537" i="75"/>
  <c r="CK534" i="75"/>
  <c r="BW538" i="75"/>
  <c r="BM961" i="75"/>
  <c r="BO1057" i="75"/>
  <c r="CE1136" i="75"/>
  <c r="CM1261" i="75"/>
  <c r="CM1257" i="75"/>
  <c r="CN1257" i="75" s="1"/>
  <c r="CC297" i="75"/>
  <c r="CC1255" i="75"/>
  <c r="BU245" i="75"/>
  <c r="BE823" i="75"/>
  <c r="BQ354" i="75"/>
  <c r="AP44" i="100"/>
  <c r="CM310" i="75"/>
  <c r="BE354" i="75"/>
  <c r="BW361" i="75"/>
  <c r="CE1133" i="75"/>
  <c r="CM1258" i="75"/>
  <c r="CC1261" i="75"/>
  <c r="CC1267" i="75"/>
  <c r="BQ344" i="75"/>
  <c r="E104" i="114"/>
  <c r="J104" i="114" s="1"/>
  <c r="CM1273" i="75"/>
  <c r="CC1265" i="75"/>
  <c r="F59" i="112"/>
  <c r="BW358" i="75"/>
  <c r="BW369" i="75"/>
  <c r="BE332" i="75"/>
  <c r="BE351" i="75"/>
  <c r="BE326" i="75"/>
  <c r="BQ577" i="75"/>
  <c r="BS549" i="75"/>
  <c r="BO1089" i="75"/>
  <c r="CC1262" i="75"/>
  <c r="CM1274" i="75"/>
  <c r="CM1272" i="75"/>
  <c r="CO973" i="75"/>
  <c r="BW370" i="75"/>
  <c r="E35" i="114"/>
  <c r="BC245" i="75"/>
  <c r="BQ359" i="75"/>
  <c r="BE360" i="75"/>
  <c r="CM1263" i="75"/>
  <c r="CO959" i="75"/>
  <c r="CP959" i="75" s="1"/>
  <c r="CM1271" i="75"/>
  <c r="CO963" i="75"/>
  <c r="CO974" i="75"/>
  <c r="CO976" i="75"/>
  <c r="CW1267" i="75" a="1"/>
  <c r="CO967" i="75"/>
  <c r="BC720" i="75"/>
  <c r="H161" i="116"/>
  <c r="CE1142" i="75"/>
  <c r="BC1073" i="75"/>
  <c r="BS547" i="75"/>
  <c r="BG1053" i="75"/>
  <c r="CO975" i="75"/>
  <c r="BW520" i="75"/>
  <c r="BW782" i="75"/>
  <c r="BU455" i="75"/>
  <c r="BV455" i="75" s="1"/>
  <c r="E185" i="116"/>
  <c r="BY1254" i="75"/>
  <c r="DC852" i="75"/>
  <c r="CA412" i="75"/>
  <c r="BW367" i="75"/>
  <c r="BC287" i="75"/>
  <c r="BC765" i="75"/>
  <c r="BC790" i="75"/>
  <c r="BC1052" i="75"/>
  <c r="CO1268" i="75"/>
  <c r="BQ584" i="75"/>
  <c r="BW535" i="75"/>
  <c r="BG362" i="75"/>
  <c r="BG355" i="75"/>
  <c r="CO723" i="75"/>
  <c r="BO1055" i="75"/>
  <c r="BG791" i="75"/>
  <c r="BG790" i="75"/>
  <c r="BG775" i="75"/>
  <c r="BQ849" i="75"/>
  <c r="BY1139" i="75"/>
  <c r="BS273" i="75"/>
  <c r="BT273" i="75" s="1"/>
  <c r="BW789" i="75"/>
  <c r="BU543" i="75"/>
  <c r="BQ427" i="75"/>
  <c r="BQ404" i="75"/>
  <c r="BC198" i="75"/>
  <c r="BC638" i="75"/>
  <c r="BU964" i="75"/>
  <c r="BO894" i="75"/>
  <c r="BW528" i="75"/>
  <c r="BY587" i="75"/>
  <c r="F88" i="112"/>
  <c r="J198" i="115"/>
  <c r="BK222" i="75"/>
  <c r="BO1093" i="75"/>
  <c r="BG720" i="75"/>
  <c r="BM1084" i="75"/>
  <c r="BQ538" i="75"/>
  <c r="BC237" i="75"/>
  <c r="BE225" i="75"/>
  <c r="BQ368" i="75"/>
  <c r="DA1155" i="75"/>
  <c r="BG779" i="75"/>
  <c r="BE219" i="75"/>
  <c r="BE515" i="75"/>
  <c r="BW371" i="75"/>
  <c r="E106" i="112"/>
  <c r="J106" i="112" s="1"/>
  <c r="F186" i="112"/>
  <c r="AM44" i="100"/>
  <c r="BE324" i="75"/>
  <c r="BY1244" i="75"/>
  <c r="BE358" i="75"/>
  <c r="CG1258" i="75"/>
  <c r="BQ582" i="75"/>
  <c r="BY1262" i="75"/>
  <c r="DC854" i="75"/>
  <c r="BW365" i="75"/>
  <c r="BC784" i="75"/>
  <c r="BC781" i="75"/>
  <c r="CQ1021" i="75" a="1"/>
  <c r="BC1072" i="75"/>
  <c r="BQ574" i="75"/>
  <c r="BW547" i="75"/>
  <c r="CO726" i="75"/>
  <c r="BO1059" i="75"/>
  <c r="CA1262" i="75"/>
  <c r="BY1132" i="75"/>
  <c r="BS280" i="75"/>
  <c r="BM1069" i="75"/>
  <c r="BC674" i="75"/>
  <c r="BU950" i="75"/>
  <c r="BW517" i="75"/>
  <c r="BX517" i="75" s="1"/>
  <c r="BY1127" i="75"/>
  <c r="E129" i="116"/>
  <c r="H69" i="115"/>
  <c r="BM1055" i="75"/>
  <c r="BS428" i="75"/>
  <c r="BC218" i="75"/>
  <c r="BQ333" i="75"/>
  <c r="DA1151" i="75"/>
  <c r="DB1151" i="75" s="1"/>
  <c r="BC721" i="75"/>
  <c r="H79" i="116"/>
  <c r="BO905" i="75"/>
  <c r="BW349" i="75"/>
  <c r="H115" i="116"/>
  <c r="I12" i="125"/>
  <c r="BE338" i="75"/>
  <c r="CO961" i="75"/>
  <c r="H197" i="116"/>
  <c r="BW368" i="75"/>
  <c r="BC1063" i="75"/>
  <c r="BQ590" i="75"/>
  <c r="CO549" i="75"/>
  <c r="BW544" i="75"/>
  <c r="BM976" i="75"/>
  <c r="BO1088" i="75"/>
  <c r="BY1154" i="75"/>
  <c r="BS279" i="75"/>
  <c r="BW777" i="75"/>
  <c r="CA410" i="75"/>
  <c r="BC204" i="75"/>
  <c r="BC664" i="75"/>
  <c r="BW974" i="75"/>
  <c r="BC724" i="75"/>
  <c r="BU790" i="75"/>
  <c r="BU948" i="75"/>
  <c r="BO885" i="75"/>
  <c r="DB790" i="75" a="1"/>
  <c r="BW529" i="75"/>
  <c r="F229" i="116"/>
  <c r="BW362" i="75"/>
  <c r="F127" i="116"/>
  <c r="BM1057" i="75"/>
  <c r="BS432" i="75"/>
  <c r="BC216" i="75"/>
  <c r="BQ341" i="75"/>
  <c r="DA1153" i="75"/>
  <c r="BE223" i="75"/>
  <c r="BC718" i="75"/>
  <c r="BE244" i="75"/>
  <c r="BE227" i="75"/>
  <c r="CJ1194" i="75" a="1"/>
  <c r="CJ1200" i="75" s="1"/>
  <c r="BS827" i="75"/>
  <c r="DB1152" i="75" a="1"/>
  <c r="F102" i="114"/>
  <c r="J176" i="115"/>
  <c r="AN44" i="100"/>
  <c r="H58" i="116"/>
  <c r="CR358" i="75" a="1"/>
  <c r="BW345" i="75"/>
  <c r="CO1271" i="75"/>
  <c r="BQ579" i="75"/>
  <c r="CO541" i="75"/>
  <c r="BW518" i="75"/>
  <c r="DC791" i="75" a="1"/>
  <c r="BW355" i="75"/>
  <c r="BM1051" i="75"/>
  <c r="BN1051" i="75" s="1"/>
  <c r="BC710" i="75"/>
  <c r="BC722" i="75"/>
  <c r="BS839" i="75"/>
  <c r="H52" i="115"/>
  <c r="S10" i="100"/>
  <c r="BD44" i="90"/>
  <c r="CI49" i="90" s="1"/>
  <c r="S11" i="126"/>
  <c r="A43" i="100"/>
  <c r="A45" i="102" s="1"/>
  <c r="AA4" i="124"/>
  <c r="Q11" i="126"/>
  <c r="AE11" i="126"/>
  <c r="AD11" i="126"/>
  <c r="G45" i="102" a="1"/>
  <c r="G45" i="102" s="1"/>
  <c r="U11" i="126"/>
  <c r="S16" i="101"/>
  <c r="BY1260" i="75"/>
  <c r="H46" i="115"/>
  <c r="BM972" i="75"/>
  <c r="BS371" i="75"/>
  <c r="BM945" i="75"/>
  <c r="BO1083" i="75"/>
  <c r="BQ614" i="75"/>
  <c r="BY1263" i="75"/>
  <c r="BM958" i="75"/>
  <c r="BE335" i="75"/>
  <c r="BS286" i="75"/>
  <c r="BO1068" i="75"/>
  <c r="BE528" i="75"/>
  <c r="BE551" i="75"/>
  <c r="BC751" i="75"/>
  <c r="BC773" i="75"/>
  <c r="BS366" i="75"/>
  <c r="CK545" i="75"/>
  <c r="BW550" i="75"/>
  <c r="BM946" i="75"/>
  <c r="CO729" i="75"/>
  <c r="BO1087" i="75"/>
  <c r="CN534" i="75" a="1"/>
  <c r="CE1140" i="75"/>
  <c r="CG236" i="75"/>
  <c r="BC227" i="75"/>
  <c r="BC695" i="75"/>
  <c r="BU969" i="75"/>
  <c r="H208" i="116"/>
  <c r="BW534" i="75"/>
  <c r="CA1028" i="75"/>
  <c r="CA1249" i="75"/>
  <c r="BC242" i="75"/>
  <c r="BQ343" i="75"/>
  <c r="BM663" i="75"/>
  <c r="BE846" i="75"/>
  <c r="BE230" i="75"/>
  <c r="BE247" i="75"/>
  <c r="BE202" i="75"/>
  <c r="BS838" i="75"/>
  <c r="BS832" i="75"/>
  <c r="F166" i="115"/>
  <c r="CS963" i="75" a="1"/>
  <c r="CK1259" i="75"/>
  <c r="BY1252" i="75"/>
  <c r="BM937" i="75"/>
  <c r="BE536" i="75"/>
  <c r="BE504" i="75"/>
  <c r="BE529" i="75"/>
  <c r="CX666" i="75" a="1"/>
  <c r="BS362" i="75"/>
  <c r="BS539" i="75"/>
  <c r="BS349" i="75"/>
  <c r="BM950" i="75"/>
  <c r="BO1062" i="75"/>
  <c r="DB490" i="75"/>
  <c r="CG229" i="75"/>
  <c r="BU974" i="75"/>
  <c r="BQ231" i="75"/>
  <c r="BC228" i="75"/>
  <c r="BM629" i="75"/>
  <c r="BN629" i="75" s="1"/>
  <c r="BE840" i="75"/>
  <c r="BE207" i="75"/>
  <c r="BC728" i="75"/>
  <c r="BE241" i="75"/>
  <c r="BE248" i="75"/>
  <c r="BE211" i="75"/>
  <c r="BE542" i="75"/>
  <c r="BS840" i="75"/>
  <c r="BS824" i="75"/>
  <c r="BC1062" i="75"/>
  <c r="CA1034" i="75"/>
  <c r="DC853" i="75"/>
  <c r="BC747" i="75"/>
  <c r="BE217" i="75"/>
  <c r="BQ947" i="75"/>
  <c r="BE526" i="75"/>
  <c r="H148" i="112"/>
  <c r="CU1025" i="75" a="1"/>
  <c r="CU1025" i="75" s="1"/>
  <c r="CV1025" i="75" s="1"/>
  <c r="BQ967" i="75"/>
  <c r="BW650" i="75"/>
  <c r="H12" i="114"/>
  <c r="BE218" i="75"/>
  <c r="BC680" i="75"/>
  <c r="BC199" i="75"/>
  <c r="BY1155" i="75"/>
  <c r="BY302" i="75"/>
  <c r="BE849" i="75"/>
  <c r="BE210" i="75"/>
  <c r="CC293" i="75"/>
  <c r="CC288" i="75"/>
  <c r="BQ331" i="75"/>
  <c r="BR331" i="75" s="1"/>
  <c r="BQ949" i="75"/>
  <c r="BY1125" i="75"/>
  <c r="BS368" i="75"/>
  <c r="BE204" i="75"/>
  <c r="BE517" i="75"/>
  <c r="H17" i="115"/>
  <c r="CK300" i="75"/>
  <c r="CK291" i="75"/>
  <c r="CL291" i="75" s="1"/>
  <c r="CC296" i="75"/>
  <c r="BY311" i="75"/>
  <c r="BC219" i="75"/>
  <c r="BC693" i="75"/>
  <c r="BQ350" i="75"/>
  <c r="BM644" i="75"/>
  <c r="BG750" i="75"/>
  <c r="BC685" i="75"/>
  <c r="BE233" i="75"/>
  <c r="E55" i="112"/>
  <c r="BQ335" i="75"/>
  <c r="F161" i="115"/>
  <c r="H15" i="114"/>
  <c r="F191" i="116"/>
  <c r="BQ576" i="75"/>
  <c r="BM971" i="75"/>
  <c r="BE535" i="75"/>
  <c r="BC768" i="75"/>
  <c r="BC778" i="75"/>
  <c r="BE506" i="75"/>
  <c r="CI1017" i="75"/>
  <c r="CO546" i="75"/>
  <c r="BO1085" i="75"/>
  <c r="BY284" i="75"/>
  <c r="BM1089" i="75"/>
  <c r="CQ1149" i="75"/>
  <c r="BU973" i="75"/>
  <c r="CK298" i="75"/>
  <c r="H34" i="116"/>
  <c r="BY298" i="75"/>
  <c r="BE232" i="75"/>
  <c r="H98" i="112"/>
  <c r="BQ366" i="75"/>
  <c r="F103" i="115"/>
  <c r="CM1212" i="75"/>
  <c r="CQ1150" i="75"/>
  <c r="BO1071" i="75"/>
  <c r="BY299" i="75"/>
  <c r="BI892" i="75"/>
  <c r="BE229" i="75"/>
  <c r="CK481" i="75"/>
  <c r="H57" i="112"/>
  <c r="F191" i="114"/>
  <c r="CA1008" i="75"/>
  <c r="BK1071" i="75"/>
  <c r="BO1080" i="75"/>
  <c r="BE808" i="75"/>
  <c r="BI867" i="75"/>
  <c r="BE242" i="75"/>
  <c r="BC714" i="75"/>
  <c r="BQ371" i="75"/>
  <c r="BQ364" i="75"/>
  <c r="CO734" i="75"/>
  <c r="F15" i="114"/>
  <c r="F76" i="116"/>
  <c r="H191" i="114"/>
  <c r="BQ1258" i="75"/>
  <c r="H194" i="112"/>
  <c r="CO536" i="75"/>
  <c r="CM1210" i="75"/>
  <c r="CA1030" i="75"/>
  <c r="BO1073" i="75"/>
  <c r="BE209" i="75"/>
  <c r="BE250" i="75"/>
  <c r="E103" i="112"/>
  <c r="J103" i="112" s="1"/>
  <c r="BQ357" i="75"/>
  <c r="BI312" i="75"/>
  <c r="BQ962" i="75"/>
  <c r="CA1036" i="75"/>
  <c r="BE200" i="75"/>
  <c r="BE228" i="75"/>
  <c r="BE532" i="75"/>
  <c r="BI880" i="75"/>
  <c r="H162" i="112"/>
  <c r="BM402" i="75"/>
  <c r="BI911" i="75"/>
  <c r="BU227" i="75"/>
  <c r="BM815" i="75"/>
  <c r="BM401" i="75"/>
  <c r="BM824" i="75"/>
  <c r="BI869" i="75"/>
  <c r="BM425" i="75"/>
  <c r="BM843" i="75"/>
  <c r="BI908" i="75"/>
  <c r="BC1032" i="75"/>
  <c r="BQ1130" i="75"/>
  <c r="CG1035" i="75"/>
  <c r="BM838" i="75"/>
  <c r="CA1019" i="75"/>
  <c r="BO1259" i="75"/>
  <c r="CM1200" i="75"/>
  <c r="BC641" i="75"/>
  <c r="BM845" i="75"/>
  <c r="CA1276" i="75"/>
  <c r="CA1029" i="75"/>
  <c r="BC650" i="75"/>
  <c r="BQ216" i="75"/>
  <c r="BU224" i="75"/>
  <c r="CH1192" i="75" a="1"/>
  <c r="CA1246" i="75"/>
  <c r="BS1124" i="75"/>
  <c r="E51" i="116"/>
  <c r="J51" i="116" s="1"/>
  <c r="CQ537" i="75" a="1"/>
  <c r="CS299" i="75" a="1"/>
  <c r="BE329" i="75"/>
  <c r="CA1009" i="75"/>
  <c r="BI887" i="75"/>
  <c r="CE595" i="75"/>
  <c r="BO1248" i="75"/>
  <c r="H203" i="115"/>
  <c r="BE355" i="75"/>
  <c r="BC1049" i="75"/>
  <c r="BY722" i="75"/>
  <c r="BM1197" i="75"/>
  <c r="BC668" i="75"/>
  <c r="CO966" i="75"/>
  <c r="CA1032" i="75"/>
  <c r="BK729" i="75"/>
  <c r="BI245" i="75"/>
  <c r="E81" i="116"/>
  <c r="J81" i="116" s="1"/>
  <c r="BO1074" i="75"/>
  <c r="E95" i="112"/>
  <c r="F184" i="115"/>
  <c r="F194" i="112"/>
  <c r="F102" i="112"/>
  <c r="H176" i="114"/>
  <c r="F162" i="112"/>
  <c r="BE340" i="75"/>
  <c r="BE365" i="75"/>
  <c r="BC1068" i="75"/>
  <c r="BS1211" i="75"/>
  <c r="BY1130" i="75"/>
  <c r="BI414" i="75"/>
  <c r="BC637" i="75"/>
  <c r="BM812" i="75"/>
  <c r="BI247" i="75"/>
  <c r="E72" i="112"/>
  <c r="J72" i="112" s="1"/>
  <c r="CO960" i="75"/>
  <c r="CE593" i="75"/>
  <c r="CC298" i="75"/>
  <c r="BK766" i="75"/>
  <c r="DB308" i="75" a="1"/>
  <c r="DB308" i="75" s="1"/>
  <c r="CE1141" i="75"/>
  <c r="BM809" i="75"/>
  <c r="BN809" i="75" s="1"/>
  <c r="BE323" i="75"/>
  <c r="BM842" i="75"/>
  <c r="CG1021" i="75"/>
  <c r="BY289" i="75"/>
  <c r="BM1090" i="75"/>
  <c r="BM1088" i="75"/>
  <c r="BU231" i="75"/>
  <c r="BU713" i="75"/>
  <c r="BK296" i="75"/>
  <c r="CE898" i="75"/>
  <c r="CE888" i="75"/>
  <c r="BW352" i="75"/>
  <c r="F182" i="114"/>
  <c r="BQ960" i="75"/>
  <c r="CK1272" i="75"/>
  <c r="BQ959" i="75"/>
  <c r="BS1249" i="75"/>
  <c r="BC1202" i="75"/>
  <c r="BK458" i="75"/>
  <c r="H69" i="112"/>
  <c r="BE352" i="75"/>
  <c r="BE339" i="75"/>
  <c r="BO1274" i="75"/>
  <c r="BS1125" i="75"/>
  <c r="BI537" i="75"/>
  <c r="CM673" i="75"/>
  <c r="BC639" i="75"/>
  <c r="BO312" i="75"/>
  <c r="BS1145" i="75"/>
  <c r="BM814" i="75"/>
  <c r="BI212" i="75"/>
  <c r="BU241" i="75"/>
  <c r="BU249" i="75"/>
  <c r="BE806" i="75"/>
  <c r="BU698" i="75"/>
  <c r="BM1074" i="75"/>
  <c r="CE901" i="75"/>
  <c r="H101" i="114"/>
  <c r="BM850" i="75"/>
  <c r="CW483" i="75" a="1"/>
  <c r="CX606" i="75" a="1"/>
  <c r="BQ937" i="75"/>
  <c r="BS1270" i="75"/>
  <c r="BW1246" i="75"/>
  <c r="BK487" i="75"/>
  <c r="BM967" i="75"/>
  <c r="BE362" i="75"/>
  <c r="BE361" i="75"/>
  <c r="CI1142" i="75"/>
  <c r="CA291" i="75"/>
  <c r="BO1241" i="75"/>
  <c r="BO1238" i="75"/>
  <c r="CA421" i="75"/>
  <c r="CO733" i="75"/>
  <c r="BS1129" i="75"/>
  <c r="BM591" i="75"/>
  <c r="CT964" i="75" a="1"/>
  <c r="CO357" i="75"/>
  <c r="CM657" i="75"/>
  <c r="CC292" i="75"/>
  <c r="BC622" i="75"/>
  <c r="BW956" i="75"/>
  <c r="BO307" i="75"/>
  <c r="BG273" i="75"/>
  <c r="BS1138" i="75"/>
  <c r="BK303" i="75"/>
  <c r="BK294" i="75"/>
  <c r="BM846" i="75"/>
  <c r="BI217" i="75"/>
  <c r="H106" i="112"/>
  <c r="H15" i="115"/>
  <c r="J13" i="115"/>
  <c r="BQ221" i="75"/>
  <c r="BE805" i="75"/>
  <c r="CE907" i="75"/>
  <c r="BM1063" i="75"/>
  <c r="DB1214" i="75"/>
  <c r="CE910" i="75"/>
  <c r="H72" i="116"/>
  <c r="F39" i="114"/>
  <c r="BE333" i="75"/>
  <c r="BI423" i="75"/>
  <c r="BC619" i="75"/>
  <c r="BD619" i="75" s="1"/>
  <c r="BS1119" i="75"/>
  <c r="BM840" i="75"/>
  <c r="BM822" i="75"/>
  <c r="BI235" i="75"/>
  <c r="BC644" i="75"/>
  <c r="BU232" i="75"/>
  <c r="BE814" i="75"/>
  <c r="CE606" i="75"/>
  <c r="E134" i="114"/>
  <c r="J134" i="114" s="1"/>
  <c r="IK11" i="100"/>
  <c r="IK12" i="100" s="1"/>
  <c r="CU366" i="75"/>
  <c r="CU365" i="75"/>
  <c r="CU369" i="75"/>
  <c r="CU367" i="75"/>
  <c r="CU362" i="75"/>
  <c r="H209" i="115"/>
  <c r="J209" i="115"/>
  <c r="BM278" i="75"/>
  <c r="BM603" i="75"/>
  <c r="BM585" i="75"/>
  <c r="BQ1125" i="75"/>
  <c r="BQ716" i="75"/>
  <c r="E58" i="112"/>
  <c r="BM238" i="75"/>
  <c r="DA369" i="75"/>
  <c r="BM310" i="75"/>
  <c r="BM586" i="75"/>
  <c r="CL654" i="75" a="1"/>
  <c r="CG953" i="75"/>
  <c r="BQ1132" i="75"/>
  <c r="BU279" i="75"/>
  <c r="BS544" i="75"/>
  <c r="DA367" i="75"/>
  <c r="DB367" i="75" s="1"/>
  <c r="BM296" i="75"/>
  <c r="BM594" i="75"/>
  <c r="CO358" i="75"/>
  <c r="BC624" i="75"/>
  <c r="BI248" i="75"/>
  <c r="BQ695" i="75"/>
  <c r="BS427" i="75"/>
  <c r="CE607" i="75"/>
  <c r="BY400" i="75"/>
  <c r="BC646" i="75"/>
  <c r="CE594" i="75"/>
  <c r="CJ954" i="75" a="1"/>
  <c r="CI239" i="75"/>
  <c r="E138" i="115"/>
  <c r="CE1150" i="75"/>
  <c r="CE602" i="75"/>
  <c r="F28" i="112"/>
  <c r="H88" i="114"/>
  <c r="CI235" i="75"/>
  <c r="CA1212" i="75"/>
  <c r="BM588" i="75"/>
  <c r="CG1264" i="75"/>
  <c r="H171" i="116"/>
  <c r="BU534" i="75"/>
  <c r="CE590" i="75"/>
  <c r="E68" i="115"/>
  <c r="J68" i="115" s="1"/>
  <c r="BM577" i="75"/>
  <c r="CI1035" i="75"/>
  <c r="CI229" i="75"/>
  <c r="CJ229" i="75" s="1"/>
  <c r="F135" i="112"/>
  <c r="H156" i="114"/>
  <c r="BQ976" i="75"/>
  <c r="BQ948" i="75"/>
  <c r="BS545" i="75"/>
  <c r="CZ311" i="75"/>
  <c r="CH890" i="75" a="1"/>
  <c r="H129" i="114"/>
  <c r="BC276" i="75"/>
  <c r="BS398" i="75"/>
  <c r="BM277" i="75"/>
  <c r="CE405" i="75"/>
  <c r="CF405" i="75" s="1"/>
  <c r="CI1019" i="75"/>
  <c r="BG1057" i="75"/>
  <c r="CI1013" i="75"/>
  <c r="CJ1013" i="75" s="1"/>
  <c r="BQ956" i="75"/>
  <c r="CG1273" i="75"/>
  <c r="F155" i="112"/>
  <c r="DB489" i="75"/>
  <c r="BM590" i="75"/>
  <c r="BW775" i="75"/>
  <c r="BC656" i="75"/>
  <c r="BO902" i="75"/>
  <c r="BO896" i="75"/>
  <c r="H87" i="114"/>
  <c r="BQ732" i="75"/>
  <c r="BS401" i="75"/>
  <c r="F87" i="114"/>
  <c r="CY607" i="75" a="1"/>
  <c r="E124" i="116"/>
  <c r="BM614" i="75"/>
  <c r="BM587" i="75"/>
  <c r="BQ972" i="75"/>
  <c r="CG1252" i="75"/>
  <c r="CE1145" i="75"/>
  <c r="BM583" i="75"/>
  <c r="F79" i="115"/>
  <c r="BQ706" i="75"/>
  <c r="BS410" i="75"/>
  <c r="BW942" i="75"/>
  <c r="CI247" i="75"/>
  <c r="BC627" i="75"/>
  <c r="H136" i="116"/>
  <c r="F209" i="115"/>
  <c r="BO1017" i="75"/>
  <c r="BQ975" i="75"/>
  <c r="BS1262" i="75"/>
  <c r="BW639" i="75"/>
  <c r="BX639" i="75" s="1"/>
  <c r="BM267" i="75"/>
  <c r="BN267" i="75" s="1"/>
  <c r="BM600" i="75"/>
  <c r="BM592" i="75"/>
  <c r="BM574" i="75"/>
  <c r="BM305" i="75"/>
  <c r="BM584" i="75"/>
  <c r="BM570" i="75"/>
  <c r="BG302" i="75"/>
  <c r="BW360" i="75"/>
  <c r="H52" i="112"/>
  <c r="BW217" i="75"/>
  <c r="BX217" i="75" s="1"/>
  <c r="BI912" i="75"/>
  <c r="BK704" i="75"/>
  <c r="CC233" i="75"/>
  <c r="BI868" i="75"/>
  <c r="BI902" i="75"/>
  <c r="E145" i="116"/>
  <c r="H145" i="116" s="1"/>
  <c r="CC1149" i="75"/>
  <c r="BW248" i="75"/>
  <c r="BM939" i="75"/>
  <c r="CS841" i="75" a="1"/>
  <c r="BQ407" i="75"/>
  <c r="BM952" i="75"/>
  <c r="BQ428" i="75"/>
  <c r="CA1033" i="75"/>
  <c r="CC289" i="75"/>
  <c r="BM412" i="75"/>
  <c r="BM1053" i="75"/>
  <c r="BU722" i="75"/>
  <c r="BI900" i="75"/>
  <c r="CA1011" i="75"/>
  <c r="BC703" i="75"/>
  <c r="BM1073" i="75"/>
  <c r="BG1017" i="75"/>
  <c r="BQ792" i="75"/>
  <c r="BQ362" i="75"/>
  <c r="CK1255" i="75"/>
  <c r="CL1255" i="75" s="1"/>
  <c r="BM1192" i="75"/>
  <c r="BM931" i="75"/>
  <c r="BN931" i="75" s="1"/>
  <c r="CC229" i="75"/>
  <c r="BM391" i="75"/>
  <c r="BI885" i="75"/>
  <c r="BI872" i="75"/>
  <c r="CM304" i="75"/>
  <c r="CK1256" i="75"/>
  <c r="W22" i="113"/>
  <c r="BC1056" i="75"/>
  <c r="BM1185" i="75"/>
  <c r="BQ429" i="75"/>
  <c r="BM419" i="75"/>
  <c r="BM1083" i="75"/>
  <c r="BC225" i="75"/>
  <c r="BC211" i="75"/>
  <c r="BQ367" i="75"/>
  <c r="BC697" i="75"/>
  <c r="CC308" i="75"/>
  <c r="BM247" i="75"/>
  <c r="BK724" i="75"/>
  <c r="BE501" i="75"/>
  <c r="E86" i="112"/>
  <c r="J86" i="112" s="1"/>
  <c r="BO1233" i="75"/>
  <c r="BP1233" i="75" s="1"/>
  <c r="BS828" i="75"/>
  <c r="CT420" i="75" a="1"/>
  <c r="F34" i="112"/>
  <c r="H59" i="115"/>
  <c r="CE240" i="75"/>
  <c r="F177" i="115"/>
  <c r="CK1262" i="75"/>
  <c r="BC1070" i="75"/>
  <c r="BM936" i="75"/>
  <c r="CA1026" i="75"/>
  <c r="CI974" i="75"/>
  <c r="BQ413" i="75"/>
  <c r="BO415" i="75"/>
  <c r="BU786" i="75"/>
  <c r="CC227" i="75"/>
  <c r="BM423" i="75"/>
  <c r="BM1092" i="75"/>
  <c r="CI246" i="75"/>
  <c r="BU727" i="75"/>
  <c r="BI878" i="75"/>
  <c r="BI879" i="75"/>
  <c r="BC726" i="75"/>
  <c r="BQ346" i="75"/>
  <c r="BO1244" i="75"/>
  <c r="BQ349" i="75"/>
  <c r="CU421" i="75" a="1"/>
  <c r="CU429" i="75" s="1"/>
  <c r="F199" i="114"/>
  <c r="BM407" i="75"/>
  <c r="BI895" i="75"/>
  <c r="BI882" i="75"/>
  <c r="BS820" i="75"/>
  <c r="H79" i="115"/>
  <c r="BC1095" i="75"/>
  <c r="BM947" i="75"/>
  <c r="CW1087" i="75" a="1"/>
  <c r="CW1087" i="75" s="1"/>
  <c r="CX1087" i="75" s="1"/>
  <c r="CC305" i="75"/>
  <c r="CC283" i="75"/>
  <c r="CD283" i="75" s="1"/>
  <c r="BQ217" i="75"/>
  <c r="BM1068" i="75"/>
  <c r="BI877" i="75"/>
  <c r="CC301" i="75"/>
  <c r="BK693" i="75"/>
  <c r="BQ353" i="75"/>
  <c r="BI894" i="75"/>
  <c r="CA1027" i="75"/>
  <c r="BK728" i="75"/>
  <c r="BQ363" i="75"/>
  <c r="F33" i="112"/>
  <c r="BM962" i="75"/>
  <c r="BI906" i="75"/>
  <c r="BI897" i="75"/>
  <c r="BG777" i="75"/>
  <c r="CS419" i="75" a="1"/>
  <c r="CS424" i="75" s="1"/>
  <c r="BM966" i="75"/>
  <c r="BM954" i="75"/>
  <c r="BI881" i="75"/>
  <c r="BQ753" i="75"/>
  <c r="BR753" i="75" s="1"/>
  <c r="BK718" i="75"/>
  <c r="BW240" i="75"/>
  <c r="CA1021" i="75"/>
  <c r="CI248" i="75"/>
  <c r="BC716" i="75"/>
  <c r="BC200" i="75"/>
  <c r="BQ334" i="75"/>
  <c r="BQ370" i="75"/>
  <c r="BG785" i="75"/>
  <c r="BC723" i="75"/>
  <c r="BI909" i="75"/>
  <c r="BC750" i="75"/>
  <c r="BC707" i="75"/>
  <c r="BE540" i="75"/>
  <c r="BM239" i="75"/>
  <c r="BQ347" i="75"/>
  <c r="E68" i="112"/>
  <c r="BC241" i="75"/>
  <c r="DB428" i="75" a="1"/>
  <c r="DB432" i="75" s="1"/>
  <c r="F210" i="113"/>
  <c r="H59" i="112"/>
  <c r="W24" i="113"/>
  <c r="BQ1145" i="75"/>
  <c r="BC1088" i="75"/>
  <c r="BC1043" i="75"/>
  <c r="CO545" i="75"/>
  <c r="BK669" i="75"/>
  <c r="CC304" i="75"/>
  <c r="BG276" i="75"/>
  <c r="BU776" i="75"/>
  <c r="DB368" i="75" a="1"/>
  <c r="CA1267" i="75"/>
  <c r="CO969" i="75"/>
  <c r="CA1025" i="75"/>
  <c r="BY597" i="75"/>
  <c r="BW247" i="75"/>
  <c r="BS350" i="75"/>
  <c r="BQ717" i="75"/>
  <c r="BG704" i="75"/>
  <c r="BI715" i="75"/>
  <c r="CI233" i="75"/>
  <c r="BC208" i="75"/>
  <c r="BQ337" i="75"/>
  <c r="BM666" i="75"/>
  <c r="BE833" i="75"/>
  <c r="BG793" i="75"/>
  <c r="BC682" i="75"/>
  <c r="BI903" i="75"/>
  <c r="BC766" i="75"/>
  <c r="BE251" i="75"/>
  <c r="BE500" i="75"/>
  <c r="DB1216" i="75"/>
  <c r="CO306" i="75"/>
  <c r="BS825" i="75"/>
  <c r="BC209" i="75"/>
  <c r="BG267" i="75"/>
  <c r="F52" i="112"/>
  <c r="H135" i="114"/>
  <c r="I4" i="134" a="1"/>
  <c r="I4" i="134" s="1"/>
  <c r="I11" i="134" s="1" a="1"/>
  <c r="I11" i="134" s="1"/>
  <c r="I18" i="134" s="1" a="1"/>
  <c r="I18" i="134" s="1"/>
  <c r="I25" i="134" s="1" a="1"/>
  <c r="I25" i="134" s="1"/>
  <c r="I32" i="134" s="1" a="1"/>
  <c r="I32" i="134" s="1"/>
  <c r="I39" i="134" s="1" a="1"/>
  <c r="I39" i="134" s="1"/>
  <c r="I46" i="134" s="1" a="1"/>
  <c r="I46" i="134" s="1"/>
  <c r="I53" i="134" s="1" a="1"/>
  <c r="I53" i="134" s="1"/>
  <c r="I60" i="134" s="1" a="1"/>
  <c r="I60" i="134" s="1"/>
  <c r="I67" i="134" s="1" a="1"/>
  <c r="I67" i="134" s="1"/>
  <c r="I74" i="134" s="1" a="1"/>
  <c r="I74" i="134" s="1"/>
  <c r="I81" i="134" s="1" a="1"/>
  <c r="I81" i="134" s="1"/>
  <c r="H4" i="134" a="1"/>
  <c r="H4" i="134" s="1"/>
  <c r="H11" i="134" s="1" a="1"/>
  <c r="H11" i="134" s="1"/>
  <c r="H18" i="134" s="1" a="1"/>
  <c r="H18" i="134" s="1"/>
  <c r="H25" i="134" s="1" a="1"/>
  <c r="H25" i="134" s="1"/>
  <c r="H32" i="134" s="1" a="1"/>
  <c r="H32" i="134" s="1"/>
  <c r="H39" i="134" s="1" a="1"/>
  <c r="H39" i="134" s="1"/>
  <c r="H46" i="134" s="1" a="1"/>
  <c r="H46" i="134" s="1"/>
  <c r="H53" i="134" s="1" a="1"/>
  <c r="H53" i="134" s="1"/>
  <c r="H60" i="134" s="1" a="1"/>
  <c r="H60" i="134" s="1"/>
  <c r="H67" i="134" s="1" a="1"/>
  <c r="H67" i="134" s="1"/>
  <c r="H74" i="134" s="1" a="1"/>
  <c r="H74" i="134" s="1"/>
  <c r="H81" i="134" s="1" a="1"/>
  <c r="H81" i="134" s="1"/>
  <c r="F88" i="134" a="1"/>
  <c r="F88" i="134" s="1"/>
  <c r="D88" i="134" a="1"/>
  <c r="D88" i="134" s="1"/>
  <c r="BC450" i="75"/>
  <c r="BU466" i="75"/>
  <c r="BU481" i="75"/>
  <c r="BU1008" i="75"/>
  <c r="BC439" i="75"/>
  <c r="BW1001" i="75"/>
  <c r="BX1001" i="75" s="1"/>
  <c r="BW1254" i="75"/>
  <c r="BW1264" i="75"/>
  <c r="BQ644" i="75"/>
  <c r="BC975" i="75"/>
  <c r="CE1129" i="75"/>
  <c r="CF1129" i="75" s="1"/>
  <c r="BY611" i="75"/>
  <c r="BU547" i="75"/>
  <c r="BQ425" i="75"/>
  <c r="BU781" i="75"/>
  <c r="E123" i="116"/>
  <c r="CK305" i="75"/>
  <c r="CO910" i="75"/>
  <c r="BQ697" i="75"/>
  <c r="BQ698" i="75"/>
  <c r="BQ235" i="75"/>
  <c r="BQ543" i="75"/>
  <c r="BM421" i="75"/>
  <c r="BM667" i="75"/>
  <c r="BI914" i="75"/>
  <c r="BO907" i="75"/>
  <c r="CK301" i="75"/>
  <c r="BK214" i="75"/>
  <c r="BI886" i="75"/>
  <c r="BK711" i="75"/>
  <c r="BG717" i="75"/>
  <c r="BG1090" i="75"/>
  <c r="CI1028" i="75"/>
  <c r="BU532" i="75"/>
  <c r="F44" i="116"/>
  <c r="CM843" i="75"/>
  <c r="BW1276" i="75"/>
  <c r="BU1194" i="75"/>
  <c r="BU1195" i="75"/>
  <c r="CW667" i="75"/>
  <c r="BG1064" i="75"/>
  <c r="BW1243" i="75"/>
  <c r="BG695" i="75"/>
  <c r="BQ767" i="75"/>
  <c r="BO872" i="75"/>
  <c r="BQ786" i="75"/>
  <c r="BK734" i="75"/>
  <c r="BK723" i="75"/>
  <c r="BW1262" i="75"/>
  <c r="BU1184" i="75"/>
  <c r="BU1215" i="75"/>
  <c r="BU459" i="75"/>
  <c r="BS518" i="75"/>
  <c r="BW1273" i="75"/>
  <c r="CO901" i="75"/>
  <c r="BG724" i="75"/>
  <c r="BM399" i="75"/>
  <c r="BM652" i="75"/>
  <c r="BI901" i="75"/>
  <c r="BI286" i="75"/>
  <c r="BK722" i="75"/>
  <c r="G203" i="113"/>
  <c r="BG693" i="75"/>
  <c r="E47" i="116"/>
  <c r="F47" i="116"/>
  <c r="CG241" i="75"/>
  <c r="W36" i="113"/>
  <c r="BG1227" i="75"/>
  <c r="BU487" i="75"/>
  <c r="BU1207" i="75"/>
  <c r="CG238" i="75"/>
  <c r="BG1236" i="75"/>
  <c r="CK306" i="75"/>
  <c r="BW1244" i="75"/>
  <c r="CI1025" i="75"/>
  <c r="BO219" i="75"/>
  <c r="BG1240" i="75"/>
  <c r="BG1232" i="75"/>
  <c r="BG1270" i="75"/>
  <c r="BW238" i="75"/>
  <c r="CC244" i="75"/>
  <c r="BU947" i="75"/>
  <c r="BM650" i="75"/>
  <c r="H36" i="114"/>
  <c r="BG653" i="75"/>
  <c r="BK719" i="75"/>
  <c r="S13" i="126"/>
  <c r="G3" i="131"/>
  <c r="BU1186" i="75"/>
  <c r="BW1248" i="75"/>
  <c r="BU475" i="75"/>
  <c r="BU1191" i="75"/>
  <c r="BS530" i="75"/>
  <c r="BU1035" i="75"/>
  <c r="CG231" i="75"/>
  <c r="CK430" i="75"/>
  <c r="BY599" i="75"/>
  <c r="BM394" i="75"/>
  <c r="BM668" i="75"/>
  <c r="BM656" i="75"/>
  <c r="BI893" i="75"/>
  <c r="BI910" i="75"/>
  <c r="BI871" i="75"/>
  <c r="CI242" i="75"/>
  <c r="BK701" i="75"/>
  <c r="BU1211" i="75"/>
  <c r="BU1015" i="75"/>
  <c r="CG249" i="75"/>
  <c r="BU492" i="75"/>
  <c r="CG250" i="75"/>
  <c r="H102" i="114"/>
  <c r="E24" i="115"/>
  <c r="BC932" i="75"/>
  <c r="BM1181" i="75"/>
  <c r="BU1007" i="75"/>
  <c r="CE1137" i="75"/>
  <c r="BG1248" i="75"/>
  <c r="BU457" i="75"/>
  <c r="BY613" i="75"/>
  <c r="BG1257" i="75"/>
  <c r="BU527" i="75"/>
  <c r="BU760" i="75"/>
  <c r="CK540" i="75"/>
  <c r="CA305" i="75"/>
  <c r="E26" i="116"/>
  <c r="DC550" i="75"/>
  <c r="CC235" i="75"/>
  <c r="BQ230" i="75"/>
  <c r="BS407" i="75"/>
  <c r="BQ244" i="75"/>
  <c r="BM672" i="75"/>
  <c r="BI883" i="75"/>
  <c r="BI891" i="75"/>
  <c r="BI904" i="75"/>
  <c r="F34" i="114"/>
  <c r="H223" i="116"/>
  <c r="BQ755" i="75"/>
  <c r="BM1274" i="75"/>
  <c r="BQ657" i="75"/>
  <c r="BU535" i="75"/>
  <c r="CA310" i="75"/>
  <c r="BQ776" i="75"/>
  <c r="BW1261" i="75"/>
  <c r="BU470" i="75"/>
  <c r="BW1020" i="75"/>
  <c r="BW1022" i="75"/>
  <c r="BW1268" i="75"/>
  <c r="BU471" i="75"/>
  <c r="BS551" i="75"/>
  <c r="BC948" i="75"/>
  <c r="BM1180" i="75"/>
  <c r="BW656" i="75"/>
  <c r="BW657" i="75"/>
  <c r="CE1143" i="75"/>
  <c r="BY595" i="75"/>
  <c r="BU544" i="75"/>
  <c r="BU793" i="75"/>
  <c r="CG787" i="75"/>
  <c r="BY1152" i="75"/>
  <c r="BW793" i="75"/>
  <c r="CO902" i="75"/>
  <c r="J126" i="115"/>
  <c r="BO229" i="75"/>
  <c r="H56" i="114"/>
  <c r="BQ725" i="75"/>
  <c r="BQ220" i="75"/>
  <c r="BS403" i="75"/>
  <c r="BO409" i="75"/>
  <c r="BM395" i="75"/>
  <c r="BM673" i="75"/>
  <c r="BE815" i="75"/>
  <c r="BI889" i="75"/>
  <c r="BI890" i="75"/>
  <c r="BO909" i="75"/>
  <c r="BC659" i="75"/>
  <c r="CX968" i="75" a="1"/>
  <c r="CX969" i="75" s="1"/>
  <c r="J66" i="112"/>
  <c r="F24" i="114"/>
  <c r="H139" i="116"/>
  <c r="BY729" i="75"/>
  <c r="CM957" i="75"/>
  <c r="CN957" i="75" s="1"/>
  <c r="H131" i="115"/>
  <c r="H41" i="114"/>
  <c r="CM968" i="75"/>
  <c r="BO1202" i="75"/>
  <c r="F21" i="116"/>
  <c r="BC1064" i="75"/>
  <c r="BS1196" i="75"/>
  <c r="BS701" i="75"/>
  <c r="BE304" i="75"/>
  <c r="BU515" i="75"/>
  <c r="BV515" i="75" s="1"/>
  <c r="BU432" i="75"/>
  <c r="BE308" i="75"/>
  <c r="BS696" i="75"/>
  <c r="BI660" i="75"/>
  <c r="CG783" i="75"/>
  <c r="CO308" i="75"/>
  <c r="BO1179" i="75"/>
  <c r="BS1205" i="75"/>
  <c r="CG780" i="75"/>
  <c r="CE249" i="75"/>
  <c r="E197" i="114"/>
  <c r="J197" i="114" s="1"/>
  <c r="F197" i="114"/>
  <c r="BS1181" i="75"/>
  <c r="BW1032" i="75"/>
  <c r="CG776" i="75"/>
  <c r="CG786" i="75"/>
  <c r="BQ897" i="75"/>
  <c r="BQ894" i="75"/>
  <c r="CG1012" i="75"/>
  <c r="BC1080" i="75"/>
  <c r="CG770" i="75"/>
  <c r="BS1177" i="75"/>
  <c r="BT1177" i="75" s="1"/>
  <c r="BS1204" i="75"/>
  <c r="BM1186" i="75"/>
  <c r="BM1179" i="75"/>
  <c r="BS710" i="75"/>
  <c r="BE296" i="75"/>
  <c r="BE289" i="75"/>
  <c r="BU540" i="75"/>
  <c r="BE291" i="75"/>
  <c r="BS734" i="75"/>
  <c r="BI672" i="75"/>
  <c r="BI636" i="75"/>
  <c r="CU783" i="75" a="1"/>
  <c r="CU794" i="75" s="1"/>
  <c r="BC952" i="75"/>
  <c r="BM1093" i="75"/>
  <c r="BC745" i="75"/>
  <c r="BS287" i="75"/>
  <c r="BM1052" i="75"/>
  <c r="CO301" i="75"/>
  <c r="CM1262" i="75"/>
  <c r="F18" i="112"/>
  <c r="CM958" i="75"/>
  <c r="BO1192" i="75"/>
  <c r="BI650" i="75"/>
  <c r="CO297" i="75"/>
  <c r="CM973" i="75"/>
  <c r="BO1181" i="75"/>
  <c r="CV673" i="75"/>
  <c r="BQ892" i="75"/>
  <c r="BQ875" i="75"/>
  <c r="BC1071" i="75"/>
  <c r="CK239" i="75"/>
  <c r="BS1178" i="75"/>
  <c r="BM1211" i="75"/>
  <c r="BS698" i="75"/>
  <c r="BE299" i="75"/>
  <c r="BU546" i="75"/>
  <c r="BS700" i="75"/>
  <c r="BI638" i="75"/>
  <c r="BI661" i="75"/>
  <c r="CK1075" i="75"/>
  <c r="CL1075" i="75" s="1"/>
  <c r="BW1011" i="75"/>
  <c r="CG771" i="75"/>
  <c r="CG1255" i="75"/>
  <c r="BE328" i="75"/>
  <c r="BQ909" i="75"/>
  <c r="BQ886" i="75"/>
  <c r="CC1011" i="75"/>
  <c r="CE1138" i="75"/>
  <c r="BC1079" i="75"/>
  <c r="CI1016" i="75"/>
  <c r="BS535" i="75"/>
  <c r="CK245" i="75"/>
  <c r="BC924" i="75"/>
  <c r="BM1209" i="75"/>
  <c r="BG342" i="75"/>
  <c r="BG347" i="75"/>
  <c r="BS695" i="75"/>
  <c r="BT695" i="75" s="1"/>
  <c r="BE283" i="75"/>
  <c r="BQ854" i="75"/>
  <c r="BE265" i="75"/>
  <c r="DD491" i="75"/>
  <c r="BY731" i="75"/>
  <c r="BU526" i="75"/>
  <c r="CA417" i="75"/>
  <c r="BO426" i="75"/>
  <c r="BU766" i="75"/>
  <c r="BU778" i="75"/>
  <c r="BM836" i="75"/>
  <c r="BI629" i="75"/>
  <c r="BI626" i="75"/>
  <c r="BU525" i="75"/>
  <c r="CA1014" i="75"/>
  <c r="BW239" i="75"/>
  <c r="BC958" i="75"/>
  <c r="BS705" i="75"/>
  <c r="BM1065" i="75"/>
  <c r="Z135" i="113"/>
  <c r="DB492" i="75"/>
  <c r="BC743" i="75"/>
  <c r="F42" i="116"/>
  <c r="CM655" i="75"/>
  <c r="CN655" i="75" s="1"/>
  <c r="BM1077" i="75"/>
  <c r="CO300" i="75"/>
  <c r="CO309" i="75"/>
  <c r="BC662" i="75"/>
  <c r="CE229" i="75"/>
  <c r="BG689" i="75"/>
  <c r="CK479" i="75"/>
  <c r="E157" i="112"/>
  <c r="J157" i="112" s="1"/>
  <c r="H117" i="114"/>
  <c r="F167" i="115"/>
  <c r="F105" i="112"/>
  <c r="BW1018" i="75"/>
  <c r="CM294" i="75"/>
  <c r="BE907" i="75"/>
  <c r="BY709" i="75"/>
  <c r="BS716" i="75"/>
  <c r="BE891" i="75"/>
  <c r="F77" i="116"/>
  <c r="BQ888" i="75"/>
  <c r="BQ883" i="75"/>
  <c r="CE1152" i="75"/>
  <c r="BC1078" i="75"/>
  <c r="CI1021" i="75"/>
  <c r="BY708" i="75"/>
  <c r="BM1194" i="75"/>
  <c r="BS731" i="75"/>
  <c r="BE303" i="75"/>
  <c r="BE306" i="75"/>
  <c r="BU545" i="75"/>
  <c r="BU774" i="75"/>
  <c r="BU758" i="75"/>
  <c r="BM827" i="75"/>
  <c r="BI633" i="75"/>
  <c r="BU520" i="75"/>
  <c r="BK1096" i="75"/>
  <c r="BC973" i="75"/>
  <c r="CC248" i="75"/>
  <c r="BM1062" i="75"/>
  <c r="BM1066" i="75"/>
  <c r="CO296" i="75"/>
  <c r="BI699" i="75"/>
  <c r="BY705" i="75"/>
  <c r="BK1089" i="75"/>
  <c r="BW951" i="75"/>
  <c r="CC224" i="75"/>
  <c r="BM1076" i="75"/>
  <c r="CE612" i="75"/>
  <c r="CO303" i="75"/>
  <c r="CO366" i="75"/>
  <c r="BY713" i="75"/>
  <c r="BK1049" i="75"/>
  <c r="BL1049" i="75" s="1"/>
  <c r="F111" i="114"/>
  <c r="E111" i="114"/>
  <c r="BS1214" i="75"/>
  <c r="E102" i="116"/>
  <c r="H102" i="116" s="1"/>
  <c r="BO397" i="75"/>
  <c r="BW963" i="75"/>
  <c r="BM1072" i="75"/>
  <c r="CO299" i="75"/>
  <c r="BO404" i="75"/>
  <c r="CE232" i="75"/>
  <c r="BE466" i="75"/>
  <c r="CX729" i="75"/>
  <c r="BC1083" i="75"/>
  <c r="CO1276" i="75"/>
  <c r="CO1260" i="75"/>
  <c r="BY712" i="75"/>
  <c r="CG790" i="75"/>
  <c r="BC939" i="75"/>
  <c r="BS697" i="75"/>
  <c r="BE288" i="75"/>
  <c r="BE311" i="75"/>
  <c r="BE280" i="75"/>
  <c r="BS1208" i="75"/>
  <c r="CI1018" i="75"/>
  <c r="BU517" i="75"/>
  <c r="BW958" i="75"/>
  <c r="BU761" i="75"/>
  <c r="BM853" i="75"/>
  <c r="BI662" i="75"/>
  <c r="CC240" i="75"/>
  <c r="BW976" i="75"/>
  <c r="BM1054" i="75"/>
  <c r="BW962" i="75"/>
  <c r="BO402" i="75"/>
  <c r="BW954" i="75"/>
  <c r="H69" i="114"/>
  <c r="H171" i="114"/>
  <c r="BK761" i="75"/>
  <c r="BK770" i="75"/>
  <c r="CE591" i="75"/>
  <c r="BM1067" i="75"/>
  <c r="CE600" i="75"/>
  <c r="CO305" i="75"/>
  <c r="BK783" i="75"/>
  <c r="CY969" i="75" a="1"/>
  <c r="CY976" i="75" s="1"/>
  <c r="BC1066" i="75"/>
  <c r="CO1272" i="75"/>
  <c r="BC1092" i="75"/>
  <c r="BY728" i="75"/>
  <c r="CG773" i="75"/>
  <c r="BS704" i="75"/>
  <c r="BE302" i="75"/>
  <c r="BE298" i="75"/>
  <c r="BS1206" i="75"/>
  <c r="BU548" i="75"/>
  <c r="BU536" i="75"/>
  <c r="BI649" i="75"/>
  <c r="BC965" i="75"/>
  <c r="CA222" i="75"/>
  <c r="BO421" i="75"/>
  <c r="BM1075" i="75"/>
  <c r="CO307" i="75"/>
  <c r="BK779" i="75"/>
  <c r="BE804" i="75"/>
  <c r="BY721" i="75"/>
  <c r="CM837" i="75"/>
  <c r="CG788" i="75"/>
  <c r="BY1268" i="75"/>
  <c r="BK466" i="75"/>
  <c r="H195" i="116"/>
  <c r="BQ882" i="75"/>
  <c r="BC1091" i="75"/>
  <c r="BY726" i="75"/>
  <c r="BC955" i="75"/>
  <c r="BW969" i="75"/>
  <c r="BS728" i="75"/>
  <c r="BE270" i="75"/>
  <c r="BE277" i="75"/>
  <c r="BE271" i="75"/>
  <c r="CI1036" i="75"/>
  <c r="BY710" i="75"/>
  <c r="BU533" i="75"/>
  <c r="BO423" i="75"/>
  <c r="BW946" i="75"/>
  <c r="BU765" i="75"/>
  <c r="BM852" i="75"/>
  <c r="BI673" i="75"/>
  <c r="BE348" i="75"/>
  <c r="CA225" i="75"/>
  <c r="BM1085" i="75"/>
  <c r="BO401" i="75"/>
  <c r="BS516" i="75"/>
  <c r="CE601" i="75"/>
  <c r="CA252" i="75"/>
  <c r="BU407" i="75"/>
  <c r="CA1016" i="75"/>
  <c r="H24" i="112"/>
  <c r="E66" i="114"/>
  <c r="J98" i="112"/>
  <c r="BW964" i="75"/>
  <c r="BO389" i="75"/>
  <c r="BP389" i="75" s="1"/>
  <c r="BE812" i="75"/>
  <c r="BG309" i="75"/>
  <c r="BM226" i="75"/>
  <c r="CE605" i="75"/>
  <c r="BQ765" i="75"/>
  <c r="CE236" i="75"/>
  <c r="E73" i="112"/>
  <c r="J73" i="112" s="1"/>
  <c r="E95" i="115"/>
  <c r="F119" i="114"/>
  <c r="J177" i="115"/>
  <c r="BU523" i="75"/>
  <c r="BQ887" i="75"/>
  <c r="BI643" i="75"/>
  <c r="BM1151" i="75"/>
  <c r="CG1253" i="75"/>
  <c r="BE899" i="75"/>
  <c r="CG1251" i="75"/>
  <c r="CH1251" i="75" s="1"/>
  <c r="BY1270" i="75"/>
  <c r="BK490" i="75"/>
  <c r="BQ900" i="75"/>
  <c r="BQ876" i="75"/>
  <c r="BC1044" i="75"/>
  <c r="BC1076" i="75"/>
  <c r="BQ600" i="75"/>
  <c r="BS1195" i="75"/>
  <c r="BC925" i="75"/>
  <c r="CA415" i="75"/>
  <c r="CA401" i="75"/>
  <c r="CB401" i="75" s="1"/>
  <c r="BG343" i="75"/>
  <c r="BG371" i="75"/>
  <c r="BG324" i="75"/>
  <c r="BM828" i="75"/>
  <c r="BE262" i="75"/>
  <c r="BE268" i="75"/>
  <c r="BE282" i="75"/>
  <c r="BQ818" i="75"/>
  <c r="BQ839" i="75"/>
  <c r="CE1144" i="75"/>
  <c r="CM1264" i="75"/>
  <c r="BU538" i="75"/>
  <c r="CM1276" i="75"/>
  <c r="CM660" i="75"/>
  <c r="BO428" i="75"/>
  <c r="BW957" i="75"/>
  <c r="BO276" i="75"/>
  <c r="BU777" i="75"/>
  <c r="BM813" i="75"/>
  <c r="BI204" i="75"/>
  <c r="BI645" i="75"/>
  <c r="BI240" i="75"/>
  <c r="DB730" i="75" a="1"/>
  <c r="CM974" i="75"/>
  <c r="BU521" i="75"/>
  <c r="CA1024" i="75"/>
  <c r="J41" i="115"/>
  <c r="BI205" i="75"/>
  <c r="CO717" i="75"/>
  <c r="CP717" i="75" s="1"/>
  <c r="BO420" i="75"/>
  <c r="BE838" i="75"/>
  <c r="H129" i="112"/>
  <c r="BE803" i="75"/>
  <c r="BM227" i="75"/>
  <c r="CI250" i="75"/>
  <c r="BS1137" i="75"/>
  <c r="BU960" i="75"/>
  <c r="CE228" i="75"/>
  <c r="CE248" i="75"/>
  <c r="F173" i="114"/>
  <c r="BY723" i="75"/>
  <c r="CM852" i="75"/>
  <c r="CO848" i="75"/>
  <c r="BC1090" i="75"/>
  <c r="BS1209" i="75"/>
  <c r="BS712" i="75"/>
  <c r="BS709" i="75"/>
  <c r="BE278" i="75"/>
  <c r="BE285" i="75"/>
  <c r="BE888" i="75"/>
  <c r="CG792" i="75"/>
  <c r="BE875" i="75"/>
  <c r="BY1271" i="75"/>
  <c r="BK455" i="75"/>
  <c r="BQ902" i="75"/>
  <c r="CG1026" i="75"/>
  <c r="BC1046" i="75"/>
  <c r="BS1203" i="75"/>
  <c r="BC943" i="75"/>
  <c r="BM854" i="75"/>
  <c r="BG1050" i="75"/>
  <c r="CE1131" i="75"/>
  <c r="BU531" i="75"/>
  <c r="BO424" i="75"/>
  <c r="BO274" i="75"/>
  <c r="BU789" i="75"/>
  <c r="BI227" i="75"/>
  <c r="BM829" i="75"/>
  <c r="BI229" i="75"/>
  <c r="BI246" i="75"/>
  <c r="CM964" i="75"/>
  <c r="CQ1201" i="75" a="1"/>
  <c r="CQ1202" i="75" s="1"/>
  <c r="CA1020" i="75"/>
  <c r="CA1017" i="75"/>
  <c r="CY847" i="75" a="1"/>
  <c r="CY853" i="75" s="1"/>
  <c r="BO403" i="75"/>
  <c r="BS284" i="75"/>
  <c r="CK299" i="75"/>
  <c r="BW222" i="75"/>
  <c r="F186" i="115"/>
  <c r="BM217" i="75"/>
  <c r="BM230" i="75"/>
  <c r="CE608" i="75"/>
  <c r="BK708" i="75"/>
  <c r="BK727" i="75"/>
  <c r="H172" i="116"/>
  <c r="F193" i="112"/>
  <c r="E122" i="114"/>
  <c r="BQ1251" i="75"/>
  <c r="F93" i="115"/>
  <c r="F4" i="125"/>
  <c r="CN138" i="125"/>
  <c r="CN25" i="125"/>
  <c r="CN125" i="125"/>
  <c r="CN12" i="125"/>
  <c r="J12" i="125"/>
  <c r="DR12" i="125" s="1"/>
  <c r="J125" i="125"/>
  <c r="G4" i="125"/>
  <c r="AE6" i="101"/>
  <c r="CL125" i="125"/>
  <c r="BE346" i="75"/>
  <c r="CE777" i="75"/>
  <c r="BS537" i="75"/>
  <c r="BS536" i="75"/>
  <c r="BK1057" i="75"/>
  <c r="BF1224" i="75" a="1"/>
  <c r="BW1034" i="75"/>
  <c r="BW1256" i="75"/>
  <c r="BE366" i="75"/>
  <c r="BE321" i="75"/>
  <c r="BE343" i="75"/>
  <c r="BM834" i="75"/>
  <c r="CO1213" i="75"/>
  <c r="BW1263" i="75"/>
  <c r="CE776" i="75"/>
  <c r="BM848" i="75"/>
  <c r="BZ1124" i="75" a="1"/>
  <c r="BZ1134" i="75" s="1"/>
  <c r="E127" i="115"/>
  <c r="CW363" i="75" a="1"/>
  <c r="CW363" i="75" s="1"/>
  <c r="CX363" i="75" s="1"/>
  <c r="BK1065" i="75"/>
  <c r="BM816" i="75"/>
  <c r="BE845" i="75"/>
  <c r="BW1010" i="75"/>
  <c r="BS1247" i="75"/>
  <c r="CG1259" i="75"/>
  <c r="BC1163" i="75"/>
  <c r="CY1089" i="75"/>
  <c r="CZ1089" i="75" s="1"/>
  <c r="BE350" i="75"/>
  <c r="BC1067" i="75"/>
  <c r="BQ606" i="75"/>
  <c r="BI416" i="75"/>
  <c r="BM821" i="75"/>
  <c r="CG1036" i="75"/>
  <c r="CG233" i="75"/>
  <c r="CO1022" i="75"/>
  <c r="BU465" i="75"/>
  <c r="BM820" i="75"/>
  <c r="F22" i="116"/>
  <c r="E146" i="116"/>
  <c r="J146" i="116" s="1"/>
  <c r="CO965" i="75"/>
  <c r="BK1073" i="75"/>
  <c r="H161" i="114"/>
  <c r="CC230" i="75"/>
  <c r="BE835" i="75"/>
  <c r="BE811" i="75"/>
  <c r="BC667" i="75"/>
  <c r="CC302" i="75"/>
  <c r="BM1071" i="75"/>
  <c r="BK219" i="75"/>
  <c r="BE342" i="75"/>
  <c r="BW1016" i="75"/>
  <c r="BS1255" i="75"/>
  <c r="BW1247" i="75"/>
  <c r="BE345" i="75"/>
  <c r="CV672" i="75"/>
  <c r="BE363" i="75"/>
  <c r="BC1094" i="75"/>
  <c r="BC1093" i="75"/>
  <c r="BQ595" i="75"/>
  <c r="BQ597" i="75"/>
  <c r="BS1257" i="75"/>
  <c r="CG237" i="75"/>
  <c r="CO1025" i="75"/>
  <c r="BG1264" i="75"/>
  <c r="BU467" i="75"/>
  <c r="BY590" i="75"/>
  <c r="BC1177" i="75"/>
  <c r="BG1276" i="75"/>
  <c r="BM841" i="75"/>
  <c r="CO962" i="75"/>
  <c r="BK1076" i="75"/>
  <c r="BE822" i="75"/>
  <c r="BE824" i="75"/>
  <c r="BU734" i="75"/>
  <c r="BS548" i="75"/>
  <c r="BK1091" i="75"/>
  <c r="H212" i="115"/>
  <c r="H32" i="112"/>
  <c r="CE790" i="75"/>
  <c r="BW1275" i="75"/>
  <c r="E124" i="115"/>
  <c r="BE330" i="75"/>
  <c r="CX731" i="75"/>
  <c r="BQ592" i="75"/>
  <c r="BS519" i="75"/>
  <c r="BS546" i="75"/>
  <c r="BY596" i="75"/>
  <c r="CI1026" i="75"/>
  <c r="BM831" i="75"/>
  <c r="BM819" i="75"/>
  <c r="BQ1092" i="75"/>
  <c r="CV1266" i="75" a="1"/>
  <c r="BK1066" i="75"/>
  <c r="BE327" i="75"/>
  <c r="CC239" i="75"/>
  <c r="BE844" i="75"/>
  <c r="BM847" i="75"/>
  <c r="BS293" i="75"/>
  <c r="BS294" i="75"/>
  <c r="CC223" i="75"/>
  <c r="CD223" i="75" s="1"/>
  <c r="BK1095" i="75"/>
  <c r="BM825" i="75"/>
  <c r="BS1253" i="75"/>
  <c r="BK1050" i="75"/>
  <c r="BE337" i="75"/>
  <c r="BE367" i="75"/>
  <c r="BQ604" i="75"/>
  <c r="F83" i="116"/>
  <c r="BC655" i="75"/>
  <c r="BO392" i="75"/>
  <c r="BM306" i="75"/>
  <c r="H31" i="112"/>
  <c r="BC654" i="75"/>
  <c r="E88" i="115"/>
  <c r="F138" i="114"/>
  <c r="BS850" i="75"/>
  <c r="BC730" i="75"/>
  <c r="F143" i="115"/>
  <c r="CC1128" i="75"/>
  <c r="BQ1147" i="75"/>
  <c r="BW1259" i="75"/>
  <c r="BW1252" i="75"/>
  <c r="E75" i="116"/>
  <c r="J75" i="116" s="1"/>
  <c r="BU277" i="75"/>
  <c r="BE336" i="75"/>
  <c r="BE368" i="75"/>
  <c r="BC1058" i="75"/>
  <c r="BS515" i="75"/>
  <c r="BQ588" i="75"/>
  <c r="BQ581" i="75"/>
  <c r="BS1201" i="75"/>
  <c r="DC1154" i="75"/>
  <c r="BM1216" i="75"/>
  <c r="BG1060" i="75"/>
  <c r="BS1180" i="75"/>
  <c r="BY585" i="75"/>
  <c r="BI411" i="75"/>
  <c r="BG1226" i="75"/>
  <c r="CA429" i="75"/>
  <c r="BM817" i="75"/>
  <c r="BM837" i="75"/>
  <c r="H16" i="116"/>
  <c r="BS299" i="75"/>
  <c r="BK1063" i="75"/>
  <c r="CA231" i="75"/>
  <c r="BW1216" i="75"/>
  <c r="BE841" i="75"/>
  <c r="BU721" i="75"/>
  <c r="BO405" i="75"/>
  <c r="CC284" i="75"/>
  <c r="BM311" i="75"/>
  <c r="BO430" i="75"/>
  <c r="CC242" i="75"/>
  <c r="F108" i="114"/>
  <c r="BG1013" i="75"/>
  <c r="BK1087" i="75"/>
  <c r="BM835" i="75"/>
  <c r="CZ908" i="75" a="1"/>
  <c r="BN992" i="75" a="1"/>
  <c r="BN1019" i="75" s="1"/>
  <c r="E193" i="115"/>
  <c r="F193" i="115"/>
  <c r="BM818" i="75"/>
  <c r="BS527" i="75"/>
  <c r="BE370" i="75"/>
  <c r="BS538" i="75"/>
  <c r="BS533" i="75"/>
  <c r="CE783" i="75"/>
  <c r="CM962" i="75"/>
  <c r="CO1199" i="75"/>
  <c r="CP1199" i="75" s="1"/>
  <c r="BK1075" i="75"/>
  <c r="BM823" i="75"/>
  <c r="CC225" i="75"/>
  <c r="E133" i="116"/>
  <c r="F133" i="116"/>
  <c r="BS521" i="75"/>
  <c r="CE789" i="75"/>
  <c r="CO1203" i="75"/>
  <c r="BK1082" i="75"/>
  <c r="BE372" i="75"/>
  <c r="CN1198" i="75" a="1"/>
  <c r="BQ1133" i="75"/>
  <c r="BQ1146" i="75"/>
  <c r="BQ1137" i="75"/>
  <c r="CY1090" i="75"/>
  <c r="BS517" i="75"/>
  <c r="DD490" i="75"/>
  <c r="CE786" i="75"/>
  <c r="BM844" i="75"/>
  <c r="BM832" i="75"/>
  <c r="CO1207" i="75"/>
  <c r="BK1067" i="75"/>
  <c r="BU763" i="75"/>
  <c r="BU785" i="75"/>
  <c r="CO1201" i="75"/>
  <c r="BK1077" i="75"/>
  <c r="BK1084" i="75"/>
  <c r="BZ702" i="75" a="1"/>
  <c r="F66" i="112"/>
  <c r="BR1236" i="75" a="1"/>
  <c r="BR1253" i="75" s="1"/>
  <c r="CE778" i="75"/>
  <c r="CO1209" i="75"/>
  <c r="BK1093" i="75"/>
  <c r="BK1052" i="75"/>
  <c r="BW1265" i="75"/>
  <c r="CE768" i="75"/>
  <c r="CO1215" i="75"/>
  <c r="BK1088" i="75"/>
  <c r="BK1061" i="75"/>
  <c r="BG311" i="75"/>
  <c r="BM307" i="75"/>
  <c r="DA909" i="75" a="1"/>
  <c r="BE319" i="75"/>
  <c r="BF319" i="75" s="1"/>
  <c r="H126" i="114"/>
  <c r="J126" i="114"/>
  <c r="J59" i="114"/>
  <c r="H59" i="114"/>
  <c r="H118" i="115"/>
  <c r="J118" i="115"/>
  <c r="F63" i="114"/>
  <c r="G205" i="113"/>
  <c r="BI761" i="75"/>
  <c r="BG502" i="75"/>
  <c r="BY352" i="75"/>
  <c r="DD252" i="75"/>
  <c r="G202" i="113"/>
  <c r="CK236" i="75"/>
  <c r="BI386" i="75"/>
  <c r="BM1175" i="75"/>
  <c r="BM293" i="75"/>
  <c r="BM604" i="75"/>
  <c r="BI780" i="75"/>
  <c r="BM612" i="75"/>
  <c r="BU350" i="75"/>
  <c r="BQ666" i="75"/>
  <c r="CM1209" i="75"/>
  <c r="BG229" i="75"/>
  <c r="BG248" i="75"/>
  <c r="H157" i="114"/>
  <c r="H142" i="112"/>
  <c r="CA230" i="75"/>
  <c r="BK213" i="75"/>
  <c r="BG530" i="75"/>
  <c r="BY372" i="75"/>
  <c r="CU363" i="75"/>
  <c r="BC642" i="75"/>
  <c r="CI850" i="75"/>
  <c r="BG514" i="75"/>
  <c r="CI244" i="75"/>
  <c r="BM282" i="75"/>
  <c r="F16" i="115"/>
  <c r="BM312" i="75"/>
  <c r="BK205" i="75"/>
  <c r="BL205" i="75" s="1"/>
  <c r="F106" i="114"/>
  <c r="H85" i="112"/>
  <c r="F118" i="115"/>
  <c r="BI762" i="75"/>
  <c r="BG249" i="75"/>
  <c r="BG209" i="75"/>
  <c r="BY1136" i="75"/>
  <c r="BQ953" i="75"/>
  <c r="BQ645" i="75"/>
  <c r="F123" i="115"/>
  <c r="DD251" i="75"/>
  <c r="AS205" i="113"/>
  <c r="BS1215" i="75"/>
  <c r="BC926" i="75"/>
  <c r="CO538" i="75"/>
  <c r="BI428" i="75"/>
  <c r="BM1183" i="75"/>
  <c r="BW960" i="75"/>
  <c r="BM299" i="75"/>
  <c r="BI759" i="75"/>
  <c r="BI775" i="75"/>
  <c r="BM605" i="75"/>
  <c r="BM576" i="75"/>
  <c r="CX304" i="75" a="1"/>
  <c r="CA247" i="75"/>
  <c r="BW1245" i="75"/>
  <c r="BI400" i="75"/>
  <c r="BC621" i="75"/>
  <c r="BC635" i="75"/>
  <c r="BG252" i="75"/>
  <c r="BG251" i="75"/>
  <c r="CW1147" i="75" a="1"/>
  <c r="CW1154" i="75" s="1"/>
  <c r="H96" i="114"/>
  <c r="CA242" i="75"/>
  <c r="BM598" i="75"/>
  <c r="BG548" i="75"/>
  <c r="BQ545" i="75"/>
  <c r="BG715" i="75"/>
  <c r="BG510" i="75"/>
  <c r="BU230" i="75"/>
  <c r="BY347" i="75"/>
  <c r="BC744" i="75"/>
  <c r="BK217" i="75"/>
  <c r="CC285" i="75"/>
  <c r="BU229" i="75"/>
  <c r="BI789" i="75"/>
  <c r="E125" i="114"/>
  <c r="H125" i="114" s="1"/>
  <c r="BK689" i="75"/>
  <c r="BI755" i="75"/>
  <c r="BM1058" i="75"/>
  <c r="BG759" i="75"/>
  <c r="BS848" i="75"/>
  <c r="BK234" i="75"/>
  <c r="BQ338" i="75"/>
  <c r="E32" i="114"/>
  <c r="BQ954" i="75"/>
  <c r="BQ970" i="75"/>
  <c r="CM301" i="75"/>
  <c r="BQ635" i="75"/>
  <c r="BQ936" i="75"/>
  <c r="H21" i="112"/>
  <c r="CU368" i="75"/>
  <c r="BY1129" i="75"/>
  <c r="BQ952" i="75"/>
  <c r="BQ1141" i="75"/>
  <c r="BC1214" i="75"/>
  <c r="BI444" i="75"/>
  <c r="AS209" i="113"/>
  <c r="AP14" i="113"/>
  <c r="CU371" i="75"/>
  <c r="CQ237" i="75" a="1"/>
  <c r="CQ246" i="75" s="1"/>
  <c r="BW1242" i="75"/>
  <c r="CK248" i="75"/>
  <c r="BS1183" i="75"/>
  <c r="BC971" i="75"/>
  <c r="CO544" i="75"/>
  <c r="BI419" i="75"/>
  <c r="BM1207" i="75"/>
  <c r="BW953" i="75"/>
  <c r="BM274" i="75"/>
  <c r="BI768" i="75"/>
  <c r="BI748" i="75"/>
  <c r="BM571" i="75"/>
  <c r="CA251" i="75"/>
  <c r="CK424" i="75"/>
  <c r="CK417" i="75"/>
  <c r="CO1019" i="75"/>
  <c r="CP1019" i="75" s="1"/>
  <c r="CO551" i="75"/>
  <c r="BW588" i="75"/>
  <c r="BC626" i="75"/>
  <c r="BC643" i="75"/>
  <c r="BG244" i="75"/>
  <c r="BG250" i="75"/>
  <c r="CA239" i="75"/>
  <c r="BM610" i="75"/>
  <c r="BQ534" i="75"/>
  <c r="CI252" i="75"/>
  <c r="BG710" i="75"/>
  <c r="BG534" i="75"/>
  <c r="BU237" i="75"/>
  <c r="BY340" i="75"/>
  <c r="BK292" i="75"/>
  <c r="CE422" i="75"/>
  <c r="BG211" i="75"/>
  <c r="CC295" i="75"/>
  <c r="F142" i="112"/>
  <c r="BK721" i="75"/>
  <c r="BU247" i="75"/>
  <c r="BS817" i="75"/>
  <c r="BG714" i="75"/>
  <c r="J218" i="115"/>
  <c r="H144" i="112"/>
  <c r="BI756" i="75"/>
  <c r="BI788" i="75"/>
  <c r="DC252" i="75"/>
  <c r="DD312" i="75"/>
  <c r="BG226" i="75"/>
  <c r="BG246" i="75"/>
  <c r="BG238" i="75"/>
  <c r="BG538" i="75"/>
  <c r="BY339" i="75"/>
  <c r="BZ339" i="75" s="1"/>
  <c r="BY355" i="75"/>
  <c r="CE410" i="75"/>
  <c r="CE409" i="75"/>
  <c r="BC244" i="75"/>
  <c r="BS854" i="75"/>
  <c r="BI776" i="75"/>
  <c r="BI784" i="75"/>
  <c r="CA224" i="75"/>
  <c r="BI769" i="75"/>
  <c r="H182" i="115"/>
  <c r="BM572" i="75"/>
  <c r="BG505" i="75"/>
  <c r="BY367" i="75"/>
  <c r="BG541" i="75"/>
  <c r="CI840" i="75"/>
  <c r="CX1268" i="75" a="1"/>
  <c r="BK223" i="75"/>
  <c r="BM300" i="75"/>
  <c r="CI842" i="75"/>
  <c r="BY365" i="75"/>
  <c r="G204" i="113"/>
  <c r="DC251" i="75"/>
  <c r="BG217" i="75"/>
  <c r="BG206" i="75"/>
  <c r="CK908" i="75"/>
  <c r="BQ951" i="75"/>
  <c r="BQ1149" i="75"/>
  <c r="BY490" i="75"/>
  <c r="CC1152" i="75"/>
  <c r="CR418" i="75" a="1"/>
  <c r="BS1212" i="75"/>
  <c r="BC954" i="75"/>
  <c r="CO550" i="75"/>
  <c r="BI426" i="75"/>
  <c r="BM1193" i="75"/>
  <c r="BM1177" i="75"/>
  <c r="BW966" i="75"/>
  <c r="BM284" i="75"/>
  <c r="BI764" i="75"/>
  <c r="BI773" i="75"/>
  <c r="BM613" i="75"/>
  <c r="BI752" i="75"/>
  <c r="BW1266" i="75"/>
  <c r="CO1024" i="75"/>
  <c r="BQ668" i="75"/>
  <c r="BI399" i="75"/>
  <c r="BQ399" i="75"/>
  <c r="BW967" i="75"/>
  <c r="BG203" i="75"/>
  <c r="CA236" i="75"/>
  <c r="BQ535" i="75"/>
  <c r="CI243" i="75"/>
  <c r="BG533" i="75"/>
  <c r="BY342" i="75"/>
  <c r="CC291" i="75"/>
  <c r="BU233" i="75"/>
  <c r="BK778" i="75"/>
  <c r="BQ551" i="75"/>
  <c r="BK230" i="75"/>
  <c r="E141" i="112"/>
  <c r="J141" i="112" s="1"/>
  <c r="BC202" i="75"/>
  <c r="BK705" i="75"/>
  <c r="DA1031" i="75" a="1"/>
  <c r="DA1033" i="75" s="1"/>
  <c r="E107" i="112"/>
  <c r="J107" i="112" s="1"/>
  <c r="F23" i="115"/>
  <c r="E23" i="115"/>
  <c r="E31" i="114"/>
  <c r="J31" i="114" s="1"/>
  <c r="F31" i="114"/>
  <c r="BY354" i="75"/>
  <c r="BM1140" i="75"/>
  <c r="BQ1143" i="75"/>
  <c r="CM299" i="75"/>
  <c r="BW579" i="75"/>
  <c r="BX579" i="75" s="1"/>
  <c r="CO1264" i="75"/>
  <c r="CK234" i="75"/>
  <c r="BM1174" i="75"/>
  <c r="BM1201" i="75"/>
  <c r="BI746" i="75"/>
  <c r="BI749" i="75"/>
  <c r="BI783" i="75"/>
  <c r="BM578" i="75"/>
  <c r="BM602" i="75"/>
  <c r="BI792" i="75"/>
  <c r="BI410" i="75"/>
  <c r="BQ633" i="75"/>
  <c r="BR633" i="75" s="1"/>
  <c r="CO539" i="75"/>
  <c r="DD793" i="75"/>
  <c r="BG241" i="75"/>
  <c r="BY1147" i="75"/>
  <c r="H119" i="115"/>
  <c r="BS1202" i="75"/>
  <c r="CA226" i="75"/>
  <c r="BM269" i="75"/>
  <c r="BG688" i="75"/>
  <c r="BQ524" i="75"/>
  <c r="BG516" i="75"/>
  <c r="BY349" i="75"/>
  <c r="CY787" i="75" a="1"/>
  <c r="F182" i="115"/>
  <c r="BU248" i="75"/>
  <c r="CE407" i="75"/>
  <c r="BU251" i="75"/>
  <c r="BQ552" i="75"/>
  <c r="BQ550" i="75"/>
  <c r="DB850" i="75" a="1"/>
  <c r="BS852" i="75"/>
  <c r="BI760" i="75"/>
  <c r="BI753" i="75"/>
  <c r="BG208" i="75"/>
  <c r="BG216" i="75"/>
  <c r="CH952" i="75" a="1"/>
  <c r="CH964" i="75" s="1"/>
  <c r="BG551" i="75"/>
  <c r="BG519" i="75"/>
  <c r="BQ942" i="75"/>
  <c r="BM1131" i="75"/>
  <c r="BQ950" i="75"/>
  <c r="BQ1118" i="75"/>
  <c r="BE913" i="75"/>
  <c r="BW580" i="75"/>
  <c r="CI836" i="75"/>
  <c r="CO1267" i="75"/>
  <c r="BE865" i="75"/>
  <c r="BS1185" i="75"/>
  <c r="BC951" i="75"/>
  <c r="BM1190" i="75"/>
  <c r="BM1205" i="75"/>
  <c r="BW975" i="75"/>
  <c r="BI787" i="75"/>
  <c r="BI750" i="75"/>
  <c r="BM597" i="75"/>
  <c r="BM589" i="75"/>
  <c r="CO537" i="75"/>
  <c r="BQ416" i="75"/>
  <c r="BC620" i="75"/>
  <c r="BW961" i="75"/>
  <c r="BG235" i="75"/>
  <c r="CX1208" i="75" a="1"/>
  <c r="CX1216" i="75" s="1"/>
  <c r="BY1151" i="75"/>
  <c r="CE1135" i="75"/>
  <c r="BC941" i="75"/>
  <c r="H32" i="116"/>
  <c r="CA232" i="75"/>
  <c r="BM290" i="75"/>
  <c r="BG703" i="75"/>
  <c r="BQ523" i="75"/>
  <c r="BW949" i="75"/>
  <c r="CI835" i="75"/>
  <c r="BK248" i="75"/>
  <c r="CE406" i="75"/>
  <c r="BC205" i="75"/>
  <c r="F57" i="112"/>
  <c r="BI905" i="75"/>
  <c r="F82" i="114"/>
  <c r="BQ1155" i="75"/>
  <c r="CI846" i="75"/>
  <c r="BM1208" i="75"/>
  <c r="BI757" i="75"/>
  <c r="BI785" i="75"/>
  <c r="BG552" i="75"/>
  <c r="CE415" i="75"/>
  <c r="BM302" i="75"/>
  <c r="BG245" i="75"/>
  <c r="F101" i="114"/>
  <c r="H16" i="115"/>
  <c r="BI485" i="75"/>
  <c r="BW599" i="75"/>
  <c r="BG234" i="75"/>
  <c r="CS1263" i="75" a="1"/>
  <c r="BM1137" i="75"/>
  <c r="BQ939" i="75"/>
  <c r="BQ1124" i="75"/>
  <c r="BC1173" i="75"/>
  <c r="BI371" i="75"/>
  <c r="BW583" i="75"/>
  <c r="CI838" i="75"/>
  <c r="BS1197" i="75"/>
  <c r="BM1173" i="75"/>
  <c r="BI782" i="75"/>
  <c r="BI751" i="75"/>
  <c r="BI791" i="75"/>
  <c r="BM611" i="75"/>
  <c r="BM601" i="75"/>
  <c r="BO999" i="75"/>
  <c r="BY1135" i="75"/>
  <c r="BI452" i="75"/>
  <c r="BI407" i="75"/>
  <c r="CO542" i="75"/>
  <c r="BG201" i="75"/>
  <c r="BH201" i="75" s="1"/>
  <c r="BY1156" i="75"/>
  <c r="BC922" i="75"/>
  <c r="CA249" i="75"/>
  <c r="H109" i="116"/>
  <c r="BG696" i="75"/>
  <c r="BQ520" i="75"/>
  <c r="BW965" i="75"/>
  <c r="DD310" i="75"/>
  <c r="BC665" i="75"/>
  <c r="BC651" i="75"/>
  <c r="BK210" i="75"/>
  <c r="CE431" i="75"/>
  <c r="CU370" i="75"/>
  <c r="CI232" i="75"/>
  <c r="F46" i="114"/>
  <c r="H103" i="116"/>
  <c r="BK221" i="75"/>
  <c r="CA1255" i="75"/>
  <c r="BC733" i="75"/>
  <c r="H46" i="114"/>
  <c r="E175" i="114"/>
  <c r="F175" i="114"/>
  <c r="BM1195" i="75"/>
  <c r="BI767" i="75"/>
  <c r="BI443" i="75"/>
  <c r="BJ443" i="75" s="1"/>
  <c r="BG210" i="75"/>
  <c r="H135" i="112"/>
  <c r="BY1153" i="75"/>
  <c r="F103" i="116"/>
  <c r="BG733" i="75"/>
  <c r="BQ548" i="75"/>
  <c r="BQ528" i="75"/>
  <c r="BW968" i="75"/>
  <c r="H22" i="112"/>
  <c r="BI758" i="75"/>
  <c r="BW972" i="75"/>
  <c r="CI854" i="75"/>
  <c r="BQ841" i="75"/>
  <c r="BM1060" i="75"/>
  <c r="CI251" i="75"/>
  <c r="BM297" i="75"/>
  <c r="BQ529" i="75"/>
  <c r="CE418" i="75"/>
  <c r="BC669" i="75"/>
  <c r="BU240" i="75"/>
  <c r="F59" i="114"/>
  <c r="CO608" i="75"/>
  <c r="F191" i="112"/>
  <c r="J204" i="115"/>
  <c r="BG218" i="75"/>
  <c r="BG507" i="75"/>
  <c r="BY351" i="75"/>
  <c r="E14" i="116"/>
  <c r="CI833" i="75"/>
  <c r="F21" i="112"/>
  <c r="BK233" i="75"/>
  <c r="CC307" i="75"/>
  <c r="H108" i="112"/>
  <c r="BI786" i="75"/>
  <c r="BO1208" i="75"/>
  <c r="BQ1121" i="75"/>
  <c r="BI477" i="75"/>
  <c r="BM1203" i="75"/>
  <c r="BI771" i="75"/>
  <c r="BM575" i="75"/>
  <c r="BI778" i="75"/>
  <c r="BI770" i="75"/>
  <c r="CK426" i="75"/>
  <c r="BY1138" i="75"/>
  <c r="BI478" i="75"/>
  <c r="BG225" i="75"/>
  <c r="BG731" i="75"/>
  <c r="BG542" i="75"/>
  <c r="BU220" i="75"/>
  <c r="BW971" i="75"/>
  <c r="BY357" i="75"/>
  <c r="BG501" i="75"/>
  <c r="BH501" i="75" s="1"/>
  <c r="CI839" i="75"/>
  <c r="CI237" i="75"/>
  <c r="BM273" i="75"/>
  <c r="DB548" i="75" a="1"/>
  <c r="DB548" i="75" s="1"/>
  <c r="BO1204" i="75"/>
  <c r="CI419" i="75"/>
  <c r="J44" i="115"/>
  <c r="BM1202" i="75"/>
  <c r="BI745" i="75"/>
  <c r="BJ745" i="75" s="1"/>
  <c r="BG205" i="75"/>
  <c r="BG223" i="75"/>
  <c r="CN294" i="75" a="1"/>
  <c r="H71" i="112"/>
  <c r="BI390" i="75"/>
  <c r="CO547" i="75"/>
  <c r="BG531" i="75"/>
  <c r="BG506" i="75"/>
  <c r="BY356" i="75"/>
  <c r="BG521" i="75"/>
  <c r="BK771" i="75"/>
  <c r="BK794" i="75"/>
  <c r="BM1095" i="75"/>
  <c r="BM303" i="75"/>
  <c r="BS830" i="75"/>
  <c r="BS849" i="75"/>
  <c r="BS819" i="75"/>
  <c r="BO1078" i="75"/>
  <c r="BS844" i="75"/>
  <c r="BO284" i="75"/>
  <c r="H108" i="114"/>
  <c r="BI772" i="75"/>
  <c r="BI794" i="75"/>
  <c r="BI765" i="75"/>
  <c r="BG230" i="75"/>
  <c r="BG227" i="75"/>
  <c r="H210" i="113"/>
  <c r="J101" i="114"/>
  <c r="BG513" i="75"/>
  <c r="BY363" i="75"/>
  <c r="BG526" i="75"/>
  <c r="BM285" i="75"/>
  <c r="BM1184" i="75"/>
  <c r="BI747" i="75"/>
  <c r="BY1140" i="75"/>
  <c r="BG236" i="75"/>
  <c r="BG243" i="75"/>
  <c r="CN1018" i="75" a="1"/>
  <c r="CN1029" i="75" s="1"/>
  <c r="BG732" i="75"/>
  <c r="CI240" i="75"/>
  <c r="BG537" i="75"/>
  <c r="BG545" i="75"/>
  <c r="BU225" i="75"/>
  <c r="BY364" i="75"/>
  <c r="CM664" i="75"/>
  <c r="BG228" i="75"/>
  <c r="CI845" i="75"/>
  <c r="BO279" i="75"/>
  <c r="BC725" i="75"/>
  <c r="BM287" i="75"/>
  <c r="BM1096" i="75"/>
  <c r="BM288" i="75"/>
  <c r="BC692" i="75"/>
  <c r="BC215" i="75"/>
  <c r="F55" i="114"/>
  <c r="BC239" i="75"/>
  <c r="BQ365" i="75"/>
  <c r="BS826" i="75"/>
  <c r="H53" i="112"/>
  <c r="BO1205" i="75"/>
  <c r="BQ1115" i="75"/>
  <c r="BR1115" i="75" s="1"/>
  <c r="BY489" i="75"/>
  <c r="BM1204" i="75"/>
  <c r="BI754" i="75"/>
  <c r="BI779" i="75"/>
  <c r="BG215" i="75"/>
  <c r="BG202" i="75"/>
  <c r="BG512" i="75"/>
  <c r="BG527" i="75"/>
  <c r="BY361" i="75"/>
  <c r="CU372" i="75"/>
  <c r="CS607" i="75"/>
  <c r="BG237" i="75"/>
  <c r="BM283" i="75"/>
  <c r="BQ525" i="75"/>
  <c r="BG508" i="75"/>
  <c r="CC910" i="75"/>
  <c r="CC914" i="75"/>
  <c r="E182" i="116"/>
  <c r="H182" i="116" s="1"/>
  <c r="F182" i="116"/>
  <c r="BI670" i="75"/>
  <c r="BI641" i="75"/>
  <c r="BI658" i="75"/>
  <c r="BI669" i="75"/>
  <c r="BI652" i="75"/>
  <c r="BI640" i="75"/>
  <c r="BI651" i="75"/>
  <c r="BI635" i="75"/>
  <c r="BI666" i="75"/>
  <c r="BI646" i="75"/>
  <c r="BI627" i="75"/>
  <c r="BI625" i="75"/>
  <c r="BJ625" i="75" s="1"/>
  <c r="BU395" i="75"/>
  <c r="BV395" i="75" s="1"/>
  <c r="BU414" i="75"/>
  <c r="BU416" i="75"/>
  <c r="BU421" i="75"/>
  <c r="BU412" i="75"/>
  <c r="BU429" i="75"/>
  <c r="BU419" i="75"/>
  <c r="BU396" i="75"/>
  <c r="BU411" i="75"/>
  <c r="BU410" i="75"/>
  <c r="BU417" i="75"/>
  <c r="BU428" i="75"/>
  <c r="BU418" i="75"/>
  <c r="BU423" i="75"/>
  <c r="BU403" i="75"/>
  <c r="BU422" i="75"/>
  <c r="BU431" i="75"/>
  <c r="BE297" i="75"/>
  <c r="BE272" i="75"/>
  <c r="BE287" i="75"/>
  <c r="BE276" i="75"/>
  <c r="BE263" i="75"/>
  <c r="BE275" i="75"/>
  <c r="BE307" i="75"/>
  <c r="BQ873" i="75"/>
  <c r="BR873" i="75" s="1"/>
  <c r="BQ881" i="75"/>
  <c r="BQ908" i="75"/>
  <c r="BQ880" i="75"/>
  <c r="BQ905" i="75"/>
  <c r="BQ891" i="75"/>
  <c r="CG781" i="75"/>
  <c r="CG774" i="75"/>
  <c r="CG772" i="75"/>
  <c r="CG791" i="75"/>
  <c r="BS722" i="75"/>
  <c r="BS707" i="75"/>
  <c r="BS718" i="75"/>
  <c r="BS725" i="75"/>
  <c r="BS717" i="75"/>
  <c r="BS703" i="75"/>
  <c r="BS721" i="75"/>
  <c r="BS732" i="75"/>
  <c r="CO1261" i="75"/>
  <c r="CO1259" i="75"/>
  <c r="CP1259" i="75" s="1"/>
  <c r="BE866" i="75"/>
  <c r="BE870" i="75"/>
  <c r="CH830" i="75" a="1"/>
  <c r="CK1267" i="75"/>
  <c r="CK1271" i="75"/>
  <c r="BW659" i="75"/>
  <c r="BW667" i="75"/>
  <c r="BW644" i="75"/>
  <c r="BW651" i="75"/>
  <c r="BQ431" i="75"/>
  <c r="BQ396" i="75"/>
  <c r="BQ402" i="75"/>
  <c r="BQ400" i="75"/>
  <c r="BQ405" i="75"/>
  <c r="BQ401" i="75"/>
  <c r="BQ423" i="75"/>
  <c r="CE1031" i="75"/>
  <c r="CW1215" i="75"/>
  <c r="BW660" i="75"/>
  <c r="CC898" i="75"/>
  <c r="CK418" i="75"/>
  <c r="CK419" i="75"/>
  <c r="CK429" i="75"/>
  <c r="BS713" i="75"/>
  <c r="BS720" i="75"/>
  <c r="BE390" i="75"/>
  <c r="BE394" i="75"/>
  <c r="BE410" i="75"/>
  <c r="BK1138" i="75"/>
  <c r="CC1127" i="75"/>
  <c r="CD1127" i="75" s="1"/>
  <c r="BQ412" i="75"/>
  <c r="CA406" i="75"/>
  <c r="CW605" i="75"/>
  <c r="CX605" i="75" s="1"/>
  <c r="BI664" i="75"/>
  <c r="BM963" i="75"/>
  <c r="BM965" i="75"/>
  <c r="BM964" i="75"/>
  <c r="CK551" i="75"/>
  <c r="CK541" i="75"/>
  <c r="CK535" i="75"/>
  <c r="CK549" i="75"/>
  <c r="CK544" i="75"/>
  <c r="CK552" i="75"/>
  <c r="BW539" i="75"/>
  <c r="BW524" i="75"/>
  <c r="BW537" i="75"/>
  <c r="CY672" i="75"/>
  <c r="CY667" i="75"/>
  <c r="CZ667" i="75" s="1"/>
  <c r="CC1155" i="75"/>
  <c r="BQ1083" i="75"/>
  <c r="BC1053" i="75"/>
  <c r="BC1089" i="75"/>
  <c r="BC1054" i="75"/>
  <c r="BC1069" i="75"/>
  <c r="BC1065" i="75"/>
  <c r="BU400" i="75"/>
  <c r="BU408" i="75"/>
  <c r="CI970" i="75"/>
  <c r="CI959" i="75"/>
  <c r="BW1257" i="75"/>
  <c r="BW1270" i="75"/>
  <c r="BW1258" i="75"/>
  <c r="BW1251" i="75"/>
  <c r="BU359" i="75"/>
  <c r="BU342" i="75"/>
  <c r="BU371" i="75"/>
  <c r="H186" i="114"/>
  <c r="CC1086" i="75"/>
  <c r="DD1214" i="75"/>
  <c r="BQ480" i="75"/>
  <c r="CA414" i="75"/>
  <c r="BQ409" i="75"/>
  <c r="BQ392" i="75"/>
  <c r="BQ893" i="75"/>
  <c r="BI647" i="75"/>
  <c r="BI659" i="75"/>
  <c r="H98" i="114"/>
  <c r="AS125" i="113"/>
  <c r="F53" i="114"/>
  <c r="E53" i="114"/>
  <c r="E43" i="115"/>
  <c r="F43" i="115"/>
  <c r="BG1239" i="75"/>
  <c r="BG1267" i="75"/>
  <c r="BG1271" i="75"/>
  <c r="BO227" i="75"/>
  <c r="BO242" i="75"/>
  <c r="BO243" i="75"/>
  <c r="BO221" i="75"/>
  <c r="CU723" i="75" a="1"/>
  <c r="CU723" i="75" s="1"/>
  <c r="CV723" i="75" s="1"/>
  <c r="BW1253" i="75"/>
  <c r="CK423" i="75"/>
  <c r="BQ394" i="75"/>
  <c r="BU420" i="75"/>
  <c r="BI667" i="75"/>
  <c r="BI648" i="75"/>
  <c r="BY309" i="75"/>
  <c r="BY280" i="75"/>
  <c r="BY293" i="75"/>
  <c r="BY288" i="75"/>
  <c r="BY300" i="75"/>
  <c r="BI334" i="75"/>
  <c r="CC1135" i="75"/>
  <c r="CK432" i="75"/>
  <c r="BQ395" i="75"/>
  <c r="BU427" i="75"/>
  <c r="BI656" i="75"/>
  <c r="BI634" i="75"/>
  <c r="BO245" i="75"/>
  <c r="BY701" i="75"/>
  <c r="BZ701" i="75" s="1"/>
  <c r="BY714" i="75"/>
  <c r="BY727" i="75"/>
  <c r="BY704" i="75"/>
  <c r="BY717" i="75"/>
  <c r="CT240" i="75" a="1"/>
  <c r="BC300" i="75"/>
  <c r="BS395" i="75"/>
  <c r="BS426" i="75"/>
  <c r="BO888" i="75"/>
  <c r="BQ766" i="75"/>
  <c r="CC234" i="75"/>
  <c r="BQ762" i="75"/>
  <c r="BM1079" i="75"/>
  <c r="BM220" i="75"/>
  <c r="BM281" i="75"/>
  <c r="BU767" i="75"/>
  <c r="BO288" i="75"/>
  <c r="BO1250" i="75"/>
  <c r="CI1155" i="75"/>
  <c r="E54" i="114"/>
  <c r="H54" i="114" s="1"/>
  <c r="F84" i="114"/>
  <c r="E64" i="114"/>
  <c r="J64" i="114" s="1"/>
  <c r="F64" i="114"/>
  <c r="BC265" i="75"/>
  <c r="BS429" i="75"/>
  <c r="BO900" i="75"/>
  <c r="BQ758" i="75"/>
  <c r="BO793" i="75"/>
  <c r="BM1064" i="75"/>
  <c r="BM210" i="75"/>
  <c r="BO639" i="75"/>
  <c r="BM280" i="75"/>
  <c r="BQ774" i="75"/>
  <c r="BQ511" i="75"/>
  <c r="BR511" i="75" s="1"/>
  <c r="BK236" i="75"/>
  <c r="CE252" i="75"/>
  <c r="E165" i="115"/>
  <c r="F165" i="115"/>
  <c r="F17" i="112"/>
  <c r="CJ652" i="75" a="1"/>
  <c r="BK690" i="75"/>
  <c r="BO753" i="75"/>
  <c r="BI267" i="75"/>
  <c r="BM1070" i="75"/>
  <c r="CE241" i="75"/>
  <c r="E113" i="115"/>
  <c r="F113" i="115"/>
  <c r="H161" i="115"/>
  <c r="J161" i="115"/>
  <c r="H105" i="112"/>
  <c r="H43" i="114"/>
  <c r="CE237" i="75"/>
  <c r="H17" i="112"/>
  <c r="BM631" i="75"/>
  <c r="BC291" i="75"/>
  <c r="BQ1268" i="75"/>
  <c r="BQ1238" i="75"/>
  <c r="BQ1249" i="75"/>
  <c r="BQ1265" i="75"/>
  <c r="BQ1261" i="75"/>
  <c r="E163" i="115"/>
  <c r="F163" i="115"/>
  <c r="CO613" i="75"/>
  <c r="CM416" i="75"/>
  <c r="CM419" i="75"/>
  <c r="CA1250" i="75"/>
  <c r="BU234" i="75"/>
  <c r="BI899" i="75"/>
  <c r="BQ768" i="75"/>
  <c r="CM1267" i="75"/>
  <c r="BI287" i="75"/>
  <c r="CE430" i="75"/>
  <c r="F69" i="115"/>
  <c r="CZ970" i="75" a="1"/>
  <c r="CN1258" i="75" a="1"/>
  <c r="CN1259" i="75" s="1"/>
  <c r="BQ649" i="75"/>
  <c r="BQ639" i="75"/>
  <c r="BO899" i="75"/>
  <c r="BO875" i="75"/>
  <c r="CA1248" i="75"/>
  <c r="BU541" i="75"/>
  <c r="CO970" i="75"/>
  <c r="BW229" i="75"/>
  <c r="BC968" i="75"/>
  <c r="BG359" i="75"/>
  <c r="BM301" i="75"/>
  <c r="BM593" i="75"/>
  <c r="BC289" i="75"/>
  <c r="BQ247" i="75"/>
  <c r="BG511" i="75"/>
  <c r="BM1081" i="75"/>
  <c r="BG518" i="75"/>
  <c r="BG532" i="75"/>
  <c r="BG520" i="75"/>
  <c r="BS405" i="75"/>
  <c r="BG525" i="75"/>
  <c r="BU219" i="75"/>
  <c r="BM658" i="75"/>
  <c r="BY368" i="75"/>
  <c r="BM654" i="75"/>
  <c r="BU732" i="75"/>
  <c r="BI884" i="75"/>
  <c r="BI888" i="75"/>
  <c r="BI875" i="75"/>
  <c r="H95" i="116"/>
  <c r="F123" i="114"/>
  <c r="BQ585" i="75"/>
  <c r="E107" i="114"/>
  <c r="H107" i="114" s="1"/>
  <c r="BK220" i="75"/>
  <c r="BO272" i="75"/>
  <c r="BM268" i="75"/>
  <c r="BM1094" i="75"/>
  <c r="BM308" i="75"/>
  <c r="BM270" i="75"/>
  <c r="DB1215" i="75"/>
  <c r="CE414" i="75"/>
  <c r="BS1128" i="75"/>
  <c r="BU787" i="75"/>
  <c r="BO416" i="75"/>
  <c r="BU958" i="75"/>
  <c r="E153" i="115"/>
  <c r="H153" i="115" s="1"/>
  <c r="BW366" i="75"/>
  <c r="CC1274" i="75"/>
  <c r="BM424" i="75"/>
  <c r="BG546" i="75"/>
  <c r="BI263" i="75"/>
  <c r="BJ263" i="75" s="1"/>
  <c r="BM645" i="75"/>
  <c r="BY344" i="75"/>
  <c r="BC938" i="75"/>
  <c r="J194" i="116"/>
  <c r="BC310" i="75"/>
  <c r="BS421" i="75"/>
  <c r="BQ583" i="75"/>
  <c r="BO419" i="75"/>
  <c r="BO395" i="75"/>
  <c r="BO269" i="75"/>
  <c r="BP269" i="75" s="1"/>
  <c r="CA1268" i="75"/>
  <c r="BK707" i="75"/>
  <c r="BK726" i="75"/>
  <c r="CA1256" i="75"/>
  <c r="BC652" i="75"/>
  <c r="E27" i="114"/>
  <c r="CR600" i="75" a="1"/>
  <c r="CZ1150" i="75" a="1"/>
  <c r="CO898" i="75"/>
  <c r="BG1062" i="75"/>
  <c r="CO1032" i="75"/>
  <c r="BW759" i="75"/>
  <c r="BX759" i="75" s="1"/>
  <c r="BI698" i="75"/>
  <c r="BO407" i="75"/>
  <c r="BO285" i="75"/>
  <c r="BS1130" i="75"/>
  <c r="BU762" i="75"/>
  <c r="BO884" i="75"/>
  <c r="BO876" i="75"/>
  <c r="H26" i="114"/>
  <c r="CY1029" i="75" a="1"/>
  <c r="CY1029" i="75" s="1"/>
  <c r="CZ1029" i="75" s="1"/>
  <c r="CF1130" i="75" a="1"/>
  <c r="CF1152" i="75" s="1"/>
  <c r="BG1052" i="75"/>
  <c r="BG1086" i="75"/>
  <c r="BJ504" i="75" a="1"/>
  <c r="BJ547" i="75" s="1"/>
  <c r="H148" i="114"/>
  <c r="CT902" i="75" a="1"/>
  <c r="CT910" i="75" s="1"/>
  <c r="BW218" i="75"/>
  <c r="BC964" i="75"/>
  <c r="BY413" i="75"/>
  <c r="BM579" i="75"/>
  <c r="BC307" i="75"/>
  <c r="BQ233" i="75"/>
  <c r="BU243" i="75"/>
  <c r="BM1059" i="75"/>
  <c r="BU235" i="75"/>
  <c r="BS399" i="75"/>
  <c r="BU215" i="75"/>
  <c r="BV215" i="75" s="1"/>
  <c r="BM661" i="75"/>
  <c r="BU719" i="75"/>
  <c r="BI873" i="75"/>
  <c r="BI913" i="75"/>
  <c r="BQ613" i="75"/>
  <c r="CC247" i="75"/>
  <c r="CC237" i="75"/>
  <c r="BC628" i="75"/>
  <c r="BM1086" i="75"/>
  <c r="BM294" i="75"/>
  <c r="BK246" i="75"/>
  <c r="CI849" i="75"/>
  <c r="BK732" i="75"/>
  <c r="BU242" i="75"/>
  <c r="BX1182" i="75" a="1"/>
  <c r="BW354" i="75"/>
  <c r="CA1254" i="75"/>
  <c r="H215" i="115"/>
  <c r="BM416" i="75"/>
  <c r="BK227" i="75"/>
  <c r="BG723" i="75"/>
  <c r="CI241" i="75"/>
  <c r="F148" i="114"/>
  <c r="E183" i="112"/>
  <c r="J183" i="112" s="1"/>
  <c r="CE251" i="75"/>
  <c r="F41" i="114"/>
  <c r="E155" i="116"/>
  <c r="J155" i="116" s="1"/>
  <c r="F155" i="116"/>
  <c r="BC279" i="75"/>
  <c r="BS418" i="75"/>
  <c r="E58" i="114"/>
  <c r="J58" i="114" s="1"/>
  <c r="BG212" i="75"/>
  <c r="BO411" i="75"/>
  <c r="CG717" i="75"/>
  <c r="BO417" i="75"/>
  <c r="BC625" i="75"/>
  <c r="BM1078" i="75"/>
  <c r="BM304" i="75"/>
  <c r="CO312" i="75"/>
  <c r="CC249" i="75"/>
  <c r="BC671" i="75"/>
  <c r="BU250" i="75"/>
  <c r="E25" i="112"/>
  <c r="BW339" i="75"/>
  <c r="CA1270" i="75"/>
  <c r="BQ851" i="75"/>
  <c r="BI222" i="75"/>
  <c r="E187" i="115"/>
  <c r="E45" i="112"/>
  <c r="H134" i="114"/>
  <c r="BQ219" i="75"/>
  <c r="F67" i="114"/>
  <c r="E23" i="112"/>
  <c r="BQ1253" i="75"/>
  <c r="BS1213" i="75"/>
  <c r="BC923" i="75"/>
  <c r="BS1193" i="75"/>
  <c r="CO548" i="75"/>
  <c r="BO914" i="75"/>
  <c r="BZ340" i="75" a="1"/>
  <c r="CE1151" i="75"/>
  <c r="CA1018" i="75"/>
  <c r="BW236" i="75"/>
  <c r="CG728" i="75"/>
  <c r="J111" i="115"/>
  <c r="BM291" i="75"/>
  <c r="BO758" i="75"/>
  <c r="BM1061" i="75"/>
  <c r="BO427" i="75"/>
  <c r="BG523" i="75"/>
  <c r="BI865" i="75"/>
  <c r="BJ865" i="75" s="1"/>
  <c r="BM671" i="75"/>
  <c r="BY369" i="75"/>
  <c r="BM649" i="75"/>
  <c r="BU697" i="75"/>
  <c r="BV697" i="75" s="1"/>
  <c r="BI870" i="75"/>
  <c r="BI876" i="75"/>
  <c r="E42" i="114"/>
  <c r="J42" i="114" s="1"/>
  <c r="BI790" i="75"/>
  <c r="BI774" i="75"/>
  <c r="BQ763" i="75"/>
  <c r="BO391" i="75"/>
  <c r="BQ760" i="75"/>
  <c r="BM276" i="75"/>
  <c r="CO302" i="75"/>
  <c r="BM244" i="75"/>
  <c r="CO295" i="75"/>
  <c r="CP295" i="75" s="1"/>
  <c r="BM279" i="75"/>
  <c r="BG280" i="75"/>
  <c r="BK712" i="75"/>
  <c r="BK698" i="75"/>
  <c r="CE429" i="75"/>
  <c r="BG721" i="75"/>
  <c r="CA1263" i="75"/>
  <c r="BK706" i="75"/>
  <c r="H65" i="112"/>
  <c r="B48" i="90"/>
  <c r="F46" i="102"/>
  <c r="H46" i="102"/>
  <c r="R10" i="102"/>
  <c r="S8" i="100"/>
  <c r="BR25" i="125"/>
  <c r="BR99" i="125"/>
  <c r="AQ60" i="100"/>
  <c r="AQ59" i="100"/>
  <c r="AQ47" i="100"/>
  <c r="AQ53" i="100"/>
  <c r="AQ51" i="100"/>
  <c r="AQ54" i="100"/>
  <c r="AQ62" i="100"/>
  <c r="AQ45" i="100"/>
  <c r="AQ46" i="100"/>
  <c r="AQ57" i="100"/>
  <c r="AQ63" i="100"/>
  <c r="AQ44" i="100"/>
  <c r="AQ50" i="100"/>
  <c r="AQ58" i="100"/>
  <c r="AQ55" i="100"/>
  <c r="AQ52" i="100"/>
  <c r="AQ48" i="100"/>
  <c r="AQ61" i="100"/>
  <c r="AQ56" i="100"/>
  <c r="AM294" i="100"/>
  <c r="AM324" i="100"/>
  <c r="AP187" i="100"/>
  <c r="AN197" i="100"/>
  <c r="AN177" i="100"/>
  <c r="AP174" i="100"/>
  <c r="AO159" i="100"/>
  <c r="AP177" i="100"/>
  <c r="AM175" i="100"/>
  <c r="AP297" i="100"/>
  <c r="AN299" i="100"/>
  <c r="AP310" i="100"/>
  <c r="AP295" i="100"/>
  <c r="AM187" i="100"/>
  <c r="AP188" i="100"/>
  <c r="AP294" i="100"/>
  <c r="AM201" i="100"/>
  <c r="AM297" i="100"/>
  <c r="AP313" i="100"/>
  <c r="AP173" i="100"/>
  <c r="AN168" i="100"/>
  <c r="AP172" i="100"/>
  <c r="AP168" i="100"/>
  <c r="AM161" i="100"/>
  <c r="AM177" i="100"/>
  <c r="AP204" i="100"/>
  <c r="AN319" i="100"/>
  <c r="AP184" i="100"/>
  <c r="AM298" i="100"/>
  <c r="AN294" i="100"/>
  <c r="AN326" i="100"/>
  <c r="AM172" i="100"/>
  <c r="AM181" i="100"/>
  <c r="AO299" i="100"/>
  <c r="AM300" i="100"/>
  <c r="AM314" i="100"/>
  <c r="AM173" i="100"/>
  <c r="AP205" i="100"/>
  <c r="AN301" i="100"/>
  <c r="AN172" i="100"/>
  <c r="AO187" i="100"/>
  <c r="AP329" i="100"/>
  <c r="AP159" i="100"/>
  <c r="AO191" i="100"/>
  <c r="AP179" i="100"/>
  <c r="AN165" i="100"/>
  <c r="AM192" i="100"/>
  <c r="AO177" i="100"/>
  <c r="AP182" i="100"/>
  <c r="AP332" i="100"/>
  <c r="AP326" i="100"/>
  <c r="AP181" i="100"/>
  <c r="AO173" i="100"/>
  <c r="AP191" i="100"/>
  <c r="AM299" i="100"/>
  <c r="AN173" i="100"/>
  <c r="AP299" i="100"/>
  <c r="AM165" i="100"/>
  <c r="AN170" i="100"/>
  <c r="AP201" i="100"/>
  <c r="AM191" i="100"/>
  <c r="AO165" i="100"/>
  <c r="AP165" i="100"/>
  <c r="AM329" i="100"/>
  <c r="AN295" i="100"/>
  <c r="AM332" i="100"/>
  <c r="AP193" i="100"/>
  <c r="AP290" i="100"/>
  <c r="AP312" i="100"/>
  <c r="AP320" i="100"/>
  <c r="AP194" i="100"/>
  <c r="AN191" i="100"/>
  <c r="AM176" i="100"/>
  <c r="AP298" i="100"/>
  <c r="AP164" i="100"/>
  <c r="AO196" i="100"/>
  <c r="AM307" i="100"/>
  <c r="AN296" i="100"/>
  <c r="AP180" i="100"/>
  <c r="AO203" i="100"/>
  <c r="AP190" i="100"/>
  <c r="AN297" i="100"/>
  <c r="AN300" i="100"/>
  <c r="AN192" i="100"/>
  <c r="AO326" i="100"/>
  <c r="AP300" i="100"/>
  <c r="AM326" i="100"/>
  <c r="AO300" i="100"/>
  <c r="AO202" i="100"/>
  <c r="AN164" i="100"/>
  <c r="AO178" i="100"/>
  <c r="AN163" i="100"/>
  <c r="AP314" i="100"/>
  <c r="AO314" i="100"/>
  <c r="AM162" i="100"/>
  <c r="AM166" i="100"/>
  <c r="AP189" i="100"/>
  <c r="AO332" i="100"/>
  <c r="AM190" i="100"/>
  <c r="AN174" i="100"/>
  <c r="AP302" i="100"/>
  <c r="AN159" i="100"/>
  <c r="AO194" i="100"/>
  <c r="AP304" i="100"/>
  <c r="AN322" i="100"/>
  <c r="AP305" i="100"/>
  <c r="AM164" i="100"/>
  <c r="AN193" i="100"/>
  <c r="AN310" i="100"/>
  <c r="AM196" i="100"/>
  <c r="AM159" i="100"/>
  <c r="AM318" i="100"/>
  <c r="AP192" i="100"/>
  <c r="AP196" i="100"/>
  <c r="AP161" i="100"/>
  <c r="AP176" i="100"/>
  <c r="AN304" i="100"/>
  <c r="AM304" i="100"/>
  <c r="AP322" i="100"/>
  <c r="AO304" i="100"/>
  <c r="AM321" i="100"/>
  <c r="AM315" i="100"/>
  <c r="AP292" i="100"/>
  <c r="AP323" i="100"/>
  <c r="AN314" i="100"/>
  <c r="AO310" i="100"/>
  <c r="AM323" i="100"/>
  <c r="AN323" i="100"/>
  <c r="AN316" i="100"/>
  <c r="AP291" i="100"/>
  <c r="AN331" i="100"/>
  <c r="AN321" i="100"/>
  <c r="AP321" i="100"/>
  <c r="AP335" i="100"/>
  <c r="AO321" i="100"/>
  <c r="AP319" i="100"/>
  <c r="AP306" i="100"/>
  <c r="AP289" i="100"/>
  <c r="AM291" i="100"/>
  <c r="AN329" i="100"/>
  <c r="AM325" i="100"/>
  <c r="AO289" i="100"/>
  <c r="AN312" i="100"/>
  <c r="AN332" i="100"/>
  <c r="AM331" i="100"/>
  <c r="AM322" i="100"/>
  <c r="AP166" i="100"/>
  <c r="AP162" i="100"/>
  <c r="AP198" i="100"/>
  <c r="AM185" i="100"/>
  <c r="AP202" i="100"/>
  <c r="AM202" i="100"/>
  <c r="AN203" i="100"/>
  <c r="AO200" i="100"/>
  <c r="AP183" i="100"/>
  <c r="AO185" i="100"/>
  <c r="AP203" i="100"/>
  <c r="AM188" i="100"/>
  <c r="AP197" i="100"/>
  <c r="AP169" i="100"/>
  <c r="AM200" i="100"/>
  <c r="AP178" i="100"/>
  <c r="AP200" i="100"/>
  <c r="AM204" i="100"/>
  <c r="AM163" i="100"/>
  <c r="AM199" i="100"/>
  <c r="DU138" i="125"/>
  <c r="BQ454" i="75"/>
  <c r="CO1262" i="75"/>
  <c r="CI1023" i="75"/>
  <c r="BI420" i="75"/>
  <c r="CM297" i="75"/>
  <c r="BG1061" i="75"/>
  <c r="BI548" i="75"/>
  <c r="E24" i="116"/>
  <c r="CO1210" i="75"/>
  <c r="J165" i="112"/>
  <c r="BW653" i="75"/>
  <c r="BO271" i="75"/>
  <c r="AP336" i="100"/>
  <c r="BQ491" i="75"/>
  <c r="AM169" i="100"/>
  <c r="CO1270" i="75"/>
  <c r="CI1027" i="75"/>
  <c r="BI413" i="75"/>
  <c r="BM1182" i="75"/>
  <c r="BM1213" i="75"/>
  <c r="BG1067" i="75"/>
  <c r="CM305" i="75"/>
  <c r="CM298" i="75"/>
  <c r="BG1091" i="75"/>
  <c r="BE869" i="75"/>
  <c r="CO1202" i="75"/>
  <c r="CK415" i="75"/>
  <c r="BW674" i="75"/>
  <c r="CU361" i="75"/>
  <c r="CV361" i="75" s="1"/>
  <c r="BO310" i="75"/>
  <c r="BO278" i="75"/>
  <c r="CE611" i="75"/>
  <c r="BK752" i="75"/>
  <c r="BK780" i="75"/>
  <c r="BK697" i="75"/>
  <c r="CO1263" i="75"/>
  <c r="CI1031" i="75"/>
  <c r="BI396" i="75"/>
  <c r="BG1088" i="75"/>
  <c r="BG1048" i="75"/>
  <c r="CB1186" i="75" a="1"/>
  <c r="CB1214" i="75" s="1"/>
  <c r="CO1205" i="75"/>
  <c r="CK428" i="75"/>
  <c r="CU364" i="75"/>
  <c r="BU542" i="75"/>
  <c r="AM184" i="100"/>
  <c r="BK709" i="75"/>
  <c r="BO309" i="75"/>
  <c r="BG536" i="75"/>
  <c r="BI695" i="75"/>
  <c r="BK714" i="75"/>
  <c r="CO605" i="75"/>
  <c r="BW364" i="75"/>
  <c r="F18" i="114"/>
  <c r="E18" i="114"/>
  <c r="F61" i="115"/>
  <c r="E61" i="115"/>
  <c r="F36" i="112"/>
  <c r="E36" i="112"/>
  <c r="F189" i="114"/>
  <c r="E189" i="114"/>
  <c r="H74" i="116"/>
  <c r="AM317" i="100"/>
  <c r="F83" i="112"/>
  <c r="E83" i="112"/>
  <c r="E161" i="112"/>
  <c r="F161" i="112"/>
  <c r="F134" i="115"/>
  <c r="E134" i="115"/>
  <c r="E145" i="114"/>
  <c r="J145" i="114" s="1"/>
  <c r="F145" i="114"/>
  <c r="BC1029" i="75"/>
  <c r="CK896" i="75"/>
  <c r="DD1215" i="75"/>
  <c r="BW1006" i="75"/>
  <c r="CO1274" i="75"/>
  <c r="BS1190" i="75"/>
  <c r="BI421" i="75"/>
  <c r="BM1189" i="75"/>
  <c r="BM1214" i="75"/>
  <c r="BG1079" i="75"/>
  <c r="BG1256" i="75"/>
  <c r="BS1210" i="75"/>
  <c r="CI1015" i="75"/>
  <c r="CI1034" i="75"/>
  <c r="CO1269" i="75"/>
  <c r="CO964" i="75"/>
  <c r="CO1211" i="75"/>
  <c r="CW967" i="75" a="1"/>
  <c r="CW967" i="75" s="1"/>
  <c r="CX967" i="75" s="1"/>
  <c r="BK1056" i="75"/>
  <c r="BK1068" i="75"/>
  <c r="BE221" i="75"/>
  <c r="CI843" i="75"/>
  <c r="BG547" i="75"/>
  <c r="CI831" i="75"/>
  <c r="CJ831" i="75" s="1"/>
  <c r="BG509" i="75"/>
  <c r="CE614" i="75"/>
  <c r="CE598" i="75"/>
  <c r="AO164" i="100"/>
  <c r="BQ791" i="75"/>
  <c r="BI701" i="75"/>
  <c r="BE364" i="75"/>
  <c r="CI1148" i="75"/>
  <c r="CE408" i="75"/>
  <c r="E141" i="114"/>
  <c r="J141" i="114" s="1"/>
  <c r="F108" i="112"/>
  <c r="BO280" i="75"/>
  <c r="E192" i="112"/>
  <c r="E133" i="115"/>
  <c r="F133" i="115"/>
  <c r="BO305" i="75"/>
  <c r="BK785" i="75"/>
  <c r="BY360" i="75"/>
  <c r="CY669" i="75"/>
  <c r="CY668" i="75"/>
  <c r="F163" i="112"/>
  <c r="E163" i="112"/>
  <c r="F188" i="114"/>
  <c r="E188" i="114"/>
  <c r="BG1093" i="75"/>
  <c r="BI385" i="75"/>
  <c r="BO297" i="75"/>
  <c r="BK784" i="75"/>
  <c r="CC1266" i="75"/>
  <c r="J164" i="115"/>
  <c r="H164" i="115"/>
  <c r="BC995" i="75"/>
  <c r="BQ1154" i="75"/>
  <c r="BW1026" i="75"/>
  <c r="BC1164" i="75"/>
  <c r="CY1092" i="75"/>
  <c r="CI1024" i="75"/>
  <c r="BM1212" i="75"/>
  <c r="BM1191" i="75"/>
  <c r="BG1059" i="75"/>
  <c r="BI429" i="75"/>
  <c r="CC1091" i="75"/>
  <c r="BU519" i="75"/>
  <c r="BK1055" i="75"/>
  <c r="BW225" i="75"/>
  <c r="CC1268" i="75"/>
  <c r="AM194" i="100"/>
  <c r="AM296" i="100"/>
  <c r="BE249" i="75"/>
  <c r="CI851" i="75"/>
  <c r="BI777" i="75"/>
  <c r="BK755" i="75"/>
  <c r="CI848" i="75"/>
  <c r="CE609" i="75"/>
  <c r="BE531" i="75"/>
  <c r="BG207" i="75"/>
  <c r="BS278" i="75"/>
  <c r="F22" i="115"/>
  <c r="CV604" i="75" a="1"/>
  <c r="CV610" i="75" s="1"/>
  <c r="CC1253" i="75"/>
  <c r="BK691" i="75"/>
  <c r="BO282" i="75"/>
  <c r="BI898" i="75"/>
  <c r="BI215" i="75"/>
  <c r="BO299" i="75"/>
  <c r="AP307" i="100"/>
  <c r="AP337" i="100"/>
  <c r="BU228" i="75"/>
  <c r="BG690" i="75"/>
  <c r="BQ788" i="75"/>
  <c r="BI213" i="75"/>
  <c r="E42" i="112"/>
  <c r="J42" i="112" s="1"/>
  <c r="J84" i="114"/>
  <c r="H84" i="114"/>
  <c r="F16" i="112"/>
  <c r="E16" i="112"/>
  <c r="CI1032" i="75"/>
  <c r="BG1068" i="75"/>
  <c r="BI431" i="75"/>
  <c r="CC1082" i="75"/>
  <c r="CM605" i="75"/>
  <c r="CH1072" i="75" a="1"/>
  <c r="BO286" i="75"/>
  <c r="BO290" i="75"/>
  <c r="BQ234" i="75"/>
  <c r="BQ783" i="75"/>
  <c r="BI207" i="75"/>
  <c r="J139" i="114"/>
  <c r="CK477" i="75"/>
  <c r="F44" i="114"/>
  <c r="E44" i="114"/>
  <c r="E181" i="115"/>
  <c r="F181" i="115"/>
  <c r="BO1198" i="75"/>
  <c r="BI549" i="75"/>
  <c r="CI1029" i="75"/>
  <c r="BM1206" i="75"/>
  <c r="BM1210" i="75"/>
  <c r="BG1066" i="75"/>
  <c r="BI402" i="75"/>
  <c r="BU537" i="75"/>
  <c r="BK1086" i="75"/>
  <c r="BW666" i="75"/>
  <c r="BW228" i="75"/>
  <c r="H199" i="112"/>
  <c r="BE901" i="75"/>
  <c r="CC1273" i="75"/>
  <c r="BK773" i="75"/>
  <c r="BE516" i="75"/>
  <c r="BI766" i="75"/>
  <c r="BG515" i="75"/>
  <c r="BK774" i="75"/>
  <c r="BO311" i="75"/>
  <c r="AN183" i="100"/>
  <c r="BE369" i="75"/>
  <c r="BK717" i="75"/>
  <c r="BI763" i="75"/>
  <c r="BK695" i="75"/>
  <c r="BQ780" i="75"/>
  <c r="BK725" i="75"/>
  <c r="BQ239" i="75"/>
  <c r="BK749" i="75"/>
  <c r="BO277" i="75"/>
  <c r="BG711" i="75"/>
  <c r="BU218" i="75"/>
  <c r="BQ761" i="75"/>
  <c r="BI218" i="75"/>
  <c r="E65" i="114"/>
  <c r="CK489" i="75"/>
  <c r="F114" i="114"/>
  <c r="E114" i="114"/>
  <c r="E23" i="114"/>
  <c r="F23" i="114"/>
  <c r="BF802" i="75" a="1"/>
  <c r="CC1070" i="75"/>
  <c r="BQ451" i="75"/>
  <c r="BR451" i="75" s="1"/>
  <c r="CI1033" i="75"/>
  <c r="BI406" i="75"/>
  <c r="BM1176" i="75"/>
  <c r="BG1084" i="75"/>
  <c r="BE877" i="75"/>
  <c r="BI505" i="75"/>
  <c r="BI391" i="75"/>
  <c r="BK1081" i="75"/>
  <c r="BW668" i="75"/>
  <c r="AM203" i="100"/>
  <c r="E28" i="116"/>
  <c r="J28" i="116" s="1"/>
  <c r="BO287" i="75"/>
  <c r="CC306" i="75"/>
  <c r="BG544" i="75"/>
  <c r="BG239" i="75"/>
  <c r="BK764" i="75"/>
  <c r="BK776" i="75"/>
  <c r="H71" i="116"/>
  <c r="CE603" i="75"/>
  <c r="BS833" i="75"/>
  <c r="BC233" i="75"/>
  <c r="BS837" i="75"/>
  <c r="CI832" i="75"/>
  <c r="BK702" i="75"/>
  <c r="J92" i="115"/>
  <c r="BU216" i="75"/>
  <c r="BQ777" i="75"/>
  <c r="CO609" i="75"/>
  <c r="CA1258" i="75"/>
  <c r="BQ212" i="75"/>
  <c r="BK218" i="75"/>
  <c r="BU717" i="75"/>
  <c r="BE199" i="75"/>
  <c r="BF199" i="75" s="1"/>
  <c r="BQ482" i="75"/>
  <c r="BI1126" i="75"/>
  <c r="H137" i="115"/>
  <c r="CI1022" i="75"/>
  <c r="BI415" i="75"/>
  <c r="CL594" i="75" a="1"/>
  <c r="CL595" i="75" s="1"/>
  <c r="BG1071" i="75"/>
  <c r="BI528" i="75"/>
  <c r="BE871" i="75"/>
  <c r="CH1132" i="75" a="1"/>
  <c r="CH1140" i="75" s="1"/>
  <c r="BG1080" i="75"/>
  <c r="BG1051" i="75"/>
  <c r="BW642" i="75"/>
  <c r="BW664" i="75"/>
  <c r="BS333" i="75"/>
  <c r="BT333" i="75" s="1"/>
  <c r="BQ215" i="75"/>
  <c r="BE237" i="75"/>
  <c r="H26" i="112"/>
  <c r="J188" i="115"/>
  <c r="H188" i="115"/>
  <c r="DA849" i="75" a="1"/>
  <c r="BW1004" i="75"/>
  <c r="BI427" i="75"/>
  <c r="BG1074" i="75"/>
  <c r="BI536" i="75"/>
  <c r="BE881" i="75"/>
  <c r="BP510" i="75" a="1"/>
  <c r="BP526" i="75" s="1"/>
  <c r="BW669" i="75"/>
  <c r="AP296" i="100"/>
  <c r="BK751" i="75"/>
  <c r="BK775" i="75"/>
  <c r="BS360" i="75"/>
  <c r="BQ769" i="75"/>
  <c r="CM656" i="75"/>
  <c r="BK696" i="75"/>
  <c r="BE236" i="75"/>
  <c r="F17" i="114"/>
  <c r="E17" i="114"/>
  <c r="BK748" i="75"/>
  <c r="BK789" i="75"/>
  <c r="CI852" i="75"/>
  <c r="CM665" i="75"/>
  <c r="BG543" i="75"/>
  <c r="BK700" i="75"/>
  <c r="BE252" i="75"/>
  <c r="E66" i="115"/>
  <c r="F66" i="115"/>
  <c r="F197" i="112"/>
  <c r="E197" i="112"/>
  <c r="DU99" i="125"/>
  <c r="DR138" i="125"/>
  <c r="DR99" i="125"/>
  <c r="CO431" i="75"/>
  <c r="BI449" i="75"/>
  <c r="AP167" i="100"/>
  <c r="AM167" i="100"/>
  <c r="DC1093" i="75"/>
  <c r="DD1093" i="75" s="1"/>
  <c r="DC1094" i="75"/>
  <c r="DC1096" i="75"/>
  <c r="DC1095" i="75"/>
  <c r="DC1276" i="75"/>
  <c r="DC1273" i="75"/>
  <c r="DD1273" i="75" s="1"/>
  <c r="CI1020" i="75"/>
  <c r="CI1014" i="75"/>
  <c r="BG1085" i="75"/>
  <c r="BG1081" i="75"/>
  <c r="BG1065" i="75"/>
  <c r="BG1055" i="75"/>
  <c r="BW605" i="75"/>
  <c r="BG1094" i="75"/>
  <c r="AN334" i="100"/>
  <c r="AP334" i="100"/>
  <c r="AP330" i="100"/>
  <c r="AM330" i="100"/>
  <c r="BK477" i="75"/>
  <c r="BK451" i="75"/>
  <c r="AO303" i="100"/>
  <c r="AP303" i="100"/>
  <c r="DA670" i="75"/>
  <c r="DA674" i="75"/>
  <c r="DA672" i="75"/>
  <c r="DA671" i="75"/>
  <c r="DA669" i="75"/>
  <c r="DB669" i="75" s="1"/>
  <c r="BI470" i="75"/>
  <c r="BI450" i="75"/>
  <c r="BI489" i="75"/>
  <c r="BC828" i="75"/>
  <c r="BC804" i="75"/>
  <c r="BI487" i="75"/>
  <c r="BW602" i="75"/>
  <c r="BK459" i="75"/>
  <c r="CB584" i="75" a="1"/>
  <c r="CB612" i="75" s="1"/>
  <c r="BU1025" i="75"/>
  <c r="BU1011" i="75"/>
  <c r="BI472" i="75"/>
  <c r="CC360" i="75"/>
  <c r="BG1241" i="75"/>
  <c r="BG1251" i="75"/>
  <c r="BG1244" i="75"/>
  <c r="BG1272" i="75"/>
  <c r="CP658" i="75" a="1"/>
  <c r="CP665" i="75" s="1"/>
  <c r="BI475" i="75"/>
  <c r="CV666" i="75"/>
  <c r="CV669" i="75"/>
  <c r="BI445" i="75"/>
  <c r="CG1090" i="75"/>
  <c r="BI474" i="75"/>
  <c r="BK471" i="75"/>
  <c r="BQ1134" i="75"/>
  <c r="BQ1144" i="75"/>
  <c r="BG1010" i="75"/>
  <c r="CW1211" i="75"/>
  <c r="BY1250" i="75"/>
  <c r="BK461" i="75"/>
  <c r="BI473" i="75"/>
  <c r="BI447" i="75"/>
  <c r="BK483" i="75"/>
  <c r="BS394" i="75"/>
  <c r="BS423" i="75"/>
  <c r="BS425" i="75"/>
  <c r="BS419" i="75"/>
  <c r="BS402" i="75"/>
  <c r="BS422" i="75"/>
  <c r="BS406" i="75"/>
  <c r="BS416" i="75"/>
  <c r="BS414" i="75"/>
  <c r="BC299" i="75"/>
  <c r="BC270" i="75"/>
  <c r="BC266" i="75"/>
  <c r="BC301" i="75"/>
  <c r="BC260" i="75"/>
  <c r="BC273" i="75"/>
  <c r="BC304" i="75"/>
  <c r="BC263" i="75"/>
  <c r="BC298" i="75"/>
  <c r="BC269" i="75"/>
  <c r="BO897" i="75"/>
  <c r="BO883" i="75"/>
  <c r="BO898" i="75"/>
  <c r="BO882" i="75"/>
  <c r="BW764" i="75"/>
  <c r="BW788" i="75"/>
  <c r="BW790" i="75"/>
  <c r="BW763" i="75"/>
  <c r="BQ729" i="75"/>
  <c r="BQ694" i="75"/>
  <c r="BQ726" i="75"/>
  <c r="BQ730" i="75"/>
  <c r="BQ719" i="75"/>
  <c r="BQ727" i="75"/>
  <c r="BQ702" i="75"/>
  <c r="BQ723" i="75"/>
  <c r="BQ710" i="75"/>
  <c r="BQ733" i="75"/>
  <c r="BQ1142" i="75"/>
  <c r="BQ1127" i="75"/>
  <c r="BK470" i="75"/>
  <c r="BI488" i="75"/>
  <c r="CE1139" i="75"/>
  <c r="BI459" i="75"/>
  <c r="BW596" i="75"/>
  <c r="BI506" i="75"/>
  <c r="CG974" i="75"/>
  <c r="BC816" i="75"/>
  <c r="BK480" i="75"/>
  <c r="BS420" i="75"/>
  <c r="BI448" i="75"/>
  <c r="CG478" i="75"/>
  <c r="BI455" i="75"/>
  <c r="CG963" i="75"/>
  <c r="BK469" i="75"/>
  <c r="AM303" i="100"/>
  <c r="BR874" i="75" a="1"/>
  <c r="CO415" i="75"/>
  <c r="CP415" i="75" s="1"/>
  <c r="CZ1035" i="75"/>
  <c r="CZ1030" i="75"/>
  <c r="BG1076" i="75"/>
  <c r="BC843" i="75"/>
  <c r="BK450" i="75"/>
  <c r="BC844" i="75"/>
  <c r="BK454" i="75"/>
  <c r="J133" i="114"/>
  <c r="H133" i="114"/>
  <c r="BI545" i="75"/>
  <c r="BC841" i="75"/>
  <c r="BK449" i="75"/>
  <c r="CM1214" i="75"/>
  <c r="CM1207" i="75"/>
  <c r="AN303" i="100"/>
  <c r="AN184" i="100"/>
  <c r="BC835" i="75"/>
  <c r="J178" i="112"/>
  <c r="H178" i="112"/>
  <c r="CG966" i="75"/>
  <c r="BQ1153" i="75"/>
  <c r="CC1154" i="75"/>
  <c r="BG1095" i="75"/>
  <c r="BG1054" i="75"/>
  <c r="CE1132" i="75"/>
  <c r="BG1077" i="75"/>
  <c r="BN932" i="75" a="1"/>
  <c r="BN976" i="75" s="1"/>
  <c r="AO167" i="100"/>
  <c r="AM334" i="100"/>
  <c r="CK412" i="75"/>
  <c r="CK411" i="75"/>
  <c r="CL411" i="75" s="1"/>
  <c r="CK421" i="75"/>
  <c r="CK414" i="75"/>
  <c r="BQ672" i="75"/>
  <c r="BQ641" i="75"/>
  <c r="CS606" i="75"/>
  <c r="CS610" i="75"/>
  <c r="CS614" i="75"/>
  <c r="CS603" i="75"/>
  <c r="CS609" i="75"/>
  <c r="CS605" i="75"/>
  <c r="BQ1119" i="75"/>
  <c r="BZ1128" i="75"/>
  <c r="BQ471" i="75"/>
  <c r="BQ456" i="75"/>
  <c r="BG1056" i="75"/>
  <c r="BW603" i="75"/>
  <c r="BW1250" i="75"/>
  <c r="CE1146" i="75"/>
  <c r="BU1210" i="75"/>
  <c r="AN167" i="100"/>
  <c r="CM309" i="75"/>
  <c r="CM302" i="75"/>
  <c r="BM1187" i="75"/>
  <c r="BM1172" i="75"/>
  <c r="BW251" i="75"/>
  <c r="BW230" i="75"/>
  <c r="BS397" i="75"/>
  <c r="F199" i="116"/>
  <c r="E199" i="116"/>
  <c r="BW948" i="75"/>
  <c r="BU528" i="75"/>
  <c r="BM221" i="75"/>
  <c r="CO724" i="75"/>
  <c r="CC245" i="75"/>
  <c r="BG529" i="75"/>
  <c r="BS306" i="75"/>
  <c r="BQ238" i="75"/>
  <c r="BI294" i="75"/>
  <c r="BM657" i="75"/>
  <c r="BK715" i="75"/>
  <c r="CO599" i="75"/>
  <c r="C13" i="104"/>
  <c r="J13" i="104" s="1"/>
  <c r="R13" i="104" s="1"/>
  <c r="B48" i="125"/>
  <c r="BS276" i="75"/>
  <c r="BQ251" i="75"/>
  <c r="BE842" i="75"/>
  <c r="BM633" i="75"/>
  <c r="BI302" i="75"/>
  <c r="BK692" i="75"/>
  <c r="BI896" i="75"/>
  <c r="CE411" i="75"/>
  <c r="H118" i="116"/>
  <c r="CE426" i="75"/>
  <c r="F164" i="112"/>
  <c r="E164" i="112"/>
  <c r="AO337" i="100"/>
  <c r="BI733" i="75"/>
  <c r="BO751" i="75"/>
  <c r="BP751" i="75" s="1"/>
  <c r="BW943" i="75"/>
  <c r="BM632" i="75"/>
  <c r="BI272" i="75"/>
  <c r="CE419" i="75"/>
  <c r="E132" i="115"/>
  <c r="F132" i="115"/>
  <c r="BO785" i="75"/>
  <c r="BM243" i="75"/>
  <c r="BM211" i="75"/>
  <c r="BO770" i="75"/>
  <c r="BI301" i="75"/>
  <c r="BW947" i="75"/>
  <c r="BG247" i="75"/>
  <c r="BI305" i="75"/>
  <c r="BK694" i="75"/>
  <c r="BQ226" i="75"/>
  <c r="BQ775" i="75"/>
  <c r="CE416" i="75"/>
  <c r="DD550" i="75"/>
  <c r="DD552" i="75"/>
  <c r="F56" i="112"/>
  <c r="E56" i="112"/>
  <c r="F99" i="116"/>
  <c r="E99" i="116"/>
  <c r="J99" i="116" s="1"/>
  <c r="AN206" i="100"/>
  <c r="BO432" i="75"/>
  <c r="BM231" i="75"/>
  <c r="BM272" i="75"/>
  <c r="AO205" i="100"/>
  <c r="AM309" i="100"/>
  <c r="BO777" i="75"/>
  <c r="BI874" i="75"/>
  <c r="BE802" i="75"/>
  <c r="BQ246" i="75"/>
  <c r="BK772" i="75"/>
  <c r="BQ901" i="75"/>
  <c r="BQ778" i="75"/>
  <c r="CE421" i="75"/>
  <c r="BE201" i="75"/>
  <c r="E154" i="114"/>
  <c r="H54" i="116"/>
  <c r="E185" i="112"/>
  <c r="AM316" i="100"/>
  <c r="H46" i="116"/>
  <c r="BS300" i="75"/>
  <c r="BM222" i="75"/>
  <c r="BM216" i="75"/>
  <c r="AN185" i="100"/>
  <c r="CO727" i="75"/>
  <c r="BG222" i="75"/>
  <c r="W38" i="113"/>
  <c r="Y38" i="113" s="1"/>
  <c r="CA1272" i="75"/>
  <c r="BC653" i="75"/>
  <c r="BE826" i="75"/>
  <c r="CO359" i="75"/>
  <c r="BS711" i="75"/>
  <c r="BY366" i="75"/>
  <c r="CT360" i="75" a="1"/>
  <c r="CT362" i="75" s="1"/>
  <c r="DD853" i="75"/>
  <c r="DD854" i="75"/>
  <c r="DD852" i="75"/>
  <c r="E11" i="116"/>
  <c r="F11" i="116"/>
  <c r="BY301" i="75"/>
  <c r="AP185" i="100"/>
  <c r="H73" i="114"/>
  <c r="BO757" i="75"/>
  <c r="BM207" i="75"/>
  <c r="BN207" i="75" s="1"/>
  <c r="BM292" i="75"/>
  <c r="CO722" i="75"/>
  <c r="CE425" i="75"/>
  <c r="BU966" i="75"/>
  <c r="BS312" i="75"/>
  <c r="CW725" i="75" a="1"/>
  <c r="BU975" i="75"/>
  <c r="BM655" i="75"/>
  <c r="BE813" i="75"/>
  <c r="CC294" i="75"/>
  <c r="F17" i="116"/>
  <c r="E17" i="116"/>
  <c r="AM335" i="100"/>
  <c r="BO786" i="75"/>
  <c r="CC241" i="75"/>
  <c r="F82" i="112"/>
  <c r="E82" i="112"/>
  <c r="E214" i="116"/>
  <c r="F214" i="116"/>
  <c r="BM223" i="75"/>
  <c r="BM218" i="75"/>
  <c r="BI273" i="75"/>
  <c r="BG233" i="75"/>
  <c r="CI844" i="75"/>
  <c r="BM235" i="75"/>
  <c r="CC226" i="75"/>
  <c r="BM403" i="75"/>
  <c r="BU942" i="75"/>
  <c r="BM418" i="75"/>
  <c r="CI841" i="75"/>
  <c r="BM595" i="75"/>
  <c r="CC311" i="75"/>
  <c r="H34" i="114"/>
  <c r="CO905" i="75"/>
  <c r="CG1030" i="75"/>
  <c r="CO1200" i="75"/>
  <c r="CA1005" i="75"/>
  <c r="CB1005" i="75" s="1"/>
  <c r="BY304" i="75"/>
  <c r="BI692" i="75"/>
  <c r="BE848" i="75"/>
  <c r="E107" i="116"/>
  <c r="H107" i="116" s="1"/>
  <c r="BM975" i="75"/>
  <c r="BG540" i="75"/>
  <c r="BO412" i="75"/>
  <c r="BM665" i="75"/>
  <c r="BO429" i="75"/>
  <c r="BM242" i="75"/>
  <c r="BM232" i="75"/>
  <c r="BM286" i="75"/>
  <c r="BM251" i="75"/>
  <c r="BO779" i="75"/>
  <c r="CI834" i="75"/>
  <c r="BS288" i="75"/>
  <c r="BO783" i="75"/>
  <c r="BQ772" i="75"/>
  <c r="BI907" i="75"/>
  <c r="F26" i="112"/>
  <c r="F36" i="114"/>
  <c r="CA1253" i="75"/>
  <c r="BM581" i="75"/>
  <c r="BM432" i="75"/>
  <c r="BI291" i="75"/>
  <c r="BM573" i="75"/>
  <c r="CC290" i="75"/>
  <c r="H198" i="116"/>
  <c r="CH590" i="75" a="1"/>
  <c r="CH606" i="75" s="1"/>
  <c r="BU522" i="75"/>
  <c r="BC1082" i="75"/>
  <c r="BC1077" i="75"/>
  <c r="BW549" i="75"/>
  <c r="BI392" i="75"/>
  <c r="BW952" i="75"/>
  <c r="BU549" i="75"/>
  <c r="CL1256" i="75" a="1"/>
  <c r="CL1276" i="75" s="1"/>
  <c r="CG1020" i="75"/>
  <c r="CO1208" i="75"/>
  <c r="CA1022" i="75"/>
  <c r="BC972" i="75"/>
  <c r="CW243" i="75" a="1"/>
  <c r="CW244" i="75" s="1"/>
  <c r="BW662" i="75"/>
  <c r="BU367" i="75"/>
  <c r="BM271" i="75"/>
  <c r="CC251" i="75"/>
  <c r="BY306" i="75"/>
  <c r="BI727" i="75"/>
  <c r="H49" i="112"/>
  <c r="BM669" i="75"/>
  <c r="BM670" i="75"/>
  <c r="BE854" i="75"/>
  <c r="CD646" i="75" a="1"/>
  <c r="CD653" i="75" s="1"/>
  <c r="BO408" i="75"/>
  <c r="CC252" i="75"/>
  <c r="BM642" i="75"/>
  <c r="BM298" i="75"/>
  <c r="BM275" i="75"/>
  <c r="BG268" i="75"/>
  <c r="BQ773" i="75"/>
  <c r="CA1261" i="75"/>
  <c r="BQ236" i="75"/>
  <c r="BQ245" i="75"/>
  <c r="BI717" i="75"/>
  <c r="BM428" i="75"/>
  <c r="BO295" i="75"/>
  <c r="BO283" i="75"/>
  <c r="BI642" i="75"/>
  <c r="BE273" i="75"/>
  <c r="E79" i="112"/>
  <c r="J79" i="112" s="1"/>
  <c r="BY295" i="75"/>
  <c r="BM224" i="75"/>
  <c r="CI837" i="75"/>
  <c r="BS307" i="75"/>
  <c r="BI268" i="75"/>
  <c r="BU952" i="75"/>
  <c r="BQ241" i="75"/>
  <c r="CM662" i="75"/>
  <c r="BM390" i="75"/>
  <c r="CG777" i="75"/>
  <c r="BO298" i="75"/>
  <c r="CO600" i="75"/>
  <c r="BE279" i="75"/>
  <c r="H19" i="114"/>
  <c r="BY286" i="75"/>
  <c r="F61" i="114"/>
  <c r="E61" i="114"/>
  <c r="ET49" i="125"/>
  <c r="EU49" i="125" s="1"/>
  <c r="EZ49" i="125" s="1"/>
  <c r="EI49" i="125"/>
  <c r="EJ49" i="125" s="1"/>
  <c r="EO49" i="125" s="1"/>
  <c r="DU62" i="125"/>
  <c r="DR62" i="125"/>
  <c r="DO62" i="125"/>
  <c r="BR62" i="125"/>
  <c r="BM1118" i="75"/>
  <c r="BK387" i="75"/>
  <c r="CI964" i="75"/>
  <c r="CG1022" i="75"/>
  <c r="BW220" i="75"/>
  <c r="CA243" i="75"/>
  <c r="BU706" i="75"/>
  <c r="CS601" i="75"/>
  <c r="CT601" i="75" s="1"/>
  <c r="BK232" i="75"/>
  <c r="BO633" i="75"/>
  <c r="CI231" i="75"/>
  <c r="AM195" i="100"/>
  <c r="AM327" i="100"/>
  <c r="BQ519" i="75"/>
  <c r="BQ516" i="75"/>
  <c r="BC306" i="75"/>
  <c r="BQ707" i="75"/>
  <c r="BG301" i="75"/>
  <c r="BU413" i="75"/>
  <c r="BE809" i="75"/>
  <c r="BE820" i="75"/>
  <c r="BG712" i="75"/>
  <c r="BS400" i="75"/>
  <c r="BO270" i="75"/>
  <c r="BG730" i="75"/>
  <c r="BW359" i="75"/>
  <c r="F64" i="112"/>
  <c r="E64" i="112"/>
  <c r="BO646" i="75"/>
  <c r="AO316" i="100"/>
  <c r="BG278" i="75"/>
  <c r="J65" i="112"/>
  <c r="CG779" i="75"/>
  <c r="BK276" i="75"/>
  <c r="BG285" i="75"/>
  <c r="BG290" i="75"/>
  <c r="BS431" i="75"/>
  <c r="BG265" i="75"/>
  <c r="BG734" i="75"/>
  <c r="BK277" i="75"/>
  <c r="BW1213" i="75"/>
  <c r="BO652" i="75"/>
  <c r="BU730" i="75"/>
  <c r="BG727" i="75"/>
  <c r="BG694" i="75"/>
  <c r="BU424" i="75"/>
  <c r="BG684" i="75"/>
  <c r="BG729" i="75"/>
  <c r="BQ708" i="75"/>
  <c r="BG297" i="75"/>
  <c r="BG691" i="75"/>
  <c r="BW338" i="75"/>
  <c r="E166" i="112"/>
  <c r="F166" i="112"/>
  <c r="F46" i="112"/>
  <c r="E46" i="112"/>
  <c r="BM1120" i="75"/>
  <c r="BM1117" i="75"/>
  <c r="BK1155" i="75"/>
  <c r="CW543" i="75"/>
  <c r="CX543" i="75" s="1"/>
  <c r="CI954" i="75"/>
  <c r="BQ1086" i="75"/>
  <c r="CG1031" i="75"/>
  <c r="CN896" i="75" a="1"/>
  <c r="AM178" i="100"/>
  <c r="AO322" i="100"/>
  <c r="CG726" i="75"/>
  <c r="BW1215" i="75"/>
  <c r="BO636" i="75"/>
  <c r="AM197" i="100"/>
  <c r="BK238" i="75"/>
  <c r="E163" i="116"/>
  <c r="BQ721" i="75"/>
  <c r="BG264" i="75"/>
  <c r="BG687" i="75"/>
  <c r="BU702" i="75"/>
  <c r="F19" i="112"/>
  <c r="E19" i="112"/>
  <c r="AL9" i="100"/>
  <c r="BM1136" i="75"/>
  <c r="BO368" i="75"/>
  <c r="BQ464" i="75"/>
  <c r="CS487" i="75"/>
  <c r="BC1074" i="75"/>
  <c r="BC1050" i="75"/>
  <c r="CZ1036" i="75"/>
  <c r="BI401" i="75"/>
  <c r="BI430" i="75"/>
  <c r="BQ1087" i="75"/>
  <c r="BY1146" i="75"/>
  <c r="CG1025" i="75"/>
  <c r="BW234" i="75"/>
  <c r="BW1186" i="75"/>
  <c r="BW1197" i="75"/>
  <c r="BW231" i="75"/>
  <c r="BO764" i="75"/>
  <c r="BK247" i="75"/>
  <c r="BQ712" i="75"/>
  <c r="BM208" i="75"/>
  <c r="BO648" i="75"/>
  <c r="CO721" i="75"/>
  <c r="BK216" i="75"/>
  <c r="BU943" i="75"/>
  <c r="BU955" i="75"/>
  <c r="CE599" i="75"/>
  <c r="DB972" i="75" a="1"/>
  <c r="DB974" i="75" s="1"/>
  <c r="BW348" i="75"/>
  <c r="BW1194" i="75"/>
  <c r="BW341" i="75"/>
  <c r="BG692" i="75"/>
  <c r="CI1139" i="75"/>
  <c r="BW771" i="75"/>
  <c r="CM659" i="75"/>
  <c r="CE592" i="75"/>
  <c r="BK759" i="75"/>
  <c r="CK308" i="75"/>
  <c r="BG699" i="75"/>
  <c r="BK245" i="75"/>
  <c r="BO304" i="75"/>
  <c r="CI1137" i="75"/>
  <c r="BU703" i="75"/>
  <c r="CE420" i="75"/>
  <c r="CC300" i="75"/>
  <c r="E14" i="112"/>
  <c r="F15" i="112"/>
  <c r="E15" i="112"/>
  <c r="E94" i="114"/>
  <c r="F94" i="114"/>
  <c r="BM1113" i="75"/>
  <c r="BO354" i="75"/>
  <c r="BS457" i="75"/>
  <c r="CI962" i="75"/>
  <c r="CW545" i="75"/>
  <c r="CG1015" i="75"/>
  <c r="CI955" i="75"/>
  <c r="AM293" i="100"/>
  <c r="BK308" i="75"/>
  <c r="F187" i="112"/>
  <c r="E187" i="112"/>
  <c r="BW1209" i="75"/>
  <c r="CI967" i="75"/>
  <c r="AP316" i="100"/>
  <c r="AO181" i="100"/>
  <c r="E75" i="114"/>
  <c r="F75" i="114"/>
  <c r="BG1139" i="75"/>
  <c r="BC1031" i="75"/>
  <c r="CV667" i="75"/>
  <c r="CN656" i="75" a="1"/>
  <c r="CN662" i="75" s="1"/>
  <c r="CI975" i="75"/>
  <c r="AP206" i="100"/>
  <c r="BW1185" i="75"/>
  <c r="H229" i="116"/>
  <c r="CG769" i="75"/>
  <c r="CH769" i="75" s="1"/>
  <c r="BG686" i="75"/>
  <c r="BK224" i="75"/>
  <c r="BS727" i="75"/>
  <c r="BE295" i="75"/>
  <c r="CW1090" i="75"/>
  <c r="CX786" i="75" a="1"/>
  <c r="CX790" i="75" s="1"/>
  <c r="BC1051" i="75"/>
  <c r="CI961" i="75"/>
  <c r="BK285" i="75"/>
  <c r="BG262" i="75"/>
  <c r="BW1192" i="75"/>
  <c r="BS415" i="75"/>
  <c r="BQ533" i="75"/>
  <c r="BG284" i="75"/>
  <c r="BQ542" i="75"/>
  <c r="CM1275" i="75"/>
  <c r="BQ705" i="75"/>
  <c r="BG726" i="75"/>
  <c r="BE828" i="75"/>
  <c r="CE417" i="75"/>
  <c r="BY308" i="75"/>
  <c r="BC1035" i="75"/>
  <c r="BE432" i="75"/>
  <c r="BO481" i="75"/>
  <c r="CC1138" i="75"/>
  <c r="BC1041" i="75"/>
  <c r="BD1041" i="75" s="1"/>
  <c r="BC1059" i="75"/>
  <c r="BC1084" i="75"/>
  <c r="BS1198" i="75"/>
  <c r="CW1096" i="75"/>
  <c r="BS1189" i="75"/>
  <c r="CM1204" i="75"/>
  <c r="BY1133" i="75"/>
  <c r="BC1075" i="75"/>
  <c r="CG964" i="75"/>
  <c r="BW223" i="75"/>
  <c r="BU1216" i="75"/>
  <c r="CA234" i="75"/>
  <c r="BU707" i="75"/>
  <c r="AM337" i="100"/>
  <c r="BK211" i="75"/>
  <c r="BQ714" i="75"/>
  <c r="BK241" i="75"/>
  <c r="BQ521" i="75"/>
  <c r="BO406" i="75"/>
  <c r="BW791" i="75"/>
  <c r="CC238" i="75"/>
  <c r="BI707" i="75"/>
  <c r="BW350" i="75"/>
  <c r="CC1270" i="75"/>
  <c r="BU402" i="75"/>
  <c r="BU951" i="75"/>
  <c r="BC293" i="75"/>
  <c r="BG709" i="75"/>
  <c r="BE829" i="75"/>
  <c r="BY409" i="75"/>
  <c r="CI230" i="75"/>
  <c r="O31" i="113"/>
  <c r="AB41" i="113" s="1"/>
  <c r="O40" i="113"/>
  <c r="BG685" i="75"/>
  <c r="BW770" i="75"/>
  <c r="BY414" i="75"/>
  <c r="CI249" i="75"/>
  <c r="BW1202" i="75"/>
  <c r="BK311" i="75"/>
  <c r="BG308" i="75"/>
  <c r="BY428" i="75"/>
  <c r="H178" i="114"/>
  <c r="CG713" i="75"/>
  <c r="AM186" i="100"/>
  <c r="AM182" i="100"/>
  <c r="BG307" i="75"/>
  <c r="BU723" i="75"/>
  <c r="BS404" i="75"/>
  <c r="BK249" i="75"/>
  <c r="BW766" i="75"/>
  <c r="BI655" i="75"/>
  <c r="BY402" i="75"/>
  <c r="CI245" i="75"/>
  <c r="F208" i="115"/>
  <c r="E208" i="115"/>
  <c r="E198" i="114"/>
  <c r="F198" i="114"/>
  <c r="BX760" i="75" a="1"/>
  <c r="BX777" i="75" s="1"/>
  <c r="BE423" i="75"/>
  <c r="BM1149" i="75"/>
  <c r="BY492" i="75"/>
  <c r="CV668" i="75"/>
  <c r="CX732" i="75"/>
  <c r="CC1026" i="75"/>
  <c r="BC1048" i="75"/>
  <c r="BO670" i="75"/>
  <c r="BU710" i="75"/>
  <c r="BG294" i="75"/>
  <c r="BW1181" i="75"/>
  <c r="BX1181" i="75" s="1"/>
  <c r="BK267" i="75"/>
  <c r="BO901" i="75"/>
  <c r="BM240" i="75"/>
  <c r="BM213" i="75"/>
  <c r="AO193" i="100"/>
  <c r="BG298" i="75"/>
  <c r="BU764" i="75"/>
  <c r="BU794" i="75"/>
  <c r="BU940" i="75"/>
  <c r="BS290" i="75"/>
  <c r="BS295" i="75"/>
  <c r="CI234" i="75"/>
  <c r="BK278" i="75"/>
  <c r="CZ788" i="75" a="1"/>
  <c r="CZ792" i="75" s="1"/>
  <c r="CC1251" i="75"/>
  <c r="BM429" i="75"/>
  <c r="BK750" i="75"/>
  <c r="BQ540" i="75"/>
  <c r="BK212" i="75"/>
  <c r="BU239" i="75"/>
  <c r="BM651" i="75"/>
  <c r="BE817" i="75"/>
  <c r="BM389" i="75"/>
  <c r="CO612" i="75"/>
  <c r="BY410" i="75"/>
  <c r="BM212" i="75"/>
  <c r="CW547" i="75"/>
  <c r="BC1086" i="75"/>
  <c r="BC1055" i="75"/>
  <c r="BC1060" i="75"/>
  <c r="BY724" i="75"/>
  <c r="BY711" i="75"/>
  <c r="CM1093" i="75"/>
  <c r="CG1018" i="75"/>
  <c r="BC1061" i="75"/>
  <c r="CA235" i="75"/>
  <c r="BO657" i="75"/>
  <c r="BU712" i="75"/>
  <c r="CS613" i="75"/>
  <c r="H138" i="114"/>
  <c r="BM932" i="75"/>
  <c r="BQ709" i="75"/>
  <c r="BK235" i="75"/>
  <c r="BO308" i="75"/>
  <c r="BS393" i="75"/>
  <c r="BT393" i="75" s="1"/>
  <c r="BO772" i="75"/>
  <c r="BS310" i="75"/>
  <c r="BS311" i="75"/>
  <c r="BS302" i="75"/>
  <c r="CE423" i="75"/>
  <c r="BK765" i="75"/>
  <c r="CE424" i="75"/>
  <c r="BW779" i="75"/>
  <c r="BK769" i="75"/>
  <c r="BG288" i="75"/>
  <c r="BK762" i="75"/>
  <c r="BQ514" i="75"/>
  <c r="BG683" i="75"/>
  <c r="BH683" i="75" s="1"/>
  <c r="BE821" i="75"/>
  <c r="BU398" i="75"/>
  <c r="BY418" i="75"/>
  <c r="BM248" i="75"/>
  <c r="F177" i="114"/>
  <c r="E177" i="114"/>
  <c r="F81" i="112"/>
  <c r="E81" i="112"/>
  <c r="BC984" i="75"/>
  <c r="BM1144" i="75"/>
  <c r="BM1153" i="75"/>
  <c r="BU1203" i="75"/>
  <c r="BY491" i="75"/>
  <c r="BC1081" i="75"/>
  <c r="BC1085" i="75"/>
  <c r="BC1042" i="75"/>
  <c r="BY706" i="75"/>
  <c r="BS1207" i="75"/>
  <c r="CG234" i="75"/>
  <c r="BY1124" i="75"/>
  <c r="BS1188" i="75"/>
  <c r="BY703" i="75"/>
  <c r="BY720" i="75"/>
  <c r="BY730" i="75"/>
  <c r="CM1208" i="75"/>
  <c r="BW1201" i="75"/>
  <c r="BO661" i="75"/>
  <c r="BK305" i="75"/>
  <c r="BK275" i="75"/>
  <c r="E206" i="116"/>
  <c r="H206" i="116" s="1"/>
  <c r="CI972" i="75"/>
  <c r="CG1034" i="75"/>
  <c r="CA237" i="75"/>
  <c r="CI236" i="75"/>
  <c r="BS408" i="75"/>
  <c r="BO674" i="75"/>
  <c r="BU708" i="75"/>
  <c r="CS604" i="75"/>
  <c r="F223" i="116"/>
  <c r="AM310" i="100"/>
  <c r="BI542" i="75"/>
  <c r="BK215" i="75"/>
  <c r="BK243" i="75"/>
  <c r="BQ728" i="75"/>
  <c r="BM249" i="75"/>
  <c r="AM179" i="100"/>
  <c r="AO290" i="100"/>
  <c r="BG293" i="75"/>
  <c r="BO787" i="75"/>
  <c r="BQ526" i="75"/>
  <c r="BM599" i="75"/>
  <c r="BS285" i="75"/>
  <c r="CE596" i="75"/>
  <c r="BU968" i="75"/>
  <c r="BK252" i="75"/>
  <c r="BU714" i="75"/>
  <c r="BQ699" i="75"/>
  <c r="BO399" i="75"/>
  <c r="BK754" i="75"/>
  <c r="BQ704" i="75"/>
  <c r="BK758" i="75"/>
  <c r="BQ527" i="75"/>
  <c r="BE831" i="75"/>
  <c r="CO370" i="75"/>
  <c r="BM219" i="75"/>
  <c r="H28" i="114"/>
  <c r="E124" i="112"/>
  <c r="F124" i="112"/>
  <c r="CG1019" i="75"/>
  <c r="CM606" i="75"/>
  <c r="BG282" i="75"/>
  <c r="BQ536" i="75"/>
  <c r="BG291" i="75"/>
  <c r="CG789" i="75"/>
  <c r="BG707" i="75"/>
  <c r="BW340" i="75"/>
  <c r="E104" i="112"/>
  <c r="F104" i="112"/>
  <c r="BM1156" i="75"/>
  <c r="BY1143" i="75"/>
  <c r="CG1014" i="75"/>
  <c r="CA244" i="75"/>
  <c r="CA241" i="75"/>
  <c r="BU725" i="75"/>
  <c r="CS612" i="75"/>
  <c r="BO644" i="75"/>
  <c r="AO324" i="100"/>
  <c r="BK240" i="75"/>
  <c r="BQ513" i="75"/>
  <c r="BQ547" i="75"/>
  <c r="BQ517" i="75"/>
  <c r="BK781" i="75"/>
  <c r="BO396" i="75"/>
  <c r="BG728" i="75"/>
  <c r="BK753" i="75"/>
  <c r="BM422" i="75"/>
  <c r="BO294" i="75"/>
  <c r="CO364" i="75"/>
  <c r="BS842" i="75"/>
  <c r="BQ779" i="75"/>
  <c r="CO603" i="75"/>
  <c r="BY358" i="75"/>
  <c r="BI244" i="75"/>
  <c r="E146" i="112"/>
  <c r="H138" i="115"/>
  <c r="J138" i="115"/>
  <c r="E182" i="112"/>
  <c r="F182" i="112"/>
  <c r="E67" i="112"/>
  <c r="F67" i="112"/>
  <c r="J12" i="102"/>
  <c r="BD4" i="90"/>
  <c r="DB614" i="75"/>
  <c r="DB610" i="75"/>
  <c r="DB611" i="75"/>
  <c r="DB612" i="75"/>
  <c r="DB613" i="75"/>
  <c r="BG1022" i="75"/>
  <c r="CQ417" i="75" a="1"/>
  <c r="CJ712" i="75" a="1"/>
  <c r="CJ725" i="75" s="1"/>
  <c r="BG1006" i="75"/>
  <c r="BO329" i="75"/>
  <c r="BP329" i="75" s="1"/>
  <c r="CJ1215" i="75"/>
  <c r="E71" i="115"/>
  <c r="H71" i="115" s="1"/>
  <c r="BC1030" i="75"/>
  <c r="BG1016" i="75"/>
  <c r="BO352" i="75"/>
  <c r="CI410" i="75"/>
  <c r="BG1105" i="75"/>
  <c r="BH1105" i="75" s="1"/>
  <c r="F72" i="115"/>
  <c r="CO1273" i="75"/>
  <c r="CK233" i="75"/>
  <c r="BV940" i="75" a="1"/>
  <c r="BV941" i="75" s="1"/>
  <c r="BO1014" i="75"/>
  <c r="CG239" i="75"/>
  <c r="BG1275" i="75"/>
  <c r="BE879" i="75"/>
  <c r="BE887" i="75"/>
  <c r="BS1070" i="75"/>
  <c r="CG244" i="75"/>
  <c r="CG1017" i="75"/>
  <c r="CV1086" i="75" a="1"/>
  <c r="CM610" i="75"/>
  <c r="BU1010" i="75"/>
  <c r="CI891" i="75"/>
  <c r="CJ891" i="75" s="1"/>
  <c r="AO309" i="100"/>
  <c r="BY607" i="75"/>
  <c r="CG731" i="75"/>
  <c r="BK291" i="75"/>
  <c r="CC1252" i="75"/>
  <c r="CC1249" i="75"/>
  <c r="CC1275" i="75"/>
  <c r="CC1271" i="75"/>
  <c r="CC1254" i="75"/>
  <c r="CC1272" i="75"/>
  <c r="H179" i="116"/>
  <c r="J179" i="116"/>
  <c r="CK1084" i="75"/>
  <c r="CR1082" i="75" a="1"/>
  <c r="BG1140" i="75"/>
  <c r="BU1245" i="75"/>
  <c r="BG991" i="75"/>
  <c r="CI426" i="75"/>
  <c r="DB250" i="75"/>
  <c r="CM1198" i="75"/>
  <c r="CI911" i="75"/>
  <c r="BW1203" i="75"/>
  <c r="CC231" i="75"/>
  <c r="CG712" i="75"/>
  <c r="BQ720" i="75"/>
  <c r="BW765" i="75"/>
  <c r="BK284" i="75"/>
  <c r="BC303" i="75"/>
  <c r="BI665" i="75"/>
  <c r="CA1269" i="75"/>
  <c r="CA1274" i="75"/>
  <c r="BK281" i="75"/>
  <c r="BK269" i="75"/>
  <c r="CG734" i="75"/>
  <c r="BK300" i="75"/>
  <c r="BO1276" i="75"/>
  <c r="BO1260" i="75"/>
  <c r="BO1264" i="75"/>
  <c r="BO1273" i="75"/>
  <c r="BO1266" i="75"/>
  <c r="BG995" i="75"/>
  <c r="BS644" i="75"/>
  <c r="CI953" i="75"/>
  <c r="CJ953" i="75" s="1"/>
  <c r="BE912" i="75"/>
  <c r="AN309" i="100"/>
  <c r="AM306" i="100"/>
  <c r="AP328" i="100"/>
  <c r="AP293" i="100"/>
  <c r="BE344" i="75"/>
  <c r="CG733" i="75"/>
  <c r="BK302" i="75"/>
  <c r="CG710" i="75"/>
  <c r="BK310" i="75"/>
  <c r="F184" i="112"/>
  <c r="E184" i="112"/>
  <c r="AO297" i="100"/>
  <c r="BK279" i="75"/>
  <c r="CG729" i="75"/>
  <c r="BK268" i="75"/>
  <c r="CO425" i="75"/>
  <c r="BS1029" i="75"/>
  <c r="BG999" i="75"/>
  <c r="CG1074" i="75"/>
  <c r="BG664" i="75"/>
  <c r="AP308" i="100"/>
  <c r="BX942" i="75" a="1"/>
  <c r="BX976" i="75" s="1"/>
  <c r="BW1184" i="75"/>
  <c r="CG715" i="75"/>
  <c r="BK273" i="75"/>
  <c r="BI696" i="75"/>
  <c r="AN320" i="100"/>
  <c r="H192" i="115"/>
  <c r="J192" i="115"/>
  <c r="BS1015" i="75"/>
  <c r="CA657" i="75"/>
  <c r="BS1033" i="75"/>
  <c r="BG985" i="75"/>
  <c r="BH985" i="75" s="1"/>
  <c r="BI1243" i="75"/>
  <c r="BG672" i="75"/>
  <c r="CM595" i="75"/>
  <c r="CN595" i="75" s="1"/>
  <c r="BW1204" i="75"/>
  <c r="BQ700" i="75"/>
  <c r="BQ731" i="75"/>
  <c r="BI693" i="75"/>
  <c r="BO794" i="75"/>
  <c r="BL930" i="75" a="1"/>
  <c r="CK902" i="75"/>
  <c r="BS1007" i="75"/>
  <c r="BG1032" i="75"/>
  <c r="CE653" i="75"/>
  <c r="BI1251" i="75"/>
  <c r="BN750" i="75" a="1"/>
  <c r="BN775" i="75" s="1"/>
  <c r="CW549" i="75"/>
  <c r="CG1195" i="75"/>
  <c r="BG627" i="75"/>
  <c r="CM1203" i="75"/>
  <c r="H43" i="112"/>
  <c r="CI963" i="75"/>
  <c r="CM604" i="75"/>
  <c r="AO296" i="100"/>
  <c r="CG725" i="75"/>
  <c r="BO422" i="75"/>
  <c r="CG714" i="75"/>
  <c r="BW760" i="75"/>
  <c r="BQ693" i="75"/>
  <c r="BR693" i="75" s="1"/>
  <c r="BO778" i="75"/>
  <c r="E57" i="114"/>
  <c r="CA1154" i="75"/>
  <c r="BG1001" i="75"/>
  <c r="CE669" i="75"/>
  <c r="BI1275" i="75"/>
  <c r="CG1266" i="75"/>
  <c r="BG626" i="75"/>
  <c r="CM1197" i="75"/>
  <c r="CN1197" i="75" s="1"/>
  <c r="CM602" i="75"/>
  <c r="CG720" i="75"/>
  <c r="CG719" i="75"/>
  <c r="J157" i="116"/>
  <c r="AN190" i="100"/>
  <c r="BK288" i="75"/>
  <c r="BG644" i="75"/>
  <c r="BN268" i="75" a="1"/>
  <c r="CM609" i="75"/>
  <c r="BK289" i="75"/>
  <c r="BM833" i="75"/>
  <c r="E208" i="114"/>
  <c r="F208" i="114"/>
  <c r="J55" i="114"/>
  <c r="H55" i="114"/>
  <c r="CA646" i="75"/>
  <c r="BS1064" i="75"/>
  <c r="CG1268" i="75"/>
  <c r="CM1213" i="75"/>
  <c r="CG1276" i="75"/>
  <c r="CM608" i="75"/>
  <c r="BJ1168" i="75" a="1"/>
  <c r="BJ1169" i="75" s="1"/>
  <c r="F142" i="114"/>
  <c r="E142" i="114"/>
  <c r="CA1141" i="75"/>
  <c r="BW897" i="75"/>
  <c r="CA645" i="75"/>
  <c r="BG1018" i="75"/>
  <c r="CE670" i="75"/>
  <c r="BE1266" i="75"/>
  <c r="BG1033" i="75"/>
  <c r="CE656" i="75"/>
  <c r="BE1249" i="75"/>
  <c r="CA651" i="75"/>
  <c r="BO479" i="75"/>
  <c r="BG1004" i="75"/>
  <c r="CE657" i="75"/>
  <c r="CW1208" i="75"/>
  <c r="CN596" i="75" a="1"/>
  <c r="CN601" i="75" s="1"/>
  <c r="BI327" i="75"/>
  <c r="CG1260" i="75"/>
  <c r="CG1257" i="75"/>
  <c r="BE895" i="75"/>
  <c r="CM1216" i="75"/>
  <c r="CG1265" i="75"/>
  <c r="BU480" i="75"/>
  <c r="BU485" i="75"/>
  <c r="CM596" i="75"/>
  <c r="Z137" i="113"/>
  <c r="BW1212" i="75"/>
  <c r="CG709" i="75"/>
  <c r="CH709" i="75" s="1"/>
  <c r="CG727" i="75"/>
  <c r="BK295" i="75"/>
  <c r="BE341" i="75"/>
  <c r="BW772" i="75"/>
  <c r="CI1141" i="75"/>
  <c r="BU779" i="75"/>
  <c r="BM250" i="75"/>
  <c r="CA650" i="75"/>
  <c r="BG1028" i="75"/>
  <c r="CE662" i="75"/>
  <c r="CW1216" i="75"/>
  <c r="CM1215" i="75"/>
  <c r="BE880" i="75"/>
  <c r="CM1199" i="75"/>
  <c r="CM600" i="75"/>
  <c r="G126" i="113"/>
  <c r="D25" i="113"/>
  <c r="F25" i="113" s="1"/>
  <c r="BW1187" i="75"/>
  <c r="BQ369" i="75"/>
  <c r="BE371" i="75"/>
  <c r="BO431" i="75"/>
  <c r="BW761" i="75"/>
  <c r="BG305" i="75"/>
  <c r="BE825" i="75"/>
  <c r="BU222" i="75"/>
  <c r="CI1153" i="75"/>
  <c r="BU792" i="75"/>
  <c r="CE427" i="75"/>
  <c r="BM236" i="75"/>
  <c r="CA654" i="75"/>
  <c r="CE647" i="75"/>
  <c r="CF647" i="75" s="1"/>
  <c r="CZ728" i="75" a="1"/>
  <c r="CA669" i="75"/>
  <c r="BG987" i="75"/>
  <c r="CE665" i="75"/>
  <c r="BG1152" i="75"/>
  <c r="CX1035" i="75"/>
  <c r="CZ1215" i="75"/>
  <c r="BC1087" i="75"/>
  <c r="BC1096" i="75"/>
  <c r="CO1266" i="75"/>
  <c r="BW1260" i="75"/>
  <c r="CK550" i="75"/>
  <c r="BO1028" i="75"/>
  <c r="CC1147" i="75"/>
  <c r="BE885" i="75"/>
  <c r="BE878" i="75"/>
  <c r="BG1259" i="75"/>
  <c r="BG1243" i="75"/>
  <c r="CM1211" i="75"/>
  <c r="CM1092" i="75"/>
  <c r="BW1249" i="75"/>
  <c r="CG1028" i="75"/>
  <c r="BG1058" i="75"/>
  <c r="CV966" i="75" a="1"/>
  <c r="CV971" i="75" s="1"/>
  <c r="BY603" i="75"/>
  <c r="CA228" i="75"/>
  <c r="CA250" i="75"/>
  <c r="CJ772" i="75" a="1"/>
  <c r="CJ793" i="75" s="1"/>
  <c r="AM295" i="100"/>
  <c r="H155" i="114"/>
  <c r="CG724" i="75"/>
  <c r="CG716" i="75"/>
  <c r="BU963" i="75"/>
  <c r="BC226" i="75"/>
  <c r="BG289" i="75"/>
  <c r="BS417" i="75"/>
  <c r="BS411" i="75"/>
  <c r="CC236" i="75"/>
  <c r="BS822" i="75"/>
  <c r="BI726" i="75"/>
  <c r="BS835" i="75"/>
  <c r="BM215" i="75"/>
  <c r="BW1183" i="75"/>
  <c r="CA1271" i="75"/>
  <c r="BM409" i="75"/>
  <c r="BQ218" i="75"/>
  <c r="BE353" i="75"/>
  <c r="BE836" i="75"/>
  <c r="BQ703" i="75"/>
  <c r="CP1080" i="75" a="1"/>
  <c r="CP1080" i="75" s="1"/>
  <c r="BM630" i="75"/>
  <c r="BM408" i="75"/>
  <c r="BG275" i="75"/>
  <c r="BE834" i="75"/>
  <c r="BU409" i="75"/>
  <c r="BE320" i="75"/>
  <c r="CI1151" i="75"/>
  <c r="BQ785" i="75"/>
  <c r="BI630" i="75"/>
  <c r="CE413" i="75"/>
  <c r="CC310" i="75"/>
  <c r="BM209" i="75"/>
  <c r="AO168" i="100"/>
  <c r="BO782" i="75"/>
  <c r="BO394" i="75"/>
  <c r="BS829" i="75"/>
  <c r="BU972" i="75"/>
  <c r="BU956" i="75"/>
  <c r="BW1198" i="75"/>
  <c r="BU768" i="75"/>
  <c r="BS815" i="75"/>
  <c r="BT815" i="75" s="1"/>
  <c r="BG266" i="75"/>
  <c r="BS851" i="75"/>
  <c r="BS847" i="75"/>
  <c r="BS430" i="75"/>
  <c r="BW1205" i="75"/>
  <c r="CC1263" i="75"/>
  <c r="CA1264" i="75"/>
  <c r="BU406" i="75"/>
  <c r="BQ237" i="75"/>
  <c r="CC243" i="75"/>
  <c r="BS836" i="75"/>
  <c r="BQ240" i="75"/>
  <c r="BU976" i="75"/>
  <c r="BS845" i="75"/>
  <c r="BM638" i="75"/>
  <c r="BG351" i="75"/>
  <c r="BU949" i="75"/>
  <c r="BM393" i="75"/>
  <c r="CK292" i="75"/>
  <c r="BU404" i="75"/>
  <c r="CI1133" i="75"/>
  <c r="CJ1133" i="75" s="1"/>
  <c r="BQ757" i="75"/>
  <c r="BI644" i="75"/>
  <c r="CE432" i="75"/>
  <c r="CC299" i="75"/>
  <c r="BM234" i="75"/>
  <c r="F156" i="112"/>
  <c r="E156" i="112"/>
  <c r="J156" i="112" s="1"/>
  <c r="CD1248" i="75" a="1"/>
  <c r="CD1254" i="75" s="1"/>
  <c r="BI345" i="75"/>
  <c r="CM1206" i="75"/>
  <c r="CH710" i="75" a="1"/>
  <c r="BJ444" i="75" a="1"/>
  <c r="BJ444" i="75" s="1"/>
  <c r="BC1027" i="75"/>
  <c r="BG989" i="75"/>
  <c r="BO338" i="75"/>
  <c r="CI416" i="75"/>
  <c r="CW1213" i="75"/>
  <c r="BG1143" i="75"/>
  <c r="BG405" i="75"/>
  <c r="BG1249" i="75"/>
  <c r="BE876" i="75"/>
  <c r="BS1095" i="75"/>
  <c r="CN958" i="75" a="1"/>
  <c r="CT662" i="75" a="1"/>
  <c r="CT674" i="75" s="1"/>
  <c r="BW1274" i="75"/>
  <c r="H195" i="114"/>
  <c r="BZ460" i="75" a="1"/>
  <c r="BZ471" i="75" s="1"/>
  <c r="CG1011" i="75"/>
  <c r="CH1011" i="75" s="1"/>
  <c r="CI907" i="75"/>
  <c r="BI467" i="75"/>
  <c r="AM205" i="100"/>
  <c r="CP296" i="75" a="1"/>
  <c r="CP308" i="75" s="1"/>
  <c r="H187" i="114"/>
  <c r="BW1206" i="75"/>
  <c r="BS816" i="75"/>
  <c r="BO790" i="75"/>
  <c r="BO767" i="75"/>
  <c r="BS413" i="75"/>
  <c r="H51" i="116"/>
  <c r="BC221" i="75"/>
  <c r="BI277" i="75"/>
  <c r="CO728" i="75"/>
  <c r="BW1190" i="75"/>
  <c r="BS831" i="75"/>
  <c r="BG272" i="75"/>
  <c r="CC1269" i="75"/>
  <c r="CA1252" i="75"/>
  <c r="BK306" i="75"/>
  <c r="BC201" i="75"/>
  <c r="CC246" i="75"/>
  <c r="BE830" i="75"/>
  <c r="BS841" i="75"/>
  <c r="BM646" i="75"/>
  <c r="BM430" i="75"/>
  <c r="CK302" i="75"/>
  <c r="BU430" i="75"/>
  <c r="H87" i="112"/>
  <c r="BQ781" i="75"/>
  <c r="BI653" i="75"/>
  <c r="CE412" i="75"/>
  <c r="CC287" i="75"/>
  <c r="BM229" i="75"/>
  <c r="E51" i="112"/>
  <c r="F51" i="112"/>
  <c r="H157" i="115"/>
  <c r="J157" i="115"/>
  <c r="BG1007" i="75"/>
  <c r="CW1209" i="75"/>
  <c r="CV844" i="75" a="1"/>
  <c r="CV852" i="75" s="1"/>
  <c r="CK1091" i="75"/>
  <c r="CI414" i="75"/>
  <c r="BG1148" i="75"/>
  <c r="BG418" i="75"/>
  <c r="CS1143" i="75" a="1"/>
  <c r="CS1151" i="75" s="1"/>
  <c r="CQ839" i="75" a="1"/>
  <c r="CQ852" i="75" s="1"/>
  <c r="BE862" i="75"/>
  <c r="BE882" i="75"/>
  <c r="BS1082" i="75"/>
  <c r="CI894" i="75"/>
  <c r="BS303" i="75"/>
  <c r="BS424" i="75"/>
  <c r="BS843" i="75"/>
  <c r="BS409" i="75"/>
  <c r="BG281" i="75"/>
  <c r="AS204" i="113"/>
  <c r="CC1258" i="75"/>
  <c r="BO1234" i="75"/>
  <c r="BQ227" i="75"/>
  <c r="BC214" i="75"/>
  <c r="CC250" i="75"/>
  <c r="BI271" i="75"/>
  <c r="BW773" i="75"/>
  <c r="BM634" i="75"/>
  <c r="BK293" i="75"/>
  <c r="BM400" i="75"/>
  <c r="BI297" i="75"/>
  <c r="BQ784" i="75"/>
  <c r="CC309" i="75"/>
  <c r="BM228" i="75"/>
  <c r="CU424" i="75"/>
  <c r="CU428" i="75"/>
  <c r="CU423" i="75"/>
  <c r="CU425" i="75"/>
  <c r="CU431" i="75"/>
  <c r="CY847" i="75"/>
  <c r="CZ847" i="75" s="1"/>
  <c r="CY848" i="75"/>
  <c r="AN189" i="100"/>
  <c r="AM174" i="100"/>
  <c r="AO169" i="100"/>
  <c r="BQ222" i="75"/>
  <c r="BQ223" i="75"/>
  <c r="BM406" i="75"/>
  <c r="BK731" i="75"/>
  <c r="BO775" i="75"/>
  <c r="BQ759" i="75"/>
  <c r="CO606" i="75"/>
  <c r="BY359" i="75"/>
  <c r="BI216" i="75"/>
  <c r="CL1196" i="75" a="1"/>
  <c r="CL1196" i="75" s="1"/>
  <c r="BO228" i="75"/>
  <c r="BU349" i="75"/>
  <c r="AN290" i="100"/>
  <c r="D24" i="113"/>
  <c r="AS122" i="113"/>
  <c r="D22" i="113"/>
  <c r="E22" i="113" s="1"/>
  <c r="AO189" i="100"/>
  <c r="BC966" i="75"/>
  <c r="BM396" i="75"/>
  <c r="CE613" i="75"/>
  <c r="BG232" i="75"/>
  <c r="BK786" i="75"/>
  <c r="BK720" i="75"/>
  <c r="BM404" i="75"/>
  <c r="BK242" i="75"/>
  <c r="BG718" i="75"/>
  <c r="BK239" i="75"/>
  <c r="BK703" i="75"/>
  <c r="BO788" i="75"/>
  <c r="BM1087" i="75"/>
  <c r="BQ764" i="75"/>
  <c r="CO614" i="75"/>
  <c r="BY348" i="75"/>
  <c r="BI239" i="75"/>
  <c r="O131" i="113"/>
  <c r="O140" i="113"/>
  <c r="F105" i="116"/>
  <c r="E105" i="116"/>
  <c r="H68" i="116"/>
  <c r="CY972" i="75"/>
  <c r="CO418" i="75"/>
  <c r="CK1088" i="75"/>
  <c r="BG992" i="75"/>
  <c r="BG994" i="75"/>
  <c r="CE672" i="75"/>
  <c r="CY970" i="75"/>
  <c r="E197" i="115"/>
  <c r="H197" i="115" s="1"/>
  <c r="CW674" i="75"/>
  <c r="CQ1261" i="75" a="1"/>
  <c r="CQ1266" i="75" s="1"/>
  <c r="BO1009" i="75"/>
  <c r="H25" i="114"/>
  <c r="BC974" i="75"/>
  <c r="BO222" i="75"/>
  <c r="BO247" i="75"/>
  <c r="BW647" i="75"/>
  <c r="BU343" i="75"/>
  <c r="AM290" i="100"/>
  <c r="G125" i="113"/>
  <c r="AP331" i="100"/>
  <c r="BM415" i="75"/>
  <c r="BK747" i="75"/>
  <c r="BL747" i="75" s="1"/>
  <c r="BG231" i="75"/>
  <c r="BK787" i="75"/>
  <c r="BK244" i="75"/>
  <c r="BK716" i="75"/>
  <c r="BO781" i="75"/>
  <c r="BQ754" i="75"/>
  <c r="CO611" i="75"/>
  <c r="BY346" i="75"/>
  <c r="BI209" i="75"/>
  <c r="CO911" i="75"/>
  <c r="CO913" i="75"/>
  <c r="CO914" i="75"/>
  <c r="CO909" i="75"/>
  <c r="CO899" i="75"/>
  <c r="CO897" i="75"/>
  <c r="CP897" i="75" s="1"/>
  <c r="CO426" i="75"/>
  <c r="CY974" i="75"/>
  <c r="CW669" i="75"/>
  <c r="CS1203" i="75" a="1"/>
  <c r="CS1205" i="75" s="1"/>
  <c r="CD1008" i="75" a="1"/>
  <c r="CD1030" i="75" s="1"/>
  <c r="BO1025" i="75"/>
  <c r="CB1066" i="75" a="1"/>
  <c r="CB1088" i="75" s="1"/>
  <c r="BW646" i="75"/>
  <c r="BC936" i="75"/>
  <c r="BO252" i="75"/>
  <c r="BW640" i="75"/>
  <c r="BU354" i="75"/>
  <c r="BM410" i="75"/>
  <c r="BM397" i="75"/>
  <c r="BQ211" i="75"/>
  <c r="BR211" i="75" s="1"/>
  <c r="BQ248" i="75"/>
  <c r="J136" i="114"/>
  <c r="H136" i="114"/>
  <c r="AP28" i="113"/>
  <c r="CN1034" i="75"/>
  <c r="CO423" i="75"/>
  <c r="CH650" i="75" a="1"/>
  <c r="CH657" i="75" s="1"/>
  <c r="BO996" i="75"/>
  <c r="CG487" i="75"/>
  <c r="BU336" i="75"/>
  <c r="BO210" i="75"/>
  <c r="BU362" i="75"/>
  <c r="BQ532" i="75"/>
  <c r="BQ531" i="75"/>
  <c r="BG725" i="75"/>
  <c r="BG705" i="75"/>
  <c r="BU348" i="75"/>
  <c r="BU347" i="75"/>
  <c r="BO236" i="75"/>
  <c r="BO232" i="75"/>
  <c r="BU356" i="75"/>
  <c r="G122" i="113"/>
  <c r="AM170" i="100"/>
  <c r="BC933" i="75"/>
  <c r="BG549" i="75"/>
  <c r="BG504" i="75"/>
  <c r="CS492" i="75"/>
  <c r="BX880" i="75" a="1"/>
  <c r="BX882" i="75" s="1"/>
  <c r="CH1252" i="75" a="1"/>
  <c r="CH1260" i="75" s="1"/>
  <c r="BO225" i="75"/>
  <c r="BO213" i="75"/>
  <c r="BU345" i="75"/>
  <c r="G129" i="113"/>
  <c r="O100" i="113"/>
  <c r="O91" i="113"/>
  <c r="H198" i="112"/>
  <c r="J198" i="112"/>
  <c r="BZ1244" i="75" a="1"/>
  <c r="BZ1248" i="75" s="1"/>
  <c r="CL532" i="75" a="1"/>
  <c r="CL538" i="75" s="1"/>
  <c r="BW533" i="75"/>
  <c r="CM311" i="75"/>
  <c r="BW654" i="75"/>
  <c r="BU340" i="75"/>
  <c r="BQ941" i="75"/>
  <c r="BC956" i="75"/>
  <c r="BO239" i="75"/>
  <c r="BY719" i="75"/>
  <c r="BW648" i="75"/>
  <c r="BU339" i="75"/>
  <c r="G127" i="113"/>
  <c r="AO184" i="100"/>
  <c r="BC960" i="75"/>
  <c r="BQ229" i="75"/>
  <c r="BQ224" i="75"/>
  <c r="BK760" i="75"/>
  <c r="BM411" i="75"/>
  <c r="BI706" i="75"/>
  <c r="BM420" i="75"/>
  <c r="BK688" i="75"/>
  <c r="BK730" i="75"/>
  <c r="BQ790" i="75"/>
  <c r="BM233" i="75"/>
  <c r="BI203" i="75"/>
  <c r="BJ203" i="75" s="1"/>
  <c r="BQ372" i="75"/>
  <c r="BQ336" i="75"/>
  <c r="BS823" i="75"/>
  <c r="BS834" i="75"/>
  <c r="CS480" i="75"/>
  <c r="CP898" i="75" a="1"/>
  <c r="CP902" i="75" s="1"/>
  <c r="CB402" i="75" a="1"/>
  <c r="CB427" i="75" s="1"/>
  <c r="BG1036" i="75"/>
  <c r="CW551" i="75"/>
  <c r="H219" i="116"/>
  <c r="CS486" i="75"/>
  <c r="BQ969" i="75"/>
  <c r="BS639" i="75"/>
  <c r="BO211" i="75"/>
  <c r="CW546" i="75"/>
  <c r="BW523" i="75"/>
  <c r="AM189" i="100"/>
  <c r="BW645" i="75"/>
  <c r="BQ945" i="75"/>
  <c r="BC927" i="75"/>
  <c r="BO241" i="75"/>
  <c r="BY725" i="75"/>
  <c r="BW673" i="75"/>
  <c r="BU358" i="75"/>
  <c r="W33" i="113"/>
  <c r="X33" i="113" s="1"/>
  <c r="BQ973" i="75"/>
  <c r="BO248" i="75"/>
  <c r="AP23" i="113"/>
  <c r="AR23" i="113" s="1"/>
  <c r="AN182" i="100"/>
  <c r="E41" i="116"/>
  <c r="H41" i="116" s="1"/>
  <c r="J216" i="116"/>
  <c r="H216" i="116"/>
  <c r="DE311" i="75"/>
  <c r="DF311" i="75" s="1"/>
  <c r="DE312" i="75"/>
  <c r="BJ384" i="75" a="1"/>
  <c r="BJ393" i="75" s="1"/>
  <c r="CW544" i="75"/>
  <c r="CW550" i="75"/>
  <c r="BS1245" i="75"/>
  <c r="BO231" i="75"/>
  <c r="W35" i="113"/>
  <c r="J31" i="116"/>
  <c r="AO170" i="100"/>
  <c r="BG220" i="75"/>
  <c r="BG213" i="75"/>
  <c r="BY345" i="75"/>
  <c r="J44" i="112"/>
  <c r="H44" i="112"/>
  <c r="CS485" i="75"/>
  <c r="CI311" i="75"/>
  <c r="BO233" i="75"/>
  <c r="BU351" i="75"/>
  <c r="AP26" i="113"/>
  <c r="W37" i="113"/>
  <c r="X37" i="113" s="1"/>
  <c r="H135" i="115"/>
  <c r="BW546" i="75"/>
  <c r="D21" i="113"/>
  <c r="J191" i="115"/>
  <c r="BQ249" i="75"/>
  <c r="CE604" i="75"/>
  <c r="BM392" i="75"/>
  <c r="BQ789" i="75"/>
  <c r="BQ782" i="75"/>
  <c r="CO607" i="75"/>
  <c r="BY370" i="75"/>
  <c r="BM245" i="75"/>
  <c r="J176" i="112"/>
  <c r="H176" i="112"/>
  <c r="J106" i="114"/>
  <c r="H106" i="114"/>
  <c r="BC1119" i="75"/>
  <c r="CJ1202" i="75"/>
  <c r="DB310" i="75"/>
  <c r="CH1012" i="75" a="1"/>
  <c r="CH1033" i="75" s="1"/>
  <c r="BQ1156" i="75"/>
  <c r="BK429" i="75"/>
  <c r="CW548" i="75"/>
  <c r="CC1148" i="75"/>
  <c r="H143" i="114"/>
  <c r="CI302" i="75"/>
  <c r="BO240" i="75"/>
  <c r="BU370" i="75"/>
  <c r="AS123" i="113"/>
  <c r="AS121" i="113"/>
  <c r="W34" i="113"/>
  <c r="X34" i="113" s="1"/>
  <c r="AP170" i="100"/>
  <c r="AN200" i="100"/>
  <c r="Z131" i="113"/>
  <c r="AP317" i="100"/>
  <c r="AM333" i="100"/>
  <c r="H224" i="116"/>
  <c r="BQ252" i="75"/>
  <c r="BM405" i="75"/>
  <c r="BM427" i="75"/>
  <c r="BO1067" i="75"/>
  <c r="BK757" i="75"/>
  <c r="BQ546" i="75"/>
  <c r="BM426" i="75"/>
  <c r="BM431" i="75"/>
  <c r="BE527" i="75"/>
  <c r="BK237" i="75"/>
  <c r="BG539" i="75"/>
  <c r="BQ539" i="75"/>
  <c r="BQ793" i="75"/>
  <c r="CO597" i="75"/>
  <c r="CP597" i="75" s="1"/>
  <c r="BY371" i="75"/>
  <c r="BE216" i="75"/>
  <c r="DC370" i="75"/>
  <c r="DC371" i="75"/>
  <c r="DC372" i="75"/>
  <c r="DC369" i="75"/>
  <c r="DD369" i="75" s="1"/>
  <c r="BK1213" i="75"/>
  <c r="BG1015" i="75"/>
  <c r="CA662" i="75"/>
  <c r="BS1003" i="75"/>
  <c r="CM538" i="75"/>
  <c r="BG1034" i="75"/>
  <c r="CE650" i="75"/>
  <c r="CX968" i="75"/>
  <c r="CQ244" i="75"/>
  <c r="J136" i="112"/>
  <c r="BC1156" i="75"/>
  <c r="BQ1152" i="75"/>
  <c r="BK391" i="75"/>
  <c r="CI432" i="75"/>
  <c r="BW545" i="75"/>
  <c r="BO993" i="75"/>
  <c r="BP993" i="75" s="1"/>
  <c r="CC1134" i="75"/>
  <c r="CM296" i="75"/>
  <c r="BO249" i="75"/>
  <c r="BU364" i="75"/>
  <c r="Z138" i="113"/>
  <c r="Z132" i="113"/>
  <c r="AP27" i="113"/>
  <c r="AQ27" i="113" s="1"/>
  <c r="BZ1184" i="75" a="1"/>
  <c r="BZ1186" i="75" s="1"/>
  <c r="H141" i="112"/>
  <c r="CN354" i="75" a="1"/>
  <c r="CN354" i="75" s="1"/>
  <c r="CO903" i="75"/>
  <c r="BQ544" i="75"/>
  <c r="BQ250" i="75"/>
  <c r="BM398" i="75"/>
  <c r="BG719" i="75"/>
  <c r="BK687" i="75"/>
  <c r="BL687" i="75" s="1"/>
  <c r="BO1064" i="75"/>
  <c r="BK763" i="75"/>
  <c r="BQ724" i="75"/>
  <c r="BQ518" i="75"/>
  <c r="BG240" i="75"/>
  <c r="BK733" i="75"/>
  <c r="BK225" i="75"/>
  <c r="BG528" i="75"/>
  <c r="BQ770" i="75"/>
  <c r="CO601" i="75"/>
  <c r="BY362" i="75"/>
  <c r="BI238" i="75"/>
  <c r="BE212" i="75"/>
  <c r="F225" i="116"/>
  <c r="E225" i="116"/>
  <c r="H191" i="112"/>
  <c r="J191" i="112"/>
  <c r="CB704" i="75" a="1"/>
  <c r="CB733" i="75" s="1"/>
  <c r="CQ899" i="75" a="1"/>
  <c r="CA655" i="75"/>
  <c r="CM539" i="75"/>
  <c r="BG1000" i="75"/>
  <c r="CE664" i="75"/>
  <c r="BC1117" i="75"/>
  <c r="BU338" i="75"/>
  <c r="BO216" i="75"/>
  <c r="BU369" i="75"/>
  <c r="G121" i="113"/>
  <c r="D27" i="113"/>
  <c r="D29" i="113"/>
  <c r="E29" i="113" s="1"/>
  <c r="AP29" i="113"/>
  <c r="AQ29" i="113" s="1"/>
  <c r="AO163" i="100"/>
  <c r="BC969" i="75"/>
  <c r="CO907" i="75"/>
  <c r="BG550" i="75"/>
  <c r="BQ232" i="75"/>
  <c r="BW780" i="75"/>
  <c r="BK209" i="75"/>
  <c r="BG697" i="75"/>
  <c r="BG214" i="75"/>
  <c r="BO1069" i="75"/>
  <c r="BK756" i="75"/>
  <c r="BQ718" i="75"/>
  <c r="BM413" i="75"/>
  <c r="BG221" i="75"/>
  <c r="BG700" i="75"/>
  <c r="BK207" i="75"/>
  <c r="BG522" i="75"/>
  <c r="BQ243" i="75"/>
  <c r="BQ771" i="75"/>
  <c r="CO604" i="75"/>
  <c r="BY350" i="75"/>
  <c r="BI220" i="75"/>
  <c r="BE245" i="75"/>
  <c r="E209" i="116"/>
  <c r="F209" i="116"/>
  <c r="BW1214" i="75"/>
  <c r="BW1182" i="75"/>
  <c r="BW1196" i="75"/>
  <c r="BW1188" i="75"/>
  <c r="BW1193" i="75"/>
  <c r="BW1189" i="75"/>
  <c r="BW1207" i="75"/>
  <c r="BW1195" i="75"/>
  <c r="BW1191" i="75"/>
  <c r="BQ1131" i="75"/>
  <c r="BK423" i="75"/>
  <c r="CP356" i="75" a="1"/>
  <c r="CA659" i="75"/>
  <c r="CA1193" i="75"/>
  <c r="BQ971" i="75"/>
  <c r="BQ1122" i="75"/>
  <c r="CM547" i="75"/>
  <c r="BG998" i="75"/>
  <c r="CE654" i="75"/>
  <c r="CI1216" i="75"/>
  <c r="BC1104" i="75"/>
  <c r="BK393" i="75"/>
  <c r="BC945" i="75"/>
  <c r="BG428" i="75"/>
  <c r="BM1198" i="75"/>
  <c r="BJ1228" i="75" a="1"/>
  <c r="BJ1235" i="75" s="1"/>
  <c r="BO250" i="75"/>
  <c r="CC1136" i="75"/>
  <c r="H88" i="112"/>
  <c r="BT1118" i="75" a="1"/>
  <c r="BT1138" i="75" s="1"/>
  <c r="H77" i="116"/>
  <c r="CG1027" i="75"/>
  <c r="BC1047" i="75"/>
  <c r="BE893" i="75"/>
  <c r="BO251" i="75"/>
  <c r="BU363" i="75"/>
  <c r="G124" i="113"/>
  <c r="D23" i="113"/>
  <c r="E23" i="113" s="1"/>
  <c r="BK710" i="75"/>
  <c r="BQ515" i="75"/>
  <c r="BO762" i="75"/>
  <c r="J155" i="115"/>
  <c r="E63" i="116"/>
  <c r="H63" i="116" s="1"/>
  <c r="BQ355" i="75"/>
  <c r="BQ225" i="75"/>
  <c r="BE331" i="75"/>
  <c r="BC250" i="75"/>
  <c r="BQ213" i="75"/>
  <c r="BU967" i="75"/>
  <c r="BK792" i="75"/>
  <c r="BE325" i="75"/>
  <c r="BK208" i="75"/>
  <c r="BG219" i="75"/>
  <c r="BG698" i="75"/>
  <c r="BK226" i="75"/>
  <c r="BG517" i="75"/>
  <c r="BM414" i="75"/>
  <c r="BQ756" i="75"/>
  <c r="CO602" i="75"/>
  <c r="BY353" i="75"/>
  <c r="BI251" i="75"/>
  <c r="BE213" i="75"/>
  <c r="BM647" i="75"/>
  <c r="BM639" i="75"/>
  <c r="BO1020" i="75"/>
  <c r="H103" i="112"/>
  <c r="BM1196" i="75"/>
  <c r="BO220" i="75"/>
  <c r="BU366" i="75"/>
  <c r="AS127" i="113"/>
  <c r="W31" i="113"/>
  <c r="X31" i="113" s="1"/>
  <c r="AP22" i="113"/>
  <c r="AR22" i="113" s="1"/>
  <c r="AP163" i="100"/>
  <c r="BQ242" i="75"/>
  <c r="BG204" i="75"/>
  <c r="BM387" i="75"/>
  <c r="BN387" i="75" s="1"/>
  <c r="BK782" i="75"/>
  <c r="BS412" i="75"/>
  <c r="BI723" i="75"/>
  <c r="BK790" i="75"/>
  <c r="BG713" i="75"/>
  <c r="BK229" i="75"/>
  <c r="BG535" i="75"/>
  <c r="BQ787" i="75"/>
  <c r="CO610" i="75"/>
  <c r="BY343" i="75"/>
  <c r="BI232" i="75"/>
  <c r="BE222" i="75"/>
  <c r="M181" i="113"/>
  <c r="E190" i="113"/>
  <c r="J190" i="113" s="1"/>
  <c r="M190" i="113"/>
  <c r="F190" i="113"/>
  <c r="J59" i="116"/>
  <c r="H59" i="116"/>
  <c r="DB248" i="75"/>
  <c r="BG406" i="75"/>
  <c r="CM293" i="75"/>
  <c r="CN293" i="75" s="1"/>
  <c r="BO1001" i="75"/>
  <c r="BO212" i="75"/>
  <c r="BW643" i="75"/>
  <c r="BU357" i="75"/>
  <c r="AO320" i="100"/>
  <c r="D28" i="113"/>
  <c r="E28" i="113" s="1"/>
  <c r="H108" i="116"/>
  <c r="BK1070" i="75"/>
  <c r="BG702" i="75"/>
  <c r="BQ214" i="75"/>
  <c r="BK777" i="75"/>
  <c r="BK251" i="75"/>
  <c r="BK768" i="75"/>
  <c r="BK231" i="75"/>
  <c r="BU252" i="75"/>
  <c r="BM388" i="75"/>
  <c r="BG706" i="75"/>
  <c r="BK206" i="75"/>
  <c r="BK699" i="75"/>
  <c r="BG524" i="75"/>
  <c r="BU397" i="75"/>
  <c r="BU405" i="75"/>
  <c r="CG793" i="75"/>
  <c r="CG785" i="75"/>
  <c r="F12" i="102"/>
  <c r="L12" i="90"/>
  <c r="AC81" i="90"/>
  <c r="CH86" i="90" s="1"/>
  <c r="AS4" i="90"/>
  <c r="EG25" i="90"/>
  <c r="AC44" i="90"/>
  <c r="CH49" i="90" s="1"/>
  <c r="BE4" i="90"/>
  <c r="B2" i="104"/>
  <c r="B2" i="105"/>
  <c r="AB5" i="90"/>
  <c r="EG12" i="90"/>
  <c r="BS5" i="90"/>
  <c r="AS44" i="90"/>
  <c r="AS81" i="90"/>
  <c r="BS4" i="90"/>
  <c r="CM12" i="90" s="1"/>
  <c r="AC4" i="90"/>
  <c r="BD5" i="90"/>
  <c r="BD81" i="90"/>
  <c r="CI86" i="90" s="1"/>
  <c r="B1" i="105"/>
  <c r="AB4" i="90"/>
  <c r="FA12" i="90" s="1"/>
  <c r="B2" i="110"/>
  <c r="BE5" i="90"/>
  <c r="EC12" i="90"/>
  <c r="H2" i="90"/>
  <c r="CQ1082" i="75"/>
  <c r="CQ1096" i="75"/>
  <c r="CQ1084" i="75"/>
  <c r="CQ1081" i="75"/>
  <c r="CR1081" i="75" s="1"/>
  <c r="CQ1094" i="75"/>
  <c r="CQ1087" i="75"/>
  <c r="CQ1091" i="75"/>
  <c r="CQ1083" i="75"/>
  <c r="CQ1092" i="75"/>
  <c r="CQ1095" i="75"/>
  <c r="CQ1089" i="75"/>
  <c r="CQ1093" i="75"/>
  <c r="CQ1086" i="75"/>
  <c r="CQ1090" i="75"/>
  <c r="CQ1085" i="75"/>
  <c r="CQ1088" i="75"/>
  <c r="CY366" i="75"/>
  <c r="CY370" i="75"/>
  <c r="CW366" i="75"/>
  <c r="CW369" i="75"/>
  <c r="CW370" i="75"/>
  <c r="CW367" i="75"/>
  <c r="CH974" i="75"/>
  <c r="CU907" i="75"/>
  <c r="CU911" i="75"/>
  <c r="CH1138" i="75"/>
  <c r="CH1136" i="75"/>
  <c r="CQ659" i="75" a="1"/>
  <c r="CQ663" i="75" s="1"/>
  <c r="BC989" i="75"/>
  <c r="CM851" i="75"/>
  <c r="BE460" i="75"/>
  <c r="CI1198" i="75"/>
  <c r="CJ1201" i="75"/>
  <c r="CY1210" i="75"/>
  <c r="DB670" i="75" a="1"/>
  <c r="DB671" i="75" s="1"/>
  <c r="CQ779" i="75" a="1"/>
  <c r="CQ793" i="75" s="1"/>
  <c r="BC1003" i="75"/>
  <c r="BS673" i="75"/>
  <c r="BS1089" i="75"/>
  <c r="BS1092" i="75"/>
  <c r="BU469" i="75"/>
  <c r="F85" i="116"/>
  <c r="E85" i="116"/>
  <c r="E164" i="116"/>
  <c r="F164" i="116"/>
  <c r="F204" i="116"/>
  <c r="E204" i="116"/>
  <c r="F167" i="116"/>
  <c r="E167" i="116"/>
  <c r="H28" i="112"/>
  <c r="H84" i="116"/>
  <c r="CJ1212" i="75"/>
  <c r="BC1028" i="75"/>
  <c r="CM847" i="75"/>
  <c r="CI1194" i="75"/>
  <c r="CS539" i="75" a="1"/>
  <c r="BC992" i="75"/>
  <c r="CM844" i="75"/>
  <c r="BE455" i="75"/>
  <c r="CI1208" i="75"/>
  <c r="BS1084" i="75"/>
  <c r="CS1023" i="75" a="1"/>
  <c r="CS1025" i="75" s="1"/>
  <c r="BS1062" i="75"/>
  <c r="H144" i="116"/>
  <c r="CI914" i="75"/>
  <c r="O170" i="113"/>
  <c r="O161" i="113"/>
  <c r="F181" i="116"/>
  <c r="E181" i="116"/>
  <c r="CI1202" i="75"/>
  <c r="CJ1216" i="75"/>
  <c r="CX544" i="75" a="1"/>
  <c r="CQ599" i="75" a="1"/>
  <c r="CQ608" i="75" s="1"/>
  <c r="BC1025" i="75"/>
  <c r="CM845" i="75"/>
  <c r="BE1201" i="75"/>
  <c r="BW1027" i="75"/>
  <c r="CI1193" i="75"/>
  <c r="CJ1193" i="75" s="1"/>
  <c r="BQ455" i="75"/>
  <c r="CJ1210" i="75"/>
  <c r="CO843" i="75"/>
  <c r="BS469" i="75"/>
  <c r="BZ582" i="75" a="1"/>
  <c r="BZ598" i="75" s="1"/>
  <c r="CR720" i="75" a="1"/>
  <c r="CR728" i="75" s="1"/>
  <c r="BN1112" i="75" a="1"/>
  <c r="BN1140" i="75" s="1"/>
  <c r="CG232" i="75"/>
  <c r="BG1070" i="75"/>
  <c r="BG1075" i="75"/>
  <c r="CG230" i="75"/>
  <c r="BC1185" i="75"/>
  <c r="CM1084" i="75"/>
  <c r="BQ1060" i="75"/>
  <c r="BS1090" i="75"/>
  <c r="CD1188" i="75" a="1"/>
  <c r="CD1201" i="75" s="1"/>
  <c r="BY652" i="75"/>
  <c r="BS1266" i="75"/>
  <c r="CG1013" i="75"/>
  <c r="BC1057" i="75"/>
  <c r="CI904" i="75"/>
  <c r="AN205" i="100"/>
  <c r="AN195" i="100"/>
  <c r="AN306" i="100"/>
  <c r="AO295" i="100"/>
  <c r="M130" i="113"/>
  <c r="D134" i="113" s="1"/>
  <c r="M121" i="113"/>
  <c r="E130" i="113"/>
  <c r="F130" i="113"/>
  <c r="N131" i="113"/>
  <c r="G133" i="113" s="1"/>
  <c r="N140" i="113"/>
  <c r="O101" i="113"/>
  <c r="O110" i="113"/>
  <c r="E147" i="116"/>
  <c r="F147" i="116"/>
  <c r="E183" i="116"/>
  <c r="F183" i="116"/>
  <c r="BH442" i="75" a="1"/>
  <c r="BH447" i="75" s="1"/>
  <c r="CM848" i="75"/>
  <c r="BC1018" i="75"/>
  <c r="BC1026" i="75"/>
  <c r="BI1264" i="75"/>
  <c r="CN1026" i="75"/>
  <c r="CJ1207" i="75"/>
  <c r="CW673" i="75"/>
  <c r="BR392" i="75" a="1"/>
  <c r="BR401" i="75" s="1"/>
  <c r="BS1078" i="75"/>
  <c r="BD1162" i="75" a="1"/>
  <c r="BD1189" i="75" s="1"/>
  <c r="BY674" i="75"/>
  <c r="BP1234" i="75" a="1"/>
  <c r="BP1255" i="75" s="1"/>
  <c r="CI910" i="75"/>
  <c r="AM301" i="100"/>
  <c r="E227" i="116"/>
  <c r="F227" i="116"/>
  <c r="E202" i="116"/>
  <c r="F202" i="116"/>
  <c r="F45" i="116"/>
  <c r="E45" i="116"/>
  <c r="H54" i="112"/>
  <c r="J54" i="112"/>
  <c r="DC432" i="75"/>
  <c r="BS667" i="75"/>
  <c r="BX1242" i="75" a="1"/>
  <c r="BX1276" i="75" s="1"/>
  <c r="BS1067" i="75"/>
  <c r="BY672" i="75"/>
  <c r="E169" i="116"/>
  <c r="F169" i="116"/>
  <c r="H93" i="114"/>
  <c r="J93" i="114"/>
  <c r="BY643" i="75"/>
  <c r="M60" i="113"/>
  <c r="F60" i="113"/>
  <c r="E60" i="113"/>
  <c r="M51" i="113"/>
  <c r="AP58" i="113" s="1"/>
  <c r="E87" i="116"/>
  <c r="F87" i="116"/>
  <c r="CA409" i="75"/>
  <c r="CA424" i="75"/>
  <c r="CA428" i="75"/>
  <c r="CA426" i="75"/>
  <c r="CA413" i="75"/>
  <c r="J27" i="116"/>
  <c r="H27" i="116"/>
  <c r="CL894" i="75" a="1"/>
  <c r="CL910" i="75" s="1"/>
  <c r="CN1036" i="75"/>
  <c r="BP692" i="75" a="1"/>
  <c r="BP731" i="75" s="1"/>
  <c r="CG1096" i="75"/>
  <c r="CZ1034" i="75"/>
  <c r="CW1093" i="75"/>
  <c r="BR694" i="75" a="1"/>
  <c r="BR730" i="75" s="1"/>
  <c r="BG1063" i="75"/>
  <c r="BU490" i="75"/>
  <c r="BU473" i="75"/>
  <c r="BG1235" i="75"/>
  <c r="BG1253" i="75"/>
  <c r="CC1084" i="75"/>
  <c r="BS1066" i="75"/>
  <c r="CV1146" i="75" a="1"/>
  <c r="CV1155" i="75" s="1"/>
  <c r="CG956" i="75"/>
  <c r="BL1170" i="75" a="1"/>
  <c r="BL1198" i="75" s="1"/>
  <c r="CF1010" i="75" a="1"/>
  <c r="CF1032" i="75" s="1"/>
  <c r="CG955" i="75"/>
  <c r="CJ892" i="75" a="1"/>
  <c r="CJ907" i="75" s="1"/>
  <c r="BU1208" i="75"/>
  <c r="BC820" i="75"/>
  <c r="BW672" i="75"/>
  <c r="CM612" i="75"/>
  <c r="BK468" i="75"/>
  <c r="AM198" i="100"/>
  <c r="J21" i="116"/>
  <c r="H21" i="116"/>
  <c r="BC814" i="75"/>
  <c r="BK489" i="75"/>
  <c r="BI480" i="75"/>
  <c r="BI460" i="75"/>
  <c r="AO317" i="100"/>
  <c r="AP301" i="100"/>
  <c r="CA1035" i="75"/>
  <c r="AM193" i="100"/>
  <c r="BK1080" i="75"/>
  <c r="BM969" i="75"/>
  <c r="F143" i="116"/>
  <c r="E143" i="116"/>
  <c r="J173" i="116"/>
  <c r="H173" i="116"/>
  <c r="CY607" i="75"/>
  <c r="CZ607" i="75" s="1"/>
  <c r="CY610" i="75"/>
  <c r="CY608" i="75"/>
  <c r="CY613" i="75"/>
  <c r="CY611" i="75"/>
  <c r="CY612" i="75"/>
  <c r="CY614" i="75"/>
  <c r="CY609" i="75"/>
  <c r="BT214" i="75" a="1"/>
  <c r="BT246" i="75" s="1"/>
  <c r="BU1266" i="75"/>
  <c r="BU291" i="75"/>
  <c r="DB312" i="75"/>
  <c r="BW1009" i="75"/>
  <c r="BS658" i="75"/>
  <c r="BS654" i="75"/>
  <c r="BK397" i="75"/>
  <c r="BU464" i="75"/>
  <c r="BG1078" i="75"/>
  <c r="BG1073" i="75"/>
  <c r="CG959" i="75"/>
  <c r="BC830" i="75"/>
  <c r="BI464" i="75"/>
  <c r="BM941" i="75"/>
  <c r="AN198" i="100"/>
  <c r="CM971" i="75"/>
  <c r="BM933" i="75"/>
  <c r="F100" i="113"/>
  <c r="M100" i="113"/>
  <c r="E100" i="113"/>
  <c r="J100" i="113" s="1"/>
  <c r="M91" i="113"/>
  <c r="BC949" i="75"/>
  <c r="BC946" i="75"/>
  <c r="BC930" i="75"/>
  <c r="BC953" i="75"/>
  <c r="BC935" i="75"/>
  <c r="BC944" i="75"/>
  <c r="BC928" i="75"/>
  <c r="BC961" i="75"/>
  <c r="BC950" i="75"/>
  <c r="BC976" i="75"/>
  <c r="BC937" i="75"/>
  <c r="BC934" i="75"/>
  <c r="BC929" i="75"/>
  <c r="BC962" i="75"/>
  <c r="BC967" i="75"/>
  <c r="BC940" i="75"/>
  <c r="F189" i="116"/>
  <c r="E189" i="116"/>
  <c r="J121" i="114"/>
  <c r="H121" i="114"/>
  <c r="CH770" i="75" a="1"/>
  <c r="BM942" i="75"/>
  <c r="H86" i="112"/>
  <c r="BR754" i="75" a="1"/>
  <c r="BR788" i="75" s="1"/>
  <c r="CR1262" i="75" a="1"/>
  <c r="CR1262" i="75" s="1"/>
  <c r="BQ490" i="75"/>
  <c r="CP236" i="75" a="1"/>
  <c r="CP243" i="75" s="1"/>
  <c r="BO1191" i="75"/>
  <c r="BS653" i="75"/>
  <c r="BW1012" i="75"/>
  <c r="BS666" i="75"/>
  <c r="BK414" i="75"/>
  <c r="BN966" i="75"/>
  <c r="CW1095" i="75"/>
  <c r="BU477" i="75"/>
  <c r="BU483" i="75"/>
  <c r="BC1193" i="75"/>
  <c r="BG1089" i="75"/>
  <c r="CG971" i="75"/>
  <c r="BQ940" i="75"/>
  <c r="BC799" i="75"/>
  <c r="BD799" i="75" s="1"/>
  <c r="BI476" i="75"/>
  <c r="AO328" i="100"/>
  <c r="BM970" i="75"/>
  <c r="F43" i="116"/>
  <c r="E43" i="116"/>
  <c r="F66" i="116"/>
  <c r="E66" i="116"/>
  <c r="J66" i="116" s="1"/>
  <c r="AS201" i="113"/>
  <c r="G206" i="113"/>
  <c r="G207" i="113"/>
  <c r="AS208" i="113"/>
  <c r="AS206" i="113"/>
  <c r="AS207" i="113"/>
  <c r="G209" i="113"/>
  <c r="G201" i="113"/>
  <c r="G208" i="113"/>
  <c r="AS202" i="113"/>
  <c r="AS203" i="113"/>
  <c r="BU1274" i="75"/>
  <c r="BI1028" i="75"/>
  <c r="BC987" i="75"/>
  <c r="BM1238" i="75"/>
  <c r="BU1248" i="75"/>
  <c r="BW1028" i="75"/>
  <c r="BI1027" i="75"/>
  <c r="BQ462" i="75"/>
  <c r="BC1120" i="75"/>
  <c r="BD800" i="75" a="1"/>
  <c r="BD817" i="75" s="1"/>
  <c r="BO1201" i="75"/>
  <c r="BW1030" i="75"/>
  <c r="BS643" i="75"/>
  <c r="BK404" i="75"/>
  <c r="CW1092" i="75"/>
  <c r="CT1144" i="75" a="1"/>
  <c r="BQ963" i="75"/>
  <c r="BG1092" i="75"/>
  <c r="CC1150" i="75"/>
  <c r="BU491" i="75"/>
  <c r="BG1229" i="75"/>
  <c r="BG1233" i="75"/>
  <c r="BC1181" i="75"/>
  <c r="CG972" i="75"/>
  <c r="H207" i="115"/>
  <c r="CG1023" i="75"/>
  <c r="BG1045" i="75"/>
  <c r="BH1045" i="75" s="1"/>
  <c r="CG957" i="75"/>
  <c r="CA1006" i="75"/>
  <c r="BK463" i="75"/>
  <c r="BQ964" i="75"/>
  <c r="BO230" i="75"/>
  <c r="BC832" i="75"/>
  <c r="BK465" i="75"/>
  <c r="BU335" i="75"/>
  <c r="BV335" i="75" s="1"/>
  <c r="BI451" i="75"/>
  <c r="AP195" i="100"/>
  <c r="CS611" i="75"/>
  <c r="BU518" i="75"/>
  <c r="AO190" i="100"/>
  <c r="F108" i="116"/>
  <c r="BM956" i="75"/>
  <c r="E142" i="116"/>
  <c r="F142" i="116"/>
  <c r="CJ350" i="75" a="1"/>
  <c r="CJ363" i="75" s="1"/>
  <c r="BC991" i="75"/>
  <c r="CO846" i="75"/>
  <c r="BU1258" i="75"/>
  <c r="BW1036" i="75"/>
  <c r="BI1021" i="75"/>
  <c r="BT756" i="75" a="1"/>
  <c r="BT769" i="75" s="1"/>
  <c r="BW1005" i="75"/>
  <c r="BS640" i="75"/>
  <c r="BK418" i="75"/>
  <c r="BG1083" i="75"/>
  <c r="BU461" i="75"/>
  <c r="BC1192" i="75"/>
  <c r="BG1049" i="75"/>
  <c r="BG1047" i="75"/>
  <c r="CG965" i="75"/>
  <c r="BQ946" i="75"/>
  <c r="BK462" i="75"/>
  <c r="BI483" i="75"/>
  <c r="H172" i="114"/>
  <c r="H152" i="116"/>
  <c r="AO198" i="100"/>
  <c r="CM960" i="75"/>
  <c r="BM944" i="75"/>
  <c r="O71" i="113"/>
  <c r="O80" i="113"/>
  <c r="BY594" i="75"/>
  <c r="BY593" i="75"/>
  <c r="BY614" i="75"/>
  <c r="BY583" i="75"/>
  <c r="BY610" i="75"/>
  <c r="BY586" i="75"/>
  <c r="BY602" i="75"/>
  <c r="BY609" i="75"/>
  <c r="BY612" i="75"/>
  <c r="BY604" i="75"/>
  <c r="BY600" i="75"/>
  <c r="F86" i="116"/>
  <c r="E86" i="116"/>
  <c r="F101" i="116"/>
  <c r="E101" i="116"/>
  <c r="E226" i="116"/>
  <c r="F226" i="116"/>
  <c r="J121" i="116"/>
  <c r="H121" i="116"/>
  <c r="BF380" i="75" a="1"/>
  <c r="BF401" i="75" s="1"/>
  <c r="BU1269" i="75"/>
  <c r="CJ1206" i="75"/>
  <c r="BV758" i="75" a="1"/>
  <c r="BV776" i="75" s="1"/>
  <c r="CV242" i="75" a="1"/>
  <c r="CV245" i="75" s="1"/>
  <c r="BW1014" i="75"/>
  <c r="BS651" i="75"/>
  <c r="BS649" i="75"/>
  <c r="BI354" i="75"/>
  <c r="BU484" i="75"/>
  <c r="BU468" i="75"/>
  <c r="BC1168" i="75"/>
  <c r="BG1072" i="75"/>
  <c r="CG973" i="75"/>
  <c r="CC346" i="75"/>
  <c r="BQ943" i="75"/>
  <c r="BZ822" i="75" a="1"/>
  <c r="BZ846" i="75" s="1"/>
  <c r="BI469" i="75"/>
  <c r="AN187" i="100"/>
  <c r="AN291" i="100"/>
  <c r="AO330" i="100"/>
  <c r="CM966" i="75"/>
  <c r="BM948" i="75"/>
  <c r="DC976" i="75"/>
  <c r="DC975" i="75"/>
  <c r="DC973" i="75"/>
  <c r="DD973" i="75" s="1"/>
  <c r="DC974" i="75"/>
  <c r="E29" i="116"/>
  <c r="F29" i="116"/>
  <c r="F141" i="116"/>
  <c r="E141" i="116"/>
  <c r="BC1012" i="75"/>
  <c r="CM854" i="75"/>
  <c r="BC1008" i="75"/>
  <c r="BU1263" i="75"/>
  <c r="CJ1194" i="75"/>
  <c r="BS655" i="75"/>
  <c r="BS638" i="75"/>
  <c r="BC1184" i="75"/>
  <c r="H194" i="114"/>
  <c r="CC358" i="75"/>
  <c r="BI491" i="75"/>
  <c r="BM940" i="75"/>
  <c r="E61" i="116"/>
  <c r="F61" i="116"/>
  <c r="BI486" i="75"/>
  <c r="O111" i="113"/>
  <c r="O120" i="113"/>
  <c r="F184" i="116"/>
  <c r="E184" i="116"/>
  <c r="E64" i="116"/>
  <c r="F64" i="116"/>
  <c r="DD372" i="75"/>
  <c r="DD371" i="75"/>
  <c r="DD370" i="75"/>
  <c r="BZ1064" i="75" a="1"/>
  <c r="BZ1074" i="75" s="1"/>
  <c r="CT842" i="75" a="1"/>
  <c r="CT845" i="75" s="1"/>
  <c r="BZ280" i="75" a="1"/>
  <c r="BZ286" i="75" s="1"/>
  <c r="CH408" i="75" a="1"/>
  <c r="CH423" i="75" s="1"/>
  <c r="BC1020" i="75"/>
  <c r="CJ1203" i="75"/>
  <c r="DA1271" i="75" a="1"/>
  <c r="BS652" i="75"/>
  <c r="BK388" i="75"/>
  <c r="BS1065" i="75"/>
  <c r="CM1089" i="75"/>
  <c r="BG1082" i="75"/>
  <c r="BG1046" i="75"/>
  <c r="BQ966" i="75"/>
  <c r="BI446" i="75"/>
  <c r="BI462" i="75"/>
  <c r="CA1010" i="75"/>
  <c r="AN327" i="100"/>
  <c r="CM965" i="75"/>
  <c r="CM961" i="75"/>
  <c r="CM963" i="75"/>
  <c r="CM972" i="75"/>
  <c r="CM970" i="75"/>
  <c r="CM967" i="75"/>
  <c r="CM969" i="75"/>
  <c r="CM975" i="75"/>
  <c r="CM959" i="75"/>
  <c r="J25" i="112"/>
  <c r="H25" i="112"/>
  <c r="F187" i="116"/>
  <c r="E187" i="116"/>
  <c r="F104" i="116"/>
  <c r="E104" i="116"/>
  <c r="CU432" i="75"/>
  <c r="CU430" i="75"/>
  <c r="CU422" i="75"/>
  <c r="CM788" i="75"/>
  <c r="BS665" i="75"/>
  <c r="CG1077" i="75"/>
  <c r="BS1081" i="75"/>
  <c r="CA1031" i="75"/>
  <c r="F162" i="116"/>
  <c r="BK1051" i="75"/>
  <c r="BK1069" i="75"/>
  <c r="BK1060" i="75"/>
  <c r="BK1092" i="75"/>
  <c r="BK1074" i="75"/>
  <c r="BK1053" i="75"/>
  <c r="BK1064" i="75"/>
  <c r="BK1094" i="75"/>
  <c r="BK1078" i="75"/>
  <c r="BK1085" i="75"/>
  <c r="BK1079" i="75"/>
  <c r="BK1083" i="75"/>
  <c r="BK1058" i="75"/>
  <c r="BK1054" i="75"/>
  <c r="BK1090" i="75"/>
  <c r="BK1059" i="75"/>
  <c r="BK1062" i="75"/>
  <c r="E166" i="116"/>
  <c r="F166" i="116"/>
  <c r="J29" i="115"/>
  <c r="H29" i="115"/>
  <c r="BC983" i="75"/>
  <c r="BK385" i="75"/>
  <c r="BL385" i="75" s="1"/>
  <c r="BS1058" i="75"/>
  <c r="BN968" i="75"/>
  <c r="CR1202" i="75" a="1"/>
  <c r="CR1212" i="75" s="1"/>
  <c r="BK425" i="75"/>
  <c r="BI339" i="75"/>
  <c r="BO1195" i="75"/>
  <c r="CM1096" i="75"/>
  <c r="BR1176" i="75" a="1"/>
  <c r="BR1195" i="75" s="1"/>
  <c r="CI913" i="75"/>
  <c r="BI453" i="75"/>
  <c r="CA1023" i="75"/>
  <c r="E88" i="116"/>
  <c r="J88" i="116" s="1"/>
  <c r="AO331" i="100"/>
  <c r="AP333" i="100"/>
  <c r="J68" i="112"/>
  <c r="H68" i="112"/>
  <c r="F203" i="116"/>
  <c r="E203" i="116"/>
  <c r="F69" i="116"/>
  <c r="E69" i="116"/>
  <c r="DA372" i="75"/>
  <c r="DA370" i="75"/>
  <c r="BG1146" i="75"/>
  <c r="CM896" i="75"/>
  <c r="CM912" i="75"/>
  <c r="BG1132" i="75"/>
  <c r="CY969" i="75"/>
  <c r="CZ969" i="75" s="1"/>
  <c r="CY975" i="75"/>
  <c r="CY971" i="75"/>
  <c r="BW1029" i="75"/>
  <c r="BW1019" i="75"/>
  <c r="BW1035" i="75"/>
  <c r="BW1033" i="75"/>
  <c r="BW1021" i="75"/>
  <c r="BW1017" i="75"/>
  <c r="BW1023" i="75"/>
  <c r="BW1013" i="75"/>
  <c r="BW1008" i="75"/>
  <c r="BW1003" i="75"/>
  <c r="CO844" i="75"/>
  <c r="CO845" i="75"/>
  <c r="CO838" i="75"/>
  <c r="CO847" i="75"/>
  <c r="CO839" i="75"/>
  <c r="CO854" i="75"/>
  <c r="CO841" i="75"/>
  <c r="CO840" i="75"/>
  <c r="BS668" i="75"/>
  <c r="BS648" i="75"/>
  <c r="BS674" i="75"/>
  <c r="BS645" i="75"/>
  <c r="BS672" i="75"/>
  <c r="BS646" i="75"/>
  <c r="BS635" i="75"/>
  <c r="BT635" i="75" s="1"/>
  <c r="BS650" i="75"/>
  <c r="BS660" i="75"/>
  <c r="CY1269" i="75"/>
  <c r="CZ1269" i="75" s="1"/>
  <c r="CY1271" i="75"/>
  <c r="CY1275" i="75"/>
  <c r="CY1272" i="75"/>
  <c r="CY1276" i="75"/>
  <c r="CY1273" i="75"/>
  <c r="CY1274" i="75"/>
  <c r="CQ1145" i="75"/>
  <c r="CQ1151" i="75"/>
  <c r="CQ1154" i="75"/>
  <c r="CQ1148" i="75"/>
  <c r="CQ1153" i="75"/>
  <c r="CQ1152" i="75"/>
  <c r="CQ1147" i="75"/>
  <c r="CQ1144" i="75"/>
  <c r="CQ1156" i="75"/>
  <c r="CQ1141" i="75"/>
  <c r="CR1141" i="75" s="1"/>
  <c r="CQ1155" i="75"/>
  <c r="CQ1142" i="75"/>
  <c r="CQ1146" i="75"/>
  <c r="CN1021" i="75"/>
  <c r="CN1023" i="75"/>
  <c r="CN1031" i="75"/>
  <c r="CF588" i="75" a="1"/>
  <c r="CF595" i="75" s="1"/>
  <c r="BQ1071" i="75"/>
  <c r="BQ1065" i="75"/>
  <c r="BQ1084" i="75"/>
  <c r="BQ1068" i="75"/>
  <c r="BQ1059" i="75"/>
  <c r="BQ1095" i="75"/>
  <c r="BQ1085" i="75"/>
  <c r="BQ1057" i="75"/>
  <c r="CY1095" i="75"/>
  <c r="CY1096" i="75"/>
  <c r="CY1093" i="75"/>
  <c r="BG1118" i="75"/>
  <c r="BM1152" i="75"/>
  <c r="BG1134" i="75"/>
  <c r="BC1127" i="75"/>
  <c r="BG997" i="75"/>
  <c r="BG1005" i="75"/>
  <c r="BG1009" i="75"/>
  <c r="BG1020" i="75"/>
  <c r="BG1021" i="75"/>
  <c r="BG1024" i="75"/>
  <c r="CR1142" i="75" a="1"/>
  <c r="CR1156" i="75" s="1"/>
  <c r="CM911" i="75"/>
  <c r="BG1125" i="75"/>
  <c r="CE658" i="75"/>
  <c r="CE667" i="75"/>
  <c r="CE663" i="75"/>
  <c r="CW671" i="75"/>
  <c r="CW665" i="75"/>
  <c r="CX665" i="75" s="1"/>
  <c r="J66" i="114"/>
  <c r="H66" i="114"/>
  <c r="BG1127" i="75"/>
  <c r="CF346" i="75" a="1"/>
  <c r="CF365" i="75" s="1"/>
  <c r="BZ1143" i="75"/>
  <c r="BZ1141" i="75"/>
  <c r="BZ1132" i="75"/>
  <c r="BZ1131" i="75"/>
  <c r="BZ1148" i="75"/>
  <c r="BZ1156" i="75"/>
  <c r="BZ1137" i="75"/>
  <c r="BV638" i="75" a="1"/>
  <c r="BV651" i="75" s="1"/>
  <c r="CL834" i="75" a="1"/>
  <c r="CL853" i="75" s="1"/>
  <c r="BM1112" i="75"/>
  <c r="BG1113" i="75"/>
  <c r="BM1147" i="75"/>
  <c r="CS1083" i="75" a="1"/>
  <c r="CS1087" i="75" s="1"/>
  <c r="BG1154" i="75"/>
  <c r="CS488" i="75"/>
  <c r="BS661" i="75"/>
  <c r="CO837" i="75"/>
  <c r="CP837" i="75" s="1"/>
  <c r="BV1180" i="75" a="1"/>
  <c r="BV1203" i="75" s="1"/>
  <c r="J102" i="116"/>
  <c r="BJ686" i="75" a="1"/>
  <c r="BJ708" i="75" s="1"/>
  <c r="CY1209" i="75"/>
  <c r="CZ1209" i="75" s="1"/>
  <c r="CY1212" i="75"/>
  <c r="BG1108" i="75"/>
  <c r="CS483" i="75"/>
  <c r="BT514" i="75" a="1"/>
  <c r="BT540" i="75" s="1"/>
  <c r="BS1028" i="75"/>
  <c r="BS1005" i="75"/>
  <c r="BS1027" i="75"/>
  <c r="CJ1195" i="75"/>
  <c r="CJ1211" i="75"/>
  <c r="CJ1199" i="75"/>
  <c r="CA670" i="75"/>
  <c r="CA643" i="75"/>
  <c r="CB643" i="75" s="1"/>
  <c r="CA653" i="75"/>
  <c r="CA649" i="75"/>
  <c r="BG1133" i="75"/>
  <c r="BM1155" i="75"/>
  <c r="BX338" i="75" a="1"/>
  <c r="BX355" i="75" s="1"/>
  <c r="BG1136" i="75"/>
  <c r="CS484" i="75"/>
  <c r="CK903" i="75"/>
  <c r="CK901" i="75"/>
  <c r="CE1010" i="75"/>
  <c r="CE1033" i="75"/>
  <c r="BP1174" i="75" a="1"/>
  <c r="BP1182" i="75" s="1"/>
  <c r="BG1156" i="75"/>
  <c r="BG1130" i="75"/>
  <c r="BG1149" i="75"/>
  <c r="BG1109" i="75"/>
  <c r="BG1106" i="75"/>
  <c r="BG1144" i="75"/>
  <c r="BG1126" i="75"/>
  <c r="BM1154" i="75"/>
  <c r="BM1130" i="75"/>
  <c r="BM1134" i="75"/>
  <c r="BM1115" i="75"/>
  <c r="BM1126" i="75"/>
  <c r="BM1143" i="75"/>
  <c r="CF1190" i="75" a="1"/>
  <c r="CF1216" i="75" s="1"/>
  <c r="CW905" i="75" a="1"/>
  <c r="CW910" i="75" s="1"/>
  <c r="BG1114" i="75"/>
  <c r="BG1107" i="75"/>
  <c r="BE448" i="75"/>
  <c r="BE487" i="75"/>
  <c r="BE476" i="75"/>
  <c r="CH958" i="75"/>
  <c r="CH970" i="75"/>
  <c r="BG429" i="75"/>
  <c r="BG395" i="75"/>
  <c r="BG400" i="75"/>
  <c r="E92" i="116"/>
  <c r="F92" i="116"/>
  <c r="BC1131" i="75"/>
  <c r="BC1148" i="75"/>
  <c r="BC1128" i="75"/>
  <c r="BC1123" i="75"/>
  <c r="BS461" i="75"/>
  <c r="BS474" i="75"/>
  <c r="BS455" i="75"/>
  <c r="BS488" i="75"/>
  <c r="BS489" i="75"/>
  <c r="CM1095" i="75"/>
  <c r="CM1090" i="75"/>
  <c r="CM1088" i="75"/>
  <c r="CM1081" i="75"/>
  <c r="BM1260" i="75"/>
  <c r="BM1264" i="75"/>
  <c r="BM1269" i="75"/>
  <c r="CY1036" i="75"/>
  <c r="CY1034" i="75"/>
  <c r="BV456" i="75" a="1"/>
  <c r="BV470" i="75" s="1"/>
  <c r="BT816" i="75" a="1"/>
  <c r="BT831" i="75" s="1"/>
  <c r="BM1129" i="75"/>
  <c r="BG1121" i="75"/>
  <c r="BG1111" i="75"/>
  <c r="BQ473" i="75"/>
  <c r="BQ463" i="75"/>
  <c r="BQ475" i="75"/>
  <c r="CD1068" i="75" a="1"/>
  <c r="CD1093" i="75" s="1"/>
  <c r="BS472" i="75"/>
  <c r="BS637" i="75"/>
  <c r="BQ1073" i="75"/>
  <c r="CM1078" i="75"/>
  <c r="BG1142" i="75"/>
  <c r="BG1110" i="75"/>
  <c r="CR1022" i="75" a="1"/>
  <c r="CR1036" i="75" s="1"/>
  <c r="BM1141" i="75"/>
  <c r="BG1128" i="75"/>
  <c r="BO536" i="75"/>
  <c r="BM1150" i="75"/>
  <c r="BG986" i="75"/>
  <c r="BG1002" i="75"/>
  <c r="BG1155" i="75"/>
  <c r="BZ1135" i="75"/>
  <c r="BL1050" i="75" a="1"/>
  <c r="BL1051" i="75" s="1"/>
  <c r="DA431" i="75"/>
  <c r="DA432" i="75"/>
  <c r="BG625" i="75"/>
  <c r="BG638" i="75"/>
  <c r="BG635" i="75"/>
  <c r="BG634" i="75"/>
  <c r="BG639" i="75"/>
  <c r="AN308" i="100"/>
  <c r="E67" i="116"/>
  <c r="F67" i="116"/>
  <c r="BW548" i="75"/>
  <c r="BW551" i="75"/>
  <c r="BW519" i="75"/>
  <c r="BW532" i="75"/>
  <c r="BW536" i="75"/>
  <c r="Z134" i="113"/>
  <c r="Z133" i="113"/>
  <c r="AS128" i="113"/>
  <c r="G123" i="113"/>
  <c r="G128" i="113"/>
  <c r="AS126" i="113"/>
  <c r="AN202" i="100"/>
  <c r="J108" i="115"/>
  <c r="H108" i="115"/>
  <c r="CJ1074" i="75" a="1"/>
  <c r="CX484" i="75" a="1"/>
  <c r="CX491" i="75" s="1"/>
  <c r="BL688" i="75" a="1"/>
  <c r="BL699" i="75" s="1"/>
  <c r="BO1188" i="75"/>
  <c r="BI994" i="75"/>
  <c r="BO343" i="75"/>
  <c r="BU309" i="75"/>
  <c r="CG1071" i="75"/>
  <c r="CH1071" i="75" s="1"/>
  <c r="CK250" i="75"/>
  <c r="BK402" i="75"/>
  <c r="BO1178" i="75"/>
  <c r="CE1134" i="75"/>
  <c r="CK413" i="75"/>
  <c r="BG1268" i="75"/>
  <c r="BS1088" i="75"/>
  <c r="CL1016" i="75" a="1"/>
  <c r="CL1019" i="75" s="1"/>
  <c r="BY653" i="75"/>
  <c r="BS1241" i="75"/>
  <c r="H205" i="115"/>
  <c r="BU1202" i="75"/>
  <c r="BQ938" i="75"/>
  <c r="BC851" i="75"/>
  <c r="BI465" i="75"/>
  <c r="BW540" i="75"/>
  <c r="Z139" i="113"/>
  <c r="AM206" i="100"/>
  <c r="AN293" i="100"/>
  <c r="BQ426" i="75"/>
  <c r="BQ430" i="75"/>
  <c r="BQ422" i="75"/>
  <c r="BQ418" i="75"/>
  <c r="BQ432" i="75"/>
  <c r="BQ410" i="75"/>
  <c r="BQ420" i="75"/>
  <c r="BQ415" i="75"/>
  <c r="BQ406" i="75"/>
  <c r="BQ398" i="75"/>
  <c r="J94" i="115"/>
  <c r="H94" i="115"/>
  <c r="J162" i="116"/>
  <c r="H162" i="116"/>
  <c r="BU1192" i="75"/>
  <c r="AS129" i="113"/>
  <c r="O51" i="113"/>
  <c r="O60" i="113"/>
  <c r="W32" i="113"/>
  <c r="AP25" i="113"/>
  <c r="AP24" i="113"/>
  <c r="D26" i="113"/>
  <c r="AP21" i="113"/>
  <c r="CL956" i="75" a="1"/>
  <c r="CL963" i="75" s="1"/>
  <c r="CD586" i="75" a="1"/>
  <c r="CD614" i="75" s="1"/>
  <c r="BO1177" i="75"/>
  <c r="BI1026" i="75"/>
  <c r="BO336" i="75"/>
  <c r="BU293" i="75"/>
  <c r="CB1246" i="75" a="1"/>
  <c r="CB1259" i="75" s="1"/>
  <c r="CF226" i="75" a="1"/>
  <c r="CF236" i="75" s="1"/>
  <c r="BD922" i="75" a="1"/>
  <c r="BD922" i="75" s="1"/>
  <c r="BC501" i="75"/>
  <c r="BG1273" i="75"/>
  <c r="CG1093" i="75"/>
  <c r="BK428" i="75"/>
  <c r="CI413" i="75"/>
  <c r="CW371" i="75"/>
  <c r="CI418" i="75"/>
  <c r="CU904" i="75"/>
  <c r="CE1130" i="75"/>
  <c r="CK420" i="75"/>
  <c r="BG1258" i="75"/>
  <c r="BG1262" i="75"/>
  <c r="BS1072" i="75"/>
  <c r="CP1140" i="75" a="1"/>
  <c r="CP1150" i="75" s="1"/>
  <c r="BS1243" i="75"/>
  <c r="CI900" i="75"/>
  <c r="BC842" i="75"/>
  <c r="BI454" i="75"/>
  <c r="BI484" i="75"/>
  <c r="M40" i="113"/>
  <c r="AP46" i="113" s="1"/>
  <c r="F40" i="113"/>
  <c r="E40" i="113"/>
  <c r="J40" i="113" s="1"/>
  <c r="M31" i="113"/>
  <c r="J86" i="114"/>
  <c r="H86" i="114"/>
  <c r="BJ866" i="75" a="1"/>
  <c r="BJ895" i="75" s="1"/>
  <c r="CF888" i="75" a="1"/>
  <c r="CF908" i="75" s="1"/>
  <c r="CV784" i="75" a="1"/>
  <c r="CV788" i="75" s="1"/>
  <c r="CV724" i="75" a="1"/>
  <c r="BL808" i="75" a="1"/>
  <c r="BL826" i="75" s="1"/>
  <c r="CT300" i="75" a="1"/>
  <c r="CT311" i="75" s="1"/>
  <c r="BO1175" i="75"/>
  <c r="BO342" i="75"/>
  <c r="CI424" i="75"/>
  <c r="CB946" i="75" a="1"/>
  <c r="CB952" i="75" s="1"/>
  <c r="BZ944" i="75" a="1"/>
  <c r="BZ974" i="75" s="1"/>
  <c r="CP960" i="75" a="1"/>
  <c r="CP974" i="75" s="1"/>
  <c r="CX1148" i="75" a="1"/>
  <c r="CX1152" i="75" s="1"/>
  <c r="CI420" i="75"/>
  <c r="CU912" i="75"/>
  <c r="CE1154" i="75"/>
  <c r="CU913" i="75"/>
  <c r="BS1079" i="75"/>
  <c r="CL1136" i="75" a="1"/>
  <c r="CL1143" i="75" s="1"/>
  <c r="CI903" i="75"/>
  <c r="BC852" i="75"/>
  <c r="BI479" i="75"/>
  <c r="AM308" i="100"/>
  <c r="AP309" i="100"/>
  <c r="DD1155" i="75"/>
  <c r="AP186" i="100"/>
  <c r="F61" i="112"/>
  <c r="E61" i="112"/>
  <c r="BN1052" i="75" a="1"/>
  <c r="BN1058" i="75" s="1"/>
  <c r="CQ961" i="75" a="1"/>
  <c r="CQ962" i="75" s="1"/>
  <c r="CU906" i="75"/>
  <c r="BH624" i="75" a="1"/>
  <c r="BH630" i="75" s="1"/>
  <c r="BY671" i="75"/>
  <c r="BF924" i="75" a="1"/>
  <c r="BF946" i="75" s="1"/>
  <c r="BQ974" i="75"/>
  <c r="CI897" i="75"/>
  <c r="DD1156" i="75"/>
  <c r="H112" i="115"/>
  <c r="AO192" i="100"/>
  <c r="N21" i="113"/>
  <c r="N30" i="113"/>
  <c r="DB1033" i="75"/>
  <c r="DB1032" i="75"/>
  <c r="J114" i="116"/>
  <c r="H114" i="116"/>
  <c r="CJ1014" i="75" a="1"/>
  <c r="CJ1034" i="75" s="1"/>
  <c r="BQ935" i="75"/>
  <c r="BR935" i="75" s="1"/>
  <c r="CI898" i="75"/>
  <c r="BI456" i="75"/>
  <c r="AN328" i="100"/>
  <c r="H159" i="115"/>
  <c r="J159" i="115"/>
  <c r="AN330" i="100"/>
  <c r="N91" i="113"/>
  <c r="N100" i="113"/>
  <c r="H159" i="116"/>
  <c r="J159" i="116"/>
  <c r="J88" i="115"/>
  <c r="H88" i="115"/>
  <c r="N180" i="113"/>
  <c r="N171" i="113"/>
  <c r="CA229" i="75"/>
  <c r="CA223" i="75"/>
  <c r="CA240" i="75"/>
  <c r="CA238" i="75"/>
  <c r="CA245" i="75"/>
  <c r="CA246" i="75"/>
  <c r="CA248" i="75"/>
  <c r="CA233" i="75"/>
  <c r="AO195" i="100"/>
  <c r="BS531" i="75"/>
  <c r="BS532" i="75"/>
  <c r="BS552" i="75"/>
  <c r="BS520" i="75"/>
  <c r="BS541" i="75"/>
  <c r="BS514" i="75"/>
  <c r="BS534" i="75"/>
  <c r="BS525" i="75"/>
  <c r="BS540" i="75"/>
  <c r="BS522" i="75"/>
  <c r="BS513" i="75"/>
  <c r="BT513" i="75" s="1"/>
  <c r="BS528" i="75"/>
  <c r="BS529" i="75"/>
  <c r="BS526" i="75"/>
  <c r="BS543" i="75"/>
  <c r="J13" i="114"/>
  <c r="H13" i="114"/>
  <c r="CB342" i="75" a="1"/>
  <c r="CB359" i="75" s="1"/>
  <c r="BU1271" i="75"/>
  <c r="BO1187" i="75"/>
  <c r="BK432" i="75"/>
  <c r="BS1076" i="75"/>
  <c r="BN934" i="75"/>
  <c r="CC1140" i="75"/>
  <c r="CE1148" i="75"/>
  <c r="BC1176" i="75"/>
  <c r="BS1069" i="75"/>
  <c r="BS1068" i="75"/>
  <c r="BZ762" i="75" a="1"/>
  <c r="BZ779" i="75" s="1"/>
  <c r="BY656" i="75"/>
  <c r="CV362" i="75" a="1"/>
  <c r="CV366" i="75" s="1"/>
  <c r="CE1156" i="75"/>
  <c r="H44" i="116"/>
  <c r="CK425" i="75"/>
  <c r="BQ955" i="75"/>
  <c r="BC848" i="75"/>
  <c r="BI468" i="75"/>
  <c r="BI457" i="75"/>
  <c r="BI482" i="75"/>
  <c r="H193" i="114"/>
  <c r="AN325" i="100"/>
  <c r="J195" i="112"/>
  <c r="H195" i="112"/>
  <c r="W39" i="113"/>
  <c r="H117" i="115"/>
  <c r="J117" i="115"/>
  <c r="H30" i="113"/>
  <c r="H139" i="115"/>
  <c r="J139" i="115"/>
  <c r="CF828" i="75" a="1"/>
  <c r="CF836" i="75" s="1"/>
  <c r="BK398" i="75"/>
  <c r="BX700" i="75" a="1"/>
  <c r="BX713" i="75" s="1"/>
  <c r="BY646" i="75"/>
  <c r="CK431" i="75"/>
  <c r="BQ957" i="75"/>
  <c r="BI463" i="75"/>
  <c r="AM183" i="100"/>
  <c r="H145" i="112"/>
  <c r="J145" i="112"/>
  <c r="J55" i="112"/>
  <c r="H55" i="112"/>
  <c r="BN690" i="75" a="1"/>
  <c r="BN728" i="75" s="1"/>
  <c r="BY644" i="75"/>
  <c r="CU663" i="75" a="1"/>
  <c r="CU665" i="75" s="1"/>
  <c r="BQ961" i="75"/>
  <c r="AO197" i="100"/>
  <c r="AO206" i="100"/>
  <c r="BI552" i="75"/>
  <c r="BI550" i="75"/>
  <c r="BI508" i="75"/>
  <c r="BI543" i="75"/>
  <c r="BI546" i="75"/>
  <c r="BI510" i="75"/>
  <c r="BI538" i="75"/>
  <c r="BI511" i="75"/>
  <c r="BI551" i="75"/>
  <c r="BI544" i="75"/>
  <c r="BI503" i="75"/>
  <c r="BJ503" i="75" s="1"/>
  <c r="BI530" i="75"/>
  <c r="BI547" i="75"/>
  <c r="BI535" i="75"/>
  <c r="BI512" i="75"/>
  <c r="BI522" i="75"/>
  <c r="BI504" i="75"/>
  <c r="BI514" i="75"/>
  <c r="BI529" i="75"/>
  <c r="BI520" i="75"/>
  <c r="BI521" i="75"/>
  <c r="BI513" i="75"/>
  <c r="BI531" i="75"/>
  <c r="BI515" i="75"/>
  <c r="BI534" i="75"/>
  <c r="BI541" i="75"/>
  <c r="BI540" i="75"/>
  <c r="BI533" i="75"/>
  <c r="BI519" i="75"/>
  <c r="BI525" i="75"/>
  <c r="BI516" i="75"/>
  <c r="BI526" i="75"/>
  <c r="BI517" i="75"/>
  <c r="BI507" i="75"/>
  <c r="BI532" i="75"/>
  <c r="BI509" i="75"/>
  <c r="BI518" i="75"/>
  <c r="BI539" i="75"/>
  <c r="BI524" i="75"/>
  <c r="BI523" i="75"/>
  <c r="H48" i="112"/>
  <c r="BT1178" i="75" a="1"/>
  <c r="BT1198" i="75" s="1"/>
  <c r="BQ965" i="75"/>
  <c r="AO334" i="100"/>
  <c r="O141" i="113"/>
  <c r="O150" i="113"/>
  <c r="H97" i="114"/>
  <c r="AM320" i="100"/>
  <c r="Z136" i="113"/>
  <c r="AN181" i="100"/>
  <c r="AN69" i="100"/>
  <c r="AM69" i="100"/>
  <c r="AO69" i="100"/>
  <c r="AM12" i="100"/>
  <c r="AP40" i="100"/>
  <c r="AO40" i="100"/>
  <c r="AN40" i="100"/>
  <c r="AP34" i="100"/>
  <c r="AM67" i="100"/>
  <c r="AN23" i="100"/>
  <c r="AN65" i="100"/>
  <c r="AM74" i="100"/>
  <c r="AO64" i="100"/>
  <c r="AO298" i="100"/>
  <c r="AN298" i="100"/>
  <c r="AO329" i="100"/>
  <c r="AO327" i="100"/>
  <c r="AN337" i="100"/>
  <c r="AP288" i="100"/>
  <c r="AP327" i="100"/>
  <c r="AO323" i="100"/>
  <c r="AN333" i="100"/>
  <c r="AO308" i="100"/>
  <c r="AO301" i="100"/>
  <c r="AP318" i="100"/>
  <c r="AO319" i="100"/>
  <c r="AM328" i="100"/>
  <c r="AO333" i="100"/>
  <c r="AO312" i="100"/>
  <c r="AM312" i="100"/>
  <c r="AP325" i="100"/>
  <c r="AM336" i="100"/>
  <c r="AP324" i="100"/>
  <c r="AO294" i="100"/>
  <c r="AO306" i="100"/>
  <c r="AO291" i="100"/>
  <c r="AN324" i="100"/>
  <c r="AO293" i="100"/>
  <c r="AN289" i="100"/>
  <c r="AM289" i="100"/>
  <c r="AO307" i="100"/>
  <c r="AN307" i="100"/>
  <c r="AO325" i="100"/>
  <c r="AM319" i="100"/>
  <c r="AN318" i="100"/>
  <c r="AO318" i="100"/>
  <c r="AN317" i="100"/>
  <c r="AO336" i="100"/>
  <c r="AM288" i="100"/>
  <c r="AO335" i="100"/>
  <c r="AN335" i="100"/>
  <c r="AN336" i="100"/>
  <c r="AP171" i="100"/>
  <c r="AO201" i="100"/>
  <c r="AN201" i="100"/>
  <c r="AO207" i="100"/>
  <c r="AO182" i="100"/>
  <c r="AO175" i="100"/>
  <c r="AN194" i="100"/>
  <c r="AP207" i="100"/>
  <c r="AN169" i="100"/>
  <c r="AO204" i="100"/>
  <c r="AN204" i="100"/>
  <c r="AM168" i="100"/>
  <c r="AO172" i="100"/>
  <c r="AP175" i="100"/>
  <c r="AN196" i="100"/>
  <c r="AO183" i="100"/>
  <c r="AO174" i="100"/>
  <c r="AN207" i="100"/>
  <c r="AM207" i="100"/>
  <c r="AO179" i="100"/>
  <c r="AN179" i="100"/>
  <c r="AP158" i="100"/>
  <c r="AN158" i="100"/>
  <c r="AO158" i="100"/>
  <c r="AM158" i="100"/>
  <c r="AO161" i="100"/>
  <c r="AN161" i="100"/>
  <c r="AN162" i="100"/>
  <c r="AO162" i="100"/>
  <c r="AO171" i="100"/>
  <c r="AN171" i="100"/>
  <c r="AN188" i="100"/>
  <c r="AO188" i="100"/>
  <c r="AM171" i="100"/>
  <c r="AO166" i="100"/>
  <c r="AN166" i="100"/>
  <c r="AN176" i="100"/>
  <c r="AO176" i="100"/>
  <c r="AN199" i="100"/>
  <c r="AP199" i="100"/>
  <c r="AN175" i="100"/>
  <c r="AN178" i="100"/>
  <c r="AN186" i="100"/>
  <c r="AO186" i="100"/>
  <c r="AO199" i="100"/>
  <c r="AP74" i="100"/>
  <c r="AN74" i="100"/>
  <c r="AP69" i="100"/>
  <c r="AN35" i="100"/>
  <c r="AM68" i="100"/>
  <c r="AN67" i="100"/>
  <c r="AP16" i="100"/>
  <c r="AP65" i="100"/>
  <c r="AO65" i="100"/>
  <c r="AO11" i="100"/>
  <c r="AM11" i="100"/>
  <c r="AP37" i="100"/>
  <c r="AN66" i="100"/>
  <c r="AN11" i="100"/>
  <c r="AO20" i="100"/>
  <c r="AM16" i="100"/>
  <c r="AP11" i="100"/>
  <c r="AP35" i="100"/>
  <c r="AP41" i="100"/>
  <c r="AN34" i="100"/>
  <c r="AP67" i="100"/>
  <c r="AM41" i="100"/>
  <c r="AO22" i="100"/>
  <c r="AO74" i="100"/>
  <c r="AO12" i="100"/>
  <c r="D15" i="104"/>
  <c r="CM239" i="75"/>
  <c r="CM243" i="75"/>
  <c r="CZ248" i="75"/>
  <c r="CZ249" i="75"/>
  <c r="CH1144" i="75"/>
  <c r="CH1155" i="75"/>
  <c r="BW1121" i="75"/>
  <c r="BX1121" i="75" s="1"/>
  <c r="BW1134" i="75"/>
  <c r="BW1149" i="75"/>
  <c r="BW1156" i="75"/>
  <c r="BW1146" i="75"/>
  <c r="BW1147" i="75"/>
  <c r="BW1122" i="75"/>
  <c r="H126" i="116"/>
  <c r="BE420" i="75"/>
  <c r="BE401" i="75"/>
  <c r="BE428" i="75"/>
  <c r="BE766" i="75"/>
  <c r="BE763" i="75"/>
  <c r="BH986" i="75" a="1"/>
  <c r="BH1001" i="75" s="1"/>
  <c r="CX972" i="75"/>
  <c r="CX974" i="75"/>
  <c r="CN1276" i="75"/>
  <c r="CN1269" i="75"/>
  <c r="CX976" i="75"/>
  <c r="CZ250" i="75"/>
  <c r="CM903" i="75"/>
  <c r="CM907" i="75"/>
  <c r="CM910" i="75"/>
  <c r="CM902" i="75"/>
  <c r="BE385" i="75"/>
  <c r="CM241" i="75"/>
  <c r="CZ672" i="75"/>
  <c r="CZ674" i="75"/>
  <c r="CZ671" i="75"/>
  <c r="CZ668" i="75"/>
  <c r="CZ673" i="75"/>
  <c r="AO15" i="100"/>
  <c r="AN15" i="100"/>
  <c r="AM15" i="100"/>
  <c r="AP15" i="100"/>
  <c r="CH228" i="75" a="1"/>
  <c r="CH236" i="75" s="1"/>
  <c r="BF200" i="75" a="1"/>
  <c r="BF204" i="75" s="1"/>
  <c r="CM244" i="75"/>
  <c r="CM242" i="75"/>
  <c r="CN307" i="75"/>
  <c r="CN299" i="75"/>
  <c r="CN308" i="75"/>
  <c r="CN296" i="75"/>
  <c r="CM237" i="75"/>
  <c r="BE771" i="75"/>
  <c r="CX971" i="75"/>
  <c r="CH1139" i="75"/>
  <c r="CP299" i="75"/>
  <c r="CP301" i="75"/>
  <c r="CL292" i="75" a="1"/>
  <c r="CL311" i="75" s="1"/>
  <c r="CM240" i="75"/>
  <c r="BE786" i="75"/>
  <c r="BF1164" i="75" a="1"/>
  <c r="BF1174" i="75" s="1"/>
  <c r="BE761" i="75"/>
  <c r="CM914" i="75"/>
  <c r="AM23" i="100"/>
  <c r="AP23" i="100"/>
  <c r="CM306" i="75"/>
  <c r="CM303" i="75"/>
  <c r="CM295" i="75"/>
  <c r="CM308" i="75"/>
  <c r="BM1188" i="75"/>
  <c r="BM1171" i="75"/>
  <c r="BN1171" i="75" s="1"/>
  <c r="BM1178" i="75"/>
  <c r="BM1215" i="75"/>
  <c r="BM1199" i="75"/>
  <c r="O50" i="113"/>
  <c r="O41" i="113"/>
  <c r="N141" i="113"/>
  <c r="N150" i="113"/>
  <c r="BW665" i="75"/>
  <c r="BW658" i="75"/>
  <c r="BW652" i="75"/>
  <c r="BW655" i="75"/>
  <c r="BW663" i="75"/>
  <c r="BW671" i="75"/>
  <c r="BW641" i="75"/>
  <c r="BW670" i="75"/>
  <c r="BW649" i="75"/>
  <c r="H142" i="115"/>
  <c r="J142" i="115"/>
  <c r="J91" i="114"/>
  <c r="H91" i="114"/>
  <c r="H131" i="114"/>
  <c r="CY365" i="75"/>
  <c r="CZ365" i="75" s="1"/>
  <c r="BQ1136" i="75"/>
  <c r="BG412" i="75"/>
  <c r="BG386" i="75"/>
  <c r="BS1073" i="75"/>
  <c r="CL232" i="75" a="1"/>
  <c r="CL240" i="75" s="1"/>
  <c r="BQ1091" i="75"/>
  <c r="CC1078" i="75"/>
  <c r="CO850" i="75"/>
  <c r="BX640" i="75" a="1"/>
  <c r="BX653" i="75" s="1"/>
  <c r="BP994" i="75" a="1"/>
  <c r="BP1035" i="75" s="1"/>
  <c r="BU1026" i="75"/>
  <c r="AP12" i="100"/>
  <c r="AN180" i="100"/>
  <c r="AO180" i="100"/>
  <c r="CE1153" i="75"/>
  <c r="CE1149" i="75"/>
  <c r="N70" i="113"/>
  <c r="N61" i="113"/>
  <c r="O121" i="113"/>
  <c r="O130" i="113"/>
  <c r="CK416" i="75"/>
  <c r="CK427" i="75"/>
  <c r="BQ640" i="75"/>
  <c r="BQ673" i="75"/>
  <c r="BQ665" i="75"/>
  <c r="BQ671" i="75"/>
  <c r="BQ663" i="75"/>
  <c r="BQ655" i="75"/>
  <c r="BQ647" i="75"/>
  <c r="BQ652" i="75"/>
  <c r="BQ636" i="75"/>
  <c r="BQ662" i="75"/>
  <c r="BQ646" i="75"/>
  <c r="BQ656" i="75"/>
  <c r="BQ674" i="75"/>
  <c r="BQ643" i="75"/>
  <c r="BQ634" i="75"/>
  <c r="BQ648" i="75"/>
  <c r="BQ658" i="75"/>
  <c r="BQ642" i="75"/>
  <c r="BQ669" i="75"/>
  <c r="BQ661" i="75"/>
  <c r="BQ637" i="75"/>
  <c r="BQ660" i="75"/>
  <c r="BQ667" i="75"/>
  <c r="BQ659" i="75"/>
  <c r="BQ651" i="75"/>
  <c r="BQ653" i="75"/>
  <c r="BQ670" i="75"/>
  <c r="BQ654" i="75"/>
  <c r="BQ638" i="75"/>
  <c r="BQ664" i="75"/>
  <c r="J52" i="116"/>
  <c r="H52" i="116"/>
  <c r="H148" i="115"/>
  <c r="J148" i="115"/>
  <c r="H154" i="116"/>
  <c r="H58" i="112"/>
  <c r="J58" i="112"/>
  <c r="BG417" i="75"/>
  <c r="BG407" i="75"/>
  <c r="CT1084" i="75" a="1"/>
  <c r="CT1087" i="75" s="1"/>
  <c r="CC1092" i="75"/>
  <c r="AM35" i="100"/>
  <c r="CX1088" i="75" a="1"/>
  <c r="CF1250" i="75" a="1"/>
  <c r="CF1274" i="75" s="1"/>
  <c r="BU1001" i="75"/>
  <c r="H158" i="114"/>
  <c r="E19" i="116"/>
  <c r="F19" i="116"/>
  <c r="BG1087" i="75"/>
  <c r="BG1069" i="75"/>
  <c r="DB429" i="75"/>
  <c r="DB428" i="75"/>
  <c r="DB430" i="75"/>
  <c r="AR29" i="113"/>
  <c r="BQ1126" i="75"/>
  <c r="BG416" i="75"/>
  <c r="BG427" i="75"/>
  <c r="BP632" i="75" a="1"/>
  <c r="BP633" i="75" s="1"/>
  <c r="CY1149" i="75" a="1"/>
  <c r="CY1149" i="75" s="1"/>
  <c r="CZ1149" i="75" s="1"/>
  <c r="BO1190" i="75"/>
  <c r="CC1073" i="75"/>
  <c r="CT540" i="75" a="1"/>
  <c r="H179" i="112"/>
  <c r="CG1033" i="75"/>
  <c r="CG1032" i="75"/>
  <c r="CG1024" i="75"/>
  <c r="CG1016" i="75"/>
  <c r="BI383" i="75"/>
  <c r="BJ383" i="75" s="1"/>
  <c r="BI398" i="75"/>
  <c r="BI425" i="75"/>
  <c r="BI422" i="75"/>
  <c r="BI387" i="75"/>
  <c r="BI412" i="75"/>
  <c r="BI408" i="75"/>
  <c r="BI393" i="75"/>
  <c r="BI432" i="75"/>
  <c r="BI418" i="75"/>
  <c r="BI394" i="75"/>
  <c r="BI395" i="75"/>
  <c r="BI424" i="75"/>
  <c r="BI409" i="75"/>
  <c r="BI384" i="75"/>
  <c r="BI404" i="75"/>
  <c r="BI397" i="75"/>
  <c r="BI388" i="75"/>
  <c r="BI403" i="75"/>
  <c r="BI389" i="75"/>
  <c r="BI417" i="75"/>
  <c r="J112" i="116"/>
  <c r="H112" i="116"/>
  <c r="J42" i="116"/>
  <c r="H42" i="116"/>
  <c r="CF950" i="75" a="1"/>
  <c r="CC1076" i="75"/>
  <c r="AN42" i="100"/>
  <c r="CI976" i="75"/>
  <c r="CI969" i="75"/>
  <c r="CI968" i="75"/>
  <c r="CI960" i="75"/>
  <c r="CI966" i="75"/>
  <c r="CI958" i="75"/>
  <c r="CI973" i="75"/>
  <c r="CI965" i="75"/>
  <c r="CI957" i="75"/>
  <c r="CI956" i="75"/>
  <c r="CG1269" i="75"/>
  <c r="CG1272" i="75"/>
  <c r="CG1262" i="75"/>
  <c r="CG1254" i="75"/>
  <c r="CG1275" i="75"/>
  <c r="CG1267" i="75"/>
  <c r="CG1256" i="75"/>
  <c r="CG1271" i="75"/>
  <c r="CG1263" i="75"/>
  <c r="CG1274" i="75"/>
  <c r="CG1270" i="75"/>
  <c r="CM611" i="75"/>
  <c r="CM613" i="75"/>
  <c r="CM597" i="75"/>
  <c r="CM603" i="75"/>
  <c r="CM607" i="75"/>
  <c r="CM601" i="75"/>
  <c r="CM599" i="75"/>
  <c r="CM614" i="75"/>
  <c r="CG969" i="75"/>
  <c r="CG962" i="75"/>
  <c r="CG961" i="75"/>
  <c r="CG952" i="75"/>
  <c r="CG970" i="75"/>
  <c r="CG951" i="75"/>
  <c r="CH951" i="75" s="1"/>
  <c r="CG958" i="75"/>
  <c r="CG976" i="75"/>
  <c r="CG968" i="75"/>
  <c r="CG960" i="75"/>
  <c r="CG954" i="75"/>
  <c r="CG975" i="75"/>
  <c r="BY1245" i="75"/>
  <c r="BY1249" i="75"/>
  <c r="BY1258" i="75"/>
  <c r="BY1251" i="75"/>
  <c r="BY1267" i="75"/>
  <c r="BY1259" i="75"/>
  <c r="BY1273" i="75"/>
  <c r="BY1269" i="75"/>
  <c r="BY1247" i="75"/>
  <c r="BY1265" i="75"/>
  <c r="BY1274" i="75"/>
  <c r="BY1261" i="75"/>
  <c r="BY1257" i="75"/>
  <c r="BY1276" i="75"/>
  <c r="BY1243" i="75"/>
  <c r="BZ1243" i="75" s="1"/>
  <c r="BY1264" i="75"/>
  <c r="BY1256" i="75"/>
  <c r="BY1248" i="75"/>
  <c r="BY1275" i="75"/>
  <c r="BY1266" i="75"/>
  <c r="BY1246" i="75"/>
  <c r="BY1253" i="75"/>
  <c r="BY1255" i="75"/>
  <c r="CC365" i="75"/>
  <c r="CC367" i="75"/>
  <c r="CC361" i="75"/>
  <c r="CC356" i="75"/>
  <c r="CC368" i="75"/>
  <c r="CC344" i="75"/>
  <c r="CC355" i="75"/>
  <c r="CC371" i="75"/>
  <c r="CC351" i="75"/>
  <c r="CC350" i="75"/>
  <c r="CC349" i="75"/>
  <c r="CC347" i="75"/>
  <c r="CC370" i="75"/>
  <c r="CC363" i="75"/>
  <c r="CC354" i="75"/>
  <c r="CC362" i="75"/>
  <c r="CC359" i="75"/>
  <c r="CC353" i="75"/>
  <c r="CC352" i="75"/>
  <c r="CC369" i="75"/>
  <c r="CC366" i="75"/>
  <c r="CC357" i="75"/>
  <c r="CC345" i="75"/>
  <c r="CC343" i="75"/>
  <c r="CD343" i="75" s="1"/>
  <c r="CC372" i="75"/>
  <c r="CC348" i="75"/>
  <c r="CG235" i="75"/>
  <c r="CG227" i="75"/>
  <c r="CH227" i="75" s="1"/>
  <c r="CG243" i="75"/>
  <c r="CG246" i="75"/>
  <c r="CG252" i="75"/>
  <c r="CG240" i="75"/>
  <c r="CG242" i="75"/>
  <c r="CG228" i="75"/>
  <c r="CG245" i="75"/>
  <c r="CG247" i="75"/>
  <c r="CG248" i="75"/>
  <c r="BU472" i="75"/>
  <c r="BU488" i="75"/>
  <c r="BU458" i="75"/>
  <c r="BU479" i="75"/>
  <c r="BU456" i="75"/>
  <c r="BU463" i="75"/>
  <c r="BU489" i="75"/>
  <c r="BU476" i="75"/>
  <c r="BU462" i="75"/>
  <c r="BU474" i="75"/>
  <c r="BU478" i="75"/>
  <c r="J28" i="115"/>
  <c r="H28" i="115"/>
  <c r="J121" i="112"/>
  <c r="H121" i="112"/>
  <c r="H207" i="116"/>
  <c r="J207" i="116"/>
  <c r="J107" i="114"/>
  <c r="BU1023" i="75"/>
  <c r="BU1000" i="75"/>
  <c r="BU1012" i="75"/>
  <c r="BU1002" i="75"/>
  <c r="BU1027" i="75"/>
  <c r="BU1016" i="75"/>
  <c r="BU1031" i="75"/>
  <c r="BU1004" i="75"/>
  <c r="BU999" i="75"/>
  <c r="BV999" i="75" s="1"/>
  <c r="BU1019" i="75"/>
  <c r="BU1003" i="75"/>
  <c r="BU1018" i="75"/>
  <c r="BU1021" i="75"/>
  <c r="BU1022" i="75"/>
  <c r="BU1017" i="75"/>
  <c r="BU1014" i="75"/>
  <c r="BU1029" i="75"/>
  <c r="BU1013" i="75"/>
  <c r="BU1006" i="75"/>
  <c r="BU1036" i="75"/>
  <c r="BU1005" i="75"/>
  <c r="BU1028" i="75"/>
  <c r="BU1033" i="75"/>
  <c r="BU1032" i="75"/>
  <c r="BU1009" i="75"/>
  <c r="BU1024" i="75"/>
  <c r="BS939" i="75"/>
  <c r="BS961" i="75"/>
  <c r="BS964" i="75"/>
  <c r="BS971" i="75"/>
  <c r="BS943" i="75"/>
  <c r="BS965" i="75"/>
  <c r="BS951" i="75"/>
  <c r="BS957" i="75"/>
  <c r="BS947" i="75"/>
  <c r="BS949" i="75"/>
  <c r="BS937" i="75"/>
  <c r="BT937" i="75" s="1"/>
  <c r="BS967" i="75"/>
  <c r="BS973" i="75"/>
  <c r="BS968" i="75"/>
  <c r="BS976" i="75"/>
  <c r="BS958" i="75"/>
  <c r="BS954" i="75"/>
  <c r="BS959" i="75"/>
  <c r="BS948" i="75"/>
  <c r="BS940" i="75"/>
  <c r="BS970" i="75"/>
  <c r="BS962" i="75"/>
  <c r="BS945" i="75"/>
  <c r="BS946" i="75"/>
  <c r="BS960" i="75"/>
  <c r="BS938" i="75"/>
  <c r="BS941" i="75"/>
  <c r="BS975" i="75"/>
  <c r="BS952" i="75"/>
  <c r="BS963" i="75"/>
  <c r="BS972" i="75"/>
  <c r="BS955" i="75"/>
  <c r="BS944" i="75"/>
  <c r="BS950" i="75"/>
  <c r="BS974" i="75"/>
  <c r="BS942" i="75"/>
  <c r="BS956" i="75"/>
  <c r="BS969" i="75"/>
  <c r="BS966" i="75"/>
  <c r="BS953" i="75"/>
  <c r="BK474" i="75"/>
  <c r="BK448" i="75"/>
  <c r="BK491" i="75"/>
  <c r="BK492" i="75"/>
  <c r="BK460" i="75"/>
  <c r="BK457" i="75"/>
  <c r="BK452" i="75"/>
  <c r="BK481" i="75"/>
  <c r="BK447" i="75"/>
  <c r="BK485" i="75"/>
  <c r="BK453" i="75"/>
  <c r="BK464" i="75"/>
  <c r="BK478" i="75"/>
  <c r="BK446" i="75"/>
  <c r="BK488" i="75"/>
  <c r="BK475" i="75"/>
  <c r="BK445" i="75"/>
  <c r="BL445" i="75" s="1"/>
  <c r="BK479" i="75"/>
  <c r="BK476" i="75"/>
  <c r="BK456" i="75"/>
  <c r="BK482" i="75"/>
  <c r="H171" i="115"/>
  <c r="J171" i="115"/>
  <c r="BG432" i="75"/>
  <c r="CV904" i="75" a="1"/>
  <c r="CV904" i="75" s="1"/>
  <c r="CC1069" i="75"/>
  <c r="BR272" i="75" a="1"/>
  <c r="BR278" i="75" s="1"/>
  <c r="CP416" i="75" a="1"/>
  <c r="CP425" i="75" s="1"/>
  <c r="BO1176" i="75"/>
  <c r="BU1273" i="75"/>
  <c r="BQ1123" i="75"/>
  <c r="BQ1138" i="75"/>
  <c r="BO358" i="75"/>
  <c r="BQ485" i="75"/>
  <c r="AM34" i="100"/>
  <c r="CJ290" i="75" a="1"/>
  <c r="CJ299" i="75" s="1"/>
  <c r="CW845" i="75" a="1"/>
  <c r="CW847" i="75" s="1"/>
  <c r="CO853" i="75"/>
  <c r="BS657" i="75"/>
  <c r="CG1078" i="75"/>
  <c r="BW1002" i="75"/>
  <c r="BS647" i="75"/>
  <c r="BS464" i="75"/>
  <c r="BG390" i="75"/>
  <c r="BS1059" i="75"/>
  <c r="CC1151" i="75"/>
  <c r="CC1131" i="75"/>
  <c r="CU914" i="75"/>
  <c r="BI335" i="75"/>
  <c r="BG628" i="75"/>
  <c r="CB1215" i="75"/>
  <c r="BS1087" i="75"/>
  <c r="BQ1079" i="75"/>
  <c r="CC1081" i="75"/>
  <c r="CO849" i="75"/>
  <c r="BS1094" i="75"/>
  <c r="AM65" i="100"/>
  <c r="BW1271" i="75"/>
  <c r="BO237" i="75"/>
  <c r="BO218" i="75"/>
  <c r="BU365" i="75"/>
  <c r="BO1035" i="75"/>
  <c r="BO1003" i="75"/>
  <c r="BO1004" i="75"/>
  <c r="BO1008" i="75"/>
  <c r="BO1019" i="75"/>
  <c r="BO1005" i="75"/>
  <c r="BO994" i="75"/>
  <c r="BO1026" i="75"/>
  <c r="BO1015" i="75"/>
  <c r="BO1021" i="75"/>
  <c r="BO1033" i="75"/>
  <c r="BO1032" i="75"/>
  <c r="BO1006" i="75"/>
  <c r="BO1031" i="75"/>
  <c r="BO1011" i="75"/>
  <c r="BO1018" i="75"/>
  <c r="BO1029" i="75"/>
  <c r="BO1000" i="75"/>
  <c r="BO997" i="75"/>
  <c r="BO1027" i="75"/>
  <c r="BO1024" i="75"/>
  <c r="BO995" i="75"/>
  <c r="BO998" i="75"/>
  <c r="BO1013" i="75"/>
  <c r="BO1034" i="75"/>
  <c r="BO1010" i="75"/>
  <c r="BO1016" i="75"/>
  <c r="BO1030" i="75"/>
  <c r="BO1036" i="75"/>
  <c r="BO1012" i="75"/>
  <c r="BO1023" i="75"/>
  <c r="BO1002" i="75"/>
  <c r="BO1022" i="75"/>
  <c r="BS1254" i="75"/>
  <c r="BS1273" i="75"/>
  <c r="BS1272" i="75"/>
  <c r="BS1269" i="75"/>
  <c r="BS1275" i="75"/>
  <c r="BS1265" i="75"/>
  <c r="BS1271" i="75"/>
  <c r="BS1261" i="75"/>
  <c r="BS1264" i="75"/>
  <c r="BS1256" i="75"/>
  <c r="BS1248" i="75"/>
  <c r="BS1258" i="75"/>
  <c r="BS1250" i="75"/>
  <c r="BS1267" i="75"/>
  <c r="BS1242" i="75"/>
  <c r="BS1263" i="75"/>
  <c r="BS1276" i="75"/>
  <c r="BS1259" i="75"/>
  <c r="BS1268" i="75"/>
  <c r="BS1246" i="75"/>
  <c r="BS1238" i="75"/>
  <c r="N20" i="113"/>
  <c r="N11" i="113"/>
  <c r="BI492" i="75"/>
  <c r="BI461" i="75"/>
  <c r="BI458" i="75"/>
  <c r="BW607" i="75"/>
  <c r="BW598" i="75"/>
  <c r="BW589" i="75"/>
  <c r="BW606" i="75"/>
  <c r="BW600" i="75"/>
  <c r="BW594" i="75"/>
  <c r="BW592" i="75"/>
  <c r="BW586" i="75"/>
  <c r="BW608" i="75"/>
  <c r="BW584" i="75"/>
  <c r="BW591" i="75"/>
  <c r="BW601" i="75"/>
  <c r="BW597" i="75"/>
  <c r="BW593" i="75"/>
  <c r="BW613" i="75"/>
  <c r="BW585" i="75"/>
  <c r="BW582" i="75"/>
  <c r="BW581" i="75"/>
  <c r="BW610" i="75"/>
  <c r="BW612" i="75"/>
  <c r="BW611" i="75"/>
  <c r="BW587" i="75"/>
  <c r="BW609" i="75"/>
  <c r="BW590" i="75"/>
  <c r="BW595" i="75"/>
  <c r="BC838" i="75"/>
  <c r="BC854" i="75"/>
  <c r="BC807" i="75"/>
  <c r="BC808" i="75"/>
  <c r="BC815" i="75"/>
  <c r="BC824" i="75"/>
  <c r="BC823" i="75"/>
  <c r="BC840" i="75"/>
  <c r="BC831" i="75"/>
  <c r="BC802" i="75"/>
  <c r="BC839" i="75"/>
  <c r="BC818" i="75"/>
  <c r="BC834" i="75"/>
  <c r="BC850" i="75"/>
  <c r="BC805" i="75"/>
  <c r="BC813" i="75"/>
  <c r="BC821" i="75"/>
  <c r="BC846" i="75"/>
  <c r="BC829" i="75"/>
  <c r="BC837" i="75"/>
  <c r="BC812" i="75"/>
  <c r="BC806" i="75"/>
  <c r="BC822" i="75"/>
  <c r="BC803" i="75"/>
  <c r="BC827" i="75"/>
  <c r="BC800" i="75"/>
  <c r="BC819" i="75"/>
  <c r="BC811" i="75"/>
  <c r="BC845" i="75"/>
  <c r="BC853" i="75"/>
  <c r="BC833" i="75"/>
  <c r="BC825" i="75"/>
  <c r="BC817" i="75"/>
  <c r="BC809" i="75"/>
  <c r="BC801" i="75"/>
  <c r="BC849" i="75"/>
  <c r="BC847" i="75"/>
  <c r="J25" i="116"/>
  <c r="H25" i="116"/>
  <c r="J146" i="114"/>
  <c r="H146" i="114"/>
  <c r="AN70" i="100"/>
  <c r="CL412" i="75" a="1"/>
  <c r="CL422" i="75" s="1"/>
  <c r="BO1214" i="75"/>
  <c r="BQ1135" i="75"/>
  <c r="BQ1129" i="75"/>
  <c r="CH954" i="75"/>
  <c r="BQ483" i="75"/>
  <c r="CJ832" i="75" a="1"/>
  <c r="CJ845" i="75" s="1"/>
  <c r="BD860" i="75" a="1"/>
  <c r="BD905" i="75" s="1"/>
  <c r="CB824" i="75" a="1"/>
  <c r="CB826" i="75" s="1"/>
  <c r="CB522" i="75" a="1"/>
  <c r="CB530" i="75" s="1"/>
  <c r="CK1031" i="75"/>
  <c r="CG1094" i="75"/>
  <c r="BS467" i="75"/>
  <c r="BG387" i="75"/>
  <c r="BS1075" i="75"/>
  <c r="CN474" i="75" a="1"/>
  <c r="CN487" i="75" s="1"/>
  <c r="CC1132" i="75"/>
  <c r="BI349" i="75"/>
  <c r="BS1061" i="75"/>
  <c r="BQ1072" i="75"/>
  <c r="CC1089" i="75"/>
  <c r="CO851" i="75"/>
  <c r="BS1074" i="75"/>
  <c r="AP29" i="100"/>
  <c r="AO23" i="100"/>
  <c r="CX906" i="75" a="1"/>
  <c r="CX906" i="75" s="1"/>
  <c r="BL748" i="75" a="1"/>
  <c r="BL782" i="75" s="1"/>
  <c r="CI909" i="75"/>
  <c r="CI901" i="75"/>
  <c r="CI893" i="75"/>
  <c r="CI899" i="75"/>
  <c r="CI908" i="75"/>
  <c r="CI892" i="75"/>
  <c r="CI902" i="75"/>
  <c r="CI912" i="75"/>
  <c r="CI896" i="75"/>
  <c r="CI905" i="75"/>
  <c r="CI906" i="75"/>
  <c r="BG1228" i="75"/>
  <c r="BG1250" i="75"/>
  <c r="BG1234" i="75"/>
  <c r="BG1269" i="75"/>
  <c r="BG1247" i="75"/>
  <c r="BG1238" i="75"/>
  <c r="BG1245" i="75"/>
  <c r="BG1237" i="75"/>
  <c r="BG1246" i="75"/>
  <c r="BG1252" i="75"/>
  <c r="BG1231" i="75"/>
  <c r="BG1266" i="75"/>
  <c r="BG1255" i="75"/>
  <c r="BG1260" i="75"/>
  <c r="BG1254" i="75"/>
  <c r="CK251" i="75"/>
  <c r="CK241" i="75"/>
  <c r="CK240" i="75"/>
  <c r="CK246" i="75"/>
  <c r="CK244" i="75"/>
  <c r="CK235" i="75"/>
  <c r="CK231" i="75"/>
  <c r="CL231" i="75" s="1"/>
  <c r="CK247" i="75"/>
  <c r="CK249" i="75"/>
  <c r="CK232" i="75"/>
  <c r="CK243" i="75"/>
  <c r="CK252" i="75"/>
  <c r="CK242" i="75"/>
  <c r="CK237" i="75"/>
  <c r="AN12" i="100"/>
  <c r="AM180" i="100"/>
  <c r="BX820" i="75" a="1"/>
  <c r="BX826" i="75" s="1"/>
  <c r="CF768" i="75" a="1"/>
  <c r="CF774" i="75" s="1"/>
  <c r="CD706" i="75" a="1"/>
  <c r="CD710" i="75" s="1"/>
  <c r="BG394" i="75"/>
  <c r="BR1116" i="75" a="1"/>
  <c r="BR1144" i="75" s="1"/>
  <c r="BO1183" i="75"/>
  <c r="BO1212" i="75"/>
  <c r="CC1087" i="75"/>
  <c r="BH1226" i="75" a="1"/>
  <c r="BH1236" i="75" s="1"/>
  <c r="CD826" i="75" a="1"/>
  <c r="CD835" i="75" s="1"/>
  <c r="E170" i="113"/>
  <c r="M170" i="113"/>
  <c r="M161" i="113"/>
  <c r="F170" i="113"/>
  <c r="CC904" i="75"/>
  <c r="CC894" i="75"/>
  <c r="CC885" i="75"/>
  <c r="CD885" i="75" s="1"/>
  <c r="CC911" i="75"/>
  <c r="CC903" i="75"/>
  <c r="CC895" i="75"/>
  <c r="CC887" i="75"/>
  <c r="CC909" i="75"/>
  <c r="CC901" i="75"/>
  <c r="CC893" i="75"/>
  <c r="CC908" i="75"/>
  <c r="CC892" i="75"/>
  <c r="CC888" i="75"/>
  <c r="CC897" i="75"/>
  <c r="CC891" i="75"/>
  <c r="CC913" i="75"/>
  <c r="CC905" i="75"/>
  <c r="CC902" i="75"/>
  <c r="CC886" i="75"/>
  <c r="CC890" i="75"/>
  <c r="CC900" i="75"/>
  <c r="CC912" i="75"/>
  <c r="CC907" i="75"/>
  <c r="CC906" i="75"/>
  <c r="CC899" i="75"/>
  <c r="N50" i="113"/>
  <c r="N41" i="113"/>
  <c r="H50" i="113"/>
  <c r="H118" i="112"/>
  <c r="J118" i="112"/>
  <c r="BE894" i="75"/>
  <c r="BE864" i="75"/>
  <c r="BE896" i="75"/>
  <c r="BE906" i="75"/>
  <c r="BE898" i="75"/>
  <c r="BE868" i="75"/>
  <c r="BE884" i="75"/>
  <c r="BE900" i="75"/>
  <c r="BE863" i="75"/>
  <c r="BE903" i="75"/>
  <c r="BE911" i="75"/>
  <c r="BE905" i="75"/>
  <c r="BE897" i="75"/>
  <c r="BE889" i="75"/>
  <c r="BE873" i="75"/>
  <c r="BE908" i="75"/>
  <c r="BE910" i="75"/>
  <c r="BE890" i="75"/>
  <c r="BE909" i="75"/>
  <c r="BE874" i="75"/>
  <c r="BE904" i="75"/>
  <c r="BE883" i="75"/>
  <c r="BE892" i="75"/>
  <c r="BE886" i="75"/>
  <c r="BE872" i="75"/>
  <c r="BE902" i="75"/>
  <c r="BE861" i="75"/>
  <c r="BF861" i="75" s="1"/>
  <c r="J112" i="114"/>
  <c r="H112" i="114"/>
  <c r="BH804" i="75" a="1"/>
  <c r="BH828" i="75" s="1"/>
  <c r="CK1275" i="75"/>
  <c r="CK1264" i="75"/>
  <c r="CK1258" i="75"/>
  <c r="CK1274" i="75"/>
  <c r="CK1261" i="75"/>
  <c r="CK1269" i="75"/>
  <c r="CK1260" i="75"/>
  <c r="CK1276" i="75"/>
  <c r="CK1270" i="75"/>
  <c r="CK1263" i="75"/>
  <c r="CK1273" i="75"/>
  <c r="CK1265" i="75"/>
  <c r="CK1257" i="75"/>
  <c r="CK1266" i="75"/>
  <c r="BO226" i="75"/>
  <c r="BO214" i="75"/>
  <c r="BO235" i="75"/>
  <c r="BO217" i="75"/>
  <c r="BO246" i="75"/>
  <c r="BO224" i="75"/>
  <c r="BO209" i="75"/>
  <c r="BP209" i="75" s="1"/>
  <c r="BU344" i="75"/>
  <c r="BU337" i="75"/>
  <c r="BU360" i="75"/>
  <c r="BU368" i="75"/>
  <c r="BU355" i="75"/>
  <c r="BU372" i="75"/>
  <c r="DB1275" i="75"/>
  <c r="DB1274" i="75"/>
  <c r="DB1273" i="75"/>
  <c r="DB1276" i="75"/>
  <c r="DB1272" i="75"/>
  <c r="J137" i="114"/>
  <c r="H137" i="114"/>
  <c r="F122" i="115"/>
  <c r="E122" i="115"/>
  <c r="CG1084" i="75"/>
  <c r="BG410" i="75"/>
  <c r="BH202" i="75" a="1"/>
  <c r="BH224" i="75" s="1"/>
  <c r="BO1207" i="75"/>
  <c r="CC1074" i="75"/>
  <c r="BY654" i="75"/>
  <c r="BY658" i="75"/>
  <c r="BY649" i="75"/>
  <c r="BY657" i="75"/>
  <c r="BY670" i="75"/>
  <c r="BY641" i="75"/>
  <c r="BZ641" i="75" s="1"/>
  <c r="BY662" i="75"/>
  <c r="BY667" i="75"/>
  <c r="BY663" i="75"/>
  <c r="BY661" i="75"/>
  <c r="BY659" i="75"/>
  <c r="BY655" i="75"/>
  <c r="BY651" i="75"/>
  <c r="BY666" i="75"/>
  <c r="BY665" i="75"/>
  <c r="BY673" i="75"/>
  <c r="BY650" i="75"/>
  <c r="BY642" i="75"/>
  <c r="BY668" i="75"/>
  <c r="BY660" i="75"/>
  <c r="BY669" i="75"/>
  <c r="BY645" i="75"/>
  <c r="BY648" i="75"/>
  <c r="BU275" i="75"/>
  <c r="BV275" i="75" s="1"/>
  <c r="BU285" i="75"/>
  <c r="BU281" i="75"/>
  <c r="BU276" i="75"/>
  <c r="BU297" i="75"/>
  <c r="BU303" i="75"/>
  <c r="BU294" i="75"/>
  <c r="BU300" i="75"/>
  <c r="BU288" i="75"/>
  <c r="BU289" i="75"/>
  <c r="BU311" i="75"/>
  <c r="BU307" i="75"/>
  <c r="BU290" i="75"/>
  <c r="BU284" i="75"/>
  <c r="BU298" i="75"/>
  <c r="BU282" i="75"/>
  <c r="BU306" i="75"/>
  <c r="BU312" i="75"/>
  <c r="BU280" i="75"/>
  <c r="BU302" i="75"/>
  <c r="BU287" i="75"/>
  <c r="BU308" i="75"/>
  <c r="BU301" i="75"/>
  <c r="BU299" i="75"/>
  <c r="BU295" i="75"/>
  <c r="BU305" i="75"/>
  <c r="BU286" i="75"/>
  <c r="BU310" i="75"/>
  <c r="BU292" i="75"/>
  <c r="BU296" i="75"/>
  <c r="F102" i="115"/>
  <c r="E102" i="115"/>
  <c r="BG411" i="75"/>
  <c r="BG422" i="75"/>
  <c r="BO1186" i="75"/>
  <c r="CS721" i="75" a="1"/>
  <c r="CS727" i="75" s="1"/>
  <c r="H162" i="115"/>
  <c r="J162" i="115"/>
  <c r="H151" i="114"/>
  <c r="J151" i="114"/>
  <c r="BG389" i="75"/>
  <c r="BV1000" i="75" a="1"/>
  <c r="BV1034" i="75" s="1"/>
  <c r="BT1238" i="75" a="1"/>
  <c r="BT1262" i="75" s="1"/>
  <c r="BO1209" i="75"/>
  <c r="CG486" i="75"/>
  <c r="CU793" i="75"/>
  <c r="CD948" i="75" a="1"/>
  <c r="CI303" i="75"/>
  <c r="CI309" i="75"/>
  <c r="CI300" i="75"/>
  <c r="CI297" i="75"/>
  <c r="CI307" i="75"/>
  <c r="CI296" i="75"/>
  <c r="CI299" i="75"/>
  <c r="CI294" i="75"/>
  <c r="CI291" i="75"/>
  <c r="CI290" i="75"/>
  <c r="CI310" i="75"/>
  <c r="CI293" i="75"/>
  <c r="CI304" i="75"/>
  <c r="CI298" i="75"/>
  <c r="CI292" i="75"/>
  <c r="CI306" i="75"/>
  <c r="CI289" i="75"/>
  <c r="CJ289" i="75" s="1"/>
  <c r="CI295" i="75"/>
  <c r="CI301" i="75"/>
  <c r="CI312" i="75"/>
  <c r="CI305" i="75"/>
  <c r="J123" i="114"/>
  <c r="H123" i="114"/>
  <c r="H144" i="115"/>
  <c r="J144" i="115"/>
  <c r="CR900" i="75" a="1"/>
  <c r="CR902" i="75" s="1"/>
  <c r="BU1264" i="75"/>
  <c r="BG408" i="75"/>
  <c r="CQ477" i="75" a="1"/>
  <c r="CQ483" i="75" s="1"/>
  <c r="BO1213" i="75"/>
  <c r="CG470" i="75"/>
  <c r="BS1083" i="75"/>
  <c r="M160" i="113"/>
  <c r="F160" i="113"/>
  <c r="M151" i="113"/>
  <c r="E160" i="113"/>
  <c r="J160" i="113" s="1"/>
  <c r="BY733" i="75"/>
  <c r="BY707" i="75"/>
  <c r="BY715" i="75"/>
  <c r="BY718" i="75"/>
  <c r="BY716" i="75"/>
  <c r="BY732" i="75"/>
  <c r="BY702" i="75"/>
  <c r="J143" i="112"/>
  <c r="H143" i="112"/>
  <c r="F107" i="115"/>
  <c r="E107" i="115"/>
  <c r="H186" i="115"/>
  <c r="J186" i="115"/>
  <c r="CJ230" i="75" a="1"/>
  <c r="CJ238" i="75" s="1"/>
  <c r="CR538" i="75" a="1"/>
  <c r="CR545" i="75" s="1"/>
  <c r="BV516" i="75" a="1"/>
  <c r="BV538" i="75" s="1"/>
  <c r="BQ467" i="75"/>
  <c r="BX1002" i="75" a="1"/>
  <c r="BX1007" i="75" s="1"/>
  <c r="BZ642" i="75" a="1"/>
  <c r="BZ668" i="75" s="1"/>
  <c r="BV698" i="75" a="1"/>
  <c r="BV725" i="75" s="1"/>
  <c r="CD886" i="75" a="1"/>
  <c r="CD909" i="75" s="1"/>
  <c r="BU1262" i="75"/>
  <c r="BG397" i="75"/>
  <c r="CP476" i="75" a="1"/>
  <c r="CP479" i="75" s="1"/>
  <c r="BV1120" i="75" a="1"/>
  <c r="BV1137" i="75" s="1"/>
  <c r="CS608" i="75"/>
  <c r="CO1206" i="75"/>
  <c r="CO1216" i="75"/>
  <c r="CO1204" i="75"/>
  <c r="CO1214" i="75"/>
  <c r="H175" i="115"/>
  <c r="J175" i="115"/>
  <c r="CL774" i="75" a="1"/>
  <c r="CL781" i="75" s="1"/>
  <c r="BG421" i="75"/>
  <c r="BT576" i="75" a="1"/>
  <c r="BT613" i="75" s="1"/>
  <c r="CD404" i="75" a="1"/>
  <c r="CD420" i="75" s="1"/>
  <c r="CJ1134" i="75" a="1"/>
  <c r="CV1026" i="75" a="1"/>
  <c r="CV1028" i="75" s="1"/>
  <c r="DA547" i="75" a="1"/>
  <c r="BU346" i="75"/>
  <c r="BO215" i="75"/>
  <c r="BK486" i="75"/>
  <c r="BU361" i="75"/>
  <c r="BU353" i="75"/>
  <c r="CC839" i="75"/>
  <c r="CC829" i="75"/>
  <c r="CC831" i="75"/>
  <c r="CC848" i="75"/>
  <c r="CC833" i="75"/>
  <c r="CC847" i="75"/>
  <c r="CC832" i="75"/>
  <c r="CC853" i="75"/>
  <c r="CC849" i="75"/>
  <c r="CC845" i="75"/>
  <c r="CC838" i="75"/>
  <c r="CC844" i="75"/>
  <c r="CC851" i="75"/>
  <c r="CC835" i="75"/>
  <c r="CC830" i="75"/>
  <c r="CC827" i="75"/>
  <c r="CC837" i="75"/>
  <c r="CC841" i="75"/>
  <c r="CC854" i="75"/>
  <c r="CC843" i="75"/>
  <c r="CC846" i="75"/>
  <c r="CC850" i="75"/>
  <c r="CC836" i="75"/>
  <c r="CC828" i="75"/>
  <c r="CC825" i="75"/>
  <c r="CD825" i="75" s="1"/>
  <c r="CC840" i="75"/>
  <c r="CC852" i="75"/>
  <c r="CC842" i="75"/>
  <c r="CC834" i="75"/>
  <c r="CC826" i="75"/>
  <c r="J217" i="115"/>
  <c r="H217" i="115"/>
  <c r="H67" i="115"/>
  <c r="J67" i="115"/>
  <c r="J214" i="115"/>
  <c r="H214" i="115"/>
  <c r="E105" i="115"/>
  <c r="F105" i="115"/>
  <c r="H12" i="112"/>
  <c r="J12" i="112"/>
  <c r="CF406" i="75" a="1"/>
  <c r="CF423" i="75" s="1"/>
  <c r="CA588" i="75"/>
  <c r="CL472" i="75" a="1"/>
  <c r="CL481" i="75" s="1"/>
  <c r="BS997" i="75"/>
  <c r="BT997" i="75" s="1"/>
  <c r="BQ1116" i="75"/>
  <c r="BI1010" i="75"/>
  <c r="BQ465" i="75"/>
  <c r="BN951" i="75"/>
  <c r="BR574" i="75" a="1"/>
  <c r="BR576" i="75" s="1"/>
  <c r="CB462" i="75" a="1"/>
  <c r="CB482" i="75" s="1"/>
  <c r="BH1106" i="75" a="1"/>
  <c r="BH1139" i="75" s="1"/>
  <c r="BW1025" i="75"/>
  <c r="BG396" i="75"/>
  <c r="BG424" i="75"/>
  <c r="BS1080" i="75"/>
  <c r="CW364" i="75"/>
  <c r="BN959" i="75"/>
  <c r="CD344" i="75" a="1"/>
  <c r="CD347" i="75" s="1"/>
  <c r="BJ928" i="75" a="1"/>
  <c r="BJ941" i="75" s="1"/>
  <c r="BL1230" i="75" a="1"/>
  <c r="BL1234" i="75" s="1"/>
  <c r="CW1027" i="75" a="1"/>
  <c r="CW1034" i="75" s="1"/>
  <c r="CC1144" i="75"/>
  <c r="BQ1089" i="75"/>
  <c r="CC1085" i="75"/>
  <c r="CO852" i="75"/>
  <c r="CM1080" i="75"/>
  <c r="BY664" i="75"/>
  <c r="CP1260" i="75" a="1"/>
  <c r="CP1261" i="75" s="1"/>
  <c r="CP1200" i="75" a="1"/>
  <c r="CR478" i="75" a="1"/>
  <c r="BU1020" i="75"/>
  <c r="BO234" i="75"/>
  <c r="BO244" i="75"/>
  <c r="BK472" i="75"/>
  <c r="BU341" i="75"/>
  <c r="BU1200" i="75"/>
  <c r="BU1188" i="75"/>
  <c r="BU1181" i="75"/>
  <c r="BU1189" i="75"/>
  <c r="BU1185" i="75"/>
  <c r="BU1187" i="75"/>
  <c r="BU1209" i="75"/>
  <c r="BU1206" i="75"/>
  <c r="BU1205" i="75"/>
  <c r="BU1183" i="75"/>
  <c r="BU1179" i="75"/>
  <c r="BV1179" i="75" s="1"/>
  <c r="BU1212" i="75"/>
  <c r="BU1198" i="75"/>
  <c r="BU1204" i="75"/>
  <c r="BU1190" i="75"/>
  <c r="BU1196" i="75"/>
  <c r="BU1182" i="75"/>
  <c r="BU1180" i="75"/>
  <c r="BU1199" i="75"/>
  <c r="BU1197" i="75"/>
  <c r="BU1193" i="75"/>
  <c r="BU1201" i="75"/>
  <c r="BU1213" i="75"/>
  <c r="E106" i="115"/>
  <c r="F106" i="115"/>
  <c r="BP270" i="75" a="1"/>
  <c r="BQ1117" i="75"/>
  <c r="BJ626" i="75" a="1"/>
  <c r="BJ672" i="75" s="1"/>
  <c r="CR962" i="75" a="1"/>
  <c r="CR965" i="75" s="1"/>
  <c r="CF1070" i="75" a="1"/>
  <c r="CF1081" i="75" s="1"/>
  <c r="CR840" i="75" a="1"/>
  <c r="CR847" i="75" s="1"/>
  <c r="BQ1148" i="75"/>
  <c r="BG385" i="75"/>
  <c r="BS1096" i="75"/>
  <c r="BN953" i="75"/>
  <c r="BI353" i="75"/>
  <c r="BQ1055" i="75"/>
  <c r="BR1055" i="75" s="1"/>
  <c r="CC1079" i="75"/>
  <c r="CN1138" i="75" a="1"/>
  <c r="CN1149" i="75" s="1"/>
  <c r="BU1030" i="75"/>
  <c r="CO1021" i="75"/>
  <c r="CO1030" i="75"/>
  <c r="CO1033" i="75"/>
  <c r="CO1028" i="75"/>
  <c r="CO1034" i="75"/>
  <c r="CO1035" i="75"/>
  <c r="CO1031" i="75"/>
  <c r="CO1027" i="75"/>
  <c r="CO1029" i="75"/>
  <c r="CO1026" i="75"/>
  <c r="CO1023" i="75"/>
  <c r="CO1036" i="75"/>
  <c r="BS1192" i="75"/>
  <c r="BS1199" i="75"/>
  <c r="BS1179" i="75"/>
  <c r="BS1194" i="75"/>
  <c r="BS1216" i="75"/>
  <c r="BS1200" i="75"/>
  <c r="BS1187" i="75"/>
  <c r="BS1186" i="75"/>
  <c r="BS1191" i="75"/>
  <c r="BY1131" i="75"/>
  <c r="BY1149" i="75"/>
  <c r="BY1150" i="75"/>
  <c r="BY1145" i="75"/>
  <c r="BY1142" i="75"/>
  <c r="BY1141" i="75"/>
  <c r="BY1134" i="75"/>
  <c r="BY1144" i="75"/>
  <c r="BY1137" i="75"/>
  <c r="BY1126" i="75"/>
  <c r="BY1123" i="75"/>
  <c r="BZ1123" i="75" s="1"/>
  <c r="CE792" i="75"/>
  <c r="CE773" i="75"/>
  <c r="CE767" i="75"/>
  <c r="CF767" i="75" s="1"/>
  <c r="CE781" i="75"/>
  <c r="CE791" i="75"/>
  <c r="CE774" i="75"/>
  <c r="CE780" i="75"/>
  <c r="CE788" i="75"/>
  <c r="CE770" i="75"/>
  <c r="CE787" i="75"/>
  <c r="CE782" i="75"/>
  <c r="CE784" i="75"/>
  <c r="CE771" i="75"/>
  <c r="CE779" i="75"/>
  <c r="CE769" i="75"/>
  <c r="CE793" i="75"/>
  <c r="CE785" i="75"/>
  <c r="O200" i="113"/>
  <c r="AU205" i="113" s="1"/>
  <c r="O191" i="113"/>
  <c r="AN288" i="100"/>
  <c r="AO288" i="100"/>
  <c r="CY794" i="75"/>
  <c r="CY788" i="75"/>
  <c r="CY789" i="75"/>
  <c r="CY791" i="75"/>
  <c r="CY790" i="75"/>
  <c r="CY792" i="75"/>
  <c r="H146" i="115"/>
  <c r="J146" i="115"/>
  <c r="H78" i="114"/>
  <c r="V6" i="101"/>
  <c r="V2" i="101"/>
  <c r="V5" i="101"/>
  <c r="AM14" i="100"/>
  <c r="CN297" i="75"/>
  <c r="DB249" i="75"/>
  <c r="DB252" i="75"/>
  <c r="CT911" i="75"/>
  <c r="CT913" i="75"/>
  <c r="CT909" i="75"/>
  <c r="CT905" i="75"/>
  <c r="CJ1204" i="75"/>
  <c r="CJ1213" i="75"/>
  <c r="CJ1209" i="75"/>
  <c r="CJ1214" i="75"/>
  <c r="CJ1196" i="75"/>
  <c r="CJ1198" i="75"/>
  <c r="CJ1208" i="75"/>
  <c r="N190" i="113"/>
  <c r="N181" i="113"/>
  <c r="AO67" i="100"/>
  <c r="E117" i="112"/>
  <c r="F117" i="112"/>
  <c r="E77" i="115"/>
  <c r="F77" i="115"/>
  <c r="AN76" i="100"/>
  <c r="BL1110" i="75" a="1"/>
  <c r="CX734" i="75"/>
  <c r="BC1272" i="75"/>
  <c r="DB309" i="75"/>
  <c r="DB311" i="75"/>
  <c r="CY850" i="75"/>
  <c r="CY852" i="75"/>
  <c r="CY854" i="75"/>
  <c r="CY851" i="75"/>
  <c r="CU786" i="75"/>
  <c r="CU790" i="75"/>
  <c r="CU783" i="75"/>
  <c r="CV783" i="75" s="1"/>
  <c r="CU787" i="75"/>
  <c r="CU788" i="75"/>
  <c r="CU785" i="75"/>
  <c r="CU789" i="75"/>
  <c r="CU791" i="75"/>
  <c r="CN294" i="75"/>
  <c r="CX726" i="75"/>
  <c r="DB793" i="75"/>
  <c r="DB792" i="75"/>
  <c r="DB791" i="75"/>
  <c r="DB794" i="75"/>
  <c r="DB790" i="75"/>
  <c r="H22" i="114"/>
  <c r="J22" i="114"/>
  <c r="AP36" i="100"/>
  <c r="BG993" i="75"/>
  <c r="BG1025" i="75"/>
  <c r="F188" i="116"/>
  <c r="E188" i="116"/>
  <c r="AP32" i="100"/>
  <c r="AN32" i="100"/>
  <c r="AO32" i="100"/>
  <c r="CE1087" i="75"/>
  <c r="CE1079" i="75"/>
  <c r="CE1071" i="75"/>
  <c r="CE1092" i="75"/>
  <c r="CE1089" i="75"/>
  <c r="CE1076" i="75"/>
  <c r="CE1084" i="75"/>
  <c r="CE1082" i="75"/>
  <c r="CE1094" i="75"/>
  <c r="CE1083" i="75"/>
  <c r="CE1078" i="75"/>
  <c r="CE1075" i="75"/>
  <c r="CE1080" i="75"/>
  <c r="CE1093" i="75"/>
  <c r="CE1090" i="75"/>
  <c r="CE1085" i="75"/>
  <c r="CE1095" i="75"/>
  <c r="CE1077" i="75"/>
  <c r="CE1074" i="75"/>
  <c r="CE1073" i="75"/>
  <c r="CE1070" i="75"/>
  <c r="CE1088" i="75"/>
  <c r="CE1086" i="75"/>
  <c r="DC793" i="75"/>
  <c r="DC794" i="75"/>
  <c r="DC792" i="75"/>
  <c r="DC791" i="75"/>
  <c r="DD791" i="75" s="1"/>
  <c r="BG988" i="75"/>
  <c r="BG1014" i="75"/>
  <c r="CJ1205" i="75"/>
  <c r="E200" i="113"/>
  <c r="M191" i="113"/>
  <c r="M200" i="113"/>
  <c r="F200" i="113"/>
  <c r="N101" i="113"/>
  <c r="N110" i="113"/>
  <c r="AP42" i="100"/>
  <c r="AM42" i="100"/>
  <c r="AO16" i="100"/>
  <c r="AN16" i="100"/>
  <c r="CX788" i="75"/>
  <c r="CX789" i="75"/>
  <c r="CX792" i="75"/>
  <c r="CU1033" i="75"/>
  <c r="CU1035" i="75"/>
  <c r="CU1034" i="75"/>
  <c r="CU1026" i="75"/>
  <c r="CU1036" i="75"/>
  <c r="CU1027" i="75"/>
  <c r="CU1032" i="75"/>
  <c r="CU1029" i="75"/>
  <c r="CU1030" i="75"/>
  <c r="CU1028" i="75"/>
  <c r="CU1031" i="75"/>
  <c r="J37" i="112"/>
  <c r="H37" i="112"/>
  <c r="CN1078" i="75" a="1"/>
  <c r="CN1087" i="75" s="1"/>
  <c r="E81" i="115"/>
  <c r="F81" i="115"/>
  <c r="H127" i="115"/>
  <c r="J127" i="115"/>
  <c r="BC1269" i="75"/>
  <c r="BC1260" i="75"/>
  <c r="CX728" i="75"/>
  <c r="CX730" i="75"/>
  <c r="CX727" i="75"/>
  <c r="CV674" i="75"/>
  <c r="CV665" i="75"/>
  <c r="CV671" i="75"/>
  <c r="CV670" i="75"/>
  <c r="CX1215" i="75"/>
  <c r="CX1208" i="75"/>
  <c r="CX1214" i="75"/>
  <c r="CX1210" i="75"/>
  <c r="CX1209" i="75"/>
  <c r="CX1212" i="75"/>
  <c r="CX1211" i="75"/>
  <c r="CX1213" i="75"/>
  <c r="CY909" i="75"/>
  <c r="CY912" i="75"/>
  <c r="CY910" i="75"/>
  <c r="CY911" i="75"/>
  <c r="CY914" i="75"/>
  <c r="CY913" i="75"/>
  <c r="CY907" i="75"/>
  <c r="CZ907" i="75" s="1"/>
  <c r="CY908" i="75"/>
  <c r="CW668" i="75"/>
  <c r="CW670" i="75"/>
  <c r="CW672" i="75"/>
  <c r="CZ1216" i="75"/>
  <c r="CZ1214" i="75"/>
  <c r="CZ1211" i="75"/>
  <c r="CZ1212" i="75"/>
  <c r="CZ1210" i="75"/>
  <c r="BT636" i="75" a="1"/>
  <c r="BT671" i="75" s="1"/>
  <c r="BJ806" i="75" a="1"/>
  <c r="BJ819" i="75" s="1"/>
  <c r="E154" i="112"/>
  <c r="J154" i="112" s="1"/>
  <c r="F154" i="112"/>
  <c r="F113" i="112"/>
  <c r="E113" i="112"/>
  <c r="F74" i="112"/>
  <c r="E74" i="112"/>
  <c r="J148" i="116"/>
  <c r="H148" i="116"/>
  <c r="AO42" i="100"/>
  <c r="BF320" i="75" a="1"/>
  <c r="BF345" i="75" s="1"/>
  <c r="CE1096" i="75"/>
  <c r="AP17" i="100"/>
  <c r="CN300" i="75"/>
  <c r="BR634" i="75" a="1"/>
  <c r="BR637" i="75" s="1"/>
  <c r="BI1118" i="75"/>
  <c r="BI1131" i="75"/>
  <c r="BI1127" i="75"/>
  <c r="BI1124" i="75"/>
  <c r="CE1081" i="75"/>
  <c r="DB368" i="75"/>
  <c r="DB369" i="75"/>
  <c r="DB372" i="75"/>
  <c r="DB370" i="75"/>
  <c r="DB371" i="75"/>
  <c r="F205" i="114"/>
  <c r="E205" i="114"/>
  <c r="F114" i="112"/>
  <c r="E114" i="112"/>
  <c r="CW1152" i="75"/>
  <c r="CW1151" i="75"/>
  <c r="CW1156" i="75"/>
  <c r="CW1148" i="75"/>
  <c r="CW1153" i="75"/>
  <c r="CN301" i="75"/>
  <c r="AM32" i="100"/>
  <c r="BJ988" i="75" a="1"/>
  <c r="BJ1022" i="75" s="1"/>
  <c r="CE1069" i="75"/>
  <c r="CF1069" i="75" s="1"/>
  <c r="BG1035" i="75"/>
  <c r="CJ1197" i="75"/>
  <c r="BG1120" i="75"/>
  <c r="BG1119" i="75"/>
  <c r="BG1138" i="75"/>
  <c r="BG1129" i="75"/>
  <c r="CX364" i="75" a="1"/>
  <c r="CX368" i="75" s="1"/>
  <c r="BF500" i="75" a="1"/>
  <c r="BF505" i="75" s="1"/>
  <c r="BX398" i="75" a="1"/>
  <c r="BX402" i="75" s="1"/>
  <c r="CE1091" i="75"/>
  <c r="CN776" i="75" a="1"/>
  <c r="CN784" i="75" s="1"/>
  <c r="CV542" i="75" a="1"/>
  <c r="CV550" i="75" s="1"/>
  <c r="BF1044" i="75" a="1"/>
  <c r="BF1047" i="75" s="1"/>
  <c r="BJ746" i="75" a="1"/>
  <c r="BJ782" i="75" s="1"/>
  <c r="CE1255" i="75"/>
  <c r="CE1251" i="75"/>
  <c r="CE1249" i="75"/>
  <c r="CF1249" i="75" s="1"/>
  <c r="CE1263" i="75"/>
  <c r="CE1259" i="75"/>
  <c r="CE1266" i="75"/>
  <c r="CE1258" i="75"/>
  <c r="CE1250" i="75"/>
  <c r="CE1268" i="75"/>
  <c r="CE1276" i="75"/>
  <c r="CE1254" i="75"/>
  <c r="CE1272" i="75"/>
  <c r="CE1265" i="75"/>
  <c r="CE1256" i="75"/>
  <c r="CE1262" i="75"/>
  <c r="CE1273" i="75"/>
  <c r="CE1269" i="75"/>
  <c r="CE1261" i="75"/>
  <c r="CE1264" i="75"/>
  <c r="CE1275" i="75"/>
  <c r="CE1271" i="75"/>
  <c r="CE1267" i="75"/>
  <c r="CE1270" i="75"/>
  <c r="CE1274" i="75"/>
  <c r="CE1260" i="75"/>
  <c r="CE1252" i="75"/>
  <c r="CE1257" i="75"/>
  <c r="CE1253" i="75"/>
  <c r="O151" i="113"/>
  <c r="O160" i="113"/>
  <c r="J127" i="112"/>
  <c r="H127" i="112"/>
  <c r="J45" i="114"/>
  <c r="H45" i="114"/>
  <c r="E134" i="112"/>
  <c r="J134" i="112" s="1"/>
  <c r="F134" i="112"/>
  <c r="BQ1192" i="75"/>
  <c r="BQ1176" i="75"/>
  <c r="BQ1203" i="75"/>
  <c r="BQ1195" i="75"/>
  <c r="BQ1187" i="75"/>
  <c r="BQ1204" i="75"/>
  <c r="BQ1188" i="75"/>
  <c r="BQ1216" i="75"/>
  <c r="BQ1214" i="75"/>
  <c r="BQ1177" i="75"/>
  <c r="BQ1182" i="75"/>
  <c r="BQ1208" i="75"/>
  <c r="BQ1202" i="75"/>
  <c r="BQ1186" i="75"/>
  <c r="BQ1209" i="75"/>
  <c r="BQ1201" i="75"/>
  <c r="BQ1185" i="75"/>
  <c r="BQ1211" i="75"/>
  <c r="BQ1196" i="75"/>
  <c r="BQ1180" i="75"/>
  <c r="BQ1206" i="75"/>
  <c r="BQ1199" i="75"/>
  <c r="BQ1193" i="75"/>
  <c r="BQ1198" i="75"/>
  <c r="BQ1215" i="75"/>
  <c r="BQ1207" i="75"/>
  <c r="BQ1212" i="75"/>
  <c r="BQ1183" i="75"/>
  <c r="BQ1213" i="75"/>
  <c r="BQ1197" i="75"/>
  <c r="BQ1184" i="75"/>
  <c r="BQ1179" i="75"/>
  <c r="BQ1175" i="75"/>
  <c r="BR1175" i="75" s="1"/>
  <c r="BQ1191" i="75"/>
  <c r="BQ1190" i="75"/>
  <c r="BQ1189" i="75"/>
  <c r="BQ1181" i="75"/>
  <c r="H206" i="115"/>
  <c r="J206" i="115"/>
  <c r="BY466" i="75"/>
  <c r="BY460" i="75"/>
  <c r="BY480" i="75"/>
  <c r="BY464" i="75"/>
  <c r="BY482" i="75"/>
  <c r="BY478" i="75"/>
  <c r="BY473" i="75"/>
  <c r="BY488" i="75"/>
  <c r="BY470" i="75"/>
  <c r="BY472" i="75"/>
  <c r="BY462" i="75"/>
  <c r="BY461" i="75"/>
  <c r="BY459" i="75"/>
  <c r="BZ459" i="75" s="1"/>
  <c r="BY471" i="75"/>
  <c r="BY479" i="75"/>
  <c r="BY485" i="75"/>
  <c r="BY487" i="75"/>
  <c r="BY484" i="75"/>
  <c r="BY463" i="75"/>
  <c r="BY468" i="75"/>
  <c r="BY483" i="75"/>
  <c r="BY475" i="75"/>
  <c r="BY486" i="75"/>
  <c r="BY467" i="75"/>
  <c r="BY474" i="75"/>
  <c r="BY469" i="75"/>
  <c r="J125" i="112"/>
  <c r="H125" i="112"/>
  <c r="F195" i="115"/>
  <c r="E195" i="115"/>
  <c r="H78" i="112"/>
  <c r="J78" i="112"/>
  <c r="AO29" i="100"/>
  <c r="J184" i="114"/>
  <c r="H184" i="114"/>
  <c r="BN870" i="75" a="1"/>
  <c r="BN887" i="75" s="1"/>
  <c r="BS478" i="75"/>
  <c r="BK420" i="75"/>
  <c r="BH744" i="75" a="1"/>
  <c r="BH786" i="75" s="1"/>
  <c r="BN448" i="75" a="1"/>
  <c r="BN473" i="75" s="1"/>
  <c r="BD498" i="75" a="1"/>
  <c r="BD512" i="75" s="1"/>
  <c r="BH684" i="75" a="1"/>
  <c r="BH709" i="75" s="1"/>
  <c r="BQ1090" i="75"/>
  <c r="BQ1056" i="75"/>
  <c r="BQ1069" i="75"/>
  <c r="CC1090" i="75"/>
  <c r="CO660" i="75"/>
  <c r="CO662" i="75"/>
  <c r="CO657" i="75"/>
  <c r="CP657" i="75" s="1"/>
  <c r="CO671" i="75"/>
  <c r="CO667" i="75"/>
  <c r="CO663" i="75"/>
  <c r="CO659" i="75"/>
  <c r="CO661" i="75"/>
  <c r="CO664" i="75"/>
  <c r="CO674" i="75"/>
  <c r="CO666" i="75"/>
  <c r="CO658" i="75"/>
  <c r="CO668" i="75"/>
  <c r="CO670" i="75"/>
  <c r="CO672" i="75"/>
  <c r="CO669" i="75"/>
  <c r="CO665" i="75"/>
  <c r="CO673" i="75"/>
  <c r="BS636" i="75"/>
  <c r="BS671" i="75"/>
  <c r="BS641" i="75"/>
  <c r="BS642" i="75"/>
  <c r="F96" i="112"/>
  <c r="E96" i="112"/>
  <c r="CG411" i="75"/>
  <c r="CG423" i="75"/>
  <c r="CG430" i="75"/>
  <c r="CG426" i="75"/>
  <c r="CG419" i="75"/>
  <c r="CG418" i="75"/>
  <c r="CG412" i="75"/>
  <c r="CG425" i="75"/>
  <c r="CG417" i="75"/>
  <c r="CG431" i="75"/>
  <c r="CG409" i="75"/>
  <c r="CG421" i="75"/>
  <c r="CG415" i="75"/>
  <c r="CG422" i="75"/>
  <c r="CG432" i="75"/>
  <c r="CG428" i="75"/>
  <c r="CG420" i="75"/>
  <c r="CG424" i="75"/>
  <c r="CG414" i="75"/>
  <c r="CG413" i="75"/>
  <c r="CG429" i="75"/>
  <c r="CG416" i="75"/>
  <c r="CG408" i="75"/>
  <c r="CG427" i="75"/>
  <c r="CG407" i="75"/>
  <c r="CH407" i="75" s="1"/>
  <c r="CG410" i="75"/>
  <c r="F82" i="115"/>
  <c r="E82" i="115"/>
  <c r="J35" i="112"/>
  <c r="H35" i="112"/>
  <c r="E196" i="115"/>
  <c r="F196" i="115"/>
  <c r="F55" i="115"/>
  <c r="E55" i="115"/>
  <c r="CW246" i="75"/>
  <c r="CW248" i="75"/>
  <c r="CW252" i="75"/>
  <c r="CW243" i="75"/>
  <c r="CX243" i="75" s="1"/>
  <c r="CW249" i="75"/>
  <c r="J127" i="114"/>
  <c r="H127" i="114"/>
  <c r="J153" i="114"/>
  <c r="H153" i="114"/>
  <c r="AO17" i="100"/>
  <c r="BN810" i="75" a="1"/>
  <c r="BN851" i="75" s="1"/>
  <c r="BH382" i="75" a="1"/>
  <c r="BH432" i="75" s="1"/>
  <c r="BV818" i="75" a="1"/>
  <c r="BV849" i="75" s="1"/>
  <c r="CB1006" i="75" a="1"/>
  <c r="CB1013" i="75" s="1"/>
  <c r="CA656" i="75"/>
  <c r="CA663" i="75"/>
  <c r="CA665" i="75"/>
  <c r="CA647" i="75"/>
  <c r="CA672" i="75"/>
  <c r="CA664" i="75"/>
  <c r="CA648" i="75"/>
  <c r="CA666" i="75"/>
  <c r="CA667" i="75"/>
  <c r="CA658" i="75"/>
  <c r="CA668" i="75"/>
  <c r="CA660" i="75"/>
  <c r="CA652" i="75"/>
  <c r="CA644" i="75"/>
  <c r="CA671" i="75"/>
  <c r="CA673" i="75"/>
  <c r="CA661" i="75"/>
  <c r="CA948" i="75"/>
  <c r="CA975" i="75"/>
  <c r="CA962" i="75"/>
  <c r="CA951" i="75"/>
  <c r="CA966" i="75"/>
  <c r="CA947" i="75"/>
  <c r="CA958" i="75"/>
  <c r="CA973" i="75"/>
  <c r="CA950" i="75"/>
  <c r="CA969" i="75"/>
  <c r="CA965" i="75"/>
  <c r="CA945" i="75"/>
  <c r="CB945" i="75" s="1"/>
  <c r="CA974" i="75"/>
  <c r="CA971" i="75"/>
  <c r="CA967" i="75"/>
  <c r="CA963" i="75"/>
  <c r="CA959" i="75"/>
  <c r="CA946" i="75"/>
  <c r="CA976" i="75"/>
  <c r="CA968" i="75"/>
  <c r="CA960" i="75"/>
  <c r="CA952" i="75"/>
  <c r="CA957" i="75"/>
  <c r="CA953" i="75"/>
  <c r="CA949" i="75"/>
  <c r="CA964" i="75"/>
  <c r="CA970" i="75"/>
  <c r="CA961" i="75"/>
  <c r="CA972" i="75"/>
  <c r="CA955" i="75"/>
  <c r="CA956" i="75"/>
  <c r="CA954" i="75"/>
  <c r="F89" i="115"/>
  <c r="E89" i="115"/>
  <c r="CA463" i="75"/>
  <c r="CA490" i="75"/>
  <c r="CA467" i="75"/>
  <c r="CA481" i="75"/>
  <c r="CA488" i="75"/>
  <c r="CA473" i="75"/>
  <c r="CA480" i="75"/>
  <c r="CA465" i="75"/>
  <c r="CA472" i="75"/>
  <c r="CA468" i="75"/>
  <c r="CA461" i="75"/>
  <c r="CB461" i="75" s="1"/>
  <c r="CA482" i="75"/>
  <c r="CA474" i="75"/>
  <c r="CA487" i="75"/>
  <c r="CA466" i="75"/>
  <c r="CA479" i="75"/>
  <c r="CA489" i="75"/>
  <c r="CA491" i="75"/>
  <c r="CA475" i="75"/>
  <c r="CA471" i="75"/>
  <c r="CA483" i="75"/>
  <c r="CA464" i="75"/>
  <c r="CA486" i="75"/>
  <c r="CA478" i="75"/>
  <c r="CA470" i="75"/>
  <c r="CA462" i="75"/>
  <c r="CA485" i="75"/>
  <c r="CA469" i="75"/>
  <c r="CA492" i="75"/>
  <c r="CA476" i="75"/>
  <c r="CA477" i="75"/>
  <c r="CA484" i="75"/>
  <c r="H124" i="114"/>
  <c r="J124" i="114"/>
  <c r="F173" i="112"/>
  <c r="E173" i="112"/>
  <c r="F97" i="112"/>
  <c r="E97" i="112"/>
  <c r="J47" i="112"/>
  <c r="H47" i="112"/>
  <c r="J91" i="115"/>
  <c r="H91" i="115"/>
  <c r="H33" i="116"/>
  <c r="H145" i="115"/>
  <c r="J145" i="115"/>
  <c r="BC1001" i="75"/>
  <c r="BQ1139" i="75"/>
  <c r="BS460" i="75"/>
  <c r="BQ1062" i="75"/>
  <c r="BQ1067" i="75"/>
  <c r="CC1068" i="75"/>
  <c r="CC1094" i="75"/>
  <c r="F29" i="114"/>
  <c r="E29" i="114"/>
  <c r="M171" i="113"/>
  <c r="F180" i="113"/>
  <c r="E180" i="113"/>
  <c r="M180" i="113"/>
  <c r="M120" i="113"/>
  <c r="F120" i="113"/>
  <c r="M111" i="113"/>
  <c r="E120" i="113"/>
  <c r="F132" i="112"/>
  <c r="E132" i="112"/>
  <c r="F94" i="112"/>
  <c r="E94" i="112"/>
  <c r="BO1203" i="75"/>
  <c r="BO1174" i="75"/>
  <c r="BO1189" i="75"/>
  <c r="BO1185" i="75"/>
  <c r="BO1184" i="75"/>
  <c r="BO1182" i="75"/>
  <c r="BO1215" i="75"/>
  <c r="BO1173" i="75"/>
  <c r="BP1173" i="75" s="1"/>
  <c r="J13" i="112"/>
  <c r="H13" i="112"/>
  <c r="E53" i="115"/>
  <c r="F53" i="115"/>
  <c r="J189" i="112"/>
  <c r="H189" i="112"/>
  <c r="J20" i="113"/>
  <c r="H20" i="113"/>
  <c r="AO34" i="100"/>
  <c r="N151" i="113"/>
  <c r="N160" i="113"/>
  <c r="E93" i="112"/>
  <c r="F93" i="112"/>
  <c r="J196" i="112"/>
  <c r="H196" i="112"/>
  <c r="J115" i="114"/>
  <c r="H115" i="114"/>
  <c r="AP15" i="113"/>
  <c r="W23" i="113"/>
  <c r="AP13" i="113"/>
  <c r="W21" i="113"/>
  <c r="W29" i="113"/>
  <c r="AP18" i="113"/>
  <c r="W28" i="113"/>
  <c r="AP12" i="113"/>
  <c r="AP17" i="113"/>
  <c r="AP16" i="113"/>
  <c r="AP19" i="113"/>
  <c r="W27" i="113"/>
  <c r="CH612" i="75"/>
  <c r="AP71" i="100"/>
  <c r="BP812" i="75" a="1"/>
  <c r="BP812" i="75" s="1"/>
  <c r="CR660" i="75" a="1"/>
  <c r="CR673" i="75" s="1"/>
  <c r="BS456" i="75"/>
  <c r="BK411" i="75"/>
  <c r="BK412" i="75"/>
  <c r="CD766" i="75" a="1"/>
  <c r="CD786" i="75" s="1"/>
  <c r="CP598" i="75" a="1"/>
  <c r="CP609" i="75" s="1"/>
  <c r="CV1206" i="75" a="1"/>
  <c r="CT782" i="75" a="1"/>
  <c r="BY481" i="75"/>
  <c r="BO1211" i="75"/>
  <c r="CG472" i="75"/>
  <c r="BQ1075" i="75"/>
  <c r="BQ1088" i="75"/>
  <c r="CC1072" i="75"/>
  <c r="CC1088" i="75"/>
  <c r="CM1079" i="75"/>
  <c r="E90" i="113"/>
  <c r="F90" i="113"/>
  <c r="M90" i="113"/>
  <c r="M81" i="113"/>
  <c r="AN302" i="100"/>
  <c r="AO302" i="100"/>
  <c r="BE1185" i="75"/>
  <c r="BE1180" i="75"/>
  <c r="BE1183" i="75"/>
  <c r="BE1172" i="75"/>
  <c r="BE1210" i="75"/>
  <c r="BE1205" i="75"/>
  <c r="BE1197" i="75"/>
  <c r="BE1189" i="75"/>
  <c r="BE1173" i="75"/>
  <c r="BE1165" i="75"/>
  <c r="BE1204" i="75"/>
  <c r="BE1163" i="75"/>
  <c r="BF1163" i="75" s="1"/>
  <c r="BE1190" i="75"/>
  <c r="BE1174" i="75"/>
  <c r="BE1211" i="75"/>
  <c r="BE1203" i="75"/>
  <c r="BE1195" i="75"/>
  <c r="BE1187" i="75"/>
  <c r="BE1179" i="75"/>
  <c r="BE1171" i="75"/>
  <c r="BE1213" i="75"/>
  <c r="BE1181" i="75"/>
  <c r="BE1194" i="75"/>
  <c r="BE1178" i="75"/>
  <c r="BE1200" i="75"/>
  <c r="BE1184" i="75"/>
  <c r="BE1168" i="75"/>
  <c r="BE1206" i="75"/>
  <c r="BE1192" i="75"/>
  <c r="BE1176" i="75"/>
  <c r="BE1214" i="75"/>
  <c r="BE1169" i="75"/>
  <c r="BE1188" i="75"/>
  <c r="BE1216" i="75"/>
  <c r="BE1191" i="75"/>
  <c r="BE1208" i="75"/>
  <c r="BE1198" i="75"/>
  <c r="BE1193" i="75"/>
  <c r="BE1209" i="75"/>
  <c r="BE1170" i="75"/>
  <c r="BE1175" i="75"/>
  <c r="BE1167" i="75"/>
  <c r="BE1199" i="75"/>
  <c r="BE1212" i="75"/>
  <c r="BE1186" i="75"/>
  <c r="BE1177" i="75"/>
  <c r="BE1164" i="75"/>
  <c r="BE1202" i="75"/>
  <c r="BE1182" i="75"/>
  <c r="BE1215" i="75"/>
  <c r="BE1166" i="75"/>
  <c r="BE1207" i="75"/>
  <c r="F149" i="114"/>
  <c r="E149" i="114"/>
  <c r="J149" i="114" s="1"/>
  <c r="F92" i="112"/>
  <c r="E92" i="112"/>
  <c r="H126" i="112"/>
  <c r="J126" i="112"/>
  <c r="F86" i="115"/>
  <c r="E86" i="115"/>
  <c r="F73" i="115"/>
  <c r="E73" i="115"/>
  <c r="J35" i="114"/>
  <c r="H35" i="114"/>
  <c r="J228" i="116"/>
  <c r="H228" i="116"/>
  <c r="AP43" i="113"/>
  <c r="BX580" i="75" a="1"/>
  <c r="BX1062" i="75" a="1"/>
  <c r="BX1088" i="75" s="1"/>
  <c r="AN68" i="100"/>
  <c r="AN305" i="100"/>
  <c r="AO305" i="100"/>
  <c r="E99" i="112"/>
  <c r="F99" i="112"/>
  <c r="BI959" i="75"/>
  <c r="BI958" i="75"/>
  <c r="BI951" i="75"/>
  <c r="BI955" i="75"/>
  <c r="BI947" i="75"/>
  <c r="BI943" i="75"/>
  <c r="BI960" i="75"/>
  <c r="BI954" i="75"/>
  <c r="BI946" i="75"/>
  <c r="BI938" i="75"/>
  <c r="BI930" i="75"/>
  <c r="BI972" i="75"/>
  <c r="BI941" i="75"/>
  <c r="BI937" i="75"/>
  <c r="BI929" i="75"/>
  <c r="BI975" i="75"/>
  <c r="BI971" i="75"/>
  <c r="BI942" i="75"/>
  <c r="BI969" i="75"/>
  <c r="BI961" i="75"/>
  <c r="BI950" i="75"/>
  <c r="BI973" i="75"/>
  <c r="BI965" i="75"/>
  <c r="BI945" i="75"/>
  <c r="BI963" i="75"/>
  <c r="BI952" i="75"/>
  <c r="BI962" i="75"/>
  <c r="BI956" i="75"/>
  <c r="BI932" i="75"/>
  <c r="BI974" i="75"/>
  <c r="BI970" i="75"/>
  <c r="BI948" i="75"/>
  <c r="BI940" i="75"/>
  <c r="BI931" i="75"/>
  <c r="BI976" i="75"/>
  <c r="BI927" i="75"/>
  <c r="BJ927" i="75" s="1"/>
  <c r="BI967" i="75"/>
  <c r="BI966" i="75"/>
  <c r="BI957" i="75"/>
  <c r="BI928" i="75"/>
  <c r="BI944" i="75"/>
  <c r="BI953" i="75"/>
  <c r="BI934" i="75"/>
  <c r="BI968" i="75"/>
  <c r="BI936" i="75"/>
  <c r="BI949" i="75"/>
  <c r="BI939" i="75"/>
  <c r="BI935" i="75"/>
  <c r="F172" i="112"/>
  <c r="E172" i="112"/>
  <c r="F91" i="112"/>
  <c r="E91" i="112"/>
  <c r="F74" i="115"/>
  <c r="E74" i="115"/>
  <c r="J213" i="116"/>
  <c r="H213" i="116"/>
  <c r="J125" i="115"/>
  <c r="H125" i="115"/>
  <c r="J196" i="114"/>
  <c r="H196" i="114"/>
  <c r="AO35" i="100"/>
  <c r="AO68" i="100"/>
  <c r="BH1046" i="75" a="1"/>
  <c r="BH1055" i="75" s="1"/>
  <c r="BD318" i="75" a="1"/>
  <c r="BD364" i="75" s="1"/>
  <c r="BP210" i="75" a="1"/>
  <c r="BP232" i="75" s="1"/>
  <c r="BD740" i="75" a="1"/>
  <c r="BD754" i="75" s="1"/>
  <c r="CG839" i="75"/>
  <c r="CG854" i="75"/>
  <c r="CG834" i="75"/>
  <c r="CG852" i="75"/>
  <c r="CG844" i="75"/>
  <c r="CG847" i="75"/>
  <c r="CG835" i="75"/>
  <c r="CG837" i="75"/>
  <c r="CG833" i="75"/>
  <c r="CG850" i="75"/>
  <c r="CG840" i="75"/>
  <c r="CG832" i="75"/>
  <c r="CG846" i="75"/>
  <c r="CG838" i="75"/>
  <c r="CG830" i="75"/>
  <c r="CG848" i="75"/>
  <c r="CG842" i="75"/>
  <c r="CG829" i="75"/>
  <c r="CH829" i="75" s="1"/>
  <c r="CG836" i="75"/>
  <c r="CG851" i="75"/>
  <c r="CG853" i="75"/>
  <c r="CG841" i="75"/>
  <c r="CG831" i="75"/>
  <c r="CG845" i="75"/>
  <c r="CG843" i="75"/>
  <c r="CG849" i="75"/>
  <c r="BM1263" i="75"/>
  <c r="BM1246" i="75"/>
  <c r="BM1234" i="75"/>
  <c r="BM1268" i="75"/>
  <c r="BM1256" i="75"/>
  <c r="BM1231" i="75"/>
  <c r="BN1231" i="75" s="1"/>
  <c r="BM1273" i="75"/>
  <c r="BM1265" i="75"/>
  <c r="BM1261" i="75"/>
  <c r="BM1275" i="75"/>
  <c r="BM1257" i="75"/>
  <c r="BM1262" i="75"/>
  <c r="BM1254" i="75"/>
  <c r="BM1276" i="75"/>
  <c r="BM1252" i="75"/>
  <c r="BM1244" i="75"/>
  <c r="BM1236" i="75"/>
  <c r="BM1253" i="75"/>
  <c r="BM1249" i="75"/>
  <c r="BM1245" i="75"/>
  <c r="BM1241" i="75"/>
  <c r="BM1267" i="75"/>
  <c r="BM1259" i="75"/>
  <c r="BM1255" i="75"/>
  <c r="BM1247" i="75"/>
  <c r="BM1239" i="75"/>
  <c r="BM1271" i="75"/>
  <c r="BM1251" i="75"/>
  <c r="BM1243" i="75"/>
  <c r="BM1235" i="75"/>
  <c r="BM1233" i="75"/>
  <c r="BM1266" i="75"/>
  <c r="BM1258" i="75"/>
  <c r="BM1250" i="75"/>
  <c r="BM1242" i="75"/>
  <c r="BM1248" i="75"/>
  <c r="BM1240" i="75"/>
  <c r="BM1272" i="75"/>
  <c r="CK913" i="75"/>
  <c r="CK905" i="75"/>
  <c r="CK911" i="75"/>
  <c r="CK907" i="75"/>
  <c r="CK899" i="75"/>
  <c r="CK910" i="75"/>
  <c r="CK894" i="75"/>
  <c r="CK895" i="75"/>
  <c r="CK897" i="75"/>
  <c r="CK900" i="75"/>
  <c r="CK914" i="75"/>
  <c r="CK912" i="75"/>
  <c r="CK904" i="75"/>
  <c r="CK909" i="75"/>
  <c r="CK906" i="75"/>
  <c r="CK898" i="75"/>
  <c r="CY1213" i="75"/>
  <c r="CY1211" i="75"/>
  <c r="CY1214" i="75"/>
  <c r="CY1215" i="75"/>
  <c r="E171" i="112"/>
  <c r="J171" i="112" s="1"/>
  <c r="F171" i="112"/>
  <c r="E137" i="112"/>
  <c r="F137" i="112"/>
  <c r="E76" i="112"/>
  <c r="F76" i="112"/>
  <c r="F169" i="114"/>
  <c r="E169" i="114"/>
  <c r="H62" i="115"/>
  <c r="J62" i="115"/>
  <c r="H177" i="112"/>
  <c r="J177" i="112"/>
  <c r="E85" i="115"/>
  <c r="F85" i="115"/>
  <c r="E78" i="116"/>
  <c r="F78" i="116"/>
  <c r="E75" i="115"/>
  <c r="F75" i="115"/>
  <c r="H45" i="115"/>
  <c r="J45" i="115"/>
  <c r="J218" i="116"/>
  <c r="H218" i="116"/>
  <c r="BZ1004" i="75" a="1"/>
  <c r="CF526" i="75" a="1"/>
  <c r="CF536" i="75" s="1"/>
  <c r="CF286" i="75" a="1"/>
  <c r="CF290" i="75" s="1"/>
  <c r="BI933" i="75"/>
  <c r="BS491" i="75"/>
  <c r="BS480" i="75"/>
  <c r="CM900" i="75"/>
  <c r="BQ1120" i="75"/>
  <c r="BK416" i="75"/>
  <c r="BK394" i="75"/>
  <c r="CU1085" i="75" a="1"/>
  <c r="CU1092" i="75" s="1"/>
  <c r="BY465" i="75"/>
  <c r="BO1206" i="75"/>
  <c r="BQ1094" i="75"/>
  <c r="BQ1070" i="75"/>
  <c r="CC1067" i="75"/>
  <c r="CD1067" i="75" s="1"/>
  <c r="CC1075" i="75"/>
  <c r="CM1077" i="75"/>
  <c r="CN1077" i="75" s="1"/>
  <c r="AO41" i="100"/>
  <c r="AN41" i="100"/>
  <c r="AN29" i="100"/>
  <c r="AM29" i="100"/>
  <c r="CG1202" i="75"/>
  <c r="CG1193" i="75"/>
  <c r="CG1208" i="75"/>
  <c r="CG1201" i="75"/>
  <c r="CG1197" i="75"/>
  <c r="CG1216" i="75"/>
  <c r="CG1200" i="75"/>
  <c r="CG1192" i="75"/>
  <c r="CG1205" i="75"/>
  <c r="CG1210" i="75"/>
  <c r="CG1194" i="75"/>
  <c r="CG1191" i="75"/>
  <c r="CH1191" i="75" s="1"/>
  <c r="CG1215" i="75"/>
  <c r="CG1213" i="75"/>
  <c r="CG1209" i="75"/>
  <c r="CG1207" i="75"/>
  <c r="CG1212" i="75"/>
  <c r="CG1211" i="75"/>
  <c r="CG1203" i="75"/>
  <c r="CG1204" i="75"/>
  <c r="CG1214" i="75"/>
  <c r="CG1206" i="75"/>
  <c r="CG1198" i="75"/>
  <c r="CG1196" i="75"/>
  <c r="CL1214" i="75"/>
  <c r="CL1199" i="75"/>
  <c r="CL1209" i="75"/>
  <c r="CL1213" i="75"/>
  <c r="CL1211" i="75"/>
  <c r="CL1212" i="75"/>
  <c r="CL1215" i="75"/>
  <c r="CL1198" i="75"/>
  <c r="CL1202" i="75"/>
  <c r="CL1197" i="75"/>
  <c r="CL1208" i="75"/>
  <c r="CL1210" i="75"/>
  <c r="CL1204" i="75"/>
  <c r="CL1216" i="75"/>
  <c r="CL1200" i="75"/>
  <c r="CL1203" i="75"/>
  <c r="CL1205" i="75"/>
  <c r="CL1207" i="75"/>
  <c r="CL1206" i="75"/>
  <c r="E115" i="112"/>
  <c r="F115" i="112"/>
  <c r="E77" i="112"/>
  <c r="F77" i="112"/>
  <c r="BC1201" i="75"/>
  <c r="BC1198" i="75"/>
  <c r="BC1187" i="75"/>
  <c r="BC1209" i="75"/>
  <c r="BC1170" i="75"/>
  <c r="BC1188" i="75"/>
  <c r="BC1175" i="75"/>
  <c r="BC1215" i="75"/>
  <c r="BC1204" i="75"/>
  <c r="BC1161" i="75"/>
  <c r="BD1161" i="75" s="1"/>
  <c r="BC1179" i="75"/>
  <c r="BC1199" i="75"/>
  <c r="BC1208" i="75"/>
  <c r="BC1212" i="75"/>
  <c r="BC1210" i="75"/>
  <c r="BC1183" i="75"/>
  <c r="BC1172" i="75"/>
  <c r="BC1190" i="75"/>
  <c r="BC1180" i="75"/>
  <c r="BC1182" i="75"/>
  <c r="BC1186" i="75"/>
  <c r="BC1174" i="75"/>
  <c r="BC1166" i="75"/>
  <c r="BC1165" i="75"/>
  <c r="BC1206" i="75"/>
  <c r="BC1203" i="75"/>
  <c r="BC1167" i="75"/>
  <c r="BC1195" i="75"/>
  <c r="BC1191" i="75"/>
  <c r="BC1207" i="75"/>
  <c r="BC1178" i="75"/>
  <c r="BC1194" i="75"/>
  <c r="BC1169" i="75"/>
  <c r="BC1213" i="75"/>
  <c r="BC1205" i="75"/>
  <c r="BC1162" i="75"/>
  <c r="BC1196" i="75"/>
  <c r="BC1197" i="75"/>
  <c r="BC1171" i="75"/>
  <c r="J24" i="116"/>
  <c r="H24" i="116"/>
  <c r="H177" i="116"/>
  <c r="J177" i="116"/>
  <c r="CU541" i="75" a="1"/>
  <c r="E76" i="115"/>
  <c r="F76" i="115"/>
  <c r="CM840" i="75"/>
  <c r="CM842" i="75"/>
  <c r="CM835" i="75"/>
  <c r="CN835" i="75" s="1"/>
  <c r="CM839" i="75"/>
  <c r="CM853" i="75"/>
  <c r="CM849" i="75"/>
  <c r="CM846" i="75"/>
  <c r="CM838" i="75"/>
  <c r="CM850" i="75"/>
  <c r="CM836" i="75"/>
  <c r="J11" i="112"/>
  <c r="H11" i="112"/>
  <c r="J84" i="115"/>
  <c r="H84" i="115"/>
  <c r="H149" i="115"/>
  <c r="J149" i="115"/>
  <c r="AP68" i="100"/>
  <c r="AQ23" i="113"/>
  <c r="J27" i="115"/>
  <c r="H27" i="115"/>
  <c r="J149" i="116"/>
  <c r="H149" i="116"/>
  <c r="BH1166" i="75" a="1"/>
  <c r="BH1194" i="75" s="1"/>
  <c r="BN570" i="75" a="1"/>
  <c r="CD524" i="75" a="1"/>
  <c r="CD550" i="75" s="1"/>
  <c r="F89" i="116"/>
  <c r="E89" i="116"/>
  <c r="CK1026" i="75"/>
  <c r="CK1032" i="75"/>
  <c r="CK1019" i="75"/>
  <c r="CK1030" i="75"/>
  <c r="CK1022" i="75"/>
  <c r="CK1036" i="75"/>
  <c r="CK1015" i="75"/>
  <c r="CL1015" i="75" s="1"/>
  <c r="CK1033" i="75"/>
  <c r="CK1029" i="75"/>
  <c r="CK1035" i="75"/>
  <c r="CK1023" i="75"/>
  <c r="CK1028" i="75"/>
  <c r="CK1018" i="75"/>
  <c r="CK1016" i="75"/>
  <c r="CK1021" i="75"/>
  <c r="CK1020" i="75"/>
  <c r="CK1025" i="75"/>
  <c r="CK1024" i="75"/>
  <c r="CG491" i="75"/>
  <c r="CG477" i="75"/>
  <c r="CG483" i="75"/>
  <c r="CG467" i="75"/>
  <c r="CH467" i="75" s="1"/>
  <c r="CG480" i="75"/>
  <c r="CG490" i="75"/>
  <c r="CG481" i="75"/>
  <c r="CG473" i="75"/>
  <c r="CG492" i="75"/>
  <c r="CG489" i="75"/>
  <c r="CG468" i="75"/>
  <c r="CG485" i="75"/>
  <c r="CG469" i="75"/>
  <c r="CG482" i="75"/>
  <c r="CG471" i="75"/>
  <c r="CG475" i="75"/>
  <c r="CG484" i="75"/>
  <c r="CG488" i="75"/>
  <c r="CG474" i="75"/>
  <c r="CG479" i="75"/>
  <c r="E203" i="114"/>
  <c r="F203" i="114"/>
  <c r="F116" i="112"/>
  <c r="E116" i="112"/>
  <c r="F75" i="112"/>
  <c r="E75" i="112"/>
  <c r="J22" i="116"/>
  <c r="H22" i="116"/>
  <c r="J47" i="114"/>
  <c r="H47" i="114"/>
  <c r="F166" i="114"/>
  <c r="E166" i="114"/>
  <c r="E51" i="115"/>
  <c r="F51" i="115"/>
  <c r="H140" i="113"/>
  <c r="J140" i="113"/>
  <c r="J213" i="115"/>
  <c r="H213" i="115"/>
  <c r="E162" i="114"/>
  <c r="F162" i="114"/>
  <c r="CI412" i="75"/>
  <c r="CI431" i="75"/>
  <c r="CI430" i="75"/>
  <c r="CI429" i="75"/>
  <c r="CI409" i="75"/>
  <c r="CJ409" i="75" s="1"/>
  <c r="CI423" i="75"/>
  <c r="CI428" i="75"/>
  <c r="CI411" i="75"/>
  <c r="CI417" i="75"/>
  <c r="CI427" i="75"/>
  <c r="CI421" i="75"/>
  <c r="BP517" i="75"/>
  <c r="BP514" i="75"/>
  <c r="BP540" i="75"/>
  <c r="BP536" i="75"/>
  <c r="BP532" i="75"/>
  <c r="BP516" i="75"/>
  <c r="BP544" i="75"/>
  <c r="BP522" i="75"/>
  <c r="BP551" i="75"/>
  <c r="BP543" i="75"/>
  <c r="BP537" i="75"/>
  <c r="BP523" i="75"/>
  <c r="BP538" i="75"/>
  <c r="BP539" i="75"/>
  <c r="BP545" i="75"/>
  <c r="BP524" i="75"/>
  <c r="BP521" i="75"/>
  <c r="BP530" i="75"/>
  <c r="J128" i="115"/>
  <c r="H128" i="115"/>
  <c r="J56" i="116"/>
  <c r="H56" i="116"/>
  <c r="J26" i="116"/>
  <c r="H26" i="116"/>
  <c r="AM305" i="100"/>
  <c r="J159" i="112"/>
  <c r="H159" i="112"/>
  <c r="H110" i="113"/>
  <c r="J110" i="113"/>
  <c r="F24" i="113"/>
  <c r="E24" i="113"/>
  <c r="AN31" i="100"/>
  <c r="CS901" i="75" a="1"/>
  <c r="CS903" i="75" s="1"/>
  <c r="BS471" i="75"/>
  <c r="CM899" i="75"/>
  <c r="BQ1140" i="75"/>
  <c r="CJ530" i="75" a="1"/>
  <c r="CJ539" i="75" s="1"/>
  <c r="BO1200" i="75"/>
  <c r="BS670" i="75"/>
  <c r="BQ1081" i="75"/>
  <c r="BQ1076" i="75"/>
  <c r="CC1096" i="75"/>
  <c r="CM1083" i="75"/>
  <c r="N71" i="113"/>
  <c r="N80" i="113"/>
  <c r="O81" i="113"/>
  <c r="O90" i="113"/>
  <c r="F207" i="114"/>
  <c r="E207" i="114"/>
  <c r="J122" i="112"/>
  <c r="H122" i="112"/>
  <c r="F112" i="112"/>
  <c r="E112" i="112"/>
  <c r="J113" i="116"/>
  <c r="H113" i="116"/>
  <c r="J33" i="114"/>
  <c r="H33" i="114"/>
  <c r="E164" i="114"/>
  <c r="F164" i="114"/>
  <c r="J97" i="116"/>
  <c r="H97" i="116"/>
  <c r="CC422" i="75"/>
  <c r="CC407" i="75"/>
  <c r="CC410" i="75"/>
  <c r="CC408" i="75"/>
  <c r="CC412" i="75"/>
  <c r="CC406" i="75"/>
  <c r="CC404" i="75"/>
  <c r="CC420" i="75"/>
  <c r="CC425" i="75"/>
  <c r="CC413" i="75"/>
  <c r="CC421" i="75"/>
  <c r="CC414" i="75"/>
  <c r="CC432" i="75"/>
  <c r="CC411" i="75"/>
  <c r="CC426" i="75"/>
  <c r="CC409" i="75"/>
  <c r="CC415" i="75"/>
  <c r="CC416" i="75"/>
  <c r="CC417" i="75"/>
  <c r="CC405" i="75"/>
  <c r="CC403" i="75"/>
  <c r="CD403" i="75" s="1"/>
  <c r="CC419" i="75"/>
  <c r="CC429" i="75"/>
  <c r="CC430" i="75"/>
  <c r="CC423" i="75"/>
  <c r="CC418" i="75"/>
  <c r="CC431" i="75"/>
  <c r="CC428" i="75"/>
  <c r="CC427" i="75"/>
  <c r="CC424" i="75"/>
  <c r="J132" i="114"/>
  <c r="H132" i="114"/>
  <c r="J115" i="115"/>
  <c r="H115" i="115"/>
  <c r="H89" i="114"/>
  <c r="CJ470" i="75" a="1"/>
  <c r="CJ489" i="75" s="1"/>
  <c r="N40" i="113"/>
  <c r="N31" i="113"/>
  <c r="O190" i="113"/>
  <c r="O181" i="113"/>
  <c r="O70" i="113"/>
  <c r="O61" i="113"/>
  <c r="BK409" i="75"/>
  <c r="BK427" i="75"/>
  <c r="BK386" i="75"/>
  <c r="BK422" i="75"/>
  <c r="BK389" i="75"/>
  <c r="BK426" i="75"/>
  <c r="BK390" i="75"/>
  <c r="BK408" i="75"/>
  <c r="BK407" i="75"/>
  <c r="BK421" i="75"/>
  <c r="BK413" i="75"/>
  <c r="BK403" i="75"/>
  <c r="BK419" i="75"/>
  <c r="BK392" i="75"/>
  <c r="BK400" i="75"/>
  <c r="BK405" i="75"/>
  <c r="BK395" i="75"/>
  <c r="BK424" i="75"/>
  <c r="F206" i="114"/>
  <c r="E206" i="114"/>
  <c r="BG413" i="75"/>
  <c r="BG402" i="75"/>
  <c r="BG415" i="75"/>
  <c r="BG399" i="75"/>
  <c r="BG383" i="75"/>
  <c r="BG425" i="75"/>
  <c r="BG393" i="75"/>
  <c r="BG388" i="75"/>
  <c r="BG404" i="75"/>
  <c r="BG419" i="75"/>
  <c r="BG431" i="75"/>
  <c r="BG426" i="75"/>
  <c r="BG382" i="75"/>
  <c r="BG391" i="75"/>
  <c r="BG398" i="75"/>
  <c r="BG420" i="75"/>
  <c r="BG414" i="75"/>
  <c r="CQ1207" i="75"/>
  <c r="CQ1206" i="75"/>
  <c r="CQ1209" i="75"/>
  <c r="CQ1212" i="75"/>
  <c r="CQ1214" i="75"/>
  <c r="CQ1210" i="75"/>
  <c r="CQ1216" i="75"/>
  <c r="CQ1204" i="75"/>
  <c r="CQ1203" i="75"/>
  <c r="CQ1205" i="75"/>
  <c r="CQ1201" i="75"/>
  <c r="CR1201" i="75" s="1"/>
  <c r="CQ1215" i="75"/>
  <c r="CQ1208" i="75"/>
  <c r="CQ1213" i="75"/>
  <c r="CQ1211" i="75"/>
  <c r="F163" i="114"/>
  <c r="E163" i="114"/>
  <c r="F73" i="116"/>
  <c r="E73" i="116"/>
  <c r="H72" i="112"/>
  <c r="H127" i="116"/>
  <c r="J127" i="116"/>
  <c r="BR332" i="75" a="1"/>
  <c r="BR339" i="75" s="1"/>
  <c r="BV396" i="75" a="1"/>
  <c r="BV413" i="75" s="1"/>
  <c r="AM40" i="100"/>
  <c r="BF862" i="75" a="1"/>
  <c r="BF903" i="75" s="1"/>
  <c r="BJ1048" i="75" a="1"/>
  <c r="BM1270" i="75"/>
  <c r="CK1027" i="75"/>
  <c r="BS656" i="75"/>
  <c r="BS479" i="75"/>
  <c r="CM906" i="75"/>
  <c r="BQ1151" i="75"/>
  <c r="BK430" i="75"/>
  <c r="CI422" i="75"/>
  <c r="BG430" i="75"/>
  <c r="BS1091" i="75"/>
  <c r="BN952" i="75"/>
  <c r="BZ1187" i="75"/>
  <c r="CZ1090" i="75" a="1"/>
  <c r="CZ1095" i="75" s="1"/>
  <c r="BO1194" i="75"/>
  <c r="BQ1080" i="75"/>
  <c r="BQ1061" i="75"/>
  <c r="CC1080" i="75"/>
  <c r="CM1086" i="75"/>
  <c r="BS1063" i="75"/>
  <c r="O11" i="113"/>
  <c r="O20" i="113"/>
  <c r="CT1204" i="75" a="1"/>
  <c r="CU903" i="75"/>
  <c r="CV903" i="75" s="1"/>
  <c r="CU909" i="75"/>
  <c r="CU905" i="75"/>
  <c r="CU910" i="75"/>
  <c r="CU908" i="75"/>
  <c r="E175" i="112"/>
  <c r="J175" i="112" s="1"/>
  <c r="F175" i="112"/>
  <c r="E209" i="114"/>
  <c r="F209" i="114"/>
  <c r="CF1153" i="75"/>
  <c r="CF1155" i="75"/>
  <c r="CF1130" i="75"/>
  <c r="CF1134" i="75"/>
  <c r="CF1135" i="75"/>
  <c r="CF1139" i="75"/>
  <c r="CF1136" i="75"/>
  <c r="CF1138" i="75"/>
  <c r="CF1150" i="75"/>
  <c r="CF1154" i="75"/>
  <c r="CF1132" i="75"/>
  <c r="CF1137" i="75"/>
  <c r="CF1149" i="75"/>
  <c r="CF1131" i="75"/>
  <c r="CF1151" i="75"/>
  <c r="CF1145" i="75"/>
  <c r="CF1133" i="75"/>
  <c r="CF1147" i="75"/>
  <c r="CF1143" i="75"/>
  <c r="CF1141" i="75"/>
  <c r="CF1144" i="75"/>
  <c r="CF1156" i="75"/>
  <c r="CF1148" i="75"/>
  <c r="CF1142" i="75"/>
  <c r="CF1146" i="75"/>
  <c r="J65" i="116"/>
  <c r="H65" i="116"/>
  <c r="J85" i="114"/>
  <c r="H85" i="114"/>
  <c r="F167" i="114"/>
  <c r="E167" i="114"/>
  <c r="J83" i="116"/>
  <c r="H83" i="116"/>
  <c r="BP450" i="75" a="1"/>
  <c r="BP482" i="75" s="1"/>
  <c r="CH610" i="75"/>
  <c r="BV336" i="75" a="1"/>
  <c r="BV346" i="75" s="1"/>
  <c r="BT334" i="75" a="1"/>
  <c r="BT347" i="75" s="1"/>
  <c r="BN1172" i="75" a="1"/>
  <c r="CU603" i="75" a="1"/>
  <c r="CU608" i="75" s="1"/>
  <c r="BM1237" i="75"/>
  <c r="CK1017" i="75"/>
  <c r="BS659" i="75"/>
  <c r="BS473" i="75"/>
  <c r="CM913" i="75"/>
  <c r="BK431" i="75"/>
  <c r="BG423" i="75"/>
  <c r="BG401" i="75"/>
  <c r="BS1086" i="75"/>
  <c r="BN939" i="75"/>
  <c r="BZ1209" i="75"/>
  <c r="DA1091" i="75" a="1"/>
  <c r="DA1096" i="75" s="1"/>
  <c r="CF648" i="75" a="1"/>
  <c r="CF648" i="75" s="1"/>
  <c r="BQ1210" i="75"/>
  <c r="BQ1093" i="75"/>
  <c r="BQ1074" i="75"/>
  <c r="CC1071" i="75"/>
  <c r="CM1094" i="75"/>
  <c r="BS1085" i="75"/>
  <c r="M70" i="113"/>
  <c r="F70" i="113"/>
  <c r="E70" i="113"/>
  <c r="M61" i="113"/>
  <c r="E201" i="116"/>
  <c r="F201" i="116"/>
  <c r="CC1012" i="75"/>
  <c r="CC1014" i="75"/>
  <c r="CC1028" i="75"/>
  <c r="CC1030" i="75"/>
  <c r="CC1022" i="75"/>
  <c r="CC1036" i="75"/>
  <c r="CC1020" i="75"/>
  <c r="CC1034" i="75"/>
  <c r="CC1009" i="75"/>
  <c r="CC1035" i="75"/>
  <c r="CC1031" i="75"/>
  <c r="CC1027" i="75"/>
  <c r="CC1019" i="75"/>
  <c r="CC1007" i="75"/>
  <c r="CD1007" i="75" s="1"/>
  <c r="CC1025" i="75"/>
  <c r="CC1017" i="75"/>
  <c r="CC1013" i="75"/>
  <c r="CC1018" i="75"/>
  <c r="CC1024" i="75"/>
  <c r="CC1015" i="75"/>
  <c r="CC1032" i="75"/>
  <c r="CC1008" i="75"/>
  <c r="CC1033" i="75"/>
  <c r="CC1029" i="75"/>
  <c r="CC1021" i="75"/>
  <c r="CC1010" i="75"/>
  <c r="CC1016" i="75"/>
  <c r="F204" i="114"/>
  <c r="E204" i="114"/>
  <c r="F152" i="112"/>
  <c r="E152" i="112"/>
  <c r="J152" i="112" s="1"/>
  <c r="E165" i="114"/>
  <c r="F165" i="114"/>
  <c r="CZ546" i="75" a="1"/>
  <c r="F56" i="115"/>
  <c r="E56" i="115"/>
  <c r="J185" i="115"/>
  <c r="H185" i="115"/>
  <c r="CW614" i="75"/>
  <c r="CW612" i="75"/>
  <c r="CW613" i="75"/>
  <c r="CW608" i="75"/>
  <c r="CW609" i="75"/>
  <c r="CW611" i="75"/>
  <c r="CW610" i="75"/>
  <c r="CW606" i="75"/>
  <c r="AM302" i="100"/>
  <c r="AQ22" i="113"/>
  <c r="CH597" i="75"/>
  <c r="CH614" i="75"/>
  <c r="CY369" i="75"/>
  <c r="BP752" i="75" a="1"/>
  <c r="BP770" i="75" s="1"/>
  <c r="CT722" i="75" a="1"/>
  <c r="CT732" i="75" s="1"/>
  <c r="BR1056" i="75" a="1"/>
  <c r="BR1088" i="75" s="1"/>
  <c r="BT274" i="75" a="1"/>
  <c r="BT300" i="75" s="1"/>
  <c r="CV302" i="75" a="1"/>
  <c r="CV305" i="75" s="1"/>
  <c r="CP838" i="75" a="1"/>
  <c r="CP854" i="75" s="1"/>
  <c r="CN234" i="75" a="1"/>
  <c r="CN252" i="75" s="1"/>
  <c r="BS664" i="75"/>
  <c r="BS487" i="75"/>
  <c r="CM904" i="75"/>
  <c r="BS662" i="75"/>
  <c r="BK396" i="75"/>
  <c r="BG381" i="75"/>
  <c r="BH381" i="75" s="1"/>
  <c r="BG392" i="75"/>
  <c r="BS1057" i="75"/>
  <c r="BT1057" i="75" s="1"/>
  <c r="CB1126" i="75" a="1"/>
  <c r="CN716" i="75" a="1"/>
  <c r="CN733" i="75" s="1"/>
  <c r="BY476" i="75"/>
  <c r="BO1216" i="75"/>
  <c r="BQ1200" i="75"/>
  <c r="BO1193" i="75"/>
  <c r="BQ1096" i="75"/>
  <c r="BQ1077" i="75"/>
  <c r="CC1083" i="75"/>
  <c r="CM1082" i="75"/>
  <c r="BS1093" i="75"/>
  <c r="E169" i="115"/>
  <c r="F169" i="115"/>
  <c r="BZ1139" i="75"/>
  <c r="BZ1144" i="75"/>
  <c r="BZ1138" i="75"/>
  <c r="BZ1147" i="75"/>
  <c r="BZ1140" i="75"/>
  <c r="BZ1142" i="75"/>
  <c r="BZ1152" i="75"/>
  <c r="BZ1149" i="75"/>
  <c r="BZ1133" i="75"/>
  <c r="BZ1151" i="75"/>
  <c r="BZ1125" i="75"/>
  <c r="BZ1150" i="75"/>
  <c r="CK1198" i="75"/>
  <c r="CK1210" i="75"/>
  <c r="CK1207" i="75"/>
  <c r="CK1199" i="75"/>
  <c r="CK1216" i="75"/>
  <c r="CK1200" i="75"/>
  <c r="CK1212" i="75"/>
  <c r="CK1204" i="75"/>
  <c r="CK1202" i="75"/>
  <c r="CK1214" i="75"/>
  <c r="CK1206" i="75"/>
  <c r="CK1203" i="75"/>
  <c r="CK1205" i="75"/>
  <c r="CK1201" i="75"/>
  <c r="CK1197" i="75"/>
  <c r="CK1215" i="75"/>
  <c r="CK1196" i="75"/>
  <c r="CK1208" i="75"/>
  <c r="CK1213" i="75"/>
  <c r="CK1195" i="75"/>
  <c r="CL1195" i="75" s="1"/>
  <c r="CK1209" i="75"/>
  <c r="CK1211" i="75"/>
  <c r="DC1213" i="75"/>
  <c r="DD1213" i="75" s="1"/>
  <c r="DC1216" i="75"/>
  <c r="DC1215" i="75"/>
  <c r="DC1214" i="75"/>
  <c r="BW1007" i="75"/>
  <c r="BW1031" i="75"/>
  <c r="BW1024" i="75"/>
  <c r="BX943" i="75"/>
  <c r="BX954" i="75"/>
  <c r="BX974" i="75"/>
  <c r="BX955" i="75"/>
  <c r="BX959" i="75"/>
  <c r="BX967" i="75"/>
  <c r="BX947" i="75"/>
  <c r="BX972" i="75"/>
  <c r="BX953" i="75"/>
  <c r="BX973" i="75"/>
  <c r="BX952" i="75"/>
  <c r="BX960" i="75"/>
  <c r="BX975" i="75"/>
  <c r="BX964" i="75"/>
  <c r="BX948" i="75"/>
  <c r="BX970" i="75"/>
  <c r="BX966" i="75"/>
  <c r="BX944" i="75"/>
  <c r="BX971" i="75"/>
  <c r="BX942" i="75"/>
  <c r="BX956" i="75"/>
  <c r="F183" i="114"/>
  <c r="E183" i="114"/>
  <c r="CC1143" i="75"/>
  <c r="CC1156" i="75"/>
  <c r="CC1139" i="75"/>
  <c r="CC1130" i="75"/>
  <c r="CC1141" i="75"/>
  <c r="CC1133" i="75"/>
  <c r="CC1153" i="75"/>
  <c r="CC1145" i="75"/>
  <c r="CC1137" i="75"/>
  <c r="CC1129" i="75"/>
  <c r="CC1142" i="75"/>
  <c r="J27" i="112"/>
  <c r="H27" i="112"/>
  <c r="BZ474" i="75"/>
  <c r="BZ467" i="75"/>
  <c r="BZ492" i="75"/>
  <c r="BZ473" i="75"/>
  <c r="BZ472" i="75"/>
  <c r="BZ484" i="75"/>
  <c r="BZ478" i="75"/>
  <c r="BZ476" i="75"/>
  <c r="BZ468" i="75"/>
  <c r="BZ479" i="75"/>
  <c r="BZ486" i="75"/>
  <c r="BZ461" i="75"/>
  <c r="BZ464" i="75"/>
  <c r="BZ481" i="75"/>
  <c r="BZ465" i="75"/>
  <c r="BZ475" i="75"/>
  <c r="BZ482" i="75"/>
  <c r="BZ491" i="75"/>
  <c r="BZ466" i="75"/>
  <c r="BZ489" i="75"/>
  <c r="BZ470" i="75"/>
  <c r="CW970" i="75"/>
  <c r="CW976" i="75"/>
  <c r="CW974" i="75"/>
  <c r="CW972" i="75"/>
  <c r="CW973" i="75"/>
  <c r="CW968" i="75"/>
  <c r="E57" i="115"/>
  <c r="F57" i="115"/>
  <c r="J202" i="114"/>
  <c r="H202" i="114"/>
  <c r="J129" i="116"/>
  <c r="H129" i="116"/>
  <c r="H83" i="115"/>
  <c r="J83" i="115"/>
  <c r="Y31" i="113"/>
  <c r="F29" i="113"/>
  <c r="BD982" i="75" a="1"/>
  <c r="BD1012" i="75" s="1"/>
  <c r="CP1020" i="75" a="1"/>
  <c r="CP1028" i="75" s="1"/>
  <c r="BO1210" i="75"/>
  <c r="BS663" i="75"/>
  <c r="BS481" i="75"/>
  <c r="BK415" i="75"/>
  <c r="BG384" i="75"/>
  <c r="BG409" i="75"/>
  <c r="BS1077" i="75"/>
  <c r="CF466" i="75" a="1"/>
  <c r="CF471" i="75" s="1"/>
  <c r="CS781" i="75" a="1"/>
  <c r="BQ1178" i="75"/>
  <c r="BO1197" i="75"/>
  <c r="BQ1066" i="75"/>
  <c r="BQ1064" i="75"/>
  <c r="CC1093" i="75"/>
  <c r="CM1087" i="75"/>
  <c r="BS1060" i="75"/>
  <c r="M150" i="113"/>
  <c r="F150" i="113"/>
  <c r="E150" i="113"/>
  <c r="M141" i="113"/>
  <c r="CI1211" i="75"/>
  <c r="CI1207" i="75"/>
  <c r="CI1203" i="75"/>
  <c r="CI1197" i="75"/>
  <c r="CI1210" i="75"/>
  <c r="CI1214" i="75"/>
  <c r="CI1195" i="75"/>
  <c r="CI1215" i="75"/>
  <c r="CI1206" i="75"/>
  <c r="CI1204" i="75"/>
  <c r="CI1209" i="75"/>
  <c r="CI1205" i="75"/>
  <c r="CI1201" i="75"/>
  <c r="CI1199" i="75"/>
  <c r="CI1213" i="75"/>
  <c r="CI1212" i="75"/>
  <c r="CI1196" i="75"/>
  <c r="AN292" i="100"/>
  <c r="AO292" i="100"/>
  <c r="AM292" i="100"/>
  <c r="O180" i="113"/>
  <c r="O171" i="113"/>
  <c r="E133" i="112"/>
  <c r="F133" i="112"/>
  <c r="F185" i="114"/>
  <c r="E185" i="114"/>
  <c r="J123" i="116"/>
  <c r="H123" i="116"/>
  <c r="CY312" i="75"/>
  <c r="CY311" i="75"/>
  <c r="CY306" i="75"/>
  <c r="CY305" i="75"/>
  <c r="CZ305" i="75" s="1"/>
  <c r="CY310" i="75"/>
  <c r="CY308" i="75"/>
  <c r="CY309" i="75"/>
  <c r="CY307" i="75"/>
  <c r="BX1206" i="75"/>
  <c r="BX1208" i="75"/>
  <c r="BX1198" i="75"/>
  <c r="BX1199" i="75"/>
  <c r="BX1190" i="75"/>
  <c r="BX1186" i="75"/>
  <c r="BX1191" i="75"/>
  <c r="BX1210" i="75"/>
  <c r="BX1184" i="75"/>
  <c r="BX1205" i="75"/>
  <c r="BX1212" i="75"/>
  <c r="BX1188" i="75"/>
  <c r="BX1182" i="75"/>
  <c r="BX1215" i="75"/>
  <c r="BX1197" i="75"/>
  <c r="BX1193" i="75"/>
  <c r="BX1189" i="75"/>
  <c r="BX1202" i="75"/>
  <c r="BX1204" i="75"/>
  <c r="BX1185" i="75"/>
  <c r="BX1216" i="75"/>
  <c r="BX1200" i="75"/>
  <c r="BX1196" i="75"/>
  <c r="BX1211" i="75"/>
  <c r="BX1187" i="75"/>
  <c r="BX1214" i="75"/>
  <c r="BX1209" i="75"/>
  <c r="BX1192" i="75"/>
  <c r="BX1213" i="75"/>
  <c r="BX1207" i="75"/>
  <c r="BX1203" i="75"/>
  <c r="BX1183" i="75"/>
  <c r="BX1195" i="75"/>
  <c r="BX1194" i="75"/>
  <c r="BX1201" i="75"/>
  <c r="J14" i="114"/>
  <c r="H14" i="114"/>
  <c r="J137" i="116"/>
  <c r="H137" i="116"/>
  <c r="X36" i="113"/>
  <c r="Y36" i="113"/>
  <c r="BL868" i="75" a="1"/>
  <c r="BL873" i="75" s="1"/>
  <c r="BS484" i="75"/>
  <c r="BS466" i="75"/>
  <c r="BK410" i="75"/>
  <c r="CV482" i="75" a="1"/>
  <c r="BR936" i="75" a="1"/>
  <c r="BR944" i="75" s="1"/>
  <c r="BT998" i="75" a="1"/>
  <c r="BT1029" i="75" s="1"/>
  <c r="BZ520" i="75" a="1"/>
  <c r="BZ524" i="75" s="1"/>
  <c r="BV1240" i="75" a="1"/>
  <c r="BV1249" i="75" s="1"/>
  <c r="CP718" i="75" a="1"/>
  <c r="CP719" i="75" s="1"/>
  <c r="CB884" i="75" a="1"/>
  <c r="CB904" i="75" s="1"/>
  <c r="BK417" i="75"/>
  <c r="BQ1205" i="75"/>
  <c r="BO1180" i="75"/>
  <c r="BT1058" i="75" a="1"/>
  <c r="BT1076" i="75" s="1"/>
  <c r="BQ1063" i="75"/>
  <c r="BQ1058" i="75"/>
  <c r="CC1095" i="75"/>
  <c r="CM1091" i="75"/>
  <c r="M80" i="113"/>
  <c r="F80" i="113"/>
  <c r="E80" i="113"/>
  <c r="J80" i="113" s="1"/>
  <c r="M71" i="113"/>
  <c r="AM17" i="100"/>
  <c r="AN17" i="100"/>
  <c r="BI352" i="75"/>
  <c r="BI324" i="75"/>
  <c r="BI357" i="75"/>
  <c r="BI347" i="75"/>
  <c r="BI364" i="75"/>
  <c r="BI333" i="75"/>
  <c r="BI368" i="75"/>
  <c r="BI369" i="75"/>
  <c r="BI366" i="75"/>
  <c r="BI370" i="75"/>
  <c r="BI361" i="75"/>
  <c r="BI340" i="75"/>
  <c r="BI346" i="75"/>
  <c r="BI362" i="75"/>
  <c r="BI343" i="75"/>
  <c r="BI365" i="75"/>
  <c r="BI367" i="75"/>
  <c r="BI360" i="75"/>
  <c r="BI351" i="75"/>
  <c r="BI356" i="75"/>
  <c r="BI348" i="75"/>
  <c r="BI342" i="75"/>
  <c r="BI326" i="75"/>
  <c r="BI325" i="75"/>
  <c r="BI344" i="75"/>
  <c r="BI372" i="75"/>
  <c r="BI350" i="75"/>
  <c r="BI355" i="75"/>
  <c r="BI363" i="75"/>
  <c r="BI341" i="75"/>
  <c r="BI338" i="75"/>
  <c r="BI336" i="75"/>
  <c r="BI331" i="75"/>
  <c r="BI337" i="75"/>
  <c r="BI358" i="75"/>
  <c r="BI329" i="75"/>
  <c r="BI359" i="75"/>
  <c r="BI328" i="75"/>
  <c r="BI330" i="75"/>
  <c r="BI323" i="75"/>
  <c r="BJ323" i="75" s="1"/>
  <c r="E151" i="112"/>
  <c r="F151" i="112"/>
  <c r="J42" i="115"/>
  <c r="H42" i="115"/>
  <c r="BG654" i="75"/>
  <c r="BG670" i="75"/>
  <c r="BG632" i="75"/>
  <c r="BG665" i="75"/>
  <c r="BG651" i="75"/>
  <c r="BG656" i="75"/>
  <c r="BG659" i="75"/>
  <c r="BG624" i="75"/>
  <c r="BG640" i="75"/>
  <c r="BG662" i="75"/>
  <c r="BG652" i="75"/>
  <c r="BG649" i="75"/>
  <c r="BG660" i="75"/>
  <c r="BG642" i="75"/>
  <c r="BG647" i="75"/>
  <c r="BG648" i="75"/>
  <c r="BG641" i="75"/>
  <c r="BG657" i="75"/>
  <c r="BG668" i="75"/>
  <c r="BG666" i="75"/>
  <c r="BG643" i="75"/>
  <c r="BG633" i="75"/>
  <c r="BG673" i="75"/>
  <c r="BG629" i="75"/>
  <c r="BG671" i="75"/>
  <c r="BG658" i="75"/>
  <c r="BG667" i="75"/>
  <c r="BG663" i="75"/>
  <c r="BG637" i="75"/>
  <c r="BG630" i="75"/>
  <c r="BG631" i="75"/>
  <c r="BG661" i="75"/>
  <c r="BG623" i="75"/>
  <c r="BH623" i="75" s="1"/>
  <c r="BG655" i="75"/>
  <c r="BG636" i="75"/>
  <c r="BG674" i="75"/>
  <c r="BG645" i="75"/>
  <c r="BG669" i="75"/>
  <c r="BG646" i="75"/>
  <c r="E94" i="116"/>
  <c r="J94" i="116" s="1"/>
  <c r="F94" i="116"/>
  <c r="F199" i="115"/>
  <c r="E199" i="115"/>
  <c r="J81" i="114"/>
  <c r="H81" i="114"/>
  <c r="J14" i="115"/>
  <c r="H14" i="115"/>
  <c r="BJ566" i="75" a="1"/>
  <c r="BJ589" i="75" s="1"/>
  <c r="CD224" i="75" a="1"/>
  <c r="CD227" i="75" s="1"/>
  <c r="CJ410" i="75" a="1"/>
  <c r="BL446" i="75" a="1"/>
  <c r="BL479" i="75" s="1"/>
  <c r="BK401" i="75"/>
  <c r="CQ719" i="75" a="1"/>
  <c r="BK406" i="75"/>
  <c r="CI415" i="75"/>
  <c r="BO1196" i="75"/>
  <c r="BQ1082" i="75"/>
  <c r="CB1209" i="75"/>
  <c r="CB1213" i="75"/>
  <c r="CB1208" i="75"/>
  <c r="CB1212" i="75"/>
  <c r="CB1195" i="75"/>
  <c r="CB1216" i="75"/>
  <c r="CB1197" i="75"/>
  <c r="CB1200" i="75"/>
  <c r="CB1191" i="75"/>
  <c r="CB1210" i="75"/>
  <c r="CB1190" i="75"/>
  <c r="CB1199" i="75"/>
  <c r="CB1196" i="75"/>
  <c r="CB1206" i="75"/>
  <c r="CB1188" i="75"/>
  <c r="CB1187" i="75"/>
  <c r="CB1186" i="75"/>
  <c r="E111" i="116"/>
  <c r="F111" i="116"/>
  <c r="CZ1033" i="75"/>
  <c r="CZ1031" i="75"/>
  <c r="H83" i="114"/>
  <c r="F174" i="112"/>
  <c r="E174" i="112"/>
  <c r="J174" i="112" s="1"/>
  <c r="F131" i="112"/>
  <c r="E131" i="112"/>
  <c r="J131" i="112" s="1"/>
  <c r="F96" i="116"/>
  <c r="E96" i="116"/>
  <c r="F194" i="115"/>
  <c r="E194" i="115"/>
  <c r="F54" i="115"/>
  <c r="E54" i="115"/>
  <c r="J37" i="114"/>
  <c r="H37" i="114"/>
  <c r="H37" i="116"/>
  <c r="BR25" i="90"/>
  <c r="CL609" i="75"/>
  <c r="CL612" i="75"/>
  <c r="CL599" i="75"/>
  <c r="CL602" i="75"/>
  <c r="CL601" i="75"/>
  <c r="CL614" i="75"/>
  <c r="CL613" i="75"/>
  <c r="CL597" i="75"/>
  <c r="CL598" i="75"/>
  <c r="CL606" i="75"/>
  <c r="CL604" i="75"/>
  <c r="CL603" i="75"/>
  <c r="CL605" i="75"/>
  <c r="CL600" i="75"/>
  <c r="CL594" i="75"/>
  <c r="CL607" i="75"/>
  <c r="CL596" i="75"/>
  <c r="CL608" i="75"/>
  <c r="CL611" i="75"/>
  <c r="CL610" i="75"/>
  <c r="CH909" i="75"/>
  <c r="CH914" i="75"/>
  <c r="CH910" i="75"/>
  <c r="CH898" i="75"/>
  <c r="CH897" i="75"/>
  <c r="CH894" i="75"/>
  <c r="CH908" i="75"/>
  <c r="CH904" i="75"/>
  <c r="CH899" i="75"/>
  <c r="CH911" i="75"/>
  <c r="CH902" i="75"/>
  <c r="CH890" i="75"/>
  <c r="CH907" i="75"/>
  <c r="CH903" i="75"/>
  <c r="CH905" i="75"/>
  <c r="CH891" i="75"/>
  <c r="CH906" i="75"/>
  <c r="CH913" i="75"/>
  <c r="CH892" i="75"/>
  <c r="CH896" i="75"/>
  <c r="CH901" i="75"/>
  <c r="CH912" i="75"/>
  <c r="CH900" i="75"/>
  <c r="CH893" i="75"/>
  <c r="CH895" i="75"/>
  <c r="BZ950" i="75"/>
  <c r="BZ954" i="75"/>
  <c r="BZ957" i="75"/>
  <c r="BZ953" i="75"/>
  <c r="BZ966" i="75"/>
  <c r="CR604" i="75"/>
  <c r="CR602" i="75"/>
  <c r="CR600" i="75"/>
  <c r="CR606" i="75"/>
  <c r="CR614" i="75"/>
  <c r="CR603" i="75"/>
  <c r="CR610" i="75"/>
  <c r="CR613" i="75"/>
  <c r="CR607" i="75"/>
  <c r="CR605" i="75"/>
  <c r="CR601" i="75"/>
  <c r="CR608" i="75"/>
  <c r="CR609" i="75"/>
  <c r="CR612" i="75"/>
  <c r="CR611" i="75"/>
  <c r="CZ1154" i="75"/>
  <c r="CZ1156" i="75"/>
  <c r="CZ1153" i="75"/>
  <c r="CZ1150" i="75"/>
  <c r="CZ1155" i="75"/>
  <c r="CZ1152" i="75"/>
  <c r="CZ1151" i="75"/>
  <c r="BN1087" i="75"/>
  <c r="BN1077" i="75"/>
  <c r="BN1062" i="75"/>
  <c r="BN1072" i="75"/>
  <c r="BN1070" i="75"/>
  <c r="BN1089" i="75"/>
  <c r="CQ973" i="75"/>
  <c r="CD429" i="75"/>
  <c r="CX307" i="75"/>
  <c r="CX312" i="75"/>
  <c r="CX306" i="75"/>
  <c r="CX304" i="75"/>
  <c r="CX309" i="75"/>
  <c r="CX308" i="75"/>
  <c r="CX310" i="75"/>
  <c r="CX311" i="75"/>
  <c r="CX305" i="75"/>
  <c r="BN1119" i="75"/>
  <c r="BN1154" i="75"/>
  <c r="BN1125" i="75"/>
  <c r="BN1151" i="75"/>
  <c r="BN1120" i="75"/>
  <c r="BN1145" i="75"/>
  <c r="BN1129" i="75"/>
  <c r="BN1139" i="75"/>
  <c r="BN1118" i="75"/>
  <c r="BN1147" i="75"/>
  <c r="BN1114" i="75"/>
  <c r="BN1126" i="75"/>
  <c r="BN1152" i="75"/>
  <c r="BN1149" i="75"/>
  <c r="BN1142" i="75"/>
  <c r="BN1141" i="75"/>
  <c r="BN1148" i="75"/>
  <c r="BN1112" i="75"/>
  <c r="BN1134" i="75"/>
  <c r="BN1127" i="75"/>
  <c r="BN1128" i="75"/>
  <c r="BN1130" i="75"/>
  <c r="BN1143" i="75"/>
  <c r="BN1116" i="75"/>
  <c r="BN1133" i="75"/>
  <c r="BN1117" i="75"/>
  <c r="BN1121" i="75"/>
  <c r="BN1144" i="75"/>
  <c r="CN546" i="75"/>
  <c r="CN547" i="75"/>
  <c r="CN550" i="75"/>
  <c r="CN543" i="75"/>
  <c r="CN534" i="75"/>
  <c r="CN549" i="75"/>
  <c r="CN539" i="75"/>
  <c r="CN544" i="75"/>
  <c r="CN538" i="75"/>
  <c r="CN542" i="75"/>
  <c r="CN548" i="75"/>
  <c r="CN552" i="75"/>
  <c r="CN537" i="75"/>
  <c r="CN551" i="75"/>
  <c r="CN536" i="75"/>
  <c r="CN540" i="75"/>
  <c r="CN535" i="75"/>
  <c r="CN545" i="75"/>
  <c r="CN541" i="75"/>
  <c r="CS1147" i="75"/>
  <c r="CS1145" i="75"/>
  <c r="CS1150" i="75"/>
  <c r="CS1154" i="75"/>
  <c r="CS1155" i="75"/>
  <c r="CS1146" i="75"/>
  <c r="CS1148" i="75"/>
  <c r="CS1156" i="75"/>
  <c r="CS1215" i="75"/>
  <c r="BR714" i="75"/>
  <c r="BR729" i="75"/>
  <c r="BR716" i="75"/>
  <c r="BR718" i="75"/>
  <c r="BR727" i="75"/>
  <c r="BR703" i="75"/>
  <c r="BR726" i="75"/>
  <c r="BR715" i="75"/>
  <c r="BR699" i="75"/>
  <c r="BR705" i="75"/>
  <c r="BR733" i="75"/>
  <c r="BR712" i="75"/>
  <c r="BR708" i="75"/>
  <c r="BR695" i="75"/>
  <c r="BR694" i="75"/>
  <c r="BR704" i="75"/>
  <c r="BR721" i="75"/>
  <c r="BR696" i="75"/>
  <c r="BR723" i="75"/>
  <c r="BR701" i="75"/>
  <c r="BR709" i="75"/>
  <c r="BR728" i="75"/>
  <c r="BR713" i="75"/>
  <c r="BR702" i="75"/>
  <c r="BR720" i="75"/>
  <c r="BR710" i="75"/>
  <c r="CU1153" i="75"/>
  <c r="CU1152" i="75"/>
  <c r="CU1145" i="75"/>
  <c r="CV1145" i="75" s="1"/>
  <c r="CU1148" i="75"/>
  <c r="CU1146" i="75"/>
  <c r="CU1155" i="75"/>
  <c r="CU1156" i="75"/>
  <c r="CU1151" i="75"/>
  <c r="CU1150" i="75"/>
  <c r="CU1147" i="75"/>
  <c r="CU1149" i="75"/>
  <c r="CU1154" i="75"/>
  <c r="DA612" i="75"/>
  <c r="DA609" i="75"/>
  <c r="DB609" i="75" s="1"/>
  <c r="DA610" i="75"/>
  <c r="DA614" i="75"/>
  <c r="DA613" i="75"/>
  <c r="DA611" i="75"/>
  <c r="CZ486" i="75"/>
  <c r="CZ488" i="75"/>
  <c r="CZ490" i="75"/>
  <c r="CZ487" i="75"/>
  <c r="CZ492" i="75"/>
  <c r="CZ489" i="75"/>
  <c r="CZ491" i="75"/>
  <c r="CV1266" i="75"/>
  <c r="CV1268" i="75"/>
  <c r="CV1276" i="75"/>
  <c r="CV1274" i="75"/>
  <c r="CV1272" i="75"/>
  <c r="CV1271" i="75"/>
  <c r="CV1267" i="75"/>
  <c r="CV1269" i="75"/>
  <c r="CV1273" i="75"/>
  <c r="CV1275" i="75"/>
  <c r="CV1270" i="75"/>
  <c r="BZ220" i="75" a="1"/>
  <c r="BZ221" i="75" s="1"/>
  <c r="CA1190" i="75"/>
  <c r="BK1145" i="75"/>
  <c r="BK1146" i="75"/>
  <c r="BI1145" i="75"/>
  <c r="BI1147" i="75"/>
  <c r="BI1139" i="75"/>
  <c r="BJ543" i="75"/>
  <c r="BX518" i="75" a="1"/>
  <c r="CM540" i="75"/>
  <c r="CM533" i="75"/>
  <c r="CN533" i="75" s="1"/>
  <c r="CM546" i="75"/>
  <c r="CM544" i="75"/>
  <c r="CM548" i="75"/>
  <c r="CM543" i="75"/>
  <c r="CM549" i="75"/>
  <c r="CM552" i="75"/>
  <c r="CM537" i="75"/>
  <c r="CM545" i="75"/>
  <c r="CM536" i="75"/>
  <c r="CM550" i="75"/>
  <c r="CM542" i="75"/>
  <c r="CM534" i="75"/>
  <c r="CM541" i="75"/>
  <c r="CM551" i="75"/>
  <c r="CI595" i="75"/>
  <c r="CI591" i="75"/>
  <c r="CJ591" i="75" s="1"/>
  <c r="CI594" i="75"/>
  <c r="CI608" i="75"/>
  <c r="CI607" i="75"/>
  <c r="CI592" i="75"/>
  <c r="CI603" i="75"/>
  <c r="CI613" i="75"/>
  <c r="CI609" i="75"/>
  <c r="CI614" i="75"/>
  <c r="CI606" i="75"/>
  <c r="CI612" i="75"/>
  <c r="CI604" i="75"/>
  <c r="CI596" i="75"/>
  <c r="CI610" i="75"/>
  <c r="CI602" i="75"/>
  <c r="CI600" i="75"/>
  <c r="CI611" i="75"/>
  <c r="CI599" i="75"/>
  <c r="CI605" i="75"/>
  <c r="CI601" i="75"/>
  <c r="CI597" i="75"/>
  <c r="CI598" i="75"/>
  <c r="CI593" i="75"/>
  <c r="CC585" i="75"/>
  <c r="CD585" i="75" s="1"/>
  <c r="CC597" i="75"/>
  <c r="CC593" i="75"/>
  <c r="CC611" i="75"/>
  <c r="CC607" i="75"/>
  <c r="CC587" i="75"/>
  <c r="CC590" i="75"/>
  <c r="CC589" i="75"/>
  <c r="CC603" i="75"/>
  <c r="CC599" i="75"/>
  <c r="CC595" i="75"/>
  <c r="CC591" i="75"/>
  <c r="CC612" i="75"/>
  <c r="CC604" i="75"/>
  <c r="CC596" i="75"/>
  <c r="CC610" i="75"/>
  <c r="CC588" i="75"/>
  <c r="CC613" i="75"/>
  <c r="CC608" i="75"/>
  <c r="CC600" i="75"/>
  <c r="CC606" i="75"/>
  <c r="CC614" i="75"/>
  <c r="CC594" i="75"/>
  <c r="CC586" i="75"/>
  <c r="CC592" i="75"/>
  <c r="CC601" i="75"/>
  <c r="CC598" i="75"/>
  <c r="CC602" i="75"/>
  <c r="CC609" i="75"/>
  <c r="CC605" i="75"/>
  <c r="BW1141" i="75"/>
  <c r="BW1137" i="75"/>
  <c r="BW1123" i="75"/>
  <c r="BW1153" i="75"/>
  <c r="BW1133" i="75"/>
  <c r="BW1129" i="75"/>
  <c r="BW1154" i="75"/>
  <c r="BW1138" i="75"/>
  <c r="BW1128" i="75"/>
  <c r="BW1155" i="75"/>
  <c r="BW1150" i="75"/>
  <c r="BW1144" i="75"/>
  <c r="BW1136" i="75"/>
  <c r="BW1142" i="75"/>
  <c r="BW1126" i="75"/>
  <c r="BW1148" i="75"/>
  <c r="BW1140" i="75"/>
  <c r="BW1132" i="75"/>
  <c r="BW1124" i="75"/>
  <c r="BW1151" i="75"/>
  <c r="BW1143" i="75"/>
  <c r="BW1139" i="75"/>
  <c r="BW1135" i="75"/>
  <c r="BW1131" i="75"/>
  <c r="BW1127" i="75"/>
  <c r="BW1145" i="75"/>
  <c r="BW1125" i="75"/>
  <c r="BW1152" i="75"/>
  <c r="BW1130" i="75"/>
  <c r="CL714" i="75" a="1"/>
  <c r="BN693" i="75"/>
  <c r="BN731" i="75"/>
  <c r="BN716" i="75"/>
  <c r="BN715" i="75"/>
  <c r="BN701" i="75"/>
  <c r="BL506" i="75" a="1"/>
  <c r="BL544" i="75" s="1"/>
  <c r="CA1198" i="75"/>
  <c r="BK1120" i="75"/>
  <c r="BK1153" i="75"/>
  <c r="BI1128" i="75"/>
  <c r="BI1112" i="75"/>
  <c r="BI1132" i="75"/>
  <c r="BJ513" i="75"/>
  <c r="BJ518" i="75"/>
  <c r="CB1076" i="75"/>
  <c r="CI539" i="75"/>
  <c r="CI547" i="75"/>
  <c r="CI534" i="75"/>
  <c r="CI533" i="75"/>
  <c r="CI535" i="75"/>
  <c r="CI529" i="75"/>
  <c r="CJ529" i="75" s="1"/>
  <c r="CI531" i="75"/>
  <c r="CI536" i="75"/>
  <c r="CI532" i="75"/>
  <c r="CI551" i="75"/>
  <c r="CI546" i="75"/>
  <c r="CI545" i="75"/>
  <c r="CI537" i="75"/>
  <c r="CI544" i="75"/>
  <c r="CI549" i="75"/>
  <c r="CI530" i="75"/>
  <c r="CI543" i="75"/>
  <c r="CI540" i="75"/>
  <c r="CI541" i="75"/>
  <c r="CI550" i="75"/>
  <c r="CI542" i="75"/>
  <c r="CI538" i="75"/>
  <c r="CI548" i="75"/>
  <c r="CI552" i="75"/>
  <c r="CM1026" i="75"/>
  <c r="CM1024" i="75"/>
  <c r="CM1034" i="75"/>
  <c r="CM1018" i="75"/>
  <c r="CM1035" i="75"/>
  <c r="CM1017" i="75"/>
  <c r="CN1017" i="75" s="1"/>
  <c r="CM1025" i="75"/>
  <c r="CM1032" i="75"/>
  <c r="CM1027" i="75"/>
  <c r="CM1023" i="75"/>
  <c r="CM1019" i="75"/>
  <c r="CM1029" i="75"/>
  <c r="CM1036" i="75"/>
  <c r="CM1031" i="75"/>
  <c r="CM1030" i="75"/>
  <c r="CM1028" i="75"/>
  <c r="CM1033" i="75"/>
  <c r="CM1022" i="75"/>
  <c r="CM1020" i="75"/>
  <c r="CM1021" i="75"/>
  <c r="CJ1016" i="75"/>
  <c r="BS609" i="75"/>
  <c r="BS598" i="75"/>
  <c r="BS611" i="75"/>
  <c r="BS594" i="75"/>
  <c r="BS607" i="75"/>
  <c r="BS586" i="75"/>
  <c r="BS599" i="75"/>
  <c r="BS608" i="75"/>
  <c r="BS595" i="75"/>
  <c r="BS600" i="75"/>
  <c r="BS587" i="75"/>
  <c r="BS584" i="75"/>
  <c r="BS583" i="75"/>
  <c r="BS576" i="75"/>
  <c r="BS605" i="75"/>
  <c r="BS582" i="75"/>
  <c r="BS601" i="75"/>
  <c r="BS612" i="75"/>
  <c r="BS590" i="75"/>
  <c r="BS604" i="75"/>
  <c r="BS596" i="75"/>
  <c r="BS588" i="75"/>
  <c r="BS580" i="75"/>
  <c r="BS610" i="75"/>
  <c r="BS575" i="75"/>
  <c r="BT575" i="75" s="1"/>
  <c r="BS578" i="75"/>
  <c r="BS613" i="75"/>
  <c r="BS592" i="75"/>
  <c r="BS597" i="75"/>
  <c r="BS593" i="75"/>
  <c r="BS589" i="75"/>
  <c r="BS585" i="75"/>
  <c r="BS581" i="75"/>
  <c r="BS577" i="75"/>
  <c r="BS603" i="75"/>
  <c r="BS591" i="75"/>
  <c r="BS579" i="75"/>
  <c r="BS606" i="75"/>
  <c r="BS614" i="75"/>
  <c r="BS602" i="75"/>
  <c r="BO492" i="75"/>
  <c r="BO464" i="75"/>
  <c r="BO491" i="75"/>
  <c r="BO489" i="75"/>
  <c r="BO483" i="75"/>
  <c r="BO465" i="75"/>
  <c r="BO467" i="75"/>
  <c r="BO457" i="75"/>
  <c r="BO459" i="75"/>
  <c r="BO477" i="75"/>
  <c r="BO488" i="75"/>
  <c r="BO469" i="75"/>
  <c r="BO480" i="75"/>
  <c r="BO468" i="75"/>
  <c r="BO474" i="75"/>
  <c r="BO460" i="75"/>
  <c r="BO466" i="75"/>
  <c r="BO458" i="75"/>
  <c r="BO450" i="75"/>
  <c r="BO473" i="75"/>
  <c r="BO487" i="75"/>
  <c r="BO485" i="75"/>
  <c r="BO471" i="75"/>
  <c r="BO461" i="75"/>
  <c r="BO463" i="75"/>
  <c r="BO453" i="75"/>
  <c r="BO455" i="75"/>
  <c r="BO476" i="75"/>
  <c r="BO452" i="75"/>
  <c r="BO486" i="75"/>
  <c r="BO478" i="75"/>
  <c r="BO470" i="75"/>
  <c r="BO462" i="75"/>
  <c r="BO454" i="75"/>
  <c r="BO475" i="75"/>
  <c r="BO451" i="75"/>
  <c r="BO472" i="75"/>
  <c r="BO456" i="75"/>
  <c r="BO482" i="75"/>
  <c r="BO484" i="75"/>
  <c r="BO490" i="75"/>
  <c r="CA905" i="75"/>
  <c r="CA886" i="75"/>
  <c r="CA901" i="75"/>
  <c r="CA900" i="75"/>
  <c r="CA911" i="75"/>
  <c r="CA907" i="75"/>
  <c r="CA899" i="75"/>
  <c r="CA895" i="75"/>
  <c r="CA898" i="75"/>
  <c r="CA892" i="75"/>
  <c r="CA894" i="75"/>
  <c r="CA913" i="75"/>
  <c r="CA884" i="75"/>
  <c r="CA910" i="75"/>
  <c r="CA902" i="75"/>
  <c r="CA904" i="75"/>
  <c r="CA888" i="75"/>
  <c r="CA909" i="75"/>
  <c r="CA897" i="75"/>
  <c r="CA893" i="75"/>
  <c r="CA889" i="75"/>
  <c r="CA885" i="75"/>
  <c r="CA883" i="75"/>
  <c r="CB883" i="75" s="1"/>
  <c r="CA903" i="75"/>
  <c r="CA891" i="75"/>
  <c r="CA896" i="75"/>
  <c r="CA912" i="75"/>
  <c r="CA908" i="75"/>
  <c r="CA890" i="75"/>
  <c r="CA906" i="75"/>
  <c r="CA887" i="75"/>
  <c r="CA914" i="75"/>
  <c r="BL1238" i="75"/>
  <c r="BL1268" i="75"/>
  <c r="CW1031" i="75"/>
  <c r="CY372" i="75"/>
  <c r="CY367" i="75"/>
  <c r="CY371" i="75"/>
  <c r="CY368" i="75"/>
  <c r="BF260" i="75" a="1"/>
  <c r="BF284" i="75" s="1"/>
  <c r="CA1199" i="75"/>
  <c r="BK1142" i="75"/>
  <c r="BK1112" i="75"/>
  <c r="BI1110" i="75"/>
  <c r="BI1109" i="75"/>
  <c r="BI1151" i="75"/>
  <c r="BJ552" i="75"/>
  <c r="CB1072" i="75"/>
  <c r="BJ1238" i="75"/>
  <c r="BJ1270" i="75"/>
  <c r="BJ1242" i="75"/>
  <c r="BJ1250" i="75"/>
  <c r="BJ1244" i="75"/>
  <c r="BJ1243" i="75"/>
  <c r="BJ1267" i="75"/>
  <c r="BJ1236" i="75"/>
  <c r="BJ1252" i="75"/>
  <c r="BJ1249" i="75"/>
  <c r="BJ1260" i="75"/>
  <c r="BJ1262" i="75"/>
  <c r="BJ1266" i="75"/>
  <c r="BJ1276" i="75"/>
  <c r="BJ1271" i="75"/>
  <c r="BJ1273" i="75"/>
  <c r="BJ1241" i="75"/>
  <c r="BJ1258" i="75"/>
  <c r="CM895" i="75"/>
  <c r="CN895" i="75" s="1"/>
  <c r="CM898" i="75"/>
  <c r="CM909" i="75"/>
  <c r="CM905" i="75"/>
  <c r="CM901" i="75"/>
  <c r="CM897" i="75"/>
  <c r="BF964" i="75"/>
  <c r="BF941" i="75"/>
  <c r="BF949" i="75"/>
  <c r="BP572" i="75" a="1"/>
  <c r="BP613" i="75" s="1"/>
  <c r="BR512" i="75" a="1"/>
  <c r="BR522" i="75" s="1"/>
  <c r="CA1207" i="75"/>
  <c r="BK1150" i="75"/>
  <c r="BK1111" i="75"/>
  <c r="BI1142" i="75"/>
  <c r="BI1122" i="75"/>
  <c r="BI1148" i="75"/>
  <c r="BJ525" i="75"/>
  <c r="BD1042" i="75" a="1"/>
  <c r="BD1078" i="75" s="1"/>
  <c r="BF440" i="75" a="1"/>
  <c r="BF490" i="75" s="1"/>
  <c r="CB1071" i="75"/>
  <c r="CA789" i="75"/>
  <c r="CA784" i="75"/>
  <c r="CA785" i="75"/>
  <c r="CA776" i="75"/>
  <c r="CA788" i="75"/>
  <c r="CA780" i="75"/>
  <c r="CA764" i="75"/>
  <c r="CA790" i="75"/>
  <c r="CA774" i="75"/>
  <c r="CA766" i="75"/>
  <c r="CA777" i="75"/>
  <c r="CA778" i="75"/>
  <c r="CA773" i="75"/>
  <c r="CA770" i="75"/>
  <c r="CA782" i="75"/>
  <c r="CA792" i="75"/>
  <c r="CA768" i="75"/>
  <c r="CA794" i="75"/>
  <c r="CA786" i="75"/>
  <c r="CA793" i="75"/>
  <c r="CA781" i="75"/>
  <c r="CA769" i="75"/>
  <c r="CA765" i="75"/>
  <c r="CA763" i="75"/>
  <c r="CB763" i="75" s="1"/>
  <c r="CA779" i="75"/>
  <c r="CA771" i="75"/>
  <c r="CA772" i="75"/>
  <c r="CA775" i="75"/>
  <c r="CA767" i="75"/>
  <c r="CA791" i="75"/>
  <c r="CA787" i="75"/>
  <c r="CA783" i="75"/>
  <c r="BK1185" i="75"/>
  <c r="BK1211" i="75"/>
  <c r="BK1190" i="75"/>
  <c r="BK1175" i="75"/>
  <c r="BK1194" i="75"/>
  <c r="BK1171" i="75"/>
  <c r="BK1186" i="75"/>
  <c r="BK1192" i="75"/>
  <c r="BK1184" i="75"/>
  <c r="BK1182" i="75"/>
  <c r="BK1174" i="75"/>
  <c r="BK1207" i="75"/>
  <c r="BK1204" i="75"/>
  <c r="BK1203" i="75"/>
  <c r="BK1202" i="75"/>
  <c r="BK1169" i="75"/>
  <c r="BL1169" i="75" s="1"/>
  <c r="BK1209" i="75"/>
  <c r="BK1198" i="75"/>
  <c r="BK1212" i="75"/>
  <c r="BK1178" i="75"/>
  <c r="BK1170" i="75"/>
  <c r="BK1215" i="75"/>
  <c r="BK1199" i="75"/>
  <c r="BK1195" i="75"/>
  <c r="BK1179" i="75"/>
  <c r="BK1173" i="75"/>
  <c r="BK1201" i="75"/>
  <c r="BK1193" i="75"/>
  <c r="BK1177" i="75"/>
  <c r="BK1216" i="75"/>
  <c r="BK1200" i="75"/>
  <c r="BK1214" i="75"/>
  <c r="BK1183" i="75"/>
  <c r="BK1206" i="75"/>
  <c r="BK1208" i="75"/>
  <c r="BK1180" i="75"/>
  <c r="BK1189" i="75"/>
  <c r="BK1172" i="75"/>
  <c r="BK1210" i="75"/>
  <c r="BK1191" i="75"/>
  <c r="BK1197" i="75"/>
  <c r="BK1188" i="75"/>
  <c r="BK1181" i="75"/>
  <c r="BK1176" i="75"/>
  <c r="BK1187" i="75"/>
  <c r="BK1205" i="75"/>
  <c r="BP1114" i="75" a="1"/>
  <c r="BT876" i="75" a="1"/>
  <c r="BE1048" i="75"/>
  <c r="BE1092" i="75"/>
  <c r="BE1082" i="75"/>
  <c r="BE1096" i="75"/>
  <c r="BE1095" i="75"/>
  <c r="BE1071" i="75"/>
  <c r="BE1090" i="75"/>
  <c r="BE1088" i="75"/>
  <c r="BE1084" i="75"/>
  <c r="BE1080" i="75"/>
  <c r="BE1072" i="75"/>
  <c r="BE1094" i="75"/>
  <c r="BE1070" i="75"/>
  <c r="BE1074" i="75"/>
  <c r="BE1091" i="75"/>
  <c r="BE1050" i="75"/>
  <c r="BE1055" i="75"/>
  <c r="BE1076" i="75"/>
  <c r="BE1073" i="75"/>
  <c r="BE1079" i="75"/>
  <c r="BE1056" i="75"/>
  <c r="BE1093" i="75"/>
  <c r="BE1047" i="75"/>
  <c r="BE1058" i="75"/>
  <c r="BE1054" i="75"/>
  <c r="BE1068" i="75"/>
  <c r="BE1083" i="75"/>
  <c r="BE1060" i="75"/>
  <c r="BE1075" i="75"/>
  <c r="BE1064" i="75"/>
  <c r="BE1043" i="75"/>
  <c r="BF1043" i="75" s="1"/>
  <c r="BE1066" i="75"/>
  <c r="BE1069" i="75"/>
  <c r="BE1061" i="75"/>
  <c r="BE1065" i="75"/>
  <c r="BE1057" i="75"/>
  <c r="BE1045" i="75"/>
  <c r="BE1087" i="75"/>
  <c r="BE1059" i="75"/>
  <c r="BE1086" i="75"/>
  <c r="BE1046" i="75"/>
  <c r="BE1063" i="75"/>
  <c r="BE1085" i="75"/>
  <c r="BE1081" i="75"/>
  <c r="BE1077" i="75"/>
  <c r="BE1089" i="75"/>
  <c r="BE1049" i="75"/>
  <c r="BE1062" i="75"/>
  <c r="BE1051" i="75"/>
  <c r="BE1078" i="75"/>
  <c r="BE1053" i="75"/>
  <c r="BE1044" i="75"/>
  <c r="BE1052" i="75"/>
  <c r="BE1067" i="75"/>
  <c r="CU843" i="75" a="1"/>
  <c r="BM1021" i="75"/>
  <c r="CA1215" i="75"/>
  <c r="BK1116" i="75"/>
  <c r="BK1152" i="75"/>
  <c r="BI1116" i="75"/>
  <c r="BI1125" i="75"/>
  <c r="BI1150" i="75"/>
  <c r="BR452" i="75" a="1"/>
  <c r="BR479" i="75" s="1"/>
  <c r="BN1232" i="75" a="1"/>
  <c r="BN1232" i="75" s="1"/>
  <c r="CB1082" i="75"/>
  <c r="BC990" i="75"/>
  <c r="BC1024" i="75"/>
  <c r="BC1000" i="75"/>
  <c r="BC1034" i="75"/>
  <c r="BC1004" i="75"/>
  <c r="BC997" i="75"/>
  <c r="BC993" i="75"/>
  <c r="BC999" i="75"/>
  <c r="BC1010" i="75"/>
  <c r="BC1005" i="75"/>
  <c r="BC994" i="75"/>
  <c r="BC1015" i="75"/>
  <c r="BC986" i="75"/>
  <c r="BC981" i="75"/>
  <c r="BD981" i="75" s="1"/>
  <c r="BC1013" i="75"/>
  <c r="BC1006" i="75"/>
  <c r="BC1009" i="75"/>
  <c r="BC998" i="75"/>
  <c r="BC1023" i="75"/>
  <c r="BC1019" i="75"/>
  <c r="BC1033" i="75"/>
  <c r="BC982" i="75"/>
  <c r="BC1016" i="75"/>
  <c r="BC1021" i="75"/>
  <c r="BC985" i="75"/>
  <c r="BC1002" i="75"/>
  <c r="BC1011" i="75"/>
  <c r="BC1022" i="75"/>
  <c r="BC996" i="75"/>
  <c r="BC1017" i="75"/>
  <c r="BC1014" i="75"/>
  <c r="BC988" i="75"/>
  <c r="BC1036" i="75"/>
  <c r="CL1257" i="75"/>
  <c r="CL1275" i="75"/>
  <c r="CL1261" i="75"/>
  <c r="CL1270" i="75"/>
  <c r="CL1260" i="75"/>
  <c r="CL1263" i="75"/>
  <c r="CL1267" i="75"/>
  <c r="CL1271" i="75"/>
  <c r="CL1273" i="75"/>
  <c r="CL1256" i="75"/>
  <c r="CL1274" i="75"/>
  <c r="CL1268" i="75"/>
  <c r="CL1258" i="75"/>
  <c r="CT244" i="75"/>
  <c r="CT252" i="75"/>
  <c r="CT242" i="75"/>
  <c r="CT245" i="75"/>
  <c r="CT241" i="75"/>
  <c r="CT251" i="75"/>
  <c r="CT246" i="75"/>
  <c r="CH660" i="75"/>
  <c r="CH669" i="75"/>
  <c r="CH654" i="75"/>
  <c r="CH662" i="75"/>
  <c r="CH667" i="75"/>
  <c r="CH671" i="75"/>
  <c r="CH658" i="75"/>
  <c r="BH502" i="75" a="1"/>
  <c r="BH538" i="75" s="1"/>
  <c r="BM991" i="75"/>
  <c r="BN991" i="75" s="1"/>
  <c r="BU1136" i="75"/>
  <c r="CA1186" i="75"/>
  <c r="BK1156" i="75"/>
  <c r="BK1115" i="75"/>
  <c r="BI1156" i="75"/>
  <c r="BI1130" i="75"/>
  <c r="BI1135" i="75"/>
  <c r="BG1150" i="75"/>
  <c r="BG1116" i="75"/>
  <c r="BJ508" i="75"/>
  <c r="CF708" i="75" a="1"/>
  <c r="CF718" i="75" s="1"/>
  <c r="BR212" i="75" a="1"/>
  <c r="BR216" i="75" s="1"/>
  <c r="CH528" i="75" a="1"/>
  <c r="CH532" i="75" s="1"/>
  <c r="BU1128" i="75"/>
  <c r="BV1060" i="75" a="1"/>
  <c r="CZ247" i="75"/>
  <c r="CZ251" i="75"/>
  <c r="CZ246" i="75"/>
  <c r="CZ252" i="75"/>
  <c r="BJ204" i="75" a="1"/>
  <c r="BJ231" i="75" s="1"/>
  <c r="CD284" i="75" a="1"/>
  <c r="CD299" i="75" s="1"/>
  <c r="BM1016" i="75"/>
  <c r="BU1139" i="75"/>
  <c r="CA1209" i="75"/>
  <c r="BK1122" i="75"/>
  <c r="BK1118" i="75"/>
  <c r="BI1146" i="75"/>
  <c r="BI1129" i="75"/>
  <c r="BG1131" i="75"/>
  <c r="BG1117" i="75"/>
  <c r="BG1141" i="75"/>
  <c r="BJ509" i="75"/>
  <c r="BJ512" i="75"/>
  <c r="BZ882" i="75" a="1"/>
  <c r="BZ886" i="75" s="1"/>
  <c r="BH864" i="75" a="1"/>
  <c r="BF682" i="75" a="1"/>
  <c r="BF722" i="75" s="1"/>
  <c r="BU1129" i="75"/>
  <c r="BC1261" i="75"/>
  <c r="BC1221" i="75"/>
  <c r="BD1221" i="75" s="1"/>
  <c r="BC1257" i="75"/>
  <c r="BC1264" i="75"/>
  <c r="BC1232" i="75"/>
  <c r="BC1275" i="75"/>
  <c r="BC1251" i="75"/>
  <c r="BC1247" i="75"/>
  <c r="BC1265" i="75"/>
  <c r="BC1256" i="75"/>
  <c r="BC1271" i="75"/>
  <c r="BC1267" i="75"/>
  <c r="BC1259" i="75"/>
  <c r="BC1255" i="75"/>
  <c r="BC1242" i="75"/>
  <c r="BC1234" i="75"/>
  <c r="BC1226" i="75"/>
  <c r="BC1268" i="75"/>
  <c r="BC1252" i="75"/>
  <c r="BC1243" i="75"/>
  <c r="BC1228" i="75"/>
  <c r="BC1229" i="75"/>
  <c r="BC1254" i="75"/>
  <c r="BC1239" i="75"/>
  <c r="BC1244" i="75"/>
  <c r="BC1262" i="75"/>
  <c r="BC1222" i="75"/>
  <c r="BC1245" i="75"/>
  <c r="BC1266" i="75"/>
  <c r="BC1237" i="75"/>
  <c r="BC1250" i="75"/>
  <c r="BC1248" i="75"/>
  <c r="BC1236" i="75"/>
  <c r="BC1276" i="75"/>
  <c r="BC1263" i="75"/>
  <c r="BC1233" i="75"/>
  <c r="BC1227" i="75"/>
  <c r="BC1253" i="75"/>
  <c r="BC1249" i="75"/>
  <c r="BC1258" i="75"/>
  <c r="BC1231" i="75"/>
  <c r="BC1223" i="75"/>
  <c r="BC1274" i="75"/>
  <c r="BC1241" i="75"/>
  <c r="BC1246" i="75"/>
  <c r="BC1273" i="75"/>
  <c r="BC1240" i="75"/>
  <c r="BC1235" i="75"/>
  <c r="BC1270" i="75"/>
  <c r="BC1238" i="75"/>
  <c r="BC1230" i="75"/>
  <c r="BC1225" i="75"/>
  <c r="CZ669" i="75"/>
  <c r="CZ670" i="75"/>
  <c r="BZ367" i="75"/>
  <c r="BZ356" i="75"/>
  <c r="BZ343" i="75"/>
  <c r="BZ365" i="75"/>
  <c r="BZ346" i="75"/>
  <c r="BZ361" i="75"/>
  <c r="BZ372" i="75"/>
  <c r="BZ370" i="75"/>
  <c r="BZ366" i="75"/>
  <c r="BZ359" i="75"/>
  <c r="BZ349" i="75"/>
  <c r="BZ354" i="75"/>
  <c r="BZ350" i="75"/>
  <c r="BZ340" i="75"/>
  <c r="BZ353" i="75"/>
  <c r="BZ342" i="75"/>
  <c r="BZ360" i="75"/>
  <c r="BZ348" i="75"/>
  <c r="BZ368" i="75"/>
  <c r="BZ347" i="75"/>
  <c r="BZ357" i="75"/>
  <c r="BZ369" i="75"/>
  <c r="BZ355" i="75"/>
  <c r="BZ341" i="75"/>
  <c r="BZ362" i="75"/>
  <c r="BZ364" i="75"/>
  <c r="BZ351" i="75"/>
  <c r="BZ352" i="75"/>
  <c r="BZ345" i="75"/>
  <c r="BZ371" i="75"/>
  <c r="BZ344" i="75"/>
  <c r="BZ358" i="75"/>
  <c r="BZ363" i="75"/>
  <c r="CB282" i="75" a="1"/>
  <c r="CB284" i="75" s="1"/>
  <c r="BM993" i="75"/>
  <c r="BU1122" i="75"/>
  <c r="CB222" i="75" a="1"/>
  <c r="CB237" i="75" s="1"/>
  <c r="CA1201" i="75"/>
  <c r="CD1269" i="75"/>
  <c r="BK1130" i="75"/>
  <c r="BK1123" i="75"/>
  <c r="BI1155" i="75"/>
  <c r="BI1138" i="75"/>
  <c r="BJ507" i="75"/>
  <c r="CN836" i="75" a="1"/>
  <c r="CN841" i="75" s="1"/>
  <c r="BT696" i="75" a="1"/>
  <c r="BT710" i="75" s="1"/>
  <c r="BU1138" i="75"/>
  <c r="CB1094" i="75"/>
  <c r="DD734" i="75"/>
  <c r="DD732" i="75"/>
  <c r="DD733" i="75"/>
  <c r="CE969" i="75"/>
  <c r="CE964" i="75"/>
  <c r="CE967" i="75"/>
  <c r="CE963" i="75"/>
  <c r="CE955" i="75"/>
  <c r="CE951" i="75"/>
  <c r="CE968" i="75"/>
  <c r="CE960" i="75"/>
  <c r="CE949" i="75"/>
  <c r="CF949" i="75" s="1"/>
  <c r="CE972" i="75"/>
  <c r="CE973" i="75"/>
  <c r="CE956" i="75"/>
  <c r="CE965" i="75"/>
  <c r="CE961" i="75"/>
  <c r="CE957" i="75"/>
  <c r="CE953" i="75"/>
  <c r="CE975" i="75"/>
  <c r="CE971" i="75"/>
  <c r="CE959" i="75"/>
  <c r="CE976" i="75"/>
  <c r="CE952" i="75"/>
  <c r="CE970" i="75"/>
  <c r="CE962" i="75"/>
  <c r="CE954" i="75"/>
  <c r="CE974" i="75"/>
  <c r="CE966" i="75"/>
  <c r="CE950" i="75"/>
  <c r="CE958" i="75"/>
  <c r="CZ971" i="75"/>
  <c r="CZ975" i="75"/>
  <c r="CZ976" i="75"/>
  <c r="CZ973" i="75"/>
  <c r="CZ974" i="75"/>
  <c r="CZ970" i="75"/>
  <c r="CZ972" i="75"/>
  <c r="CW1207" i="75"/>
  <c r="CX1207" i="75" s="1"/>
  <c r="CW1214" i="75"/>
  <c r="CW1212" i="75"/>
  <c r="CQ1261" i="75"/>
  <c r="CR1261" i="75" s="1"/>
  <c r="CQ1275" i="75"/>
  <c r="CQ1264" i="75"/>
  <c r="CQ1276" i="75"/>
  <c r="CQ1271" i="75"/>
  <c r="CQ1268" i="75"/>
  <c r="CQ1274" i="75"/>
  <c r="CQ1272" i="75"/>
  <c r="CQ1270" i="75"/>
  <c r="BN974" i="75"/>
  <c r="BN940" i="75"/>
  <c r="BN938" i="75"/>
  <c r="BN944" i="75"/>
  <c r="BU1147" i="75"/>
  <c r="BK1147" i="75"/>
  <c r="BK1126" i="75"/>
  <c r="BI1113" i="75"/>
  <c r="BI1133" i="75"/>
  <c r="BJ541" i="75"/>
  <c r="CT240" i="75"/>
  <c r="BR996" i="75" a="1"/>
  <c r="BU1141" i="75"/>
  <c r="CB1090" i="75"/>
  <c r="CN668" i="75"/>
  <c r="CN665" i="75"/>
  <c r="CN657" i="75"/>
  <c r="CN667" i="75"/>
  <c r="CN663" i="75"/>
  <c r="CN674" i="75"/>
  <c r="CN658" i="75"/>
  <c r="CN666" i="75"/>
  <c r="CN659" i="75"/>
  <c r="CN660" i="75"/>
  <c r="CN664" i="75"/>
  <c r="CN669" i="75"/>
  <c r="CN661" i="75"/>
  <c r="CN656" i="75"/>
  <c r="CT907" i="75"/>
  <c r="CT912" i="75"/>
  <c r="CT903" i="75"/>
  <c r="CT904" i="75"/>
  <c r="CT908" i="75"/>
  <c r="CT914" i="75"/>
  <c r="CT902" i="75"/>
  <c r="CT906" i="75"/>
  <c r="CC963" i="75"/>
  <c r="CC954" i="75"/>
  <c r="CC958" i="75"/>
  <c r="CC975" i="75"/>
  <c r="CC970" i="75"/>
  <c r="CC971" i="75"/>
  <c r="CC962" i="75"/>
  <c r="CC959" i="75"/>
  <c r="CC955" i="75"/>
  <c r="CC947" i="75"/>
  <c r="CD947" i="75" s="1"/>
  <c r="CC961" i="75"/>
  <c r="CC953" i="75"/>
  <c r="CC949" i="75"/>
  <c r="CC972" i="75"/>
  <c r="CC964" i="75"/>
  <c r="CC966" i="75"/>
  <c r="CC950" i="75"/>
  <c r="CC956" i="75"/>
  <c r="CC948" i="75"/>
  <c r="CC967" i="75"/>
  <c r="CC951" i="75"/>
  <c r="CC957" i="75"/>
  <c r="CC974" i="75"/>
  <c r="CC969" i="75"/>
  <c r="CC965" i="75"/>
  <c r="CC952" i="75"/>
  <c r="CC976" i="75"/>
  <c r="CC968" i="75"/>
  <c r="CC973" i="75"/>
  <c r="CC960" i="75"/>
  <c r="CO792" i="75"/>
  <c r="CO777" i="75"/>
  <c r="CP777" i="75" s="1"/>
  <c r="CO781" i="75"/>
  <c r="CO784" i="75"/>
  <c r="CO794" i="75"/>
  <c r="CO783" i="75"/>
  <c r="CO779" i="75"/>
  <c r="CO791" i="75"/>
  <c r="CO789" i="75"/>
  <c r="CO788" i="75"/>
  <c r="CO782" i="75"/>
  <c r="CO786" i="75"/>
  <c r="CO793" i="75"/>
  <c r="CO785" i="75"/>
  <c r="CO780" i="75"/>
  <c r="CO790" i="75"/>
  <c r="CO778" i="75"/>
  <c r="CO787" i="75"/>
  <c r="DA975" i="75"/>
  <c r="DA976" i="75"/>
  <c r="DA971" i="75"/>
  <c r="DB971" i="75" s="1"/>
  <c r="DA973" i="75"/>
  <c r="DA972" i="75"/>
  <c r="DA974" i="75"/>
  <c r="CA1211" i="75"/>
  <c r="CA1203" i="75"/>
  <c r="CA1196" i="75"/>
  <c r="CA1210" i="75"/>
  <c r="CA1202" i="75"/>
  <c r="CA1185" i="75"/>
  <c r="CB1185" i="75" s="1"/>
  <c r="CA1213" i="75"/>
  <c r="CA1205" i="75"/>
  <c r="CA1197" i="75"/>
  <c r="CA1189" i="75"/>
  <c r="CA1191" i="75"/>
  <c r="CA1188" i="75"/>
  <c r="CA1192" i="75"/>
  <c r="CA1214" i="75"/>
  <c r="CA1206" i="75"/>
  <c r="CA1216" i="75"/>
  <c r="CA1200" i="75"/>
  <c r="CA1195" i="75"/>
  <c r="CA1187" i="75"/>
  <c r="BM996" i="75"/>
  <c r="BU1154" i="75"/>
  <c r="BK1113" i="75"/>
  <c r="BK1131" i="75"/>
  <c r="BI1117" i="75"/>
  <c r="BI1120" i="75"/>
  <c r="BJ532" i="75"/>
  <c r="CB764" i="75" a="1"/>
  <c r="CB764" i="75" s="1"/>
  <c r="BF562" i="75" a="1"/>
  <c r="CH288" i="75" a="1"/>
  <c r="CH312" i="75" s="1"/>
  <c r="CD464" i="75" a="1"/>
  <c r="CD474" i="75" s="1"/>
  <c r="BU1150" i="75"/>
  <c r="CT247" i="75"/>
  <c r="CM1147" i="75"/>
  <c r="CM1146" i="75"/>
  <c r="CM1156" i="75"/>
  <c r="CM1148" i="75"/>
  <c r="CM1138" i="75"/>
  <c r="CM1152" i="75"/>
  <c r="CM1150" i="75"/>
  <c r="CM1142" i="75"/>
  <c r="CM1143" i="75"/>
  <c r="CM1139" i="75"/>
  <c r="CM1155" i="75"/>
  <c r="CM1151" i="75"/>
  <c r="CM1153" i="75"/>
  <c r="CM1145" i="75"/>
  <c r="CM1137" i="75"/>
  <c r="CN1137" i="75" s="1"/>
  <c r="CM1149" i="75"/>
  <c r="CM1141" i="75"/>
  <c r="CM1154" i="75"/>
  <c r="CM1144" i="75"/>
  <c r="CM1140" i="75"/>
  <c r="BI1235" i="75"/>
  <c r="BI1274" i="75"/>
  <c r="BI1266" i="75"/>
  <c r="BI1250" i="75"/>
  <c r="BI1268" i="75"/>
  <c r="BI1252" i="75"/>
  <c r="BI1270" i="75"/>
  <c r="BI1254" i="75"/>
  <c r="BI1237" i="75"/>
  <c r="BI1229" i="75"/>
  <c r="BI1240" i="75"/>
  <c r="BI1244" i="75"/>
  <c r="BI1228" i="75"/>
  <c r="BI1262" i="75"/>
  <c r="BI1269" i="75"/>
  <c r="BI1261" i="75"/>
  <c r="BI1253" i="75"/>
  <c r="BI1273" i="75"/>
  <c r="BI1245" i="75"/>
  <c r="BI1271" i="75"/>
  <c r="BI1263" i="75"/>
  <c r="BI1255" i="75"/>
  <c r="BI1247" i="75"/>
  <c r="BI1239" i="75"/>
  <c r="BI1241" i="75"/>
  <c r="BI1231" i="75"/>
  <c r="BI1258" i="75"/>
  <c r="BI1234" i="75"/>
  <c r="BI1236" i="75"/>
  <c r="BI1238" i="75"/>
  <c r="BI1256" i="75"/>
  <c r="BI1259" i="75"/>
  <c r="BI1246" i="75"/>
  <c r="BI1272" i="75"/>
  <c r="BI1230" i="75"/>
  <c r="BI1233" i="75"/>
  <c r="BI1257" i="75"/>
  <c r="BI1232" i="75"/>
  <c r="BI1248" i="75"/>
  <c r="BI1249" i="75"/>
  <c r="BI1242" i="75"/>
  <c r="BI1276" i="75"/>
  <c r="BI1260" i="75"/>
  <c r="BI1265" i="75"/>
  <c r="BI1227" i="75"/>
  <c r="BJ1227" i="75" s="1"/>
  <c r="BW294" i="75"/>
  <c r="BW299" i="75"/>
  <c r="BW291" i="75"/>
  <c r="BW309" i="75"/>
  <c r="BW306" i="75"/>
  <c r="BW290" i="75"/>
  <c r="BW282" i="75"/>
  <c r="BW281" i="75"/>
  <c r="BW304" i="75"/>
  <c r="BW305" i="75"/>
  <c r="BW296" i="75"/>
  <c r="BW300" i="75"/>
  <c r="BW285" i="75"/>
  <c r="BW292" i="75"/>
  <c r="BW301" i="75"/>
  <c r="BW293" i="75"/>
  <c r="BW298" i="75"/>
  <c r="BW312" i="75"/>
  <c r="BW288" i="75"/>
  <c r="BW280" i="75"/>
  <c r="BW287" i="75"/>
  <c r="BW279" i="75"/>
  <c r="BW297" i="75"/>
  <c r="BW289" i="75"/>
  <c r="BW310" i="75"/>
  <c r="BW302" i="75"/>
  <c r="BW308" i="75"/>
  <c r="BW284" i="75"/>
  <c r="BW277" i="75"/>
  <c r="BX277" i="75" s="1"/>
  <c r="BW283" i="75"/>
  <c r="BW307" i="75"/>
  <c r="BW311" i="75"/>
  <c r="BW278" i="75"/>
  <c r="BW295" i="75"/>
  <c r="BW303" i="75"/>
  <c r="BW286" i="75"/>
  <c r="CM792" i="75"/>
  <c r="CM784" i="75"/>
  <c r="CM780" i="75"/>
  <c r="CM794" i="75"/>
  <c r="CM786" i="75"/>
  <c r="CM778" i="75"/>
  <c r="CM776" i="75"/>
  <c r="CM785" i="75"/>
  <c r="CM790" i="75"/>
  <c r="CM787" i="75"/>
  <c r="CM782" i="75"/>
  <c r="CM779" i="75"/>
  <c r="CM791" i="75"/>
  <c r="CM781" i="75"/>
  <c r="CM777" i="75"/>
  <c r="CM783" i="75"/>
  <c r="CM789" i="75"/>
  <c r="CM793" i="75"/>
  <c r="DB852" i="75"/>
  <c r="DB853" i="75"/>
  <c r="DB851" i="75"/>
  <c r="DB854" i="75"/>
  <c r="DB850" i="75"/>
  <c r="BM1001" i="75"/>
  <c r="BU1119" i="75"/>
  <c r="BV1119" i="75" s="1"/>
  <c r="CS239" i="75" a="1"/>
  <c r="CS239" i="75" s="1"/>
  <c r="CT239" i="75" s="1"/>
  <c r="BK1136" i="75"/>
  <c r="BK1124" i="75"/>
  <c r="BI1121" i="75"/>
  <c r="BI1154" i="75"/>
  <c r="BJ539" i="75"/>
  <c r="BJ264" i="75" a="1"/>
  <c r="BJ307" i="75" s="1"/>
  <c r="BU1127" i="75"/>
  <c r="CB1087" i="75"/>
  <c r="CE1018" i="75"/>
  <c r="CE1021" i="75"/>
  <c r="CE1017" i="75"/>
  <c r="CE1032" i="75"/>
  <c r="CE1013" i="75"/>
  <c r="CE1028" i="75"/>
  <c r="CE1022" i="75"/>
  <c r="CE1027" i="75"/>
  <c r="CE1015" i="75"/>
  <c r="CE1012" i="75"/>
  <c r="CE1019" i="75"/>
  <c r="CE1023" i="75"/>
  <c r="CE1016" i="75"/>
  <c r="CE1030" i="75"/>
  <c r="CE1009" i="75"/>
  <c r="CF1009" i="75" s="1"/>
  <c r="CE1029" i="75"/>
  <c r="CE1026" i="75"/>
  <c r="CE1020" i="75"/>
  <c r="CE1024" i="75"/>
  <c r="CE1034" i="75"/>
  <c r="CE1014" i="75"/>
  <c r="CE1036" i="75"/>
  <c r="CE1011" i="75"/>
  <c r="CE1025" i="75"/>
  <c r="BE1262" i="75"/>
  <c r="BE1244" i="75"/>
  <c r="BE1253" i="75"/>
  <c r="BE1240" i="75"/>
  <c r="BE1245" i="75"/>
  <c r="BE1232" i="75"/>
  <c r="BE1229" i="75"/>
  <c r="BE1225" i="75"/>
  <c r="BE1270" i="75"/>
  <c r="BE1246" i="75"/>
  <c r="BE1230" i="75"/>
  <c r="BE1276" i="75"/>
  <c r="BE1258" i="75"/>
  <c r="BE1248" i="75"/>
  <c r="BE1228" i="75"/>
  <c r="BE1274" i="75"/>
  <c r="BE1273" i="75"/>
  <c r="BE1269" i="75"/>
  <c r="BE1265" i="75"/>
  <c r="BE1241" i="75"/>
  <c r="BE1237" i="75"/>
  <c r="BE1233" i="75"/>
  <c r="BE1271" i="75"/>
  <c r="BE1238" i="75"/>
  <c r="BE1236" i="75"/>
  <c r="BE1226" i="75"/>
  <c r="BE1257" i="75"/>
  <c r="BE1223" i="75"/>
  <c r="BF1223" i="75" s="1"/>
  <c r="BE1252" i="75"/>
  <c r="BE1251" i="75"/>
  <c r="BE1268" i="75"/>
  <c r="BE1224" i="75"/>
  <c r="BE1275" i="75"/>
  <c r="BE1267" i="75"/>
  <c r="BE1234" i="75"/>
  <c r="BE1272" i="75"/>
  <c r="BE1247" i="75"/>
  <c r="BE1242" i="75"/>
  <c r="BE1263" i="75"/>
  <c r="BE1243" i="75"/>
  <c r="BE1256" i="75"/>
  <c r="BE1235" i="75"/>
  <c r="BE1227" i="75"/>
  <c r="BE1261" i="75"/>
  <c r="BE1260" i="75"/>
  <c r="BE1259" i="75"/>
  <c r="BE1250" i="75"/>
  <c r="BE1239" i="75"/>
  <c r="BE1264" i="75"/>
  <c r="BE1231" i="75"/>
  <c r="BE1255" i="75"/>
  <c r="CK792" i="75"/>
  <c r="CK776" i="75"/>
  <c r="CK782" i="75"/>
  <c r="CK774" i="75"/>
  <c r="CK780" i="75"/>
  <c r="CK794" i="75"/>
  <c r="CK773" i="75"/>
  <c r="CL773" i="75" s="1"/>
  <c r="CK791" i="75"/>
  <c r="CK787" i="75"/>
  <c r="CK783" i="75"/>
  <c r="CK775" i="75"/>
  <c r="CK793" i="75"/>
  <c r="CK789" i="75"/>
  <c r="CK790" i="75"/>
  <c r="CK788" i="75"/>
  <c r="CK786" i="75"/>
  <c r="CK778" i="75"/>
  <c r="CK779" i="75"/>
  <c r="CK785" i="75"/>
  <c r="CK777" i="75"/>
  <c r="CK781" i="75"/>
  <c r="CK784" i="75"/>
  <c r="CS371" i="75"/>
  <c r="CS370" i="75"/>
  <c r="CS365" i="75"/>
  <c r="CS362" i="75"/>
  <c r="CS360" i="75"/>
  <c r="CS366" i="75"/>
  <c r="CS364" i="75"/>
  <c r="CS372" i="75"/>
  <c r="CS361" i="75"/>
  <c r="CS367" i="75"/>
  <c r="CS368" i="75"/>
  <c r="CS369" i="75"/>
  <c r="CS363" i="75"/>
  <c r="CS359" i="75"/>
  <c r="CT359" i="75" s="1"/>
  <c r="BM1014" i="75"/>
  <c r="BM1033" i="75"/>
  <c r="BM999" i="75"/>
  <c r="BM1013" i="75"/>
  <c r="BM997" i="75"/>
  <c r="BM1027" i="75"/>
  <c r="BM1023" i="75"/>
  <c r="BM1011" i="75"/>
  <c r="BM995" i="75"/>
  <c r="BM1034" i="75"/>
  <c r="BM1032" i="75"/>
  <c r="BM1036" i="75"/>
  <c r="BM1020" i="75"/>
  <c r="BM1015" i="75"/>
  <c r="BM1017" i="75"/>
  <c r="BM1024" i="75"/>
  <c r="BM1030" i="75"/>
  <c r="BM1022" i="75"/>
  <c r="BM1006" i="75"/>
  <c r="BM1004" i="75"/>
  <c r="BM1007" i="75"/>
  <c r="BM1026" i="75"/>
  <c r="BM1005" i="75"/>
  <c r="BM992" i="75"/>
  <c r="BM1000" i="75"/>
  <c r="BM1008" i="75"/>
  <c r="BM1019" i="75"/>
  <c r="BM1010" i="75"/>
  <c r="BM1029" i="75"/>
  <c r="BM994" i="75"/>
  <c r="BM1018" i="75"/>
  <c r="BM1002" i="75"/>
  <c r="BL266" i="75" a="1"/>
  <c r="BL298" i="75" s="1"/>
  <c r="BM1031" i="75"/>
  <c r="BM998" i="75"/>
  <c r="BU1124" i="75"/>
  <c r="CB1086" i="75"/>
  <c r="BK1129" i="75"/>
  <c r="BK1117" i="75"/>
  <c r="BI1144" i="75"/>
  <c r="BI1141" i="75"/>
  <c r="BG1151" i="75"/>
  <c r="BG1124" i="75"/>
  <c r="BG1112" i="75"/>
  <c r="BJ510" i="75"/>
  <c r="BM1121" i="75"/>
  <c r="BM1148" i="75"/>
  <c r="BM1111" i="75"/>
  <c r="BN1111" i="75" s="1"/>
  <c r="BM1145" i="75"/>
  <c r="BM1125" i="75"/>
  <c r="BM1139" i="75"/>
  <c r="BM1135" i="75"/>
  <c r="BM1127" i="75"/>
  <c r="BM1114" i="75"/>
  <c r="BM1142" i="75"/>
  <c r="BM1133" i="75"/>
  <c r="BM1123" i="75"/>
  <c r="BM1119" i="75"/>
  <c r="BM1146" i="75"/>
  <c r="BM1138" i="75"/>
  <c r="BM1122" i="75"/>
  <c r="BM1132" i="75"/>
  <c r="BM1124" i="75"/>
  <c r="BM1116" i="75"/>
  <c r="CK1083" i="75"/>
  <c r="CK1092" i="75"/>
  <c r="CK1081" i="75"/>
  <c r="CK1079" i="75"/>
  <c r="CK1086" i="75"/>
  <c r="CK1090" i="75"/>
  <c r="CK1095" i="75"/>
  <c r="CK1093" i="75"/>
  <c r="CK1094" i="75"/>
  <c r="CK1082" i="75"/>
  <c r="CK1096" i="75"/>
  <c r="CK1085" i="75"/>
  <c r="CK1087" i="75"/>
  <c r="CK1078" i="75"/>
  <c r="CK1080" i="75"/>
  <c r="CK1077" i="75"/>
  <c r="CK1089" i="75"/>
  <c r="CR780" i="75" a="1"/>
  <c r="DD672" i="75"/>
  <c r="DD673" i="75"/>
  <c r="DD674" i="75"/>
  <c r="BN630" i="75" a="1"/>
  <c r="BN673" i="75" s="1"/>
  <c r="BK1132" i="75"/>
  <c r="BK1144" i="75"/>
  <c r="BK1148" i="75"/>
  <c r="BI1140" i="75"/>
  <c r="BI1136" i="75"/>
  <c r="BJ533" i="75"/>
  <c r="CT249" i="75"/>
  <c r="BR814" i="75" a="1"/>
  <c r="BR851" i="75" s="1"/>
  <c r="BF742" i="75" a="1"/>
  <c r="BF757" i="75" s="1"/>
  <c r="BG973" i="75"/>
  <c r="BG958" i="75"/>
  <c r="BG969" i="75"/>
  <c r="BG961" i="75"/>
  <c r="BG956" i="75"/>
  <c r="BG974" i="75"/>
  <c r="BG953" i="75"/>
  <c r="BG946" i="75"/>
  <c r="BG960" i="75"/>
  <c r="BG936" i="75"/>
  <c r="BG927" i="75"/>
  <c r="BG949" i="75"/>
  <c r="BG938" i="75"/>
  <c r="BG937" i="75"/>
  <c r="BG963" i="75"/>
  <c r="BG947" i="75"/>
  <c r="BG932" i="75"/>
  <c r="BG952" i="75"/>
  <c r="BG966" i="75"/>
  <c r="BG939" i="75"/>
  <c r="BG954" i="75"/>
  <c r="BG931" i="75"/>
  <c r="BG959" i="75"/>
  <c r="BG975" i="75"/>
  <c r="BG957" i="75"/>
  <c r="BG955" i="75"/>
  <c r="BG944" i="75"/>
  <c r="BG948" i="75"/>
  <c r="BG933" i="75"/>
  <c r="BG942" i="75"/>
  <c r="BG929" i="75"/>
  <c r="BG934" i="75"/>
  <c r="BG935" i="75"/>
  <c r="BG968" i="75"/>
  <c r="BG970" i="75"/>
  <c r="BG964" i="75"/>
  <c r="BG930" i="75"/>
  <c r="BG928" i="75"/>
  <c r="BG941" i="75"/>
  <c r="BG972" i="75"/>
  <c r="BG951" i="75"/>
  <c r="BG925" i="75"/>
  <c r="BH925" i="75" s="1"/>
  <c r="BG965" i="75"/>
  <c r="BG950" i="75"/>
  <c r="BG945" i="75"/>
  <c r="BG926" i="75"/>
  <c r="BG943" i="75"/>
  <c r="BG940" i="75"/>
  <c r="BG971" i="75"/>
  <c r="BG962" i="75"/>
  <c r="BG967" i="75"/>
  <c r="BG976" i="75"/>
  <c r="CG1079" i="75"/>
  <c r="CG1088" i="75"/>
  <c r="CG1072" i="75"/>
  <c r="CG1092" i="75"/>
  <c r="CG1076" i="75"/>
  <c r="CG1083" i="75"/>
  <c r="CG1075" i="75"/>
  <c r="CG1089" i="75"/>
  <c r="CG1081" i="75"/>
  <c r="CG1073" i="75"/>
  <c r="CG1082" i="75"/>
  <c r="CG1086" i="75"/>
  <c r="CG1091" i="75"/>
  <c r="CG1095" i="75"/>
  <c r="CG1087" i="75"/>
  <c r="CL1031" i="75"/>
  <c r="CL1017" i="75"/>
  <c r="CL1023" i="75"/>
  <c r="CL1021" i="75"/>
  <c r="CL1033" i="75"/>
  <c r="CL1026" i="75"/>
  <c r="CL1035" i="75"/>
  <c r="CL1028" i="75"/>
  <c r="CL1018" i="75"/>
  <c r="CL1034" i="75"/>
  <c r="CL1036" i="75"/>
  <c r="BY1036" i="75"/>
  <c r="BY1012" i="75"/>
  <c r="BY1008" i="75"/>
  <c r="BY1034" i="75"/>
  <c r="BY1018" i="75"/>
  <c r="BY1010" i="75"/>
  <c r="BY1031" i="75"/>
  <c r="BY1027" i="75"/>
  <c r="BY1030" i="75"/>
  <c r="BY1026" i="75"/>
  <c r="BY1004" i="75"/>
  <c r="BY1029" i="75"/>
  <c r="BY1023" i="75"/>
  <c r="BY1019" i="75"/>
  <c r="BY1015" i="75"/>
  <c r="BY1007" i="75"/>
  <c r="BY1020" i="75"/>
  <c r="BY1014" i="75"/>
  <c r="BY1006" i="75"/>
  <c r="BY1005" i="75"/>
  <c r="BY1024" i="75"/>
  <c r="BY1016" i="75"/>
  <c r="BY1011" i="75"/>
  <c r="BY1033" i="75"/>
  <c r="BY1032" i="75"/>
  <c r="BY1025" i="75"/>
  <c r="BY1003" i="75"/>
  <c r="BZ1003" i="75" s="1"/>
  <c r="BY1013" i="75"/>
  <c r="BY1028" i="75"/>
  <c r="BY1009" i="75"/>
  <c r="BY1021" i="75"/>
  <c r="BY1017" i="75"/>
  <c r="BY1035" i="75"/>
  <c r="BY1022" i="75"/>
  <c r="DE674" i="75"/>
  <c r="DE673" i="75"/>
  <c r="DF673" i="75" s="1"/>
  <c r="BM1028" i="75"/>
  <c r="BU1152" i="75"/>
  <c r="CK602" i="75"/>
  <c r="BK1114" i="75"/>
  <c r="BK1133" i="75"/>
  <c r="BK1121" i="75"/>
  <c r="BI1114" i="75"/>
  <c r="BI1115" i="75"/>
  <c r="BJ540" i="75"/>
  <c r="CT250" i="75"/>
  <c r="BZ400" i="75" a="1"/>
  <c r="BZ416" i="75" s="1"/>
  <c r="BP934" i="75" a="1"/>
  <c r="CB1085" i="75"/>
  <c r="CI667" i="75"/>
  <c r="CI663" i="75"/>
  <c r="CI673" i="75"/>
  <c r="CI662" i="75"/>
  <c r="CI669" i="75"/>
  <c r="CI654" i="75"/>
  <c r="CI661" i="75"/>
  <c r="CI657" i="75"/>
  <c r="CI651" i="75"/>
  <c r="CJ651" i="75" s="1"/>
  <c r="CI671" i="75"/>
  <c r="CI656" i="75"/>
  <c r="CI674" i="75"/>
  <c r="CI665" i="75"/>
  <c r="CI653" i="75"/>
  <c r="CI659" i="75"/>
  <c r="CI655" i="75"/>
  <c r="CI672" i="75"/>
  <c r="CI664" i="75"/>
  <c r="CI666" i="75"/>
  <c r="CI658" i="75"/>
  <c r="CI668" i="75"/>
  <c r="CI660" i="75"/>
  <c r="CI652" i="75"/>
  <c r="CI670" i="75"/>
  <c r="CE1214" i="75"/>
  <c r="CE1203" i="75"/>
  <c r="CE1199" i="75"/>
  <c r="CE1215" i="75"/>
  <c r="CE1211" i="75"/>
  <c r="CE1195" i="75"/>
  <c r="CE1189" i="75"/>
  <c r="CF1189" i="75" s="1"/>
  <c r="CE1192" i="75"/>
  <c r="CE1202" i="75"/>
  <c r="CE1207" i="75"/>
  <c r="CE1200" i="75"/>
  <c r="CE1194" i="75"/>
  <c r="CE1206" i="75"/>
  <c r="CE1198" i="75"/>
  <c r="CE1190" i="75"/>
  <c r="CE1204" i="75"/>
  <c r="CE1196" i="75"/>
  <c r="CE1193" i="75"/>
  <c r="CE1212" i="75"/>
  <c r="CE1191" i="75"/>
  <c r="CE1216" i="75"/>
  <c r="CE1208" i="75"/>
  <c r="CE1210" i="75"/>
  <c r="CE1201" i="75"/>
  <c r="CE1213" i="75"/>
  <c r="CE1205" i="75"/>
  <c r="CE1197" i="75"/>
  <c r="CE1209" i="75"/>
  <c r="BX1248" i="75"/>
  <c r="BX1255" i="75"/>
  <c r="BX1264" i="75"/>
  <c r="BX1268" i="75"/>
  <c r="CS481" i="75"/>
  <c r="CS490" i="75"/>
  <c r="CS491" i="75"/>
  <c r="CS489" i="75"/>
  <c r="CS482" i="75"/>
  <c r="BM1012" i="75"/>
  <c r="BM1003" i="75"/>
  <c r="CY485" i="75" a="1"/>
  <c r="CY491" i="75" s="1"/>
  <c r="BM1025" i="75"/>
  <c r="BK1125" i="75"/>
  <c r="BK1134" i="75"/>
  <c r="BK1110" i="75"/>
  <c r="BI1134" i="75"/>
  <c r="BI1149" i="75"/>
  <c r="BG1122" i="75"/>
  <c r="BG1135" i="75"/>
  <c r="BG1145" i="75"/>
  <c r="BJ534" i="75"/>
  <c r="CP778" i="75" a="1"/>
  <c r="CP786" i="75" s="1"/>
  <c r="BF622" i="75" a="1"/>
  <c r="BF669" i="75" s="1"/>
  <c r="CB644" i="75" a="1"/>
  <c r="CB654" i="75" s="1"/>
  <c r="CB1093" i="75"/>
  <c r="BC487" i="75"/>
  <c r="BC490" i="75"/>
  <c r="BC486" i="75"/>
  <c r="BC479" i="75"/>
  <c r="BC482" i="75"/>
  <c r="BC478" i="75"/>
  <c r="BC476" i="75"/>
  <c r="BC456" i="75"/>
  <c r="BC468" i="75"/>
  <c r="BC448" i="75"/>
  <c r="BC452" i="75"/>
  <c r="BC470" i="75"/>
  <c r="BC444" i="75"/>
  <c r="BC462" i="75"/>
  <c r="BC466" i="75"/>
  <c r="BC438" i="75"/>
  <c r="BC471" i="75"/>
  <c r="BC458" i="75"/>
  <c r="BC485" i="75"/>
  <c r="BC483" i="75"/>
  <c r="BC465" i="75"/>
  <c r="BC445" i="75"/>
  <c r="BC475" i="75"/>
  <c r="BC457" i="75"/>
  <c r="BC443" i="75"/>
  <c r="BC453" i="75"/>
  <c r="BC492" i="75"/>
  <c r="BC484" i="75"/>
  <c r="BC460" i="75"/>
  <c r="BC474" i="75"/>
  <c r="BC442" i="75"/>
  <c r="BC489" i="75"/>
  <c r="BC481" i="75"/>
  <c r="BC473" i="75"/>
  <c r="BC449" i="75"/>
  <c r="BC441" i="75"/>
  <c r="BC488" i="75"/>
  <c r="BC437" i="75"/>
  <c r="BD437" i="75" s="1"/>
  <c r="BC480" i="75"/>
  <c r="BC463" i="75"/>
  <c r="BC472" i="75"/>
  <c r="BC455" i="75"/>
  <c r="BC464" i="75"/>
  <c r="BC447" i="75"/>
  <c r="BC440" i="75"/>
  <c r="BC491" i="75"/>
  <c r="BC446" i="75"/>
  <c r="BC467" i="75"/>
  <c r="BC477" i="75"/>
  <c r="BC451" i="75"/>
  <c r="BC461" i="75"/>
  <c r="BC459" i="75"/>
  <c r="BC469" i="75"/>
  <c r="BW1067" i="75"/>
  <c r="BW1080" i="75"/>
  <c r="BW1072" i="75"/>
  <c r="BW1065" i="75"/>
  <c r="BW1078" i="75"/>
  <c r="BW1095" i="75"/>
  <c r="BW1070" i="75"/>
  <c r="BW1087" i="75"/>
  <c r="BW1083" i="75"/>
  <c r="BW1075" i="75"/>
  <c r="BW1071" i="75"/>
  <c r="BW1061" i="75"/>
  <c r="BX1061" i="75" s="1"/>
  <c r="BW1074" i="75"/>
  <c r="BW1093" i="75"/>
  <c r="BW1066" i="75"/>
  <c r="BW1064" i="75"/>
  <c r="BW1090" i="75"/>
  <c r="BW1082" i="75"/>
  <c r="BW1092" i="75"/>
  <c r="BW1084" i="75"/>
  <c r="BW1076" i="75"/>
  <c r="BW1068" i="75"/>
  <c r="BW1094" i="75"/>
  <c r="BW1086" i="75"/>
  <c r="BW1062" i="75"/>
  <c r="BW1089" i="75"/>
  <c r="BW1085" i="75"/>
  <c r="BW1081" i="75"/>
  <c r="BW1077" i="75"/>
  <c r="BW1073" i="75"/>
  <c r="BW1069" i="75"/>
  <c r="BW1091" i="75"/>
  <c r="BW1088" i="75"/>
  <c r="BW1079" i="75"/>
  <c r="BW1063" i="75"/>
  <c r="BW1096" i="75"/>
  <c r="CW912" i="75"/>
  <c r="CW911" i="75"/>
  <c r="CW908" i="75"/>
  <c r="CZ608" i="75" a="1"/>
  <c r="BW911" i="75"/>
  <c r="BW881" i="75"/>
  <c r="BW879" i="75"/>
  <c r="BX879" i="75" s="1"/>
  <c r="BW886" i="75"/>
  <c r="BW888" i="75"/>
  <c r="BW914" i="75"/>
  <c r="BW906" i="75"/>
  <c r="BW909" i="75"/>
  <c r="BW882" i="75"/>
  <c r="BW905" i="75"/>
  <c r="BW892" i="75"/>
  <c r="BW891" i="75"/>
  <c r="BW887" i="75"/>
  <c r="BW893" i="75"/>
  <c r="BW889" i="75"/>
  <c r="BW885" i="75"/>
  <c r="BW883" i="75"/>
  <c r="BW880" i="75"/>
  <c r="BW896" i="75"/>
  <c r="BW910" i="75"/>
  <c r="BW902" i="75"/>
  <c r="BW894" i="75"/>
  <c r="BW904" i="75"/>
  <c r="BW890" i="75"/>
  <c r="BW900" i="75"/>
  <c r="BW908" i="75"/>
  <c r="BW901" i="75"/>
  <c r="BW903" i="75"/>
  <c r="BW913" i="75"/>
  <c r="BW907" i="75"/>
  <c r="BW899" i="75"/>
  <c r="BW912" i="75"/>
  <c r="BW895" i="75"/>
  <c r="BW884" i="75"/>
  <c r="BZ1216" i="75"/>
  <c r="BZ1212" i="75"/>
  <c r="BZ1193" i="75"/>
  <c r="BZ1200" i="75"/>
  <c r="BZ1204" i="75"/>
  <c r="BZ1208" i="75"/>
  <c r="BZ1196" i="75"/>
  <c r="BZ1192" i="75"/>
  <c r="BR1273" i="75"/>
  <c r="BR1272" i="75"/>
  <c r="BR1255" i="75"/>
  <c r="BR1244" i="75"/>
  <c r="BR1268" i="75"/>
  <c r="BR1259" i="75"/>
  <c r="BR1254" i="75"/>
  <c r="BR1265" i="75"/>
  <c r="BR1263" i="75"/>
  <c r="BR1252" i="75"/>
  <c r="BR1251" i="75"/>
  <c r="BR1236" i="75"/>
  <c r="BR1275" i="75"/>
  <c r="BR1266" i="75"/>
  <c r="BR1274" i="75"/>
  <c r="BR1258" i="75"/>
  <c r="BR1276" i="75"/>
  <c r="BR1247" i="75"/>
  <c r="BR1238" i="75"/>
  <c r="BR1257" i="75"/>
  <c r="BR1242" i="75"/>
  <c r="BR1264" i="75"/>
  <c r="BR1250" i="75"/>
  <c r="BR1245" i="75"/>
  <c r="BR1270" i="75"/>
  <c r="BR1237" i="75"/>
  <c r="BR1248" i="75"/>
  <c r="BR1239" i="75"/>
  <c r="BR1249" i="75"/>
  <c r="BR1262" i="75"/>
  <c r="BR1241" i="75"/>
  <c r="BR1246" i="75"/>
  <c r="BR1269" i="75"/>
  <c r="BR1260" i="75"/>
  <c r="BR1261" i="75"/>
  <c r="BR1267" i="75"/>
  <c r="BR1240" i="75"/>
  <c r="BK1149" i="75"/>
  <c r="BK1135" i="75"/>
  <c r="BK1137" i="75"/>
  <c r="BK1143" i="75"/>
  <c r="BI1137" i="75"/>
  <c r="BI1152" i="75"/>
  <c r="BJ523" i="75"/>
  <c r="CT243" i="75"/>
  <c r="BH926" i="75" a="1"/>
  <c r="BH944" i="75" s="1"/>
  <c r="CB1095" i="75"/>
  <c r="CK1153" i="75"/>
  <c r="CK1148" i="75"/>
  <c r="CK1138" i="75"/>
  <c r="CK1152" i="75"/>
  <c r="CK1135" i="75"/>
  <c r="CL1135" i="75" s="1"/>
  <c r="CK1155" i="75"/>
  <c r="CK1143" i="75"/>
  <c r="CK1156" i="75"/>
  <c r="CK1140" i="75"/>
  <c r="CK1154" i="75"/>
  <c r="CK1146" i="75"/>
  <c r="CK1149" i="75"/>
  <c r="CK1145" i="75"/>
  <c r="CK1141" i="75"/>
  <c r="CK1137" i="75"/>
  <c r="CK1142" i="75"/>
  <c r="CK1151" i="75"/>
  <c r="CK1144" i="75"/>
  <c r="CK1150" i="75"/>
  <c r="CK1136" i="75"/>
  <c r="CK1147" i="75"/>
  <c r="CK1139" i="75"/>
  <c r="BC534" i="75"/>
  <c r="BC499" i="75"/>
  <c r="BC504" i="75"/>
  <c r="BC497" i="75"/>
  <c r="BD497" i="75" s="1"/>
  <c r="BC549" i="75"/>
  <c r="BC515" i="75"/>
  <c r="BC541" i="75"/>
  <c r="BC507" i="75"/>
  <c r="BC533" i="75"/>
  <c r="BC503" i="75"/>
  <c r="BC517" i="75"/>
  <c r="BC546" i="75"/>
  <c r="BC509" i="75"/>
  <c r="BC530" i="75"/>
  <c r="BC522" i="75"/>
  <c r="BC545" i="75"/>
  <c r="BC537" i="75"/>
  <c r="BC516" i="75"/>
  <c r="BC508" i="75"/>
  <c r="BC500" i="75"/>
  <c r="BC529" i="75"/>
  <c r="BC521" i="75"/>
  <c r="BC513" i="75"/>
  <c r="BC505" i="75"/>
  <c r="BC550" i="75"/>
  <c r="BC542" i="75"/>
  <c r="BC525" i="75"/>
  <c r="BC539" i="75"/>
  <c r="BC531" i="75"/>
  <c r="BC523" i="75"/>
  <c r="BC551" i="75"/>
  <c r="BC532" i="75"/>
  <c r="BC535" i="75"/>
  <c r="BC518" i="75"/>
  <c r="BC527" i="75"/>
  <c r="BC538" i="75"/>
  <c r="BC514" i="75"/>
  <c r="BC552" i="75"/>
  <c r="BC548" i="75"/>
  <c r="BC520" i="75"/>
  <c r="BC544" i="75"/>
  <c r="BC506" i="75"/>
  <c r="BC536" i="75"/>
  <c r="BC528" i="75"/>
  <c r="BC512" i="75"/>
  <c r="BC543" i="75"/>
  <c r="BC511" i="75"/>
  <c r="BC498" i="75"/>
  <c r="BC547" i="75"/>
  <c r="BC510" i="75"/>
  <c r="BC502" i="75"/>
  <c r="BC540" i="75"/>
  <c r="BC519" i="75"/>
  <c r="BC526" i="75"/>
  <c r="CT668" i="75"/>
  <c r="CT664" i="75"/>
  <c r="CT670" i="75"/>
  <c r="CT665" i="75"/>
  <c r="CZ1270" i="75" a="1"/>
  <c r="BP390" i="75" a="1"/>
  <c r="BP428" i="75" s="1"/>
  <c r="BH322" i="75" a="1"/>
  <c r="BD258" i="75" a="1"/>
  <c r="BD277" i="75" s="1"/>
  <c r="CA1194" i="75"/>
  <c r="BK1151" i="75"/>
  <c r="BK1140" i="75"/>
  <c r="BK1109" i="75"/>
  <c r="BL1109" i="75" s="1"/>
  <c r="BI1108" i="75"/>
  <c r="BI1123" i="75"/>
  <c r="BD680" i="75" a="1"/>
  <c r="BD724" i="75" s="1"/>
  <c r="CH348" i="75" a="1"/>
  <c r="CH372" i="75" s="1"/>
  <c r="CJ1025" i="75"/>
  <c r="CO1148" i="75"/>
  <c r="CO1140" i="75"/>
  <c r="CO1155" i="75"/>
  <c r="CO1151" i="75"/>
  <c r="CO1143" i="75"/>
  <c r="CO1154" i="75"/>
  <c r="CO1145" i="75"/>
  <c r="CO1141" i="75"/>
  <c r="CO1139" i="75"/>
  <c r="CP1139" i="75" s="1"/>
  <c r="CO1147" i="75"/>
  <c r="CO1146" i="75"/>
  <c r="CO1156" i="75"/>
  <c r="CO1153" i="75"/>
  <c r="CO1149" i="75"/>
  <c r="CO1150" i="75"/>
  <c r="CO1142" i="75"/>
  <c r="CO1152" i="75"/>
  <c r="CO1144" i="75"/>
  <c r="BU1244" i="75"/>
  <c r="BU1253" i="75"/>
  <c r="BU1260" i="75"/>
  <c r="BU1249" i="75"/>
  <c r="BU1267" i="75"/>
  <c r="BU1247" i="75"/>
  <c r="BU1272" i="75"/>
  <c r="BU1252" i="75"/>
  <c r="BU1242" i="75"/>
  <c r="BU1239" i="75"/>
  <c r="BV1239" i="75" s="1"/>
  <c r="BU1275" i="75"/>
  <c r="BU1265" i="75"/>
  <c r="BU1246" i="75"/>
  <c r="BU1259" i="75"/>
  <c r="BU1254" i="75"/>
  <c r="BU1250" i="75"/>
  <c r="BU1256" i="75"/>
  <c r="BU1261" i="75"/>
  <c r="BU1257" i="75"/>
  <c r="BU1268" i="75"/>
  <c r="BU1255" i="75"/>
  <c r="BU1251" i="75"/>
  <c r="BU1241" i="75"/>
  <c r="BU1276" i="75"/>
  <c r="BU1243" i="75"/>
  <c r="BU1240" i="75"/>
  <c r="CU728" i="75"/>
  <c r="CU724" i="75"/>
  <c r="CU730" i="75"/>
  <c r="CU733" i="75"/>
  <c r="CU734" i="75"/>
  <c r="CU729" i="75"/>
  <c r="CU725" i="75"/>
  <c r="CU731" i="75"/>
  <c r="CU732" i="75"/>
  <c r="CU727" i="75"/>
  <c r="CU726" i="75"/>
  <c r="CX1030" i="75"/>
  <c r="CX1028" i="75"/>
  <c r="CX1033" i="75"/>
  <c r="CX1029" i="75"/>
  <c r="CX1031" i="75"/>
  <c r="CX1036" i="75"/>
  <c r="BZ773" i="75"/>
  <c r="BZ765" i="75"/>
  <c r="BZ784" i="75"/>
  <c r="BK1141" i="75"/>
  <c r="BU1149" i="75"/>
  <c r="BU1120" i="75"/>
  <c r="BU1145" i="75"/>
  <c r="BU1153" i="75"/>
  <c r="BU1137" i="75"/>
  <c r="BU1125" i="75"/>
  <c r="BU1155" i="75"/>
  <c r="BU1143" i="75"/>
  <c r="BU1135" i="75"/>
  <c r="BU1156" i="75"/>
  <c r="BU1148" i="75"/>
  <c r="BU1133" i="75"/>
  <c r="BU1151" i="75"/>
  <c r="BU1131" i="75"/>
  <c r="BU1123" i="75"/>
  <c r="BU1142" i="75"/>
  <c r="BU1126" i="75"/>
  <c r="BU1140" i="75"/>
  <c r="BU1132" i="75"/>
  <c r="BU1146" i="75"/>
  <c r="BU1130" i="75"/>
  <c r="BU1144" i="75"/>
  <c r="BM1035" i="75"/>
  <c r="CN414" i="75" a="1"/>
  <c r="CN424" i="75" s="1"/>
  <c r="BV216" i="75" a="1"/>
  <c r="BV230" i="75" s="1"/>
  <c r="BU1134" i="75"/>
  <c r="CA1204" i="75"/>
  <c r="BG1123" i="75"/>
  <c r="BK1139" i="75"/>
  <c r="BI1153" i="75"/>
  <c r="BG1147" i="75"/>
  <c r="CG1080" i="75"/>
  <c r="CT248" i="75"/>
  <c r="CA1149" i="75"/>
  <c r="CA1126" i="75"/>
  <c r="CA1145" i="75"/>
  <c r="CA1144" i="75"/>
  <c r="CA1143" i="75"/>
  <c r="CA1139" i="75"/>
  <c r="CA1153" i="75"/>
  <c r="CA1137" i="75"/>
  <c r="CA1129" i="75"/>
  <c r="CA1155" i="75"/>
  <c r="CA1131" i="75"/>
  <c r="CA1127" i="75"/>
  <c r="CA1148" i="75"/>
  <c r="CA1140" i="75"/>
  <c r="CA1151" i="75"/>
  <c r="CA1146" i="75"/>
  <c r="CA1138" i="75"/>
  <c r="CA1130" i="75"/>
  <c r="CA1156" i="75"/>
  <c r="CA1132" i="75"/>
  <c r="CA1150" i="75"/>
  <c r="CA1142" i="75"/>
  <c r="CA1152" i="75"/>
  <c r="CA1136" i="75"/>
  <c r="CA1128" i="75"/>
  <c r="CA1133" i="75"/>
  <c r="CA1147" i="75"/>
  <c r="CA1135" i="75"/>
  <c r="CA1125" i="75"/>
  <c r="CB1125" i="75" s="1"/>
  <c r="BS482" i="75"/>
  <c r="BS453" i="75"/>
  <c r="BT453" i="75" s="1"/>
  <c r="BS486" i="75"/>
  <c r="BS468" i="75"/>
  <c r="BS490" i="75"/>
  <c r="BS483" i="75"/>
  <c r="BS459" i="75"/>
  <c r="BS476" i="75"/>
  <c r="BS462" i="75"/>
  <c r="BS470" i="75"/>
  <c r="BS454" i="75"/>
  <c r="BS463" i="75"/>
  <c r="BS458" i="75"/>
  <c r="BS475" i="75"/>
  <c r="BS492" i="75"/>
  <c r="BS485" i="75"/>
  <c r="BS477" i="75"/>
  <c r="BS1023" i="75"/>
  <c r="BS1011" i="75"/>
  <c r="BS1025" i="75"/>
  <c r="BS1001" i="75"/>
  <c r="BS1002" i="75"/>
  <c r="BS1036" i="75"/>
  <c r="BS1031" i="75"/>
  <c r="BS999" i="75"/>
  <c r="BS1030" i="75"/>
  <c r="BS1026" i="75"/>
  <c r="BS1018" i="75"/>
  <c r="BS1010" i="75"/>
  <c r="BS1020" i="75"/>
  <c r="BS1021" i="75"/>
  <c r="BS1008" i="75"/>
  <c r="BS1009" i="75"/>
  <c r="BS1016" i="75"/>
  <c r="BS1017" i="75"/>
  <c r="BS1004" i="75"/>
  <c r="BS1034" i="75"/>
  <c r="BS1024" i="75"/>
  <c r="BS1000" i="75"/>
  <c r="BS1035" i="75"/>
  <c r="BS1014" i="75"/>
  <c r="BS1012" i="75"/>
  <c r="BS998" i="75"/>
  <c r="BS1022" i="75"/>
  <c r="BS1013" i="75"/>
  <c r="BS1006" i="75"/>
  <c r="BS1032" i="75"/>
  <c r="CH976" i="75"/>
  <c r="CH962" i="75"/>
  <c r="CH959" i="75"/>
  <c r="CH952" i="75"/>
  <c r="CH955" i="75"/>
  <c r="CH968" i="75"/>
  <c r="CH957" i="75"/>
  <c r="CH953" i="75"/>
  <c r="CH969" i="75"/>
  <c r="CH961" i="75"/>
  <c r="CH975" i="75"/>
  <c r="CH971" i="75"/>
  <c r="CH965" i="75"/>
  <c r="CH973" i="75"/>
  <c r="CH972" i="75"/>
  <c r="CH967" i="75"/>
  <c r="CH963" i="75"/>
  <c r="CH960" i="75"/>
  <c r="W8" i="90"/>
  <c r="I25" i="90"/>
  <c r="DU25" i="90" s="1"/>
  <c r="L49" i="90"/>
  <c r="L138" i="90"/>
  <c r="H99" i="90"/>
  <c r="BQ99" i="90"/>
  <c r="DO99" i="90" s="1"/>
  <c r="EC49" i="90"/>
  <c r="ET49" i="90" s="1"/>
  <c r="DB913" i="75"/>
  <c r="DB914" i="75"/>
  <c r="DB912" i="75"/>
  <c r="DB910" i="75"/>
  <c r="DB911" i="75"/>
  <c r="DB674" i="75"/>
  <c r="DB673" i="75"/>
  <c r="CS851" i="75"/>
  <c r="CS848" i="75"/>
  <c r="CS850" i="75"/>
  <c r="CS847" i="75"/>
  <c r="CS841" i="75"/>
  <c r="CT841" i="75" s="1"/>
  <c r="CS842" i="75"/>
  <c r="CS845" i="75"/>
  <c r="CS852" i="75"/>
  <c r="CS849" i="75"/>
  <c r="CS854" i="75"/>
  <c r="CS853" i="75"/>
  <c r="CS844" i="75"/>
  <c r="CS843" i="75"/>
  <c r="CS846" i="75"/>
  <c r="BP712" i="75"/>
  <c r="BP711" i="75"/>
  <c r="BP698" i="75"/>
  <c r="BP714" i="75"/>
  <c r="BP722" i="75"/>
  <c r="BP734" i="75"/>
  <c r="BP713" i="75"/>
  <c r="BP726" i="75"/>
  <c r="BP699" i="75"/>
  <c r="BP720" i="75"/>
  <c r="BP705" i="75"/>
  <c r="BP719" i="75"/>
  <c r="BP715" i="75"/>
  <c r="BP733" i="75"/>
  <c r="BP728" i="75"/>
  <c r="BP718" i="75"/>
  <c r="BP703" i="75"/>
  <c r="BP704" i="75"/>
  <c r="BP700" i="75"/>
  <c r="BP697" i="75"/>
  <c r="BP721" i="75"/>
  <c r="BP706" i="75"/>
  <c r="BP732" i="75"/>
  <c r="BP702" i="75"/>
  <c r="BP692" i="75"/>
  <c r="CQ1029" i="75"/>
  <c r="CQ1027" i="75"/>
  <c r="CQ1032" i="75"/>
  <c r="CQ1022" i="75"/>
  <c r="CQ1030" i="75"/>
  <c r="CQ1036" i="75"/>
  <c r="CQ1034" i="75"/>
  <c r="CQ1031" i="75"/>
  <c r="CQ1026" i="75"/>
  <c r="CQ1021" i="75"/>
  <c r="CR1021" i="75" s="1"/>
  <c r="CQ1023" i="75"/>
  <c r="CQ1024" i="75"/>
  <c r="CQ1025" i="75"/>
  <c r="CQ1028" i="75"/>
  <c r="CQ1035" i="75"/>
  <c r="CQ1033" i="75"/>
  <c r="CR421" i="75"/>
  <c r="CR426" i="75"/>
  <c r="CR419" i="75"/>
  <c r="CR418" i="75"/>
  <c r="CR425" i="75"/>
  <c r="CR431" i="75"/>
  <c r="CR429" i="75"/>
  <c r="CR420" i="75"/>
  <c r="CR428" i="75"/>
  <c r="CR430" i="75"/>
  <c r="CR423" i="75"/>
  <c r="CR422" i="75"/>
  <c r="CR424" i="75"/>
  <c r="CR432" i="75"/>
  <c r="CR427" i="75"/>
  <c r="BD888" i="75"/>
  <c r="CV850" i="75"/>
  <c r="CV851" i="75"/>
  <c r="CV854" i="75"/>
  <c r="CV847" i="75"/>
  <c r="CV844" i="75"/>
  <c r="CV849" i="75"/>
  <c r="CV846" i="75"/>
  <c r="CV853" i="75"/>
  <c r="CV845" i="75"/>
  <c r="CV848" i="75"/>
  <c r="BD806" i="75"/>
  <c r="BD801" i="75"/>
  <c r="BJ416" i="75"/>
  <c r="BJ395" i="75"/>
  <c r="BJ405" i="75"/>
  <c r="BJ404" i="75"/>
  <c r="BJ420" i="75"/>
  <c r="BJ410" i="75"/>
  <c r="BJ400" i="75"/>
  <c r="BJ409" i="75"/>
  <c r="BJ414" i="75"/>
  <c r="BJ415" i="75"/>
  <c r="BJ425" i="75"/>
  <c r="BJ401" i="75"/>
  <c r="BJ429" i="75"/>
  <c r="BJ391" i="75"/>
  <c r="BJ390" i="75"/>
  <c r="BJ426" i="75"/>
  <c r="BJ387" i="75"/>
  <c r="BJ431" i="75"/>
  <c r="BJ402" i="75"/>
  <c r="BJ423" i="75"/>
  <c r="BJ386" i="75"/>
  <c r="BJ422" i="75"/>
  <c r="BJ408" i="75"/>
  <c r="BJ412" i="75"/>
  <c r="BJ384" i="75"/>
  <c r="BJ385" i="75"/>
  <c r="BJ419" i="75"/>
  <c r="BJ411" i="75"/>
  <c r="BJ413" i="75"/>
  <c r="BJ418" i="75"/>
  <c r="BJ394" i="75"/>
  <c r="BJ398" i="75"/>
  <c r="BJ403" i="75"/>
  <c r="BJ424" i="75"/>
  <c r="BJ399" i="75"/>
  <c r="BJ427" i="75"/>
  <c r="BJ417" i="75"/>
  <c r="BJ407" i="75"/>
  <c r="BJ397" i="75"/>
  <c r="BJ432" i="75"/>
  <c r="CP236" i="75"/>
  <c r="BH1047" i="75"/>
  <c r="BX1031" i="75"/>
  <c r="BS883" i="75"/>
  <c r="BS890" i="75"/>
  <c r="BS901" i="75"/>
  <c r="BS886" i="75"/>
  <c r="BS911" i="75"/>
  <c r="BS884" i="75"/>
  <c r="BS895" i="75"/>
  <c r="BS887" i="75"/>
  <c r="BS905" i="75"/>
  <c r="BS889" i="75"/>
  <c r="BS885" i="75"/>
  <c r="BS912" i="75"/>
  <c r="BS896" i="75"/>
  <c r="BS880" i="75"/>
  <c r="BS875" i="75"/>
  <c r="BT875" i="75" s="1"/>
  <c r="BS914" i="75"/>
  <c r="BS907" i="75"/>
  <c r="BS906" i="75"/>
  <c r="BS903" i="75"/>
  <c r="BS898" i="75"/>
  <c r="BS899" i="75"/>
  <c r="BS882" i="75"/>
  <c r="BS881" i="75"/>
  <c r="BS877" i="75"/>
  <c r="BS910" i="75"/>
  <c r="BS902" i="75"/>
  <c r="BS894" i="75"/>
  <c r="BS878" i="75"/>
  <c r="BS900" i="75"/>
  <c r="BS891" i="75"/>
  <c r="BS908" i="75"/>
  <c r="BS913" i="75"/>
  <c r="BS892" i="75"/>
  <c r="BS909" i="75"/>
  <c r="BS876" i="75"/>
  <c r="BS888" i="75"/>
  <c r="BS879" i="75"/>
  <c r="BS897" i="75"/>
  <c r="BS904" i="75"/>
  <c r="BS893" i="75"/>
  <c r="BG483" i="75"/>
  <c r="BG475" i="75"/>
  <c r="BG459" i="75"/>
  <c r="BG451" i="75"/>
  <c r="BG460" i="75"/>
  <c r="BG486" i="75"/>
  <c r="BG461" i="75"/>
  <c r="BG453" i="75"/>
  <c r="BG445" i="75"/>
  <c r="BG488" i="75"/>
  <c r="BG480" i="75"/>
  <c r="BG472" i="75"/>
  <c r="BG491" i="75"/>
  <c r="BG455" i="75"/>
  <c r="BG469" i="75"/>
  <c r="BG467" i="75"/>
  <c r="BG441" i="75"/>
  <c r="BH441" i="75" s="1"/>
  <c r="BG487" i="75"/>
  <c r="BG479" i="75"/>
  <c r="BG471" i="75"/>
  <c r="BG463" i="75"/>
  <c r="BG489" i="75"/>
  <c r="BG481" i="75"/>
  <c r="BG477" i="75"/>
  <c r="BG447" i="75"/>
  <c r="BG457" i="75"/>
  <c r="BG482" i="75"/>
  <c r="BG484" i="75"/>
  <c r="BG449" i="75"/>
  <c r="BG476" i="75"/>
  <c r="BG485" i="75"/>
  <c r="BG452" i="75"/>
  <c r="BG468" i="75"/>
  <c r="BG454" i="75"/>
  <c r="BG474" i="75"/>
  <c r="BG446" i="75"/>
  <c r="BG473" i="75"/>
  <c r="BG443" i="75"/>
  <c r="BG465" i="75"/>
  <c r="BG492" i="75"/>
  <c r="BG490" i="75"/>
  <c r="BG462" i="75"/>
  <c r="BG466" i="75"/>
  <c r="BG458" i="75"/>
  <c r="BG450" i="75"/>
  <c r="BG442" i="75"/>
  <c r="BG478" i="75"/>
  <c r="BG456" i="75"/>
  <c r="BG448" i="75"/>
  <c r="BG470" i="75"/>
  <c r="BG464" i="75"/>
  <c r="BG444" i="75"/>
  <c r="CE842" i="75"/>
  <c r="CE834" i="75"/>
  <c r="CE827" i="75"/>
  <c r="CF827" i="75" s="1"/>
  <c r="CE853" i="75"/>
  <c r="CE850" i="75"/>
  <c r="CE841" i="75"/>
  <c r="CE837" i="75"/>
  <c r="CE831" i="75"/>
  <c r="CE840" i="75"/>
  <c r="CE844" i="75"/>
  <c r="CE836" i="75"/>
  <c r="CE828" i="75"/>
  <c r="CE829" i="75"/>
  <c r="CE830" i="75"/>
  <c r="CE848" i="75"/>
  <c r="CE849" i="75"/>
  <c r="CE845" i="75"/>
  <c r="CE854" i="75"/>
  <c r="CE832" i="75"/>
  <c r="CE852" i="75"/>
  <c r="CE846" i="75"/>
  <c r="CE838" i="75"/>
  <c r="CE851" i="75"/>
  <c r="CE847" i="75"/>
  <c r="CE839" i="75"/>
  <c r="CE835" i="75"/>
  <c r="CE833" i="75"/>
  <c r="CE843" i="75"/>
  <c r="BI1111" i="75"/>
  <c r="BI1143" i="75"/>
  <c r="BI1119" i="75"/>
  <c r="BD560" i="75" a="1"/>
  <c r="BV660" i="75"/>
  <c r="BV659" i="75"/>
  <c r="BD438" i="75" a="1"/>
  <c r="BD461" i="75" s="1"/>
  <c r="CH468" i="75" a="1"/>
  <c r="CH477" i="75" s="1"/>
  <c r="CG610" i="75"/>
  <c r="CG594" i="75"/>
  <c r="CG596" i="75"/>
  <c r="CG611" i="75"/>
  <c r="CG607" i="75"/>
  <c r="CG593" i="75"/>
  <c r="CG592" i="75"/>
  <c r="CG602" i="75"/>
  <c r="CG612" i="75"/>
  <c r="CG604" i="75"/>
  <c r="CG605" i="75"/>
  <c r="CG606" i="75"/>
  <c r="CG598" i="75"/>
  <c r="CG600" i="75"/>
  <c r="CG597" i="75"/>
  <c r="CG599" i="75"/>
  <c r="CG608" i="75"/>
  <c r="CG595" i="75"/>
  <c r="CG601" i="75"/>
  <c r="CG613" i="75"/>
  <c r="CG609" i="75"/>
  <c r="CG589" i="75"/>
  <c r="CH589" i="75" s="1"/>
  <c r="CG614" i="75"/>
  <c r="CG591" i="75"/>
  <c r="CG603" i="75"/>
  <c r="CG590" i="75"/>
  <c r="BE482" i="75"/>
  <c r="BE459" i="75"/>
  <c r="BE450" i="75"/>
  <c r="BE464" i="75"/>
  <c r="BE486" i="75"/>
  <c r="BE470" i="75"/>
  <c r="BE454" i="75"/>
  <c r="BE444" i="75"/>
  <c r="BE490" i="75"/>
  <c r="BE458" i="75"/>
  <c r="BE442" i="75"/>
  <c r="BE483" i="75"/>
  <c r="BE467" i="75"/>
  <c r="BE485" i="75"/>
  <c r="BE446" i="75"/>
  <c r="BE453" i="75"/>
  <c r="BE479" i="75"/>
  <c r="BE473" i="75"/>
  <c r="BE463" i="75"/>
  <c r="BE441" i="75"/>
  <c r="BE447" i="75"/>
  <c r="BE484" i="75"/>
  <c r="BE468" i="75"/>
  <c r="BE452" i="75"/>
  <c r="BE440" i="75"/>
  <c r="BE462" i="75"/>
  <c r="BE491" i="75"/>
  <c r="BE439" i="75"/>
  <c r="BF439" i="75" s="1"/>
  <c r="BE465" i="75"/>
  <c r="BE469" i="75"/>
  <c r="BE449" i="75"/>
  <c r="BE474" i="75"/>
  <c r="BE451" i="75"/>
  <c r="BE488" i="75"/>
  <c r="BE472" i="75"/>
  <c r="BE456" i="75"/>
  <c r="BE457" i="75"/>
  <c r="BE477" i="75"/>
  <c r="BE461" i="75"/>
  <c r="BE445" i="75"/>
  <c r="BE481" i="75"/>
  <c r="BE478" i="75"/>
  <c r="BE443" i="75"/>
  <c r="BE480" i="75"/>
  <c r="BE489" i="75"/>
  <c r="BE492" i="75"/>
  <c r="BE475" i="75"/>
  <c r="CG1134" i="75"/>
  <c r="CG1144" i="75"/>
  <c r="CG1137" i="75"/>
  <c r="CG1132" i="75"/>
  <c r="CG1151" i="75"/>
  <c r="CG1148" i="75"/>
  <c r="CG1153" i="75"/>
  <c r="CG1149" i="75"/>
  <c r="CG1145" i="75"/>
  <c r="CG1141" i="75"/>
  <c r="CG1142" i="75"/>
  <c r="CG1152" i="75"/>
  <c r="CG1136" i="75"/>
  <c r="CG1154" i="75"/>
  <c r="CG1146" i="75"/>
  <c r="CG1138" i="75"/>
  <c r="CG1156" i="75"/>
  <c r="CG1140" i="75"/>
  <c r="CG1133" i="75"/>
  <c r="CG1155" i="75"/>
  <c r="CG1147" i="75"/>
  <c r="CG1143" i="75"/>
  <c r="CG1139" i="75"/>
  <c r="CG1135" i="75"/>
  <c r="CG1150" i="75"/>
  <c r="CG1131" i="75"/>
  <c r="CH1131" i="75" s="1"/>
  <c r="BU1077" i="75"/>
  <c r="BU1069" i="75"/>
  <c r="BU1091" i="75"/>
  <c r="BU1090" i="75"/>
  <c r="BU1079" i="75"/>
  <c r="BU1066" i="75"/>
  <c r="BU1074" i="75"/>
  <c r="BU1095" i="75"/>
  <c r="BU1072" i="75"/>
  <c r="BU1087" i="75"/>
  <c r="BU1064" i="75"/>
  <c r="BU1083" i="75"/>
  <c r="BU1094" i="75"/>
  <c r="BU1067" i="75"/>
  <c r="BU1086" i="75"/>
  <c r="BU1061" i="75"/>
  <c r="BU1092" i="75"/>
  <c r="BU1084" i="75"/>
  <c r="BU1076" i="75"/>
  <c r="BU1068" i="75"/>
  <c r="BU1060" i="75"/>
  <c r="BU1082" i="75"/>
  <c r="BU1063" i="75"/>
  <c r="BU1059" i="75"/>
  <c r="BV1059" i="75" s="1"/>
  <c r="BU1085" i="75"/>
  <c r="BU1081" i="75"/>
  <c r="BU1073" i="75"/>
  <c r="BU1065" i="75"/>
  <c r="BU1080" i="75"/>
  <c r="BU1078" i="75"/>
  <c r="BU1093" i="75"/>
  <c r="BU1070" i="75"/>
  <c r="BU1089" i="75"/>
  <c r="BU1062" i="75"/>
  <c r="BU1075" i="75"/>
  <c r="BU1096" i="75"/>
  <c r="BU1071" i="75"/>
  <c r="BU1088" i="75"/>
  <c r="BO1127" i="75"/>
  <c r="BO1136" i="75"/>
  <c r="BO1141" i="75"/>
  <c r="BO1142" i="75"/>
  <c r="BO1117" i="75"/>
  <c r="BO1148" i="75"/>
  <c r="BO1146" i="75"/>
  <c r="BO1132" i="75"/>
  <c r="BO1138" i="75"/>
  <c r="BO1124" i="75"/>
  <c r="BO1155" i="75"/>
  <c r="BO1130" i="75"/>
  <c r="BO1116" i="75"/>
  <c r="BO1151" i="75"/>
  <c r="BO1122" i="75"/>
  <c r="BO1115" i="75"/>
  <c r="BO1129" i="75"/>
  <c r="BO1113" i="75"/>
  <c r="BP1113" i="75" s="1"/>
  <c r="BO1121" i="75"/>
  <c r="BO1150" i="75"/>
  <c r="BO1153" i="75"/>
  <c r="BO1134" i="75"/>
  <c r="BO1149" i="75"/>
  <c r="BO1126" i="75"/>
  <c r="BO1133" i="75"/>
  <c r="BO1118" i="75"/>
  <c r="BO1125" i="75"/>
  <c r="BO1156" i="75"/>
  <c r="BO1144" i="75"/>
  <c r="BO1120" i="75"/>
  <c r="BO1145" i="75"/>
  <c r="BO1137" i="75"/>
  <c r="BO1140" i="75"/>
  <c r="BO1135" i="75"/>
  <c r="BO1131" i="75"/>
  <c r="BO1123" i="75"/>
  <c r="BO1119" i="75"/>
  <c r="BO1154" i="75"/>
  <c r="BO1114" i="75"/>
  <c r="BO1152" i="75"/>
  <c r="BO1147" i="75"/>
  <c r="BO1143" i="75"/>
  <c r="BO1139" i="75"/>
  <c r="BO1128" i="75"/>
  <c r="BY770" i="75"/>
  <c r="BY784" i="75"/>
  <c r="BY780" i="75"/>
  <c r="BY783" i="75"/>
  <c r="BY779" i="75"/>
  <c r="BY775" i="75"/>
  <c r="BY771" i="75"/>
  <c r="BY785" i="75"/>
  <c r="BY763" i="75"/>
  <c r="BY778" i="75"/>
  <c r="BY788" i="75"/>
  <c r="BY772" i="75"/>
  <c r="BY764" i="75"/>
  <c r="BY790" i="75"/>
  <c r="BY794" i="75"/>
  <c r="BY786" i="75"/>
  <c r="BY773" i="75"/>
  <c r="BY789" i="75"/>
  <c r="BY782" i="75"/>
  <c r="BY769" i="75"/>
  <c r="BY791" i="75"/>
  <c r="BY787" i="75"/>
  <c r="BY762" i="75"/>
  <c r="BY767" i="75"/>
  <c r="BY776" i="75"/>
  <c r="BY768" i="75"/>
  <c r="BY781" i="75"/>
  <c r="BY761" i="75"/>
  <c r="BZ761" i="75" s="1"/>
  <c r="BY793" i="75"/>
  <c r="BY774" i="75"/>
  <c r="BY765" i="75"/>
  <c r="BY766" i="75"/>
  <c r="BY792" i="75"/>
  <c r="BY777" i="75"/>
  <c r="CD1271" i="75"/>
  <c r="CD1250" i="75"/>
  <c r="CD1262" i="75"/>
  <c r="CD1276" i="75"/>
  <c r="CD1263" i="75"/>
  <c r="CD1255" i="75"/>
  <c r="CD1265" i="75"/>
  <c r="CD1273" i="75"/>
  <c r="CD1260" i="75"/>
  <c r="CD1253" i="75"/>
  <c r="CD1248" i="75"/>
  <c r="CD1251" i="75"/>
  <c r="CD1261" i="75"/>
  <c r="CD1264" i="75"/>
  <c r="CD1268" i="75"/>
  <c r="CD1249" i="75"/>
  <c r="CD1259" i="75"/>
  <c r="CD1257" i="75"/>
  <c r="BP1194" i="75"/>
  <c r="BP1185" i="75"/>
  <c r="BP1193" i="75"/>
  <c r="BP1204" i="75"/>
  <c r="BP1213" i="75"/>
  <c r="BP1207" i="75"/>
  <c r="BP1190" i="75"/>
  <c r="CQ853" i="75"/>
  <c r="CQ842" i="75"/>
  <c r="CQ850" i="75"/>
  <c r="BU605" i="75"/>
  <c r="BU600" i="75"/>
  <c r="BU603" i="75"/>
  <c r="BU613" i="75"/>
  <c r="BU597" i="75"/>
  <c r="BU582" i="75"/>
  <c r="BU612" i="75"/>
  <c r="BU604" i="75"/>
  <c r="BU596" i="75"/>
  <c r="BU588" i="75"/>
  <c r="BU607" i="75"/>
  <c r="BU595" i="75"/>
  <c r="BU591" i="75"/>
  <c r="BU587" i="75"/>
  <c r="BU583" i="75"/>
  <c r="BU579" i="75"/>
  <c r="BU594" i="75"/>
  <c r="BU599" i="75"/>
  <c r="BU598" i="75"/>
  <c r="BU592" i="75"/>
  <c r="BU584" i="75"/>
  <c r="BU586" i="75"/>
  <c r="BU601" i="75"/>
  <c r="BU578" i="75"/>
  <c r="BU580" i="75"/>
  <c r="BU608" i="75"/>
  <c r="BU593" i="75"/>
  <c r="BU611" i="75"/>
  <c r="BU585" i="75"/>
  <c r="BU581" i="75"/>
  <c r="BU610" i="75"/>
  <c r="BU589" i="75"/>
  <c r="BU602" i="75"/>
  <c r="BU614" i="75"/>
  <c r="BU590" i="75"/>
  <c r="BU606" i="75"/>
  <c r="BU577" i="75"/>
  <c r="BV577" i="75" s="1"/>
  <c r="BU609" i="75"/>
  <c r="BR420" i="75"/>
  <c r="BR397" i="75"/>
  <c r="BR417" i="75"/>
  <c r="BR426" i="75"/>
  <c r="BR432" i="75"/>
  <c r="BR399" i="75"/>
  <c r="BR412" i="75"/>
  <c r="BR416" i="75"/>
  <c r="BR422" i="75"/>
  <c r="BR409" i="75"/>
  <c r="BR406" i="75"/>
  <c r="BR418" i="75"/>
  <c r="BR428" i="75"/>
  <c r="BR425" i="75"/>
  <c r="BR429" i="75"/>
  <c r="BR392" i="75"/>
  <c r="BR400" i="75"/>
  <c r="BR395" i="75"/>
  <c r="BR413" i="75"/>
  <c r="BR414" i="75"/>
  <c r="BR394" i="75"/>
  <c r="BR404" i="75"/>
  <c r="BG1115" i="75"/>
  <c r="BG1153" i="75"/>
  <c r="BO975" i="75"/>
  <c r="BO946" i="75"/>
  <c r="BO933" i="75"/>
  <c r="BP933" i="75" s="1"/>
  <c r="BO943" i="75"/>
  <c r="BO955" i="75"/>
  <c r="BO974" i="75"/>
  <c r="BO947" i="75"/>
  <c r="BO958" i="75"/>
  <c r="BO939" i="75"/>
  <c r="BO950" i="75"/>
  <c r="BO935" i="75"/>
  <c r="BO942" i="75"/>
  <c r="BO976" i="75"/>
  <c r="BO934" i="75"/>
  <c r="BO945" i="75"/>
  <c r="BO954" i="75"/>
  <c r="BO941" i="75"/>
  <c r="BO938" i="75"/>
  <c r="BO937" i="75"/>
  <c r="BO972" i="75"/>
  <c r="BO971" i="75"/>
  <c r="BO964" i="75"/>
  <c r="BO967" i="75"/>
  <c r="BO956" i="75"/>
  <c r="BO963" i="75"/>
  <c r="BO948" i="75"/>
  <c r="BO959" i="75"/>
  <c r="BO940" i="75"/>
  <c r="BO957" i="75"/>
  <c r="BO949" i="75"/>
  <c r="BO951" i="75"/>
  <c r="BO968" i="75"/>
  <c r="BO960" i="75"/>
  <c r="BO973" i="75"/>
  <c r="BO969" i="75"/>
  <c r="BO965" i="75"/>
  <c r="BO961" i="75"/>
  <c r="BO944" i="75"/>
  <c r="BO936" i="75"/>
  <c r="BO970" i="75"/>
  <c r="BO962" i="75"/>
  <c r="BO966" i="75"/>
  <c r="BO953" i="75"/>
  <c r="BO952" i="75"/>
  <c r="CQ298" i="75"/>
  <c r="CQ310" i="75"/>
  <c r="CQ302" i="75"/>
  <c r="CQ311" i="75"/>
  <c r="CQ309" i="75"/>
  <c r="CQ303" i="75"/>
  <c r="CQ300" i="75"/>
  <c r="CQ306" i="75"/>
  <c r="CQ305" i="75"/>
  <c r="CQ299" i="75"/>
  <c r="CQ304" i="75"/>
  <c r="CQ308" i="75"/>
  <c r="CQ297" i="75"/>
  <c r="CR297" i="75" s="1"/>
  <c r="CQ312" i="75"/>
  <c r="CQ307" i="75"/>
  <c r="CQ301" i="75"/>
  <c r="CU246" i="75"/>
  <c r="CU242" i="75"/>
  <c r="CU250" i="75"/>
  <c r="CU247" i="75"/>
  <c r="CU243" i="75"/>
  <c r="CU241" i="75"/>
  <c r="CV241" i="75" s="1"/>
  <c r="CU251" i="75"/>
  <c r="CU244" i="75"/>
  <c r="CU248" i="75"/>
  <c r="CU252" i="75"/>
  <c r="CU245" i="75"/>
  <c r="CJ592" i="75" a="1"/>
  <c r="CJ608" i="75" s="1"/>
  <c r="BW850" i="75"/>
  <c r="BW819" i="75"/>
  <c r="BX819" i="75" s="1"/>
  <c r="BW842" i="75"/>
  <c r="BW826" i="75"/>
  <c r="BW851" i="75"/>
  <c r="BW825" i="75"/>
  <c r="BW830" i="75"/>
  <c r="BW821" i="75"/>
  <c r="BW848" i="75"/>
  <c r="BW833" i="75"/>
  <c r="BW845" i="75"/>
  <c r="BW820" i="75"/>
  <c r="BW832" i="75"/>
  <c r="BW829" i="75"/>
  <c r="BW849" i="75"/>
  <c r="BW846" i="75"/>
  <c r="BW824" i="75"/>
  <c r="BW837" i="75"/>
  <c r="BW838" i="75"/>
  <c r="BW827" i="75"/>
  <c r="BW841" i="75"/>
  <c r="BW836" i="75"/>
  <c r="BW852" i="75"/>
  <c r="BW844" i="75"/>
  <c r="BW823" i="75"/>
  <c r="BW828" i="75"/>
  <c r="BW853" i="75"/>
  <c r="BW854" i="75"/>
  <c r="BW834" i="75"/>
  <c r="BW835" i="75"/>
  <c r="BW822" i="75"/>
  <c r="BW843" i="75"/>
  <c r="BW840" i="75"/>
  <c r="BW839" i="75"/>
  <c r="BW847" i="75"/>
  <c r="BW831" i="75"/>
  <c r="BO537" i="75"/>
  <c r="BO521" i="75"/>
  <c r="BO524" i="75"/>
  <c r="BO539" i="75"/>
  <c r="BO548" i="75"/>
  <c r="BO540" i="75"/>
  <c r="BO532" i="75"/>
  <c r="BO516" i="75"/>
  <c r="BO509" i="75"/>
  <c r="BP509" i="75" s="1"/>
  <c r="BO531" i="75"/>
  <c r="BO534" i="75"/>
  <c r="BO545" i="75"/>
  <c r="BO529" i="75"/>
  <c r="BO530" i="75"/>
  <c r="BO544" i="75"/>
  <c r="BO528" i="75"/>
  <c r="BO511" i="75"/>
  <c r="BO550" i="75"/>
  <c r="BO525" i="75"/>
  <c r="BO549" i="75"/>
  <c r="BO552" i="75"/>
  <c r="BO523" i="75"/>
  <c r="BO512" i="75"/>
  <c r="BO551" i="75"/>
  <c r="BO543" i="75"/>
  <c r="BO535" i="75"/>
  <c r="BO527" i="75"/>
  <c r="BO520" i="75"/>
  <c r="BO519" i="75"/>
  <c r="BO514" i="75"/>
  <c r="BO518" i="75"/>
  <c r="BO541" i="75"/>
  <c r="BO517" i="75"/>
  <c r="BO546" i="75"/>
  <c r="BO538" i="75"/>
  <c r="BO526" i="75"/>
  <c r="BO513" i="75"/>
  <c r="BO522" i="75"/>
  <c r="BO515" i="75"/>
  <c r="BO510" i="75"/>
  <c r="BO533" i="75"/>
  <c r="BO542" i="75"/>
  <c r="BO346" i="75"/>
  <c r="BO371" i="75"/>
  <c r="BO339" i="75"/>
  <c r="BO331" i="75"/>
  <c r="BO372" i="75"/>
  <c r="BO353" i="75"/>
  <c r="BO334" i="75"/>
  <c r="BO345" i="75"/>
  <c r="BO359" i="75"/>
  <c r="BO337" i="75"/>
  <c r="BO351" i="75"/>
  <c r="BO360" i="75"/>
  <c r="BO335" i="75"/>
  <c r="BO344" i="75"/>
  <c r="BO370" i="75"/>
  <c r="BO362" i="75"/>
  <c r="BO356" i="75"/>
  <c r="BO340" i="75"/>
  <c r="BO332" i="75"/>
  <c r="BO366" i="75"/>
  <c r="BO350" i="75"/>
  <c r="BO349" i="75"/>
  <c r="BO341" i="75"/>
  <c r="BO333" i="75"/>
  <c r="BO369" i="75"/>
  <c r="BO361" i="75"/>
  <c r="BO330" i="75"/>
  <c r="BO364" i="75"/>
  <c r="BO348" i="75"/>
  <c r="BO357" i="75"/>
  <c r="BO365" i="75"/>
  <c r="BO347" i="75"/>
  <c r="BO363" i="75"/>
  <c r="BO355" i="75"/>
  <c r="CC791" i="75"/>
  <c r="CC786" i="75"/>
  <c r="CC783" i="75"/>
  <c r="CC770" i="75"/>
  <c r="CC779" i="75"/>
  <c r="CC792" i="75"/>
  <c r="CC775" i="75"/>
  <c r="CC784" i="75"/>
  <c r="CC771" i="75"/>
  <c r="CC776" i="75"/>
  <c r="CC777" i="75"/>
  <c r="CC773" i="75"/>
  <c r="CC769" i="75"/>
  <c r="CC788" i="75"/>
  <c r="CC780" i="75"/>
  <c r="CC772" i="75"/>
  <c r="CC794" i="75"/>
  <c r="CC766" i="75"/>
  <c r="CC785" i="75"/>
  <c r="CC781" i="75"/>
  <c r="CC778" i="75"/>
  <c r="CC768" i="75"/>
  <c r="CC790" i="75"/>
  <c r="CC782" i="75"/>
  <c r="CC774" i="75"/>
  <c r="CC787" i="75"/>
  <c r="CC767" i="75"/>
  <c r="CC765" i="75"/>
  <c r="CD765" i="75" s="1"/>
  <c r="CC793" i="75"/>
  <c r="CC789" i="75"/>
  <c r="CA1065" i="75"/>
  <c r="CB1065" i="75" s="1"/>
  <c r="CA1071" i="75"/>
  <c r="CA1076" i="75"/>
  <c r="CA1093" i="75"/>
  <c r="CA1090" i="75"/>
  <c r="CA1094" i="75"/>
  <c r="CA1070" i="75"/>
  <c r="CA1089" i="75"/>
  <c r="CA1073" i="75"/>
  <c r="CA1095" i="75"/>
  <c r="CA1092" i="75"/>
  <c r="CA1091" i="75"/>
  <c r="CA1084" i="75"/>
  <c r="CA1087" i="75"/>
  <c r="CA1068" i="75"/>
  <c r="CA1096" i="75"/>
  <c r="CA1088" i="75"/>
  <c r="CA1080" i="75"/>
  <c r="CA1072" i="75"/>
  <c r="CA1086" i="75"/>
  <c r="CA1078" i="75"/>
  <c r="CA1083" i="75"/>
  <c r="CA1082" i="75"/>
  <c r="CA1074" i="75"/>
  <c r="CA1066" i="75"/>
  <c r="CA1079" i="75"/>
  <c r="CA1075" i="75"/>
  <c r="CA1067" i="75"/>
  <c r="CA1085" i="75"/>
  <c r="CA1077" i="75"/>
  <c r="CA1069" i="75"/>
  <c r="CA1081" i="75"/>
  <c r="BC1116" i="75"/>
  <c r="BC1135" i="75"/>
  <c r="BC1143" i="75"/>
  <c r="BC1136" i="75"/>
  <c r="BC1126" i="75"/>
  <c r="BC1139" i="75"/>
  <c r="BC1106" i="75"/>
  <c r="BC1112" i="75"/>
  <c r="BC1150" i="75"/>
  <c r="BC1115" i="75"/>
  <c r="BC1153" i="75"/>
  <c r="BC1111" i="75"/>
  <c r="BC1114" i="75"/>
  <c r="BC1108" i="75"/>
  <c r="BC1109" i="75"/>
  <c r="BC1142" i="75"/>
  <c r="BC1102" i="75"/>
  <c r="BC1134" i="75"/>
  <c r="BC1105" i="75"/>
  <c r="BC1125" i="75"/>
  <c r="BC1151" i="75"/>
  <c r="BC1152" i="75"/>
  <c r="BC1121" i="75"/>
  <c r="BC1124" i="75"/>
  <c r="BC1155" i="75"/>
  <c r="BC1113" i="75"/>
  <c r="BC1147" i="75"/>
  <c r="BC1144" i="75"/>
  <c r="BC1101" i="75"/>
  <c r="BD1101" i="75" s="1"/>
  <c r="BC1122" i="75"/>
  <c r="BC1107" i="75"/>
  <c r="BC1149" i="75"/>
  <c r="BC1138" i="75"/>
  <c r="BC1145" i="75"/>
  <c r="BC1130" i="75"/>
  <c r="BC1110" i="75"/>
  <c r="BC1140" i="75"/>
  <c r="BC1146" i="75"/>
  <c r="BC1133" i="75"/>
  <c r="BC1132" i="75"/>
  <c r="BC1141" i="75"/>
  <c r="BC1137" i="75"/>
  <c r="BC1103" i="75"/>
  <c r="BC1154" i="75"/>
  <c r="BC1118" i="75"/>
  <c r="DC913" i="75"/>
  <c r="DC914" i="75"/>
  <c r="DC912" i="75"/>
  <c r="DC911" i="75"/>
  <c r="DD911" i="75" s="1"/>
  <c r="BV878" i="75" a="1"/>
  <c r="CT975" i="75"/>
  <c r="CT969" i="75"/>
  <c r="CT971" i="75"/>
  <c r="CT976" i="75"/>
  <c r="CT974" i="75"/>
  <c r="CT964" i="75"/>
  <c r="CT967" i="75"/>
  <c r="CT972" i="75"/>
  <c r="CT970" i="75"/>
  <c r="CT968" i="75"/>
  <c r="CT973" i="75"/>
  <c r="CT966" i="75"/>
  <c r="CT965" i="75"/>
  <c r="CE366" i="75"/>
  <c r="CE352" i="75"/>
  <c r="CE346" i="75"/>
  <c r="CE365" i="75"/>
  <c r="CE364" i="75"/>
  <c r="CE360" i="75"/>
  <c r="CE351" i="75"/>
  <c r="CE361" i="75"/>
  <c r="CE358" i="75"/>
  <c r="CE347" i="75"/>
  <c r="CE370" i="75"/>
  <c r="CE357" i="75"/>
  <c r="CE350" i="75"/>
  <c r="CE356" i="75"/>
  <c r="CE353" i="75"/>
  <c r="CE354" i="75"/>
  <c r="CE372" i="75"/>
  <c r="CE362" i="75"/>
  <c r="CE363" i="75"/>
  <c r="CE369" i="75"/>
  <c r="CE359" i="75"/>
  <c r="CE349" i="75"/>
  <c r="CE348" i="75"/>
  <c r="CE345" i="75"/>
  <c r="CF345" i="75" s="1"/>
  <c r="CE355" i="75"/>
  <c r="CE371" i="75"/>
  <c r="CE367" i="75"/>
  <c r="CE368" i="75"/>
  <c r="BQ469" i="75"/>
  <c r="BQ468" i="75"/>
  <c r="BQ470" i="75"/>
  <c r="BQ477" i="75"/>
  <c r="BQ461" i="75"/>
  <c r="BQ453" i="75"/>
  <c r="BQ488" i="75"/>
  <c r="BQ472" i="75"/>
  <c r="BQ476" i="75"/>
  <c r="BQ489" i="75"/>
  <c r="BQ481" i="75"/>
  <c r="BQ460" i="75"/>
  <c r="BQ452" i="75"/>
  <c r="BQ486" i="75"/>
  <c r="BQ478" i="75"/>
  <c r="BQ459" i="75"/>
  <c r="BQ492" i="75"/>
  <c r="BQ474" i="75"/>
  <c r="BQ466" i="75"/>
  <c r="BQ479" i="75"/>
  <c r="BQ457" i="75"/>
  <c r="BQ484" i="75"/>
  <c r="BQ458" i="75"/>
  <c r="BP330" i="75" a="1"/>
  <c r="DC672" i="75"/>
  <c r="DC671" i="75"/>
  <c r="DD671" i="75" s="1"/>
  <c r="DC674" i="75"/>
  <c r="DC673" i="75"/>
  <c r="CI469" i="75"/>
  <c r="CJ469" i="75" s="1"/>
  <c r="CI487" i="75"/>
  <c r="CI481" i="75"/>
  <c r="CI482" i="75"/>
  <c r="CI473" i="75"/>
  <c r="CI480" i="75"/>
  <c r="CI486" i="75"/>
  <c r="CI470" i="75"/>
  <c r="CI491" i="75"/>
  <c r="CI475" i="75"/>
  <c r="CI479" i="75"/>
  <c r="CI492" i="75"/>
  <c r="CI476" i="75"/>
  <c r="CI489" i="75"/>
  <c r="CI471" i="75"/>
  <c r="CI484" i="75"/>
  <c r="CI474" i="75"/>
  <c r="CI477" i="75"/>
  <c r="CI483" i="75"/>
  <c r="CI488" i="75"/>
  <c r="CI478" i="75"/>
  <c r="CI485" i="75"/>
  <c r="CI490" i="75"/>
  <c r="CI472" i="75"/>
  <c r="CN304" i="75"/>
  <c r="CN309" i="75"/>
  <c r="CN302" i="75"/>
  <c r="CN305" i="75"/>
  <c r="CN298" i="75"/>
  <c r="CN311" i="75"/>
  <c r="CN306" i="75"/>
  <c r="CN312" i="75"/>
  <c r="CN303" i="75"/>
  <c r="CN310" i="75"/>
  <c r="CN295" i="75"/>
  <c r="CE550" i="75"/>
  <c r="CE537" i="75"/>
  <c r="CE544" i="75"/>
  <c r="CE528" i="75"/>
  <c r="CE547" i="75"/>
  <c r="CE539" i="75"/>
  <c r="CE531" i="75"/>
  <c r="CE533" i="75"/>
  <c r="CE551" i="75"/>
  <c r="CE545" i="75"/>
  <c r="CE543" i="75"/>
  <c r="CE529" i="75"/>
  <c r="CE535" i="75"/>
  <c r="CE546" i="75"/>
  <c r="CE527" i="75"/>
  <c r="CE538" i="75"/>
  <c r="CE530" i="75"/>
  <c r="CE552" i="75"/>
  <c r="CE526" i="75"/>
  <c r="CE548" i="75"/>
  <c r="CE540" i="75"/>
  <c r="CE532" i="75"/>
  <c r="CE525" i="75"/>
  <c r="CF525" i="75" s="1"/>
  <c r="CE542" i="75"/>
  <c r="CE534" i="75"/>
  <c r="CE549" i="75"/>
  <c r="CE541" i="75"/>
  <c r="CE536" i="75"/>
  <c r="CM235" i="75"/>
  <c r="CM246" i="75"/>
  <c r="CM247" i="75"/>
  <c r="CM251" i="75"/>
  <c r="CM234" i="75"/>
  <c r="CM245" i="75"/>
  <c r="CM233" i="75"/>
  <c r="CN233" i="75" s="1"/>
  <c r="CM250" i="75"/>
  <c r="CM249" i="75"/>
  <c r="CM252" i="75"/>
  <c r="CM236" i="75"/>
  <c r="CM238" i="75"/>
  <c r="CM248" i="75"/>
  <c r="BX278" i="75" a="1"/>
  <c r="BP1054" i="75" a="1"/>
  <c r="BK831" i="75"/>
  <c r="BK847" i="75"/>
  <c r="BK845" i="75"/>
  <c r="BK810" i="75"/>
  <c r="BK841" i="75"/>
  <c r="BK825" i="75"/>
  <c r="BK813" i="75"/>
  <c r="BK850" i="75"/>
  <c r="BK836" i="75"/>
  <c r="BK854" i="75"/>
  <c r="BK820" i="75"/>
  <c r="BK842" i="75"/>
  <c r="BK812" i="75"/>
  <c r="BK833" i="75"/>
  <c r="BK816" i="75"/>
  <c r="BK834" i="75"/>
  <c r="BK808" i="75"/>
  <c r="BK829" i="75"/>
  <c r="BK835" i="75"/>
  <c r="BK826" i="75"/>
  <c r="BK814" i="75"/>
  <c r="BK851" i="75"/>
  <c r="BK830" i="75"/>
  <c r="BK818" i="75"/>
  <c r="BK822" i="75"/>
  <c r="BK843" i="75"/>
  <c r="BK823" i="75"/>
  <c r="BK848" i="75"/>
  <c r="BK819" i="75"/>
  <c r="BK839" i="75"/>
  <c r="BK815" i="75"/>
  <c r="BK840" i="75"/>
  <c r="BK846" i="75"/>
  <c r="BK837" i="75"/>
  <c r="BK838" i="75"/>
  <c r="BK807" i="75"/>
  <c r="BL807" i="75" s="1"/>
  <c r="BK828" i="75"/>
  <c r="BK817" i="75"/>
  <c r="BK832" i="75"/>
  <c r="BK809" i="75"/>
  <c r="BK824" i="75"/>
  <c r="BK811" i="75"/>
  <c r="BK853" i="75"/>
  <c r="BK849" i="75"/>
  <c r="BK821" i="75"/>
  <c r="BK844" i="75"/>
  <c r="BK827" i="75"/>
  <c r="BK852" i="75"/>
  <c r="CT602" i="75" a="1"/>
  <c r="CH1134" i="75"/>
  <c r="CH1151" i="75"/>
  <c r="CH1141" i="75"/>
  <c r="CH1133" i="75"/>
  <c r="CH1149" i="75"/>
  <c r="CH1137" i="75"/>
  <c r="CH1156" i="75"/>
  <c r="CH1147" i="75"/>
  <c r="CH1142" i="75"/>
  <c r="CH1150" i="75"/>
  <c r="CH1146" i="75"/>
  <c r="CH1152" i="75"/>
  <c r="CT429" i="75"/>
  <c r="CT425" i="75"/>
  <c r="CT423" i="75"/>
  <c r="CT428" i="75"/>
  <c r="CT422" i="75"/>
  <c r="CT424" i="75"/>
  <c r="CT427" i="75"/>
  <c r="CT421" i="75"/>
  <c r="CT420" i="75"/>
  <c r="CT432" i="75"/>
  <c r="CT426" i="75"/>
  <c r="CT430" i="75"/>
  <c r="CT431" i="75"/>
  <c r="CO422" i="75"/>
  <c r="CO419" i="75"/>
  <c r="CO420" i="75"/>
  <c r="CO429" i="75"/>
  <c r="CO421" i="75"/>
  <c r="CO430" i="75"/>
  <c r="CO417" i="75"/>
  <c r="CO427" i="75"/>
  <c r="CO424" i="75"/>
  <c r="CO432" i="75"/>
  <c r="CO416" i="75"/>
  <c r="CU1216" i="75"/>
  <c r="CU1206" i="75"/>
  <c r="CU1205" i="75"/>
  <c r="CV1205" i="75" s="1"/>
  <c r="CU1215" i="75"/>
  <c r="CU1213" i="75"/>
  <c r="CU1210" i="75"/>
  <c r="CU1208" i="75"/>
  <c r="CU1214" i="75"/>
  <c r="CU1207" i="75"/>
  <c r="CU1212" i="75"/>
  <c r="CU1211" i="75"/>
  <c r="CU1209" i="75"/>
  <c r="BL1092" i="75"/>
  <c r="BL1076" i="75"/>
  <c r="BL1064" i="75"/>
  <c r="BL1079" i="75"/>
  <c r="BL1078" i="75"/>
  <c r="BL1059" i="75"/>
  <c r="BL1058" i="75"/>
  <c r="BL1093" i="75"/>
  <c r="BL1050" i="75"/>
  <c r="BL1074" i="75"/>
  <c r="BL1084" i="75"/>
  <c r="BL1060" i="75"/>
  <c r="BL1068" i="75"/>
  <c r="BL1089" i="75"/>
  <c r="BL1086" i="75"/>
  <c r="BL1090" i="75"/>
  <c r="BL1094" i="75"/>
  <c r="BL1096" i="75"/>
  <c r="BL1057" i="75"/>
  <c r="BL1073" i="75"/>
  <c r="BL1055" i="75"/>
  <c r="BL1072" i="75"/>
  <c r="BL1080" i="75"/>
  <c r="BL1077" i="75"/>
  <c r="BL1085" i="75"/>
  <c r="BL1069" i="75"/>
  <c r="BL1061" i="75"/>
  <c r="BL1091" i="75"/>
  <c r="BL1063" i="75"/>
  <c r="BL1083" i="75"/>
  <c r="BL1088" i="75"/>
  <c r="BL1056" i="75"/>
  <c r="CJ898" i="75"/>
  <c r="CJ901" i="75"/>
  <c r="CJ897" i="75"/>
  <c r="CJ905" i="75"/>
  <c r="BT1183" i="75"/>
  <c r="BT1203" i="75"/>
  <c r="BT1200" i="75"/>
  <c r="BT1178" i="75"/>
  <c r="BT1182" i="75"/>
  <c r="BT1214" i="75"/>
  <c r="CD647" i="75"/>
  <c r="CD663" i="75"/>
  <c r="CD651" i="75"/>
  <c r="CD650" i="75"/>
  <c r="CD655" i="75"/>
  <c r="CD667" i="75"/>
  <c r="CD668" i="75"/>
  <c r="CD661" i="75"/>
  <c r="CD654" i="75"/>
  <c r="CD664" i="75"/>
  <c r="CD657" i="75"/>
  <c r="CD674" i="75"/>
  <c r="CD659" i="75"/>
  <c r="BP1262" i="75"/>
  <c r="BP1240" i="75"/>
  <c r="BP1270" i="75"/>
  <c r="BP1245" i="75"/>
  <c r="BP1257" i="75"/>
  <c r="BP1251" i="75"/>
  <c r="BP1252" i="75"/>
  <c r="BP1241" i="75"/>
  <c r="BP1246" i="75"/>
  <c r="BP1247" i="75"/>
  <c r="BP1235" i="75"/>
  <c r="BP1263" i="75"/>
  <c r="BP1236" i="75"/>
  <c r="BP1261" i="75"/>
  <c r="BP1276" i="75"/>
  <c r="BP1256" i="75"/>
  <c r="BP1254" i="75"/>
  <c r="BP1273" i="75"/>
  <c r="BP1239" i="75"/>
  <c r="BY897" i="75"/>
  <c r="BY885" i="75"/>
  <c r="BY888" i="75"/>
  <c r="BY906" i="75"/>
  <c r="BY894" i="75"/>
  <c r="BY893" i="75"/>
  <c r="BY881" i="75"/>
  <c r="BZ881" i="75" s="1"/>
  <c r="BY911" i="75"/>
  <c r="BY909" i="75"/>
  <c r="BY891" i="75"/>
  <c r="BY898" i="75"/>
  <c r="BY905" i="75"/>
  <c r="BY890" i="75"/>
  <c r="BY889" i="75"/>
  <c r="BY882" i="75"/>
  <c r="BY914" i="75"/>
  <c r="BY907" i="75"/>
  <c r="BY902" i="75"/>
  <c r="BY900" i="75"/>
  <c r="BY908" i="75"/>
  <c r="BY912" i="75"/>
  <c r="BY884" i="75"/>
  <c r="BY901" i="75"/>
  <c r="BY899" i="75"/>
  <c r="BY895" i="75"/>
  <c r="BY913" i="75"/>
  <c r="BY892" i="75"/>
  <c r="BY896" i="75"/>
  <c r="BY903" i="75"/>
  <c r="BY910" i="75"/>
  <c r="BY887" i="75"/>
  <c r="BY883" i="75"/>
  <c r="BY886" i="75"/>
  <c r="BY904" i="75"/>
  <c r="BI1011" i="75"/>
  <c r="BI995" i="75"/>
  <c r="BI1009" i="75"/>
  <c r="BI1004" i="75"/>
  <c r="BI993" i="75"/>
  <c r="BI1031" i="75"/>
  <c r="BI1015" i="75"/>
  <c r="BI999" i="75"/>
  <c r="BI1019" i="75"/>
  <c r="BI1003" i="75"/>
  <c r="BI987" i="75"/>
  <c r="BJ987" i="75" s="1"/>
  <c r="BI1034" i="75"/>
  <c r="BI1018" i="75"/>
  <c r="BI1033" i="75"/>
  <c r="BI1002" i="75"/>
  <c r="BI1025" i="75"/>
  <c r="BI1036" i="75"/>
  <c r="BI1017" i="75"/>
  <c r="BI1020" i="75"/>
  <c r="BI1000" i="75"/>
  <c r="BI988" i="75"/>
  <c r="BI1001" i="75"/>
  <c r="BI1030" i="75"/>
  <c r="BI1014" i="75"/>
  <c r="BI998" i="75"/>
  <c r="BI1032" i="75"/>
  <c r="BI1016" i="75"/>
  <c r="BI992" i="75"/>
  <c r="BI1013" i="75"/>
  <c r="BI1035" i="75"/>
  <c r="BI1005" i="75"/>
  <c r="BI997" i="75"/>
  <c r="BI989" i="75"/>
  <c r="BI1022" i="75"/>
  <c r="BI1024" i="75"/>
  <c r="BI1007" i="75"/>
  <c r="BI991" i="75"/>
  <c r="BI1006" i="75"/>
  <c r="BI1029" i="75"/>
  <c r="BI990" i="75"/>
  <c r="BI1008" i="75"/>
  <c r="BI996" i="75"/>
  <c r="BI1023" i="75"/>
  <c r="DC430" i="75"/>
  <c r="DC431" i="75"/>
  <c r="BY549" i="75"/>
  <c r="BY551" i="75"/>
  <c r="BY544" i="75"/>
  <c r="BY535" i="75"/>
  <c r="BY528" i="75"/>
  <c r="BY532" i="75"/>
  <c r="BY519" i="75"/>
  <c r="BZ519" i="75" s="1"/>
  <c r="BY534" i="75"/>
  <c r="BY547" i="75"/>
  <c r="BY552" i="75"/>
  <c r="BY539" i="75"/>
  <c r="BY536" i="75"/>
  <c r="BY531" i="75"/>
  <c r="BY520" i="75"/>
  <c r="BY523" i="75"/>
  <c r="BY545" i="75"/>
  <c r="BY540" i="75"/>
  <c r="BY524" i="75"/>
  <c r="BY541" i="75"/>
  <c r="BY533" i="75"/>
  <c r="BY525" i="75"/>
  <c r="BY550" i="75"/>
  <c r="BY542" i="75"/>
  <c r="BY548" i="75"/>
  <c r="BY537" i="75"/>
  <c r="BY529" i="75"/>
  <c r="BY521" i="75"/>
  <c r="BY543" i="75"/>
  <c r="BY527" i="75"/>
  <c r="BY546" i="75"/>
  <c r="BY538" i="75"/>
  <c r="BY530" i="75"/>
  <c r="BY522" i="75"/>
  <c r="BY526" i="75"/>
  <c r="CD839" i="75"/>
  <c r="CJ1258" i="75"/>
  <c r="CJ1268" i="75"/>
  <c r="CJ1254" i="75"/>
  <c r="CJ1261" i="75"/>
  <c r="CJ1272" i="75"/>
  <c r="CJ1255" i="75"/>
  <c r="CJ1263" i="75"/>
  <c r="CJ1275" i="75"/>
  <c r="CJ1270" i="75"/>
  <c r="CJ1260" i="75"/>
  <c r="CJ1257" i="75"/>
  <c r="CJ1273" i="75"/>
  <c r="CJ1262" i="75"/>
  <c r="CJ1267" i="75"/>
  <c r="CJ1256" i="75"/>
  <c r="CJ1269" i="75"/>
  <c r="CJ1266" i="75"/>
  <c r="CJ1265" i="75"/>
  <c r="CJ1274" i="75"/>
  <c r="CJ1264" i="75"/>
  <c r="CJ1271" i="75"/>
  <c r="CJ1276" i="75"/>
  <c r="CJ1259" i="75"/>
  <c r="BG1023" i="75"/>
  <c r="BG1003" i="75"/>
  <c r="BG990" i="75"/>
  <c r="BG996" i="75"/>
  <c r="BG1026" i="75"/>
  <c r="BG1029" i="75"/>
  <c r="BG1031" i="75"/>
  <c r="BG1027" i="75"/>
  <c r="BG1019" i="75"/>
  <c r="BG1011" i="75"/>
  <c r="BG1030" i="75"/>
  <c r="BG1012" i="75"/>
  <c r="CF845" i="75"/>
  <c r="BD1185" i="75"/>
  <c r="BD1172" i="75"/>
  <c r="BD1176" i="75"/>
  <c r="BD1204" i="75"/>
  <c r="BD1174" i="75"/>
  <c r="BD1194" i="75"/>
  <c r="BD1191" i="75"/>
  <c r="BD1169" i="75"/>
  <c r="BD1212" i="75"/>
  <c r="BD1187" i="75"/>
  <c r="BD1213" i="75"/>
  <c r="CN1267" i="75"/>
  <c r="CN1271" i="75"/>
  <c r="CN1264" i="75"/>
  <c r="CN1266" i="75"/>
  <c r="CN1273" i="75"/>
  <c r="CN1272" i="75"/>
  <c r="CN1274" i="75"/>
  <c r="CN1275" i="75"/>
  <c r="CN1260" i="75"/>
  <c r="CN1258" i="75"/>
  <c r="CN1261" i="75"/>
  <c r="CN1262" i="75"/>
  <c r="CN1263" i="75"/>
  <c r="CE649" i="75"/>
  <c r="CE655" i="75"/>
  <c r="CE674" i="75"/>
  <c r="CE666" i="75"/>
  <c r="CE648" i="75"/>
  <c r="CE673" i="75"/>
  <c r="CE661" i="75"/>
  <c r="CE659" i="75"/>
  <c r="CE651" i="75"/>
  <c r="CE668" i="75"/>
  <c r="CE660" i="75"/>
  <c r="CE652" i="75"/>
  <c r="BL386" i="75" a="1"/>
  <c r="CO1088" i="75"/>
  <c r="CO1083" i="75"/>
  <c r="CO1089" i="75"/>
  <c r="CO1081" i="75"/>
  <c r="CO1084" i="75"/>
  <c r="CO1096" i="75"/>
  <c r="CO1082" i="75"/>
  <c r="CO1090" i="75"/>
  <c r="CO1079" i="75"/>
  <c r="CP1079" i="75" s="1"/>
  <c r="CO1095" i="75"/>
  <c r="CO1087" i="75"/>
  <c r="CO1093" i="75"/>
  <c r="CO1085" i="75"/>
  <c r="CO1092" i="75"/>
  <c r="CO1094" i="75"/>
  <c r="CO1086" i="75"/>
  <c r="CO1080" i="75"/>
  <c r="CO1091" i="75"/>
  <c r="BK1257" i="75"/>
  <c r="BK1231" i="75"/>
  <c r="BK1268" i="75"/>
  <c r="BK1249" i="75"/>
  <c r="BK1262" i="75"/>
  <c r="BK1252" i="75"/>
  <c r="BK1271" i="75"/>
  <c r="BK1248" i="75"/>
  <c r="BK1259" i="75"/>
  <c r="BK1274" i="75"/>
  <c r="BK1239" i="75"/>
  <c r="BK1236" i="75"/>
  <c r="BK1273" i="75"/>
  <c r="BK1270" i="75"/>
  <c r="BK1269" i="75"/>
  <c r="BK1254" i="75"/>
  <c r="BK1265" i="75"/>
  <c r="BK1246" i="75"/>
  <c r="BK1261" i="75"/>
  <c r="BK1238" i="75"/>
  <c r="BK1275" i="75"/>
  <c r="BK1258" i="75"/>
  <c r="BK1267" i="75"/>
  <c r="BK1250" i="75"/>
  <c r="BK1263" i="75"/>
  <c r="BK1242" i="75"/>
  <c r="BK1255" i="75"/>
  <c r="BK1234" i="75"/>
  <c r="BK1251" i="75"/>
  <c r="BK1276" i="75"/>
  <c r="BK1247" i="75"/>
  <c r="BK1260" i="75"/>
  <c r="BK1243" i="75"/>
  <c r="BK1244" i="75"/>
  <c r="BK1237" i="75"/>
  <c r="BK1229" i="75"/>
  <c r="BL1229" i="75" s="1"/>
  <c r="BK1235" i="75"/>
  <c r="BK1230" i="75"/>
  <c r="BK1253" i="75"/>
  <c r="BK1245" i="75"/>
  <c r="BK1241" i="75"/>
  <c r="BK1266" i="75"/>
  <c r="BK1233" i="75"/>
  <c r="BK1272" i="75"/>
  <c r="BK1264" i="75"/>
  <c r="BK1256" i="75"/>
  <c r="BK1240" i="75"/>
  <c r="BK1232" i="75"/>
  <c r="DA427" i="75"/>
  <c r="DB427" i="75" s="1"/>
  <c r="DA429" i="75"/>
  <c r="DA428" i="75"/>
  <c r="BL568" i="75" a="1"/>
  <c r="BL612" i="75" s="1"/>
  <c r="BF1104" i="75" a="1"/>
  <c r="BF1153" i="75" s="1"/>
  <c r="BL326" i="75" a="1"/>
  <c r="CB834" i="75"/>
  <c r="CC1196" i="75"/>
  <c r="CC1210" i="75"/>
  <c r="CC1209" i="75"/>
  <c r="CC1206" i="75"/>
  <c r="CC1193" i="75"/>
  <c r="CC1214" i="75"/>
  <c r="CC1204" i="75"/>
  <c r="CC1211" i="75"/>
  <c r="CC1203" i="75"/>
  <c r="CC1195" i="75"/>
  <c r="CC1216" i="75"/>
  <c r="CC1205" i="75"/>
  <c r="CC1201" i="75"/>
  <c r="CC1189" i="75"/>
  <c r="CC1207" i="75"/>
  <c r="CC1199" i="75"/>
  <c r="CC1191" i="75"/>
  <c r="CC1212" i="75"/>
  <c r="CC1187" i="75"/>
  <c r="CD1187" i="75" s="1"/>
  <c r="CC1190" i="75"/>
  <c r="CC1202" i="75"/>
  <c r="CC1213" i="75"/>
  <c r="CC1188" i="75"/>
  <c r="CC1208" i="75"/>
  <c r="CC1200" i="75"/>
  <c r="CC1192" i="75"/>
  <c r="CC1198" i="75"/>
  <c r="CC1194" i="75"/>
  <c r="CC1215" i="75"/>
  <c r="CC1197" i="75"/>
  <c r="CZ848" i="75" a="1"/>
  <c r="CZ853" i="75" s="1"/>
  <c r="BT454" i="75" a="1"/>
  <c r="BT480" i="75" s="1"/>
  <c r="BD620" i="75" a="1"/>
  <c r="BD655" i="75" s="1"/>
  <c r="CX667" i="75"/>
  <c r="CX669" i="75"/>
  <c r="CX666" i="75"/>
  <c r="CX671" i="75"/>
  <c r="CX674" i="75"/>
  <c r="CX672" i="75"/>
  <c r="CX673" i="75"/>
  <c r="CX670" i="75"/>
  <c r="CX668" i="75"/>
  <c r="CF786" i="75"/>
  <c r="CF770" i="75"/>
  <c r="CD725" i="75"/>
  <c r="CD714" i="75"/>
  <c r="CI781" i="75"/>
  <c r="CI773" i="75"/>
  <c r="CI791" i="75"/>
  <c r="CI787" i="75"/>
  <c r="CI783" i="75"/>
  <c r="CI774" i="75"/>
  <c r="CI792" i="75"/>
  <c r="CI771" i="75"/>
  <c r="CJ771" i="75" s="1"/>
  <c r="CI784" i="75"/>
  <c r="CI776" i="75"/>
  <c r="CI793" i="75"/>
  <c r="CI794" i="75"/>
  <c r="CI789" i="75"/>
  <c r="CI786" i="75"/>
  <c r="CI785" i="75"/>
  <c r="CI778" i="75"/>
  <c r="CI779" i="75"/>
  <c r="CI788" i="75"/>
  <c r="CI780" i="75"/>
  <c r="CI772" i="75"/>
  <c r="CI790" i="75"/>
  <c r="CI777" i="75"/>
  <c r="CI775" i="75"/>
  <c r="CI782" i="75"/>
  <c r="CV968" i="75"/>
  <c r="CV975" i="75"/>
  <c r="CV972" i="75"/>
  <c r="CV967" i="75"/>
  <c r="CV976" i="75"/>
  <c r="CV966" i="75"/>
  <c r="CK667" i="75"/>
  <c r="CK672" i="75"/>
  <c r="CK659" i="75"/>
  <c r="CK662" i="75"/>
  <c r="CK654" i="75"/>
  <c r="CK666" i="75"/>
  <c r="CK656" i="75"/>
  <c r="CK653" i="75"/>
  <c r="CL653" i="75" s="1"/>
  <c r="CK663" i="75"/>
  <c r="CK655" i="75"/>
  <c r="CK664" i="75"/>
  <c r="CK668" i="75"/>
  <c r="CK674" i="75"/>
  <c r="CK657" i="75"/>
  <c r="CK658" i="75"/>
  <c r="CK669" i="75"/>
  <c r="CK673" i="75"/>
  <c r="CK665" i="75"/>
  <c r="CK661" i="75"/>
  <c r="CK671" i="75"/>
  <c r="CK670" i="75"/>
  <c r="CK660" i="75"/>
  <c r="BT780" i="75"/>
  <c r="BE400" i="75"/>
  <c r="BE430" i="75"/>
  <c r="BE397" i="75"/>
  <c r="BE412" i="75"/>
  <c r="BE389" i="75"/>
  <c r="BE414" i="75"/>
  <c r="BE404" i="75"/>
  <c r="BE388" i="75"/>
  <c r="BE403" i="75"/>
  <c r="BE387" i="75"/>
  <c r="BE395" i="75"/>
  <c r="BE417" i="75"/>
  <c r="BE381" i="75"/>
  <c r="BE422" i="75"/>
  <c r="BE419" i="75"/>
  <c r="BE416" i="75"/>
  <c r="BE427" i="75"/>
  <c r="BE411" i="75"/>
  <c r="BE396" i="75"/>
  <c r="BE383" i="75"/>
  <c r="BE382" i="75"/>
  <c r="BE384" i="75"/>
  <c r="BE380" i="75"/>
  <c r="BE407" i="75"/>
  <c r="BE431" i="75"/>
  <c r="BE409" i="75"/>
  <c r="BE386" i="75"/>
  <c r="BE393" i="75"/>
  <c r="BE415" i="75"/>
  <c r="BE424" i="75"/>
  <c r="BE392" i="75"/>
  <c r="BE426" i="75"/>
  <c r="BE399" i="75"/>
  <c r="BE408" i="75"/>
  <c r="BE379" i="75"/>
  <c r="BF379" i="75" s="1"/>
  <c r="BE398" i="75"/>
  <c r="BE429" i="75"/>
  <c r="BE413" i="75"/>
  <c r="BE391" i="75"/>
  <c r="BE421" i="75"/>
  <c r="BE405" i="75"/>
  <c r="BE425" i="75"/>
  <c r="BE402" i="75"/>
  <c r="BE418" i="75"/>
  <c r="BW712" i="75"/>
  <c r="BW711" i="75"/>
  <c r="BW729" i="75"/>
  <c r="BW721" i="75"/>
  <c r="BW713" i="75"/>
  <c r="BW705" i="75"/>
  <c r="BW724" i="75"/>
  <c r="BW708" i="75"/>
  <c r="BW727" i="75"/>
  <c r="BW719" i="75"/>
  <c r="BW734" i="75"/>
  <c r="BW723" i="75"/>
  <c r="BW702" i="75"/>
  <c r="BW700" i="75"/>
  <c r="BW720" i="75"/>
  <c r="BW715" i="75"/>
  <c r="BW704" i="75"/>
  <c r="BW710" i="75"/>
  <c r="BW722" i="75"/>
  <c r="BW725" i="75"/>
  <c r="BW732" i="75"/>
  <c r="BW731" i="75"/>
  <c r="BW701" i="75"/>
  <c r="BW703" i="75"/>
  <c r="BW716" i="75"/>
  <c r="BW718" i="75"/>
  <c r="BW706" i="75"/>
  <c r="BW726" i="75"/>
  <c r="BW730" i="75"/>
  <c r="BW699" i="75"/>
  <c r="BX699" i="75" s="1"/>
  <c r="BW717" i="75"/>
  <c r="BW714" i="75"/>
  <c r="BW707" i="75"/>
  <c r="BW728" i="75"/>
  <c r="BW733" i="75"/>
  <c r="BW709" i="75"/>
  <c r="BE751" i="75"/>
  <c r="BE787" i="75"/>
  <c r="BE774" i="75"/>
  <c r="BE748" i="75"/>
  <c r="BE758" i="75"/>
  <c r="BE794" i="75"/>
  <c r="BE778" i="75"/>
  <c r="BE770" i="75"/>
  <c r="BE754" i="75"/>
  <c r="BE783" i="75"/>
  <c r="BE775" i="75"/>
  <c r="BE767" i="75"/>
  <c r="BE755" i="75"/>
  <c r="BE747" i="75"/>
  <c r="BE790" i="75"/>
  <c r="BE782" i="75"/>
  <c r="BE791" i="75"/>
  <c r="BE750" i="75"/>
  <c r="BE776" i="75"/>
  <c r="BE742" i="75"/>
  <c r="BE746" i="75"/>
  <c r="BE780" i="75"/>
  <c r="BE757" i="75"/>
  <c r="BE793" i="75"/>
  <c r="BE749" i="75"/>
  <c r="BE743" i="75"/>
  <c r="BE789" i="75"/>
  <c r="BE764" i="75"/>
  <c r="BE772" i="75"/>
  <c r="BE777" i="75"/>
  <c r="BE792" i="75"/>
  <c r="BE762" i="75"/>
  <c r="BE773" i="75"/>
  <c r="BE788" i="75"/>
  <c r="BE769" i="75"/>
  <c r="BE753" i="75"/>
  <c r="BE785" i="75"/>
  <c r="BE781" i="75"/>
  <c r="BE759" i="75"/>
  <c r="BE741" i="75"/>
  <c r="BF741" i="75" s="1"/>
  <c r="BE784" i="75"/>
  <c r="BE760" i="75"/>
  <c r="BE779" i="75"/>
  <c r="BE768" i="75"/>
  <c r="BE745" i="75"/>
  <c r="BE765" i="75"/>
  <c r="BE752" i="75"/>
  <c r="BE756" i="75"/>
  <c r="BD378" i="75" a="1"/>
  <c r="BN328" i="75" a="1"/>
  <c r="BN338" i="75" s="1"/>
  <c r="CA733" i="75"/>
  <c r="CA728" i="75"/>
  <c r="CA734" i="75"/>
  <c r="CA713" i="75"/>
  <c r="CA705" i="75"/>
  <c r="CA726" i="75"/>
  <c r="CA718" i="75"/>
  <c r="CA710" i="75"/>
  <c r="CA715" i="75"/>
  <c r="CA706" i="75"/>
  <c r="CA711" i="75"/>
  <c r="CA720" i="75"/>
  <c r="CA707" i="75"/>
  <c r="CA712" i="75"/>
  <c r="CA729" i="75"/>
  <c r="CA704" i="75"/>
  <c r="CA725" i="75"/>
  <c r="CA721" i="75"/>
  <c r="CA717" i="75"/>
  <c r="CA722" i="75"/>
  <c r="CA719" i="75"/>
  <c r="CA709" i="75"/>
  <c r="CA732" i="75"/>
  <c r="CA724" i="75"/>
  <c r="CA716" i="75"/>
  <c r="CA708" i="75"/>
  <c r="CA730" i="75"/>
  <c r="CA731" i="75"/>
  <c r="CA727" i="75"/>
  <c r="CA723" i="75"/>
  <c r="CA714" i="75"/>
  <c r="CA703" i="75"/>
  <c r="CB703" i="75" s="1"/>
  <c r="CP658" i="75"/>
  <c r="CP674" i="75"/>
  <c r="CP661" i="75"/>
  <c r="CP669" i="75"/>
  <c r="CP660" i="75"/>
  <c r="CP671" i="75"/>
  <c r="CL352" i="75" a="1"/>
  <c r="CC659" i="75"/>
  <c r="CC645" i="75"/>
  <c r="CD645" i="75" s="1"/>
  <c r="CC670" i="75"/>
  <c r="CC654" i="75"/>
  <c r="CC673" i="75"/>
  <c r="CC668" i="75"/>
  <c r="CC669" i="75"/>
  <c r="CC660" i="75"/>
  <c r="CC665" i="75"/>
  <c r="CC652" i="75"/>
  <c r="CC661" i="75"/>
  <c r="CC674" i="75"/>
  <c r="CC651" i="75"/>
  <c r="CC647" i="75"/>
  <c r="CC672" i="75"/>
  <c r="CC664" i="75"/>
  <c r="CC656" i="75"/>
  <c r="CC648" i="75"/>
  <c r="CC662" i="75"/>
  <c r="CC655" i="75"/>
  <c r="CC646" i="75"/>
  <c r="CC666" i="75"/>
  <c r="CC658" i="75"/>
  <c r="CC650" i="75"/>
  <c r="CC657" i="75"/>
  <c r="CC653" i="75"/>
  <c r="CC649" i="75"/>
  <c r="CC671" i="75"/>
  <c r="CC667" i="75"/>
  <c r="CC663" i="75"/>
  <c r="BJ531" i="75"/>
  <c r="BJ522" i="75"/>
  <c r="BJ524" i="75"/>
  <c r="BJ536" i="75"/>
  <c r="BJ546" i="75"/>
  <c r="BJ549" i="75"/>
  <c r="BJ551" i="75"/>
  <c r="BJ520" i="75"/>
  <c r="BJ511" i="75"/>
  <c r="BJ542" i="75"/>
  <c r="BJ519" i="75"/>
  <c r="BJ530" i="75"/>
  <c r="BJ526" i="75"/>
  <c r="BJ515" i="75"/>
  <c r="BJ521" i="75"/>
  <c r="BJ506" i="75"/>
  <c r="BJ548" i="75"/>
  <c r="BJ535" i="75"/>
  <c r="BJ528" i="75"/>
  <c r="BJ538" i="75"/>
  <c r="BJ517" i="75"/>
  <c r="BJ527" i="75"/>
  <c r="BJ505" i="75"/>
  <c r="BJ529" i="75"/>
  <c r="BJ550" i="75"/>
  <c r="BJ691" i="75"/>
  <c r="BJ686" i="75"/>
  <c r="BJ687" i="75"/>
  <c r="BJ694" i="75"/>
  <c r="BJ705" i="75"/>
  <c r="BJ726" i="75"/>
  <c r="BJ715" i="75"/>
  <c r="BJ733" i="75"/>
  <c r="BJ731" i="75"/>
  <c r="BJ707" i="75"/>
  <c r="BJ725" i="75"/>
  <c r="BJ716" i="75"/>
  <c r="CH600" i="75"/>
  <c r="CH605" i="75"/>
  <c r="CH591" i="75"/>
  <c r="CL1076" i="75" a="1"/>
  <c r="CN1035" i="75"/>
  <c r="CN1024" i="75"/>
  <c r="CN1030" i="75"/>
  <c r="CN1028" i="75"/>
  <c r="CN1032" i="75"/>
  <c r="CN1018" i="75"/>
  <c r="CE724" i="75"/>
  <c r="CE708" i="75"/>
  <c r="CE711" i="75"/>
  <c r="CE721" i="75"/>
  <c r="CE713" i="75"/>
  <c r="CE734" i="75"/>
  <c r="CE718" i="75"/>
  <c r="CE727" i="75"/>
  <c r="CE728" i="75"/>
  <c r="CE722" i="75"/>
  <c r="CE707" i="75"/>
  <c r="CF707" i="75" s="1"/>
  <c r="CE732" i="75"/>
  <c r="CE716" i="75"/>
  <c r="CE709" i="75"/>
  <c r="CE726" i="75"/>
  <c r="CE719" i="75"/>
  <c r="CE729" i="75"/>
  <c r="CE715" i="75"/>
  <c r="CE712" i="75"/>
  <c r="CE723" i="75"/>
  <c r="CE710" i="75"/>
  <c r="CE730" i="75"/>
  <c r="CE733" i="75"/>
  <c r="CE725" i="75"/>
  <c r="CE720" i="75"/>
  <c r="CE714" i="75"/>
  <c r="CE717" i="75"/>
  <c r="CE731" i="75"/>
  <c r="CG539" i="75"/>
  <c r="CG532" i="75"/>
  <c r="CG552" i="75"/>
  <c r="CG545" i="75"/>
  <c r="CG529" i="75"/>
  <c r="CG546" i="75"/>
  <c r="CG538" i="75"/>
  <c r="CG530" i="75"/>
  <c r="CG535" i="75"/>
  <c r="CG550" i="75"/>
  <c r="CG542" i="75"/>
  <c r="CG534" i="75"/>
  <c r="CG544" i="75"/>
  <c r="CG536" i="75"/>
  <c r="CG528" i="75"/>
  <c r="CG551" i="75"/>
  <c r="CG537" i="75"/>
  <c r="CG548" i="75"/>
  <c r="CG540" i="75"/>
  <c r="CG549" i="75"/>
  <c r="CG527" i="75"/>
  <c r="CH527" i="75" s="1"/>
  <c r="CG547" i="75"/>
  <c r="CG531" i="75"/>
  <c r="CG543" i="75"/>
  <c r="CG541" i="75"/>
  <c r="CG533" i="75"/>
  <c r="CA603" i="75"/>
  <c r="CA605" i="75"/>
  <c r="CA596" i="75"/>
  <c r="CA604" i="75"/>
  <c r="CA599" i="75"/>
  <c r="CA601" i="75"/>
  <c r="CA597" i="75"/>
  <c r="CA593" i="75"/>
  <c r="CA589" i="75"/>
  <c r="CA586" i="75"/>
  <c r="CA612" i="75"/>
  <c r="CA607" i="75"/>
  <c r="CA602" i="75"/>
  <c r="CA608" i="75"/>
  <c r="CA584" i="75"/>
  <c r="CA610" i="75"/>
  <c r="CA614" i="75"/>
  <c r="CA613" i="75"/>
  <c r="CA609" i="75"/>
  <c r="CA600" i="75"/>
  <c r="CA585" i="75"/>
  <c r="CA598" i="75"/>
  <c r="CA594" i="75"/>
  <c r="CA583" i="75"/>
  <c r="CB583" i="75" s="1"/>
  <c r="CA590" i="75"/>
  <c r="CA591" i="75"/>
  <c r="CA606" i="75"/>
  <c r="CA611" i="75"/>
  <c r="CA587" i="75"/>
  <c r="CA592" i="75"/>
  <c r="BW463" i="75"/>
  <c r="BW483" i="75"/>
  <c r="BW473" i="75"/>
  <c r="BW485" i="75"/>
  <c r="BW467" i="75"/>
  <c r="BW464" i="75"/>
  <c r="BW484" i="75"/>
  <c r="BW482" i="75"/>
  <c r="BW466" i="75"/>
  <c r="BW491" i="75"/>
  <c r="BW475" i="75"/>
  <c r="BW471" i="75"/>
  <c r="BW472" i="75"/>
  <c r="BW459" i="75"/>
  <c r="BW492" i="75"/>
  <c r="BW460" i="75"/>
  <c r="BW474" i="75"/>
  <c r="BW462" i="75"/>
  <c r="BW490" i="75"/>
  <c r="BW458" i="75"/>
  <c r="BW457" i="75"/>
  <c r="BX457" i="75" s="1"/>
  <c r="BW465" i="75"/>
  <c r="BW487" i="75"/>
  <c r="BW479" i="75"/>
  <c r="BW488" i="75"/>
  <c r="BW481" i="75"/>
  <c r="BW477" i="75"/>
  <c r="BW461" i="75"/>
  <c r="BW486" i="75"/>
  <c r="BW478" i="75"/>
  <c r="BW489" i="75"/>
  <c r="BW476" i="75"/>
  <c r="BW468" i="75"/>
  <c r="BW469" i="75"/>
  <c r="BW480" i="75"/>
  <c r="BW470" i="75"/>
  <c r="BD1222" i="75" a="1"/>
  <c r="DA311" i="75"/>
  <c r="DA310" i="75"/>
  <c r="DA312" i="75"/>
  <c r="DA309" i="75"/>
  <c r="DA307" i="75"/>
  <c r="DB307" i="75" s="1"/>
  <c r="DA308" i="75"/>
  <c r="CD1211" i="75"/>
  <c r="CD1192" i="75"/>
  <c r="CD1200" i="75"/>
  <c r="CD1204" i="75"/>
  <c r="CD1202" i="75"/>
  <c r="CD1210" i="75"/>
  <c r="CD1214" i="75"/>
  <c r="CD1215" i="75"/>
  <c r="CD1191" i="75"/>
  <c r="CD1194" i="75"/>
  <c r="CD1203" i="75"/>
  <c r="BX887" i="75"/>
  <c r="BX890" i="75"/>
  <c r="BX886" i="75"/>
  <c r="BX905" i="75"/>
  <c r="BX897" i="75"/>
  <c r="BX881" i="75"/>
  <c r="BX911" i="75"/>
  <c r="BX900" i="75"/>
  <c r="BX884" i="75"/>
  <c r="BX903" i="75"/>
  <c r="BX896" i="75"/>
  <c r="BX899" i="75"/>
  <c r="BX908" i="75"/>
  <c r="BX891" i="75"/>
  <c r="BX906" i="75"/>
  <c r="BX892" i="75"/>
  <c r="BX885" i="75"/>
  <c r="BX893" i="75"/>
  <c r="CV252" i="75"/>
  <c r="CV248" i="75"/>
  <c r="CV244" i="75"/>
  <c r="BN208" i="75" a="1"/>
  <c r="BN239" i="75" s="1"/>
  <c r="BD198" i="75" a="1"/>
  <c r="BD237" i="75" s="1"/>
  <c r="BX458" i="75" a="1"/>
  <c r="BX491" i="75" s="1"/>
  <c r="BF984" i="75" a="1"/>
  <c r="BF1009" i="75" s="1"/>
  <c r="DB1093" i="75"/>
  <c r="DB1092" i="75"/>
  <c r="DB1094" i="75"/>
  <c r="DB1096" i="75"/>
  <c r="DB1095" i="75"/>
  <c r="BS759" i="75"/>
  <c r="BS758" i="75"/>
  <c r="BS765" i="75"/>
  <c r="BS778" i="75"/>
  <c r="BS793" i="75"/>
  <c r="BS776" i="75"/>
  <c r="BS785" i="75"/>
  <c r="BS760" i="75"/>
  <c r="BS781" i="75"/>
  <c r="BS794" i="75"/>
  <c r="BS777" i="75"/>
  <c r="BS786" i="75"/>
  <c r="BS773" i="75"/>
  <c r="BS770" i="75"/>
  <c r="BS787" i="75"/>
  <c r="BS756" i="75"/>
  <c r="BS783" i="75"/>
  <c r="BS790" i="75"/>
  <c r="BS779" i="75"/>
  <c r="BS782" i="75"/>
  <c r="BS775" i="75"/>
  <c r="BS774" i="75"/>
  <c r="BS771" i="75"/>
  <c r="BS766" i="75"/>
  <c r="BS767" i="75"/>
  <c r="BS792" i="75"/>
  <c r="BS763" i="75"/>
  <c r="BS784" i="75"/>
  <c r="BS761" i="75"/>
  <c r="BS788" i="75"/>
  <c r="BS780" i="75"/>
  <c r="BS772" i="75"/>
  <c r="BS764" i="75"/>
  <c r="BS755" i="75"/>
  <c r="BT755" i="75" s="1"/>
  <c r="BS791" i="75"/>
  <c r="BS789" i="75"/>
  <c r="BS769" i="75"/>
  <c r="BS757" i="75"/>
  <c r="BS768" i="75"/>
  <c r="BS762" i="75"/>
  <c r="DA1273" i="75"/>
  <c r="DA1272" i="75"/>
  <c r="DA1271" i="75"/>
  <c r="DB1271" i="75" s="1"/>
  <c r="DA1274" i="75"/>
  <c r="DA1276" i="75"/>
  <c r="DA1275" i="75"/>
  <c r="BM464" i="75"/>
  <c r="BM448" i="75"/>
  <c r="BM469" i="75"/>
  <c r="BM490" i="75"/>
  <c r="BM449" i="75"/>
  <c r="BM461" i="75"/>
  <c r="BM453" i="75"/>
  <c r="BM467" i="75"/>
  <c r="BM459" i="75"/>
  <c r="BM456" i="75"/>
  <c r="BM486" i="75"/>
  <c r="BM477" i="75"/>
  <c r="BM451" i="75"/>
  <c r="BM488" i="75"/>
  <c r="BM480" i="75"/>
  <c r="BM472" i="75"/>
  <c r="BM452" i="75"/>
  <c r="BM479" i="75"/>
  <c r="BM447" i="75"/>
  <c r="BN447" i="75" s="1"/>
  <c r="BM473" i="75"/>
  <c r="BM492" i="75"/>
  <c r="BM471" i="75"/>
  <c r="BM478" i="75"/>
  <c r="BM465" i="75"/>
  <c r="BM484" i="75"/>
  <c r="BM463" i="75"/>
  <c r="BM450" i="75"/>
  <c r="BM491" i="75"/>
  <c r="BM483" i="75"/>
  <c r="BM485" i="75"/>
  <c r="BM454" i="75"/>
  <c r="BM487" i="75"/>
  <c r="BM481" i="75"/>
  <c r="BM466" i="75"/>
  <c r="BM457" i="75"/>
  <c r="BM476" i="75"/>
  <c r="BM462" i="75"/>
  <c r="BM468" i="75"/>
  <c r="BM460" i="75"/>
  <c r="BM489" i="75"/>
  <c r="BM470" i="75"/>
  <c r="BM455" i="75"/>
  <c r="BM474" i="75"/>
  <c r="BM482" i="75"/>
  <c r="BM458" i="75"/>
  <c r="BM475" i="75"/>
  <c r="CH1018" i="75"/>
  <c r="CH1017" i="75"/>
  <c r="CH1034" i="75"/>
  <c r="CH1023" i="75"/>
  <c r="CH1027" i="75"/>
  <c r="CH1025" i="75"/>
  <c r="CH1024" i="75"/>
  <c r="CH1012" i="75"/>
  <c r="CH1030" i="75"/>
  <c r="CH1028" i="75"/>
  <c r="CH1014" i="75"/>
  <c r="CH1022" i="75"/>
  <c r="CH1035" i="75"/>
  <c r="DB1153" i="75"/>
  <c r="DB1156" i="75"/>
  <c r="DB1155" i="75"/>
  <c r="DB1152" i="75"/>
  <c r="DB1154" i="75"/>
  <c r="CF229" i="75"/>
  <c r="CF251" i="75"/>
  <c r="CF232" i="75"/>
  <c r="CF239" i="75"/>
  <c r="CF235" i="75"/>
  <c r="CF226" i="75"/>
  <c r="CF250" i="75"/>
  <c r="CF228" i="75"/>
  <c r="CF246" i="75"/>
  <c r="CF244" i="75"/>
  <c r="BD925" i="75"/>
  <c r="BD928" i="75"/>
  <c r="BD932" i="75"/>
  <c r="BD926" i="75"/>
  <c r="BD948" i="75"/>
  <c r="BD942" i="75"/>
  <c r="BD944" i="75"/>
  <c r="BD931" i="75"/>
  <c r="BD937" i="75"/>
  <c r="BD930" i="75"/>
  <c r="BD950" i="75"/>
  <c r="BD934" i="75"/>
  <c r="BD975" i="75"/>
  <c r="BD940" i="75"/>
  <c r="BD929" i="75"/>
  <c r="BD976" i="75"/>
  <c r="BD964" i="75"/>
  <c r="BD957" i="75"/>
  <c r="BD973" i="75"/>
  <c r="BD939" i="75"/>
  <c r="CN914" i="75"/>
  <c r="CN909" i="75"/>
  <c r="CN898" i="75"/>
  <c r="CN902" i="75"/>
  <c r="CN906" i="75"/>
  <c r="CN899" i="75"/>
  <c r="CN907" i="75"/>
  <c r="CN897" i="75"/>
  <c r="CN913" i="75"/>
  <c r="CN904" i="75"/>
  <c r="CN912" i="75"/>
  <c r="CN905" i="75"/>
  <c r="CN901" i="75"/>
  <c r="CN910" i="75"/>
  <c r="CN896" i="75"/>
  <c r="CN900" i="75"/>
  <c r="CN908" i="75"/>
  <c r="CN911" i="75"/>
  <c r="CN903" i="75"/>
  <c r="CQ245" i="75"/>
  <c r="CQ250" i="75"/>
  <c r="CQ238" i="75"/>
  <c r="CQ242" i="75"/>
  <c r="CQ241" i="75"/>
  <c r="CQ247" i="75"/>
  <c r="CQ240" i="75"/>
  <c r="CQ251" i="75"/>
  <c r="CQ252" i="75"/>
  <c r="CQ239" i="75"/>
  <c r="CQ243" i="75"/>
  <c r="CQ237" i="75"/>
  <c r="CR237" i="75" s="1"/>
  <c r="CX1274" i="75"/>
  <c r="CX1271" i="75"/>
  <c r="CX1270" i="75"/>
  <c r="CX1276" i="75"/>
  <c r="CX1275" i="75"/>
  <c r="CX1268" i="75"/>
  <c r="CX1273" i="75"/>
  <c r="CX1269" i="75"/>
  <c r="CX1272" i="75"/>
  <c r="CI1076" i="75"/>
  <c r="CI1096" i="75"/>
  <c r="CI1080" i="75"/>
  <c r="CI1084" i="75"/>
  <c r="CI1089" i="75"/>
  <c r="CI1074" i="75"/>
  <c r="CI1092" i="75"/>
  <c r="CI1082" i="75"/>
  <c r="CI1073" i="75"/>
  <c r="CJ1073" i="75" s="1"/>
  <c r="CI1088" i="75"/>
  <c r="CI1094" i="75"/>
  <c r="CI1086" i="75"/>
  <c r="CI1078" i="75"/>
  <c r="CI1091" i="75"/>
  <c r="CI1083" i="75"/>
  <c r="CI1075" i="75"/>
  <c r="CI1077" i="75"/>
  <c r="CI1095" i="75"/>
  <c r="CI1087" i="75"/>
  <c r="CI1079" i="75"/>
  <c r="CI1090" i="75"/>
  <c r="CI1093" i="75"/>
  <c r="CI1085" i="75"/>
  <c r="CI1081" i="75"/>
  <c r="BN508" i="75" a="1"/>
  <c r="CK593" i="75"/>
  <c r="CL593" i="75" s="1"/>
  <c r="CK595" i="75"/>
  <c r="CK596" i="75"/>
  <c r="CK599" i="75"/>
  <c r="CK609" i="75"/>
  <c r="CK597" i="75"/>
  <c r="CK612" i="75"/>
  <c r="CK604" i="75"/>
  <c r="CK614" i="75"/>
  <c r="CK606" i="75"/>
  <c r="CK605" i="75"/>
  <c r="CK601" i="75"/>
  <c r="CK594" i="75"/>
  <c r="CK610" i="75"/>
  <c r="CK611" i="75"/>
  <c r="CK607" i="75"/>
  <c r="CK603" i="75"/>
  <c r="CK608" i="75"/>
  <c r="CK600" i="75"/>
  <c r="CK598" i="75"/>
  <c r="BK949" i="75"/>
  <c r="BK945" i="75"/>
  <c r="BK959" i="75"/>
  <c r="BK965" i="75"/>
  <c r="BK950" i="75"/>
  <c r="BK968" i="75"/>
  <c r="BK961" i="75"/>
  <c r="BK960" i="75"/>
  <c r="BK952" i="75"/>
  <c r="BK946" i="75"/>
  <c r="BK929" i="75"/>
  <c r="BL929" i="75" s="1"/>
  <c r="BK975" i="75"/>
  <c r="BK938" i="75"/>
  <c r="BK966" i="75"/>
  <c r="BK971" i="75"/>
  <c r="BK955" i="75"/>
  <c r="BK930" i="75"/>
  <c r="BK957" i="75"/>
  <c r="BK934" i="75"/>
  <c r="BK931" i="75"/>
  <c r="BK933" i="75"/>
  <c r="BK962" i="75"/>
  <c r="BK972" i="75"/>
  <c r="BK954" i="75"/>
  <c r="BK956" i="75"/>
  <c r="BK970" i="75"/>
  <c r="BK948" i="75"/>
  <c r="BK944" i="75"/>
  <c r="BK940" i="75"/>
  <c r="BK936" i="75"/>
  <c r="BK935" i="75"/>
  <c r="BK974" i="75"/>
  <c r="BK951" i="75"/>
  <c r="BK947" i="75"/>
  <c r="BK939" i="75"/>
  <c r="BK953" i="75"/>
  <c r="BK958" i="75"/>
  <c r="BK932" i="75"/>
  <c r="BK967" i="75"/>
  <c r="BK964" i="75"/>
  <c r="BK941" i="75"/>
  <c r="BK937" i="75"/>
  <c r="BK963" i="75"/>
  <c r="BK973" i="75"/>
  <c r="BK942" i="75"/>
  <c r="BK976" i="75"/>
  <c r="BK969" i="75"/>
  <c r="BK943" i="75"/>
  <c r="BK1128" i="75"/>
  <c r="BK1154" i="75"/>
  <c r="BK1127" i="75"/>
  <c r="BJ324" i="75" a="1"/>
  <c r="CD914" i="75"/>
  <c r="CD903" i="75"/>
  <c r="CX970" i="75"/>
  <c r="CX973" i="75"/>
  <c r="CX975" i="75"/>
  <c r="V25" i="90"/>
  <c r="J25" i="90" s="1"/>
  <c r="DR25" i="90" s="1"/>
  <c r="H25" i="90"/>
  <c r="Y25" i="90"/>
  <c r="V99" i="90"/>
  <c r="J99" i="90" s="1"/>
  <c r="BK99" i="90"/>
  <c r="BK25" i="90"/>
  <c r="BA25" i="90"/>
  <c r="L25" i="90"/>
  <c r="I99" i="90"/>
  <c r="BQ138" i="90"/>
  <c r="DO138" i="90" s="1"/>
  <c r="Y99" i="90"/>
  <c r="BA99" i="90"/>
  <c r="L62" i="90"/>
  <c r="BQ62" i="90"/>
  <c r="DO62" i="90" s="1"/>
  <c r="EG62" i="90"/>
  <c r="I62" i="90"/>
  <c r="BA138" i="90"/>
  <c r="L125" i="90"/>
  <c r="K125" i="90" s="1"/>
  <c r="BA62" i="90"/>
  <c r="V62" i="90"/>
  <c r="J62" i="90" s="1"/>
  <c r="DR62" i="90" s="1"/>
  <c r="H62" i="90"/>
  <c r="Y62" i="90"/>
  <c r="B3" i="110"/>
  <c r="B3" i="104"/>
  <c r="C9" i="100"/>
  <c r="E9" i="100" s="1" a="1"/>
  <c r="E9" i="100" s="1"/>
  <c r="AQ9" i="100" s="1"/>
  <c r="F14" i="104"/>
  <c r="G14" i="104"/>
  <c r="J14" i="104"/>
  <c r="R14" i="104" s="1"/>
  <c r="H14" i="104"/>
  <c r="H138" i="90"/>
  <c r="V138" i="90"/>
  <c r="J138" i="90" s="1"/>
  <c r="DR138" i="90" s="1"/>
  <c r="BK138" i="90"/>
  <c r="I138" i="90"/>
  <c r="CX485" i="75"/>
  <c r="CX487" i="75"/>
  <c r="CX486" i="75"/>
  <c r="CX484" i="75"/>
  <c r="CX489" i="75"/>
  <c r="CX490" i="75"/>
  <c r="CY432" i="75"/>
  <c r="CY427" i="75"/>
  <c r="CY425" i="75"/>
  <c r="CZ425" i="75" s="1"/>
  <c r="CY429" i="75"/>
  <c r="CY426" i="75"/>
  <c r="CY430" i="75"/>
  <c r="CY428" i="75"/>
  <c r="CY431" i="75"/>
  <c r="BR359" i="75"/>
  <c r="CX613" i="75"/>
  <c r="CX606" i="75"/>
  <c r="CX607" i="75"/>
  <c r="CX614" i="75"/>
  <c r="CX610" i="75"/>
  <c r="CX609" i="75"/>
  <c r="CX611" i="75"/>
  <c r="CX612" i="75"/>
  <c r="CX608" i="75"/>
  <c r="BZ1261" i="75"/>
  <c r="BZ1274" i="75"/>
  <c r="BZ1257" i="75"/>
  <c r="BZ1269" i="75"/>
  <c r="BZ1265" i="75"/>
  <c r="BZ1247" i="75"/>
  <c r="BZ1263" i="75"/>
  <c r="BZ1256" i="75"/>
  <c r="BZ1268" i="75"/>
  <c r="BZ1271" i="75"/>
  <c r="BZ1253" i="75"/>
  <c r="BZ1260" i="75"/>
  <c r="BZ1255" i="75"/>
  <c r="BZ1275" i="75"/>
  <c r="BZ1251" i="75"/>
  <c r="BZ1273" i="75"/>
  <c r="BZ1246" i="75"/>
  <c r="BZ1254" i="75"/>
  <c r="BZ1250" i="75"/>
  <c r="BZ1262" i="75"/>
  <c r="BZ1276" i="75"/>
  <c r="BZ1270" i="75"/>
  <c r="BZ1266" i="75"/>
  <c r="BZ1252" i="75"/>
  <c r="BZ1244" i="75"/>
  <c r="BZ1258" i="75"/>
  <c r="BZ1267" i="75"/>
  <c r="BZ1249" i="75"/>
  <c r="BZ1245" i="75"/>
  <c r="BZ1264" i="75"/>
  <c r="CQ431" i="75"/>
  <c r="CQ419" i="75"/>
  <c r="CQ420" i="75"/>
  <c r="CQ429" i="75"/>
  <c r="CQ423" i="75"/>
  <c r="CQ432" i="75"/>
  <c r="CQ422" i="75"/>
  <c r="CQ421" i="75"/>
  <c r="CQ418" i="75"/>
  <c r="CQ424" i="75"/>
  <c r="CQ428" i="75"/>
  <c r="CQ417" i="75"/>
  <c r="CR417" i="75" s="1"/>
  <c r="CQ425" i="75"/>
  <c r="CQ427" i="75"/>
  <c r="CQ426" i="75"/>
  <c r="CQ430" i="75"/>
  <c r="BX787" i="75"/>
  <c r="BX773" i="75"/>
  <c r="BX761" i="75"/>
  <c r="BX778" i="75"/>
  <c r="BX779" i="75"/>
  <c r="BX767" i="75"/>
  <c r="BX793" i="75"/>
  <c r="BX786" i="75"/>
  <c r="BX774" i="75"/>
  <c r="BX780" i="75"/>
  <c r="BX790" i="75"/>
  <c r="BX781" i="75"/>
  <c r="BX760" i="75"/>
  <c r="BX775" i="75"/>
  <c r="BX764" i="75"/>
  <c r="BX783" i="75"/>
  <c r="BX772" i="75"/>
  <c r="BX766" i="75"/>
  <c r="BX771" i="75"/>
  <c r="BX770" i="75"/>
  <c r="BX789" i="75"/>
  <c r="BX762" i="75"/>
  <c r="BX782" i="75"/>
  <c r="BX794" i="75"/>
  <c r="BX785" i="75"/>
  <c r="BX768" i="75"/>
  <c r="BX784" i="75"/>
  <c r="BX788" i="75"/>
  <c r="BX792" i="75"/>
  <c r="BX763" i="75"/>
  <c r="BX769" i="75"/>
  <c r="BX776" i="75"/>
  <c r="BX791" i="75"/>
  <c r="CB720" i="75"/>
  <c r="CB729" i="75"/>
  <c r="CX248" i="75"/>
  <c r="CX247" i="75"/>
  <c r="CX245" i="75"/>
  <c r="CX252" i="75"/>
  <c r="CX246" i="75"/>
  <c r="CX250" i="75"/>
  <c r="CX251" i="75"/>
  <c r="CX249" i="75"/>
  <c r="CX244" i="75"/>
  <c r="CQ669" i="75"/>
  <c r="CQ662" i="75"/>
  <c r="CQ665" i="75"/>
  <c r="CQ672" i="75"/>
  <c r="CQ673" i="75"/>
  <c r="CQ661" i="75"/>
  <c r="CQ668" i="75"/>
  <c r="CQ664" i="75"/>
  <c r="CQ659" i="75"/>
  <c r="CR659" i="75" s="1"/>
  <c r="CQ660" i="75"/>
  <c r="CQ667" i="75"/>
  <c r="CQ666" i="75"/>
  <c r="CQ671" i="75"/>
  <c r="CQ670" i="75"/>
  <c r="CQ674" i="75"/>
  <c r="CJ712" i="75"/>
  <c r="CJ733" i="75"/>
  <c r="CJ716" i="75"/>
  <c r="CJ730" i="75"/>
  <c r="CJ732" i="75"/>
  <c r="CJ717" i="75"/>
  <c r="CJ734" i="75"/>
  <c r="CJ724" i="75"/>
  <c r="CJ715" i="75"/>
  <c r="CJ722" i="75"/>
  <c r="CJ727" i="75"/>
  <c r="CJ714" i="75"/>
  <c r="CJ728" i="75"/>
  <c r="CJ713" i="75"/>
  <c r="CJ720" i="75"/>
  <c r="CJ719" i="75"/>
  <c r="CJ718" i="75"/>
  <c r="CQ369" i="75"/>
  <c r="CQ359" i="75"/>
  <c r="CQ365" i="75"/>
  <c r="CQ370" i="75"/>
  <c r="CQ371" i="75"/>
  <c r="CQ360" i="75"/>
  <c r="CQ372" i="75"/>
  <c r="CQ364" i="75"/>
  <c r="CQ368" i="75"/>
  <c r="CQ362" i="75"/>
  <c r="CQ358" i="75"/>
  <c r="CQ357" i="75"/>
  <c r="CR357" i="75" s="1"/>
  <c r="CQ366" i="75"/>
  <c r="CQ361" i="75"/>
  <c r="CQ363" i="75"/>
  <c r="CQ367" i="75"/>
  <c r="AP315" i="100"/>
  <c r="AP20" i="100"/>
  <c r="E99" i="115"/>
  <c r="F99" i="115"/>
  <c r="AO36" i="100"/>
  <c r="AN20" i="100"/>
  <c r="AN27" i="100"/>
  <c r="BE639" i="75"/>
  <c r="BE629" i="75"/>
  <c r="BE645" i="75"/>
  <c r="BE635" i="75"/>
  <c r="BE661" i="75"/>
  <c r="BE641" i="75"/>
  <c r="BE631" i="75"/>
  <c r="BE665" i="75"/>
  <c r="BE670" i="75"/>
  <c r="BE667" i="75"/>
  <c r="BE640" i="75"/>
  <c r="BE650" i="75"/>
  <c r="BE655" i="75"/>
  <c r="BE657" i="75"/>
  <c r="BE633" i="75"/>
  <c r="BE623" i="75"/>
  <c r="BE625" i="75"/>
  <c r="BE671" i="75"/>
  <c r="BE652" i="75"/>
  <c r="BE666" i="75"/>
  <c r="BE632" i="75"/>
  <c r="BE646" i="75"/>
  <c r="BE664" i="75"/>
  <c r="BE627" i="75"/>
  <c r="BE622" i="75"/>
  <c r="BE663" i="75"/>
  <c r="BE649" i="75"/>
  <c r="BE651" i="75"/>
  <c r="BE653" i="75"/>
  <c r="BE673" i="75"/>
  <c r="BE668" i="75"/>
  <c r="BE644" i="75"/>
  <c r="BE658" i="75"/>
  <c r="BE634" i="75"/>
  <c r="BE648" i="75"/>
  <c r="BE624" i="75"/>
  <c r="BE638" i="75"/>
  <c r="BE654" i="75"/>
  <c r="BE621" i="75"/>
  <c r="BF621" i="75" s="1"/>
  <c r="BE660" i="75"/>
  <c r="BE643" i="75"/>
  <c r="BE626" i="75"/>
  <c r="BE656" i="75"/>
  <c r="BE674" i="75"/>
  <c r="BE642" i="75"/>
  <c r="BE647" i="75"/>
  <c r="BE672" i="75"/>
  <c r="BE669" i="75"/>
  <c r="BE637" i="75"/>
  <c r="BE636" i="75"/>
  <c r="BE659" i="75"/>
  <c r="BE662" i="75"/>
  <c r="BE630" i="75"/>
  <c r="BE628" i="75"/>
  <c r="CB959" i="75"/>
  <c r="CB968" i="75"/>
  <c r="CB973" i="75"/>
  <c r="CB963" i="75"/>
  <c r="DA852" i="75"/>
  <c r="DA850" i="75"/>
  <c r="DA849" i="75"/>
  <c r="DB849" i="75" s="1"/>
  <c r="DA851" i="75"/>
  <c r="DA853" i="75"/>
  <c r="DA854" i="75"/>
  <c r="BS228" i="75"/>
  <c r="BS252" i="75"/>
  <c r="BS218" i="75"/>
  <c r="BS242" i="75"/>
  <c r="BS246" i="75"/>
  <c r="BS233" i="75"/>
  <c r="BS251" i="75"/>
  <c r="BS227" i="75"/>
  <c r="BS235" i="75"/>
  <c r="BS236" i="75"/>
  <c r="BS219" i="75"/>
  <c r="BS220" i="75"/>
  <c r="BS250" i="75"/>
  <c r="BS249" i="75"/>
  <c r="BS234" i="75"/>
  <c r="BS224" i="75"/>
  <c r="BS241" i="75"/>
  <c r="BS230" i="75"/>
  <c r="BS240" i="75"/>
  <c r="BS237" i="75"/>
  <c r="BS214" i="75"/>
  <c r="BS217" i="75"/>
  <c r="BS225" i="75"/>
  <c r="BS232" i="75"/>
  <c r="BS216" i="75"/>
  <c r="BS245" i="75"/>
  <c r="BS222" i="75"/>
  <c r="BS221" i="75"/>
  <c r="BS239" i="75"/>
  <c r="BS215" i="75"/>
  <c r="BS231" i="75"/>
  <c r="BS243" i="75"/>
  <c r="BS226" i="75"/>
  <c r="BS238" i="75"/>
  <c r="BS223" i="75"/>
  <c r="BS244" i="75"/>
  <c r="BS248" i="75"/>
  <c r="BS229" i="75"/>
  <c r="BS213" i="75"/>
  <c r="BT213" i="75" s="1"/>
  <c r="BS247" i="75"/>
  <c r="CD1146" i="75"/>
  <c r="CD1141" i="75"/>
  <c r="CD1149" i="75"/>
  <c r="CD1135" i="75"/>
  <c r="CD1153" i="75"/>
  <c r="CD1156" i="75"/>
  <c r="CD1151" i="75"/>
  <c r="CD1152" i="75"/>
  <c r="CD1139" i="75"/>
  <c r="CD1148" i="75"/>
  <c r="CD1147" i="75"/>
  <c r="CD1140" i="75"/>
  <c r="CD1150" i="75"/>
  <c r="CD1144" i="75"/>
  <c r="CD1129" i="75"/>
  <c r="CD1142" i="75"/>
  <c r="CD1136" i="75"/>
  <c r="CD1138" i="75"/>
  <c r="CD1143" i="75"/>
  <c r="CD1155" i="75"/>
  <c r="CD1137" i="75"/>
  <c r="CD1145" i="75"/>
  <c r="CD1128" i="75"/>
  <c r="CD1130" i="75"/>
  <c r="CD1133" i="75"/>
  <c r="CD1134" i="75"/>
  <c r="CD1132" i="75"/>
  <c r="CD1154" i="75"/>
  <c r="CD1131" i="75"/>
  <c r="BL990" i="75" a="1"/>
  <c r="CL428" i="75"/>
  <c r="CJ669" i="75"/>
  <c r="CJ670" i="75"/>
  <c r="CJ661" i="75"/>
  <c r="CJ658" i="75"/>
  <c r="CJ663" i="75"/>
  <c r="CJ666" i="75"/>
  <c r="CJ656" i="75"/>
  <c r="CJ662" i="75"/>
  <c r="CJ665" i="75"/>
  <c r="CJ659" i="75"/>
  <c r="CJ671" i="75"/>
  <c r="CJ674" i="75"/>
  <c r="CJ668" i="75"/>
  <c r="CJ667" i="75"/>
  <c r="CJ673" i="75"/>
  <c r="CJ652" i="75"/>
  <c r="CJ672" i="75"/>
  <c r="CJ664" i="75"/>
  <c r="CJ660" i="75"/>
  <c r="CJ654" i="75"/>
  <c r="CJ655" i="75"/>
  <c r="CJ653" i="75"/>
  <c r="CJ657" i="75"/>
  <c r="AO25" i="100"/>
  <c r="AN25" i="100"/>
  <c r="AM25" i="100"/>
  <c r="CL903" i="75"/>
  <c r="BY835" i="75"/>
  <c r="BY827" i="75"/>
  <c r="BY823" i="75"/>
  <c r="BY824" i="75"/>
  <c r="BY845" i="75"/>
  <c r="BY840" i="75"/>
  <c r="BY830" i="75"/>
  <c r="BY837" i="75"/>
  <c r="BY834" i="75"/>
  <c r="BY829" i="75"/>
  <c r="BY850" i="75"/>
  <c r="BY847" i="75"/>
  <c r="BY828" i="75"/>
  <c r="BY854" i="75"/>
  <c r="BY848" i="75"/>
  <c r="BY832" i="75"/>
  <c r="BY849" i="75"/>
  <c r="BY853" i="75"/>
  <c r="BY846" i="75"/>
  <c r="BY833" i="75"/>
  <c r="BY838" i="75"/>
  <c r="BY839" i="75"/>
  <c r="BY843" i="75"/>
  <c r="BY842" i="75"/>
  <c r="BY822" i="75"/>
  <c r="BY831" i="75"/>
  <c r="BY836" i="75"/>
  <c r="BY844" i="75"/>
  <c r="BY841" i="75"/>
  <c r="BY825" i="75"/>
  <c r="BY826" i="75"/>
  <c r="BY852" i="75"/>
  <c r="BY851" i="75"/>
  <c r="BY821" i="75"/>
  <c r="BZ821" i="75" s="1"/>
  <c r="BO845" i="75"/>
  <c r="BO839" i="75"/>
  <c r="BO835" i="75"/>
  <c r="BO833" i="75"/>
  <c r="BO815" i="75"/>
  <c r="BO850" i="75"/>
  <c r="BO852" i="75"/>
  <c r="BO825" i="75"/>
  <c r="BO840" i="75"/>
  <c r="BO834" i="75"/>
  <c r="BO824" i="75"/>
  <c r="BO837" i="75"/>
  <c r="BO823" i="75"/>
  <c r="BO826" i="75"/>
  <c r="BO811" i="75"/>
  <c r="BP811" i="75" s="1"/>
  <c r="BO851" i="75"/>
  <c r="BO846" i="75"/>
  <c r="BO847" i="75"/>
  <c r="BO853" i="75"/>
  <c r="BO831" i="75"/>
  <c r="BO830" i="75"/>
  <c r="BO818" i="75"/>
  <c r="BO814" i="75"/>
  <c r="BO844" i="75"/>
  <c r="BO848" i="75"/>
  <c r="BO828" i="75"/>
  <c r="BO832" i="75"/>
  <c r="BO820" i="75"/>
  <c r="BO841" i="75"/>
  <c r="BO827" i="75"/>
  <c r="BO854" i="75"/>
  <c r="BO838" i="75"/>
  <c r="BO849" i="75"/>
  <c r="BO813" i="75"/>
  <c r="BO819" i="75"/>
  <c r="BO822" i="75"/>
  <c r="BO829" i="75"/>
  <c r="BO817" i="75"/>
  <c r="BO821" i="75"/>
  <c r="BO843" i="75"/>
  <c r="BO842" i="75"/>
  <c r="BO836" i="75"/>
  <c r="BO816" i="75"/>
  <c r="BO812" i="75"/>
  <c r="CW486" i="75"/>
  <c r="CW492" i="75"/>
  <c r="CW489" i="75"/>
  <c r="CW490" i="75"/>
  <c r="CW491" i="75"/>
  <c r="CW488" i="75"/>
  <c r="CW484" i="75"/>
  <c r="CW487" i="75"/>
  <c r="CW485" i="75"/>
  <c r="CW483" i="75"/>
  <c r="CX483" i="75" s="1"/>
  <c r="BQ312" i="75"/>
  <c r="BQ273" i="75"/>
  <c r="BQ277" i="75"/>
  <c r="BQ282" i="75"/>
  <c r="BQ286" i="75"/>
  <c r="BQ294" i="75"/>
  <c r="BQ306" i="75"/>
  <c r="BQ274" i="75"/>
  <c r="BQ284" i="75"/>
  <c r="BQ293" i="75"/>
  <c r="BQ310" i="75"/>
  <c r="BQ301" i="75"/>
  <c r="BQ307" i="75"/>
  <c r="BQ278" i="75"/>
  <c r="BQ291" i="75"/>
  <c r="BQ311" i="75"/>
  <c r="BQ308" i="75"/>
  <c r="BQ305" i="75"/>
  <c r="BQ271" i="75"/>
  <c r="BR271" i="75" s="1"/>
  <c r="BQ275" i="75"/>
  <c r="BQ279" i="75"/>
  <c r="BQ283" i="75"/>
  <c r="BQ298" i="75"/>
  <c r="BQ299" i="75"/>
  <c r="BQ302" i="75"/>
  <c r="BQ303" i="75"/>
  <c r="BQ304" i="75"/>
  <c r="BQ276" i="75"/>
  <c r="BQ288" i="75"/>
  <c r="BQ280" i="75"/>
  <c r="BQ272" i="75"/>
  <c r="BQ297" i="75"/>
  <c r="BQ281" i="75"/>
  <c r="BQ290" i="75"/>
  <c r="BQ300" i="75"/>
  <c r="BQ296" i="75"/>
  <c r="BQ309" i="75"/>
  <c r="BQ285" i="75"/>
  <c r="BQ289" i="75"/>
  <c r="BQ287" i="75"/>
  <c r="BQ292" i="75"/>
  <c r="BQ295" i="75"/>
  <c r="CS544" i="75"/>
  <c r="BY240" i="75"/>
  <c r="BY224" i="75"/>
  <c r="BY242" i="75"/>
  <c r="BY226" i="75"/>
  <c r="BY225" i="75"/>
  <c r="BY229" i="75"/>
  <c r="BY241" i="75"/>
  <c r="BY244" i="75"/>
  <c r="BY231" i="75"/>
  <c r="BY249" i="75"/>
  <c r="BY252" i="75"/>
  <c r="BY248" i="75"/>
  <c r="BY250" i="75"/>
  <c r="BY233" i="75"/>
  <c r="BY236" i="75"/>
  <c r="BY220" i="75"/>
  <c r="BY238" i="75"/>
  <c r="BY222" i="75"/>
  <c r="BY237" i="75"/>
  <c r="BY234" i="75"/>
  <c r="BY221" i="75"/>
  <c r="BY219" i="75"/>
  <c r="BZ219" i="75" s="1"/>
  <c r="BY247" i="75"/>
  <c r="BY251" i="75"/>
  <c r="BY235" i="75"/>
  <c r="BY232" i="75"/>
  <c r="BY243" i="75"/>
  <c r="BY246" i="75"/>
  <c r="BY223" i="75"/>
  <c r="BY227" i="75"/>
  <c r="BY228" i="75"/>
  <c r="BY230" i="75"/>
  <c r="BY245" i="75"/>
  <c r="BY239" i="75"/>
  <c r="BL628" i="75" a="1"/>
  <c r="J128" i="114"/>
  <c r="H128" i="114"/>
  <c r="J129" i="115"/>
  <c r="H129" i="115"/>
  <c r="AR14" i="113"/>
  <c r="AQ14" i="113"/>
  <c r="AP76" i="100"/>
  <c r="AM36" i="100"/>
  <c r="X24" i="113"/>
  <c r="Y24" i="113"/>
  <c r="Y26" i="113"/>
  <c r="X26" i="113"/>
  <c r="AN36" i="100"/>
  <c r="EL338" i="100"/>
  <c r="AO13" i="100"/>
  <c r="AM13" i="100"/>
  <c r="AN13" i="100"/>
  <c r="J62" i="116"/>
  <c r="H62" i="116"/>
  <c r="BM345" i="75"/>
  <c r="BM359" i="75"/>
  <c r="BM369" i="75"/>
  <c r="BM334" i="75"/>
  <c r="BM367" i="75"/>
  <c r="BM361" i="75"/>
  <c r="BM327" i="75"/>
  <c r="BN327" i="75" s="1"/>
  <c r="BM351" i="75"/>
  <c r="BM337" i="75"/>
  <c r="BM363" i="75"/>
  <c r="BM335" i="75"/>
  <c r="BM365" i="75"/>
  <c r="BM347" i="75"/>
  <c r="BM349" i="75"/>
  <c r="BM331" i="75"/>
  <c r="BM333" i="75"/>
  <c r="BM364" i="75"/>
  <c r="BM341" i="75"/>
  <c r="BM362" i="75"/>
  <c r="BM352" i="75"/>
  <c r="BM338" i="75"/>
  <c r="BM336" i="75"/>
  <c r="BM343" i="75"/>
  <c r="BM355" i="75"/>
  <c r="BM372" i="75"/>
  <c r="BM348" i="75"/>
  <c r="BM350" i="75"/>
  <c r="BM371" i="75"/>
  <c r="BM332" i="75"/>
  <c r="BM354" i="75"/>
  <c r="BM346" i="75"/>
  <c r="BM353" i="75"/>
  <c r="BM329" i="75"/>
  <c r="BM360" i="75"/>
  <c r="BM344" i="75"/>
  <c r="BM328" i="75"/>
  <c r="BM366" i="75"/>
  <c r="BM358" i="75"/>
  <c r="BM342" i="75"/>
  <c r="BM339" i="75"/>
  <c r="BM356" i="75"/>
  <c r="BM340" i="75"/>
  <c r="BM370" i="75"/>
  <c r="BM330" i="75"/>
  <c r="BM357" i="75"/>
  <c r="BM368" i="75"/>
  <c r="BZ1086" i="75"/>
  <c r="BZ1078" i="75"/>
  <c r="BZ1067" i="75"/>
  <c r="BZ1065" i="75"/>
  <c r="BZ1088" i="75"/>
  <c r="CM483" i="75"/>
  <c r="CM485" i="75"/>
  <c r="CM492" i="75"/>
  <c r="CM484" i="75"/>
  <c r="CM488" i="75"/>
  <c r="CM474" i="75"/>
  <c r="CM491" i="75"/>
  <c r="CM475" i="75"/>
  <c r="CM489" i="75"/>
  <c r="CM482" i="75"/>
  <c r="CM481" i="75"/>
  <c r="CM477" i="75"/>
  <c r="CM490" i="75"/>
  <c r="CM480" i="75"/>
  <c r="CM476" i="75"/>
  <c r="CM478" i="75"/>
  <c r="CM487" i="75"/>
  <c r="CM486" i="75"/>
  <c r="CM473" i="75"/>
  <c r="CN473" i="75" s="1"/>
  <c r="CM479" i="75"/>
  <c r="BM869" i="75"/>
  <c r="BN869" i="75" s="1"/>
  <c r="BM899" i="75"/>
  <c r="BM902" i="75"/>
  <c r="BM895" i="75"/>
  <c r="BM894" i="75"/>
  <c r="BM913" i="75"/>
  <c r="BM879" i="75"/>
  <c r="BM904" i="75"/>
  <c r="BM905" i="75"/>
  <c r="BM871" i="75"/>
  <c r="BM872" i="75"/>
  <c r="BM875" i="75"/>
  <c r="BM911" i="75"/>
  <c r="BM878" i="75"/>
  <c r="BM903" i="75"/>
  <c r="BM888" i="75"/>
  <c r="BM898" i="75"/>
  <c r="BM890" i="75"/>
  <c r="BM874" i="75"/>
  <c r="BM901" i="75"/>
  <c r="BM896" i="75"/>
  <c r="BM893" i="75"/>
  <c r="BM908" i="75"/>
  <c r="BM885" i="75"/>
  <c r="BM910" i="75"/>
  <c r="BM881" i="75"/>
  <c r="BM886" i="75"/>
  <c r="BM877" i="75"/>
  <c r="BM870" i="75"/>
  <c r="BM914" i="75"/>
  <c r="BM912" i="75"/>
  <c r="BM892" i="75"/>
  <c r="BM897" i="75"/>
  <c r="BM873" i="75"/>
  <c r="BM907" i="75"/>
  <c r="BM891" i="75"/>
  <c r="BM889" i="75"/>
  <c r="BM887" i="75"/>
  <c r="BM883" i="75"/>
  <c r="BM882" i="75"/>
  <c r="BM909" i="75"/>
  <c r="BM906" i="75"/>
  <c r="BM880" i="75"/>
  <c r="BM900" i="75"/>
  <c r="BM884" i="75"/>
  <c r="BM876" i="75"/>
  <c r="CN1215" i="75"/>
  <c r="CN1209" i="75"/>
  <c r="CN1208" i="75"/>
  <c r="CN1206" i="75"/>
  <c r="CN1213" i="75"/>
  <c r="CN1198" i="75"/>
  <c r="CN1211" i="75"/>
  <c r="CN1207" i="75"/>
  <c r="CN1203" i="75"/>
  <c r="CN1212" i="75"/>
  <c r="CN1216" i="75"/>
  <c r="CN1199" i="75"/>
  <c r="CN1205" i="75"/>
  <c r="CN1202" i="75"/>
  <c r="CN1210" i="75"/>
  <c r="CN1214" i="75"/>
  <c r="CN1201" i="75"/>
  <c r="CN1200" i="75"/>
  <c r="CN1204" i="75"/>
  <c r="DD612" i="75"/>
  <c r="DD614" i="75"/>
  <c r="DD613" i="75"/>
  <c r="J106" i="116"/>
  <c r="H106" i="116"/>
  <c r="J111" i="112"/>
  <c r="H111" i="112"/>
  <c r="CH734" i="75"/>
  <c r="CH710" i="75"/>
  <c r="CH725" i="75"/>
  <c r="CH733" i="75"/>
  <c r="CH722" i="75"/>
  <c r="CH721" i="75"/>
  <c r="CH730" i="75"/>
  <c r="CH728" i="75"/>
  <c r="CH720" i="75"/>
  <c r="CH724" i="75"/>
  <c r="CH731" i="75"/>
  <c r="CH713" i="75"/>
  <c r="CH729" i="75"/>
  <c r="CH711" i="75"/>
  <c r="CH717" i="75"/>
  <c r="CH719" i="75"/>
  <c r="CH714" i="75"/>
  <c r="CH732" i="75"/>
  <c r="CH723" i="75"/>
  <c r="CH726" i="75"/>
  <c r="CH727" i="75"/>
  <c r="CH718" i="75"/>
  <c r="CH715" i="75"/>
  <c r="CH716" i="75"/>
  <c r="CH712" i="75"/>
  <c r="CE286" i="75"/>
  <c r="CE296" i="75"/>
  <c r="CE299" i="75"/>
  <c r="CE308" i="75"/>
  <c r="CE304" i="75"/>
  <c r="CE311" i="75"/>
  <c r="CE300" i="75"/>
  <c r="CE293" i="75"/>
  <c r="CE312" i="75"/>
  <c r="CE295" i="75"/>
  <c r="CE307" i="75"/>
  <c r="CE301" i="75"/>
  <c r="CE285" i="75"/>
  <c r="CF285" i="75" s="1"/>
  <c r="CE297" i="75"/>
  <c r="CE303" i="75"/>
  <c r="CE305" i="75"/>
  <c r="CE306" i="75"/>
  <c r="CE287" i="75"/>
  <c r="CE310" i="75"/>
  <c r="CE289" i="75"/>
  <c r="CE290" i="75"/>
  <c r="CE298" i="75"/>
  <c r="CE294" i="75"/>
  <c r="CE291" i="75"/>
  <c r="CE302" i="75"/>
  <c r="CE292" i="75"/>
  <c r="CE309" i="75"/>
  <c r="CE288" i="75"/>
  <c r="BV276" i="75" a="1"/>
  <c r="BM713" i="75"/>
  <c r="BM710" i="75"/>
  <c r="BM701" i="75"/>
  <c r="BM724" i="75"/>
  <c r="BM693" i="75"/>
  <c r="BM708" i="75"/>
  <c r="BM727" i="75"/>
  <c r="BM692" i="75"/>
  <c r="BM711" i="75"/>
  <c r="BM706" i="75"/>
  <c r="BM717" i="75"/>
  <c r="BM700" i="75"/>
  <c r="BM697" i="75"/>
  <c r="BM714" i="75"/>
  <c r="BM723" i="75"/>
  <c r="BM690" i="75"/>
  <c r="BM691" i="75"/>
  <c r="BM733" i="75"/>
  <c r="BM702" i="75"/>
  <c r="BM689" i="75"/>
  <c r="BN689" i="75" s="1"/>
  <c r="BM730" i="75"/>
  <c r="BM729" i="75"/>
  <c r="BM698" i="75"/>
  <c r="BM705" i="75"/>
  <c r="BM704" i="75"/>
  <c r="BM719" i="75"/>
  <c r="BM715" i="75"/>
  <c r="BM703" i="75"/>
  <c r="BM699" i="75"/>
  <c r="BM726" i="75"/>
  <c r="BM709" i="75"/>
  <c r="BM731" i="75"/>
  <c r="BM707" i="75"/>
  <c r="BM695" i="75"/>
  <c r="BM734" i="75"/>
  <c r="BM718" i="75"/>
  <c r="BM694" i="75"/>
  <c r="BM732" i="75"/>
  <c r="BM716" i="75"/>
  <c r="BM722" i="75"/>
  <c r="BM728" i="75"/>
  <c r="BM720" i="75"/>
  <c r="BM712" i="75"/>
  <c r="BM696" i="75"/>
  <c r="BM725" i="75"/>
  <c r="BM721" i="75"/>
  <c r="CR238" i="75" a="1"/>
  <c r="CT1025" i="75"/>
  <c r="CT1030" i="75"/>
  <c r="CT1031" i="75"/>
  <c r="CT1034" i="75"/>
  <c r="CT1029" i="75"/>
  <c r="CT1027" i="75"/>
  <c r="CT1024" i="75"/>
  <c r="CT1032" i="75"/>
  <c r="CT1026" i="75"/>
  <c r="CT1028" i="75"/>
  <c r="CT1036" i="75"/>
  <c r="CT1033" i="75"/>
  <c r="CT1035" i="75"/>
  <c r="CH1209" i="75"/>
  <c r="CH1200" i="75"/>
  <c r="CH1215" i="75"/>
  <c r="CH1202" i="75"/>
  <c r="CH1196" i="75"/>
  <c r="CH1192" i="75"/>
  <c r="CH1216" i="75"/>
  <c r="CH1205" i="75"/>
  <c r="CH1201" i="75"/>
  <c r="CH1197" i="75"/>
  <c r="CH1195" i="75"/>
  <c r="CH1210" i="75"/>
  <c r="CH1211" i="75"/>
  <c r="CH1207" i="75"/>
  <c r="CH1203" i="75"/>
  <c r="CH1198" i="75"/>
  <c r="CH1194" i="75"/>
  <c r="CH1204" i="75"/>
  <c r="CH1208" i="75"/>
  <c r="CH1212" i="75"/>
  <c r="CH1213" i="75"/>
  <c r="CH1199" i="75"/>
  <c r="CH1193" i="75"/>
  <c r="CH1206" i="75"/>
  <c r="CH1214" i="75"/>
  <c r="J125" i="116"/>
  <c r="H125" i="116"/>
  <c r="CZ430" i="75"/>
  <c r="CZ429" i="75"/>
  <c r="CZ426" i="75"/>
  <c r="CZ427" i="75"/>
  <c r="CZ428" i="75"/>
  <c r="CZ432" i="75"/>
  <c r="CZ431" i="75"/>
  <c r="AM31" i="100"/>
  <c r="AO31" i="100"/>
  <c r="AP31" i="100"/>
  <c r="AO18" i="100"/>
  <c r="AP70" i="100"/>
  <c r="AM64" i="100"/>
  <c r="AP14" i="100"/>
  <c r="EG338" i="100"/>
  <c r="CZ371" i="75"/>
  <c r="CZ370" i="75"/>
  <c r="CZ368" i="75"/>
  <c r="CZ367" i="75"/>
  <c r="CZ366" i="75"/>
  <c r="CZ372" i="75"/>
  <c r="CZ369" i="75"/>
  <c r="CR542" i="75"/>
  <c r="J87" i="115"/>
  <c r="H87" i="115"/>
  <c r="F149" i="112"/>
  <c r="E149" i="112"/>
  <c r="CA549" i="75"/>
  <c r="CA541" i="75"/>
  <c r="CA533" i="75"/>
  <c r="CA535" i="75"/>
  <c r="CA530" i="75"/>
  <c r="CA527" i="75"/>
  <c r="CA522" i="75"/>
  <c r="CA521" i="75"/>
  <c r="CB521" i="75" s="1"/>
  <c r="CA548" i="75"/>
  <c r="CA546" i="75"/>
  <c r="CA539" i="75"/>
  <c r="CA523" i="75"/>
  <c r="CA542" i="75"/>
  <c r="CA552" i="75"/>
  <c r="CA540" i="75"/>
  <c r="CA532" i="75"/>
  <c r="CA545" i="75"/>
  <c r="CA529" i="75"/>
  <c r="CA551" i="75"/>
  <c r="CA543" i="75"/>
  <c r="CA547" i="75"/>
  <c r="CA550" i="75"/>
  <c r="CA537" i="75"/>
  <c r="CA531" i="75"/>
  <c r="CA525" i="75"/>
  <c r="CA524" i="75"/>
  <c r="CA534" i="75"/>
  <c r="CA536" i="75"/>
  <c r="CA528" i="75"/>
  <c r="CA538" i="75"/>
  <c r="CA526" i="75"/>
  <c r="CA544" i="75"/>
  <c r="DB732" i="75"/>
  <c r="DB731" i="75"/>
  <c r="DB733" i="75"/>
  <c r="DB734" i="75"/>
  <c r="DB730" i="75"/>
  <c r="AA40" i="102"/>
  <c r="AM38" i="100"/>
  <c r="AN38" i="100"/>
  <c r="AO38" i="100"/>
  <c r="AP38" i="100"/>
  <c r="AN77" i="100"/>
  <c r="AO77" i="100"/>
  <c r="AM77" i="100"/>
  <c r="AM160" i="100"/>
  <c r="AO160" i="100"/>
  <c r="AN160" i="100"/>
  <c r="BT938" i="75" a="1"/>
  <c r="BT238" i="75"/>
  <c r="BT236" i="75"/>
  <c r="BT247" i="75"/>
  <c r="BT237" i="75"/>
  <c r="BT221" i="75"/>
  <c r="BT227" i="75"/>
  <c r="BT234" i="75"/>
  <c r="BT218" i="75"/>
  <c r="BT243" i="75"/>
  <c r="CU484" i="75"/>
  <c r="CU481" i="75"/>
  <c r="CV481" i="75" s="1"/>
  <c r="CU487" i="75"/>
  <c r="CU492" i="75"/>
  <c r="CU491" i="75"/>
  <c r="CU486" i="75"/>
  <c r="CU489" i="75"/>
  <c r="CU483" i="75"/>
  <c r="CU488" i="75"/>
  <c r="CU485" i="75"/>
  <c r="CU482" i="75"/>
  <c r="CU490" i="75"/>
  <c r="BP296" i="75"/>
  <c r="BP277" i="75"/>
  <c r="BN1027" i="75"/>
  <c r="BN1036" i="75"/>
  <c r="BN1021" i="75"/>
  <c r="BN995" i="75"/>
  <c r="BN1006" i="75"/>
  <c r="BN1022" i="75"/>
  <c r="BN1007" i="75"/>
  <c r="BN1029" i="75"/>
  <c r="BN1023" i="75"/>
  <c r="BN1002" i="75"/>
  <c r="BN996" i="75"/>
  <c r="BN1028" i="75"/>
  <c r="BN1001" i="75"/>
  <c r="BN1003" i="75"/>
  <c r="BN1018" i="75"/>
  <c r="BN1010" i="75"/>
  <c r="BN1012" i="75"/>
  <c r="BN1004" i="75"/>
  <c r="BN1013" i="75"/>
  <c r="BN997" i="75"/>
  <c r="BN1033" i="75"/>
  <c r="BN1017" i="75"/>
  <c r="BN994" i="75"/>
  <c r="BN1011" i="75"/>
  <c r="BN1026" i="75"/>
  <c r="BN1014" i="75"/>
  <c r="BN999" i="75"/>
  <c r="BN1008" i="75"/>
  <c r="BN1020" i="75"/>
  <c r="BN1005" i="75"/>
  <c r="BN998" i="75"/>
  <c r="BN1025" i="75"/>
  <c r="BN1030" i="75"/>
  <c r="BN992" i="75"/>
  <c r="BN1024" i="75"/>
  <c r="BN993" i="75"/>
  <c r="BN1035" i="75"/>
  <c r="BN1034" i="75"/>
  <c r="BN1031" i="75"/>
  <c r="BN1009" i="75"/>
  <c r="BN1016" i="75"/>
  <c r="BN1032" i="75"/>
  <c r="BN1000" i="75"/>
  <c r="J147" i="114"/>
  <c r="H147" i="114"/>
  <c r="J155" i="112"/>
  <c r="H155" i="112"/>
  <c r="J71" i="115"/>
  <c r="AM18" i="100"/>
  <c r="CV790" i="75"/>
  <c r="CV791" i="75"/>
  <c r="CD604" i="75"/>
  <c r="CD595" i="75"/>
  <c r="BR883" i="75"/>
  <c r="BR889" i="75"/>
  <c r="BR895" i="75"/>
  <c r="BR897" i="75"/>
  <c r="BR912" i="75"/>
  <c r="BR906" i="75"/>
  <c r="BR884" i="75"/>
  <c r="BR902" i="75"/>
  <c r="BR914" i="75"/>
  <c r="BR878" i="75"/>
  <c r="BR900" i="75"/>
  <c r="BR890" i="75"/>
  <c r="BR898" i="75"/>
  <c r="BR886" i="75"/>
  <c r="BR874" i="75"/>
  <c r="BR903" i="75"/>
  <c r="BR892" i="75"/>
  <c r="BR907" i="75"/>
  <c r="BR893" i="75"/>
  <c r="BR911" i="75"/>
  <c r="BR876" i="75"/>
  <c r="BR881" i="75"/>
  <c r="BR888" i="75"/>
  <c r="BR885" i="75"/>
  <c r="BR904" i="75"/>
  <c r="BR891" i="75"/>
  <c r="BR910" i="75"/>
  <c r="BR880" i="75"/>
  <c r="BR887" i="75"/>
  <c r="BR879" i="75"/>
  <c r="BR882" i="75"/>
  <c r="BR908" i="75"/>
  <c r="BR877" i="75"/>
  <c r="BR894" i="75"/>
  <c r="BR905" i="75"/>
  <c r="BR896" i="75"/>
  <c r="BR899" i="75"/>
  <c r="BR913" i="75"/>
  <c r="BR875" i="75"/>
  <c r="BR909" i="75"/>
  <c r="BR901" i="75"/>
  <c r="BN388" i="75" a="1"/>
  <c r="CB371" i="75"/>
  <c r="CB355" i="75"/>
  <c r="CB366" i="75"/>
  <c r="CB354" i="75"/>
  <c r="CB344" i="75"/>
  <c r="CB372" i="75"/>
  <c r="CZ908" i="75"/>
  <c r="CZ910" i="75"/>
  <c r="CZ914" i="75"/>
  <c r="CZ912" i="75"/>
  <c r="CZ911" i="75"/>
  <c r="CZ909" i="75"/>
  <c r="CZ913" i="75"/>
  <c r="CH1087" i="75"/>
  <c r="CH1085" i="75"/>
  <c r="CH1082" i="75"/>
  <c r="CH1078" i="75"/>
  <c r="CH1093" i="75"/>
  <c r="CH1083" i="75"/>
  <c r="CH1096" i="75"/>
  <c r="CH1092" i="75"/>
  <c r="CH1084" i="75"/>
  <c r="CH1095" i="75"/>
  <c r="CH1080" i="75"/>
  <c r="CH1077" i="75"/>
  <c r="CH1081" i="75"/>
  <c r="CH1073" i="75"/>
  <c r="CH1094" i="75"/>
  <c r="CH1090" i="75"/>
  <c r="CH1086" i="75"/>
  <c r="CH1074" i="75"/>
  <c r="CH1079" i="75"/>
  <c r="CH1075" i="75"/>
  <c r="CH1072" i="75"/>
  <c r="CH1091" i="75"/>
  <c r="CH1088" i="75"/>
  <c r="CH1076" i="75"/>
  <c r="CH1089" i="75"/>
  <c r="J158" i="115"/>
  <c r="H158" i="115"/>
  <c r="H109" i="114"/>
  <c r="J109" i="114"/>
  <c r="H49" i="116"/>
  <c r="J49" i="116"/>
  <c r="J23" i="113"/>
  <c r="AM30" i="100"/>
  <c r="AN30" i="100"/>
  <c r="AO30" i="100"/>
  <c r="AN18" i="100"/>
  <c r="AM66" i="100"/>
  <c r="EJ338" i="100"/>
  <c r="BE570" i="75"/>
  <c r="BE582" i="75"/>
  <c r="BE595" i="75"/>
  <c r="BE584" i="75"/>
  <c r="BE588" i="75"/>
  <c r="BE579" i="75"/>
  <c r="BE568" i="75"/>
  <c r="BE572" i="75"/>
  <c r="BE563" i="75"/>
  <c r="BE613" i="75"/>
  <c r="BE583" i="75"/>
  <c r="BE585" i="75"/>
  <c r="BE581" i="75"/>
  <c r="BE575" i="75"/>
  <c r="BE598" i="75"/>
  <c r="BE602" i="75"/>
  <c r="BE566" i="75"/>
  <c r="BE586" i="75"/>
  <c r="BE604" i="75"/>
  <c r="BE561" i="75"/>
  <c r="BF561" i="75" s="1"/>
  <c r="BE573" i="75"/>
  <c r="BE571" i="75"/>
  <c r="BE577" i="75"/>
  <c r="BE562" i="75"/>
  <c r="BE565" i="75"/>
  <c r="BE600" i="75"/>
  <c r="BE601" i="75"/>
  <c r="BE569" i="75"/>
  <c r="BE614" i="75"/>
  <c r="BE603" i="75"/>
  <c r="BE590" i="75"/>
  <c r="BE587" i="75"/>
  <c r="BE574" i="75"/>
  <c r="BE591" i="75"/>
  <c r="BE580" i="75"/>
  <c r="BE610" i="75"/>
  <c r="BE594" i="75"/>
  <c r="BE578" i="75"/>
  <c r="BE608" i="75"/>
  <c r="BE592" i="75"/>
  <c r="BE576" i="75"/>
  <c r="BE609" i="75"/>
  <c r="BE593" i="75"/>
  <c r="BE606" i="75"/>
  <c r="BE612" i="75"/>
  <c r="BE596" i="75"/>
  <c r="BE564" i="75"/>
  <c r="BE605" i="75"/>
  <c r="BE597" i="75"/>
  <c r="BE589" i="75"/>
  <c r="BE611" i="75"/>
  <c r="BE607" i="75"/>
  <c r="BE599" i="75"/>
  <c r="BE567" i="75"/>
  <c r="BX411" i="75"/>
  <c r="BX412" i="75"/>
  <c r="BX425" i="75"/>
  <c r="BX419" i="75"/>
  <c r="BX404" i="75"/>
  <c r="BX430" i="75"/>
  <c r="BX428" i="75"/>
  <c r="BX420" i="75"/>
  <c r="BX418" i="75"/>
  <c r="BX406" i="75"/>
  <c r="BX414" i="75"/>
  <c r="BX410" i="75"/>
  <c r="BX426" i="75"/>
  <c r="BX413" i="75"/>
  <c r="J82" i="116"/>
  <c r="H82" i="116"/>
  <c r="AM43" i="100"/>
  <c r="AN43" i="100"/>
  <c r="AO43" i="100"/>
  <c r="AP43" i="100"/>
  <c r="AO33" i="100"/>
  <c r="AN33" i="100"/>
  <c r="BO723" i="75"/>
  <c r="BO691" i="75"/>
  <c r="BP691" i="75" s="1"/>
  <c r="BO706" i="75"/>
  <c r="BO734" i="75"/>
  <c r="BO731" i="75"/>
  <c r="BO699" i="75"/>
  <c r="BO717" i="75"/>
  <c r="BO722" i="75"/>
  <c r="BO728" i="75"/>
  <c r="BO709" i="75"/>
  <c r="BO700" i="75"/>
  <c r="BO712" i="75"/>
  <c r="BO733" i="75"/>
  <c r="BO727" i="75"/>
  <c r="BO697" i="75"/>
  <c r="BO703" i="75"/>
  <c r="BO719" i="75"/>
  <c r="BO721" i="75"/>
  <c r="BO705" i="75"/>
  <c r="BO730" i="75"/>
  <c r="BO698" i="75"/>
  <c r="BO708" i="75"/>
  <c r="BO726" i="75"/>
  <c r="BO694" i="75"/>
  <c r="BO715" i="75"/>
  <c r="BO713" i="75"/>
  <c r="BO701" i="75"/>
  <c r="BO714" i="75"/>
  <c r="BO732" i="75"/>
  <c r="BO692" i="75"/>
  <c r="BO718" i="75"/>
  <c r="BO720" i="75"/>
  <c r="BO696" i="75"/>
  <c r="BO711" i="75"/>
  <c r="BO729" i="75"/>
  <c r="BO724" i="75"/>
  <c r="BO710" i="75"/>
  <c r="BO707" i="75"/>
  <c r="BO725" i="75"/>
  <c r="BO693" i="75"/>
  <c r="BO716" i="75"/>
  <c r="BO702" i="75"/>
  <c r="BO695" i="75"/>
  <c r="BO704" i="75"/>
  <c r="CQ901" i="75"/>
  <c r="CQ909" i="75"/>
  <c r="CQ905" i="75"/>
  <c r="CQ900" i="75"/>
  <c r="CQ914" i="75"/>
  <c r="CQ910" i="75"/>
  <c r="CQ903" i="75"/>
  <c r="CQ902" i="75"/>
  <c r="CQ899" i="75"/>
  <c r="CR899" i="75" s="1"/>
  <c r="CQ904" i="75"/>
  <c r="CQ911" i="75"/>
  <c r="CQ907" i="75"/>
  <c r="CQ906" i="75"/>
  <c r="CQ912" i="75"/>
  <c r="CQ913" i="75"/>
  <c r="CQ908" i="75"/>
  <c r="CT484" i="75"/>
  <c r="CT487" i="75"/>
  <c r="CT483" i="75"/>
  <c r="CT492" i="75"/>
  <c r="CT480" i="75"/>
  <c r="CT491" i="75"/>
  <c r="CT482" i="75"/>
  <c r="CT489" i="75"/>
  <c r="CT490" i="75"/>
  <c r="CT481" i="75"/>
  <c r="CT488" i="75"/>
  <c r="CT486" i="75"/>
  <c r="CT485" i="75"/>
  <c r="BX365" i="75"/>
  <c r="BX369" i="75"/>
  <c r="BX361" i="75"/>
  <c r="BX343" i="75"/>
  <c r="BX340" i="75"/>
  <c r="BX370" i="75"/>
  <c r="BX341" i="75"/>
  <c r="BX363" i="75"/>
  <c r="BX346" i="75"/>
  <c r="CN611" i="75"/>
  <c r="CN603" i="75"/>
  <c r="CN604" i="75"/>
  <c r="CN612" i="75"/>
  <c r="CN599" i="75"/>
  <c r="CN597" i="75"/>
  <c r="CN600" i="75"/>
  <c r="CN613" i="75"/>
  <c r="CN605" i="75"/>
  <c r="CN614" i="75"/>
  <c r="CN607" i="75"/>
  <c r="CN596" i="75"/>
  <c r="CN608" i="75"/>
  <c r="CN610" i="75"/>
  <c r="CN602" i="75"/>
  <c r="CN606" i="75"/>
  <c r="CN598" i="75"/>
  <c r="BL1193" i="75"/>
  <c r="BL1186" i="75"/>
  <c r="AN26" i="100"/>
  <c r="AM26" i="100"/>
  <c r="AP26" i="100"/>
  <c r="AN28" i="100"/>
  <c r="CR365" i="75"/>
  <c r="CR361" i="75"/>
  <c r="CR370" i="75"/>
  <c r="CR359" i="75"/>
  <c r="CR363" i="75"/>
  <c r="CR360" i="75"/>
  <c r="CR364" i="75"/>
  <c r="CR358" i="75"/>
  <c r="CR366" i="75"/>
  <c r="CR368" i="75"/>
  <c r="CR362" i="75"/>
  <c r="CR372" i="75"/>
  <c r="CR371" i="75"/>
  <c r="CR369" i="75"/>
  <c r="CR367" i="75"/>
  <c r="BG882" i="75"/>
  <c r="BG881" i="75"/>
  <c r="BG880" i="75"/>
  <c r="BG900" i="75"/>
  <c r="BG873" i="75"/>
  <c r="BG914" i="75"/>
  <c r="BG892" i="75"/>
  <c r="BG911" i="75"/>
  <c r="BG888" i="75"/>
  <c r="BG907" i="75"/>
  <c r="BG904" i="75"/>
  <c r="BG899" i="75"/>
  <c r="BG902" i="75"/>
  <c r="BG891" i="75"/>
  <c r="BG886" i="75"/>
  <c r="BG883" i="75"/>
  <c r="BG870" i="75"/>
  <c r="BG909" i="75"/>
  <c r="BG875" i="75"/>
  <c r="BG876" i="75"/>
  <c r="BG905" i="75"/>
  <c r="BG871" i="75"/>
  <c r="BG868" i="75"/>
  <c r="BG901" i="75"/>
  <c r="BG867" i="75"/>
  <c r="BG912" i="75"/>
  <c r="BG877" i="75"/>
  <c r="BG884" i="75"/>
  <c r="BG863" i="75"/>
  <c r="BH863" i="75" s="1"/>
  <c r="BG895" i="75"/>
  <c r="BG890" i="75"/>
  <c r="BG866" i="75"/>
  <c r="BG897" i="75"/>
  <c r="BG910" i="75"/>
  <c r="BG865" i="75"/>
  <c r="BG887" i="75"/>
  <c r="BG906" i="75"/>
  <c r="BG874" i="75"/>
  <c r="BG872" i="75"/>
  <c r="BG878" i="75"/>
  <c r="BG908" i="75"/>
  <c r="BG913" i="75"/>
  <c r="BG893" i="75"/>
  <c r="BG889" i="75"/>
  <c r="BG885" i="75"/>
  <c r="BG869" i="75"/>
  <c r="BG903" i="75"/>
  <c r="BG879" i="75"/>
  <c r="BG864" i="75"/>
  <c r="BG896" i="75"/>
  <c r="BG898" i="75"/>
  <c r="BG894" i="75"/>
  <c r="BK570" i="75"/>
  <c r="BK567" i="75"/>
  <c r="BL567" i="75" s="1"/>
  <c r="BK584" i="75"/>
  <c r="BK568" i="75"/>
  <c r="BK587" i="75"/>
  <c r="BK590" i="75"/>
  <c r="BK579" i="75"/>
  <c r="BK582" i="75"/>
  <c r="BK575" i="75"/>
  <c r="BK574" i="75"/>
  <c r="BK594" i="75"/>
  <c r="BK598" i="75"/>
  <c r="BK607" i="75"/>
  <c r="BK571" i="75"/>
  <c r="BK609" i="75"/>
  <c r="BK601" i="75"/>
  <c r="BK612" i="75"/>
  <c r="BK596" i="75"/>
  <c r="BK572" i="75"/>
  <c r="BK611" i="75"/>
  <c r="BK603" i="75"/>
  <c r="BK613" i="75"/>
  <c r="BK589" i="75"/>
  <c r="BK586" i="75"/>
  <c r="BK605" i="75"/>
  <c r="BK597" i="75"/>
  <c r="BK578" i="75"/>
  <c r="BK614" i="75"/>
  <c r="BK606" i="75"/>
  <c r="BK602" i="75"/>
  <c r="BK588" i="75"/>
  <c r="BK580" i="75"/>
  <c r="BK608" i="75"/>
  <c r="BK585" i="75"/>
  <c r="BK593" i="75"/>
  <c r="BK599" i="75"/>
  <c r="BK573" i="75"/>
  <c r="BK610" i="75"/>
  <c r="BK583" i="75"/>
  <c r="BK576" i="75"/>
  <c r="BK604" i="75"/>
  <c r="BK577" i="75"/>
  <c r="BK569" i="75"/>
  <c r="BK595" i="75"/>
  <c r="BK600" i="75"/>
  <c r="BK591" i="75"/>
  <c r="BK592" i="75"/>
  <c r="BK581" i="75"/>
  <c r="CP368" i="75"/>
  <c r="CP362" i="75"/>
  <c r="CP360" i="75"/>
  <c r="CP357" i="75"/>
  <c r="CP371" i="75"/>
  <c r="CP367" i="75"/>
  <c r="CP366" i="75"/>
  <c r="CP358" i="75"/>
  <c r="CP363" i="75"/>
  <c r="CP365" i="75"/>
  <c r="CP361" i="75"/>
  <c r="CP369" i="75"/>
  <c r="CP370" i="75"/>
  <c r="CP372" i="75"/>
  <c r="CP364" i="75"/>
  <c r="CP359" i="75"/>
  <c r="CP356" i="75"/>
  <c r="BR768" i="75"/>
  <c r="BR772" i="75"/>
  <c r="BR778" i="75"/>
  <c r="BR760" i="75"/>
  <c r="BR755" i="75"/>
  <c r="BR764" i="75"/>
  <c r="BR791" i="75"/>
  <c r="BR783" i="75"/>
  <c r="BR793" i="75"/>
  <c r="BR761" i="75"/>
  <c r="BR754" i="75"/>
  <c r="BR775" i="75"/>
  <c r="BR769" i="75"/>
  <c r="BR762" i="75"/>
  <c r="BR787" i="75"/>
  <c r="BR776" i="75"/>
  <c r="BR766" i="75"/>
  <c r="BR779" i="75"/>
  <c r="BR770" i="75"/>
  <c r="BR771" i="75"/>
  <c r="BR763" i="75"/>
  <c r="BR758" i="75"/>
  <c r="BR792" i="75"/>
  <c r="BR759" i="75"/>
  <c r="BR785" i="75"/>
  <c r="BR782" i="75"/>
  <c r="BR789" i="75"/>
  <c r="BR765" i="75"/>
  <c r="BR756" i="75"/>
  <c r="BW417" i="75"/>
  <c r="BW402" i="75"/>
  <c r="BW430" i="75"/>
  <c r="BW420" i="75"/>
  <c r="BW411" i="75"/>
  <c r="BW424" i="75"/>
  <c r="BW428" i="75"/>
  <c r="BW421" i="75"/>
  <c r="BW413" i="75"/>
  <c r="BW403" i="75"/>
  <c r="BW416" i="75"/>
  <c r="BW419" i="75"/>
  <c r="BW408" i="75"/>
  <c r="BW426" i="75"/>
  <c r="BW423" i="75"/>
  <c r="BW429" i="75"/>
  <c r="BW415" i="75"/>
  <c r="BW410" i="75"/>
  <c r="BW399" i="75"/>
  <c r="BW407" i="75"/>
  <c r="BW401" i="75"/>
  <c r="BW431" i="75"/>
  <c r="BW405" i="75"/>
  <c r="BW425" i="75"/>
  <c r="BW418" i="75"/>
  <c r="BW409" i="75"/>
  <c r="BW422" i="75"/>
  <c r="BW406" i="75"/>
  <c r="BW412" i="75"/>
  <c r="BW404" i="75"/>
  <c r="BW397" i="75"/>
  <c r="BX397" i="75" s="1"/>
  <c r="BW427" i="75"/>
  <c r="BW400" i="75"/>
  <c r="BW432" i="75"/>
  <c r="BW414" i="75"/>
  <c r="BW398" i="75"/>
  <c r="CR1274" i="75"/>
  <c r="CR1267" i="75"/>
  <c r="CR1265" i="75"/>
  <c r="CR1264" i="75"/>
  <c r="CR1268" i="75"/>
  <c r="CR1273" i="75"/>
  <c r="BJ453" i="75"/>
  <c r="BJ478" i="75"/>
  <c r="BJ487" i="75"/>
  <c r="BJ464" i="75"/>
  <c r="BJ473" i="75"/>
  <c r="BJ483" i="75"/>
  <c r="BJ491" i="75"/>
  <c r="BJ446" i="75"/>
  <c r="BJ474" i="75"/>
  <c r="BJ465" i="75"/>
  <c r="BJ448" i="75"/>
  <c r="BJ449" i="75"/>
  <c r="BJ456" i="75"/>
  <c r="BJ462" i="75"/>
  <c r="BJ451" i="75"/>
  <c r="BJ482" i="75"/>
  <c r="BJ457" i="75"/>
  <c r="BJ470" i="75"/>
  <c r="BJ492" i="75"/>
  <c r="BJ454" i="75"/>
  <c r="BJ460" i="75"/>
  <c r="BJ452" i="75"/>
  <c r="BJ475" i="75"/>
  <c r="BJ459" i="75"/>
  <c r="BJ466" i="75"/>
  <c r="BJ467" i="75"/>
  <c r="BJ490" i="75"/>
  <c r="BJ447" i="75"/>
  <c r="BJ488" i="75"/>
  <c r="BJ481" i="75"/>
  <c r="BJ489" i="75"/>
  <c r="BJ476" i="75"/>
  <c r="DA732" i="75"/>
  <c r="DA730" i="75"/>
  <c r="DA729" i="75"/>
  <c r="DB729" i="75" s="1"/>
  <c r="DA734" i="75"/>
  <c r="DA731" i="75"/>
  <c r="DA733" i="75"/>
  <c r="J168" i="115"/>
  <c r="H168" i="115"/>
  <c r="H183" i="115"/>
  <c r="J183" i="115"/>
  <c r="J124" i="115"/>
  <c r="H124" i="115"/>
  <c r="BJ1108" i="75" a="1"/>
  <c r="BD1102" i="75" a="1"/>
  <c r="J121" i="115"/>
  <c r="H121" i="115"/>
  <c r="H98" i="115"/>
  <c r="J98" i="115"/>
  <c r="AM20" i="100"/>
  <c r="AO27" i="100"/>
  <c r="AO66" i="100"/>
  <c r="CW304" i="75"/>
  <c r="CW308" i="75"/>
  <c r="CW305" i="75"/>
  <c r="CW310" i="75"/>
  <c r="CW307" i="75"/>
  <c r="CW311" i="75"/>
  <c r="CW303" i="75"/>
  <c r="CX303" i="75" s="1"/>
  <c r="CW306" i="75"/>
  <c r="CW309" i="75"/>
  <c r="CW312" i="75"/>
  <c r="J147" i="115"/>
  <c r="H147" i="115"/>
  <c r="AN21" i="100"/>
  <c r="AM21" i="100"/>
  <c r="AO21" i="100"/>
  <c r="AP21" i="100"/>
  <c r="CR1029" i="75"/>
  <c r="CR1023" i="75"/>
  <c r="CR1034" i="75"/>
  <c r="CR1027" i="75"/>
  <c r="CR1026" i="75"/>
  <c r="CR1025" i="75"/>
  <c r="CR1024" i="75"/>
  <c r="CR1032" i="75"/>
  <c r="CR1022" i="75"/>
  <c r="CR1033" i="75"/>
  <c r="CR1030" i="75"/>
  <c r="CR1031" i="75"/>
  <c r="BY1209" i="75"/>
  <c r="BY1195" i="75"/>
  <c r="BY1198" i="75"/>
  <c r="BY1201" i="75"/>
  <c r="BY1193" i="75"/>
  <c r="BY1185" i="75"/>
  <c r="BY1192" i="75"/>
  <c r="BY1214" i="75"/>
  <c r="BY1187" i="75"/>
  <c r="BY1208" i="75"/>
  <c r="BY1194" i="75"/>
  <c r="BY1196" i="75"/>
  <c r="BY1211" i="75"/>
  <c r="BY1203" i="75"/>
  <c r="BY1210" i="75"/>
  <c r="BY1212" i="75"/>
  <c r="BY1215" i="75"/>
  <c r="BY1207" i="75"/>
  <c r="BY1202" i="75"/>
  <c r="BY1204" i="75"/>
  <c r="BY1190" i="75"/>
  <c r="BY1183" i="75"/>
  <c r="BZ1183" i="75" s="1"/>
  <c r="BY1213" i="75"/>
  <c r="BY1205" i="75"/>
  <c r="BY1189" i="75"/>
  <c r="BY1199" i="75"/>
  <c r="BY1200" i="75"/>
  <c r="BY1184" i="75"/>
  <c r="BY1186" i="75"/>
  <c r="BY1188" i="75"/>
  <c r="BY1206" i="75"/>
  <c r="BY1197" i="75"/>
  <c r="BY1191" i="75"/>
  <c r="BY1216" i="75"/>
  <c r="CM362" i="75"/>
  <c r="CM358" i="75"/>
  <c r="CM371" i="75"/>
  <c r="CM355" i="75"/>
  <c r="CM354" i="75"/>
  <c r="CM367" i="75"/>
  <c r="CM364" i="75"/>
  <c r="CM363" i="75"/>
  <c r="CM365" i="75"/>
  <c r="CM372" i="75"/>
  <c r="CM356" i="75"/>
  <c r="CM353" i="75"/>
  <c r="CN353" i="75" s="1"/>
  <c r="CM368" i="75"/>
  <c r="CM359" i="75"/>
  <c r="CM369" i="75"/>
  <c r="CM361" i="75"/>
  <c r="CM357" i="75"/>
  <c r="CM366" i="75"/>
  <c r="CM360" i="75"/>
  <c r="CM370" i="75"/>
  <c r="BM751" i="75"/>
  <c r="BM775" i="75"/>
  <c r="BM774" i="75"/>
  <c r="BM767" i="75"/>
  <c r="BM758" i="75"/>
  <c r="BM791" i="75"/>
  <c r="BM782" i="75"/>
  <c r="BM787" i="75"/>
  <c r="BM766" i="75"/>
  <c r="BM779" i="75"/>
  <c r="BM763" i="75"/>
  <c r="BM755" i="75"/>
  <c r="BM780" i="75"/>
  <c r="BM772" i="75"/>
  <c r="BM764" i="75"/>
  <c r="BM789" i="75"/>
  <c r="BM757" i="75"/>
  <c r="BM783" i="75"/>
  <c r="BM776" i="75"/>
  <c r="BM760" i="75"/>
  <c r="BM790" i="75"/>
  <c r="BM768" i="75"/>
  <c r="BM750" i="75"/>
  <c r="BM785" i="75"/>
  <c r="BM761" i="75"/>
  <c r="BM759" i="75"/>
  <c r="BM793" i="75"/>
  <c r="BM753" i="75"/>
  <c r="BM771" i="75"/>
  <c r="BM788" i="75"/>
  <c r="BM756" i="75"/>
  <c r="BM792" i="75"/>
  <c r="BM784" i="75"/>
  <c r="BM752" i="75"/>
  <c r="BM769" i="75"/>
  <c r="BM770" i="75"/>
  <c r="BM765" i="75"/>
  <c r="BM773" i="75"/>
  <c r="BM778" i="75"/>
  <c r="BM749" i="75"/>
  <c r="BN749" i="75" s="1"/>
  <c r="BM794" i="75"/>
  <c r="BM786" i="75"/>
  <c r="BM762" i="75"/>
  <c r="BM754" i="75"/>
  <c r="BM781" i="75"/>
  <c r="BM777" i="75"/>
  <c r="BC607" i="75"/>
  <c r="BC587" i="75"/>
  <c r="BC609" i="75"/>
  <c r="BC599" i="75"/>
  <c r="BC579" i="75"/>
  <c r="BC601" i="75"/>
  <c r="BC591" i="75"/>
  <c r="BC571" i="75"/>
  <c r="BC569" i="75"/>
  <c r="BC606" i="75"/>
  <c r="BC561" i="75"/>
  <c r="BC598" i="75"/>
  <c r="BC610" i="75"/>
  <c r="BC590" i="75"/>
  <c r="BC602" i="75"/>
  <c r="BC580" i="75"/>
  <c r="BC608" i="75"/>
  <c r="BC605" i="75"/>
  <c r="BC560" i="75"/>
  <c r="BC589" i="75"/>
  <c r="BC567" i="75"/>
  <c r="BC573" i="75"/>
  <c r="BC582" i="75"/>
  <c r="BC559" i="75"/>
  <c r="BD559" i="75" s="1"/>
  <c r="BC566" i="75"/>
  <c r="BC574" i="75"/>
  <c r="BC612" i="75"/>
  <c r="BC596" i="75"/>
  <c r="BC581" i="75"/>
  <c r="BC611" i="75"/>
  <c r="BC593" i="75"/>
  <c r="BC595" i="75"/>
  <c r="BC585" i="75"/>
  <c r="BC563" i="75"/>
  <c r="BC577" i="75"/>
  <c r="BC594" i="75"/>
  <c r="BC586" i="75"/>
  <c r="BC604" i="75"/>
  <c r="BC578" i="75"/>
  <c r="BC592" i="75"/>
  <c r="BC584" i="75"/>
  <c r="BC576" i="75"/>
  <c r="BC568" i="75"/>
  <c r="BC614" i="75"/>
  <c r="BC564" i="75"/>
  <c r="BC603" i="75"/>
  <c r="BC597" i="75"/>
  <c r="BC565" i="75"/>
  <c r="BC570" i="75"/>
  <c r="BC583" i="75"/>
  <c r="BC575" i="75"/>
  <c r="BC562" i="75"/>
  <c r="BC613" i="75"/>
  <c r="BC600" i="75"/>
  <c r="BC572" i="75"/>
  <c r="BC588" i="75"/>
  <c r="BM516" i="75"/>
  <c r="BM507" i="75"/>
  <c r="BN507" i="75" s="1"/>
  <c r="BM548" i="75"/>
  <c r="BM540" i="75"/>
  <c r="BM532" i="75"/>
  <c r="BM536" i="75"/>
  <c r="BM550" i="75"/>
  <c r="BM521" i="75"/>
  <c r="BM510" i="75"/>
  <c r="BM524" i="75"/>
  <c r="BM544" i="75"/>
  <c r="BM528" i="75"/>
  <c r="BM520" i="75"/>
  <c r="BM512" i="75"/>
  <c r="BM519" i="75"/>
  <c r="BM545" i="75"/>
  <c r="BM525" i="75"/>
  <c r="BM551" i="75"/>
  <c r="BM539" i="75"/>
  <c r="BM537" i="75"/>
  <c r="BM547" i="75"/>
  <c r="BM514" i="75"/>
  <c r="BM517" i="75"/>
  <c r="BM538" i="75"/>
  <c r="BM522" i="75"/>
  <c r="BM542" i="75"/>
  <c r="BM534" i="75"/>
  <c r="BM531" i="75"/>
  <c r="BM526" i="75"/>
  <c r="BM543" i="75"/>
  <c r="BM523" i="75"/>
  <c r="BM518" i="75"/>
  <c r="BM508" i="75"/>
  <c r="BM527" i="75"/>
  <c r="BM530" i="75"/>
  <c r="BM513" i="75"/>
  <c r="BM541" i="75"/>
  <c r="BM515" i="75"/>
  <c r="BM552" i="75"/>
  <c r="BM533" i="75"/>
  <c r="BM511" i="75"/>
  <c r="BM546" i="75"/>
  <c r="BM535" i="75"/>
  <c r="BM549" i="75"/>
  <c r="BM529" i="75"/>
  <c r="BM509" i="75"/>
  <c r="BV456" i="75"/>
  <c r="BV473" i="75"/>
  <c r="BV459" i="75"/>
  <c r="BV483" i="75"/>
  <c r="BV481" i="75"/>
  <c r="BV458" i="75"/>
  <c r="BV485" i="75"/>
  <c r="BV474" i="75"/>
  <c r="CS1272" i="75"/>
  <c r="CS1265" i="75"/>
  <c r="CS1273" i="75"/>
  <c r="CS1270" i="75"/>
  <c r="CS1276" i="75"/>
  <c r="CS1264" i="75"/>
  <c r="CS1274" i="75"/>
  <c r="CS1271" i="75"/>
  <c r="CS1268" i="75"/>
  <c r="CS1266" i="75"/>
  <c r="CS1269" i="75"/>
  <c r="CS1267" i="75"/>
  <c r="CS1275" i="75"/>
  <c r="CS1263" i="75"/>
  <c r="CT1263" i="75" s="1"/>
  <c r="CZ733" i="75"/>
  <c r="CZ734" i="75"/>
  <c r="CZ728" i="75"/>
  <c r="CZ732" i="75"/>
  <c r="CZ729" i="75"/>
  <c r="CZ730" i="75"/>
  <c r="CZ731" i="75"/>
  <c r="CF592" i="75"/>
  <c r="CF600" i="75"/>
  <c r="CF608" i="75"/>
  <c r="CF594" i="75"/>
  <c r="CF609" i="75"/>
  <c r="CF614" i="75"/>
  <c r="CF612" i="75"/>
  <c r="CF606" i="75"/>
  <c r="CF590" i="75"/>
  <c r="CF597" i="75"/>
  <c r="CF602" i="75"/>
  <c r="CF601" i="75"/>
  <c r="CF599" i="75"/>
  <c r="H185" i="116"/>
  <c r="J185" i="116"/>
  <c r="H101" i="115"/>
  <c r="J101" i="115"/>
  <c r="J178" i="116"/>
  <c r="H178" i="116"/>
  <c r="H181" i="112"/>
  <c r="AS131" i="113"/>
  <c r="Z145" i="113"/>
  <c r="AS135" i="113"/>
  <c r="AS134" i="113"/>
  <c r="G134" i="113"/>
  <c r="AS139" i="113"/>
  <c r="G139" i="113"/>
  <c r="G138" i="113"/>
  <c r="G132" i="113"/>
  <c r="Z141" i="113"/>
  <c r="Z147" i="113"/>
  <c r="G137" i="113"/>
  <c r="AS138" i="113"/>
  <c r="Z149" i="113"/>
  <c r="AS132" i="113"/>
  <c r="G135" i="113"/>
  <c r="Z148" i="113"/>
  <c r="Z142" i="113"/>
  <c r="Z144" i="113"/>
  <c r="Z143" i="113"/>
  <c r="AS137" i="113"/>
  <c r="G131" i="113"/>
  <c r="AS136" i="113"/>
  <c r="AS133" i="113"/>
  <c r="G136" i="113"/>
  <c r="J159" i="114"/>
  <c r="H159" i="114"/>
  <c r="AP28" i="100"/>
  <c r="AP66" i="100"/>
  <c r="AP13" i="100"/>
  <c r="BK345" i="75"/>
  <c r="BK330" i="75"/>
  <c r="BK346" i="75"/>
  <c r="BK348" i="75"/>
  <c r="BK326" i="75"/>
  <c r="BK332" i="75"/>
  <c r="BK357" i="75"/>
  <c r="BK366" i="75"/>
  <c r="BK358" i="75"/>
  <c r="BK342" i="75"/>
  <c r="BK372" i="75"/>
  <c r="BK365" i="75"/>
  <c r="BK356" i="75"/>
  <c r="BK341" i="75"/>
  <c r="BK370" i="75"/>
  <c r="BK362" i="75"/>
  <c r="BK354" i="75"/>
  <c r="BK368" i="75"/>
  <c r="BK344" i="75"/>
  <c r="BK328" i="75"/>
  <c r="BK364" i="75"/>
  <c r="BK340" i="75"/>
  <c r="BK338" i="75"/>
  <c r="BK329" i="75"/>
  <c r="BK352" i="75"/>
  <c r="BK336" i="75"/>
  <c r="BK350" i="75"/>
  <c r="BK349" i="75"/>
  <c r="BK360" i="75"/>
  <c r="BK334" i="75"/>
  <c r="BK333" i="75"/>
  <c r="BK343" i="75"/>
  <c r="BK325" i="75"/>
  <c r="BL325" i="75" s="1"/>
  <c r="BK355" i="75"/>
  <c r="BK367" i="75"/>
  <c r="BK335" i="75"/>
  <c r="BK339" i="75"/>
  <c r="BK363" i="75"/>
  <c r="BK371" i="75"/>
  <c r="BK347" i="75"/>
  <c r="BK331" i="75"/>
  <c r="BK359" i="75"/>
  <c r="BK327" i="75"/>
  <c r="BK351" i="75"/>
  <c r="BK369" i="75"/>
  <c r="BK361" i="75"/>
  <c r="BK353" i="75"/>
  <c r="BK337" i="75"/>
  <c r="H158" i="112"/>
  <c r="J158" i="112"/>
  <c r="CH851" i="75"/>
  <c r="CH836" i="75"/>
  <c r="CH843" i="75"/>
  <c r="CH835" i="75"/>
  <c r="CH850" i="75"/>
  <c r="CH847" i="75"/>
  <c r="CH833" i="75"/>
  <c r="CH832" i="75"/>
  <c r="CH839" i="75"/>
  <c r="CH853" i="75"/>
  <c r="CH831" i="75"/>
  <c r="CH845" i="75"/>
  <c r="CH852" i="75"/>
  <c r="CH830" i="75"/>
  <c r="CH844" i="75"/>
  <c r="CH848" i="75"/>
  <c r="CH838" i="75"/>
  <c r="CH846" i="75"/>
  <c r="CH849" i="75"/>
  <c r="CH841" i="75"/>
  <c r="CH840" i="75"/>
  <c r="CH834" i="75"/>
  <c r="CH842" i="75"/>
  <c r="CH854" i="75"/>
  <c r="CH837" i="75"/>
  <c r="AP27" i="100"/>
  <c r="AP22" i="100"/>
  <c r="AP30" i="100"/>
  <c r="AM22" i="100"/>
  <c r="EI338" i="100"/>
  <c r="J138" i="112"/>
  <c r="H138" i="112"/>
  <c r="CK961" i="75"/>
  <c r="CK957" i="75"/>
  <c r="CK974" i="75"/>
  <c r="CK958" i="75"/>
  <c r="CK975" i="75"/>
  <c r="CK976" i="75"/>
  <c r="CK960" i="75"/>
  <c r="CK972" i="75"/>
  <c r="CK956" i="75"/>
  <c r="CK963" i="75"/>
  <c r="CK959" i="75"/>
  <c r="CK969" i="75"/>
  <c r="CK968" i="75"/>
  <c r="CK966" i="75"/>
  <c r="CK964" i="75"/>
  <c r="CK970" i="75"/>
  <c r="CK962" i="75"/>
  <c r="CK955" i="75"/>
  <c r="CL955" i="75" s="1"/>
  <c r="CK971" i="75"/>
  <c r="CK973" i="75"/>
  <c r="CK965" i="75"/>
  <c r="CK967" i="75"/>
  <c r="J221" i="116"/>
  <c r="H221" i="116"/>
  <c r="AM24" i="100"/>
  <c r="AP24" i="100"/>
  <c r="AN24" i="100"/>
  <c r="AO24" i="100"/>
  <c r="AM72" i="100"/>
  <c r="AO72" i="100"/>
  <c r="AN72" i="100"/>
  <c r="AO75" i="100"/>
  <c r="AN75" i="100"/>
  <c r="AP75" i="100"/>
  <c r="AM75" i="100"/>
  <c r="AN311" i="100"/>
  <c r="AO311" i="100"/>
  <c r="CT1275" i="75"/>
  <c r="CT1276" i="75"/>
  <c r="CT1267" i="75"/>
  <c r="CT1268" i="75"/>
  <c r="CT1266" i="75"/>
  <c r="CT1270" i="75"/>
  <c r="CT1264" i="75"/>
  <c r="CT1272" i="75"/>
  <c r="CT1271" i="75"/>
  <c r="CT1269" i="75"/>
  <c r="CT1274" i="75"/>
  <c r="CT1273" i="75"/>
  <c r="CT1265" i="75"/>
  <c r="CI1273" i="75"/>
  <c r="CI1254" i="75"/>
  <c r="CI1264" i="75"/>
  <c r="CI1270" i="75"/>
  <c r="CI1262" i="75"/>
  <c r="CI1256" i="75"/>
  <c r="CI1265" i="75"/>
  <c r="CI1257" i="75"/>
  <c r="CI1274" i="75"/>
  <c r="CI1266" i="75"/>
  <c r="CI1269" i="75"/>
  <c r="CI1276" i="75"/>
  <c r="CI1260" i="75"/>
  <c r="CI1275" i="75"/>
  <c r="CI1267" i="75"/>
  <c r="CI1263" i="75"/>
  <c r="CI1259" i="75"/>
  <c r="CI1255" i="75"/>
  <c r="CI1261" i="75"/>
  <c r="CI1268" i="75"/>
  <c r="CI1271" i="75"/>
  <c r="CI1272" i="75"/>
  <c r="CI1253" i="75"/>
  <c r="CJ1253" i="75" s="1"/>
  <c r="CI1258" i="75"/>
  <c r="BR298" i="75"/>
  <c r="BR290" i="75"/>
  <c r="BR275" i="75"/>
  <c r="BR302" i="75"/>
  <c r="BR312" i="75"/>
  <c r="BR274" i="75"/>
  <c r="BR296" i="75"/>
  <c r="BR301" i="75"/>
  <c r="BR272" i="75"/>
  <c r="BR276" i="75"/>
  <c r="BR294" i="75"/>
  <c r="BR305" i="75"/>
  <c r="BR308" i="75"/>
  <c r="BR285" i="75"/>
  <c r="BT394" i="75" a="1"/>
  <c r="BO583" i="75"/>
  <c r="BO579" i="75"/>
  <c r="BO572" i="75"/>
  <c r="BO614" i="75"/>
  <c r="BO608" i="75"/>
  <c r="BO571" i="75"/>
  <c r="BP571" i="75" s="1"/>
  <c r="BO588" i="75"/>
  <c r="BO596" i="75"/>
  <c r="BO584" i="75"/>
  <c r="BO580" i="75"/>
  <c r="BO576" i="75"/>
  <c r="BO593" i="75"/>
  <c r="BO575" i="75"/>
  <c r="BO603" i="75"/>
  <c r="BO605" i="75"/>
  <c r="BO573" i="75"/>
  <c r="BO594" i="75"/>
  <c r="BO602" i="75"/>
  <c r="BO604" i="75"/>
  <c r="BO590" i="75"/>
  <c r="BO591" i="75"/>
  <c r="BO587" i="75"/>
  <c r="BO574" i="75"/>
  <c r="BO589" i="75"/>
  <c r="BO609" i="75"/>
  <c r="BO601" i="75"/>
  <c r="BO586" i="75"/>
  <c r="BO607" i="75"/>
  <c r="BO581" i="75"/>
  <c r="BO577" i="75"/>
  <c r="BO606" i="75"/>
  <c r="BO611" i="75"/>
  <c r="BO598" i="75"/>
  <c r="BO582" i="75"/>
  <c r="BO597" i="75"/>
  <c r="BO600" i="75"/>
  <c r="BO592" i="75"/>
  <c r="BO599" i="75"/>
  <c r="BO585" i="75"/>
  <c r="BO578" i="75"/>
  <c r="BO612" i="75"/>
  <c r="BO595" i="75"/>
  <c r="BO610" i="75"/>
  <c r="BO613" i="75"/>
  <c r="CP427" i="75"/>
  <c r="CC543" i="75"/>
  <c r="CC548" i="75"/>
  <c r="CC540" i="75"/>
  <c r="CC524" i="75"/>
  <c r="CC535" i="75"/>
  <c r="CC546" i="75"/>
  <c r="CC545" i="75"/>
  <c r="CC530" i="75"/>
  <c r="CC537" i="75"/>
  <c r="CC552" i="75"/>
  <c r="CC529" i="75"/>
  <c r="CC544" i="75"/>
  <c r="CC539" i="75"/>
  <c r="CC549" i="75"/>
  <c r="CC533" i="75"/>
  <c r="CC551" i="75"/>
  <c r="CC538" i="75"/>
  <c r="CC528" i="75"/>
  <c r="CC541" i="75"/>
  <c r="CC550" i="75"/>
  <c r="CC542" i="75"/>
  <c r="CC526" i="75"/>
  <c r="CC532" i="75"/>
  <c r="CC523" i="75"/>
  <c r="CD523" i="75" s="1"/>
  <c r="CC525" i="75"/>
  <c r="CC534" i="75"/>
  <c r="CC527" i="75"/>
  <c r="CC536" i="75"/>
  <c r="CC547" i="75"/>
  <c r="CC531" i="75"/>
  <c r="BC362" i="75"/>
  <c r="BC358" i="75"/>
  <c r="BC336" i="75"/>
  <c r="BC328" i="75"/>
  <c r="BC324" i="75"/>
  <c r="BC370" i="75"/>
  <c r="BC355" i="75"/>
  <c r="BC332" i="75"/>
  <c r="BC354" i="75"/>
  <c r="BC338" i="75"/>
  <c r="BC322" i="75"/>
  <c r="BC323" i="75"/>
  <c r="BC344" i="75"/>
  <c r="BC369" i="75"/>
  <c r="BC345" i="75"/>
  <c r="BC326" i="75"/>
  <c r="BC333" i="75"/>
  <c r="BC360" i="75"/>
  <c r="BC341" i="75"/>
  <c r="BC356" i="75"/>
  <c r="BC325" i="75"/>
  <c r="BC317" i="75"/>
  <c r="BD317" i="75" s="1"/>
  <c r="BC346" i="75"/>
  <c r="BC340" i="75"/>
  <c r="BC347" i="75"/>
  <c r="BC367" i="75"/>
  <c r="BC337" i="75"/>
  <c r="BC342" i="75"/>
  <c r="BC331" i="75"/>
  <c r="BC359" i="75"/>
  <c r="BC329" i="75"/>
  <c r="BC334" i="75"/>
  <c r="BC368" i="75"/>
  <c r="BC361" i="75"/>
  <c r="BC321" i="75"/>
  <c r="BC330" i="75"/>
  <c r="BC353" i="75"/>
  <c r="BC320" i="75"/>
  <c r="BC350" i="75"/>
  <c r="BC366" i="75"/>
  <c r="BC335" i="75"/>
  <c r="BC348" i="75"/>
  <c r="BC327" i="75"/>
  <c r="BC319" i="75"/>
  <c r="BC364" i="75"/>
  <c r="BC318" i="75"/>
  <c r="BC357" i="75"/>
  <c r="BC363" i="75"/>
  <c r="BC351" i="75"/>
  <c r="BC365" i="75"/>
  <c r="BC339" i="75"/>
  <c r="BC352" i="75"/>
  <c r="BC343" i="75"/>
  <c r="BC371" i="75"/>
  <c r="BC349" i="75"/>
  <c r="BC372" i="75"/>
  <c r="CD793" i="75"/>
  <c r="J35" i="116"/>
  <c r="H35" i="116"/>
  <c r="CR1087" i="75"/>
  <c r="CR1094" i="75"/>
  <c r="CR1089" i="75"/>
  <c r="CR1082" i="75"/>
  <c r="CR1090" i="75"/>
  <c r="CR1095" i="75"/>
  <c r="CR1086" i="75"/>
  <c r="CR1091" i="75"/>
  <c r="CR1088" i="75"/>
  <c r="CR1083" i="75"/>
  <c r="CR1092" i="75"/>
  <c r="CR1084" i="75"/>
  <c r="CR1085" i="75"/>
  <c r="CR1096" i="75"/>
  <c r="CR1093" i="75"/>
  <c r="CW423" i="75" a="1"/>
  <c r="J72" i="115"/>
  <c r="H72" i="115"/>
  <c r="J181" i="114"/>
  <c r="H181" i="114"/>
  <c r="BN786" i="75"/>
  <c r="BN761" i="75"/>
  <c r="BN768" i="75"/>
  <c r="BN779" i="75"/>
  <c r="BN778" i="75"/>
  <c r="BN753" i="75"/>
  <c r="BN759" i="75"/>
  <c r="BN776" i="75"/>
  <c r="BN757" i="75"/>
  <c r="BN790" i="75"/>
  <c r="BN787" i="75"/>
  <c r="BN755" i="75"/>
  <c r="BN758" i="75"/>
  <c r="BN763" i="75"/>
  <c r="BN751" i="75"/>
  <c r="BN783" i="75"/>
  <c r="BN771" i="75"/>
  <c r="BN765" i="75"/>
  <c r="BN781" i="75"/>
  <c r="BN762" i="75"/>
  <c r="BN785" i="75"/>
  <c r="BN766" i="75"/>
  <c r="BN760" i="75"/>
  <c r="BN780" i="75"/>
  <c r="BN772" i="75"/>
  <c r="BN784" i="75"/>
  <c r="BN788" i="75"/>
  <c r="BN792" i="75"/>
  <c r="BN750" i="75"/>
  <c r="BN773" i="75"/>
  <c r="BN777" i="75"/>
  <c r="BN774" i="75"/>
  <c r="BN782" i="75"/>
  <c r="BN752" i="75"/>
  <c r="BN756" i="75"/>
  <c r="BN764" i="75"/>
  <c r="BN791" i="75"/>
  <c r="BN794" i="75"/>
  <c r="BN754" i="75"/>
  <c r="BN767" i="75"/>
  <c r="BN770" i="75"/>
  <c r="BN789" i="75"/>
  <c r="BN769" i="75"/>
  <c r="AP33" i="100"/>
  <c r="AM33" i="100"/>
  <c r="AQ167" i="100"/>
  <c r="AQ289" i="100"/>
  <c r="AQ333" i="100"/>
  <c r="AQ328" i="100"/>
  <c r="AQ327" i="100"/>
  <c r="AQ183" i="100"/>
  <c r="AQ29" i="100"/>
  <c r="AQ30" i="100"/>
  <c r="AQ186" i="100"/>
  <c r="AQ318" i="100"/>
  <c r="AQ313" i="100"/>
  <c r="AQ294" i="100"/>
  <c r="AQ25" i="100"/>
  <c r="AQ292" i="100"/>
  <c r="AQ69" i="100"/>
  <c r="AQ195" i="100"/>
  <c r="AQ204" i="100"/>
  <c r="AQ76" i="100"/>
  <c r="AQ17" i="100"/>
  <c r="AQ65" i="100"/>
  <c r="AQ13" i="100"/>
  <c r="AQ158" i="100"/>
  <c r="AQ194" i="100"/>
  <c r="AQ336" i="100"/>
  <c r="AQ298" i="100"/>
  <c r="AQ332" i="100"/>
  <c r="AQ191" i="100"/>
  <c r="AQ77" i="100"/>
  <c r="AQ18" i="100"/>
  <c r="AQ176" i="100"/>
  <c r="AQ319" i="100"/>
  <c r="AQ68" i="100"/>
  <c r="AQ40" i="100"/>
  <c r="AQ21" i="100"/>
  <c r="AQ15" i="100"/>
  <c r="AQ75" i="100"/>
  <c r="AQ180" i="100"/>
  <c r="AQ321" i="100"/>
  <c r="AQ291" i="100"/>
  <c r="AQ168" i="100"/>
  <c r="AQ312" i="100"/>
  <c r="AQ293" i="100"/>
  <c r="AQ14" i="100"/>
  <c r="AQ335" i="100"/>
  <c r="AQ196" i="100"/>
  <c r="AQ326" i="100"/>
  <c r="AQ329" i="100"/>
  <c r="AQ39" i="100"/>
  <c r="AQ163" i="100"/>
  <c r="AQ177" i="100"/>
  <c r="AQ317" i="100"/>
  <c r="AQ19" i="100"/>
  <c r="AQ197" i="100"/>
  <c r="AQ189" i="100"/>
  <c r="AQ64" i="100"/>
  <c r="AQ311" i="100"/>
  <c r="AQ36" i="100"/>
  <c r="AQ26" i="100"/>
  <c r="AQ331" i="100"/>
  <c r="AQ31" i="100"/>
  <c r="AQ302" i="100"/>
  <c r="AQ297" i="100"/>
  <c r="AQ171" i="100"/>
  <c r="AQ200" i="100"/>
  <c r="AQ70" i="100"/>
  <c r="AQ323" i="100"/>
  <c r="AQ22" i="100"/>
  <c r="AQ205" i="100"/>
  <c r="AQ27" i="100"/>
  <c r="AQ290" i="100"/>
  <c r="AQ322" i="100"/>
  <c r="AQ161" i="100"/>
  <c r="AQ71" i="100"/>
  <c r="AQ198" i="100"/>
  <c r="AQ301" i="100"/>
  <c r="AQ170" i="100"/>
  <c r="AQ201" i="100"/>
  <c r="AQ184" i="100"/>
  <c r="AQ310" i="100"/>
  <c r="AQ159" i="100"/>
  <c r="AQ164" i="100"/>
  <c r="AQ337" i="100"/>
  <c r="AQ66" i="100"/>
  <c r="AQ325" i="100"/>
  <c r="AQ172" i="100"/>
  <c r="AQ72" i="100"/>
  <c r="AQ295" i="100"/>
  <c r="AQ43" i="100"/>
  <c r="AQ179" i="100"/>
  <c r="AQ169" i="100"/>
  <c r="AQ206" i="100"/>
  <c r="AQ16" i="100"/>
  <c r="AQ12" i="100"/>
  <c r="AQ166" i="100"/>
  <c r="AQ320" i="100"/>
  <c r="AQ11" i="100"/>
  <c r="AQ192" i="100"/>
  <c r="AQ324" i="100"/>
  <c r="AQ33" i="100"/>
  <c r="AQ188" i="100"/>
  <c r="AQ41" i="100"/>
  <c r="AQ308" i="100"/>
  <c r="AQ193" i="100"/>
  <c r="AQ203" i="100"/>
  <c r="AQ165" i="100"/>
  <c r="AQ173" i="100"/>
  <c r="AQ32" i="100"/>
  <c r="AQ199" i="100"/>
  <c r="AQ303" i="100"/>
  <c r="AQ306" i="100"/>
  <c r="AQ316" i="100"/>
  <c r="AQ187" i="100"/>
  <c r="AQ74" i="100"/>
  <c r="AQ305" i="100"/>
  <c r="AQ314" i="100"/>
  <c r="AQ37" i="100"/>
  <c r="AQ330" i="100"/>
  <c r="AQ309" i="100"/>
  <c r="AQ304" i="100"/>
  <c r="AQ28" i="100"/>
  <c r="AQ38" i="100"/>
  <c r="AQ174" i="100"/>
  <c r="AQ42" i="100"/>
  <c r="AQ307" i="100"/>
  <c r="AQ23" i="100"/>
  <c r="AQ288" i="100"/>
  <c r="AQ182" i="100"/>
  <c r="AQ202" i="100"/>
  <c r="AQ334" i="100"/>
  <c r="AQ181" i="100"/>
  <c r="AQ178" i="100"/>
  <c r="AQ190" i="100"/>
  <c r="AQ296" i="100"/>
  <c r="AR7" i="100"/>
  <c r="AQ67" i="100"/>
  <c r="AQ162" i="100"/>
  <c r="AQ175" i="100"/>
  <c r="AQ300" i="100"/>
  <c r="AQ207" i="100"/>
  <c r="AQ34" i="100"/>
  <c r="AQ160" i="100"/>
  <c r="AQ24" i="100"/>
  <c r="AQ73" i="100"/>
  <c r="AQ185" i="100"/>
  <c r="AQ35" i="100"/>
  <c r="AQ20" i="100"/>
  <c r="AQ315" i="100"/>
  <c r="AQ299" i="100"/>
  <c r="AP77" i="100"/>
  <c r="AN22" i="100"/>
  <c r="CB425" i="75"/>
  <c r="CB413" i="75"/>
  <c r="CB429" i="75"/>
  <c r="CB416" i="75"/>
  <c r="CB408" i="75"/>
  <c r="CB421" i="75"/>
  <c r="CB423" i="75"/>
  <c r="CB417" i="75"/>
  <c r="CB402" i="75"/>
  <c r="CB420" i="75"/>
  <c r="CB405" i="75"/>
  <c r="CB403" i="75"/>
  <c r="CB430" i="75"/>
  <c r="CB406" i="75"/>
  <c r="CB404" i="75"/>
  <c r="CB409" i="75"/>
  <c r="CB424" i="75"/>
  <c r="CB407" i="75"/>
  <c r="CB418" i="75"/>
  <c r="CB432" i="75"/>
  <c r="CB426" i="75"/>
  <c r="CB414" i="75"/>
  <c r="CB431" i="75"/>
  <c r="CB412" i="75"/>
  <c r="CB415" i="75"/>
  <c r="CB419" i="75"/>
  <c r="CB411" i="75"/>
  <c r="CB422" i="75"/>
  <c r="BI576" i="75"/>
  <c r="BI594" i="75"/>
  <c r="BI597" i="75"/>
  <c r="BI572" i="75"/>
  <c r="BI578" i="75"/>
  <c r="BI612" i="75"/>
  <c r="BI573" i="75"/>
  <c r="BI614" i="75"/>
  <c r="BI608" i="75"/>
  <c r="BI584" i="75"/>
  <c r="BI607" i="75"/>
  <c r="BI602" i="75"/>
  <c r="BI586" i="75"/>
  <c r="BI570" i="75"/>
  <c r="BI589" i="75"/>
  <c r="BI592" i="75"/>
  <c r="BI599" i="75"/>
  <c r="BI565" i="75"/>
  <c r="BJ565" i="75" s="1"/>
  <c r="BI609" i="75"/>
  <c r="BI580" i="75"/>
  <c r="BI595" i="75"/>
  <c r="BI601" i="75"/>
  <c r="BI581" i="75"/>
  <c r="BI605" i="75"/>
  <c r="BI606" i="75"/>
  <c r="BI568" i="75"/>
  <c r="BI604" i="75"/>
  <c r="BI596" i="75"/>
  <c r="BI603" i="75"/>
  <c r="BI587" i="75"/>
  <c r="BI611" i="75"/>
  <c r="BI591" i="75"/>
  <c r="BI600" i="75"/>
  <c r="BI583" i="75"/>
  <c r="BI577" i="75"/>
  <c r="BI569" i="75"/>
  <c r="BI567" i="75"/>
  <c r="BI613" i="75"/>
  <c r="BI610" i="75"/>
  <c r="BI566" i="75"/>
  <c r="BI575" i="75"/>
  <c r="BI574" i="75"/>
  <c r="BI571" i="75"/>
  <c r="BI585" i="75"/>
  <c r="BI590" i="75"/>
  <c r="BI588" i="75"/>
  <c r="BI579" i="75"/>
  <c r="BI593" i="75"/>
  <c r="BI598" i="75"/>
  <c r="BI582" i="75"/>
  <c r="AM19" i="100"/>
  <c r="AN19" i="100"/>
  <c r="AO19" i="100"/>
  <c r="AM70" i="100"/>
  <c r="AO70" i="100"/>
  <c r="BF1264" i="75"/>
  <c r="BF1262" i="75"/>
  <c r="BF1263" i="75"/>
  <c r="BF1244" i="75"/>
  <c r="BF1228" i="75"/>
  <c r="BF1271" i="75"/>
  <c r="BF1243" i="75"/>
  <c r="BF1247" i="75"/>
  <c r="BF1229" i="75"/>
  <c r="BF1276" i="75"/>
  <c r="BF1255" i="75"/>
  <c r="BF1254" i="75"/>
  <c r="BF1234" i="75"/>
  <c r="BF1261" i="75"/>
  <c r="BF1241" i="75"/>
  <c r="BF1233" i="75"/>
  <c r="BF1232" i="75"/>
  <c r="BF1258" i="75"/>
  <c r="BF1230" i="75"/>
  <c r="BF1259" i="75"/>
  <c r="BF1257" i="75"/>
  <c r="BF1249" i="75"/>
  <c r="BF1239" i="75"/>
  <c r="BF1227" i="75"/>
  <c r="BF1238" i="75"/>
  <c r="BF1240" i="75"/>
  <c r="BF1274" i="75"/>
  <c r="BF1246" i="75"/>
  <c r="BF1267" i="75"/>
  <c r="BF1245" i="75"/>
  <c r="BF1260" i="75"/>
  <c r="BF1248" i="75"/>
  <c r="BF1237" i="75"/>
  <c r="BF1253" i="75"/>
  <c r="BF1242" i="75"/>
  <c r="BF1250" i="75"/>
  <c r="BF1265" i="75"/>
  <c r="BF1266" i="75"/>
  <c r="BF1273" i="75"/>
  <c r="BF1256" i="75"/>
  <c r="BF1231" i="75"/>
  <c r="BF1251" i="75"/>
  <c r="BF1235" i="75"/>
  <c r="BF1270" i="75"/>
  <c r="BF1269" i="75"/>
  <c r="BF1225" i="75"/>
  <c r="BF1226" i="75"/>
  <c r="BF1224" i="75"/>
  <c r="BF1252" i="75"/>
  <c r="BF1236" i="75"/>
  <c r="BF1275" i="75"/>
  <c r="BF1272" i="75"/>
  <c r="BF1268" i="75"/>
  <c r="BI1211" i="75"/>
  <c r="BI1190" i="75"/>
  <c r="BI1192" i="75"/>
  <c r="BI1183" i="75"/>
  <c r="BI1201" i="75"/>
  <c r="BI1170" i="75"/>
  <c r="BI1179" i="75"/>
  <c r="BI1197" i="75"/>
  <c r="BI1171" i="75"/>
  <c r="BI1189" i="75"/>
  <c r="BI1204" i="75"/>
  <c r="BI1181" i="75"/>
  <c r="BI1188" i="75"/>
  <c r="BI1173" i="75"/>
  <c r="BI1172" i="75"/>
  <c r="BI1216" i="75"/>
  <c r="BI1175" i="75"/>
  <c r="BI1184" i="75"/>
  <c r="BI1180" i="75"/>
  <c r="BI1210" i="75"/>
  <c r="BI1206" i="75"/>
  <c r="BI1194" i="75"/>
  <c r="BI1209" i="75"/>
  <c r="BI1199" i="75"/>
  <c r="BI1177" i="75"/>
  <c r="BI1196" i="75"/>
  <c r="BI1198" i="75"/>
  <c r="BI1205" i="75"/>
  <c r="BI1193" i="75"/>
  <c r="BI1169" i="75"/>
  <c r="BI1208" i="75"/>
  <c r="BI1203" i="75"/>
  <c r="BI1168" i="75"/>
  <c r="BI1213" i="75"/>
  <c r="BI1185" i="75"/>
  <c r="BI1200" i="75"/>
  <c r="BI1176" i="75"/>
  <c r="BI1202" i="75"/>
  <c r="BI1186" i="75"/>
  <c r="BI1178" i="75"/>
  <c r="BI1215" i="75"/>
  <c r="BI1207" i="75"/>
  <c r="BI1195" i="75"/>
  <c r="BI1191" i="75"/>
  <c r="BI1187" i="75"/>
  <c r="BI1212" i="75"/>
  <c r="BI1214" i="75"/>
  <c r="BI1182" i="75"/>
  <c r="BI1174" i="75"/>
  <c r="BI1167" i="75"/>
  <c r="BJ1167" i="75" s="1"/>
  <c r="BK527" i="75"/>
  <c r="BK528" i="75"/>
  <c r="BK508" i="75"/>
  <c r="BK531" i="75"/>
  <c r="BK509" i="75"/>
  <c r="BK515" i="75"/>
  <c r="BK538" i="75"/>
  <c r="BK550" i="75"/>
  <c r="BK522" i="75"/>
  <c r="BK518" i="75"/>
  <c r="BK540" i="75"/>
  <c r="BK530" i="75"/>
  <c r="BK523" i="75"/>
  <c r="BK548" i="75"/>
  <c r="BK542" i="75"/>
  <c r="BK524" i="75"/>
  <c r="BK520" i="75"/>
  <c r="BK535" i="75"/>
  <c r="BK533" i="75"/>
  <c r="BK546" i="75"/>
  <c r="BK543" i="75"/>
  <c r="BK506" i="75"/>
  <c r="BK547" i="75"/>
  <c r="BK537" i="75"/>
  <c r="BK507" i="75"/>
  <c r="BK521" i="75"/>
  <c r="BK534" i="75"/>
  <c r="BK513" i="75"/>
  <c r="BK510" i="75"/>
  <c r="BK552" i="75"/>
  <c r="BK512" i="75"/>
  <c r="BK526" i="75"/>
  <c r="BK544" i="75"/>
  <c r="BK536" i="75"/>
  <c r="BK549" i="75"/>
  <c r="BK541" i="75"/>
  <c r="BK525" i="75"/>
  <c r="BK517" i="75"/>
  <c r="BK514" i="75"/>
  <c r="BK532" i="75"/>
  <c r="BK516" i="75"/>
  <c r="BK545" i="75"/>
  <c r="BK529" i="75"/>
  <c r="BK551" i="75"/>
  <c r="BK519" i="75"/>
  <c r="BK505" i="75"/>
  <c r="BL505" i="75" s="1"/>
  <c r="BK539" i="75"/>
  <c r="BK511" i="75"/>
  <c r="CQ549" i="75"/>
  <c r="CQ544" i="75"/>
  <c r="CQ537" i="75"/>
  <c r="CR537" i="75" s="1"/>
  <c r="CQ548" i="75"/>
  <c r="CQ545" i="75"/>
  <c r="CQ541" i="75"/>
  <c r="CQ547" i="75"/>
  <c r="CQ538" i="75"/>
  <c r="CQ552" i="75"/>
  <c r="CQ551" i="75"/>
  <c r="CQ542" i="75"/>
  <c r="CQ540" i="75"/>
  <c r="CQ546" i="75"/>
  <c r="CQ550" i="75"/>
  <c r="CQ539" i="75"/>
  <c r="CQ543" i="75"/>
  <c r="CV1088" i="75"/>
  <c r="CV1090" i="75"/>
  <c r="CV1095" i="75"/>
  <c r="CV1086" i="75"/>
  <c r="CV1092" i="75"/>
  <c r="CV1089" i="75"/>
  <c r="CV1093" i="75"/>
  <c r="CV1091" i="75"/>
  <c r="CV1096" i="75"/>
  <c r="CV1094" i="75"/>
  <c r="CV1087" i="75"/>
  <c r="BJ1213" i="75"/>
  <c r="BJ1182" i="75"/>
  <c r="BJ1216" i="75"/>
  <c r="BJ1180" i="75"/>
  <c r="BJ1195" i="75"/>
  <c r="BJ1184" i="75"/>
  <c r="BJ1178" i="75"/>
  <c r="BJ1198" i="75"/>
  <c r="BJ1174" i="75"/>
  <c r="BJ1199" i="75"/>
  <c r="BJ1187" i="75"/>
  <c r="BJ1192" i="75"/>
  <c r="BJ1210" i="75"/>
  <c r="BJ1185" i="75"/>
  <c r="BJ1173" i="75"/>
  <c r="BJ1190" i="75"/>
  <c r="BJ1189" i="75"/>
  <c r="BJ1183" i="75"/>
  <c r="BJ1175" i="75"/>
  <c r="BJ1188" i="75"/>
  <c r="BJ1171" i="75"/>
  <c r="BJ1212" i="75"/>
  <c r="BJ1186" i="75"/>
  <c r="BJ1197" i="75"/>
  <c r="BJ1215" i="75"/>
  <c r="BJ1176" i="75"/>
  <c r="BJ1170" i="75"/>
  <c r="BJ1168" i="75"/>
  <c r="BJ1193" i="75"/>
  <c r="BJ1205" i="75"/>
  <c r="BJ1191" i="75"/>
  <c r="BJ1209" i="75"/>
  <c r="BJ1206" i="75"/>
  <c r="BJ1207" i="75"/>
  <c r="BJ1196" i="75"/>
  <c r="BJ1204" i="75"/>
  <c r="BJ1211" i="75"/>
  <c r="BJ1214" i="75"/>
  <c r="BT1129" i="75"/>
  <c r="BT1136" i="75"/>
  <c r="BT1140" i="75"/>
  <c r="BT1120" i="75"/>
  <c r="BT1132" i="75"/>
  <c r="BT1130" i="75"/>
  <c r="BT1150" i="75"/>
  <c r="BT1123" i="75"/>
  <c r="BT1125" i="75"/>
  <c r="BT1147" i="75"/>
  <c r="BT1153" i="75"/>
  <c r="BT1131" i="75"/>
  <c r="BT1124" i="75"/>
  <c r="BT1156" i="75"/>
  <c r="BT1119" i="75"/>
  <c r="BT1155" i="75"/>
  <c r="BT1141" i="75"/>
  <c r="BT1139" i="75"/>
  <c r="BT1133" i="75"/>
  <c r="BT1134" i="75"/>
  <c r="BT1128" i="75"/>
  <c r="BZ729" i="75"/>
  <c r="BZ725" i="75"/>
  <c r="BZ722" i="75"/>
  <c r="BZ727" i="75"/>
  <c r="BZ708" i="75"/>
  <c r="BZ721" i="75"/>
  <c r="BZ706" i="75"/>
  <c r="BZ726" i="75"/>
  <c r="BZ711" i="75"/>
  <c r="BZ705" i="75"/>
  <c r="BZ720" i="75"/>
  <c r="BZ717" i="75"/>
  <c r="BZ718" i="75"/>
  <c r="BZ734" i="75"/>
  <c r="BZ724" i="75"/>
  <c r="BZ709" i="75"/>
  <c r="BZ714" i="75"/>
  <c r="BZ723" i="75"/>
  <c r="BZ707" i="75"/>
  <c r="BZ730" i="75"/>
  <c r="BZ715" i="75"/>
  <c r="BZ733" i="75"/>
  <c r="BZ703" i="75"/>
  <c r="BZ704" i="75"/>
  <c r="BZ712" i="75"/>
  <c r="BZ713" i="75"/>
  <c r="BZ716" i="75"/>
  <c r="BZ731" i="75"/>
  <c r="BZ719" i="75"/>
  <c r="BZ702" i="75"/>
  <c r="BZ728" i="75"/>
  <c r="BZ710" i="75"/>
  <c r="BZ732" i="75"/>
  <c r="J217" i="116"/>
  <c r="H217" i="116"/>
  <c r="CS1085" i="75"/>
  <c r="CS1091" i="75"/>
  <c r="CS1095" i="75"/>
  <c r="CS1084" i="75"/>
  <c r="CS1088" i="75"/>
  <c r="CS1089" i="75"/>
  <c r="CS1092" i="75"/>
  <c r="CS1096" i="75"/>
  <c r="CS1093" i="75"/>
  <c r="CV422" i="75" a="1"/>
  <c r="H165" i="116"/>
  <c r="J165" i="116"/>
  <c r="J53" i="116"/>
  <c r="H53" i="116"/>
  <c r="H123" i="115"/>
  <c r="J123" i="115"/>
  <c r="J205" i="116"/>
  <c r="H205" i="116"/>
  <c r="CL837" i="75"/>
  <c r="AM76" i="100"/>
  <c r="BV944" i="75"/>
  <c r="BV946" i="75"/>
  <c r="BV965" i="75"/>
  <c r="BV940" i="75"/>
  <c r="BV954" i="75"/>
  <c r="BV953" i="75"/>
  <c r="BV948" i="75"/>
  <c r="BV956" i="75"/>
  <c r="BV957" i="75"/>
  <c r="BV958" i="75"/>
  <c r="BV950" i="75"/>
  <c r="BV971" i="75"/>
  <c r="BV975" i="75"/>
  <c r="BV943" i="75"/>
  <c r="BV959" i="75"/>
  <c r="BV972" i="75"/>
  <c r="BV952" i="75"/>
  <c r="BV960" i="75"/>
  <c r="BV947" i="75"/>
  <c r="BV942" i="75"/>
  <c r="BV951" i="75"/>
  <c r="BV961" i="75"/>
  <c r="BV962" i="75"/>
  <c r="BV970" i="75"/>
  <c r="BV967" i="75"/>
  <c r="BV966" i="75"/>
  <c r="BV968" i="75"/>
  <c r="BV945" i="75"/>
  <c r="BV955" i="75"/>
  <c r="BV976" i="75"/>
  <c r="BV949" i="75"/>
  <c r="AN39" i="100"/>
  <c r="AO39" i="100"/>
  <c r="AP39" i="100"/>
  <c r="AM39" i="100"/>
  <c r="BL948" i="75"/>
  <c r="BL934" i="75"/>
  <c r="BL947" i="75"/>
  <c r="BL975" i="75"/>
  <c r="BL956" i="75"/>
  <c r="BL936" i="75"/>
  <c r="BL944" i="75"/>
  <c r="BL959" i="75"/>
  <c r="BL931" i="75"/>
  <c r="BL930" i="75"/>
  <c r="BL939" i="75"/>
  <c r="BL950" i="75"/>
  <c r="BL955" i="75"/>
  <c r="BL962" i="75"/>
  <c r="BL933" i="75"/>
  <c r="BL976" i="75"/>
  <c r="BL932" i="75"/>
  <c r="BL940" i="75"/>
  <c r="BL952" i="75"/>
  <c r="BL972" i="75"/>
  <c r="BL969" i="75"/>
  <c r="BL963" i="75"/>
  <c r="BL971" i="75"/>
  <c r="BL943" i="75"/>
  <c r="BL958" i="75"/>
  <c r="BL965" i="75"/>
  <c r="BL973" i="75"/>
  <c r="BL935" i="75"/>
  <c r="BL951" i="75"/>
  <c r="BL967" i="75"/>
  <c r="BL970" i="75"/>
  <c r="BL953" i="75"/>
  <c r="BL954" i="75"/>
  <c r="BL949" i="75"/>
  <c r="BL937" i="75"/>
  <c r="BL968" i="75"/>
  <c r="BL961" i="75"/>
  <c r="BL957" i="75"/>
  <c r="BL966" i="75"/>
  <c r="BL974" i="75"/>
  <c r="BL938" i="75"/>
  <c r="BL942" i="75"/>
  <c r="BL946" i="75"/>
  <c r="BL941" i="75"/>
  <c r="BL945" i="75"/>
  <c r="BL960" i="75"/>
  <c r="BL964" i="75"/>
  <c r="CS975" i="75"/>
  <c r="CS968" i="75"/>
  <c r="CS976" i="75"/>
  <c r="CS964" i="75"/>
  <c r="CS974" i="75"/>
  <c r="CS963" i="75"/>
  <c r="CT963" i="75" s="1"/>
  <c r="CS965" i="75"/>
  <c r="CS971" i="75"/>
  <c r="CS972" i="75"/>
  <c r="CS970" i="75"/>
  <c r="CS973" i="75"/>
  <c r="CS969" i="75"/>
  <c r="CS967" i="75"/>
  <c r="CS966" i="75"/>
  <c r="CK358" i="75"/>
  <c r="CK360" i="75"/>
  <c r="CK353" i="75"/>
  <c r="CK367" i="75"/>
  <c r="CK372" i="75"/>
  <c r="CK355" i="75"/>
  <c r="CK363" i="75"/>
  <c r="CK357" i="75"/>
  <c r="CK362" i="75"/>
  <c r="CK366" i="75"/>
  <c r="CK369" i="75"/>
  <c r="CK364" i="75"/>
  <c r="CK354" i="75"/>
  <c r="CK365" i="75"/>
  <c r="CK371" i="75"/>
  <c r="CK361" i="75"/>
  <c r="CK351" i="75"/>
  <c r="CL351" i="75" s="1"/>
  <c r="CK370" i="75"/>
  <c r="CK359" i="75"/>
  <c r="CK368" i="75"/>
  <c r="CK352" i="75"/>
  <c r="CK356" i="75"/>
  <c r="CP536" i="75" a="1"/>
  <c r="CS306" i="75"/>
  <c r="CS309" i="75"/>
  <c r="CS300" i="75"/>
  <c r="CS308" i="75"/>
  <c r="CS301" i="75"/>
  <c r="CS302" i="75"/>
  <c r="CS303" i="75"/>
  <c r="CS299" i="75"/>
  <c r="CT299" i="75" s="1"/>
  <c r="CS304" i="75"/>
  <c r="CS305" i="75"/>
  <c r="CS312" i="75"/>
  <c r="CS307" i="75"/>
  <c r="CS310" i="75"/>
  <c r="CS311" i="75"/>
  <c r="CJ965" i="75"/>
  <c r="CJ971" i="75"/>
  <c r="CJ964" i="75"/>
  <c r="CJ958" i="75"/>
  <c r="CJ966" i="75"/>
  <c r="CJ976" i="75"/>
  <c r="CJ973" i="75"/>
  <c r="CJ961" i="75"/>
  <c r="CJ957" i="75"/>
  <c r="CJ968" i="75"/>
  <c r="CJ970" i="75"/>
  <c r="CJ974" i="75"/>
  <c r="CJ969" i="75"/>
  <c r="CJ956" i="75"/>
  <c r="CJ960" i="75"/>
  <c r="CJ972" i="75"/>
  <c r="CJ975" i="75"/>
  <c r="CJ967" i="75"/>
  <c r="CJ954" i="75"/>
  <c r="CJ962" i="75"/>
  <c r="CJ963" i="75"/>
  <c r="CJ955" i="75"/>
  <c r="CJ959" i="75"/>
  <c r="BD297" i="75"/>
  <c r="BX218" i="75" a="1"/>
  <c r="CD1033" i="75"/>
  <c r="CD1016" i="75"/>
  <c r="CD1026" i="75"/>
  <c r="CD1014" i="75"/>
  <c r="CD1021" i="75"/>
  <c r="CD1023" i="75"/>
  <c r="CD1034" i="75"/>
  <c r="CD1013" i="75"/>
  <c r="CD1031" i="75"/>
  <c r="CD1012" i="75"/>
  <c r="CD1020" i="75"/>
  <c r="CD1029" i="75"/>
  <c r="CD1015" i="75"/>
  <c r="CD1019" i="75"/>
  <c r="CD1008" i="75"/>
  <c r="CD1024" i="75"/>
  <c r="CD1032" i="75"/>
  <c r="CD1009" i="75"/>
  <c r="CD1027" i="75"/>
  <c r="CD1018" i="75"/>
  <c r="CD1035" i="75"/>
  <c r="CD1028" i="75"/>
  <c r="H76" i="114"/>
  <c r="J76" i="114"/>
  <c r="BV1191" i="75"/>
  <c r="BV1211" i="75"/>
  <c r="BV1193" i="75"/>
  <c r="BV1207" i="75"/>
  <c r="BV1189" i="75"/>
  <c r="BV1187" i="75"/>
  <c r="BV1216" i="75"/>
  <c r="BV1199" i="75"/>
  <c r="BV1196" i="75"/>
  <c r="BV1215" i="75"/>
  <c r="BV1181" i="75"/>
  <c r="BV1214" i="75"/>
  <c r="BV1188" i="75"/>
  <c r="BV1192" i="75"/>
  <c r="BV1185" i="75"/>
  <c r="BV1213" i="75"/>
  <c r="BV1202" i="75"/>
  <c r="BV1197" i="75"/>
  <c r="AO76" i="100"/>
  <c r="CJ360" i="75"/>
  <c r="CJ355" i="75"/>
  <c r="CJ364" i="75"/>
  <c r="CJ370" i="75"/>
  <c r="CJ354" i="75"/>
  <c r="CJ367" i="75"/>
  <c r="CT849" i="75"/>
  <c r="CT843" i="75"/>
  <c r="CL298" i="75"/>
  <c r="CL305" i="75"/>
  <c r="CL306" i="75"/>
  <c r="CL303" i="75"/>
  <c r="CL297" i="75"/>
  <c r="CL310" i="75"/>
  <c r="CL296" i="75"/>
  <c r="CL304" i="75"/>
  <c r="CL308" i="75"/>
  <c r="BZ300" i="75"/>
  <c r="BZ311" i="75"/>
  <c r="BZ312" i="75"/>
  <c r="BZ303" i="75"/>
  <c r="BZ284" i="75"/>
  <c r="BZ301" i="75"/>
  <c r="BZ293" i="75"/>
  <c r="BZ283" i="75"/>
  <c r="BZ299" i="75"/>
  <c r="BZ310" i="75"/>
  <c r="BZ294" i="75"/>
  <c r="BZ297" i="75"/>
  <c r="BZ281" i="75"/>
  <c r="BZ306" i="75"/>
  <c r="BZ288" i="75"/>
  <c r="BZ308" i="75"/>
  <c r="BZ287" i="75"/>
  <c r="BZ295" i="75"/>
  <c r="BZ302" i="75"/>
  <c r="BZ305" i="75"/>
  <c r="BZ289" i="75"/>
  <c r="BZ290" i="75"/>
  <c r="BZ304" i="75"/>
  <c r="BZ280" i="75"/>
  <c r="BZ282" i="75"/>
  <c r="BZ309" i="75"/>
  <c r="BZ292" i="75"/>
  <c r="BZ291" i="75"/>
  <c r="CE469" i="75"/>
  <c r="CE466" i="75"/>
  <c r="CE492" i="75"/>
  <c r="CE487" i="75"/>
  <c r="CE484" i="75"/>
  <c r="CE479" i="75"/>
  <c r="CE478" i="75"/>
  <c r="CE470" i="75"/>
  <c r="CE465" i="75"/>
  <c r="CF465" i="75" s="1"/>
  <c r="CE467" i="75"/>
  <c r="CE473" i="75"/>
  <c r="CE477" i="75"/>
  <c r="CE468" i="75"/>
  <c r="CE471" i="75"/>
  <c r="CE481" i="75"/>
  <c r="CE485" i="75"/>
  <c r="CE476" i="75"/>
  <c r="CE486" i="75"/>
  <c r="CE491" i="75"/>
  <c r="CE482" i="75"/>
  <c r="CE483" i="75"/>
  <c r="CE475" i="75"/>
  <c r="CE488" i="75"/>
  <c r="CE480" i="75"/>
  <c r="CE489" i="75"/>
  <c r="CE490" i="75"/>
  <c r="CE474" i="75"/>
  <c r="CE472" i="75"/>
  <c r="CH415" i="75"/>
  <c r="CH408" i="75"/>
  <c r="CH421" i="75"/>
  <c r="CH425" i="75"/>
  <c r="CH417" i="75"/>
  <c r="CH413" i="75"/>
  <c r="CH428" i="75"/>
  <c r="CH414" i="75"/>
  <c r="CH430" i="75"/>
  <c r="CH424" i="75"/>
  <c r="CH431" i="75"/>
  <c r="CH416" i="75"/>
  <c r="CH411" i="75"/>
  <c r="CH427" i="75"/>
  <c r="CH412" i="75"/>
  <c r="CR298" i="75" a="1"/>
  <c r="BP872" i="75" a="1"/>
  <c r="CU301" i="75"/>
  <c r="CV301" i="75" s="1"/>
  <c r="CU303" i="75"/>
  <c r="CU307" i="75"/>
  <c r="CU312" i="75"/>
  <c r="CU304" i="75"/>
  <c r="CU302" i="75"/>
  <c r="CU305" i="75"/>
  <c r="CU308" i="75"/>
  <c r="CU311" i="75"/>
  <c r="CU309" i="75"/>
  <c r="CU310" i="75"/>
  <c r="CU306" i="75"/>
  <c r="BL690" i="75"/>
  <c r="BL727" i="75"/>
  <c r="BL722" i="75"/>
  <c r="BL715" i="75"/>
  <c r="BL691" i="75"/>
  <c r="BL720" i="75"/>
  <c r="BL726" i="75"/>
  <c r="BL723" i="75"/>
  <c r="BL711" i="75"/>
  <c r="BL692" i="75"/>
  <c r="BL724" i="75"/>
  <c r="BL721" i="75"/>
  <c r="BL710" i="75"/>
  <c r="BL730" i="75"/>
  <c r="BL731" i="75"/>
  <c r="BL734" i="75"/>
  <c r="BL706" i="75"/>
  <c r="BL732" i="75"/>
  <c r="BL701" i="75"/>
  <c r="BL718" i="75"/>
  <c r="BL713" i="75"/>
  <c r="BL695" i="75"/>
  <c r="BL717" i="75"/>
  <c r="BL725" i="75"/>
  <c r="BL693" i="75"/>
  <c r="BL705" i="75"/>
  <c r="BL696" i="75"/>
  <c r="BL704" i="75"/>
  <c r="BL728" i="75"/>
  <c r="BL714" i="75"/>
  <c r="BL689" i="75"/>
  <c r="BL708" i="75"/>
  <c r="BL709" i="75"/>
  <c r="BL712" i="75"/>
  <c r="BL698" i="75"/>
  <c r="BL719" i="75"/>
  <c r="BL707" i="75"/>
  <c r="BL697" i="75"/>
  <c r="BL716" i="75"/>
  <c r="BL702" i="75"/>
  <c r="BL729" i="75"/>
  <c r="BL688" i="75"/>
  <c r="BL694" i="75"/>
  <c r="H48" i="114"/>
  <c r="J48" i="114"/>
  <c r="H216" i="115"/>
  <c r="J216" i="115"/>
  <c r="AP19" i="100"/>
  <c r="AP160" i="100"/>
  <c r="BJ876" i="75"/>
  <c r="BJ875" i="75"/>
  <c r="BJ914" i="75"/>
  <c r="BJ904" i="75"/>
  <c r="BJ880" i="75"/>
  <c r="BJ911" i="75"/>
  <c r="BJ883" i="75"/>
  <c r="BJ908" i="75"/>
  <c r="BJ869" i="75"/>
  <c r="BJ905" i="75"/>
  <c r="BJ894" i="75"/>
  <c r="BJ913" i="75"/>
  <c r="BJ897" i="75"/>
  <c r="BJ886" i="75"/>
  <c r="BJ879" i="75"/>
  <c r="BJ903" i="75"/>
  <c r="BJ900" i="75"/>
  <c r="BJ912" i="75"/>
  <c r="BJ870" i="75"/>
  <c r="BJ888" i="75"/>
  <c r="BJ874" i="75"/>
  <c r="BJ909" i="75"/>
  <c r="BJ873" i="75"/>
  <c r="BJ887" i="75"/>
  <c r="BJ889" i="75"/>
  <c r="BJ871" i="75"/>
  <c r="BJ878" i="75"/>
  <c r="BJ890" i="75"/>
  <c r="BJ899" i="75"/>
  <c r="BJ867" i="75"/>
  <c r="BJ898" i="75"/>
  <c r="BJ882" i="75"/>
  <c r="BJ885" i="75"/>
  <c r="BJ872" i="75"/>
  <c r="BJ866" i="75"/>
  <c r="CF906" i="75"/>
  <c r="CF902" i="75"/>
  <c r="BL206" i="75" a="1"/>
  <c r="BK887" i="75"/>
  <c r="BK880" i="75"/>
  <c r="BK875" i="75"/>
  <c r="BK871" i="75"/>
  <c r="BK910" i="75"/>
  <c r="BK913" i="75"/>
  <c r="BK878" i="75"/>
  <c r="BK909" i="75"/>
  <c r="BK870" i="75"/>
  <c r="BK905" i="75"/>
  <c r="BK906" i="75"/>
  <c r="BK883" i="75"/>
  <c r="BK898" i="75"/>
  <c r="BK892" i="75"/>
  <c r="BK901" i="75"/>
  <c r="BK876" i="75"/>
  <c r="BK881" i="75"/>
  <c r="BK912" i="75"/>
  <c r="BK907" i="75"/>
  <c r="BK874" i="75"/>
  <c r="BK908" i="75"/>
  <c r="BK867" i="75"/>
  <c r="BL867" i="75" s="1"/>
  <c r="BK911" i="75"/>
  <c r="BK899" i="75"/>
  <c r="BK891" i="75"/>
  <c r="BK902" i="75"/>
  <c r="BK894" i="75"/>
  <c r="BK886" i="75"/>
  <c r="BK890" i="75"/>
  <c r="BK895" i="75"/>
  <c r="BK879" i="75"/>
  <c r="BK882" i="75"/>
  <c r="BK873" i="75"/>
  <c r="BK884" i="75"/>
  <c r="BK903" i="75"/>
  <c r="BK914" i="75"/>
  <c r="BK877" i="75"/>
  <c r="BK904" i="75"/>
  <c r="BK869" i="75"/>
  <c r="BK888" i="75"/>
  <c r="BK897" i="75"/>
  <c r="BK900" i="75"/>
  <c r="BK868" i="75"/>
  <c r="BK896" i="75"/>
  <c r="BK893" i="75"/>
  <c r="BK872" i="75"/>
  <c r="BK889" i="75"/>
  <c r="BK885" i="75"/>
  <c r="CN1092" i="75"/>
  <c r="J64" i="115"/>
  <c r="H64" i="115"/>
  <c r="CF369" i="75"/>
  <c r="J156" i="116"/>
  <c r="H156" i="116"/>
  <c r="H109" i="112"/>
  <c r="J109" i="112"/>
  <c r="AM311" i="100"/>
  <c r="AN71" i="100"/>
  <c r="AM71" i="100"/>
  <c r="AM28" i="100"/>
  <c r="AP311" i="100"/>
  <c r="BI844" i="75"/>
  <c r="BI820" i="75"/>
  <c r="BI812" i="75"/>
  <c r="BI850" i="75"/>
  <c r="BI823" i="75"/>
  <c r="BI813" i="75"/>
  <c r="BI842" i="75"/>
  <c r="BI811" i="75"/>
  <c r="BI832" i="75"/>
  <c r="BI830" i="75"/>
  <c r="BI852" i="75"/>
  <c r="BI837" i="75"/>
  <c r="BI835" i="75"/>
  <c r="BI826" i="75"/>
  <c r="BI828" i="75"/>
  <c r="BI843" i="75"/>
  <c r="BI825" i="75"/>
  <c r="BI848" i="75"/>
  <c r="BI836" i="75"/>
  <c r="BI849" i="75"/>
  <c r="BI827" i="75"/>
  <c r="BI807" i="75"/>
  <c r="BI819" i="75"/>
  <c r="BI816" i="75"/>
  <c r="BI815" i="75"/>
  <c r="BI845" i="75"/>
  <c r="BI846" i="75"/>
  <c r="BI808" i="75"/>
  <c r="BI809" i="75"/>
  <c r="BI818" i="75"/>
  <c r="BI839" i="75"/>
  <c r="BI824" i="75"/>
  <c r="BI821" i="75"/>
  <c r="BI817" i="75"/>
  <c r="BI853" i="75"/>
  <c r="BI841" i="75"/>
  <c r="BI829" i="75"/>
  <c r="BI833" i="75"/>
  <c r="BI805" i="75"/>
  <c r="BJ805" i="75" s="1"/>
  <c r="BI822" i="75"/>
  <c r="BI814" i="75"/>
  <c r="BI838" i="75"/>
  <c r="BI854" i="75"/>
  <c r="BI840" i="75"/>
  <c r="BI847" i="75"/>
  <c r="BI834" i="75"/>
  <c r="BI851" i="75"/>
  <c r="BI806" i="75"/>
  <c r="BI831" i="75"/>
  <c r="BI810" i="75"/>
  <c r="BE1154" i="75"/>
  <c r="BE1155" i="75"/>
  <c r="BE1146" i="75"/>
  <c r="BE1151" i="75"/>
  <c r="BE1152" i="75"/>
  <c r="BE1115" i="75"/>
  <c r="BE1120" i="75"/>
  <c r="BE1111" i="75"/>
  <c r="BE1142" i="75"/>
  <c r="BE1107" i="75"/>
  <c r="BE1134" i="75"/>
  <c r="BE1144" i="75"/>
  <c r="BE1156" i="75"/>
  <c r="BE1116" i="75"/>
  <c r="BE1133" i="75"/>
  <c r="BE1125" i="75"/>
  <c r="BE1117" i="75"/>
  <c r="BE1119" i="75"/>
  <c r="BE1103" i="75"/>
  <c r="BF1103" i="75" s="1"/>
  <c r="BE1129" i="75"/>
  <c r="BE1113" i="75"/>
  <c r="BE1105" i="75"/>
  <c r="BE1136" i="75"/>
  <c r="BE1128" i="75"/>
  <c r="BE1126" i="75"/>
  <c r="BE1110" i="75"/>
  <c r="BE1153" i="75"/>
  <c r="BE1109" i="75"/>
  <c r="BE1147" i="75"/>
  <c r="BE1123" i="75"/>
  <c r="BE1121" i="75"/>
  <c r="BE1140" i="75"/>
  <c r="BE1148" i="75"/>
  <c r="BE1132" i="75"/>
  <c r="BE1124" i="75"/>
  <c r="BE1108" i="75"/>
  <c r="BE1150" i="75"/>
  <c r="BE1139" i="75"/>
  <c r="BE1106" i="75"/>
  <c r="BE1122" i="75"/>
  <c r="BE1149" i="75"/>
  <c r="BE1112" i="75"/>
  <c r="BE1145" i="75"/>
  <c r="BE1104" i="75"/>
  <c r="BE1141" i="75"/>
  <c r="BE1118" i="75"/>
  <c r="BE1143" i="75"/>
  <c r="BE1138" i="75"/>
  <c r="BE1135" i="75"/>
  <c r="BE1130" i="75"/>
  <c r="BE1131" i="75"/>
  <c r="BE1127" i="75"/>
  <c r="BE1114" i="75"/>
  <c r="BE1137" i="75"/>
  <c r="BY1063" i="75"/>
  <c r="BZ1063" i="75" s="1"/>
  <c r="BY1080" i="75"/>
  <c r="BY1085" i="75"/>
  <c r="BY1094" i="75"/>
  <c r="BY1077" i="75"/>
  <c r="BY1078" i="75"/>
  <c r="BY1079" i="75"/>
  <c r="BY1075" i="75"/>
  <c r="BY1067" i="75"/>
  <c r="BY1084" i="75"/>
  <c r="BY1068" i="75"/>
  <c r="BY1093" i="75"/>
  <c r="BY1070" i="75"/>
  <c r="BY1089" i="75"/>
  <c r="BY1096" i="75"/>
  <c r="BY1081" i="75"/>
  <c r="BY1088" i="75"/>
  <c r="BY1065" i="75"/>
  <c r="BY1095" i="75"/>
  <c r="BY1086" i="75"/>
  <c r="BY1064" i="75"/>
  <c r="BY1082" i="75"/>
  <c r="BY1066" i="75"/>
  <c r="BY1073" i="75"/>
  <c r="BY1069" i="75"/>
  <c r="BY1091" i="75"/>
  <c r="BY1087" i="75"/>
  <c r="BY1083" i="75"/>
  <c r="BY1092" i="75"/>
  <c r="BY1071" i="75"/>
  <c r="BY1076" i="75"/>
  <c r="BY1072" i="75"/>
  <c r="BY1090" i="75"/>
  <c r="BY1074" i="75"/>
  <c r="DD1036" i="75"/>
  <c r="DD1034" i="75"/>
  <c r="DD1035" i="75"/>
  <c r="BH564" i="75" a="1"/>
  <c r="CH246" i="75"/>
  <c r="BF251" i="75"/>
  <c r="BF200" i="75"/>
  <c r="BF227" i="75"/>
  <c r="BF210" i="75"/>
  <c r="BF225" i="75"/>
  <c r="BF221" i="75"/>
  <c r="BF249" i="75"/>
  <c r="BF203" i="75"/>
  <c r="BF236" i="75"/>
  <c r="BF245" i="75"/>
  <c r="BF238" i="75"/>
  <c r="BF206" i="75"/>
  <c r="BF232" i="75"/>
  <c r="BF228" i="75"/>
  <c r="BF216" i="75"/>
  <c r="BF230" i="75"/>
  <c r="BF217" i="75"/>
  <c r="BF240" i="75"/>
  <c r="BF233" i="75"/>
  <c r="BF213" i="75"/>
  <c r="BF205" i="75"/>
  <c r="BF243" i="75"/>
  <c r="BF234" i="75"/>
  <c r="BF222" i="75"/>
  <c r="BF211" i="75"/>
  <c r="BF208" i="75"/>
  <c r="BF220" i="75"/>
  <c r="BF215" i="75"/>
  <c r="BF207" i="75"/>
  <c r="BF244" i="75"/>
  <c r="BF202" i="75"/>
  <c r="BF248" i="75"/>
  <c r="BF250" i="75"/>
  <c r="BF231" i="75"/>
  <c r="BF212" i="75"/>
  <c r="BF224" i="75"/>
  <c r="BF252" i="75"/>
  <c r="BF223" i="75"/>
  <c r="BF242" i="75"/>
  <c r="BF229" i="75"/>
  <c r="CX431" i="75"/>
  <c r="CX432" i="75"/>
  <c r="CX430" i="75"/>
  <c r="CX429" i="75"/>
  <c r="CX427" i="75"/>
  <c r="CX426" i="75"/>
  <c r="CX428" i="75"/>
  <c r="CX425" i="75"/>
  <c r="CX424" i="75"/>
  <c r="BL837" i="75"/>
  <c r="BE695" i="75"/>
  <c r="BE717" i="75"/>
  <c r="BE709" i="75"/>
  <c r="BE703" i="75"/>
  <c r="BE698" i="75"/>
  <c r="BE688" i="75"/>
  <c r="BE722" i="75"/>
  <c r="BE714" i="75"/>
  <c r="BE696" i="75"/>
  <c r="BE707" i="75"/>
  <c r="BE699" i="75"/>
  <c r="BE687" i="75"/>
  <c r="BE721" i="75"/>
  <c r="BE734" i="75"/>
  <c r="BE730" i="75"/>
  <c r="BE713" i="75"/>
  <c r="BE692" i="75"/>
  <c r="BE706" i="75"/>
  <c r="BE683" i="75"/>
  <c r="BE729" i="75"/>
  <c r="BE705" i="75"/>
  <c r="BE728" i="75"/>
  <c r="BE724" i="75"/>
  <c r="BE720" i="75"/>
  <c r="BE726" i="75"/>
  <c r="BE681" i="75"/>
  <c r="BF681" i="75" s="1"/>
  <c r="BE708" i="75"/>
  <c r="BE701" i="75"/>
  <c r="BE733" i="75"/>
  <c r="BE682" i="75"/>
  <c r="BE690" i="75"/>
  <c r="BE731" i="75"/>
  <c r="BE710" i="75"/>
  <c r="BE693" i="75"/>
  <c r="BE716" i="75"/>
  <c r="BE727" i="75"/>
  <c r="BE700" i="75"/>
  <c r="BE689" i="75"/>
  <c r="BE691" i="75"/>
  <c r="BE712" i="75"/>
  <c r="BE694" i="75"/>
  <c r="BE719" i="75"/>
  <c r="BE718" i="75"/>
  <c r="BE725" i="75"/>
  <c r="BE684" i="75"/>
  <c r="BE723" i="75"/>
  <c r="BE686" i="75"/>
  <c r="BE697" i="75"/>
  <c r="BE685" i="75"/>
  <c r="BE702" i="75"/>
  <c r="BE715" i="75"/>
  <c r="BE732" i="75"/>
  <c r="BE704" i="75"/>
  <c r="BE711" i="75"/>
  <c r="CT1146" i="75"/>
  <c r="CT1150" i="75"/>
  <c r="CT1144" i="75"/>
  <c r="CT1145" i="75"/>
  <c r="CT1147" i="75"/>
  <c r="CT1149" i="75"/>
  <c r="CT1151" i="75"/>
  <c r="CT1153" i="75"/>
  <c r="CT1155" i="75"/>
  <c r="CT1152" i="75"/>
  <c r="CT1156" i="75"/>
  <c r="CT1154" i="75"/>
  <c r="CT1148" i="75"/>
  <c r="BT840" i="75"/>
  <c r="BT826" i="75"/>
  <c r="BT841" i="75"/>
  <c r="BT839" i="75"/>
  <c r="BT850" i="75"/>
  <c r="BT833" i="75"/>
  <c r="BT854" i="75"/>
  <c r="BT843" i="75"/>
  <c r="BT848" i="75"/>
  <c r="BT832" i="75"/>
  <c r="BT845" i="75"/>
  <c r="BT846" i="75"/>
  <c r="BH262" i="75" a="1"/>
  <c r="CX849" i="75"/>
  <c r="CX848" i="75"/>
  <c r="CX853" i="75"/>
  <c r="CX851" i="75"/>
  <c r="CX847" i="75"/>
  <c r="CX846" i="75"/>
  <c r="CX852" i="75"/>
  <c r="CX850" i="75"/>
  <c r="CX854" i="75"/>
  <c r="CN967" i="75"/>
  <c r="CN964" i="75"/>
  <c r="CN975" i="75"/>
  <c r="CN970" i="75"/>
  <c r="CN965" i="75"/>
  <c r="CN960" i="75"/>
  <c r="CN969" i="75"/>
  <c r="CN962" i="75"/>
  <c r="CN966" i="75"/>
  <c r="CN958" i="75"/>
  <c r="CN959" i="75"/>
  <c r="CN973" i="75"/>
  <c r="CN972" i="75"/>
  <c r="CN961" i="75"/>
  <c r="CN974" i="75"/>
  <c r="CN968" i="75"/>
  <c r="CN963" i="75"/>
  <c r="CN976" i="75"/>
  <c r="CN971" i="75"/>
  <c r="J168" i="114"/>
  <c r="H168" i="114"/>
  <c r="J222" i="116"/>
  <c r="H222" i="116"/>
  <c r="Y22" i="113"/>
  <c r="X22" i="113"/>
  <c r="BH695" i="75"/>
  <c r="AO71" i="100"/>
  <c r="AO28" i="100"/>
  <c r="AP18" i="100"/>
  <c r="BH465" i="75"/>
  <c r="BH488" i="75"/>
  <c r="BH471" i="75"/>
  <c r="BH458" i="75"/>
  <c r="BH451" i="75"/>
  <c r="BH476" i="75"/>
  <c r="BH454" i="75"/>
  <c r="BH453" i="75"/>
  <c r="BH492" i="75"/>
  <c r="BH459" i="75"/>
  <c r="BH474" i="75"/>
  <c r="BH445" i="75"/>
  <c r="BH467" i="75"/>
  <c r="BH485" i="75"/>
  <c r="BH463" i="75"/>
  <c r="BH483" i="75"/>
  <c r="BH484" i="75"/>
  <c r="BH480" i="75"/>
  <c r="BH469" i="75"/>
  <c r="BH481" i="75"/>
  <c r="BH468" i="75"/>
  <c r="BH450" i="75"/>
  <c r="BH466" i="75"/>
  <c r="BH449" i="75"/>
  <c r="BH470" i="75"/>
  <c r="BH462" i="75"/>
  <c r="BH455" i="75"/>
  <c r="BH472" i="75"/>
  <c r="BH477" i="75"/>
  <c r="BH487" i="75"/>
  <c r="BH486" i="75"/>
  <c r="BH443" i="75"/>
  <c r="BH461" i="75"/>
  <c r="BH464" i="75"/>
  <c r="BH460" i="75"/>
  <c r="BH478" i="75"/>
  <c r="BH456" i="75"/>
  <c r="BH490" i="75"/>
  <c r="BH442" i="75"/>
  <c r="BH473" i="75"/>
  <c r="BH475" i="75"/>
  <c r="CG673" i="75"/>
  <c r="CG665" i="75"/>
  <c r="CG669" i="75"/>
  <c r="CG661" i="75"/>
  <c r="CG659" i="75"/>
  <c r="CG664" i="75"/>
  <c r="CG654" i="75"/>
  <c r="CG667" i="75"/>
  <c r="CG657" i="75"/>
  <c r="CG655" i="75"/>
  <c r="CG672" i="75"/>
  <c r="CG674" i="75"/>
  <c r="CG651" i="75"/>
  <c r="CG660" i="75"/>
  <c r="CG663" i="75"/>
  <c r="CG658" i="75"/>
  <c r="CG668" i="75"/>
  <c r="CG652" i="75"/>
  <c r="CG670" i="75"/>
  <c r="CG662" i="75"/>
  <c r="CG656" i="75"/>
  <c r="CG671" i="75"/>
  <c r="CG653" i="75"/>
  <c r="CG649" i="75"/>
  <c r="CH649" i="75" s="1"/>
  <c r="CG650" i="75"/>
  <c r="CG666" i="75"/>
  <c r="F29" i="112"/>
  <c r="E29" i="112"/>
  <c r="F101" i="112"/>
  <c r="E101" i="112"/>
  <c r="CM727" i="75"/>
  <c r="CM723" i="75"/>
  <c r="CM724" i="75"/>
  <c r="CM718" i="75"/>
  <c r="CM728" i="75"/>
  <c r="CM720" i="75"/>
  <c r="CM725" i="75"/>
  <c r="CM717" i="75"/>
  <c r="CM716" i="75"/>
  <c r="CM726" i="75"/>
  <c r="CM715" i="75"/>
  <c r="CN715" i="75" s="1"/>
  <c r="CM729" i="75"/>
  <c r="CM733" i="75"/>
  <c r="CM721" i="75"/>
  <c r="CM734" i="75"/>
  <c r="CM731" i="75"/>
  <c r="CM719" i="75"/>
  <c r="CM730" i="75"/>
  <c r="CM732" i="75"/>
  <c r="CM722" i="75"/>
  <c r="BK1013" i="75"/>
  <c r="BK1014" i="75"/>
  <c r="BK1004" i="75"/>
  <c r="BK999" i="75"/>
  <c r="BK1036" i="75"/>
  <c r="BK1033" i="75"/>
  <c r="BK995" i="75"/>
  <c r="BK1028" i="75"/>
  <c r="BK1025" i="75"/>
  <c r="BK1030" i="75"/>
  <c r="BK1012" i="75"/>
  <c r="BK1017" i="75"/>
  <c r="BK1006" i="75"/>
  <c r="BK1005" i="75"/>
  <c r="BK990" i="75"/>
  <c r="BK997" i="75"/>
  <c r="BK1024" i="75"/>
  <c r="BK1029" i="75"/>
  <c r="BK1000" i="75"/>
  <c r="BK1001" i="75"/>
  <c r="BK1026" i="75"/>
  <c r="BK1035" i="75"/>
  <c r="BK1010" i="75"/>
  <c r="BK1007" i="75"/>
  <c r="BK998" i="75"/>
  <c r="BK1003" i="75"/>
  <c r="BK1022" i="75"/>
  <c r="BK992" i="75"/>
  <c r="BK1018" i="75"/>
  <c r="BK1002" i="75"/>
  <c r="BK1021" i="75"/>
  <c r="BK1020" i="75"/>
  <c r="BK1009" i="75"/>
  <c r="BK996" i="75"/>
  <c r="BK1027" i="75"/>
  <c r="BK1031" i="75"/>
  <c r="BK1023" i="75"/>
  <c r="BK1019" i="75"/>
  <c r="BK1015" i="75"/>
  <c r="BK1011" i="75"/>
  <c r="BK991" i="75"/>
  <c r="BK1032" i="75"/>
  <c r="BK1016" i="75"/>
  <c r="BK1008" i="75"/>
  <c r="BK1034" i="75"/>
  <c r="BK994" i="75"/>
  <c r="BK989" i="75"/>
  <c r="BL989" i="75" s="1"/>
  <c r="BK993" i="75"/>
  <c r="BY947" i="75"/>
  <c r="BY944" i="75"/>
  <c r="BY968" i="75"/>
  <c r="BY955" i="75"/>
  <c r="BY972" i="75"/>
  <c r="BY950" i="75"/>
  <c r="BY958" i="75"/>
  <c r="BY974" i="75"/>
  <c r="BY973" i="75"/>
  <c r="BY943" i="75"/>
  <c r="BZ943" i="75" s="1"/>
  <c r="BY959" i="75"/>
  <c r="BY971" i="75"/>
  <c r="BY948" i="75"/>
  <c r="BY963" i="75"/>
  <c r="BY966" i="75"/>
  <c r="BY969" i="75"/>
  <c r="BY965" i="75"/>
  <c r="BY961" i="75"/>
  <c r="BY964" i="75"/>
  <c r="BY975" i="75"/>
  <c r="BY956" i="75"/>
  <c r="BY967" i="75"/>
  <c r="BY945" i="75"/>
  <c r="BY976" i="75"/>
  <c r="BY960" i="75"/>
  <c r="BY953" i="75"/>
  <c r="BY951" i="75"/>
  <c r="BY962" i="75"/>
  <c r="BY954" i="75"/>
  <c r="BY957" i="75"/>
  <c r="BY949" i="75"/>
  <c r="BY946" i="75"/>
  <c r="BY952" i="75"/>
  <c r="BY970" i="75"/>
  <c r="BU843" i="75"/>
  <c r="BU819" i="75"/>
  <c r="BU834" i="75"/>
  <c r="BU841" i="75"/>
  <c r="BU852" i="75"/>
  <c r="BU827" i="75"/>
  <c r="BU845" i="75"/>
  <c r="BU832" i="75"/>
  <c r="BU849" i="75"/>
  <c r="BU817" i="75"/>
  <c r="BV817" i="75" s="1"/>
  <c r="BU829" i="75"/>
  <c r="BU846" i="75"/>
  <c r="BU836" i="75"/>
  <c r="BU840" i="75"/>
  <c r="BU844" i="75"/>
  <c r="BU847" i="75"/>
  <c r="BU828" i="75"/>
  <c r="BU825" i="75"/>
  <c r="BU820" i="75"/>
  <c r="BU821" i="75"/>
  <c r="BU850" i="75"/>
  <c r="BU838" i="75"/>
  <c r="BU837" i="75"/>
  <c r="BU818" i="75"/>
  <c r="BU854" i="75"/>
  <c r="BU830" i="75"/>
  <c r="BU822" i="75"/>
  <c r="BU851" i="75"/>
  <c r="BU823" i="75"/>
  <c r="BU853" i="75"/>
  <c r="BU824" i="75"/>
  <c r="BU848" i="75"/>
  <c r="BU842" i="75"/>
  <c r="BU826" i="75"/>
  <c r="BU833" i="75"/>
  <c r="BU835" i="75"/>
  <c r="BU831" i="75"/>
  <c r="BU839" i="75"/>
  <c r="CS673" i="75"/>
  <c r="CS670" i="75"/>
  <c r="CS667" i="75"/>
  <c r="CS674" i="75"/>
  <c r="CS666" i="75"/>
  <c r="CS662" i="75"/>
  <c r="CS664" i="75"/>
  <c r="CS665" i="75"/>
  <c r="CS663" i="75"/>
  <c r="CS669" i="75"/>
  <c r="CS661" i="75"/>
  <c r="CT661" i="75" s="1"/>
  <c r="CS668" i="75"/>
  <c r="CS672" i="75"/>
  <c r="CS671" i="75"/>
  <c r="BF385" i="75"/>
  <c r="BF380" i="75"/>
  <c r="BF388" i="75"/>
  <c r="AQ11" i="113"/>
  <c r="AR11" i="113"/>
  <c r="CU967" i="75"/>
  <c r="CU976" i="75"/>
  <c r="CU975" i="75"/>
  <c r="CU971" i="75"/>
  <c r="CU969" i="75"/>
  <c r="CU974" i="75"/>
  <c r="CU966" i="75"/>
  <c r="CU965" i="75"/>
  <c r="CV965" i="75" s="1"/>
  <c r="CU973" i="75"/>
  <c r="CU968" i="75"/>
  <c r="CU972" i="75"/>
  <c r="CU970" i="75"/>
  <c r="BV758" i="75"/>
  <c r="EH338" i="100"/>
  <c r="BE1021" i="75"/>
  <c r="BE1004" i="75"/>
  <c r="BE1033" i="75"/>
  <c r="BE1020" i="75"/>
  <c r="BE1029" i="75"/>
  <c r="BE1012" i="75"/>
  <c r="BE1017" i="75"/>
  <c r="BE988" i="75"/>
  <c r="BE983" i="75"/>
  <c r="BF983" i="75" s="1"/>
  <c r="BE1009" i="75"/>
  <c r="BE1026" i="75"/>
  <c r="BE1035" i="75"/>
  <c r="BE1001" i="75"/>
  <c r="BE1010" i="75"/>
  <c r="BE1027" i="75"/>
  <c r="BE993" i="75"/>
  <c r="BE994" i="75"/>
  <c r="BE991" i="75"/>
  <c r="BE986" i="75"/>
  <c r="BE1013" i="75"/>
  <c r="BE1016" i="75"/>
  <c r="BE997" i="75"/>
  <c r="BE1000" i="75"/>
  <c r="BE1023" i="75"/>
  <c r="BE998" i="75"/>
  <c r="BE1007" i="75"/>
  <c r="BE996" i="75"/>
  <c r="BE995" i="75"/>
  <c r="BE984" i="75"/>
  <c r="BE1025" i="75"/>
  <c r="BE1030" i="75"/>
  <c r="BE1014" i="75"/>
  <c r="BE1006" i="75"/>
  <c r="BE1036" i="75"/>
  <c r="BE1028" i="75"/>
  <c r="BE1019" i="75"/>
  <c r="BE1002" i="75"/>
  <c r="BE985" i="75"/>
  <c r="BE1022" i="75"/>
  <c r="BE990" i="75"/>
  <c r="BE1034" i="75"/>
  <c r="BE1018" i="75"/>
  <c r="BE1032" i="75"/>
  <c r="BE1024" i="75"/>
  <c r="BE1008" i="75"/>
  <c r="BE992" i="75"/>
  <c r="BE1031" i="75"/>
  <c r="BE1015" i="75"/>
  <c r="BE1011" i="75"/>
  <c r="BE1003" i="75"/>
  <c r="BE999" i="75"/>
  <c r="BE987" i="75"/>
  <c r="BE1005" i="75"/>
  <c r="BE989" i="75"/>
  <c r="BH1008" i="75"/>
  <c r="BH1009" i="75"/>
  <c r="BH1012" i="75"/>
  <c r="BH1007" i="75"/>
  <c r="BH1003" i="75"/>
  <c r="BH1033" i="75"/>
  <c r="BH996" i="75"/>
  <c r="BH989" i="75"/>
  <c r="BH1017" i="75"/>
  <c r="AN14" i="100"/>
  <c r="AO14" i="100"/>
  <c r="E58" i="115"/>
  <c r="F58" i="115"/>
  <c r="CW1274" i="75"/>
  <c r="CW1268" i="75"/>
  <c r="CW1270" i="75"/>
  <c r="CW1271" i="75"/>
  <c r="CW1276" i="75"/>
  <c r="CW1269" i="75"/>
  <c r="CW1275" i="75"/>
  <c r="CW1272" i="75"/>
  <c r="CW1267" i="75"/>
  <c r="CX1267" i="75" s="1"/>
  <c r="CW1273" i="75"/>
  <c r="AN315" i="100"/>
  <c r="AO315" i="100"/>
  <c r="BG1168" i="75"/>
  <c r="BG1202" i="75"/>
  <c r="BG1186" i="75"/>
  <c r="BG1172" i="75"/>
  <c r="BG1211" i="75"/>
  <c r="BG1206" i="75"/>
  <c r="BG1195" i="75"/>
  <c r="BG1190" i="75"/>
  <c r="BG1197" i="75"/>
  <c r="BG1200" i="75"/>
  <c r="BG1174" i="75"/>
  <c r="BG1179" i="75"/>
  <c r="BG1204" i="75"/>
  <c r="BG1188" i="75"/>
  <c r="BG1171" i="75"/>
  <c r="BG1181" i="75"/>
  <c r="BG1184" i="75"/>
  <c r="BG1165" i="75"/>
  <c r="BH1165" i="75" s="1"/>
  <c r="BG1189" i="75"/>
  <c r="BG1173" i="75"/>
  <c r="BG1216" i="75"/>
  <c r="BG1170" i="75"/>
  <c r="BG1209" i="75"/>
  <c r="BG1201" i="75"/>
  <c r="BG1192" i="75"/>
  <c r="BG1210" i="75"/>
  <c r="BG1198" i="75"/>
  <c r="BG1215" i="75"/>
  <c r="BG1182" i="75"/>
  <c r="BG1207" i="75"/>
  <c r="BG1166" i="75"/>
  <c r="BG1191" i="75"/>
  <c r="BG1183" i="75"/>
  <c r="BG1175" i="75"/>
  <c r="BG1167" i="75"/>
  <c r="BG1193" i="75"/>
  <c r="BG1185" i="75"/>
  <c r="BG1169" i="75"/>
  <c r="BG1208" i="75"/>
  <c r="BG1199" i="75"/>
  <c r="BG1177" i="75"/>
  <c r="BG1176" i="75"/>
  <c r="BG1194" i="75"/>
  <c r="BG1178" i="75"/>
  <c r="BG1212" i="75"/>
  <c r="BG1196" i="75"/>
  <c r="BG1180" i="75"/>
  <c r="BG1214" i="75"/>
  <c r="BG1205" i="75"/>
  <c r="BG1187" i="75"/>
  <c r="BG1203" i="75"/>
  <c r="BG1213" i="75"/>
  <c r="BF820" i="75"/>
  <c r="BF844" i="75"/>
  <c r="BF840" i="75"/>
  <c r="BF831" i="75"/>
  <c r="BF805" i="75"/>
  <c r="BF821" i="75"/>
  <c r="BF829" i="75"/>
  <c r="BF825" i="75"/>
  <c r="BF846" i="75"/>
  <c r="BF811" i="75"/>
  <c r="BF845" i="75"/>
  <c r="BF828" i="75"/>
  <c r="BF842" i="75"/>
  <c r="BF848" i="75"/>
  <c r="BF824" i="75"/>
  <c r="BF841" i="75"/>
  <c r="BF853" i="75"/>
  <c r="BF814" i="75"/>
  <c r="BF807" i="75"/>
  <c r="BF817" i="75"/>
  <c r="BF838" i="75"/>
  <c r="BF822" i="75"/>
  <c r="BF827" i="75"/>
  <c r="BF812" i="75"/>
  <c r="BF819" i="75"/>
  <c r="BF813" i="75"/>
  <c r="BF852" i="75"/>
  <c r="BF851" i="75"/>
  <c r="BF802" i="75"/>
  <c r="BF839" i="75"/>
  <c r="BF837" i="75"/>
  <c r="BF836" i="75"/>
  <c r="BF833" i="75"/>
  <c r="BF823" i="75"/>
  <c r="BF847" i="75"/>
  <c r="BF816" i="75"/>
  <c r="BF803" i="75"/>
  <c r="BF809" i="75"/>
  <c r="BF849" i="75"/>
  <c r="BF804" i="75"/>
  <c r="BF850" i="75"/>
  <c r="BF830" i="75"/>
  <c r="BF832" i="75"/>
  <c r="BF854" i="75"/>
  <c r="BF815" i="75"/>
  <c r="BF806" i="75"/>
  <c r="BF835" i="75"/>
  <c r="BF810" i="75"/>
  <c r="BF834" i="75"/>
  <c r="BF808" i="75"/>
  <c r="BF826" i="75"/>
  <c r="BF843" i="75"/>
  <c r="BF818" i="75"/>
  <c r="CG913" i="75"/>
  <c r="CG897" i="75"/>
  <c r="CG894" i="75"/>
  <c r="CG895" i="75"/>
  <c r="CG905" i="75"/>
  <c r="CG912" i="75"/>
  <c r="CG890" i="75"/>
  <c r="CG889" i="75"/>
  <c r="CH889" i="75" s="1"/>
  <c r="CG903" i="75"/>
  <c r="CG910" i="75"/>
  <c r="CG911" i="75"/>
  <c r="CG906" i="75"/>
  <c r="CG899" i="75"/>
  <c r="CG891" i="75"/>
  <c r="CG898" i="75"/>
  <c r="CG892" i="75"/>
  <c r="CG907" i="75"/>
  <c r="CG909" i="75"/>
  <c r="CG893" i="75"/>
  <c r="CG904" i="75"/>
  <c r="CG914" i="75"/>
  <c r="CG908" i="75"/>
  <c r="CG902" i="75"/>
  <c r="CG901" i="75"/>
  <c r="CG896" i="75"/>
  <c r="CG900" i="75"/>
  <c r="H172" i="115"/>
  <c r="J172" i="115"/>
  <c r="J174" i="114"/>
  <c r="H174" i="114"/>
  <c r="J63" i="114"/>
  <c r="H63" i="114"/>
  <c r="X25" i="113"/>
  <c r="Y25" i="113"/>
  <c r="AO26" i="100"/>
  <c r="AP25" i="100"/>
  <c r="AP72" i="100"/>
  <c r="ED338" i="100"/>
  <c r="AO73" i="100"/>
  <c r="AM73" i="100"/>
  <c r="AN73" i="100"/>
  <c r="AP73" i="100"/>
  <c r="CD1080" i="75"/>
  <c r="CD1090" i="75"/>
  <c r="CD1086" i="75"/>
  <c r="CO487" i="75"/>
  <c r="CO484" i="75"/>
  <c r="CO476" i="75"/>
  <c r="CO486" i="75"/>
  <c r="CO491" i="75"/>
  <c r="CO482" i="75"/>
  <c r="CO485" i="75"/>
  <c r="CO477" i="75"/>
  <c r="CO483" i="75"/>
  <c r="CO475" i="75"/>
  <c r="CP475" i="75" s="1"/>
  <c r="CO479" i="75"/>
  <c r="CO489" i="75"/>
  <c r="CO492" i="75"/>
  <c r="CO481" i="75"/>
  <c r="CO478" i="75"/>
  <c r="CO490" i="75"/>
  <c r="CO488" i="75"/>
  <c r="CO480" i="75"/>
  <c r="BN306" i="75"/>
  <c r="BN298" i="75"/>
  <c r="BN274" i="75"/>
  <c r="BN312" i="75"/>
  <c r="BN288" i="75"/>
  <c r="BN280" i="75"/>
  <c r="BN307" i="75"/>
  <c r="BN286" i="75"/>
  <c r="BN291" i="75"/>
  <c r="BN300" i="75"/>
  <c r="BN275" i="75"/>
  <c r="BN294" i="75"/>
  <c r="BN308" i="75"/>
  <c r="BN276" i="75"/>
  <c r="BN301" i="75"/>
  <c r="BN270" i="75"/>
  <c r="BN284" i="75"/>
  <c r="BN272" i="75"/>
  <c r="BN299" i="75"/>
  <c r="BN283" i="75"/>
  <c r="BN310" i="75"/>
  <c r="BN278" i="75"/>
  <c r="BN297" i="75"/>
  <c r="BN281" i="75"/>
  <c r="BN292" i="75"/>
  <c r="BN309" i="75"/>
  <c r="BN293" i="75"/>
  <c r="BN305" i="75"/>
  <c r="BN302" i="75"/>
  <c r="BN279" i="75"/>
  <c r="BN285" i="75"/>
  <c r="BN271" i="75"/>
  <c r="BN289" i="75"/>
  <c r="BN273" i="75"/>
  <c r="BN277" i="75"/>
  <c r="BN290" i="75"/>
  <c r="BN268" i="75"/>
  <c r="BN304" i="75"/>
  <c r="BN269" i="75"/>
  <c r="BN282" i="75"/>
  <c r="BN296" i="75"/>
  <c r="BN287" i="75"/>
  <c r="BN303" i="75"/>
  <c r="BN311" i="75"/>
  <c r="BN295" i="75"/>
  <c r="AS338" i="100"/>
  <c r="BJ338" i="100"/>
  <c r="AY338" i="100"/>
  <c r="BU338" i="100"/>
  <c r="CC338" i="100"/>
  <c r="CE338" i="100"/>
  <c r="BM338" i="100"/>
  <c r="BF338" i="100"/>
  <c r="CD338" i="100"/>
  <c r="DR338" i="100"/>
  <c r="BQ338" i="100"/>
  <c r="BE338" i="100"/>
  <c r="BV338" i="100"/>
  <c r="CK338" i="100"/>
  <c r="DD338" i="100"/>
  <c r="DT338" i="100"/>
  <c r="DX338" i="100"/>
  <c r="DC338" i="100"/>
  <c r="DF338" i="100"/>
  <c r="BC338" i="100"/>
  <c r="CM338" i="100"/>
  <c r="CX338" i="100"/>
  <c r="CO338" i="100"/>
  <c r="DA338" i="100"/>
  <c r="DL338" i="100"/>
  <c r="DH338" i="100"/>
  <c r="DM338" i="100"/>
  <c r="CA338" i="100"/>
  <c r="BR338" i="100"/>
  <c r="CZ338" i="100"/>
  <c r="CW338" i="100"/>
  <c r="CT338" i="100"/>
  <c r="DQ338" i="100"/>
  <c r="DU338" i="100"/>
  <c r="CY338" i="100"/>
  <c r="CR338" i="100"/>
  <c r="CV338" i="100"/>
  <c r="CU338" i="100"/>
  <c r="BP338" i="100"/>
  <c r="EF338" i="100"/>
  <c r="CJ338" i="100"/>
  <c r="AX338" i="100"/>
  <c r="EE338" i="100"/>
  <c r="BN338" i="100"/>
  <c r="DS338" i="100"/>
  <c r="CP338" i="100"/>
  <c r="DV338" i="100"/>
  <c r="BX338" i="100"/>
  <c r="DJ338" i="100"/>
  <c r="DE338" i="100"/>
  <c r="BA338" i="100"/>
  <c r="AT338" i="100"/>
  <c r="AW338" i="100"/>
  <c r="CI338" i="100"/>
  <c r="AO338" i="100"/>
  <c r="BL338" i="100"/>
  <c r="DP338" i="100"/>
  <c r="CF338" i="100"/>
  <c r="AM338" i="100"/>
  <c r="AU338" i="100"/>
  <c r="BZ338" i="100"/>
  <c r="CH338" i="100"/>
  <c r="DN338" i="100"/>
  <c r="DB338" i="100"/>
  <c r="BI338" i="100"/>
  <c r="AR338" i="100"/>
  <c r="EC338" i="100"/>
  <c r="BO338" i="100"/>
  <c r="BH338" i="100"/>
  <c r="BB338" i="100"/>
  <c r="DY338" i="100"/>
  <c r="EB338" i="100"/>
  <c r="AQ338" i="100"/>
  <c r="CG338" i="100"/>
  <c r="CS338" i="100"/>
  <c r="CN338" i="100"/>
  <c r="DZ338" i="100"/>
  <c r="BG338" i="100"/>
  <c r="AV338" i="100"/>
  <c r="DO338" i="100"/>
  <c r="BT338" i="100"/>
  <c r="BY338" i="100"/>
  <c r="DK338" i="100"/>
  <c r="EA338" i="100"/>
  <c r="CQ338" i="100"/>
  <c r="BW338" i="100"/>
  <c r="BK338" i="100"/>
  <c r="DW338" i="100"/>
  <c r="CB338" i="100"/>
  <c r="AZ338" i="100"/>
  <c r="BS338" i="100"/>
  <c r="DI338" i="100"/>
  <c r="AN338" i="100"/>
  <c r="DG338" i="100"/>
  <c r="AP338" i="100"/>
  <c r="BD338" i="100"/>
  <c r="CL338" i="100"/>
  <c r="BE943" i="75"/>
  <c r="BE959" i="75"/>
  <c r="BE934" i="75"/>
  <c r="BE923" i="75"/>
  <c r="BF923" i="75" s="1"/>
  <c r="BE955" i="75"/>
  <c r="BE926" i="75"/>
  <c r="BE965" i="75"/>
  <c r="BE935" i="75"/>
  <c r="BE948" i="75"/>
  <c r="BE957" i="75"/>
  <c r="BE927" i="75"/>
  <c r="BE924" i="75"/>
  <c r="BE973" i="75"/>
  <c r="BE968" i="75"/>
  <c r="BE930" i="75"/>
  <c r="BE963" i="75"/>
  <c r="BE940" i="75"/>
  <c r="BE947" i="75"/>
  <c r="BE962" i="75"/>
  <c r="BE971" i="75"/>
  <c r="BE954" i="75"/>
  <c r="BE967" i="75"/>
  <c r="BE946" i="75"/>
  <c r="BE939" i="75"/>
  <c r="BE976" i="75"/>
  <c r="BE952" i="75"/>
  <c r="BE969" i="75"/>
  <c r="BE936" i="75"/>
  <c r="BE961" i="75"/>
  <c r="BE928" i="75"/>
  <c r="BE953" i="75"/>
  <c r="BE974" i="75"/>
  <c r="BE944" i="75"/>
  <c r="BE950" i="75"/>
  <c r="BE972" i="75"/>
  <c r="BE937" i="75"/>
  <c r="BE929" i="75"/>
  <c r="BE925" i="75"/>
  <c r="BE975" i="75"/>
  <c r="BE951" i="75"/>
  <c r="BE933" i="75"/>
  <c r="BE931" i="75"/>
  <c r="BE960" i="75"/>
  <c r="BE966" i="75"/>
  <c r="BE956" i="75"/>
  <c r="BE938" i="75"/>
  <c r="BE949" i="75"/>
  <c r="BE945" i="75"/>
  <c r="BE941" i="75"/>
  <c r="BE958" i="75"/>
  <c r="BE942" i="75"/>
  <c r="BE964" i="75"/>
  <c r="BE970" i="75"/>
  <c r="BE932" i="75"/>
  <c r="CL654" i="75"/>
  <c r="CL661" i="75"/>
  <c r="CL662" i="75"/>
  <c r="CL668" i="75"/>
  <c r="CL673" i="75"/>
  <c r="CL660" i="75"/>
  <c r="CL657" i="75"/>
  <c r="CL664" i="75"/>
  <c r="CL659" i="75"/>
  <c r="CL672" i="75"/>
  <c r="CL674" i="75"/>
  <c r="CL666" i="75"/>
  <c r="CL655" i="75"/>
  <c r="CL667" i="75"/>
  <c r="CL669" i="75"/>
  <c r="CL670" i="75"/>
  <c r="CL656" i="75"/>
  <c r="CL663" i="75"/>
  <c r="CL665" i="75"/>
  <c r="CL671" i="75"/>
  <c r="CL658" i="75"/>
  <c r="CA353" i="75"/>
  <c r="CA371" i="75"/>
  <c r="CA344" i="75"/>
  <c r="CA342" i="75"/>
  <c r="CA354" i="75"/>
  <c r="CA347" i="75"/>
  <c r="CA343" i="75"/>
  <c r="CA346" i="75"/>
  <c r="CA355" i="75"/>
  <c r="CA366" i="75"/>
  <c r="CA365" i="75"/>
  <c r="CA362" i="75"/>
  <c r="CA357" i="75"/>
  <c r="CA369" i="75"/>
  <c r="CA341" i="75"/>
  <c r="CB341" i="75" s="1"/>
  <c r="CA363" i="75"/>
  <c r="CA350" i="75"/>
  <c r="CA349" i="75"/>
  <c r="CA361" i="75"/>
  <c r="CA368" i="75"/>
  <c r="CA358" i="75"/>
  <c r="CA372" i="75"/>
  <c r="CA370" i="75"/>
  <c r="CA360" i="75"/>
  <c r="CA367" i="75"/>
  <c r="CA348" i="75"/>
  <c r="CA345" i="75"/>
  <c r="CA352" i="75"/>
  <c r="CA364" i="75"/>
  <c r="CA351" i="75"/>
  <c r="CA356" i="75"/>
  <c r="CA359" i="75"/>
  <c r="AP64" i="100"/>
  <c r="AN64" i="100"/>
  <c r="CO208" i="100"/>
  <c r="FB208" i="100"/>
  <c r="HM208" i="100"/>
  <c r="BS208" i="100"/>
  <c r="FX208" i="100"/>
  <c r="HF208" i="100"/>
  <c r="GZ208" i="100"/>
  <c r="DB208" i="100"/>
  <c r="HS208" i="100"/>
  <c r="HV208" i="100"/>
  <c r="DQ208" i="100"/>
  <c r="CT208" i="100"/>
  <c r="AT208" i="100"/>
  <c r="HP208" i="100"/>
  <c r="ES208" i="100"/>
  <c r="GW208" i="100"/>
  <c r="CN208" i="100"/>
  <c r="CE208" i="100"/>
  <c r="FP208" i="100"/>
  <c r="DW208" i="100"/>
  <c r="GY208" i="100"/>
  <c r="BI208" i="100"/>
  <c r="CP208" i="100"/>
  <c r="EQ208" i="100"/>
  <c r="IH208" i="100"/>
  <c r="EH208" i="100"/>
  <c r="ER208" i="100"/>
  <c r="FG208" i="100"/>
  <c r="DF208" i="100"/>
  <c r="CQ208" i="100"/>
  <c r="FF208" i="100"/>
  <c r="CU208" i="100"/>
  <c r="CA208" i="100"/>
  <c r="II208" i="100"/>
  <c r="FC208" i="100"/>
  <c r="AS208" i="100"/>
  <c r="IE208" i="100"/>
  <c r="FT208" i="100"/>
  <c r="CD208" i="100"/>
  <c r="HZ208" i="100"/>
  <c r="CX208" i="100"/>
  <c r="EI208" i="100"/>
  <c r="DH208" i="100"/>
  <c r="HI208" i="100"/>
  <c r="HR208" i="100"/>
  <c r="HE208" i="100"/>
  <c r="EP208" i="100"/>
  <c r="BB208" i="100"/>
  <c r="BR208" i="100"/>
  <c r="CJ208" i="100"/>
  <c r="DO208" i="100"/>
  <c r="GP208" i="100"/>
  <c r="GO208" i="100"/>
  <c r="EB208" i="100"/>
  <c r="EC208" i="100"/>
  <c r="BD208" i="100"/>
  <c r="FJ208" i="100"/>
  <c r="DV208" i="100"/>
  <c r="CF208" i="100"/>
  <c r="EM208" i="100"/>
  <c r="CZ208" i="100"/>
  <c r="FH208" i="100"/>
  <c r="DX208" i="100"/>
  <c r="HJ208" i="100"/>
  <c r="HK208" i="100"/>
  <c r="BG208" i="100"/>
  <c r="EV208" i="100"/>
  <c r="BE208" i="100"/>
  <c r="BU208" i="100"/>
  <c r="BH208" i="100"/>
  <c r="FO208" i="100"/>
  <c r="EZ208" i="100"/>
  <c r="DU208" i="100"/>
  <c r="BA208" i="100"/>
  <c r="IA208" i="100"/>
  <c r="CM208" i="100"/>
  <c r="HT208" i="100"/>
  <c r="AM208" i="100"/>
  <c r="DG208" i="100"/>
  <c r="IF208" i="100"/>
  <c r="AP208" i="100"/>
  <c r="FK208" i="100"/>
  <c r="FV208" i="100"/>
  <c r="FZ208" i="100"/>
  <c r="GF208" i="100"/>
  <c r="BX208" i="100"/>
  <c r="EL208" i="100"/>
  <c r="GQ208" i="100"/>
  <c r="CI208" i="100"/>
  <c r="FD208" i="100"/>
  <c r="AY208" i="100"/>
  <c r="FM208" i="100"/>
  <c r="GD208" i="100"/>
  <c r="GC208" i="100"/>
  <c r="BC208" i="100"/>
  <c r="FY208" i="100"/>
  <c r="BY208" i="100"/>
  <c r="CC208" i="100"/>
  <c r="HH208" i="100"/>
  <c r="GU208" i="100"/>
  <c r="DA208" i="100"/>
  <c r="CY208" i="100"/>
  <c r="FS208" i="100"/>
  <c r="BL208" i="100"/>
  <c r="GG208" i="100"/>
  <c r="BO208" i="100"/>
  <c r="DE208" i="100"/>
  <c r="EO208" i="100"/>
  <c r="FW208" i="100"/>
  <c r="HW208" i="100"/>
  <c r="HA208" i="100"/>
  <c r="IB208" i="100"/>
  <c r="EA208" i="100"/>
  <c r="BP208" i="100"/>
  <c r="FA208" i="100"/>
  <c r="FL208" i="100"/>
  <c r="CK208" i="100"/>
  <c r="GI208" i="100"/>
  <c r="DC208" i="100"/>
  <c r="BM208" i="100"/>
  <c r="GL208" i="100"/>
  <c r="CG208" i="100"/>
  <c r="GX208" i="100"/>
  <c r="FE208" i="100"/>
  <c r="HB208" i="100"/>
  <c r="GS208" i="100"/>
  <c r="GM208" i="100"/>
  <c r="DM208" i="100"/>
  <c r="GN208" i="100"/>
  <c r="DR208" i="100"/>
  <c r="ED208" i="100"/>
  <c r="EY208" i="100"/>
  <c r="DJ208" i="100"/>
  <c r="HY208" i="100"/>
  <c r="GJ208" i="100"/>
  <c r="GV208" i="100"/>
  <c r="GH208" i="100"/>
  <c r="BZ208" i="100"/>
  <c r="FR208" i="100"/>
  <c r="ET208" i="100"/>
  <c r="DI208" i="100"/>
  <c r="FU208" i="100"/>
  <c r="AO208" i="100"/>
  <c r="AX208" i="100"/>
  <c r="DT208" i="100"/>
  <c r="DZ208" i="100"/>
  <c r="HG208" i="100"/>
  <c r="EG208" i="100"/>
  <c r="CW208" i="100"/>
  <c r="BJ208" i="100"/>
  <c r="EJ208" i="100"/>
  <c r="GT208" i="100"/>
  <c r="AQ208" i="100"/>
  <c r="EK208" i="100"/>
  <c r="AZ208" i="100"/>
  <c r="BV208" i="100"/>
  <c r="AW208" i="100"/>
  <c r="DY208" i="100"/>
  <c r="AR208" i="100"/>
  <c r="DD208" i="100"/>
  <c r="DK208" i="100"/>
  <c r="EF208" i="100"/>
  <c r="DN208" i="100"/>
  <c r="HU208" i="100"/>
  <c r="ID208" i="100"/>
  <c r="CH208" i="100"/>
  <c r="BW208" i="100"/>
  <c r="HQ208" i="100"/>
  <c r="HX208" i="100"/>
  <c r="EE208" i="100"/>
  <c r="IJ208" i="100"/>
  <c r="EN208" i="100"/>
  <c r="FN208" i="100"/>
  <c r="HC208" i="100"/>
  <c r="FI208" i="100"/>
  <c r="AN208" i="100"/>
  <c r="FQ208" i="100"/>
  <c r="BN208" i="100"/>
  <c r="CL208" i="100"/>
  <c r="EU208" i="100"/>
  <c r="DL208" i="100"/>
  <c r="HL208" i="100"/>
  <c r="AU208" i="100"/>
  <c r="BQ208" i="100"/>
  <c r="BF208" i="100"/>
  <c r="HO208" i="100"/>
  <c r="GE208" i="100"/>
  <c r="AV208" i="100"/>
  <c r="HD208" i="100"/>
  <c r="BT208" i="100"/>
  <c r="HN208" i="100"/>
  <c r="EX208" i="100"/>
  <c r="GA208" i="100"/>
  <c r="CV208" i="100"/>
  <c r="GK208" i="100"/>
  <c r="BK208" i="100"/>
  <c r="DS208" i="100"/>
  <c r="EW208" i="100"/>
  <c r="CB208" i="100"/>
  <c r="DP208" i="100"/>
  <c r="IC208" i="100"/>
  <c r="IG208" i="100"/>
  <c r="CS208" i="100"/>
  <c r="GR208" i="100"/>
  <c r="GB208" i="100"/>
  <c r="CR208" i="100"/>
  <c r="BI1079" i="75"/>
  <c r="BI1087" i="75"/>
  <c r="BI1068" i="75"/>
  <c r="BI1067" i="75"/>
  <c r="BI1084" i="75"/>
  <c r="BI1076" i="75"/>
  <c r="BI1074" i="75"/>
  <c r="BI1083" i="75"/>
  <c r="BI1071" i="75"/>
  <c r="BI1063" i="75"/>
  <c r="BI1051" i="75"/>
  <c r="BI1066" i="75"/>
  <c r="BI1058" i="75"/>
  <c r="BI1050" i="75"/>
  <c r="BI1059" i="75"/>
  <c r="BI1092" i="75"/>
  <c r="BI1047" i="75"/>
  <c r="BJ1047" i="75" s="1"/>
  <c r="BI1091" i="75"/>
  <c r="BI1093" i="75"/>
  <c r="BI1077" i="75"/>
  <c r="BI1062" i="75"/>
  <c r="BI1089" i="75"/>
  <c r="BI1049" i="75"/>
  <c r="BI1053" i="75"/>
  <c r="BI1080" i="75"/>
  <c r="BI1085" i="75"/>
  <c r="BI1048" i="75"/>
  <c r="BI1081" i="75"/>
  <c r="BI1090" i="75"/>
  <c r="BI1095" i="75"/>
  <c r="BI1061" i="75"/>
  <c r="BI1086" i="75"/>
  <c r="BI1073" i="75"/>
  <c r="BI1069" i="75"/>
  <c r="BI1096" i="75"/>
  <c r="BI1075" i="75"/>
  <c r="BI1065" i="75"/>
  <c r="BI1056" i="75"/>
  <c r="BI1082" i="75"/>
  <c r="BI1072" i="75"/>
  <c r="BI1060" i="75"/>
  <c r="BI1070" i="75"/>
  <c r="BI1064" i="75"/>
  <c r="BI1054" i="75"/>
  <c r="BI1052" i="75"/>
  <c r="BI1088" i="75"/>
  <c r="BI1055" i="75"/>
  <c r="BI1078" i="75"/>
  <c r="BI1057" i="75"/>
  <c r="BI1094" i="75"/>
  <c r="BF1183" i="75"/>
  <c r="BF1201" i="75"/>
  <c r="BF1170" i="75"/>
  <c r="BF1173" i="75"/>
  <c r="BF1209" i="75"/>
  <c r="BF1203" i="75"/>
  <c r="BF1186" i="75"/>
  <c r="BF1189" i="75"/>
  <c r="BF1194" i="75"/>
  <c r="BF1191" i="75"/>
  <c r="BF1213" i="75"/>
  <c r="BF1179" i="75"/>
  <c r="BF1169" i="75"/>
  <c r="BF1192" i="75"/>
  <c r="BF1198" i="75"/>
  <c r="BF1210" i="75"/>
  <c r="BF1190" i="75"/>
  <c r="BF1214" i="75"/>
  <c r="BF1197" i="75"/>
  <c r="BF1167" i="75"/>
  <c r="BF1216" i="75"/>
  <c r="BF1166" i="75"/>
  <c r="BF1171" i="75"/>
  <c r="BF1187" i="75"/>
  <c r="BF1193" i="75"/>
  <c r="BF1205" i="75"/>
  <c r="BF1168" i="75"/>
  <c r="CX546" i="75"/>
  <c r="CX550" i="75"/>
  <c r="CX544" i="75"/>
  <c r="CX549" i="75"/>
  <c r="CX552" i="75"/>
  <c r="CX551" i="75"/>
  <c r="CX547" i="75"/>
  <c r="CX545" i="75"/>
  <c r="CX548" i="75"/>
  <c r="BG854" i="75"/>
  <c r="BG846" i="75"/>
  <c r="BG812" i="75"/>
  <c r="BG813" i="75"/>
  <c r="BG825" i="75"/>
  <c r="BG847" i="75"/>
  <c r="BG826" i="75"/>
  <c r="BG824" i="75"/>
  <c r="BG815" i="75"/>
  <c r="BG828" i="75"/>
  <c r="BG820" i="75"/>
  <c r="BG853" i="75"/>
  <c r="BG823" i="75"/>
  <c r="BG836" i="75"/>
  <c r="BG827" i="75"/>
  <c r="BG845" i="75"/>
  <c r="BG816" i="75"/>
  <c r="BG841" i="75"/>
  <c r="BG803" i="75"/>
  <c r="BH803" i="75" s="1"/>
  <c r="BG837" i="75"/>
  <c r="BG818" i="75"/>
  <c r="BG819" i="75"/>
  <c r="BG833" i="75"/>
  <c r="BG842" i="75"/>
  <c r="BG810" i="75"/>
  <c r="BG811" i="75"/>
  <c r="BG807" i="75"/>
  <c r="BG817" i="75"/>
  <c r="BG843" i="75"/>
  <c r="BG829" i="75"/>
  <c r="BG840" i="75"/>
  <c r="BG831" i="75"/>
  <c r="BG814" i="75"/>
  <c r="BG849" i="75"/>
  <c r="BG838" i="75"/>
  <c r="BG821" i="75"/>
  <c r="BG822" i="75"/>
  <c r="BG806" i="75"/>
  <c r="BG808" i="75"/>
  <c r="BG851" i="75"/>
  <c r="BG839" i="75"/>
  <c r="BG848" i="75"/>
  <c r="BG852" i="75"/>
  <c r="BG844" i="75"/>
  <c r="BG830" i="75"/>
  <c r="BG805" i="75"/>
  <c r="BG804" i="75"/>
  <c r="BG835" i="75"/>
  <c r="BG832" i="75"/>
  <c r="BG809" i="75"/>
  <c r="BG850" i="75"/>
  <c r="BG834" i="75"/>
  <c r="CQ611" i="75"/>
  <c r="CQ600" i="75"/>
  <c r="CQ610" i="75"/>
  <c r="CQ612" i="75"/>
  <c r="CQ604" i="75"/>
  <c r="CQ614" i="75"/>
  <c r="CQ606" i="75"/>
  <c r="CQ607" i="75"/>
  <c r="CQ603" i="75"/>
  <c r="CQ609" i="75"/>
  <c r="CQ599" i="75"/>
  <c r="CR599" i="75" s="1"/>
  <c r="CQ613" i="75"/>
  <c r="BU665" i="75"/>
  <c r="BU640" i="75"/>
  <c r="BU645" i="75"/>
  <c r="BU638" i="75"/>
  <c r="BU637" i="75"/>
  <c r="BV637" i="75" s="1"/>
  <c r="BU652" i="75"/>
  <c r="BU657" i="75"/>
  <c r="BU646" i="75"/>
  <c r="BU649" i="75"/>
  <c r="BU660" i="75"/>
  <c r="BU644" i="75"/>
  <c r="BU666" i="75"/>
  <c r="BU671" i="75"/>
  <c r="BU650" i="75"/>
  <c r="BU663" i="75"/>
  <c r="BU672" i="75"/>
  <c r="BU655" i="75"/>
  <c r="BU656" i="75"/>
  <c r="BU651" i="75"/>
  <c r="BU648" i="75"/>
  <c r="BU647" i="75"/>
  <c r="BU670" i="75"/>
  <c r="BU667" i="75"/>
  <c r="BU639" i="75"/>
  <c r="BU669" i="75"/>
  <c r="BU642" i="75"/>
  <c r="BU662" i="75"/>
  <c r="BU654" i="75"/>
  <c r="BU661" i="75"/>
  <c r="BU641" i="75"/>
  <c r="BU668" i="75"/>
  <c r="BU658" i="75"/>
  <c r="BU664" i="75"/>
  <c r="BU659" i="75"/>
  <c r="BU643" i="75"/>
  <c r="BU673" i="75"/>
  <c r="BU653" i="75"/>
  <c r="BU674" i="75"/>
  <c r="BU881" i="75"/>
  <c r="BU910" i="75"/>
  <c r="BU902" i="75"/>
  <c r="BU907" i="75"/>
  <c r="BU892" i="75"/>
  <c r="BU903" i="75"/>
  <c r="BU914" i="75"/>
  <c r="BU899" i="75"/>
  <c r="BU890" i="75"/>
  <c r="BU888" i="75"/>
  <c r="BU877" i="75"/>
  <c r="BV877" i="75" s="1"/>
  <c r="BU880" i="75"/>
  <c r="BU879" i="75"/>
  <c r="BU909" i="75"/>
  <c r="BU901" i="75"/>
  <c r="BU893" i="75"/>
  <c r="BU911" i="75"/>
  <c r="BU883" i="75"/>
  <c r="BU913" i="75"/>
  <c r="BU905" i="75"/>
  <c r="BU897" i="75"/>
  <c r="BU889" i="75"/>
  <c r="BU896" i="75"/>
  <c r="BU887" i="75"/>
  <c r="BU885" i="75"/>
  <c r="BU894" i="75"/>
  <c r="BU908" i="75"/>
  <c r="BU882" i="75"/>
  <c r="BU912" i="75"/>
  <c r="BU900" i="75"/>
  <c r="BU884" i="75"/>
  <c r="BU895" i="75"/>
  <c r="BU906" i="75"/>
  <c r="BU891" i="75"/>
  <c r="BU886" i="75"/>
  <c r="BU878" i="75"/>
  <c r="BU904" i="75"/>
  <c r="BU898" i="75"/>
  <c r="BX1122" i="75" a="1"/>
  <c r="EO287" i="100"/>
  <c r="EN338" i="100"/>
  <c r="CK719" i="75"/>
  <c r="CK730" i="75"/>
  <c r="CK714" i="75"/>
  <c r="CK720" i="75"/>
  <c r="CK732" i="75"/>
  <c r="CK717" i="75"/>
  <c r="CK731" i="75"/>
  <c r="CK723" i="75"/>
  <c r="CK724" i="75"/>
  <c r="CK733" i="75"/>
  <c r="CK725" i="75"/>
  <c r="CK721" i="75"/>
  <c r="CK727" i="75"/>
  <c r="CK728" i="75"/>
  <c r="CK729" i="75"/>
  <c r="CK713" i="75"/>
  <c r="CL713" i="75" s="1"/>
  <c r="CK715" i="75"/>
  <c r="CK722" i="75"/>
  <c r="CK734" i="75"/>
  <c r="CK726" i="75"/>
  <c r="CK718" i="75"/>
  <c r="CK716" i="75"/>
  <c r="AO37" i="100"/>
  <c r="AN37" i="100"/>
  <c r="AM37" i="100"/>
  <c r="AM313" i="100"/>
  <c r="AO313" i="100"/>
  <c r="AN313" i="100"/>
  <c r="BQ1019" i="75"/>
  <c r="BQ1014" i="75"/>
  <c r="BQ1015" i="75"/>
  <c r="BQ1006" i="75"/>
  <c r="BQ999" i="75"/>
  <c r="BQ1016" i="75"/>
  <c r="BQ1000" i="75"/>
  <c r="BQ1027" i="75"/>
  <c r="BQ1024" i="75"/>
  <c r="BQ1017" i="75"/>
  <c r="BQ1012" i="75"/>
  <c r="BQ1009" i="75"/>
  <c r="BQ996" i="75"/>
  <c r="BQ1001" i="75"/>
  <c r="BQ1030" i="75"/>
  <c r="BQ1032" i="75"/>
  <c r="BQ1008" i="75"/>
  <c r="BQ1026" i="75"/>
  <c r="BQ1031" i="75"/>
  <c r="BQ1010" i="75"/>
  <c r="BQ1011" i="75"/>
  <c r="BQ1036" i="75"/>
  <c r="BQ1007" i="75"/>
  <c r="BQ1028" i="75"/>
  <c r="BQ1003" i="75"/>
  <c r="BQ1020" i="75"/>
  <c r="BQ995" i="75"/>
  <c r="BR995" i="75" s="1"/>
  <c r="BQ1004" i="75"/>
  <c r="BQ1033" i="75"/>
  <c r="BQ1029" i="75"/>
  <c r="BQ1013" i="75"/>
  <c r="BQ997" i="75"/>
  <c r="BQ1035" i="75"/>
  <c r="BQ1025" i="75"/>
  <c r="BQ1021" i="75"/>
  <c r="BQ1005" i="75"/>
  <c r="BQ998" i="75"/>
  <c r="BQ1023" i="75"/>
  <c r="BQ1022" i="75"/>
  <c r="BQ1034" i="75"/>
  <c r="BQ1018" i="75"/>
  <c r="BQ1002" i="75"/>
  <c r="CP904" i="75"/>
  <c r="CP898" i="75"/>
  <c r="CP899" i="75"/>
  <c r="CP906" i="75"/>
  <c r="CP912" i="75"/>
  <c r="CP914" i="75"/>
  <c r="CP909" i="75"/>
  <c r="CP905" i="75"/>
  <c r="CP903" i="75"/>
  <c r="CP913" i="75"/>
  <c r="CP900" i="75"/>
  <c r="CP907" i="75"/>
  <c r="CP908" i="75"/>
  <c r="CP910" i="75"/>
  <c r="CP901" i="75"/>
  <c r="CY547" i="75"/>
  <c r="CY552" i="75"/>
  <c r="CY551" i="75"/>
  <c r="CY546" i="75"/>
  <c r="CY548" i="75"/>
  <c r="CY550" i="75"/>
  <c r="CY545" i="75"/>
  <c r="CZ545" i="75" s="1"/>
  <c r="CY549" i="75"/>
  <c r="BC899" i="75"/>
  <c r="BC904" i="75"/>
  <c r="BC895" i="75"/>
  <c r="BC896" i="75"/>
  <c r="BC891" i="75"/>
  <c r="BC888" i="75"/>
  <c r="BC913" i="75"/>
  <c r="BC875" i="75"/>
  <c r="BC906" i="75"/>
  <c r="BC909" i="75"/>
  <c r="BC867" i="75"/>
  <c r="BC898" i="75"/>
  <c r="BC889" i="75"/>
  <c r="BC892" i="75"/>
  <c r="BC866" i="75"/>
  <c r="BC877" i="75"/>
  <c r="BC878" i="75"/>
  <c r="BC859" i="75"/>
  <c r="BD859" i="75" s="1"/>
  <c r="BC872" i="75"/>
  <c r="BC887" i="75"/>
  <c r="BC879" i="75"/>
  <c r="BC876" i="75"/>
  <c r="BC860" i="75"/>
  <c r="BC883" i="75"/>
  <c r="BC884" i="75"/>
  <c r="BC902" i="75"/>
  <c r="BC886" i="75"/>
  <c r="BC862" i="75"/>
  <c r="BC912" i="75"/>
  <c r="BC880" i="75"/>
  <c r="BC864" i="75"/>
  <c r="BC885" i="75"/>
  <c r="BC903" i="75"/>
  <c r="BC870" i="75"/>
  <c r="BC869" i="75"/>
  <c r="BC865" i="75"/>
  <c r="BC861" i="75"/>
  <c r="BC868" i="75"/>
  <c r="BC894" i="75"/>
  <c r="BC873" i="75"/>
  <c r="BC911" i="75"/>
  <c r="BC907" i="75"/>
  <c r="BC874" i="75"/>
  <c r="BC871" i="75"/>
  <c r="BC914" i="75"/>
  <c r="BC900" i="75"/>
  <c r="BC863" i="75"/>
  <c r="BC890" i="75"/>
  <c r="BC897" i="75"/>
  <c r="BC908" i="75"/>
  <c r="BC882" i="75"/>
  <c r="BC910" i="75"/>
  <c r="BC881" i="75"/>
  <c r="BC905" i="75"/>
  <c r="BC893" i="75"/>
  <c r="BC901" i="75"/>
  <c r="CJ240" i="75"/>
  <c r="CJ236" i="75"/>
  <c r="CJ252" i="75"/>
  <c r="CJ246" i="75"/>
  <c r="CJ241" i="75"/>
  <c r="CJ232" i="75"/>
  <c r="BR538" i="75"/>
  <c r="BR523" i="75"/>
  <c r="BR540" i="75"/>
  <c r="BR528" i="75"/>
  <c r="CG370" i="75"/>
  <c r="CG360" i="75"/>
  <c r="CG355" i="75"/>
  <c r="CG354" i="75"/>
  <c r="CG358" i="75"/>
  <c r="CG365" i="75"/>
  <c r="CG357" i="75"/>
  <c r="CG371" i="75"/>
  <c r="CG361" i="75"/>
  <c r="CG353" i="75"/>
  <c r="CG356" i="75"/>
  <c r="CG352" i="75"/>
  <c r="CG367" i="75"/>
  <c r="CG359" i="75"/>
  <c r="CG349" i="75"/>
  <c r="CG366" i="75"/>
  <c r="CG350" i="75"/>
  <c r="CG372" i="75"/>
  <c r="CG363" i="75"/>
  <c r="CG348" i="75"/>
  <c r="CG368" i="75"/>
  <c r="CG351" i="75"/>
  <c r="CG362" i="75"/>
  <c r="CG369" i="75"/>
  <c r="CG347" i="75"/>
  <c r="CH347" i="75" s="1"/>
  <c r="CG364" i="75"/>
  <c r="BV578" i="75" a="1"/>
  <c r="J167" i="112"/>
  <c r="H167" i="112"/>
  <c r="H75" i="116"/>
  <c r="CL232" i="75"/>
  <c r="AM27" i="100"/>
  <c r="EK338" i="100"/>
  <c r="EH49" i="90"/>
  <c r="ES49" i="90"/>
  <c r="ES86" i="90"/>
  <c r="EU86" i="90" s="1"/>
  <c r="EZ86" i="90" s="1"/>
  <c r="EH86" i="90"/>
  <c r="EJ86" i="90" s="1"/>
  <c r="EO86" i="90" s="1"/>
  <c r="M125" i="125"/>
  <c r="DY99" i="125"/>
  <c r="DR120" i="125"/>
  <c r="DW4" i="125"/>
  <c r="DS125" i="125"/>
  <c r="DW120" i="125"/>
  <c r="DS25" i="125"/>
  <c r="DS12" i="125"/>
  <c r="DR4" i="125"/>
  <c r="DY62" i="125"/>
  <c r="DY138" i="125"/>
  <c r="J26" i="105"/>
  <c r="M26" i="105" s="1"/>
  <c r="K23" i="105"/>
  <c r="K15" i="105"/>
  <c r="K7" i="105"/>
  <c r="DV86" i="90"/>
  <c r="Z13" i="104"/>
  <c r="CR6" i="125"/>
  <c r="K18" i="105"/>
  <c r="AE12" i="104"/>
  <c r="K10" i="105"/>
  <c r="K26" i="105"/>
  <c r="Z12" i="104"/>
  <c r="Z14" i="104"/>
  <c r="DV25" i="90"/>
  <c r="J4" i="110"/>
  <c r="DS25" i="90"/>
  <c r="M138" i="90"/>
  <c r="DS99" i="90"/>
  <c r="DS62" i="90"/>
  <c r="DV99" i="90"/>
  <c r="DV62" i="90"/>
  <c r="DV138" i="90"/>
  <c r="DS138" i="90"/>
  <c r="CP300" i="75" l="1"/>
  <c r="BJ1268" i="75"/>
  <c r="BJ1264" i="75"/>
  <c r="H11" i="114"/>
  <c r="BZ823" i="75"/>
  <c r="CD1270" i="75"/>
  <c r="CD1258" i="75"/>
  <c r="BJ1255" i="75"/>
  <c r="BJ1231" i="75"/>
  <c r="X38" i="113"/>
  <c r="CW368" i="75"/>
  <c r="H107" i="112"/>
  <c r="J72" i="114"/>
  <c r="BJ1259" i="75"/>
  <c r="BJ1263" i="75"/>
  <c r="CW365" i="75"/>
  <c r="BF201" i="75"/>
  <c r="BF214" i="75"/>
  <c r="CF611" i="75"/>
  <c r="CR1270" i="75"/>
  <c r="BD965" i="75"/>
  <c r="BJ812" i="75"/>
  <c r="CD1274" i="75"/>
  <c r="CP1268" i="75"/>
  <c r="BJ1237" i="75"/>
  <c r="BJ1240" i="75"/>
  <c r="BN973" i="75"/>
  <c r="CW372" i="75"/>
  <c r="CY849" i="75"/>
  <c r="CS431" i="75"/>
  <c r="BD360" i="75"/>
  <c r="CS420" i="75"/>
  <c r="CZ306" i="75"/>
  <c r="CZ307" i="75"/>
  <c r="CB1029" i="75"/>
  <c r="CZ312" i="75"/>
  <c r="CJ235" i="75"/>
  <c r="CF603" i="75"/>
  <c r="BJ450" i="75"/>
  <c r="BJ479" i="75"/>
  <c r="CR1271" i="75"/>
  <c r="BX416" i="75"/>
  <c r="CX488" i="75"/>
  <c r="BD941" i="75"/>
  <c r="BD971" i="75"/>
  <c r="BJ959" i="75"/>
  <c r="CD1216" i="75"/>
  <c r="CQ788" i="75"/>
  <c r="CV974" i="75"/>
  <c r="BR431" i="75"/>
  <c r="CD1266" i="75"/>
  <c r="BP695" i="75"/>
  <c r="CH655" i="75"/>
  <c r="BJ1248" i="75"/>
  <c r="BN1132" i="75"/>
  <c r="BN1146" i="75"/>
  <c r="I33" i="113"/>
  <c r="AP44" i="113"/>
  <c r="BN935" i="75"/>
  <c r="H73" i="112"/>
  <c r="BT1145" i="75"/>
  <c r="BT1152" i="75"/>
  <c r="BJ1179" i="75"/>
  <c r="BJ1194" i="75"/>
  <c r="CP418" i="75"/>
  <c r="BF246" i="75"/>
  <c r="BF247" i="75"/>
  <c r="BJ896" i="75"/>
  <c r="CP423" i="75"/>
  <c r="CF591" i="75"/>
  <c r="BJ484" i="75"/>
  <c r="BJ477" i="75"/>
  <c r="CR1266" i="75"/>
  <c r="BX398" i="75"/>
  <c r="CJ721" i="75"/>
  <c r="BD969" i="75"/>
  <c r="BD949" i="75"/>
  <c r="BX901" i="75"/>
  <c r="CD1208" i="75"/>
  <c r="CQ783" i="75"/>
  <c r="CV970" i="75"/>
  <c r="BR403" i="75"/>
  <c r="CD1272" i="75"/>
  <c r="BD843" i="75"/>
  <c r="BP727" i="75"/>
  <c r="BR1243" i="75"/>
  <c r="BR1271" i="75"/>
  <c r="CD1267" i="75"/>
  <c r="CH651" i="75"/>
  <c r="BJ1246" i="75"/>
  <c r="BN1156" i="75"/>
  <c r="AU39" i="113"/>
  <c r="D44" i="113"/>
  <c r="BF226" i="75"/>
  <c r="BF219" i="75"/>
  <c r="CJ247" i="75"/>
  <c r="BJ901" i="75"/>
  <c r="BZ285" i="75"/>
  <c r="BZ307" i="75"/>
  <c r="BT1143" i="75"/>
  <c r="BT1146" i="75"/>
  <c r="BJ1203" i="75"/>
  <c r="BJ1177" i="75"/>
  <c r="CJ249" i="75"/>
  <c r="BF239" i="75"/>
  <c r="BF241" i="75"/>
  <c r="BJ910" i="75"/>
  <c r="BJ877" i="75"/>
  <c r="BJ907" i="75"/>
  <c r="CL294" i="75"/>
  <c r="BV1182" i="75"/>
  <c r="BT1142" i="75"/>
  <c r="BT1144" i="75"/>
  <c r="BJ1202" i="75"/>
  <c r="BJ1201" i="75"/>
  <c r="BN793" i="75"/>
  <c r="CP429" i="75"/>
  <c r="CF588" i="75"/>
  <c r="BV469" i="75"/>
  <c r="BJ486" i="75"/>
  <c r="BJ458" i="75"/>
  <c r="CR1275" i="75"/>
  <c r="BX423" i="75"/>
  <c r="CD606" i="75"/>
  <c r="BN1015" i="75"/>
  <c r="CJ726" i="75"/>
  <c r="BX765" i="75"/>
  <c r="BD963" i="75"/>
  <c r="BD946" i="75"/>
  <c r="CH1026" i="75"/>
  <c r="BX895" i="75"/>
  <c r="CD1212" i="75"/>
  <c r="CP664" i="75"/>
  <c r="CQ786" i="75"/>
  <c r="CV973" i="75"/>
  <c r="BD1198" i="75"/>
  <c r="BR430" i="75"/>
  <c r="BP1178" i="75"/>
  <c r="CD1275" i="75"/>
  <c r="BD850" i="75"/>
  <c r="BP701" i="75"/>
  <c r="BR1256" i="75"/>
  <c r="CH663" i="75"/>
  <c r="BJ1234" i="75"/>
  <c r="BN1137" i="75"/>
  <c r="BZ960" i="75"/>
  <c r="AP47" i="113"/>
  <c r="CH1135" i="75"/>
  <c r="H81" i="116"/>
  <c r="CR1276" i="75"/>
  <c r="CH659" i="75"/>
  <c r="BJ1233" i="75"/>
  <c r="H123" i="112"/>
  <c r="CD1256" i="75"/>
  <c r="CJ237" i="75"/>
  <c r="CD1077" i="75"/>
  <c r="BF235" i="75"/>
  <c r="BJ902" i="75"/>
  <c r="BJ891" i="75"/>
  <c r="BJ881" i="75"/>
  <c r="BT1149" i="75"/>
  <c r="BT1151" i="75"/>
  <c r="BJ1208" i="75"/>
  <c r="BJ1200" i="75"/>
  <c r="CF604" i="75"/>
  <c r="BJ480" i="75"/>
  <c r="BJ455" i="75"/>
  <c r="CR1263" i="75"/>
  <c r="BX431" i="75"/>
  <c r="BD955" i="75"/>
  <c r="CD1190" i="75"/>
  <c r="CV969" i="75"/>
  <c r="BR421" i="75"/>
  <c r="CD1252" i="75"/>
  <c r="BD809" i="75"/>
  <c r="BP717" i="75"/>
  <c r="CH672" i="75"/>
  <c r="BJ1274" i="75"/>
  <c r="BN1150" i="75"/>
  <c r="BN946" i="75"/>
  <c r="CX1032" i="75"/>
  <c r="CF904" i="75"/>
  <c r="BV490" i="75"/>
  <c r="CB370" i="75"/>
  <c r="CD600" i="75"/>
  <c r="CJ836" i="75"/>
  <c r="BD1175" i="75"/>
  <c r="BD1183" i="75"/>
  <c r="BP1191" i="75"/>
  <c r="CS1209" i="75"/>
  <c r="BV491" i="75"/>
  <c r="CB360" i="75"/>
  <c r="CD586" i="75"/>
  <c r="CJ833" i="75"/>
  <c r="BD1173" i="75"/>
  <c r="BD1188" i="75"/>
  <c r="BP1211" i="75"/>
  <c r="CS1210" i="75"/>
  <c r="CH1270" i="75"/>
  <c r="CH1253" i="75"/>
  <c r="BP1192" i="75"/>
  <c r="BP1179" i="75"/>
  <c r="CS1203" i="75"/>
  <c r="CT1203" i="75" s="1"/>
  <c r="BV463" i="75"/>
  <c r="BV461" i="75"/>
  <c r="CB351" i="75"/>
  <c r="CD601" i="75"/>
  <c r="BZ651" i="75"/>
  <c r="CV246" i="75"/>
  <c r="BD1208" i="75"/>
  <c r="BD1168" i="75"/>
  <c r="BP1199" i="75"/>
  <c r="BP1177" i="75"/>
  <c r="BR542" i="75"/>
  <c r="BV465" i="75"/>
  <c r="BV468" i="75"/>
  <c r="CB357" i="75"/>
  <c r="CD597" i="75"/>
  <c r="CV243" i="75"/>
  <c r="BJ839" i="75"/>
  <c r="BD1179" i="75"/>
  <c r="BD1166" i="75"/>
  <c r="BP1196" i="75"/>
  <c r="BP1208" i="75"/>
  <c r="CH603" i="75"/>
  <c r="BD279" i="75"/>
  <c r="BV486" i="75"/>
  <c r="CB350" i="75"/>
  <c r="CV242" i="75"/>
  <c r="BJ817" i="75"/>
  <c r="BD1201" i="75"/>
  <c r="BD1206" i="75"/>
  <c r="BP1176" i="75"/>
  <c r="BP1186" i="75"/>
  <c r="J169" i="112"/>
  <c r="H169" i="112"/>
  <c r="BR518" i="75"/>
  <c r="CP911" i="75"/>
  <c r="CH420" i="75"/>
  <c r="BD270" i="75"/>
  <c r="CF596" i="75"/>
  <c r="BV479" i="75"/>
  <c r="BX421" i="75"/>
  <c r="CB361" i="75"/>
  <c r="CB846" i="75"/>
  <c r="BD1192" i="75"/>
  <c r="BP1205" i="75"/>
  <c r="BR722" i="75"/>
  <c r="BR698" i="75"/>
  <c r="BN1155" i="75"/>
  <c r="BN1115" i="75"/>
  <c r="BZ1201" i="75"/>
  <c r="BD282" i="75"/>
  <c r="BV478" i="75"/>
  <c r="CB345" i="75"/>
  <c r="BD1190" i="75"/>
  <c r="BP1189" i="75"/>
  <c r="CW1088" i="75"/>
  <c r="BD1182" i="75"/>
  <c r="BP1197" i="75"/>
  <c r="CH1274" i="75"/>
  <c r="CS1208" i="75"/>
  <c r="CH1257" i="75"/>
  <c r="CF907" i="75"/>
  <c r="BV457" i="75"/>
  <c r="BD1171" i="75"/>
  <c r="BP1184" i="75"/>
  <c r="CH1265" i="75"/>
  <c r="CS1206" i="75"/>
  <c r="CF898" i="75"/>
  <c r="CH418" i="75"/>
  <c r="CF589" i="75"/>
  <c r="BV466" i="75"/>
  <c r="CD594" i="75"/>
  <c r="BT530" i="75"/>
  <c r="BD1195" i="75"/>
  <c r="BD1197" i="75"/>
  <c r="BP1181" i="75"/>
  <c r="BV1014" i="75"/>
  <c r="CH1266" i="75"/>
  <c r="CS1204" i="75"/>
  <c r="BP1209" i="75"/>
  <c r="BZ1199" i="75"/>
  <c r="CF910" i="75"/>
  <c r="CH429" i="75"/>
  <c r="CF593" i="75"/>
  <c r="BV487" i="75"/>
  <c r="CD608" i="75"/>
  <c r="BT548" i="75"/>
  <c r="CJ853" i="75"/>
  <c r="BD1165" i="75"/>
  <c r="BD1167" i="75"/>
  <c r="BP1214" i="75"/>
  <c r="BV1017" i="75"/>
  <c r="CH1256" i="75"/>
  <c r="CS1213" i="75"/>
  <c r="BP1216" i="75"/>
  <c r="BV460" i="75"/>
  <c r="CD610" i="75"/>
  <c r="CJ851" i="75"/>
  <c r="BD1199" i="75"/>
  <c r="BD1200" i="75"/>
  <c r="BP1206" i="75"/>
  <c r="CH1269" i="75"/>
  <c r="CS1216" i="75"/>
  <c r="BP1200" i="75"/>
  <c r="CB364" i="75"/>
  <c r="CD599" i="75"/>
  <c r="CJ844" i="75"/>
  <c r="BP1202" i="75"/>
  <c r="CS432" i="75"/>
  <c r="BP1212" i="75"/>
  <c r="CF890" i="75"/>
  <c r="CH422" i="75"/>
  <c r="CF598" i="75"/>
  <c r="BV480" i="75"/>
  <c r="CB352" i="75"/>
  <c r="CD593" i="75"/>
  <c r="CR552" i="75"/>
  <c r="CH611" i="75"/>
  <c r="CJ840" i="75"/>
  <c r="BD1209" i="75"/>
  <c r="BD1205" i="75"/>
  <c r="BP1198" i="75"/>
  <c r="CF541" i="75"/>
  <c r="BD898" i="75"/>
  <c r="CS1211" i="75"/>
  <c r="BP1180" i="75"/>
  <c r="BZ477" i="75"/>
  <c r="BX968" i="75"/>
  <c r="AC11" i="101"/>
  <c r="Q11" i="101"/>
  <c r="G10" i="102"/>
  <c r="H10" i="102" s="1"/>
  <c r="T11" i="101"/>
  <c r="AC10" i="1"/>
  <c r="AC13" i="124" s="1"/>
  <c r="T16" i="126" s="1"/>
  <c r="Y11" i="101"/>
  <c r="AA11" i="101"/>
  <c r="C11" i="101"/>
  <c r="BL821" i="75"/>
  <c r="BV761" i="75"/>
  <c r="BV775" i="75"/>
  <c r="BL822" i="75"/>
  <c r="CB585" i="75"/>
  <c r="CB590" i="75"/>
  <c r="BZ777" i="75"/>
  <c r="CR1143" i="75"/>
  <c r="BN1057" i="75"/>
  <c r="BN1092" i="75"/>
  <c r="AB49" i="113"/>
  <c r="J182" i="116"/>
  <c r="BV790" i="75"/>
  <c r="BL840" i="75"/>
  <c r="J197" i="115"/>
  <c r="CB594" i="75"/>
  <c r="CB607" i="75"/>
  <c r="CR1145" i="75"/>
  <c r="BN1083" i="75"/>
  <c r="BN1065" i="75"/>
  <c r="AU33" i="113"/>
  <c r="CW1150" i="75"/>
  <c r="BV768" i="75"/>
  <c r="BV782" i="75"/>
  <c r="BV792" i="75"/>
  <c r="BL818" i="75"/>
  <c r="CL848" i="75"/>
  <c r="CB605" i="75"/>
  <c r="CB603" i="75"/>
  <c r="CR1148" i="75"/>
  <c r="BN1074" i="75"/>
  <c r="BN1078" i="75"/>
  <c r="AB43" i="113"/>
  <c r="CB598" i="75"/>
  <c r="CR1144" i="75"/>
  <c r="BV759" i="75"/>
  <c r="BV771" i="75"/>
  <c r="CL840" i="75"/>
  <c r="CB584" i="75"/>
  <c r="BV778" i="75"/>
  <c r="BV794" i="75"/>
  <c r="CL843" i="75"/>
  <c r="CB587" i="75"/>
  <c r="CB614" i="75"/>
  <c r="CR1155" i="75"/>
  <c r="BN1084" i="75"/>
  <c r="BN1055" i="75"/>
  <c r="AB45" i="113"/>
  <c r="BV781" i="75"/>
  <c r="CL850" i="75"/>
  <c r="CF841" i="75"/>
  <c r="BP1183" i="75"/>
  <c r="BP1195" i="75"/>
  <c r="CB602" i="75"/>
  <c r="CB593" i="75"/>
  <c r="BT1256" i="75"/>
  <c r="BX1260" i="75"/>
  <c r="BN1066" i="75"/>
  <c r="BN1052" i="75"/>
  <c r="AB42" i="113"/>
  <c r="CU427" i="75"/>
  <c r="BV774" i="75"/>
  <c r="CL845" i="75"/>
  <c r="CF851" i="75"/>
  <c r="CB604" i="75"/>
  <c r="CB608" i="75"/>
  <c r="BN1076" i="75"/>
  <c r="BN1064" i="75"/>
  <c r="AU34" i="113"/>
  <c r="CB1201" i="75"/>
  <c r="CN1020" i="75"/>
  <c r="CU426" i="75"/>
  <c r="CB610" i="75"/>
  <c r="CU421" i="75"/>
  <c r="CV421" i="75" s="1"/>
  <c r="BV777" i="75"/>
  <c r="BV764" i="75"/>
  <c r="BL811" i="75"/>
  <c r="CL852" i="75"/>
  <c r="BT1216" i="75"/>
  <c r="CB595" i="75"/>
  <c r="BN1080" i="75"/>
  <c r="BN1056" i="75"/>
  <c r="CW1149" i="75"/>
  <c r="BV780" i="75"/>
  <c r="BV791" i="75"/>
  <c r="BL831" i="75"/>
  <c r="CL841" i="75"/>
  <c r="CB596" i="75"/>
  <c r="BN1059" i="75"/>
  <c r="BN1085" i="75"/>
  <c r="BL817" i="75"/>
  <c r="BV766" i="75"/>
  <c r="BV760" i="75"/>
  <c r="BL839" i="75"/>
  <c r="CL844" i="75"/>
  <c r="CB586" i="75"/>
  <c r="BN1096" i="75"/>
  <c r="BN1069" i="75"/>
  <c r="CL549" i="75"/>
  <c r="CB611" i="75"/>
  <c r="BV783" i="75"/>
  <c r="CL847" i="75"/>
  <c r="BT653" i="75"/>
  <c r="CB588" i="75"/>
  <c r="DB551" i="75"/>
  <c r="BV789" i="75"/>
  <c r="BL848" i="75"/>
  <c r="BV767" i="75"/>
  <c r="BV793" i="75"/>
  <c r="BL816" i="75"/>
  <c r="BT636" i="75"/>
  <c r="CB599" i="75"/>
  <c r="BP651" i="75"/>
  <c r="BN1068" i="75"/>
  <c r="BN1054" i="75"/>
  <c r="DB552" i="75"/>
  <c r="CL835" i="75"/>
  <c r="BV788" i="75"/>
  <c r="BV786" i="75"/>
  <c r="BV545" i="75"/>
  <c r="CW848" i="75"/>
  <c r="CB609" i="75"/>
  <c r="BP672" i="75"/>
  <c r="BN1094" i="75"/>
  <c r="BN1053" i="75"/>
  <c r="BV772" i="75"/>
  <c r="BV787" i="75"/>
  <c r="BL829" i="75"/>
  <c r="BV762" i="75"/>
  <c r="BV779" i="75"/>
  <c r="BT834" i="75"/>
  <c r="BL835" i="75"/>
  <c r="BV519" i="75"/>
  <c r="CW853" i="75"/>
  <c r="BT1181" i="75"/>
  <c r="CB591" i="75"/>
  <c r="BD319" i="75"/>
  <c r="BP659" i="75"/>
  <c r="BN1075" i="75"/>
  <c r="BN1073" i="75"/>
  <c r="CN1027" i="75"/>
  <c r="BV763" i="75"/>
  <c r="BV526" i="75"/>
  <c r="CB597" i="75"/>
  <c r="CB600" i="75"/>
  <c r="BP639" i="75"/>
  <c r="BN1090" i="75"/>
  <c r="BN1095" i="75"/>
  <c r="BL830" i="75"/>
  <c r="BV531" i="75"/>
  <c r="CB606" i="75"/>
  <c r="CB589" i="75"/>
  <c r="BX851" i="75"/>
  <c r="BN1091" i="75"/>
  <c r="BN1061" i="75"/>
  <c r="DB550" i="75"/>
  <c r="BV769" i="75"/>
  <c r="CB601" i="75"/>
  <c r="CB613" i="75"/>
  <c r="BX837" i="75"/>
  <c r="BN1086" i="75"/>
  <c r="BN1071" i="75"/>
  <c r="AU37" i="113"/>
  <c r="CN366" i="75"/>
  <c r="DB549" i="75"/>
  <c r="BV784" i="75"/>
  <c r="BV765" i="75"/>
  <c r="BV785" i="75"/>
  <c r="BV770" i="75"/>
  <c r="BL852" i="75"/>
  <c r="CH488" i="75"/>
  <c r="BV773" i="75"/>
  <c r="BT829" i="75"/>
  <c r="BL833" i="75"/>
  <c r="BJ1172" i="75"/>
  <c r="BJ1181" i="75"/>
  <c r="CJ914" i="75"/>
  <c r="BP1210" i="75"/>
  <c r="CB592" i="75"/>
  <c r="BD845" i="75"/>
  <c r="BZ769" i="75"/>
  <c r="BV1027" i="75"/>
  <c r="BN1067" i="75"/>
  <c r="BN1081" i="75"/>
  <c r="CB1192" i="75"/>
  <c r="I31" i="113"/>
  <c r="CN362" i="75"/>
  <c r="BN937" i="75"/>
  <c r="CS427" i="75"/>
  <c r="CM125" i="125"/>
  <c r="CB835" i="75"/>
  <c r="BF301" i="75"/>
  <c r="CF842" i="75"/>
  <c r="BR1199" i="75"/>
  <c r="DA1034" i="75"/>
  <c r="CD602" i="75"/>
  <c r="BV1025" i="75"/>
  <c r="BV249" i="75"/>
  <c r="CD603" i="75"/>
  <c r="BT231" i="75"/>
  <c r="CH1143" i="75"/>
  <c r="BR335" i="75"/>
  <c r="BF330" i="75"/>
  <c r="H104" i="114"/>
  <c r="BR338" i="75"/>
  <c r="BF339" i="75"/>
  <c r="BR351" i="75"/>
  <c r="BF362" i="75"/>
  <c r="CD587" i="75"/>
  <c r="BT252" i="75"/>
  <c r="BR354" i="75"/>
  <c r="BX1033" i="75"/>
  <c r="H42" i="112"/>
  <c r="H134" i="116"/>
  <c r="J134" i="116"/>
  <c r="CD613" i="75"/>
  <c r="BT216" i="75"/>
  <c r="CB712" i="75"/>
  <c r="BR334" i="75"/>
  <c r="BX1015" i="75"/>
  <c r="CD423" i="75"/>
  <c r="CN363" i="75"/>
  <c r="CW1091" i="75"/>
  <c r="CW1094" i="75"/>
  <c r="BR363" i="75"/>
  <c r="BX1019" i="75"/>
  <c r="CD771" i="75"/>
  <c r="BX424" i="75"/>
  <c r="CB732" i="75"/>
  <c r="BX1021" i="75"/>
  <c r="CD407" i="75"/>
  <c r="BP529" i="75"/>
  <c r="CL1201" i="75"/>
  <c r="AU32" i="113"/>
  <c r="CN367" i="75"/>
  <c r="CI12" i="125"/>
  <c r="CD783" i="75"/>
  <c r="CD589" i="75"/>
  <c r="CB852" i="75"/>
  <c r="CF529" i="75"/>
  <c r="J125" i="114"/>
  <c r="CD770" i="75"/>
  <c r="CD611" i="75"/>
  <c r="CB709" i="75"/>
  <c r="CB830" i="75"/>
  <c r="CF550" i="75"/>
  <c r="BP548" i="75"/>
  <c r="I35" i="113"/>
  <c r="CW975" i="75"/>
  <c r="CH125" i="125"/>
  <c r="CH12" i="125"/>
  <c r="CI125" i="125"/>
  <c r="CD1091" i="75"/>
  <c r="CN1096" i="75"/>
  <c r="CL490" i="75"/>
  <c r="BZ1087" i="75"/>
  <c r="BT1265" i="75"/>
  <c r="BZ770" i="75"/>
  <c r="CV905" i="75"/>
  <c r="AN9" i="100"/>
  <c r="BN967" i="75"/>
  <c r="CD1088" i="75"/>
  <c r="CN1078" i="75"/>
  <c r="BZ847" i="75"/>
  <c r="CW851" i="75"/>
  <c r="BT1242" i="75"/>
  <c r="BZ771" i="75"/>
  <c r="CT663" i="75"/>
  <c r="BF974" i="75"/>
  <c r="CN370" i="75"/>
  <c r="BN932" i="75"/>
  <c r="AP9" i="100"/>
  <c r="BT1268" i="75"/>
  <c r="BH1245" i="75"/>
  <c r="BT1267" i="75"/>
  <c r="BN942" i="75"/>
  <c r="AO9" i="100"/>
  <c r="BZ1064" i="75"/>
  <c r="BD341" i="75"/>
  <c r="CR548" i="75"/>
  <c r="BZ1094" i="75"/>
  <c r="CJ832" i="75"/>
  <c r="BT1215" i="75"/>
  <c r="BD353" i="75"/>
  <c r="CR1211" i="75"/>
  <c r="CP312" i="75"/>
  <c r="AM9" i="100"/>
  <c r="CD1083" i="75"/>
  <c r="BZ1069" i="75"/>
  <c r="BT1190" i="75"/>
  <c r="BX843" i="75"/>
  <c r="CR1149" i="75"/>
  <c r="BZ607" i="75"/>
  <c r="BN690" i="75"/>
  <c r="H154" i="112"/>
  <c r="BX963" i="75"/>
  <c r="CP306" i="75"/>
  <c r="BN970" i="75"/>
  <c r="CD1094" i="75"/>
  <c r="BZ1079" i="75"/>
  <c r="BT1185" i="75"/>
  <c r="BX828" i="75"/>
  <c r="CR1151" i="75"/>
  <c r="BZ608" i="75"/>
  <c r="BN704" i="75"/>
  <c r="CP302" i="75"/>
  <c r="BN957" i="75"/>
  <c r="BZ1075" i="75"/>
  <c r="BZ588" i="75"/>
  <c r="CD1087" i="75"/>
  <c r="BZ1091" i="75"/>
  <c r="BT1179" i="75"/>
  <c r="BF371" i="75"/>
  <c r="BZ783" i="75"/>
  <c r="CR1154" i="75"/>
  <c r="BN720" i="75"/>
  <c r="CD417" i="75"/>
  <c r="BN949" i="75"/>
  <c r="J105" i="114"/>
  <c r="H105" i="114"/>
  <c r="CD1074" i="75"/>
  <c r="BZ1070" i="75"/>
  <c r="CL912" i="75"/>
  <c r="CH1016" i="75"/>
  <c r="BD1196" i="75"/>
  <c r="BD1177" i="75"/>
  <c r="BF347" i="75"/>
  <c r="BZ789" i="75"/>
  <c r="CW906" i="75"/>
  <c r="CR1142" i="75"/>
  <c r="CL1264" i="75"/>
  <c r="BN695" i="75"/>
  <c r="BX951" i="75"/>
  <c r="CU792" i="75"/>
  <c r="BN948" i="75"/>
  <c r="CW1147" i="75"/>
  <c r="CX1147" i="75" s="1"/>
  <c r="CD1078" i="75"/>
  <c r="BZ234" i="75"/>
  <c r="CF909" i="75"/>
  <c r="BZ1066" i="75"/>
  <c r="BZ791" i="75"/>
  <c r="CW913" i="75"/>
  <c r="CR1150" i="75"/>
  <c r="BD787" i="75"/>
  <c r="BX950" i="75"/>
  <c r="CU784" i="75"/>
  <c r="CQ249" i="75"/>
  <c r="S12" i="102"/>
  <c r="T10" i="100"/>
  <c r="AR10" i="100" s="1"/>
  <c r="DU12" i="125"/>
  <c r="L12" i="125"/>
  <c r="CL12" i="125"/>
  <c r="H45" i="102"/>
  <c r="F45" i="102"/>
  <c r="BZ1202" i="75"/>
  <c r="BX362" i="75"/>
  <c r="BX351" i="75"/>
  <c r="BX1263" i="75"/>
  <c r="BR300" i="75"/>
  <c r="BX338" i="75"/>
  <c r="BZ1095" i="75"/>
  <c r="CH1013" i="75"/>
  <c r="CJ894" i="75"/>
  <c r="BF359" i="75"/>
  <c r="CP250" i="75"/>
  <c r="BH403" i="75"/>
  <c r="BX1244" i="75"/>
  <c r="CP976" i="75"/>
  <c r="CJ251" i="75"/>
  <c r="BX350" i="75"/>
  <c r="BZ1076" i="75"/>
  <c r="CB974" i="75"/>
  <c r="BR357" i="75"/>
  <c r="CH1036" i="75"/>
  <c r="CD717" i="75"/>
  <c r="CJ906" i="75"/>
  <c r="BF350" i="75"/>
  <c r="CP246" i="75"/>
  <c r="BN833" i="75"/>
  <c r="BX1250" i="75"/>
  <c r="CQ1262" i="75"/>
  <c r="CJ912" i="75"/>
  <c r="CP248" i="75"/>
  <c r="CJ250" i="75"/>
  <c r="BR281" i="75"/>
  <c r="CJ245" i="75"/>
  <c r="CD1081" i="75"/>
  <c r="BT1137" i="75"/>
  <c r="BT1148" i="75"/>
  <c r="BR280" i="75"/>
  <c r="BX339" i="75"/>
  <c r="CB369" i="75"/>
  <c r="BZ1073" i="75"/>
  <c r="CB970" i="75"/>
  <c r="BR360" i="75"/>
  <c r="CH1019" i="75"/>
  <c r="CD716" i="75"/>
  <c r="CJ895" i="75"/>
  <c r="BF368" i="75"/>
  <c r="CP238" i="75"/>
  <c r="BD866" i="75"/>
  <c r="BT1244" i="75"/>
  <c r="BX1251" i="75"/>
  <c r="CQ1273" i="75"/>
  <c r="BX352" i="75"/>
  <c r="BZ1077" i="75"/>
  <c r="CH1021" i="75"/>
  <c r="CB1261" i="75"/>
  <c r="CP251" i="75"/>
  <c r="BX1257" i="75"/>
  <c r="BX357" i="75"/>
  <c r="BX1246" i="75"/>
  <c r="CJ233" i="75"/>
  <c r="BX371" i="75"/>
  <c r="BZ1082" i="75"/>
  <c r="BZ657" i="75"/>
  <c r="CH1015" i="75"/>
  <c r="CF776" i="75"/>
  <c r="BX1259" i="75"/>
  <c r="CF1198" i="75"/>
  <c r="H88" i="116"/>
  <c r="BF507" i="75"/>
  <c r="BF519" i="75"/>
  <c r="CX367" i="75"/>
  <c r="CX370" i="75"/>
  <c r="BX347" i="75"/>
  <c r="BF536" i="75"/>
  <c r="CJ242" i="75"/>
  <c r="CD1082" i="75"/>
  <c r="BD290" i="75"/>
  <c r="CN428" i="75"/>
  <c r="BR303" i="75"/>
  <c r="BX342" i="75"/>
  <c r="BZ1071" i="75"/>
  <c r="BZ1083" i="75"/>
  <c r="BF513" i="75"/>
  <c r="CH1020" i="75"/>
  <c r="BN900" i="75"/>
  <c r="BJ653" i="75"/>
  <c r="BF520" i="75"/>
  <c r="CJ231" i="75"/>
  <c r="BD259" i="75"/>
  <c r="BX358" i="75"/>
  <c r="BF525" i="75"/>
  <c r="Y37" i="113"/>
  <c r="BZ1213" i="75"/>
  <c r="CJ239" i="75"/>
  <c r="CD1071" i="75"/>
  <c r="BX354" i="75"/>
  <c r="BZ1081" i="75"/>
  <c r="BZ1089" i="75"/>
  <c r="BF547" i="75"/>
  <c r="CH1029" i="75"/>
  <c r="CH1031" i="75"/>
  <c r="BP252" i="75"/>
  <c r="BX1258" i="75"/>
  <c r="BP652" i="75"/>
  <c r="DA1036" i="75"/>
  <c r="BX368" i="75"/>
  <c r="BZ1085" i="75"/>
  <c r="CH1032" i="75"/>
  <c r="CJ903" i="75"/>
  <c r="BX1242" i="75"/>
  <c r="AK11" i="100"/>
  <c r="CN1022" i="75"/>
  <c r="CS421" i="75"/>
  <c r="BP606" i="75"/>
  <c r="BL597" i="75"/>
  <c r="CQ961" i="75"/>
  <c r="CR961" i="75" s="1"/>
  <c r="BP1271" i="75"/>
  <c r="BP589" i="75"/>
  <c r="BJ225" i="75"/>
  <c r="BX356" i="75"/>
  <c r="BX364" i="75"/>
  <c r="BX399" i="75"/>
  <c r="BZ1084" i="75"/>
  <c r="BD954" i="75"/>
  <c r="BJ968" i="75"/>
  <c r="BJ849" i="75"/>
  <c r="BP1267" i="75"/>
  <c r="CJ896" i="75"/>
  <c r="BP1175" i="75"/>
  <c r="BP1174" i="75"/>
  <c r="DB670" i="75"/>
  <c r="BX1253" i="75"/>
  <c r="BR724" i="75"/>
  <c r="BR732" i="75"/>
  <c r="CQ975" i="75"/>
  <c r="CL540" i="75"/>
  <c r="CH1148" i="75"/>
  <c r="CN364" i="75"/>
  <c r="BX345" i="75"/>
  <c r="BX367" i="75"/>
  <c r="BX400" i="75"/>
  <c r="BZ1080" i="75"/>
  <c r="C11" i="102"/>
  <c r="BD943" i="75"/>
  <c r="CF231" i="75"/>
  <c r="BJ960" i="75"/>
  <c r="CD1213" i="75"/>
  <c r="BJ688" i="75"/>
  <c r="BJ807" i="75"/>
  <c r="BP1272" i="75"/>
  <c r="CJ910" i="75"/>
  <c r="BP1201" i="75"/>
  <c r="BP1215" i="75"/>
  <c r="BN899" i="75"/>
  <c r="DB672" i="75"/>
  <c r="BX1254" i="75"/>
  <c r="CH674" i="75"/>
  <c r="BR725" i="75"/>
  <c r="BR700" i="75"/>
  <c r="CR723" i="75"/>
  <c r="CL535" i="75"/>
  <c r="CH1153" i="75"/>
  <c r="CH1132" i="75"/>
  <c r="CH966" i="75"/>
  <c r="BJ854" i="75"/>
  <c r="J95" i="112"/>
  <c r="H95" i="112"/>
  <c r="CL543" i="75"/>
  <c r="CP304" i="75"/>
  <c r="CH1154" i="75"/>
  <c r="CN1025" i="75"/>
  <c r="BJ847" i="75"/>
  <c r="BF360" i="75"/>
  <c r="BH687" i="75"/>
  <c r="BJ835" i="75"/>
  <c r="BF323" i="75"/>
  <c r="BD342" i="75"/>
  <c r="CP297" i="75"/>
  <c r="CN1019" i="75"/>
  <c r="CB962" i="75"/>
  <c r="CL547" i="75"/>
  <c r="BX1275" i="75"/>
  <c r="BP674" i="75"/>
  <c r="BR711" i="75"/>
  <c r="BR697" i="75"/>
  <c r="CH1145" i="75"/>
  <c r="CS426" i="75"/>
  <c r="CL907" i="75"/>
  <c r="CB965" i="75"/>
  <c r="CB946" i="75"/>
  <c r="BZ592" i="75"/>
  <c r="CQ969" i="75"/>
  <c r="BZ593" i="75"/>
  <c r="CQ974" i="75"/>
  <c r="CL909" i="75"/>
  <c r="CB957" i="75"/>
  <c r="CB951" i="75"/>
  <c r="CF549" i="75"/>
  <c r="BZ604" i="75"/>
  <c r="CQ963" i="75"/>
  <c r="CD1189" i="75"/>
  <c r="CD1070" i="75"/>
  <c r="CD1075" i="75"/>
  <c r="CL911" i="75"/>
  <c r="CB976" i="75"/>
  <c r="CD849" i="75"/>
  <c r="CF535" i="75"/>
  <c r="BZ597" i="75"/>
  <c r="CQ972" i="75"/>
  <c r="BR515" i="75"/>
  <c r="CD1073" i="75"/>
  <c r="CB964" i="75"/>
  <c r="CR974" i="75"/>
  <c r="CF546" i="75"/>
  <c r="CH652" i="75"/>
  <c r="BZ595" i="75"/>
  <c r="CS1153" i="75"/>
  <c r="CQ964" i="75"/>
  <c r="CD781" i="75"/>
  <c r="CP431" i="75"/>
  <c r="CB949" i="75"/>
  <c r="CF534" i="75"/>
  <c r="CQ967" i="75"/>
  <c r="BZ587" i="75"/>
  <c r="CQ971" i="75"/>
  <c r="CD1085" i="75"/>
  <c r="CN1080" i="75"/>
  <c r="CD782" i="75"/>
  <c r="CP420" i="75"/>
  <c r="CL492" i="75"/>
  <c r="CL897" i="75"/>
  <c r="CL425" i="75"/>
  <c r="CB972" i="75"/>
  <c r="BL534" i="75"/>
  <c r="BT659" i="75"/>
  <c r="CH661" i="75"/>
  <c r="BL1257" i="75"/>
  <c r="BZ605" i="75"/>
  <c r="CF1214" i="75"/>
  <c r="CL242" i="75"/>
  <c r="BR520" i="75"/>
  <c r="CD1096" i="75"/>
  <c r="BJ230" i="75"/>
  <c r="CN1090" i="75"/>
  <c r="CN416" i="75"/>
  <c r="CD766" i="75"/>
  <c r="CP422" i="75"/>
  <c r="CL914" i="75"/>
  <c r="CL414" i="75"/>
  <c r="CB969" i="75"/>
  <c r="CB956" i="75"/>
  <c r="BT670" i="75"/>
  <c r="CB1266" i="75"/>
  <c r="CB1073" i="75"/>
  <c r="CD552" i="75"/>
  <c r="CR1146" i="75"/>
  <c r="CH653" i="75"/>
  <c r="BL1240" i="75"/>
  <c r="BZ599" i="75"/>
  <c r="BD763" i="75"/>
  <c r="CF1212" i="75"/>
  <c r="CW1089" i="75"/>
  <c r="CS425" i="75"/>
  <c r="CL246" i="75"/>
  <c r="BR532" i="75"/>
  <c r="CD1072" i="75"/>
  <c r="CN1085" i="75"/>
  <c r="BJ892" i="75"/>
  <c r="BJ906" i="75"/>
  <c r="BJ884" i="75"/>
  <c r="CT848" i="75"/>
  <c r="BD263" i="75"/>
  <c r="CL851" i="75"/>
  <c r="CB410" i="75"/>
  <c r="CD787" i="75"/>
  <c r="CP428" i="75"/>
  <c r="CR1035" i="75"/>
  <c r="BX359" i="75"/>
  <c r="BX366" i="75"/>
  <c r="BT242" i="75"/>
  <c r="BZ1068" i="75"/>
  <c r="CL905" i="75"/>
  <c r="CL426" i="75"/>
  <c r="CB975" i="75"/>
  <c r="CB948" i="75"/>
  <c r="CJ731" i="75"/>
  <c r="BD959" i="75"/>
  <c r="BD961" i="75"/>
  <c r="CD1196" i="75"/>
  <c r="BJ832" i="75"/>
  <c r="CF788" i="75"/>
  <c r="BR408" i="75"/>
  <c r="BR427" i="75"/>
  <c r="BV649" i="75"/>
  <c r="CB1263" i="75"/>
  <c r="BP723" i="75"/>
  <c r="BP724" i="75"/>
  <c r="CT662" i="75"/>
  <c r="CD533" i="75"/>
  <c r="CR1153" i="75"/>
  <c r="CH664" i="75"/>
  <c r="CB1079" i="75"/>
  <c r="BF960" i="75"/>
  <c r="BL1269" i="75"/>
  <c r="BZ611" i="75"/>
  <c r="BD747" i="75"/>
  <c r="CF1193" i="75"/>
  <c r="CN372" i="75"/>
  <c r="CS423" i="75"/>
  <c r="CD784" i="75"/>
  <c r="CP421" i="75"/>
  <c r="CL908" i="75"/>
  <c r="CL427" i="75"/>
  <c r="CB961" i="75"/>
  <c r="CB967" i="75"/>
  <c r="CB1257" i="75"/>
  <c r="BL1244" i="75"/>
  <c r="BZ596" i="75"/>
  <c r="BD760" i="75"/>
  <c r="CF1196" i="75"/>
  <c r="J153" i="115"/>
  <c r="CS428" i="75"/>
  <c r="BD749" i="75"/>
  <c r="CF1200" i="75"/>
  <c r="CQ966" i="75"/>
  <c r="CS430" i="75"/>
  <c r="DB431" i="75"/>
  <c r="H68" i="115"/>
  <c r="CD1079" i="75"/>
  <c r="CD774" i="75"/>
  <c r="CP417" i="75"/>
  <c r="CL898" i="75"/>
  <c r="CL417" i="75"/>
  <c r="CB953" i="75"/>
  <c r="CB954" i="75"/>
  <c r="CB1253" i="75"/>
  <c r="BZ590" i="75"/>
  <c r="BR549" i="75"/>
  <c r="BF1176" i="75"/>
  <c r="CD1084" i="75"/>
  <c r="CD1095" i="75"/>
  <c r="BJ868" i="75"/>
  <c r="BJ893" i="75"/>
  <c r="CL836" i="75"/>
  <c r="CB428" i="75"/>
  <c r="CD780" i="75"/>
  <c r="CP419" i="75"/>
  <c r="CR1028" i="75"/>
  <c r="BX348" i="75"/>
  <c r="BX360" i="75"/>
  <c r="BT249" i="75"/>
  <c r="CR541" i="75"/>
  <c r="BZ1072" i="75"/>
  <c r="CL906" i="75"/>
  <c r="CB971" i="75"/>
  <c r="CB950" i="75"/>
  <c r="CJ729" i="75"/>
  <c r="BD927" i="75"/>
  <c r="BD968" i="75"/>
  <c r="BR411" i="75"/>
  <c r="BR415" i="75"/>
  <c r="CB1267" i="75"/>
  <c r="BH1095" i="75"/>
  <c r="BP694" i="75"/>
  <c r="CT671" i="75"/>
  <c r="CB1069" i="75"/>
  <c r="CB1078" i="75"/>
  <c r="CR1152" i="75"/>
  <c r="CH665" i="75"/>
  <c r="CH670" i="75"/>
  <c r="BF943" i="75"/>
  <c r="BZ584" i="75"/>
  <c r="CB1066" i="75"/>
  <c r="CB1080" i="75"/>
  <c r="CF1215" i="75"/>
  <c r="CS1149" i="75"/>
  <c r="CQ976" i="75"/>
  <c r="DA1031" i="75"/>
  <c r="DB1031" i="75" s="1"/>
  <c r="CS419" i="75"/>
  <c r="CT419" i="75" s="1"/>
  <c r="CD1089" i="75"/>
  <c r="BR544" i="75"/>
  <c r="CD1076" i="75"/>
  <c r="CD776" i="75"/>
  <c r="CP432" i="75"/>
  <c r="CH666" i="75"/>
  <c r="CH668" i="75"/>
  <c r="BZ586" i="75"/>
  <c r="CF1195" i="75"/>
  <c r="CS1144" i="75"/>
  <c r="CQ968" i="75"/>
  <c r="F22" i="113"/>
  <c r="CH956" i="75"/>
  <c r="DA1032" i="75"/>
  <c r="CS422" i="75"/>
  <c r="CL239" i="75"/>
  <c r="BR548" i="75"/>
  <c r="CD1069" i="75"/>
  <c r="CL904" i="75"/>
  <c r="CB966" i="75"/>
  <c r="CB955" i="75"/>
  <c r="CJ230" i="75"/>
  <c r="BF1202" i="75"/>
  <c r="CD1068" i="75"/>
  <c r="CD1092" i="75"/>
  <c r="CD773" i="75"/>
  <c r="CP430" i="75"/>
  <c r="BX353" i="75"/>
  <c r="BX372" i="75"/>
  <c r="CR543" i="75"/>
  <c r="BZ1093" i="75"/>
  <c r="CL902" i="75"/>
  <c r="CB958" i="75"/>
  <c r="CB960" i="75"/>
  <c r="CJ723" i="75"/>
  <c r="BD933" i="75"/>
  <c r="CF233" i="75"/>
  <c r="BZ643" i="75"/>
  <c r="CD1195" i="75"/>
  <c r="BJ709" i="75"/>
  <c r="BR424" i="75"/>
  <c r="BR407" i="75"/>
  <c r="BP730" i="75"/>
  <c r="BJ636" i="75"/>
  <c r="CB1092" i="75"/>
  <c r="CT666" i="75"/>
  <c r="CR1147" i="75"/>
  <c r="CH650" i="75"/>
  <c r="CH656" i="75"/>
  <c r="BZ600" i="75"/>
  <c r="CF1205" i="75"/>
  <c r="CS1143" i="75"/>
  <c r="CT1143" i="75" s="1"/>
  <c r="CQ970" i="75"/>
  <c r="DA1035" i="75"/>
  <c r="CS429" i="75"/>
  <c r="H124" i="116"/>
  <c r="J124" i="116"/>
  <c r="CD772" i="75"/>
  <c r="CP424" i="75"/>
  <c r="CL894" i="75"/>
  <c r="CB947" i="75"/>
  <c r="BZ582" i="75"/>
  <c r="CQ965" i="75"/>
  <c r="J145" i="116"/>
  <c r="CF366" i="75"/>
  <c r="BV218" i="75"/>
  <c r="BV1195" i="75"/>
  <c r="CJ595" i="75"/>
  <c r="CP426" i="75"/>
  <c r="BR286" i="75"/>
  <c r="CB347" i="75"/>
  <c r="CR540" i="75"/>
  <c r="CL429" i="75"/>
  <c r="CB706" i="75"/>
  <c r="BR343" i="75"/>
  <c r="BH1248" i="75"/>
  <c r="CD1199" i="75"/>
  <c r="BJ829" i="75"/>
  <c r="BJ778" i="75"/>
  <c r="CQ841" i="75"/>
  <c r="BP1203" i="75"/>
  <c r="BP1187" i="75"/>
  <c r="CB1275" i="75"/>
  <c r="BP250" i="75"/>
  <c r="CH673" i="75"/>
  <c r="CF1192" i="75"/>
  <c r="CD413" i="75"/>
  <c r="BZ945" i="75"/>
  <c r="BH726" i="75"/>
  <c r="BJ210" i="75"/>
  <c r="BV229" i="75"/>
  <c r="BV1190" i="75"/>
  <c r="BV1205" i="75"/>
  <c r="CJ598" i="75"/>
  <c r="CB368" i="75"/>
  <c r="CR903" i="75"/>
  <c r="CB724" i="75"/>
  <c r="BJ828" i="75"/>
  <c r="BN1256" i="75"/>
  <c r="CQ847" i="75"/>
  <c r="CB1273" i="75"/>
  <c r="CF1207" i="75"/>
  <c r="BZ963" i="75"/>
  <c r="BZ971" i="75"/>
  <c r="BH689" i="75"/>
  <c r="BV1183" i="75"/>
  <c r="BV1184" i="75"/>
  <c r="CJ594" i="75"/>
  <c r="CB342" i="75"/>
  <c r="CB734" i="75"/>
  <c r="BJ816" i="75"/>
  <c r="CQ840" i="75"/>
  <c r="BZ969" i="75"/>
  <c r="BZ970" i="75"/>
  <c r="BR527" i="75"/>
  <c r="BH701" i="75"/>
  <c r="BJ220" i="75"/>
  <c r="BV1204" i="75"/>
  <c r="BV1210" i="75"/>
  <c r="CJ614" i="75"/>
  <c r="CB343" i="75"/>
  <c r="CB707" i="75"/>
  <c r="BJ837" i="75"/>
  <c r="CQ851" i="75"/>
  <c r="CB1258" i="75"/>
  <c r="CF1213" i="75"/>
  <c r="BZ972" i="75"/>
  <c r="BZ955" i="75"/>
  <c r="BR517" i="75"/>
  <c r="BH734" i="75"/>
  <c r="BJ213" i="75"/>
  <c r="BV1180" i="75"/>
  <c r="BV1198" i="75"/>
  <c r="CJ612" i="75"/>
  <c r="CB363" i="75"/>
  <c r="CB725" i="75"/>
  <c r="BV1136" i="75"/>
  <c r="BZ973" i="75"/>
  <c r="BZ946" i="75"/>
  <c r="BR535" i="75"/>
  <c r="BH690" i="75"/>
  <c r="BV1212" i="75"/>
  <c r="BV1208" i="75"/>
  <c r="CB346" i="75"/>
  <c r="CB722" i="75"/>
  <c r="BJ1029" i="75"/>
  <c r="BZ975" i="75"/>
  <c r="BZ968" i="75"/>
  <c r="BH723" i="75"/>
  <c r="CB362" i="75"/>
  <c r="CB711" i="75"/>
  <c r="BJ1013" i="75"/>
  <c r="BZ944" i="75"/>
  <c r="CB358" i="75"/>
  <c r="CB348" i="75"/>
  <c r="BZ951" i="75"/>
  <c r="CP245" i="75"/>
  <c r="BV1247" i="75"/>
  <c r="BZ962" i="75"/>
  <c r="BV1244" i="75"/>
  <c r="BR514" i="75"/>
  <c r="BV1200" i="75"/>
  <c r="BV1186" i="75"/>
  <c r="CB353" i="75"/>
  <c r="CB367" i="75"/>
  <c r="CL421" i="75"/>
  <c r="CB730" i="75"/>
  <c r="BJ830" i="75"/>
  <c r="CP241" i="75"/>
  <c r="BV1275" i="75"/>
  <c r="BZ958" i="75"/>
  <c r="BZ956" i="75"/>
  <c r="BV1206" i="75"/>
  <c r="BV1201" i="75"/>
  <c r="CB349" i="75"/>
  <c r="CB365" i="75"/>
  <c r="CB718" i="75"/>
  <c r="BJ825" i="75"/>
  <c r="CP249" i="75"/>
  <c r="BZ965" i="75"/>
  <c r="CP239" i="75"/>
  <c r="BZ976" i="75"/>
  <c r="BR546" i="75"/>
  <c r="CJ234" i="75"/>
  <c r="CF346" i="75"/>
  <c r="BV220" i="75"/>
  <c r="CP416" i="75"/>
  <c r="BR309" i="75"/>
  <c r="BV430" i="75"/>
  <c r="CB356" i="75"/>
  <c r="CR544" i="75"/>
  <c r="CB723" i="75"/>
  <c r="BR336" i="75"/>
  <c r="CV247" i="75"/>
  <c r="BJ836" i="75"/>
  <c r="CJ854" i="75"/>
  <c r="CQ839" i="75"/>
  <c r="CR839" i="75" s="1"/>
  <c r="BP1188" i="75"/>
  <c r="CB1260" i="75"/>
  <c r="BD861" i="75"/>
  <c r="CB1077" i="75"/>
  <c r="CB1083" i="75"/>
  <c r="CF1201" i="75"/>
  <c r="BX1069" i="75"/>
  <c r="BZ961" i="75"/>
  <c r="BF538" i="75"/>
  <c r="CD726" i="75"/>
  <c r="CB1262" i="75"/>
  <c r="BX1081" i="75"/>
  <c r="CD728" i="75"/>
  <c r="BX1078" i="75"/>
  <c r="CD724" i="75"/>
  <c r="BX1080" i="75"/>
  <c r="BD1181" i="75"/>
  <c r="BF530" i="75"/>
  <c r="CD718" i="75"/>
  <c r="CB1254" i="75"/>
  <c r="CF1209" i="75"/>
  <c r="CD734" i="75"/>
  <c r="W54" i="113"/>
  <c r="BD1170" i="75"/>
  <c r="BR530" i="75"/>
  <c r="BR534" i="75"/>
  <c r="BR539" i="75"/>
  <c r="BF524" i="75"/>
  <c r="CD730" i="75"/>
  <c r="BN881" i="75"/>
  <c r="CF1208" i="75"/>
  <c r="W59" i="113"/>
  <c r="H24" i="115"/>
  <c r="J24" i="115"/>
  <c r="BF548" i="75"/>
  <c r="BL605" i="75"/>
  <c r="BF526" i="75"/>
  <c r="CD723" i="75"/>
  <c r="CB1256" i="75"/>
  <c r="BN885" i="75"/>
  <c r="CF1197" i="75"/>
  <c r="D48" i="113"/>
  <c r="BF929" i="75"/>
  <c r="BF522" i="75"/>
  <c r="CD715" i="75"/>
  <c r="CT1094" i="75"/>
  <c r="CB1252" i="75"/>
  <c r="BN888" i="75"/>
  <c r="BL1275" i="75"/>
  <c r="CF1202" i="75"/>
  <c r="D45" i="113"/>
  <c r="CP1140" i="75"/>
  <c r="CY973" i="75"/>
  <c r="CL238" i="75"/>
  <c r="BR526" i="75"/>
  <c r="CJ248" i="75"/>
  <c r="BF1177" i="75"/>
  <c r="BL703" i="75"/>
  <c r="CH432" i="75"/>
  <c r="CT844" i="75"/>
  <c r="CD779" i="75"/>
  <c r="Z146" i="113"/>
  <c r="CN609" i="75"/>
  <c r="BX344" i="75"/>
  <c r="BX407" i="75"/>
  <c r="BX409" i="75"/>
  <c r="CR546" i="75"/>
  <c r="BZ1096" i="75"/>
  <c r="BZ1090" i="75"/>
  <c r="BF523" i="75"/>
  <c r="BV543" i="75"/>
  <c r="BR362" i="75"/>
  <c r="CX492" i="75"/>
  <c r="BD951" i="75"/>
  <c r="BD945" i="75"/>
  <c r="BX914" i="75"/>
  <c r="BJ696" i="75"/>
  <c r="CF773" i="75"/>
  <c r="BD1186" i="75"/>
  <c r="BD1178" i="75"/>
  <c r="CT1085" i="75"/>
  <c r="BP1265" i="75"/>
  <c r="BT1196" i="75"/>
  <c r="BL1062" i="75"/>
  <c r="BR410" i="75"/>
  <c r="CB1271" i="75"/>
  <c r="BX1022" i="75"/>
  <c r="BN910" i="75"/>
  <c r="BP693" i="75"/>
  <c r="BP710" i="75"/>
  <c r="CL1027" i="75"/>
  <c r="CB1096" i="75"/>
  <c r="CB1089" i="75"/>
  <c r="BF958" i="75"/>
  <c r="CP971" i="75"/>
  <c r="BL1255" i="75"/>
  <c r="CJ1015" i="75"/>
  <c r="CF1203" i="75"/>
  <c r="BR731" i="75"/>
  <c r="CN478" i="75"/>
  <c r="BN1131" i="75"/>
  <c r="BN1082" i="75"/>
  <c r="BN1088" i="75"/>
  <c r="BZ948" i="75"/>
  <c r="BZ959" i="75"/>
  <c r="CW245" i="75"/>
  <c r="CP1144" i="75"/>
  <c r="CP309" i="75"/>
  <c r="AP51" i="113"/>
  <c r="BR519" i="75"/>
  <c r="BR512" i="75"/>
  <c r="BX408" i="75"/>
  <c r="BX401" i="75"/>
  <c r="BZ1092" i="75"/>
  <c r="BF529" i="75"/>
  <c r="BD938" i="75"/>
  <c r="BD935" i="75"/>
  <c r="CF794" i="75"/>
  <c r="BD1164" i="75"/>
  <c r="BD1184" i="75"/>
  <c r="BD1216" i="75"/>
  <c r="CT1095" i="75"/>
  <c r="BP1248" i="75"/>
  <c r="BP1244" i="75"/>
  <c r="BT1195" i="75"/>
  <c r="CB1272" i="75"/>
  <c r="BX1020" i="75"/>
  <c r="CN792" i="75"/>
  <c r="BF956" i="75"/>
  <c r="CV913" i="75"/>
  <c r="BL1258" i="75"/>
  <c r="CJ1023" i="75"/>
  <c r="CF1199" i="75"/>
  <c r="BR706" i="75"/>
  <c r="BR719" i="75"/>
  <c r="CN482" i="75"/>
  <c r="BZ967" i="75"/>
  <c r="BZ947" i="75"/>
  <c r="BP1015" i="75"/>
  <c r="CP311" i="75"/>
  <c r="CZ793" i="75"/>
  <c r="BR536" i="75"/>
  <c r="BF550" i="75"/>
  <c r="CD891" i="75"/>
  <c r="BD970" i="75"/>
  <c r="BD947" i="75"/>
  <c r="BD952" i="75"/>
  <c r="CF779" i="75"/>
  <c r="CF840" i="75"/>
  <c r="CB1270" i="75"/>
  <c r="BT1259" i="75"/>
  <c r="CV365" i="75"/>
  <c r="BL1264" i="75"/>
  <c r="CJ1036" i="75"/>
  <c r="CF1211" i="75"/>
  <c r="BF527" i="75"/>
  <c r="CX1156" i="75"/>
  <c r="J47" i="116"/>
  <c r="H47" i="116"/>
  <c r="CB1268" i="75"/>
  <c r="CX1151" i="75"/>
  <c r="CF1190" i="75"/>
  <c r="AB48" i="113"/>
  <c r="BF543" i="75"/>
  <c r="BF542" i="75"/>
  <c r="CB1255" i="75"/>
  <c r="CJ12" i="125"/>
  <c r="CJ125" i="125"/>
  <c r="BN902" i="75"/>
  <c r="CN492" i="75"/>
  <c r="H95" i="115"/>
  <c r="J95" i="115"/>
  <c r="BD287" i="75"/>
  <c r="CD607" i="75"/>
  <c r="BF510" i="75"/>
  <c r="BF514" i="75"/>
  <c r="BF552" i="75"/>
  <c r="CB727" i="75"/>
  <c r="CB704" i="75"/>
  <c r="CD732" i="75"/>
  <c r="BP1260" i="75"/>
  <c r="BT1202" i="75"/>
  <c r="CB1276" i="75"/>
  <c r="BN890" i="75"/>
  <c r="CL1030" i="75"/>
  <c r="BL1249" i="75"/>
  <c r="CF1210" i="75"/>
  <c r="CF1191" i="75"/>
  <c r="BR734" i="75"/>
  <c r="BR717" i="75"/>
  <c r="BN1060" i="75"/>
  <c r="BN1079" i="75"/>
  <c r="BZ964" i="75"/>
  <c r="BZ952" i="75"/>
  <c r="BP1234" i="75"/>
  <c r="CJ782" i="75"/>
  <c r="BF509" i="75"/>
  <c r="BF502" i="75"/>
  <c r="BF531" i="75"/>
  <c r="BN914" i="75"/>
  <c r="BH661" i="75"/>
  <c r="CX1150" i="75"/>
  <c r="CJ786" i="75"/>
  <c r="H197" i="114"/>
  <c r="BF544" i="75"/>
  <c r="BF535" i="75"/>
  <c r="BF521" i="75"/>
  <c r="CB714" i="75"/>
  <c r="CB710" i="75"/>
  <c r="BN872" i="75"/>
  <c r="BL1272" i="75"/>
  <c r="BH669" i="75"/>
  <c r="BF1211" i="75"/>
  <c r="BF1184" i="75"/>
  <c r="BR525" i="75"/>
  <c r="BF1178" i="75"/>
  <c r="BX349" i="75"/>
  <c r="CD598" i="75"/>
  <c r="BF500" i="75"/>
  <c r="BF516" i="75"/>
  <c r="BF533" i="75"/>
  <c r="CB721" i="75"/>
  <c r="CB715" i="75"/>
  <c r="BJ818" i="75"/>
  <c r="CD712" i="75"/>
  <c r="BJ1007" i="75"/>
  <c r="CB1249" i="75"/>
  <c r="CP240" i="75"/>
  <c r="BN873" i="75"/>
  <c r="BL1259" i="75"/>
  <c r="CF1204" i="75"/>
  <c r="CF1194" i="75"/>
  <c r="BF969" i="75"/>
  <c r="BH672" i="75"/>
  <c r="BF940" i="75"/>
  <c r="BD295" i="75"/>
  <c r="BR552" i="75"/>
  <c r="BF1182" i="75"/>
  <c r="BD303" i="75"/>
  <c r="CL241" i="75"/>
  <c r="BR545" i="75"/>
  <c r="BR551" i="75"/>
  <c r="BF1164" i="75"/>
  <c r="BF1207" i="75"/>
  <c r="BV233" i="75"/>
  <c r="BD280" i="75"/>
  <c r="CN420" i="75"/>
  <c r="BR289" i="75"/>
  <c r="BR287" i="75"/>
  <c r="CD590" i="75"/>
  <c r="BF517" i="75"/>
  <c r="BF504" i="75"/>
  <c r="BF551" i="75"/>
  <c r="CB708" i="75"/>
  <c r="CB719" i="75"/>
  <c r="BJ848" i="75"/>
  <c r="CD709" i="75"/>
  <c r="CT727" i="75"/>
  <c r="BJ1023" i="75"/>
  <c r="CB1250" i="75"/>
  <c r="CP244" i="75"/>
  <c r="BN879" i="75"/>
  <c r="BN894" i="75"/>
  <c r="BJ673" i="75"/>
  <c r="BL1236" i="75"/>
  <c r="CF1206" i="75"/>
  <c r="BN936" i="75"/>
  <c r="BN962" i="75"/>
  <c r="BF1204" i="75"/>
  <c r="BF1199" i="75"/>
  <c r="BV224" i="75"/>
  <c r="BD311" i="75"/>
  <c r="BF528" i="75"/>
  <c r="BF518" i="75"/>
  <c r="BF541" i="75"/>
  <c r="CB726" i="75"/>
  <c r="CB731" i="75"/>
  <c r="BJ996" i="75"/>
  <c r="CB1264" i="75"/>
  <c r="BN878" i="75"/>
  <c r="BN889" i="75"/>
  <c r="BJ638" i="75"/>
  <c r="BL1267" i="75"/>
  <c r="BN956" i="75"/>
  <c r="BN945" i="75"/>
  <c r="BN941" i="75"/>
  <c r="BF511" i="75"/>
  <c r="BF546" i="75"/>
  <c r="BF506" i="75"/>
  <c r="CB705" i="75"/>
  <c r="CB713" i="75"/>
  <c r="BN898" i="75"/>
  <c r="BN892" i="75"/>
  <c r="BJ666" i="75"/>
  <c r="BL1252" i="75"/>
  <c r="J111" i="114"/>
  <c r="H111" i="114"/>
  <c r="H146" i="116"/>
  <c r="BN907" i="75"/>
  <c r="BN903" i="75"/>
  <c r="CJ783" i="75"/>
  <c r="CH476" i="75"/>
  <c r="BF549" i="75"/>
  <c r="BF539" i="75"/>
  <c r="BF540" i="75"/>
  <c r="BN912" i="75"/>
  <c r="BN876" i="75"/>
  <c r="CX1149" i="75"/>
  <c r="CJ785" i="75"/>
  <c r="BN906" i="75"/>
  <c r="BN895" i="75"/>
  <c r="CJ774" i="75"/>
  <c r="J122" i="114"/>
  <c r="H122" i="114"/>
  <c r="H157" i="112"/>
  <c r="BN896" i="75"/>
  <c r="BN874" i="75"/>
  <c r="BH666" i="75"/>
  <c r="BF512" i="75"/>
  <c r="BF532" i="75"/>
  <c r="CB728" i="75"/>
  <c r="CQ845" i="75"/>
  <c r="BN882" i="75"/>
  <c r="BN909" i="75"/>
  <c r="BL1248" i="75"/>
  <c r="BF534" i="75"/>
  <c r="BF537" i="75"/>
  <c r="CB716" i="75"/>
  <c r="CQ844" i="75"/>
  <c r="BN904" i="75"/>
  <c r="BD745" i="75"/>
  <c r="BV1260" i="75"/>
  <c r="CP1082" i="75"/>
  <c r="CR551" i="75"/>
  <c r="BF515" i="75"/>
  <c r="BF501" i="75"/>
  <c r="CB717" i="75"/>
  <c r="CQ848" i="75"/>
  <c r="BR825" i="75"/>
  <c r="BN891" i="75"/>
  <c r="BL1243" i="75"/>
  <c r="BF545" i="75"/>
  <c r="BF508" i="75"/>
  <c r="BR1154" i="75"/>
  <c r="CQ849" i="75"/>
  <c r="CL786" i="75"/>
  <c r="BR834" i="75"/>
  <c r="BN908" i="75"/>
  <c r="BL1233" i="75"/>
  <c r="CW1155" i="75"/>
  <c r="DR125" i="125"/>
  <c r="CB1010" i="75"/>
  <c r="CD899" i="75"/>
  <c r="CD896" i="75"/>
  <c r="BR1123" i="75"/>
  <c r="BZ1124" i="75"/>
  <c r="BZ1129" i="75"/>
  <c r="BZ1145" i="75"/>
  <c r="BZ1153" i="75"/>
  <c r="BZ1154" i="75"/>
  <c r="BV824" i="75"/>
  <c r="J133" i="116"/>
  <c r="H133" i="116"/>
  <c r="CV787" i="75"/>
  <c r="BR1151" i="75"/>
  <c r="BP638" i="75"/>
  <c r="CR729" i="75"/>
  <c r="BV847" i="75"/>
  <c r="J206" i="116"/>
  <c r="BZ1127" i="75"/>
  <c r="DA909" i="75"/>
  <c r="DB909" i="75" s="1"/>
  <c r="DA914" i="75"/>
  <c r="DA911" i="75"/>
  <c r="DA912" i="75"/>
  <c r="DA910" i="75"/>
  <c r="DA913" i="75"/>
  <c r="BR1150" i="75"/>
  <c r="CL234" i="75"/>
  <c r="BH686" i="75"/>
  <c r="CN1089" i="75"/>
  <c r="CJ362" i="75"/>
  <c r="BD296" i="75"/>
  <c r="CL233" i="75"/>
  <c r="BH713" i="75"/>
  <c r="CN1091" i="75"/>
  <c r="CL292" i="75"/>
  <c r="CJ366" i="75"/>
  <c r="BD268" i="75"/>
  <c r="CL834" i="75"/>
  <c r="CV794" i="75"/>
  <c r="BV521" i="75"/>
  <c r="BX889" i="75"/>
  <c r="BX913" i="75"/>
  <c r="BX1003" i="75"/>
  <c r="BH1089" i="75"/>
  <c r="BD881" i="75"/>
  <c r="BT1257" i="75"/>
  <c r="CV548" i="75"/>
  <c r="BP648" i="75"/>
  <c r="BP664" i="75"/>
  <c r="BN721" i="75"/>
  <c r="CD408" i="75"/>
  <c r="CR720" i="75"/>
  <c r="BV838" i="75"/>
  <c r="CH601" i="75"/>
  <c r="CN358" i="75"/>
  <c r="BZ1146" i="75"/>
  <c r="CV793" i="75"/>
  <c r="BV529" i="75"/>
  <c r="BZ673" i="75"/>
  <c r="BX910" i="75"/>
  <c r="BX902" i="75"/>
  <c r="CF781" i="75"/>
  <c r="BX1009" i="75"/>
  <c r="BH1086" i="75"/>
  <c r="BD860" i="75"/>
  <c r="BR591" i="75"/>
  <c r="BT1248" i="75"/>
  <c r="CV552" i="75"/>
  <c r="BP649" i="75"/>
  <c r="BN710" i="75"/>
  <c r="CD431" i="75"/>
  <c r="CR727" i="75"/>
  <c r="BV841" i="75"/>
  <c r="BX1249" i="75"/>
  <c r="CN357" i="75"/>
  <c r="BZ1136" i="75"/>
  <c r="CL247" i="75"/>
  <c r="BH704" i="75"/>
  <c r="CN1084" i="75"/>
  <c r="BD308" i="75"/>
  <c r="CL251" i="75"/>
  <c r="BH700" i="75"/>
  <c r="CN1079" i="75"/>
  <c r="CL300" i="75"/>
  <c r="CJ368" i="75"/>
  <c r="BD299" i="75"/>
  <c r="BP450" i="75"/>
  <c r="BV544" i="75"/>
  <c r="CB1011" i="75"/>
  <c r="BX909" i="75"/>
  <c r="BX894" i="75"/>
  <c r="CF775" i="75"/>
  <c r="BH1069" i="75"/>
  <c r="BR577" i="75"/>
  <c r="BT1274" i="75"/>
  <c r="CV543" i="75"/>
  <c r="BV1021" i="75"/>
  <c r="BN691" i="75"/>
  <c r="CR726" i="75"/>
  <c r="AU207" i="113"/>
  <c r="H28" i="116"/>
  <c r="CN371" i="75"/>
  <c r="BP454" i="75"/>
  <c r="CB1027" i="75"/>
  <c r="CF768" i="75"/>
  <c r="BX822" i="75"/>
  <c r="CR850" i="75"/>
  <c r="CF1088" i="75"/>
  <c r="BR605" i="75"/>
  <c r="BH745" i="75"/>
  <c r="BV1030" i="75"/>
  <c r="CR732" i="75"/>
  <c r="F28" i="113"/>
  <c r="CW971" i="75"/>
  <c r="CL248" i="75"/>
  <c r="CL249" i="75"/>
  <c r="BH733" i="75"/>
  <c r="CN1083" i="75"/>
  <c r="BP489" i="75"/>
  <c r="BV516" i="75"/>
  <c r="CB1006" i="75"/>
  <c r="BX907" i="75"/>
  <c r="BX883" i="75"/>
  <c r="CF785" i="75"/>
  <c r="CT1086" i="75"/>
  <c r="BX821" i="75"/>
  <c r="CF1087" i="75"/>
  <c r="BR581" i="75"/>
  <c r="BH759" i="75"/>
  <c r="BV1028" i="75"/>
  <c r="CR722" i="75"/>
  <c r="CH599" i="75"/>
  <c r="BD309" i="75"/>
  <c r="CL250" i="75"/>
  <c r="BH711" i="75"/>
  <c r="CN1086" i="75"/>
  <c r="CL301" i="75"/>
  <c r="CJ600" i="75"/>
  <c r="BD267" i="75"/>
  <c r="BP480" i="75"/>
  <c r="BV542" i="75"/>
  <c r="CB1033" i="75"/>
  <c r="BX888" i="75"/>
  <c r="BX880" i="75"/>
  <c r="CD713" i="75"/>
  <c r="CF778" i="75"/>
  <c r="CB541" i="75"/>
  <c r="CT1091" i="75"/>
  <c r="BX820" i="75"/>
  <c r="CF1084" i="75"/>
  <c r="BR595" i="75"/>
  <c r="BT601" i="75"/>
  <c r="BV1002" i="75"/>
  <c r="CR1209" i="75"/>
  <c r="CT1089" i="75"/>
  <c r="Y33" i="113"/>
  <c r="BH717" i="75"/>
  <c r="CL245" i="75"/>
  <c r="BH699" i="75"/>
  <c r="CN1095" i="75"/>
  <c r="CL312" i="75"/>
  <c r="CJ596" i="75"/>
  <c r="BD286" i="75"/>
  <c r="CL839" i="75"/>
  <c r="CS1090" i="75"/>
  <c r="BP481" i="75"/>
  <c r="BV528" i="75"/>
  <c r="CB1021" i="75"/>
  <c r="BX904" i="75"/>
  <c r="BX912" i="75"/>
  <c r="CR667" i="75"/>
  <c r="CD731" i="75"/>
  <c r="CF772" i="75"/>
  <c r="CY1150" i="75"/>
  <c r="CB525" i="75"/>
  <c r="CT1092" i="75"/>
  <c r="BR639" i="75"/>
  <c r="BX848" i="75"/>
  <c r="BR600" i="75"/>
  <c r="BT585" i="75"/>
  <c r="BV1019" i="75"/>
  <c r="CR1213" i="75"/>
  <c r="BH708" i="75"/>
  <c r="CN1093" i="75"/>
  <c r="BD294" i="75"/>
  <c r="BP459" i="75"/>
  <c r="CB1025" i="75"/>
  <c r="CR660" i="75"/>
  <c r="CY1155" i="75"/>
  <c r="CB551" i="75"/>
  <c r="BR665" i="75"/>
  <c r="BX824" i="75"/>
  <c r="BT594" i="75"/>
  <c r="BV1007" i="75"/>
  <c r="CR1208" i="75"/>
  <c r="BF1057" i="75"/>
  <c r="I201" i="113"/>
  <c r="CL252" i="75"/>
  <c r="CL236" i="75"/>
  <c r="BH691" i="75"/>
  <c r="BP485" i="75"/>
  <c r="CB1034" i="75"/>
  <c r="CR666" i="75"/>
  <c r="CY1154" i="75"/>
  <c r="CB539" i="75"/>
  <c r="BX850" i="75"/>
  <c r="CN776" i="75"/>
  <c r="BT608" i="75"/>
  <c r="BV1005" i="75"/>
  <c r="BF1084" i="75"/>
  <c r="CB1014" i="75"/>
  <c r="CR671" i="75"/>
  <c r="CY1152" i="75"/>
  <c r="CB534" i="75"/>
  <c r="BX834" i="75"/>
  <c r="CN794" i="75"/>
  <c r="BL473" i="75"/>
  <c r="BT605" i="75"/>
  <c r="BV1026" i="75"/>
  <c r="BT614" i="75"/>
  <c r="BN453" i="75"/>
  <c r="BP1011" i="75"/>
  <c r="CL235" i="75"/>
  <c r="CN1082" i="75"/>
  <c r="BD293" i="75"/>
  <c r="CL237" i="75"/>
  <c r="BH707" i="75"/>
  <c r="CN1088" i="75"/>
  <c r="BD261" i="75"/>
  <c r="CS1083" i="75"/>
  <c r="CT1083" i="75" s="1"/>
  <c r="CL243" i="75"/>
  <c r="BH732" i="75"/>
  <c r="CN1081" i="75"/>
  <c r="CL309" i="75"/>
  <c r="CJ603" i="75"/>
  <c r="BD306" i="75"/>
  <c r="CL838" i="75"/>
  <c r="CS1086" i="75"/>
  <c r="BF503" i="75"/>
  <c r="BV527" i="75"/>
  <c r="CL901" i="75"/>
  <c r="BR371" i="75"/>
  <c r="CD902" i="75"/>
  <c r="CB1031" i="75"/>
  <c r="BX898" i="75"/>
  <c r="BJ537" i="75"/>
  <c r="BJ504" i="75"/>
  <c r="CR670" i="75"/>
  <c r="BJ850" i="75"/>
  <c r="CD721" i="75"/>
  <c r="CF784" i="75"/>
  <c r="CY1153" i="75"/>
  <c r="CF839" i="75"/>
  <c r="BP1264" i="75"/>
  <c r="BL1065" i="75"/>
  <c r="BL1067" i="75"/>
  <c r="BJ1016" i="75"/>
  <c r="BX844" i="75"/>
  <c r="CN787" i="75"/>
  <c r="BJ647" i="75"/>
  <c r="BT604" i="75"/>
  <c r="BJ545" i="75"/>
  <c r="BV1001" i="75"/>
  <c r="BP671" i="75"/>
  <c r="BJ544" i="75"/>
  <c r="BL1242" i="75"/>
  <c r="BZ583" i="75"/>
  <c r="BD793" i="75"/>
  <c r="BN724" i="75"/>
  <c r="BR707" i="75"/>
  <c r="BN1063" i="75"/>
  <c r="BN1093" i="75"/>
  <c r="BZ949" i="75"/>
  <c r="BN448" i="75"/>
  <c r="CH1258" i="75"/>
  <c r="BP1009" i="75"/>
  <c r="BH664" i="75"/>
  <c r="BP1243" i="75"/>
  <c r="BP1274" i="75"/>
  <c r="BJ516" i="75"/>
  <c r="CQ248" i="75"/>
  <c r="CN1033" i="75"/>
  <c r="CN1268" i="75"/>
  <c r="BZ1155" i="75"/>
  <c r="CL244" i="75"/>
  <c r="BH730" i="75"/>
  <c r="CN1094" i="75"/>
  <c r="CJ599" i="75"/>
  <c r="BD300" i="75"/>
  <c r="CS1094" i="75"/>
  <c r="CD894" i="75"/>
  <c r="CB1035" i="75"/>
  <c r="CW852" i="75"/>
  <c r="CF787" i="75"/>
  <c r="CB825" i="75"/>
  <c r="BX1036" i="75"/>
  <c r="BX830" i="75"/>
  <c r="CN780" i="75"/>
  <c r="BJ630" i="75"/>
  <c r="BT589" i="75"/>
  <c r="BV1024" i="75"/>
  <c r="BP657" i="75"/>
  <c r="BX646" i="75"/>
  <c r="BJ514" i="75"/>
  <c r="BZ1130" i="75"/>
  <c r="BP550" i="75"/>
  <c r="H193" i="115"/>
  <c r="J193" i="115"/>
  <c r="BD305" i="75"/>
  <c r="BV547" i="75"/>
  <c r="BR372" i="75"/>
  <c r="CD897" i="75"/>
  <c r="CW850" i="75"/>
  <c r="CD733" i="75"/>
  <c r="CF791" i="75"/>
  <c r="CB831" i="75"/>
  <c r="BH1138" i="75"/>
  <c r="BX1011" i="75"/>
  <c r="BX840" i="75"/>
  <c r="BJ641" i="75"/>
  <c r="BT1245" i="75"/>
  <c r="CV363" i="75"/>
  <c r="BV1022" i="75"/>
  <c r="BP637" i="75"/>
  <c r="CV909" i="75"/>
  <c r="BZ589" i="75"/>
  <c r="BD771" i="75"/>
  <c r="BN692" i="75"/>
  <c r="BZ1126" i="75"/>
  <c r="CN427" i="75"/>
  <c r="CN426" i="75"/>
  <c r="BZ1010" i="75"/>
  <c r="BZ1023" i="75"/>
  <c r="BZ1032" i="75"/>
  <c r="BP281" i="75"/>
  <c r="BP311" i="75"/>
  <c r="BP273" i="75"/>
  <c r="BP283" i="75"/>
  <c r="BP278" i="75"/>
  <c r="BP306" i="75"/>
  <c r="BP312" i="75"/>
  <c r="BP302" i="75"/>
  <c r="BH1168" i="75"/>
  <c r="BH1173" i="75"/>
  <c r="BH1196" i="75"/>
  <c r="CQ482" i="75"/>
  <c r="CQ490" i="75"/>
  <c r="BP271" i="75"/>
  <c r="CN243" i="75"/>
  <c r="CN246" i="75"/>
  <c r="BP289" i="75"/>
  <c r="BP275" i="75"/>
  <c r="BZ1025" i="75"/>
  <c r="BV250" i="75"/>
  <c r="BV252" i="75"/>
  <c r="BV231" i="75"/>
  <c r="BD361" i="75"/>
  <c r="BD323" i="75"/>
  <c r="BD338" i="75"/>
  <c r="BD328" i="75"/>
  <c r="BD372" i="75"/>
  <c r="BD337" i="75"/>
  <c r="BD333" i="75"/>
  <c r="BD358" i="75"/>
  <c r="BD339" i="75"/>
  <c r="BD340" i="75"/>
  <c r="BD344" i="75"/>
  <c r="BD343" i="75"/>
  <c r="BD320" i="75"/>
  <c r="BD330" i="75"/>
  <c r="BD332" i="75"/>
  <c r="BP301" i="75"/>
  <c r="BH383" i="75"/>
  <c r="BR1072" i="75"/>
  <c r="BR1084" i="75"/>
  <c r="BR1070" i="75"/>
  <c r="BR1056" i="75"/>
  <c r="BR1085" i="75"/>
  <c r="BR1078" i="75"/>
  <c r="CD778" i="75"/>
  <c r="CD792" i="75"/>
  <c r="CD791" i="75"/>
  <c r="CD788" i="75"/>
  <c r="CD767" i="75"/>
  <c r="CD775" i="75"/>
  <c r="CD789" i="75"/>
  <c r="CD769" i="75"/>
  <c r="CD777" i="75"/>
  <c r="BP270" i="75"/>
  <c r="BD363" i="75"/>
  <c r="BH400" i="75"/>
  <c r="BH423" i="75"/>
  <c r="CN432" i="75"/>
  <c r="CN414" i="75"/>
  <c r="CN415" i="75"/>
  <c r="CN423" i="75"/>
  <c r="CN425" i="75"/>
  <c r="BL568" i="75"/>
  <c r="BL594" i="75"/>
  <c r="BP457" i="75"/>
  <c r="BP487" i="75"/>
  <c r="BP453" i="75"/>
  <c r="BP466" i="75"/>
  <c r="BP491" i="75"/>
  <c r="BP469" i="75"/>
  <c r="BP854" i="75"/>
  <c r="BP831" i="75"/>
  <c r="BP830" i="75"/>
  <c r="BP852" i="75"/>
  <c r="BH431" i="75"/>
  <c r="BH382" i="75"/>
  <c r="BH401" i="75"/>
  <c r="BH386" i="75"/>
  <c r="BH410" i="75"/>
  <c r="BH425" i="75"/>
  <c r="BH389" i="75"/>
  <c r="BH430" i="75"/>
  <c r="BH426" i="75"/>
  <c r="BH412" i="75"/>
  <c r="BH427" i="75"/>
  <c r="BH411" i="75"/>
  <c r="BH394" i="75"/>
  <c r="BH424" i="75"/>
  <c r="BD505" i="75"/>
  <c r="BD535" i="75"/>
  <c r="BD500" i="75"/>
  <c r="BD549" i="75"/>
  <c r="CB462" i="75"/>
  <c r="CB486" i="75"/>
  <c r="CB480" i="75"/>
  <c r="CB484" i="75"/>
  <c r="CN422" i="75"/>
  <c r="BX602" i="75"/>
  <c r="BX601" i="75"/>
  <c r="CF238" i="75"/>
  <c r="CB841" i="75"/>
  <c r="BT1210" i="75"/>
  <c r="CW907" i="75"/>
  <c r="BP669" i="75"/>
  <c r="BF968" i="75"/>
  <c r="BX1065" i="75"/>
  <c r="CP963" i="75"/>
  <c r="BF975" i="75"/>
  <c r="CX791" i="75"/>
  <c r="BH641" i="75"/>
  <c r="CD673" i="75"/>
  <c r="BR521" i="75"/>
  <c r="CQ605" i="75"/>
  <c r="BF1188" i="75"/>
  <c r="BF1195" i="75"/>
  <c r="BF1181" i="75"/>
  <c r="BZ247" i="75"/>
  <c r="BH482" i="75"/>
  <c r="BH452" i="75"/>
  <c r="BH457" i="75"/>
  <c r="CH419" i="75"/>
  <c r="CL295" i="75"/>
  <c r="CD1036" i="75"/>
  <c r="CD1025" i="75"/>
  <c r="CL854" i="75"/>
  <c r="BT1126" i="75"/>
  <c r="BT1135" i="75"/>
  <c r="BR774" i="75"/>
  <c r="BR784" i="75"/>
  <c r="CF418" i="75"/>
  <c r="BX427" i="75"/>
  <c r="CL896" i="75"/>
  <c r="CL895" i="75"/>
  <c r="CF247" i="75"/>
  <c r="BH1242" i="75"/>
  <c r="BV1155" i="75"/>
  <c r="BJ714" i="75"/>
  <c r="CB847" i="75"/>
  <c r="CD672" i="75"/>
  <c r="BT1180" i="75"/>
  <c r="BF338" i="75"/>
  <c r="BP645" i="75"/>
  <c r="BF973" i="75"/>
  <c r="BJ1232" i="75"/>
  <c r="BJ1230" i="75"/>
  <c r="CV912" i="75"/>
  <c r="BL1232" i="75"/>
  <c r="BL1263" i="75"/>
  <c r="BZ606" i="75"/>
  <c r="BN707" i="75"/>
  <c r="BF1080" i="75"/>
  <c r="BX1092" i="75"/>
  <c r="CP964" i="75"/>
  <c r="W56" i="113"/>
  <c r="BH636" i="75"/>
  <c r="BH656" i="75"/>
  <c r="BF961" i="75"/>
  <c r="CD652" i="75"/>
  <c r="BF1074" i="75"/>
  <c r="BF937" i="75"/>
  <c r="BH647" i="75"/>
  <c r="BH632" i="75"/>
  <c r="CD649" i="75"/>
  <c r="BF1093" i="75"/>
  <c r="BF962" i="75"/>
  <c r="BH635" i="75"/>
  <c r="BH657" i="75"/>
  <c r="BP662" i="75"/>
  <c r="BF1079" i="75"/>
  <c r="BH633" i="75"/>
  <c r="CY787" i="75"/>
  <c r="CZ787" i="75" s="1"/>
  <c r="CY793" i="75"/>
  <c r="CF234" i="75"/>
  <c r="BT662" i="75"/>
  <c r="CB827" i="75"/>
  <c r="CT730" i="75"/>
  <c r="BP643" i="75"/>
  <c r="BF1050" i="75"/>
  <c r="BH626" i="75"/>
  <c r="H31" i="114"/>
  <c r="CH410" i="75"/>
  <c r="CL302" i="75"/>
  <c r="CL307" i="75"/>
  <c r="CJ593" i="75"/>
  <c r="CL846" i="75"/>
  <c r="BR773" i="75"/>
  <c r="BR781" i="75"/>
  <c r="BX415" i="75"/>
  <c r="BX432" i="75"/>
  <c r="BV539" i="75"/>
  <c r="CL900" i="75"/>
  <c r="BL538" i="75"/>
  <c r="CD906" i="75"/>
  <c r="BD972" i="75"/>
  <c r="BD956" i="75"/>
  <c r="CF249" i="75"/>
  <c r="BT664" i="75"/>
  <c r="BJ690" i="75"/>
  <c r="CB849" i="75"/>
  <c r="BR1141" i="75"/>
  <c r="CD670" i="75"/>
  <c r="BT1186" i="75"/>
  <c r="BF363" i="75"/>
  <c r="CB1248" i="75"/>
  <c r="BH1074" i="75"/>
  <c r="BJ428" i="75"/>
  <c r="BJ392" i="75"/>
  <c r="CT667" i="75"/>
  <c r="BP640" i="75"/>
  <c r="CQ1269" i="75"/>
  <c r="BF947" i="75"/>
  <c r="BJ1229" i="75"/>
  <c r="BJ1247" i="75"/>
  <c r="BL1254" i="75"/>
  <c r="BL1256" i="75"/>
  <c r="BZ609" i="75"/>
  <c r="BZ610" i="75"/>
  <c r="BN723" i="75"/>
  <c r="CD353" i="75"/>
  <c r="CN488" i="75"/>
  <c r="CR1204" i="75"/>
  <c r="CB1193" i="75"/>
  <c r="BX949" i="75"/>
  <c r="BX946" i="75"/>
  <c r="AP42" i="113"/>
  <c r="BH637" i="75"/>
  <c r="CP659" i="75"/>
  <c r="CP672" i="75"/>
  <c r="BF1175" i="75"/>
  <c r="BF1212" i="75"/>
  <c r="BF1206" i="75"/>
  <c r="BR537" i="75"/>
  <c r="BR541" i="75"/>
  <c r="CQ601" i="75"/>
  <c r="BF1200" i="75"/>
  <c r="BF1185" i="75"/>
  <c r="BH444" i="75"/>
  <c r="BH446" i="75"/>
  <c r="CH409" i="75"/>
  <c r="CL299" i="75"/>
  <c r="CD1022" i="75"/>
  <c r="CJ613" i="75"/>
  <c r="BV973" i="75"/>
  <c r="BV964" i="75"/>
  <c r="CL842" i="75"/>
  <c r="BT1122" i="75"/>
  <c r="BT1127" i="75"/>
  <c r="BR304" i="75"/>
  <c r="BR283" i="75"/>
  <c r="BJ485" i="75"/>
  <c r="BJ468" i="75"/>
  <c r="BJ472" i="75"/>
  <c r="CR1272" i="75"/>
  <c r="BR757" i="75"/>
  <c r="BR794" i="75"/>
  <c r="BX429" i="75"/>
  <c r="BX405" i="75"/>
  <c r="BV522" i="75"/>
  <c r="CL913" i="75"/>
  <c r="BZ1272" i="75"/>
  <c r="BL510" i="75"/>
  <c r="CD911" i="75"/>
  <c r="BD953" i="75"/>
  <c r="BD962" i="75"/>
  <c r="CF240" i="75"/>
  <c r="BT661" i="75"/>
  <c r="BJ704" i="75"/>
  <c r="BR1145" i="75"/>
  <c r="CD669" i="75"/>
  <c r="BT1207" i="75"/>
  <c r="BF351" i="75"/>
  <c r="CB1274" i="75"/>
  <c r="BH1091" i="75"/>
  <c r="CP242" i="75"/>
  <c r="BJ430" i="75"/>
  <c r="BJ388" i="75"/>
  <c r="CT669" i="75"/>
  <c r="BP647" i="75"/>
  <c r="CQ1263" i="75"/>
  <c r="CP965" i="75"/>
  <c r="CL1272" i="75"/>
  <c r="BF924" i="75"/>
  <c r="BJ1272" i="75"/>
  <c r="BJ1275" i="75"/>
  <c r="BL1270" i="75"/>
  <c r="BL1261" i="75"/>
  <c r="BZ603" i="75"/>
  <c r="BZ614" i="75"/>
  <c r="BN726" i="75"/>
  <c r="CR1203" i="75"/>
  <c r="CB1207" i="75"/>
  <c r="BX961" i="75"/>
  <c r="BX969" i="75"/>
  <c r="CB1202" i="75"/>
  <c r="D47" i="113"/>
  <c r="BH671" i="75"/>
  <c r="CP663" i="75"/>
  <c r="CP668" i="75"/>
  <c r="CB1211" i="75"/>
  <c r="CN361" i="75"/>
  <c r="BZ1207" i="75"/>
  <c r="BR543" i="75"/>
  <c r="BR533" i="75"/>
  <c r="CQ602" i="75"/>
  <c r="BF1172" i="75"/>
  <c r="BF1208" i="75"/>
  <c r="BH489" i="75"/>
  <c r="BH491" i="75"/>
  <c r="CH426" i="75"/>
  <c r="CL293" i="75"/>
  <c r="CD1011" i="75"/>
  <c r="CJ610" i="75"/>
  <c r="BV974" i="75"/>
  <c r="BV969" i="75"/>
  <c r="CL849" i="75"/>
  <c r="BT1121" i="75"/>
  <c r="BT1154" i="75"/>
  <c r="BR292" i="75"/>
  <c r="BR282" i="75"/>
  <c r="BJ471" i="75"/>
  <c r="BJ461" i="75"/>
  <c r="BJ469" i="75"/>
  <c r="CR1269" i="75"/>
  <c r="BR786" i="75"/>
  <c r="BR790" i="75"/>
  <c r="BX417" i="75"/>
  <c r="BX422" i="75"/>
  <c r="BV551" i="75"/>
  <c r="CL899" i="75"/>
  <c r="CD910" i="75"/>
  <c r="BD958" i="75"/>
  <c r="BD924" i="75"/>
  <c r="CF230" i="75"/>
  <c r="BT648" i="75"/>
  <c r="BJ699" i="75"/>
  <c r="BR1129" i="75"/>
  <c r="CD671" i="75"/>
  <c r="BT1209" i="75"/>
  <c r="BF333" i="75"/>
  <c r="CB1251" i="75"/>
  <c r="BH1078" i="75"/>
  <c r="BJ421" i="75"/>
  <c r="BJ389" i="75"/>
  <c r="CX371" i="75"/>
  <c r="CT672" i="75"/>
  <c r="BP634" i="75"/>
  <c r="CQ1267" i="75"/>
  <c r="BF967" i="75"/>
  <c r="BJ1228" i="75"/>
  <c r="BJ1251" i="75"/>
  <c r="BL1276" i="75"/>
  <c r="BL1245" i="75"/>
  <c r="BZ601" i="75"/>
  <c r="BZ602" i="75"/>
  <c r="BN734" i="75"/>
  <c r="CR1205" i="75"/>
  <c r="CR725" i="75"/>
  <c r="CB1203" i="75"/>
  <c r="BX945" i="75"/>
  <c r="BX957" i="75"/>
  <c r="CB1198" i="75"/>
  <c r="W53" i="113"/>
  <c r="X53" i="113" s="1"/>
  <c r="BF944" i="75"/>
  <c r="BH627" i="75"/>
  <c r="H42" i="114"/>
  <c r="CN355" i="75"/>
  <c r="BZ1185" i="75"/>
  <c r="BH624" i="75"/>
  <c r="H175" i="114"/>
  <c r="J175" i="114"/>
  <c r="J32" i="114"/>
  <c r="H32" i="114"/>
  <c r="CR1207" i="75"/>
  <c r="CP973" i="75"/>
  <c r="BF976" i="75"/>
  <c r="BH667" i="75"/>
  <c r="BT672" i="75"/>
  <c r="BF1165" i="75"/>
  <c r="BF1215" i="75"/>
  <c r="BH479" i="75"/>
  <c r="BH448" i="75"/>
  <c r="CD1017" i="75"/>
  <c r="CJ604" i="75"/>
  <c r="BV963" i="75"/>
  <c r="BT1118" i="75"/>
  <c r="BJ463" i="75"/>
  <c r="BJ445" i="75"/>
  <c r="BR777" i="75"/>
  <c r="BR767" i="75"/>
  <c r="BX403" i="75"/>
  <c r="BZ1259" i="75"/>
  <c r="CD887" i="75"/>
  <c r="BD974" i="75"/>
  <c r="BD960" i="75"/>
  <c r="BD967" i="75"/>
  <c r="CF242" i="75"/>
  <c r="BT666" i="75"/>
  <c r="BJ710" i="75"/>
  <c r="BR1147" i="75"/>
  <c r="CD666" i="75"/>
  <c r="BT1212" i="75"/>
  <c r="BF364" i="75"/>
  <c r="CB1246" i="75"/>
  <c r="BH1087" i="75"/>
  <c r="BJ406" i="75"/>
  <c r="BJ396" i="75"/>
  <c r="CX372" i="75"/>
  <c r="CT673" i="75"/>
  <c r="CW914" i="75"/>
  <c r="CP970" i="75"/>
  <c r="BR1215" i="75"/>
  <c r="CV362" i="75"/>
  <c r="BP636" i="75"/>
  <c r="BP635" i="75"/>
  <c r="CQ1265" i="75"/>
  <c r="CL1266" i="75"/>
  <c r="BF925" i="75"/>
  <c r="BJ1254" i="75"/>
  <c r="BJ1239" i="75"/>
  <c r="BJ1257" i="75"/>
  <c r="BL1231" i="75"/>
  <c r="BZ612" i="75"/>
  <c r="BZ594" i="75"/>
  <c r="BN729" i="75"/>
  <c r="CR1215" i="75"/>
  <c r="CR724" i="75"/>
  <c r="BX1072" i="75"/>
  <c r="CB1205" i="75"/>
  <c r="BX958" i="75"/>
  <c r="BX965" i="75"/>
  <c r="D46" i="113"/>
  <c r="BF936" i="75"/>
  <c r="BH658" i="75"/>
  <c r="BZ1188" i="75"/>
  <c r="BZ1189" i="75"/>
  <c r="CP305" i="75"/>
  <c r="CL1269" i="75"/>
  <c r="CN360" i="75"/>
  <c r="D43" i="113"/>
  <c r="BF953" i="75"/>
  <c r="BH640" i="75"/>
  <c r="D56" i="113"/>
  <c r="F56" i="113" s="1"/>
  <c r="CB833" i="75"/>
  <c r="BR663" i="75"/>
  <c r="CW909" i="75"/>
  <c r="BP650" i="75"/>
  <c r="BP654" i="75"/>
  <c r="BF959" i="75"/>
  <c r="CR1206" i="75"/>
  <c r="BF926" i="75"/>
  <c r="BH659" i="75"/>
  <c r="CD665" i="75"/>
  <c r="CF248" i="75"/>
  <c r="BH1268" i="75"/>
  <c r="BJ713" i="75"/>
  <c r="BJ722" i="75"/>
  <c r="CB842" i="75"/>
  <c r="CD660" i="75"/>
  <c r="BT1213" i="75"/>
  <c r="BR657" i="75"/>
  <c r="BH1073" i="75"/>
  <c r="CW905" i="75"/>
  <c r="CX905" i="75" s="1"/>
  <c r="CP972" i="75"/>
  <c r="BP641" i="75"/>
  <c r="BF971" i="75"/>
  <c r="BJ1269" i="75"/>
  <c r="BJ1256" i="75"/>
  <c r="CP961" i="75"/>
  <c r="BL1250" i="75"/>
  <c r="BZ613" i="75"/>
  <c r="BZ591" i="75"/>
  <c r="CR1210" i="75"/>
  <c r="BX1087" i="75"/>
  <c r="BX962" i="75"/>
  <c r="CP975" i="75"/>
  <c r="CB1204" i="75"/>
  <c r="AR27" i="113"/>
  <c r="W52" i="113"/>
  <c r="Y52" i="113" s="1"/>
  <c r="CL546" i="75"/>
  <c r="BF955" i="75"/>
  <c r="CX787" i="75"/>
  <c r="BH634" i="75"/>
  <c r="CP298" i="75"/>
  <c r="CD662" i="75"/>
  <c r="CH613" i="75"/>
  <c r="CW969" i="75"/>
  <c r="BH628" i="75"/>
  <c r="CD658" i="75"/>
  <c r="CD656" i="75"/>
  <c r="BF1180" i="75"/>
  <c r="BF1196" i="75"/>
  <c r="BR780" i="75"/>
  <c r="CF243" i="75"/>
  <c r="BH1253" i="75"/>
  <c r="BV1143" i="75"/>
  <c r="BJ718" i="75"/>
  <c r="BJ711" i="75"/>
  <c r="CB836" i="75"/>
  <c r="CD648" i="75"/>
  <c r="BT1191" i="75"/>
  <c r="BF372" i="75"/>
  <c r="BP668" i="75"/>
  <c r="BP644" i="75"/>
  <c r="BF951" i="75"/>
  <c r="BJ1265" i="75"/>
  <c r="CV907" i="75"/>
  <c r="BL1253" i="75"/>
  <c r="BL1237" i="75"/>
  <c r="BZ585" i="75"/>
  <c r="BX1075" i="75"/>
  <c r="AP48" i="113"/>
  <c r="BF948" i="75"/>
  <c r="BH673" i="75"/>
  <c r="CP310" i="75"/>
  <c r="CD646" i="75"/>
  <c r="H58" i="114"/>
  <c r="J14" i="116"/>
  <c r="H14" i="116"/>
  <c r="J23" i="115"/>
  <c r="H23" i="115"/>
  <c r="CL476" i="75"/>
  <c r="CL477" i="75"/>
  <c r="CL485" i="75"/>
  <c r="CL473" i="75"/>
  <c r="CR911" i="75"/>
  <c r="CR907" i="75"/>
  <c r="CR900" i="75"/>
  <c r="CR901" i="75"/>
  <c r="CS907" i="75"/>
  <c r="CL487" i="75"/>
  <c r="CS908" i="75"/>
  <c r="BR956" i="75"/>
  <c r="CL424" i="75"/>
  <c r="CL423" i="75"/>
  <c r="CL430" i="75"/>
  <c r="CL415" i="75"/>
  <c r="CL432" i="75"/>
  <c r="CL418" i="75"/>
  <c r="CD351" i="75"/>
  <c r="CD360" i="75"/>
  <c r="CD359" i="75"/>
  <c r="CD367" i="75"/>
  <c r="CN419" i="75"/>
  <c r="CL482" i="75"/>
  <c r="BX1274" i="75"/>
  <c r="BR938" i="75"/>
  <c r="BP609" i="75"/>
  <c r="BP597" i="75"/>
  <c r="CL488" i="75"/>
  <c r="BN1258" i="75"/>
  <c r="BN1238" i="75"/>
  <c r="BN1261" i="75"/>
  <c r="BN1269" i="75"/>
  <c r="BN1270" i="75"/>
  <c r="BN1234" i="75"/>
  <c r="CD364" i="75"/>
  <c r="BF297" i="75"/>
  <c r="BF267" i="75"/>
  <c r="CV1216" i="75"/>
  <c r="CV1215" i="75"/>
  <c r="BL1110" i="75"/>
  <c r="BL1143" i="75"/>
  <c r="BL1119" i="75"/>
  <c r="BL1149" i="75"/>
  <c r="BL1127" i="75"/>
  <c r="CR913" i="75"/>
  <c r="CN244" i="75"/>
  <c r="CD361" i="75"/>
  <c r="BL700" i="75"/>
  <c r="BL733" i="75"/>
  <c r="BF276" i="75"/>
  <c r="BF299" i="75"/>
  <c r="CR904" i="75"/>
  <c r="CL431" i="75"/>
  <c r="CF734" i="75"/>
  <c r="CF732" i="75"/>
  <c r="CD366" i="75"/>
  <c r="CJ425" i="75"/>
  <c r="CJ414" i="75"/>
  <c r="CD794" i="75"/>
  <c r="CD790" i="75"/>
  <c r="CD785" i="75"/>
  <c r="CD768" i="75"/>
  <c r="BF293" i="75"/>
  <c r="CR912" i="75"/>
  <c r="CD350" i="75"/>
  <c r="CJ908" i="75"/>
  <c r="CJ899" i="75"/>
  <c r="CJ913" i="75"/>
  <c r="CJ902" i="75"/>
  <c r="CJ892" i="75"/>
  <c r="CJ900" i="75"/>
  <c r="BX1267" i="75"/>
  <c r="BX1262" i="75"/>
  <c r="BX1243" i="75"/>
  <c r="BX1247" i="75"/>
  <c r="BX1261" i="75"/>
  <c r="BX1245" i="75"/>
  <c r="BX1272" i="75"/>
  <c r="BX1265" i="75"/>
  <c r="BX1271" i="75"/>
  <c r="BX1256" i="75"/>
  <c r="BX1269" i="75"/>
  <c r="BP584" i="75"/>
  <c r="BF286" i="75"/>
  <c r="CF363" i="75"/>
  <c r="CT853" i="75"/>
  <c r="CR910" i="75"/>
  <c r="CL420" i="75"/>
  <c r="CF539" i="75"/>
  <c r="BL490" i="75"/>
  <c r="BF277" i="75"/>
  <c r="CR906" i="75"/>
  <c r="CD370" i="75"/>
  <c r="BP580" i="75"/>
  <c r="BF271" i="75"/>
  <c r="CF358" i="75"/>
  <c r="CT846" i="75"/>
  <c r="BH204" i="75"/>
  <c r="CR908" i="75"/>
  <c r="CL416" i="75"/>
  <c r="BN1267" i="75"/>
  <c r="CJ410" i="75"/>
  <c r="CF312" i="75"/>
  <c r="CF291" i="75"/>
  <c r="CB1022" i="75"/>
  <c r="CB1008" i="75"/>
  <c r="CB1024" i="75"/>
  <c r="CB1023" i="75"/>
  <c r="CB1019" i="75"/>
  <c r="CT1090" i="75"/>
  <c r="CT1093" i="75"/>
  <c r="CT1096" i="75"/>
  <c r="CT1088" i="75"/>
  <c r="CT1084" i="75"/>
  <c r="BH219" i="75"/>
  <c r="CR909" i="75"/>
  <c r="BN583" i="75"/>
  <c r="BN577" i="75"/>
  <c r="BN588" i="75"/>
  <c r="BN604" i="75"/>
  <c r="BN578" i="75"/>
  <c r="BN585" i="75"/>
  <c r="CF537" i="75"/>
  <c r="CF538" i="75"/>
  <c r="CF532" i="75"/>
  <c r="CR672" i="75"/>
  <c r="CR663" i="75"/>
  <c r="CR662" i="75"/>
  <c r="BV837" i="75"/>
  <c r="BV836" i="75"/>
  <c r="BV825" i="75"/>
  <c r="BV844" i="75"/>
  <c r="BV819" i="75"/>
  <c r="BV831" i="75"/>
  <c r="BH720" i="75"/>
  <c r="BH714" i="75"/>
  <c r="BJ755" i="75"/>
  <c r="BJ769" i="75"/>
  <c r="BT588" i="75"/>
  <c r="BT598" i="75"/>
  <c r="BT600" i="75"/>
  <c r="BT587" i="75"/>
  <c r="BT583" i="75"/>
  <c r="BV1036" i="75"/>
  <c r="BV1023" i="75"/>
  <c r="BV1035" i="75"/>
  <c r="BV1000" i="75"/>
  <c r="BV1031" i="75"/>
  <c r="BV1016" i="75"/>
  <c r="BV1029" i="75"/>
  <c r="BV1018" i="75"/>
  <c r="BX838" i="75"/>
  <c r="BX823" i="75"/>
  <c r="BX849" i="75"/>
  <c r="BX839" i="75"/>
  <c r="BX833" i="75"/>
  <c r="BX853" i="75"/>
  <c r="BX847" i="75"/>
  <c r="CB531" i="75"/>
  <c r="CB532" i="75"/>
  <c r="CB527" i="75"/>
  <c r="CB529" i="75"/>
  <c r="CB544" i="75"/>
  <c r="CB549" i="75"/>
  <c r="CY1151" i="75"/>
  <c r="CY1156" i="75"/>
  <c r="CL484" i="75"/>
  <c r="CR905" i="75"/>
  <c r="CH551" i="75"/>
  <c r="BH1170" i="75"/>
  <c r="BH1182" i="75"/>
  <c r="BZ1035" i="75"/>
  <c r="BZ1005" i="75"/>
  <c r="BZ1011" i="75"/>
  <c r="BZ1022" i="75"/>
  <c r="BZ1015" i="75"/>
  <c r="BZ1028" i="75"/>
  <c r="BX1270" i="75"/>
  <c r="BP591" i="75"/>
  <c r="CF371" i="75"/>
  <c r="CT847" i="75"/>
  <c r="BH251" i="75"/>
  <c r="CL472" i="75"/>
  <c r="CR914" i="75"/>
  <c r="CL412" i="75"/>
  <c r="CD306" i="75"/>
  <c r="CH534" i="75"/>
  <c r="BN1246" i="75"/>
  <c r="BN460" i="75"/>
  <c r="BN481" i="75"/>
  <c r="CV545" i="75"/>
  <c r="CV544" i="75"/>
  <c r="CV546" i="75"/>
  <c r="CV549" i="75"/>
  <c r="CV542" i="75"/>
  <c r="CV551" i="75"/>
  <c r="CL793" i="75"/>
  <c r="CL778" i="75"/>
  <c r="CL783" i="75"/>
  <c r="CL791" i="75"/>
  <c r="BV548" i="75"/>
  <c r="BV517" i="75"/>
  <c r="BV533" i="75"/>
  <c r="BV550" i="75"/>
  <c r="BV530" i="75"/>
  <c r="BV520" i="75"/>
  <c r="BD878" i="75"/>
  <c r="BD886" i="75"/>
  <c r="CF350" i="75"/>
  <c r="CT850" i="75"/>
  <c r="BH245" i="75"/>
  <c r="CL478" i="75"/>
  <c r="BV239" i="75"/>
  <c r="BV236" i="75"/>
  <c r="CN783" i="75"/>
  <c r="CN781" i="75"/>
  <c r="CJ849" i="75"/>
  <c r="CJ841" i="75"/>
  <c r="CJ843" i="75"/>
  <c r="BH214" i="75"/>
  <c r="BP598" i="75"/>
  <c r="CF361" i="75"/>
  <c r="CT852" i="75"/>
  <c r="BH223" i="75"/>
  <c r="CL489" i="75"/>
  <c r="BN1183" i="75"/>
  <c r="BN1173" i="75"/>
  <c r="BP228" i="75"/>
  <c r="BP222" i="75"/>
  <c r="BP241" i="75"/>
  <c r="BP211" i="75"/>
  <c r="BP216" i="75"/>
  <c r="BP225" i="75"/>
  <c r="CJ244" i="75"/>
  <c r="CJ243" i="75"/>
  <c r="CQ779" i="75"/>
  <c r="CR779" i="75" s="1"/>
  <c r="CQ787" i="75"/>
  <c r="CL475" i="75"/>
  <c r="CL419" i="75"/>
  <c r="BP221" i="75"/>
  <c r="BX1266" i="75"/>
  <c r="BX544" i="75"/>
  <c r="BX531" i="75"/>
  <c r="BX519" i="75"/>
  <c r="BD355" i="75"/>
  <c r="BD325" i="75"/>
  <c r="BD367" i="75"/>
  <c r="BD368" i="75"/>
  <c r="BD336" i="75"/>
  <c r="BD357" i="75"/>
  <c r="BD351" i="75"/>
  <c r="BP295" i="75"/>
  <c r="BP290" i="75"/>
  <c r="BP284" i="75"/>
  <c r="BP299" i="75"/>
  <c r="BP276" i="75"/>
  <c r="CW1036" i="75"/>
  <c r="CW1028" i="75"/>
  <c r="CW1027" i="75"/>
  <c r="CX1027" i="75" s="1"/>
  <c r="BV1209" i="75"/>
  <c r="BV1194" i="75"/>
  <c r="BT215" i="75"/>
  <c r="BT248" i="75"/>
  <c r="BT245" i="75"/>
  <c r="BT229" i="75"/>
  <c r="BP593" i="75"/>
  <c r="BF294" i="75"/>
  <c r="BP579" i="75"/>
  <c r="CF355" i="75"/>
  <c r="CT842" i="75"/>
  <c r="CF370" i="75"/>
  <c r="BV245" i="75"/>
  <c r="CT851" i="75"/>
  <c r="CN429" i="75"/>
  <c r="CL480" i="75"/>
  <c r="CB1036" i="75"/>
  <c r="BP220" i="75"/>
  <c r="BD862" i="75"/>
  <c r="BX1252" i="75"/>
  <c r="BT580" i="75"/>
  <c r="BV1004" i="75"/>
  <c r="BN572" i="75"/>
  <c r="BT586" i="75"/>
  <c r="CF976" i="75"/>
  <c r="CF960" i="75"/>
  <c r="CF956" i="75"/>
  <c r="CF952" i="75"/>
  <c r="BP604" i="75"/>
  <c r="BP592" i="75"/>
  <c r="BP576" i="75"/>
  <c r="BP599" i="75"/>
  <c r="CF349" i="75"/>
  <c r="CT854" i="75"/>
  <c r="CN421" i="75"/>
  <c r="CL491" i="75"/>
  <c r="BP247" i="75"/>
  <c r="BX1273" i="75"/>
  <c r="BN575" i="75"/>
  <c r="BF218" i="75"/>
  <c r="BF237" i="75"/>
  <c r="BF209" i="75"/>
  <c r="BZ296" i="75"/>
  <c r="BZ298" i="75"/>
  <c r="CL551" i="75"/>
  <c r="H163" i="115"/>
  <c r="J163" i="115"/>
  <c r="H183" i="112"/>
  <c r="CP666" i="75"/>
  <c r="H99" i="116"/>
  <c r="H141" i="114"/>
  <c r="CY1033" i="75"/>
  <c r="CY1035" i="75"/>
  <c r="CY1030" i="75"/>
  <c r="CY1031" i="75"/>
  <c r="CY1032" i="75"/>
  <c r="CH595" i="75"/>
  <c r="CP662" i="75"/>
  <c r="CN1265" i="75"/>
  <c r="CN1270" i="75"/>
  <c r="H155" i="116"/>
  <c r="J165" i="115"/>
  <c r="H165" i="115"/>
  <c r="CB850" i="75"/>
  <c r="CQ843" i="75"/>
  <c r="CP1090" i="75"/>
  <c r="BP535" i="75"/>
  <c r="CL542" i="75"/>
  <c r="W143" i="113"/>
  <c r="CV607" i="75"/>
  <c r="BP527" i="75"/>
  <c r="Y34" i="113"/>
  <c r="CL541" i="75"/>
  <c r="CH1262" i="75"/>
  <c r="CJ777" i="75"/>
  <c r="CL1262" i="75"/>
  <c r="D135" i="113"/>
  <c r="F135" i="113" s="1"/>
  <c r="CB1189" i="75"/>
  <c r="BN947" i="75"/>
  <c r="CN368" i="75"/>
  <c r="CV609" i="75"/>
  <c r="BP520" i="75"/>
  <c r="CP667" i="75"/>
  <c r="J23" i="112"/>
  <c r="H23" i="112"/>
  <c r="H43" i="115"/>
  <c r="J43" i="115"/>
  <c r="CB854" i="75"/>
  <c r="CQ854" i="75"/>
  <c r="CL545" i="75"/>
  <c r="CH1264" i="75"/>
  <c r="CJ788" i="75"/>
  <c r="CV612" i="75"/>
  <c r="CH602" i="75"/>
  <c r="CT371" i="75"/>
  <c r="J53" i="114"/>
  <c r="H53" i="114"/>
  <c r="BP451" i="75"/>
  <c r="CD592" i="75"/>
  <c r="CD612" i="75"/>
  <c r="CV249" i="75"/>
  <c r="CD1207" i="75"/>
  <c r="BJ712" i="75"/>
  <c r="CB843" i="75"/>
  <c r="BR396" i="75"/>
  <c r="BR419" i="75"/>
  <c r="CQ846" i="75"/>
  <c r="BF324" i="75"/>
  <c r="BP708" i="75"/>
  <c r="BP696" i="75"/>
  <c r="CB1091" i="75"/>
  <c r="BZ776" i="75"/>
  <c r="BP670" i="75"/>
  <c r="CB1068" i="75"/>
  <c r="BP661" i="75"/>
  <c r="BP667" i="75"/>
  <c r="CH1273" i="75"/>
  <c r="BL1241" i="75"/>
  <c r="BL1266" i="75"/>
  <c r="CJ1018" i="75"/>
  <c r="BD792" i="75"/>
  <c r="CS1207" i="75"/>
  <c r="CS1152" i="75"/>
  <c r="BN1138" i="75"/>
  <c r="BN1113" i="75"/>
  <c r="BN1122" i="75"/>
  <c r="CR731" i="75"/>
  <c r="BZ485" i="75"/>
  <c r="BZ469" i="75"/>
  <c r="AP41" i="113"/>
  <c r="CL550" i="75"/>
  <c r="CJ779" i="75"/>
  <c r="BF952" i="75"/>
  <c r="CB1194" i="75"/>
  <c r="CZ791" i="75"/>
  <c r="BN954" i="75"/>
  <c r="CV604" i="75"/>
  <c r="J54" i="114"/>
  <c r="H113" i="115"/>
  <c r="J113" i="115"/>
  <c r="CD1010" i="75"/>
  <c r="CF607" i="75"/>
  <c r="BP465" i="75"/>
  <c r="CD609" i="75"/>
  <c r="CD596" i="75"/>
  <c r="CV250" i="75"/>
  <c r="CD1193" i="75"/>
  <c r="BJ728" i="75"/>
  <c r="CB839" i="75"/>
  <c r="BR402" i="75"/>
  <c r="BR398" i="75"/>
  <c r="BF335" i="75"/>
  <c r="BH1054" i="75"/>
  <c r="BP707" i="75"/>
  <c r="BP709" i="75"/>
  <c r="BZ780" i="75"/>
  <c r="CL539" i="75"/>
  <c r="BP660" i="75"/>
  <c r="BP666" i="75"/>
  <c r="CH1263" i="75"/>
  <c r="BL1271" i="75"/>
  <c r="BL1260" i="75"/>
  <c r="BL1246" i="75"/>
  <c r="BD772" i="75"/>
  <c r="CS1212" i="75"/>
  <c r="BN1124" i="75"/>
  <c r="BN1153" i="75"/>
  <c r="CR721" i="75"/>
  <c r="BF1053" i="75"/>
  <c r="BZ483" i="75"/>
  <c r="W57" i="113"/>
  <c r="CL536" i="75"/>
  <c r="BD923" i="75"/>
  <c r="CB1074" i="75"/>
  <c r="CJ792" i="75"/>
  <c r="BF950" i="75"/>
  <c r="CV614" i="75"/>
  <c r="H64" i="114"/>
  <c r="CF613" i="75"/>
  <c r="BP461" i="75"/>
  <c r="CD605" i="75"/>
  <c r="CD588" i="75"/>
  <c r="BL513" i="75"/>
  <c r="BH1251" i="75"/>
  <c r="CV251" i="75"/>
  <c r="CD1197" i="75"/>
  <c r="BJ717" i="75"/>
  <c r="CB829" i="75"/>
  <c r="BR405" i="75"/>
  <c r="BR423" i="75"/>
  <c r="BF326" i="75"/>
  <c r="BR661" i="75"/>
  <c r="BH1056" i="75"/>
  <c r="BH421" i="75"/>
  <c r="BP725" i="75"/>
  <c r="BP716" i="75"/>
  <c r="BF876" i="75"/>
  <c r="BZ785" i="75"/>
  <c r="BZ787" i="75"/>
  <c r="BP673" i="75"/>
  <c r="BP665" i="75"/>
  <c r="CH1275" i="75"/>
  <c r="BF932" i="75"/>
  <c r="BL1274" i="75"/>
  <c r="BL1239" i="75"/>
  <c r="BL1247" i="75"/>
  <c r="BD768" i="75"/>
  <c r="BN725" i="75"/>
  <c r="BP646" i="75"/>
  <c r="CS1214" i="75"/>
  <c r="BN1123" i="75"/>
  <c r="BN1136" i="75"/>
  <c r="CR730" i="75"/>
  <c r="BZ488" i="75"/>
  <c r="CF1140" i="75"/>
  <c r="D49" i="113"/>
  <c r="E49" i="113" s="1"/>
  <c r="J49" i="113" s="1"/>
  <c r="CL552" i="75"/>
  <c r="BD936" i="75"/>
  <c r="CH598" i="75"/>
  <c r="CJ791" i="75"/>
  <c r="CV605" i="75"/>
  <c r="CP670" i="75"/>
  <c r="AU36" i="113"/>
  <c r="H45" i="112"/>
  <c r="J45" i="112"/>
  <c r="BP464" i="75"/>
  <c r="CD591" i="75"/>
  <c r="BH1257" i="75"/>
  <c r="BJ720" i="75"/>
  <c r="CB832" i="75"/>
  <c r="CB848" i="75"/>
  <c r="BR393" i="75"/>
  <c r="BF343" i="75"/>
  <c r="BH1068" i="75"/>
  <c r="BP729" i="75"/>
  <c r="BZ762" i="75"/>
  <c r="BP663" i="75"/>
  <c r="BP632" i="75"/>
  <c r="BP658" i="75"/>
  <c r="CH1252" i="75"/>
  <c r="CB1067" i="75"/>
  <c r="BL1251" i="75"/>
  <c r="BD755" i="75"/>
  <c r="CB1070" i="75"/>
  <c r="BN1135" i="75"/>
  <c r="CR734" i="75"/>
  <c r="BZ1205" i="75"/>
  <c r="BZ463" i="75"/>
  <c r="AP45" i="113"/>
  <c r="AQ45" i="113" s="1"/>
  <c r="W58" i="113"/>
  <c r="CL537" i="75"/>
  <c r="CH594" i="75"/>
  <c r="CJ775" i="75"/>
  <c r="CH1272" i="75"/>
  <c r="CL544" i="75"/>
  <c r="H187" i="115"/>
  <c r="J187" i="115"/>
  <c r="J27" i="114"/>
  <c r="H27" i="114"/>
  <c r="U11" i="101"/>
  <c r="S10" i="102"/>
  <c r="U8" i="100"/>
  <c r="T8" i="100"/>
  <c r="F10" i="102"/>
  <c r="AR63" i="100"/>
  <c r="AR62" i="100"/>
  <c r="AR44" i="100"/>
  <c r="AR49" i="100"/>
  <c r="AR46" i="100"/>
  <c r="AR59" i="100"/>
  <c r="AR53" i="100"/>
  <c r="AR47" i="100"/>
  <c r="AR48" i="100"/>
  <c r="AR45" i="100"/>
  <c r="AR54" i="100"/>
  <c r="AR61" i="100"/>
  <c r="AR51" i="100"/>
  <c r="AR50" i="100"/>
  <c r="AR57" i="100"/>
  <c r="AR60" i="100"/>
  <c r="AR56" i="100"/>
  <c r="AR55" i="100"/>
  <c r="AR52" i="100"/>
  <c r="AR58" i="100"/>
  <c r="H13" i="104"/>
  <c r="F13" i="104"/>
  <c r="G13" i="104"/>
  <c r="BP541" i="75"/>
  <c r="BP519" i="75"/>
  <c r="BP512" i="75"/>
  <c r="BP518" i="75"/>
  <c r="BP534" i="75"/>
  <c r="BP533" i="75"/>
  <c r="BP546" i="75"/>
  <c r="BP525" i="75"/>
  <c r="BP531" i="75"/>
  <c r="J188" i="114"/>
  <c r="H188" i="114"/>
  <c r="BT658" i="75"/>
  <c r="BH1209" i="75"/>
  <c r="BP547" i="75"/>
  <c r="H66" i="115"/>
  <c r="J66" i="115"/>
  <c r="J36" i="112"/>
  <c r="H36" i="112"/>
  <c r="BP595" i="75"/>
  <c r="BZ249" i="75"/>
  <c r="BD298" i="75"/>
  <c r="BD289" i="75"/>
  <c r="BP474" i="75"/>
  <c r="BV536" i="75"/>
  <c r="BT660" i="75"/>
  <c r="CB1026" i="75"/>
  <c r="CB1030" i="75"/>
  <c r="CF286" i="75"/>
  <c r="CW849" i="75"/>
  <c r="BP838" i="75"/>
  <c r="CF782" i="75"/>
  <c r="CF792" i="75"/>
  <c r="CB548" i="75"/>
  <c r="BR1127" i="75"/>
  <c r="BT1188" i="75"/>
  <c r="BT1197" i="75"/>
  <c r="BN1239" i="75"/>
  <c r="CR973" i="75"/>
  <c r="BZ1009" i="75"/>
  <c r="CF530" i="75"/>
  <c r="BP229" i="75"/>
  <c r="BH1096" i="75"/>
  <c r="BH409" i="75"/>
  <c r="BH399" i="75"/>
  <c r="BD913" i="75"/>
  <c r="CN247" i="75"/>
  <c r="BJ654" i="75"/>
  <c r="CV547" i="75"/>
  <c r="CV369" i="75"/>
  <c r="BV1009" i="75"/>
  <c r="BV1006" i="75"/>
  <c r="BN590" i="75"/>
  <c r="BV1258" i="75"/>
  <c r="CD369" i="75"/>
  <c r="BH1190" i="75"/>
  <c r="BF1052" i="75"/>
  <c r="BN461" i="75"/>
  <c r="CJ789" i="75"/>
  <c r="CP1083" i="75"/>
  <c r="CH593" i="75"/>
  <c r="CH596" i="75"/>
  <c r="J163" i="112"/>
  <c r="H163" i="112"/>
  <c r="H61" i="115"/>
  <c r="J61" i="115"/>
  <c r="BZ248" i="75"/>
  <c r="BD273" i="75"/>
  <c r="BD272" i="75"/>
  <c r="BT645" i="75"/>
  <c r="BT667" i="75"/>
  <c r="CB1018" i="75"/>
  <c r="CB1007" i="75"/>
  <c r="BP837" i="75"/>
  <c r="BR1117" i="75"/>
  <c r="BN1248" i="75"/>
  <c r="BZ1036" i="75"/>
  <c r="BJ1004" i="75"/>
  <c r="BP237" i="75"/>
  <c r="BH1057" i="75"/>
  <c r="BH392" i="75"/>
  <c r="BH395" i="75"/>
  <c r="CN237" i="75"/>
  <c r="CV1206" i="75"/>
  <c r="BV1263" i="75"/>
  <c r="BH1197" i="75"/>
  <c r="BN471" i="75"/>
  <c r="BP515" i="75"/>
  <c r="BF648" i="75"/>
  <c r="H16" i="112"/>
  <c r="J16" i="112"/>
  <c r="J18" i="114"/>
  <c r="H18" i="114"/>
  <c r="BT665" i="75"/>
  <c r="BT647" i="75"/>
  <c r="BF627" i="75"/>
  <c r="BH1213" i="75"/>
  <c r="H23" i="114"/>
  <c r="J23" i="114"/>
  <c r="J181" i="115"/>
  <c r="H181" i="115"/>
  <c r="BF784" i="75"/>
  <c r="BH1184" i="75"/>
  <c r="J114" i="114"/>
  <c r="H114" i="114"/>
  <c r="J44" i="114"/>
  <c r="H44" i="114"/>
  <c r="BP574" i="75"/>
  <c r="BH703" i="75"/>
  <c r="BV240" i="75"/>
  <c r="BD265" i="75"/>
  <c r="BD274" i="75"/>
  <c r="BP476" i="75"/>
  <c r="BP287" i="75"/>
  <c r="BV549" i="75"/>
  <c r="BV523" i="75"/>
  <c r="BT637" i="75"/>
  <c r="BT654" i="75"/>
  <c r="CB1020" i="75"/>
  <c r="BH1271" i="75"/>
  <c r="CF789" i="75"/>
  <c r="CB828" i="75"/>
  <c r="CB851" i="75"/>
  <c r="BR1136" i="75"/>
  <c r="CD243" i="75"/>
  <c r="BT1211" i="75"/>
  <c r="BL1087" i="75"/>
  <c r="BL1095" i="75"/>
  <c r="BL1070" i="75"/>
  <c r="BN1268" i="75"/>
  <c r="BR1095" i="75"/>
  <c r="BZ1021" i="75"/>
  <c r="CL779" i="75"/>
  <c r="BJ999" i="75"/>
  <c r="CF543" i="75"/>
  <c r="BP219" i="75"/>
  <c r="BD346" i="75"/>
  <c r="BH1076" i="75"/>
  <c r="BH1088" i="75"/>
  <c r="BF791" i="75"/>
  <c r="BH396" i="75"/>
  <c r="BD889" i="75"/>
  <c r="BJ663" i="75"/>
  <c r="BT603" i="75"/>
  <c r="BV1008" i="75"/>
  <c r="BP653" i="75"/>
  <c r="BP656" i="75"/>
  <c r="BN700" i="75"/>
  <c r="CN491" i="75"/>
  <c r="BH1189" i="75"/>
  <c r="BV832" i="75"/>
  <c r="BH674" i="75"/>
  <c r="BH655" i="75"/>
  <c r="CJ772" i="75"/>
  <c r="BP1249" i="75"/>
  <c r="BN963" i="75"/>
  <c r="CH607" i="75"/>
  <c r="CV613" i="75"/>
  <c r="BD266" i="75"/>
  <c r="BD312" i="75"/>
  <c r="BD281" i="75"/>
  <c r="BT663" i="75"/>
  <c r="BT652" i="75"/>
  <c r="CD240" i="75"/>
  <c r="BN1262" i="75"/>
  <c r="BZ1014" i="75"/>
  <c r="BP238" i="75"/>
  <c r="BH1064" i="75"/>
  <c r="BH1079" i="75"/>
  <c r="BH414" i="75"/>
  <c r="BH1210" i="75"/>
  <c r="J17" i="114"/>
  <c r="H17" i="114"/>
  <c r="BT488" i="75"/>
  <c r="BT646" i="75"/>
  <c r="BT643" i="75"/>
  <c r="BN1240" i="75"/>
  <c r="BZ1026" i="75"/>
  <c r="BH1051" i="75"/>
  <c r="BH1083" i="75"/>
  <c r="BH1201" i="75"/>
  <c r="H65" i="114"/>
  <c r="J65" i="114"/>
  <c r="J133" i="115"/>
  <c r="H133" i="115"/>
  <c r="BD269" i="75"/>
  <c r="BD302" i="75"/>
  <c r="BD260" i="75"/>
  <c r="BV237" i="75"/>
  <c r="BD278" i="75"/>
  <c r="BD264" i="75"/>
  <c r="BD284" i="75"/>
  <c r="BP408" i="75"/>
  <c r="BP478" i="75"/>
  <c r="BP472" i="75"/>
  <c r="BV540" i="75"/>
  <c r="BV534" i="75"/>
  <c r="CD890" i="75"/>
  <c r="BT673" i="75"/>
  <c r="BT649" i="75"/>
  <c r="CB1009" i="75"/>
  <c r="BH1258" i="75"/>
  <c r="CF777" i="75"/>
  <c r="CB838" i="75"/>
  <c r="CB853" i="75"/>
  <c r="BR1155" i="75"/>
  <c r="BT1189" i="75"/>
  <c r="BL1054" i="75"/>
  <c r="BL1081" i="75"/>
  <c r="BL1052" i="75"/>
  <c r="BN1255" i="75"/>
  <c r="BD1062" i="75"/>
  <c r="BZ1004" i="75"/>
  <c r="BH1137" i="75"/>
  <c r="CL774" i="75"/>
  <c r="BJ1032" i="75"/>
  <c r="CF544" i="75"/>
  <c r="BP215" i="75"/>
  <c r="BD366" i="75"/>
  <c r="BH1049" i="75"/>
  <c r="BH1053" i="75"/>
  <c r="BR830" i="75"/>
  <c r="BH407" i="75"/>
  <c r="BD902" i="75"/>
  <c r="CF1077" i="75"/>
  <c r="BT576" i="75"/>
  <c r="BV1020" i="75"/>
  <c r="BP642" i="75"/>
  <c r="BP655" i="75"/>
  <c r="CP1274" i="75"/>
  <c r="BN702" i="75"/>
  <c r="CN481" i="75"/>
  <c r="BH1200" i="75"/>
  <c r="BV823" i="75"/>
  <c r="CV368" i="75"/>
  <c r="CJ787" i="75"/>
  <c r="D139" i="113"/>
  <c r="F139" i="113" s="1"/>
  <c r="CH592" i="75"/>
  <c r="CZ790" i="75"/>
  <c r="CV608" i="75"/>
  <c r="CT363" i="75"/>
  <c r="J192" i="112"/>
  <c r="H192" i="112"/>
  <c r="H134" i="115"/>
  <c r="J134" i="115"/>
  <c r="BP587" i="75"/>
  <c r="BL601" i="75"/>
  <c r="BP588" i="75"/>
  <c r="BL611" i="75"/>
  <c r="BH719" i="75"/>
  <c r="BH712" i="75"/>
  <c r="BV226" i="75"/>
  <c r="BD276" i="75"/>
  <c r="BD291" i="75"/>
  <c r="BD285" i="75"/>
  <c r="CN431" i="75"/>
  <c r="BP405" i="75"/>
  <c r="BP456" i="75"/>
  <c r="BP473" i="75"/>
  <c r="BV518" i="75"/>
  <c r="BV535" i="75"/>
  <c r="BT650" i="75"/>
  <c r="CB1012" i="75"/>
  <c r="CF793" i="75"/>
  <c r="CB523" i="75"/>
  <c r="BR1140" i="75"/>
  <c r="BT1205" i="75"/>
  <c r="BJ762" i="75"/>
  <c r="BZ1027" i="75"/>
  <c r="CL792" i="75"/>
  <c r="BJ1034" i="75"/>
  <c r="CF533" i="75"/>
  <c r="BP230" i="75"/>
  <c r="BH1066" i="75"/>
  <c r="BH417" i="75"/>
  <c r="BD876" i="75"/>
  <c r="BT607" i="75"/>
  <c r="BV1013" i="75"/>
  <c r="BH1180" i="75"/>
  <c r="CV367" i="75"/>
  <c r="CB1075" i="75"/>
  <c r="CP307" i="75"/>
  <c r="CJ794" i="75"/>
  <c r="D136" i="113"/>
  <c r="E136" i="113" s="1"/>
  <c r="J136" i="113" s="1"/>
  <c r="E25" i="113"/>
  <c r="J25" i="113" s="1"/>
  <c r="CV606" i="75"/>
  <c r="CT369" i="75"/>
  <c r="BN358" i="75"/>
  <c r="BT639" i="75"/>
  <c r="CB1015" i="75"/>
  <c r="BH1233" i="75"/>
  <c r="CF771" i="75"/>
  <c r="CB543" i="75"/>
  <c r="CB837" i="75"/>
  <c r="CB840" i="75"/>
  <c r="BR1146" i="75"/>
  <c r="BT1201" i="75"/>
  <c r="BL1075" i="75"/>
  <c r="BL1082" i="75"/>
  <c r="BJ792" i="75"/>
  <c r="BZ1029" i="75"/>
  <c r="BH1121" i="75"/>
  <c r="CL788" i="75"/>
  <c r="BJ1018" i="75"/>
  <c r="BP233" i="75"/>
  <c r="BD365" i="75"/>
  <c r="BD334" i="75"/>
  <c r="BH1082" i="75"/>
  <c r="BH384" i="75"/>
  <c r="BD914" i="75"/>
  <c r="CF1093" i="75"/>
  <c r="BT590" i="75"/>
  <c r="BT599" i="75"/>
  <c r="BV1032" i="75"/>
  <c r="BT612" i="75"/>
  <c r="BN706" i="75"/>
  <c r="CN475" i="75"/>
  <c r="BH1174" i="75"/>
  <c r="BV820" i="75"/>
  <c r="H134" i="112"/>
  <c r="CV370" i="75"/>
  <c r="CP303" i="75"/>
  <c r="CJ773" i="75"/>
  <c r="W141" i="113"/>
  <c r="X141" i="113" s="1"/>
  <c r="AA141" i="113" s="1"/>
  <c r="CL533" i="75"/>
  <c r="CV611" i="75"/>
  <c r="DB972" i="75"/>
  <c r="BP510" i="75"/>
  <c r="BP605" i="75"/>
  <c r="BV238" i="75"/>
  <c r="BD307" i="75"/>
  <c r="BD292" i="75"/>
  <c r="BD275" i="75"/>
  <c r="BD471" i="75"/>
  <c r="BP468" i="75"/>
  <c r="BP293" i="75"/>
  <c r="BN340" i="75"/>
  <c r="BV524" i="75"/>
  <c r="BT656" i="75"/>
  <c r="CB1016" i="75"/>
  <c r="CB552" i="75"/>
  <c r="CB845" i="75"/>
  <c r="BR1153" i="75"/>
  <c r="BL1053" i="75"/>
  <c r="BJ763" i="75"/>
  <c r="BZ1018" i="75"/>
  <c r="BH1127" i="75"/>
  <c r="CL780" i="75"/>
  <c r="BR645" i="75"/>
  <c r="BP213" i="75"/>
  <c r="BH1075" i="75"/>
  <c r="BH429" i="75"/>
  <c r="BD910" i="75"/>
  <c r="BR578" i="75"/>
  <c r="BT593" i="75"/>
  <c r="BN719" i="75"/>
  <c r="CN477" i="75"/>
  <c r="BH1208" i="75"/>
  <c r="CP296" i="75"/>
  <c r="W145" i="113"/>
  <c r="Y145" i="113" s="1"/>
  <c r="BP528" i="75"/>
  <c r="J161" i="112"/>
  <c r="H161" i="112"/>
  <c r="BT641" i="75"/>
  <c r="BZ1019" i="75"/>
  <c r="BP236" i="75"/>
  <c r="BH1046" i="75"/>
  <c r="BH1176" i="75"/>
  <c r="W144" i="113"/>
  <c r="Y144" i="113" s="1"/>
  <c r="CH1254" i="75"/>
  <c r="BP542" i="75"/>
  <c r="BP513" i="75"/>
  <c r="BP552" i="75"/>
  <c r="H83" i="112"/>
  <c r="J83" i="112"/>
  <c r="CH1276" i="75"/>
  <c r="BP549" i="75"/>
  <c r="J197" i="112"/>
  <c r="H197" i="112"/>
  <c r="BP511" i="75"/>
  <c r="H145" i="114"/>
  <c r="J189" i="114"/>
  <c r="H189" i="114"/>
  <c r="CF306" i="75"/>
  <c r="CD544" i="75"/>
  <c r="CB896" i="75"/>
  <c r="BP586" i="75"/>
  <c r="BP575" i="75"/>
  <c r="BH727" i="75"/>
  <c r="BH728" i="75"/>
  <c r="BH722" i="75"/>
  <c r="BJ214" i="75"/>
  <c r="CJ606" i="75"/>
  <c r="BR306" i="75"/>
  <c r="BR291" i="75"/>
  <c r="BP282" i="75"/>
  <c r="BP294" i="75"/>
  <c r="CR549" i="75"/>
  <c r="CD888" i="75"/>
  <c r="CF304" i="75"/>
  <c r="BJ827" i="75"/>
  <c r="BJ831" i="75"/>
  <c r="CB533" i="75"/>
  <c r="CB550" i="75"/>
  <c r="CJ837" i="75"/>
  <c r="CR963" i="75"/>
  <c r="CL794" i="75"/>
  <c r="BJ1030" i="75"/>
  <c r="BJ1014" i="75"/>
  <c r="BF321" i="75"/>
  <c r="BF367" i="75"/>
  <c r="BX1025" i="75"/>
  <c r="BX836" i="75"/>
  <c r="CF1074" i="75"/>
  <c r="BJ627" i="75"/>
  <c r="BR594" i="75"/>
  <c r="BT1271" i="75"/>
  <c r="BZ781" i="75"/>
  <c r="BZ794" i="75"/>
  <c r="CD548" i="75"/>
  <c r="BD780" i="75"/>
  <c r="BD748" i="75"/>
  <c r="BN708" i="75"/>
  <c r="BN705" i="75"/>
  <c r="CV1211" i="75"/>
  <c r="CD348" i="75"/>
  <c r="CN489" i="75"/>
  <c r="CD416" i="75"/>
  <c r="BN492" i="75"/>
  <c r="BX664" i="75"/>
  <c r="BH649" i="75"/>
  <c r="BH629" i="75"/>
  <c r="BP1237" i="75"/>
  <c r="D54" i="113"/>
  <c r="E54" i="113" s="1"/>
  <c r="J54" i="113" s="1"/>
  <c r="CT368" i="75"/>
  <c r="J154" i="114"/>
  <c r="H154" i="114"/>
  <c r="CF309" i="75"/>
  <c r="CR966" i="75"/>
  <c r="BJ1002" i="75"/>
  <c r="BJ992" i="75"/>
  <c r="BJ645" i="75"/>
  <c r="BR597" i="75"/>
  <c r="CD549" i="75"/>
  <c r="BD776" i="75"/>
  <c r="CN483" i="75"/>
  <c r="BF1075" i="75"/>
  <c r="BN452" i="75"/>
  <c r="BX645" i="75"/>
  <c r="CT367" i="75"/>
  <c r="J61" i="114"/>
  <c r="H61" i="114"/>
  <c r="CH604" i="75"/>
  <c r="CH590" i="75"/>
  <c r="CH608" i="75"/>
  <c r="CF299" i="75"/>
  <c r="BJ1028" i="75"/>
  <c r="BJ990" i="75"/>
  <c r="BF630" i="75"/>
  <c r="CD534" i="75"/>
  <c r="CT365" i="75"/>
  <c r="CW728" i="75"/>
  <c r="CW734" i="75"/>
  <c r="CW726" i="75"/>
  <c r="CW729" i="75"/>
  <c r="CW732" i="75"/>
  <c r="CW730" i="75"/>
  <c r="CW727" i="75"/>
  <c r="CW731" i="75"/>
  <c r="CW733" i="75"/>
  <c r="H164" i="112"/>
  <c r="J164" i="112"/>
  <c r="CF293" i="75"/>
  <c r="BJ1001" i="75"/>
  <c r="BJ1009" i="75"/>
  <c r="BF649" i="75"/>
  <c r="BT284" i="75"/>
  <c r="BJ648" i="75"/>
  <c r="CD531" i="75"/>
  <c r="BD764" i="75"/>
  <c r="CT364" i="75"/>
  <c r="CU610" i="75"/>
  <c r="BT298" i="75"/>
  <c r="CD539" i="75"/>
  <c r="W146" i="113"/>
  <c r="X146" i="113" s="1"/>
  <c r="CH1271" i="75"/>
  <c r="CT366" i="75"/>
  <c r="BP577" i="75"/>
  <c r="BP603" i="75"/>
  <c r="BH731" i="75"/>
  <c r="BH702" i="75"/>
  <c r="CJ602" i="75"/>
  <c r="CJ592" i="75"/>
  <c r="BR295" i="75"/>
  <c r="BR293" i="75"/>
  <c r="CF610" i="75"/>
  <c r="BP460" i="75"/>
  <c r="BP292" i="75"/>
  <c r="BP285" i="75"/>
  <c r="CR539" i="75"/>
  <c r="CL483" i="75"/>
  <c r="BV546" i="75"/>
  <c r="BV532" i="75"/>
  <c r="BR349" i="75"/>
  <c r="BL519" i="75"/>
  <c r="BL1114" i="75"/>
  <c r="CD912" i="75"/>
  <c r="CF227" i="75"/>
  <c r="CF237" i="75"/>
  <c r="BZ653" i="75"/>
  <c r="BV1131" i="75"/>
  <c r="BZ839" i="75"/>
  <c r="CW846" i="75"/>
  <c r="BJ846" i="75"/>
  <c r="BD537" i="75"/>
  <c r="CB536" i="75"/>
  <c r="CJ839" i="75"/>
  <c r="BR1125" i="75"/>
  <c r="BP1238" i="75"/>
  <c r="CV306" i="75"/>
  <c r="CL775" i="75"/>
  <c r="BJ1025" i="75"/>
  <c r="BF370" i="75"/>
  <c r="BF340" i="75"/>
  <c r="BR662" i="75"/>
  <c r="CB1269" i="75"/>
  <c r="CB1265" i="75"/>
  <c r="BX1032" i="75"/>
  <c r="BP239" i="75"/>
  <c r="CP247" i="75"/>
  <c r="BN847" i="75"/>
  <c r="BX825" i="75"/>
  <c r="BX827" i="75"/>
  <c r="BT278" i="75"/>
  <c r="CX366" i="75"/>
  <c r="BJ659" i="75"/>
  <c r="BR575" i="75"/>
  <c r="BT1246" i="75"/>
  <c r="BZ766" i="75"/>
  <c r="CD543" i="75"/>
  <c r="CW1029" i="75"/>
  <c r="BD791" i="75"/>
  <c r="BN730" i="75"/>
  <c r="BN709" i="75"/>
  <c r="CD363" i="75"/>
  <c r="CN476" i="75"/>
  <c r="CR733" i="75"/>
  <c r="BF1072" i="75"/>
  <c r="BX1077" i="75"/>
  <c r="BN470" i="75"/>
  <c r="BZ462" i="75"/>
  <c r="BZ460" i="75"/>
  <c r="I207" i="113"/>
  <c r="BH650" i="75"/>
  <c r="BH638" i="75"/>
  <c r="D132" i="113"/>
  <c r="E132" i="113" s="1"/>
  <c r="J132" i="113" s="1"/>
  <c r="BN943" i="75"/>
  <c r="BN933" i="75"/>
  <c r="BN969" i="75"/>
  <c r="CH1267" i="75"/>
  <c r="BN958" i="75"/>
  <c r="CW251" i="75"/>
  <c r="CW247" i="75"/>
  <c r="CW250" i="75"/>
  <c r="BP581" i="75"/>
  <c r="BP585" i="75"/>
  <c r="BH724" i="75"/>
  <c r="BH715" i="75"/>
  <c r="CJ597" i="75"/>
  <c r="BR297" i="75"/>
  <c r="BR311" i="75"/>
  <c r="BP297" i="75"/>
  <c r="BP279" i="75"/>
  <c r="CR547" i="75"/>
  <c r="BL1115" i="75"/>
  <c r="CD908" i="75"/>
  <c r="BV1141" i="75"/>
  <c r="BJ845" i="75"/>
  <c r="CB528" i="75"/>
  <c r="CL776" i="75"/>
  <c r="BJ1017" i="75"/>
  <c r="BF369" i="75"/>
  <c r="BF355" i="75"/>
  <c r="BR642" i="75"/>
  <c r="BX1035" i="75"/>
  <c r="CX369" i="75"/>
  <c r="BJ637" i="75"/>
  <c r="BR601" i="75"/>
  <c r="BT1250" i="75"/>
  <c r="CD542" i="75"/>
  <c r="CW1032" i="75"/>
  <c r="BD741" i="75"/>
  <c r="BN697" i="75"/>
  <c r="BN732" i="75"/>
  <c r="CD358" i="75"/>
  <c r="CN484" i="75"/>
  <c r="BF1076" i="75"/>
  <c r="BX1090" i="75"/>
  <c r="CP969" i="75"/>
  <c r="CF963" i="75"/>
  <c r="BH662" i="75"/>
  <c r="BH653" i="75"/>
  <c r="BH648" i="75"/>
  <c r="W148" i="113"/>
  <c r="X148" i="113" s="1"/>
  <c r="AA148" i="113" s="1"/>
  <c r="CF302" i="75"/>
  <c r="BJ1003" i="75"/>
  <c r="CD537" i="75"/>
  <c r="J214" i="116"/>
  <c r="H214" i="116"/>
  <c r="BP310" i="75"/>
  <c r="BP298" i="75"/>
  <c r="CR550" i="75"/>
  <c r="BL306" i="75"/>
  <c r="CL479" i="75"/>
  <c r="CD905" i="75"/>
  <c r="CD893" i="75"/>
  <c r="CF294" i="75"/>
  <c r="BV1154" i="75"/>
  <c r="BJ820" i="75"/>
  <c r="BD521" i="75"/>
  <c r="CB535" i="75"/>
  <c r="CJ852" i="75"/>
  <c r="CL789" i="75"/>
  <c r="CB466" i="75"/>
  <c r="BJ1010" i="75"/>
  <c r="BF332" i="75"/>
  <c r="BF336" i="75"/>
  <c r="BR653" i="75"/>
  <c r="BX1014" i="75"/>
  <c r="BX831" i="75"/>
  <c r="BX841" i="75"/>
  <c r="BF732" i="75"/>
  <c r="BN1186" i="75"/>
  <c r="BJ660" i="75"/>
  <c r="BJ634" i="75"/>
  <c r="BT1255" i="75"/>
  <c r="BZ778" i="75"/>
  <c r="CW1030" i="75"/>
  <c r="BD766" i="75"/>
  <c r="BD786" i="75"/>
  <c r="BN699" i="75"/>
  <c r="BN718" i="75"/>
  <c r="CD349" i="75"/>
  <c r="CN479" i="75"/>
  <c r="BF1045" i="75"/>
  <c r="BX1091" i="75"/>
  <c r="BH670" i="75"/>
  <c r="BH639" i="75"/>
  <c r="BH642" i="75"/>
  <c r="W149" i="113"/>
  <c r="X149" i="113" s="1"/>
  <c r="AA149" i="113" s="1"/>
  <c r="CZ788" i="75"/>
  <c r="CW725" i="75"/>
  <c r="CX725" i="75" s="1"/>
  <c r="J82" i="112"/>
  <c r="H82" i="112"/>
  <c r="J199" i="116"/>
  <c r="H199" i="116"/>
  <c r="BP583" i="75"/>
  <c r="BH705" i="75"/>
  <c r="BH688" i="75"/>
  <c r="BH710" i="75"/>
  <c r="CJ605" i="75"/>
  <c r="BP402" i="75"/>
  <c r="BP600" i="75"/>
  <c r="BH693" i="75"/>
  <c r="BH692" i="75"/>
  <c r="BH716" i="75"/>
  <c r="CJ609" i="75"/>
  <c r="BP416" i="75"/>
  <c r="BR310" i="75"/>
  <c r="BR279" i="75"/>
  <c r="CF605" i="75"/>
  <c r="BP462" i="75"/>
  <c r="BP288" i="75"/>
  <c r="BP309" i="75"/>
  <c r="BL270" i="75"/>
  <c r="CL486" i="75"/>
  <c r="BV525" i="75"/>
  <c r="BV537" i="75"/>
  <c r="BR332" i="75"/>
  <c r="CD889" i="75"/>
  <c r="CF245" i="75"/>
  <c r="CF311" i="75"/>
  <c r="BJ822" i="75"/>
  <c r="BJ826" i="75"/>
  <c r="BD545" i="75"/>
  <c r="CB524" i="75"/>
  <c r="CJ838" i="75"/>
  <c r="BR1139" i="75"/>
  <c r="CH545" i="75"/>
  <c r="CS914" i="75"/>
  <c r="CL787" i="75"/>
  <c r="CB485" i="75"/>
  <c r="BJ1026" i="75"/>
  <c r="BF342" i="75"/>
  <c r="BF353" i="75"/>
  <c r="BR648" i="75"/>
  <c r="CB1247" i="75"/>
  <c r="BX1018" i="75"/>
  <c r="BP234" i="75"/>
  <c r="CP252" i="75"/>
  <c r="BX854" i="75"/>
  <c r="BX829" i="75"/>
  <c r="BD1019" i="75"/>
  <c r="BN1204" i="75"/>
  <c r="BJ639" i="75"/>
  <c r="BJ644" i="75"/>
  <c r="BT1270" i="75"/>
  <c r="BZ775" i="75"/>
  <c r="CW1033" i="75"/>
  <c r="BD751" i="75"/>
  <c r="BD794" i="75"/>
  <c r="BN722" i="75"/>
  <c r="BN696" i="75"/>
  <c r="BN713" i="75"/>
  <c r="CD352" i="75"/>
  <c r="CN480" i="75"/>
  <c r="BF1044" i="75"/>
  <c r="BX1085" i="75"/>
  <c r="BZ480" i="75"/>
  <c r="BZ487" i="75"/>
  <c r="BP995" i="75"/>
  <c r="BH644" i="75"/>
  <c r="BH665" i="75"/>
  <c r="BH654" i="75"/>
  <c r="BN971" i="75"/>
  <c r="CZ789" i="75"/>
  <c r="CF296" i="75"/>
  <c r="BD1005" i="75"/>
  <c r="BN1195" i="75"/>
  <c r="CD528" i="75"/>
  <c r="CF288" i="75"/>
  <c r="BN1172" i="75"/>
  <c r="CD551" i="75"/>
  <c r="CT372" i="75"/>
  <c r="BP611" i="75"/>
  <c r="BH706" i="75"/>
  <c r="BH721" i="75"/>
  <c r="BH725" i="75"/>
  <c r="BJ212" i="75"/>
  <c r="CJ601" i="75"/>
  <c r="BR307" i="75"/>
  <c r="BR288" i="75"/>
  <c r="BR284" i="75"/>
  <c r="CB242" i="75"/>
  <c r="BP280" i="75"/>
  <c r="CD904" i="75"/>
  <c r="CF298" i="75"/>
  <c r="BJ841" i="75"/>
  <c r="BJ824" i="75"/>
  <c r="CB522" i="75"/>
  <c r="BL879" i="75"/>
  <c r="CR967" i="75"/>
  <c r="CL784" i="75"/>
  <c r="CB483" i="75"/>
  <c r="BJ998" i="75"/>
  <c r="BF341" i="75"/>
  <c r="BF320" i="75"/>
  <c r="BR643" i="75"/>
  <c r="BX1028" i="75"/>
  <c r="BX835" i="75"/>
  <c r="CF719" i="75"/>
  <c r="BN1216" i="75"/>
  <c r="BJ646" i="75"/>
  <c r="BT1273" i="75"/>
  <c r="BT1260" i="75"/>
  <c r="BZ788" i="75"/>
  <c r="CD546" i="75"/>
  <c r="BD783" i="75"/>
  <c r="BD746" i="75"/>
  <c r="BN712" i="75"/>
  <c r="BN717" i="75"/>
  <c r="BN698" i="75"/>
  <c r="CD357" i="75"/>
  <c r="CD344" i="75"/>
  <c r="BF1069" i="75"/>
  <c r="BX587" i="75"/>
  <c r="BN485" i="75"/>
  <c r="CP966" i="75"/>
  <c r="BP1259" i="75"/>
  <c r="BH651" i="75"/>
  <c r="BH663" i="75"/>
  <c r="CH609" i="75"/>
  <c r="J107" i="116"/>
  <c r="CT370" i="75"/>
  <c r="H11" i="116"/>
  <c r="J11" i="116"/>
  <c r="H185" i="112"/>
  <c r="J185" i="112"/>
  <c r="J132" i="115"/>
  <c r="H132" i="115"/>
  <c r="H79" i="112"/>
  <c r="BP303" i="75"/>
  <c r="BP307" i="75"/>
  <c r="CL474" i="75"/>
  <c r="BV552" i="75"/>
  <c r="BV541" i="75"/>
  <c r="BR366" i="75"/>
  <c r="AC13" i="1"/>
  <c r="D44" i="90" s="1"/>
  <c r="D120" i="125"/>
  <c r="CD900" i="75"/>
  <c r="BV699" i="75"/>
  <c r="CF303" i="75"/>
  <c r="BJ821" i="75"/>
  <c r="BJ834" i="75"/>
  <c r="CB540" i="75"/>
  <c r="BR1148" i="75"/>
  <c r="BR1061" i="75"/>
  <c r="CR975" i="75"/>
  <c r="CL777" i="75"/>
  <c r="CB468" i="75"/>
  <c r="BJ988" i="75"/>
  <c r="BF356" i="75"/>
  <c r="BF337" i="75"/>
  <c r="BR673" i="75"/>
  <c r="BX1017" i="75"/>
  <c r="CP237" i="75"/>
  <c r="BX846" i="75"/>
  <c r="CF716" i="75"/>
  <c r="BN1182" i="75"/>
  <c r="BJ635" i="75"/>
  <c r="BT1266" i="75"/>
  <c r="BT1263" i="75"/>
  <c r="BZ790" i="75"/>
  <c r="BF892" i="75"/>
  <c r="CD524" i="75"/>
  <c r="BD770" i="75"/>
  <c r="BD769" i="75"/>
  <c r="BN714" i="75"/>
  <c r="BN727" i="75"/>
  <c r="BN694" i="75"/>
  <c r="CD372" i="75"/>
  <c r="CN719" i="75"/>
  <c r="CD430" i="75"/>
  <c r="BN489" i="75"/>
  <c r="BZ490" i="75"/>
  <c r="BX660" i="75"/>
  <c r="BH660" i="75"/>
  <c r="BH646" i="75"/>
  <c r="BZ1210" i="75"/>
  <c r="CL1265" i="75"/>
  <c r="CZ794" i="75"/>
  <c r="BN975" i="75"/>
  <c r="CP1086" i="75"/>
  <c r="CP673" i="75"/>
  <c r="BN972" i="75"/>
  <c r="CT360" i="75"/>
  <c r="J17" i="116"/>
  <c r="H17" i="116"/>
  <c r="BH685" i="75"/>
  <c r="BH694" i="75"/>
  <c r="BH696" i="75"/>
  <c r="BJ235" i="75"/>
  <c r="CJ611" i="75"/>
  <c r="BD442" i="75"/>
  <c r="BP596" i="75"/>
  <c r="BH718" i="75"/>
  <c r="BH698" i="75"/>
  <c r="BH729" i="75"/>
  <c r="BJ249" i="75"/>
  <c r="CJ607" i="75"/>
  <c r="BD480" i="75"/>
  <c r="BR277" i="75"/>
  <c r="BR299" i="75"/>
  <c r="BP305" i="75"/>
  <c r="BP274" i="75"/>
  <c r="BR350" i="75"/>
  <c r="CD895" i="75"/>
  <c r="BV704" i="75"/>
  <c r="CF307" i="75"/>
  <c r="BJ815" i="75"/>
  <c r="BJ809" i="75"/>
  <c r="CB546" i="75"/>
  <c r="BR1059" i="75"/>
  <c r="CR962" i="75"/>
  <c r="CL785" i="75"/>
  <c r="BJ1000" i="75"/>
  <c r="BF354" i="75"/>
  <c r="BF325" i="75"/>
  <c r="BX1034" i="75"/>
  <c r="BX842" i="75"/>
  <c r="CF714" i="75"/>
  <c r="BN1206" i="75"/>
  <c r="CF1075" i="75"/>
  <c r="BJ633" i="75"/>
  <c r="BT1252" i="75"/>
  <c r="BT1276" i="75"/>
  <c r="BZ786" i="75"/>
  <c r="BZ774" i="75"/>
  <c r="CD545" i="75"/>
  <c r="BD785" i="75"/>
  <c r="BD765" i="75"/>
  <c r="BN711" i="75"/>
  <c r="BN703" i="75"/>
  <c r="CV1208" i="75"/>
  <c r="CD346" i="75"/>
  <c r="CN729" i="75"/>
  <c r="CD410" i="75"/>
  <c r="BN490" i="75"/>
  <c r="BX655" i="75"/>
  <c r="BH668" i="75"/>
  <c r="BH625" i="75"/>
  <c r="BJ732" i="75"/>
  <c r="CL1259" i="75"/>
  <c r="BP1242" i="75"/>
  <c r="BN965" i="75"/>
  <c r="CL532" i="75"/>
  <c r="CT361" i="75"/>
  <c r="BD250" i="75"/>
  <c r="BP614" i="75"/>
  <c r="BP610" i="75"/>
  <c r="BP612" i="75"/>
  <c r="BH697" i="75"/>
  <c r="BH684" i="75"/>
  <c r="BJ243" i="75"/>
  <c r="BD441" i="75"/>
  <c r="BR273" i="75"/>
  <c r="BP272" i="75"/>
  <c r="BP304" i="75"/>
  <c r="CD892" i="75"/>
  <c r="BV723" i="75"/>
  <c r="CF289" i="75"/>
  <c r="BJ851" i="75"/>
  <c r="CB537" i="75"/>
  <c r="CB542" i="75"/>
  <c r="CR971" i="75"/>
  <c r="BJ1031" i="75"/>
  <c r="BF331" i="75"/>
  <c r="BX1027" i="75"/>
  <c r="BT1249" i="75"/>
  <c r="BT1258" i="75"/>
  <c r="BZ764" i="75"/>
  <c r="CD532" i="75"/>
  <c r="BD781" i="75"/>
  <c r="BD752" i="75"/>
  <c r="BN733" i="75"/>
  <c r="CV1210" i="75"/>
  <c r="CB905" i="75"/>
  <c r="CD422" i="75"/>
  <c r="BN465" i="75"/>
  <c r="BX672" i="75"/>
  <c r="BH645" i="75"/>
  <c r="BH643" i="75"/>
  <c r="BJ703" i="75"/>
  <c r="BP1275" i="75"/>
  <c r="BN955" i="75"/>
  <c r="BN964" i="75"/>
  <c r="BN961" i="75"/>
  <c r="BN960" i="75"/>
  <c r="BN950" i="75"/>
  <c r="H56" i="112"/>
  <c r="J56" i="112"/>
  <c r="BN332" i="75"/>
  <c r="BL599" i="75"/>
  <c r="BL608" i="75"/>
  <c r="BD458" i="75"/>
  <c r="BD447" i="75"/>
  <c r="BV400" i="75"/>
  <c r="BF1113" i="75"/>
  <c r="BN652" i="75"/>
  <c r="BL1151" i="75"/>
  <c r="BL1132" i="75"/>
  <c r="BJ948" i="75"/>
  <c r="CH543" i="75"/>
  <c r="BR1058" i="75"/>
  <c r="BV353" i="75"/>
  <c r="BF764" i="75"/>
  <c r="BN826" i="75"/>
  <c r="BD907" i="75"/>
  <c r="BD891" i="75"/>
  <c r="BX588" i="75"/>
  <c r="BV851" i="75"/>
  <c r="CP1089" i="75"/>
  <c r="J104" i="112"/>
  <c r="H104" i="112"/>
  <c r="BL572" i="75"/>
  <c r="BL578" i="75"/>
  <c r="BD439" i="75"/>
  <c r="BD470" i="75"/>
  <c r="BV432" i="75"/>
  <c r="BN367" i="75"/>
  <c r="BL1144" i="75"/>
  <c r="BL1138" i="75"/>
  <c r="BJ950" i="75"/>
  <c r="BN840" i="75"/>
  <c r="BN848" i="75"/>
  <c r="BX580" i="75"/>
  <c r="CP1088" i="75"/>
  <c r="J19" i="112"/>
  <c r="H19" i="112"/>
  <c r="BL614" i="75"/>
  <c r="BL577" i="75"/>
  <c r="BD482" i="75"/>
  <c r="BD476" i="75"/>
  <c r="BV414" i="75"/>
  <c r="BN356" i="75"/>
  <c r="BL1130" i="75"/>
  <c r="BL1126" i="75"/>
  <c r="BJ964" i="75"/>
  <c r="BN819" i="75"/>
  <c r="BN831" i="75"/>
  <c r="BX613" i="75"/>
  <c r="AP131" i="113"/>
  <c r="AR131" i="113" s="1"/>
  <c r="CP1096" i="75"/>
  <c r="I36" i="113"/>
  <c r="I37" i="113"/>
  <c r="I39" i="113"/>
  <c r="I32" i="113"/>
  <c r="AB47" i="113"/>
  <c r="AU31" i="113"/>
  <c r="AU35" i="113"/>
  <c r="AU38" i="113"/>
  <c r="AB44" i="113"/>
  <c r="J46" i="112"/>
  <c r="H46" i="112"/>
  <c r="BL610" i="75"/>
  <c r="BL585" i="75"/>
  <c r="BV401" i="75"/>
  <c r="BN352" i="75"/>
  <c r="BL1120" i="75"/>
  <c r="BL1146" i="75"/>
  <c r="BJ972" i="75"/>
  <c r="BR234" i="75"/>
  <c r="BN830" i="75"/>
  <c r="BN817" i="75"/>
  <c r="BD894" i="75"/>
  <c r="BD883" i="75"/>
  <c r="BL451" i="75"/>
  <c r="BX590" i="75"/>
  <c r="BV818" i="75"/>
  <c r="BD486" i="75"/>
  <c r="BD453" i="75"/>
  <c r="BL574" i="75"/>
  <c r="BL570" i="75"/>
  <c r="BD472" i="75"/>
  <c r="BD464" i="75"/>
  <c r="BV410" i="75"/>
  <c r="BN354" i="75"/>
  <c r="BL1153" i="75"/>
  <c r="BL1156" i="75"/>
  <c r="BJ976" i="75"/>
  <c r="BR1083" i="75"/>
  <c r="BP774" i="75"/>
  <c r="BH1090" i="75"/>
  <c r="BH1052" i="75"/>
  <c r="BN828" i="75"/>
  <c r="BN829" i="75"/>
  <c r="BD892" i="75"/>
  <c r="BD875" i="75"/>
  <c r="BL478" i="75"/>
  <c r="CN245" i="75"/>
  <c r="BT344" i="75"/>
  <c r="BX595" i="75"/>
  <c r="BV845" i="75"/>
  <c r="BD438" i="75"/>
  <c r="BD454" i="75"/>
  <c r="BV397" i="75"/>
  <c r="BN336" i="75"/>
  <c r="BL1128" i="75"/>
  <c r="BL1122" i="75"/>
  <c r="BJ970" i="75"/>
  <c r="BR1080" i="75"/>
  <c r="BP792" i="75"/>
  <c r="BD1087" i="75"/>
  <c r="BN814" i="75"/>
  <c r="BN820" i="75"/>
  <c r="BD882" i="75"/>
  <c r="BD872" i="75"/>
  <c r="BL448" i="75"/>
  <c r="CN238" i="75"/>
  <c r="BT346" i="75"/>
  <c r="BX605" i="75"/>
  <c r="CF1267" i="75"/>
  <c r="J67" i="112"/>
  <c r="H67" i="112"/>
  <c r="J166" i="112"/>
  <c r="H166" i="112"/>
  <c r="BL596" i="75"/>
  <c r="BL602" i="75"/>
  <c r="BL613" i="75"/>
  <c r="BL598" i="75"/>
  <c r="BD478" i="75"/>
  <c r="BD460" i="75"/>
  <c r="BV405" i="75"/>
  <c r="BP300" i="75"/>
  <c r="BP308" i="75"/>
  <c r="BP286" i="75"/>
  <c r="CR538" i="75"/>
  <c r="BN343" i="75"/>
  <c r="BL1113" i="75"/>
  <c r="BL1131" i="75"/>
  <c r="BJ974" i="75"/>
  <c r="CF297" i="75"/>
  <c r="CH533" i="75"/>
  <c r="BN1259" i="75"/>
  <c r="BR1094" i="75"/>
  <c r="BD1096" i="75"/>
  <c r="BD318" i="75"/>
  <c r="BD322" i="75"/>
  <c r="BH1094" i="75"/>
  <c r="BH1058" i="75"/>
  <c r="BN838" i="75"/>
  <c r="BN850" i="75"/>
  <c r="BD909" i="75"/>
  <c r="BD863" i="75"/>
  <c r="BL477" i="75"/>
  <c r="CD529" i="75"/>
  <c r="CN727" i="75"/>
  <c r="BX1073" i="75"/>
  <c r="BV850" i="75"/>
  <c r="BV835" i="75"/>
  <c r="CF1258" i="75"/>
  <c r="BX661" i="75"/>
  <c r="BF930" i="75"/>
  <c r="AP137" i="113"/>
  <c r="AQ137" i="113" s="1"/>
  <c r="AT137" i="113" s="1"/>
  <c r="CB1081" i="75"/>
  <c r="CN369" i="75"/>
  <c r="CN672" i="75"/>
  <c r="CN670" i="75"/>
  <c r="CN671" i="75"/>
  <c r="CN673" i="75"/>
  <c r="H163" i="116"/>
  <c r="J163" i="116"/>
  <c r="BL592" i="75"/>
  <c r="BL580" i="75"/>
  <c r="BD487" i="75"/>
  <c r="BD448" i="75"/>
  <c r="BV403" i="75"/>
  <c r="BN331" i="75"/>
  <c r="BL1142" i="75"/>
  <c r="BL1117" i="75"/>
  <c r="BJ952" i="75"/>
  <c r="BN852" i="75"/>
  <c r="BN816" i="75"/>
  <c r="J182" i="112"/>
  <c r="H182" i="112"/>
  <c r="BN846" i="75"/>
  <c r="BN818" i="75"/>
  <c r="J63" i="116"/>
  <c r="CN356" i="75"/>
  <c r="CH1259" i="75"/>
  <c r="J124" i="112"/>
  <c r="H124" i="112"/>
  <c r="J94" i="114"/>
  <c r="H94" i="114"/>
  <c r="BD443" i="75"/>
  <c r="BN834" i="75"/>
  <c r="BL600" i="75"/>
  <c r="BL584" i="75"/>
  <c r="BL586" i="75"/>
  <c r="BD481" i="75"/>
  <c r="BN372" i="75"/>
  <c r="BL1139" i="75"/>
  <c r="BL1118" i="75"/>
  <c r="BJ961" i="75"/>
  <c r="CH537" i="75"/>
  <c r="BR1068" i="75"/>
  <c r="BH1063" i="75"/>
  <c r="BH1048" i="75"/>
  <c r="BN821" i="75"/>
  <c r="BN810" i="75"/>
  <c r="BD906" i="75"/>
  <c r="BD903" i="75"/>
  <c r="BF715" i="75"/>
  <c r="BF899" i="75"/>
  <c r="CQ479" i="75"/>
  <c r="CZ1090" i="75"/>
  <c r="BX586" i="75"/>
  <c r="BV830" i="75"/>
  <c r="I206" i="113"/>
  <c r="J146" i="112"/>
  <c r="H146" i="112"/>
  <c r="AB46" i="113"/>
  <c r="H15" i="112"/>
  <c r="J15" i="112"/>
  <c r="DB976" i="75"/>
  <c r="DB975" i="75"/>
  <c r="DB973" i="75"/>
  <c r="H64" i="112"/>
  <c r="J64" i="112"/>
  <c r="CS250" i="75"/>
  <c r="BN328" i="75"/>
  <c r="BL1124" i="75"/>
  <c r="BL1136" i="75"/>
  <c r="BJ963" i="75"/>
  <c r="CH542" i="75"/>
  <c r="BN827" i="75"/>
  <c r="BN815" i="75"/>
  <c r="BD869" i="75"/>
  <c r="BD895" i="75"/>
  <c r="CQ484" i="75"/>
  <c r="BX582" i="75"/>
  <c r="J75" i="114"/>
  <c r="H75" i="114"/>
  <c r="BD475" i="75"/>
  <c r="BL579" i="75"/>
  <c r="BL583" i="75"/>
  <c r="BD491" i="75"/>
  <c r="BD455" i="75"/>
  <c r="CS243" i="75"/>
  <c r="BL1129" i="75"/>
  <c r="BL1116" i="75"/>
  <c r="BJ943" i="75"/>
  <c r="CH299" i="75"/>
  <c r="CH550" i="75"/>
  <c r="BR1060" i="75"/>
  <c r="BH1071" i="75"/>
  <c r="BH1093" i="75"/>
  <c r="BN824" i="75"/>
  <c r="BN839" i="75"/>
  <c r="BD900" i="75"/>
  <c r="BD887" i="75"/>
  <c r="CQ491" i="75"/>
  <c r="BX598" i="75"/>
  <c r="BV843" i="75"/>
  <c r="J14" i="112"/>
  <c r="H14" i="112"/>
  <c r="BD450" i="75"/>
  <c r="BL609" i="75"/>
  <c r="BL595" i="75"/>
  <c r="BD446" i="75"/>
  <c r="BD459" i="75"/>
  <c r="CS248" i="75"/>
  <c r="BL1137" i="75"/>
  <c r="BL1135" i="75"/>
  <c r="BJ947" i="75"/>
  <c r="CH531" i="75"/>
  <c r="BV371" i="75"/>
  <c r="BN811" i="75"/>
  <c r="BN823" i="75"/>
  <c r="CQ488" i="75"/>
  <c r="BX614" i="75"/>
  <c r="BN841" i="75"/>
  <c r="BL603" i="75"/>
  <c r="BL576" i="75"/>
  <c r="BD474" i="75"/>
  <c r="BD440" i="75"/>
  <c r="CS241" i="75"/>
  <c r="BL1150" i="75"/>
  <c r="BL1148" i="75"/>
  <c r="BL1125" i="75"/>
  <c r="BJ930" i="75"/>
  <c r="BJ949" i="75"/>
  <c r="CF308" i="75"/>
  <c r="CH539" i="75"/>
  <c r="BN1271" i="75"/>
  <c r="BR1074" i="75"/>
  <c r="BV338" i="75"/>
  <c r="BH1080" i="75"/>
  <c r="BH1081" i="75"/>
  <c r="BF642" i="75"/>
  <c r="BN813" i="75"/>
  <c r="BN854" i="75"/>
  <c r="BD879" i="75"/>
  <c r="BD908" i="75"/>
  <c r="CF722" i="75"/>
  <c r="CQ480" i="75"/>
  <c r="CD535" i="75"/>
  <c r="CW1035" i="75"/>
  <c r="BZ545" i="75"/>
  <c r="BX608" i="75"/>
  <c r="BV821" i="75"/>
  <c r="CF968" i="75"/>
  <c r="BR1193" i="75"/>
  <c r="CH1261" i="75"/>
  <c r="CI12" i="90"/>
  <c r="J81" i="112"/>
  <c r="H81" i="112"/>
  <c r="BL590" i="75"/>
  <c r="BL571" i="75"/>
  <c r="BL607" i="75"/>
  <c r="BL606" i="75"/>
  <c r="BD456" i="75"/>
  <c r="BD473" i="75"/>
  <c r="CS240" i="75"/>
  <c r="BL1147" i="75"/>
  <c r="BL1123" i="75"/>
  <c r="BL1155" i="75"/>
  <c r="BJ931" i="75"/>
  <c r="BJ957" i="75"/>
  <c r="CH544" i="75"/>
  <c r="BV365" i="75"/>
  <c r="BN832" i="75"/>
  <c r="BN822" i="75"/>
  <c r="BD890" i="75"/>
  <c r="BD896" i="75"/>
  <c r="CQ485" i="75"/>
  <c r="BX581" i="75"/>
  <c r="BR1203" i="75"/>
  <c r="CX794" i="75"/>
  <c r="CX786" i="75"/>
  <c r="CX793" i="75"/>
  <c r="BL575" i="75"/>
  <c r="CS246" i="75"/>
  <c r="CB286" i="75"/>
  <c r="BL1111" i="75"/>
  <c r="BL1154" i="75"/>
  <c r="BL1112" i="75"/>
  <c r="BJ928" i="75"/>
  <c r="BJ946" i="75"/>
  <c r="CH547" i="75"/>
  <c r="BV368" i="75"/>
  <c r="BN836" i="75"/>
  <c r="BN835" i="75"/>
  <c r="CQ478" i="75"/>
  <c r="BX612" i="75"/>
  <c r="J177" i="114"/>
  <c r="H177" i="114"/>
  <c r="I38" i="113"/>
  <c r="BD490" i="75"/>
  <c r="BD477" i="75"/>
  <c r="BL573" i="75"/>
  <c r="BL582" i="75"/>
  <c r="CS249" i="75"/>
  <c r="BL1133" i="75"/>
  <c r="BL1140" i="75"/>
  <c r="BJ953" i="75"/>
  <c r="CH529" i="75"/>
  <c r="BR1057" i="75"/>
  <c r="BV350" i="75"/>
  <c r="BF772" i="75"/>
  <c r="BN845" i="75"/>
  <c r="BN825" i="75"/>
  <c r="BD877" i="75"/>
  <c r="CQ487" i="75"/>
  <c r="BX611" i="75"/>
  <c r="D137" i="113"/>
  <c r="F137" i="113" s="1"/>
  <c r="CH1255" i="75"/>
  <c r="F23" i="113"/>
  <c r="H198" i="114"/>
  <c r="J198" i="114"/>
  <c r="H187" i="112"/>
  <c r="J187" i="112"/>
  <c r="BL569" i="75"/>
  <c r="BD452" i="75"/>
  <c r="BD449" i="75"/>
  <c r="BL588" i="75"/>
  <c r="BL581" i="75"/>
  <c r="CH490" i="75"/>
  <c r="BD451" i="75"/>
  <c r="BD479" i="75"/>
  <c r="BV399" i="75"/>
  <c r="BP455" i="75"/>
  <c r="BP291" i="75"/>
  <c r="BN666" i="75"/>
  <c r="BR348" i="75"/>
  <c r="BL1134" i="75"/>
  <c r="CB1017" i="75"/>
  <c r="BJ942" i="75"/>
  <c r="CF287" i="75"/>
  <c r="CR661" i="75"/>
  <c r="CH540" i="75"/>
  <c r="BR1063" i="75"/>
  <c r="BV344" i="75"/>
  <c r="BZ1034" i="75"/>
  <c r="BD349" i="75"/>
  <c r="BH1085" i="75"/>
  <c r="BH1067" i="75"/>
  <c r="BF786" i="75"/>
  <c r="BD873" i="75"/>
  <c r="BD899" i="75"/>
  <c r="CF733" i="75"/>
  <c r="BN1178" i="75"/>
  <c r="CD536" i="75"/>
  <c r="BD743" i="75"/>
  <c r="BF1077" i="75"/>
  <c r="BX1093" i="75"/>
  <c r="BX603" i="75"/>
  <c r="BN454" i="75"/>
  <c r="CH1268" i="75"/>
  <c r="H208" i="115"/>
  <c r="J208" i="115"/>
  <c r="I34" i="113"/>
  <c r="BN351" i="75"/>
  <c r="BN662" i="75"/>
  <c r="BD541" i="75"/>
  <c r="CH311" i="75"/>
  <c r="BJ753" i="75"/>
  <c r="BV364" i="75"/>
  <c r="BD335" i="75"/>
  <c r="BT297" i="75"/>
  <c r="BN1202" i="75"/>
  <c r="BZ525" i="75"/>
  <c r="BR955" i="75"/>
  <c r="BF1151" i="75"/>
  <c r="BN661" i="75"/>
  <c r="BD352" i="75"/>
  <c r="BD321" i="75"/>
  <c r="CD345" i="75"/>
  <c r="CD368" i="75"/>
  <c r="CJ848" i="75"/>
  <c r="CJ834" i="75"/>
  <c r="CX1096" i="75"/>
  <c r="CX1092" i="75"/>
  <c r="BN630" i="75"/>
  <c r="BD519" i="75"/>
  <c r="BJ783" i="75"/>
  <c r="CT731" i="75"/>
  <c r="BV361" i="75"/>
  <c r="CS912" i="75"/>
  <c r="BD326" i="75"/>
  <c r="BD348" i="75"/>
  <c r="BD1018" i="75"/>
  <c r="BT311" i="75"/>
  <c r="BN1174" i="75"/>
  <c r="BR836" i="75"/>
  <c r="BR818" i="75"/>
  <c r="BT1019" i="75"/>
  <c r="BR945" i="75"/>
  <c r="CD355" i="75"/>
  <c r="BF1063" i="75"/>
  <c r="BF1068" i="75"/>
  <c r="CF950" i="75"/>
  <c r="BN636" i="75"/>
  <c r="BT1022" i="75"/>
  <c r="H160" i="113"/>
  <c r="BV839" i="75"/>
  <c r="BV848" i="75"/>
  <c r="CF970" i="75"/>
  <c r="BD207" i="75"/>
  <c r="BN333" i="75"/>
  <c r="BN370" i="75"/>
  <c r="BN632" i="75"/>
  <c r="BN233" i="75"/>
  <c r="BD551" i="75"/>
  <c r="BJ771" i="75"/>
  <c r="CT733" i="75"/>
  <c r="BT292" i="75"/>
  <c r="BN1191" i="75"/>
  <c r="BT1001" i="75"/>
  <c r="BN357" i="75"/>
  <c r="BN656" i="75"/>
  <c r="BN210" i="75"/>
  <c r="BD528" i="75"/>
  <c r="BJ786" i="75"/>
  <c r="BT290" i="75"/>
  <c r="BN1208" i="75"/>
  <c r="CH294" i="75"/>
  <c r="CH290" i="75"/>
  <c r="BT1014" i="75"/>
  <c r="BJ838" i="75"/>
  <c r="BJ852" i="75"/>
  <c r="BN670" i="75"/>
  <c r="BD518" i="75"/>
  <c r="BJ750" i="75"/>
  <c r="BD1084" i="75"/>
  <c r="BV351" i="75"/>
  <c r="CH369" i="75"/>
  <c r="BT274" i="75"/>
  <c r="BN1177" i="75"/>
  <c r="BF695" i="75"/>
  <c r="BF713" i="75"/>
  <c r="BV1250" i="75"/>
  <c r="BT1005" i="75"/>
  <c r="CX1091" i="75"/>
  <c r="BL286" i="75"/>
  <c r="BN364" i="75"/>
  <c r="BN634" i="75"/>
  <c r="BD550" i="75"/>
  <c r="BJ773" i="75"/>
  <c r="BD1058" i="75"/>
  <c r="BV342" i="75"/>
  <c r="BT303" i="75"/>
  <c r="BV1248" i="75"/>
  <c r="BT1032" i="75"/>
  <c r="BN648" i="75"/>
  <c r="BT1021" i="75"/>
  <c r="BN1180" i="75"/>
  <c r="BN1184" i="75"/>
  <c r="BN1187" i="75"/>
  <c r="CS734" i="75"/>
  <c r="BP608" i="75"/>
  <c r="BP578" i="75"/>
  <c r="BL307" i="75"/>
  <c r="BN360" i="75"/>
  <c r="BN643" i="75"/>
  <c r="CP790" i="75"/>
  <c r="BD552" i="75"/>
  <c r="BD546" i="75"/>
  <c r="BJ758" i="75"/>
  <c r="BV349" i="75"/>
  <c r="CN846" i="75"/>
  <c r="BF483" i="75"/>
  <c r="BN1215" i="75"/>
  <c r="BT1018" i="75"/>
  <c r="CN1147" i="75"/>
  <c r="BN644" i="75"/>
  <c r="CN848" i="75"/>
  <c r="BX1082" i="75"/>
  <c r="BX1096" i="75"/>
  <c r="CN1156" i="75"/>
  <c r="CP1216" i="75"/>
  <c r="CP1211" i="75"/>
  <c r="BN658" i="75"/>
  <c r="BD501" i="75"/>
  <c r="BD529" i="75"/>
  <c r="BJ759" i="75"/>
  <c r="BJ794" i="75"/>
  <c r="BV1269" i="75"/>
  <c r="BV1240" i="75"/>
  <c r="BJ991" i="75"/>
  <c r="BJ995" i="75"/>
  <c r="CN1155" i="75"/>
  <c r="BN672" i="75"/>
  <c r="BJ767" i="75"/>
  <c r="BN1181" i="75"/>
  <c r="CN1140" i="75"/>
  <c r="BJ649" i="75"/>
  <c r="BJ671" i="75"/>
  <c r="CJ1026" i="75"/>
  <c r="CJ1020" i="75"/>
  <c r="CP1149" i="75"/>
  <c r="CP1155" i="75"/>
  <c r="CP1147" i="75"/>
  <c r="CP1154" i="75"/>
  <c r="CP1156" i="75"/>
  <c r="CL1022" i="75"/>
  <c r="CL1016" i="75"/>
  <c r="CL1025" i="75"/>
  <c r="BT1030" i="75"/>
  <c r="BT1026" i="75"/>
  <c r="BD530" i="75"/>
  <c r="BD522" i="75"/>
  <c r="BR1119" i="75"/>
  <c r="BR1124" i="75"/>
  <c r="BZ763" i="75"/>
  <c r="BZ772" i="75"/>
  <c r="BZ793" i="75"/>
  <c r="BZ792" i="75"/>
  <c r="BZ768" i="75"/>
  <c r="BN642" i="75"/>
  <c r="BN487" i="75"/>
  <c r="BN484" i="75"/>
  <c r="BF366" i="75"/>
  <c r="BF327" i="75"/>
  <c r="BF346" i="75"/>
  <c r="CD415" i="75"/>
  <c r="CD428" i="75"/>
  <c r="BX1030" i="75"/>
  <c r="BX1004" i="75"/>
  <c r="BX1029" i="75"/>
  <c r="BT1241" i="75"/>
  <c r="BT1251" i="75"/>
  <c r="BN669" i="75"/>
  <c r="BP590" i="75"/>
  <c r="BP572" i="75"/>
  <c r="BP582" i="75"/>
  <c r="BV228" i="75"/>
  <c r="BD262" i="75"/>
  <c r="BD258" i="75"/>
  <c r="BD310" i="75"/>
  <c r="BD445" i="75"/>
  <c r="BD492" i="75"/>
  <c r="CS244" i="75"/>
  <c r="BP486" i="75"/>
  <c r="BP452" i="75"/>
  <c r="CB297" i="75"/>
  <c r="BT459" i="75"/>
  <c r="BN350" i="75"/>
  <c r="BN637" i="75"/>
  <c r="BN641" i="75"/>
  <c r="BR352" i="75"/>
  <c r="BR369" i="75"/>
  <c r="BT669" i="75"/>
  <c r="BT644" i="75"/>
  <c r="BJ929" i="75"/>
  <c r="BJ967" i="75"/>
  <c r="CW854" i="75"/>
  <c r="CR665" i="75"/>
  <c r="BJ806" i="75"/>
  <c r="BJ814" i="75"/>
  <c r="BD510" i="75"/>
  <c r="CJ847" i="75"/>
  <c r="BR1149" i="75"/>
  <c r="BR1142" i="75"/>
  <c r="BJ757" i="75"/>
  <c r="CS902" i="75"/>
  <c r="BX535" i="75"/>
  <c r="BF328" i="75"/>
  <c r="BF365" i="75"/>
  <c r="BX1026" i="75"/>
  <c r="BD324" i="75"/>
  <c r="BD362" i="75"/>
  <c r="BZ428" i="75"/>
  <c r="BF727" i="75"/>
  <c r="BN1210" i="75"/>
  <c r="BN1200" i="75"/>
  <c r="CX365" i="75"/>
  <c r="BT1275" i="75"/>
  <c r="BT1243" i="75"/>
  <c r="CQ481" i="75"/>
  <c r="BV1267" i="75"/>
  <c r="CD371" i="75"/>
  <c r="CN718" i="75"/>
  <c r="CD409" i="75"/>
  <c r="BF1083" i="75"/>
  <c r="BF1095" i="75"/>
  <c r="BX1067" i="75"/>
  <c r="BX600" i="75"/>
  <c r="BN450" i="75"/>
  <c r="CP1152" i="75"/>
  <c r="CX911" i="75"/>
  <c r="BV1012" i="75"/>
  <c r="BV1003" i="75"/>
  <c r="BP602" i="75"/>
  <c r="BP594" i="75"/>
  <c r="BL587" i="75"/>
  <c r="BL604" i="75"/>
  <c r="BL591" i="75"/>
  <c r="BV244" i="75"/>
  <c r="BD288" i="75"/>
  <c r="BD271" i="75"/>
  <c r="BD484" i="75"/>
  <c r="BD463" i="75"/>
  <c r="BV415" i="75"/>
  <c r="CS247" i="75"/>
  <c r="BP484" i="75"/>
  <c r="BP470" i="75"/>
  <c r="CB250" i="75"/>
  <c r="BN330" i="75"/>
  <c r="BN645" i="75"/>
  <c r="BR333" i="75"/>
  <c r="BL524" i="75"/>
  <c r="BT674" i="75"/>
  <c r="BT651" i="75"/>
  <c r="BJ933" i="75"/>
  <c r="BJ969" i="75"/>
  <c r="BH853" i="75"/>
  <c r="CW845" i="75"/>
  <c r="CX845" i="75" s="1"/>
  <c r="CR664" i="75"/>
  <c r="BJ808" i="75"/>
  <c r="BJ844" i="75"/>
  <c r="BD532" i="75"/>
  <c r="CJ850" i="75"/>
  <c r="BR1131" i="75"/>
  <c r="BR1156" i="75"/>
  <c r="BJ774" i="75"/>
  <c r="BV370" i="75"/>
  <c r="CS906" i="75"/>
  <c r="BJ1020" i="75"/>
  <c r="BJ1027" i="75"/>
  <c r="BF329" i="75"/>
  <c r="BF352" i="75"/>
  <c r="BX1023" i="75"/>
  <c r="BD347" i="75"/>
  <c r="BD356" i="75"/>
  <c r="BF696" i="75"/>
  <c r="BN1185" i="75"/>
  <c r="BN1198" i="75"/>
  <c r="CX364" i="75"/>
  <c r="BJ667" i="75"/>
  <c r="BT1240" i="75"/>
  <c r="BT1253" i="75"/>
  <c r="CQ489" i="75"/>
  <c r="CL1032" i="75"/>
  <c r="CP1273" i="75"/>
  <c r="CD525" i="75"/>
  <c r="BN1236" i="75"/>
  <c r="BN1245" i="75"/>
  <c r="BV1276" i="75"/>
  <c r="CD365" i="75"/>
  <c r="CN728" i="75"/>
  <c r="CN485" i="75"/>
  <c r="CD414" i="75"/>
  <c r="BF1070" i="75"/>
  <c r="BF1056" i="75"/>
  <c r="BX1094" i="75"/>
  <c r="BX592" i="75"/>
  <c r="BV852" i="75"/>
  <c r="BV827" i="75"/>
  <c r="BN463" i="75"/>
  <c r="BT582" i="75"/>
  <c r="CP1142" i="75"/>
  <c r="CF790" i="75"/>
  <c r="CF780" i="75"/>
  <c r="BP607" i="75"/>
  <c r="BP601" i="75"/>
  <c r="BV221" i="75"/>
  <c r="BD283" i="75"/>
  <c r="BD301" i="75"/>
  <c r="BD465" i="75"/>
  <c r="BD457" i="75"/>
  <c r="BD462" i="75"/>
  <c r="CS242" i="75"/>
  <c r="BP483" i="75"/>
  <c r="BP458" i="75"/>
  <c r="CB239" i="75"/>
  <c r="BN347" i="75"/>
  <c r="CL413" i="75"/>
  <c r="BN665" i="75"/>
  <c r="BR365" i="75"/>
  <c r="BL520" i="75"/>
  <c r="BT642" i="75"/>
  <c r="BV734" i="75"/>
  <c r="BJ956" i="75"/>
  <c r="BJ971" i="75"/>
  <c r="CF301" i="75"/>
  <c r="BH817" i="75"/>
  <c r="CR669" i="75"/>
  <c r="BJ811" i="75"/>
  <c r="BJ853" i="75"/>
  <c r="BD506" i="75"/>
  <c r="CJ846" i="75"/>
  <c r="BR1118" i="75"/>
  <c r="BR1138" i="75"/>
  <c r="BJ751" i="75"/>
  <c r="BV336" i="75"/>
  <c r="CS913" i="75"/>
  <c r="BJ1012" i="75"/>
  <c r="BJ1015" i="75"/>
  <c r="BF357" i="75"/>
  <c r="BF348" i="75"/>
  <c r="BX1024" i="75"/>
  <c r="BD370" i="75"/>
  <c r="BD369" i="75"/>
  <c r="BF724" i="75"/>
  <c r="BN1179" i="75"/>
  <c r="BN1193" i="75"/>
  <c r="BJ656" i="75"/>
  <c r="BJ640" i="75"/>
  <c r="BR612" i="75"/>
  <c r="BT1264" i="75"/>
  <c r="BT1247" i="75"/>
  <c r="CQ477" i="75"/>
  <c r="CR477" i="75" s="1"/>
  <c r="CL1020" i="75"/>
  <c r="BV1015" i="75"/>
  <c r="BV1011" i="75"/>
  <c r="CP1275" i="75"/>
  <c r="CD526" i="75"/>
  <c r="BV1256" i="75"/>
  <c r="CD354" i="75"/>
  <c r="CF656" i="75"/>
  <c r="CN474" i="75"/>
  <c r="CD406" i="75"/>
  <c r="BF1085" i="75"/>
  <c r="BF1059" i="75"/>
  <c r="BX1095" i="75"/>
  <c r="BX585" i="75"/>
  <c r="BV828" i="75"/>
  <c r="BV842" i="75"/>
  <c r="BN467" i="75"/>
  <c r="BT610" i="75"/>
  <c r="BH1175" i="75"/>
  <c r="BH1212" i="75"/>
  <c r="BZ1020" i="75"/>
  <c r="BZ1013" i="75"/>
  <c r="CP1148" i="75"/>
  <c r="CL790" i="75"/>
  <c r="CL782" i="75"/>
  <c r="CS245" i="75"/>
  <c r="BP477" i="75"/>
  <c r="BP479" i="75"/>
  <c r="BN341" i="75"/>
  <c r="BN651" i="75"/>
  <c r="BR344" i="75"/>
  <c r="BL517" i="75"/>
  <c r="BT638" i="75"/>
  <c r="BV712" i="75"/>
  <c r="BJ954" i="75"/>
  <c r="BJ975" i="75"/>
  <c r="CR668" i="75"/>
  <c r="BJ842" i="75"/>
  <c r="BJ810" i="75"/>
  <c r="BD540" i="75"/>
  <c r="CH303" i="75"/>
  <c r="CJ842" i="75"/>
  <c r="BR1132" i="75"/>
  <c r="BR1130" i="75"/>
  <c r="BJ785" i="75"/>
  <c r="BV347" i="75"/>
  <c r="CS911" i="75"/>
  <c r="BJ1008" i="75"/>
  <c r="BJ997" i="75"/>
  <c r="BF334" i="75"/>
  <c r="BF349" i="75"/>
  <c r="BX1005" i="75"/>
  <c r="BX1013" i="75"/>
  <c r="BD359" i="75"/>
  <c r="BD331" i="75"/>
  <c r="BF699" i="75"/>
  <c r="BN1176" i="75"/>
  <c r="BN1201" i="75"/>
  <c r="BJ632" i="75"/>
  <c r="BJ650" i="75"/>
  <c r="BT1269" i="75"/>
  <c r="BT1272" i="75"/>
  <c r="CL1029" i="75"/>
  <c r="CP1271" i="75"/>
  <c r="CD538" i="75"/>
  <c r="BZ537" i="75"/>
  <c r="BR958" i="75"/>
  <c r="CD362" i="75"/>
  <c r="CF659" i="75"/>
  <c r="CN486" i="75"/>
  <c r="CD424" i="75"/>
  <c r="BF1081" i="75"/>
  <c r="BF1054" i="75"/>
  <c r="BX1064" i="75"/>
  <c r="BX584" i="75"/>
  <c r="BV834" i="75"/>
  <c r="BV854" i="75"/>
  <c r="BN468" i="75"/>
  <c r="CN239" i="75"/>
  <c r="CN241" i="75"/>
  <c r="CP1141" i="75"/>
  <c r="BP573" i="75"/>
  <c r="BL593" i="75"/>
  <c r="BL589" i="75"/>
  <c r="BV216" i="75"/>
  <c r="BD304" i="75"/>
  <c r="BD483" i="75"/>
  <c r="BD468" i="75"/>
  <c r="BD485" i="75"/>
  <c r="BV425" i="75"/>
  <c r="CF427" i="75"/>
  <c r="BP475" i="75"/>
  <c r="BP492" i="75"/>
  <c r="CB240" i="75"/>
  <c r="BN334" i="75"/>
  <c r="BN668" i="75"/>
  <c r="BR356" i="75"/>
  <c r="BL537" i="75"/>
  <c r="BJ962" i="75"/>
  <c r="BJ937" i="75"/>
  <c r="CF295" i="75"/>
  <c r="CR674" i="75"/>
  <c r="BJ813" i="75"/>
  <c r="BJ840" i="75"/>
  <c r="BD507" i="75"/>
  <c r="CH297" i="75"/>
  <c r="CJ835" i="75"/>
  <c r="BR1128" i="75"/>
  <c r="BJ791" i="75"/>
  <c r="BV337" i="75"/>
  <c r="CS905" i="75"/>
  <c r="BJ1035" i="75"/>
  <c r="BJ994" i="75"/>
  <c r="BF361" i="75"/>
  <c r="BF358" i="75"/>
  <c r="BX1012" i="75"/>
  <c r="BX1010" i="75"/>
  <c r="BD345" i="75"/>
  <c r="BD327" i="75"/>
  <c r="BF686" i="75"/>
  <c r="BN1212" i="75"/>
  <c r="BT341" i="75"/>
  <c r="BJ629" i="75"/>
  <c r="BJ662" i="75"/>
  <c r="BT1254" i="75"/>
  <c r="BT1239" i="75"/>
  <c r="BT611" i="75"/>
  <c r="CJ1014" i="75"/>
  <c r="CL1024" i="75"/>
  <c r="BV1010" i="75"/>
  <c r="BV1033" i="75"/>
  <c r="CD541" i="75"/>
  <c r="BZ539" i="75"/>
  <c r="BR942" i="75"/>
  <c r="CD356" i="75"/>
  <c r="CF673" i="75"/>
  <c r="CN490" i="75"/>
  <c r="CD427" i="75"/>
  <c r="BF1064" i="75"/>
  <c r="BF1094" i="75"/>
  <c r="BX1083" i="75"/>
  <c r="BX583" i="75"/>
  <c r="BV846" i="75"/>
  <c r="BV829" i="75"/>
  <c r="BN456" i="75"/>
  <c r="BD790" i="75"/>
  <c r="BD762" i="75"/>
  <c r="BD758" i="75"/>
  <c r="CP1146" i="75"/>
  <c r="BL1262" i="75"/>
  <c r="BL1230" i="75"/>
  <c r="BL1265" i="75"/>
  <c r="CB844" i="75"/>
  <c r="CB824" i="75"/>
  <c r="AP55" i="113"/>
  <c r="AR55" i="113" s="1"/>
  <c r="BZ1215" i="75"/>
  <c r="CP1087" i="75"/>
  <c r="J184" i="112"/>
  <c r="H184" i="112"/>
  <c r="CJ784" i="75"/>
  <c r="CJ776" i="75"/>
  <c r="AP56" i="113"/>
  <c r="AQ56" i="113" s="1"/>
  <c r="H190" i="113"/>
  <c r="W69" i="113"/>
  <c r="Y69" i="113" s="1"/>
  <c r="AP52" i="113"/>
  <c r="CN359" i="75"/>
  <c r="CP1085" i="75"/>
  <c r="CP1081" i="75"/>
  <c r="H208" i="114"/>
  <c r="J208" i="114"/>
  <c r="J57" i="114"/>
  <c r="H57" i="114"/>
  <c r="CP1093" i="75"/>
  <c r="H156" i="112"/>
  <c r="BH385" i="75"/>
  <c r="BD865" i="75"/>
  <c r="BD893" i="75"/>
  <c r="BP1005" i="75"/>
  <c r="BF970" i="75"/>
  <c r="CQ782" i="75"/>
  <c r="CJ781" i="75"/>
  <c r="W147" i="113"/>
  <c r="Y147" i="113" s="1"/>
  <c r="CN365" i="75"/>
  <c r="CP1094" i="75"/>
  <c r="J51" i="112"/>
  <c r="H51" i="112"/>
  <c r="H142" i="114"/>
  <c r="J142" i="114"/>
  <c r="BP1007" i="75"/>
  <c r="CJ780" i="75"/>
  <c r="AP135" i="113"/>
  <c r="AQ135" i="113" s="1"/>
  <c r="AT135" i="113" s="1"/>
  <c r="BZ1195" i="75"/>
  <c r="CP1095" i="75"/>
  <c r="D131" i="113"/>
  <c r="E131" i="113" s="1"/>
  <c r="J131" i="113" s="1"/>
  <c r="BZ1191" i="75"/>
  <c r="CP1091" i="75"/>
  <c r="BP1004" i="75"/>
  <c r="D133" i="113"/>
  <c r="E133" i="113" s="1"/>
  <c r="J133" i="113" s="1"/>
  <c r="D59" i="113"/>
  <c r="E59" i="113" s="1"/>
  <c r="J59" i="113" s="1"/>
  <c r="H66" i="116"/>
  <c r="BZ1197" i="75"/>
  <c r="CP1092" i="75"/>
  <c r="BP1036" i="75"/>
  <c r="CJ790" i="75"/>
  <c r="AP132" i="113"/>
  <c r="AQ132" i="113" s="1"/>
  <c r="AT132" i="113" s="1"/>
  <c r="D57" i="113"/>
  <c r="E57" i="113" s="1"/>
  <c r="J57" i="113" s="1"/>
  <c r="J41" i="116"/>
  <c r="BZ1211" i="75"/>
  <c r="CB1084" i="75"/>
  <c r="BZ1203" i="75"/>
  <c r="CP1084" i="75"/>
  <c r="BF965" i="75"/>
  <c r="CJ778" i="75"/>
  <c r="D55" i="113"/>
  <c r="E55" i="113" s="1"/>
  <c r="J55" i="113" s="1"/>
  <c r="BZ1184" i="75"/>
  <c r="BP758" i="75"/>
  <c r="BP787" i="75"/>
  <c r="BH402" i="75"/>
  <c r="BH404" i="75"/>
  <c r="BH418" i="75"/>
  <c r="BR550" i="75"/>
  <c r="BR524" i="75"/>
  <c r="BV428" i="75"/>
  <c r="BP471" i="75"/>
  <c r="BP467" i="75"/>
  <c r="BL304" i="75"/>
  <c r="BL274" i="75"/>
  <c r="BL523" i="75"/>
  <c r="CH292" i="75"/>
  <c r="BP766" i="75"/>
  <c r="BF781" i="75"/>
  <c r="BH415" i="75"/>
  <c r="BH398" i="75"/>
  <c r="BH428" i="75"/>
  <c r="BD1002" i="75"/>
  <c r="BT310" i="75"/>
  <c r="BN1197" i="75"/>
  <c r="BT359" i="75"/>
  <c r="BV1245" i="75"/>
  <c r="BT1011" i="75"/>
  <c r="BR961" i="75"/>
  <c r="CF665" i="75"/>
  <c r="BN842" i="75"/>
  <c r="BN853" i="75"/>
  <c r="CX1094" i="75"/>
  <c r="CX1088" i="75"/>
  <c r="CX1089" i="75"/>
  <c r="BT1206" i="75"/>
  <c r="BT1199" i="75"/>
  <c r="BL275" i="75"/>
  <c r="BL287" i="75"/>
  <c r="BP754" i="75"/>
  <c r="BP778" i="75"/>
  <c r="BD1027" i="75"/>
  <c r="BT340" i="75"/>
  <c r="BN905" i="75"/>
  <c r="BN883" i="75"/>
  <c r="BL288" i="75"/>
  <c r="BL291" i="75"/>
  <c r="BP793" i="75"/>
  <c r="BP794" i="75"/>
  <c r="BD1025" i="75"/>
  <c r="BT366" i="75"/>
  <c r="BJ1261" i="75"/>
  <c r="BJ1253" i="75"/>
  <c r="BJ1245" i="75"/>
  <c r="E27" i="113"/>
  <c r="J27" i="113" s="1"/>
  <c r="F27" i="113"/>
  <c r="F21" i="113"/>
  <c r="E21" i="113"/>
  <c r="J21" i="113" s="1"/>
  <c r="AR28" i="113"/>
  <c r="AQ28" i="113"/>
  <c r="BV424" i="75"/>
  <c r="BL310" i="75"/>
  <c r="BL290" i="75"/>
  <c r="BP769" i="75"/>
  <c r="BP760" i="75"/>
  <c r="BD1059" i="75"/>
  <c r="BD1024" i="75"/>
  <c r="BT345" i="75"/>
  <c r="BN1214" i="75"/>
  <c r="BN1190" i="75"/>
  <c r="BN1196" i="75"/>
  <c r="BH1152" i="75"/>
  <c r="BH1111" i="75"/>
  <c r="BV421" i="75"/>
  <c r="CB293" i="75"/>
  <c r="BT454" i="75"/>
  <c r="BL272" i="75"/>
  <c r="BL551" i="75"/>
  <c r="BP767" i="75"/>
  <c r="BD1068" i="75"/>
  <c r="BD1030" i="75"/>
  <c r="BT295" i="75"/>
  <c r="BT342" i="75"/>
  <c r="CP733" i="75"/>
  <c r="BT1000" i="75"/>
  <c r="BV356" i="75"/>
  <c r="BV363" i="75"/>
  <c r="CU671" i="75"/>
  <c r="CU664" i="75"/>
  <c r="BV416" i="75"/>
  <c r="BT490" i="75"/>
  <c r="BL302" i="75"/>
  <c r="BP771" i="75"/>
  <c r="BD1061" i="75"/>
  <c r="BL485" i="75"/>
  <c r="BD1022" i="75"/>
  <c r="BT286" i="75"/>
  <c r="BT357" i="75"/>
  <c r="BT999" i="75"/>
  <c r="BX591" i="75"/>
  <c r="BX594" i="75"/>
  <c r="BL284" i="75"/>
  <c r="BP762" i="75"/>
  <c r="BD1008" i="75"/>
  <c r="BT339" i="75"/>
  <c r="CP721" i="75"/>
  <c r="CV1029" i="75"/>
  <c r="CV1031" i="75"/>
  <c r="BV423" i="75"/>
  <c r="BL293" i="75"/>
  <c r="BL893" i="75"/>
  <c r="BP779" i="75"/>
  <c r="BD1080" i="75"/>
  <c r="BD998" i="75"/>
  <c r="BT283" i="75"/>
  <c r="BT370" i="75"/>
  <c r="CZ1094" i="75"/>
  <c r="BN1242" i="75"/>
  <c r="BN1272" i="75"/>
  <c r="BJ823" i="75"/>
  <c r="BJ833" i="75"/>
  <c r="BJ843" i="75"/>
  <c r="BL452" i="75"/>
  <c r="BL459" i="75"/>
  <c r="BT1261" i="75"/>
  <c r="BT1238" i="75"/>
  <c r="BZ767" i="75"/>
  <c r="BZ782" i="75"/>
  <c r="BV408" i="75"/>
  <c r="BL309" i="75"/>
  <c r="BN647" i="75"/>
  <c r="BN631" i="75"/>
  <c r="BN1273" i="75"/>
  <c r="BP783" i="75"/>
  <c r="BD1070" i="75"/>
  <c r="BV345" i="75"/>
  <c r="CF531" i="75"/>
  <c r="BP218" i="75"/>
  <c r="BH422" i="75"/>
  <c r="BH390" i="75"/>
  <c r="BL446" i="75"/>
  <c r="BZ884" i="75"/>
  <c r="BD1009" i="75"/>
  <c r="BT312" i="75"/>
  <c r="BN1188" i="75"/>
  <c r="BN1205" i="75"/>
  <c r="CP723" i="75"/>
  <c r="BD782" i="75"/>
  <c r="BD740" i="75"/>
  <c r="BV1264" i="75"/>
  <c r="BZ541" i="75"/>
  <c r="BX1070" i="75"/>
  <c r="BX593" i="75"/>
  <c r="BL281" i="75"/>
  <c r="BP756" i="75"/>
  <c r="BZ882" i="75"/>
  <c r="BD1020" i="75"/>
  <c r="BR461" i="75"/>
  <c r="CP729" i="75"/>
  <c r="CP727" i="75"/>
  <c r="BN614" i="75"/>
  <c r="BN591" i="75"/>
  <c r="BL1071" i="75"/>
  <c r="BL1066" i="75"/>
  <c r="BR516" i="75"/>
  <c r="BR531" i="75"/>
  <c r="BV247" i="75"/>
  <c r="BV243" i="75"/>
  <c r="BV396" i="75"/>
  <c r="BP463" i="75"/>
  <c r="BP488" i="75"/>
  <c r="BL299" i="75"/>
  <c r="BN653" i="75"/>
  <c r="BN674" i="75"/>
  <c r="CH300" i="75"/>
  <c r="BR238" i="75"/>
  <c r="BN1276" i="75"/>
  <c r="BP782" i="75"/>
  <c r="BV358" i="75"/>
  <c r="CF540" i="75"/>
  <c r="BH408" i="75"/>
  <c r="BH420" i="75"/>
  <c r="BL464" i="75"/>
  <c r="BZ900" i="75"/>
  <c r="BD1031" i="75"/>
  <c r="CN234" i="75"/>
  <c r="BR463" i="75"/>
  <c r="BN1192" i="75"/>
  <c r="BN1209" i="75"/>
  <c r="BD750" i="75"/>
  <c r="BV1241" i="75"/>
  <c r="BZ528" i="75"/>
  <c r="BX1084" i="75"/>
  <c r="BX599" i="75"/>
  <c r="CU663" i="75"/>
  <c r="CV663" i="75" s="1"/>
  <c r="BX845" i="75"/>
  <c r="BX852" i="75"/>
  <c r="BR513" i="75"/>
  <c r="BR547" i="75"/>
  <c r="BV420" i="75"/>
  <c r="BL267" i="75"/>
  <c r="BL539" i="75"/>
  <c r="CH293" i="75"/>
  <c r="BR248" i="75"/>
  <c r="BN1264" i="75"/>
  <c r="BP764" i="75"/>
  <c r="BV359" i="75"/>
  <c r="BH419" i="75"/>
  <c r="BH416" i="75"/>
  <c r="BL456" i="75"/>
  <c r="BZ892" i="75"/>
  <c r="BD1029" i="75"/>
  <c r="BR473" i="75"/>
  <c r="BN1189" i="75"/>
  <c r="BN1199" i="75"/>
  <c r="DA1091" i="75"/>
  <c r="DB1091" i="75" s="1"/>
  <c r="BV1259" i="75"/>
  <c r="BZ521" i="75"/>
  <c r="BJ1011" i="75"/>
  <c r="BJ1006" i="75"/>
  <c r="BJ1036" i="75"/>
  <c r="CB526" i="75"/>
  <c r="CB547" i="75"/>
  <c r="BL312" i="75"/>
  <c r="BP753" i="75"/>
  <c r="BZ902" i="75"/>
  <c r="BD986" i="75"/>
  <c r="BD757" i="75"/>
  <c r="BD789" i="75"/>
  <c r="BD778" i="75"/>
  <c r="BD509" i="75"/>
  <c r="BD544" i="75"/>
  <c r="BJ764" i="75"/>
  <c r="BJ766" i="75"/>
  <c r="BL1235" i="75"/>
  <c r="BL1273" i="75"/>
  <c r="BL305" i="75"/>
  <c r="BP775" i="75"/>
  <c r="BD988" i="75"/>
  <c r="BT361" i="75"/>
  <c r="BP217" i="75"/>
  <c r="BP240" i="75"/>
  <c r="BP246" i="75"/>
  <c r="BF1087" i="75"/>
  <c r="BF1065" i="75"/>
  <c r="BL765" i="75"/>
  <c r="BL781" i="75"/>
  <c r="BD871" i="75"/>
  <c r="BD904" i="75"/>
  <c r="BP1002" i="75"/>
  <c r="BP1023" i="75"/>
  <c r="BP1022" i="75"/>
  <c r="BP998" i="75"/>
  <c r="BP1008" i="75"/>
  <c r="BP1032" i="75"/>
  <c r="BP1026" i="75"/>
  <c r="BP757" i="75"/>
  <c r="BD1013" i="75"/>
  <c r="BD983" i="75"/>
  <c r="BT337" i="75"/>
  <c r="BT1092" i="75"/>
  <c r="BD350" i="75"/>
  <c r="BD329" i="75"/>
  <c r="BP1018" i="75"/>
  <c r="BR529" i="75"/>
  <c r="BL266" i="75"/>
  <c r="BL507" i="75"/>
  <c r="CH296" i="75"/>
  <c r="CD241" i="75"/>
  <c r="BN1265" i="75"/>
  <c r="BP780" i="75"/>
  <c r="BH388" i="75"/>
  <c r="BH406" i="75"/>
  <c r="BD997" i="75"/>
  <c r="BD995" i="75"/>
  <c r="BT291" i="75"/>
  <c r="BN1175" i="75"/>
  <c r="BT360" i="75"/>
  <c r="BV1254" i="75"/>
  <c r="BT1013" i="75"/>
  <c r="BR964" i="75"/>
  <c r="BR1065" i="75"/>
  <c r="BR1069" i="75"/>
  <c r="BF914" i="75"/>
  <c r="BF894" i="75"/>
  <c r="BF322" i="75"/>
  <c r="BF344" i="75"/>
  <c r="BL271" i="75"/>
  <c r="BP761" i="75"/>
  <c r="BD982" i="75"/>
  <c r="BT354" i="75"/>
  <c r="CX1095" i="75"/>
  <c r="X35" i="113"/>
  <c r="Y35" i="113"/>
  <c r="J105" i="116"/>
  <c r="H105" i="116"/>
  <c r="BP1253" i="75"/>
  <c r="BZ1190" i="75"/>
  <c r="BD966" i="75"/>
  <c r="AR26" i="113"/>
  <c r="AQ26" i="113"/>
  <c r="BZ1214" i="75"/>
  <c r="D41" i="113"/>
  <c r="F41" i="113" s="1"/>
  <c r="W55" i="113"/>
  <c r="CN1142" i="75"/>
  <c r="CP1143" i="75"/>
  <c r="AP49" i="113"/>
  <c r="AR49" i="113" s="1"/>
  <c r="CL548" i="75"/>
  <c r="CL534" i="75"/>
  <c r="BZ1198" i="75"/>
  <c r="BZ1206" i="75"/>
  <c r="H209" i="116"/>
  <c r="J209" i="116"/>
  <c r="W51" i="113"/>
  <c r="BZ1194" i="75"/>
  <c r="H225" i="116"/>
  <c r="J225" i="116"/>
  <c r="D42" i="113"/>
  <c r="F42" i="113" s="1"/>
  <c r="BH652" i="75"/>
  <c r="BH631" i="75"/>
  <c r="AP209" i="100"/>
  <c r="CH12" i="90"/>
  <c r="CH125" i="90"/>
  <c r="CI125" i="90"/>
  <c r="CM125" i="90"/>
  <c r="D11" i="101"/>
  <c r="BF404" i="75"/>
  <c r="BH988" i="75"/>
  <c r="BH1013" i="75"/>
  <c r="BF431" i="75"/>
  <c r="BF399" i="75"/>
  <c r="BF405" i="75"/>
  <c r="CH242" i="75"/>
  <c r="BH248" i="75"/>
  <c r="CF431" i="75"/>
  <c r="BT538" i="75"/>
  <c r="BF990" i="75"/>
  <c r="BD244" i="75"/>
  <c r="BD218" i="75"/>
  <c r="BD228" i="75"/>
  <c r="BD212" i="75"/>
  <c r="BD232" i="75"/>
  <c r="BD234" i="75"/>
  <c r="BD224" i="75"/>
  <c r="BD209" i="75"/>
  <c r="BZ843" i="75"/>
  <c r="BT770" i="75"/>
  <c r="CJ306" i="75"/>
  <c r="BR1216" i="75"/>
  <c r="CS1034" i="75"/>
  <c r="CF1024" i="75"/>
  <c r="CF1029" i="75"/>
  <c r="BR1196" i="75"/>
  <c r="CV1148" i="75"/>
  <c r="CV1149" i="75"/>
  <c r="CV1147" i="75"/>
  <c r="CV1146" i="75"/>
  <c r="CV1154" i="75"/>
  <c r="CV1151" i="75"/>
  <c r="CV1152" i="75"/>
  <c r="CV1153" i="75"/>
  <c r="BL1171" i="75"/>
  <c r="BL1210" i="75"/>
  <c r="BL1203" i="75"/>
  <c r="BL1201" i="75"/>
  <c r="BL1197" i="75"/>
  <c r="BL1204" i="75"/>
  <c r="BL1185" i="75"/>
  <c r="BL1184" i="75"/>
  <c r="BL1170" i="75"/>
  <c r="BL1178" i="75"/>
  <c r="BL1216" i="75"/>
  <c r="BL1187" i="75"/>
  <c r="BL1183" i="75"/>
  <c r="BL1199" i="75"/>
  <c r="BL1202" i="75"/>
  <c r="BL1214" i="75"/>
  <c r="BL1181" i="75"/>
  <c r="BL1172" i="75"/>
  <c r="BL1176" i="75"/>
  <c r="BL1182" i="75"/>
  <c r="BL1188" i="75"/>
  <c r="BL1190" i="75"/>
  <c r="BL1173" i="75"/>
  <c r="BL1208" i="75"/>
  <c r="BL1205" i="75"/>
  <c r="BL1209" i="75"/>
  <c r="BL1207" i="75"/>
  <c r="BH226" i="75"/>
  <c r="BH236" i="75"/>
  <c r="BZ833" i="75"/>
  <c r="CF1036" i="75"/>
  <c r="CF1013" i="75"/>
  <c r="CF1033" i="75"/>
  <c r="CF1022" i="75"/>
  <c r="CF1025" i="75"/>
  <c r="CF1023" i="75"/>
  <c r="CF1030" i="75"/>
  <c r="CF1015" i="75"/>
  <c r="CF1010" i="75"/>
  <c r="CF1027" i="75"/>
  <c r="CF1011" i="75"/>
  <c r="CF1034" i="75"/>
  <c r="CF1028" i="75"/>
  <c r="CF1035" i="75"/>
  <c r="CF1017" i="75"/>
  <c r="CF1012" i="75"/>
  <c r="CH245" i="75"/>
  <c r="BF411" i="75"/>
  <c r="CH239" i="75"/>
  <c r="BL1215" i="75"/>
  <c r="CF406" i="75"/>
  <c r="BT539" i="75"/>
  <c r="BF1033" i="75"/>
  <c r="BT775" i="75"/>
  <c r="CJ290" i="75"/>
  <c r="BR1188" i="75"/>
  <c r="CS1024" i="75"/>
  <c r="BV1123" i="75"/>
  <c r="BV1149" i="75"/>
  <c r="BV1140" i="75"/>
  <c r="BV1127" i="75"/>
  <c r="BV1120" i="75"/>
  <c r="BV1148" i="75"/>
  <c r="BV1128" i="75"/>
  <c r="BV1121" i="75"/>
  <c r="BV1145" i="75"/>
  <c r="BV1133" i="75"/>
  <c r="BV1135" i="75"/>
  <c r="BV1147" i="75"/>
  <c r="BV1151" i="75"/>
  <c r="BV1139" i="75"/>
  <c r="BV1134" i="75"/>
  <c r="BV1125" i="75"/>
  <c r="BX726" i="75"/>
  <c r="BX728" i="75"/>
  <c r="BX725" i="75"/>
  <c r="BX716" i="75"/>
  <c r="BX719" i="75"/>
  <c r="BX733" i="75"/>
  <c r="BX710" i="75"/>
  <c r="BX707" i="75"/>
  <c r="BX730" i="75"/>
  <c r="BX706" i="75"/>
  <c r="BX723" i="75"/>
  <c r="BX731" i="75"/>
  <c r="BX701" i="75"/>
  <c r="BX709" i="75"/>
  <c r="BX717" i="75"/>
  <c r="BX720" i="75"/>
  <c r="BX704" i="75"/>
  <c r="BX703" i="75"/>
  <c r="BX708" i="75"/>
  <c r="BX705" i="75"/>
  <c r="BX718" i="75"/>
  <c r="BX711" i="75"/>
  <c r="BX722" i="75"/>
  <c r="BX734" i="75"/>
  <c r="BX727" i="75"/>
  <c r="BX715" i="75"/>
  <c r="CV733" i="75"/>
  <c r="CV734" i="75"/>
  <c r="CV728" i="75"/>
  <c r="CV730" i="75"/>
  <c r="CV726" i="75"/>
  <c r="CV727" i="75"/>
  <c r="CV732" i="75"/>
  <c r="CF1026" i="75"/>
  <c r="H64" i="116"/>
  <c r="J64" i="116"/>
  <c r="H226" i="116"/>
  <c r="J226" i="116"/>
  <c r="BH990" i="75"/>
  <c r="BH1023" i="75"/>
  <c r="BH1036" i="75"/>
  <c r="BF422" i="75"/>
  <c r="BF387" i="75"/>
  <c r="BF408" i="75"/>
  <c r="BT825" i="75"/>
  <c r="BT824" i="75"/>
  <c r="BL828" i="75"/>
  <c r="BL853" i="75"/>
  <c r="CH233" i="75"/>
  <c r="CH232" i="75"/>
  <c r="CF372" i="75"/>
  <c r="CF367" i="75"/>
  <c r="BH250" i="75"/>
  <c r="BH220" i="75"/>
  <c r="BL1200" i="75"/>
  <c r="CF425" i="75"/>
  <c r="BT533" i="75"/>
  <c r="BF998" i="75"/>
  <c r="BV1132" i="75"/>
  <c r="CQ781" i="75"/>
  <c r="BT759" i="75"/>
  <c r="CJ305" i="75"/>
  <c r="BJ575" i="75"/>
  <c r="BX729" i="75"/>
  <c r="BR1179" i="75"/>
  <c r="CS1031" i="75"/>
  <c r="CP481" i="75"/>
  <c r="CP476" i="75"/>
  <c r="H100" i="113"/>
  <c r="CV786" i="75"/>
  <c r="CV785" i="75"/>
  <c r="CV792" i="75"/>
  <c r="CV789" i="75"/>
  <c r="CV784" i="75"/>
  <c r="BV471" i="75"/>
  <c r="BV464" i="75"/>
  <c r="BV467" i="75"/>
  <c r="BV476" i="75"/>
  <c r="BV488" i="75"/>
  <c r="BV475" i="75"/>
  <c r="BV489" i="75"/>
  <c r="BV462" i="75"/>
  <c r="BV477" i="75"/>
  <c r="BV492" i="75"/>
  <c r="BV482" i="75"/>
  <c r="BV484" i="75"/>
  <c r="BV472" i="75"/>
  <c r="H92" i="116"/>
  <c r="J92" i="116"/>
  <c r="CF1019" i="75"/>
  <c r="J184" i="116"/>
  <c r="H184" i="116"/>
  <c r="J101" i="116"/>
  <c r="H101" i="116"/>
  <c r="J189" i="116"/>
  <c r="H189" i="116"/>
  <c r="D109" i="113"/>
  <c r="D106" i="113"/>
  <c r="W115" i="113"/>
  <c r="W119" i="113"/>
  <c r="AP105" i="113"/>
  <c r="W114" i="113"/>
  <c r="W118" i="113"/>
  <c r="D102" i="113"/>
  <c r="D105" i="113"/>
  <c r="AP101" i="113"/>
  <c r="W116" i="113"/>
  <c r="W113" i="113"/>
  <c r="AP109" i="113"/>
  <c r="AP107" i="113"/>
  <c r="D108" i="113"/>
  <c r="AP103" i="113"/>
  <c r="AP102" i="113"/>
  <c r="AP108" i="113"/>
  <c r="W111" i="113"/>
  <c r="W117" i="113"/>
  <c r="W112" i="113"/>
  <c r="D107" i="113"/>
  <c r="AP106" i="113"/>
  <c r="AP104" i="113"/>
  <c r="D103" i="113"/>
  <c r="D104" i="113"/>
  <c r="D101" i="113"/>
  <c r="BT222" i="75"/>
  <c r="BT220" i="75"/>
  <c r="BT232" i="75"/>
  <c r="BT225" i="75"/>
  <c r="BT239" i="75"/>
  <c r="BT226" i="75"/>
  <c r="BT244" i="75"/>
  <c r="BT219" i="75"/>
  <c r="BT214" i="75"/>
  <c r="BT250" i="75"/>
  <c r="BT224" i="75"/>
  <c r="BT230" i="75"/>
  <c r="BT251" i="75"/>
  <c r="BT240" i="75"/>
  <c r="BT217" i="75"/>
  <c r="BT233" i="75"/>
  <c r="BT228" i="75"/>
  <c r="BT223" i="75"/>
  <c r="BT235" i="75"/>
  <c r="BT241" i="75"/>
  <c r="J45" i="116"/>
  <c r="H45" i="116"/>
  <c r="CF1018" i="75"/>
  <c r="BZ829" i="75"/>
  <c r="BZ849" i="75"/>
  <c r="BZ825" i="75"/>
  <c r="BZ831" i="75"/>
  <c r="BZ822" i="75"/>
  <c r="BZ854" i="75"/>
  <c r="BZ844" i="75"/>
  <c r="BZ830" i="75"/>
  <c r="BZ845" i="75"/>
  <c r="BZ848" i="75"/>
  <c r="BZ828" i="75"/>
  <c r="BZ852" i="75"/>
  <c r="BZ837" i="75"/>
  <c r="BZ841" i="75"/>
  <c r="BZ851" i="75"/>
  <c r="BZ824" i="75"/>
  <c r="BZ836" i="75"/>
  <c r="BZ832" i="75"/>
  <c r="BZ827" i="75"/>
  <c r="BZ838" i="75"/>
  <c r="BZ826" i="75"/>
  <c r="BH213" i="75"/>
  <c r="BF410" i="75"/>
  <c r="BL1213" i="75"/>
  <c r="CF414" i="75"/>
  <c r="BH528" i="75"/>
  <c r="BT518" i="75"/>
  <c r="BF1005" i="75"/>
  <c r="BT776" i="75"/>
  <c r="BR1194" i="75"/>
  <c r="CF1031" i="75"/>
  <c r="BH1014" i="75"/>
  <c r="CH251" i="75"/>
  <c r="BH207" i="75"/>
  <c r="CP598" i="75"/>
  <c r="CP847" i="75"/>
  <c r="CP841" i="75"/>
  <c r="CP851" i="75"/>
  <c r="CP844" i="75"/>
  <c r="CP846" i="75"/>
  <c r="CP853" i="75"/>
  <c r="CP850" i="75"/>
  <c r="CP848" i="75"/>
  <c r="CP840" i="75"/>
  <c r="CP838" i="75"/>
  <c r="CP845" i="75"/>
  <c r="CP849" i="75"/>
  <c r="CP852" i="75"/>
  <c r="CP842" i="75"/>
  <c r="CR851" i="75"/>
  <c r="CR849" i="75"/>
  <c r="CR854" i="75"/>
  <c r="CR848" i="75"/>
  <c r="CR840" i="75"/>
  <c r="CR844" i="75"/>
  <c r="CR852" i="75"/>
  <c r="CR492" i="75"/>
  <c r="CR485" i="75"/>
  <c r="CR478" i="75"/>
  <c r="CR490" i="75"/>
  <c r="CR489" i="75"/>
  <c r="CR488" i="75"/>
  <c r="BH1135" i="75"/>
  <c r="BH1151" i="75"/>
  <c r="BH1106" i="75"/>
  <c r="BH1154" i="75"/>
  <c r="BH1114" i="75"/>
  <c r="BH1143" i="75"/>
  <c r="BH1120" i="75"/>
  <c r="BH1145" i="75"/>
  <c r="BH1122" i="75"/>
  <c r="BH1148" i="75"/>
  <c r="BH1123" i="75"/>
  <c r="BH1133" i="75"/>
  <c r="BH1134" i="75"/>
  <c r="BH1124" i="75"/>
  <c r="BH1108" i="75"/>
  <c r="BH1150" i="75"/>
  <c r="BH1132" i="75"/>
  <c r="BH1149" i="75"/>
  <c r="BH1153" i="75"/>
  <c r="BH1144" i="75"/>
  <c r="BH1126" i="75"/>
  <c r="BH1147" i="75"/>
  <c r="BH1146" i="75"/>
  <c r="BH1109" i="75"/>
  <c r="BH1125" i="75"/>
  <c r="BH1141" i="75"/>
  <c r="BH1116" i="75"/>
  <c r="BH1110" i="75"/>
  <c r="BH1131" i="75"/>
  <c r="BH1115" i="75"/>
  <c r="BH1155" i="75"/>
  <c r="BH1140" i="75"/>
  <c r="BH1128" i="75"/>
  <c r="BH1142" i="75"/>
  <c r="BH1117" i="75"/>
  <c r="BH1263" i="75"/>
  <c r="BH1264" i="75"/>
  <c r="BH1276" i="75"/>
  <c r="BH1272" i="75"/>
  <c r="BH1226" i="75"/>
  <c r="BH1230" i="75"/>
  <c r="BH1239" i="75"/>
  <c r="BH1265" i="75"/>
  <c r="BH1249" i="75"/>
  <c r="BH1237" i="75"/>
  <c r="BH1246" i="75"/>
  <c r="BH1269" i="75"/>
  <c r="BH1234" i="75"/>
  <c r="BH1259" i="75"/>
  <c r="BH1229" i="75"/>
  <c r="BH1227" i="75"/>
  <c r="BH1262" i="75"/>
  <c r="BH1247" i="75"/>
  <c r="BH1250" i="75"/>
  <c r="BH1254" i="75"/>
  <c r="BH1261" i="75"/>
  <c r="BH1270" i="75"/>
  <c r="BH1241" i="75"/>
  <c r="BH1266" i="75"/>
  <c r="BH1252" i="75"/>
  <c r="CF843" i="75"/>
  <c r="CF832" i="75"/>
  <c r="CF834" i="75"/>
  <c r="CF838" i="75"/>
  <c r="CF829" i="75"/>
  <c r="CF850" i="75"/>
  <c r="CF849" i="75"/>
  <c r="CF853" i="75"/>
  <c r="CF854" i="75"/>
  <c r="CF846" i="75"/>
  <c r="CF835" i="75"/>
  <c r="CF837" i="75"/>
  <c r="CF831" i="75"/>
  <c r="CF833" i="75"/>
  <c r="CF830" i="75"/>
  <c r="CF911" i="75"/>
  <c r="CF895" i="75"/>
  <c r="CF897" i="75"/>
  <c r="BD847" i="75"/>
  <c r="BD852" i="75"/>
  <c r="BD825" i="75"/>
  <c r="BD831" i="75"/>
  <c r="BD836" i="75"/>
  <c r="BD834" i="75"/>
  <c r="BD812" i="75"/>
  <c r="BD839" i="75"/>
  <c r="BD819" i="75"/>
  <c r="BD838" i="75"/>
  <c r="BD822" i="75"/>
  <c r="BD832" i="75"/>
  <c r="BD842" i="75"/>
  <c r="BD835" i="75"/>
  <c r="BD803" i="75"/>
  <c r="BD833" i="75"/>
  <c r="BD823" i="75"/>
  <c r="BD814" i="75"/>
  <c r="BD815" i="75"/>
  <c r="BD848" i="75"/>
  <c r="BD813" i="75"/>
  <c r="BD837" i="75"/>
  <c r="BD853" i="75"/>
  <c r="BD851" i="75"/>
  <c r="BD830" i="75"/>
  <c r="BD849" i="75"/>
  <c r="BD828" i="75"/>
  <c r="BD807" i="75"/>
  <c r="BD804" i="75"/>
  <c r="BD854" i="75"/>
  <c r="BD826" i="75"/>
  <c r="BD846" i="75"/>
  <c r="BD824" i="75"/>
  <c r="BD818" i="75"/>
  <c r="BD816" i="75"/>
  <c r="BD821" i="75"/>
  <c r="BD802" i="75"/>
  <c r="BH1032" i="75"/>
  <c r="BH1021" i="75"/>
  <c r="BH1002" i="75"/>
  <c r="BF424" i="75"/>
  <c r="BF429" i="75"/>
  <c r="BF397" i="75"/>
  <c r="BT823" i="75"/>
  <c r="BT837" i="75"/>
  <c r="BL832" i="75"/>
  <c r="BL813" i="75"/>
  <c r="BL836" i="75"/>
  <c r="CH234" i="75"/>
  <c r="CH244" i="75"/>
  <c r="CF348" i="75"/>
  <c r="CF362" i="75"/>
  <c r="CF893" i="75"/>
  <c r="BH239" i="75"/>
  <c r="BL1211" i="75"/>
  <c r="BH544" i="75"/>
  <c r="BT544" i="75"/>
  <c r="BF1013" i="75"/>
  <c r="CL962" i="75"/>
  <c r="BH1255" i="75"/>
  <c r="BV1152" i="75"/>
  <c r="CQ785" i="75"/>
  <c r="BT772" i="75"/>
  <c r="CF828" i="75"/>
  <c r="BH1107" i="75"/>
  <c r="BD805" i="75"/>
  <c r="CR853" i="75"/>
  <c r="BH937" i="75"/>
  <c r="BH929" i="75"/>
  <c r="BH927" i="75"/>
  <c r="BH963" i="75"/>
  <c r="BH934" i="75"/>
  <c r="BH964" i="75"/>
  <c r="BH953" i="75"/>
  <c r="BH975" i="75"/>
  <c r="BH926" i="75"/>
  <c r="BH942" i="75"/>
  <c r="BH954" i="75"/>
  <c r="BH952" i="75"/>
  <c r="BH939" i="75"/>
  <c r="BH960" i="75"/>
  <c r="BH968" i="75"/>
  <c r="BH931" i="75"/>
  <c r="BH967" i="75"/>
  <c r="BH948" i="75"/>
  <c r="BH959" i="75"/>
  <c r="BR644" i="75"/>
  <c r="BR664" i="75"/>
  <c r="BR674" i="75"/>
  <c r="BR638" i="75"/>
  <c r="BR656" i="75"/>
  <c r="BR668" i="75"/>
  <c r="BR651" i="75"/>
  <c r="BR634" i="75"/>
  <c r="BR647" i="75"/>
  <c r="BR652" i="75"/>
  <c r="BR672" i="75"/>
  <c r="BR646" i="75"/>
  <c r="BR667" i="75"/>
  <c r="BR635" i="75"/>
  <c r="BR666" i="75"/>
  <c r="BR640" i="75"/>
  <c r="BR669" i="75"/>
  <c r="BR641" i="75"/>
  <c r="BR636" i="75"/>
  <c r="BR659" i="75"/>
  <c r="BR671" i="75"/>
  <c r="BR660" i="75"/>
  <c r="BR649" i="75"/>
  <c r="BR654" i="75"/>
  <c r="BR655" i="75"/>
  <c r="BR658" i="75"/>
  <c r="CV1156" i="75"/>
  <c r="BH850" i="75"/>
  <c r="AU202" i="113"/>
  <c r="I205" i="113"/>
  <c r="I204" i="113"/>
  <c r="I209" i="113"/>
  <c r="AU204" i="113"/>
  <c r="AU208" i="113"/>
  <c r="AU206" i="113"/>
  <c r="AU203" i="113"/>
  <c r="AU201" i="113"/>
  <c r="I203" i="113"/>
  <c r="I202" i="113"/>
  <c r="AU209" i="113"/>
  <c r="CF1073" i="75"/>
  <c r="CF1076" i="75"/>
  <c r="CF1080" i="75"/>
  <c r="CF1072" i="75"/>
  <c r="CF1089" i="75"/>
  <c r="CF1091" i="75"/>
  <c r="CF1083" i="75"/>
  <c r="CF1079" i="75"/>
  <c r="CF1096" i="75"/>
  <c r="CF1071" i="75"/>
  <c r="CF1092" i="75"/>
  <c r="CF1082" i="75"/>
  <c r="CF1085" i="75"/>
  <c r="CF1070" i="75"/>
  <c r="CF1078" i="75"/>
  <c r="CF1090" i="75"/>
  <c r="CF1094" i="75"/>
  <c r="CF1095" i="75"/>
  <c r="CF1086" i="75"/>
  <c r="CP1200" i="75"/>
  <c r="CP1212" i="75"/>
  <c r="CB471" i="75"/>
  <c r="CB473" i="75"/>
  <c r="CB472" i="75"/>
  <c r="CB465" i="75"/>
  <c r="CB490" i="75"/>
  <c r="CB488" i="75"/>
  <c r="CB479" i="75"/>
  <c r="CB491" i="75"/>
  <c r="CB476" i="75"/>
  <c r="CB469" i="75"/>
  <c r="CB481" i="75"/>
  <c r="CB489" i="75"/>
  <c r="CB478" i="75"/>
  <c r="CB464" i="75"/>
  <c r="CB474" i="75"/>
  <c r="CB487" i="75"/>
  <c r="CB470" i="75"/>
  <c r="CB463" i="75"/>
  <c r="CB475" i="75"/>
  <c r="BF1030" i="75"/>
  <c r="BH221" i="75"/>
  <c r="BH243" i="75"/>
  <c r="BH244" i="75"/>
  <c r="BH216" i="75"/>
  <c r="BH217" i="75"/>
  <c r="BH249" i="75"/>
  <c r="BH233" i="75"/>
  <c r="BH231" i="75"/>
  <c r="BH1019" i="75"/>
  <c r="CP608" i="75"/>
  <c r="CP601" i="75"/>
  <c r="CP613" i="75"/>
  <c r="CP614" i="75"/>
  <c r="CP600" i="75"/>
  <c r="CP604" i="75"/>
  <c r="CP607" i="75"/>
  <c r="CP606" i="75"/>
  <c r="CP602" i="75"/>
  <c r="CP610" i="75"/>
  <c r="BF415" i="75"/>
  <c r="BL1189" i="75"/>
  <c r="CJ307" i="75"/>
  <c r="BF426" i="75"/>
  <c r="BH1025" i="75"/>
  <c r="BF392" i="75"/>
  <c r="CH228" i="75"/>
  <c r="CF1250" i="75"/>
  <c r="CF1264" i="75"/>
  <c r="CF1268" i="75"/>
  <c r="CF1262" i="75"/>
  <c r="CF1276" i="75"/>
  <c r="CF1265" i="75"/>
  <c r="CF1269" i="75"/>
  <c r="CF1259" i="75"/>
  <c r="CF1251" i="75"/>
  <c r="CF1275" i="75"/>
  <c r="BH998" i="75"/>
  <c r="BH206" i="75"/>
  <c r="BH218" i="75"/>
  <c r="BH546" i="75"/>
  <c r="BT766" i="75"/>
  <c r="CF1021" i="75"/>
  <c r="CP611" i="75"/>
  <c r="BH987" i="75"/>
  <c r="BH1010" i="75"/>
  <c r="BF432" i="75"/>
  <c r="BF396" i="75"/>
  <c r="BT851" i="75"/>
  <c r="BL850" i="75"/>
  <c r="CH240" i="75"/>
  <c r="CF360" i="75"/>
  <c r="CT304" i="75"/>
  <c r="BH237" i="75"/>
  <c r="BL1192" i="75"/>
  <c r="CV729" i="75"/>
  <c r="BV1150" i="75"/>
  <c r="BV674" i="75"/>
  <c r="BV670" i="75"/>
  <c r="BV653" i="75"/>
  <c r="BV672" i="75"/>
  <c r="BV658" i="75"/>
  <c r="BV640" i="75"/>
  <c r="BV661" i="75"/>
  <c r="BV666" i="75"/>
  <c r="BV657" i="75"/>
  <c r="BV641" i="75"/>
  <c r="BV668" i="75"/>
  <c r="BV656" i="75"/>
  <c r="BV643" i="75"/>
  <c r="BV646" i="75"/>
  <c r="BV662" i="75"/>
  <c r="BV667" i="75"/>
  <c r="BV638" i="75"/>
  <c r="BV647" i="75"/>
  <c r="BV642" i="75"/>
  <c r="BV655" i="75"/>
  <c r="BV645" i="75"/>
  <c r="BV663" i="75"/>
  <c r="BV644" i="75"/>
  <c r="BV650" i="75"/>
  <c r="BV664" i="75"/>
  <c r="BV654" i="75"/>
  <c r="BV648" i="75"/>
  <c r="H187" i="116"/>
  <c r="J187" i="116"/>
  <c r="CJ357" i="75"/>
  <c r="CJ358" i="75"/>
  <c r="CJ359" i="75"/>
  <c r="J60" i="113"/>
  <c r="H60" i="113"/>
  <c r="BH1004" i="75"/>
  <c r="BH1026" i="75"/>
  <c r="BH999" i="75"/>
  <c r="BF391" i="75"/>
  <c r="BF390" i="75"/>
  <c r="BF384" i="75"/>
  <c r="BT847" i="75"/>
  <c r="BT819" i="75"/>
  <c r="BL849" i="75"/>
  <c r="BL847" i="75"/>
  <c r="BL815" i="75"/>
  <c r="CH250" i="75"/>
  <c r="CF347" i="75"/>
  <c r="CT307" i="75"/>
  <c r="CF903" i="75"/>
  <c r="CF905" i="75"/>
  <c r="CJ352" i="75"/>
  <c r="BH225" i="75"/>
  <c r="BH208" i="75"/>
  <c r="BL1195" i="75"/>
  <c r="BT517" i="75"/>
  <c r="CV731" i="75"/>
  <c r="BF988" i="75"/>
  <c r="CL976" i="75"/>
  <c r="CP485" i="75"/>
  <c r="BH1235" i="75"/>
  <c r="BV1146" i="75"/>
  <c r="CQ784" i="75"/>
  <c r="BT782" i="75"/>
  <c r="BH971" i="75"/>
  <c r="BD811" i="75"/>
  <c r="CR845" i="75"/>
  <c r="CF1020" i="75"/>
  <c r="BF416" i="75"/>
  <c r="BR1190" i="75"/>
  <c r="BH1027" i="75"/>
  <c r="BH1022" i="75"/>
  <c r="BF393" i="75"/>
  <c r="BF430" i="75"/>
  <c r="BT820" i="75"/>
  <c r="BT838" i="75"/>
  <c r="BL819" i="75"/>
  <c r="BL825" i="75"/>
  <c r="BL844" i="75"/>
  <c r="CH247" i="75"/>
  <c r="CF359" i="75"/>
  <c r="CT308" i="75"/>
  <c r="CF914" i="75"/>
  <c r="CF899" i="75"/>
  <c r="CJ356" i="75"/>
  <c r="BH235" i="75"/>
  <c r="BH234" i="75"/>
  <c r="BL1212" i="75"/>
  <c r="BT536" i="75"/>
  <c r="CV724" i="75"/>
  <c r="BF985" i="75"/>
  <c r="CP478" i="75"/>
  <c r="BH1232" i="75"/>
  <c r="BV1122" i="75"/>
  <c r="CQ792" i="75"/>
  <c r="BT760" i="75"/>
  <c r="BH928" i="75"/>
  <c r="BD840" i="75"/>
  <c r="CR843" i="75"/>
  <c r="CN430" i="75"/>
  <c r="CN418" i="75"/>
  <c r="CN417" i="75"/>
  <c r="BH848" i="75"/>
  <c r="BH838" i="75"/>
  <c r="BH829" i="75"/>
  <c r="BH836" i="75"/>
  <c r="BH834" i="75"/>
  <c r="BH845" i="75"/>
  <c r="BH852" i="75"/>
  <c r="BH849" i="75"/>
  <c r="BH847" i="75"/>
  <c r="BH833" i="75"/>
  <c r="BH804" i="75"/>
  <c r="BH813" i="75"/>
  <c r="BH827" i="75"/>
  <c r="BH819" i="75"/>
  <c r="BH808" i="75"/>
  <c r="BH832" i="75"/>
  <c r="BH835" i="75"/>
  <c r="BH814" i="75"/>
  <c r="CS1036" i="75"/>
  <c r="CS1030" i="75"/>
  <c r="CS1032" i="75"/>
  <c r="CS1027" i="75"/>
  <c r="CS1028" i="75"/>
  <c r="CS1029" i="75"/>
  <c r="CS1023" i="75"/>
  <c r="CT1023" i="75" s="1"/>
  <c r="CS1026" i="75"/>
  <c r="CS1033" i="75"/>
  <c r="CS1035" i="75"/>
  <c r="CL960" i="75"/>
  <c r="CL959" i="75"/>
  <c r="CL961" i="75"/>
  <c r="CL971" i="75"/>
  <c r="CL956" i="75"/>
  <c r="CL964" i="75"/>
  <c r="CL965" i="75"/>
  <c r="CL957" i="75"/>
  <c r="CL958" i="75"/>
  <c r="CL972" i="75"/>
  <c r="CL974" i="75"/>
  <c r="BH1030" i="75"/>
  <c r="BT816" i="75"/>
  <c r="BL846" i="75"/>
  <c r="BL824" i="75"/>
  <c r="BL823" i="75"/>
  <c r="CH231" i="75"/>
  <c r="CF352" i="75"/>
  <c r="CT300" i="75"/>
  <c r="CF891" i="75"/>
  <c r="CF900" i="75"/>
  <c r="CJ371" i="75"/>
  <c r="BH252" i="75"/>
  <c r="BH246" i="75"/>
  <c r="BL1194" i="75"/>
  <c r="BT521" i="75"/>
  <c r="CV725" i="75"/>
  <c r="CL975" i="75"/>
  <c r="CP492" i="75"/>
  <c r="BH1244" i="75"/>
  <c r="BT761" i="75"/>
  <c r="BH966" i="75"/>
  <c r="BD844" i="75"/>
  <c r="BH883" i="75"/>
  <c r="BH897" i="75"/>
  <c r="BH865" i="75"/>
  <c r="BH906" i="75"/>
  <c r="BH901" i="75"/>
  <c r="BH886" i="75"/>
  <c r="BF477" i="75"/>
  <c r="BF470" i="75"/>
  <c r="BF446" i="75"/>
  <c r="BF455" i="75"/>
  <c r="BF452" i="75"/>
  <c r="BF458" i="75"/>
  <c r="BF473" i="75"/>
  <c r="BF423" i="75"/>
  <c r="CH252" i="75"/>
  <c r="BF1017" i="75"/>
  <c r="BF1011" i="75"/>
  <c r="BF1007" i="75"/>
  <c r="BF1023" i="75"/>
  <c r="BF1008" i="75"/>
  <c r="BF1024" i="75"/>
  <c r="BF989" i="75"/>
  <c r="BF1019" i="75"/>
  <c r="BF1022" i="75"/>
  <c r="BF996" i="75"/>
  <c r="BF994" i="75"/>
  <c r="BF1001" i="75"/>
  <c r="BF1018" i="75"/>
  <c r="CF410" i="75"/>
  <c r="CF415" i="75"/>
  <c r="CF430" i="75"/>
  <c r="CF412" i="75"/>
  <c r="CF416" i="75"/>
  <c r="CF407" i="75"/>
  <c r="CF422" i="75"/>
  <c r="CF428" i="75"/>
  <c r="CF413" i="75"/>
  <c r="CF417" i="75"/>
  <c r="CF419" i="75"/>
  <c r="CF424" i="75"/>
  <c r="CF420" i="75"/>
  <c r="CF426" i="75"/>
  <c r="CF421" i="75"/>
  <c r="J164" i="116"/>
  <c r="H164" i="116"/>
  <c r="BH1011" i="75"/>
  <c r="BF419" i="75"/>
  <c r="BT552" i="75"/>
  <c r="CJ490" i="75"/>
  <c r="CJ491" i="75"/>
  <c r="CJ482" i="75"/>
  <c r="CJ477" i="75"/>
  <c r="CJ474" i="75"/>
  <c r="CJ484" i="75"/>
  <c r="CJ472" i="75"/>
  <c r="CJ487" i="75"/>
  <c r="BT515" i="75"/>
  <c r="BF1032" i="75"/>
  <c r="BH1260" i="75"/>
  <c r="CR846" i="75"/>
  <c r="BX700" i="75"/>
  <c r="CP599" i="75"/>
  <c r="CV1150" i="75"/>
  <c r="BH1031" i="75"/>
  <c r="BH1006" i="75"/>
  <c r="BF402" i="75"/>
  <c r="BF406" i="75"/>
  <c r="BT853" i="75"/>
  <c r="BL842" i="75"/>
  <c r="CH238" i="75"/>
  <c r="CF354" i="75"/>
  <c r="CF894" i="75"/>
  <c r="CJ361" i="75"/>
  <c r="BH212" i="75"/>
  <c r="BH202" i="75"/>
  <c r="BH205" i="75"/>
  <c r="BL1180" i="75"/>
  <c r="BT516" i="75"/>
  <c r="BD203" i="75"/>
  <c r="BF984" i="75"/>
  <c r="CL973" i="75"/>
  <c r="CP480" i="75"/>
  <c r="BH1267" i="75"/>
  <c r="BH841" i="75"/>
  <c r="BH957" i="75"/>
  <c r="BD810" i="75"/>
  <c r="BZ901" i="75"/>
  <c r="BZ883" i="75"/>
  <c r="BZ904" i="75"/>
  <c r="BZ913" i="75"/>
  <c r="BZ893" i="75"/>
  <c r="BZ910" i="75"/>
  <c r="BZ888" i="75"/>
  <c r="BZ906" i="75"/>
  <c r="BZ903" i="75"/>
  <c r="BZ898" i="75"/>
  <c r="BZ908" i="75"/>
  <c r="BZ885" i="75"/>
  <c r="BD1053" i="75"/>
  <c r="BD1071" i="75"/>
  <c r="BD1073" i="75"/>
  <c r="BD1082" i="75"/>
  <c r="BD1055" i="75"/>
  <c r="BD1077" i="75"/>
  <c r="BD1089" i="75"/>
  <c r="BD1079" i="75"/>
  <c r="BD1043" i="75"/>
  <c r="BD1083" i="75"/>
  <c r="BD1065" i="75"/>
  <c r="BD1060" i="75"/>
  <c r="BD1090" i="75"/>
  <c r="BD1042" i="75"/>
  <c r="BD1056" i="75"/>
  <c r="BD1064" i="75"/>
  <c r="BR1031" i="75"/>
  <c r="BR1002" i="75"/>
  <c r="CF1016" i="75"/>
  <c r="CT301" i="75"/>
  <c r="CT309" i="75"/>
  <c r="BT773" i="75"/>
  <c r="BT784" i="75"/>
  <c r="BT789" i="75"/>
  <c r="BT779" i="75"/>
  <c r="BT762" i="75"/>
  <c r="BT758" i="75"/>
  <c r="BT774" i="75"/>
  <c r="BT790" i="75"/>
  <c r="BT757" i="75"/>
  <c r="BT781" i="75"/>
  <c r="BT786" i="75"/>
  <c r="BT788" i="75"/>
  <c r="BT791" i="75"/>
  <c r="BT756" i="75"/>
  <c r="BT765" i="75"/>
  <c r="BT792" i="75"/>
  <c r="BT777" i="75"/>
  <c r="BT764" i="75"/>
  <c r="BT785" i="75"/>
  <c r="BT787" i="75"/>
  <c r="BT768" i="75"/>
  <c r="BH1028" i="75"/>
  <c r="BH1016" i="75"/>
  <c r="BH995" i="75"/>
  <c r="BF427" i="75"/>
  <c r="BF395" i="75"/>
  <c r="BF413" i="75"/>
  <c r="CH249" i="75"/>
  <c r="CS547" i="75"/>
  <c r="CS542" i="75"/>
  <c r="CS548" i="75"/>
  <c r="CS550" i="75"/>
  <c r="CS552" i="75"/>
  <c r="CS546" i="75"/>
  <c r="CS549" i="75"/>
  <c r="BT821" i="75"/>
  <c r="BT817" i="75"/>
  <c r="BL838" i="75"/>
  <c r="BH1035" i="75"/>
  <c r="BH994" i="75"/>
  <c r="BF400" i="75"/>
  <c r="BF414" i="75"/>
  <c r="BT822" i="75"/>
  <c r="BT844" i="75"/>
  <c r="BL843" i="75"/>
  <c r="BL808" i="75"/>
  <c r="CH229" i="75"/>
  <c r="CF353" i="75"/>
  <c r="CT305" i="75"/>
  <c r="CF912" i="75"/>
  <c r="CJ350" i="75"/>
  <c r="BH242" i="75"/>
  <c r="BH203" i="75"/>
  <c r="BH210" i="75"/>
  <c r="BL1179" i="75"/>
  <c r="BT514" i="75"/>
  <c r="BD200" i="75"/>
  <c r="CS545" i="75"/>
  <c r="CL967" i="75"/>
  <c r="CP484" i="75"/>
  <c r="BH1228" i="75"/>
  <c r="BH824" i="75"/>
  <c r="BZ835" i="75"/>
  <c r="BT793" i="75"/>
  <c r="BT462" i="75"/>
  <c r="BT456" i="75"/>
  <c r="BH1130" i="75"/>
  <c r="BV671" i="75"/>
  <c r="BH941" i="75"/>
  <c r="BD841" i="75"/>
  <c r="CU854" i="75"/>
  <c r="CU843" i="75"/>
  <c r="CV843" i="75" s="1"/>
  <c r="BX732" i="75"/>
  <c r="CJ304" i="75"/>
  <c r="CJ295" i="75"/>
  <c r="CJ309" i="75"/>
  <c r="CJ311" i="75"/>
  <c r="CJ297" i="75"/>
  <c r="CJ294" i="75"/>
  <c r="CJ291" i="75"/>
  <c r="CJ298" i="75"/>
  <c r="CJ308" i="75"/>
  <c r="CJ301" i="75"/>
  <c r="CJ300" i="75"/>
  <c r="CJ310" i="75"/>
  <c r="CH784" i="75"/>
  <c r="CH770" i="75"/>
  <c r="CH783" i="75"/>
  <c r="CH774" i="75"/>
  <c r="CH786" i="75"/>
  <c r="CH778" i="75"/>
  <c r="CH782" i="75"/>
  <c r="CH776" i="75"/>
  <c r="CH780" i="75"/>
  <c r="CH775" i="75"/>
  <c r="CH791" i="75"/>
  <c r="CH772" i="75"/>
  <c r="CH787" i="75"/>
  <c r="CH785" i="75"/>
  <c r="CH773" i="75"/>
  <c r="CH781" i="75"/>
  <c r="CH790" i="75"/>
  <c r="CH777" i="75"/>
  <c r="CH794" i="75"/>
  <c r="CH789" i="75"/>
  <c r="CH793" i="75"/>
  <c r="CH788" i="75"/>
  <c r="CH792" i="75"/>
  <c r="CH771" i="75"/>
  <c r="CH779" i="75"/>
  <c r="CL970" i="75"/>
  <c r="BT763" i="75"/>
  <c r="BD820" i="75"/>
  <c r="BH1018" i="75"/>
  <c r="BF418" i="75"/>
  <c r="BF403" i="75"/>
  <c r="BH992" i="75"/>
  <c r="BH1015" i="75"/>
  <c r="BF382" i="75"/>
  <c r="BF381" i="75"/>
  <c r="BT852" i="75"/>
  <c r="BT830" i="75"/>
  <c r="BL814" i="75"/>
  <c r="BL834" i="75"/>
  <c r="CH235" i="75"/>
  <c r="CF356" i="75"/>
  <c r="CT302" i="75"/>
  <c r="CF896" i="75"/>
  <c r="CJ365" i="75"/>
  <c r="BH229" i="75"/>
  <c r="BH215" i="75"/>
  <c r="BH228" i="75"/>
  <c r="BL1206" i="75"/>
  <c r="CF408" i="75"/>
  <c r="BT543" i="75"/>
  <c r="BD201" i="75"/>
  <c r="CS541" i="75"/>
  <c r="CL969" i="75"/>
  <c r="BH1256" i="75"/>
  <c r="BH851" i="75"/>
  <c r="BZ850" i="75"/>
  <c r="BT778" i="75"/>
  <c r="BH1129" i="75"/>
  <c r="BV652" i="75"/>
  <c r="BH940" i="75"/>
  <c r="BD829" i="75"/>
  <c r="BX702" i="75"/>
  <c r="BP976" i="75"/>
  <c r="BP960" i="75"/>
  <c r="BP963" i="75"/>
  <c r="BP948" i="75"/>
  <c r="BX714" i="75"/>
  <c r="BX721" i="75"/>
  <c r="BX724" i="75"/>
  <c r="CF1252" i="75"/>
  <c r="BJ1067" i="75"/>
  <c r="BJ1052" i="75"/>
  <c r="BJ1057" i="75"/>
  <c r="BJ1081" i="75"/>
  <c r="BJ1079" i="75"/>
  <c r="BJ1096" i="75"/>
  <c r="BJ1071" i="75"/>
  <c r="BJ1063" i="75"/>
  <c r="BF398" i="75"/>
  <c r="CQ789" i="75"/>
  <c r="CQ794" i="75"/>
  <c r="CQ791" i="75"/>
  <c r="CQ790" i="75"/>
  <c r="CQ780" i="75"/>
  <c r="BH1000" i="75"/>
  <c r="BH986" i="75"/>
  <c r="BH1024" i="75"/>
  <c r="BF425" i="75"/>
  <c r="BF421" i="75"/>
  <c r="BT842" i="75"/>
  <c r="BT835" i="75"/>
  <c r="BL820" i="75"/>
  <c r="BL809" i="75"/>
  <c r="CH248" i="75"/>
  <c r="CF351" i="75"/>
  <c r="CT306" i="75"/>
  <c r="CF892" i="75"/>
  <c r="CJ372" i="75"/>
  <c r="BH247" i="75"/>
  <c r="BH211" i="75"/>
  <c r="BL1196" i="75"/>
  <c r="CF411" i="75"/>
  <c r="BT546" i="75"/>
  <c r="BD213" i="75"/>
  <c r="BT487" i="75"/>
  <c r="CS543" i="75"/>
  <c r="CL968" i="75"/>
  <c r="BH1243" i="75"/>
  <c r="BH807" i="75"/>
  <c r="BZ842" i="75"/>
  <c r="BT783" i="75"/>
  <c r="BH1136" i="75"/>
  <c r="BV665" i="75"/>
  <c r="BR670" i="75"/>
  <c r="BH943" i="75"/>
  <c r="BD827" i="75"/>
  <c r="BZ905" i="75"/>
  <c r="BH340" i="75"/>
  <c r="BH359" i="75"/>
  <c r="BH358" i="75"/>
  <c r="BH344" i="75"/>
  <c r="BH331" i="75"/>
  <c r="CF1273" i="75"/>
  <c r="BF383" i="75"/>
  <c r="CT550" i="75"/>
  <c r="CT540" i="75"/>
  <c r="CT545" i="75"/>
  <c r="BR1214" i="75"/>
  <c r="BR1185" i="75"/>
  <c r="BR1177" i="75"/>
  <c r="BR1197" i="75"/>
  <c r="BR1189" i="75"/>
  <c r="BR1202" i="75"/>
  <c r="BR1212" i="75"/>
  <c r="BR1205" i="75"/>
  <c r="BR1176" i="75"/>
  <c r="BR1182" i="75"/>
  <c r="BR1211" i="75"/>
  <c r="BR1207" i="75"/>
  <c r="BR1200" i="75"/>
  <c r="BR1208" i="75"/>
  <c r="BR1180" i="75"/>
  <c r="BR1198" i="75"/>
  <c r="BR1186" i="75"/>
  <c r="BR1201" i="75"/>
  <c r="BR1204" i="75"/>
  <c r="BR1181" i="75"/>
  <c r="BR1191" i="75"/>
  <c r="BR1183" i="75"/>
  <c r="BR1178" i="75"/>
  <c r="BR1184" i="75"/>
  <c r="BR1187" i="75"/>
  <c r="BR1209" i="75"/>
  <c r="BR1213" i="75"/>
  <c r="BR1192" i="75"/>
  <c r="J85" i="116"/>
  <c r="H85" i="116"/>
  <c r="BF412" i="75"/>
  <c r="BL1175" i="75"/>
  <c r="BF1029" i="75"/>
  <c r="CL966" i="75"/>
  <c r="BR1035" i="75"/>
  <c r="BH1034" i="75"/>
  <c r="BF428" i="75"/>
  <c r="BT836" i="75"/>
  <c r="BL851" i="75"/>
  <c r="BL841" i="75"/>
  <c r="CH243" i="75"/>
  <c r="CF901" i="75"/>
  <c r="BH209" i="75"/>
  <c r="BH993" i="75"/>
  <c r="BH997" i="75"/>
  <c r="BF394" i="75"/>
  <c r="BF386" i="75"/>
  <c r="BT828" i="75"/>
  <c r="BT827" i="75"/>
  <c r="BL845" i="75"/>
  <c r="BL854" i="75"/>
  <c r="CH230" i="75"/>
  <c r="CF357" i="75"/>
  <c r="CT303" i="75"/>
  <c r="CF888" i="75"/>
  <c r="CJ351" i="75"/>
  <c r="BH241" i="75"/>
  <c r="BH222" i="75"/>
  <c r="BL1174" i="75"/>
  <c r="CF429" i="75"/>
  <c r="BD215" i="75"/>
  <c r="CS551" i="75"/>
  <c r="BH1238" i="75"/>
  <c r="BH1240" i="75"/>
  <c r="BH809" i="75"/>
  <c r="BZ840" i="75"/>
  <c r="BT794" i="75"/>
  <c r="BH1112" i="75"/>
  <c r="BV673" i="75"/>
  <c r="BD808" i="75"/>
  <c r="BX712" i="75"/>
  <c r="BF770" i="75"/>
  <c r="BF790" i="75"/>
  <c r="BF789" i="75"/>
  <c r="BF783" i="75"/>
  <c r="BF794" i="75"/>
  <c r="BF745" i="75"/>
  <c r="BR1210" i="75"/>
  <c r="CF1260" i="75"/>
  <c r="BH776" i="75"/>
  <c r="BH748" i="75"/>
  <c r="BH770" i="75"/>
  <c r="BH783" i="75"/>
  <c r="BH761" i="75"/>
  <c r="BH787" i="75"/>
  <c r="BH746" i="75"/>
  <c r="BT549" i="75"/>
  <c r="BT520" i="75"/>
  <c r="BT527" i="75"/>
  <c r="BT535" i="75"/>
  <c r="BT542" i="75"/>
  <c r="BT522" i="75"/>
  <c r="BT523" i="75"/>
  <c r="BT545" i="75"/>
  <c r="BT525" i="75"/>
  <c r="BT519" i="75"/>
  <c r="BT528" i="75"/>
  <c r="BT526" i="75"/>
  <c r="BT537" i="75"/>
  <c r="BT524" i="75"/>
  <c r="BT541" i="75"/>
  <c r="BT529" i="75"/>
  <c r="BT531" i="75"/>
  <c r="BT551" i="75"/>
  <c r="BT534" i="75"/>
  <c r="BT550" i="75"/>
  <c r="J147" i="116"/>
  <c r="H147" i="116"/>
  <c r="BT849" i="75"/>
  <c r="BL812" i="75"/>
  <c r="BL810" i="75"/>
  <c r="CH241" i="75"/>
  <c r="CF364" i="75"/>
  <c r="CT312" i="75"/>
  <c r="CF889" i="75"/>
  <c r="CJ353" i="75"/>
  <c r="BH227" i="75"/>
  <c r="BH230" i="75"/>
  <c r="BL1191" i="75"/>
  <c r="CF432" i="75"/>
  <c r="BT532" i="75"/>
  <c r="BD249" i="75"/>
  <c r="CS539" i="75"/>
  <c r="CT539" i="75" s="1"/>
  <c r="BH1231" i="75"/>
  <c r="BH1275" i="75"/>
  <c r="BH826" i="75"/>
  <c r="BZ834" i="75"/>
  <c r="BT767" i="75"/>
  <c r="CF848" i="75"/>
  <c r="BH1156" i="75"/>
  <c r="BV639" i="75"/>
  <c r="BD800" i="75"/>
  <c r="CF1261" i="75"/>
  <c r="BV404" i="75"/>
  <c r="BV412" i="75"/>
  <c r="BV427" i="75"/>
  <c r="BV409" i="75"/>
  <c r="BV402" i="75"/>
  <c r="BV398" i="75"/>
  <c r="BV426" i="75"/>
  <c r="BV429" i="75"/>
  <c r="BV411" i="75"/>
  <c r="BV407" i="75"/>
  <c r="BV417" i="75"/>
  <c r="BV419" i="75"/>
  <c r="BV422" i="75"/>
  <c r="BV406" i="75"/>
  <c r="BV418" i="75"/>
  <c r="BV431" i="75"/>
  <c r="CT787" i="75"/>
  <c r="CT783" i="75"/>
  <c r="CT782" i="75"/>
  <c r="CT785" i="75"/>
  <c r="CT793" i="75"/>
  <c r="CT794" i="75"/>
  <c r="CT788" i="75"/>
  <c r="CF1014" i="75"/>
  <c r="BH1005" i="75"/>
  <c r="BH232" i="75"/>
  <c r="CH237" i="75"/>
  <c r="BH1029" i="75"/>
  <c r="BH1020" i="75"/>
  <c r="BF417" i="75"/>
  <c r="BF409" i="75"/>
  <c r="BF407" i="75"/>
  <c r="BT818" i="75"/>
  <c r="BH991" i="75"/>
  <c r="BF389" i="75"/>
  <c r="BF420" i="75"/>
  <c r="BL827" i="75"/>
  <c r="CF368" i="75"/>
  <c r="CT310" i="75"/>
  <c r="CF913" i="75"/>
  <c r="CJ369" i="75"/>
  <c r="BH240" i="75"/>
  <c r="BH238" i="75"/>
  <c r="BL1177" i="75"/>
  <c r="CF409" i="75"/>
  <c r="BT547" i="75"/>
  <c r="BD210" i="75"/>
  <c r="BT457" i="75"/>
  <c r="CS540" i="75"/>
  <c r="BH1273" i="75"/>
  <c r="BH1274" i="75"/>
  <c r="BH839" i="75"/>
  <c r="BZ853" i="75"/>
  <c r="BT771" i="75"/>
  <c r="CF847" i="75"/>
  <c r="BH1118" i="75"/>
  <c r="BV669" i="75"/>
  <c r="BR650" i="75"/>
  <c r="BF751" i="75"/>
  <c r="BZ895" i="75"/>
  <c r="BR1206" i="75"/>
  <c r="I208" i="113"/>
  <c r="CF1254" i="75"/>
  <c r="CV1207" i="75"/>
  <c r="CV1209" i="75"/>
  <c r="CV1213" i="75"/>
  <c r="CN838" i="75"/>
  <c r="CN845" i="75"/>
  <c r="CN854" i="75"/>
  <c r="CN853" i="75"/>
  <c r="CN850" i="75"/>
  <c r="CP1272" i="75"/>
  <c r="CP1270" i="75"/>
  <c r="CP1262" i="75"/>
  <c r="BR584" i="75"/>
  <c r="BR607" i="75"/>
  <c r="BR608" i="75"/>
  <c r="BR609" i="75"/>
  <c r="BR598" i="75"/>
  <c r="BR613" i="75"/>
  <c r="BR592" i="75"/>
  <c r="BR574" i="75"/>
  <c r="BR585" i="75"/>
  <c r="BR596" i="75"/>
  <c r="BR588" i="75"/>
  <c r="DA552" i="75"/>
  <c r="DA550" i="75"/>
  <c r="DA547" i="75"/>
  <c r="DB547" i="75" s="1"/>
  <c r="DA548" i="75"/>
  <c r="BJ729" i="75"/>
  <c r="BJ719" i="75"/>
  <c r="BJ695" i="75"/>
  <c r="BJ730" i="75"/>
  <c r="BJ724" i="75"/>
  <c r="CR1202" i="75"/>
  <c r="CR1214" i="75"/>
  <c r="CR1216" i="75"/>
  <c r="J104" i="116"/>
  <c r="H104" i="116"/>
  <c r="J86" i="116"/>
  <c r="H86" i="116"/>
  <c r="BD538" i="75"/>
  <c r="BD502" i="75"/>
  <c r="BJ770" i="75"/>
  <c r="BJ775" i="75"/>
  <c r="BJ747" i="75"/>
  <c r="CP1269" i="75"/>
  <c r="BT1060" i="75"/>
  <c r="BT1068" i="75"/>
  <c r="CN249" i="75"/>
  <c r="CN251" i="75"/>
  <c r="BN449" i="75"/>
  <c r="BN474" i="75"/>
  <c r="BN479" i="75"/>
  <c r="BN477" i="75"/>
  <c r="BN482" i="75"/>
  <c r="BN451" i="75"/>
  <c r="BN464" i="75"/>
  <c r="BN478" i="75"/>
  <c r="BN457" i="75"/>
  <c r="BN462" i="75"/>
  <c r="BN488" i="75"/>
  <c r="BN466" i="75"/>
  <c r="BN455" i="75"/>
  <c r="BF1051" i="75"/>
  <c r="BF1088" i="75"/>
  <c r="BF1071" i="75"/>
  <c r="BF1086" i="75"/>
  <c r="BF1067" i="75"/>
  <c r="BF1082" i="75"/>
  <c r="BF1046" i="75"/>
  <c r="BF1073" i="75"/>
  <c r="BF1078" i="75"/>
  <c r="BF1060" i="75"/>
  <c r="BF1048" i="75"/>
  <c r="BF1055" i="75"/>
  <c r="BF1091" i="75"/>
  <c r="BF1096" i="75"/>
  <c r="BF1058" i="75"/>
  <c r="BF1092" i="75"/>
  <c r="BJ642" i="75"/>
  <c r="BJ661" i="75"/>
  <c r="BJ665" i="75"/>
  <c r="BJ655" i="75"/>
  <c r="BJ668" i="75"/>
  <c r="BJ669" i="75"/>
  <c r="BJ631" i="75"/>
  <c r="BJ674" i="75"/>
  <c r="BJ628" i="75"/>
  <c r="BJ664" i="75"/>
  <c r="BJ658" i="75"/>
  <c r="BJ651" i="75"/>
  <c r="CL1156" i="75"/>
  <c r="CL1139" i="75"/>
  <c r="CL1137" i="75"/>
  <c r="CL1147" i="75"/>
  <c r="CL1141" i="75"/>
  <c r="CL1145" i="75"/>
  <c r="CL1144" i="75"/>
  <c r="CL1140" i="75"/>
  <c r="CL1146" i="75"/>
  <c r="CL1155" i="75"/>
  <c r="CL1148" i="75"/>
  <c r="CL1152" i="75"/>
  <c r="CL1138" i="75"/>
  <c r="CP1030" i="75"/>
  <c r="CP1033" i="75"/>
  <c r="CN777" i="75"/>
  <c r="CN778" i="75"/>
  <c r="CN790" i="75"/>
  <c r="BN235" i="75"/>
  <c r="BR341" i="75"/>
  <c r="BR368" i="75"/>
  <c r="BD511" i="75"/>
  <c r="BD539" i="75"/>
  <c r="BD515" i="75"/>
  <c r="BJ760" i="75"/>
  <c r="BJ788" i="75"/>
  <c r="CV307" i="75"/>
  <c r="CF724" i="75"/>
  <c r="BR582" i="75"/>
  <c r="BD1011" i="75"/>
  <c r="BD999" i="75"/>
  <c r="BD989" i="75"/>
  <c r="BD994" i="75"/>
  <c r="BD996" i="75"/>
  <c r="BD992" i="75"/>
  <c r="BD1021" i="75"/>
  <c r="BD1016" i="75"/>
  <c r="BD1006" i="75"/>
  <c r="BT280" i="75"/>
  <c r="BT288" i="75"/>
  <c r="BT276" i="75"/>
  <c r="BT279" i="75"/>
  <c r="BT304" i="75"/>
  <c r="BT309" i="75"/>
  <c r="BN217" i="75"/>
  <c r="BR358" i="75"/>
  <c r="BR367" i="75"/>
  <c r="BD526" i="75"/>
  <c r="BD543" i="75"/>
  <c r="BD499" i="75"/>
  <c r="BJ793" i="75"/>
  <c r="BJ780" i="75"/>
  <c r="CV311" i="75"/>
  <c r="CP1025" i="75"/>
  <c r="CF727" i="75"/>
  <c r="BR593" i="75"/>
  <c r="BR970" i="75"/>
  <c r="BN472" i="75"/>
  <c r="BV340" i="75"/>
  <c r="BV372" i="75"/>
  <c r="BV366" i="75"/>
  <c r="BV354" i="75"/>
  <c r="BH1191" i="75"/>
  <c r="BH1211" i="75"/>
  <c r="BH1172" i="75"/>
  <c r="BH1181" i="75"/>
  <c r="BH1207" i="75"/>
  <c r="BH1187" i="75"/>
  <c r="BH1214" i="75"/>
  <c r="BH1198" i="75"/>
  <c r="BH1186" i="75"/>
  <c r="BH1193" i="75"/>
  <c r="BH1177" i="75"/>
  <c r="BL780" i="75"/>
  <c r="BN213" i="75"/>
  <c r="BR346" i="75"/>
  <c r="BR340" i="75"/>
  <c r="CD898" i="75"/>
  <c r="CD901" i="75"/>
  <c r="BD517" i="75"/>
  <c r="BD504" i="75"/>
  <c r="BD547" i="75"/>
  <c r="BJ754" i="75"/>
  <c r="BJ777" i="75"/>
  <c r="CV310" i="75"/>
  <c r="CP1020" i="75"/>
  <c r="CF726" i="75"/>
  <c r="BR590" i="75"/>
  <c r="BJ273" i="75"/>
  <c r="BJ282" i="75"/>
  <c r="BR946" i="75"/>
  <c r="BF1090" i="75"/>
  <c r="BF1062" i="75"/>
  <c r="BN459" i="75"/>
  <c r="CP731" i="75"/>
  <c r="CP728" i="75"/>
  <c r="BN230" i="75"/>
  <c r="BR370" i="75"/>
  <c r="BR347" i="75"/>
  <c r="BD542" i="75"/>
  <c r="BD534" i="75"/>
  <c r="BD531" i="75"/>
  <c r="BJ746" i="75"/>
  <c r="BJ779" i="75"/>
  <c r="CV312" i="75"/>
  <c r="CP1022" i="75"/>
  <c r="CF730" i="75"/>
  <c r="BR606" i="75"/>
  <c r="BR972" i="75"/>
  <c r="BN491" i="75"/>
  <c r="BN886" i="75"/>
  <c r="BN893" i="75"/>
  <c r="BN911" i="75"/>
  <c r="BN897" i="75"/>
  <c r="BN870" i="75"/>
  <c r="BN875" i="75"/>
  <c r="BN901" i="75"/>
  <c r="BN913" i="75"/>
  <c r="BN880" i="75"/>
  <c r="BN877" i="75"/>
  <c r="BN871" i="75"/>
  <c r="BN884" i="75"/>
  <c r="CV910" i="75"/>
  <c r="CV911" i="75"/>
  <c r="CV908" i="75"/>
  <c r="BN209" i="75"/>
  <c r="BR361" i="75"/>
  <c r="BR353" i="75"/>
  <c r="CD886" i="75"/>
  <c r="CD913" i="75"/>
  <c r="BD516" i="75"/>
  <c r="BD520" i="75"/>
  <c r="BD524" i="75"/>
  <c r="BJ776" i="75"/>
  <c r="BJ787" i="75"/>
  <c r="CV304" i="75"/>
  <c r="CN782" i="75"/>
  <c r="CP1032" i="75"/>
  <c r="BR580" i="75"/>
  <c r="BR599" i="75"/>
  <c r="BF637" i="75"/>
  <c r="BF666" i="75"/>
  <c r="BF640" i="75"/>
  <c r="BF659" i="75"/>
  <c r="BF607" i="75"/>
  <c r="BF593" i="75"/>
  <c r="BR936" i="75"/>
  <c r="BF1049" i="75"/>
  <c r="BF1061" i="75"/>
  <c r="BN483" i="75"/>
  <c r="CQ727" i="75"/>
  <c r="CQ724" i="75"/>
  <c r="BZ522" i="75"/>
  <c r="BZ548" i="75"/>
  <c r="BZ534" i="75"/>
  <c r="BZ544" i="75"/>
  <c r="CB1154" i="75"/>
  <c r="CB1152" i="75"/>
  <c r="CF545" i="75"/>
  <c r="CF547" i="75"/>
  <c r="CF527" i="75"/>
  <c r="CF542" i="75"/>
  <c r="CF526" i="75"/>
  <c r="CF548" i="75"/>
  <c r="CF551" i="75"/>
  <c r="BX1068" i="75"/>
  <c r="BX1074" i="75"/>
  <c r="BX1063" i="75"/>
  <c r="BX1062" i="75"/>
  <c r="BX1076" i="75"/>
  <c r="BX1079" i="75"/>
  <c r="BX1071" i="75"/>
  <c r="BX1086" i="75"/>
  <c r="BX1066" i="75"/>
  <c r="BX1089" i="75"/>
  <c r="BN250" i="75"/>
  <c r="BD527" i="75"/>
  <c r="BD513" i="75"/>
  <c r="BD508" i="75"/>
  <c r="BJ790" i="75"/>
  <c r="BJ772" i="75"/>
  <c r="CV308" i="75"/>
  <c r="CR964" i="75"/>
  <c r="CN793" i="75"/>
  <c r="CN836" i="75"/>
  <c r="CP1023" i="75"/>
  <c r="BR610" i="75"/>
  <c r="BR579" i="75"/>
  <c r="BZ1008" i="75"/>
  <c r="BZ1012" i="75"/>
  <c r="BZ1016" i="75"/>
  <c r="BZ1024" i="75"/>
  <c r="BZ1017" i="75"/>
  <c r="BL760" i="75"/>
  <c r="BL787" i="75"/>
  <c r="BL792" i="75"/>
  <c r="BL785" i="75"/>
  <c r="BL749" i="75"/>
  <c r="BL778" i="75"/>
  <c r="BL771" i="75"/>
  <c r="BL762" i="75"/>
  <c r="BL788" i="75"/>
  <c r="BL789" i="75"/>
  <c r="BD864" i="75"/>
  <c r="BD870" i="75"/>
  <c r="BD897" i="75"/>
  <c r="BD880" i="75"/>
  <c r="BD874" i="75"/>
  <c r="BD884" i="75"/>
  <c r="BD912" i="75"/>
  <c r="BD885" i="75"/>
  <c r="BD868" i="75"/>
  <c r="BD911" i="75"/>
  <c r="BD867" i="75"/>
  <c r="BD901" i="75"/>
  <c r="BN215" i="75"/>
  <c r="BD548" i="75"/>
  <c r="BD523" i="75"/>
  <c r="BD498" i="75"/>
  <c r="BJ768" i="75"/>
  <c r="BJ749" i="75"/>
  <c r="CV303" i="75"/>
  <c r="CR969" i="75"/>
  <c r="CN785" i="75"/>
  <c r="CN844" i="75"/>
  <c r="CP1036" i="75"/>
  <c r="BR604" i="75"/>
  <c r="BR611" i="75"/>
  <c r="CF725" i="75"/>
  <c r="CF713" i="75"/>
  <c r="CF721" i="75"/>
  <c r="CF731" i="75"/>
  <c r="BL447" i="75"/>
  <c r="BL458" i="75"/>
  <c r="BL492" i="75"/>
  <c r="BL457" i="75"/>
  <c r="BL475" i="75"/>
  <c r="BR949" i="75"/>
  <c r="BR975" i="75"/>
  <c r="BR966" i="75"/>
  <c r="BR948" i="75"/>
  <c r="BR950" i="75"/>
  <c r="BR960" i="75"/>
  <c r="CS721" i="75"/>
  <c r="CT721" i="75" s="1"/>
  <c r="CS731" i="75"/>
  <c r="CS725" i="75"/>
  <c r="CS730" i="75"/>
  <c r="CX909" i="75"/>
  <c r="CX914" i="75"/>
  <c r="CX912" i="75"/>
  <c r="BP1030" i="75"/>
  <c r="BP1028" i="75"/>
  <c r="BP1013" i="75"/>
  <c r="BP1029" i="75"/>
  <c r="BP1027" i="75"/>
  <c r="BP996" i="75"/>
  <c r="BP1025" i="75"/>
  <c r="BP1021" i="75"/>
  <c r="BP1019" i="75"/>
  <c r="BP1031" i="75"/>
  <c r="BP1000" i="75"/>
  <c r="BP1003" i="75"/>
  <c r="BP1020" i="75"/>
  <c r="BP1033" i="75"/>
  <c r="BP997" i="75"/>
  <c r="BP1034" i="75"/>
  <c r="BP1016" i="75"/>
  <c r="BP1024" i="75"/>
  <c r="BP1017" i="75"/>
  <c r="BP1010" i="75"/>
  <c r="BP994" i="75"/>
  <c r="BP1006" i="75"/>
  <c r="BP1001" i="75"/>
  <c r="BN237" i="75"/>
  <c r="BR364" i="75"/>
  <c r="BR345" i="75"/>
  <c r="BD533" i="75"/>
  <c r="BD525" i="75"/>
  <c r="BD514" i="75"/>
  <c r="BJ765" i="75"/>
  <c r="BJ756" i="75"/>
  <c r="CV302" i="75"/>
  <c r="CR970" i="75"/>
  <c r="CN786" i="75"/>
  <c r="CN843" i="75"/>
  <c r="CP1021" i="75"/>
  <c r="BR603" i="75"/>
  <c r="BR587" i="75"/>
  <c r="CF492" i="75"/>
  <c r="CF469" i="75"/>
  <c r="BJ723" i="75"/>
  <c r="BX651" i="75"/>
  <c r="BX659" i="75"/>
  <c r="BX669" i="75"/>
  <c r="BX641" i="75"/>
  <c r="BX663" i="75"/>
  <c r="BX648" i="75"/>
  <c r="BX667" i="75"/>
  <c r="BX657" i="75"/>
  <c r="BX642" i="75"/>
  <c r="BX652" i="75"/>
  <c r="BN242" i="75"/>
  <c r="BR342" i="75"/>
  <c r="BR355" i="75"/>
  <c r="CD907" i="75"/>
  <c r="BD536" i="75"/>
  <c r="BD503" i="75"/>
  <c r="BR231" i="75"/>
  <c r="BJ752" i="75"/>
  <c r="CV309" i="75"/>
  <c r="CR972" i="75"/>
  <c r="CN791" i="75"/>
  <c r="CN837" i="75"/>
  <c r="CP1031" i="75"/>
  <c r="BD1014" i="75"/>
  <c r="CN240" i="75"/>
  <c r="BR583" i="75"/>
  <c r="BR614" i="75"/>
  <c r="CH358" i="75"/>
  <c r="CH371" i="75"/>
  <c r="BF1066" i="75"/>
  <c r="BF1089" i="75"/>
  <c r="BN476" i="75"/>
  <c r="CB1028" i="75"/>
  <c r="CB1032" i="75"/>
  <c r="CX907" i="75"/>
  <c r="J87" i="116"/>
  <c r="H87" i="116"/>
  <c r="H183" i="116"/>
  <c r="J183" i="116"/>
  <c r="BH1072" i="75"/>
  <c r="BH1077" i="75"/>
  <c r="BH1060" i="75"/>
  <c r="J69" i="116"/>
  <c r="H69" i="116"/>
  <c r="J141" i="116"/>
  <c r="H141" i="116"/>
  <c r="W64" i="113"/>
  <c r="W67" i="113"/>
  <c r="W68" i="113"/>
  <c r="D52" i="113"/>
  <c r="AP57" i="113"/>
  <c r="D58" i="113"/>
  <c r="AP54" i="113"/>
  <c r="AP53" i="113"/>
  <c r="AP59" i="113"/>
  <c r="W62" i="113"/>
  <c r="W61" i="113"/>
  <c r="W65" i="113"/>
  <c r="D53" i="113"/>
  <c r="W63" i="113"/>
  <c r="W66" i="113"/>
  <c r="D51" i="113"/>
  <c r="J202" i="116"/>
  <c r="H202" i="116"/>
  <c r="CD1188" i="75"/>
  <c r="CD1209" i="75"/>
  <c r="CD1206" i="75"/>
  <c r="CD1198" i="75"/>
  <c r="CD1205" i="75"/>
  <c r="J203" i="116"/>
  <c r="H203" i="116"/>
  <c r="H227" i="116"/>
  <c r="J227" i="116"/>
  <c r="AB127" i="113"/>
  <c r="I117" i="113"/>
  <c r="AU115" i="113"/>
  <c r="I112" i="113"/>
  <c r="AU113" i="113"/>
  <c r="AU118" i="113"/>
  <c r="I116" i="113"/>
  <c r="AB126" i="113"/>
  <c r="I115" i="113"/>
  <c r="AB122" i="113"/>
  <c r="I113" i="113"/>
  <c r="AU119" i="113"/>
  <c r="AU111" i="113"/>
  <c r="I118" i="113"/>
  <c r="AU112" i="113"/>
  <c r="AU114" i="113"/>
  <c r="AB124" i="113"/>
  <c r="I119" i="113"/>
  <c r="AB123" i="113"/>
  <c r="AB121" i="113"/>
  <c r="AU116" i="113"/>
  <c r="I114" i="113"/>
  <c r="AU117" i="113"/>
  <c r="AB125" i="113"/>
  <c r="I111" i="113"/>
  <c r="AB128" i="113"/>
  <c r="AB129" i="113"/>
  <c r="H29" i="116"/>
  <c r="J29" i="116"/>
  <c r="H142" i="116"/>
  <c r="J142" i="116"/>
  <c r="AU102" i="113"/>
  <c r="AB116" i="113"/>
  <c r="AU104" i="113"/>
  <c r="AU103" i="113"/>
  <c r="I105" i="113"/>
  <c r="I109" i="113"/>
  <c r="I107" i="113"/>
  <c r="AU107" i="113"/>
  <c r="AB118" i="113"/>
  <c r="AU101" i="113"/>
  <c r="AB114" i="113"/>
  <c r="AB115" i="113"/>
  <c r="AU109" i="113"/>
  <c r="AB112" i="113"/>
  <c r="AU106" i="113"/>
  <c r="I108" i="113"/>
  <c r="I101" i="113"/>
  <c r="AB119" i="113"/>
  <c r="AB113" i="113"/>
  <c r="AU108" i="113"/>
  <c r="I102" i="113"/>
  <c r="I103" i="113"/>
  <c r="AU105" i="113"/>
  <c r="I106" i="113"/>
  <c r="AB117" i="113"/>
  <c r="AB111" i="113"/>
  <c r="I104" i="113"/>
  <c r="H61" i="116"/>
  <c r="J61" i="116"/>
  <c r="BH1092" i="75"/>
  <c r="BH1065" i="75"/>
  <c r="BF872" i="75"/>
  <c r="BF898" i="75"/>
  <c r="BP1268" i="75"/>
  <c r="BP1258" i="75"/>
  <c r="BP1269" i="75"/>
  <c r="BP1266" i="75"/>
  <c r="BP1250" i="75"/>
  <c r="CN1139" i="75"/>
  <c r="J43" i="116"/>
  <c r="H43" i="116"/>
  <c r="J181" i="116"/>
  <c r="H181" i="116"/>
  <c r="CN1154" i="75"/>
  <c r="BD1180" i="75"/>
  <c r="BD1210" i="75"/>
  <c r="BD1193" i="75"/>
  <c r="BD1203" i="75"/>
  <c r="BD1215" i="75"/>
  <c r="BD1162" i="75"/>
  <c r="BD1202" i="75"/>
  <c r="BD1207" i="75"/>
  <c r="BD1214" i="75"/>
  <c r="BD1211" i="75"/>
  <c r="BD1163" i="75"/>
  <c r="J130" i="113"/>
  <c r="H130" i="113"/>
  <c r="J143" i="116"/>
  <c r="H143" i="116"/>
  <c r="J169" i="116"/>
  <c r="H169" i="116"/>
  <c r="H167" i="116"/>
  <c r="J167" i="116"/>
  <c r="BH1070" i="75"/>
  <c r="BH1062" i="75"/>
  <c r="BD788" i="75"/>
  <c r="BD759" i="75"/>
  <c r="CN1138" i="75"/>
  <c r="J166" i="116"/>
  <c r="H166" i="116"/>
  <c r="W142" i="113"/>
  <c r="AP133" i="113"/>
  <c r="AP138" i="113"/>
  <c r="D138" i="113"/>
  <c r="AP139" i="113"/>
  <c r="AP134" i="113"/>
  <c r="AP136" i="113"/>
  <c r="BH1059" i="75"/>
  <c r="BH1084" i="75"/>
  <c r="BD784" i="75"/>
  <c r="CN1151" i="75"/>
  <c r="CJ911" i="75"/>
  <c r="CJ904" i="75"/>
  <c r="CJ909" i="75"/>
  <c r="CJ893" i="75"/>
  <c r="J204" i="116"/>
  <c r="H204" i="116"/>
  <c r="CN1144" i="75"/>
  <c r="BF598" i="75"/>
  <c r="BJ614" i="75"/>
  <c r="BV731" i="75"/>
  <c r="BV728" i="75"/>
  <c r="BV720" i="75"/>
  <c r="BV729" i="75"/>
  <c r="CD967" i="75"/>
  <c r="CD963" i="75"/>
  <c r="CD972" i="75"/>
  <c r="CD954" i="75"/>
  <c r="CD968" i="75"/>
  <c r="CD952" i="75"/>
  <c r="CD974" i="75"/>
  <c r="CD970" i="75"/>
  <c r="CD975" i="75"/>
  <c r="CD956" i="75"/>
  <c r="CD971" i="75"/>
  <c r="CD951" i="75"/>
  <c r="CD973" i="75"/>
  <c r="CD842" i="75"/>
  <c r="CD840" i="75"/>
  <c r="CD852" i="75"/>
  <c r="CF483" i="75"/>
  <c r="CF484" i="75"/>
  <c r="CJ1149" i="75"/>
  <c r="CJ1134" i="75"/>
  <c r="CJ1136" i="75"/>
  <c r="BZ669" i="75"/>
  <c r="BZ647" i="75"/>
  <c r="BZ652" i="75"/>
  <c r="BZ662" i="75"/>
  <c r="BF289" i="75"/>
  <c r="BJ205" i="75"/>
  <c r="BJ219" i="75"/>
  <c r="BJ209" i="75"/>
  <c r="BP415" i="75"/>
  <c r="BP411" i="75"/>
  <c r="BH512" i="75"/>
  <c r="CB283" i="75"/>
  <c r="BH349" i="75"/>
  <c r="BH371" i="75"/>
  <c r="BV707" i="75"/>
  <c r="BV732" i="75"/>
  <c r="BZ646" i="75"/>
  <c r="BZ644" i="75"/>
  <c r="CD845" i="75"/>
  <c r="BR225" i="75"/>
  <c r="BF580" i="75"/>
  <c r="BJ570" i="75"/>
  <c r="BR466" i="75"/>
  <c r="CF478" i="75"/>
  <c r="CB1126" i="75"/>
  <c r="CV1036" i="75"/>
  <c r="CD953" i="75"/>
  <c r="CD432" i="75"/>
  <c r="CD412" i="75"/>
  <c r="CD411" i="75"/>
  <c r="CD425" i="75"/>
  <c r="CD418" i="75"/>
  <c r="CD421" i="75"/>
  <c r="BX1016" i="75"/>
  <c r="BX1006" i="75"/>
  <c r="BX1008" i="75"/>
  <c r="BX1002" i="75"/>
  <c r="BF285" i="75"/>
  <c r="BF263" i="75"/>
  <c r="BF287" i="75"/>
  <c r="BF282" i="75"/>
  <c r="BJ239" i="75"/>
  <c r="BJ215" i="75"/>
  <c r="BJ229" i="75"/>
  <c r="BP423" i="75"/>
  <c r="BP432" i="75"/>
  <c r="BF1131" i="75"/>
  <c r="BH511" i="75"/>
  <c r="CB308" i="75"/>
  <c r="BL301" i="75"/>
  <c r="BL268" i="75"/>
  <c r="BH334" i="75"/>
  <c r="BH347" i="75"/>
  <c r="BV715" i="75"/>
  <c r="BV709" i="75"/>
  <c r="BZ656" i="75"/>
  <c r="BZ650" i="75"/>
  <c r="CD853" i="75"/>
  <c r="BR246" i="75"/>
  <c r="BF574" i="75"/>
  <c r="BJ599" i="75"/>
  <c r="BR480" i="75"/>
  <c r="CF488" i="75"/>
  <c r="CV1032" i="75"/>
  <c r="CU604" i="75"/>
  <c r="CU606" i="75"/>
  <c r="CJ483" i="75"/>
  <c r="CJ478" i="75"/>
  <c r="BZ1033" i="75"/>
  <c r="BZ1007" i="75"/>
  <c r="BZ1031" i="75"/>
  <c r="BZ1006" i="75"/>
  <c r="BZ1030" i="75"/>
  <c r="CD958" i="75"/>
  <c r="BL1152" i="75"/>
  <c r="BL1141" i="75"/>
  <c r="BL1121" i="75"/>
  <c r="BL1145" i="75"/>
  <c r="BF265" i="75"/>
  <c r="BF312" i="75"/>
  <c r="BF310" i="75"/>
  <c r="BJ223" i="75"/>
  <c r="BJ207" i="75"/>
  <c r="BJ227" i="75"/>
  <c r="BP406" i="75"/>
  <c r="BP390" i="75"/>
  <c r="BH525" i="75"/>
  <c r="CB311" i="75"/>
  <c r="BH333" i="75"/>
  <c r="BH360" i="75"/>
  <c r="BV724" i="75"/>
  <c r="BV700" i="75"/>
  <c r="BZ655" i="75"/>
  <c r="BZ649" i="75"/>
  <c r="CD844" i="75"/>
  <c r="BR237" i="75"/>
  <c r="CB783" i="75"/>
  <c r="BJ607" i="75"/>
  <c r="BR459" i="75"/>
  <c r="CF479" i="75"/>
  <c r="BJ1058" i="75"/>
  <c r="BJ1056" i="75"/>
  <c r="CT790" i="75"/>
  <c r="CT784" i="75"/>
  <c r="CD959" i="75"/>
  <c r="BF308" i="75"/>
  <c r="BF300" i="75"/>
  <c r="BF288" i="75"/>
  <c r="BJ218" i="75"/>
  <c r="BJ236" i="75"/>
  <c r="BJ234" i="75"/>
  <c r="BP391" i="75"/>
  <c r="BP404" i="75"/>
  <c r="BF1127" i="75"/>
  <c r="BH541" i="75"/>
  <c r="CB296" i="75"/>
  <c r="BH348" i="75"/>
  <c r="BH353" i="75"/>
  <c r="BV706" i="75"/>
  <c r="BV716" i="75"/>
  <c r="BZ658" i="75"/>
  <c r="BZ670" i="75"/>
  <c r="CD851" i="75"/>
  <c r="BR213" i="75"/>
  <c r="BJ598" i="75"/>
  <c r="BR471" i="75"/>
  <c r="CH552" i="75"/>
  <c r="CH541" i="75"/>
  <c r="CH549" i="75"/>
  <c r="BN1241" i="75"/>
  <c r="BN1237" i="75"/>
  <c r="BN1253" i="75"/>
  <c r="BN1257" i="75"/>
  <c r="BN1263" i="75"/>
  <c r="BX543" i="75"/>
  <c r="BX534" i="75"/>
  <c r="CF481" i="75"/>
  <c r="BT350" i="75"/>
  <c r="BT371" i="75"/>
  <c r="CV1212" i="75"/>
  <c r="CV1214" i="75"/>
  <c r="CD950" i="75"/>
  <c r="CP603" i="75"/>
  <c r="CP612" i="75"/>
  <c r="CP605" i="75"/>
  <c r="CD962" i="75"/>
  <c r="BF262" i="75"/>
  <c r="BF302" i="75"/>
  <c r="BF306" i="75"/>
  <c r="BJ221" i="75"/>
  <c r="BJ250" i="75"/>
  <c r="BP403" i="75"/>
  <c r="BP420" i="75"/>
  <c r="CS252" i="75"/>
  <c r="BF1122" i="75"/>
  <c r="BH539" i="75"/>
  <c r="CB307" i="75"/>
  <c r="BL280" i="75"/>
  <c r="BL273" i="75"/>
  <c r="BN251" i="75"/>
  <c r="BH336" i="75"/>
  <c r="BV714" i="75"/>
  <c r="BV730" i="75"/>
  <c r="BZ654" i="75"/>
  <c r="CD850" i="75"/>
  <c r="CH530" i="75"/>
  <c r="BR250" i="75"/>
  <c r="BN1260" i="75"/>
  <c r="BD1049" i="75"/>
  <c r="BD1067" i="75"/>
  <c r="BJ1086" i="75"/>
  <c r="BL486" i="75"/>
  <c r="CN849" i="75"/>
  <c r="BJ606" i="75"/>
  <c r="BR469" i="75"/>
  <c r="BT355" i="75"/>
  <c r="BF775" i="75"/>
  <c r="BF746" i="75"/>
  <c r="CF712" i="75"/>
  <c r="CF729" i="75"/>
  <c r="BZ547" i="75"/>
  <c r="BT1023" i="75"/>
  <c r="CJ473" i="75"/>
  <c r="CT792" i="75"/>
  <c r="BJ781" i="75"/>
  <c r="BJ789" i="75"/>
  <c r="BJ748" i="75"/>
  <c r="BJ784" i="75"/>
  <c r="BJ761" i="75"/>
  <c r="CD949" i="75"/>
  <c r="BR226" i="75"/>
  <c r="BR221" i="75"/>
  <c r="BR242" i="75"/>
  <c r="BF303" i="75"/>
  <c r="BF272" i="75"/>
  <c r="BF275" i="75"/>
  <c r="BJ232" i="75"/>
  <c r="BJ204" i="75"/>
  <c r="BP417" i="75"/>
  <c r="BP418" i="75"/>
  <c r="BF1140" i="75"/>
  <c r="BH531" i="75"/>
  <c r="BH518" i="75"/>
  <c r="CB309" i="75"/>
  <c r="BH366" i="75"/>
  <c r="BV708" i="75"/>
  <c r="BV733" i="75"/>
  <c r="BZ659" i="75"/>
  <c r="CD832" i="75"/>
  <c r="BR239" i="75"/>
  <c r="BR222" i="75"/>
  <c r="BR832" i="75"/>
  <c r="BR829" i="75"/>
  <c r="BF705" i="75"/>
  <c r="BF687" i="75"/>
  <c r="BF728" i="75"/>
  <c r="CD969" i="75"/>
  <c r="BJ233" i="75"/>
  <c r="BJ228" i="75"/>
  <c r="BP394" i="75"/>
  <c r="BP413" i="75"/>
  <c r="BF1108" i="75"/>
  <c r="BH520" i="75"/>
  <c r="BH551" i="75"/>
  <c r="CB288" i="75"/>
  <c r="BL285" i="75"/>
  <c r="BL292" i="75"/>
  <c r="BH329" i="75"/>
  <c r="BH362" i="75"/>
  <c r="BV710" i="75"/>
  <c r="BV726" i="75"/>
  <c r="BZ663" i="75"/>
  <c r="CD828" i="75"/>
  <c r="CD848" i="75"/>
  <c r="BR230" i="75"/>
  <c r="BR244" i="75"/>
  <c r="BH893" i="75"/>
  <c r="BH890" i="75"/>
  <c r="CF660" i="75"/>
  <c r="CF668" i="75"/>
  <c r="CS909" i="75"/>
  <c r="CS910" i="75"/>
  <c r="CD976" i="75"/>
  <c r="CF769" i="75"/>
  <c r="CF783" i="75"/>
  <c r="BH335" i="75"/>
  <c r="CB658" i="75"/>
  <c r="CB648" i="75"/>
  <c r="BR455" i="75"/>
  <c r="BR462" i="75"/>
  <c r="BF274" i="75"/>
  <c r="BF269" i="75"/>
  <c r="BF292" i="75"/>
  <c r="BJ246" i="75"/>
  <c r="BJ240" i="75"/>
  <c r="BP412" i="75"/>
  <c r="BP395" i="75"/>
  <c r="BF1126" i="75"/>
  <c r="BH516" i="75"/>
  <c r="BH506" i="75"/>
  <c r="CB285" i="75"/>
  <c r="BL308" i="75"/>
  <c r="BL283" i="75"/>
  <c r="BH365" i="75"/>
  <c r="BH330" i="75"/>
  <c r="BV701" i="75"/>
  <c r="BV698" i="75"/>
  <c r="BZ664" i="75"/>
  <c r="CD854" i="75"/>
  <c r="CD831" i="75"/>
  <c r="BR217" i="75"/>
  <c r="BR240" i="75"/>
  <c r="CN779" i="75"/>
  <c r="CN788" i="75"/>
  <c r="CN789" i="75"/>
  <c r="CJ1150" i="75"/>
  <c r="BH351" i="75"/>
  <c r="BJ588" i="75"/>
  <c r="BF273" i="75"/>
  <c r="BF266" i="75"/>
  <c r="BF278" i="75"/>
  <c r="BF311" i="75"/>
  <c r="BF268" i="75"/>
  <c r="BF283" i="75"/>
  <c r="BJ244" i="75"/>
  <c r="BJ208" i="75"/>
  <c r="BP426" i="75"/>
  <c r="BP398" i="75"/>
  <c r="BH543" i="75"/>
  <c r="BH524" i="75"/>
  <c r="CB306" i="75"/>
  <c r="BL282" i="75"/>
  <c r="BL278" i="75"/>
  <c r="BN236" i="75"/>
  <c r="BH352" i="75"/>
  <c r="BH325" i="75"/>
  <c r="BV711" i="75"/>
  <c r="BV722" i="75"/>
  <c r="BZ642" i="75"/>
  <c r="CD833" i="75"/>
  <c r="CD847" i="75"/>
  <c r="CH548" i="75"/>
  <c r="BR228" i="75"/>
  <c r="BR214" i="75"/>
  <c r="BN1252" i="75"/>
  <c r="BN1244" i="75"/>
  <c r="BD1093" i="75"/>
  <c r="BD1051" i="75"/>
  <c r="BJ1070" i="75"/>
  <c r="CH362" i="75"/>
  <c r="CN851" i="75"/>
  <c r="BF720" i="75"/>
  <c r="BT356" i="75"/>
  <c r="CJ471" i="75"/>
  <c r="CD419" i="75"/>
  <c r="CT789" i="75"/>
  <c r="CQ492" i="75"/>
  <c r="CQ486" i="75"/>
  <c r="BP392" i="75"/>
  <c r="BF281" i="75"/>
  <c r="BJ226" i="75"/>
  <c r="BJ248" i="75"/>
  <c r="BP422" i="75"/>
  <c r="BP407" i="75"/>
  <c r="BH526" i="75"/>
  <c r="BH529" i="75"/>
  <c r="CB301" i="75"/>
  <c r="BH342" i="75"/>
  <c r="BH327" i="75"/>
  <c r="BV719" i="75"/>
  <c r="BV705" i="75"/>
  <c r="BZ672" i="75"/>
  <c r="CD837" i="75"/>
  <c r="CD829" i="75"/>
  <c r="BR243" i="75"/>
  <c r="CJ1141" i="75"/>
  <c r="BN849" i="75"/>
  <c r="BN837" i="75"/>
  <c r="BN812" i="75"/>
  <c r="BN844" i="75"/>
  <c r="BN843" i="75"/>
  <c r="BJ241" i="75"/>
  <c r="BJ252" i="75"/>
  <c r="BH519" i="75"/>
  <c r="BH521" i="75"/>
  <c r="CB305" i="75"/>
  <c r="CB300" i="75"/>
  <c r="BH368" i="75"/>
  <c r="BH350" i="75"/>
  <c r="BV713" i="75"/>
  <c r="BZ665" i="75"/>
  <c r="CD830" i="75"/>
  <c r="CD836" i="75"/>
  <c r="BR220" i="75"/>
  <c r="CJ1148" i="75"/>
  <c r="CP1027" i="75"/>
  <c r="CP1024" i="75"/>
  <c r="CP1026" i="75"/>
  <c r="CN235" i="75"/>
  <c r="CN248" i="75"/>
  <c r="CN242" i="75"/>
  <c r="BF280" i="75"/>
  <c r="BF261" i="75"/>
  <c r="BF307" i="75"/>
  <c r="BF305" i="75"/>
  <c r="BF291" i="75"/>
  <c r="BP409" i="75"/>
  <c r="BP424" i="75"/>
  <c r="BF295" i="75"/>
  <c r="BF309" i="75"/>
  <c r="BF279" i="75"/>
  <c r="BJ245" i="75"/>
  <c r="BJ251" i="75"/>
  <c r="BP400" i="75"/>
  <c r="BP401" i="75"/>
  <c r="BD444" i="75"/>
  <c r="BD467" i="75"/>
  <c r="BD489" i="75"/>
  <c r="BH508" i="75"/>
  <c r="BH530" i="75"/>
  <c r="BD251" i="75"/>
  <c r="CB290" i="75"/>
  <c r="CB292" i="75"/>
  <c r="BT482" i="75"/>
  <c r="BL295" i="75"/>
  <c r="BL297" i="75"/>
  <c r="BL300" i="75"/>
  <c r="BH364" i="75"/>
  <c r="BH357" i="75"/>
  <c r="BV727" i="75"/>
  <c r="BZ666" i="75"/>
  <c r="CD838" i="75"/>
  <c r="CD826" i="75"/>
  <c r="CH538" i="75"/>
  <c r="BR249" i="75"/>
  <c r="BN1247" i="75"/>
  <c r="BN1233" i="75"/>
  <c r="BD1048" i="75"/>
  <c r="BJ1075" i="75"/>
  <c r="BF658" i="75"/>
  <c r="BF765" i="75"/>
  <c r="BL468" i="75"/>
  <c r="BF725" i="75"/>
  <c r="CF708" i="75"/>
  <c r="BT334" i="75"/>
  <c r="CJ1139" i="75"/>
  <c r="BT1024" i="75"/>
  <c r="CV1026" i="75"/>
  <c r="CD426" i="75"/>
  <c r="CT791" i="75"/>
  <c r="BD1015" i="75"/>
  <c r="BD1035" i="75"/>
  <c r="BD984" i="75"/>
  <c r="BD990" i="75"/>
  <c r="BP841" i="75"/>
  <c r="BP827" i="75"/>
  <c r="BT655" i="75"/>
  <c r="BT640" i="75"/>
  <c r="BT668" i="75"/>
  <c r="BT657" i="75"/>
  <c r="BH507" i="75"/>
  <c r="BH552" i="75"/>
  <c r="CB291" i="75"/>
  <c r="BH356" i="75"/>
  <c r="BH338" i="75"/>
  <c r="BV717" i="75"/>
  <c r="BZ661" i="75"/>
  <c r="CD846" i="75"/>
  <c r="BR227" i="75"/>
  <c r="CJ1152" i="75"/>
  <c r="CN840" i="75"/>
  <c r="CN847" i="75"/>
  <c r="BD1075" i="75"/>
  <c r="BD1086" i="75"/>
  <c r="BD1069" i="75"/>
  <c r="BD1063" i="75"/>
  <c r="BD1074" i="75"/>
  <c r="BD1052" i="75"/>
  <c r="CV1035" i="75"/>
  <c r="BF296" i="75"/>
  <c r="BJ222" i="75"/>
  <c r="BJ217" i="75"/>
  <c r="BP429" i="75"/>
  <c r="BP425" i="75"/>
  <c r="BH522" i="75"/>
  <c r="CB303" i="75"/>
  <c r="BH346" i="75"/>
  <c r="BH328" i="75"/>
  <c r="BV718" i="75"/>
  <c r="BZ645" i="75"/>
  <c r="CD827" i="75"/>
  <c r="BR223" i="75"/>
  <c r="CJ1156" i="75"/>
  <c r="CF487" i="75"/>
  <c r="CV1030" i="75"/>
  <c r="CR841" i="75"/>
  <c r="CR842" i="75"/>
  <c r="J19" i="116"/>
  <c r="H19" i="116"/>
  <c r="BX647" i="75"/>
  <c r="BX640" i="75"/>
  <c r="BX650" i="75"/>
  <c r="BX644" i="75"/>
  <c r="BX654" i="75"/>
  <c r="BX673" i="75"/>
  <c r="BX649" i="75"/>
  <c r="BX671" i="75"/>
  <c r="BX656" i="75"/>
  <c r="BX643" i="75"/>
  <c r="BX658" i="75"/>
  <c r="BX665" i="75"/>
  <c r="BX666" i="75"/>
  <c r="BX674" i="75"/>
  <c r="BX668" i="75"/>
  <c r="BX670" i="75"/>
  <c r="BX662" i="75"/>
  <c r="BP414" i="75"/>
  <c r="BF304" i="75"/>
  <c r="BF264" i="75"/>
  <c r="BF270" i="75"/>
  <c r="BJ211" i="75"/>
  <c r="BJ206" i="75"/>
  <c r="BJ237" i="75"/>
  <c r="BP397" i="75"/>
  <c r="BP410" i="75"/>
  <c r="BD466" i="75"/>
  <c r="BD488" i="75"/>
  <c r="BH536" i="75"/>
  <c r="CB298" i="75"/>
  <c r="BT460" i="75"/>
  <c r="BL311" i="75"/>
  <c r="BL289" i="75"/>
  <c r="CD304" i="75"/>
  <c r="BH372" i="75"/>
  <c r="BH343" i="75"/>
  <c r="BV702" i="75"/>
  <c r="BZ660" i="75"/>
  <c r="CD841" i="75"/>
  <c r="CH528" i="75"/>
  <c r="BR236" i="75"/>
  <c r="BN1274" i="75"/>
  <c r="BN1249" i="75"/>
  <c r="CT723" i="75"/>
  <c r="BD1085" i="75"/>
  <c r="BD1045" i="75"/>
  <c r="BJ1049" i="75"/>
  <c r="BD720" i="75"/>
  <c r="BF671" i="75"/>
  <c r="BF766" i="75"/>
  <c r="BF592" i="75"/>
  <c r="BJ592" i="75"/>
  <c r="BF734" i="75"/>
  <c r="CF728" i="75"/>
  <c r="BR452" i="75"/>
  <c r="BT358" i="75"/>
  <c r="BH974" i="75"/>
  <c r="BH932" i="75"/>
  <c r="BH969" i="75"/>
  <c r="BH965" i="75"/>
  <c r="CJ1144" i="75"/>
  <c r="BT1006" i="75"/>
  <c r="CF480" i="75"/>
  <c r="CV1033" i="75"/>
  <c r="CD404" i="75"/>
  <c r="CT786" i="75"/>
  <c r="BV1243" i="75"/>
  <c r="BV1266" i="75"/>
  <c r="BV1255" i="75"/>
  <c r="CP1206" i="75"/>
  <c r="CP1205" i="75"/>
  <c r="CP1213" i="75"/>
  <c r="CP1201" i="75"/>
  <c r="CP1207" i="75"/>
  <c r="CP1209" i="75"/>
  <c r="CP1210" i="75"/>
  <c r="CP1203" i="75"/>
  <c r="BJ224" i="75"/>
  <c r="BJ247" i="75"/>
  <c r="BJ238" i="75"/>
  <c r="BP431" i="75"/>
  <c r="BP399" i="75"/>
  <c r="BH523" i="75"/>
  <c r="CB304" i="75"/>
  <c r="BH324" i="75"/>
  <c r="BH322" i="75"/>
  <c r="BV721" i="75"/>
  <c r="BZ674" i="75"/>
  <c r="BZ667" i="75"/>
  <c r="CD843" i="75"/>
  <c r="BR212" i="75"/>
  <c r="BF606" i="75"/>
  <c r="BJ579" i="75"/>
  <c r="BR478" i="75"/>
  <c r="CJ1146" i="75"/>
  <c r="CF466" i="75"/>
  <c r="CV1027" i="75"/>
  <c r="BL488" i="75"/>
  <c r="BL484" i="75"/>
  <c r="BL482" i="75"/>
  <c r="BZ533" i="75"/>
  <c r="BZ536" i="75"/>
  <c r="BZ531" i="75"/>
  <c r="CJ1145" i="75"/>
  <c r="CJ1142" i="75"/>
  <c r="BP430" i="75"/>
  <c r="BP419" i="75"/>
  <c r="BF290" i="75"/>
  <c r="BF298" i="75"/>
  <c r="BF260" i="75"/>
  <c r="BJ242" i="75"/>
  <c r="BJ216" i="75"/>
  <c r="BP393" i="75"/>
  <c r="BP421" i="75"/>
  <c r="BH509" i="75"/>
  <c r="CB294" i="75"/>
  <c r="BL296" i="75"/>
  <c r="BL276" i="75"/>
  <c r="BH354" i="75"/>
  <c r="BH369" i="75"/>
  <c r="BV703" i="75"/>
  <c r="BZ648" i="75"/>
  <c r="BZ671" i="75"/>
  <c r="CD834" i="75"/>
  <c r="CH535" i="75"/>
  <c r="CH546" i="75"/>
  <c r="BR247" i="75"/>
  <c r="BN1266" i="75"/>
  <c r="BN1251" i="75"/>
  <c r="BD1057" i="75"/>
  <c r="BD1046" i="75"/>
  <c r="BJ1064" i="75"/>
  <c r="BX538" i="75"/>
  <c r="BJ597" i="75"/>
  <c r="BF717" i="75"/>
  <c r="BR486" i="75"/>
  <c r="BT335" i="75"/>
  <c r="CF472" i="75"/>
  <c r="CV1034" i="75"/>
  <c r="BJ626" i="75"/>
  <c r="BJ643" i="75"/>
  <c r="BJ657" i="75"/>
  <c r="BJ652" i="75"/>
  <c r="BJ670" i="75"/>
  <c r="CX913" i="75"/>
  <c r="E134" i="113"/>
  <c r="J134" i="113" s="1"/>
  <c r="F134" i="113"/>
  <c r="CU674" i="75"/>
  <c r="CU673" i="75"/>
  <c r="CU668" i="75"/>
  <c r="CU670" i="75"/>
  <c r="CU669" i="75"/>
  <c r="J67" i="116"/>
  <c r="H67" i="116"/>
  <c r="CP1263" i="75"/>
  <c r="CX908" i="75"/>
  <c r="CX1153" i="75"/>
  <c r="CX1148" i="75"/>
  <c r="CX1154" i="75"/>
  <c r="CX1155" i="75"/>
  <c r="CF241" i="75"/>
  <c r="CF252" i="75"/>
  <c r="CV364" i="75"/>
  <c r="CV372" i="75"/>
  <c r="CV371" i="75"/>
  <c r="CP967" i="75"/>
  <c r="CP968" i="75"/>
  <c r="CP960" i="75"/>
  <c r="CP962" i="75"/>
  <c r="AR58" i="113"/>
  <c r="AQ58" i="113"/>
  <c r="CJ1082" i="75"/>
  <c r="CJ1075" i="75"/>
  <c r="CJ1081" i="75"/>
  <c r="CJ1095" i="75"/>
  <c r="CJ1089" i="75"/>
  <c r="CJ1090" i="75"/>
  <c r="CJ1076" i="75"/>
  <c r="CJ1084" i="75"/>
  <c r="CJ1088" i="75"/>
  <c r="CJ1083" i="75"/>
  <c r="CJ1080" i="75"/>
  <c r="CJ1078" i="75"/>
  <c r="CJ1091" i="75"/>
  <c r="CJ1087" i="75"/>
  <c r="CJ1077" i="75"/>
  <c r="CJ1093" i="75"/>
  <c r="CJ1074" i="75"/>
  <c r="CJ1094" i="75"/>
  <c r="CJ1092" i="75"/>
  <c r="CJ1096" i="75"/>
  <c r="CJ1085" i="75"/>
  <c r="CJ1086" i="75"/>
  <c r="CJ1079" i="75"/>
  <c r="F132" i="113"/>
  <c r="AR51" i="113"/>
  <c r="AQ51" i="113"/>
  <c r="H152" i="112"/>
  <c r="BL776" i="75"/>
  <c r="CS733" i="75"/>
  <c r="BF939" i="75"/>
  <c r="CU666" i="75"/>
  <c r="CX910" i="75"/>
  <c r="BF954" i="75"/>
  <c r="CB492" i="75"/>
  <c r="BJ1005" i="75"/>
  <c r="BJ989" i="75"/>
  <c r="BJ993" i="75"/>
  <c r="CF552" i="75"/>
  <c r="CP839" i="75"/>
  <c r="BT301" i="75"/>
  <c r="BN1213" i="75"/>
  <c r="BN1203" i="75"/>
  <c r="BR589" i="75"/>
  <c r="BR586" i="75"/>
  <c r="BR941" i="75"/>
  <c r="BL754" i="75"/>
  <c r="CU667" i="75"/>
  <c r="BF934" i="75"/>
  <c r="BF928" i="75"/>
  <c r="AS178" i="113"/>
  <c r="Z181" i="113"/>
  <c r="Z182" i="113"/>
  <c r="G175" i="113"/>
  <c r="G176" i="113"/>
  <c r="AS173" i="113"/>
  <c r="AS172" i="113"/>
  <c r="G174" i="113"/>
  <c r="Z189" i="113"/>
  <c r="Z184" i="113"/>
  <c r="Z183" i="113"/>
  <c r="Z186" i="113"/>
  <c r="Z188" i="113"/>
  <c r="G171" i="113"/>
  <c r="G178" i="113"/>
  <c r="AS174" i="113"/>
  <c r="Z185" i="113"/>
  <c r="Z187" i="113"/>
  <c r="G172" i="113"/>
  <c r="G179" i="113"/>
  <c r="AS176" i="113"/>
  <c r="G173" i="113"/>
  <c r="AS177" i="113"/>
  <c r="AS171" i="113"/>
  <c r="AS175" i="113"/>
  <c r="G177" i="113"/>
  <c r="AS179" i="113"/>
  <c r="CJ1027" i="75"/>
  <c r="CJ1032" i="75"/>
  <c r="CJ1019" i="75"/>
  <c r="CJ1035" i="75"/>
  <c r="CJ1030" i="75"/>
  <c r="CJ1029" i="75"/>
  <c r="CJ1031" i="75"/>
  <c r="CJ1022" i="75"/>
  <c r="CJ1017" i="75"/>
  <c r="CJ1021" i="75"/>
  <c r="CJ1024" i="75"/>
  <c r="CJ1033" i="75"/>
  <c r="CJ1028" i="75"/>
  <c r="J61" i="112"/>
  <c r="H61" i="112"/>
  <c r="CP1153" i="75"/>
  <c r="CP1145" i="75"/>
  <c r="CP1151" i="75"/>
  <c r="BL748" i="75"/>
  <c r="BP1012" i="75"/>
  <c r="BP1014" i="75"/>
  <c r="BF931" i="75"/>
  <c r="CU672" i="75"/>
  <c r="CJ302" i="75"/>
  <c r="BJ935" i="75"/>
  <c r="BF938" i="75"/>
  <c r="BL775" i="75"/>
  <c r="BF966" i="75"/>
  <c r="BF945" i="75"/>
  <c r="CJ312" i="75"/>
  <c r="BF933" i="75"/>
  <c r="BF935" i="75"/>
  <c r="H40" i="113"/>
  <c r="BL791" i="75"/>
  <c r="BF972" i="75"/>
  <c r="CJ293" i="75"/>
  <c r="BF927" i="75"/>
  <c r="Y149" i="113"/>
  <c r="Y39" i="113"/>
  <c r="X39" i="113"/>
  <c r="BL774" i="75"/>
  <c r="DA549" i="75"/>
  <c r="BF963" i="75"/>
  <c r="BF942" i="75"/>
  <c r="X143" i="113"/>
  <c r="AA143" i="113" s="1"/>
  <c r="Y143" i="113"/>
  <c r="AR21" i="113"/>
  <c r="AQ21" i="113"/>
  <c r="DA551" i="75"/>
  <c r="CF964" i="75"/>
  <c r="BH844" i="75"/>
  <c r="I146" i="113"/>
  <c r="AB152" i="113"/>
  <c r="AU146" i="113"/>
  <c r="AB153" i="113"/>
  <c r="AB156" i="113"/>
  <c r="AU141" i="113"/>
  <c r="AB157" i="113"/>
  <c r="I145" i="113"/>
  <c r="I142" i="113"/>
  <c r="AB151" i="113"/>
  <c r="AB158" i="113"/>
  <c r="I141" i="113"/>
  <c r="AU145" i="113"/>
  <c r="AB159" i="113"/>
  <c r="AU143" i="113"/>
  <c r="I144" i="113"/>
  <c r="AB155" i="113"/>
  <c r="AU144" i="113"/>
  <c r="AU147" i="113"/>
  <c r="I148" i="113"/>
  <c r="I143" i="113"/>
  <c r="I147" i="113"/>
  <c r="AU142" i="113"/>
  <c r="AU148" i="113"/>
  <c r="AU149" i="113"/>
  <c r="AB154" i="113"/>
  <c r="I149" i="113"/>
  <c r="F26" i="113"/>
  <c r="E26" i="113"/>
  <c r="J26" i="113" s="1"/>
  <c r="AQ24" i="113"/>
  <c r="AR24" i="113"/>
  <c r="CF844" i="75"/>
  <c r="CF852" i="75"/>
  <c r="AQ25" i="113"/>
  <c r="AR25" i="113"/>
  <c r="BT1184" i="75"/>
  <c r="BT1192" i="75"/>
  <c r="BT1208" i="75"/>
  <c r="BT1193" i="75"/>
  <c r="BT1204" i="75"/>
  <c r="BT1187" i="75"/>
  <c r="BT1194" i="75"/>
  <c r="AS92" i="113"/>
  <c r="Z104" i="113"/>
  <c r="G96" i="113"/>
  <c r="Z101" i="113"/>
  <c r="AS98" i="113"/>
  <c r="AS91" i="113"/>
  <c r="G93" i="113"/>
  <c r="G95" i="113"/>
  <c r="G98" i="113"/>
  <c r="G94" i="113"/>
  <c r="AS95" i="113"/>
  <c r="G92" i="113"/>
  <c r="Z108" i="113"/>
  <c r="Z109" i="113"/>
  <c r="Z105" i="113"/>
  <c r="Z103" i="113"/>
  <c r="AS99" i="113"/>
  <c r="AS97" i="113"/>
  <c r="AS93" i="113"/>
  <c r="G97" i="113"/>
  <c r="Z102" i="113"/>
  <c r="AS96" i="113"/>
  <c r="AS94" i="113"/>
  <c r="G91" i="113"/>
  <c r="Z106" i="113"/>
  <c r="Z107" i="113"/>
  <c r="G99" i="113"/>
  <c r="Y32" i="113"/>
  <c r="X32" i="113"/>
  <c r="BF957" i="75"/>
  <c r="CL1142" i="75"/>
  <c r="CL1149" i="75"/>
  <c r="CL1153" i="75"/>
  <c r="CL1151" i="75"/>
  <c r="CL1136" i="75"/>
  <c r="CL1154" i="75"/>
  <c r="CL1150" i="75"/>
  <c r="BJ706" i="75"/>
  <c r="BJ700" i="75"/>
  <c r="BJ692" i="75"/>
  <c r="BJ689" i="75"/>
  <c r="BJ698" i="75"/>
  <c r="BJ727" i="75"/>
  <c r="BJ721" i="75"/>
  <c r="BJ734" i="75"/>
  <c r="BJ701" i="75"/>
  <c r="BJ697" i="75"/>
  <c r="BJ702" i="75"/>
  <c r="BJ693" i="75"/>
  <c r="CD231" i="75"/>
  <c r="CB477" i="75"/>
  <c r="CB467" i="75"/>
  <c r="BJ1033" i="75"/>
  <c r="CF528" i="75"/>
  <c r="BH1050" i="75"/>
  <c r="BH1061" i="75"/>
  <c r="BX832" i="75"/>
  <c r="CP843" i="75"/>
  <c r="BN1211" i="75"/>
  <c r="BN1207" i="75"/>
  <c r="BR602" i="75"/>
  <c r="CP1264" i="75"/>
  <c r="BL766" i="75"/>
  <c r="BP999" i="75"/>
  <c r="BH825" i="75"/>
  <c r="AP37" i="113"/>
  <c r="D31" i="113"/>
  <c r="AP36" i="113"/>
  <c r="AP34" i="113"/>
  <c r="D32" i="113"/>
  <c r="D34" i="113"/>
  <c r="W46" i="113"/>
  <c r="AP33" i="113"/>
  <c r="W47" i="113"/>
  <c r="W49" i="113"/>
  <c r="W45" i="113"/>
  <c r="AP32" i="113"/>
  <c r="AP39" i="113"/>
  <c r="D37" i="113"/>
  <c r="W43" i="113"/>
  <c r="W44" i="113"/>
  <c r="AP31" i="113"/>
  <c r="W41" i="113"/>
  <c r="W48" i="113"/>
  <c r="D38" i="113"/>
  <c r="D33" i="113"/>
  <c r="AP35" i="113"/>
  <c r="D39" i="113"/>
  <c r="W42" i="113"/>
  <c r="AP38" i="113"/>
  <c r="D35" i="113"/>
  <c r="D36" i="113"/>
  <c r="AM209" i="100"/>
  <c r="AN209" i="100"/>
  <c r="AO209" i="100"/>
  <c r="BL881" i="75"/>
  <c r="BL908" i="75"/>
  <c r="BJ268" i="75"/>
  <c r="BJ286" i="75"/>
  <c r="BR951" i="75"/>
  <c r="BR968" i="75"/>
  <c r="BR971" i="75"/>
  <c r="BT287" i="75"/>
  <c r="BT305" i="75"/>
  <c r="BJ1019" i="75"/>
  <c r="BJ1021" i="75"/>
  <c r="BJ1024" i="75"/>
  <c r="CD297" i="75"/>
  <c r="BL910" i="75"/>
  <c r="BL898" i="75"/>
  <c r="BJ272" i="75"/>
  <c r="BJ610" i="75"/>
  <c r="BJ569" i="75"/>
  <c r="BJ571" i="75"/>
  <c r="CV492" i="75"/>
  <c r="CV483" i="75"/>
  <c r="CS788" i="75"/>
  <c r="CS783" i="75"/>
  <c r="BH1202" i="75"/>
  <c r="BH1178" i="75"/>
  <c r="BH1206" i="75"/>
  <c r="BH1192" i="75"/>
  <c r="CD284" i="75"/>
  <c r="BP848" i="75"/>
  <c r="BP849" i="75"/>
  <c r="BR1014" i="75"/>
  <c r="CD245" i="75"/>
  <c r="CD235" i="75"/>
  <c r="BL899" i="75"/>
  <c r="BL880" i="75"/>
  <c r="BX533" i="75"/>
  <c r="BX521" i="75"/>
  <c r="BJ287" i="75"/>
  <c r="BJ274" i="75"/>
  <c r="BX607" i="75"/>
  <c r="BX596" i="75"/>
  <c r="CD292" i="75"/>
  <c r="BP819" i="75"/>
  <c r="BP839" i="75"/>
  <c r="BR1018" i="75"/>
  <c r="CD252" i="75"/>
  <c r="CD247" i="75"/>
  <c r="BL868" i="75"/>
  <c r="BL883" i="75"/>
  <c r="BX526" i="75"/>
  <c r="BX532" i="75"/>
  <c r="BJ300" i="75"/>
  <c r="BJ311" i="75"/>
  <c r="BF644" i="75"/>
  <c r="BF632" i="75"/>
  <c r="BF652" i="75"/>
  <c r="BF569" i="75"/>
  <c r="BF605" i="75"/>
  <c r="CN723" i="75"/>
  <c r="CN730" i="75"/>
  <c r="BD767" i="75"/>
  <c r="BD775" i="75"/>
  <c r="BT461" i="75"/>
  <c r="CD300" i="75"/>
  <c r="BP832" i="75"/>
  <c r="BP843" i="75"/>
  <c r="CH306" i="75"/>
  <c r="BR997" i="75"/>
  <c r="CD225" i="75"/>
  <c r="CD229" i="75"/>
  <c r="BL869" i="75"/>
  <c r="BL904" i="75"/>
  <c r="CU613" i="75"/>
  <c r="BX552" i="75"/>
  <c r="BX549" i="75"/>
  <c r="BF674" i="75"/>
  <c r="BF665" i="75"/>
  <c r="BJ270" i="75"/>
  <c r="BJ301" i="75"/>
  <c r="BF582" i="75"/>
  <c r="BJ602" i="75"/>
  <c r="BJ568" i="75"/>
  <c r="BF694" i="75"/>
  <c r="BF701" i="75"/>
  <c r="CF476" i="75"/>
  <c r="CF485" i="75"/>
  <c r="CN725" i="75"/>
  <c r="CB1136" i="75"/>
  <c r="CB1138" i="75"/>
  <c r="CD310" i="75"/>
  <c r="BP851" i="75"/>
  <c r="BP816" i="75"/>
  <c r="BR1009" i="75"/>
  <c r="CD228" i="75"/>
  <c r="CD224" i="75"/>
  <c r="BL901" i="75"/>
  <c r="BL894" i="75"/>
  <c r="CU605" i="75"/>
  <c r="BX523" i="75"/>
  <c r="BX541" i="75"/>
  <c r="CH360" i="75"/>
  <c r="CB644" i="75"/>
  <c r="BF626" i="75"/>
  <c r="BF654" i="75"/>
  <c r="BJ296" i="75"/>
  <c r="BJ289" i="75"/>
  <c r="BJ582" i="75"/>
  <c r="BJ578" i="75"/>
  <c r="BF776" i="75"/>
  <c r="BF762" i="75"/>
  <c r="BF755" i="75"/>
  <c r="BF747" i="75"/>
  <c r="BF468" i="75"/>
  <c r="BF485" i="75"/>
  <c r="CN724" i="75"/>
  <c r="H174" i="112"/>
  <c r="BD354" i="75"/>
  <c r="BD371" i="75"/>
  <c r="BT475" i="75"/>
  <c r="BT484" i="75"/>
  <c r="CD307" i="75"/>
  <c r="BP853" i="75"/>
  <c r="BP847" i="75"/>
  <c r="CH304" i="75"/>
  <c r="BR999" i="75"/>
  <c r="CD242" i="75"/>
  <c r="BL876" i="75"/>
  <c r="BL912" i="75"/>
  <c r="BX540" i="75"/>
  <c r="CH363" i="75"/>
  <c r="CB660" i="75"/>
  <c r="BF643" i="75"/>
  <c r="BF633" i="75"/>
  <c r="BF793" i="75"/>
  <c r="BF743" i="75"/>
  <c r="BJ309" i="75"/>
  <c r="BJ298" i="75"/>
  <c r="BF565" i="75"/>
  <c r="BJ604" i="75"/>
  <c r="BJ609" i="75"/>
  <c r="BF723" i="75"/>
  <c r="BF691" i="75"/>
  <c r="BF492" i="75"/>
  <c r="BR976" i="75"/>
  <c r="BR947" i="75"/>
  <c r="CF490" i="75"/>
  <c r="CN732" i="75"/>
  <c r="CD289" i="75"/>
  <c r="BL911" i="75"/>
  <c r="BL891" i="75"/>
  <c r="BJ288" i="75"/>
  <c r="BJ271" i="75"/>
  <c r="BX545" i="75"/>
  <c r="BX528" i="75"/>
  <c r="CU845" i="75"/>
  <c r="BD216" i="75"/>
  <c r="BT492" i="75"/>
  <c r="BT491" i="75"/>
  <c r="CD295" i="75"/>
  <c r="BP815" i="75"/>
  <c r="BP842" i="75"/>
  <c r="CH310" i="75"/>
  <c r="BR1033" i="75"/>
  <c r="CD236" i="75"/>
  <c r="BL895" i="75"/>
  <c r="BL896" i="75"/>
  <c r="BL897" i="75"/>
  <c r="BR1090" i="75"/>
  <c r="BX536" i="75"/>
  <c r="CH359" i="75"/>
  <c r="BD688" i="75"/>
  <c r="CB669" i="75"/>
  <c r="BF641" i="75"/>
  <c r="BF670" i="75"/>
  <c r="BF744" i="75"/>
  <c r="BF785" i="75"/>
  <c r="BJ295" i="75"/>
  <c r="BJ281" i="75"/>
  <c r="BF579" i="75"/>
  <c r="BJ595" i="75"/>
  <c r="BJ584" i="75"/>
  <c r="BF689" i="75"/>
  <c r="BF685" i="75"/>
  <c r="BF471" i="75"/>
  <c r="BT1091" i="75"/>
  <c r="CV482" i="75"/>
  <c r="CF477" i="75"/>
  <c r="BT349" i="75"/>
  <c r="BT368" i="75"/>
  <c r="BJ1080" i="75"/>
  <c r="BJ1095" i="75"/>
  <c r="CJ475" i="75"/>
  <c r="CJ492" i="75"/>
  <c r="BH550" i="75"/>
  <c r="CU849" i="75"/>
  <c r="BD236" i="75"/>
  <c r="BT486" i="75"/>
  <c r="BN345" i="75"/>
  <c r="BF1020" i="75"/>
  <c r="BF1036" i="75"/>
  <c r="CD294" i="75"/>
  <c r="CP785" i="75"/>
  <c r="BP844" i="75"/>
  <c r="BP840" i="75"/>
  <c r="CH289" i="75"/>
  <c r="CD251" i="75"/>
  <c r="BL905" i="75"/>
  <c r="BL870" i="75"/>
  <c r="BL890" i="75"/>
  <c r="BR1093" i="75"/>
  <c r="BR1096" i="75"/>
  <c r="CT729" i="75"/>
  <c r="BP776" i="75"/>
  <c r="BP790" i="75"/>
  <c r="BX542" i="75"/>
  <c r="CH355" i="75"/>
  <c r="BD691" i="75"/>
  <c r="CB657" i="75"/>
  <c r="BF624" i="75"/>
  <c r="BF777" i="75"/>
  <c r="BF767" i="75"/>
  <c r="BJ299" i="75"/>
  <c r="BJ264" i="75"/>
  <c r="BF589" i="75"/>
  <c r="BJ580" i="75"/>
  <c r="BJ581" i="75"/>
  <c r="BF692" i="75"/>
  <c r="BT285" i="75"/>
  <c r="BT275" i="75"/>
  <c r="BR481" i="75"/>
  <c r="BF469" i="75"/>
  <c r="CV485" i="75"/>
  <c r="BR957" i="75"/>
  <c r="BR965" i="75"/>
  <c r="CF486" i="75"/>
  <c r="W157" i="113"/>
  <c r="X157" i="113" s="1"/>
  <c r="D141" i="113"/>
  <c r="E141" i="113" s="1"/>
  <c r="BV341" i="75"/>
  <c r="BV360" i="75"/>
  <c r="BV339" i="75"/>
  <c r="BV826" i="75"/>
  <c r="BV822" i="75"/>
  <c r="CD312" i="75"/>
  <c r="BP826" i="75"/>
  <c r="BP834" i="75"/>
  <c r="CD237" i="75"/>
  <c r="BL882" i="75"/>
  <c r="BL886" i="75"/>
  <c r="BX524" i="75"/>
  <c r="CH370" i="75"/>
  <c r="CB665" i="75"/>
  <c r="BF657" i="75"/>
  <c r="BJ308" i="75"/>
  <c r="BJ601" i="75"/>
  <c r="BJ572" i="75"/>
  <c r="BF703" i="75"/>
  <c r="BF733" i="75"/>
  <c r="BF718" i="75"/>
  <c r="BT1093" i="75"/>
  <c r="BT1088" i="75"/>
  <c r="BH405" i="75"/>
  <c r="BH397" i="75"/>
  <c r="BH391" i="75"/>
  <c r="BN486" i="75"/>
  <c r="BN475" i="75"/>
  <c r="BN458" i="75"/>
  <c r="BH515" i="75"/>
  <c r="BH534" i="75"/>
  <c r="BH547" i="75"/>
  <c r="CU851" i="75"/>
  <c r="BD202" i="75"/>
  <c r="CB282" i="75"/>
  <c r="BT485" i="75"/>
  <c r="BN342" i="75"/>
  <c r="BN659" i="75"/>
  <c r="BN640" i="75"/>
  <c r="BF1034" i="75"/>
  <c r="BX469" i="75"/>
  <c r="CD305" i="75"/>
  <c r="BH337" i="75"/>
  <c r="BH355" i="75"/>
  <c r="BH341" i="75"/>
  <c r="CP789" i="75"/>
  <c r="BP836" i="75"/>
  <c r="BP817" i="75"/>
  <c r="CH302" i="75"/>
  <c r="CD244" i="75"/>
  <c r="BL892" i="75"/>
  <c r="BL871" i="75"/>
  <c r="BR233" i="75"/>
  <c r="BR1081" i="75"/>
  <c r="BR1091" i="75"/>
  <c r="CT728" i="75"/>
  <c r="BP752" i="75"/>
  <c r="BP789" i="75"/>
  <c r="BV367" i="75"/>
  <c r="BV343" i="75"/>
  <c r="BJ1083" i="75"/>
  <c r="BX551" i="75"/>
  <c r="CH348" i="75"/>
  <c r="BD693" i="75"/>
  <c r="BH947" i="75"/>
  <c r="CB672" i="75"/>
  <c r="BF634" i="75"/>
  <c r="BP957" i="75"/>
  <c r="BF748" i="75"/>
  <c r="BF760" i="75"/>
  <c r="BJ265" i="75"/>
  <c r="CB765" i="75"/>
  <c r="BJ608" i="75"/>
  <c r="BJ573" i="75"/>
  <c r="BF719" i="75"/>
  <c r="BF714" i="75"/>
  <c r="BD1033" i="75"/>
  <c r="BT308" i="75"/>
  <c r="BT294" i="75"/>
  <c r="BR477" i="75"/>
  <c r="BF441" i="75"/>
  <c r="BT365" i="75"/>
  <c r="BT1072" i="75"/>
  <c r="BV1262" i="75"/>
  <c r="BV1252" i="75"/>
  <c r="BR963" i="75"/>
  <c r="CS791" i="75"/>
  <c r="CF475" i="75"/>
  <c r="CB1141" i="75"/>
  <c r="CJ470" i="75"/>
  <c r="BH1188" i="75"/>
  <c r="BH1216" i="75"/>
  <c r="BX597" i="75"/>
  <c r="BH540" i="75"/>
  <c r="BH532" i="75"/>
  <c r="BH533" i="75"/>
  <c r="CU846" i="75"/>
  <c r="CB247" i="75"/>
  <c r="BD231" i="75"/>
  <c r="CB287" i="75"/>
  <c r="BT465" i="75"/>
  <c r="BN337" i="75"/>
  <c r="BN660" i="75"/>
  <c r="BN654" i="75"/>
  <c r="BF1006" i="75"/>
  <c r="BX466" i="75"/>
  <c r="CD288" i="75"/>
  <c r="CD308" i="75"/>
  <c r="CP778" i="75"/>
  <c r="BP823" i="75"/>
  <c r="BP850" i="75"/>
  <c r="CH291" i="75"/>
  <c r="CD239" i="75"/>
  <c r="BL914" i="75"/>
  <c r="BL902" i="75"/>
  <c r="BR245" i="75"/>
  <c r="BR1075" i="75"/>
  <c r="BR1082" i="75"/>
  <c r="CT725" i="75"/>
  <c r="BP773" i="75"/>
  <c r="BP772" i="75"/>
  <c r="BJ1072" i="75"/>
  <c r="BX522" i="75"/>
  <c r="CH366" i="75"/>
  <c r="BD692" i="75"/>
  <c r="CB652" i="75"/>
  <c r="BF625" i="75"/>
  <c r="BF782" i="75"/>
  <c r="BF779" i="75"/>
  <c r="BJ275" i="75"/>
  <c r="CB767" i="75"/>
  <c r="BT706" i="75"/>
  <c r="BJ600" i="75"/>
  <c r="BJ587" i="75"/>
  <c r="BF711" i="75"/>
  <c r="BF700" i="75"/>
  <c r="BT302" i="75"/>
  <c r="BT277" i="75"/>
  <c r="BR482" i="75"/>
  <c r="BF484" i="75"/>
  <c r="BT372" i="75"/>
  <c r="BT1095" i="75"/>
  <c r="BH970" i="75"/>
  <c r="BH951" i="75"/>
  <c r="BH956" i="75"/>
  <c r="BZ894" i="75"/>
  <c r="BZ907" i="75"/>
  <c r="BZ890" i="75"/>
  <c r="BN571" i="75"/>
  <c r="BV1271" i="75"/>
  <c r="BV1273" i="75"/>
  <c r="BR940" i="75"/>
  <c r="CS781" i="75"/>
  <c r="CT781" i="75" s="1"/>
  <c r="CF491" i="75"/>
  <c r="CB1129" i="75"/>
  <c r="CJ481" i="75"/>
  <c r="BH1215" i="75"/>
  <c r="BH1166" i="75"/>
  <c r="BH545" i="75"/>
  <c r="BH517" i="75"/>
  <c r="BH513" i="75"/>
  <c r="CU848" i="75"/>
  <c r="CB234" i="75"/>
  <c r="BD245" i="75"/>
  <c r="CB312" i="75"/>
  <c r="BT466" i="75"/>
  <c r="BN365" i="75"/>
  <c r="BN635" i="75"/>
  <c r="BN633" i="75"/>
  <c r="BF1031" i="75"/>
  <c r="CD303" i="75"/>
  <c r="CD285" i="75"/>
  <c r="BP824" i="75"/>
  <c r="BP835" i="75"/>
  <c r="CH288" i="75"/>
  <c r="CD232" i="75"/>
  <c r="BL885" i="75"/>
  <c r="BL888" i="75"/>
  <c r="BR229" i="75"/>
  <c r="BR1079" i="75"/>
  <c r="BR1066" i="75"/>
  <c r="CT726" i="75"/>
  <c r="BP777" i="75"/>
  <c r="BP786" i="75"/>
  <c r="BJ1068" i="75"/>
  <c r="BX527" i="75"/>
  <c r="CH367" i="75"/>
  <c r="BD683" i="75"/>
  <c r="BH976" i="75"/>
  <c r="BH938" i="75"/>
  <c r="CB661" i="75"/>
  <c r="BF656" i="75"/>
  <c r="BF754" i="75"/>
  <c r="BF761" i="75"/>
  <c r="BJ306" i="75"/>
  <c r="CD472" i="75"/>
  <c r="CB793" i="75"/>
  <c r="BT715" i="75"/>
  <c r="BJ611" i="75"/>
  <c r="BJ583" i="75"/>
  <c r="BF716" i="75"/>
  <c r="BT282" i="75"/>
  <c r="BR467" i="75"/>
  <c r="BR472" i="75"/>
  <c r="BF476" i="75"/>
  <c r="BT343" i="75"/>
  <c r="BT1081" i="75"/>
  <c r="BF902" i="75"/>
  <c r="BN576" i="75"/>
  <c r="BV1265" i="75"/>
  <c r="BV1242" i="75"/>
  <c r="BR973" i="75"/>
  <c r="CS793" i="75"/>
  <c r="CF489" i="75"/>
  <c r="CN734" i="75"/>
  <c r="CB1134" i="75"/>
  <c r="CJ485" i="75"/>
  <c r="BH1199" i="75"/>
  <c r="BH1203" i="75"/>
  <c r="BH503" i="75"/>
  <c r="BH542" i="75"/>
  <c r="BH505" i="75"/>
  <c r="CU850" i="75"/>
  <c r="BD198" i="75"/>
  <c r="BT477" i="75"/>
  <c r="BN329" i="75"/>
  <c r="BN335" i="75"/>
  <c r="BN667" i="75"/>
  <c r="BN638" i="75"/>
  <c r="BN639" i="75"/>
  <c r="BF1015" i="75"/>
  <c r="CD298" i="75"/>
  <c r="CD302" i="75"/>
  <c r="BP822" i="75"/>
  <c r="BP825" i="75"/>
  <c r="CH305" i="75"/>
  <c r="CD249" i="75"/>
  <c r="BL909" i="75"/>
  <c r="BL874" i="75"/>
  <c r="BR1092" i="75"/>
  <c r="BR1089" i="75"/>
  <c r="CT722" i="75"/>
  <c r="BP781" i="75"/>
  <c r="BP755" i="75"/>
  <c r="BX547" i="75"/>
  <c r="CH361" i="75"/>
  <c r="BD697" i="75"/>
  <c r="CB666" i="75"/>
  <c r="BF647" i="75"/>
  <c r="BF758" i="75"/>
  <c r="BF753" i="75"/>
  <c r="BF788" i="75"/>
  <c r="BJ302" i="75"/>
  <c r="CD491" i="75"/>
  <c r="BT727" i="75"/>
  <c r="BJ596" i="75"/>
  <c r="BJ590" i="75"/>
  <c r="BF706" i="75"/>
  <c r="BT289" i="75"/>
  <c r="BR465" i="75"/>
  <c r="BR456" i="75"/>
  <c r="BF462" i="75"/>
  <c r="BT367" i="75"/>
  <c r="BT363" i="75"/>
  <c r="BV1257" i="75"/>
  <c r="BR953" i="75"/>
  <c r="BR974" i="75"/>
  <c r="CS786" i="75"/>
  <c r="CF473" i="75"/>
  <c r="CN721" i="75"/>
  <c r="CB1135" i="75"/>
  <c r="CJ479" i="75"/>
  <c r="CJ476" i="75"/>
  <c r="BH1183" i="75"/>
  <c r="BH1195" i="75"/>
  <c r="CB890" i="75"/>
  <c r="CB895" i="75"/>
  <c r="BD1010" i="75"/>
  <c r="BD993" i="75"/>
  <c r="BD991" i="75"/>
  <c r="BD1026" i="75"/>
  <c r="CS904" i="75"/>
  <c r="CS901" i="75"/>
  <c r="CT901" i="75" s="1"/>
  <c r="BH535" i="75"/>
  <c r="BH510" i="75"/>
  <c r="BH537" i="75"/>
  <c r="CU852" i="75"/>
  <c r="CB230" i="75"/>
  <c r="BD204" i="75"/>
  <c r="CB289" i="75"/>
  <c r="BT479" i="75"/>
  <c r="BN371" i="75"/>
  <c r="BN344" i="75"/>
  <c r="BN657" i="75"/>
  <c r="BN671" i="75"/>
  <c r="BN650" i="75"/>
  <c r="BF987" i="75"/>
  <c r="BN248" i="75"/>
  <c r="CD287" i="75"/>
  <c r="CD311" i="75"/>
  <c r="BH345" i="75"/>
  <c r="BH370" i="75"/>
  <c r="BP820" i="75"/>
  <c r="BP846" i="75"/>
  <c r="CH309" i="75"/>
  <c r="CD234" i="75"/>
  <c r="CH536" i="75"/>
  <c r="BL889" i="75"/>
  <c r="BL887" i="75"/>
  <c r="BR241" i="75"/>
  <c r="BR224" i="75"/>
  <c r="BR1064" i="75"/>
  <c r="BR1076" i="75"/>
  <c r="CT724" i="75"/>
  <c r="BP785" i="75"/>
  <c r="BP768" i="75"/>
  <c r="BV357" i="75"/>
  <c r="BV352" i="75"/>
  <c r="BJ1084" i="75"/>
  <c r="BX537" i="75"/>
  <c r="CH364" i="75"/>
  <c r="BD729" i="75"/>
  <c r="BH936" i="75"/>
  <c r="BH930" i="75"/>
  <c r="CB645" i="75"/>
  <c r="BF651" i="75"/>
  <c r="BF768" i="75"/>
  <c r="BF769" i="75"/>
  <c r="BF792" i="75"/>
  <c r="BJ278" i="75"/>
  <c r="CD466" i="75"/>
  <c r="BT708" i="75"/>
  <c r="BJ594" i="75"/>
  <c r="BJ566" i="75"/>
  <c r="BF707" i="75"/>
  <c r="BH876" i="75"/>
  <c r="BZ896" i="75"/>
  <c r="CP1029" i="75"/>
  <c r="BD1032" i="75"/>
  <c r="BD985" i="75"/>
  <c r="BT307" i="75"/>
  <c r="BR476" i="75"/>
  <c r="BF472" i="75"/>
  <c r="BT353" i="75"/>
  <c r="BT351" i="75"/>
  <c r="BN601" i="75"/>
  <c r="CF720" i="75"/>
  <c r="CF710" i="75"/>
  <c r="BD753" i="75"/>
  <c r="BD744" i="75"/>
  <c r="BD761" i="75"/>
  <c r="BR969" i="75"/>
  <c r="BR954" i="75"/>
  <c r="CS784" i="75"/>
  <c r="CF474" i="75"/>
  <c r="CN722" i="75"/>
  <c r="CJ480" i="75"/>
  <c r="BH1179" i="75"/>
  <c r="BH1169" i="75"/>
  <c r="BX610" i="75"/>
  <c r="BV833" i="75"/>
  <c r="CP725" i="75"/>
  <c r="CP734" i="75"/>
  <c r="CU844" i="75"/>
  <c r="BD222" i="75"/>
  <c r="CD296" i="75"/>
  <c r="CD286" i="75"/>
  <c r="BP818" i="75"/>
  <c r="BP813" i="75"/>
  <c r="CH298" i="75"/>
  <c r="CD250" i="75"/>
  <c r="BL875" i="75"/>
  <c r="BL903" i="75"/>
  <c r="BR1087" i="75"/>
  <c r="BR1073" i="75"/>
  <c r="BX550" i="75"/>
  <c r="CH349" i="75"/>
  <c r="BD718" i="75"/>
  <c r="CB663" i="75"/>
  <c r="BF628" i="75"/>
  <c r="BF771" i="75"/>
  <c r="BF774" i="75"/>
  <c r="BF778" i="75"/>
  <c r="BJ303" i="75"/>
  <c r="CD489" i="75"/>
  <c r="BJ577" i="75"/>
  <c r="BJ612" i="75"/>
  <c r="BJ567" i="75"/>
  <c r="BF721" i="75"/>
  <c r="BR488" i="75"/>
  <c r="BR474" i="75"/>
  <c r="BR485" i="75"/>
  <c r="BR967" i="75"/>
  <c r="BR962" i="75"/>
  <c r="CS790" i="75"/>
  <c r="CF482" i="75"/>
  <c r="CN731" i="75"/>
  <c r="BV1246" i="75"/>
  <c r="BV1251" i="75"/>
  <c r="BT476" i="75"/>
  <c r="BV242" i="75"/>
  <c r="BH548" i="75"/>
  <c r="BH504" i="75"/>
  <c r="CU853" i="75"/>
  <c r="CB248" i="75"/>
  <c r="BD240" i="75"/>
  <c r="CB302" i="75"/>
  <c r="BT470" i="75"/>
  <c r="BL294" i="75"/>
  <c r="BL277" i="75"/>
  <c r="BN353" i="75"/>
  <c r="BN366" i="75"/>
  <c r="CZ848" i="75"/>
  <c r="BN649" i="75"/>
  <c r="BN664" i="75"/>
  <c r="BF1026" i="75"/>
  <c r="BF997" i="75"/>
  <c r="BN240" i="75"/>
  <c r="CD309" i="75"/>
  <c r="BL546" i="75"/>
  <c r="BH326" i="75"/>
  <c r="BH332" i="75"/>
  <c r="BP833" i="75"/>
  <c r="BP814" i="75"/>
  <c r="CH301" i="75"/>
  <c r="CD238" i="75"/>
  <c r="BL907" i="75"/>
  <c r="BL913" i="75"/>
  <c r="BR219" i="75"/>
  <c r="BR252" i="75"/>
  <c r="BR1086" i="75"/>
  <c r="BR1062" i="75"/>
  <c r="CT734" i="75"/>
  <c r="BP791" i="75"/>
  <c r="BP763" i="75"/>
  <c r="BV355" i="75"/>
  <c r="BV369" i="75"/>
  <c r="BJ1053" i="75"/>
  <c r="BX530" i="75"/>
  <c r="CH354" i="75"/>
  <c r="BH945" i="75"/>
  <c r="BH973" i="75"/>
  <c r="BF629" i="75"/>
  <c r="BF667" i="75"/>
  <c r="BF773" i="75"/>
  <c r="BF750" i="75"/>
  <c r="BR833" i="75"/>
  <c r="BJ304" i="75"/>
  <c r="BH387" i="75"/>
  <c r="BH393" i="75"/>
  <c r="BH413" i="75"/>
  <c r="BF578" i="75"/>
  <c r="BJ605" i="75"/>
  <c r="BJ576" i="75"/>
  <c r="BJ574" i="75"/>
  <c r="BF712" i="75"/>
  <c r="BH898" i="75"/>
  <c r="BZ911" i="75"/>
  <c r="CP1035" i="75"/>
  <c r="BD1023" i="75"/>
  <c r="BD1000" i="75"/>
  <c r="CF711" i="75"/>
  <c r="BT306" i="75"/>
  <c r="BT293" i="75"/>
  <c r="BR460" i="75"/>
  <c r="BR454" i="75"/>
  <c r="BT336" i="75"/>
  <c r="BT369" i="75"/>
  <c r="BF912" i="75"/>
  <c r="DA1093" i="75"/>
  <c r="CN852" i="75"/>
  <c r="CN839" i="75"/>
  <c r="BN579" i="75"/>
  <c r="BF888" i="75"/>
  <c r="BD777" i="75"/>
  <c r="BD773" i="75"/>
  <c r="BD756" i="75"/>
  <c r="BV1272" i="75"/>
  <c r="BR937" i="75"/>
  <c r="BR943" i="75"/>
  <c r="CS792" i="75"/>
  <c r="CF470" i="75"/>
  <c r="CN716" i="75"/>
  <c r="CF671" i="75"/>
  <c r="CJ488" i="75"/>
  <c r="BH1205" i="75"/>
  <c r="BH1171" i="75"/>
  <c r="BX609" i="75"/>
  <c r="BX606" i="75"/>
  <c r="BV853" i="75"/>
  <c r="BN469" i="75"/>
  <c r="BN480" i="75"/>
  <c r="CR968" i="75"/>
  <c r="CR976" i="75"/>
  <c r="CR491" i="75"/>
  <c r="CR479" i="75"/>
  <c r="CR480" i="75"/>
  <c r="CR481" i="75"/>
  <c r="CR484" i="75"/>
  <c r="CR483" i="75"/>
  <c r="CR482" i="75"/>
  <c r="CR487" i="75"/>
  <c r="CR486" i="75"/>
  <c r="BH1113" i="75"/>
  <c r="BH1119" i="75"/>
  <c r="CP487" i="75"/>
  <c r="CP491" i="75"/>
  <c r="CP477" i="75"/>
  <c r="CP482" i="75"/>
  <c r="CP486" i="75"/>
  <c r="CP488" i="75"/>
  <c r="CP483" i="75"/>
  <c r="CP490" i="75"/>
  <c r="CP489" i="75"/>
  <c r="BH502" i="75"/>
  <c r="BH527" i="75"/>
  <c r="CU847" i="75"/>
  <c r="BD225" i="75"/>
  <c r="CB295" i="75"/>
  <c r="CB310" i="75"/>
  <c r="BT471" i="75"/>
  <c r="BN368" i="75"/>
  <c r="BN348" i="75"/>
  <c r="CZ851" i="75"/>
  <c r="BN646" i="75"/>
  <c r="BN655" i="75"/>
  <c r="BF1000" i="75"/>
  <c r="BF1028" i="75"/>
  <c r="CD301" i="75"/>
  <c r="BL548" i="75"/>
  <c r="BP821" i="75"/>
  <c r="BP829" i="75"/>
  <c r="CH308" i="75"/>
  <c r="CH295" i="75"/>
  <c r="CD226" i="75"/>
  <c r="BL878" i="75"/>
  <c r="BL872" i="75"/>
  <c r="BR215" i="75"/>
  <c r="BR251" i="75"/>
  <c r="BR1071" i="75"/>
  <c r="BR1077" i="75"/>
  <c r="BP765" i="75"/>
  <c r="BP788" i="75"/>
  <c r="BV348" i="75"/>
  <c r="BJ1094" i="75"/>
  <c r="BX518" i="75"/>
  <c r="CH365" i="75"/>
  <c r="BH961" i="75"/>
  <c r="BH962" i="75"/>
  <c r="BF623" i="75"/>
  <c r="BF635" i="75"/>
  <c r="BF742" i="75"/>
  <c r="BF787" i="75"/>
  <c r="BR820" i="75"/>
  <c r="BJ283" i="75"/>
  <c r="BF601" i="75"/>
  <c r="BJ603" i="75"/>
  <c r="BJ613" i="75"/>
  <c r="BJ593" i="75"/>
  <c r="BF710" i="75"/>
  <c r="BF698" i="75"/>
  <c r="BZ912" i="75"/>
  <c r="BD1007" i="75"/>
  <c r="BD1003" i="75"/>
  <c r="BT281" i="75"/>
  <c r="BT299" i="75"/>
  <c r="BR468" i="75"/>
  <c r="BF475" i="75"/>
  <c r="BT338" i="75"/>
  <c r="BT364" i="75"/>
  <c r="BF862" i="75"/>
  <c r="DA1094" i="75"/>
  <c r="BN586" i="75"/>
  <c r="BD774" i="75"/>
  <c r="BD779" i="75"/>
  <c r="BD742" i="75"/>
  <c r="BV1253" i="75"/>
  <c r="BR959" i="75"/>
  <c r="BR939" i="75"/>
  <c r="CF467" i="75"/>
  <c r="CF468" i="75"/>
  <c r="CN717" i="75"/>
  <c r="CJ486" i="75"/>
  <c r="BH1185" i="75"/>
  <c r="BH1167" i="75"/>
  <c r="BX604" i="75"/>
  <c r="BX589" i="75"/>
  <c r="BV840" i="75"/>
  <c r="BT998" i="75"/>
  <c r="BT1015" i="75"/>
  <c r="CD530" i="75"/>
  <c r="CD527" i="75"/>
  <c r="CD540" i="75"/>
  <c r="BL779" i="75"/>
  <c r="CP1208" i="75"/>
  <c r="CN1150" i="75"/>
  <c r="CS732" i="75"/>
  <c r="CS729" i="75"/>
  <c r="BH830" i="75"/>
  <c r="CX1090" i="75"/>
  <c r="CD405" i="75"/>
  <c r="CP1204" i="75"/>
  <c r="CN1153" i="75"/>
  <c r="CX1093" i="75"/>
  <c r="BR1116" i="75"/>
  <c r="BR1137" i="75"/>
  <c r="BR1143" i="75"/>
  <c r="BR1135" i="75"/>
  <c r="BR1126" i="75"/>
  <c r="BR1121" i="75"/>
  <c r="BR1152" i="75"/>
  <c r="BR1122" i="75"/>
  <c r="BR1120" i="75"/>
  <c r="BR1134" i="75"/>
  <c r="BR1133" i="75"/>
  <c r="CT547" i="75"/>
  <c r="CT546" i="75"/>
  <c r="CT544" i="75"/>
  <c r="CT542" i="75"/>
  <c r="CT548" i="75"/>
  <c r="CT541" i="75"/>
  <c r="CT543" i="75"/>
  <c r="CT552" i="75"/>
  <c r="CT549" i="75"/>
  <c r="CT551" i="75"/>
  <c r="CF1272" i="75"/>
  <c r="CF1271" i="75"/>
  <c r="CF1263" i="75"/>
  <c r="CF1266" i="75"/>
  <c r="CF1253" i="75"/>
  <c r="CF1255" i="75"/>
  <c r="CF1256" i="75"/>
  <c r="CF1257" i="75"/>
  <c r="CF1270" i="75"/>
  <c r="J107" i="115"/>
  <c r="H107" i="115"/>
  <c r="CD711" i="75"/>
  <c r="CD720" i="75"/>
  <c r="CD719" i="75"/>
  <c r="CD706" i="75"/>
  <c r="CD722" i="75"/>
  <c r="CD727" i="75"/>
  <c r="CD729" i="75"/>
  <c r="CD707" i="75"/>
  <c r="CD708" i="75"/>
  <c r="CP1260" i="75"/>
  <c r="CS723" i="75"/>
  <c r="CS724" i="75"/>
  <c r="BV1144" i="75"/>
  <c r="BV1153" i="75"/>
  <c r="BV1156" i="75"/>
  <c r="BV1130" i="75"/>
  <c r="BV1124" i="75"/>
  <c r="BV1129" i="75"/>
  <c r="BV1126" i="75"/>
  <c r="BV1138" i="75"/>
  <c r="BV1142" i="75"/>
  <c r="Z61" i="113"/>
  <c r="AS57" i="113"/>
  <c r="AS54" i="113"/>
  <c r="AS53" i="113"/>
  <c r="Z68" i="113"/>
  <c r="AS58" i="113"/>
  <c r="G57" i="113"/>
  <c r="AS52" i="113"/>
  <c r="AS59" i="113"/>
  <c r="G58" i="113"/>
  <c r="G54" i="113"/>
  <c r="Z69" i="113"/>
  <c r="Z62" i="113"/>
  <c r="G53" i="113"/>
  <c r="Z64" i="113"/>
  <c r="G59" i="113"/>
  <c r="G51" i="113"/>
  <c r="Z67" i="113"/>
  <c r="AS55" i="113"/>
  <c r="G55" i="113"/>
  <c r="G52" i="113"/>
  <c r="G56" i="113"/>
  <c r="AS56" i="113"/>
  <c r="Z66" i="113"/>
  <c r="Z65" i="113"/>
  <c r="Z63" i="113"/>
  <c r="AS51" i="113"/>
  <c r="J105" i="115"/>
  <c r="H105" i="115"/>
  <c r="CP1266" i="75"/>
  <c r="CP1265" i="75"/>
  <c r="CP1267" i="75"/>
  <c r="CP1276" i="75"/>
  <c r="BH831" i="75"/>
  <c r="BH805" i="75"/>
  <c r="BH840" i="75"/>
  <c r="BH821" i="75"/>
  <c r="BH837" i="75"/>
  <c r="BH810" i="75"/>
  <c r="BH846" i="75"/>
  <c r="BH843" i="75"/>
  <c r="BH820" i="75"/>
  <c r="BH842" i="75"/>
  <c r="BH812" i="75"/>
  <c r="BH806" i="75"/>
  <c r="BH823" i="75"/>
  <c r="BH818" i="75"/>
  <c r="CB545" i="75"/>
  <c r="CB538" i="75"/>
  <c r="AB149" i="113"/>
  <c r="I138" i="113"/>
  <c r="AB143" i="113"/>
  <c r="AU134" i="113"/>
  <c r="AU132" i="113"/>
  <c r="I132" i="113"/>
  <c r="AB142" i="113"/>
  <c r="AU135" i="113"/>
  <c r="AB148" i="113"/>
  <c r="AU133" i="113"/>
  <c r="I136" i="113"/>
  <c r="AU139" i="113"/>
  <c r="AU136" i="113"/>
  <c r="I137" i="113"/>
  <c r="AU138" i="113"/>
  <c r="AB145" i="113"/>
  <c r="AB144" i="113"/>
  <c r="I139" i="113"/>
  <c r="I133" i="113"/>
  <c r="AB146" i="113"/>
  <c r="AB141" i="113"/>
  <c r="AU137" i="113"/>
  <c r="AB147" i="113"/>
  <c r="AU131" i="113"/>
  <c r="I134" i="113"/>
  <c r="I131" i="113"/>
  <c r="I135" i="113"/>
  <c r="CS728" i="75"/>
  <c r="CV914" i="75"/>
  <c r="CV906" i="75"/>
  <c r="I122" i="113"/>
  <c r="AU124" i="113"/>
  <c r="AU129" i="113"/>
  <c r="AB132" i="113"/>
  <c r="AU127" i="113"/>
  <c r="I127" i="113"/>
  <c r="AU126" i="113"/>
  <c r="AU121" i="113"/>
  <c r="AB131" i="113"/>
  <c r="I121" i="113"/>
  <c r="AU123" i="113"/>
  <c r="AB138" i="113"/>
  <c r="AB134" i="113"/>
  <c r="I125" i="113"/>
  <c r="AU125" i="113"/>
  <c r="AB137" i="113"/>
  <c r="I124" i="113"/>
  <c r="AU128" i="113"/>
  <c r="AB133" i="113"/>
  <c r="AB135" i="113"/>
  <c r="AB136" i="113"/>
  <c r="I128" i="113"/>
  <c r="I126" i="113"/>
  <c r="I123" i="113"/>
  <c r="AU122" i="113"/>
  <c r="AB139" i="113"/>
  <c r="I129" i="113"/>
  <c r="BL767" i="75"/>
  <c r="BL755" i="75"/>
  <c r="BL772" i="75"/>
  <c r="BL784" i="75"/>
  <c r="BL759" i="75"/>
  <c r="BL758" i="75"/>
  <c r="BL763" i="75"/>
  <c r="BL756" i="75"/>
  <c r="BL764" i="75"/>
  <c r="BL751" i="75"/>
  <c r="BL750" i="75"/>
  <c r="BL761" i="75"/>
  <c r="BL786" i="75"/>
  <c r="BL773" i="75"/>
  <c r="BL752" i="75"/>
  <c r="BL783" i="75"/>
  <c r="BL793" i="75"/>
  <c r="BL794" i="75"/>
  <c r="BL790" i="75"/>
  <c r="BL777" i="75"/>
  <c r="BL769" i="75"/>
  <c r="BL768" i="75"/>
  <c r="BL753" i="75"/>
  <c r="BL757" i="75"/>
  <c r="CF972" i="75"/>
  <c r="CF954" i="75"/>
  <c r="CF966" i="75"/>
  <c r="CF967" i="75"/>
  <c r="CF969" i="75"/>
  <c r="CF961" i="75"/>
  <c r="CF958" i="75"/>
  <c r="CF971" i="75"/>
  <c r="CF959" i="75"/>
  <c r="CF975" i="75"/>
  <c r="CF953" i="75"/>
  <c r="CF955" i="75"/>
  <c r="CF965" i="75"/>
  <c r="CF951" i="75"/>
  <c r="CF957" i="75"/>
  <c r="CF973" i="75"/>
  <c r="CF962" i="75"/>
  <c r="CF974" i="75"/>
  <c r="AS63" i="113"/>
  <c r="Z79" i="113"/>
  <c r="G69" i="113"/>
  <c r="AS64" i="113"/>
  <c r="AS61" i="113"/>
  <c r="Z78" i="113"/>
  <c r="G62" i="113"/>
  <c r="Z71" i="113"/>
  <c r="G66" i="113"/>
  <c r="AS65" i="113"/>
  <c r="Z72" i="113"/>
  <c r="G68" i="113"/>
  <c r="G64" i="113"/>
  <c r="AS68" i="113"/>
  <c r="AS67" i="113"/>
  <c r="Z75" i="113"/>
  <c r="Z73" i="113"/>
  <c r="G65" i="113"/>
  <c r="AS69" i="113"/>
  <c r="Z77" i="113"/>
  <c r="G67" i="113"/>
  <c r="AS62" i="113"/>
  <c r="G61" i="113"/>
  <c r="Z74" i="113"/>
  <c r="Z76" i="113"/>
  <c r="AS66" i="113"/>
  <c r="G63" i="113"/>
  <c r="Z157" i="113"/>
  <c r="Z155" i="113"/>
  <c r="G146" i="113"/>
  <c r="G145" i="113"/>
  <c r="Z158" i="113"/>
  <c r="G143" i="113"/>
  <c r="AS142" i="113"/>
  <c r="Z154" i="113"/>
  <c r="AS149" i="113"/>
  <c r="G148" i="113"/>
  <c r="AS147" i="113"/>
  <c r="AS144" i="113"/>
  <c r="Z152" i="113"/>
  <c r="G149" i="113"/>
  <c r="G141" i="113"/>
  <c r="G144" i="113"/>
  <c r="AS148" i="113"/>
  <c r="AS143" i="113"/>
  <c r="G147" i="113"/>
  <c r="G142" i="113"/>
  <c r="AS146" i="113"/>
  <c r="Z159" i="113"/>
  <c r="AS141" i="113"/>
  <c r="Z153" i="113"/>
  <c r="Z151" i="113"/>
  <c r="AS145" i="113"/>
  <c r="Z156" i="113"/>
  <c r="BL770" i="75"/>
  <c r="CP1215" i="75"/>
  <c r="BH854" i="75"/>
  <c r="CJ1143" i="75"/>
  <c r="CJ1135" i="75"/>
  <c r="CJ1154" i="75"/>
  <c r="CJ1151" i="75"/>
  <c r="CJ1147" i="75"/>
  <c r="CJ1155" i="75"/>
  <c r="CJ1137" i="75"/>
  <c r="CJ1153" i="75"/>
  <c r="CJ1140" i="75"/>
  <c r="CJ1138" i="75"/>
  <c r="CD957" i="75"/>
  <c r="CD960" i="75"/>
  <c r="CD955" i="75"/>
  <c r="CD965" i="75"/>
  <c r="CD966" i="75"/>
  <c r="CD964" i="75"/>
  <c r="CD961" i="75"/>
  <c r="CD948" i="75"/>
  <c r="H102" i="115"/>
  <c r="J102" i="115"/>
  <c r="AB57" i="113"/>
  <c r="AU48" i="113"/>
  <c r="I47" i="113"/>
  <c r="AB55" i="113"/>
  <c r="I45" i="113"/>
  <c r="AB52" i="113"/>
  <c r="AU41" i="113"/>
  <c r="AU43" i="113"/>
  <c r="I43" i="113"/>
  <c r="AU42" i="113"/>
  <c r="AB56" i="113"/>
  <c r="I46" i="113"/>
  <c r="AB59" i="113"/>
  <c r="I44" i="113"/>
  <c r="AU45" i="113"/>
  <c r="AB53" i="113"/>
  <c r="I49" i="113"/>
  <c r="I42" i="113"/>
  <c r="I41" i="113"/>
  <c r="AU47" i="113"/>
  <c r="AU46" i="113"/>
  <c r="AB54" i="113"/>
  <c r="AU44" i="113"/>
  <c r="AB58" i="113"/>
  <c r="AB51" i="113"/>
  <c r="AU49" i="113"/>
  <c r="I48" i="113"/>
  <c r="H122" i="115"/>
  <c r="J122" i="115"/>
  <c r="AS19" i="113"/>
  <c r="AS18" i="113"/>
  <c r="AS14" i="113"/>
  <c r="AT14" i="113" s="1"/>
  <c r="AS17" i="113"/>
  <c r="AS16" i="113"/>
  <c r="Z23" i="113"/>
  <c r="Z25" i="113"/>
  <c r="AA25" i="113" s="1"/>
  <c r="Z26" i="113"/>
  <c r="AA26" i="113" s="1"/>
  <c r="AS11" i="113"/>
  <c r="AT11" i="113" s="1"/>
  <c r="Z24" i="113"/>
  <c r="AA24" i="113" s="1"/>
  <c r="Z28" i="113"/>
  <c r="Z22" i="113"/>
  <c r="AA22" i="113" s="1"/>
  <c r="AS12" i="113"/>
  <c r="AS15" i="113"/>
  <c r="Z29" i="113"/>
  <c r="Z21" i="113"/>
  <c r="Z27" i="113"/>
  <c r="AS13" i="113"/>
  <c r="AU51" i="113"/>
  <c r="I55" i="113"/>
  <c r="AB61" i="113"/>
  <c r="AB68" i="113"/>
  <c r="I58" i="113"/>
  <c r="I56" i="113"/>
  <c r="AU59" i="113"/>
  <c r="AU57" i="113"/>
  <c r="AB64" i="113"/>
  <c r="AU54" i="113"/>
  <c r="AU53" i="113"/>
  <c r="AB65" i="113"/>
  <c r="AU56" i="113"/>
  <c r="AU55" i="113"/>
  <c r="I51" i="113"/>
  <c r="AB63" i="113"/>
  <c r="I54" i="113"/>
  <c r="I53" i="113"/>
  <c r="AU52" i="113"/>
  <c r="AB66" i="113"/>
  <c r="AB67" i="113"/>
  <c r="AB62" i="113"/>
  <c r="AU58" i="113"/>
  <c r="I52" i="113"/>
  <c r="I59" i="113"/>
  <c r="I57" i="113"/>
  <c r="AB69" i="113"/>
  <c r="CP1202" i="75"/>
  <c r="BH822" i="75"/>
  <c r="BT577" i="75"/>
  <c r="BT578" i="75"/>
  <c r="BT584" i="75"/>
  <c r="BT596" i="75"/>
  <c r="BT592" i="75"/>
  <c r="BT595" i="75"/>
  <c r="BT591" i="75"/>
  <c r="BT602" i="75"/>
  <c r="BT597" i="75"/>
  <c r="BT579" i="75"/>
  <c r="BT609" i="75"/>
  <c r="BT581" i="75"/>
  <c r="BT606" i="75"/>
  <c r="Z39" i="113"/>
  <c r="Z35" i="113"/>
  <c r="Z34" i="113"/>
  <c r="AA34" i="113" s="1"/>
  <c r="Z36" i="113"/>
  <c r="AA36" i="113" s="1"/>
  <c r="AS27" i="113"/>
  <c r="AT27" i="113" s="1"/>
  <c r="Z32" i="113"/>
  <c r="G26" i="113"/>
  <c r="G27" i="113"/>
  <c r="AS22" i="113"/>
  <c r="AT22" i="113" s="1"/>
  <c r="G25" i="113"/>
  <c r="AS24" i="113"/>
  <c r="G24" i="113"/>
  <c r="H24" i="113" s="1"/>
  <c r="Z38" i="113"/>
  <c r="AA38" i="113" s="1"/>
  <c r="G29" i="113"/>
  <c r="H29" i="113" s="1"/>
  <c r="AS28" i="113"/>
  <c r="AS26" i="113"/>
  <c r="AS23" i="113"/>
  <c r="AT23" i="113" s="1"/>
  <c r="G22" i="113"/>
  <c r="H22" i="113" s="1"/>
  <c r="AS21" i="113"/>
  <c r="Z37" i="113"/>
  <c r="AA37" i="113" s="1"/>
  <c r="Z33" i="113"/>
  <c r="AA33" i="113" s="1"/>
  <c r="Z31" i="113"/>
  <c r="AA31" i="113" s="1"/>
  <c r="AS29" i="113"/>
  <c r="AT29" i="113" s="1"/>
  <c r="G28" i="113"/>
  <c r="H28" i="113" s="1"/>
  <c r="AS25" i="113"/>
  <c r="G23" i="113"/>
  <c r="H23" i="113" s="1"/>
  <c r="G21" i="113"/>
  <c r="J170" i="113"/>
  <c r="H170" i="113"/>
  <c r="CJ303" i="75"/>
  <c r="CJ296" i="75"/>
  <c r="CJ292" i="75"/>
  <c r="CP1214" i="75"/>
  <c r="BH815" i="75"/>
  <c r="CS726" i="75"/>
  <c r="BH816" i="75"/>
  <c r="CN1143" i="75"/>
  <c r="CN1141" i="75"/>
  <c r="CN1145" i="75"/>
  <c r="CN1148" i="75"/>
  <c r="CN1146" i="75"/>
  <c r="CN1152" i="75"/>
  <c r="J106" i="115"/>
  <c r="H106" i="115"/>
  <c r="BJ951" i="75"/>
  <c r="BJ934" i="75"/>
  <c r="BJ965" i="75"/>
  <c r="BJ944" i="75"/>
  <c r="BJ940" i="75"/>
  <c r="BJ932" i="75"/>
  <c r="BJ955" i="75"/>
  <c r="BJ958" i="75"/>
  <c r="BJ966" i="75"/>
  <c r="BJ973" i="75"/>
  <c r="BJ936" i="75"/>
  <c r="BJ939" i="75"/>
  <c r="BJ938" i="75"/>
  <c r="BJ945" i="75"/>
  <c r="W172" i="113"/>
  <c r="W179" i="113"/>
  <c r="D162" i="113"/>
  <c r="W177" i="113"/>
  <c r="W171" i="113"/>
  <c r="D164" i="113"/>
  <c r="AP162" i="113"/>
  <c r="D163" i="113"/>
  <c r="AP168" i="113"/>
  <c r="W175" i="113"/>
  <c r="W174" i="113"/>
  <c r="D161" i="113"/>
  <c r="W176" i="113"/>
  <c r="W178" i="113"/>
  <c r="AP169" i="113"/>
  <c r="D169" i="113"/>
  <c r="AP163" i="113"/>
  <c r="AP167" i="113"/>
  <c r="AP164" i="113"/>
  <c r="D166" i="113"/>
  <c r="D165" i="113"/>
  <c r="D168" i="113"/>
  <c r="D167" i="113"/>
  <c r="AP161" i="113"/>
  <c r="AP165" i="113"/>
  <c r="W173" i="113"/>
  <c r="AP166" i="113"/>
  <c r="CS722" i="75"/>
  <c r="BH811" i="75"/>
  <c r="CH482" i="75"/>
  <c r="BZ243" i="75"/>
  <c r="BF1106" i="75"/>
  <c r="BF1124" i="75"/>
  <c r="BF1105" i="75"/>
  <c r="CB232" i="75"/>
  <c r="CB252" i="75"/>
  <c r="BX473" i="75"/>
  <c r="BL511" i="75"/>
  <c r="BL532" i="75"/>
  <c r="CP791" i="75"/>
  <c r="BR1006" i="75"/>
  <c r="BR1023" i="75"/>
  <c r="BJ1089" i="75"/>
  <c r="BJ1062" i="75"/>
  <c r="BD705" i="75"/>
  <c r="BD719" i="75"/>
  <c r="BP951" i="75"/>
  <c r="BP949" i="75"/>
  <c r="BR843" i="75"/>
  <c r="BR838" i="75"/>
  <c r="CD469" i="75"/>
  <c r="CD485" i="75"/>
  <c r="BF571" i="75"/>
  <c r="BF603" i="75"/>
  <c r="BF573" i="75"/>
  <c r="CB778" i="75"/>
  <c r="BT719" i="75"/>
  <c r="BT726" i="75"/>
  <c r="BL476" i="75"/>
  <c r="CJ432" i="75"/>
  <c r="BH909" i="75"/>
  <c r="BH892" i="75"/>
  <c r="BT1062" i="75"/>
  <c r="BT1087" i="75"/>
  <c r="CJ535" i="75"/>
  <c r="CB894" i="75"/>
  <c r="BZ527" i="75"/>
  <c r="BZ532" i="75"/>
  <c r="BT1008" i="75"/>
  <c r="BT1003" i="75"/>
  <c r="CB1147" i="75"/>
  <c r="CB1153" i="75"/>
  <c r="CF670" i="75"/>
  <c r="CU1091" i="75"/>
  <c r="H54" i="115"/>
  <c r="J54" i="115"/>
  <c r="CZ1096" i="75"/>
  <c r="CZ1093" i="75"/>
  <c r="H51" i="115"/>
  <c r="J51" i="115"/>
  <c r="X52" i="113"/>
  <c r="J92" i="112"/>
  <c r="H92" i="112"/>
  <c r="X29" i="113"/>
  <c r="Y29" i="113"/>
  <c r="H94" i="112"/>
  <c r="J94" i="112"/>
  <c r="J97" i="112"/>
  <c r="H97" i="112"/>
  <c r="D148" i="113"/>
  <c r="W154" i="113"/>
  <c r="J74" i="112"/>
  <c r="H74" i="112"/>
  <c r="BF1119" i="75"/>
  <c r="BF1132" i="75"/>
  <c r="BF1133" i="75"/>
  <c r="CB228" i="75"/>
  <c r="CB236" i="75"/>
  <c r="BX481" i="75"/>
  <c r="BL541" i="75"/>
  <c r="BL527" i="75"/>
  <c r="CP783" i="75"/>
  <c r="BR1008" i="75"/>
  <c r="BR1004" i="75"/>
  <c r="BJ1055" i="75"/>
  <c r="BJ1054" i="75"/>
  <c r="BD731" i="75"/>
  <c r="BD680" i="75"/>
  <c r="BP971" i="75"/>
  <c r="BP972" i="75"/>
  <c r="BR846" i="75"/>
  <c r="BR822" i="75"/>
  <c r="CD479" i="75"/>
  <c r="CD477" i="75"/>
  <c r="BF567" i="75"/>
  <c r="BF575" i="75"/>
  <c r="BF581" i="75"/>
  <c r="CB789" i="75"/>
  <c r="BT709" i="75"/>
  <c r="BT713" i="75"/>
  <c r="BL472" i="75"/>
  <c r="BL491" i="75"/>
  <c r="CJ423" i="75"/>
  <c r="BH908" i="75"/>
  <c r="BH905" i="75"/>
  <c r="BT1096" i="75"/>
  <c r="BT1064" i="75"/>
  <c r="CJ536" i="75"/>
  <c r="CB912" i="75"/>
  <c r="BZ520" i="75"/>
  <c r="BZ546" i="75"/>
  <c r="BT1025" i="75"/>
  <c r="BT1010" i="75"/>
  <c r="CB1142" i="75"/>
  <c r="CB1130" i="75"/>
  <c r="CF667" i="75"/>
  <c r="CU1086" i="75"/>
  <c r="J209" i="114"/>
  <c r="H209" i="114"/>
  <c r="I95" i="113"/>
  <c r="I91" i="113"/>
  <c r="AU94" i="113"/>
  <c r="I92" i="113"/>
  <c r="AU97" i="113"/>
  <c r="AU92" i="113"/>
  <c r="AU99" i="113"/>
  <c r="AB105" i="113"/>
  <c r="AU96" i="113"/>
  <c r="I98" i="113"/>
  <c r="AB102" i="113"/>
  <c r="AU95" i="113"/>
  <c r="I94" i="113"/>
  <c r="I93" i="113"/>
  <c r="AB104" i="113"/>
  <c r="I96" i="113"/>
  <c r="AB103" i="113"/>
  <c r="I99" i="113"/>
  <c r="AB107" i="113"/>
  <c r="I97" i="113"/>
  <c r="AB106" i="113"/>
  <c r="AU93" i="113"/>
  <c r="AB108" i="113"/>
  <c r="AU91" i="113"/>
  <c r="AB109" i="113"/>
  <c r="AB101" i="113"/>
  <c r="AU98" i="113"/>
  <c r="E48" i="113"/>
  <c r="J48" i="113" s="1"/>
  <c r="F48" i="113"/>
  <c r="J90" i="113"/>
  <c r="H90" i="113"/>
  <c r="Y21" i="113"/>
  <c r="X21" i="113"/>
  <c r="W156" i="113"/>
  <c r="AP145" i="113"/>
  <c r="H77" i="115"/>
  <c r="J77" i="115"/>
  <c r="CH481" i="75"/>
  <c r="CH491" i="75"/>
  <c r="BZ226" i="75"/>
  <c r="BZ223" i="75"/>
  <c r="CH472" i="75"/>
  <c r="CH469" i="75"/>
  <c r="BZ235" i="75"/>
  <c r="BZ246" i="75"/>
  <c r="BV248" i="75"/>
  <c r="BV227" i="75"/>
  <c r="BF1141" i="75"/>
  <c r="BF1143" i="75"/>
  <c r="BF1156" i="75"/>
  <c r="CB235" i="75"/>
  <c r="CB224" i="75"/>
  <c r="BX480" i="75"/>
  <c r="BL522" i="75"/>
  <c r="BL545" i="75"/>
  <c r="CP794" i="75"/>
  <c r="BR998" i="75"/>
  <c r="BR1027" i="75"/>
  <c r="BJ1074" i="75"/>
  <c r="BJ1091" i="75"/>
  <c r="BD717" i="75"/>
  <c r="BD687" i="75"/>
  <c r="BP245" i="75"/>
  <c r="BP226" i="75"/>
  <c r="CB649" i="75"/>
  <c r="BP937" i="75"/>
  <c r="BP962" i="75"/>
  <c r="BR826" i="75"/>
  <c r="BR852" i="75"/>
  <c r="CD480" i="75"/>
  <c r="CD470" i="75"/>
  <c r="BF614" i="75"/>
  <c r="BF584" i="75"/>
  <c r="CB782" i="75"/>
  <c r="CB780" i="75"/>
  <c r="BT712" i="75"/>
  <c r="BT732" i="75"/>
  <c r="BL461" i="75"/>
  <c r="BL466" i="75"/>
  <c r="CJ417" i="75"/>
  <c r="BH871" i="75"/>
  <c r="BH911" i="75"/>
  <c r="BF464" i="75"/>
  <c r="BF463" i="75"/>
  <c r="BT1078" i="75"/>
  <c r="BT1080" i="75"/>
  <c r="CJ544" i="75"/>
  <c r="CB887" i="75"/>
  <c r="BZ523" i="75"/>
  <c r="BZ535" i="75"/>
  <c r="BT1012" i="75"/>
  <c r="BT1007" i="75"/>
  <c r="CS785" i="75"/>
  <c r="CB1127" i="75"/>
  <c r="CB1149" i="75"/>
  <c r="CF664" i="75"/>
  <c r="J194" i="115"/>
  <c r="H194" i="115"/>
  <c r="H133" i="112"/>
  <c r="J133" i="112"/>
  <c r="I85" i="113"/>
  <c r="I86" i="113"/>
  <c r="AU82" i="113"/>
  <c r="I82" i="113"/>
  <c r="AB93" i="113"/>
  <c r="AB99" i="113"/>
  <c r="AU85" i="113"/>
  <c r="AB91" i="113"/>
  <c r="I81" i="113"/>
  <c r="AU84" i="113"/>
  <c r="AU81" i="113"/>
  <c r="I88" i="113"/>
  <c r="I89" i="113"/>
  <c r="AU87" i="113"/>
  <c r="I87" i="113"/>
  <c r="AU83" i="113"/>
  <c r="AB97" i="113"/>
  <c r="AU89" i="113"/>
  <c r="AB96" i="113"/>
  <c r="AB98" i="113"/>
  <c r="AB95" i="113"/>
  <c r="AB92" i="113"/>
  <c r="AU86" i="113"/>
  <c r="AU88" i="113"/>
  <c r="I83" i="113"/>
  <c r="I84" i="113"/>
  <c r="AB94" i="113"/>
  <c r="H76" i="115"/>
  <c r="J76" i="115"/>
  <c r="J76" i="112"/>
  <c r="H76" i="112"/>
  <c r="AR48" i="113"/>
  <c r="AQ48" i="113"/>
  <c r="AQ13" i="113"/>
  <c r="AR13" i="113"/>
  <c r="J132" i="112"/>
  <c r="H132" i="112"/>
  <c r="J173" i="112"/>
  <c r="H173" i="112"/>
  <c r="D145" i="113"/>
  <c r="W151" i="113"/>
  <c r="I161" i="113"/>
  <c r="I165" i="113"/>
  <c r="AU164" i="113"/>
  <c r="AB171" i="113"/>
  <c r="AU161" i="113"/>
  <c r="AU169" i="113"/>
  <c r="I164" i="113"/>
  <c r="AB176" i="113"/>
  <c r="AU165" i="113"/>
  <c r="I167" i="113"/>
  <c r="AB172" i="113"/>
  <c r="AB173" i="113"/>
  <c r="I163" i="113"/>
  <c r="AU167" i="113"/>
  <c r="AU162" i="113"/>
  <c r="AU166" i="113"/>
  <c r="AU163" i="113"/>
  <c r="AB179" i="113"/>
  <c r="AB174" i="113"/>
  <c r="I166" i="113"/>
  <c r="I162" i="113"/>
  <c r="I168" i="113"/>
  <c r="AB178" i="113"/>
  <c r="AB175" i="113"/>
  <c r="I169" i="113"/>
  <c r="AB177" i="113"/>
  <c r="AU168" i="113"/>
  <c r="J113" i="112"/>
  <c r="H113" i="112"/>
  <c r="CH485" i="75"/>
  <c r="CH473" i="75"/>
  <c r="BZ250" i="75"/>
  <c r="BZ222" i="75"/>
  <c r="BF1149" i="75"/>
  <c r="BF1130" i="75"/>
  <c r="BF1112" i="75"/>
  <c r="BX476" i="75"/>
  <c r="BD706" i="75"/>
  <c r="BD723" i="75"/>
  <c r="BP941" i="75"/>
  <c r="BP968" i="75"/>
  <c r="CD492" i="75"/>
  <c r="CD464" i="75"/>
  <c r="CB773" i="75"/>
  <c r="CB779" i="75"/>
  <c r="BT733" i="75"/>
  <c r="BT711" i="75"/>
  <c r="CJ426" i="75"/>
  <c r="BH888" i="75"/>
  <c r="BH864" i="75"/>
  <c r="CJ541" i="75"/>
  <c r="CB903" i="75"/>
  <c r="CB902" i="75"/>
  <c r="H199" i="115"/>
  <c r="J199" i="115"/>
  <c r="AU175" i="113"/>
  <c r="I171" i="113"/>
  <c r="I175" i="113"/>
  <c r="AB189" i="113"/>
  <c r="AU172" i="113"/>
  <c r="AB181" i="113"/>
  <c r="AB187" i="113"/>
  <c r="I173" i="113"/>
  <c r="I178" i="113"/>
  <c r="I177" i="113"/>
  <c r="AB184" i="113"/>
  <c r="I174" i="113"/>
  <c r="I179" i="113"/>
  <c r="AB186" i="113"/>
  <c r="AU176" i="113"/>
  <c r="AU178" i="113"/>
  <c r="AB182" i="113"/>
  <c r="I172" i="113"/>
  <c r="AB188" i="113"/>
  <c r="AU174" i="113"/>
  <c r="AU173" i="113"/>
  <c r="AU179" i="113"/>
  <c r="AB185" i="113"/>
  <c r="AU171" i="113"/>
  <c r="I176" i="113"/>
  <c r="AB183" i="113"/>
  <c r="AU177" i="113"/>
  <c r="J201" i="116"/>
  <c r="H201" i="116"/>
  <c r="CU550" i="75"/>
  <c r="CU545" i="75"/>
  <c r="CU552" i="75"/>
  <c r="CU549" i="75"/>
  <c r="CU543" i="75"/>
  <c r="CU541" i="75"/>
  <c r="CV541" i="75" s="1"/>
  <c r="CU547" i="75"/>
  <c r="CU544" i="75"/>
  <c r="CU546" i="75"/>
  <c r="CU548" i="75"/>
  <c r="CU542" i="75"/>
  <c r="CU551" i="75"/>
  <c r="E45" i="113"/>
  <c r="J45" i="113" s="1"/>
  <c r="F45" i="113"/>
  <c r="Y23" i="113"/>
  <c r="X23" i="113"/>
  <c r="AB162" i="113"/>
  <c r="I153" i="113"/>
  <c r="I158" i="113"/>
  <c r="AB161" i="113"/>
  <c r="AU156" i="113"/>
  <c r="AB166" i="113"/>
  <c r="I156" i="113"/>
  <c r="AB163" i="113"/>
  <c r="AB165" i="113"/>
  <c r="I159" i="113"/>
  <c r="AB169" i="113"/>
  <c r="AU152" i="113"/>
  <c r="AB164" i="113"/>
  <c r="AU151" i="113"/>
  <c r="AB168" i="113"/>
  <c r="AU157" i="113"/>
  <c r="AU158" i="113"/>
  <c r="I154" i="113"/>
  <c r="AU155" i="113"/>
  <c r="AU153" i="113"/>
  <c r="AU159" i="113"/>
  <c r="I152" i="113"/>
  <c r="I157" i="113"/>
  <c r="I155" i="113"/>
  <c r="AB167" i="113"/>
  <c r="AU154" i="113"/>
  <c r="I151" i="113"/>
  <c r="H96" i="116"/>
  <c r="J96" i="116"/>
  <c r="I189" i="113"/>
  <c r="AU181" i="113"/>
  <c r="AU188" i="113"/>
  <c r="I183" i="113"/>
  <c r="AU182" i="113"/>
  <c r="AB197" i="113"/>
  <c r="AB192" i="113"/>
  <c r="AB191" i="113"/>
  <c r="AU189" i="113"/>
  <c r="AU183" i="113"/>
  <c r="AB198" i="113"/>
  <c r="AB196" i="113"/>
  <c r="I188" i="113"/>
  <c r="AU185" i="113"/>
  <c r="AB199" i="113"/>
  <c r="AB193" i="113"/>
  <c r="AU187" i="113"/>
  <c r="AU184" i="113"/>
  <c r="I182" i="113"/>
  <c r="AB195" i="113"/>
  <c r="AB194" i="113"/>
  <c r="I186" i="113"/>
  <c r="I185" i="113"/>
  <c r="I184" i="113"/>
  <c r="I181" i="113"/>
  <c r="AU186" i="113"/>
  <c r="AP65" i="113"/>
  <c r="D62" i="113"/>
  <c r="AP62" i="113"/>
  <c r="D66" i="113"/>
  <c r="D65" i="113"/>
  <c r="AP61" i="113"/>
  <c r="W76" i="113"/>
  <c r="D63" i="113"/>
  <c r="D61" i="113"/>
  <c r="W71" i="113"/>
  <c r="AP68" i="113"/>
  <c r="W72" i="113"/>
  <c r="W73" i="113"/>
  <c r="W75" i="113"/>
  <c r="W79" i="113"/>
  <c r="W78" i="113"/>
  <c r="D69" i="113"/>
  <c r="W74" i="113"/>
  <c r="D64" i="113"/>
  <c r="AP66" i="113"/>
  <c r="AP69" i="113"/>
  <c r="D67" i="113"/>
  <c r="AP63" i="113"/>
  <c r="AP64" i="113"/>
  <c r="W77" i="113"/>
  <c r="D68" i="113"/>
  <c r="AP67" i="113"/>
  <c r="J166" i="114"/>
  <c r="H166" i="114"/>
  <c r="H137" i="112"/>
  <c r="J137" i="112"/>
  <c r="AQ43" i="113"/>
  <c r="AR43" i="113"/>
  <c r="X56" i="113"/>
  <c r="Y56" i="113"/>
  <c r="AR15" i="113"/>
  <c r="AQ15" i="113"/>
  <c r="J120" i="113"/>
  <c r="H120" i="113"/>
  <c r="AP143" i="113"/>
  <c r="CJ532" i="75"/>
  <c r="CJ533" i="75"/>
  <c r="CJ531" i="75"/>
  <c r="CJ552" i="75"/>
  <c r="CJ551" i="75"/>
  <c r="CJ550" i="75"/>
  <c r="CJ543" i="75"/>
  <c r="CJ542" i="75"/>
  <c r="CJ545" i="75"/>
  <c r="CH479" i="75"/>
  <c r="CH480" i="75"/>
  <c r="BZ233" i="75"/>
  <c r="BZ225" i="75"/>
  <c r="BF1125" i="75"/>
  <c r="BF1104" i="75"/>
  <c r="BF1114" i="75"/>
  <c r="CB251" i="75"/>
  <c r="CZ854" i="75"/>
  <c r="BX485" i="75"/>
  <c r="BL509" i="75"/>
  <c r="BL536" i="75"/>
  <c r="BL549" i="75"/>
  <c r="CP792" i="75"/>
  <c r="BR1024" i="75"/>
  <c r="BR1022" i="75"/>
  <c r="BJ1093" i="75"/>
  <c r="BJ1076" i="75"/>
  <c r="BD734" i="75"/>
  <c r="BD733" i="75"/>
  <c r="BP235" i="75"/>
  <c r="BP243" i="75"/>
  <c r="CB674" i="75"/>
  <c r="BP947" i="75"/>
  <c r="BP953" i="75"/>
  <c r="BR819" i="75"/>
  <c r="BR848" i="75"/>
  <c r="BJ269" i="75"/>
  <c r="BJ267" i="75"/>
  <c r="CD488" i="75"/>
  <c r="CD483" i="75"/>
  <c r="BF596" i="75"/>
  <c r="BF585" i="75"/>
  <c r="CB791" i="75"/>
  <c r="CB784" i="75"/>
  <c r="BT698" i="75"/>
  <c r="BT720" i="75"/>
  <c r="BL487" i="75"/>
  <c r="BL454" i="75"/>
  <c r="CJ413" i="75"/>
  <c r="BH872" i="75"/>
  <c r="BH877" i="75"/>
  <c r="BR470" i="75"/>
  <c r="BR490" i="75"/>
  <c r="BF443" i="75"/>
  <c r="BF488" i="75"/>
  <c r="BT1077" i="75"/>
  <c r="BT1089" i="75"/>
  <c r="CV487" i="75"/>
  <c r="CJ530" i="75"/>
  <c r="CQ728" i="75"/>
  <c r="CB891" i="75"/>
  <c r="CB906" i="75"/>
  <c r="BZ530" i="75"/>
  <c r="BT1002" i="75"/>
  <c r="BT1009" i="75"/>
  <c r="CB1128" i="75"/>
  <c r="CB1137" i="75"/>
  <c r="CF651" i="75"/>
  <c r="J70" i="113"/>
  <c r="H70" i="113"/>
  <c r="AQ44" i="113"/>
  <c r="AR44" i="113"/>
  <c r="AQ41" i="113"/>
  <c r="AR41" i="113"/>
  <c r="AP117" i="113"/>
  <c r="W124" i="113"/>
  <c r="W129" i="113"/>
  <c r="D114" i="113"/>
  <c r="D115" i="113"/>
  <c r="AP111" i="113"/>
  <c r="D116" i="113"/>
  <c r="AP112" i="113"/>
  <c r="D118" i="113"/>
  <c r="W123" i="113"/>
  <c r="D113" i="113"/>
  <c r="AP114" i="113"/>
  <c r="W122" i="113"/>
  <c r="W125" i="113"/>
  <c r="W128" i="113"/>
  <c r="D119" i="113"/>
  <c r="W121" i="113"/>
  <c r="D111" i="113"/>
  <c r="W126" i="113"/>
  <c r="D117" i="113"/>
  <c r="AP115" i="113"/>
  <c r="AP118" i="113"/>
  <c r="AP113" i="113"/>
  <c r="AP119" i="113"/>
  <c r="AP116" i="113"/>
  <c r="D112" i="113"/>
  <c r="W127" i="113"/>
  <c r="J96" i="112"/>
  <c r="H96" i="112"/>
  <c r="W152" i="113"/>
  <c r="H195" i="115"/>
  <c r="J195" i="115"/>
  <c r="H162" i="114"/>
  <c r="J162" i="114"/>
  <c r="CH468" i="75"/>
  <c r="BZ236" i="75"/>
  <c r="BZ232" i="75"/>
  <c r="BF1136" i="75"/>
  <c r="BF1120" i="75"/>
  <c r="BF1109" i="75"/>
  <c r="CB238" i="75"/>
  <c r="CZ849" i="75"/>
  <c r="BX478" i="75"/>
  <c r="CP781" i="75"/>
  <c r="BR1036" i="75"/>
  <c r="BR1019" i="75"/>
  <c r="BD708" i="75"/>
  <c r="BD732" i="75"/>
  <c r="BP955" i="75"/>
  <c r="BP961" i="75"/>
  <c r="BR841" i="75"/>
  <c r="BR835" i="75"/>
  <c r="CD475" i="75"/>
  <c r="CD486" i="75"/>
  <c r="CB786" i="75"/>
  <c r="CB777" i="75"/>
  <c r="BT734" i="75"/>
  <c r="BT731" i="75"/>
  <c r="CJ431" i="75"/>
  <c r="BH885" i="75"/>
  <c r="BH878" i="75"/>
  <c r="BT1085" i="75"/>
  <c r="BT1061" i="75"/>
  <c r="CJ546" i="75"/>
  <c r="CQ729" i="75"/>
  <c r="CQ726" i="75"/>
  <c r="CB907" i="75"/>
  <c r="CB888" i="75"/>
  <c r="CB1139" i="75"/>
  <c r="CB1145" i="75"/>
  <c r="CF653" i="75"/>
  <c r="J150" i="113"/>
  <c r="H150" i="113"/>
  <c r="J56" i="115"/>
  <c r="H56" i="115"/>
  <c r="J167" i="114"/>
  <c r="H167" i="114"/>
  <c r="E41" i="113"/>
  <c r="J41" i="113" s="1"/>
  <c r="X57" i="113"/>
  <c r="Y57" i="113"/>
  <c r="AP142" i="113"/>
  <c r="Z124" i="113"/>
  <c r="Z123" i="113"/>
  <c r="Z121" i="113"/>
  <c r="G112" i="113"/>
  <c r="AS112" i="113"/>
  <c r="Z122" i="113"/>
  <c r="G118" i="113"/>
  <c r="AS116" i="113"/>
  <c r="Z128" i="113"/>
  <c r="G117" i="113"/>
  <c r="AS114" i="113"/>
  <c r="AS113" i="113"/>
  <c r="G114" i="113"/>
  <c r="AS111" i="113"/>
  <c r="Z129" i="113"/>
  <c r="Z127" i="113"/>
  <c r="Z125" i="113"/>
  <c r="AS119" i="113"/>
  <c r="G111" i="113"/>
  <c r="G116" i="113"/>
  <c r="AS115" i="113"/>
  <c r="G115" i="113"/>
  <c r="AS117" i="113"/>
  <c r="Z126" i="113"/>
  <c r="G113" i="113"/>
  <c r="G119" i="113"/>
  <c r="AS118" i="113"/>
  <c r="J99" i="112"/>
  <c r="H99" i="112"/>
  <c r="AQ42" i="113"/>
  <c r="AR42" i="113"/>
  <c r="Y55" i="113"/>
  <c r="X55" i="113"/>
  <c r="AP121" i="113"/>
  <c r="AP124" i="113"/>
  <c r="W138" i="113"/>
  <c r="AP123" i="113"/>
  <c r="D124" i="113"/>
  <c r="W136" i="113"/>
  <c r="AP129" i="113"/>
  <c r="D129" i="113"/>
  <c r="D126" i="113"/>
  <c r="D127" i="113"/>
  <c r="W137" i="113"/>
  <c r="D128" i="113"/>
  <c r="W134" i="113"/>
  <c r="W133" i="113"/>
  <c r="W135" i="113"/>
  <c r="AP128" i="113"/>
  <c r="AP125" i="113"/>
  <c r="D123" i="113"/>
  <c r="AP126" i="113"/>
  <c r="W131" i="113"/>
  <c r="D121" i="113"/>
  <c r="D125" i="113"/>
  <c r="W132" i="113"/>
  <c r="D122" i="113"/>
  <c r="AP122" i="113"/>
  <c r="W139" i="113"/>
  <c r="AP127" i="113"/>
  <c r="D144" i="113"/>
  <c r="H94" i="116"/>
  <c r="G109" i="113"/>
  <c r="AS109" i="113"/>
  <c r="G106" i="113"/>
  <c r="G108" i="113"/>
  <c r="AS108" i="113"/>
  <c r="AS107" i="113"/>
  <c r="G105" i="113"/>
  <c r="Z119" i="113"/>
  <c r="AS101" i="113"/>
  <c r="AS103" i="113"/>
  <c r="Z112" i="113"/>
  <c r="AS102" i="113"/>
  <c r="Z111" i="113"/>
  <c r="G107" i="113"/>
  <c r="G103" i="113"/>
  <c r="Z118" i="113"/>
  <c r="G102" i="113"/>
  <c r="G104" i="113"/>
  <c r="Z117" i="113"/>
  <c r="Z115" i="113"/>
  <c r="AS105" i="113"/>
  <c r="AS104" i="113"/>
  <c r="Z116" i="113"/>
  <c r="AS106" i="113"/>
  <c r="G101" i="113"/>
  <c r="Z114" i="113"/>
  <c r="Z113" i="113"/>
  <c r="H117" i="112"/>
  <c r="J117" i="112"/>
  <c r="CH484" i="75"/>
  <c r="BZ252" i="75"/>
  <c r="BZ224" i="75"/>
  <c r="BV251" i="75"/>
  <c r="BV219" i="75"/>
  <c r="BF1138" i="75"/>
  <c r="BF1115" i="75"/>
  <c r="BF1118" i="75"/>
  <c r="CB222" i="75"/>
  <c r="CZ850" i="75"/>
  <c r="BX467" i="75"/>
  <c r="BL542" i="75"/>
  <c r="BL518" i="75"/>
  <c r="BL521" i="75"/>
  <c r="CP788" i="75"/>
  <c r="BR1005" i="75"/>
  <c r="BR1017" i="75"/>
  <c r="BD696" i="75"/>
  <c r="BD722" i="75"/>
  <c r="BP936" i="75"/>
  <c r="BP974" i="75"/>
  <c r="BR815" i="75"/>
  <c r="BR840" i="75"/>
  <c r="CD478" i="75"/>
  <c r="CD471" i="75"/>
  <c r="BF611" i="75"/>
  <c r="BF577" i="75"/>
  <c r="CB776" i="75"/>
  <c r="CB771" i="75"/>
  <c r="BT702" i="75"/>
  <c r="BT697" i="75"/>
  <c r="CJ412" i="75"/>
  <c r="BH899" i="75"/>
  <c r="BH904" i="75"/>
  <c r="BH891" i="75"/>
  <c r="BT1073" i="75"/>
  <c r="BT1079" i="75"/>
  <c r="CQ731" i="75"/>
  <c r="CB909" i="75"/>
  <c r="CB898" i="75"/>
  <c r="CB1146" i="75"/>
  <c r="CB1143" i="75"/>
  <c r="CF666" i="75"/>
  <c r="D155" i="113"/>
  <c r="D159" i="113"/>
  <c r="D156" i="113"/>
  <c r="D158" i="113"/>
  <c r="AP151" i="113"/>
  <c r="W165" i="113"/>
  <c r="D153" i="113"/>
  <c r="AP154" i="113"/>
  <c r="W163" i="113"/>
  <c r="W169" i="113"/>
  <c r="AP156" i="113"/>
  <c r="W168" i="113"/>
  <c r="AP155" i="113"/>
  <c r="W164" i="113"/>
  <c r="W161" i="113"/>
  <c r="AP157" i="113"/>
  <c r="D151" i="113"/>
  <c r="AP152" i="113"/>
  <c r="D157" i="113"/>
  <c r="AP153" i="113"/>
  <c r="W162" i="113"/>
  <c r="AP159" i="113"/>
  <c r="AP158" i="113"/>
  <c r="D152" i="113"/>
  <c r="D154" i="113"/>
  <c r="W167" i="113"/>
  <c r="W166" i="113"/>
  <c r="J164" i="114"/>
  <c r="H164" i="114"/>
  <c r="J77" i="112"/>
  <c r="H77" i="112"/>
  <c r="E47" i="113"/>
  <c r="F47" i="113"/>
  <c r="F49" i="113"/>
  <c r="W199" i="113"/>
  <c r="W191" i="113"/>
  <c r="AP186" i="113"/>
  <c r="AP182" i="113"/>
  <c r="D186" i="113"/>
  <c r="W196" i="113"/>
  <c r="AP187" i="113"/>
  <c r="W195" i="113"/>
  <c r="AP189" i="113"/>
  <c r="AP185" i="113"/>
  <c r="W197" i="113"/>
  <c r="D188" i="113"/>
  <c r="D184" i="113"/>
  <c r="D187" i="113"/>
  <c r="D183" i="113"/>
  <c r="D182" i="113"/>
  <c r="W194" i="113"/>
  <c r="AP188" i="113"/>
  <c r="D185" i="113"/>
  <c r="D181" i="113"/>
  <c r="W198" i="113"/>
  <c r="AP181" i="113"/>
  <c r="W192" i="113"/>
  <c r="AP184" i="113"/>
  <c r="D189" i="113"/>
  <c r="W193" i="113"/>
  <c r="AP183" i="113"/>
  <c r="AP147" i="113"/>
  <c r="CH475" i="75"/>
  <c r="BZ228" i="75"/>
  <c r="BZ238" i="75"/>
  <c r="BF1134" i="75"/>
  <c r="BF1155" i="75"/>
  <c r="BF1139" i="75"/>
  <c r="CB233" i="75"/>
  <c r="BX479" i="75"/>
  <c r="BL528" i="75"/>
  <c r="BL508" i="75"/>
  <c r="BL506" i="75"/>
  <c r="CP782" i="75"/>
  <c r="BR1012" i="75"/>
  <c r="BR1010" i="75"/>
  <c r="BD1054" i="75"/>
  <c r="BD1072" i="75"/>
  <c r="BD1092" i="75"/>
  <c r="BJ1088" i="75"/>
  <c r="BJ1048" i="75"/>
  <c r="BJ1085" i="75"/>
  <c r="BD713" i="75"/>
  <c r="BD709" i="75"/>
  <c r="BP248" i="75"/>
  <c r="BP231" i="75"/>
  <c r="CB668" i="75"/>
  <c r="BP954" i="75"/>
  <c r="BP958" i="75"/>
  <c r="BR814" i="75"/>
  <c r="BR824" i="75"/>
  <c r="BJ305" i="75"/>
  <c r="BJ297" i="75"/>
  <c r="BJ291" i="75"/>
  <c r="CD484" i="75"/>
  <c r="BF610" i="75"/>
  <c r="BF595" i="75"/>
  <c r="BF608" i="75"/>
  <c r="CB792" i="75"/>
  <c r="CB775" i="75"/>
  <c r="BT723" i="75"/>
  <c r="BT696" i="75"/>
  <c r="BL474" i="75"/>
  <c r="BL449" i="75"/>
  <c r="CJ421" i="75"/>
  <c r="BH912" i="75"/>
  <c r="BH866" i="75"/>
  <c r="BH869" i="75"/>
  <c r="BR453" i="75"/>
  <c r="BR464" i="75"/>
  <c r="BF474" i="75"/>
  <c r="BT1083" i="75"/>
  <c r="BT1066" i="75"/>
  <c r="CQ721" i="75"/>
  <c r="CB899" i="75"/>
  <c r="CB892" i="75"/>
  <c r="BZ552" i="75"/>
  <c r="BT1017" i="75"/>
  <c r="BT1004" i="75"/>
  <c r="CB1133" i="75"/>
  <c r="CB1131" i="75"/>
  <c r="CF674" i="75"/>
  <c r="H175" i="112"/>
  <c r="CZ552" i="75"/>
  <c r="CZ551" i="75"/>
  <c r="CZ546" i="75"/>
  <c r="CZ547" i="75"/>
  <c r="CZ548" i="75"/>
  <c r="CZ550" i="75"/>
  <c r="CZ549" i="75"/>
  <c r="CU603" i="75"/>
  <c r="CV603" i="75" s="1"/>
  <c r="CU607" i="75"/>
  <c r="CU612" i="75"/>
  <c r="CU614" i="75"/>
  <c r="CU611" i="75"/>
  <c r="CU609" i="75"/>
  <c r="J206" i="114"/>
  <c r="H206" i="114"/>
  <c r="AQ49" i="113"/>
  <c r="Y58" i="113"/>
  <c r="X58" i="113"/>
  <c r="H53" i="115"/>
  <c r="J53" i="115"/>
  <c r="J180" i="113"/>
  <c r="H180" i="113"/>
  <c r="W153" i="113"/>
  <c r="AP207" i="113"/>
  <c r="AP204" i="113"/>
  <c r="AP201" i="113"/>
  <c r="D209" i="113"/>
  <c r="AP202" i="113"/>
  <c r="D204" i="113"/>
  <c r="D207" i="113"/>
  <c r="AP205" i="113"/>
  <c r="D205" i="113"/>
  <c r="D201" i="113"/>
  <c r="D208" i="113"/>
  <c r="AP206" i="113"/>
  <c r="AP208" i="113"/>
  <c r="AP209" i="113"/>
  <c r="D206" i="113"/>
  <c r="AP203" i="113"/>
  <c r="D202" i="113"/>
  <c r="D203" i="113"/>
  <c r="CH471" i="75"/>
  <c r="BZ239" i="75"/>
  <c r="BZ237" i="75"/>
  <c r="BF1148" i="75"/>
  <c r="BF1137" i="75"/>
  <c r="CB241" i="75"/>
  <c r="BX482" i="75"/>
  <c r="BL516" i="75"/>
  <c r="BL552" i="75"/>
  <c r="BL525" i="75"/>
  <c r="CP780" i="75"/>
  <c r="BR996" i="75"/>
  <c r="BR1034" i="75"/>
  <c r="BD694" i="75"/>
  <c r="BD707" i="75"/>
  <c r="BP966" i="75"/>
  <c r="BP944" i="75"/>
  <c r="BR831" i="75"/>
  <c r="BR821" i="75"/>
  <c r="CD465" i="75"/>
  <c r="BF600" i="75"/>
  <c r="BF566" i="75"/>
  <c r="BF562" i="75"/>
  <c r="CB768" i="75"/>
  <c r="CB774" i="75"/>
  <c r="BT718" i="75"/>
  <c r="BT725" i="75"/>
  <c r="CJ411" i="75"/>
  <c r="BH874" i="75"/>
  <c r="BH879" i="75"/>
  <c r="BT1084" i="75"/>
  <c r="BT1069" i="75"/>
  <c r="CQ725" i="75"/>
  <c r="CB913" i="75"/>
  <c r="CB885" i="75"/>
  <c r="CB1150" i="75"/>
  <c r="CB1155" i="75"/>
  <c r="CF649" i="75"/>
  <c r="CU1087" i="75"/>
  <c r="J183" i="114"/>
  <c r="H183" i="114"/>
  <c r="CT1214" i="75"/>
  <c r="CT1208" i="75"/>
  <c r="CT1205" i="75"/>
  <c r="CT1206" i="75"/>
  <c r="CT1216" i="75"/>
  <c r="CT1211" i="75"/>
  <c r="CT1213" i="75"/>
  <c r="CT1204" i="75"/>
  <c r="CT1210" i="75"/>
  <c r="CT1212" i="75"/>
  <c r="CT1209" i="75"/>
  <c r="CT1207" i="75"/>
  <c r="CT1215" i="75"/>
  <c r="H75" i="112"/>
  <c r="J75" i="112"/>
  <c r="J115" i="112"/>
  <c r="H115" i="112"/>
  <c r="H75" i="115"/>
  <c r="J75" i="115"/>
  <c r="J93" i="112"/>
  <c r="H93" i="112"/>
  <c r="W155" i="113"/>
  <c r="W201" i="113"/>
  <c r="W203" i="113"/>
  <c r="AP197" i="113"/>
  <c r="AP196" i="113"/>
  <c r="W204" i="113"/>
  <c r="D197" i="113"/>
  <c r="AP195" i="113"/>
  <c r="W209" i="113"/>
  <c r="D195" i="113"/>
  <c r="AP194" i="113"/>
  <c r="D191" i="113"/>
  <c r="W206" i="113"/>
  <c r="D196" i="113"/>
  <c r="W205" i="113"/>
  <c r="D193" i="113"/>
  <c r="D194" i="113"/>
  <c r="D192" i="113"/>
  <c r="AP199" i="113"/>
  <c r="AP193" i="113"/>
  <c r="AP191" i="113"/>
  <c r="W202" i="113"/>
  <c r="AP198" i="113"/>
  <c r="W208" i="113"/>
  <c r="AP192" i="113"/>
  <c r="D199" i="113"/>
  <c r="W207" i="113"/>
  <c r="D198" i="113"/>
  <c r="AS187" i="113"/>
  <c r="AS182" i="113"/>
  <c r="Z199" i="113"/>
  <c r="Z194" i="113"/>
  <c r="G185" i="113"/>
  <c r="AS185" i="113"/>
  <c r="AS181" i="113"/>
  <c r="AS183" i="113"/>
  <c r="G183" i="113"/>
  <c r="G181" i="113"/>
  <c r="AS189" i="113"/>
  <c r="Z198" i="113"/>
  <c r="AS188" i="113"/>
  <c r="G187" i="113"/>
  <c r="G188" i="113"/>
  <c r="AS184" i="113"/>
  <c r="G189" i="113"/>
  <c r="Z196" i="113"/>
  <c r="Z192" i="113"/>
  <c r="AS186" i="113"/>
  <c r="Z191" i="113"/>
  <c r="G182" i="113"/>
  <c r="Z197" i="113"/>
  <c r="G186" i="113"/>
  <c r="Z195" i="113"/>
  <c r="G184" i="113"/>
  <c r="Z193" i="113"/>
  <c r="CH483" i="75"/>
  <c r="BZ231" i="75"/>
  <c r="BZ245" i="75"/>
  <c r="BV241" i="75"/>
  <c r="BV222" i="75"/>
  <c r="BF1154" i="75"/>
  <c r="BF1135" i="75"/>
  <c r="CB245" i="75"/>
  <c r="BX463" i="75"/>
  <c r="BL531" i="75"/>
  <c r="BL540" i="75"/>
  <c r="CP793" i="75"/>
  <c r="BR1015" i="75"/>
  <c r="BR1003" i="75"/>
  <c r="BD690" i="75"/>
  <c r="BD686" i="75"/>
  <c r="BP965" i="75"/>
  <c r="BP940" i="75"/>
  <c r="BR845" i="75"/>
  <c r="BR816" i="75"/>
  <c r="CD481" i="75"/>
  <c r="BF563" i="75"/>
  <c r="BF586" i="75"/>
  <c r="BF564" i="75"/>
  <c r="CB790" i="75"/>
  <c r="CB788" i="75"/>
  <c r="BT703" i="75"/>
  <c r="CJ429" i="75"/>
  <c r="BH887" i="75"/>
  <c r="BH907" i="75"/>
  <c r="BT1070" i="75"/>
  <c r="BT1071" i="75"/>
  <c r="CQ730" i="75"/>
  <c r="CB910" i="75"/>
  <c r="CB889" i="75"/>
  <c r="CB1156" i="75"/>
  <c r="CF672" i="75"/>
  <c r="CF655" i="75"/>
  <c r="CU1090" i="75"/>
  <c r="IK13" i="100"/>
  <c r="AK12" i="100"/>
  <c r="H169" i="115"/>
  <c r="J169" i="115"/>
  <c r="J165" i="114"/>
  <c r="H165" i="114"/>
  <c r="AU29" i="113"/>
  <c r="I22" i="113"/>
  <c r="AB39" i="113"/>
  <c r="AB38" i="113"/>
  <c r="AB36" i="113"/>
  <c r="I26" i="113"/>
  <c r="I29" i="113"/>
  <c r="I24" i="113"/>
  <c r="I25" i="113"/>
  <c r="AU23" i="113"/>
  <c r="AB37" i="113"/>
  <c r="I23" i="113"/>
  <c r="AB34" i="113"/>
  <c r="AU22" i="113"/>
  <c r="AU25" i="113"/>
  <c r="AB33" i="113"/>
  <c r="AU26" i="113"/>
  <c r="I27" i="113"/>
  <c r="AU21" i="113"/>
  <c r="I28" i="113"/>
  <c r="I21" i="113"/>
  <c r="AB35" i="113"/>
  <c r="AB31" i="113"/>
  <c r="AU27" i="113"/>
  <c r="AU28" i="113"/>
  <c r="AB32" i="113"/>
  <c r="AU24" i="113"/>
  <c r="Y54" i="113"/>
  <c r="X54" i="113"/>
  <c r="AP179" i="113"/>
  <c r="D174" i="113"/>
  <c r="W189" i="113"/>
  <c r="AP176" i="113"/>
  <c r="AP174" i="113"/>
  <c r="W182" i="113"/>
  <c r="W186" i="113"/>
  <c r="AP175" i="113"/>
  <c r="AP172" i="113"/>
  <c r="D178" i="113"/>
  <c r="W185" i="113"/>
  <c r="AP178" i="113"/>
  <c r="D179" i="113"/>
  <c r="D171" i="113"/>
  <c r="D173" i="113"/>
  <c r="W187" i="113"/>
  <c r="AP173" i="113"/>
  <c r="AP177" i="113"/>
  <c r="W188" i="113"/>
  <c r="W181" i="113"/>
  <c r="AP171" i="113"/>
  <c r="D175" i="113"/>
  <c r="W183" i="113"/>
  <c r="D172" i="113"/>
  <c r="D177" i="113"/>
  <c r="D176" i="113"/>
  <c r="W184" i="113"/>
  <c r="J55" i="115"/>
  <c r="H55" i="115"/>
  <c r="AP146" i="113"/>
  <c r="J200" i="113"/>
  <c r="H200" i="113"/>
  <c r="G194" i="113"/>
  <c r="AS192" i="113"/>
  <c r="AS193" i="113"/>
  <c r="Z203" i="113"/>
  <c r="AS194" i="113"/>
  <c r="Z207" i="113"/>
  <c r="G199" i="113"/>
  <c r="Z209" i="113"/>
  <c r="AS199" i="113"/>
  <c r="G191" i="113"/>
  <c r="Z205" i="113"/>
  <c r="G195" i="113"/>
  <c r="Z204" i="113"/>
  <c r="Z201" i="113"/>
  <c r="G197" i="113"/>
  <c r="G198" i="113"/>
  <c r="Z206" i="113"/>
  <c r="AS198" i="113"/>
  <c r="AS195" i="113"/>
  <c r="G192" i="113"/>
  <c r="G193" i="113"/>
  <c r="Z202" i="113"/>
  <c r="AS197" i="113"/>
  <c r="G196" i="113"/>
  <c r="Z208" i="113"/>
  <c r="AS191" i="113"/>
  <c r="AS196" i="113"/>
  <c r="CH492" i="75"/>
  <c r="BZ230" i="75"/>
  <c r="BZ241" i="75"/>
  <c r="BV225" i="75"/>
  <c r="BV217" i="75"/>
  <c r="CS251" i="75"/>
  <c r="BF1144" i="75"/>
  <c r="BF1117" i="75"/>
  <c r="CB249" i="75"/>
  <c r="BD241" i="75"/>
  <c r="BD227" i="75"/>
  <c r="BT468" i="75"/>
  <c r="BL269" i="75"/>
  <c r="BL279" i="75"/>
  <c r="BF1012" i="75"/>
  <c r="BF992" i="75"/>
  <c r="BF1003" i="75"/>
  <c r="BX488" i="75"/>
  <c r="CD290" i="75"/>
  <c r="BL543" i="75"/>
  <c r="BL533" i="75"/>
  <c r="BH363" i="75"/>
  <c r="BH339" i="75"/>
  <c r="BH323" i="75"/>
  <c r="CH307" i="75"/>
  <c r="BR1016" i="75"/>
  <c r="BR1001" i="75"/>
  <c r="CD233" i="75"/>
  <c r="BL877" i="75"/>
  <c r="BL884" i="75"/>
  <c r="BL900" i="75"/>
  <c r="BN1235" i="75"/>
  <c r="BN1275" i="75"/>
  <c r="BD1047" i="75"/>
  <c r="BD1076" i="75"/>
  <c r="BJ1069" i="75"/>
  <c r="BJ1065" i="75"/>
  <c r="BJ1087" i="75"/>
  <c r="BX520" i="75"/>
  <c r="BX529" i="75"/>
  <c r="BD710" i="75"/>
  <c r="BD726" i="75"/>
  <c r="BH946" i="75"/>
  <c r="BH950" i="75"/>
  <c r="BH949" i="75"/>
  <c r="BP249" i="75"/>
  <c r="BP224" i="75"/>
  <c r="CB655" i="75"/>
  <c r="BP950" i="75"/>
  <c r="BP934" i="75"/>
  <c r="BF752" i="75"/>
  <c r="BF759" i="75"/>
  <c r="BF756" i="75"/>
  <c r="BR842" i="75"/>
  <c r="BR853" i="75"/>
  <c r="BJ285" i="75"/>
  <c r="BJ293" i="75"/>
  <c r="BJ277" i="75"/>
  <c r="CD468" i="75"/>
  <c r="BF597" i="75"/>
  <c r="BF588" i="75"/>
  <c r="BF613" i="75"/>
  <c r="CB781" i="75"/>
  <c r="CB785" i="75"/>
  <c r="BT700" i="75"/>
  <c r="BT707" i="75"/>
  <c r="BL481" i="75"/>
  <c r="BL460" i="75"/>
  <c r="BL453" i="75"/>
  <c r="CN842" i="75"/>
  <c r="CJ428" i="75"/>
  <c r="BJ591" i="75"/>
  <c r="BJ585" i="75"/>
  <c r="BH884" i="75"/>
  <c r="BH903" i="75"/>
  <c r="BZ887" i="75"/>
  <c r="BZ909" i="75"/>
  <c r="CP1034" i="75"/>
  <c r="BD987" i="75"/>
  <c r="BD1036" i="75"/>
  <c r="BD1004" i="75"/>
  <c r="CF717" i="75"/>
  <c r="CN250" i="75"/>
  <c r="BR484" i="75"/>
  <c r="BR487" i="75"/>
  <c r="BF480" i="75"/>
  <c r="BT348" i="75"/>
  <c r="BT352" i="75"/>
  <c r="BT1067" i="75"/>
  <c r="BT1094" i="75"/>
  <c r="CP730" i="75"/>
  <c r="CQ719" i="75"/>
  <c r="CR719" i="75" s="1"/>
  <c r="CB901" i="75"/>
  <c r="CB893" i="75"/>
  <c r="BV1270" i="75"/>
  <c r="BZ526" i="75"/>
  <c r="BZ551" i="75"/>
  <c r="BT1020" i="75"/>
  <c r="BT1036" i="75"/>
  <c r="CS787" i="75"/>
  <c r="CN720" i="75"/>
  <c r="CB1140" i="75"/>
  <c r="CF652" i="75"/>
  <c r="CF657" i="75"/>
  <c r="CU1094" i="75"/>
  <c r="J151" i="112"/>
  <c r="H151" i="112"/>
  <c r="J204" i="114"/>
  <c r="H204" i="114"/>
  <c r="AU13" i="113"/>
  <c r="AU16" i="113"/>
  <c r="AU17" i="113"/>
  <c r="AU12" i="113"/>
  <c r="AB29" i="113"/>
  <c r="AU15" i="113"/>
  <c r="AU14" i="113"/>
  <c r="AB23" i="113"/>
  <c r="AB26" i="113"/>
  <c r="AU18" i="113"/>
  <c r="AU19" i="113"/>
  <c r="AB24" i="113"/>
  <c r="AB22" i="113"/>
  <c r="AB21" i="113"/>
  <c r="AB25" i="113"/>
  <c r="AU11" i="113"/>
  <c r="AB27" i="113"/>
  <c r="AB28" i="113"/>
  <c r="AB76" i="113"/>
  <c r="I67" i="113"/>
  <c r="AU61" i="113"/>
  <c r="AU62" i="113"/>
  <c r="I61" i="113"/>
  <c r="I68" i="113"/>
  <c r="AB77" i="113"/>
  <c r="AU65" i="113"/>
  <c r="AB72" i="113"/>
  <c r="AU66" i="113"/>
  <c r="AB73" i="113"/>
  <c r="AB71" i="113"/>
  <c r="I66" i="113"/>
  <c r="AB75" i="113"/>
  <c r="AU64" i="113"/>
  <c r="AB78" i="113"/>
  <c r="AU67" i="113"/>
  <c r="I63" i="113"/>
  <c r="AB79" i="113"/>
  <c r="I65" i="113"/>
  <c r="I69" i="113"/>
  <c r="AU68" i="113"/>
  <c r="AB74" i="113"/>
  <c r="I64" i="113"/>
  <c r="I62" i="113"/>
  <c r="AU63" i="113"/>
  <c r="AU69" i="113"/>
  <c r="H116" i="112"/>
  <c r="J116" i="112"/>
  <c r="J78" i="116"/>
  <c r="H78" i="116"/>
  <c r="H74" i="115"/>
  <c r="J74" i="115"/>
  <c r="X59" i="113"/>
  <c r="Y59" i="113"/>
  <c r="Z176" i="113"/>
  <c r="Z178" i="113"/>
  <c r="G167" i="113"/>
  <c r="AS161" i="113"/>
  <c r="AS169" i="113"/>
  <c r="Z171" i="113"/>
  <c r="Z175" i="113"/>
  <c r="AS162" i="113"/>
  <c r="Z177" i="113"/>
  <c r="Z173" i="113"/>
  <c r="G165" i="113"/>
  <c r="Z174" i="113"/>
  <c r="G168" i="113"/>
  <c r="AS166" i="113"/>
  <c r="G163" i="113"/>
  <c r="AS165" i="113"/>
  <c r="Z172" i="113"/>
  <c r="G161" i="113"/>
  <c r="AS164" i="113"/>
  <c r="G162" i="113"/>
  <c r="G166" i="113"/>
  <c r="AS167" i="113"/>
  <c r="G169" i="113"/>
  <c r="G164" i="113"/>
  <c r="AS168" i="113"/>
  <c r="Z179" i="113"/>
  <c r="AS163" i="113"/>
  <c r="J29" i="114"/>
  <c r="H29" i="114"/>
  <c r="D149" i="113"/>
  <c r="J114" i="112"/>
  <c r="H114" i="112"/>
  <c r="J188" i="116"/>
  <c r="H188" i="116"/>
  <c r="BZ242" i="75"/>
  <c r="BZ220" i="75"/>
  <c r="BF1150" i="75"/>
  <c r="BF1146" i="75"/>
  <c r="BX492" i="75"/>
  <c r="BP946" i="75"/>
  <c r="BP939" i="75"/>
  <c r="CD473" i="75"/>
  <c r="CB770" i="75"/>
  <c r="BT705" i="75"/>
  <c r="BT699" i="75"/>
  <c r="CJ422" i="75"/>
  <c r="CJ537" i="75"/>
  <c r="CQ734" i="75"/>
  <c r="CB911" i="75"/>
  <c r="CB884" i="75"/>
  <c r="CU1088" i="75"/>
  <c r="J22" i="113"/>
  <c r="CV490" i="75"/>
  <c r="CV491" i="75"/>
  <c r="CV488" i="75"/>
  <c r="CV486" i="75"/>
  <c r="CV489" i="75"/>
  <c r="CV484" i="75"/>
  <c r="H131" i="112"/>
  <c r="H73" i="116"/>
  <c r="J73" i="116"/>
  <c r="AU72" i="113"/>
  <c r="I74" i="113"/>
  <c r="I75" i="113"/>
  <c r="AU76" i="113"/>
  <c r="AU71" i="113"/>
  <c r="AB87" i="113"/>
  <c r="AU73" i="113"/>
  <c r="AU79" i="113"/>
  <c r="I77" i="113"/>
  <c r="I71" i="113"/>
  <c r="I73" i="113"/>
  <c r="AU78" i="113"/>
  <c r="AB86" i="113"/>
  <c r="AB84" i="113"/>
  <c r="AU77" i="113"/>
  <c r="AB89" i="113"/>
  <c r="AU75" i="113"/>
  <c r="I72" i="113"/>
  <c r="I79" i="113"/>
  <c r="I78" i="113"/>
  <c r="AB88" i="113"/>
  <c r="AB85" i="113"/>
  <c r="AB81" i="113"/>
  <c r="AB83" i="113"/>
  <c r="AB82" i="113"/>
  <c r="I76" i="113"/>
  <c r="AU74" i="113"/>
  <c r="J112" i="112"/>
  <c r="H112" i="112"/>
  <c r="Y51" i="113"/>
  <c r="X51" i="113"/>
  <c r="Y27" i="113"/>
  <c r="X27" i="113"/>
  <c r="G157" i="113"/>
  <c r="G154" i="113"/>
  <c r="Z168" i="113"/>
  <c r="Z165" i="113"/>
  <c r="AS152" i="113"/>
  <c r="AS155" i="113"/>
  <c r="AS153" i="113"/>
  <c r="G151" i="113"/>
  <c r="G153" i="113"/>
  <c r="Z161" i="113"/>
  <c r="G158" i="113"/>
  <c r="G152" i="113"/>
  <c r="Z169" i="113"/>
  <c r="G159" i="113"/>
  <c r="AS157" i="113"/>
  <c r="AS151" i="113"/>
  <c r="Z167" i="113"/>
  <c r="G156" i="113"/>
  <c r="AS158" i="113"/>
  <c r="AS159" i="113"/>
  <c r="Z166" i="113"/>
  <c r="Z162" i="113"/>
  <c r="G155" i="113"/>
  <c r="Z163" i="113"/>
  <c r="AS154" i="113"/>
  <c r="Z164" i="113"/>
  <c r="AS156" i="113"/>
  <c r="AP141" i="113"/>
  <c r="AP78" i="113"/>
  <c r="D77" i="113"/>
  <c r="D76" i="113"/>
  <c r="AP75" i="113"/>
  <c r="D74" i="113"/>
  <c r="AP71" i="113"/>
  <c r="AP76" i="113"/>
  <c r="D78" i="113"/>
  <c r="AP72" i="113"/>
  <c r="D75" i="113"/>
  <c r="W81" i="113"/>
  <c r="W85" i="113"/>
  <c r="W86" i="113"/>
  <c r="AP79" i="113"/>
  <c r="W83" i="113"/>
  <c r="D72" i="113"/>
  <c r="W89" i="113"/>
  <c r="AP74" i="113"/>
  <c r="AP73" i="113"/>
  <c r="W88" i="113"/>
  <c r="W82" i="113"/>
  <c r="W84" i="113"/>
  <c r="D79" i="113"/>
  <c r="D71" i="113"/>
  <c r="D73" i="113"/>
  <c r="W87" i="113"/>
  <c r="CH487" i="75"/>
  <c r="CH474" i="75"/>
  <c r="BZ229" i="75"/>
  <c r="BF1142" i="75"/>
  <c r="BF1107" i="75"/>
  <c r="CB223" i="75"/>
  <c r="CB243" i="75"/>
  <c r="BX489" i="75"/>
  <c r="BL535" i="75"/>
  <c r="BL530" i="75"/>
  <c r="BR1020" i="75"/>
  <c r="BR1011" i="75"/>
  <c r="BJ1082" i="75"/>
  <c r="BJ1066" i="75"/>
  <c r="BJ1050" i="75"/>
  <c r="BD689" i="75"/>
  <c r="BD695" i="75"/>
  <c r="BP244" i="75"/>
  <c r="BP212" i="75"/>
  <c r="BP251" i="75"/>
  <c r="CB651" i="75"/>
  <c r="BP942" i="75"/>
  <c r="BP943" i="75"/>
  <c r="BR828" i="75"/>
  <c r="BR847" i="75"/>
  <c r="BJ266" i="75"/>
  <c r="BJ284" i="75"/>
  <c r="CD482" i="75"/>
  <c r="BF612" i="75"/>
  <c r="BF609" i="75"/>
  <c r="BF570" i="75"/>
  <c r="CB769" i="75"/>
  <c r="BT722" i="75"/>
  <c r="BT729" i="75"/>
  <c r="BL467" i="75"/>
  <c r="BL465" i="75"/>
  <c r="BL463" i="75"/>
  <c r="CJ415" i="75"/>
  <c r="BH910" i="75"/>
  <c r="BH882" i="75"/>
  <c r="BR458" i="75"/>
  <c r="BR492" i="75"/>
  <c r="BF482" i="75"/>
  <c r="BT1059" i="75"/>
  <c r="BT1063" i="75"/>
  <c r="CP724" i="75"/>
  <c r="CJ534" i="75"/>
  <c r="CQ720" i="75"/>
  <c r="CB900" i="75"/>
  <c r="BZ543" i="75"/>
  <c r="BZ538" i="75"/>
  <c r="BT1031" i="75"/>
  <c r="BT1028" i="75"/>
  <c r="CS794" i="75"/>
  <c r="CB1148" i="75"/>
  <c r="CF654" i="75"/>
  <c r="CF650" i="75"/>
  <c r="CU1085" i="75"/>
  <c r="CV1085" i="75" s="1"/>
  <c r="I187" i="113"/>
  <c r="J89" i="116"/>
  <c r="H89" i="116"/>
  <c r="H85" i="115"/>
  <c r="J85" i="115"/>
  <c r="J91" i="112"/>
  <c r="H91" i="112"/>
  <c r="E42" i="113"/>
  <c r="J42" i="113" s="1"/>
  <c r="J73" i="115"/>
  <c r="H73" i="115"/>
  <c r="AQ19" i="113"/>
  <c r="AR19" i="113"/>
  <c r="H196" i="115"/>
  <c r="J196" i="115"/>
  <c r="D146" i="113"/>
  <c r="J205" i="114"/>
  <c r="H205" i="114"/>
  <c r="CH470" i="75"/>
  <c r="BP935" i="75"/>
  <c r="BP959" i="75"/>
  <c r="CD490" i="75"/>
  <c r="CB787" i="75"/>
  <c r="BT728" i="75"/>
  <c r="BT717" i="75"/>
  <c r="CJ420" i="75"/>
  <c r="CJ547" i="75"/>
  <c r="CQ722" i="75"/>
  <c r="CB908" i="75"/>
  <c r="CU1095" i="75"/>
  <c r="AP77" i="113"/>
  <c r="J29" i="113"/>
  <c r="J163" i="114"/>
  <c r="H163" i="114"/>
  <c r="AB205" i="113"/>
  <c r="I196" i="113"/>
  <c r="I195" i="113"/>
  <c r="I194" i="113"/>
  <c r="I191" i="113"/>
  <c r="AB207" i="113"/>
  <c r="I198" i="113"/>
  <c r="AU193" i="113"/>
  <c r="I192" i="113"/>
  <c r="AB209" i="113"/>
  <c r="AB204" i="113"/>
  <c r="AU194" i="113"/>
  <c r="AU197" i="113"/>
  <c r="AB206" i="113"/>
  <c r="AU192" i="113"/>
  <c r="AB202" i="113"/>
  <c r="AU195" i="113"/>
  <c r="I193" i="113"/>
  <c r="AU196" i="113"/>
  <c r="AB203" i="113"/>
  <c r="AU199" i="113"/>
  <c r="AU198" i="113"/>
  <c r="AU191" i="113"/>
  <c r="AB208" i="113"/>
  <c r="AB201" i="113"/>
  <c r="I197" i="113"/>
  <c r="I199" i="113"/>
  <c r="G84" i="113"/>
  <c r="Z95" i="113"/>
  <c r="G82" i="113"/>
  <c r="Z92" i="113"/>
  <c r="G81" i="113"/>
  <c r="AS82" i="113"/>
  <c r="AS84" i="113"/>
  <c r="AS81" i="113"/>
  <c r="Z96" i="113"/>
  <c r="G86" i="113"/>
  <c r="G88" i="113"/>
  <c r="G83" i="113"/>
  <c r="Z94" i="113"/>
  <c r="AS88" i="113"/>
  <c r="Z91" i="113"/>
  <c r="Z97" i="113"/>
  <c r="G85" i="113"/>
  <c r="AS89" i="113"/>
  <c r="G89" i="113"/>
  <c r="Z99" i="113"/>
  <c r="AS85" i="113"/>
  <c r="AS86" i="113"/>
  <c r="G87" i="113"/>
  <c r="AS87" i="113"/>
  <c r="Z98" i="113"/>
  <c r="AS83" i="113"/>
  <c r="Z93" i="113"/>
  <c r="J203" i="114"/>
  <c r="H203" i="114"/>
  <c r="AR46" i="113"/>
  <c r="AQ46" i="113"/>
  <c r="AQ16" i="113"/>
  <c r="AR16" i="113"/>
  <c r="AP144" i="113"/>
  <c r="J81" i="115"/>
  <c r="H81" i="115"/>
  <c r="BZ251" i="75"/>
  <c r="BZ227" i="75"/>
  <c r="BF1116" i="75"/>
  <c r="BF1145" i="75"/>
  <c r="CB227" i="75"/>
  <c r="CB226" i="75"/>
  <c r="BX472" i="75"/>
  <c r="BL550" i="75"/>
  <c r="BL547" i="75"/>
  <c r="CP784" i="75"/>
  <c r="BR1028" i="75"/>
  <c r="BR1007" i="75"/>
  <c r="BJ1073" i="75"/>
  <c r="BJ1059" i="75"/>
  <c r="BJ1092" i="75"/>
  <c r="BD681" i="75"/>
  <c r="BD699" i="75"/>
  <c r="BP975" i="75"/>
  <c r="BP964" i="75"/>
  <c r="BP969" i="75"/>
  <c r="BR823" i="75"/>
  <c r="BR850" i="75"/>
  <c r="CD487" i="75"/>
  <c r="BF602" i="75"/>
  <c r="BF583" i="75"/>
  <c r="BF587" i="75"/>
  <c r="CB766" i="75"/>
  <c r="BT730" i="75"/>
  <c r="BT714" i="75"/>
  <c r="BL471" i="75"/>
  <c r="BL480" i="75"/>
  <c r="BL470" i="75"/>
  <c r="CJ416" i="75"/>
  <c r="BH896" i="75"/>
  <c r="BH895" i="75"/>
  <c r="BT1082" i="75"/>
  <c r="BT1086" i="75"/>
  <c r="CJ549" i="75"/>
  <c r="CQ732" i="75"/>
  <c r="CQ733" i="75"/>
  <c r="CB914" i="75"/>
  <c r="CB1144" i="75"/>
  <c r="CF663" i="75"/>
  <c r="CF662" i="75"/>
  <c r="CU1096" i="75"/>
  <c r="H57" i="115"/>
  <c r="J57" i="115"/>
  <c r="BF882" i="75"/>
  <c r="BF867" i="75"/>
  <c r="BF877" i="75"/>
  <c r="BF869" i="75"/>
  <c r="BF865" i="75"/>
  <c r="BF866" i="75"/>
  <c r="BF893" i="75"/>
  <c r="BF864" i="75"/>
  <c r="BF911" i="75"/>
  <c r="BF886" i="75"/>
  <c r="BF909" i="75"/>
  <c r="BF885" i="75"/>
  <c r="BF906" i="75"/>
  <c r="BF871" i="75"/>
  <c r="BF895" i="75"/>
  <c r="BF870" i="75"/>
  <c r="BF890" i="75"/>
  <c r="BF863" i="75"/>
  <c r="BF868" i="75"/>
  <c r="BF897" i="75"/>
  <c r="BF910" i="75"/>
  <c r="BF901" i="75"/>
  <c r="BF896" i="75"/>
  <c r="BF880" i="75"/>
  <c r="BF884" i="75"/>
  <c r="BF883" i="75"/>
  <c r="BF900" i="75"/>
  <c r="BF887" i="75"/>
  <c r="BF889" i="75"/>
  <c r="BF875" i="75"/>
  <c r="BF907" i="75"/>
  <c r="BF873" i="75"/>
  <c r="BF905" i="75"/>
  <c r="BF913" i="75"/>
  <c r="BF881" i="75"/>
  <c r="BF891" i="75"/>
  <c r="BF879" i="75"/>
  <c r="BF904" i="75"/>
  <c r="BF908" i="75"/>
  <c r="BF874" i="75"/>
  <c r="G38" i="113"/>
  <c r="Z47" i="113"/>
  <c r="Z44" i="113"/>
  <c r="AS39" i="113"/>
  <c r="AS37" i="113"/>
  <c r="G31" i="113"/>
  <c r="Z45" i="113"/>
  <c r="G34" i="113"/>
  <c r="Z42" i="113"/>
  <c r="AS38" i="113"/>
  <c r="G37" i="113"/>
  <c r="AS36" i="113"/>
  <c r="G33" i="113"/>
  <c r="Z49" i="113"/>
  <c r="G32" i="113"/>
  <c r="Z43" i="113"/>
  <c r="G35" i="113"/>
  <c r="AS34" i="113"/>
  <c r="AS35" i="113"/>
  <c r="AS33" i="113"/>
  <c r="Z46" i="113"/>
  <c r="G39" i="113"/>
  <c r="Z48" i="113"/>
  <c r="AS31" i="113"/>
  <c r="AS32" i="113"/>
  <c r="Z41" i="113"/>
  <c r="G36" i="113"/>
  <c r="H80" i="113"/>
  <c r="CF310" i="75"/>
  <c r="CF300" i="75"/>
  <c r="CF292" i="75"/>
  <c r="CF305" i="75"/>
  <c r="J172" i="112"/>
  <c r="H172" i="112"/>
  <c r="F46" i="113"/>
  <c r="E46" i="113"/>
  <c r="J46" i="113" s="1"/>
  <c r="H86" i="115"/>
  <c r="J86" i="115"/>
  <c r="AR17" i="113"/>
  <c r="AQ17" i="113"/>
  <c r="AP148" i="113"/>
  <c r="W159" i="113"/>
  <c r="CH489" i="75"/>
  <c r="BV234" i="75"/>
  <c r="BV232" i="75"/>
  <c r="CH486" i="75"/>
  <c r="BZ244" i="75"/>
  <c r="BV223" i="75"/>
  <c r="BV235" i="75"/>
  <c r="BP396" i="75"/>
  <c r="BP427" i="75"/>
  <c r="BD469" i="75"/>
  <c r="BF1110" i="75"/>
  <c r="BF1152" i="75"/>
  <c r="BP490" i="75"/>
  <c r="BH514" i="75"/>
  <c r="BH549" i="75"/>
  <c r="CB231" i="75"/>
  <c r="CB225" i="75"/>
  <c r="BD208" i="75"/>
  <c r="BD206" i="75"/>
  <c r="CB299" i="75"/>
  <c r="BT473" i="75"/>
  <c r="BL303" i="75"/>
  <c r="BN363" i="75"/>
  <c r="BN663" i="75"/>
  <c r="BF1014" i="75"/>
  <c r="BF993" i="75"/>
  <c r="BX468" i="75"/>
  <c r="CD293" i="75"/>
  <c r="CD291" i="75"/>
  <c r="BR337" i="75"/>
  <c r="BL514" i="75"/>
  <c r="BL512" i="75"/>
  <c r="BH361" i="75"/>
  <c r="BH367" i="75"/>
  <c r="CP779" i="75"/>
  <c r="BP828" i="75"/>
  <c r="BP845" i="75"/>
  <c r="BR1032" i="75"/>
  <c r="BR1021" i="75"/>
  <c r="CD230" i="75"/>
  <c r="CD248" i="75"/>
  <c r="BL906" i="75"/>
  <c r="BN1254" i="75"/>
  <c r="BN1243" i="75"/>
  <c r="BR1067" i="75"/>
  <c r="BP759" i="75"/>
  <c r="BP784" i="75"/>
  <c r="BD1091" i="75"/>
  <c r="BD1044" i="75"/>
  <c r="BD1094" i="75"/>
  <c r="BV362" i="75"/>
  <c r="BJ1061" i="75"/>
  <c r="BJ1077" i="75"/>
  <c r="BJ1060" i="75"/>
  <c r="BX539" i="75"/>
  <c r="BD685" i="75"/>
  <c r="BD716" i="75"/>
  <c r="BH955" i="75"/>
  <c r="BH935" i="75"/>
  <c r="BP214" i="75"/>
  <c r="BP242" i="75"/>
  <c r="CB647" i="75"/>
  <c r="BF672" i="75"/>
  <c r="BP956" i="75"/>
  <c r="BP967" i="75"/>
  <c r="BP973" i="75"/>
  <c r="BF780" i="75"/>
  <c r="BF763" i="75"/>
  <c r="BR837" i="75"/>
  <c r="BR844" i="75"/>
  <c r="BJ310" i="75"/>
  <c r="BJ290" i="75"/>
  <c r="CD467" i="75"/>
  <c r="BF572" i="75"/>
  <c r="BF591" i="75"/>
  <c r="BF568" i="75"/>
  <c r="CB794" i="75"/>
  <c r="BT701" i="75"/>
  <c r="BT716" i="75"/>
  <c r="BL469" i="75"/>
  <c r="BL455" i="75"/>
  <c r="BL450" i="75"/>
  <c r="CJ418" i="75"/>
  <c r="CJ419" i="75"/>
  <c r="BJ586" i="75"/>
  <c r="BF702" i="75"/>
  <c r="BF688" i="75"/>
  <c r="BH914" i="75"/>
  <c r="BH900" i="75"/>
  <c r="BZ889" i="75"/>
  <c r="BZ897" i="75"/>
  <c r="BD1017" i="75"/>
  <c r="BD1034" i="75"/>
  <c r="CF723" i="75"/>
  <c r="CF715" i="75"/>
  <c r="CN236" i="75"/>
  <c r="BT296" i="75"/>
  <c r="BR457" i="75"/>
  <c r="BR475" i="75"/>
  <c r="BF467" i="75"/>
  <c r="BF466" i="75"/>
  <c r="BN1194" i="75"/>
  <c r="BT362" i="75"/>
  <c r="BT1090" i="75"/>
  <c r="BT1075" i="75"/>
  <c r="CP726" i="75"/>
  <c r="DA1092" i="75"/>
  <c r="CP722" i="75"/>
  <c r="CZ1091" i="75"/>
  <c r="CD547" i="75"/>
  <c r="CJ540" i="75"/>
  <c r="BF878" i="75"/>
  <c r="CQ723" i="75"/>
  <c r="CB897" i="75"/>
  <c r="BV1261" i="75"/>
  <c r="BV1268" i="75"/>
  <c r="BZ529" i="75"/>
  <c r="BZ550" i="75"/>
  <c r="BT1027" i="75"/>
  <c r="BT1035" i="75"/>
  <c r="BR952" i="75"/>
  <c r="CS789" i="75"/>
  <c r="CN726" i="75"/>
  <c r="CB1151" i="75"/>
  <c r="CF661" i="75"/>
  <c r="CF669" i="75"/>
  <c r="BH1204" i="75"/>
  <c r="CU1089" i="75"/>
  <c r="J111" i="116"/>
  <c r="H111" i="116"/>
  <c r="AS48" i="113"/>
  <c r="G47" i="113"/>
  <c r="AS46" i="113"/>
  <c r="G41" i="113"/>
  <c r="G48" i="113"/>
  <c r="AS44" i="113"/>
  <c r="Z58" i="113"/>
  <c r="G49" i="113"/>
  <c r="AS47" i="113"/>
  <c r="AS45" i="113"/>
  <c r="G45" i="113"/>
  <c r="Z54" i="113"/>
  <c r="G46" i="113"/>
  <c r="G43" i="113"/>
  <c r="Z59" i="113"/>
  <c r="Z53" i="113"/>
  <c r="AS42" i="113"/>
  <c r="AS43" i="113"/>
  <c r="AS41" i="113"/>
  <c r="AS49" i="113"/>
  <c r="Z55" i="113"/>
  <c r="Z57" i="113"/>
  <c r="G42" i="113"/>
  <c r="Z51" i="113"/>
  <c r="G44" i="113"/>
  <c r="Z56" i="113"/>
  <c r="Z52" i="113"/>
  <c r="J207" i="114"/>
  <c r="H207" i="114"/>
  <c r="AS75" i="113"/>
  <c r="Z89" i="113"/>
  <c r="G76" i="113"/>
  <c r="Z86" i="113"/>
  <c r="AS74" i="113"/>
  <c r="Z82" i="113"/>
  <c r="G74" i="113"/>
  <c r="G79" i="113"/>
  <c r="AS73" i="113"/>
  <c r="Z85" i="113"/>
  <c r="Z84" i="113"/>
  <c r="Z83" i="113"/>
  <c r="AS77" i="113"/>
  <c r="AS78" i="113"/>
  <c r="G77" i="113"/>
  <c r="G73" i="113"/>
  <c r="Z87" i="113"/>
  <c r="G72" i="113"/>
  <c r="Z88" i="113"/>
  <c r="Z81" i="113"/>
  <c r="AS79" i="113"/>
  <c r="G78" i="113"/>
  <c r="AS71" i="113"/>
  <c r="AS76" i="113"/>
  <c r="AS72" i="113"/>
  <c r="G71" i="113"/>
  <c r="G75" i="113"/>
  <c r="J24" i="113"/>
  <c r="BN607" i="75"/>
  <c r="BN596" i="75"/>
  <c r="BN610" i="75"/>
  <c r="BN589" i="75"/>
  <c r="BN613" i="75"/>
  <c r="BN612" i="75"/>
  <c r="BN595" i="75"/>
  <c r="BN608" i="75"/>
  <c r="BN580" i="75"/>
  <c r="BN603" i="75"/>
  <c r="BN598" i="75"/>
  <c r="BN602" i="75"/>
  <c r="BN573" i="75"/>
  <c r="BN605" i="75"/>
  <c r="BN593" i="75"/>
  <c r="BN606" i="75"/>
  <c r="BN609" i="75"/>
  <c r="BN570" i="75"/>
  <c r="BN584" i="75"/>
  <c r="BN599" i="75"/>
  <c r="BN582" i="75"/>
  <c r="BN581" i="75"/>
  <c r="BN600" i="75"/>
  <c r="BN592" i="75"/>
  <c r="BN611" i="75"/>
  <c r="BN587" i="75"/>
  <c r="BN594" i="75"/>
  <c r="BN574" i="75"/>
  <c r="BN597" i="75"/>
  <c r="E43" i="113"/>
  <c r="J43" i="113" s="1"/>
  <c r="F43" i="113"/>
  <c r="AQ12" i="113"/>
  <c r="AR12" i="113"/>
  <c r="H149" i="114"/>
  <c r="J82" i="115"/>
  <c r="H82" i="115"/>
  <c r="BH752" i="75"/>
  <c r="BH756" i="75"/>
  <c r="BH766" i="75"/>
  <c r="BH768" i="75"/>
  <c r="BH758" i="75"/>
  <c r="BH780" i="75"/>
  <c r="BH774" i="75"/>
  <c r="BH765" i="75"/>
  <c r="BH755" i="75"/>
  <c r="BH750" i="75"/>
  <c r="BH751" i="75"/>
  <c r="BH778" i="75"/>
  <c r="BH788" i="75"/>
  <c r="BH784" i="75"/>
  <c r="BH754" i="75"/>
  <c r="BH749" i="75"/>
  <c r="BH779" i="75"/>
  <c r="BH747" i="75"/>
  <c r="BH753" i="75"/>
  <c r="BH763" i="75"/>
  <c r="BH764" i="75"/>
  <c r="BH791" i="75"/>
  <c r="BH772" i="75"/>
  <c r="BH793" i="75"/>
  <c r="BH760" i="75"/>
  <c r="BH790" i="75"/>
  <c r="BH794" i="75"/>
  <c r="BH775" i="75"/>
  <c r="BH771" i="75"/>
  <c r="BH762" i="75"/>
  <c r="BH781" i="75"/>
  <c r="BH792" i="75"/>
  <c r="BH769" i="75"/>
  <c r="BH773" i="75"/>
  <c r="BH744" i="75"/>
  <c r="BH782" i="75"/>
  <c r="BH757" i="75"/>
  <c r="BH789" i="75"/>
  <c r="BH777" i="75"/>
  <c r="BH767" i="75"/>
  <c r="BH785" i="75"/>
  <c r="D143" i="113"/>
  <c r="D142" i="113"/>
  <c r="H171" i="112"/>
  <c r="CH478" i="75"/>
  <c r="BZ240" i="75"/>
  <c r="BV246" i="75"/>
  <c r="BF1128" i="75"/>
  <c r="BF1129" i="75"/>
  <c r="CB246" i="75"/>
  <c r="CB229" i="75"/>
  <c r="BD221" i="75"/>
  <c r="BD211" i="75"/>
  <c r="BT478" i="75"/>
  <c r="BF1016" i="75"/>
  <c r="BF1025" i="75"/>
  <c r="BX477" i="75"/>
  <c r="BL526" i="75"/>
  <c r="BL515" i="75"/>
  <c r="CP787" i="75"/>
  <c r="BR1000" i="75"/>
  <c r="BR1030" i="75"/>
  <c r="CD246" i="75"/>
  <c r="BN1250" i="75"/>
  <c r="BD1088" i="75"/>
  <c r="BD1095" i="75"/>
  <c r="BD1050" i="75"/>
  <c r="BJ1078" i="75"/>
  <c r="BJ1090" i="75"/>
  <c r="BD682" i="75"/>
  <c r="BD700" i="75"/>
  <c r="BH958" i="75"/>
  <c r="BH972" i="75"/>
  <c r="BP210" i="75"/>
  <c r="BP227" i="75"/>
  <c r="CB670" i="75"/>
  <c r="BP952" i="75"/>
  <c r="BP970" i="75"/>
  <c r="BP938" i="75"/>
  <c r="BF749" i="75"/>
  <c r="BR827" i="75"/>
  <c r="BR817" i="75"/>
  <c r="BJ279" i="75"/>
  <c r="BJ312" i="75"/>
  <c r="CD476" i="75"/>
  <c r="BF594" i="75"/>
  <c r="BF590" i="75"/>
  <c r="BF576" i="75"/>
  <c r="CB772" i="75"/>
  <c r="BT721" i="75"/>
  <c r="BT704" i="75"/>
  <c r="BL489" i="75"/>
  <c r="BL462" i="75"/>
  <c r="CJ427" i="75"/>
  <c r="CJ430" i="75"/>
  <c r="BH868" i="75"/>
  <c r="BH913" i="75"/>
  <c r="BZ914" i="75"/>
  <c r="BZ899" i="75"/>
  <c r="BD1028" i="75"/>
  <c r="BD1001" i="75"/>
  <c r="CF709" i="75"/>
  <c r="BR483" i="75"/>
  <c r="BR491" i="75"/>
  <c r="BF444" i="75"/>
  <c r="BF460" i="75"/>
  <c r="BT1074" i="75"/>
  <c r="BT1065" i="75"/>
  <c r="CP732" i="75"/>
  <c r="DA1095" i="75"/>
  <c r="CZ1092" i="75"/>
  <c r="CJ548" i="75"/>
  <c r="CB886" i="75"/>
  <c r="BV1274" i="75"/>
  <c r="BZ549" i="75"/>
  <c r="BZ540" i="75"/>
  <c r="BT1034" i="75"/>
  <c r="BT1033" i="75"/>
  <c r="CS782" i="75"/>
  <c r="CB1132" i="75"/>
  <c r="CF658" i="75"/>
  <c r="CU1093" i="75"/>
  <c r="D85" i="113"/>
  <c r="D83" i="113"/>
  <c r="W93" i="113"/>
  <c r="AP89" i="113"/>
  <c r="D84" i="113"/>
  <c r="W97" i="113"/>
  <c r="AP83" i="113"/>
  <c r="W95" i="113"/>
  <c r="AP85" i="113"/>
  <c r="AP87" i="113"/>
  <c r="W94" i="113"/>
  <c r="D89" i="113"/>
  <c r="W96" i="113"/>
  <c r="AP88" i="113"/>
  <c r="W92" i="113"/>
  <c r="W91" i="113"/>
  <c r="W99" i="113"/>
  <c r="D82" i="113"/>
  <c r="D86" i="113"/>
  <c r="AP81" i="113"/>
  <c r="AP86" i="113"/>
  <c r="W98" i="113"/>
  <c r="AP84" i="113"/>
  <c r="D88" i="113"/>
  <c r="D87" i="113"/>
  <c r="AP82" i="113"/>
  <c r="J185" i="114"/>
  <c r="H185" i="114"/>
  <c r="J28" i="113"/>
  <c r="E44" i="113"/>
  <c r="F44" i="113"/>
  <c r="D81" i="113"/>
  <c r="X28" i="113"/>
  <c r="Y28" i="113"/>
  <c r="H89" i="115"/>
  <c r="J89" i="115"/>
  <c r="W158" i="113"/>
  <c r="AP149" i="113"/>
  <c r="BF1147" i="75"/>
  <c r="BF1123" i="75"/>
  <c r="CB244" i="75"/>
  <c r="BF1004" i="75"/>
  <c r="BF991" i="75"/>
  <c r="BX483" i="75"/>
  <c r="BL529" i="75"/>
  <c r="BR1026" i="75"/>
  <c r="BD1066" i="75"/>
  <c r="BD1081" i="75"/>
  <c r="BJ1051" i="75"/>
  <c r="BD725" i="75"/>
  <c r="BD721" i="75"/>
  <c r="BP223" i="75"/>
  <c r="CB664" i="75"/>
  <c r="BP945" i="75"/>
  <c r="BZ403" i="75"/>
  <c r="BR839" i="75"/>
  <c r="BR849" i="75"/>
  <c r="BJ280" i="75"/>
  <c r="BJ276" i="75"/>
  <c r="BF599" i="75"/>
  <c r="BF604" i="75"/>
  <c r="BT724" i="75"/>
  <c r="BL483" i="75"/>
  <c r="CJ424" i="75"/>
  <c r="BH873" i="75"/>
  <c r="BH875" i="75"/>
  <c r="BR489" i="75"/>
  <c r="BF491" i="75"/>
  <c r="BF445" i="75"/>
  <c r="BT1058" i="75"/>
  <c r="CP718" i="75"/>
  <c r="CP720" i="75"/>
  <c r="CJ538" i="75"/>
  <c r="BZ542" i="75"/>
  <c r="BT1016" i="75"/>
  <c r="J169" i="114"/>
  <c r="H169" i="114"/>
  <c r="AR47" i="113"/>
  <c r="AQ47" i="113"/>
  <c r="W102" i="113"/>
  <c r="D99" i="113"/>
  <c r="D97" i="113"/>
  <c r="AP99" i="113"/>
  <c r="D98" i="113"/>
  <c r="D95" i="113"/>
  <c r="AP94" i="113"/>
  <c r="AP97" i="113"/>
  <c r="D96" i="113"/>
  <c r="AP91" i="113"/>
  <c r="W105" i="113"/>
  <c r="W103" i="113"/>
  <c r="AP96" i="113"/>
  <c r="W104" i="113"/>
  <c r="W108" i="113"/>
  <c r="W106" i="113"/>
  <c r="D93" i="113"/>
  <c r="W101" i="113"/>
  <c r="AP93" i="113"/>
  <c r="D91" i="113"/>
  <c r="D94" i="113"/>
  <c r="W107" i="113"/>
  <c r="AP92" i="113"/>
  <c r="W109" i="113"/>
  <c r="D92" i="113"/>
  <c r="AP98" i="113"/>
  <c r="AP95" i="113"/>
  <c r="AQ18" i="113"/>
  <c r="AR18" i="113"/>
  <c r="D147" i="113"/>
  <c r="BD643" i="75"/>
  <c r="BD656" i="75"/>
  <c r="BD673" i="75"/>
  <c r="BZ417" i="75"/>
  <c r="BZ429" i="75"/>
  <c r="BD670" i="75"/>
  <c r="BD665" i="75"/>
  <c r="BD661" i="75"/>
  <c r="BD629" i="75"/>
  <c r="BZ430" i="75"/>
  <c r="BZ415" i="75"/>
  <c r="BD633" i="75"/>
  <c r="BD636" i="75"/>
  <c r="BD648" i="75"/>
  <c r="BZ431" i="75"/>
  <c r="BV1073" i="75"/>
  <c r="BV1065" i="75"/>
  <c r="BV1063" i="75"/>
  <c r="BV1076" i="75"/>
  <c r="BV1088" i="75"/>
  <c r="BV1077" i="75"/>
  <c r="BV1092" i="75"/>
  <c r="BV1083" i="75"/>
  <c r="BV1084" i="75"/>
  <c r="BV1062" i="75"/>
  <c r="BV1091" i="75"/>
  <c r="BV1089" i="75"/>
  <c r="BV1071" i="75"/>
  <c r="BV1085" i="75"/>
  <c r="BV1078" i="75"/>
  <c r="BV1096" i="75"/>
  <c r="BV1061" i="75"/>
  <c r="BV1070" i="75"/>
  <c r="BV1081" i="75"/>
  <c r="BV1072" i="75"/>
  <c r="BV1080" i="75"/>
  <c r="BV1090" i="75"/>
  <c r="BV1095" i="75"/>
  <c r="BV1064" i="75"/>
  <c r="BV1094" i="75"/>
  <c r="BV1086" i="75"/>
  <c r="BV1068" i="75"/>
  <c r="BV1082" i="75"/>
  <c r="BV1060" i="75"/>
  <c r="BV1069" i="75"/>
  <c r="BV1066" i="75"/>
  <c r="BV1074" i="75"/>
  <c r="BV1079" i="75"/>
  <c r="BV1067" i="75"/>
  <c r="BV1087" i="75"/>
  <c r="BV1093" i="75"/>
  <c r="BV1075" i="75"/>
  <c r="BD671" i="75"/>
  <c r="BD638" i="75"/>
  <c r="BD669" i="75"/>
  <c r="CY492" i="75"/>
  <c r="BZ400" i="75"/>
  <c r="BD621" i="75"/>
  <c r="BD649" i="75"/>
  <c r="BD644" i="75"/>
  <c r="CY486" i="75"/>
  <c r="BZ432" i="75"/>
  <c r="CL732" i="75"/>
  <c r="CL718" i="75"/>
  <c r="CL716" i="75"/>
  <c r="CL719" i="75"/>
  <c r="CL731" i="75"/>
  <c r="CL729" i="75"/>
  <c r="CL720" i="75"/>
  <c r="CL727" i="75"/>
  <c r="CL728" i="75"/>
  <c r="CL723" i="75"/>
  <c r="CL734" i="75"/>
  <c r="CL725" i="75"/>
  <c r="CL724" i="75"/>
  <c r="CL726" i="75"/>
  <c r="CL715" i="75"/>
  <c r="CL714" i="75"/>
  <c r="CL730" i="75"/>
  <c r="CL717" i="75"/>
  <c r="CL722" i="75"/>
  <c r="CL733" i="75"/>
  <c r="CL721" i="75"/>
  <c r="BD645" i="75"/>
  <c r="BD642" i="75"/>
  <c r="BD641" i="75"/>
  <c r="CY490" i="75"/>
  <c r="BX459" i="75"/>
  <c r="BX484" i="75"/>
  <c r="BZ409" i="75"/>
  <c r="BD627" i="75"/>
  <c r="BD674" i="75"/>
  <c r="BD640" i="75"/>
  <c r="BD242" i="75"/>
  <c r="BD205" i="75"/>
  <c r="BT472" i="75"/>
  <c r="BT464" i="75"/>
  <c r="CY489" i="75"/>
  <c r="BX475" i="75"/>
  <c r="BX487" i="75"/>
  <c r="BN229" i="75"/>
  <c r="CH368" i="75"/>
  <c r="BD701" i="75"/>
  <c r="BD730" i="75"/>
  <c r="CB646" i="75"/>
  <c r="CB667" i="75"/>
  <c r="BF662" i="75"/>
  <c r="BF655" i="75"/>
  <c r="BZ404" i="75"/>
  <c r="BF729" i="75"/>
  <c r="BF690" i="75"/>
  <c r="BF704" i="75"/>
  <c r="BF486" i="75"/>
  <c r="BF465" i="75"/>
  <c r="BF440" i="75"/>
  <c r="BD672" i="75"/>
  <c r="BD668" i="75"/>
  <c r="BD647" i="75"/>
  <c r="CY485" i="75"/>
  <c r="CZ485" i="75" s="1"/>
  <c r="BZ421" i="75"/>
  <c r="CZ614" i="75"/>
  <c r="CZ613" i="75"/>
  <c r="CZ608" i="75"/>
  <c r="CZ612" i="75"/>
  <c r="CZ609" i="75"/>
  <c r="CZ611" i="75"/>
  <c r="CZ610" i="75"/>
  <c r="BX525" i="75"/>
  <c r="BX546" i="75"/>
  <c r="BX548" i="75"/>
  <c r="BD664" i="75"/>
  <c r="BD650" i="75"/>
  <c r="BD652" i="75"/>
  <c r="CY487" i="75"/>
  <c r="BZ424" i="75"/>
  <c r="BD659" i="75"/>
  <c r="BD654" i="75"/>
  <c r="CY488" i="75"/>
  <c r="BZ413" i="75"/>
  <c r="BZ407" i="75"/>
  <c r="CR789" i="75"/>
  <c r="CR793" i="75"/>
  <c r="CR792" i="75"/>
  <c r="CR781" i="75"/>
  <c r="CR786" i="75"/>
  <c r="CR787" i="75"/>
  <c r="CR785" i="75"/>
  <c r="CR791" i="75"/>
  <c r="CR790" i="75"/>
  <c r="CR794" i="75"/>
  <c r="CR780" i="75"/>
  <c r="CR782" i="75"/>
  <c r="CR783" i="75"/>
  <c r="CR788" i="75"/>
  <c r="CR784" i="75"/>
  <c r="BR218" i="75"/>
  <c r="BR235" i="75"/>
  <c r="BR232" i="75"/>
  <c r="BD660" i="75"/>
  <c r="BD639" i="75"/>
  <c r="BX461" i="75"/>
  <c r="CH352" i="75"/>
  <c r="CB659" i="75"/>
  <c r="CB656" i="75"/>
  <c r="BF646" i="75"/>
  <c r="BF636" i="75"/>
  <c r="BZ402" i="75"/>
  <c r="BZ412" i="75"/>
  <c r="BF478" i="75"/>
  <c r="BF457" i="75"/>
  <c r="BF449" i="75"/>
  <c r="BD624" i="75"/>
  <c r="BD631" i="75"/>
  <c r="BZ423" i="75"/>
  <c r="BZ414" i="75"/>
  <c r="BD620" i="75"/>
  <c r="BD662" i="75"/>
  <c r="BD230" i="75"/>
  <c r="BD229" i="75"/>
  <c r="BD214" i="75"/>
  <c r="CZ852" i="75"/>
  <c r="BX465" i="75"/>
  <c r="BN219" i="75"/>
  <c r="CH350" i="75"/>
  <c r="BD728" i="75"/>
  <c r="BD727" i="75"/>
  <c r="BD704" i="75"/>
  <c r="CB650" i="75"/>
  <c r="CB673" i="75"/>
  <c r="BF650" i="75"/>
  <c r="BF645" i="75"/>
  <c r="BZ427" i="75"/>
  <c r="BZ426" i="75"/>
  <c r="BF682" i="75"/>
  <c r="BF683" i="75"/>
  <c r="BF489" i="75"/>
  <c r="BF459" i="75"/>
  <c r="BF450" i="75"/>
  <c r="BD626" i="75"/>
  <c r="BD630" i="75"/>
  <c r="BZ411" i="75"/>
  <c r="BZ418" i="75"/>
  <c r="BD635" i="75"/>
  <c r="BD632" i="75"/>
  <c r="BZ406" i="75"/>
  <c r="BZ410" i="75"/>
  <c r="BR1029" i="75"/>
  <c r="BR1025" i="75"/>
  <c r="BR1013" i="75"/>
  <c r="BD663" i="75"/>
  <c r="BD666" i="75"/>
  <c r="BX464" i="75"/>
  <c r="BX460" i="75"/>
  <c r="CH353" i="75"/>
  <c r="CB662" i="75"/>
  <c r="BF664" i="75"/>
  <c r="BF661" i="75"/>
  <c r="BF673" i="75"/>
  <c r="BZ422" i="75"/>
  <c r="BZ419" i="75"/>
  <c r="BF451" i="75"/>
  <c r="BF487" i="75"/>
  <c r="BF479" i="75"/>
  <c r="CZ1272" i="75"/>
  <c r="CZ1275" i="75"/>
  <c r="CZ1271" i="75"/>
  <c r="CZ1276" i="75"/>
  <c r="CZ1273" i="75"/>
  <c r="CZ1274" i="75"/>
  <c r="CZ1270" i="75"/>
  <c r="BD657" i="75"/>
  <c r="BD625" i="75"/>
  <c r="BD239" i="75"/>
  <c r="BD220" i="75"/>
  <c r="BD233" i="75"/>
  <c r="BT455" i="75"/>
  <c r="BT467" i="75"/>
  <c r="BX490" i="75"/>
  <c r="BX471" i="75"/>
  <c r="BN224" i="75"/>
  <c r="CH357" i="75"/>
  <c r="BD684" i="75"/>
  <c r="BD715" i="75"/>
  <c r="BD711" i="75"/>
  <c r="CB653" i="75"/>
  <c r="BF639" i="75"/>
  <c r="BF631" i="75"/>
  <c r="BF668" i="75"/>
  <c r="BZ425" i="75"/>
  <c r="BZ401" i="75"/>
  <c r="BF697" i="75"/>
  <c r="BF726" i="75"/>
  <c r="BF708" i="75"/>
  <c r="BH889" i="75"/>
  <c r="BH867" i="75"/>
  <c r="BH870" i="75"/>
  <c r="BF448" i="75"/>
  <c r="BF442" i="75"/>
  <c r="BF461" i="75"/>
  <c r="BD646" i="75"/>
  <c r="BD634" i="75"/>
  <c r="BD667" i="75"/>
  <c r="BD238" i="75"/>
  <c r="BD217" i="75"/>
  <c r="BT463" i="75"/>
  <c r="BT489" i="75"/>
  <c r="BF986" i="75"/>
  <c r="BF1027" i="75"/>
  <c r="BX470" i="75"/>
  <c r="BX474" i="75"/>
  <c r="BN228" i="75"/>
  <c r="CH356" i="75"/>
  <c r="BD698" i="75"/>
  <c r="BD702" i="75"/>
  <c r="BD714" i="75"/>
  <c r="CB671" i="75"/>
  <c r="BF660" i="75"/>
  <c r="BF622" i="75"/>
  <c r="BF653" i="75"/>
  <c r="BZ420" i="75"/>
  <c r="BZ408" i="75"/>
  <c r="BF684" i="75"/>
  <c r="BF693" i="75"/>
  <c r="BF731" i="75"/>
  <c r="BH902" i="75"/>
  <c r="BH880" i="75"/>
  <c r="BH894" i="75"/>
  <c r="BF453" i="75"/>
  <c r="BF456" i="75"/>
  <c r="BF447" i="75"/>
  <c r="BT893" i="75"/>
  <c r="BT884" i="75"/>
  <c r="BT889" i="75"/>
  <c r="BT886" i="75"/>
  <c r="BT913" i="75"/>
  <c r="BT895" i="75"/>
  <c r="BT892" i="75"/>
  <c r="BT888" i="75"/>
  <c r="BT909" i="75"/>
  <c r="BT912" i="75"/>
  <c r="BT914" i="75"/>
  <c r="BT902" i="75"/>
  <c r="BT878" i="75"/>
  <c r="BT880" i="75"/>
  <c r="BT883" i="75"/>
  <c r="BT890" i="75"/>
  <c r="BT879" i="75"/>
  <c r="BT903" i="75"/>
  <c r="BT899" i="75"/>
  <c r="BT898" i="75"/>
  <c r="BT904" i="75"/>
  <c r="BT900" i="75"/>
  <c r="BT885" i="75"/>
  <c r="BT887" i="75"/>
  <c r="BT911" i="75"/>
  <c r="BT910" i="75"/>
  <c r="BT897" i="75"/>
  <c r="BT894" i="75"/>
  <c r="BT901" i="75"/>
  <c r="BT908" i="75"/>
  <c r="BT905" i="75"/>
  <c r="BT907" i="75"/>
  <c r="BT876" i="75"/>
  <c r="BT882" i="75"/>
  <c r="BT906" i="75"/>
  <c r="BT881" i="75"/>
  <c r="BT896" i="75"/>
  <c r="BT877" i="75"/>
  <c r="BT891" i="75"/>
  <c r="BD628" i="75"/>
  <c r="BD637" i="75"/>
  <c r="BF1121" i="75"/>
  <c r="BF1111" i="75"/>
  <c r="BD623" i="75"/>
  <c r="BD651" i="75"/>
  <c r="BD658" i="75"/>
  <c r="BD219" i="75"/>
  <c r="BD199" i="75"/>
  <c r="BT469" i="75"/>
  <c r="BT483" i="75"/>
  <c r="BN359" i="75"/>
  <c r="BN362" i="75"/>
  <c r="BF1035" i="75"/>
  <c r="BF995" i="75"/>
  <c r="BX486" i="75"/>
  <c r="BX462" i="75"/>
  <c r="BN231" i="75"/>
  <c r="CH351" i="75"/>
  <c r="BD703" i="75"/>
  <c r="BD712" i="75"/>
  <c r="BH933" i="75"/>
  <c r="BF638" i="75"/>
  <c r="BF663" i="75"/>
  <c r="BZ405" i="75"/>
  <c r="BR854" i="75"/>
  <c r="BJ292" i="75"/>
  <c r="BJ294" i="75"/>
  <c r="BF730" i="75"/>
  <c r="BF709" i="75"/>
  <c r="BH881" i="75"/>
  <c r="BZ891" i="75"/>
  <c r="BF481" i="75"/>
  <c r="BF454" i="75"/>
  <c r="BP1120" i="75"/>
  <c r="BP1146" i="75"/>
  <c r="BP1142" i="75"/>
  <c r="BP1129" i="75"/>
  <c r="BP1149" i="75"/>
  <c r="BP1141" i="75"/>
  <c r="BP1132" i="75"/>
  <c r="BP1117" i="75"/>
  <c r="BP1128" i="75"/>
  <c r="BP1126" i="75"/>
  <c r="BP1133" i="75"/>
  <c r="BP1137" i="75"/>
  <c r="BP1155" i="75"/>
  <c r="BP1125" i="75"/>
  <c r="BP1127" i="75"/>
  <c r="BP1152" i="75"/>
  <c r="BP1138" i="75"/>
  <c r="BP1153" i="75"/>
  <c r="BP1119" i="75"/>
  <c r="BP1154" i="75"/>
  <c r="BP1150" i="75"/>
  <c r="BP1131" i="75"/>
  <c r="BP1124" i="75"/>
  <c r="BP1123" i="75"/>
  <c r="BP1135" i="75"/>
  <c r="BP1134" i="75"/>
  <c r="BP1115" i="75"/>
  <c r="BP1143" i="75"/>
  <c r="BP1140" i="75"/>
  <c r="BP1147" i="75"/>
  <c r="BP1116" i="75"/>
  <c r="BP1139" i="75"/>
  <c r="BP1145" i="75"/>
  <c r="BP1136" i="75"/>
  <c r="BP1151" i="75"/>
  <c r="BP1121" i="75"/>
  <c r="BP1118" i="75"/>
  <c r="BP1156" i="75"/>
  <c r="BP1114" i="75"/>
  <c r="BP1122" i="75"/>
  <c r="BP1144" i="75"/>
  <c r="BP1148" i="75"/>
  <c r="BP1130" i="75"/>
  <c r="BR62" i="90"/>
  <c r="BR99" i="90"/>
  <c r="EI49" i="90"/>
  <c r="DR99" i="90"/>
  <c r="BR138" i="90"/>
  <c r="BD243" i="75"/>
  <c r="BD223" i="75"/>
  <c r="BD235" i="75"/>
  <c r="BN346" i="75"/>
  <c r="BN355" i="75"/>
  <c r="BN241" i="75"/>
  <c r="BN216" i="75"/>
  <c r="BN220" i="75"/>
  <c r="CL1078" i="75"/>
  <c r="CL1086" i="75"/>
  <c r="CL1092" i="75"/>
  <c r="CL1079" i="75"/>
  <c r="CL1095" i="75"/>
  <c r="CL1093" i="75"/>
  <c r="CL1091" i="75"/>
  <c r="CL1076" i="75"/>
  <c r="CL1089" i="75"/>
  <c r="CL1094" i="75"/>
  <c r="CL1090" i="75"/>
  <c r="CL1082" i="75"/>
  <c r="CL1096" i="75"/>
  <c r="CL1077" i="75"/>
  <c r="CL1088" i="75"/>
  <c r="CL1087" i="75"/>
  <c r="CL1085" i="75"/>
  <c r="CL1083" i="75"/>
  <c r="CL1081" i="75"/>
  <c r="CL1084" i="75"/>
  <c r="CL1080" i="75"/>
  <c r="BL392" i="75"/>
  <c r="BL424" i="75"/>
  <c r="BL421" i="75"/>
  <c r="BL390" i="75"/>
  <c r="BL391" i="75"/>
  <c r="BL396" i="75"/>
  <c r="BL407" i="75"/>
  <c r="BL405" i="75"/>
  <c r="BL387" i="75"/>
  <c r="BL401" i="75"/>
  <c r="BL388" i="75"/>
  <c r="BL419" i="75"/>
  <c r="BL423" i="75"/>
  <c r="BL400" i="75"/>
  <c r="BL395" i="75"/>
  <c r="BL414" i="75"/>
  <c r="BL409" i="75"/>
  <c r="BL418" i="75"/>
  <c r="BL393" i="75"/>
  <c r="BL402" i="75"/>
  <c r="BL413" i="75"/>
  <c r="BL394" i="75"/>
  <c r="BL389" i="75"/>
  <c r="BL422" i="75"/>
  <c r="BL399" i="75"/>
  <c r="BL429" i="75"/>
  <c r="BL410" i="75"/>
  <c r="BL425" i="75"/>
  <c r="BL408" i="75"/>
  <c r="BL415" i="75"/>
  <c r="BL417" i="75"/>
  <c r="BL404" i="75"/>
  <c r="BL397" i="75"/>
  <c r="BL430" i="75"/>
  <c r="BL406" i="75"/>
  <c r="BL411" i="75"/>
  <c r="BL416" i="75"/>
  <c r="BL431" i="75"/>
  <c r="BL398" i="75"/>
  <c r="BL426" i="75"/>
  <c r="BL420" i="75"/>
  <c r="BL427" i="75"/>
  <c r="BL432" i="75"/>
  <c r="BL428" i="75"/>
  <c r="BL403" i="75"/>
  <c r="BL412" i="75"/>
  <c r="BL386" i="75"/>
  <c r="BV881" i="75"/>
  <c r="BV882" i="75"/>
  <c r="BV889" i="75"/>
  <c r="BV886" i="75"/>
  <c r="BV890" i="75"/>
  <c r="BV878" i="75"/>
  <c r="BV893" i="75"/>
  <c r="BV898" i="75"/>
  <c r="BV885" i="75"/>
  <c r="BV891" i="75"/>
  <c r="BV908" i="75"/>
  <c r="BV880" i="75"/>
  <c r="BV900" i="75"/>
  <c r="BV913" i="75"/>
  <c r="BV910" i="75"/>
  <c r="BV905" i="75"/>
  <c r="BV901" i="75"/>
  <c r="BV903" i="75"/>
  <c r="BV906" i="75"/>
  <c r="BV887" i="75"/>
  <c r="BV897" i="75"/>
  <c r="BV907" i="75"/>
  <c r="BV894" i="75"/>
  <c r="BV909" i="75"/>
  <c r="BV879" i="75"/>
  <c r="BV912" i="75"/>
  <c r="BV902" i="75"/>
  <c r="BV914" i="75"/>
  <c r="BV911" i="75"/>
  <c r="BV899" i="75"/>
  <c r="BV895" i="75"/>
  <c r="BV883" i="75"/>
  <c r="BV896" i="75"/>
  <c r="BV892" i="75"/>
  <c r="BV888" i="75"/>
  <c r="BV884" i="75"/>
  <c r="BV904" i="75"/>
  <c r="BN245" i="75"/>
  <c r="BN232" i="75"/>
  <c r="BN243" i="75"/>
  <c r="BN212" i="75"/>
  <c r="BN247" i="75"/>
  <c r="BN249" i="75"/>
  <c r="BL350" i="75"/>
  <c r="BL328" i="75"/>
  <c r="BL348" i="75"/>
  <c r="BL333" i="75"/>
  <c r="BL330" i="75"/>
  <c r="BL331" i="75"/>
  <c r="BL349" i="75"/>
  <c r="BL363" i="75"/>
  <c r="BL364" i="75"/>
  <c r="BL352" i="75"/>
  <c r="BL345" i="75"/>
  <c r="BL366" i="75"/>
  <c r="BL365" i="75"/>
  <c r="BL338" i="75"/>
  <c r="BL367" i="75"/>
  <c r="BL362" i="75"/>
  <c r="BL344" i="75"/>
  <c r="BL339" i="75"/>
  <c r="BL356" i="75"/>
  <c r="BL337" i="75"/>
  <c r="BL346" i="75"/>
  <c r="BL354" i="75"/>
  <c r="BL353" i="75"/>
  <c r="BL340" i="75"/>
  <c r="BL332" i="75"/>
  <c r="BL360" i="75"/>
  <c r="BL355" i="75"/>
  <c r="BL326" i="75"/>
  <c r="BL361" i="75"/>
  <c r="BL347" i="75"/>
  <c r="BL359" i="75"/>
  <c r="BL372" i="75"/>
  <c r="BL327" i="75"/>
  <c r="BL357" i="75"/>
  <c r="BL370" i="75"/>
  <c r="BL351" i="75"/>
  <c r="BL329" i="75"/>
  <c r="BL343" i="75"/>
  <c r="BL368" i="75"/>
  <c r="BL341" i="75"/>
  <c r="BL334" i="75"/>
  <c r="BL342" i="75"/>
  <c r="BL371" i="75"/>
  <c r="BL358" i="75"/>
  <c r="BL336" i="75"/>
  <c r="BL369" i="75"/>
  <c r="BL335" i="75"/>
  <c r="BD252" i="75"/>
  <c r="BD246" i="75"/>
  <c r="BD248" i="75"/>
  <c r="BT458" i="75"/>
  <c r="BT474" i="75"/>
  <c r="BN369" i="75"/>
  <c r="BN361" i="75"/>
  <c r="BF1010" i="75"/>
  <c r="BF1021" i="75"/>
  <c r="BN222" i="75"/>
  <c r="BN225" i="75"/>
  <c r="CL354" i="75"/>
  <c r="CL364" i="75"/>
  <c r="CL353" i="75"/>
  <c r="CL365" i="75"/>
  <c r="CL372" i="75"/>
  <c r="CL352" i="75"/>
  <c r="CL363" i="75"/>
  <c r="CL357" i="75"/>
  <c r="CL369" i="75"/>
  <c r="CL370" i="75"/>
  <c r="CL360" i="75"/>
  <c r="CL356" i="75"/>
  <c r="CL371" i="75"/>
  <c r="CL362" i="75"/>
  <c r="CL358" i="75"/>
  <c r="CL361" i="75"/>
  <c r="CL355" i="75"/>
  <c r="CL366" i="75"/>
  <c r="CL368" i="75"/>
  <c r="CL367" i="75"/>
  <c r="CL359" i="75"/>
  <c r="BP1093" i="75"/>
  <c r="BP1073" i="75"/>
  <c r="BP1070" i="75"/>
  <c r="BP1089" i="75"/>
  <c r="BP1085" i="75"/>
  <c r="BP1071" i="75"/>
  <c r="BP1079" i="75"/>
  <c r="BP1083" i="75"/>
  <c r="BP1091" i="75"/>
  <c r="BP1064" i="75"/>
  <c r="BP1096" i="75"/>
  <c r="BP1080" i="75"/>
  <c r="BP1094" i="75"/>
  <c r="BP1077" i="75"/>
  <c r="BP1068" i="75"/>
  <c r="BP1082" i="75"/>
  <c r="BP1087" i="75"/>
  <c r="BP1078" i="75"/>
  <c r="BP1072" i="75"/>
  <c r="BP1059" i="75"/>
  <c r="BP1095" i="75"/>
  <c r="BP1056" i="75"/>
  <c r="BP1075" i="75"/>
  <c r="BP1066" i="75"/>
  <c r="BP1065" i="75"/>
  <c r="BP1058" i="75"/>
  <c r="BP1086" i="75"/>
  <c r="BP1061" i="75"/>
  <c r="BP1092" i="75"/>
  <c r="BP1076" i="75"/>
  <c r="BP1060" i="75"/>
  <c r="BP1057" i="75"/>
  <c r="BP1069" i="75"/>
  <c r="BP1090" i="75"/>
  <c r="BP1088" i="75"/>
  <c r="BP1054" i="75"/>
  <c r="BP1062" i="75"/>
  <c r="BP1063" i="75"/>
  <c r="BP1067" i="75"/>
  <c r="BP1084" i="75"/>
  <c r="BP1081" i="75"/>
  <c r="BP1074" i="75"/>
  <c r="BP1055" i="75"/>
  <c r="BX304" i="75"/>
  <c r="BX289" i="75"/>
  <c r="BX299" i="75"/>
  <c r="BX287" i="75"/>
  <c r="BX298" i="75"/>
  <c r="BX306" i="75"/>
  <c r="BX308" i="75"/>
  <c r="BX278" i="75"/>
  <c r="BX285" i="75"/>
  <c r="BX312" i="75"/>
  <c r="BX309" i="75"/>
  <c r="BX281" i="75"/>
  <c r="BX286" i="75"/>
  <c r="BX288" i="75"/>
  <c r="BX303" i="75"/>
  <c r="BX284" i="75"/>
  <c r="BX291" i="75"/>
  <c r="BX283" i="75"/>
  <c r="BX305" i="75"/>
  <c r="BX279" i="75"/>
  <c r="BX292" i="75"/>
  <c r="BX294" i="75"/>
  <c r="BX302" i="75"/>
  <c r="BX290" i="75"/>
  <c r="BX293" i="75"/>
  <c r="BX280" i="75"/>
  <c r="BX301" i="75"/>
  <c r="BX296" i="75"/>
  <c r="BX307" i="75"/>
  <c r="BX282" i="75"/>
  <c r="BX310" i="75"/>
  <c r="BX311" i="75"/>
  <c r="BX300" i="75"/>
  <c r="BX297" i="75"/>
  <c r="BX295" i="75"/>
  <c r="BN525" i="75"/>
  <c r="BN522" i="75"/>
  <c r="BN514" i="75"/>
  <c r="BN552" i="75"/>
  <c r="BN542" i="75"/>
  <c r="BN540" i="75"/>
  <c r="BN508" i="75"/>
  <c r="BN521" i="75"/>
  <c r="BN509" i="75"/>
  <c r="BN530" i="75"/>
  <c r="BN513" i="75"/>
  <c r="BN545" i="75"/>
  <c r="BN539" i="75"/>
  <c r="BN541" i="75"/>
  <c r="BN527" i="75"/>
  <c r="BN537" i="75"/>
  <c r="BN511" i="75"/>
  <c r="BN529" i="75"/>
  <c r="BN550" i="75"/>
  <c r="BN544" i="75"/>
  <c r="BN548" i="75"/>
  <c r="BN523" i="75"/>
  <c r="BN533" i="75"/>
  <c r="BN534" i="75"/>
  <c r="BN531" i="75"/>
  <c r="BN519" i="75"/>
  <c r="BN526" i="75"/>
  <c r="BN515" i="75"/>
  <c r="BN518" i="75"/>
  <c r="BN524" i="75"/>
  <c r="BN546" i="75"/>
  <c r="BN528" i="75"/>
  <c r="BN510" i="75"/>
  <c r="BN520" i="75"/>
  <c r="BN532" i="75"/>
  <c r="BN549" i="75"/>
  <c r="BN512" i="75"/>
  <c r="BN517" i="75"/>
  <c r="BN543" i="75"/>
  <c r="BN551" i="75"/>
  <c r="BN516" i="75"/>
  <c r="BN536" i="75"/>
  <c r="BN535" i="75"/>
  <c r="BN538" i="75"/>
  <c r="BN547" i="75"/>
  <c r="BD611" i="75"/>
  <c r="BD571" i="75"/>
  <c r="BD576" i="75"/>
  <c r="BD574" i="75"/>
  <c r="BD579" i="75"/>
  <c r="BD582" i="75"/>
  <c r="BD603" i="75"/>
  <c r="BD599" i="75"/>
  <c r="BD594" i="75"/>
  <c r="BD602" i="75"/>
  <c r="BD606" i="75"/>
  <c r="BD561" i="75"/>
  <c r="BD596" i="75"/>
  <c r="BD569" i="75"/>
  <c r="BD563" i="75"/>
  <c r="BD604" i="75"/>
  <c r="BD587" i="75"/>
  <c r="BD565" i="75"/>
  <c r="BD589" i="75"/>
  <c r="BD575" i="75"/>
  <c r="BD593" i="75"/>
  <c r="BD590" i="75"/>
  <c r="BD584" i="75"/>
  <c r="BD612" i="75"/>
  <c r="BD613" i="75"/>
  <c r="BD562" i="75"/>
  <c r="BD570" i="75"/>
  <c r="BD572" i="75"/>
  <c r="BD560" i="75"/>
  <c r="BD568" i="75"/>
  <c r="BD595" i="75"/>
  <c r="BD614" i="75"/>
  <c r="BD573" i="75"/>
  <c r="BD601" i="75"/>
  <c r="BD600" i="75"/>
  <c r="BD578" i="75"/>
  <c r="BD607" i="75"/>
  <c r="BD580" i="75"/>
  <c r="BD567" i="75"/>
  <c r="BD610" i="75"/>
  <c r="BD566" i="75"/>
  <c r="BD585" i="75"/>
  <c r="BD564" i="75"/>
  <c r="BD597" i="75"/>
  <c r="BD608" i="75"/>
  <c r="BD598" i="75"/>
  <c r="BD577" i="75"/>
  <c r="BD583" i="75"/>
  <c r="BD592" i="75"/>
  <c r="BD609" i="75"/>
  <c r="BD586" i="75"/>
  <c r="BD581" i="75"/>
  <c r="BD591" i="75"/>
  <c r="BD605" i="75"/>
  <c r="BD588" i="75"/>
  <c r="BD1264" i="75"/>
  <c r="BD1230" i="75"/>
  <c r="BD1228" i="75"/>
  <c r="BD1259" i="75"/>
  <c r="BD1234" i="75"/>
  <c r="BD1232" i="75"/>
  <c r="BD1247" i="75"/>
  <c r="BD1227" i="75"/>
  <c r="BD1245" i="75"/>
  <c r="BD1255" i="75"/>
  <c r="BD1271" i="75"/>
  <c r="BD1273" i="75"/>
  <c r="BD1263" i="75"/>
  <c r="BD1275" i="75"/>
  <c r="BD1257" i="75"/>
  <c r="BD1252" i="75"/>
  <c r="BD1265" i="75"/>
  <c r="BD1256" i="75"/>
  <c r="BD1270" i="75"/>
  <c r="BD1238" i="75"/>
  <c r="BD1222" i="75"/>
  <c r="BD1250" i="75"/>
  <c r="BD1224" i="75"/>
  <c r="BD1236" i="75"/>
  <c r="BD1225" i="75"/>
  <c r="BD1251" i="75"/>
  <c r="BD1258" i="75"/>
  <c r="BD1260" i="75"/>
  <c r="BD1248" i="75"/>
  <c r="BD1243" i="75"/>
  <c r="BD1226" i="75"/>
  <c r="BD1268" i="75"/>
  <c r="BD1223" i="75"/>
  <c r="BD1267" i="75"/>
  <c r="BD1241" i="75"/>
  <c r="BD1274" i="75"/>
  <c r="BD1276" i="75"/>
  <c r="BD1233" i="75"/>
  <c r="BD1240" i="75"/>
  <c r="BD1253" i="75"/>
  <c r="BD1244" i="75"/>
  <c r="BD1261" i="75"/>
  <c r="BD1235" i="75"/>
  <c r="BD1269" i="75"/>
  <c r="BD1239" i="75"/>
  <c r="BD1272" i="75"/>
  <c r="BD1249" i="75"/>
  <c r="BD1254" i="75"/>
  <c r="BD1231" i="75"/>
  <c r="BD1242" i="75"/>
  <c r="BD1246" i="75"/>
  <c r="BD1229" i="75"/>
  <c r="BD1262" i="75"/>
  <c r="BD1266" i="75"/>
  <c r="BD1237" i="75"/>
  <c r="BD653" i="75"/>
  <c r="BD622" i="75"/>
  <c r="BD247" i="75"/>
  <c r="BD226" i="75"/>
  <c r="BT481" i="75"/>
  <c r="BN349" i="75"/>
  <c r="BN339" i="75"/>
  <c r="BF1002" i="75"/>
  <c r="BF999" i="75"/>
  <c r="BX458" i="75"/>
  <c r="BN234" i="75"/>
  <c r="BN238" i="75"/>
  <c r="BN223" i="75"/>
  <c r="BN211" i="75"/>
  <c r="BN208" i="75"/>
  <c r="BJ363" i="75"/>
  <c r="BJ367" i="75"/>
  <c r="BJ342" i="75"/>
  <c r="BJ326" i="75"/>
  <c r="BJ335" i="75"/>
  <c r="BJ344" i="75"/>
  <c r="BJ371" i="75"/>
  <c r="BJ368" i="75"/>
  <c r="BJ339" i="75"/>
  <c r="BJ365" i="75"/>
  <c r="BJ345" i="75"/>
  <c r="BJ343" i="75"/>
  <c r="BJ341" i="75"/>
  <c r="BJ338" i="75"/>
  <c r="BJ348" i="75"/>
  <c r="BJ359" i="75"/>
  <c r="BJ360" i="75"/>
  <c r="BJ325" i="75"/>
  <c r="BJ353" i="75"/>
  <c r="BJ329" i="75"/>
  <c r="BJ340" i="75"/>
  <c r="BJ328" i="75"/>
  <c r="BJ352" i="75"/>
  <c r="BJ332" i="75"/>
  <c r="BJ346" i="75"/>
  <c r="BJ369" i="75"/>
  <c r="BJ361" i="75"/>
  <c r="BJ370" i="75"/>
  <c r="BJ355" i="75"/>
  <c r="BJ333" i="75"/>
  <c r="BJ331" i="75"/>
  <c r="BJ334" i="75"/>
  <c r="BJ350" i="75"/>
  <c r="BJ351" i="75"/>
  <c r="BJ366" i="75"/>
  <c r="BJ327" i="75"/>
  <c r="BJ347" i="75"/>
  <c r="BJ362" i="75"/>
  <c r="BJ337" i="75"/>
  <c r="BJ358" i="75"/>
  <c r="BJ357" i="75"/>
  <c r="BJ336" i="75"/>
  <c r="BJ356" i="75"/>
  <c r="BJ364" i="75"/>
  <c r="BJ330" i="75"/>
  <c r="BJ354" i="75"/>
  <c r="BJ372" i="75"/>
  <c r="BJ324" i="75"/>
  <c r="BJ349" i="75"/>
  <c r="BN252" i="75"/>
  <c r="BN218" i="75"/>
  <c r="BN221" i="75"/>
  <c r="BN226" i="75"/>
  <c r="BN227" i="75"/>
  <c r="BN246" i="75"/>
  <c r="BN244" i="75"/>
  <c r="BN214" i="75"/>
  <c r="BD424" i="75"/>
  <c r="BD416" i="75"/>
  <c r="BD422" i="75"/>
  <c r="BD410" i="75"/>
  <c r="BD395" i="75"/>
  <c r="BD384" i="75"/>
  <c r="BD405" i="75"/>
  <c r="BD426" i="75"/>
  <c r="BD408" i="75"/>
  <c r="BD389" i="75"/>
  <c r="BD409" i="75"/>
  <c r="BD403" i="75"/>
  <c r="BD430" i="75"/>
  <c r="BD379" i="75"/>
  <c r="BD415" i="75"/>
  <c r="BD394" i="75"/>
  <c r="BD411" i="75"/>
  <c r="BD400" i="75"/>
  <c r="BD401" i="75"/>
  <c r="BD419" i="75"/>
  <c r="BD407" i="75"/>
  <c r="BD393" i="75"/>
  <c r="BD382" i="75"/>
  <c r="BD406" i="75"/>
  <c r="BD391" i="75"/>
  <c r="BD378" i="75"/>
  <c r="BD418" i="75"/>
  <c r="BD431" i="75"/>
  <c r="BD396" i="75"/>
  <c r="BD421" i="75"/>
  <c r="BD399" i="75"/>
  <c r="BD404" i="75"/>
  <c r="BD427" i="75"/>
  <c r="BD402" i="75"/>
  <c r="BD417" i="75"/>
  <c r="BD381" i="75"/>
  <c r="BD412" i="75"/>
  <c r="BD392" i="75"/>
  <c r="BD380" i="75"/>
  <c r="BD383" i="75"/>
  <c r="BD385" i="75"/>
  <c r="BD398" i="75"/>
  <c r="BD388" i="75"/>
  <c r="BD432" i="75"/>
  <c r="BD413" i="75"/>
  <c r="BD390" i="75"/>
  <c r="BD387" i="75"/>
  <c r="BD414" i="75"/>
  <c r="BD386" i="75"/>
  <c r="BD397" i="75"/>
  <c r="BD420" i="75"/>
  <c r="BD429" i="75"/>
  <c r="BD423" i="75"/>
  <c r="BD425" i="75"/>
  <c r="BD428" i="75"/>
  <c r="CT607" i="75"/>
  <c r="CT611" i="75"/>
  <c r="CT604" i="75"/>
  <c r="CT602" i="75"/>
  <c r="CT612" i="75"/>
  <c r="CT614" i="75"/>
  <c r="CT605" i="75"/>
  <c r="CT610" i="75"/>
  <c r="CT609" i="75"/>
  <c r="CT608" i="75"/>
  <c r="CT606" i="75"/>
  <c r="CT613" i="75"/>
  <c r="CT603" i="75"/>
  <c r="BP343" i="75"/>
  <c r="BP348" i="75"/>
  <c r="BP362" i="75"/>
  <c r="BP352" i="75"/>
  <c r="BP334" i="75"/>
  <c r="BP357" i="75"/>
  <c r="BP353" i="75"/>
  <c r="BP338" i="75"/>
  <c r="BP360" i="75"/>
  <c r="BP351" i="75"/>
  <c r="BP347" i="75"/>
  <c r="BP359" i="75"/>
  <c r="BP368" i="75"/>
  <c r="BP333" i="75"/>
  <c r="BP372" i="75"/>
  <c r="BP344" i="75"/>
  <c r="BP356" i="75"/>
  <c r="BP335" i="75"/>
  <c r="BP336" i="75"/>
  <c r="BP331" i="75"/>
  <c r="BP358" i="75"/>
  <c r="BP340" i="75"/>
  <c r="BP337" i="75"/>
  <c r="BP330" i="75"/>
  <c r="BP369" i="75"/>
  <c r="BP363" i="75"/>
  <c r="BP350" i="75"/>
  <c r="BP354" i="75"/>
  <c r="BP366" i="75"/>
  <c r="BP370" i="75"/>
  <c r="BP365" i="75"/>
  <c r="BP345" i="75"/>
  <c r="BP371" i="75"/>
  <c r="BP341" i="75"/>
  <c r="BP346" i="75"/>
  <c r="BP339" i="75"/>
  <c r="BP364" i="75"/>
  <c r="BP349" i="75"/>
  <c r="BP332" i="75"/>
  <c r="BP355" i="75"/>
  <c r="BP361" i="75"/>
  <c r="BP342" i="75"/>
  <c r="BP367" i="75"/>
  <c r="DU62" i="90"/>
  <c r="DU99" i="90"/>
  <c r="AH12" i="104"/>
  <c r="AG12" i="104"/>
  <c r="D4" i="90"/>
  <c r="F4" i="90" s="1"/>
  <c r="AP339" i="100"/>
  <c r="T13" i="101"/>
  <c r="D120" i="90"/>
  <c r="F120" i="90" s="1"/>
  <c r="G11" i="102"/>
  <c r="H11" i="102" s="1"/>
  <c r="AC16" i="1"/>
  <c r="AA10" i="1"/>
  <c r="DU138" i="90"/>
  <c r="AM339" i="100"/>
  <c r="AQ339" i="100"/>
  <c r="AQ209" i="100"/>
  <c r="BN423" i="75"/>
  <c r="BN396" i="75"/>
  <c r="BN398" i="75"/>
  <c r="BN419" i="75"/>
  <c r="BN418" i="75"/>
  <c r="BN393" i="75"/>
  <c r="BN426" i="75"/>
  <c r="BN401" i="75"/>
  <c r="BN416" i="75"/>
  <c r="BN395" i="75"/>
  <c r="BN427" i="75"/>
  <c r="BN410" i="75"/>
  <c r="BN420" i="75"/>
  <c r="BN425" i="75"/>
  <c r="BN428" i="75"/>
  <c r="BN432" i="75"/>
  <c r="BN389" i="75"/>
  <c r="BN424" i="75"/>
  <c r="BN402" i="75"/>
  <c r="BN397" i="75"/>
  <c r="BN407" i="75"/>
  <c r="BN414" i="75"/>
  <c r="BN430" i="75"/>
  <c r="BN406" i="75"/>
  <c r="BN405" i="75"/>
  <c r="BN400" i="75"/>
  <c r="BN413" i="75"/>
  <c r="BN408" i="75"/>
  <c r="BN399" i="75"/>
  <c r="BN394" i="75"/>
  <c r="BN411" i="75"/>
  <c r="BN421" i="75"/>
  <c r="BN429" i="75"/>
  <c r="BN404" i="75"/>
  <c r="BN403" i="75"/>
  <c r="BN409" i="75"/>
  <c r="BN422" i="75"/>
  <c r="BN431" i="75"/>
  <c r="BN388" i="75"/>
  <c r="BN415" i="75"/>
  <c r="BN390" i="75"/>
  <c r="BN417" i="75"/>
  <c r="BN391" i="75"/>
  <c r="BN412" i="75"/>
  <c r="BN392" i="75"/>
  <c r="H58" i="115"/>
  <c r="J58" i="115"/>
  <c r="AR323" i="100"/>
  <c r="AS7" i="100"/>
  <c r="AR170" i="100"/>
  <c r="AR297" i="100"/>
  <c r="AR199" i="100"/>
  <c r="AR330" i="100"/>
  <c r="AR22" i="100"/>
  <c r="AR16" i="100"/>
  <c r="AR292" i="100"/>
  <c r="AR289" i="100"/>
  <c r="AR73" i="100"/>
  <c r="AR13" i="100"/>
  <c r="AR320" i="100"/>
  <c r="AR329" i="100"/>
  <c r="AR31" i="100"/>
  <c r="AR161" i="100"/>
  <c r="AR38" i="100"/>
  <c r="AR177" i="100"/>
  <c r="AR311" i="100"/>
  <c r="AR27" i="100"/>
  <c r="AR9" i="100"/>
  <c r="AR11" i="100"/>
  <c r="AR307" i="100"/>
  <c r="AR182" i="100"/>
  <c r="AR327" i="100"/>
  <c r="AR310" i="100"/>
  <c r="AR324" i="100"/>
  <c r="AR70" i="100"/>
  <c r="AR29" i="100"/>
  <c r="AR179" i="100"/>
  <c r="AR333" i="100"/>
  <c r="AR295" i="100"/>
  <c r="AR174" i="100"/>
  <c r="AR193" i="100"/>
  <c r="AR72" i="100"/>
  <c r="AR69" i="100"/>
  <c r="AR77" i="100"/>
  <c r="AR206" i="100"/>
  <c r="AR175" i="100"/>
  <c r="AR300" i="100"/>
  <c r="AR332" i="100"/>
  <c r="AR169" i="100"/>
  <c r="AR294" i="100"/>
  <c r="AR42" i="100"/>
  <c r="AR30" i="100"/>
  <c r="AR159" i="100"/>
  <c r="AR184" i="100"/>
  <c r="AR35" i="100"/>
  <c r="AR197" i="100"/>
  <c r="AR26" i="100"/>
  <c r="AR183" i="100"/>
  <c r="AR306" i="100"/>
  <c r="AR39" i="100"/>
  <c r="AR40" i="100"/>
  <c r="AR162" i="100"/>
  <c r="AR12" i="100"/>
  <c r="AR187" i="100"/>
  <c r="AR68" i="100"/>
  <c r="AR207" i="100"/>
  <c r="AR24" i="100"/>
  <c r="AR173" i="100"/>
  <c r="AR302" i="100"/>
  <c r="AR67" i="100"/>
  <c r="AR203" i="100"/>
  <c r="AR43" i="100"/>
  <c r="AR308" i="100"/>
  <c r="AR160" i="100"/>
  <c r="AR204" i="100"/>
  <c r="AR322" i="100"/>
  <c r="AR74" i="100"/>
  <c r="AR189" i="100"/>
  <c r="AR309" i="100"/>
  <c r="AR315" i="100"/>
  <c r="AR32" i="100"/>
  <c r="AR301" i="100"/>
  <c r="AR21" i="100"/>
  <c r="AR305" i="100"/>
  <c r="AR28" i="100"/>
  <c r="AR185" i="100"/>
  <c r="AR331" i="100"/>
  <c r="AR163" i="100"/>
  <c r="AR335" i="100"/>
  <c r="AR65" i="100"/>
  <c r="AR195" i="100"/>
  <c r="AR164" i="100"/>
  <c r="AR17" i="100"/>
  <c r="AR18" i="100"/>
  <c r="AR290" i="100"/>
  <c r="AR192" i="100"/>
  <c r="AR186" i="100"/>
  <c r="AR41" i="100"/>
  <c r="AR200" i="100"/>
  <c r="AR313" i="100"/>
  <c r="AR172" i="100"/>
  <c r="AR14" i="100"/>
  <c r="AR71" i="100"/>
  <c r="AR314" i="100"/>
  <c r="AR64" i="100"/>
  <c r="AR176" i="100"/>
  <c r="AR25" i="100"/>
  <c r="AR326" i="100"/>
  <c r="AR194" i="100"/>
  <c r="AR76" i="100"/>
  <c r="AR166" i="100"/>
  <c r="AR316" i="100"/>
  <c r="AR205" i="100"/>
  <c r="AR304" i="100"/>
  <c r="AR303" i="100"/>
  <c r="AR34" i="100"/>
  <c r="AR198" i="100"/>
  <c r="AR321" i="100"/>
  <c r="AR334" i="100"/>
  <c r="AR181" i="100"/>
  <c r="AR201" i="100"/>
  <c r="AR75" i="100"/>
  <c r="AR317" i="100"/>
  <c r="AR36" i="100"/>
  <c r="AR178" i="100"/>
  <c r="AR165" i="100"/>
  <c r="AR291" i="100"/>
  <c r="AR19" i="100"/>
  <c r="AR180" i="100"/>
  <c r="AR318" i="100"/>
  <c r="AR288" i="100"/>
  <c r="AR66" i="100"/>
  <c r="AR196" i="100"/>
  <c r="AR15" i="100"/>
  <c r="AR293" i="100"/>
  <c r="AR37" i="100"/>
  <c r="AR167" i="100"/>
  <c r="AR33" i="100"/>
  <c r="AR191" i="100"/>
  <c r="AR298" i="100"/>
  <c r="AR328" i="100"/>
  <c r="AR202" i="100"/>
  <c r="AR319" i="100"/>
  <c r="AR325" i="100"/>
  <c r="AR20" i="100"/>
  <c r="AR190" i="100"/>
  <c r="AR337" i="100"/>
  <c r="AR188" i="100"/>
  <c r="AR171" i="100"/>
  <c r="AR336" i="100"/>
  <c r="AR158" i="100"/>
  <c r="AR296" i="100"/>
  <c r="AR299" i="100"/>
  <c r="AR168" i="100"/>
  <c r="AR312" i="100"/>
  <c r="AR23" i="100"/>
  <c r="BV598" i="75"/>
  <c r="BV581" i="75"/>
  <c r="BV578" i="75"/>
  <c r="BV614" i="75"/>
  <c r="BV602" i="75"/>
  <c r="BV591" i="75"/>
  <c r="BV604" i="75"/>
  <c r="BV592" i="75"/>
  <c r="BV612" i="75"/>
  <c r="BV605" i="75"/>
  <c r="BV582" i="75"/>
  <c r="BV607" i="75"/>
  <c r="BV597" i="75"/>
  <c r="BV606" i="75"/>
  <c r="BV589" i="75"/>
  <c r="BV584" i="75"/>
  <c r="BV588" i="75"/>
  <c r="BV596" i="75"/>
  <c r="BV590" i="75"/>
  <c r="BV613" i="75"/>
  <c r="BV594" i="75"/>
  <c r="BV611" i="75"/>
  <c r="BV587" i="75"/>
  <c r="BV601" i="75"/>
  <c r="BV583" i="75"/>
  <c r="BV608" i="75"/>
  <c r="BV595" i="75"/>
  <c r="BV586" i="75"/>
  <c r="BV610" i="75"/>
  <c r="BV609" i="75"/>
  <c r="BV593" i="75"/>
  <c r="BV585" i="75"/>
  <c r="BV580" i="75"/>
  <c r="BV600" i="75"/>
  <c r="BV579" i="75"/>
  <c r="BV603" i="75"/>
  <c r="BV599" i="75"/>
  <c r="CR303" i="75"/>
  <c r="CR298" i="75"/>
  <c r="CR310" i="75"/>
  <c r="CR307" i="75"/>
  <c r="CR300" i="75"/>
  <c r="CR305" i="75"/>
  <c r="CR308" i="75"/>
  <c r="CR304" i="75"/>
  <c r="CR311" i="75"/>
  <c r="CR299" i="75"/>
  <c r="CR306" i="75"/>
  <c r="CR302" i="75"/>
  <c r="CR312" i="75"/>
  <c r="CR309" i="75"/>
  <c r="CR301" i="75"/>
  <c r="BV302" i="75"/>
  <c r="BV287" i="75"/>
  <c r="BV282" i="75"/>
  <c r="BV299" i="75"/>
  <c r="BV309" i="75"/>
  <c r="BV297" i="75"/>
  <c r="BV307" i="75"/>
  <c r="BV286" i="75"/>
  <c r="BV280" i="75"/>
  <c r="BV279" i="75"/>
  <c r="BV305" i="75"/>
  <c r="BV277" i="75"/>
  <c r="BV306" i="75"/>
  <c r="BV292" i="75"/>
  <c r="BV281" i="75"/>
  <c r="BV283" i="75"/>
  <c r="BV291" i="75"/>
  <c r="BV310" i="75"/>
  <c r="BV312" i="75"/>
  <c r="BV303" i="75"/>
  <c r="BV285" i="75"/>
  <c r="BV295" i="75"/>
  <c r="BV289" i="75"/>
  <c r="BV290" i="75"/>
  <c r="BV293" i="75"/>
  <c r="BV301" i="75"/>
  <c r="BV278" i="75"/>
  <c r="BV288" i="75"/>
  <c r="BV308" i="75"/>
  <c r="BV298" i="75"/>
  <c r="BV300" i="75"/>
  <c r="BV276" i="75"/>
  <c r="BV296" i="75"/>
  <c r="BV311" i="75"/>
  <c r="BV294" i="75"/>
  <c r="BV284" i="75"/>
  <c r="BV304" i="75"/>
  <c r="K280" i="100"/>
  <c r="E280" i="100"/>
  <c r="Q280" i="100"/>
  <c r="BX1155" i="75"/>
  <c r="BX1147" i="75"/>
  <c r="BX1138" i="75"/>
  <c r="BX1146" i="75"/>
  <c r="BX1156" i="75"/>
  <c r="BX1143" i="75"/>
  <c r="BX1139" i="75"/>
  <c r="BX1142" i="75"/>
  <c r="BX1150" i="75"/>
  <c r="BX1151" i="75"/>
  <c r="BX1135" i="75"/>
  <c r="BX1154" i="75"/>
  <c r="BX1126" i="75"/>
  <c r="BX1136" i="75"/>
  <c r="BX1144" i="75"/>
  <c r="BX1123" i="75"/>
  <c r="BX1128" i="75"/>
  <c r="BX1124" i="75"/>
  <c r="BX1127" i="75"/>
  <c r="BX1153" i="75"/>
  <c r="BX1149" i="75"/>
  <c r="BX1133" i="75"/>
  <c r="BX1129" i="75"/>
  <c r="BX1131" i="75"/>
  <c r="BX1122" i="75"/>
  <c r="BX1148" i="75"/>
  <c r="BX1137" i="75"/>
  <c r="BX1130" i="75"/>
  <c r="BX1140" i="75"/>
  <c r="BX1145" i="75"/>
  <c r="BX1141" i="75"/>
  <c r="BX1152" i="75"/>
  <c r="BX1134" i="75"/>
  <c r="BX1125" i="75"/>
  <c r="BX1132" i="75"/>
  <c r="BH579" i="75"/>
  <c r="BH600" i="75"/>
  <c r="BH603" i="75"/>
  <c r="BH605" i="75"/>
  <c r="BH594" i="75"/>
  <c r="BH571" i="75"/>
  <c r="BH587" i="75"/>
  <c r="BH583" i="75"/>
  <c r="BH575" i="75"/>
  <c r="BH604" i="75"/>
  <c r="BH574" i="75"/>
  <c r="BH570" i="75"/>
  <c r="BH567" i="75"/>
  <c r="BH584" i="75"/>
  <c r="BH585" i="75"/>
  <c r="BH599" i="75"/>
  <c r="BH595" i="75"/>
  <c r="BH578" i="75"/>
  <c r="BH591" i="75"/>
  <c r="BH609" i="75"/>
  <c r="BH610" i="75"/>
  <c r="BH569" i="75"/>
  <c r="BH607" i="75"/>
  <c r="BH614" i="75"/>
  <c r="BH590" i="75"/>
  <c r="BH598" i="75"/>
  <c r="BH581" i="75"/>
  <c r="BH606" i="75"/>
  <c r="BH573" i="75"/>
  <c r="BH612" i="75"/>
  <c r="BH601" i="75"/>
  <c r="BH608" i="75"/>
  <c r="BH592" i="75"/>
  <c r="BH582" i="75"/>
  <c r="BH597" i="75"/>
  <c r="BH602" i="75"/>
  <c r="BH588" i="75"/>
  <c r="BH566" i="75"/>
  <c r="BH572" i="75"/>
  <c r="BH580" i="75"/>
  <c r="BH611" i="75"/>
  <c r="BH586" i="75"/>
  <c r="BH564" i="75"/>
  <c r="BH593" i="75"/>
  <c r="BH576" i="75"/>
  <c r="BH568" i="75"/>
  <c r="BH596" i="75"/>
  <c r="BH577" i="75"/>
  <c r="BH565" i="75"/>
  <c r="BH589" i="75"/>
  <c r="BH613" i="75"/>
  <c r="BX247" i="75"/>
  <c r="BX229" i="75"/>
  <c r="BX252" i="75"/>
  <c r="BX244" i="75"/>
  <c r="BX219" i="75"/>
  <c r="BX250" i="75"/>
  <c r="BX242" i="75"/>
  <c r="BX237" i="75"/>
  <c r="BX231" i="75"/>
  <c r="BX224" i="75"/>
  <c r="BX220" i="75"/>
  <c r="BX221" i="75"/>
  <c r="BX251" i="75"/>
  <c r="BX241" i="75"/>
  <c r="BX227" i="75"/>
  <c r="BX240" i="75"/>
  <c r="BX223" i="75"/>
  <c r="BX235" i="75"/>
  <c r="BX226" i="75"/>
  <c r="BX239" i="75"/>
  <c r="BX245" i="75"/>
  <c r="BX228" i="75"/>
  <c r="BX238" i="75"/>
  <c r="BX234" i="75"/>
  <c r="BX218" i="75"/>
  <c r="BX236" i="75"/>
  <c r="BX232" i="75"/>
  <c r="BX246" i="75"/>
  <c r="BX248" i="75"/>
  <c r="BX243" i="75"/>
  <c r="BX230" i="75"/>
  <c r="BX222" i="75"/>
  <c r="BX225" i="75"/>
  <c r="BX233" i="75"/>
  <c r="BX249" i="75"/>
  <c r="AO339" i="100"/>
  <c r="BT406" i="75"/>
  <c r="BT419" i="75"/>
  <c r="BT398" i="75"/>
  <c r="BT404" i="75"/>
  <c r="BT411" i="75"/>
  <c r="BT413" i="75"/>
  <c r="BT423" i="75"/>
  <c r="BT421" i="75"/>
  <c r="BT407" i="75"/>
  <c r="BT417" i="75"/>
  <c r="BT424" i="75"/>
  <c r="BT395" i="75"/>
  <c r="BT402" i="75"/>
  <c r="BT427" i="75"/>
  <c r="BT429" i="75"/>
  <c r="BT397" i="75"/>
  <c r="BT428" i="75"/>
  <c r="BT414" i="75"/>
  <c r="BT418" i="75"/>
  <c r="BT416" i="75"/>
  <c r="BT420" i="75"/>
  <c r="BT425" i="75"/>
  <c r="BT412" i="75"/>
  <c r="BT401" i="75"/>
  <c r="BT432" i="75"/>
  <c r="BT426" i="75"/>
  <c r="BT396" i="75"/>
  <c r="BT400" i="75"/>
  <c r="BT399" i="75"/>
  <c r="BT408" i="75"/>
  <c r="BT394" i="75"/>
  <c r="BT405" i="75"/>
  <c r="BT410" i="75"/>
  <c r="BT403" i="75"/>
  <c r="BT430" i="75"/>
  <c r="BT409" i="75"/>
  <c r="BT415" i="75"/>
  <c r="BT422" i="75"/>
  <c r="BT431" i="75"/>
  <c r="AN339" i="100"/>
  <c r="BL660" i="75"/>
  <c r="BL632" i="75"/>
  <c r="BL664" i="75"/>
  <c r="BL644" i="75"/>
  <c r="BL672" i="75"/>
  <c r="BL634" i="75"/>
  <c r="BL636" i="75"/>
  <c r="BL662" i="75"/>
  <c r="BL654" i="75"/>
  <c r="BL669" i="75"/>
  <c r="BL648" i="75"/>
  <c r="BL661" i="75"/>
  <c r="BL635" i="75"/>
  <c r="BL655" i="75"/>
  <c r="BL638" i="75"/>
  <c r="BL652" i="75"/>
  <c r="BL629" i="75"/>
  <c r="BL670" i="75"/>
  <c r="BL641" i="75"/>
  <c r="BL663" i="75"/>
  <c r="BL646" i="75"/>
  <c r="BL656" i="75"/>
  <c r="BL673" i="75"/>
  <c r="BL633" i="75"/>
  <c r="BL658" i="75"/>
  <c r="BL674" i="75"/>
  <c r="BL645" i="75"/>
  <c r="BL643" i="75"/>
  <c r="BL628" i="75"/>
  <c r="BL651" i="75"/>
  <c r="BL640" i="75"/>
  <c r="BL657" i="75"/>
  <c r="BL650" i="75"/>
  <c r="BL639" i="75"/>
  <c r="BL666" i="75"/>
  <c r="BL671" i="75"/>
  <c r="BL665" i="75"/>
  <c r="BL653" i="75"/>
  <c r="BL637" i="75"/>
  <c r="BL630" i="75"/>
  <c r="BL631" i="75"/>
  <c r="BL659" i="75"/>
  <c r="BL647" i="75"/>
  <c r="BL668" i="75"/>
  <c r="BL667" i="75"/>
  <c r="BL642" i="75"/>
  <c r="BL649" i="75"/>
  <c r="BD1132" i="75"/>
  <c r="BD1108" i="75"/>
  <c r="BD1151" i="75"/>
  <c r="BD1146" i="75"/>
  <c r="BD1138" i="75"/>
  <c r="BD1136" i="75"/>
  <c r="BD1155" i="75"/>
  <c r="BD1153" i="75"/>
  <c r="BD1139" i="75"/>
  <c r="BD1143" i="75"/>
  <c r="BD1126" i="75"/>
  <c r="BD1137" i="75"/>
  <c r="BD1121" i="75"/>
  <c r="BD1119" i="75"/>
  <c r="BD1122" i="75"/>
  <c r="BD1129" i="75"/>
  <c r="BD1118" i="75"/>
  <c r="BD1115" i="75"/>
  <c r="BD1131" i="75"/>
  <c r="BD1142" i="75"/>
  <c r="BD1144" i="75"/>
  <c r="BD1110" i="75"/>
  <c r="BD1135" i="75"/>
  <c r="BD1149" i="75"/>
  <c r="BD1124" i="75"/>
  <c r="BD1134" i="75"/>
  <c r="BD1140" i="75"/>
  <c r="BD1150" i="75"/>
  <c r="BD1117" i="75"/>
  <c r="BD1154" i="75"/>
  <c r="BD1127" i="75"/>
  <c r="BD1102" i="75"/>
  <c r="BD1145" i="75"/>
  <c r="BD1113" i="75"/>
  <c r="BD1147" i="75"/>
  <c r="BD1156" i="75"/>
  <c r="BD1123" i="75"/>
  <c r="BD1114" i="75"/>
  <c r="BD1112" i="75"/>
  <c r="BD1116" i="75"/>
  <c r="BD1128" i="75"/>
  <c r="BD1103" i="75"/>
  <c r="BD1111" i="75"/>
  <c r="BD1130" i="75"/>
  <c r="BD1106" i="75"/>
  <c r="BD1152" i="75"/>
  <c r="BD1105" i="75"/>
  <c r="BD1120" i="75"/>
  <c r="BD1109" i="75"/>
  <c r="BD1133" i="75"/>
  <c r="BD1141" i="75"/>
  <c r="BD1148" i="75"/>
  <c r="BD1104" i="75"/>
  <c r="BD1125" i="75"/>
  <c r="BD1107" i="75"/>
  <c r="BL1032" i="75"/>
  <c r="BL1007" i="75"/>
  <c r="BL1029" i="75"/>
  <c r="BL1015" i="75"/>
  <c r="BL1036" i="75"/>
  <c r="BL1028" i="75"/>
  <c r="BL992" i="75"/>
  <c r="BL1022" i="75"/>
  <c r="BL996" i="75"/>
  <c r="BL1034" i="75"/>
  <c r="BL1000" i="75"/>
  <c r="BL1027" i="75"/>
  <c r="BL994" i="75"/>
  <c r="BL1004" i="75"/>
  <c r="BL1025" i="75"/>
  <c r="BL1016" i="75"/>
  <c r="BL995" i="75"/>
  <c r="BL1017" i="75"/>
  <c r="BL998" i="75"/>
  <c r="BL1001" i="75"/>
  <c r="BL1009" i="75"/>
  <c r="BL1002" i="75"/>
  <c r="BL1023" i="75"/>
  <c r="BL1006" i="75"/>
  <c r="BL999" i="75"/>
  <c r="BL990" i="75"/>
  <c r="BL1014" i="75"/>
  <c r="BL1024" i="75"/>
  <c r="BL1018" i="75"/>
  <c r="BL1010" i="75"/>
  <c r="BL993" i="75"/>
  <c r="BL1021" i="75"/>
  <c r="BL1013" i="75"/>
  <c r="BL1005" i="75"/>
  <c r="BL997" i="75"/>
  <c r="BL1003" i="75"/>
  <c r="BL1035" i="75"/>
  <c r="BL1011" i="75"/>
  <c r="BL1020" i="75"/>
  <c r="BL991" i="75"/>
  <c r="BL1033" i="75"/>
  <c r="BL1019" i="75"/>
  <c r="BL1031" i="75"/>
  <c r="BL1030" i="75"/>
  <c r="BL1026" i="75"/>
  <c r="BL1008" i="75"/>
  <c r="BL1012" i="75"/>
  <c r="BJ1117" i="75"/>
  <c r="BJ1129" i="75"/>
  <c r="BJ1133" i="75"/>
  <c r="BJ1127" i="75"/>
  <c r="BJ1142" i="75"/>
  <c r="BJ1110" i="75"/>
  <c r="BJ1138" i="75"/>
  <c r="BJ1154" i="75"/>
  <c r="BJ1147" i="75"/>
  <c r="BJ1115" i="75"/>
  <c r="BJ1145" i="75"/>
  <c r="BJ1125" i="75"/>
  <c r="BJ1132" i="75"/>
  <c r="BJ1149" i="75"/>
  <c r="BJ1134" i="75"/>
  <c r="BJ1108" i="75"/>
  <c r="BJ1144" i="75"/>
  <c r="BJ1120" i="75"/>
  <c r="BJ1123" i="75"/>
  <c r="BJ1135" i="75"/>
  <c r="BJ1140" i="75"/>
  <c r="BJ1150" i="75"/>
  <c r="BJ1137" i="75"/>
  <c r="BJ1151" i="75"/>
  <c r="BJ1139" i="75"/>
  <c r="BJ1148" i="75"/>
  <c r="BJ1122" i="75"/>
  <c r="BJ1113" i="75"/>
  <c r="BJ1146" i="75"/>
  <c r="BJ1152" i="75"/>
  <c r="BJ1119" i="75"/>
  <c r="BJ1153" i="75"/>
  <c r="BJ1131" i="75"/>
  <c r="BJ1114" i="75"/>
  <c r="BJ1141" i="75"/>
  <c r="BJ1112" i="75"/>
  <c r="BJ1128" i="75"/>
  <c r="BJ1143" i="75"/>
  <c r="BJ1156" i="75"/>
  <c r="BJ1118" i="75"/>
  <c r="BJ1116" i="75"/>
  <c r="BJ1109" i="75"/>
  <c r="BJ1130" i="75"/>
  <c r="BJ1155" i="75"/>
  <c r="BJ1124" i="75"/>
  <c r="BJ1126" i="75"/>
  <c r="BJ1136" i="75"/>
  <c r="BJ1111" i="75"/>
  <c r="BJ1121" i="75"/>
  <c r="H101" i="112"/>
  <c r="J101" i="112"/>
  <c r="CW430" i="75"/>
  <c r="CW423" i="75"/>
  <c r="CX423" i="75" s="1"/>
  <c r="CW427" i="75"/>
  <c r="CW428" i="75"/>
  <c r="CW431" i="75"/>
  <c r="CW426" i="75"/>
  <c r="CW425" i="75"/>
  <c r="CW424" i="75"/>
  <c r="CW432" i="75"/>
  <c r="CW429" i="75"/>
  <c r="J29" i="112"/>
  <c r="H29" i="112"/>
  <c r="BT974" i="75"/>
  <c r="BT938" i="75"/>
  <c r="BT949" i="75"/>
  <c r="BT941" i="75"/>
  <c r="BT963" i="75"/>
  <c r="BT955" i="75"/>
  <c r="BT947" i="75"/>
  <c r="BT943" i="75"/>
  <c r="BT948" i="75"/>
  <c r="BT951" i="75"/>
  <c r="BT939" i="75"/>
  <c r="BT940" i="75"/>
  <c r="BT952" i="75"/>
  <c r="BT944" i="75"/>
  <c r="BT956" i="75"/>
  <c r="BT973" i="75"/>
  <c r="BT957" i="75"/>
  <c r="BT945" i="75"/>
  <c r="BT942" i="75"/>
  <c r="BT958" i="75"/>
  <c r="BT961" i="75"/>
  <c r="BT976" i="75"/>
  <c r="BT964" i="75"/>
  <c r="BT970" i="75"/>
  <c r="BT962" i="75"/>
  <c r="BT969" i="75"/>
  <c r="BT967" i="75"/>
  <c r="BT968" i="75"/>
  <c r="BT972" i="75"/>
  <c r="BT954" i="75"/>
  <c r="BT975" i="75"/>
  <c r="BT953" i="75"/>
  <c r="BT960" i="75"/>
  <c r="BT959" i="75"/>
  <c r="BT950" i="75"/>
  <c r="BT965" i="75"/>
  <c r="BT971" i="75"/>
  <c r="BT946" i="75"/>
  <c r="BT966" i="75"/>
  <c r="BL244" i="75"/>
  <c r="BL215" i="75"/>
  <c r="BL245" i="75"/>
  <c r="BL230" i="75"/>
  <c r="BL232" i="75"/>
  <c r="BL251" i="75"/>
  <c r="BL246" i="75"/>
  <c r="BL213" i="75"/>
  <c r="BL211" i="75"/>
  <c r="BL231" i="75"/>
  <c r="BL238" i="75"/>
  <c r="BL243" i="75"/>
  <c r="BL248" i="75"/>
  <c r="BL241" i="75"/>
  <c r="BL247" i="75"/>
  <c r="BL250" i="75"/>
  <c r="BL222" i="75"/>
  <c r="BL220" i="75"/>
  <c r="BL218" i="75"/>
  <c r="BL209" i="75"/>
  <c r="BL242" i="75"/>
  <c r="BL227" i="75"/>
  <c r="BL236" i="75"/>
  <c r="BL249" i="75"/>
  <c r="BL223" i="75"/>
  <c r="BL233" i="75"/>
  <c r="BL216" i="75"/>
  <c r="BL221" i="75"/>
  <c r="BL252" i="75"/>
  <c r="BL210" i="75"/>
  <c r="BL239" i="75"/>
  <c r="BL224" i="75"/>
  <c r="BL240" i="75"/>
  <c r="BL207" i="75"/>
  <c r="BL228" i="75"/>
  <c r="BL234" i="75"/>
  <c r="BL212" i="75"/>
  <c r="BL217" i="75"/>
  <c r="BL225" i="75"/>
  <c r="BL235" i="75"/>
  <c r="BL237" i="75"/>
  <c r="BL206" i="75"/>
  <c r="BL226" i="75"/>
  <c r="BL219" i="75"/>
  <c r="BL229" i="75"/>
  <c r="BL214" i="75"/>
  <c r="BL208" i="75"/>
  <c r="J149" i="112"/>
  <c r="H149" i="112"/>
  <c r="EP287" i="100"/>
  <c r="EO338" i="100"/>
  <c r="BH287" i="75"/>
  <c r="BH303" i="75"/>
  <c r="BH307" i="75"/>
  <c r="BH296" i="75"/>
  <c r="BH284" i="75"/>
  <c r="BH278" i="75"/>
  <c r="BH270" i="75"/>
  <c r="BH268" i="75"/>
  <c r="BH290" i="75"/>
  <c r="BH276" i="75"/>
  <c r="BH262" i="75"/>
  <c r="BH264" i="75"/>
  <c r="BH281" i="75"/>
  <c r="BH292" i="75"/>
  <c r="BH306" i="75"/>
  <c r="BH280" i="75"/>
  <c r="BH272" i="75"/>
  <c r="BH274" i="75"/>
  <c r="BH283" i="75"/>
  <c r="BH291" i="75"/>
  <c r="BH308" i="75"/>
  <c r="BH301" i="75"/>
  <c r="BH263" i="75"/>
  <c r="BH311" i="75"/>
  <c r="BH297" i="75"/>
  <c r="BH266" i="75"/>
  <c r="BH293" i="75"/>
  <c r="BH298" i="75"/>
  <c r="BH289" i="75"/>
  <c r="BH279" i="75"/>
  <c r="BH285" i="75"/>
  <c r="BH282" i="75"/>
  <c r="BH304" i="75"/>
  <c r="BH273" i="75"/>
  <c r="BH271" i="75"/>
  <c r="BH299" i="75"/>
  <c r="BH288" i="75"/>
  <c r="BH300" i="75"/>
  <c r="BH295" i="75"/>
  <c r="BH312" i="75"/>
  <c r="BH277" i="75"/>
  <c r="BH309" i="75"/>
  <c r="BH302" i="75"/>
  <c r="BH269" i="75"/>
  <c r="BH267" i="75"/>
  <c r="BH286" i="75"/>
  <c r="BH294" i="75"/>
  <c r="BH265" i="75"/>
  <c r="BH310" i="75"/>
  <c r="BH275" i="75"/>
  <c r="BH305" i="75"/>
  <c r="CV428" i="75"/>
  <c r="CV430" i="75"/>
  <c r="CV429" i="75"/>
  <c r="CV423" i="75"/>
  <c r="CV427" i="75"/>
  <c r="CV431" i="75"/>
  <c r="CV432" i="75"/>
  <c r="CV424" i="75"/>
  <c r="CV426" i="75"/>
  <c r="CV422" i="75"/>
  <c r="CV425" i="75"/>
  <c r="CR247" i="75"/>
  <c r="CR248" i="75"/>
  <c r="CR249" i="75"/>
  <c r="CR245" i="75"/>
  <c r="CR246" i="75"/>
  <c r="CR250" i="75"/>
  <c r="CR242" i="75"/>
  <c r="CR243" i="75"/>
  <c r="CR244" i="75"/>
  <c r="CR240" i="75"/>
  <c r="CR241" i="75"/>
  <c r="CR238" i="75"/>
  <c r="CR251" i="75"/>
  <c r="CR252" i="75"/>
  <c r="CR239" i="75"/>
  <c r="CP546" i="75"/>
  <c r="CP550" i="75"/>
  <c r="CP542" i="75"/>
  <c r="CP552" i="75"/>
  <c r="CP537" i="75"/>
  <c r="CP541" i="75"/>
  <c r="CP540" i="75"/>
  <c r="CP551" i="75"/>
  <c r="CP545" i="75"/>
  <c r="CP549" i="75"/>
  <c r="CP543" i="75"/>
  <c r="CP548" i="75"/>
  <c r="CP539" i="75"/>
  <c r="CP547" i="75"/>
  <c r="CP538" i="75"/>
  <c r="CP544" i="75"/>
  <c r="CP536" i="75"/>
  <c r="J99" i="115"/>
  <c r="H99" i="115"/>
  <c r="BP880" i="75"/>
  <c r="BP894" i="75"/>
  <c r="BP882" i="75"/>
  <c r="BP884" i="75"/>
  <c r="BP881" i="75"/>
  <c r="BP898" i="75"/>
  <c r="BP890" i="75"/>
  <c r="BP874" i="75"/>
  <c r="BP891" i="75"/>
  <c r="BP907" i="75"/>
  <c r="BP913" i="75"/>
  <c r="BP876" i="75"/>
  <c r="BP903" i="75"/>
  <c r="BP896" i="75"/>
  <c r="BP914" i="75"/>
  <c r="BP875" i="75"/>
  <c r="BP893" i="75"/>
  <c r="BP895" i="75"/>
  <c r="BP878" i="75"/>
  <c r="BP904" i="75"/>
  <c r="BP897" i="75"/>
  <c r="BP900" i="75"/>
  <c r="BP873" i="75"/>
  <c r="BP909" i="75"/>
  <c r="BP879" i="75"/>
  <c r="BP887" i="75"/>
  <c r="BP908" i="75"/>
  <c r="BP905" i="75"/>
  <c r="BP901" i="75"/>
  <c r="BP912" i="75"/>
  <c r="BP902" i="75"/>
  <c r="BP883" i="75"/>
  <c r="BP889" i="75"/>
  <c r="BP899" i="75"/>
  <c r="BP885" i="75"/>
  <c r="BP877" i="75"/>
  <c r="BP888" i="75"/>
  <c r="BP910" i="75"/>
  <c r="BP911" i="75"/>
  <c r="BP892" i="75"/>
  <c r="BP872" i="75"/>
  <c r="BP906" i="75"/>
  <c r="BP886" i="75"/>
  <c r="DV12" i="125"/>
  <c r="DV120" i="125"/>
  <c r="DX138" i="125"/>
  <c r="DX25" i="125"/>
  <c r="DY25" i="125"/>
  <c r="DY125" i="125"/>
  <c r="DV4" i="125"/>
  <c r="DX125" i="125"/>
  <c r="DY12" i="125"/>
  <c r="J10" i="105"/>
  <c r="ER49" i="90"/>
  <c r="EE49" i="90"/>
  <c r="DT44" i="90"/>
  <c r="DY25" i="90"/>
  <c r="H10" i="105"/>
  <c r="DT120" i="90"/>
  <c r="DY62" i="90"/>
  <c r="DV12" i="90"/>
  <c r="DY99" i="90"/>
  <c r="DY138" i="90"/>
  <c r="DT4" i="90"/>
  <c r="H18" i="105"/>
  <c r="H26" i="105"/>
  <c r="L26" i="105" s="1"/>
  <c r="AF12" i="104"/>
  <c r="AT18" i="113" l="1"/>
  <c r="AT19" i="113"/>
  <c r="E135" i="113"/>
  <c r="J135" i="113" s="1"/>
  <c r="J10" i="102"/>
  <c r="AE11" i="101"/>
  <c r="AD11" i="101"/>
  <c r="E8" i="100" a="1"/>
  <c r="E8" i="100" s="1"/>
  <c r="A8" i="100" s="1"/>
  <c r="A10" i="102" s="1"/>
  <c r="S11" i="101"/>
  <c r="Y53" i="113"/>
  <c r="AT12" i="113"/>
  <c r="AR45" i="113"/>
  <c r="AR137" i="113"/>
  <c r="E56" i="113"/>
  <c r="J56" i="113" s="1"/>
  <c r="X144" i="113"/>
  <c r="AA144" i="113" s="1"/>
  <c r="E139" i="113"/>
  <c r="J139" i="113" s="1"/>
  <c r="AM10" i="100"/>
  <c r="AN10" i="100"/>
  <c r="AO10" i="100"/>
  <c r="AQ10" i="100"/>
  <c r="AP10" i="100"/>
  <c r="AA146" i="113"/>
  <c r="H45" i="113"/>
  <c r="X145" i="113"/>
  <c r="AA145" i="113" s="1"/>
  <c r="F54" i="113"/>
  <c r="H25" i="113"/>
  <c r="E137" i="113"/>
  <c r="J137" i="113" s="1"/>
  <c r="AR135" i="113"/>
  <c r="Y146" i="113"/>
  <c r="AT26" i="113"/>
  <c r="N26" i="105"/>
  <c r="L23" i="105"/>
  <c r="DZ25" i="125"/>
  <c r="AT16" i="113"/>
  <c r="F136" i="113"/>
  <c r="AR56" i="113"/>
  <c r="X69" i="113"/>
  <c r="AA69" i="113" s="1"/>
  <c r="DX4" i="125"/>
  <c r="DX120" i="125"/>
  <c r="P25" i="125"/>
  <c r="DZ138" i="125"/>
  <c r="K138" i="125" s="1"/>
  <c r="P138" i="125"/>
  <c r="Y148" i="113"/>
  <c r="AQ131" i="113"/>
  <c r="AT131" i="113" s="1"/>
  <c r="U3" i="124"/>
  <c r="AA6" i="126" s="1"/>
  <c r="AC16" i="124"/>
  <c r="T19" i="126" s="1"/>
  <c r="Q2" i="126"/>
  <c r="C27" i="126" s="1"/>
  <c r="DZ125" i="125"/>
  <c r="F59" i="113"/>
  <c r="T16" i="101"/>
  <c r="F133" i="113"/>
  <c r="H48" i="113"/>
  <c r="Y141" i="113"/>
  <c r="AA35" i="113"/>
  <c r="F131" i="113"/>
  <c r="AA27" i="113"/>
  <c r="F141" i="113"/>
  <c r="H27" i="113"/>
  <c r="F57" i="113"/>
  <c r="AT17" i="113"/>
  <c r="AT28" i="113"/>
  <c r="F55" i="113"/>
  <c r="T10" i="102"/>
  <c r="W8" i="100"/>
  <c r="V8" i="100"/>
  <c r="A9" i="100"/>
  <c r="A11" i="102" s="1"/>
  <c r="AS59" i="100"/>
  <c r="AS63" i="100"/>
  <c r="AS46" i="100"/>
  <c r="AS44" i="100"/>
  <c r="AS62" i="100"/>
  <c r="AS57" i="100"/>
  <c r="AS45" i="100"/>
  <c r="AS48" i="100"/>
  <c r="AS49" i="100"/>
  <c r="AS47" i="100"/>
  <c r="AS56" i="100"/>
  <c r="AS54" i="100"/>
  <c r="AS50" i="100"/>
  <c r="AS61" i="100"/>
  <c r="AS58" i="100"/>
  <c r="AS55" i="100"/>
  <c r="AS53" i="100"/>
  <c r="AS51" i="100"/>
  <c r="AS60" i="100"/>
  <c r="AS52" i="100"/>
  <c r="AQ55" i="113"/>
  <c r="AT55" i="113" s="1"/>
  <c r="EU49" i="90"/>
  <c r="EZ49" i="90" s="1"/>
  <c r="EJ49" i="90"/>
  <c r="EO49" i="90" s="1"/>
  <c r="H21" i="113"/>
  <c r="D44" i="125"/>
  <c r="B124" i="90"/>
  <c r="B11" i="125"/>
  <c r="B124" i="125"/>
  <c r="D81" i="125"/>
  <c r="H81" i="125" s="1"/>
  <c r="AT24" i="113"/>
  <c r="T19" i="101"/>
  <c r="H131" i="113"/>
  <c r="H56" i="113"/>
  <c r="AA157" i="113"/>
  <c r="H55" i="113"/>
  <c r="AT25" i="113"/>
  <c r="AA56" i="113"/>
  <c r="X147" i="113"/>
  <c r="AA147" i="113" s="1"/>
  <c r="L7" i="105"/>
  <c r="AQ52" i="113"/>
  <c r="AT52" i="113" s="1"/>
  <c r="AR52" i="113"/>
  <c r="AA28" i="113"/>
  <c r="AT45" i="113"/>
  <c r="AA52" i="113"/>
  <c r="H54" i="113"/>
  <c r="AT44" i="113"/>
  <c r="AR132" i="113"/>
  <c r="H57" i="113"/>
  <c r="L15" i="105"/>
  <c r="H42" i="113"/>
  <c r="AT51" i="113"/>
  <c r="H41" i="113"/>
  <c r="H26" i="113"/>
  <c r="AA39" i="113"/>
  <c r="DU12" i="90"/>
  <c r="X68" i="113"/>
  <c r="AA68" i="113" s="1"/>
  <c r="Y68" i="113"/>
  <c r="AQ103" i="113"/>
  <c r="AT103" i="113" s="1"/>
  <c r="AR103" i="113"/>
  <c r="X67" i="113"/>
  <c r="AA67" i="113" s="1"/>
  <c r="Y67" i="113"/>
  <c r="E108" i="113"/>
  <c r="J108" i="113" s="1"/>
  <c r="F108" i="113"/>
  <c r="X64" i="113"/>
  <c r="AA64" i="113" s="1"/>
  <c r="Y64" i="113"/>
  <c r="AQ107" i="113"/>
  <c r="AT107" i="113" s="1"/>
  <c r="AR107" i="113"/>
  <c r="AQ109" i="113"/>
  <c r="AT109" i="113" s="1"/>
  <c r="AR109" i="113"/>
  <c r="X113" i="113"/>
  <c r="AA113" i="113" s="1"/>
  <c r="Y113" i="113"/>
  <c r="Y116" i="113"/>
  <c r="X116" i="113"/>
  <c r="AA116" i="113" s="1"/>
  <c r="H46" i="113"/>
  <c r="AQ101" i="113"/>
  <c r="AT101" i="113" s="1"/>
  <c r="AR101" i="113"/>
  <c r="F51" i="113"/>
  <c r="E51" i="113"/>
  <c r="F105" i="113"/>
  <c r="E105" i="113"/>
  <c r="J105" i="113" s="1"/>
  <c r="AR136" i="113"/>
  <c r="AQ136" i="113"/>
  <c r="AT136" i="113" s="1"/>
  <c r="X66" i="113"/>
  <c r="AA66" i="113" s="1"/>
  <c r="Y66" i="113"/>
  <c r="E102" i="113"/>
  <c r="J102" i="113" s="1"/>
  <c r="F102" i="113"/>
  <c r="AQ134" i="113"/>
  <c r="AT134" i="113" s="1"/>
  <c r="AR134" i="113"/>
  <c r="Y63" i="113"/>
  <c r="X63" i="113"/>
  <c r="AA63" i="113" s="1"/>
  <c r="F101" i="113"/>
  <c r="E101" i="113"/>
  <c r="J101" i="113" s="1"/>
  <c r="Y118" i="113"/>
  <c r="X118" i="113"/>
  <c r="AA118" i="113" s="1"/>
  <c r="AR139" i="113"/>
  <c r="AQ139" i="113"/>
  <c r="AT139" i="113" s="1"/>
  <c r="F53" i="113"/>
  <c r="E53" i="113"/>
  <c r="F104" i="113"/>
  <c r="E104" i="113"/>
  <c r="J104" i="113" s="1"/>
  <c r="Y114" i="113"/>
  <c r="X114" i="113"/>
  <c r="AA114" i="113" s="1"/>
  <c r="E138" i="113"/>
  <c r="F138" i="113"/>
  <c r="Y65" i="113"/>
  <c r="X65" i="113"/>
  <c r="AA65" i="113" s="1"/>
  <c r="E103" i="113"/>
  <c r="J103" i="113" s="1"/>
  <c r="F103" i="113"/>
  <c r="AR105" i="113"/>
  <c r="AQ105" i="113"/>
  <c r="AT105" i="113" s="1"/>
  <c r="H132" i="113"/>
  <c r="AQ138" i="113"/>
  <c r="AT138" i="113" s="1"/>
  <c r="AR138" i="113"/>
  <c r="Y61" i="113"/>
  <c r="X61" i="113"/>
  <c r="AA61" i="113" s="1"/>
  <c r="AR104" i="113"/>
  <c r="AQ104" i="113"/>
  <c r="AT104" i="113" s="1"/>
  <c r="Y119" i="113"/>
  <c r="X119" i="113"/>
  <c r="AA119" i="113" s="1"/>
  <c r="AQ133" i="113"/>
  <c r="AT133" i="113" s="1"/>
  <c r="AR133" i="113"/>
  <c r="Y62" i="113"/>
  <c r="X62" i="113"/>
  <c r="AA62" i="113" s="1"/>
  <c r="AR106" i="113"/>
  <c r="AQ106" i="113"/>
  <c r="AT106" i="113" s="1"/>
  <c r="Y115" i="113"/>
  <c r="X115" i="113"/>
  <c r="AA115" i="113" s="1"/>
  <c r="Y142" i="113"/>
  <c r="X142" i="113"/>
  <c r="AA142" i="113" s="1"/>
  <c r="AR59" i="113"/>
  <c r="AQ59" i="113"/>
  <c r="AT59" i="113" s="1"/>
  <c r="F107" i="113"/>
  <c r="E107" i="113"/>
  <c r="J107" i="113" s="1"/>
  <c r="E106" i="113"/>
  <c r="J106" i="113" s="1"/>
  <c r="F106" i="113"/>
  <c r="AQ53" i="113"/>
  <c r="AT53" i="113" s="1"/>
  <c r="AR53" i="113"/>
  <c r="Y112" i="113"/>
  <c r="X112" i="113"/>
  <c r="AA112" i="113" s="1"/>
  <c r="F109" i="113"/>
  <c r="E109" i="113"/>
  <c r="Y157" i="113"/>
  <c r="AR54" i="113"/>
  <c r="AQ54" i="113"/>
  <c r="AT54" i="113" s="1"/>
  <c r="X117" i="113"/>
  <c r="AA117" i="113" s="1"/>
  <c r="Y117" i="113"/>
  <c r="F58" i="113"/>
  <c r="E58" i="113"/>
  <c r="J58" i="113" s="1"/>
  <c r="X111" i="113"/>
  <c r="AA111" i="113" s="1"/>
  <c r="Y111" i="113"/>
  <c r="AA23" i="113"/>
  <c r="AR57" i="113"/>
  <c r="AQ57" i="113"/>
  <c r="AT57" i="113" s="1"/>
  <c r="AQ108" i="113"/>
  <c r="AT108" i="113" s="1"/>
  <c r="AR108" i="113"/>
  <c r="AT56" i="113"/>
  <c r="F52" i="113"/>
  <c r="E52" i="113"/>
  <c r="J52" i="113" s="1"/>
  <c r="AQ102" i="113"/>
  <c r="AT102" i="113" s="1"/>
  <c r="AR102" i="113"/>
  <c r="Y48" i="113"/>
  <c r="X48" i="113"/>
  <c r="AA48" i="113" s="1"/>
  <c r="X41" i="113"/>
  <c r="AA41" i="113" s="1"/>
  <c r="Y41" i="113"/>
  <c r="AR31" i="113"/>
  <c r="AQ31" i="113"/>
  <c r="AT31" i="113" s="1"/>
  <c r="Y44" i="113"/>
  <c r="X44" i="113"/>
  <c r="AA44" i="113" s="1"/>
  <c r="X43" i="113"/>
  <c r="AA43" i="113" s="1"/>
  <c r="Y43" i="113"/>
  <c r="F37" i="113"/>
  <c r="E37" i="113"/>
  <c r="J37" i="113" s="1"/>
  <c r="AR39" i="113"/>
  <c r="AQ39" i="113"/>
  <c r="AT39" i="113" s="1"/>
  <c r="AT58" i="113"/>
  <c r="AQ32" i="113"/>
  <c r="AT32" i="113" s="1"/>
  <c r="AR32" i="113"/>
  <c r="H136" i="113"/>
  <c r="X45" i="113"/>
  <c r="AA45" i="113" s="1"/>
  <c r="Y45" i="113"/>
  <c r="AA29" i="113"/>
  <c r="Y49" i="113"/>
  <c r="X49" i="113"/>
  <c r="AA49" i="113" s="1"/>
  <c r="Y47" i="113"/>
  <c r="X47" i="113"/>
  <c r="AA47" i="113" s="1"/>
  <c r="AA32" i="113"/>
  <c r="AQ33" i="113"/>
  <c r="AT33" i="113" s="1"/>
  <c r="AR33" i="113"/>
  <c r="E36" i="113"/>
  <c r="J36" i="113" s="1"/>
  <c r="F36" i="113"/>
  <c r="Y46" i="113"/>
  <c r="X46" i="113"/>
  <c r="AA46" i="113" s="1"/>
  <c r="E35" i="113"/>
  <c r="J35" i="113" s="1"/>
  <c r="F35" i="113"/>
  <c r="E34" i="113"/>
  <c r="J34" i="113" s="1"/>
  <c r="F34" i="113"/>
  <c r="AT15" i="113"/>
  <c r="AQ38" i="113"/>
  <c r="AT38" i="113" s="1"/>
  <c r="AR38" i="113"/>
  <c r="E32" i="113"/>
  <c r="J32" i="113" s="1"/>
  <c r="F32" i="113"/>
  <c r="X42" i="113"/>
  <c r="AA42" i="113" s="1"/>
  <c r="Y42" i="113"/>
  <c r="AQ34" i="113"/>
  <c r="AT34" i="113" s="1"/>
  <c r="AR34" i="113"/>
  <c r="H134" i="113"/>
  <c r="E39" i="113"/>
  <c r="J39" i="113" s="1"/>
  <c r="F39" i="113"/>
  <c r="AQ36" i="113"/>
  <c r="AT36" i="113" s="1"/>
  <c r="AR36" i="113"/>
  <c r="H59" i="113"/>
  <c r="AR35" i="113"/>
  <c r="AQ35" i="113"/>
  <c r="AT35" i="113" s="1"/>
  <c r="F31" i="113"/>
  <c r="E31" i="113"/>
  <c r="J31" i="113" s="1"/>
  <c r="H133" i="113"/>
  <c r="H49" i="113"/>
  <c r="AT21" i="113"/>
  <c r="E33" i="113"/>
  <c r="J33" i="113" s="1"/>
  <c r="F33" i="113"/>
  <c r="AQ37" i="113"/>
  <c r="AT37" i="113" s="1"/>
  <c r="AR37" i="113"/>
  <c r="AA58" i="113"/>
  <c r="AA21" i="113"/>
  <c r="F38" i="113"/>
  <c r="E38" i="113"/>
  <c r="J38" i="113" s="1"/>
  <c r="H135" i="113"/>
  <c r="Y175" i="113"/>
  <c r="X175" i="113"/>
  <c r="AA175" i="113" s="1"/>
  <c r="AQ168" i="113"/>
  <c r="AT168" i="113" s="1"/>
  <c r="AR168" i="113"/>
  <c r="E163" i="113"/>
  <c r="J163" i="113" s="1"/>
  <c r="F163" i="113"/>
  <c r="AR166" i="113"/>
  <c r="AQ166" i="113"/>
  <c r="AT166" i="113" s="1"/>
  <c r="AR162" i="113"/>
  <c r="AQ162" i="113"/>
  <c r="AT162" i="113" s="1"/>
  <c r="Y173" i="113"/>
  <c r="X173" i="113"/>
  <c r="AA173" i="113" s="1"/>
  <c r="F164" i="113"/>
  <c r="E164" i="113"/>
  <c r="J164" i="113" s="1"/>
  <c r="AQ165" i="113"/>
  <c r="AT165" i="113" s="1"/>
  <c r="AR165" i="113"/>
  <c r="Y171" i="113"/>
  <c r="X171" i="113"/>
  <c r="AA171" i="113" s="1"/>
  <c r="AR161" i="113"/>
  <c r="AQ161" i="113"/>
  <c r="AT161" i="113" s="1"/>
  <c r="X177" i="113"/>
  <c r="AA177" i="113" s="1"/>
  <c r="Y177" i="113"/>
  <c r="F167" i="113"/>
  <c r="E167" i="113"/>
  <c r="F162" i="113"/>
  <c r="E162" i="113"/>
  <c r="J162" i="113" s="1"/>
  <c r="F168" i="113"/>
  <c r="E168" i="113"/>
  <c r="X179" i="113"/>
  <c r="AA179" i="113" s="1"/>
  <c r="Y179" i="113"/>
  <c r="F165" i="113"/>
  <c r="E165" i="113"/>
  <c r="J165" i="113" s="1"/>
  <c r="Y172" i="113"/>
  <c r="X172" i="113"/>
  <c r="AA172" i="113" s="1"/>
  <c r="AT46" i="113"/>
  <c r="AT13" i="113"/>
  <c r="E166" i="113"/>
  <c r="J166" i="113" s="1"/>
  <c r="F166" i="113"/>
  <c r="AR164" i="113"/>
  <c r="AQ164" i="113"/>
  <c r="AT164" i="113" s="1"/>
  <c r="AQ167" i="113"/>
  <c r="AT167" i="113" s="1"/>
  <c r="AR167" i="113"/>
  <c r="AR163" i="113"/>
  <c r="AQ163" i="113"/>
  <c r="AT163" i="113" s="1"/>
  <c r="E169" i="113"/>
  <c r="F169" i="113"/>
  <c r="AR169" i="113"/>
  <c r="AQ169" i="113"/>
  <c r="AT169" i="113" s="1"/>
  <c r="Y178" i="113"/>
  <c r="X178" i="113"/>
  <c r="AA178" i="113" s="1"/>
  <c r="X176" i="113"/>
  <c r="AA176" i="113" s="1"/>
  <c r="Y176" i="113"/>
  <c r="F161" i="113"/>
  <c r="E161" i="113"/>
  <c r="X174" i="113"/>
  <c r="AA174" i="113" s="1"/>
  <c r="Y174" i="113"/>
  <c r="AI12" i="104"/>
  <c r="AR83" i="113"/>
  <c r="AQ83" i="113"/>
  <c r="AT83" i="113" s="1"/>
  <c r="F93" i="113"/>
  <c r="E93" i="113"/>
  <c r="X158" i="113"/>
  <c r="AA158" i="113" s="1"/>
  <c r="Y158" i="113"/>
  <c r="F82" i="113"/>
  <c r="E82" i="113"/>
  <c r="J82" i="113" s="1"/>
  <c r="H43" i="113"/>
  <c r="X87" i="113"/>
  <c r="AA87" i="113" s="1"/>
  <c r="Y87" i="113"/>
  <c r="AR71" i="113"/>
  <c r="AQ71" i="113"/>
  <c r="AT71" i="113" s="1"/>
  <c r="E149" i="113"/>
  <c r="F149" i="113"/>
  <c r="E179" i="113"/>
  <c r="F179" i="113"/>
  <c r="Y208" i="113"/>
  <c r="X208" i="113"/>
  <c r="AA208" i="113" s="1"/>
  <c r="AR197" i="113"/>
  <c r="AQ197" i="113"/>
  <c r="AT197" i="113" s="1"/>
  <c r="F201" i="113"/>
  <c r="E201" i="113"/>
  <c r="AR184" i="113"/>
  <c r="AQ184" i="113"/>
  <c r="AT184" i="113" s="1"/>
  <c r="AR182" i="113"/>
  <c r="AQ182" i="113"/>
  <c r="AT182" i="113" s="1"/>
  <c r="AR159" i="113"/>
  <c r="AQ159" i="113"/>
  <c r="AT159" i="113" s="1"/>
  <c r="E159" i="113"/>
  <c r="J159" i="113" s="1"/>
  <c r="F159" i="113"/>
  <c r="F122" i="113"/>
  <c r="E122" i="113"/>
  <c r="AR123" i="113"/>
  <c r="AQ123" i="113"/>
  <c r="AT123" i="113" s="1"/>
  <c r="X126" i="113"/>
  <c r="AA126" i="113" s="1"/>
  <c r="Y126" i="113"/>
  <c r="AT41" i="113"/>
  <c r="X74" i="113"/>
  <c r="AA74" i="113" s="1"/>
  <c r="Y74" i="113"/>
  <c r="Y151" i="113"/>
  <c r="X151" i="113"/>
  <c r="AA151" i="113" s="1"/>
  <c r="AQ178" i="113"/>
  <c r="AT178" i="113" s="1"/>
  <c r="AR178" i="113"/>
  <c r="Y203" i="113"/>
  <c r="X203" i="113"/>
  <c r="AA203" i="113" s="1"/>
  <c r="F205" i="113"/>
  <c r="E205" i="113"/>
  <c r="Y192" i="113"/>
  <c r="X192" i="113"/>
  <c r="AA192" i="113" s="1"/>
  <c r="E155" i="113"/>
  <c r="J155" i="113" s="1"/>
  <c r="F155" i="113"/>
  <c r="Y132" i="113"/>
  <c r="X132" i="113"/>
  <c r="AA132" i="113" s="1"/>
  <c r="X138" i="113"/>
  <c r="AA138" i="113" s="1"/>
  <c r="Y138" i="113"/>
  <c r="E111" i="113"/>
  <c r="J111" i="113" s="1"/>
  <c r="F111" i="113"/>
  <c r="F69" i="113"/>
  <c r="E69" i="113"/>
  <c r="F145" i="113"/>
  <c r="E145" i="113"/>
  <c r="Y106" i="113"/>
  <c r="X106" i="113"/>
  <c r="AA106" i="113" s="1"/>
  <c r="X99" i="113"/>
  <c r="AA99" i="113" s="1"/>
  <c r="Y99" i="113"/>
  <c r="AR186" i="113"/>
  <c r="AQ186" i="113"/>
  <c r="AT186" i="113" s="1"/>
  <c r="Y108" i="113"/>
  <c r="X108" i="113"/>
  <c r="AA108" i="113" s="1"/>
  <c r="Y91" i="113"/>
  <c r="X91" i="113"/>
  <c r="AA91" i="113" s="1"/>
  <c r="E71" i="113"/>
  <c r="F71" i="113"/>
  <c r="AQ75" i="113"/>
  <c r="AT75" i="113" s="1"/>
  <c r="AR75" i="113"/>
  <c r="X185" i="113"/>
  <c r="AA185" i="113" s="1"/>
  <c r="Y185" i="113"/>
  <c r="X202" i="113"/>
  <c r="AA202" i="113" s="1"/>
  <c r="Y202" i="113"/>
  <c r="X201" i="113"/>
  <c r="AA201" i="113" s="1"/>
  <c r="Y201" i="113"/>
  <c r="AR205" i="113"/>
  <c r="AQ205" i="113"/>
  <c r="AT205" i="113" s="1"/>
  <c r="AR181" i="113"/>
  <c r="AQ181" i="113"/>
  <c r="AT181" i="113" s="1"/>
  <c r="X191" i="113"/>
  <c r="AA191" i="113" s="1"/>
  <c r="Y191" i="113"/>
  <c r="AR153" i="113"/>
  <c r="AQ153" i="113"/>
  <c r="AT153" i="113" s="1"/>
  <c r="F125" i="113"/>
  <c r="E125" i="113"/>
  <c r="AR124" i="113"/>
  <c r="AQ124" i="113"/>
  <c r="AT124" i="113" s="1"/>
  <c r="Y121" i="113"/>
  <c r="X121" i="113"/>
  <c r="AA121" i="113" s="1"/>
  <c r="X78" i="113"/>
  <c r="AA78" i="113" s="1"/>
  <c r="Y78" i="113"/>
  <c r="F73" i="113"/>
  <c r="E73" i="113"/>
  <c r="E74" i="113"/>
  <c r="J74" i="113" s="1"/>
  <c r="F74" i="113"/>
  <c r="AQ198" i="113"/>
  <c r="AT198" i="113" s="1"/>
  <c r="AR198" i="113"/>
  <c r="Y162" i="113"/>
  <c r="X162" i="113"/>
  <c r="AA162" i="113" s="1"/>
  <c r="X104" i="113"/>
  <c r="AA104" i="113" s="1"/>
  <c r="Y104" i="113"/>
  <c r="Y92" i="113"/>
  <c r="X92" i="113"/>
  <c r="AA92" i="113" s="1"/>
  <c r="F79" i="113"/>
  <c r="E79" i="113"/>
  <c r="F76" i="113"/>
  <c r="E76" i="113"/>
  <c r="J76" i="113" s="1"/>
  <c r="AR146" i="113"/>
  <c r="AQ146" i="113"/>
  <c r="AT146" i="113" s="1"/>
  <c r="E178" i="113"/>
  <c r="F178" i="113"/>
  <c r="AR191" i="113"/>
  <c r="AQ191" i="113"/>
  <c r="AT191" i="113" s="1"/>
  <c r="X155" i="113"/>
  <c r="AA155" i="113" s="1"/>
  <c r="Y155" i="113"/>
  <c r="F207" i="113"/>
  <c r="E207" i="113"/>
  <c r="Y198" i="113"/>
  <c r="X198" i="113"/>
  <c r="AA198" i="113" s="1"/>
  <c r="X199" i="113"/>
  <c r="AA199" i="113" s="1"/>
  <c r="Y199" i="113"/>
  <c r="F157" i="113"/>
  <c r="E157" i="113"/>
  <c r="E121" i="113"/>
  <c r="F121" i="113"/>
  <c r="AR121" i="113"/>
  <c r="AQ121" i="113"/>
  <c r="AT121" i="113" s="1"/>
  <c r="F119" i="113"/>
  <c r="E119" i="113"/>
  <c r="J119" i="113" s="1"/>
  <c r="Y79" i="113"/>
  <c r="X79" i="113"/>
  <c r="AA79" i="113" s="1"/>
  <c r="AQ96" i="113"/>
  <c r="AT96" i="113" s="1"/>
  <c r="AR96" i="113"/>
  <c r="AQ88" i="113"/>
  <c r="AT88" i="113" s="1"/>
  <c r="AR88" i="113"/>
  <c r="AR77" i="113"/>
  <c r="AQ77" i="113"/>
  <c r="AT77" i="113" s="1"/>
  <c r="X84" i="113"/>
  <c r="AA84" i="113" s="1"/>
  <c r="Y84" i="113"/>
  <c r="E77" i="113"/>
  <c r="J77" i="113" s="1"/>
  <c r="F77" i="113"/>
  <c r="AR172" i="113"/>
  <c r="AQ172" i="113"/>
  <c r="AT172" i="113" s="1"/>
  <c r="AR193" i="113"/>
  <c r="AQ193" i="113"/>
  <c r="AT193" i="113" s="1"/>
  <c r="E204" i="113"/>
  <c r="F204" i="113"/>
  <c r="F181" i="113"/>
  <c r="E181" i="113"/>
  <c r="J181" i="113" s="1"/>
  <c r="AR152" i="113"/>
  <c r="AQ152" i="113"/>
  <c r="AT152" i="113" s="1"/>
  <c r="X131" i="113"/>
  <c r="AA131" i="113" s="1"/>
  <c r="Y131" i="113"/>
  <c r="AA55" i="113"/>
  <c r="X128" i="113"/>
  <c r="AA128" i="113" s="1"/>
  <c r="Y128" i="113"/>
  <c r="X75" i="113"/>
  <c r="AA75" i="113" s="1"/>
  <c r="Y75" i="113"/>
  <c r="Y103" i="113"/>
  <c r="X103" i="113"/>
  <c r="AA103" i="113" s="1"/>
  <c r="F81" i="113"/>
  <c r="E81" i="113"/>
  <c r="J81" i="113" s="1"/>
  <c r="Y96" i="113"/>
  <c r="X96" i="113"/>
  <c r="AA96" i="113" s="1"/>
  <c r="Y82" i="113"/>
  <c r="X82" i="113"/>
  <c r="AA82" i="113" s="1"/>
  <c r="AQ78" i="113"/>
  <c r="AT78" i="113" s="1"/>
  <c r="AR78" i="113"/>
  <c r="AR175" i="113"/>
  <c r="AQ175" i="113"/>
  <c r="AT175" i="113" s="1"/>
  <c r="AR199" i="113"/>
  <c r="AQ199" i="113"/>
  <c r="AT199" i="113" s="1"/>
  <c r="AQ202" i="113"/>
  <c r="AT202" i="113" s="1"/>
  <c r="AR202" i="113"/>
  <c r="E185" i="113"/>
  <c r="J185" i="113" s="1"/>
  <c r="F185" i="113"/>
  <c r="F151" i="113"/>
  <c r="E151" i="113"/>
  <c r="J151" i="113" s="1"/>
  <c r="AR126" i="113"/>
  <c r="AQ126" i="113"/>
  <c r="AT126" i="113" s="1"/>
  <c r="Y125" i="113"/>
  <c r="X125" i="113"/>
  <c r="AA125" i="113" s="1"/>
  <c r="X73" i="113"/>
  <c r="AA73" i="113" s="1"/>
  <c r="Y73" i="113"/>
  <c r="X105" i="113"/>
  <c r="AA105" i="113" s="1"/>
  <c r="Y105" i="113"/>
  <c r="F89" i="113"/>
  <c r="E89" i="113"/>
  <c r="J89" i="113" s="1"/>
  <c r="Y159" i="113"/>
  <c r="X159" i="113"/>
  <c r="AA159" i="113" s="1"/>
  <c r="Y88" i="113"/>
  <c r="X88" i="113"/>
  <c r="AA88" i="113" s="1"/>
  <c r="AQ141" i="113"/>
  <c r="AT141" i="113" s="1"/>
  <c r="AR141" i="113"/>
  <c r="X184" i="113"/>
  <c r="AA184" i="113" s="1"/>
  <c r="Y184" i="113"/>
  <c r="Y186" i="113"/>
  <c r="X186" i="113"/>
  <c r="AA186" i="113" s="1"/>
  <c r="F192" i="113"/>
  <c r="E192" i="113"/>
  <c r="J192" i="113" s="1"/>
  <c r="E209" i="113"/>
  <c r="F209" i="113"/>
  <c r="AQ188" i="113"/>
  <c r="AT188" i="113" s="1"/>
  <c r="AR188" i="113"/>
  <c r="AQ157" i="113"/>
  <c r="AT157" i="113" s="1"/>
  <c r="AR157" i="113"/>
  <c r="E123" i="113"/>
  <c r="F123" i="113"/>
  <c r="Y122" i="113"/>
  <c r="X122" i="113"/>
  <c r="AA122" i="113" s="1"/>
  <c r="AT43" i="113"/>
  <c r="Y72" i="113"/>
  <c r="X72" i="113"/>
  <c r="AA72" i="113" s="1"/>
  <c r="E147" i="113"/>
  <c r="F147" i="113"/>
  <c r="AQ91" i="113"/>
  <c r="AT91" i="113" s="1"/>
  <c r="AR91" i="113"/>
  <c r="H44" i="113"/>
  <c r="J44" i="113"/>
  <c r="X94" i="113"/>
  <c r="AA94" i="113" s="1"/>
  <c r="Y94" i="113"/>
  <c r="AR148" i="113"/>
  <c r="AQ148" i="113"/>
  <c r="AT148" i="113" s="1"/>
  <c r="AQ73" i="113"/>
  <c r="AT73" i="113" s="1"/>
  <c r="AR73" i="113"/>
  <c r="F176" i="113"/>
  <c r="E176" i="113"/>
  <c r="X182" i="113"/>
  <c r="AA182" i="113" s="1"/>
  <c r="Y182" i="113"/>
  <c r="IK14" i="100"/>
  <c r="AK13" i="100"/>
  <c r="E194" i="113"/>
  <c r="J194" i="113" s="1"/>
  <c r="F194" i="113"/>
  <c r="AQ201" i="113"/>
  <c r="AT201" i="113" s="1"/>
  <c r="AR201" i="113"/>
  <c r="Y194" i="113"/>
  <c r="X194" i="113"/>
  <c r="AA194" i="113" s="1"/>
  <c r="Y161" i="113"/>
  <c r="X161" i="113"/>
  <c r="AA161" i="113" s="1"/>
  <c r="AQ125" i="113"/>
  <c r="AT125" i="113" s="1"/>
  <c r="AR125" i="113"/>
  <c r="AT42" i="113"/>
  <c r="AR114" i="113"/>
  <c r="AQ114" i="113"/>
  <c r="AT114" i="113" s="1"/>
  <c r="AQ68" i="113"/>
  <c r="AT68" i="113" s="1"/>
  <c r="AR68" i="113"/>
  <c r="AR145" i="113"/>
  <c r="AQ145" i="113"/>
  <c r="AT145" i="113" s="1"/>
  <c r="E96" i="113"/>
  <c r="F96" i="113"/>
  <c r="AR87" i="113"/>
  <c r="AQ87" i="113"/>
  <c r="AT87" i="113" s="1"/>
  <c r="AR74" i="113"/>
  <c r="AQ74" i="113"/>
  <c r="AT74" i="113" s="1"/>
  <c r="F177" i="113"/>
  <c r="E177" i="113"/>
  <c r="AR174" i="113"/>
  <c r="AQ174" i="113"/>
  <c r="AT174" i="113" s="1"/>
  <c r="F193" i="113"/>
  <c r="E193" i="113"/>
  <c r="J193" i="113" s="1"/>
  <c r="AR204" i="113"/>
  <c r="AQ204" i="113"/>
  <c r="AT204" i="113" s="1"/>
  <c r="E182" i="113"/>
  <c r="J182" i="113" s="1"/>
  <c r="F182" i="113"/>
  <c r="Y164" i="113"/>
  <c r="X164" i="113"/>
  <c r="AA164" i="113" s="1"/>
  <c r="AQ128" i="113"/>
  <c r="AT128" i="113" s="1"/>
  <c r="AR128" i="113"/>
  <c r="F113" i="113"/>
  <c r="E113" i="113"/>
  <c r="J113" i="113" s="1"/>
  <c r="X71" i="113"/>
  <c r="AA71" i="113" s="1"/>
  <c r="Y71" i="113"/>
  <c r="AT48" i="113"/>
  <c r="X156" i="113"/>
  <c r="AA156" i="113" s="1"/>
  <c r="Y156" i="113"/>
  <c r="AQ97" i="113"/>
  <c r="AT97" i="113" s="1"/>
  <c r="AR97" i="113"/>
  <c r="AQ85" i="113"/>
  <c r="AT85" i="113" s="1"/>
  <c r="AR85" i="113"/>
  <c r="X89" i="113"/>
  <c r="AA89" i="113" s="1"/>
  <c r="Y89" i="113"/>
  <c r="E172" i="113"/>
  <c r="F172" i="113"/>
  <c r="AQ176" i="113"/>
  <c r="AT176" i="113" s="1"/>
  <c r="AR176" i="113"/>
  <c r="Y205" i="113"/>
  <c r="X205" i="113"/>
  <c r="AA205" i="113" s="1"/>
  <c r="AR207" i="113"/>
  <c r="AQ207" i="113"/>
  <c r="AT207" i="113" s="1"/>
  <c r="F183" i="113"/>
  <c r="E183" i="113"/>
  <c r="H47" i="113"/>
  <c r="J47" i="113"/>
  <c r="AR155" i="113"/>
  <c r="AQ155" i="113"/>
  <c r="AT155" i="113" s="1"/>
  <c r="X135" i="113"/>
  <c r="AA135" i="113" s="1"/>
  <c r="Y135" i="113"/>
  <c r="Y152" i="113"/>
  <c r="X152" i="113"/>
  <c r="AA152" i="113" s="1"/>
  <c r="X123" i="113"/>
  <c r="AA123" i="113" s="1"/>
  <c r="Y123" i="113"/>
  <c r="F61" i="113"/>
  <c r="E61" i="113"/>
  <c r="AQ95" i="113"/>
  <c r="AT95" i="113" s="1"/>
  <c r="AR95" i="113"/>
  <c r="AR94" i="113"/>
  <c r="AQ94" i="113"/>
  <c r="AT94" i="113" s="1"/>
  <c r="X95" i="113"/>
  <c r="AA95" i="113" s="1"/>
  <c r="Y95" i="113"/>
  <c r="F72" i="113"/>
  <c r="E72" i="113"/>
  <c r="J72" i="113" s="1"/>
  <c r="X183" i="113"/>
  <c r="AA183" i="113" s="1"/>
  <c r="Y183" i="113"/>
  <c r="Y189" i="113"/>
  <c r="X189" i="113"/>
  <c r="AA189" i="113" s="1"/>
  <c r="F196" i="113"/>
  <c r="E196" i="113"/>
  <c r="J196" i="113" s="1"/>
  <c r="X153" i="113"/>
  <c r="AA153" i="113" s="1"/>
  <c r="Y153" i="113"/>
  <c r="E187" i="113"/>
  <c r="J187" i="113" s="1"/>
  <c r="F187" i="113"/>
  <c r="Y168" i="113"/>
  <c r="X168" i="113"/>
  <c r="AA168" i="113" s="1"/>
  <c r="X133" i="113"/>
  <c r="AA133" i="113" s="1"/>
  <c r="Y133" i="113"/>
  <c r="E118" i="113"/>
  <c r="J118" i="113" s="1"/>
  <c r="F118" i="113"/>
  <c r="F63" i="113"/>
  <c r="E63" i="113"/>
  <c r="E175" i="113"/>
  <c r="F175" i="113"/>
  <c r="F174" i="113"/>
  <c r="E174" i="113"/>
  <c r="X206" i="113"/>
  <c r="AA206" i="113" s="1"/>
  <c r="Y206" i="113"/>
  <c r="E184" i="113"/>
  <c r="F184" i="113"/>
  <c r="AR156" i="113"/>
  <c r="AQ156" i="113"/>
  <c r="AT156" i="113" s="1"/>
  <c r="Y134" i="113"/>
  <c r="X134" i="113"/>
  <c r="AA134" i="113" s="1"/>
  <c r="AQ112" i="113"/>
  <c r="AT112" i="113" s="1"/>
  <c r="AR112" i="113"/>
  <c r="AQ67" i="113"/>
  <c r="AT67" i="113" s="1"/>
  <c r="AR67" i="113"/>
  <c r="X76" i="113"/>
  <c r="AA76" i="113" s="1"/>
  <c r="Y76" i="113"/>
  <c r="E92" i="113"/>
  <c r="F92" i="113"/>
  <c r="F98" i="113"/>
  <c r="E98" i="113"/>
  <c r="AR82" i="113"/>
  <c r="AQ82" i="113"/>
  <c r="AT82" i="113" s="1"/>
  <c r="Y97" i="113"/>
  <c r="X97" i="113"/>
  <c r="AA97" i="113" s="1"/>
  <c r="AR79" i="113"/>
  <c r="AQ79" i="113"/>
  <c r="AT79" i="113" s="1"/>
  <c r="AR171" i="113"/>
  <c r="AQ171" i="113"/>
  <c r="AT171" i="113" s="1"/>
  <c r="AQ179" i="113"/>
  <c r="AT179" i="113" s="1"/>
  <c r="AR179" i="113"/>
  <c r="E191" i="113"/>
  <c r="J191" i="113" s="1"/>
  <c r="F191" i="113"/>
  <c r="F203" i="113"/>
  <c r="E203" i="113"/>
  <c r="F188" i="113"/>
  <c r="E188" i="113"/>
  <c r="J188" i="113" s="1"/>
  <c r="X169" i="113"/>
  <c r="AA169" i="113" s="1"/>
  <c r="Y169" i="113"/>
  <c r="E128" i="113"/>
  <c r="F128" i="113"/>
  <c r="Y127" i="113"/>
  <c r="X127" i="113"/>
  <c r="AA127" i="113" s="1"/>
  <c r="F116" i="113"/>
  <c r="E116" i="113"/>
  <c r="J116" i="113" s="1"/>
  <c r="E68" i="113"/>
  <c r="F68" i="113"/>
  <c r="AQ61" i="113"/>
  <c r="AT61" i="113" s="1"/>
  <c r="AR61" i="113"/>
  <c r="X154" i="113"/>
  <c r="AA154" i="113" s="1"/>
  <c r="Y154" i="113"/>
  <c r="F95" i="113"/>
  <c r="E95" i="113"/>
  <c r="Y83" i="113"/>
  <c r="X83" i="113"/>
  <c r="AA83" i="113" s="1"/>
  <c r="X109" i="113"/>
  <c r="AA109" i="113" s="1"/>
  <c r="Y109" i="113"/>
  <c r="AQ99" i="113"/>
  <c r="AT99" i="113" s="1"/>
  <c r="AR99" i="113"/>
  <c r="E87" i="113"/>
  <c r="F87" i="113"/>
  <c r="E84" i="113"/>
  <c r="J84" i="113" s="1"/>
  <c r="F84" i="113"/>
  <c r="X86" i="113"/>
  <c r="AA86" i="113" s="1"/>
  <c r="Y86" i="113"/>
  <c r="Y181" i="113"/>
  <c r="X181" i="113"/>
  <c r="AA181" i="113" s="1"/>
  <c r="AA54" i="113"/>
  <c r="AR194" i="113"/>
  <c r="AQ194" i="113"/>
  <c r="AT194" i="113" s="1"/>
  <c r="F202" i="113"/>
  <c r="E202" i="113"/>
  <c r="Y197" i="113"/>
  <c r="X197" i="113"/>
  <c r="AA197" i="113" s="1"/>
  <c r="X163" i="113"/>
  <c r="AA163" i="113" s="1"/>
  <c r="Y163" i="113"/>
  <c r="Y137" i="113"/>
  <c r="X137" i="113"/>
  <c r="AA137" i="113" s="1"/>
  <c r="F112" i="113"/>
  <c r="E112" i="113"/>
  <c r="J112" i="113" s="1"/>
  <c r="AQ111" i="113"/>
  <c r="AT111" i="113" s="1"/>
  <c r="AR111" i="113"/>
  <c r="X77" i="113"/>
  <c r="AA77" i="113" s="1"/>
  <c r="Y77" i="113"/>
  <c r="F65" i="113"/>
  <c r="E65" i="113"/>
  <c r="F148" i="113"/>
  <c r="E148" i="113"/>
  <c r="AQ92" i="113"/>
  <c r="AT92" i="113" s="1"/>
  <c r="AR92" i="113"/>
  <c r="E97" i="113"/>
  <c r="F97" i="113"/>
  <c r="E88" i="113"/>
  <c r="F88" i="113"/>
  <c r="AR89" i="113"/>
  <c r="AQ89" i="113"/>
  <c r="AT89" i="113" s="1"/>
  <c r="Y85" i="113"/>
  <c r="X85" i="113"/>
  <c r="AA85" i="113" s="1"/>
  <c r="X188" i="113"/>
  <c r="AA188" i="113" s="1"/>
  <c r="Y188" i="113"/>
  <c r="F195" i="113"/>
  <c r="E195" i="113"/>
  <c r="J195" i="113" s="1"/>
  <c r="AQ203" i="113"/>
  <c r="AT203" i="113" s="1"/>
  <c r="AR203" i="113"/>
  <c r="AR185" i="113"/>
  <c r="AQ185" i="113"/>
  <c r="AT185" i="113" s="1"/>
  <c r="AQ154" i="113"/>
  <c r="AT154" i="113" s="1"/>
  <c r="AR154" i="113"/>
  <c r="E127" i="113"/>
  <c r="F127" i="113"/>
  <c r="AQ116" i="113"/>
  <c r="AT116" i="113" s="1"/>
  <c r="AR116" i="113"/>
  <c r="E115" i="113"/>
  <c r="J115" i="113" s="1"/>
  <c r="F115" i="113"/>
  <c r="AR64" i="113"/>
  <c r="AQ64" i="113"/>
  <c r="AT64" i="113" s="1"/>
  <c r="F66" i="113"/>
  <c r="E66" i="113"/>
  <c r="J141" i="113"/>
  <c r="H141" i="113"/>
  <c r="AQ98" i="113"/>
  <c r="AT98" i="113" s="1"/>
  <c r="AR98" i="113"/>
  <c r="X81" i="113"/>
  <c r="AA81" i="113" s="1"/>
  <c r="Y81" i="113"/>
  <c r="AQ177" i="113"/>
  <c r="AT177" i="113" s="1"/>
  <c r="AR177" i="113"/>
  <c r="X209" i="113"/>
  <c r="AA209" i="113" s="1"/>
  <c r="Y209" i="113"/>
  <c r="F206" i="113"/>
  <c r="E206" i="113"/>
  <c r="AR189" i="113"/>
  <c r="AQ189" i="113"/>
  <c r="AT189" i="113" s="1"/>
  <c r="X166" i="113"/>
  <c r="AA166" i="113" s="1"/>
  <c r="Y166" i="113"/>
  <c r="E153" i="113"/>
  <c r="F153" i="113"/>
  <c r="E126" i="113"/>
  <c r="F126" i="113"/>
  <c r="AR119" i="113"/>
  <c r="AQ119" i="113"/>
  <c r="AT119" i="113" s="1"/>
  <c r="F114" i="113"/>
  <c r="E114" i="113"/>
  <c r="J114" i="113" s="1"/>
  <c r="AR143" i="113"/>
  <c r="AQ143" i="113"/>
  <c r="AT143" i="113" s="1"/>
  <c r="AR63" i="113"/>
  <c r="AQ63" i="113"/>
  <c r="AT63" i="113" s="1"/>
  <c r="AQ62" i="113"/>
  <c r="AT62" i="113" s="1"/>
  <c r="AR62" i="113"/>
  <c r="X107" i="113"/>
  <c r="AA107" i="113" s="1"/>
  <c r="Y107" i="113"/>
  <c r="F99" i="113"/>
  <c r="E99" i="113"/>
  <c r="AQ84" i="113"/>
  <c r="AT84" i="113" s="1"/>
  <c r="AR84" i="113"/>
  <c r="X93" i="113"/>
  <c r="AA93" i="113" s="1"/>
  <c r="Y93" i="113"/>
  <c r="F94" i="113"/>
  <c r="E94" i="113"/>
  <c r="Y102" i="113"/>
  <c r="X102" i="113"/>
  <c r="AA102" i="113" s="1"/>
  <c r="Y98" i="113"/>
  <c r="X98" i="113"/>
  <c r="AA98" i="113" s="1"/>
  <c r="F83" i="113"/>
  <c r="E83" i="113"/>
  <c r="J83" i="113" s="1"/>
  <c r="F75" i="113"/>
  <c r="E75" i="113"/>
  <c r="J75" i="113" s="1"/>
  <c r="AA51" i="113"/>
  <c r="AR173" i="113"/>
  <c r="AQ173" i="113"/>
  <c r="AT173" i="113" s="1"/>
  <c r="E198" i="113"/>
  <c r="F198" i="113"/>
  <c r="AQ195" i="113"/>
  <c r="AT195" i="113" s="1"/>
  <c r="AR195" i="113"/>
  <c r="AQ209" i="113"/>
  <c r="AT209" i="113" s="1"/>
  <c r="AR209" i="113"/>
  <c r="AQ147" i="113"/>
  <c r="AT147" i="113" s="1"/>
  <c r="AR147" i="113"/>
  <c r="Y195" i="113"/>
  <c r="X195" i="113"/>
  <c r="AA195" i="113" s="1"/>
  <c r="Y167" i="113"/>
  <c r="X167" i="113"/>
  <c r="AA167" i="113" s="1"/>
  <c r="X165" i="113"/>
  <c r="AA165" i="113" s="1"/>
  <c r="Y165" i="113"/>
  <c r="F144" i="113"/>
  <c r="E144" i="113"/>
  <c r="E129" i="113"/>
  <c r="F129" i="113"/>
  <c r="AQ113" i="113"/>
  <c r="AT113" i="113" s="1"/>
  <c r="AR113" i="113"/>
  <c r="Y129" i="113"/>
  <c r="X129" i="113"/>
  <c r="AA129" i="113" s="1"/>
  <c r="F67" i="113"/>
  <c r="E67" i="113"/>
  <c r="F62" i="113"/>
  <c r="E62" i="113"/>
  <c r="E91" i="113"/>
  <c r="F91" i="113"/>
  <c r="AT47" i="113"/>
  <c r="AQ86" i="113"/>
  <c r="AT86" i="113" s="1"/>
  <c r="AR86" i="113"/>
  <c r="E85" i="113"/>
  <c r="J85" i="113" s="1"/>
  <c r="F85" i="113"/>
  <c r="F142" i="113"/>
  <c r="E142" i="113"/>
  <c r="AQ72" i="113"/>
  <c r="AT72" i="113" s="1"/>
  <c r="AR72" i="113"/>
  <c r="Y187" i="113"/>
  <c r="X187" i="113"/>
  <c r="AA187" i="113" s="1"/>
  <c r="X207" i="113"/>
  <c r="AA207" i="113" s="1"/>
  <c r="Y207" i="113"/>
  <c r="E197" i="113"/>
  <c r="J197" i="113" s="1"/>
  <c r="F197" i="113"/>
  <c r="AR208" i="113"/>
  <c r="AQ208" i="113"/>
  <c r="AT208" i="113" s="1"/>
  <c r="AR183" i="113"/>
  <c r="AQ183" i="113"/>
  <c r="AT183" i="113" s="1"/>
  <c r="AQ187" i="113"/>
  <c r="AT187" i="113" s="1"/>
  <c r="AR187" i="113"/>
  <c r="E154" i="113"/>
  <c r="J154" i="113" s="1"/>
  <c r="F154" i="113"/>
  <c r="AR151" i="113"/>
  <c r="AQ151" i="113"/>
  <c r="AT151" i="113" s="1"/>
  <c r="AQ127" i="113"/>
  <c r="AT127" i="113" s="1"/>
  <c r="AR127" i="113"/>
  <c r="AR129" i="113"/>
  <c r="AQ129" i="113"/>
  <c r="AT129" i="113" s="1"/>
  <c r="AR142" i="113"/>
  <c r="AQ142" i="113"/>
  <c r="AT142" i="113" s="1"/>
  <c r="AQ118" i="113"/>
  <c r="AT118" i="113" s="1"/>
  <c r="AR118" i="113"/>
  <c r="Y124" i="113"/>
  <c r="X124" i="113"/>
  <c r="AA124" i="113" s="1"/>
  <c r="AR69" i="113"/>
  <c r="AQ69" i="113"/>
  <c r="AT69" i="113" s="1"/>
  <c r="AR65" i="113"/>
  <c r="AQ65" i="113"/>
  <c r="AT65" i="113" s="1"/>
  <c r="AR93" i="113"/>
  <c r="AQ93" i="113"/>
  <c r="AT93" i="113" s="1"/>
  <c r="AQ81" i="113"/>
  <c r="AT81" i="113" s="1"/>
  <c r="AR81" i="113"/>
  <c r="E143" i="113"/>
  <c r="F143" i="113"/>
  <c r="AA53" i="113"/>
  <c r="E78" i="113"/>
  <c r="J78" i="113" s="1"/>
  <c r="F78" i="113"/>
  <c r="F173" i="113"/>
  <c r="E173" i="113"/>
  <c r="F199" i="113"/>
  <c r="E199" i="113"/>
  <c r="J199" i="113" s="1"/>
  <c r="X204" i="113"/>
  <c r="AA204" i="113" s="1"/>
  <c r="Y204" i="113"/>
  <c r="AQ206" i="113"/>
  <c r="AT206" i="113" s="1"/>
  <c r="AR206" i="113"/>
  <c r="Y193" i="113"/>
  <c r="X193" i="113"/>
  <c r="AA193" i="113" s="1"/>
  <c r="X196" i="113"/>
  <c r="AA196" i="113" s="1"/>
  <c r="Y196" i="113"/>
  <c r="F152" i="113"/>
  <c r="E152" i="113"/>
  <c r="J152" i="113" s="1"/>
  <c r="F158" i="113"/>
  <c r="E158" i="113"/>
  <c r="J158" i="113" s="1"/>
  <c r="Y139" i="113"/>
  <c r="X139" i="113"/>
  <c r="AA139" i="113" s="1"/>
  <c r="X136" i="113"/>
  <c r="AA136" i="113" s="1"/>
  <c r="Y136" i="113"/>
  <c r="AQ115" i="113"/>
  <c r="AT115" i="113" s="1"/>
  <c r="AR115" i="113"/>
  <c r="AR117" i="113"/>
  <c r="AQ117" i="113"/>
  <c r="AT117" i="113" s="1"/>
  <c r="AQ66" i="113"/>
  <c r="AT66" i="113" s="1"/>
  <c r="AR66" i="113"/>
  <c r="Y101" i="113"/>
  <c r="X101" i="113"/>
  <c r="AA101" i="113" s="1"/>
  <c r="AQ149" i="113"/>
  <c r="AT149" i="113" s="1"/>
  <c r="AR149" i="113"/>
  <c r="F86" i="113"/>
  <c r="E86" i="113"/>
  <c r="AA59" i="113"/>
  <c r="AQ144" i="113"/>
  <c r="AT144" i="113" s="1"/>
  <c r="AR144" i="113"/>
  <c r="F146" i="113"/>
  <c r="E146" i="113"/>
  <c r="AR76" i="113"/>
  <c r="AQ76" i="113"/>
  <c r="AT76" i="113" s="1"/>
  <c r="F171" i="113"/>
  <c r="E171" i="113"/>
  <c r="AQ192" i="113"/>
  <c r="AT192" i="113" s="1"/>
  <c r="AR192" i="113"/>
  <c r="AQ196" i="113"/>
  <c r="AT196" i="113" s="1"/>
  <c r="AR196" i="113"/>
  <c r="E208" i="113"/>
  <c r="F208" i="113"/>
  <c r="AT49" i="113"/>
  <c r="F189" i="113"/>
  <c r="E189" i="113"/>
  <c r="F186" i="113"/>
  <c r="E186" i="113"/>
  <c r="J186" i="113" s="1"/>
  <c r="AR158" i="113"/>
  <c r="AQ158" i="113"/>
  <c r="AT158" i="113" s="1"/>
  <c r="E156" i="113"/>
  <c r="J156" i="113" s="1"/>
  <c r="F156" i="113"/>
  <c r="AR122" i="113"/>
  <c r="AQ122" i="113"/>
  <c r="AT122" i="113" s="1"/>
  <c r="E124" i="113"/>
  <c r="F124" i="113"/>
  <c r="AA57" i="113"/>
  <c r="E117" i="113"/>
  <c r="J117" i="113" s="1"/>
  <c r="F117" i="113"/>
  <c r="F64" i="113"/>
  <c r="E64" i="113"/>
  <c r="J125" i="90"/>
  <c r="DR125" i="90" s="1"/>
  <c r="H4" i="90"/>
  <c r="H44" i="90"/>
  <c r="G44" i="90" s="1"/>
  <c r="CL125" i="90"/>
  <c r="J12" i="90"/>
  <c r="DR12" i="90" s="1"/>
  <c r="D81" i="90"/>
  <c r="F44" i="90"/>
  <c r="J49" i="90"/>
  <c r="E79" i="100"/>
  <c r="F11" i="102"/>
  <c r="J11" i="102"/>
  <c r="B11" i="90"/>
  <c r="S13" i="101"/>
  <c r="C12" i="104"/>
  <c r="J12" i="104" s="1"/>
  <c r="C7" i="105"/>
  <c r="I7" i="105" s="1"/>
  <c r="AR209" i="100"/>
  <c r="AR339" i="100"/>
  <c r="AS171" i="100"/>
  <c r="AS169" i="100"/>
  <c r="AS304" i="100"/>
  <c r="AS174" i="100"/>
  <c r="AS35" i="100"/>
  <c r="AS11" i="100"/>
  <c r="AS30" i="100"/>
  <c r="AS305" i="100"/>
  <c r="AS205" i="100"/>
  <c r="AS196" i="100"/>
  <c r="AS181" i="100"/>
  <c r="AS325" i="100"/>
  <c r="AS334" i="100"/>
  <c r="AS72" i="100"/>
  <c r="AS319" i="100"/>
  <c r="AS320" i="100"/>
  <c r="AS303" i="100"/>
  <c r="AS315" i="100"/>
  <c r="AS288" i="100"/>
  <c r="AS12" i="100"/>
  <c r="AS328" i="100"/>
  <c r="AS14" i="100"/>
  <c r="AS316" i="100"/>
  <c r="AS69" i="100"/>
  <c r="AS332" i="100"/>
  <c r="AS162" i="100"/>
  <c r="AS173" i="100"/>
  <c r="AS36" i="100"/>
  <c r="AS42" i="100"/>
  <c r="AS333" i="100"/>
  <c r="AS336" i="100"/>
  <c r="AS65" i="100"/>
  <c r="AS178" i="100"/>
  <c r="AS203" i="100"/>
  <c r="AS39" i="100"/>
  <c r="AS159" i="100"/>
  <c r="AS330" i="100"/>
  <c r="AS158" i="100"/>
  <c r="AS165" i="100"/>
  <c r="AS71" i="100"/>
  <c r="AS172" i="100"/>
  <c r="AS32" i="100"/>
  <c r="AS177" i="100"/>
  <c r="AS307" i="100"/>
  <c r="AS298" i="100"/>
  <c r="AS74" i="100"/>
  <c r="AS198" i="100"/>
  <c r="AS10" i="100"/>
  <c r="AS321" i="100"/>
  <c r="AS337" i="100"/>
  <c r="AS70" i="100"/>
  <c r="AS296" i="100"/>
  <c r="AS185" i="100"/>
  <c r="AS43" i="100"/>
  <c r="AS160" i="100"/>
  <c r="AS188" i="100"/>
  <c r="AS335" i="100"/>
  <c r="AS313" i="100"/>
  <c r="AS28" i="100"/>
  <c r="AS17" i="100"/>
  <c r="AT7" i="100"/>
  <c r="AS68" i="100"/>
  <c r="AS292" i="100"/>
  <c r="AS33" i="100"/>
  <c r="AS18" i="100"/>
  <c r="AS166" i="100"/>
  <c r="AS23" i="100"/>
  <c r="AS77" i="100"/>
  <c r="AS323" i="100"/>
  <c r="AS73" i="100"/>
  <c r="AS299" i="100"/>
  <c r="AS40" i="100"/>
  <c r="AS19" i="100"/>
  <c r="AS164" i="100"/>
  <c r="AS197" i="100"/>
  <c r="AS25" i="100"/>
  <c r="AS29" i="100"/>
  <c r="AS168" i="100"/>
  <c r="AS195" i="100"/>
  <c r="AS206" i="100"/>
  <c r="AS199" i="100"/>
  <c r="AS176" i="100"/>
  <c r="AS187" i="100"/>
  <c r="AS312" i="100"/>
  <c r="AS182" i="100"/>
  <c r="AS37" i="100"/>
  <c r="AS190" i="100"/>
  <c r="AS291" i="100"/>
  <c r="AS293" i="100"/>
  <c r="AS38" i="100"/>
  <c r="AS76" i="100"/>
  <c r="AS66" i="100"/>
  <c r="AS193" i="100"/>
  <c r="AS22" i="100"/>
  <c r="AS16" i="100"/>
  <c r="AS20" i="100"/>
  <c r="AS75" i="100"/>
  <c r="AS327" i="100"/>
  <c r="AS41" i="100"/>
  <c r="AS200" i="100"/>
  <c r="AS180" i="100"/>
  <c r="AS318" i="100"/>
  <c r="AS300" i="100"/>
  <c r="AS183" i="100"/>
  <c r="AS170" i="100"/>
  <c r="AS194" i="100"/>
  <c r="AS9" i="100"/>
  <c r="AS207" i="100"/>
  <c r="AS308" i="100"/>
  <c r="AS21" i="100"/>
  <c r="AS317" i="100"/>
  <c r="AS64" i="100"/>
  <c r="AS201" i="100"/>
  <c r="AS290" i="100"/>
  <c r="AS202" i="100"/>
  <c r="AS161" i="100"/>
  <c r="AS186" i="100"/>
  <c r="AS26" i="100"/>
  <c r="AS27" i="100"/>
  <c r="AS306" i="100"/>
  <c r="AS301" i="100"/>
  <c r="AS34" i="100"/>
  <c r="AS204" i="100"/>
  <c r="AS67" i="100"/>
  <c r="AS163" i="100"/>
  <c r="AS311" i="100"/>
  <c r="AS184" i="100"/>
  <c r="AS295" i="100"/>
  <c r="AS191" i="100"/>
  <c r="AS309" i="100"/>
  <c r="AS192" i="100"/>
  <c r="AS322" i="100"/>
  <c r="AS289" i="100"/>
  <c r="AS294" i="100"/>
  <c r="AS297" i="100"/>
  <c r="AS24" i="100"/>
  <c r="AS329" i="100"/>
  <c r="AS175" i="100"/>
  <c r="AS15" i="100"/>
  <c r="AS167" i="100"/>
  <c r="AS31" i="100"/>
  <c r="AS331" i="100"/>
  <c r="AS326" i="100"/>
  <c r="AS189" i="100"/>
  <c r="AS179" i="100"/>
  <c r="AS13" i="100"/>
  <c r="AS310" i="100"/>
  <c r="AS324" i="100"/>
  <c r="AS314" i="100"/>
  <c r="AS302" i="100"/>
  <c r="EQ287" i="100"/>
  <c r="EP338" i="100"/>
  <c r="BB138" i="125"/>
  <c r="BT81" i="125"/>
  <c r="I81" i="125"/>
  <c r="DX12" i="125"/>
  <c r="E4" i="125"/>
  <c r="T25" i="125"/>
  <c r="DT125" i="125"/>
  <c r="DT44" i="125"/>
  <c r="BC138" i="125"/>
  <c r="AA138" i="125"/>
  <c r="DT81" i="125"/>
  <c r="Z138" i="125"/>
  <c r="E120" i="125"/>
  <c r="J23" i="105"/>
  <c r="M10" i="105"/>
  <c r="L10" i="105"/>
  <c r="J18" i="105"/>
  <c r="I4" i="90"/>
  <c r="G23" i="110"/>
  <c r="K13" i="110"/>
  <c r="K22" i="110"/>
  <c r="K24" i="110"/>
  <c r="P26" i="105"/>
  <c r="DT81" i="90"/>
  <c r="G22" i="110"/>
  <c r="G24" i="110"/>
  <c r="K23" i="110"/>
  <c r="DW4" i="90"/>
  <c r="G15" i="110"/>
  <c r="I44" i="90"/>
  <c r="DW120" i="90"/>
  <c r="G13" i="110"/>
  <c r="I120" i="90"/>
  <c r="K15" i="110"/>
  <c r="P10" i="105"/>
  <c r="DS125" i="90"/>
  <c r="M125" i="90"/>
  <c r="G14" i="110"/>
  <c r="DS49" i="90"/>
  <c r="DS12" i="90"/>
  <c r="DW44" i="90"/>
  <c r="BT120" i="90"/>
  <c r="K14" i="110"/>
  <c r="H139" i="113" l="1"/>
  <c r="DZ12" i="125"/>
  <c r="H137" i="113"/>
  <c r="R138" i="125"/>
  <c r="T138" i="125"/>
  <c r="O25" i="125"/>
  <c r="K25" i="125"/>
  <c r="H23" i="105"/>
  <c r="M23" i="105" s="1"/>
  <c r="S138" i="125"/>
  <c r="O138" i="125"/>
  <c r="CK12" i="125"/>
  <c r="CO12" i="125" s="1"/>
  <c r="CK125" i="125"/>
  <c r="CO125" i="125" s="1"/>
  <c r="CN99" i="125"/>
  <c r="CN86" i="125"/>
  <c r="G81" i="125"/>
  <c r="H44" i="125"/>
  <c r="G44" i="125" s="1"/>
  <c r="U10" i="102"/>
  <c r="X8" i="100"/>
  <c r="AS8" i="100" s="1"/>
  <c r="AS79" i="100" s="1"/>
  <c r="AS78" i="100" s="1"/>
  <c r="AT58" i="100"/>
  <c r="AT62" i="100"/>
  <c r="AT63" i="100"/>
  <c r="AT46" i="100"/>
  <c r="AT57" i="100"/>
  <c r="AT44" i="100"/>
  <c r="AT45" i="100"/>
  <c r="AT56" i="100"/>
  <c r="AT48" i="100"/>
  <c r="AT49" i="100"/>
  <c r="AT55" i="100"/>
  <c r="AT47" i="100"/>
  <c r="AT60" i="100"/>
  <c r="AT50" i="100"/>
  <c r="AT52" i="100"/>
  <c r="AT61" i="100"/>
  <c r="AT54" i="100"/>
  <c r="AT51" i="100"/>
  <c r="AT53" i="100"/>
  <c r="AT59" i="100"/>
  <c r="CL86" i="125"/>
  <c r="J86" i="125"/>
  <c r="CL49" i="125"/>
  <c r="J49" i="125"/>
  <c r="N10" i="105"/>
  <c r="H58" i="113"/>
  <c r="G16" i="110"/>
  <c r="O16" i="110" s="1"/>
  <c r="O13" i="110"/>
  <c r="K16" i="110"/>
  <c r="O22" i="110"/>
  <c r="H197" i="113"/>
  <c r="H103" i="113"/>
  <c r="H192" i="113"/>
  <c r="H164" i="113"/>
  <c r="O14" i="110"/>
  <c r="O23" i="110"/>
  <c r="O24" i="110"/>
  <c r="O15" i="110"/>
  <c r="H108" i="113"/>
  <c r="H113" i="113"/>
  <c r="H106" i="113"/>
  <c r="H105" i="113"/>
  <c r="J51" i="113"/>
  <c r="H51" i="113"/>
  <c r="H89" i="113"/>
  <c r="H109" i="113"/>
  <c r="J109" i="113"/>
  <c r="H102" i="113"/>
  <c r="H52" i="113"/>
  <c r="H37" i="113"/>
  <c r="J138" i="113"/>
  <c r="H138" i="113"/>
  <c r="H195" i="113"/>
  <c r="H104" i="113"/>
  <c r="H117" i="113"/>
  <c r="H36" i="113"/>
  <c r="J53" i="113"/>
  <c r="H53" i="113"/>
  <c r="H107" i="113"/>
  <c r="H38" i="113"/>
  <c r="H101" i="113"/>
  <c r="H32" i="113"/>
  <c r="H83" i="113"/>
  <c r="H188" i="113"/>
  <c r="H31" i="113"/>
  <c r="H162" i="113"/>
  <c r="H166" i="113"/>
  <c r="H193" i="113"/>
  <c r="H33" i="113"/>
  <c r="H74" i="113"/>
  <c r="H39" i="113"/>
  <c r="H34" i="113"/>
  <c r="H35" i="113"/>
  <c r="H199" i="113"/>
  <c r="J167" i="113"/>
  <c r="H167" i="113"/>
  <c r="J161" i="113"/>
  <c r="H161" i="113"/>
  <c r="H156" i="113"/>
  <c r="H155" i="113"/>
  <c r="J168" i="113"/>
  <c r="H168" i="113"/>
  <c r="H82" i="113"/>
  <c r="H158" i="113"/>
  <c r="H152" i="113"/>
  <c r="J169" i="113"/>
  <c r="H169" i="113"/>
  <c r="H186" i="113"/>
  <c r="H118" i="113"/>
  <c r="H181" i="113"/>
  <c r="H165" i="113"/>
  <c r="H182" i="113"/>
  <c r="H119" i="113"/>
  <c r="H163" i="113"/>
  <c r="J129" i="113"/>
  <c r="H129" i="113"/>
  <c r="J198" i="113"/>
  <c r="H198" i="113"/>
  <c r="J202" i="113"/>
  <c r="H202" i="113"/>
  <c r="H184" i="113"/>
  <c r="J184" i="113"/>
  <c r="J61" i="113"/>
  <c r="H61" i="113"/>
  <c r="J126" i="113"/>
  <c r="H126" i="113"/>
  <c r="H172" i="113"/>
  <c r="J172" i="113"/>
  <c r="J122" i="113"/>
  <c r="H122" i="113"/>
  <c r="J204" i="113"/>
  <c r="H204" i="113"/>
  <c r="J149" i="113"/>
  <c r="H149" i="113"/>
  <c r="J171" i="113"/>
  <c r="H171" i="113"/>
  <c r="J99" i="113"/>
  <c r="H99" i="113"/>
  <c r="H153" i="113"/>
  <c r="J153" i="113"/>
  <c r="J95" i="113"/>
  <c r="H95" i="113"/>
  <c r="J203" i="113"/>
  <c r="H203" i="113"/>
  <c r="J98" i="113"/>
  <c r="H98" i="113"/>
  <c r="H185" i="113"/>
  <c r="J178" i="113"/>
  <c r="H178" i="113"/>
  <c r="J205" i="113"/>
  <c r="H205" i="113"/>
  <c r="H159" i="113"/>
  <c r="J147" i="113"/>
  <c r="H147" i="113"/>
  <c r="J92" i="113"/>
  <c r="H92" i="113"/>
  <c r="J173" i="113"/>
  <c r="H173" i="113"/>
  <c r="J206" i="113"/>
  <c r="H206" i="113"/>
  <c r="H191" i="113"/>
  <c r="H151" i="113"/>
  <c r="J121" i="113"/>
  <c r="H121" i="113"/>
  <c r="H187" i="113"/>
  <c r="J65" i="113"/>
  <c r="H65" i="113"/>
  <c r="H111" i="113"/>
  <c r="J63" i="113"/>
  <c r="H63" i="113"/>
  <c r="H157" i="113"/>
  <c r="J157" i="113"/>
  <c r="H145" i="113"/>
  <c r="J145" i="113"/>
  <c r="H112" i="113"/>
  <c r="H183" i="113"/>
  <c r="J183" i="113"/>
  <c r="J177" i="113"/>
  <c r="H177" i="113"/>
  <c r="H78" i="113"/>
  <c r="J175" i="113"/>
  <c r="H175" i="113"/>
  <c r="J91" i="113"/>
  <c r="H91" i="113"/>
  <c r="J62" i="113"/>
  <c r="H62" i="113"/>
  <c r="H154" i="113"/>
  <c r="H77" i="113"/>
  <c r="J123" i="113"/>
  <c r="H123" i="113"/>
  <c r="H114" i="113"/>
  <c r="J69" i="113"/>
  <c r="H69" i="113"/>
  <c r="J67" i="113"/>
  <c r="H67" i="113"/>
  <c r="J127" i="113"/>
  <c r="H127" i="113"/>
  <c r="J207" i="113"/>
  <c r="H207" i="113"/>
  <c r="J66" i="113"/>
  <c r="H66" i="113"/>
  <c r="J174" i="113"/>
  <c r="H174" i="113"/>
  <c r="H144" i="113"/>
  <c r="J144" i="113"/>
  <c r="J176" i="113"/>
  <c r="H176" i="113"/>
  <c r="H86" i="113"/>
  <c r="J86" i="113"/>
  <c r="H75" i="113"/>
  <c r="J87" i="113"/>
  <c r="H87" i="113"/>
  <c r="H71" i="113"/>
  <c r="J71" i="113"/>
  <c r="J93" i="113"/>
  <c r="H93" i="113"/>
  <c r="J96" i="113"/>
  <c r="H96" i="113"/>
  <c r="AK14" i="100"/>
  <c r="IK15" i="100"/>
  <c r="H73" i="113"/>
  <c r="J73" i="113"/>
  <c r="J125" i="113"/>
  <c r="H125" i="113"/>
  <c r="H196" i="113"/>
  <c r="J94" i="113"/>
  <c r="H94" i="113"/>
  <c r="J88" i="113"/>
  <c r="H88" i="113"/>
  <c r="H84" i="113"/>
  <c r="H72" i="113"/>
  <c r="H76" i="113"/>
  <c r="H142" i="113"/>
  <c r="J142" i="113"/>
  <c r="J148" i="113"/>
  <c r="H148" i="113"/>
  <c r="H85" i="113"/>
  <c r="J68" i="113"/>
  <c r="H68" i="113"/>
  <c r="J189" i="113"/>
  <c r="H189" i="113"/>
  <c r="J64" i="113"/>
  <c r="H64" i="113"/>
  <c r="J208" i="113"/>
  <c r="H208" i="113"/>
  <c r="J143" i="113"/>
  <c r="H143" i="113"/>
  <c r="J128" i="113"/>
  <c r="H128" i="113"/>
  <c r="J179" i="113"/>
  <c r="H179" i="113"/>
  <c r="J124" i="113"/>
  <c r="H124" i="113"/>
  <c r="J146" i="113"/>
  <c r="H146" i="113"/>
  <c r="J79" i="113"/>
  <c r="H79" i="113"/>
  <c r="J201" i="113"/>
  <c r="H201" i="113"/>
  <c r="H116" i="113"/>
  <c r="H115" i="113"/>
  <c r="J97" i="113"/>
  <c r="H97" i="113"/>
  <c r="H81" i="113"/>
  <c r="H209" i="113"/>
  <c r="J209" i="113"/>
  <c r="H194" i="113"/>
  <c r="G4" i="90"/>
  <c r="J86" i="90"/>
  <c r="DR86" i="90" s="1"/>
  <c r="H81" i="90"/>
  <c r="G81" i="90" s="1"/>
  <c r="F81" i="90"/>
  <c r="CL12" i="90"/>
  <c r="CJ125" i="90"/>
  <c r="CJ12" i="90"/>
  <c r="DR49" i="90"/>
  <c r="CL49" i="90"/>
  <c r="CJ49" i="90"/>
  <c r="F12" i="104"/>
  <c r="G12" i="104" s="1"/>
  <c r="G15" i="104" s="1"/>
  <c r="C15" i="104"/>
  <c r="L12" i="104"/>
  <c r="J15" i="104"/>
  <c r="AS339" i="100"/>
  <c r="AS209" i="100"/>
  <c r="AT336" i="100"/>
  <c r="AT203" i="100"/>
  <c r="AT311" i="100"/>
  <c r="AT9" i="100"/>
  <c r="AT166" i="100"/>
  <c r="AT205" i="100"/>
  <c r="AT300" i="100"/>
  <c r="AT159" i="100"/>
  <c r="AT26" i="100"/>
  <c r="AT289" i="100"/>
  <c r="AT31" i="100"/>
  <c r="AT325" i="100"/>
  <c r="AT37" i="100"/>
  <c r="AT29" i="100"/>
  <c r="AT315" i="100"/>
  <c r="AT197" i="100"/>
  <c r="AT179" i="100"/>
  <c r="AT204" i="100"/>
  <c r="AT18" i="100"/>
  <c r="AT306" i="100"/>
  <c r="AT164" i="100"/>
  <c r="AT312" i="100"/>
  <c r="AT319" i="100"/>
  <c r="AT165" i="100"/>
  <c r="AT307" i="100"/>
  <c r="AT303" i="100"/>
  <c r="AT317" i="100"/>
  <c r="AT180" i="100"/>
  <c r="AT75" i="100"/>
  <c r="AT170" i="100"/>
  <c r="AT10" i="100"/>
  <c r="AT199" i="100"/>
  <c r="AT175" i="100"/>
  <c r="AT68" i="100"/>
  <c r="AT43" i="100"/>
  <c r="AT161" i="100"/>
  <c r="AT188" i="100"/>
  <c r="AT70" i="100"/>
  <c r="AT318" i="100"/>
  <c r="AT293" i="100"/>
  <c r="AT77" i="100"/>
  <c r="AT11" i="100"/>
  <c r="AT296" i="100"/>
  <c r="AT330" i="100"/>
  <c r="AT291" i="100"/>
  <c r="AT332" i="100"/>
  <c r="AT322" i="100"/>
  <c r="AT33" i="100"/>
  <c r="AT316" i="100"/>
  <c r="AT40" i="100"/>
  <c r="AT169" i="100"/>
  <c r="AT297" i="100"/>
  <c r="AT163" i="100"/>
  <c r="AT160" i="100"/>
  <c r="AT25" i="100"/>
  <c r="AT167" i="100"/>
  <c r="AT290" i="100"/>
  <c r="AT22" i="100"/>
  <c r="AT74" i="100"/>
  <c r="AT36" i="100"/>
  <c r="AT184" i="100"/>
  <c r="AT192" i="100"/>
  <c r="AT299" i="100"/>
  <c r="AT65" i="100"/>
  <c r="AT38" i="100"/>
  <c r="AT193" i="100"/>
  <c r="AT13" i="100"/>
  <c r="AT12" i="100"/>
  <c r="AT294" i="100"/>
  <c r="AT14" i="100"/>
  <c r="AT337" i="100"/>
  <c r="AT189" i="100"/>
  <c r="AT66" i="100"/>
  <c r="AT302" i="100"/>
  <c r="AT24" i="100"/>
  <c r="AT309" i="100"/>
  <c r="AT23" i="100"/>
  <c r="AT27" i="100"/>
  <c r="AT34" i="100"/>
  <c r="AT298" i="100"/>
  <c r="AT19" i="100"/>
  <c r="AT67" i="100"/>
  <c r="AT72" i="100"/>
  <c r="AT314" i="100"/>
  <c r="AT329" i="100"/>
  <c r="AT20" i="100"/>
  <c r="AT186" i="100"/>
  <c r="AT187" i="100"/>
  <c r="AT310" i="100"/>
  <c r="AT32" i="100"/>
  <c r="AT195" i="100"/>
  <c r="AT173" i="100"/>
  <c r="AT158" i="100"/>
  <c r="AT327" i="100"/>
  <c r="AT328" i="100"/>
  <c r="AT334" i="100"/>
  <c r="AT168" i="100"/>
  <c r="AT194" i="100"/>
  <c r="AT305" i="100"/>
  <c r="AU7" i="100"/>
  <c r="AT308" i="100"/>
  <c r="AT313" i="100"/>
  <c r="AT207" i="100"/>
  <c r="AT69" i="100"/>
  <c r="AT21" i="100"/>
  <c r="AT183" i="100"/>
  <c r="AT177" i="100"/>
  <c r="AT71" i="100"/>
  <c r="AT171" i="100"/>
  <c r="AT39" i="100"/>
  <c r="AT162" i="100"/>
  <c r="AT174" i="100"/>
  <c r="AT333" i="100"/>
  <c r="AT191" i="100"/>
  <c r="AT178" i="100"/>
  <c r="AT28" i="100"/>
  <c r="AT15" i="100"/>
  <c r="AT198" i="100"/>
  <c r="AT16" i="100"/>
  <c r="AT301" i="100"/>
  <c r="AT185" i="100"/>
  <c r="AT288" i="100"/>
  <c r="AT196" i="100"/>
  <c r="AT324" i="100"/>
  <c r="AT295" i="100"/>
  <c r="AT176" i="100"/>
  <c r="AT206" i="100"/>
  <c r="AT320" i="100"/>
  <c r="AT35" i="100"/>
  <c r="AT41" i="100"/>
  <c r="AT304" i="100"/>
  <c r="AT30" i="100"/>
  <c r="AT181" i="100"/>
  <c r="AT182" i="100"/>
  <c r="AT42" i="100"/>
  <c r="AT172" i="100"/>
  <c r="AT76" i="100"/>
  <c r="AT64" i="100"/>
  <c r="AT321" i="100"/>
  <c r="AT323" i="100"/>
  <c r="AT331" i="100"/>
  <c r="AT190" i="100"/>
  <c r="AT292" i="100"/>
  <c r="AT17" i="100"/>
  <c r="AT201" i="100"/>
  <c r="AT335" i="100"/>
  <c r="AT326" i="100"/>
  <c r="AT202" i="100"/>
  <c r="AT200" i="100"/>
  <c r="AT73" i="100"/>
  <c r="ER287" i="100"/>
  <c r="EQ338" i="100"/>
  <c r="Q25" i="125"/>
  <c r="DT25" i="125"/>
  <c r="DT138" i="125"/>
  <c r="DW138" i="125"/>
  <c r="DW125" i="125"/>
  <c r="DT12" i="125"/>
  <c r="DW12" i="125"/>
  <c r="DW44" i="125"/>
  <c r="S25" i="125"/>
  <c r="DW25" i="125"/>
  <c r="DS86" i="125"/>
  <c r="Q138" i="125"/>
  <c r="DR81" i="125"/>
  <c r="DS49" i="125"/>
  <c r="DW81" i="125"/>
  <c r="I44" i="125"/>
  <c r="L18" i="105"/>
  <c r="J7" i="105"/>
  <c r="M18" i="105"/>
  <c r="E7" i="105"/>
  <c r="J15" i="110"/>
  <c r="DR120" i="90"/>
  <c r="D7" i="105"/>
  <c r="DW81" i="90"/>
  <c r="DR44" i="90"/>
  <c r="I81" i="90"/>
  <c r="DY49" i="90"/>
  <c r="BT44" i="90"/>
  <c r="E15" i="105"/>
  <c r="DR4" i="90"/>
  <c r="CR6" i="90"/>
  <c r="J14" i="110"/>
  <c r="P18" i="105"/>
  <c r="D15" i="105"/>
  <c r="DY12" i="90"/>
  <c r="BT4" i="90"/>
  <c r="DY125" i="90"/>
  <c r="DS86" i="90"/>
  <c r="N25" i="125" l="1"/>
  <c r="BO25" i="125" s="1"/>
  <c r="M25" i="125"/>
  <c r="M12" i="125"/>
  <c r="R25" i="125"/>
  <c r="U25" i="125" s="1"/>
  <c r="U12" i="125"/>
  <c r="K12" i="125" s="1"/>
  <c r="O25" i="110"/>
  <c r="AT8" i="100"/>
  <c r="AT79" i="100" s="1"/>
  <c r="AT78" i="100" s="1"/>
  <c r="U138" i="125"/>
  <c r="N138" i="125"/>
  <c r="BO138" i="125" s="1"/>
  <c r="CK138" i="125" s="1"/>
  <c r="CN12" i="90"/>
  <c r="CN25" i="90"/>
  <c r="CN138" i="90"/>
  <c r="CN125" i="90"/>
  <c r="AO8" i="100"/>
  <c r="AO79" i="100" s="1"/>
  <c r="AO78" i="100" s="1"/>
  <c r="AP8" i="100"/>
  <c r="AP79" i="100" s="1"/>
  <c r="AP78" i="100" s="1"/>
  <c r="AM8" i="100"/>
  <c r="AM79" i="100" s="1"/>
  <c r="AM78" i="100" s="1"/>
  <c r="AQ8" i="100"/>
  <c r="AQ79" i="100" s="1"/>
  <c r="AQ78" i="100" s="1"/>
  <c r="AN8" i="100"/>
  <c r="AN79" i="100" s="1"/>
  <c r="AN78" i="100" s="1"/>
  <c r="AR8" i="100"/>
  <c r="AR79" i="100" s="1"/>
  <c r="AR78" i="100" s="1"/>
  <c r="AU44" i="100"/>
  <c r="AU46" i="100"/>
  <c r="AU62" i="100"/>
  <c r="AU63" i="100"/>
  <c r="AU57" i="100"/>
  <c r="AU61" i="100"/>
  <c r="AU51" i="100"/>
  <c r="AU50" i="100"/>
  <c r="AU60" i="100"/>
  <c r="AU45" i="100"/>
  <c r="AU47" i="100"/>
  <c r="AU48" i="100"/>
  <c r="AU49" i="100"/>
  <c r="AU55" i="100"/>
  <c r="AU53" i="100"/>
  <c r="AU58" i="100"/>
  <c r="AU54" i="100"/>
  <c r="AU56" i="100"/>
  <c r="AU52" i="100"/>
  <c r="AU59" i="100"/>
  <c r="N18" i="105"/>
  <c r="DR49" i="125"/>
  <c r="DR86" i="125"/>
  <c r="L14" i="110"/>
  <c r="H7" i="105"/>
  <c r="M7" i="105" s="1"/>
  <c r="O17" i="110"/>
  <c r="CN62" i="90"/>
  <c r="CN49" i="90"/>
  <c r="L15" i="110"/>
  <c r="AK15" i="100"/>
  <c r="IK16" i="100"/>
  <c r="H12" i="104"/>
  <c r="H15" i="104" s="1"/>
  <c r="I5" i="104" s="1"/>
  <c r="N5" i="104" s="1"/>
  <c r="CJ86" i="90"/>
  <c r="CL86" i="90"/>
  <c r="T12" i="104"/>
  <c r="T15" i="104" s="1"/>
  <c r="AT339" i="100"/>
  <c r="AT209" i="100"/>
  <c r="AU196" i="100"/>
  <c r="AU300" i="100"/>
  <c r="AU194" i="100"/>
  <c r="AU289" i="100"/>
  <c r="AU32" i="100"/>
  <c r="AU206" i="100"/>
  <c r="AU65" i="100"/>
  <c r="AU313" i="100"/>
  <c r="AU184" i="100"/>
  <c r="AU74" i="100"/>
  <c r="AU177" i="100"/>
  <c r="AU197" i="100"/>
  <c r="AU26" i="100"/>
  <c r="AU41" i="100"/>
  <c r="AU24" i="100"/>
  <c r="AU205" i="100"/>
  <c r="AU23" i="100"/>
  <c r="AU203" i="100"/>
  <c r="AU13" i="100"/>
  <c r="AU166" i="100"/>
  <c r="AU309" i="100"/>
  <c r="AU66" i="100"/>
  <c r="AU201" i="100"/>
  <c r="AU319" i="100"/>
  <c r="AU187" i="100"/>
  <c r="AU17" i="100"/>
  <c r="AU306" i="100"/>
  <c r="AU288" i="100"/>
  <c r="AU39" i="100"/>
  <c r="AU322" i="100"/>
  <c r="AU167" i="100"/>
  <c r="AU68" i="100"/>
  <c r="AU328" i="100"/>
  <c r="AU170" i="100"/>
  <c r="AU33" i="100"/>
  <c r="AU207" i="100"/>
  <c r="AU317" i="100"/>
  <c r="AU336" i="100"/>
  <c r="AU174" i="100"/>
  <c r="AU298" i="100"/>
  <c r="AU40" i="100"/>
  <c r="AU64" i="100"/>
  <c r="AU9" i="100"/>
  <c r="AU302" i="100"/>
  <c r="AU337" i="100"/>
  <c r="AU301" i="100"/>
  <c r="AU185" i="100"/>
  <c r="AU183" i="100"/>
  <c r="AU42" i="100"/>
  <c r="AU43" i="100"/>
  <c r="AU11" i="100"/>
  <c r="AU173" i="100"/>
  <c r="AU334" i="100"/>
  <c r="AU189" i="100"/>
  <c r="AU67" i="100"/>
  <c r="AU158" i="100"/>
  <c r="AU202" i="100"/>
  <c r="AU21" i="100"/>
  <c r="AU333" i="100"/>
  <c r="AU198" i="100"/>
  <c r="AU70" i="100"/>
  <c r="AU296" i="100"/>
  <c r="AU38" i="100"/>
  <c r="AU291" i="100"/>
  <c r="AU294" i="100"/>
  <c r="AU76" i="100"/>
  <c r="AU72" i="100"/>
  <c r="AU10" i="100"/>
  <c r="AU323" i="100"/>
  <c r="AU73" i="100"/>
  <c r="AU30" i="100"/>
  <c r="AU14" i="100"/>
  <c r="AU71" i="100"/>
  <c r="AU321" i="100"/>
  <c r="AU192" i="100"/>
  <c r="AU311" i="100"/>
  <c r="AU8" i="100"/>
  <c r="AU312" i="100"/>
  <c r="AU160" i="100"/>
  <c r="AU163" i="100"/>
  <c r="AU36" i="100"/>
  <c r="AU29" i="100"/>
  <c r="AU179" i="100"/>
  <c r="AU295" i="100"/>
  <c r="AU195" i="100"/>
  <c r="AU176" i="100"/>
  <c r="AU320" i="100"/>
  <c r="AU316" i="100"/>
  <c r="AU329" i="100"/>
  <c r="AU159" i="100"/>
  <c r="AU330" i="100"/>
  <c r="AU304" i="100"/>
  <c r="AU290" i="100"/>
  <c r="AU22" i="100"/>
  <c r="AU162" i="100"/>
  <c r="AU165" i="100"/>
  <c r="AU186" i="100"/>
  <c r="AU314" i="100"/>
  <c r="AU164" i="100"/>
  <c r="AU12" i="100"/>
  <c r="AU325" i="100"/>
  <c r="AU182" i="100"/>
  <c r="AU335" i="100"/>
  <c r="AU190" i="100"/>
  <c r="AU303" i="100"/>
  <c r="AU324" i="100"/>
  <c r="AU168" i="100"/>
  <c r="AV7" i="100"/>
  <c r="AU31" i="100"/>
  <c r="AU305" i="100"/>
  <c r="AU161" i="100"/>
  <c r="AU19" i="100"/>
  <c r="AU188" i="100"/>
  <c r="AU25" i="100"/>
  <c r="AU331" i="100"/>
  <c r="AU27" i="100"/>
  <c r="AU35" i="100"/>
  <c r="AU191" i="100"/>
  <c r="AU28" i="100"/>
  <c r="AU200" i="100"/>
  <c r="AU293" i="100"/>
  <c r="AU297" i="100"/>
  <c r="AU180" i="100"/>
  <c r="AU34" i="100"/>
  <c r="AU292" i="100"/>
  <c r="AU18" i="100"/>
  <c r="AU307" i="100"/>
  <c r="AU310" i="100"/>
  <c r="AU169" i="100"/>
  <c r="AU75" i="100"/>
  <c r="AU318" i="100"/>
  <c r="AU308" i="100"/>
  <c r="AU20" i="100"/>
  <c r="AU327" i="100"/>
  <c r="AU16" i="100"/>
  <c r="AU37" i="100"/>
  <c r="AU171" i="100"/>
  <c r="AU15" i="100"/>
  <c r="AU315" i="100"/>
  <c r="AU178" i="100"/>
  <c r="AU204" i="100"/>
  <c r="AU181" i="100"/>
  <c r="AU69" i="100"/>
  <c r="AU326" i="100"/>
  <c r="AU299" i="100"/>
  <c r="AU199" i="100"/>
  <c r="AU77" i="100"/>
  <c r="AU175" i="100"/>
  <c r="AU172" i="100"/>
  <c r="AU332" i="100"/>
  <c r="AU193" i="100"/>
  <c r="ES287" i="100"/>
  <c r="ER338" i="100"/>
  <c r="BS143" i="125"/>
  <c r="DX99" i="125"/>
  <c r="BS29" i="125"/>
  <c r="BD142" i="125"/>
  <c r="AB26" i="125"/>
  <c r="AB37" i="125"/>
  <c r="AB30" i="125"/>
  <c r="AB35" i="125"/>
  <c r="AB146" i="125"/>
  <c r="AB36" i="125"/>
  <c r="BS149" i="125"/>
  <c r="AB33" i="125"/>
  <c r="BS140" i="125"/>
  <c r="AB142" i="125"/>
  <c r="BS25" i="125"/>
  <c r="AB144" i="125"/>
  <c r="BS141" i="125"/>
  <c r="BD29" i="125"/>
  <c r="BS147" i="125"/>
  <c r="BD141" i="125"/>
  <c r="BS150" i="125"/>
  <c r="BS28" i="125"/>
  <c r="BS37" i="125"/>
  <c r="BS27" i="125"/>
  <c r="AB29" i="125"/>
  <c r="BS36" i="125"/>
  <c r="BD149" i="125"/>
  <c r="AB143" i="125"/>
  <c r="BS144" i="125"/>
  <c r="BD27" i="125"/>
  <c r="BD31" i="125"/>
  <c r="BD33" i="125"/>
  <c r="BD138" i="125"/>
  <c r="AA25" i="125"/>
  <c r="BC25" i="125"/>
  <c r="Z25" i="125"/>
  <c r="BB25" i="125"/>
  <c r="AB34" i="125"/>
  <c r="BD140" i="125"/>
  <c r="BD28" i="125"/>
  <c r="BD26" i="125"/>
  <c r="AB147" i="125"/>
  <c r="DY86" i="125"/>
  <c r="BD32" i="125"/>
  <c r="BD139" i="125"/>
  <c r="AB139" i="125"/>
  <c r="AB149" i="125"/>
  <c r="BS30" i="125"/>
  <c r="BS138" i="125"/>
  <c r="AB32" i="125"/>
  <c r="AB31" i="125"/>
  <c r="BD146" i="125"/>
  <c r="DV81" i="125"/>
  <c r="BP25" i="125"/>
  <c r="BD143" i="125"/>
  <c r="BS26" i="125"/>
  <c r="BD145" i="125"/>
  <c r="AB141" i="125"/>
  <c r="DX86" i="125"/>
  <c r="BS34" i="125"/>
  <c r="BD30" i="125"/>
  <c r="AB150" i="125"/>
  <c r="AB27" i="125"/>
  <c r="BD147" i="125"/>
  <c r="BS31" i="125"/>
  <c r="BS142" i="125"/>
  <c r="BS35" i="125"/>
  <c r="BS146" i="125"/>
  <c r="BD35" i="125"/>
  <c r="AB140" i="125"/>
  <c r="BD34" i="125"/>
  <c r="BS139" i="125"/>
  <c r="AB145" i="125"/>
  <c r="DR44" i="125"/>
  <c r="BD144" i="125"/>
  <c r="BT44" i="125"/>
  <c r="AB148" i="125"/>
  <c r="BS32" i="125"/>
  <c r="DY49" i="125"/>
  <c r="BP138" i="125"/>
  <c r="BD36" i="125"/>
  <c r="BD25" i="125"/>
  <c r="BD148" i="125"/>
  <c r="BS148" i="125"/>
  <c r="AB138" i="125"/>
  <c r="AB28" i="125"/>
  <c r="BS33" i="125"/>
  <c r="BS145" i="125"/>
  <c r="J15" i="105"/>
  <c r="DR81" i="90"/>
  <c r="D23" i="105"/>
  <c r="DV4" i="90"/>
  <c r="DX25" i="90"/>
  <c r="DY86" i="90"/>
  <c r="DX62" i="90"/>
  <c r="DV44" i="90"/>
  <c r="BT81" i="90"/>
  <c r="DX49" i="90"/>
  <c r="ER12" i="125"/>
  <c r="EK12" i="125"/>
  <c r="E23" i="105"/>
  <c r="N15" i="110"/>
  <c r="DX12" i="90"/>
  <c r="N14" i="110"/>
  <c r="EK25" i="125"/>
  <c r="EV25" i="125"/>
  <c r="EE12" i="125"/>
  <c r="DX138" i="90"/>
  <c r="EV12" i="125"/>
  <c r="DV120" i="90"/>
  <c r="DX125" i="90"/>
  <c r="EF25" i="125" l="1"/>
  <c r="EC25" i="125"/>
  <c r="EB25" i="125"/>
  <c r="CN62" i="125"/>
  <c r="CN49" i="125"/>
  <c r="EL12" i="125"/>
  <c r="EM12" i="125" s="1"/>
  <c r="EW12" i="125"/>
  <c r="EX12" i="125" s="1"/>
  <c r="EI12" i="125"/>
  <c r="ET12" i="125"/>
  <c r="AD26" i="125"/>
  <c r="AE26" i="125" s="1"/>
  <c r="BI33" i="125"/>
  <c r="BF33" i="125"/>
  <c r="BG33" i="125" s="1"/>
  <c r="BI29" i="125"/>
  <c r="BF29" i="125"/>
  <c r="BG29" i="125" s="1"/>
  <c r="AD29" i="125"/>
  <c r="AE29" i="125" s="1"/>
  <c r="BI26" i="125"/>
  <c r="BF26" i="125"/>
  <c r="BG26" i="125" s="1"/>
  <c r="BI32" i="125"/>
  <c r="BF32" i="125"/>
  <c r="BG32" i="125" s="1"/>
  <c r="BI31" i="125"/>
  <c r="BF31" i="125"/>
  <c r="BG31" i="125" s="1"/>
  <c r="AD32" i="125"/>
  <c r="AE32" i="125" s="1"/>
  <c r="BF27" i="125"/>
  <c r="BG27" i="125" s="1"/>
  <c r="BI27" i="125"/>
  <c r="BI34" i="125"/>
  <c r="BF34" i="125"/>
  <c r="BG34" i="125" s="1"/>
  <c r="AD35" i="125"/>
  <c r="AE35" i="125" s="1"/>
  <c r="BI28" i="125"/>
  <c r="BF28" i="125"/>
  <c r="BG28" i="125" s="1"/>
  <c r="BI30" i="125"/>
  <c r="BF30" i="125"/>
  <c r="BG30" i="125" s="1"/>
  <c r="AD30" i="125"/>
  <c r="AE30" i="125" s="1"/>
  <c r="AD33" i="125"/>
  <c r="AE33" i="125" s="1"/>
  <c r="AD37" i="125"/>
  <c r="AE37" i="125" s="1"/>
  <c r="BI35" i="125"/>
  <c r="BF35" i="125"/>
  <c r="BG35" i="125" s="1"/>
  <c r="AD27" i="125"/>
  <c r="AE27" i="125" s="1"/>
  <c r="AD36" i="125"/>
  <c r="AE36" i="125" s="1"/>
  <c r="BI36" i="125"/>
  <c r="BF36" i="125"/>
  <c r="BG36" i="125" s="1"/>
  <c r="AD28" i="125"/>
  <c r="AE28" i="125" s="1"/>
  <c r="AD31" i="125"/>
  <c r="AE31" i="125" s="1"/>
  <c r="AF25" i="125"/>
  <c r="AT25" i="125" s="1"/>
  <c r="DG25" i="125" s="1"/>
  <c r="AD34" i="125"/>
  <c r="AE34" i="125" s="1"/>
  <c r="BV30" i="125"/>
  <c r="BW30" i="125" s="1"/>
  <c r="BV28" i="125"/>
  <c r="BW28" i="125" s="1"/>
  <c r="CM25" i="125"/>
  <c r="FC25" i="125"/>
  <c r="BV27" i="125"/>
  <c r="BW27" i="125" s="1"/>
  <c r="BV32" i="125"/>
  <c r="BW32" i="125" s="1"/>
  <c r="BV37" i="125"/>
  <c r="BW37" i="125" s="1"/>
  <c r="BV29" i="125"/>
  <c r="BW29" i="125" s="1"/>
  <c r="BV31" i="125"/>
  <c r="BW31" i="125" s="1"/>
  <c r="BV33" i="125"/>
  <c r="BW33" i="125" s="1"/>
  <c r="BV34" i="125"/>
  <c r="BW34" i="125" s="1"/>
  <c r="BV35" i="125"/>
  <c r="BW35" i="125" s="1"/>
  <c r="BV36" i="125"/>
  <c r="BW36" i="125" s="1"/>
  <c r="BV26" i="125"/>
  <c r="BW26" i="125" s="1"/>
  <c r="BN25" i="125"/>
  <c r="CK25" i="125" s="1"/>
  <c r="O26" i="110"/>
  <c r="DZ99" i="125"/>
  <c r="K99" i="125" s="1"/>
  <c r="BN138" i="125"/>
  <c r="CJ138" i="125" s="1"/>
  <c r="CL138" i="125"/>
  <c r="BV148" i="125"/>
  <c r="BW148" i="125" s="1"/>
  <c r="BV144" i="125"/>
  <c r="BW144" i="125" s="1"/>
  <c r="CM138" i="125"/>
  <c r="AD145" i="125"/>
  <c r="AE145" i="125" s="1"/>
  <c r="AD139" i="125"/>
  <c r="AE139" i="125" s="1"/>
  <c r="BV149" i="125"/>
  <c r="BW149" i="125" s="1"/>
  <c r="AD147" i="125"/>
  <c r="AE147" i="125" s="1"/>
  <c r="BI140" i="125"/>
  <c r="BF140" i="125"/>
  <c r="BG140" i="125" s="1"/>
  <c r="BI148" i="125"/>
  <c r="BF148" i="125"/>
  <c r="BG148" i="125" s="1"/>
  <c r="BV146" i="125"/>
  <c r="BW146" i="125" s="1"/>
  <c r="BI146" i="125"/>
  <c r="BF146" i="125"/>
  <c r="BG146" i="125" s="1"/>
  <c r="BV142" i="125"/>
  <c r="BW142" i="125" s="1"/>
  <c r="BI139" i="125"/>
  <c r="BF139" i="125"/>
  <c r="BG139" i="125" s="1"/>
  <c r="BV145" i="125"/>
  <c r="BW145" i="125" s="1"/>
  <c r="AD144" i="125"/>
  <c r="AE144" i="125" s="1"/>
  <c r="AF138" i="125"/>
  <c r="DE138" i="125" s="1"/>
  <c r="DK138" i="125" s="1"/>
  <c r="BF143" i="125"/>
  <c r="BG143" i="125" s="1"/>
  <c r="BI143" i="125"/>
  <c r="BV150" i="125"/>
  <c r="BW150" i="125" s="1"/>
  <c r="AD141" i="125"/>
  <c r="AE141" i="125" s="1"/>
  <c r="CH138" i="125"/>
  <c r="BV143" i="125"/>
  <c r="BW143" i="125" s="1"/>
  <c r="AD150" i="125"/>
  <c r="AE150" i="125" s="1"/>
  <c r="BF142" i="125"/>
  <c r="BG142" i="125" s="1"/>
  <c r="BI142" i="125"/>
  <c r="AD149" i="125"/>
  <c r="AE149" i="125" s="1"/>
  <c r="BI144" i="125"/>
  <c r="BF144" i="125"/>
  <c r="BG144" i="125" s="1"/>
  <c r="BV147" i="125"/>
  <c r="BW147" i="125" s="1"/>
  <c r="AD142" i="125"/>
  <c r="AE142" i="125" s="1"/>
  <c r="BI147" i="125"/>
  <c r="BF147" i="125"/>
  <c r="BG147" i="125" s="1"/>
  <c r="BV139" i="125"/>
  <c r="BW139" i="125" s="1"/>
  <c r="BF149" i="125"/>
  <c r="BG149" i="125" s="1"/>
  <c r="AD140" i="125"/>
  <c r="AE140" i="125" s="1"/>
  <c r="AD143" i="125"/>
  <c r="AE143" i="125" s="1"/>
  <c r="AD146" i="125"/>
  <c r="AE146" i="125" s="1"/>
  <c r="BF141" i="125"/>
  <c r="BG141" i="125" s="1"/>
  <c r="BI141" i="125"/>
  <c r="CI138" i="125"/>
  <c r="BI145" i="125"/>
  <c r="BF145" i="125"/>
  <c r="BG145" i="125" s="1"/>
  <c r="AD148" i="125"/>
  <c r="AE148" i="125" s="1"/>
  <c r="BV141" i="125"/>
  <c r="BW141" i="125" s="1"/>
  <c r="BV140" i="125"/>
  <c r="BW140" i="125" s="1"/>
  <c r="P99" i="125"/>
  <c r="DX81" i="125"/>
  <c r="CN99" i="90"/>
  <c r="CN86" i="90"/>
  <c r="DZ125" i="90"/>
  <c r="DZ12" i="90"/>
  <c r="AV46" i="100"/>
  <c r="AV63" i="100"/>
  <c r="AV44" i="100"/>
  <c r="AV62" i="100"/>
  <c r="AV58" i="100"/>
  <c r="AV59" i="100"/>
  <c r="AV56" i="100"/>
  <c r="AV61" i="100"/>
  <c r="AV48" i="100"/>
  <c r="AV54" i="100"/>
  <c r="AV45" i="100"/>
  <c r="AV53" i="100"/>
  <c r="AV51" i="100"/>
  <c r="AV50" i="100"/>
  <c r="AV57" i="100"/>
  <c r="AV60" i="100"/>
  <c r="AV47" i="100"/>
  <c r="AV52" i="100"/>
  <c r="AV55" i="100"/>
  <c r="AV49" i="100"/>
  <c r="H15" i="105"/>
  <c r="M15" i="105" s="1"/>
  <c r="FB25" i="125"/>
  <c r="CI25" i="125"/>
  <c r="DZ86" i="125"/>
  <c r="O29" i="110"/>
  <c r="DZ62" i="90"/>
  <c r="DZ25" i="90"/>
  <c r="P62" i="90"/>
  <c r="DX120" i="90"/>
  <c r="DX4" i="90"/>
  <c r="DZ49" i="90"/>
  <c r="P25" i="90"/>
  <c r="DZ138" i="90"/>
  <c r="S138" i="90" s="1"/>
  <c r="P138" i="90"/>
  <c r="DX44" i="90"/>
  <c r="IK17" i="100"/>
  <c r="AK16" i="100"/>
  <c r="N12" i="104"/>
  <c r="Q12" i="104" s="1"/>
  <c r="AU79" i="100"/>
  <c r="AU78" i="100" s="1"/>
  <c r="AU209" i="100"/>
  <c r="AU339" i="100"/>
  <c r="ET287" i="100"/>
  <c r="ES338" i="100"/>
  <c r="AV313" i="100"/>
  <c r="AV293" i="100"/>
  <c r="AV291" i="100"/>
  <c r="AV184" i="100"/>
  <c r="AV188" i="100"/>
  <c r="AV32" i="100"/>
  <c r="AV307" i="100"/>
  <c r="AV301" i="100"/>
  <c r="AV195" i="100"/>
  <c r="AV336" i="100"/>
  <c r="AV23" i="100"/>
  <c r="AV18" i="100"/>
  <c r="AV298" i="100"/>
  <c r="AV312" i="100"/>
  <c r="AV16" i="100"/>
  <c r="AV196" i="100"/>
  <c r="AV302" i="100"/>
  <c r="AV324" i="100"/>
  <c r="AV171" i="100"/>
  <c r="AV332" i="100"/>
  <c r="AV30" i="100"/>
  <c r="AV175" i="100"/>
  <c r="AV292" i="100"/>
  <c r="AV318" i="100"/>
  <c r="AV325" i="100"/>
  <c r="AV39" i="100"/>
  <c r="AV328" i="100"/>
  <c r="AV11" i="100"/>
  <c r="AV19" i="100"/>
  <c r="AV322" i="100"/>
  <c r="AV200" i="100"/>
  <c r="AV164" i="100"/>
  <c r="AV72" i="100"/>
  <c r="AV64" i="100"/>
  <c r="AV309" i="100"/>
  <c r="AV29" i="100"/>
  <c r="AV71" i="100"/>
  <c r="AV337" i="100"/>
  <c r="AW7" i="100"/>
  <c r="AV326" i="100"/>
  <c r="AV20" i="100"/>
  <c r="AV182" i="100"/>
  <c r="AV75" i="100"/>
  <c r="AV331" i="100"/>
  <c r="AV177" i="100"/>
  <c r="AV308" i="100"/>
  <c r="AV15" i="100"/>
  <c r="AV288" i="100"/>
  <c r="AV43" i="100"/>
  <c r="AV181" i="100"/>
  <c r="AV197" i="100"/>
  <c r="AV297" i="100"/>
  <c r="AV28" i="100"/>
  <c r="AV315" i="100"/>
  <c r="AV66" i="100"/>
  <c r="AV36" i="100"/>
  <c r="AV289" i="100"/>
  <c r="AV330" i="100"/>
  <c r="AV170" i="100"/>
  <c r="AV310" i="100"/>
  <c r="AV35" i="100"/>
  <c r="AV187" i="100"/>
  <c r="AV327" i="100"/>
  <c r="AV321" i="100"/>
  <c r="AV189" i="100"/>
  <c r="AV165" i="100"/>
  <c r="AV319" i="100"/>
  <c r="AV68" i="100"/>
  <c r="AV168" i="100"/>
  <c r="AV40" i="100"/>
  <c r="AV305" i="100"/>
  <c r="AV317" i="100"/>
  <c r="AV73" i="100"/>
  <c r="AV14" i="100"/>
  <c r="AV207" i="100"/>
  <c r="AV294" i="100"/>
  <c r="AV306" i="100"/>
  <c r="AV183" i="100"/>
  <c r="AV9" i="100"/>
  <c r="AV65" i="100"/>
  <c r="AV173" i="100"/>
  <c r="AV172" i="100"/>
  <c r="AV204" i="100"/>
  <c r="AV24" i="100"/>
  <c r="AV166" i="100"/>
  <c r="AV10" i="100"/>
  <c r="AV299" i="100"/>
  <c r="AV290" i="100"/>
  <c r="AV303" i="100"/>
  <c r="AV167" i="100"/>
  <c r="AV320" i="100"/>
  <c r="AV314" i="100"/>
  <c r="AV296" i="100"/>
  <c r="AV26" i="100"/>
  <c r="AV323" i="100"/>
  <c r="AV329" i="100"/>
  <c r="AV178" i="100"/>
  <c r="AV13" i="100"/>
  <c r="AV25" i="100"/>
  <c r="AV22" i="100"/>
  <c r="AV333" i="100"/>
  <c r="AV194" i="100"/>
  <c r="AV193" i="100"/>
  <c r="AV179" i="100"/>
  <c r="AV191" i="100"/>
  <c r="AV76" i="100"/>
  <c r="AV162" i="100"/>
  <c r="AV42" i="100"/>
  <c r="AV335" i="100"/>
  <c r="AV174" i="100"/>
  <c r="AV161" i="100"/>
  <c r="AV17" i="100"/>
  <c r="AV70" i="100"/>
  <c r="AV74" i="100"/>
  <c r="AV31" i="100"/>
  <c r="AV21" i="100"/>
  <c r="AV159" i="100"/>
  <c r="AV37" i="100"/>
  <c r="AV176" i="100"/>
  <c r="AV190" i="100"/>
  <c r="AV206" i="100"/>
  <c r="AV192" i="100"/>
  <c r="AV205" i="100"/>
  <c r="AV67" i="100"/>
  <c r="AV33" i="100"/>
  <c r="AV316" i="100"/>
  <c r="AV295" i="100"/>
  <c r="AV41" i="100"/>
  <c r="AV202" i="100"/>
  <c r="AV34" i="100"/>
  <c r="AV158" i="100"/>
  <c r="AV38" i="100"/>
  <c r="AV163" i="100"/>
  <c r="AV69" i="100"/>
  <c r="AV185" i="100"/>
  <c r="AV311" i="100"/>
  <c r="AV27" i="100"/>
  <c r="AV201" i="100"/>
  <c r="AV180" i="100"/>
  <c r="AV300" i="100"/>
  <c r="AV203" i="100"/>
  <c r="AV186" i="100"/>
  <c r="AV169" i="100"/>
  <c r="AV304" i="100"/>
  <c r="AV199" i="100"/>
  <c r="AV334" i="100"/>
  <c r="AV198" i="100"/>
  <c r="AV8" i="100"/>
  <c r="AV77" i="100"/>
  <c r="AV12" i="100"/>
  <c r="AV160" i="100"/>
  <c r="AC35" i="125"/>
  <c r="BT139" i="125"/>
  <c r="AC149" i="125"/>
  <c r="AC143" i="125"/>
  <c r="AC34" i="125"/>
  <c r="AC146" i="125"/>
  <c r="BT146" i="125"/>
  <c r="AC147" i="125"/>
  <c r="AC29" i="125"/>
  <c r="AC26" i="125"/>
  <c r="DV44" i="125"/>
  <c r="BT32" i="125"/>
  <c r="BE142" i="125"/>
  <c r="AC36" i="125"/>
  <c r="BT150" i="125"/>
  <c r="AC139" i="125"/>
  <c r="BT34" i="125"/>
  <c r="BT142" i="125"/>
  <c r="BE139" i="125"/>
  <c r="AH25" i="125"/>
  <c r="AC31" i="125"/>
  <c r="BT141" i="125"/>
  <c r="BT144" i="125"/>
  <c r="AC140" i="125"/>
  <c r="DX49" i="125"/>
  <c r="BT143" i="125"/>
  <c r="BT27" i="125"/>
  <c r="BT35" i="125"/>
  <c r="AC144" i="125"/>
  <c r="BT33" i="125"/>
  <c r="BT147" i="125"/>
  <c r="BT37" i="125"/>
  <c r="BE140" i="125"/>
  <c r="BE149" i="125"/>
  <c r="BT148" i="125"/>
  <c r="AC145" i="125"/>
  <c r="BT26" i="125"/>
  <c r="BT30" i="125"/>
  <c r="BT149" i="125"/>
  <c r="AC32" i="125"/>
  <c r="E81" i="125"/>
  <c r="BT28" i="125"/>
  <c r="BE147" i="125"/>
  <c r="AC33" i="125"/>
  <c r="AC141" i="125"/>
  <c r="BT36" i="125"/>
  <c r="DX62" i="125"/>
  <c r="BE144" i="125"/>
  <c r="AC28" i="125"/>
  <c r="AC37" i="125"/>
  <c r="AB25" i="125"/>
  <c r="BT29" i="125"/>
  <c r="BE145" i="125"/>
  <c r="BE146" i="125"/>
  <c r="AC27" i="125"/>
  <c r="BE143" i="125"/>
  <c r="AC30" i="125"/>
  <c r="BT31" i="125"/>
  <c r="AC148" i="125"/>
  <c r="BT145" i="125"/>
  <c r="AC142" i="125"/>
  <c r="AH138" i="125"/>
  <c r="BE148" i="125"/>
  <c r="BE141" i="125"/>
  <c r="BT140" i="125"/>
  <c r="AC150" i="125"/>
  <c r="T25" i="90"/>
  <c r="S62" i="90"/>
  <c r="DV81" i="90"/>
  <c r="E4" i="90"/>
  <c r="DX99" i="90"/>
  <c r="DX86" i="90"/>
  <c r="E120" i="90"/>
  <c r="EY12" i="125"/>
  <c r="EN12" i="125"/>
  <c r="DT49" i="90"/>
  <c r="DW125" i="90"/>
  <c r="DW12" i="90"/>
  <c r="E44" i="90"/>
  <c r="FA25" i="125" l="1"/>
  <c r="EH12" i="125"/>
  <c r="EJ12" i="125" s="1"/>
  <c r="EO12" i="125" s="1"/>
  <c r="ES12" i="125"/>
  <c r="EU12" i="125" s="1"/>
  <c r="EZ12" i="125" s="1"/>
  <c r="CL25" i="125"/>
  <c r="AL25" i="125"/>
  <c r="AI25" i="125"/>
  <c r="AX25" i="125"/>
  <c r="AV25" i="125"/>
  <c r="BH25" i="125"/>
  <c r="CY26" i="125" s="1"/>
  <c r="AJ25" i="125"/>
  <c r="CH25" i="125"/>
  <c r="AD25" i="125"/>
  <c r="AE25" i="125" s="1"/>
  <c r="ED25" i="125"/>
  <c r="EI25" i="125" s="1"/>
  <c r="BY26" i="125"/>
  <c r="BY30" i="125"/>
  <c r="BY36" i="125"/>
  <c r="BY35" i="125"/>
  <c r="BY34" i="125"/>
  <c r="BY33" i="125"/>
  <c r="BY29" i="125"/>
  <c r="BY27" i="125"/>
  <c r="BY28" i="125"/>
  <c r="BY31" i="125"/>
  <c r="BY37" i="125"/>
  <c r="BY32" i="125"/>
  <c r="EL25" i="125"/>
  <c r="EM25" i="125" s="1"/>
  <c r="AM25" i="125"/>
  <c r="AQ25" i="125"/>
  <c r="AL138" i="125"/>
  <c r="AR138" i="125"/>
  <c r="AO25" i="125"/>
  <c r="DF25" i="125" s="1"/>
  <c r="AS138" i="125"/>
  <c r="AS25" i="125"/>
  <c r="AK25" i="125"/>
  <c r="AW25" i="125"/>
  <c r="FG25" i="125" s="1"/>
  <c r="AO138" i="125"/>
  <c r="DF138" i="125" s="1"/>
  <c r="AQ138" i="125"/>
  <c r="AN25" i="125"/>
  <c r="AR25" i="125"/>
  <c r="FE25" i="125" s="1"/>
  <c r="CJ25" i="125"/>
  <c r="DE25" i="125"/>
  <c r="DK25" i="125" s="1"/>
  <c r="O99" i="125"/>
  <c r="AK138" i="125"/>
  <c r="AM138" i="125"/>
  <c r="AT138" i="125"/>
  <c r="DG138" i="125" s="1"/>
  <c r="AJ138" i="125"/>
  <c r="AI138" i="125"/>
  <c r="AX138" i="125"/>
  <c r="AW138" i="125"/>
  <c r="AV138" i="125"/>
  <c r="BH138" i="125"/>
  <c r="DB139" i="125" s="1"/>
  <c r="AN138" i="125"/>
  <c r="CO138" i="125"/>
  <c r="BY140" i="125"/>
  <c r="BY142" i="125"/>
  <c r="BY144" i="125"/>
  <c r="BY143" i="125"/>
  <c r="BY147" i="125"/>
  <c r="BY141" i="125"/>
  <c r="BY149" i="125"/>
  <c r="BY150" i="125"/>
  <c r="BY148" i="125"/>
  <c r="BY139" i="125"/>
  <c r="BY146" i="125"/>
  <c r="BY145" i="125"/>
  <c r="DX44" i="125"/>
  <c r="AD138" i="125"/>
  <c r="AE138" i="125" s="1"/>
  <c r="DZ49" i="125"/>
  <c r="CK86" i="125"/>
  <c r="CO86" i="125" s="1"/>
  <c r="DZ62" i="125"/>
  <c r="P62" i="125"/>
  <c r="DX81" i="90"/>
  <c r="AW63" i="100"/>
  <c r="AW61" i="100"/>
  <c r="AW44" i="100"/>
  <c r="AW46" i="100"/>
  <c r="AW58" i="100"/>
  <c r="AW60" i="100"/>
  <c r="AW62" i="100"/>
  <c r="AW50" i="100"/>
  <c r="AW49" i="100"/>
  <c r="AW54" i="100"/>
  <c r="AW56" i="100"/>
  <c r="AW47" i="100"/>
  <c r="AW59" i="100"/>
  <c r="AW48" i="100"/>
  <c r="AW52" i="100"/>
  <c r="AW45" i="100"/>
  <c r="AW57" i="100"/>
  <c r="AW55" i="100"/>
  <c r="AW51" i="100"/>
  <c r="AW53" i="100"/>
  <c r="DZ99" i="90"/>
  <c r="P99" i="90"/>
  <c r="O25" i="90"/>
  <c r="K62" i="90"/>
  <c r="K25" i="90"/>
  <c r="O62" i="90"/>
  <c r="R62" i="90"/>
  <c r="O138" i="90"/>
  <c r="K138" i="90"/>
  <c r="T138" i="90"/>
  <c r="R138" i="90"/>
  <c r="CK12" i="90"/>
  <c r="CO12" i="90" s="1"/>
  <c r="CK125" i="90"/>
  <c r="CO125" i="90" s="1"/>
  <c r="CK49" i="90"/>
  <c r="CO49" i="90" s="1"/>
  <c r="DZ86" i="90"/>
  <c r="IK18" i="100"/>
  <c r="AK17" i="100"/>
  <c r="M49" i="90"/>
  <c r="N15" i="104"/>
  <c r="Q15" i="104"/>
  <c r="R12" i="104"/>
  <c r="R15" i="104" s="1"/>
  <c r="J5" i="104" s="1"/>
  <c r="O5" i="104" s="1"/>
  <c r="AV209" i="100"/>
  <c r="AV79" i="100"/>
  <c r="AV78" i="100" s="1"/>
  <c r="AV339" i="100"/>
  <c r="AW204" i="100"/>
  <c r="AW302" i="100"/>
  <c r="AW169" i="100"/>
  <c r="AW8" i="100"/>
  <c r="AW172" i="100"/>
  <c r="AW73" i="100"/>
  <c r="AW296" i="100"/>
  <c r="AW21" i="100"/>
  <c r="AW194" i="100"/>
  <c r="AW190" i="100"/>
  <c r="AW23" i="100"/>
  <c r="AW189" i="100"/>
  <c r="AW65" i="100"/>
  <c r="AW75" i="100"/>
  <c r="AW291" i="100"/>
  <c r="AW333" i="100"/>
  <c r="AW300" i="100"/>
  <c r="AW207" i="100"/>
  <c r="AW16" i="100"/>
  <c r="AW68" i="100"/>
  <c r="AW70" i="100"/>
  <c r="AW66" i="100"/>
  <c r="AW322" i="100"/>
  <c r="AW306" i="100"/>
  <c r="AW35" i="100"/>
  <c r="AW334" i="100"/>
  <c r="AW76" i="100"/>
  <c r="AW186" i="100"/>
  <c r="AW42" i="100"/>
  <c r="AW324" i="100"/>
  <c r="AW290" i="100"/>
  <c r="AW10" i="100"/>
  <c r="AW197" i="100"/>
  <c r="AW192" i="100"/>
  <c r="AW17" i="100"/>
  <c r="AW299" i="100"/>
  <c r="AW167" i="100"/>
  <c r="AW321" i="100"/>
  <c r="AW330" i="100"/>
  <c r="AW314" i="100"/>
  <c r="AW201" i="100"/>
  <c r="AW304" i="100"/>
  <c r="AW310" i="100"/>
  <c r="AW318" i="100"/>
  <c r="AW191" i="100"/>
  <c r="AW168" i="100"/>
  <c r="AW175" i="100"/>
  <c r="AW67" i="100"/>
  <c r="AW327" i="100"/>
  <c r="AW12" i="100"/>
  <c r="AW335" i="100"/>
  <c r="AW305" i="100"/>
  <c r="AW336" i="100"/>
  <c r="AW69" i="100"/>
  <c r="AW182" i="100"/>
  <c r="AW295" i="100"/>
  <c r="AW198" i="100"/>
  <c r="AW177" i="100"/>
  <c r="AW43" i="100"/>
  <c r="AW14" i="100"/>
  <c r="AW179" i="100"/>
  <c r="AW328" i="100"/>
  <c r="AW193" i="100"/>
  <c r="AW165" i="100"/>
  <c r="AW313" i="100"/>
  <c r="AW162" i="100"/>
  <c r="AW163" i="100"/>
  <c r="AW293" i="100"/>
  <c r="AW28" i="100"/>
  <c r="AW34" i="100"/>
  <c r="AW317" i="100"/>
  <c r="AW184" i="100"/>
  <c r="AW77" i="100"/>
  <c r="AW297" i="100"/>
  <c r="AW160" i="100"/>
  <c r="AW309" i="100"/>
  <c r="AW158" i="100"/>
  <c r="AW325" i="100"/>
  <c r="AW32" i="100"/>
  <c r="AW199" i="100"/>
  <c r="AW37" i="100"/>
  <c r="AW72" i="100"/>
  <c r="AW326" i="100"/>
  <c r="AW161" i="100"/>
  <c r="AW25" i="100"/>
  <c r="AW307" i="100"/>
  <c r="AW64" i="100"/>
  <c r="AW181" i="100"/>
  <c r="AW320" i="100"/>
  <c r="AW36" i="100"/>
  <c r="AW164" i="100"/>
  <c r="AW195" i="100"/>
  <c r="AW319" i="100"/>
  <c r="AW294" i="100"/>
  <c r="AW159" i="100"/>
  <c r="AW205" i="100"/>
  <c r="AW11" i="100"/>
  <c r="AW39" i="100"/>
  <c r="AW180" i="100"/>
  <c r="AW196" i="100"/>
  <c r="AW18" i="100"/>
  <c r="AW9" i="100"/>
  <c r="AW301" i="100"/>
  <c r="AW183" i="100"/>
  <c r="AW22" i="100"/>
  <c r="AW292" i="100"/>
  <c r="AW308" i="100"/>
  <c r="AW203" i="100"/>
  <c r="AW315" i="100"/>
  <c r="AW29" i="100"/>
  <c r="AW27" i="100"/>
  <c r="AW38" i="100"/>
  <c r="AW173" i="100"/>
  <c r="AW30" i="100"/>
  <c r="AW323" i="100"/>
  <c r="AW170" i="100"/>
  <c r="AW40" i="100"/>
  <c r="AW74" i="100"/>
  <c r="AW337" i="100"/>
  <c r="AX7" i="100"/>
  <c r="AW176" i="100"/>
  <c r="AW178" i="100"/>
  <c r="AW329" i="100"/>
  <c r="AW166" i="100"/>
  <c r="AW13" i="100"/>
  <c r="AW26" i="100"/>
  <c r="AW185" i="100"/>
  <c r="AW24" i="100"/>
  <c r="AW171" i="100"/>
  <c r="AW33" i="100"/>
  <c r="AW288" i="100"/>
  <c r="AW19" i="100"/>
  <c r="AW174" i="100"/>
  <c r="AW298" i="100"/>
  <c r="AW200" i="100"/>
  <c r="AW206" i="100"/>
  <c r="AW71" i="100"/>
  <c r="AW31" i="100"/>
  <c r="AW188" i="100"/>
  <c r="AW312" i="100"/>
  <c r="AW15" i="100"/>
  <c r="AW289" i="100"/>
  <c r="AW41" i="100"/>
  <c r="AW303" i="100"/>
  <c r="AW311" i="100"/>
  <c r="AW332" i="100"/>
  <c r="AW202" i="100"/>
  <c r="AW316" i="100"/>
  <c r="AW187" i="100"/>
  <c r="AW331" i="100"/>
  <c r="AW20" i="100"/>
  <c r="EU287" i="100"/>
  <c r="ET338" i="100"/>
  <c r="Q99" i="125"/>
  <c r="DT86" i="125"/>
  <c r="E44" i="125"/>
  <c r="DW99" i="125"/>
  <c r="DT99" i="125"/>
  <c r="BJ25" i="125"/>
  <c r="BJ138" i="125"/>
  <c r="DW86" i="125"/>
  <c r="DT49" i="125"/>
  <c r="S99" i="125"/>
  <c r="T99" i="125"/>
  <c r="AC138" i="125"/>
  <c r="DT62" i="125"/>
  <c r="T62" i="90"/>
  <c r="T99" i="90"/>
  <c r="S25" i="90"/>
  <c r="AA138" i="90"/>
  <c r="Q25" i="90"/>
  <c r="DW62" i="90"/>
  <c r="DT138" i="90"/>
  <c r="DT125" i="90"/>
  <c r="DT25" i="90"/>
  <c r="Q138" i="90"/>
  <c r="DW138" i="90"/>
  <c r="DW25" i="90"/>
  <c r="EN25" i="125"/>
  <c r="BC138" i="90"/>
  <c r="DT62" i="90"/>
  <c r="DW49" i="90"/>
  <c r="DT12" i="90"/>
  <c r="Z138" i="90"/>
  <c r="BB138" i="90"/>
  <c r="Q62" i="90"/>
  <c r="E81" i="90"/>
  <c r="R25" i="90" l="1"/>
  <c r="M99" i="125"/>
  <c r="N99" i="125"/>
  <c r="BO99" i="125" s="1"/>
  <c r="R99" i="125"/>
  <c r="U99" i="125" s="1"/>
  <c r="M12" i="90"/>
  <c r="DI25" i="125"/>
  <c r="CX26" i="125"/>
  <c r="BF25" i="125"/>
  <c r="BG25" i="125" s="1"/>
  <c r="ES25" i="125" s="1"/>
  <c r="CT26" i="125"/>
  <c r="CU26" i="125"/>
  <c r="CS26" i="125"/>
  <c r="CZ26" i="125"/>
  <c r="DA26" i="125"/>
  <c r="DB26" i="125"/>
  <c r="CW26" i="125"/>
  <c r="CV26" i="125"/>
  <c r="CO25" i="125"/>
  <c r="EQ25" i="125"/>
  <c r="ET25" i="125" s="1"/>
  <c r="EW25" i="125"/>
  <c r="EX25" i="125" s="1"/>
  <c r="CR26" i="125"/>
  <c r="DC26" i="125"/>
  <c r="EH25" i="125"/>
  <c r="BX25" i="125"/>
  <c r="CY27" i="125" s="1"/>
  <c r="FF25" i="125"/>
  <c r="FD25" i="125"/>
  <c r="AU8" i="124"/>
  <c r="CY139" i="125"/>
  <c r="CX139" i="125"/>
  <c r="DC139" i="125"/>
  <c r="CZ139" i="125"/>
  <c r="AU8" i="1"/>
  <c r="DI138" i="125"/>
  <c r="CV139" i="125"/>
  <c r="DA139" i="125"/>
  <c r="BF138" i="125"/>
  <c r="BG138" i="125" s="1"/>
  <c r="CU139" i="125"/>
  <c r="CR139" i="125"/>
  <c r="CS139" i="125"/>
  <c r="CW139" i="125"/>
  <c r="BX138" i="125"/>
  <c r="CT140" i="125" s="1"/>
  <c r="CT139" i="125"/>
  <c r="CK49" i="125"/>
  <c r="CO49" i="125" s="1"/>
  <c r="M62" i="125"/>
  <c r="K62" i="125"/>
  <c r="O62" i="125"/>
  <c r="CK86" i="90"/>
  <c r="CO86" i="90" s="1"/>
  <c r="N62" i="90"/>
  <c r="BO62" i="90" s="1"/>
  <c r="N25" i="90"/>
  <c r="BO25" i="90" s="1"/>
  <c r="M62" i="90"/>
  <c r="U62" i="90"/>
  <c r="U25" i="90"/>
  <c r="AX63" i="100"/>
  <c r="AX44" i="100"/>
  <c r="AX59" i="100"/>
  <c r="AX62" i="100"/>
  <c r="AX46" i="100"/>
  <c r="AX51" i="100"/>
  <c r="AX54" i="100"/>
  <c r="AX48" i="100"/>
  <c r="AX53" i="100"/>
  <c r="AX50" i="100"/>
  <c r="AX45" i="100"/>
  <c r="AX55" i="100"/>
  <c r="AX56" i="100"/>
  <c r="AX58" i="100"/>
  <c r="AX47" i="100"/>
  <c r="AX52" i="100"/>
  <c r="AX60" i="100"/>
  <c r="AX49" i="100"/>
  <c r="AX61" i="100"/>
  <c r="AX57" i="100"/>
  <c r="M86" i="125"/>
  <c r="M49" i="125"/>
  <c r="O99" i="90"/>
  <c r="K99" i="90"/>
  <c r="M25" i="90"/>
  <c r="U138" i="90"/>
  <c r="N138" i="90"/>
  <c r="BO138" i="90" s="1"/>
  <c r="CK138" i="90" s="1"/>
  <c r="AK18" i="100"/>
  <c r="IK19" i="100"/>
  <c r="AW79" i="100"/>
  <c r="AW78" i="100" s="1"/>
  <c r="AW339" i="100"/>
  <c r="AW209" i="100"/>
  <c r="EV287" i="100"/>
  <c r="EU338" i="100"/>
  <c r="AX294" i="100"/>
  <c r="AX193" i="100"/>
  <c r="AX203" i="100"/>
  <c r="AX175" i="100"/>
  <c r="AX195" i="100"/>
  <c r="AX162" i="100"/>
  <c r="AX30" i="100"/>
  <c r="AX304" i="100"/>
  <c r="AX192" i="100"/>
  <c r="AX300" i="100"/>
  <c r="AX308" i="100"/>
  <c r="AX183" i="100"/>
  <c r="AX196" i="100"/>
  <c r="AX12" i="100"/>
  <c r="AX68" i="100"/>
  <c r="AX333" i="100"/>
  <c r="AX200" i="100"/>
  <c r="AX190" i="100"/>
  <c r="AX306" i="100"/>
  <c r="AX180" i="100"/>
  <c r="AX303" i="100"/>
  <c r="AX164" i="100"/>
  <c r="AX314" i="100"/>
  <c r="AX8" i="100"/>
  <c r="AX289" i="100"/>
  <c r="AX202" i="100"/>
  <c r="AX165" i="100"/>
  <c r="AX329" i="100"/>
  <c r="AX328" i="100"/>
  <c r="AX313" i="100"/>
  <c r="AX77" i="100"/>
  <c r="AX316" i="100"/>
  <c r="AX320" i="100"/>
  <c r="AX34" i="100"/>
  <c r="AX67" i="100"/>
  <c r="AX26" i="100"/>
  <c r="AX185" i="100"/>
  <c r="AX317" i="100"/>
  <c r="AX311" i="100"/>
  <c r="AX71" i="100"/>
  <c r="AX25" i="100"/>
  <c r="AX22" i="100"/>
  <c r="AX181" i="100"/>
  <c r="AX315" i="100"/>
  <c r="AX69" i="100"/>
  <c r="AX302" i="100"/>
  <c r="AX207" i="100"/>
  <c r="AX169" i="100"/>
  <c r="AX337" i="100"/>
  <c r="AX326" i="100"/>
  <c r="AX323" i="100"/>
  <c r="AX296" i="100"/>
  <c r="AX318" i="100"/>
  <c r="AX204" i="100"/>
  <c r="AX74" i="100"/>
  <c r="AX298" i="100"/>
  <c r="AX65" i="100"/>
  <c r="AX13" i="100"/>
  <c r="AX330" i="100"/>
  <c r="AX163" i="100"/>
  <c r="AX177" i="100"/>
  <c r="AX179" i="100"/>
  <c r="AX20" i="100"/>
  <c r="AX324" i="100"/>
  <c r="AX24" i="100"/>
  <c r="AX199" i="100"/>
  <c r="AX301" i="100"/>
  <c r="AX73" i="100"/>
  <c r="AX158" i="100"/>
  <c r="AX29" i="100"/>
  <c r="AX322" i="100"/>
  <c r="AX325" i="100"/>
  <c r="AX171" i="100"/>
  <c r="AX43" i="100"/>
  <c r="AX299" i="100"/>
  <c r="AX168" i="100"/>
  <c r="AX295" i="100"/>
  <c r="AX191" i="100"/>
  <c r="AX40" i="100"/>
  <c r="AX189" i="100"/>
  <c r="AX319" i="100"/>
  <c r="AX170" i="100"/>
  <c r="AX70" i="100"/>
  <c r="AX159" i="100"/>
  <c r="AX32" i="100"/>
  <c r="AX297" i="100"/>
  <c r="AX321" i="100"/>
  <c r="AX35" i="100"/>
  <c r="AX176" i="100"/>
  <c r="AX290" i="100"/>
  <c r="AX16" i="100"/>
  <c r="AX312" i="100"/>
  <c r="AX186" i="100"/>
  <c r="AX15" i="100"/>
  <c r="AX21" i="100"/>
  <c r="AX39" i="100"/>
  <c r="AX160" i="100"/>
  <c r="AX42" i="100"/>
  <c r="AX174" i="100"/>
  <c r="AX205" i="100"/>
  <c r="AX331" i="100"/>
  <c r="AX332" i="100"/>
  <c r="AX11" i="100"/>
  <c r="AX197" i="100"/>
  <c r="AX37" i="100"/>
  <c r="AX336" i="100"/>
  <c r="AX198" i="100"/>
  <c r="AX10" i="100"/>
  <c r="AX161" i="100"/>
  <c r="AX9" i="100"/>
  <c r="AX36" i="100"/>
  <c r="AX31" i="100"/>
  <c r="AX293" i="100"/>
  <c r="AX201" i="100"/>
  <c r="AX305" i="100"/>
  <c r="AX309" i="100"/>
  <c r="AX23" i="100"/>
  <c r="AX18" i="100"/>
  <c r="AX17" i="100"/>
  <c r="AX33" i="100"/>
  <c r="AX19" i="100"/>
  <c r="AX334" i="100"/>
  <c r="AX172" i="100"/>
  <c r="AX64" i="100"/>
  <c r="AX76" i="100"/>
  <c r="AX66" i="100"/>
  <c r="AX288" i="100"/>
  <c r="AX206" i="100"/>
  <c r="AX327" i="100"/>
  <c r="AX335" i="100"/>
  <c r="AX14" i="100"/>
  <c r="AX38" i="100"/>
  <c r="AX291" i="100"/>
  <c r="AX72" i="100"/>
  <c r="AX178" i="100"/>
  <c r="AX182" i="100"/>
  <c r="AX41" i="100"/>
  <c r="AX187" i="100"/>
  <c r="AX188" i="100"/>
  <c r="AX75" i="100"/>
  <c r="AX307" i="100"/>
  <c r="AX27" i="100"/>
  <c r="AX292" i="100"/>
  <c r="AX28" i="100"/>
  <c r="AX166" i="100"/>
  <c r="AY7" i="100"/>
  <c r="AX173" i="100"/>
  <c r="AX194" i="100"/>
  <c r="AX310" i="100"/>
  <c r="AX184" i="100"/>
  <c r="AX167" i="100"/>
  <c r="Q62" i="125"/>
  <c r="BB99" i="125"/>
  <c r="Z99" i="125"/>
  <c r="BC99" i="125"/>
  <c r="AA99" i="125"/>
  <c r="AB105" i="125"/>
  <c r="AB111" i="125"/>
  <c r="BZ138" i="125"/>
  <c r="BS109" i="125"/>
  <c r="BD107" i="125"/>
  <c r="DW62" i="125"/>
  <c r="BD100" i="125"/>
  <c r="BS110" i="125"/>
  <c r="AB104" i="125"/>
  <c r="AB108" i="125"/>
  <c r="T62" i="125"/>
  <c r="BS103" i="125"/>
  <c r="BS108" i="125"/>
  <c r="BS105" i="125"/>
  <c r="DW49" i="125"/>
  <c r="BS104" i="125"/>
  <c r="AC25" i="125"/>
  <c r="BD101" i="125"/>
  <c r="BS100" i="125"/>
  <c r="BC62" i="125"/>
  <c r="BE138" i="125"/>
  <c r="BB62" i="125"/>
  <c r="BS102" i="125"/>
  <c r="AB106" i="125"/>
  <c r="BD110" i="125"/>
  <c r="BD105" i="125"/>
  <c r="AB103" i="125"/>
  <c r="S62" i="125"/>
  <c r="AB109" i="125"/>
  <c r="AB102" i="125"/>
  <c r="AB101" i="125"/>
  <c r="AB107" i="125"/>
  <c r="AB110" i="125"/>
  <c r="BD104" i="125"/>
  <c r="BD103" i="125"/>
  <c r="BS107" i="125"/>
  <c r="BD109" i="125"/>
  <c r="AB100" i="125"/>
  <c r="Z62" i="125"/>
  <c r="AA62" i="125"/>
  <c r="AB99" i="125"/>
  <c r="BD106" i="125"/>
  <c r="BS106" i="125"/>
  <c r="BZ25" i="125"/>
  <c r="BD108" i="125"/>
  <c r="BP99" i="125"/>
  <c r="BS101" i="125"/>
  <c r="BD102" i="125"/>
  <c r="BS111" i="125"/>
  <c r="S99" i="90"/>
  <c r="BB62" i="90"/>
  <c r="BC62" i="90"/>
  <c r="Z62" i="90"/>
  <c r="AA62" i="90"/>
  <c r="Z25" i="90"/>
  <c r="BB25" i="90"/>
  <c r="BC25" i="90"/>
  <c r="AA25" i="90"/>
  <c r="BS150" i="90"/>
  <c r="BD26" i="90"/>
  <c r="BD29" i="90"/>
  <c r="BD143" i="90"/>
  <c r="DW99" i="90"/>
  <c r="AB140" i="90"/>
  <c r="BP138" i="90"/>
  <c r="BD35" i="90"/>
  <c r="AB142" i="90"/>
  <c r="AB32" i="90"/>
  <c r="EV62" i="90"/>
  <c r="BS138" i="90"/>
  <c r="DW86" i="90"/>
  <c r="AB31" i="90"/>
  <c r="BS67" i="90"/>
  <c r="BS139" i="90"/>
  <c r="EV25" i="90"/>
  <c r="BS143" i="90"/>
  <c r="BD69" i="90"/>
  <c r="EK62" i="90"/>
  <c r="AB147" i="90"/>
  <c r="BD73" i="90"/>
  <c r="EE25" i="125"/>
  <c r="AB69" i="90"/>
  <c r="BS73" i="90"/>
  <c r="BS37" i="90"/>
  <c r="BD70" i="90"/>
  <c r="BD142" i="90"/>
  <c r="BS69" i="90"/>
  <c r="BD64" i="90"/>
  <c r="BS65" i="90"/>
  <c r="BS35" i="90"/>
  <c r="AB34" i="90"/>
  <c r="BD28" i="90"/>
  <c r="BD141" i="90"/>
  <c r="BS34" i="90"/>
  <c r="AB64" i="90"/>
  <c r="BD65" i="90"/>
  <c r="AB138" i="90"/>
  <c r="AB30" i="90"/>
  <c r="BD62" i="90"/>
  <c r="BS63" i="90"/>
  <c r="AB145" i="90"/>
  <c r="BS36" i="90"/>
  <c r="BD140" i="90"/>
  <c r="EK99" i="125"/>
  <c r="BS30" i="90"/>
  <c r="BD67" i="90"/>
  <c r="AB148" i="90"/>
  <c r="BS142" i="90"/>
  <c r="BS25" i="90"/>
  <c r="BD149" i="90"/>
  <c r="BD139" i="90"/>
  <c r="EK25" i="90"/>
  <c r="BD138" i="90"/>
  <c r="AB72" i="90"/>
  <c r="AB66" i="90"/>
  <c r="Q99" i="90"/>
  <c r="BD34" i="90"/>
  <c r="AB150" i="90"/>
  <c r="BS71" i="90"/>
  <c r="BD30" i="90"/>
  <c r="AB65" i="90"/>
  <c r="AB70" i="90"/>
  <c r="BS149" i="90"/>
  <c r="EY25" i="125"/>
  <c r="AB36" i="90"/>
  <c r="BS33" i="90"/>
  <c r="BP25" i="90"/>
  <c r="BS31" i="90"/>
  <c r="BS29" i="90"/>
  <c r="BS27" i="90"/>
  <c r="EV99" i="125"/>
  <c r="AB37" i="90"/>
  <c r="AB144" i="90"/>
  <c r="AB73" i="90"/>
  <c r="BS32" i="90"/>
  <c r="AB146" i="90"/>
  <c r="BS68" i="90"/>
  <c r="AB35" i="90"/>
  <c r="AB68" i="90"/>
  <c r="BS26" i="90"/>
  <c r="BS141" i="90"/>
  <c r="AB67" i="90"/>
  <c r="BD25" i="90"/>
  <c r="BD71" i="90"/>
  <c r="BD145" i="90"/>
  <c r="BS64" i="90"/>
  <c r="BD146" i="90"/>
  <c r="DT99" i="90"/>
  <c r="BP62" i="90"/>
  <c r="BS70" i="90"/>
  <c r="BD68" i="90"/>
  <c r="AB62" i="90"/>
  <c r="AB139" i="90"/>
  <c r="AB29" i="90"/>
  <c r="BD27" i="90"/>
  <c r="BS144" i="90"/>
  <c r="AB25" i="90"/>
  <c r="BD36" i="90"/>
  <c r="AB74" i="90"/>
  <c r="AB149" i="90"/>
  <c r="BS74" i="90"/>
  <c r="BD147" i="90"/>
  <c r="AB28" i="90"/>
  <c r="BS140" i="90"/>
  <c r="BD148" i="90"/>
  <c r="BS146" i="90"/>
  <c r="BS72" i="90"/>
  <c r="BS28" i="90"/>
  <c r="BD33" i="90"/>
  <c r="BD144" i="90"/>
  <c r="BD32" i="90"/>
  <c r="BD63" i="90"/>
  <c r="AB141" i="90"/>
  <c r="BS148" i="90"/>
  <c r="BD31" i="90"/>
  <c r="AB26" i="90"/>
  <c r="BD72" i="90"/>
  <c r="AB27" i="90"/>
  <c r="AB33" i="90"/>
  <c r="BS147" i="90"/>
  <c r="DT86" i="90"/>
  <c r="AB71" i="90"/>
  <c r="BS66" i="90"/>
  <c r="BD66" i="90"/>
  <c r="AB63" i="90"/>
  <c r="BS62" i="90"/>
  <c r="BS145" i="90"/>
  <c r="AB143" i="90"/>
  <c r="EB25" i="90" l="1"/>
  <c r="EC25" i="90"/>
  <c r="EF25" i="90"/>
  <c r="EB62" i="90"/>
  <c r="EC62" i="90"/>
  <c r="EF62" i="90"/>
  <c r="R99" i="90"/>
  <c r="U99" i="90" s="1"/>
  <c r="EB99" i="125"/>
  <c r="EC99" i="125"/>
  <c r="EF99" i="125"/>
  <c r="BN99" i="125"/>
  <c r="CJ99" i="125" s="1"/>
  <c r="BV110" i="125"/>
  <c r="BW110" i="125" s="1"/>
  <c r="BV109" i="125"/>
  <c r="BW109" i="125" s="1"/>
  <c r="BV103" i="125"/>
  <c r="BW103" i="125" s="1"/>
  <c r="BV107" i="125"/>
  <c r="BW107" i="125" s="1"/>
  <c r="BV106" i="125"/>
  <c r="BW106" i="125" s="1"/>
  <c r="BV108" i="125"/>
  <c r="BW108" i="125" s="1"/>
  <c r="BV101" i="125"/>
  <c r="BW101" i="125" s="1"/>
  <c r="BV102" i="125"/>
  <c r="BW102" i="125" s="1"/>
  <c r="BV105" i="125"/>
  <c r="BW105" i="125" s="1"/>
  <c r="AD103" i="125"/>
  <c r="AE103" i="125" s="1"/>
  <c r="AD111" i="125"/>
  <c r="AE111" i="125" s="1"/>
  <c r="AD106" i="125"/>
  <c r="AE106" i="125" s="1"/>
  <c r="BI108" i="125"/>
  <c r="BF108" i="125"/>
  <c r="BG108" i="125" s="1"/>
  <c r="CH99" i="125"/>
  <c r="FA99" i="125"/>
  <c r="BV104" i="125"/>
  <c r="BW104" i="125" s="1"/>
  <c r="BV100" i="125"/>
  <c r="BW100" i="125" s="1"/>
  <c r="BV111" i="125"/>
  <c r="BW111" i="125" s="1"/>
  <c r="AD108" i="125"/>
  <c r="AE108" i="125" s="1"/>
  <c r="AD105" i="125"/>
  <c r="AE105" i="125" s="1"/>
  <c r="AF99" i="125"/>
  <c r="AK99" i="125" s="1"/>
  <c r="AD100" i="125"/>
  <c r="AE100" i="125" s="1"/>
  <c r="BI103" i="125"/>
  <c r="BF103" i="125"/>
  <c r="BG103" i="125" s="1"/>
  <c r="BI100" i="125"/>
  <c r="BF100" i="125"/>
  <c r="BG100" i="125" s="1"/>
  <c r="BF107" i="125"/>
  <c r="BG107" i="125" s="1"/>
  <c r="BI107" i="125"/>
  <c r="AD109" i="125"/>
  <c r="AE109" i="125" s="1"/>
  <c r="BF101" i="125"/>
  <c r="BG101" i="125" s="1"/>
  <c r="BI101" i="125"/>
  <c r="BF110" i="125"/>
  <c r="BG110" i="125" s="1"/>
  <c r="AD104" i="125"/>
  <c r="AE104" i="125" s="1"/>
  <c r="BF109" i="125"/>
  <c r="BG109" i="125" s="1"/>
  <c r="BI109" i="125"/>
  <c r="BF102" i="125"/>
  <c r="BG102" i="125" s="1"/>
  <c r="BI102" i="125"/>
  <c r="BF106" i="125"/>
  <c r="BG106" i="125" s="1"/>
  <c r="BI106" i="125"/>
  <c r="AD110" i="125"/>
  <c r="AE110" i="125" s="1"/>
  <c r="AD107" i="125"/>
  <c r="AE107" i="125" s="1"/>
  <c r="BF105" i="125"/>
  <c r="BG105" i="125" s="1"/>
  <c r="BI105" i="125"/>
  <c r="AD101" i="125"/>
  <c r="AE101" i="125" s="1"/>
  <c r="BI104" i="125"/>
  <c r="BF104" i="125"/>
  <c r="BG104" i="125" s="1"/>
  <c r="AD102" i="125"/>
  <c r="AE102" i="125" s="1"/>
  <c r="EJ25" i="125"/>
  <c r="EO25" i="125" s="1"/>
  <c r="U12" i="90"/>
  <c r="K12" i="90" s="1"/>
  <c r="F13" i="110"/>
  <c r="DM25" i="125"/>
  <c r="DC27" i="125"/>
  <c r="CS27" i="125"/>
  <c r="CT27" i="125"/>
  <c r="CV27" i="125"/>
  <c r="CU27" i="125"/>
  <c r="CW27" i="125"/>
  <c r="DA27" i="125"/>
  <c r="CR27" i="125"/>
  <c r="DB27" i="125"/>
  <c r="BV25" i="125"/>
  <c r="BW25" i="125" s="1"/>
  <c r="CX27" i="125"/>
  <c r="CD25" i="125"/>
  <c r="N6" i="122" s="1" a="1"/>
  <c r="N6" i="122" s="1"/>
  <c r="P6" i="122" s="1"/>
  <c r="CZ27" i="125"/>
  <c r="CS140" i="125"/>
  <c r="DB140" i="125"/>
  <c r="BV138" i="125"/>
  <c r="BW138" i="125" s="1"/>
  <c r="DC140" i="125"/>
  <c r="BL138" i="125"/>
  <c r="CR140" i="125"/>
  <c r="CU140" i="125"/>
  <c r="CX140" i="125"/>
  <c r="CY140" i="125"/>
  <c r="CZ140" i="125"/>
  <c r="DA140" i="125"/>
  <c r="DM138" i="125"/>
  <c r="CV140" i="125"/>
  <c r="CW140" i="125"/>
  <c r="CD138" i="125"/>
  <c r="R62" i="125"/>
  <c r="U62" i="125" s="1"/>
  <c r="N62" i="125"/>
  <c r="BO62" i="125" s="1"/>
  <c r="AX99" i="125"/>
  <c r="AO99" i="125"/>
  <c r="DF99" i="125" s="1"/>
  <c r="AJ99" i="125"/>
  <c r="AN99" i="125"/>
  <c r="EC62" i="125"/>
  <c r="EF62" i="125"/>
  <c r="EB62" i="125"/>
  <c r="BN62" i="90"/>
  <c r="CJ62" i="90" s="1"/>
  <c r="BV63" i="90"/>
  <c r="BW63" i="90" s="1"/>
  <c r="FC62" i="90"/>
  <c r="CM62" i="90"/>
  <c r="BV74" i="90"/>
  <c r="BW74" i="90" s="1"/>
  <c r="BV67" i="90"/>
  <c r="BW67" i="90" s="1"/>
  <c r="BV72" i="90"/>
  <c r="BW72" i="90" s="1"/>
  <c r="BV68" i="90"/>
  <c r="BW68" i="90" s="1"/>
  <c r="BV70" i="90"/>
  <c r="BW70" i="90" s="1"/>
  <c r="BV65" i="90"/>
  <c r="BW65" i="90" s="1"/>
  <c r="BV64" i="90"/>
  <c r="BW64" i="90" s="1"/>
  <c r="BV73" i="90"/>
  <c r="BW73" i="90" s="1"/>
  <c r="BI70" i="90"/>
  <c r="BF70" i="90"/>
  <c r="BG70" i="90" s="1"/>
  <c r="AD69" i="90"/>
  <c r="AE69" i="90" s="1"/>
  <c r="BI65" i="90"/>
  <c r="BF65" i="90"/>
  <c r="BG65" i="90" s="1"/>
  <c r="AD65" i="90"/>
  <c r="AE65" i="90" s="1"/>
  <c r="FA62" i="90"/>
  <c r="CH62" i="90"/>
  <c r="BV71" i="90"/>
  <c r="BW71" i="90" s="1"/>
  <c r="AD70" i="90"/>
  <c r="AE70" i="90" s="1"/>
  <c r="AD73" i="90"/>
  <c r="AE73" i="90" s="1"/>
  <c r="BV69" i="90"/>
  <c r="BW69" i="90" s="1"/>
  <c r="BV66" i="90"/>
  <c r="BW66" i="90" s="1"/>
  <c r="AD64" i="90"/>
  <c r="AE64" i="90" s="1"/>
  <c r="BF64" i="90"/>
  <c r="BG64" i="90" s="1"/>
  <c r="BI64" i="90"/>
  <c r="BI66" i="90"/>
  <c r="BF66" i="90"/>
  <c r="BG66" i="90" s="1"/>
  <c r="AD72" i="90"/>
  <c r="AE72" i="90" s="1"/>
  <c r="BF69" i="90"/>
  <c r="BG69" i="90" s="1"/>
  <c r="BI69" i="90"/>
  <c r="BF73" i="90"/>
  <c r="BG73" i="90" s="1"/>
  <c r="AD67" i="90"/>
  <c r="AE67" i="90" s="1"/>
  <c r="AD66" i="90"/>
  <c r="AE66" i="90" s="1"/>
  <c r="AD74" i="90"/>
  <c r="AE74" i="90" s="1"/>
  <c r="AF62" i="90"/>
  <c r="AX62" i="90" s="1"/>
  <c r="AD68" i="90"/>
  <c r="AE68" i="90" s="1"/>
  <c r="AD63" i="90"/>
  <c r="AE63" i="90" s="1"/>
  <c r="BF67" i="90"/>
  <c r="BG67" i="90" s="1"/>
  <c r="BI67" i="90"/>
  <c r="BF63" i="90"/>
  <c r="BG63" i="90" s="1"/>
  <c r="BI63" i="90"/>
  <c r="BF71" i="90"/>
  <c r="BG71" i="90" s="1"/>
  <c r="BI71" i="90"/>
  <c r="BI72" i="90"/>
  <c r="BF72" i="90"/>
  <c r="BG72" i="90" s="1"/>
  <c r="BF68" i="90"/>
  <c r="BG68" i="90" s="1"/>
  <c r="BI68" i="90"/>
  <c r="AD71" i="90"/>
  <c r="AE71" i="90" s="1"/>
  <c r="BN25" i="90"/>
  <c r="CL25" i="90" s="1"/>
  <c r="M99" i="90"/>
  <c r="N99" i="90"/>
  <c r="BO99" i="90" s="1"/>
  <c r="BV27" i="90"/>
  <c r="BW27" i="90" s="1"/>
  <c r="BV37" i="90"/>
  <c r="BW37" i="90" s="1"/>
  <c r="BV31" i="90"/>
  <c r="BW31" i="90" s="1"/>
  <c r="BV30" i="90"/>
  <c r="BW30" i="90" s="1"/>
  <c r="BV26" i="90"/>
  <c r="BW26" i="90" s="1"/>
  <c r="BV28" i="90"/>
  <c r="BW28" i="90" s="1"/>
  <c r="BV34" i="90"/>
  <c r="BW34" i="90" s="1"/>
  <c r="BV35" i="90"/>
  <c r="BW35" i="90" s="1"/>
  <c r="BI27" i="90"/>
  <c r="BF27" i="90"/>
  <c r="BG27" i="90" s="1"/>
  <c r="BF36" i="90"/>
  <c r="BG36" i="90" s="1"/>
  <c r="BI36" i="90"/>
  <c r="BV36" i="90"/>
  <c r="BW36" i="90" s="1"/>
  <c r="BV29" i="90"/>
  <c r="BW29" i="90" s="1"/>
  <c r="FA25" i="90"/>
  <c r="CH25" i="90"/>
  <c r="BF32" i="90"/>
  <c r="BG32" i="90" s="1"/>
  <c r="BI32" i="90"/>
  <c r="BV33" i="90"/>
  <c r="BW33" i="90" s="1"/>
  <c r="BV32" i="90"/>
  <c r="BW32" i="90" s="1"/>
  <c r="BF30" i="90"/>
  <c r="BG30" i="90" s="1"/>
  <c r="BI30" i="90"/>
  <c r="BF31" i="90"/>
  <c r="BG31" i="90" s="1"/>
  <c r="BI31" i="90"/>
  <c r="BF26" i="90"/>
  <c r="BG26" i="90" s="1"/>
  <c r="BI26" i="90"/>
  <c r="AD26" i="90"/>
  <c r="AE26" i="90" s="1"/>
  <c r="AD34" i="90"/>
  <c r="AE34" i="90" s="1"/>
  <c r="BI28" i="90"/>
  <c r="BF28" i="90"/>
  <c r="BG28" i="90" s="1"/>
  <c r="AD32" i="90"/>
  <c r="AE32" i="90" s="1"/>
  <c r="AF25" i="90"/>
  <c r="AI25" i="90" s="1"/>
  <c r="AD31" i="90"/>
  <c r="AE31" i="90" s="1"/>
  <c r="BI35" i="90"/>
  <c r="BF35" i="90"/>
  <c r="BG35" i="90" s="1"/>
  <c r="AD30" i="90"/>
  <c r="AE30" i="90" s="1"/>
  <c r="AD36" i="90"/>
  <c r="AE36" i="90" s="1"/>
  <c r="AD28" i="90"/>
  <c r="AE28" i="90" s="1"/>
  <c r="AD33" i="90"/>
  <c r="AE33" i="90" s="1"/>
  <c r="BF33" i="90"/>
  <c r="BG33" i="90" s="1"/>
  <c r="BI33" i="90"/>
  <c r="AD27" i="90"/>
  <c r="AE27" i="90" s="1"/>
  <c r="AD29" i="90"/>
  <c r="AE29" i="90" s="1"/>
  <c r="AD35" i="90"/>
  <c r="AE35" i="90" s="1"/>
  <c r="AD37" i="90"/>
  <c r="AE37" i="90" s="1"/>
  <c r="BI34" i="90"/>
  <c r="BF34" i="90"/>
  <c r="BG34" i="90" s="1"/>
  <c r="BI29" i="90"/>
  <c r="BF29" i="90"/>
  <c r="BG29" i="90" s="1"/>
  <c r="AY60" i="100"/>
  <c r="AY52" i="100"/>
  <c r="AY62" i="100"/>
  <c r="AY44" i="100"/>
  <c r="AY63" i="100"/>
  <c r="AY46" i="100"/>
  <c r="AY50" i="100"/>
  <c r="AY56" i="100"/>
  <c r="AY55" i="100"/>
  <c r="AY45" i="100"/>
  <c r="AY51" i="100"/>
  <c r="AY61" i="100"/>
  <c r="AY59" i="100"/>
  <c r="AY57" i="100"/>
  <c r="AY58" i="100"/>
  <c r="AY53" i="100"/>
  <c r="AY48" i="100"/>
  <c r="AY49" i="100"/>
  <c r="AY47" i="100"/>
  <c r="AY54" i="100"/>
  <c r="BV147" i="90"/>
  <c r="BW147" i="90" s="1"/>
  <c r="BV143" i="90"/>
  <c r="BW143" i="90" s="1"/>
  <c r="AD141" i="90"/>
  <c r="AE141" i="90" s="1"/>
  <c r="BF148" i="90"/>
  <c r="BG148" i="90" s="1"/>
  <c r="BI148" i="90"/>
  <c r="CM138" i="90"/>
  <c r="BF147" i="90"/>
  <c r="BG147" i="90" s="1"/>
  <c r="BI147" i="90"/>
  <c r="BV149" i="90"/>
  <c r="BW149" i="90" s="1"/>
  <c r="BV146" i="90"/>
  <c r="BW146" i="90" s="1"/>
  <c r="AD139" i="90"/>
  <c r="AE139" i="90" s="1"/>
  <c r="BI139" i="90"/>
  <c r="BF139" i="90"/>
  <c r="BG139" i="90" s="1"/>
  <c r="BI145" i="90"/>
  <c r="BF145" i="90"/>
  <c r="BG145" i="90" s="1"/>
  <c r="AD142" i="90"/>
  <c r="AE142" i="90" s="1"/>
  <c r="BF144" i="90"/>
  <c r="BG144" i="90" s="1"/>
  <c r="BI144" i="90"/>
  <c r="AD147" i="90"/>
  <c r="AE147" i="90" s="1"/>
  <c r="BV144" i="90"/>
  <c r="BW144" i="90" s="1"/>
  <c r="AD140" i="90"/>
  <c r="AE140" i="90" s="1"/>
  <c r="BF141" i="90"/>
  <c r="BG141" i="90" s="1"/>
  <c r="BI141" i="90"/>
  <c r="BF149" i="90"/>
  <c r="BG149" i="90" s="1"/>
  <c r="AD145" i="90"/>
  <c r="AE145" i="90" s="1"/>
  <c r="BV142" i="90"/>
  <c r="BW142" i="90" s="1"/>
  <c r="CH138" i="90"/>
  <c r="BV145" i="90"/>
  <c r="BW145" i="90" s="1"/>
  <c r="AD146" i="90"/>
  <c r="AE146" i="90" s="1"/>
  <c r="AF138" i="90"/>
  <c r="DE138" i="90" s="1"/>
  <c r="DK138" i="90" s="1"/>
  <c r="AD144" i="90"/>
  <c r="AE144" i="90" s="1"/>
  <c r="AD150" i="90"/>
  <c r="AE150" i="90" s="1"/>
  <c r="BI140" i="90"/>
  <c r="BF140" i="90"/>
  <c r="BG140" i="90" s="1"/>
  <c r="BV139" i="90"/>
  <c r="BW139" i="90" s="1"/>
  <c r="BV140" i="90"/>
  <c r="BW140" i="90" s="1"/>
  <c r="AD148" i="90"/>
  <c r="AE148" i="90" s="1"/>
  <c r="BV141" i="90"/>
  <c r="BW141" i="90" s="1"/>
  <c r="BI143" i="90"/>
  <c r="BF143" i="90"/>
  <c r="BG143" i="90" s="1"/>
  <c r="AD149" i="90"/>
  <c r="AE149" i="90" s="1"/>
  <c r="BV150" i="90"/>
  <c r="BW150" i="90" s="1"/>
  <c r="BV148" i="90"/>
  <c r="BW148" i="90" s="1"/>
  <c r="AD143" i="90"/>
  <c r="AE143" i="90" s="1"/>
  <c r="BI142" i="90"/>
  <c r="BF142" i="90"/>
  <c r="BG142" i="90" s="1"/>
  <c r="BI146" i="90"/>
  <c r="BF146" i="90"/>
  <c r="BG146" i="90" s="1"/>
  <c r="CL138" i="90"/>
  <c r="BN138" i="90"/>
  <c r="CJ138" i="90" s="1"/>
  <c r="M86" i="90"/>
  <c r="AK19" i="100"/>
  <c r="IK20" i="100"/>
  <c r="FC25" i="90"/>
  <c r="CM25" i="90"/>
  <c r="FB62" i="90"/>
  <c r="CI62" i="90"/>
  <c r="CI25" i="90"/>
  <c r="FB25" i="90"/>
  <c r="CI138" i="90"/>
  <c r="AX209" i="100"/>
  <c r="AX339" i="100"/>
  <c r="AX79" i="100"/>
  <c r="AX78" i="100" s="1"/>
  <c r="AY316" i="100"/>
  <c r="AY314" i="100"/>
  <c r="AY203" i="100"/>
  <c r="AY17" i="100"/>
  <c r="AY319" i="100"/>
  <c r="AY158" i="100"/>
  <c r="AY36" i="100"/>
  <c r="AY27" i="100"/>
  <c r="AY65" i="100"/>
  <c r="AY28" i="100"/>
  <c r="AY171" i="100"/>
  <c r="AY195" i="100"/>
  <c r="AY8" i="100"/>
  <c r="AY321" i="100"/>
  <c r="AY69" i="100"/>
  <c r="AY18" i="100"/>
  <c r="AY76" i="100"/>
  <c r="AY10" i="100"/>
  <c r="AY12" i="100"/>
  <c r="AY191" i="100"/>
  <c r="AY320" i="100"/>
  <c r="AY292" i="100"/>
  <c r="AY296" i="100"/>
  <c r="AY32" i="100"/>
  <c r="AY289" i="100"/>
  <c r="AY31" i="100"/>
  <c r="AY183" i="100"/>
  <c r="AY161" i="100"/>
  <c r="AY41" i="100"/>
  <c r="AY206" i="100"/>
  <c r="AY72" i="100"/>
  <c r="AY16" i="100"/>
  <c r="AY303" i="100"/>
  <c r="AY11" i="100"/>
  <c r="AY73" i="100"/>
  <c r="AY336" i="100"/>
  <c r="AY328" i="100"/>
  <c r="AY66" i="100"/>
  <c r="AY34" i="100"/>
  <c r="AY70" i="100"/>
  <c r="AY304" i="100"/>
  <c r="AY193" i="100"/>
  <c r="AY198" i="100"/>
  <c r="AY25" i="100"/>
  <c r="AY13" i="100"/>
  <c r="AY332" i="100"/>
  <c r="AY42" i="100"/>
  <c r="AY291" i="100"/>
  <c r="AY30" i="100"/>
  <c r="AY327" i="100"/>
  <c r="AY39" i="100"/>
  <c r="AY165" i="100"/>
  <c r="AY202" i="100"/>
  <c r="AY74" i="100"/>
  <c r="AY329" i="100"/>
  <c r="AY190" i="100"/>
  <c r="AY14" i="100"/>
  <c r="AY23" i="100"/>
  <c r="AY68" i="100"/>
  <c r="AY207" i="100"/>
  <c r="AY323" i="100"/>
  <c r="AY318" i="100"/>
  <c r="AY188" i="100"/>
  <c r="AY293" i="100"/>
  <c r="AY302" i="100"/>
  <c r="AY168" i="100"/>
  <c r="AY43" i="100"/>
  <c r="AY322" i="100"/>
  <c r="AY301" i="100"/>
  <c r="AY167" i="100"/>
  <c r="AY163" i="100"/>
  <c r="AY199" i="100"/>
  <c r="AY305" i="100"/>
  <c r="AY288" i="100"/>
  <c r="AY300" i="100"/>
  <c r="AY335" i="100"/>
  <c r="AY334" i="100"/>
  <c r="AY164" i="100"/>
  <c r="AY15" i="100"/>
  <c r="AY159" i="100"/>
  <c r="AY177" i="100"/>
  <c r="AY295" i="100"/>
  <c r="AY306" i="100"/>
  <c r="AY170" i="100"/>
  <c r="AY160" i="100"/>
  <c r="AY201" i="100"/>
  <c r="AY317" i="100"/>
  <c r="AY40" i="100"/>
  <c r="AY194" i="100"/>
  <c r="AY333" i="100"/>
  <c r="AY325" i="100"/>
  <c r="AY298" i="100"/>
  <c r="AY311" i="100"/>
  <c r="AY77" i="100"/>
  <c r="AY200" i="100"/>
  <c r="AY294" i="100"/>
  <c r="AY330" i="100"/>
  <c r="AY184" i="100"/>
  <c r="AY337" i="100"/>
  <c r="AY178" i="100"/>
  <c r="AY180" i="100"/>
  <c r="AY309" i="100"/>
  <c r="AY299" i="100"/>
  <c r="AY75" i="100"/>
  <c r="AY33" i="100"/>
  <c r="AY21" i="100"/>
  <c r="AY204" i="100"/>
  <c r="AY172" i="100"/>
  <c r="AY290" i="100"/>
  <c r="AY24" i="100"/>
  <c r="AY64" i="100"/>
  <c r="AY166" i="100"/>
  <c r="AY308" i="100"/>
  <c r="AY187" i="100"/>
  <c r="AY179" i="100"/>
  <c r="AY297" i="100"/>
  <c r="AY312" i="100"/>
  <c r="AY38" i="100"/>
  <c r="AY175" i="100"/>
  <c r="AY19" i="100"/>
  <c r="AY331" i="100"/>
  <c r="AZ7" i="100"/>
  <c r="AY29" i="100"/>
  <c r="AY22" i="100"/>
  <c r="AY310" i="100"/>
  <c r="AY324" i="100"/>
  <c r="AY326" i="100"/>
  <c r="AY192" i="100"/>
  <c r="AY176" i="100"/>
  <c r="AY181" i="100"/>
  <c r="AY205" i="100"/>
  <c r="AY182" i="100"/>
  <c r="AY307" i="100"/>
  <c r="AY169" i="100"/>
  <c r="AY186" i="100"/>
  <c r="AY162" i="100"/>
  <c r="AY174" i="100"/>
  <c r="AY173" i="100"/>
  <c r="AY26" i="100"/>
  <c r="AY197" i="100"/>
  <c r="AY185" i="100"/>
  <c r="AY9" i="100"/>
  <c r="AY196" i="100"/>
  <c r="AY37" i="100"/>
  <c r="AY71" i="100"/>
  <c r="AY313" i="100"/>
  <c r="AY20" i="100"/>
  <c r="AY189" i="100"/>
  <c r="AY315" i="100"/>
  <c r="AY67" i="100"/>
  <c r="AY35" i="100"/>
  <c r="EW287" i="100"/>
  <c r="EV338" i="100"/>
  <c r="BS99" i="125"/>
  <c r="BS62" i="125"/>
  <c r="BS69" i="125"/>
  <c r="BT102" i="125"/>
  <c r="AC111" i="125"/>
  <c r="BT104" i="125"/>
  <c r="AB66" i="125"/>
  <c r="AC104" i="125"/>
  <c r="AB67" i="125"/>
  <c r="AB70" i="125"/>
  <c r="BE100" i="125"/>
  <c r="BT106" i="125"/>
  <c r="AC102" i="125"/>
  <c r="AB65" i="125"/>
  <c r="BD63" i="125"/>
  <c r="BS65" i="125"/>
  <c r="AC109" i="125"/>
  <c r="BT109" i="125"/>
  <c r="BE103" i="125"/>
  <c r="BD66" i="125"/>
  <c r="BS73" i="125"/>
  <c r="BS71" i="125"/>
  <c r="BE105" i="125"/>
  <c r="BS64" i="125"/>
  <c r="BT111" i="125"/>
  <c r="AC100" i="125"/>
  <c r="AB73" i="125"/>
  <c r="BT25" i="125"/>
  <c r="AC106" i="125"/>
  <c r="AH99" i="125"/>
  <c r="AB68" i="125"/>
  <c r="BS66" i="125"/>
  <c r="AB62" i="125"/>
  <c r="AC101" i="125"/>
  <c r="BE107" i="125"/>
  <c r="BT107" i="125"/>
  <c r="BD72" i="125"/>
  <c r="BD71" i="125"/>
  <c r="BD64" i="125"/>
  <c r="BD70" i="125"/>
  <c r="AB71" i="125"/>
  <c r="AB69" i="125"/>
  <c r="BT138" i="125"/>
  <c r="AB63" i="125"/>
  <c r="BD68" i="125"/>
  <c r="BT100" i="125"/>
  <c r="BS63" i="125"/>
  <c r="BD62" i="125"/>
  <c r="BE102" i="125"/>
  <c r="BE101" i="125"/>
  <c r="BS74" i="125"/>
  <c r="BD73" i="125"/>
  <c r="BE104" i="125"/>
  <c r="AC108" i="125"/>
  <c r="BT110" i="125"/>
  <c r="BS68" i="125"/>
  <c r="BP62" i="125"/>
  <c r="BT101" i="125"/>
  <c r="BS72" i="125"/>
  <c r="BE109" i="125"/>
  <c r="BD67" i="125"/>
  <c r="AB72" i="125"/>
  <c r="BT103" i="125"/>
  <c r="AB74" i="125"/>
  <c r="BS70" i="125"/>
  <c r="BD65" i="125"/>
  <c r="BT108" i="125"/>
  <c r="BS67" i="125"/>
  <c r="BD69" i="125"/>
  <c r="BE110" i="125"/>
  <c r="BE106" i="125"/>
  <c r="AB64" i="125"/>
  <c r="AC110" i="125"/>
  <c r="AC103" i="125"/>
  <c r="BE108" i="125"/>
  <c r="AC107" i="125"/>
  <c r="BT105" i="125"/>
  <c r="AC105" i="125"/>
  <c r="Z99" i="90"/>
  <c r="AA99" i="90"/>
  <c r="BB99" i="90"/>
  <c r="BC99" i="90"/>
  <c r="BT150" i="90"/>
  <c r="BT69" i="90"/>
  <c r="AB107" i="90"/>
  <c r="AC63" i="90"/>
  <c r="BE65" i="90"/>
  <c r="AC35" i="90"/>
  <c r="BT139" i="90"/>
  <c r="EV99" i="90"/>
  <c r="BE145" i="90"/>
  <c r="AC145" i="90"/>
  <c r="BE36" i="90"/>
  <c r="EK12" i="90"/>
  <c r="BD108" i="90"/>
  <c r="BS109" i="90"/>
  <c r="BT37" i="90"/>
  <c r="BT36" i="90"/>
  <c r="BE33" i="90"/>
  <c r="BE68" i="90"/>
  <c r="BT66" i="90"/>
  <c r="J13" i="110"/>
  <c r="AC66" i="90"/>
  <c r="BE72" i="90"/>
  <c r="BE69" i="90"/>
  <c r="BT140" i="90"/>
  <c r="BE64" i="90"/>
  <c r="AC148" i="90"/>
  <c r="BT147" i="90"/>
  <c r="AC37" i="90"/>
  <c r="EV12" i="90"/>
  <c r="BD100" i="90"/>
  <c r="AC30" i="90"/>
  <c r="AC143" i="90"/>
  <c r="AB108" i="90"/>
  <c r="AB99" i="90"/>
  <c r="BT65" i="90"/>
  <c r="BT142" i="90"/>
  <c r="AC142" i="90"/>
  <c r="BE32" i="90"/>
  <c r="ER12" i="90"/>
  <c r="BE73" i="90"/>
  <c r="BT26" i="90"/>
  <c r="EK62" i="125"/>
  <c r="AB104" i="90"/>
  <c r="BE143" i="90"/>
  <c r="AB109" i="90"/>
  <c r="BS111" i="90"/>
  <c r="BT68" i="90"/>
  <c r="BE70" i="90"/>
  <c r="AB106" i="90"/>
  <c r="BT31" i="90"/>
  <c r="ER25" i="125"/>
  <c r="AB105" i="90"/>
  <c r="BD109" i="90"/>
  <c r="AB111" i="90"/>
  <c r="AC150" i="90"/>
  <c r="AC32" i="90"/>
  <c r="AB110" i="90"/>
  <c r="BT32" i="90"/>
  <c r="BS101" i="90"/>
  <c r="BE66" i="90"/>
  <c r="BE139" i="90"/>
  <c r="BS110" i="90"/>
  <c r="BT148" i="90"/>
  <c r="AC141" i="90"/>
  <c r="BE149" i="90"/>
  <c r="BD101" i="90"/>
  <c r="AC146" i="90"/>
  <c r="BE142" i="90"/>
  <c r="AC70" i="90"/>
  <c r="AB101" i="90"/>
  <c r="AC64" i="90"/>
  <c r="BE147" i="90"/>
  <c r="AC140" i="90"/>
  <c r="BE141" i="90"/>
  <c r="AC67" i="90"/>
  <c r="BT144" i="90"/>
  <c r="BT64" i="90"/>
  <c r="BE34" i="90"/>
  <c r="BE28" i="90"/>
  <c r="BS102" i="90"/>
  <c r="AH138" i="90"/>
  <c r="AC139" i="90"/>
  <c r="AC31" i="90"/>
  <c r="BD104" i="90"/>
  <c r="AC65" i="90"/>
  <c r="AB100" i="90"/>
  <c r="BT33" i="90"/>
  <c r="BT35" i="90"/>
  <c r="BD107" i="90"/>
  <c r="BS107" i="90"/>
  <c r="BT34" i="90"/>
  <c r="BD110" i="90"/>
  <c r="BT141" i="90"/>
  <c r="AB103" i="90"/>
  <c r="AC68" i="90"/>
  <c r="BS108" i="90"/>
  <c r="BS100" i="90"/>
  <c r="AB102" i="90"/>
  <c r="BT63" i="90"/>
  <c r="AC29" i="90"/>
  <c r="BE63" i="90"/>
  <c r="BP99" i="90"/>
  <c r="BT27" i="90"/>
  <c r="BD106" i="90"/>
  <c r="AC28" i="90"/>
  <c r="BT29" i="90"/>
  <c r="BS105" i="90"/>
  <c r="BS103" i="90"/>
  <c r="BE29" i="90"/>
  <c r="BT73" i="90"/>
  <c r="BE35" i="90"/>
  <c r="BT74" i="90"/>
  <c r="BE31" i="90"/>
  <c r="BE26" i="90"/>
  <c r="BT143" i="90"/>
  <c r="BT72" i="90"/>
  <c r="AC147" i="90"/>
  <c r="AC72" i="90"/>
  <c r="BT146" i="90"/>
  <c r="AC36" i="90"/>
  <c r="AC144" i="90"/>
  <c r="BT145" i="90"/>
  <c r="AC73" i="90"/>
  <c r="BE67" i="90"/>
  <c r="BT71" i="90"/>
  <c r="BE146" i="90"/>
  <c r="BT67" i="90"/>
  <c r="AC149" i="90"/>
  <c r="BD103" i="90"/>
  <c r="AC69" i="90"/>
  <c r="AC34" i="90"/>
  <c r="BS106" i="90"/>
  <c r="AH62" i="90"/>
  <c r="BT30" i="90"/>
  <c r="BE144" i="90"/>
  <c r="BE27" i="90"/>
  <c r="AC33" i="90"/>
  <c r="AH25" i="90"/>
  <c r="BT28" i="90"/>
  <c r="EE12" i="90"/>
  <c r="AC26" i="90"/>
  <c r="AC71" i="90"/>
  <c r="EK99" i="90"/>
  <c r="BE71" i="90"/>
  <c r="BE30" i="90"/>
  <c r="AC74" i="90"/>
  <c r="BT70" i="90"/>
  <c r="BD105" i="90"/>
  <c r="BS104" i="90"/>
  <c r="BD102" i="90"/>
  <c r="BT149" i="90"/>
  <c r="BE148" i="90"/>
  <c r="AC27" i="90"/>
  <c r="BE140" i="90"/>
  <c r="EB99" i="90" l="1"/>
  <c r="EC99" i="90"/>
  <c r="EF99" i="90"/>
  <c r="AV99" i="125"/>
  <c r="AS99" i="125"/>
  <c r="CL99" i="125"/>
  <c r="EL99" i="125"/>
  <c r="EM99" i="125" s="1"/>
  <c r="CK99" i="125"/>
  <c r="BH99" i="125"/>
  <c r="CT100" i="125" s="1"/>
  <c r="AQ99" i="125"/>
  <c r="AL99" i="125"/>
  <c r="BY100" i="125"/>
  <c r="BY105" i="125"/>
  <c r="BY102" i="125"/>
  <c r="ED99" i="125"/>
  <c r="EI99" i="125" s="1"/>
  <c r="BY101" i="125"/>
  <c r="BY111" i="125"/>
  <c r="BY108" i="125"/>
  <c r="BY106" i="125"/>
  <c r="BY107" i="125"/>
  <c r="BY103" i="125"/>
  <c r="BY109" i="125"/>
  <c r="BY104" i="125"/>
  <c r="BY110" i="125"/>
  <c r="DE99" i="125"/>
  <c r="DK99" i="125" s="1"/>
  <c r="AR99" i="125"/>
  <c r="AI99" i="125"/>
  <c r="AM99" i="125"/>
  <c r="AT99" i="125"/>
  <c r="DG99" i="125" s="1"/>
  <c r="AW99" i="125"/>
  <c r="FF99" i="125" s="1"/>
  <c r="AD99" i="125"/>
  <c r="AE99" i="125" s="1"/>
  <c r="EI12" i="90"/>
  <c r="ET12" i="90"/>
  <c r="B7" i="105"/>
  <c r="F7" i="105" s="1"/>
  <c r="EW12" i="90"/>
  <c r="EX12" i="90" s="1"/>
  <c r="EL12" i="90"/>
  <c r="EM12" i="90" s="1"/>
  <c r="EH12" i="90" s="1"/>
  <c r="EU25" i="125"/>
  <c r="EZ25" i="125" s="1"/>
  <c r="L13" i="110"/>
  <c r="M13" i="110" s="1"/>
  <c r="F16" i="110"/>
  <c r="I5" i="123"/>
  <c r="Q6" i="122"/>
  <c r="J5" i="123" s="1"/>
  <c r="BV65" i="125"/>
  <c r="BW65" i="125" s="1"/>
  <c r="BV68" i="125"/>
  <c r="BW68" i="125" s="1"/>
  <c r="BV64" i="125"/>
  <c r="BW64" i="125" s="1"/>
  <c r="BV72" i="125"/>
  <c r="BW72" i="125" s="1"/>
  <c r="BV74" i="125"/>
  <c r="BW74" i="125" s="1"/>
  <c r="BV71" i="125"/>
  <c r="BW71" i="125" s="1"/>
  <c r="BF73" i="125"/>
  <c r="BG73" i="125" s="1"/>
  <c r="AD74" i="125"/>
  <c r="AE74" i="125" s="1"/>
  <c r="AD64" i="125"/>
  <c r="AE64" i="125" s="1"/>
  <c r="BI69" i="125"/>
  <c r="BF69" i="125"/>
  <c r="BG69" i="125" s="1"/>
  <c r="BV69" i="125"/>
  <c r="BW69" i="125" s="1"/>
  <c r="AD67" i="125"/>
  <c r="AE67" i="125" s="1"/>
  <c r="BF63" i="125"/>
  <c r="BG63" i="125" s="1"/>
  <c r="BI63" i="125"/>
  <c r="CI62" i="125"/>
  <c r="FB62" i="125"/>
  <c r="BF67" i="125"/>
  <c r="BG67" i="125" s="1"/>
  <c r="BI67" i="125"/>
  <c r="AD63" i="125"/>
  <c r="AE63" i="125" s="1"/>
  <c r="BV66" i="125"/>
  <c r="BW66" i="125" s="1"/>
  <c r="BF71" i="125"/>
  <c r="BG71" i="125" s="1"/>
  <c r="BI71" i="125"/>
  <c r="BI70" i="125"/>
  <c r="BF70" i="125"/>
  <c r="BG70" i="125" s="1"/>
  <c r="AD73" i="125"/>
  <c r="AE73" i="125" s="1"/>
  <c r="BV70" i="125"/>
  <c r="BW70" i="125" s="1"/>
  <c r="AD72" i="125"/>
  <c r="AE72" i="125" s="1"/>
  <c r="BF64" i="125"/>
  <c r="BG64" i="125" s="1"/>
  <c r="BI64" i="125"/>
  <c r="AD70" i="125"/>
  <c r="AE70" i="125" s="1"/>
  <c r="BV63" i="125"/>
  <c r="BW63" i="125" s="1"/>
  <c r="FC62" i="125"/>
  <c r="CM62" i="125"/>
  <c r="BV67" i="125"/>
  <c r="BW67" i="125" s="1"/>
  <c r="BF72" i="125"/>
  <c r="BG72" i="125" s="1"/>
  <c r="BI72" i="125"/>
  <c r="AD69" i="125"/>
  <c r="AE69" i="125" s="1"/>
  <c r="AD65" i="125"/>
  <c r="AE65" i="125" s="1"/>
  <c r="AD71" i="125"/>
  <c r="AE71" i="125" s="1"/>
  <c r="BF65" i="125"/>
  <c r="BG65" i="125" s="1"/>
  <c r="BI65" i="125"/>
  <c r="BV73" i="125"/>
  <c r="BW73" i="125" s="1"/>
  <c r="BI68" i="125"/>
  <c r="BF68" i="125"/>
  <c r="BG68" i="125" s="1"/>
  <c r="BI66" i="125"/>
  <c r="BF66" i="125"/>
  <c r="BG66" i="125" s="1"/>
  <c r="AF62" i="125"/>
  <c r="AS62" i="125" s="1"/>
  <c r="AD68" i="125"/>
  <c r="AE68" i="125" s="1"/>
  <c r="AD66" i="125"/>
  <c r="AE66" i="125" s="1"/>
  <c r="BN62" i="125"/>
  <c r="CL62" i="125" s="1"/>
  <c r="FC99" i="125"/>
  <c r="CM99" i="125"/>
  <c r="CH62" i="125"/>
  <c r="FA62" i="125"/>
  <c r="CL62" i="90"/>
  <c r="CK62" i="90"/>
  <c r="AV62" i="90"/>
  <c r="AX25" i="90"/>
  <c r="AL25" i="90"/>
  <c r="AW25" i="90"/>
  <c r="FG25" i="90" s="1"/>
  <c r="CK25" i="90"/>
  <c r="BH62" i="90"/>
  <c r="EW62" i="90" s="1"/>
  <c r="EX62" i="90" s="1"/>
  <c r="AQ62" i="90"/>
  <c r="AI62" i="90"/>
  <c r="AK25" i="90"/>
  <c r="AQ25" i="90"/>
  <c r="AT25" i="90"/>
  <c r="DG25" i="90" s="1"/>
  <c r="CJ25" i="90"/>
  <c r="BY73" i="90"/>
  <c r="BY64" i="90"/>
  <c r="BY65" i="90"/>
  <c r="BY70" i="90"/>
  <c r="BY72" i="90"/>
  <c r="BY67" i="90"/>
  <c r="BY74" i="90"/>
  <c r="ED62" i="90"/>
  <c r="EI62" i="90" s="1"/>
  <c r="BY68" i="90"/>
  <c r="BY66" i="90"/>
  <c r="BY69" i="90"/>
  <c r="BY71" i="90"/>
  <c r="BY63" i="90"/>
  <c r="AM62" i="90"/>
  <c r="AL62" i="90"/>
  <c r="AW62" i="90"/>
  <c r="FG62" i="90" s="1"/>
  <c r="AV25" i="90"/>
  <c r="AD62" i="90"/>
  <c r="AE62" i="90" s="1"/>
  <c r="AR25" i="90"/>
  <c r="FE25" i="90" s="1"/>
  <c r="AK62" i="90"/>
  <c r="AM25" i="90"/>
  <c r="DE62" i="90"/>
  <c r="DK62" i="90" s="1"/>
  <c r="AR62" i="90"/>
  <c r="FD62" i="90" s="1"/>
  <c r="AT62" i="90"/>
  <c r="DG62" i="90" s="1"/>
  <c r="AO62" i="90"/>
  <c r="DF62" i="90" s="1"/>
  <c r="AJ62" i="90"/>
  <c r="AJ25" i="90"/>
  <c r="AN62" i="90"/>
  <c r="AS62" i="90"/>
  <c r="AD25" i="90"/>
  <c r="AE25" i="90" s="1"/>
  <c r="EL62" i="90"/>
  <c r="EM62" i="90" s="1"/>
  <c r="BN99" i="90"/>
  <c r="CJ99" i="90" s="1"/>
  <c r="BV101" i="90"/>
  <c r="BW101" i="90" s="1"/>
  <c r="BV103" i="90"/>
  <c r="BW103" i="90" s="1"/>
  <c r="BV108" i="90"/>
  <c r="BW108" i="90" s="1"/>
  <c r="BV104" i="90"/>
  <c r="BW104" i="90" s="1"/>
  <c r="BF101" i="90"/>
  <c r="BG101" i="90" s="1"/>
  <c r="BI101" i="90"/>
  <c r="BI109" i="90"/>
  <c r="BF109" i="90"/>
  <c r="BG109" i="90" s="1"/>
  <c r="AD107" i="90"/>
  <c r="AE107" i="90" s="1"/>
  <c r="BV111" i="90"/>
  <c r="BW111" i="90" s="1"/>
  <c r="BI108" i="90"/>
  <c r="BF108" i="90"/>
  <c r="BG108" i="90" s="1"/>
  <c r="BF110" i="90"/>
  <c r="BG110" i="90" s="1"/>
  <c r="BV106" i="90"/>
  <c r="BW106" i="90" s="1"/>
  <c r="BV107" i="90"/>
  <c r="BW107" i="90" s="1"/>
  <c r="BV102" i="90"/>
  <c r="BW102" i="90" s="1"/>
  <c r="AD111" i="90"/>
  <c r="AE111" i="90" s="1"/>
  <c r="AF99" i="90"/>
  <c r="AS99" i="90" s="1"/>
  <c r="AD105" i="90"/>
  <c r="AE105" i="90" s="1"/>
  <c r="AD102" i="90"/>
  <c r="AE102" i="90" s="1"/>
  <c r="AD106" i="90"/>
  <c r="AE106" i="90" s="1"/>
  <c r="BV109" i="90"/>
  <c r="BW109" i="90" s="1"/>
  <c r="BV110" i="90"/>
  <c r="BW110" i="90" s="1"/>
  <c r="BF102" i="90"/>
  <c r="BG102" i="90" s="1"/>
  <c r="BI102" i="90"/>
  <c r="AD104" i="90"/>
  <c r="AE104" i="90" s="1"/>
  <c r="BV100" i="90"/>
  <c r="BW100" i="90" s="1"/>
  <c r="BI106" i="90"/>
  <c r="BF106" i="90"/>
  <c r="BG106" i="90" s="1"/>
  <c r="AD109" i="90"/>
  <c r="AE109" i="90" s="1"/>
  <c r="BV105" i="90"/>
  <c r="BW105" i="90" s="1"/>
  <c r="BF100" i="90"/>
  <c r="BG100" i="90" s="1"/>
  <c r="BI100" i="90"/>
  <c r="BI103" i="90"/>
  <c r="BF103" i="90"/>
  <c r="BG103" i="90" s="1"/>
  <c r="BF105" i="90"/>
  <c r="BG105" i="90" s="1"/>
  <c r="BI105" i="90"/>
  <c r="AD108" i="90"/>
  <c r="AE108" i="90" s="1"/>
  <c r="BF104" i="90"/>
  <c r="BG104" i="90" s="1"/>
  <c r="BI104" i="90"/>
  <c r="AD103" i="90"/>
  <c r="AE103" i="90" s="1"/>
  <c r="AD101" i="90"/>
  <c r="AE101" i="90" s="1"/>
  <c r="AD100" i="90"/>
  <c r="AE100" i="90" s="1"/>
  <c r="AD110" i="90"/>
  <c r="AE110" i="90" s="1"/>
  <c r="BI107" i="90"/>
  <c r="BF107" i="90"/>
  <c r="BG107" i="90" s="1"/>
  <c r="BH25" i="90"/>
  <c r="DA26" i="90" s="1"/>
  <c r="AN25" i="90"/>
  <c r="AS25" i="90"/>
  <c r="EL25" i="90"/>
  <c r="EM25" i="90" s="1"/>
  <c r="BY32" i="90"/>
  <c r="BY33" i="90"/>
  <c r="BY29" i="90"/>
  <c r="BY36" i="90"/>
  <c r="ED25" i="90"/>
  <c r="EI25" i="90" s="1"/>
  <c r="BY35" i="90"/>
  <c r="BY34" i="90"/>
  <c r="BY28" i="90"/>
  <c r="BY26" i="90"/>
  <c r="BY30" i="90"/>
  <c r="BY31" i="90"/>
  <c r="BY37" i="90"/>
  <c r="BY27" i="90"/>
  <c r="AO25" i="90"/>
  <c r="DF25" i="90" s="1"/>
  <c r="DE25" i="90"/>
  <c r="DK25" i="90" s="1"/>
  <c r="AZ62" i="100"/>
  <c r="AZ46" i="100"/>
  <c r="AZ58" i="100"/>
  <c r="AZ52" i="100"/>
  <c r="AZ63" i="100"/>
  <c r="AZ44" i="100"/>
  <c r="AZ54" i="100"/>
  <c r="AZ48" i="100"/>
  <c r="AZ45" i="100"/>
  <c r="AZ57" i="100"/>
  <c r="AZ50" i="100"/>
  <c r="AZ61" i="100"/>
  <c r="AZ51" i="100"/>
  <c r="AZ56" i="100"/>
  <c r="AZ55" i="100"/>
  <c r="AZ59" i="100"/>
  <c r="AZ60" i="100"/>
  <c r="AZ47" i="100"/>
  <c r="AZ49" i="100"/>
  <c r="AZ53" i="100"/>
  <c r="BH138" i="90"/>
  <c r="CZ139" i="90" s="1"/>
  <c r="AV138" i="90"/>
  <c r="CO138" i="90"/>
  <c r="BY141" i="90"/>
  <c r="BY140" i="90"/>
  <c r="BY149" i="90"/>
  <c r="BY144" i="90"/>
  <c r="BY139" i="90"/>
  <c r="BY142" i="90"/>
  <c r="BY148" i="90"/>
  <c r="BY150" i="90"/>
  <c r="BY143" i="90"/>
  <c r="BY146" i="90"/>
  <c r="BY145" i="90"/>
  <c r="BY147" i="90"/>
  <c r="AD138" i="90"/>
  <c r="AE138" i="90" s="1"/>
  <c r="AR138" i="90"/>
  <c r="AQ138" i="90"/>
  <c r="AJ138" i="90"/>
  <c r="AK138" i="90"/>
  <c r="AI138" i="90"/>
  <c r="AN138" i="90"/>
  <c r="AW138" i="90"/>
  <c r="AM138" i="90"/>
  <c r="AX138" i="90"/>
  <c r="AT138" i="90"/>
  <c r="DG138" i="90" s="1"/>
  <c r="AL138" i="90"/>
  <c r="AO138" i="90"/>
  <c r="DF138" i="90" s="1"/>
  <c r="AS138" i="90"/>
  <c r="FA99" i="90"/>
  <c r="CH99" i="90"/>
  <c r="IK21" i="100"/>
  <c r="AK20" i="100"/>
  <c r="AY209" i="100"/>
  <c r="AY79" i="100"/>
  <c r="AY78" i="100" s="1"/>
  <c r="AY339" i="100"/>
  <c r="EX287" i="100"/>
  <c r="EW338" i="100"/>
  <c r="AZ15" i="100"/>
  <c r="AZ290" i="100"/>
  <c r="AZ12" i="100"/>
  <c r="AZ165" i="100"/>
  <c r="AZ186" i="100"/>
  <c r="AZ292" i="100"/>
  <c r="AZ185" i="100"/>
  <c r="AZ182" i="100"/>
  <c r="AZ201" i="100"/>
  <c r="AZ67" i="100"/>
  <c r="AZ160" i="100"/>
  <c r="AZ200" i="100"/>
  <c r="AZ190" i="100"/>
  <c r="AZ76" i="100"/>
  <c r="AZ20" i="100"/>
  <c r="AZ198" i="100"/>
  <c r="AZ37" i="100"/>
  <c r="AZ328" i="100"/>
  <c r="AZ26" i="100"/>
  <c r="AZ174" i="100"/>
  <c r="AZ32" i="100"/>
  <c r="AZ323" i="100"/>
  <c r="AZ308" i="100"/>
  <c r="AZ205" i="100"/>
  <c r="AZ335" i="100"/>
  <c r="AZ204" i="100"/>
  <c r="AZ162" i="100"/>
  <c r="AZ75" i="100"/>
  <c r="AZ167" i="100"/>
  <c r="AZ161" i="100"/>
  <c r="AZ72" i="100"/>
  <c r="AZ195" i="100"/>
  <c r="AZ34" i="100"/>
  <c r="AZ300" i="100"/>
  <c r="AZ173" i="100"/>
  <c r="AZ74" i="100"/>
  <c r="AZ288" i="100"/>
  <c r="AZ171" i="100"/>
  <c r="AZ30" i="100"/>
  <c r="AZ178" i="100"/>
  <c r="AZ183" i="100"/>
  <c r="AZ301" i="100"/>
  <c r="AZ175" i="100"/>
  <c r="AZ313" i="100"/>
  <c r="AZ18" i="100"/>
  <c r="AZ35" i="100"/>
  <c r="AZ169" i="100"/>
  <c r="AZ307" i="100"/>
  <c r="AZ336" i="100"/>
  <c r="AZ21" i="100"/>
  <c r="AZ184" i="100"/>
  <c r="AZ194" i="100"/>
  <c r="AZ33" i="100"/>
  <c r="AZ29" i="100"/>
  <c r="AZ40" i="100"/>
  <c r="AZ202" i="100"/>
  <c r="AZ299" i="100"/>
  <c r="AZ39" i="100"/>
  <c r="AZ187" i="100"/>
  <c r="AZ180" i="100"/>
  <c r="AZ179" i="100"/>
  <c r="AZ166" i="100"/>
  <c r="AZ177" i="100"/>
  <c r="AZ42" i="100"/>
  <c r="AZ68" i="100"/>
  <c r="AZ311" i="100"/>
  <c r="AZ306" i="100"/>
  <c r="AZ25" i="100"/>
  <c r="AZ27" i="100"/>
  <c r="AZ320" i="100"/>
  <c r="AZ64" i="100"/>
  <c r="AZ24" i="100"/>
  <c r="AZ330" i="100"/>
  <c r="AZ304" i="100"/>
  <c r="AZ176" i="100"/>
  <c r="AZ199" i="100"/>
  <c r="AZ329" i="100"/>
  <c r="AZ16" i="100"/>
  <c r="AZ334" i="100"/>
  <c r="AZ14" i="100"/>
  <c r="AZ73" i="100"/>
  <c r="AZ302" i="100"/>
  <c r="AZ158" i="100"/>
  <c r="AZ13" i="100"/>
  <c r="AZ22" i="100"/>
  <c r="AZ298" i="100"/>
  <c r="AZ159" i="100"/>
  <c r="AZ317" i="100"/>
  <c r="AZ314" i="100"/>
  <c r="AZ172" i="100"/>
  <c r="AZ23" i="100"/>
  <c r="AZ163" i="100"/>
  <c r="AZ305" i="100"/>
  <c r="AZ9" i="100"/>
  <c r="AZ196" i="100"/>
  <c r="AZ36" i="100"/>
  <c r="AZ10" i="100"/>
  <c r="AZ66" i="100"/>
  <c r="AZ312" i="100"/>
  <c r="AZ43" i="100"/>
  <c r="AZ38" i="100"/>
  <c r="AZ71" i="100"/>
  <c r="AZ65" i="100"/>
  <c r="BA7" i="100"/>
  <c r="AZ189" i="100"/>
  <c r="AZ170" i="100"/>
  <c r="AZ181" i="100"/>
  <c r="AZ197" i="100"/>
  <c r="AZ326" i="100"/>
  <c r="AZ207" i="100"/>
  <c r="AZ11" i="100"/>
  <c r="AZ324" i="100"/>
  <c r="AZ206" i="100"/>
  <c r="AZ19" i="100"/>
  <c r="AZ192" i="100"/>
  <c r="AZ321" i="100"/>
  <c r="AZ293" i="100"/>
  <c r="AZ303" i="100"/>
  <c r="AZ28" i="100"/>
  <c r="AZ17" i="100"/>
  <c r="AZ318" i="100"/>
  <c r="AZ191" i="100"/>
  <c r="AZ331" i="100"/>
  <c r="AZ319" i="100"/>
  <c r="AZ193" i="100"/>
  <c r="AZ295" i="100"/>
  <c r="AZ332" i="100"/>
  <c r="AZ316" i="100"/>
  <c r="AZ297" i="100"/>
  <c r="AZ188" i="100"/>
  <c r="AZ337" i="100"/>
  <c r="AZ309" i="100"/>
  <c r="AZ164" i="100"/>
  <c r="AZ41" i="100"/>
  <c r="AZ31" i="100"/>
  <c r="AZ168" i="100"/>
  <c r="AZ69" i="100"/>
  <c r="AZ77" i="100"/>
  <c r="AZ296" i="100"/>
  <c r="AZ289" i="100"/>
  <c r="AZ70" i="100"/>
  <c r="AZ8" i="100"/>
  <c r="AZ322" i="100"/>
  <c r="AZ203" i="100"/>
  <c r="AZ327" i="100"/>
  <c r="AZ315" i="100"/>
  <c r="AZ325" i="100"/>
  <c r="AZ291" i="100"/>
  <c r="AZ294" i="100"/>
  <c r="AZ310" i="100"/>
  <c r="AZ333" i="100"/>
  <c r="BE65" i="125"/>
  <c r="AC65" i="125"/>
  <c r="AC63" i="125"/>
  <c r="AC66" i="125"/>
  <c r="BT68" i="125"/>
  <c r="AC68" i="125"/>
  <c r="BT70" i="125"/>
  <c r="AC64" i="125"/>
  <c r="AC70" i="125"/>
  <c r="BE64" i="125"/>
  <c r="BT72" i="125"/>
  <c r="BT69" i="125"/>
  <c r="BT73" i="125"/>
  <c r="AH62" i="125"/>
  <c r="BT63" i="125"/>
  <c r="BE72" i="125"/>
  <c r="BE68" i="125"/>
  <c r="BE73" i="125"/>
  <c r="AC69" i="125"/>
  <c r="BE71" i="125"/>
  <c r="BE28" i="125"/>
  <c r="BE70" i="125"/>
  <c r="AC99" i="125"/>
  <c r="BE66" i="125"/>
  <c r="BT64" i="125"/>
  <c r="BE69" i="125"/>
  <c r="BT65" i="125"/>
  <c r="AC67" i="125"/>
  <c r="BE63" i="125"/>
  <c r="AC72" i="125"/>
  <c r="AC74" i="125"/>
  <c r="BT74" i="125"/>
  <c r="BJ99" i="125"/>
  <c r="BT66" i="125"/>
  <c r="AC73" i="125"/>
  <c r="BT67" i="125"/>
  <c r="BE67" i="125"/>
  <c r="BT71" i="125"/>
  <c r="AC71" i="125"/>
  <c r="BD99" i="125"/>
  <c r="BT107" i="90"/>
  <c r="BT108" i="90"/>
  <c r="AC62" i="90"/>
  <c r="BE102" i="90"/>
  <c r="AC108" i="90"/>
  <c r="AC100" i="90"/>
  <c r="EN25" i="90"/>
  <c r="BT102" i="90"/>
  <c r="BT100" i="90"/>
  <c r="EN99" i="125"/>
  <c r="BE110" i="90"/>
  <c r="BE103" i="90"/>
  <c r="BE100" i="90"/>
  <c r="AC25" i="90"/>
  <c r="BE106" i="90"/>
  <c r="BT110" i="90"/>
  <c r="BE104" i="90"/>
  <c r="AC105" i="90"/>
  <c r="BE101" i="90"/>
  <c r="BJ138" i="90"/>
  <c r="BT111" i="90"/>
  <c r="AC102" i="90"/>
  <c r="AC103" i="90"/>
  <c r="BT106" i="90"/>
  <c r="AC101" i="90"/>
  <c r="BT109" i="90"/>
  <c r="AC138" i="90"/>
  <c r="AC109" i="90"/>
  <c r="J16" i="110"/>
  <c r="AH99" i="90"/>
  <c r="AC106" i="90"/>
  <c r="BE107" i="90"/>
  <c r="AC111" i="90"/>
  <c r="BT101" i="90"/>
  <c r="EN12" i="90"/>
  <c r="AC110" i="90"/>
  <c r="BJ62" i="90"/>
  <c r="BT104" i="90"/>
  <c r="BJ25" i="90"/>
  <c r="EN62" i="90"/>
  <c r="BE108" i="90"/>
  <c r="BE109" i="90"/>
  <c r="N13" i="110"/>
  <c r="AC104" i="90"/>
  <c r="EY12" i="90"/>
  <c r="BT103" i="90"/>
  <c r="BE105" i="90"/>
  <c r="AC107" i="90"/>
  <c r="EY62" i="90"/>
  <c r="EV62" i="125"/>
  <c r="BT105" i="90"/>
  <c r="CX100" i="125" l="1"/>
  <c r="DA100" i="125"/>
  <c r="CY100" i="125"/>
  <c r="CR100" i="125"/>
  <c r="CU100" i="125"/>
  <c r="EH99" i="125"/>
  <c r="FG99" i="125"/>
  <c r="CS100" i="125"/>
  <c r="CZ100" i="125"/>
  <c r="CW100" i="125"/>
  <c r="DB100" i="125"/>
  <c r="DC100" i="125"/>
  <c r="CV100" i="125"/>
  <c r="DI99" i="125"/>
  <c r="BX99" i="125"/>
  <c r="CS101" i="125" s="1"/>
  <c r="BF99" i="125"/>
  <c r="BG99" i="125" s="1"/>
  <c r="FB99" i="125"/>
  <c r="CI99" i="125"/>
  <c r="CO99" i="125" s="1"/>
  <c r="EQ99" i="125"/>
  <c r="ET99" i="125" s="1"/>
  <c r="EW99" i="125"/>
  <c r="EX99" i="125" s="1"/>
  <c r="FD99" i="125"/>
  <c r="FE99" i="125"/>
  <c r="EJ12" i="90"/>
  <c r="EO12" i="90" s="1"/>
  <c r="ES12" i="90"/>
  <c r="EU12" i="90" s="1"/>
  <c r="EZ12" i="90" s="1"/>
  <c r="L16" i="110"/>
  <c r="M16" i="110" s="1"/>
  <c r="F24" i="110"/>
  <c r="F23" i="110"/>
  <c r="F22" i="110"/>
  <c r="AO62" i="125"/>
  <c r="DF62" i="125" s="1"/>
  <c r="AT62" i="125"/>
  <c r="DG62" i="125" s="1"/>
  <c r="DE62" i="125"/>
  <c r="DK62" i="125" s="1"/>
  <c r="AW62" i="125"/>
  <c r="FG62" i="125" s="1"/>
  <c r="BH62" i="125"/>
  <c r="CR63" i="125" s="1"/>
  <c r="AN62" i="125"/>
  <c r="AX62" i="125"/>
  <c r="AM62" i="125"/>
  <c r="BY67" i="125"/>
  <c r="BY63" i="125"/>
  <c r="BY69" i="125"/>
  <c r="BY71" i="125"/>
  <c r="ED62" i="125"/>
  <c r="EI62" i="125" s="1"/>
  <c r="BY74" i="125"/>
  <c r="BY72" i="125"/>
  <c r="BY73" i="125"/>
  <c r="BY64" i="125"/>
  <c r="BY70" i="125"/>
  <c r="BY68" i="125"/>
  <c r="BY66" i="125"/>
  <c r="BY65" i="125"/>
  <c r="EL62" i="125"/>
  <c r="EM62" i="125" s="1"/>
  <c r="CJ62" i="125"/>
  <c r="CK62" i="125"/>
  <c r="AJ62" i="125"/>
  <c r="AR62" i="125"/>
  <c r="FE62" i="125" s="1"/>
  <c r="AI62" i="125"/>
  <c r="AL62" i="125"/>
  <c r="AV62" i="125"/>
  <c r="AK62" i="125"/>
  <c r="AQ62" i="125"/>
  <c r="AD62" i="125"/>
  <c r="AE62" i="125" s="1"/>
  <c r="CO62" i="90"/>
  <c r="CO25" i="90"/>
  <c r="CZ63" i="90"/>
  <c r="FF25" i="90"/>
  <c r="CV63" i="90"/>
  <c r="CW63" i="90"/>
  <c r="DC63" i="90"/>
  <c r="CR63" i="90"/>
  <c r="CT63" i="90"/>
  <c r="CX63" i="90"/>
  <c r="BF62" i="90"/>
  <c r="BG62" i="90" s="1"/>
  <c r="ES62" i="90" s="1"/>
  <c r="DB63" i="90"/>
  <c r="DA63" i="90"/>
  <c r="CY63" i="90"/>
  <c r="CU63" i="90"/>
  <c r="DI62" i="90"/>
  <c r="FE62" i="90"/>
  <c r="EQ62" i="90"/>
  <c r="ET62" i="90" s="1"/>
  <c r="AR99" i="90"/>
  <c r="FE99" i="90" s="1"/>
  <c r="CS63" i="90"/>
  <c r="CL99" i="90"/>
  <c r="EH25" i="90"/>
  <c r="EH62" i="90"/>
  <c r="BX62" i="90"/>
  <c r="FF62" i="90"/>
  <c r="CK99" i="90"/>
  <c r="FD25" i="90"/>
  <c r="BH99" i="90"/>
  <c r="CZ100" i="90" s="1"/>
  <c r="CY26" i="90"/>
  <c r="CT26" i="90"/>
  <c r="CZ26" i="90"/>
  <c r="DB26" i="90"/>
  <c r="CW26" i="90"/>
  <c r="BX25" i="90"/>
  <c r="ED99" i="90"/>
  <c r="EI99" i="90" s="1"/>
  <c r="BY102" i="90"/>
  <c r="BY107" i="90"/>
  <c r="BY106" i="90"/>
  <c r="BY111" i="90"/>
  <c r="BY105" i="90"/>
  <c r="BY100" i="90"/>
  <c r="BY104" i="90"/>
  <c r="BY110" i="90"/>
  <c r="BY108" i="90"/>
  <c r="EQ25" i="90"/>
  <c r="ET25" i="90" s="1"/>
  <c r="BY109" i="90"/>
  <c r="BY103" i="90"/>
  <c r="BY101" i="90"/>
  <c r="AJ99" i="90"/>
  <c r="DE99" i="90"/>
  <c r="DK99" i="90" s="1"/>
  <c r="AD99" i="90"/>
  <c r="AE99" i="90" s="1"/>
  <c r="CV26" i="90"/>
  <c r="CS26" i="90"/>
  <c r="AW99" i="90"/>
  <c r="FG99" i="90" s="1"/>
  <c r="AV99" i="90"/>
  <c r="AO99" i="90"/>
  <c r="DF99" i="90" s="1"/>
  <c r="CR26" i="90"/>
  <c r="AN99" i="90"/>
  <c r="AQ99" i="90"/>
  <c r="AI99" i="90"/>
  <c r="CU26" i="90"/>
  <c r="AT99" i="90"/>
  <c r="DG99" i="90" s="1"/>
  <c r="AL99" i="90"/>
  <c r="EW25" i="90"/>
  <c r="EX25" i="90" s="1"/>
  <c r="BF25" i="90"/>
  <c r="BG25" i="90" s="1"/>
  <c r="AX99" i="90"/>
  <c r="DI25" i="90"/>
  <c r="AM99" i="90"/>
  <c r="AK99" i="90"/>
  <c r="EL99" i="90"/>
  <c r="EM99" i="90" s="1"/>
  <c r="CX26" i="90"/>
  <c r="DC26" i="90"/>
  <c r="BA63" i="100"/>
  <c r="BA44" i="100"/>
  <c r="BA62" i="100"/>
  <c r="BA46" i="100"/>
  <c r="BA58" i="100"/>
  <c r="BA48" i="100"/>
  <c r="BA50" i="100"/>
  <c r="BA56" i="100"/>
  <c r="BA53" i="100"/>
  <c r="BA49" i="100"/>
  <c r="BA55" i="100"/>
  <c r="BA57" i="100"/>
  <c r="BA51" i="100"/>
  <c r="BA59" i="100"/>
  <c r="BA60" i="100"/>
  <c r="BA47" i="100"/>
  <c r="BA52" i="100"/>
  <c r="BA54" i="100"/>
  <c r="BA45" i="100"/>
  <c r="BA61" i="100"/>
  <c r="DC139" i="90"/>
  <c r="CT139" i="90"/>
  <c r="CS139" i="90"/>
  <c r="CR139" i="90"/>
  <c r="BF138" i="90"/>
  <c r="BG138" i="90" s="1"/>
  <c r="CY139" i="90"/>
  <c r="DA139" i="90"/>
  <c r="DB139" i="90"/>
  <c r="CU139" i="90"/>
  <c r="CX139" i="90"/>
  <c r="CW139" i="90"/>
  <c r="DI138" i="90"/>
  <c r="BX138" i="90"/>
  <c r="DM138" i="90" s="1"/>
  <c r="CV139" i="90"/>
  <c r="IK22" i="100"/>
  <c r="AK21" i="100"/>
  <c r="AZ209" i="100"/>
  <c r="AZ79" i="100"/>
  <c r="AZ78" i="100" s="1"/>
  <c r="AZ339" i="100"/>
  <c r="BA203" i="100"/>
  <c r="BA316" i="100"/>
  <c r="BA24" i="100"/>
  <c r="BA42" i="100"/>
  <c r="BA21" i="100"/>
  <c r="BA34" i="100"/>
  <c r="BA33" i="100"/>
  <c r="BA182" i="100"/>
  <c r="BA295" i="100"/>
  <c r="BA196" i="100"/>
  <c r="BA320" i="100"/>
  <c r="BA67" i="100"/>
  <c r="BA331" i="100"/>
  <c r="BA321" i="100"/>
  <c r="BA294" i="100"/>
  <c r="BA74" i="100"/>
  <c r="BA43" i="100"/>
  <c r="BA169" i="100"/>
  <c r="BA334" i="100"/>
  <c r="BA174" i="100"/>
  <c r="BA327" i="100"/>
  <c r="BA181" i="100"/>
  <c r="BA40" i="100"/>
  <c r="BA322" i="100"/>
  <c r="BA195" i="100"/>
  <c r="BA204" i="100"/>
  <c r="BA22" i="100"/>
  <c r="BA306" i="100"/>
  <c r="BA192" i="100"/>
  <c r="BA207" i="100"/>
  <c r="BA23" i="100"/>
  <c r="BA199" i="100"/>
  <c r="BA162" i="100"/>
  <c r="BA291" i="100"/>
  <c r="BA300" i="100"/>
  <c r="BA323" i="100"/>
  <c r="BA299" i="100"/>
  <c r="BA65" i="100"/>
  <c r="BA163" i="100"/>
  <c r="BA27" i="100"/>
  <c r="BB7" i="100"/>
  <c r="BA177" i="100"/>
  <c r="BA288" i="100"/>
  <c r="BA198" i="100"/>
  <c r="BA73" i="100"/>
  <c r="BA64" i="100"/>
  <c r="BA68" i="100"/>
  <c r="BA17" i="100"/>
  <c r="BA319" i="100"/>
  <c r="BA160" i="100"/>
  <c r="BA11" i="100"/>
  <c r="BA173" i="100"/>
  <c r="BA41" i="100"/>
  <c r="BA72" i="100"/>
  <c r="BA170" i="100"/>
  <c r="BA178" i="100"/>
  <c r="BA317" i="100"/>
  <c r="BA309" i="100"/>
  <c r="BA311" i="100"/>
  <c r="BA189" i="100"/>
  <c r="BA171" i="100"/>
  <c r="BA175" i="100"/>
  <c r="BA176" i="100"/>
  <c r="BA36" i="100"/>
  <c r="BA31" i="100"/>
  <c r="BA35" i="100"/>
  <c r="BA188" i="100"/>
  <c r="BA335" i="100"/>
  <c r="BA38" i="100"/>
  <c r="BA166" i="100"/>
  <c r="BA289" i="100"/>
  <c r="BA310" i="100"/>
  <c r="BA293" i="100"/>
  <c r="BA330" i="100"/>
  <c r="BA167" i="100"/>
  <c r="BA165" i="100"/>
  <c r="BA75" i="100"/>
  <c r="BA183" i="100"/>
  <c r="BA202" i="100"/>
  <c r="BA12" i="100"/>
  <c r="BA337" i="100"/>
  <c r="BA159" i="100"/>
  <c r="BA77" i="100"/>
  <c r="BA193" i="100"/>
  <c r="BA18" i="100"/>
  <c r="BA303" i="100"/>
  <c r="BA15" i="100"/>
  <c r="BA158" i="100"/>
  <c r="BA25" i="100"/>
  <c r="BA301" i="100"/>
  <c r="BA13" i="100"/>
  <c r="BA29" i="100"/>
  <c r="BA318" i="100"/>
  <c r="BA313" i="100"/>
  <c r="BA315" i="100"/>
  <c r="BA329" i="100"/>
  <c r="BA164" i="100"/>
  <c r="BA179" i="100"/>
  <c r="BA333" i="100"/>
  <c r="BA314" i="100"/>
  <c r="BA16" i="100"/>
  <c r="BA180" i="100"/>
  <c r="BA332" i="100"/>
  <c r="BA161" i="100"/>
  <c r="BA168" i="100"/>
  <c r="BA307" i="100"/>
  <c r="BA14" i="100"/>
  <c r="BA37" i="100"/>
  <c r="BA201" i="100"/>
  <c r="BA194" i="100"/>
  <c r="BA30" i="100"/>
  <c r="BA39" i="100"/>
  <c r="BA292" i="100"/>
  <c r="BA290" i="100"/>
  <c r="BA336" i="100"/>
  <c r="BA324" i="100"/>
  <c r="BA302" i="100"/>
  <c r="BA20" i="100"/>
  <c r="BA32" i="100"/>
  <c r="BA197" i="100"/>
  <c r="BA328" i="100"/>
  <c r="BA187" i="100"/>
  <c r="BA66" i="100"/>
  <c r="BA26" i="100"/>
  <c r="BA185" i="100"/>
  <c r="BA304" i="100"/>
  <c r="BA206" i="100"/>
  <c r="BA69" i="100"/>
  <c r="BA9" i="100"/>
  <c r="BA71" i="100"/>
  <c r="BA76" i="100"/>
  <c r="BA296" i="100"/>
  <c r="BA326" i="100"/>
  <c r="BA297" i="100"/>
  <c r="BA305" i="100"/>
  <c r="BA325" i="100"/>
  <c r="BA190" i="100"/>
  <c r="BA8" i="100"/>
  <c r="BA184" i="100"/>
  <c r="BA28" i="100"/>
  <c r="BA191" i="100"/>
  <c r="BA200" i="100"/>
  <c r="BA298" i="100"/>
  <c r="BA186" i="100"/>
  <c r="BA308" i="100"/>
  <c r="BA10" i="100"/>
  <c r="BA172" i="100"/>
  <c r="BA19" i="100"/>
  <c r="BA70" i="100"/>
  <c r="BA205" i="100"/>
  <c r="BA312" i="100"/>
  <c r="EY287" i="100"/>
  <c r="EX338" i="100"/>
  <c r="BE30" i="125"/>
  <c r="BE31" i="125"/>
  <c r="BZ99" i="125"/>
  <c r="BE99" i="125"/>
  <c r="BE36" i="125"/>
  <c r="BE27" i="125"/>
  <c r="BE33" i="125"/>
  <c r="BE29" i="125"/>
  <c r="BE26" i="125"/>
  <c r="BE35" i="125"/>
  <c r="BE32" i="125"/>
  <c r="BE34" i="125"/>
  <c r="BE25" i="125"/>
  <c r="BJ62" i="125"/>
  <c r="AC62" i="125"/>
  <c r="BJ99" i="90"/>
  <c r="BZ138" i="90"/>
  <c r="AC99" i="90"/>
  <c r="EE99" i="125"/>
  <c r="BZ62" i="90"/>
  <c r="BS99" i="90"/>
  <c r="BE62" i="90"/>
  <c r="BE138" i="90"/>
  <c r="BZ25" i="90"/>
  <c r="N16" i="110"/>
  <c r="J22" i="110"/>
  <c r="EE25" i="90"/>
  <c r="EY99" i="125"/>
  <c r="J23" i="110"/>
  <c r="EE62" i="90"/>
  <c r="EN62" i="125"/>
  <c r="EY25" i="90"/>
  <c r="EN99" i="90"/>
  <c r="BE25" i="90"/>
  <c r="J24" i="110"/>
  <c r="DB101" i="125" l="1"/>
  <c r="CR101" i="125"/>
  <c r="CV101" i="125"/>
  <c r="DC101" i="125"/>
  <c r="CW101" i="125"/>
  <c r="CX101" i="125"/>
  <c r="DM99" i="125"/>
  <c r="BV99" i="125"/>
  <c r="BW99" i="125" s="1"/>
  <c r="CT101" i="125"/>
  <c r="CY101" i="125"/>
  <c r="CU101" i="125"/>
  <c r="CZ101" i="125"/>
  <c r="EJ99" i="125"/>
  <c r="EO99" i="125" s="1"/>
  <c r="CD99" i="125"/>
  <c r="DA101" i="125"/>
  <c r="BL99" i="125"/>
  <c r="ES99" i="125"/>
  <c r="BL25" i="125"/>
  <c r="L22" i="110"/>
  <c r="M22" i="110" s="1"/>
  <c r="L23" i="110"/>
  <c r="M23" i="110" s="1"/>
  <c r="L24" i="110"/>
  <c r="M24" i="110" s="1"/>
  <c r="I4" i="122" a="1"/>
  <c r="I4" i="122" s="1"/>
  <c r="K4" i="122" s="1"/>
  <c r="CR64" i="90"/>
  <c r="CZ27" i="90"/>
  <c r="DI62" i="125"/>
  <c r="DC63" i="125"/>
  <c r="DA63" i="125"/>
  <c r="CW63" i="125"/>
  <c r="CZ63" i="125"/>
  <c r="EW62" i="125"/>
  <c r="EX62" i="125" s="1"/>
  <c r="FF62" i="125"/>
  <c r="DB63" i="125"/>
  <c r="CT63" i="125"/>
  <c r="CX63" i="125"/>
  <c r="CS63" i="125"/>
  <c r="BF62" i="125"/>
  <c r="BG62" i="125" s="1"/>
  <c r="ES62" i="125" s="1"/>
  <c r="CY63" i="125"/>
  <c r="CO62" i="125"/>
  <c r="BX62" i="125"/>
  <c r="CV64" i="125" s="1"/>
  <c r="EQ62" i="125"/>
  <c r="CV63" i="125"/>
  <c r="CU63" i="125"/>
  <c r="FD62" i="125"/>
  <c r="EH62" i="125"/>
  <c r="EJ62" i="90"/>
  <c r="EO62" i="90" s="1"/>
  <c r="CU100" i="90"/>
  <c r="CY100" i="90"/>
  <c r="CW100" i="90"/>
  <c r="BL62" i="90"/>
  <c r="CV100" i="90"/>
  <c r="CR100" i="90"/>
  <c r="DC100" i="90"/>
  <c r="DI99" i="90"/>
  <c r="CZ64" i="90"/>
  <c r="BV62" i="90"/>
  <c r="BW62" i="90" s="1"/>
  <c r="FD99" i="90"/>
  <c r="CT100" i="90"/>
  <c r="CX100" i="90"/>
  <c r="DB100" i="90"/>
  <c r="CS100" i="90"/>
  <c r="EW99" i="90"/>
  <c r="EX99" i="90" s="1"/>
  <c r="CT64" i="90"/>
  <c r="CW64" i="90"/>
  <c r="CX64" i="90"/>
  <c r="CU64" i="90"/>
  <c r="DA64" i="90"/>
  <c r="CS64" i="90"/>
  <c r="CV64" i="90"/>
  <c r="DB64" i="90"/>
  <c r="DM62" i="90"/>
  <c r="CY64" i="90"/>
  <c r="CD62" i="90"/>
  <c r="DC64" i="90"/>
  <c r="EQ99" i="90"/>
  <c r="ET99" i="90" s="1"/>
  <c r="DA100" i="90"/>
  <c r="BV25" i="90"/>
  <c r="BW25" i="90" s="1"/>
  <c r="EJ25" i="90"/>
  <c r="EO25" i="90" s="1"/>
  <c r="CT27" i="90"/>
  <c r="CW27" i="90"/>
  <c r="CR27" i="90"/>
  <c r="CX27" i="90"/>
  <c r="CV27" i="90"/>
  <c r="DM25" i="90"/>
  <c r="DC27" i="90"/>
  <c r="FF99" i="90"/>
  <c r="CU27" i="90"/>
  <c r="EH99" i="90"/>
  <c r="CD25" i="90"/>
  <c r="DA27" i="90"/>
  <c r="DB27" i="90"/>
  <c r="CY27" i="90"/>
  <c r="CS27" i="90"/>
  <c r="BX99" i="90"/>
  <c r="BV99" i="90" s="1"/>
  <c r="BW99" i="90" s="1"/>
  <c r="BL25" i="90"/>
  <c r="ES25" i="90"/>
  <c r="BB63" i="100"/>
  <c r="BB62" i="100"/>
  <c r="BB51" i="100"/>
  <c r="BB44" i="100"/>
  <c r="BB49" i="100"/>
  <c r="BB46" i="100"/>
  <c r="BB48" i="100"/>
  <c r="BB58" i="100"/>
  <c r="BB45" i="100"/>
  <c r="BB59" i="100"/>
  <c r="BB54" i="100"/>
  <c r="BB55" i="100"/>
  <c r="BB50" i="100"/>
  <c r="BB53" i="100"/>
  <c r="BB61" i="100"/>
  <c r="BB56" i="100"/>
  <c r="BB57" i="100"/>
  <c r="BB60" i="100"/>
  <c r="BB47" i="100"/>
  <c r="BB52" i="100"/>
  <c r="DC140" i="90"/>
  <c r="BL138" i="90"/>
  <c r="CU140" i="90"/>
  <c r="CX140" i="90"/>
  <c r="CV140" i="90"/>
  <c r="CT140" i="90"/>
  <c r="DB140" i="90"/>
  <c r="CS140" i="90"/>
  <c r="CY140" i="90"/>
  <c r="DA140" i="90"/>
  <c r="CW140" i="90"/>
  <c r="CZ140" i="90"/>
  <c r="CR140" i="90"/>
  <c r="CD138" i="90"/>
  <c r="BV138" i="90"/>
  <c r="BW138" i="90" s="1"/>
  <c r="FC99" i="90"/>
  <c r="CM99" i="90"/>
  <c r="AK22" i="100"/>
  <c r="IK23" i="100"/>
  <c r="BA209" i="100"/>
  <c r="BA339" i="100"/>
  <c r="BA79" i="100"/>
  <c r="BA78" i="100" s="1"/>
  <c r="EZ287" i="100"/>
  <c r="EY338" i="100"/>
  <c r="BB304" i="100"/>
  <c r="BB36" i="100"/>
  <c r="BB177" i="100"/>
  <c r="BB68" i="100"/>
  <c r="BB14" i="100"/>
  <c r="BB172" i="100"/>
  <c r="BB169" i="100"/>
  <c r="BB291" i="100"/>
  <c r="BB312" i="100"/>
  <c r="BB288" i="100"/>
  <c r="BB293" i="100"/>
  <c r="BB21" i="100"/>
  <c r="BB30" i="100"/>
  <c r="BB330" i="100"/>
  <c r="BB167" i="100"/>
  <c r="BB292" i="100"/>
  <c r="BB308" i="100"/>
  <c r="BB163" i="100"/>
  <c r="BB77" i="100"/>
  <c r="BB170" i="100"/>
  <c r="BB187" i="100"/>
  <c r="BB178" i="100"/>
  <c r="BB22" i="100"/>
  <c r="BB72" i="100"/>
  <c r="BB67" i="100"/>
  <c r="BB314" i="100"/>
  <c r="BB296" i="100"/>
  <c r="BB181" i="100"/>
  <c r="BB201" i="100"/>
  <c r="BB10" i="100"/>
  <c r="BB37" i="100"/>
  <c r="BB306" i="100"/>
  <c r="BB19" i="100"/>
  <c r="BB35" i="100"/>
  <c r="BB18" i="100"/>
  <c r="BB25" i="100"/>
  <c r="BB203" i="100"/>
  <c r="BB175" i="100"/>
  <c r="BB174" i="100"/>
  <c r="BB198" i="100"/>
  <c r="BB318" i="100"/>
  <c r="BB185" i="100"/>
  <c r="BB12" i="100"/>
  <c r="BB65" i="100"/>
  <c r="BB164" i="100"/>
  <c r="BB188" i="100"/>
  <c r="BB204" i="100"/>
  <c r="BB39" i="100"/>
  <c r="BB194" i="100"/>
  <c r="BB171" i="100"/>
  <c r="BB323" i="100"/>
  <c r="BB206" i="100"/>
  <c r="BB32" i="100"/>
  <c r="BB316" i="100"/>
  <c r="BB200" i="100"/>
  <c r="BB183" i="100"/>
  <c r="BB71" i="100"/>
  <c r="BB184" i="100"/>
  <c r="BB162" i="100"/>
  <c r="BB40" i="100"/>
  <c r="BB290" i="100"/>
  <c r="BB23" i="100"/>
  <c r="BB168" i="100"/>
  <c r="BB335" i="100"/>
  <c r="BB333" i="100"/>
  <c r="BB160" i="100"/>
  <c r="BB70" i="100"/>
  <c r="BB205" i="100"/>
  <c r="BB299" i="100"/>
  <c r="BB321" i="100"/>
  <c r="BB294" i="100"/>
  <c r="BB327" i="100"/>
  <c r="BB173" i="100"/>
  <c r="BB11" i="100"/>
  <c r="BB182" i="100"/>
  <c r="BB191" i="100"/>
  <c r="BB199" i="100"/>
  <c r="BB197" i="100"/>
  <c r="BB305" i="100"/>
  <c r="BB189" i="100"/>
  <c r="BB74" i="100"/>
  <c r="BB20" i="100"/>
  <c r="BB42" i="100"/>
  <c r="BB17" i="100"/>
  <c r="BB332" i="100"/>
  <c r="BB311" i="100"/>
  <c r="BB303" i="100"/>
  <c r="BB310" i="100"/>
  <c r="BB41" i="100"/>
  <c r="BB295" i="100"/>
  <c r="BB328" i="100"/>
  <c r="BB180" i="100"/>
  <c r="BB315" i="100"/>
  <c r="BB334" i="100"/>
  <c r="BB75" i="100"/>
  <c r="BB192" i="100"/>
  <c r="BB161" i="100"/>
  <c r="BB207" i="100"/>
  <c r="BB158" i="100"/>
  <c r="BB176" i="100"/>
  <c r="BB16" i="100"/>
  <c r="BB166" i="100"/>
  <c r="BB313" i="100"/>
  <c r="BB9" i="100"/>
  <c r="BB24" i="100"/>
  <c r="BB320" i="100"/>
  <c r="BB66" i="100"/>
  <c r="BB301" i="100"/>
  <c r="BB33" i="100"/>
  <c r="BB190" i="100"/>
  <c r="BB159" i="100"/>
  <c r="BB298" i="100"/>
  <c r="BB336" i="100"/>
  <c r="BB302" i="100"/>
  <c r="BB297" i="100"/>
  <c r="BB195" i="100"/>
  <c r="BB325" i="100"/>
  <c r="BB317" i="100"/>
  <c r="BB289" i="100"/>
  <c r="BB186" i="100"/>
  <c r="BB165" i="100"/>
  <c r="BB38" i="100"/>
  <c r="BB307" i="100"/>
  <c r="BB300" i="100"/>
  <c r="BB26" i="100"/>
  <c r="BB64" i="100"/>
  <c r="BB73" i="100"/>
  <c r="BB329" i="100"/>
  <c r="BB179" i="100"/>
  <c r="BB76" i="100"/>
  <c r="BB331" i="100"/>
  <c r="BB324" i="100"/>
  <c r="BB202" i="100"/>
  <c r="BB193" i="100"/>
  <c r="BB309" i="100"/>
  <c r="BB31" i="100"/>
  <c r="BB322" i="100"/>
  <c r="BB337" i="100"/>
  <c r="BB28" i="100"/>
  <c r="BB69" i="100"/>
  <c r="BB196" i="100"/>
  <c r="BB34" i="100"/>
  <c r="BB15" i="100"/>
  <c r="BC7" i="100"/>
  <c r="BB43" i="100"/>
  <c r="BB319" i="100"/>
  <c r="BB8" i="100"/>
  <c r="BB326" i="100"/>
  <c r="BB27" i="100"/>
  <c r="BB13" i="100"/>
  <c r="BB29" i="100"/>
  <c r="BT99" i="125"/>
  <c r="BZ62" i="125"/>
  <c r="BE62" i="125"/>
  <c r="BT138" i="90"/>
  <c r="N22" i="110"/>
  <c r="N24" i="110"/>
  <c r="EY62" i="125"/>
  <c r="ER25" i="90"/>
  <c r="EE62" i="125"/>
  <c r="N23" i="110"/>
  <c r="EY99" i="90"/>
  <c r="EE99" i="90"/>
  <c r="BT62" i="90"/>
  <c r="BT99" i="90"/>
  <c r="BD99" i="90"/>
  <c r="BT25" i="90"/>
  <c r="ER99" i="125"/>
  <c r="BZ99" i="90"/>
  <c r="ER62" i="90"/>
  <c r="ER62" i="125"/>
  <c r="EU99" i="125" l="1"/>
  <c r="EZ99" i="125" s="1"/>
  <c r="F3" i="123"/>
  <c r="Q4" i="122"/>
  <c r="J3" i="123" s="1"/>
  <c r="CV116" i="125"/>
  <c r="BL62" i="125"/>
  <c r="CX64" i="125"/>
  <c r="CX116" i="125" s="1"/>
  <c r="DB64" i="125"/>
  <c r="DB116" i="125" s="1"/>
  <c r="CT64" i="125"/>
  <c r="CT116" i="125" s="1"/>
  <c r="BV62" i="125"/>
  <c r="BW62" i="125" s="1"/>
  <c r="CS64" i="125"/>
  <c r="CS116" i="125" s="1"/>
  <c r="CU64" i="125"/>
  <c r="CU116" i="125" s="1"/>
  <c r="DC64" i="125"/>
  <c r="DC116" i="125" s="1"/>
  <c r="CW64" i="125"/>
  <c r="CW116" i="125" s="1"/>
  <c r="CY64" i="125"/>
  <c r="CY116" i="125" s="1"/>
  <c r="CR64" i="125"/>
  <c r="CR116" i="125" s="1"/>
  <c r="CD62" i="125"/>
  <c r="CD114" i="125" s="1"/>
  <c r="DA64" i="125"/>
  <c r="DA116" i="125" s="1"/>
  <c r="CZ64" i="125"/>
  <c r="CZ116" i="125" s="1"/>
  <c r="DM62" i="125"/>
  <c r="ET62" i="125"/>
  <c r="EU62" i="125" s="1"/>
  <c r="EZ62" i="125" s="1"/>
  <c r="EJ62" i="125"/>
  <c r="EO62" i="125" s="1"/>
  <c r="EU62" i="90"/>
  <c r="EZ62" i="90" s="1"/>
  <c r="CI99" i="90"/>
  <c r="CO99" i="90" s="1"/>
  <c r="FB99" i="90"/>
  <c r="BF99" i="90"/>
  <c r="BG99" i="90" s="1"/>
  <c r="EJ99" i="90"/>
  <c r="EO99" i="90" s="1"/>
  <c r="EU25" i="90"/>
  <c r="EZ25" i="90" s="1"/>
  <c r="CX101" i="90"/>
  <c r="CX116" i="90" s="1"/>
  <c r="D15" i="91" s="1"/>
  <c r="E15" i="91" s="1"/>
  <c r="CT101" i="90"/>
  <c r="CT116" i="90" s="1"/>
  <c r="D11" i="91" s="1"/>
  <c r="I11" i="91" s="1"/>
  <c r="DA101" i="90"/>
  <c r="DA116" i="90" s="1"/>
  <c r="D18" i="91" s="1"/>
  <c r="I18" i="91" s="1"/>
  <c r="CW101" i="90"/>
  <c r="CW116" i="90" s="1"/>
  <c r="D14" i="91" s="1"/>
  <c r="I14" i="91" s="1"/>
  <c r="CR101" i="90"/>
  <c r="CR116" i="90" s="1"/>
  <c r="D9" i="91" s="1"/>
  <c r="E9" i="91" s="1"/>
  <c r="DC101" i="90"/>
  <c r="DC116" i="90" s="1"/>
  <c r="D20" i="91" s="1"/>
  <c r="G20" i="91" s="1"/>
  <c r="DM99" i="90"/>
  <c r="CV101" i="90"/>
  <c r="CV116" i="90" s="1"/>
  <c r="D13" i="91" s="1"/>
  <c r="E13" i="91" s="1"/>
  <c r="CY101" i="90"/>
  <c r="CY116" i="90" s="1"/>
  <c r="D16" i="91" s="1"/>
  <c r="E16" i="91" s="1"/>
  <c r="CU101" i="90"/>
  <c r="CU116" i="90" s="1"/>
  <c r="D12" i="91" s="1"/>
  <c r="I12" i="91" s="1"/>
  <c r="DB101" i="90"/>
  <c r="DB116" i="90" s="1"/>
  <c r="D19" i="91" s="1"/>
  <c r="G19" i="91" s="1"/>
  <c r="CS101" i="90"/>
  <c r="CS116" i="90" s="1"/>
  <c r="D10" i="91" s="1"/>
  <c r="E10" i="91" s="1"/>
  <c r="CD99" i="90"/>
  <c r="CD114" i="90" s="1"/>
  <c r="CZ101" i="90"/>
  <c r="CZ116" i="90" s="1"/>
  <c r="D17" i="91" s="1"/>
  <c r="E17" i="91" s="1"/>
  <c r="BC58" i="100"/>
  <c r="BC57" i="100"/>
  <c r="BC51" i="100"/>
  <c r="BC46" i="100"/>
  <c r="BC44" i="100"/>
  <c r="BC62" i="100"/>
  <c r="BC63" i="100"/>
  <c r="BC49" i="100"/>
  <c r="BC53" i="100"/>
  <c r="BC48" i="100"/>
  <c r="BC60" i="100"/>
  <c r="BC54" i="100"/>
  <c r="BC56" i="100"/>
  <c r="BC59" i="100"/>
  <c r="BC61" i="100"/>
  <c r="BC47" i="100"/>
  <c r="BC55" i="100"/>
  <c r="BC45" i="100"/>
  <c r="BC52" i="100"/>
  <c r="BC50" i="100"/>
  <c r="IK24" i="100"/>
  <c r="AK23" i="100"/>
  <c r="BB209" i="100"/>
  <c r="BB339" i="100"/>
  <c r="BB79" i="100"/>
  <c r="BB78" i="100" s="1"/>
  <c r="BC43" i="100"/>
  <c r="BC310" i="100"/>
  <c r="BC304" i="100"/>
  <c r="BC307" i="100"/>
  <c r="BC72" i="100"/>
  <c r="BC317" i="100"/>
  <c r="BC26" i="100"/>
  <c r="BC41" i="100"/>
  <c r="BC293" i="100"/>
  <c r="BC65" i="100"/>
  <c r="BC290" i="100"/>
  <c r="BC335" i="100"/>
  <c r="BC198" i="100"/>
  <c r="BC171" i="100"/>
  <c r="BC166" i="100"/>
  <c r="BC322" i="100"/>
  <c r="BC10" i="100"/>
  <c r="BC334" i="100"/>
  <c r="BC291" i="100"/>
  <c r="BC190" i="100"/>
  <c r="BC185" i="100"/>
  <c r="BC14" i="100"/>
  <c r="BC324" i="100"/>
  <c r="BC297" i="100"/>
  <c r="BC19" i="100"/>
  <c r="BC160" i="100"/>
  <c r="BC309" i="100"/>
  <c r="BC204" i="100"/>
  <c r="BC17" i="100"/>
  <c r="BC70" i="100"/>
  <c r="BC182" i="100"/>
  <c r="BC183" i="100"/>
  <c r="BC325" i="100"/>
  <c r="BC178" i="100"/>
  <c r="BC159" i="100"/>
  <c r="BC69" i="100"/>
  <c r="BC192" i="100"/>
  <c r="BC20" i="100"/>
  <c r="BC191" i="100"/>
  <c r="BC201" i="100"/>
  <c r="BC312" i="100"/>
  <c r="BC299" i="100"/>
  <c r="BC320" i="100"/>
  <c r="BC35" i="100"/>
  <c r="BC77" i="100"/>
  <c r="BD7" i="100"/>
  <c r="BC73" i="100"/>
  <c r="BC37" i="100"/>
  <c r="BC207" i="100"/>
  <c r="BC202" i="100"/>
  <c r="BC172" i="100"/>
  <c r="BC174" i="100"/>
  <c r="BC194" i="100"/>
  <c r="BC296" i="100"/>
  <c r="BC300" i="100"/>
  <c r="BC38" i="100"/>
  <c r="BC9" i="100"/>
  <c r="BC188" i="100"/>
  <c r="BC11" i="100"/>
  <c r="BC21" i="100"/>
  <c r="BC333" i="100"/>
  <c r="BC161" i="100"/>
  <c r="BC323" i="100"/>
  <c r="BC167" i="100"/>
  <c r="BC64" i="100"/>
  <c r="BC205" i="100"/>
  <c r="BC301" i="100"/>
  <c r="BC25" i="100"/>
  <c r="BC74" i="100"/>
  <c r="BC184" i="100"/>
  <c r="BC66" i="100"/>
  <c r="BC179" i="100"/>
  <c r="BC330" i="100"/>
  <c r="BC289" i="100"/>
  <c r="BC302" i="100"/>
  <c r="BC173" i="100"/>
  <c r="BC314" i="100"/>
  <c r="BC311" i="100"/>
  <c r="BC18" i="100"/>
  <c r="BC327" i="100"/>
  <c r="BC170" i="100"/>
  <c r="BC168" i="100"/>
  <c r="BC195" i="100"/>
  <c r="BC68" i="100"/>
  <c r="BC12" i="100"/>
  <c r="BC193" i="100"/>
  <c r="BC169" i="100"/>
  <c r="BC28" i="100"/>
  <c r="BC196" i="100"/>
  <c r="BC306" i="100"/>
  <c r="BC200" i="100"/>
  <c r="BC22" i="100"/>
  <c r="BC163" i="100"/>
  <c r="BC288" i="100"/>
  <c r="BC75" i="100"/>
  <c r="BC298" i="100"/>
  <c r="BC181" i="100"/>
  <c r="BC180" i="100"/>
  <c r="BC315" i="100"/>
  <c r="BC321" i="100"/>
  <c r="BC13" i="100"/>
  <c r="BC40" i="100"/>
  <c r="BC332" i="100"/>
  <c r="BC164" i="100"/>
  <c r="BC30" i="100"/>
  <c r="BC8" i="100"/>
  <c r="BC295" i="100"/>
  <c r="BC308" i="100"/>
  <c r="BC158" i="100"/>
  <c r="BC336" i="100"/>
  <c r="BC318" i="100"/>
  <c r="BC16" i="100"/>
  <c r="BC23" i="100"/>
  <c r="BC36" i="100"/>
  <c r="BC34" i="100"/>
  <c r="BC29" i="100"/>
  <c r="BC292" i="100"/>
  <c r="BC71" i="100"/>
  <c r="BC186" i="100"/>
  <c r="BC177" i="100"/>
  <c r="BC316" i="100"/>
  <c r="BC67" i="100"/>
  <c r="BC331" i="100"/>
  <c r="BC39" i="100"/>
  <c r="BC294" i="100"/>
  <c r="BC162" i="100"/>
  <c r="BC203" i="100"/>
  <c r="BC165" i="100"/>
  <c r="BC305" i="100"/>
  <c r="BC329" i="100"/>
  <c r="BC326" i="100"/>
  <c r="BC337" i="100"/>
  <c r="BC319" i="100"/>
  <c r="BC199" i="100"/>
  <c r="BC31" i="100"/>
  <c r="BC175" i="100"/>
  <c r="BC313" i="100"/>
  <c r="BC176" i="100"/>
  <c r="BC328" i="100"/>
  <c r="BC303" i="100"/>
  <c r="BC24" i="100"/>
  <c r="BC42" i="100"/>
  <c r="BC76" i="100"/>
  <c r="BC27" i="100"/>
  <c r="BC206" i="100"/>
  <c r="BC197" i="100"/>
  <c r="BC15" i="100"/>
  <c r="BC187" i="100"/>
  <c r="BC33" i="100"/>
  <c r="BC32" i="100"/>
  <c r="BC189" i="100"/>
  <c r="FA287" i="100"/>
  <c r="EZ338" i="100"/>
  <c r="BT62" i="125"/>
  <c r="BE99" i="90"/>
  <c r="ER99" i="90"/>
  <c r="BL99" i="90" l="1"/>
  <c r="ES99" i="90"/>
  <c r="EU99" i="90" s="1"/>
  <c r="EZ99" i="90" s="1"/>
  <c r="I15" i="91"/>
  <c r="E18" i="91"/>
  <c r="G18" i="91"/>
  <c r="G13" i="91"/>
  <c r="I13" i="91"/>
  <c r="G15" i="91"/>
  <c r="G16" i="91"/>
  <c r="E14" i="91"/>
  <c r="G9" i="91"/>
  <c r="E20" i="91"/>
  <c r="G11" i="91"/>
  <c r="G14" i="91"/>
  <c r="E11" i="91"/>
  <c r="I20" i="91"/>
  <c r="I10" i="91"/>
  <c r="G10" i="91"/>
  <c r="E19" i="91"/>
  <c r="I9" i="91"/>
  <c r="G12" i="91"/>
  <c r="E12" i="91"/>
  <c r="I16" i="91"/>
  <c r="I19" i="91"/>
  <c r="I17" i="91"/>
  <c r="D21" i="91"/>
  <c r="G17" i="91"/>
  <c r="BD44" i="100"/>
  <c r="BD57" i="100"/>
  <c r="BD51" i="100"/>
  <c r="BD62" i="100"/>
  <c r="BD46" i="100"/>
  <c r="BD63" i="100"/>
  <c r="BD48" i="100"/>
  <c r="BD53" i="100"/>
  <c r="BD49" i="100"/>
  <c r="BD59" i="100"/>
  <c r="BD61" i="100"/>
  <c r="BD56" i="100"/>
  <c r="BD52" i="100"/>
  <c r="BD50" i="100"/>
  <c r="BD55" i="100"/>
  <c r="BD47" i="100"/>
  <c r="BD54" i="100"/>
  <c r="BD60" i="100"/>
  <c r="BD58" i="100"/>
  <c r="BD45" i="100"/>
  <c r="AK24" i="100"/>
  <c r="IK25" i="100"/>
  <c r="BC339" i="100"/>
  <c r="BC209" i="100"/>
  <c r="BC79" i="100"/>
  <c r="BC78" i="100" s="1"/>
  <c r="BD66" i="100"/>
  <c r="BD75" i="100"/>
  <c r="BD37" i="100"/>
  <c r="BD289" i="100"/>
  <c r="BD158" i="100"/>
  <c r="BD21" i="100"/>
  <c r="BD333" i="100"/>
  <c r="BD172" i="100"/>
  <c r="BD327" i="100"/>
  <c r="BD198" i="100"/>
  <c r="BD174" i="100"/>
  <c r="BD70" i="100"/>
  <c r="BD331" i="100"/>
  <c r="BD43" i="100"/>
  <c r="BD36" i="100"/>
  <c r="BD26" i="100"/>
  <c r="BD319" i="100"/>
  <c r="BD189" i="100"/>
  <c r="BD159" i="100"/>
  <c r="BD323" i="100"/>
  <c r="BD65" i="100"/>
  <c r="BD190" i="100"/>
  <c r="BD310" i="100"/>
  <c r="BD193" i="100"/>
  <c r="BD72" i="100"/>
  <c r="BD18" i="100"/>
  <c r="BD10" i="100"/>
  <c r="BD311" i="100"/>
  <c r="BD29" i="100"/>
  <c r="BD196" i="100"/>
  <c r="BD177" i="100"/>
  <c r="BD23" i="100"/>
  <c r="BD306" i="100"/>
  <c r="BD186" i="100"/>
  <c r="BD25" i="100"/>
  <c r="BD67" i="100"/>
  <c r="BD164" i="100"/>
  <c r="BE7" i="100"/>
  <c r="BD184" i="100"/>
  <c r="BD14" i="100"/>
  <c r="BD11" i="100"/>
  <c r="BD197" i="100"/>
  <c r="BD169" i="100"/>
  <c r="BD330" i="100"/>
  <c r="BD166" i="100"/>
  <c r="BD181" i="100"/>
  <c r="BD175" i="100"/>
  <c r="BD320" i="100"/>
  <c r="BD302" i="100"/>
  <c r="BD178" i="100"/>
  <c r="BD307" i="100"/>
  <c r="BD176" i="100"/>
  <c r="BD187" i="100"/>
  <c r="BD41" i="100"/>
  <c r="BD305" i="100"/>
  <c r="BD16" i="100"/>
  <c r="BD167" i="100"/>
  <c r="BD13" i="100"/>
  <c r="BD39" i="100"/>
  <c r="BD19" i="100"/>
  <c r="BD288" i="100"/>
  <c r="BD163" i="100"/>
  <c r="BD76" i="100"/>
  <c r="BD290" i="100"/>
  <c r="BD308" i="100"/>
  <c r="BD298" i="100"/>
  <c r="BD337" i="100"/>
  <c r="BD292" i="100"/>
  <c r="BD199" i="100"/>
  <c r="BD200" i="100"/>
  <c r="BD194" i="100"/>
  <c r="BD313" i="100"/>
  <c r="BD203" i="100"/>
  <c r="BD336" i="100"/>
  <c r="BD192" i="100"/>
  <c r="BD315" i="100"/>
  <c r="BD20" i="100"/>
  <c r="BD326" i="100"/>
  <c r="BD201" i="100"/>
  <c r="BD334" i="100"/>
  <c r="BD325" i="100"/>
  <c r="BD324" i="100"/>
  <c r="BD32" i="100"/>
  <c r="BD328" i="100"/>
  <c r="BD38" i="100"/>
  <c r="BD296" i="100"/>
  <c r="BD195" i="100"/>
  <c r="BD69" i="100"/>
  <c r="BD161" i="100"/>
  <c r="BD165" i="100"/>
  <c r="BD33" i="100"/>
  <c r="BD295" i="100"/>
  <c r="BD321" i="100"/>
  <c r="BD318" i="100"/>
  <c r="BD206" i="100"/>
  <c r="BD77" i="100"/>
  <c r="BD312" i="100"/>
  <c r="BD71" i="100"/>
  <c r="BD335" i="100"/>
  <c r="BD64" i="100"/>
  <c r="BD297" i="100"/>
  <c r="BD314" i="100"/>
  <c r="BD24" i="100"/>
  <c r="BD22" i="100"/>
  <c r="BD12" i="100"/>
  <c r="BD173" i="100"/>
  <c r="BD332" i="100"/>
  <c r="BD322" i="100"/>
  <c r="BD27" i="100"/>
  <c r="BD291" i="100"/>
  <c r="BD74" i="100"/>
  <c r="BD191" i="100"/>
  <c r="BD28" i="100"/>
  <c r="BD15" i="100"/>
  <c r="BD309" i="100"/>
  <c r="BD34" i="100"/>
  <c r="BD301" i="100"/>
  <c r="BD168" i="100"/>
  <c r="BD68" i="100"/>
  <c r="BD8" i="100"/>
  <c r="BD316" i="100"/>
  <c r="BD17" i="100"/>
  <c r="BD300" i="100"/>
  <c r="BD294" i="100"/>
  <c r="BD160" i="100"/>
  <c r="BD204" i="100"/>
  <c r="BD162" i="100"/>
  <c r="BD185" i="100"/>
  <c r="BD35" i="100"/>
  <c r="BD317" i="100"/>
  <c r="BD183" i="100"/>
  <c r="BD73" i="100"/>
  <c r="BD202" i="100"/>
  <c r="BD304" i="100"/>
  <c r="BD180" i="100"/>
  <c r="BD31" i="100"/>
  <c r="BD329" i="100"/>
  <c r="BD207" i="100"/>
  <c r="BD303" i="100"/>
  <c r="BD188" i="100"/>
  <c r="BD9" i="100"/>
  <c r="BD170" i="100"/>
  <c r="BD182" i="100"/>
  <c r="BD293" i="100"/>
  <c r="BD40" i="100"/>
  <c r="BD205" i="100"/>
  <c r="BD171" i="100"/>
  <c r="BD30" i="100"/>
  <c r="BD42" i="100"/>
  <c r="BD179" i="100"/>
  <c r="BD299" i="100"/>
  <c r="FB287" i="100"/>
  <c r="FA338" i="100"/>
  <c r="G21" i="91" l="1"/>
  <c r="E21" i="91"/>
  <c r="I21" i="91"/>
  <c r="BE63" i="100"/>
  <c r="BE62" i="100"/>
  <c r="BE44" i="100"/>
  <c r="BE49" i="100"/>
  <c r="BE51" i="100"/>
  <c r="BE46" i="100"/>
  <c r="BE53" i="100"/>
  <c r="BE59" i="100"/>
  <c r="BE47" i="100"/>
  <c r="BE61" i="100"/>
  <c r="BE55" i="100"/>
  <c r="BE54" i="100"/>
  <c r="BE60" i="100"/>
  <c r="BE50" i="100"/>
  <c r="BE57" i="100"/>
  <c r="BE48" i="100"/>
  <c r="BE52" i="100"/>
  <c r="BE58" i="100"/>
  <c r="BE56" i="100"/>
  <c r="BE45" i="100"/>
  <c r="AK25" i="100"/>
  <c r="IK26" i="100"/>
  <c r="BD339" i="100"/>
  <c r="BD79" i="100"/>
  <c r="BD78" i="100" s="1"/>
  <c r="BD209" i="100"/>
  <c r="FC287" i="100"/>
  <c r="FB338" i="100"/>
  <c r="BE192" i="100"/>
  <c r="BE292" i="100"/>
  <c r="BE170" i="100"/>
  <c r="BE291" i="100"/>
  <c r="BE194" i="100"/>
  <c r="BE172" i="100"/>
  <c r="BE311" i="100"/>
  <c r="BE332" i="100"/>
  <c r="BE182" i="100"/>
  <c r="BE77" i="100"/>
  <c r="BE32" i="100"/>
  <c r="BE40" i="100"/>
  <c r="BE198" i="100"/>
  <c r="BE41" i="100"/>
  <c r="BE159" i="100"/>
  <c r="BE15" i="100"/>
  <c r="BE294" i="100"/>
  <c r="BE299" i="100"/>
  <c r="BE71" i="100"/>
  <c r="BE177" i="100"/>
  <c r="BE30" i="100"/>
  <c r="BE67" i="100"/>
  <c r="BE206" i="100"/>
  <c r="BE202" i="100"/>
  <c r="BE65" i="100"/>
  <c r="BE197" i="100"/>
  <c r="BE334" i="100"/>
  <c r="BE302" i="100"/>
  <c r="BE207" i="100"/>
  <c r="BE39" i="100"/>
  <c r="BE160" i="100"/>
  <c r="BE295" i="100"/>
  <c r="BE11" i="100"/>
  <c r="BE26" i="100"/>
  <c r="BE189" i="100"/>
  <c r="BE309" i="100"/>
  <c r="BE169" i="100"/>
  <c r="BE319" i="100"/>
  <c r="BE320" i="100"/>
  <c r="BE181" i="100"/>
  <c r="BE27" i="100"/>
  <c r="BE303" i="100"/>
  <c r="BE289" i="100"/>
  <c r="BE38" i="100"/>
  <c r="BE35" i="100"/>
  <c r="BE305" i="100"/>
  <c r="BE22" i="100"/>
  <c r="BE23" i="100"/>
  <c r="BE310" i="100"/>
  <c r="BE300" i="100"/>
  <c r="BE28" i="100"/>
  <c r="BE8" i="100"/>
  <c r="BE162" i="100"/>
  <c r="BE33" i="100"/>
  <c r="BE70" i="100"/>
  <c r="BE297" i="100"/>
  <c r="BE68" i="100"/>
  <c r="BE174" i="100"/>
  <c r="BE34" i="100"/>
  <c r="BE64" i="100"/>
  <c r="BE296" i="100"/>
  <c r="BE167" i="100"/>
  <c r="BE186" i="100"/>
  <c r="BE163" i="100"/>
  <c r="BE9" i="100"/>
  <c r="BE19" i="100"/>
  <c r="BE171" i="100"/>
  <c r="BE335" i="100"/>
  <c r="BE188" i="100"/>
  <c r="BE193" i="100"/>
  <c r="BE329" i="100"/>
  <c r="BE72" i="100"/>
  <c r="BE307" i="100"/>
  <c r="BE179" i="100"/>
  <c r="BE199" i="100"/>
  <c r="BE204" i="100"/>
  <c r="BE183" i="100"/>
  <c r="BE76" i="100"/>
  <c r="BE337" i="100"/>
  <c r="BE161" i="100"/>
  <c r="BE201" i="100"/>
  <c r="BE176" i="100"/>
  <c r="BE298" i="100"/>
  <c r="BF7" i="100"/>
  <c r="BE73" i="100"/>
  <c r="BE43" i="100"/>
  <c r="BE288" i="100"/>
  <c r="BE315" i="100"/>
  <c r="BE25" i="100"/>
  <c r="BE173" i="100"/>
  <c r="BE175" i="100"/>
  <c r="BE75" i="100"/>
  <c r="BE308" i="100"/>
  <c r="BE331" i="100"/>
  <c r="BE304" i="100"/>
  <c r="BE313" i="100"/>
  <c r="BE190" i="100"/>
  <c r="BE187" i="100"/>
  <c r="BE333" i="100"/>
  <c r="BE10" i="100"/>
  <c r="BE316" i="100"/>
  <c r="BE290" i="100"/>
  <c r="BE164" i="100"/>
  <c r="BE314" i="100"/>
  <c r="BE306" i="100"/>
  <c r="BE158" i="100"/>
  <c r="BE328" i="100"/>
  <c r="BE24" i="100"/>
  <c r="BE203" i="100"/>
  <c r="BE13" i="100"/>
  <c r="BE326" i="100"/>
  <c r="BE18" i="100"/>
  <c r="BE29" i="100"/>
  <c r="BE165" i="100"/>
  <c r="BE180" i="100"/>
  <c r="BE312" i="100"/>
  <c r="BE191" i="100"/>
  <c r="BE14" i="100"/>
  <c r="BE168" i="100"/>
  <c r="BE12" i="100"/>
  <c r="BE21" i="100"/>
  <c r="BE166" i="100"/>
  <c r="BE325" i="100"/>
  <c r="BE31" i="100"/>
  <c r="BE205" i="100"/>
  <c r="BE336" i="100"/>
  <c r="BE74" i="100"/>
  <c r="BE20" i="100"/>
  <c r="BE301" i="100"/>
  <c r="BE200" i="100"/>
  <c r="BE184" i="100"/>
  <c r="BE17" i="100"/>
  <c r="BE178" i="100"/>
  <c r="BE323" i="100"/>
  <c r="BE36" i="100"/>
  <c r="BE196" i="100"/>
  <c r="BE66" i="100"/>
  <c r="BE321" i="100"/>
  <c r="BE293" i="100"/>
  <c r="BE185" i="100"/>
  <c r="BE42" i="100"/>
  <c r="BE37" i="100"/>
  <c r="BE324" i="100"/>
  <c r="BE327" i="100"/>
  <c r="BE16" i="100"/>
  <c r="BE69" i="100"/>
  <c r="BE195" i="100"/>
  <c r="BE317" i="100"/>
  <c r="BE330" i="100"/>
  <c r="BE322" i="100"/>
  <c r="BE318" i="100"/>
  <c r="H28" i="91" l="1"/>
  <c r="BF63" i="100"/>
  <c r="BF62" i="100"/>
  <c r="BF46" i="100"/>
  <c r="BF44" i="100"/>
  <c r="BF49" i="100"/>
  <c r="BF61" i="100"/>
  <c r="BF45" i="100"/>
  <c r="BF57" i="100"/>
  <c r="BF50" i="100"/>
  <c r="BF48" i="100"/>
  <c r="BF47" i="100"/>
  <c r="BF55" i="100"/>
  <c r="BF53" i="100"/>
  <c r="BF51" i="100"/>
  <c r="BF58" i="100"/>
  <c r="BF54" i="100"/>
  <c r="BF59" i="100"/>
  <c r="BF56" i="100"/>
  <c r="BF52" i="100"/>
  <c r="BF60" i="100"/>
  <c r="IK27" i="100"/>
  <c r="AK26" i="100"/>
  <c r="BE209" i="100"/>
  <c r="BE339" i="100"/>
  <c r="BE79" i="100"/>
  <c r="BE78" i="100" s="1"/>
  <c r="BF302" i="100"/>
  <c r="BF32" i="100"/>
  <c r="BF311" i="100"/>
  <c r="BF40" i="100"/>
  <c r="BF189" i="100"/>
  <c r="BF161" i="100"/>
  <c r="BF168" i="100"/>
  <c r="BF313" i="100"/>
  <c r="BF25" i="100"/>
  <c r="BF331" i="100"/>
  <c r="BF68" i="100"/>
  <c r="BG7" i="100"/>
  <c r="BF170" i="100"/>
  <c r="BF324" i="100"/>
  <c r="BF191" i="100"/>
  <c r="BF317" i="100"/>
  <c r="BF28" i="100"/>
  <c r="BF71" i="100"/>
  <c r="BF163" i="100"/>
  <c r="BF22" i="100"/>
  <c r="BF306" i="100"/>
  <c r="BF330" i="100"/>
  <c r="BF180" i="100"/>
  <c r="BF20" i="100"/>
  <c r="BF37" i="100"/>
  <c r="BF164" i="100"/>
  <c r="BF337" i="100"/>
  <c r="BF192" i="100"/>
  <c r="BF69" i="100"/>
  <c r="BF291" i="100"/>
  <c r="BF41" i="100"/>
  <c r="BF166" i="100"/>
  <c r="BF295" i="100"/>
  <c r="BF14" i="100"/>
  <c r="BF17" i="100"/>
  <c r="BF8" i="100"/>
  <c r="BF321" i="100"/>
  <c r="BF322" i="100"/>
  <c r="BF21" i="100"/>
  <c r="BF198" i="100"/>
  <c r="BF297" i="100"/>
  <c r="BF319" i="100"/>
  <c r="BF158" i="100"/>
  <c r="BF207" i="100"/>
  <c r="BF203" i="100"/>
  <c r="BF176" i="100"/>
  <c r="BF76" i="100"/>
  <c r="BF13" i="100"/>
  <c r="BF174" i="100"/>
  <c r="BF190" i="100"/>
  <c r="BF206" i="100"/>
  <c r="BF173" i="100"/>
  <c r="BF171" i="100"/>
  <c r="BF288" i="100"/>
  <c r="BF160" i="100"/>
  <c r="BF329" i="100"/>
  <c r="BF315" i="100"/>
  <c r="BF301" i="100"/>
  <c r="BF65" i="100"/>
  <c r="BF178" i="100"/>
  <c r="BF332" i="100"/>
  <c r="BF10" i="100"/>
  <c r="BF172" i="100"/>
  <c r="BF15" i="100"/>
  <c r="BF333" i="100"/>
  <c r="BF188" i="100"/>
  <c r="BF64" i="100"/>
  <c r="BF293" i="100"/>
  <c r="BF70" i="100"/>
  <c r="BF29" i="100"/>
  <c r="BF289" i="100"/>
  <c r="BF12" i="100"/>
  <c r="BF23" i="100"/>
  <c r="BF308" i="100"/>
  <c r="BF179" i="100"/>
  <c r="BF323" i="100"/>
  <c r="BF16" i="100"/>
  <c r="BF314" i="100"/>
  <c r="BF77" i="100"/>
  <c r="BF43" i="100"/>
  <c r="BF9" i="100"/>
  <c r="BF42" i="100"/>
  <c r="BF307" i="100"/>
  <c r="BF296" i="100"/>
  <c r="BF320" i="100"/>
  <c r="BF290" i="100"/>
  <c r="BF162" i="100"/>
  <c r="BF328" i="100"/>
  <c r="BF327" i="100"/>
  <c r="BF167" i="100"/>
  <c r="BF196" i="100"/>
  <c r="BF27" i="100"/>
  <c r="BF202" i="100"/>
  <c r="BF36" i="100"/>
  <c r="BF66" i="100"/>
  <c r="BF305" i="100"/>
  <c r="BF72" i="100"/>
  <c r="BF303" i="100"/>
  <c r="BF294" i="100"/>
  <c r="BF30" i="100"/>
  <c r="BF335" i="100"/>
  <c r="BF165" i="100"/>
  <c r="BF304" i="100"/>
  <c r="BF300" i="100"/>
  <c r="BF310" i="100"/>
  <c r="BF199" i="100"/>
  <c r="BF185" i="100"/>
  <c r="BF19" i="100"/>
  <c r="BF38" i="100"/>
  <c r="BF182" i="100"/>
  <c r="BF312" i="100"/>
  <c r="BF326" i="100"/>
  <c r="BF325" i="100"/>
  <c r="BF316" i="100"/>
  <c r="BF33" i="100"/>
  <c r="BF34" i="100"/>
  <c r="BF175" i="100"/>
  <c r="BF159" i="100"/>
  <c r="BF193" i="100"/>
  <c r="BF184" i="100"/>
  <c r="BF200" i="100"/>
  <c r="BF201" i="100"/>
  <c r="BF181" i="100"/>
  <c r="BF183" i="100"/>
  <c r="BF204" i="100"/>
  <c r="BF336" i="100"/>
  <c r="BF298" i="100"/>
  <c r="BF75" i="100"/>
  <c r="BF74" i="100"/>
  <c r="BF31" i="100"/>
  <c r="BF39" i="100"/>
  <c r="BF11" i="100"/>
  <c r="BF195" i="100"/>
  <c r="BF186" i="100"/>
  <c r="BF169" i="100"/>
  <c r="BF35" i="100"/>
  <c r="BF309" i="100"/>
  <c r="BF177" i="100"/>
  <c r="BF26" i="100"/>
  <c r="BF194" i="100"/>
  <c r="BF187" i="100"/>
  <c r="BF299" i="100"/>
  <c r="BF205" i="100"/>
  <c r="BF24" i="100"/>
  <c r="BF18" i="100"/>
  <c r="BF292" i="100"/>
  <c r="BF197" i="100"/>
  <c r="BF67" i="100"/>
  <c r="BF73" i="100"/>
  <c r="BF334" i="100"/>
  <c r="BF318" i="100"/>
  <c r="FD287" i="100"/>
  <c r="FC338" i="100"/>
  <c r="BG44" i="100" l="1"/>
  <c r="BG63" i="100"/>
  <c r="BG45" i="100"/>
  <c r="BG62" i="100"/>
  <c r="BG59" i="100"/>
  <c r="BG46" i="100"/>
  <c r="BG50" i="100"/>
  <c r="BG58" i="100"/>
  <c r="BG56" i="100"/>
  <c r="BG49" i="100"/>
  <c r="BG48" i="100"/>
  <c r="BG53" i="100"/>
  <c r="BG61" i="100"/>
  <c r="BG55" i="100"/>
  <c r="BG54" i="100"/>
  <c r="BG47" i="100"/>
  <c r="BG52" i="100"/>
  <c r="BG51" i="100"/>
  <c r="BG60" i="100"/>
  <c r="BG57" i="100"/>
  <c r="AK27" i="100"/>
  <c r="IK28" i="100"/>
  <c r="BF79" i="100"/>
  <c r="BF78" i="100" s="1"/>
  <c r="BF209" i="100"/>
  <c r="BF339" i="100"/>
  <c r="BG198" i="100"/>
  <c r="BG295" i="100"/>
  <c r="BG68" i="100"/>
  <c r="BG292" i="100"/>
  <c r="BG180" i="100"/>
  <c r="BG189" i="100"/>
  <c r="BG304" i="100"/>
  <c r="BG191" i="100"/>
  <c r="BG179" i="100"/>
  <c r="BG318" i="100"/>
  <c r="BG199" i="100"/>
  <c r="BG336" i="100"/>
  <c r="BG22" i="100"/>
  <c r="BG192" i="100"/>
  <c r="BG166" i="100"/>
  <c r="BG312" i="100"/>
  <c r="BG314" i="100"/>
  <c r="BG299" i="100"/>
  <c r="BG196" i="100"/>
  <c r="BG193" i="100"/>
  <c r="BG332" i="100"/>
  <c r="BG10" i="100"/>
  <c r="BG41" i="100"/>
  <c r="BG69" i="100"/>
  <c r="BH7" i="100"/>
  <c r="BG190" i="100"/>
  <c r="BG34" i="100"/>
  <c r="BG310" i="100"/>
  <c r="BG171" i="100"/>
  <c r="BG325" i="100"/>
  <c r="BG337" i="100"/>
  <c r="BG75" i="100"/>
  <c r="BG67" i="100"/>
  <c r="BG27" i="100"/>
  <c r="BG187" i="100"/>
  <c r="BG297" i="100"/>
  <c r="BG207" i="100"/>
  <c r="BG178" i="100"/>
  <c r="BG37" i="100"/>
  <c r="BG197" i="100"/>
  <c r="BG64" i="100"/>
  <c r="BG202" i="100"/>
  <c r="BG66" i="100"/>
  <c r="BG176" i="100"/>
  <c r="BG300" i="100"/>
  <c r="BG73" i="100"/>
  <c r="BG301" i="100"/>
  <c r="BG15" i="100"/>
  <c r="BG169" i="100"/>
  <c r="BG36" i="100"/>
  <c r="BG174" i="100"/>
  <c r="BG21" i="100"/>
  <c r="BG43" i="100"/>
  <c r="BG188" i="100"/>
  <c r="BG13" i="100"/>
  <c r="BG184" i="100"/>
  <c r="BG328" i="100"/>
  <c r="BG17" i="100"/>
  <c r="BG200" i="100"/>
  <c r="BG327" i="100"/>
  <c r="BG9" i="100"/>
  <c r="BG159" i="100"/>
  <c r="BG30" i="100"/>
  <c r="BG33" i="100"/>
  <c r="BG31" i="100"/>
  <c r="BG317" i="100"/>
  <c r="BG335" i="100"/>
  <c r="BG172" i="100"/>
  <c r="BG309" i="100"/>
  <c r="BG71" i="100"/>
  <c r="BG12" i="100"/>
  <c r="BG185" i="100"/>
  <c r="BG205" i="100"/>
  <c r="BG289" i="100"/>
  <c r="BG307" i="100"/>
  <c r="BG294" i="100"/>
  <c r="BG76" i="100"/>
  <c r="BG25" i="100"/>
  <c r="BG38" i="100"/>
  <c r="BG40" i="100"/>
  <c r="BG316" i="100"/>
  <c r="BG324" i="100"/>
  <c r="BG206" i="100"/>
  <c r="BG158" i="100"/>
  <c r="BG160" i="100"/>
  <c r="BG329" i="100"/>
  <c r="BG331" i="100"/>
  <c r="BG308" i="100"/>
  <c r="BG39" i="100"/>
  <c r="BG175" i="100"/>
  <c r="BG70" i="100"/>
  <c r="BG182" i="100"/>
  <c r="BG18" i="100"/>
  <c r="BG322" i="100"/>
  <c r="BG290" i="100"/>
  <c r="BG306" i="100"/>
  <c r="BG28" i="100"/>
  <c r="BG164" i="100"/>
  <c r="BG303" i="100"/>
  <c r="BG42" i="100"/>
  <c r="BG65" i="100"/>
  <c r="BG8" i="100"/>
  <c r="BG32" i="100"/>
  <c r="BG186" i="100"/>
  <c r="BG315" i="100"/>
  <c r="BG168" i="100"/>
  <c r="BG334" i="100"/>
  <c r="BG26" i="100"/>
  <c r="BG170" i="100"/>
  <c r="BG298" i="100"/>
  <c r="BG201" i="100"/>
  <c r="BG330" i="100"/>
  <c r="BG16" i="100"/>
  <c r="BG77" i="100"/>
  <c r="BG20" i="100"/>
  <c r="BG23" i="100"/>
  <c r="BG24" i="100"/>
  <c r="BG163" i="100"/>
  <c r="BG323" i="100"/>
  <c r="BG195" i="100"/>
  <c r="BG35" i="100"/>
  <c r="BG11" i="100"/>
  <c r="BG326" i="100"/>
  <c r="BG319" i="100"/>
  <c r="BG320" i="100"/>
  <c r="BG296" i="100"/>
  <c r="BG333" i="100"/>
  <c r="BG167" i="100"/>
  <c r="BG302" i="100"/>
  <c r="BG177" i="100"/>
  <c r="BG161" i="100"/>
  <c r="BG165" i="100"/>
  <c r="BG194" i="100"/>
  <c r="BG313" i="100"/>
  <c r="BG173" i="100"/>
  <c r="BG14" i="100"/>
  <c r="BG29" i="100"/>
  <c r="BG72" i="100"/>
  <c r="BG74" i="100"/>
  <c r="BG291" i="100"/>
  <c r="BG288" i="100"/>
  <c r="BG183" i="100"/>
  <c r="BG305" i="100"/>
  <c r="BG19" i="100"/>
  <c r="BG204" i="100"/>
  <c r="BG203" i="100"/>
  <c r="BG293" i="100"/>
  <c r="BG321" i="100"/>
  <c r="BG311" i="100"/>
  <c r="BG181" i="100"/>
  <c r="BG162" i="100"/>
  <c r="FE287" i="100"/>
  <c r="FD338" i="100"/>
  <c r="BH63" i="100" l="1"/>
  <c r="BH44" i="100"/>
  <c r="BH46" i="100"/>
  <c r="BH62" i="100"/>
  <c r="BH50" i="100"/>
  <c r="BH61" i="100"/>
  <c r="BH48" i="100"/>
  <c r="BH47" i="100"/>
  <c r="BH53" i="100"/>
  <c r="BH51" i="100"/>
  <c r="BH58" i="100"/>
  <c r="BH45" i="100"/>
  <c r="BH57" i="100"/>
  <c r="BH59" i="100"/>
  <c r="BH56" i="100"/>
  <c r="BH55" i="100"/>
  <c r="BH52" i="100"/>
  <c r="BH60" i="100"/>
  <c r="BH54" i="100"/>
  <c r="BH49" i="100"/>
  <c r="IK29" i="100"/>
  <c r="AK28" i="100"/>
  <c r="BG209" i="100"/>
  <c r="BG79" i="100"/>
  <c r="BG78" i="100" s="1"/>
  <c r="BG339" i="100"/>
  <c r="FF287" i="100"/>
  <c r="FE338" i="100"/>
  <c r="BH12" i="100"/>
  <c r="BH35" i="100"/>
  <c r="BI7" i="100"/>
  <c r="BH13" i="100"/>
  <c r="BH295" i="100"/>
  <c r="BH337" i="100"/>
  <c r="BH176" i="100"/>
  <c r="BH67" i="100"/>
  <c r="BH70" i="100"/>
  <c r="BH169" i="100"/>
  <c r="BH173" i="100"/>
  <c r="BH307" i="100"/>
  <c r="BH319" i="100"/>
  <c r="BH167" i="100"/>
  <c r="BH170" i="100"/>
  <c r="BH197" i="100"/>
  <c r="BH324" i="100"/>
  <c r="BH172" i="100"/>
  <c r="BH198" i="100"/>
  <c r="BH163" i="100"/>
  <c r="BH311" i="100"/>
  <c r="BH181" i="100"/>
  <c r="BH200" i="100"/>
  <c r="BH165" i="100"/>
  <c r="BH186" i="100"/>
  <c r="BH31" i="100"/>
  <c r="BH71" i="100"/>
  <c r="BH312" i="100"/>
  <c r="BH9" i="100"/>
  <c r="BH30" i="100"/>
  <c r="BH296" i="100"/>
  <c r="BH316" i="100"/>
  <c r="BH182" i="100"/>
  <c r="BH327" i="100"/>
  <c r="BH21" i="100"/>
  <c r="BH16" i="100"/>
  <c r="BH288" i="100"/>
  <c r="BH65" i="100"/>
  <c r="BH42" i="100"/>
  <c r="BH310" i="100"/>
  <c r="BH43" i="100"/>
  <c r="BH75" i="100"/>
  <c r="BH293" i="100"/>
  <c r="BH66" i="100"/>
  <c r="BH166" i="100"/>
  <c r="BH321" i="100"/>
  <c r="BH178" i="100"/>
  <c r="BH300" i="100"/>
  <c r="BH18" i="100"/>
  <c r="BH17" i="100"/>
  <c r="BH162" i="100"/>
  <c r="BH24" i="100"/>
  <c r="BH32" i="100"/>
  <c r="BH299" i="100"/>
  <c r="BH314" i="100"/>
  <c r="BH10" i="100"/>
  <c r="BH168" i="100"/>
  <c r="BH175" i="100"/>
  <c r="BH26" i="100"/>
  <c r="BH326" i="100"/>
  <c r="BH190" i="100"/>
  <c r="BH298" i="100"/>
  <c r="BH72" i="100"/>
  <c r="BH184" i="100"/>
  <c r="BH335" i="100"/>
  <c r="BH294" i="100"/>
  <c r="BH179" i="100"/>
  <c r="BH160" i="100"/>
  <c r="BH180" i="100"/>
  <c r="BH315" i="100"/>
  <c r="BH22" i="100"/>
  <c r="BH333" i="100"/>
  <c r="BH8" i="100"/>
  <c r="BH331" i="100"/>
  <c r="BH74" i="100"/>
  <c r="BH69" i="100"/>
  <c r="BH33" i="100"/>
  <c r="BH301" i="100"/>
  <c r="BH196" i="100"/>
  <c r="BH174" i="100"/>
  <c r="BH76" i="100"/>
  <c r="BH34" i="100"/>
  <c r="BH325" i="100"/>
  <c r="BH36" i="100"/>
  <c r="BH23" i="100"/>
  <c r="BH39" i="100"/>
  <c r="BH332" i="100"/>
  <c r="BH183" i="100"/>
  <c r="BH73" i="100"/>
  <c r="BH204" i="100"/>
  <c r="BH313" i="100"/>
  <c r="BH27" i="100"/>
  <c r="BH318" i="100"/>
  <c r="BH336" i="100"/>
  <c r="BH159" i="100"/>
  <c r="BH305" i="100"/>
  <c r="BH195" i="100"/>
  <c r="BH19" i="100"/>
  <c r="BH41" i="100"/>
  <c r="BH192" i="100"/>
  <c r="BH330" i="100"/>
  <c r="BH38" i="100"/>
  <c r="BH201" i="100"/>
  <c r="BH188" i="100"/>
  <c r="BH164" i="100"/>
  <c r="BH177" i="100"/>
  <c r="BH40" i="100"/>
  <c r="BH304" i="100"/>
  <c r="BH292" i="100"/>
  <c r="BH64" i="100"/>
  <c r="BH207" i="100"/>
  <c r="BH291" i="100"/>
  <c r="BH20" i="100"/>
  <c r="BH191" i="100"/>
  <c r="BH297" i="100"/>
  <c r="BH77" i="100"/>
  <c r="BH37" i="100"/>
  <c r="BH206" i="100"/>
  <c r="BH185" i="100"/>
  <c r="BH14" i="100"/>
  <c r="BH302" i="100"/>
  <c r="BH323" i="100"/>
  <c r="BH25" i="100"/>
  <c r="BH320" i="100"/>
  <c r="BH199" i="100"/>
  <c r="BH11" i="100"/>
  <c r="BH306" i="100"/>
  <c r="BH205" i="100"/>
  <c r="BH171" i="100"/>
  <c r="BH194" i="100"/>
  <c r="BH308" i="100"/>
  <c r="BH309" i="100"/>
  <c r="BH328" i="100"/>
  <c r="BH203" i="100"/>
  <c r="BH322" i="100"/>
  <c r="BH29" i="100"/>
  <c r="BH158" i="100"/>
  <c r="BH161" i="100"/>
  <c r="BH329" i="100"/>
  <c r="BH187" i="100"/>
  <c r="BH202" i="100"/>
  <c r="BH189" i="100"/>
  <c r="BH193" i="100"/>
  <c r="BH334" i="100"/>
  <c r="BH28" i="100"/>
  <c r="BH15" i="100"/>
  <c r="BH303" i="100"/>
  <c r="BH289" i="100"/>
  <c r="BH290" i="100"/>
  <c r="BH317" i="100"/>
  <c r="BH68" i="100"/>
  <c r="BI60" i="100" l="1"/>
  <c r="BI63" i="100"/>
  <c r="BI62" i="100"/>
  <c r="BI46" i="100"/>
  <c r="BI61" i="100"/>
  <c r="BI59" i="100"/>
  <c r="BI44" i="100"/>
  <c r="BI53" i="100"/>
  <c r="BI47" i="100"/>
  <c r="BI48" i="100"/>
  <c r="BI50" i="100"/>
  <c r="BI52" i="100"/>
  <c r="BI54" i="100"/>
  <c r="BI57" i="100"/>
  <c r="BI45" i="100"/>
  <c r="BI55" i="100"/>
  <c r="BI58" i="100"/>
  <c r="BI56" i="100"/>
  <c r="BI51" i="100"/>
  <c r="BI49" i="100"/>
  <c r="IK30" i="100"/>
  <c r="AK29" i="100"/>
  <c r="BH209" i="100"/>
  <c r="BH339" i="100"/>
  <c r="BH79" i="100"/>
  <c r="BH78" i="100" s="1"/>
  <c r="BI196" i="100"/>
  <c r="BI13" i="100"/>
  <c r="BI169" i="100"/>
  <c r="BI204" i="100"/>
  <c r="BI20" i="100"/>
  <c r="BI185" i="100"/>
  <c r="BI199" i="100"/>
  <c r="BI177" i="100"/>
  <c r="BI35" i="100"/>
  <c r="BI205" i="100"/>
  <c r="BI38" i="100"/>
  <c r="BI315" i="100"/>
  <c r="BI329" i="100"/>
  <c r="BI320" i="100"/>
  <c r="BI12" i="100"/>
  <c r="BI72" i="100"/>
  <c r="BI200" i="100"/>
  <c r="BI194" i="100"/>
  <c r="BI160" i="100"/>
  <c r="BI39" i="100"/>
  <c r="BI198" i="100"/>
  <c r="BI313" i="100"/>
  <c r="BI40" i="100"/>
  <c r="BI166" i="100"/>
  <c r="BI325" i="100"/>
  <c r="BI305" i="100"/>
  <c r="BI29" i="100"/>
  <c r="BI312" i="100"/>
  <c r="BI27" i="100"/>
  <c r="BI167" i="100"/>
  <c r="BI328" i="100"/>
  <c r="BI66" i="100"/>
  <c r="BI309" i="100"/>
  <c r="BI302" i="100"/>
  <c r="BI18" i="100"/>
  <c r="BI331" i="100"/>
  <c r="BI164" i="100"/>
  <c r="BI171" i="100"/>
  <c r="BI168" i="100"/>
  <c r="BI175" i="100"/>
  <c r="BI203" i="100"/>
  <c r="BI69" i="100"/>
  <c r="BI330" i="100"/>
  <c r="BI300" i="100"/>
  <c r="BI311" i="100"/>
  <c r="BI191" i="100"/>
  <c r="BI68" i="100"/>
  <c r="BI64" i="100"/>
  <c r="BI298" i="100"/>
  <c r="BI322" i="100"/>
  <c r="BI10" i="100"/>
  <c r="BI25" i="100"/>
  <c r="BI173" i="100"/>
  <c r="BI165" i="100"/>
  <c r="BI163" i="100"/>
  <c r="BI161" i="100"/>
  <c r="BI290" i="100"/>
  <c r="BI16" i="100"/>
  <c r="BI303" i="100"/>
  <c r="BI335" i="100"/>
  <c r="BI17" i="100"/>
  <c r="BI188" i="100"/>
  <c r="BJ7" i="100"/>
  <c r="BI316" i="100"/>
  <c r="BI295" i="100"/>
  <c r="BI291" i="100"/>
  <c r="BI172" i="100"/>
  <c r="BI189" i="100"/>
  <c r="BI30" i="100"/>
  <c r="BI32" i="100"/>
  <c r="BI178" i="100"/>
  <c r="BI74" i="100"/>
  <c r="BI23" i="100"/>
  <c r="BI201" i="100"/>
  <c r="BI323" i="100"/>
  <c r="BI31" i="100"/>
  <c r="BI33" i="100"/>
  <c r="BI192" i="100"/>
  <c r="BI321" i="100"/>
  <c r="BI76" i="100"/>
  <c r="BI174" i="100"/>
  <c r="BI314" i="100"/>
  <c r="BI310" i="100"/>
  <c r="BI65" i="100"/>
  <c r="BI301" i="100"/>
  <c r="BI43" i="100"/>
  <c r="BI41" i="100"/>
  <c r="BI318" i="100"/>
  <c r="BI304" i="100"/>
  <c r="BI11" i="100"/>
  <c r="BI180" i="100"/>
  <c r="BI42" i="100"/>
  <c r="BI183" i="100"/>
  <c r="BI179" i="100"/>
  <c r="BI289" i="100"/>
  <c r="BI14" i="100"/>
  <c r="BI326" i="100"/>
  <c r="BI207" i="100"/>
  <c r="BI334" i="100"/>
  <c r="BI336" i="100"/>
  <c r="BI9" i="100"/>
  <c r="BI307" i="100"/>
  <c r="BI158" i="100"/>
  <c r="BI190" i="100"/>
  <c r="BI37" i="100"/>
  <c r="BI333" i="100"/>
  <c r="BI176" i="100"/>
  <c r="BI206" i="100"/>
  <c r="BI15" i="100"/>
  <c r="BI202" i="100"/>
  <c r="BI332" i="100"/>
  <c r="BI197" i="100"/>
  <c r="BI73" i="100"/>
  <c r="BI288" i="100"/>
  <c r="BI324" i="100"/>
  <c r="BI21" i="100"/>
  <c r="BI159" i="100"/>
  <c r="BI195" i="100"/>
  <c r="BI162" i="100"/>
  <c r="BI36" i="100"/>
  <c r="BI77" i="100"/>
  <c r="BI193" i="100"/>
  <c r="BI292" i="100"/>
  <c r="BI317" i="100"/>
  <c r="BI24" i="100"/>
  <c r="BI182" i="100"/>
  <c r="BI299" i="100"/>
  <c r="BI308" i="100"/>
  <c r="BI184" i="100"/>
  <c r="BI67" i="100"/>
  <c r="BI294" i="100"/>
  <c r="BI170" i="100"/>
  <c r="BI327" i="100"/>
  <c r="BI19" i="100"/>
  <c r="BI22" i="100"/>
  <c r="BI75" i="100"/>
  <c r="BI186" i="100"/>
  <c r="BI306" i="100"/>
  <c r="BI181" i="100"/>
  <c r="BI293" i="100"/>
  <c r="BI70" i="100"/>
  <c r="BI337" i="100"/>
  <c r="BI296" i="100"/>
  <c r="BI187" i="100"/>
  <c r="BI297" i="100"/>
  <c r="BI8" i="100"/>
  <c r="BI34" i="100"/>
  <c r="BI28" i="100"/>
  <c r="BI319" i="100"/>
  <c r="BI71" i="100"/>
  <c r="BI26" i="100"/>
  <c r="FG287" i="100"/>
  <c r="FF338" i="100"/>
  <c r="BJ46" i="100" l="1"/>
  <c r="BJ63" i="100"/>
  <c r="BJ62" i="100"/>
  <c r="BJ44" i="100"/>
  <c r="BJ45" i="100"/>
  <c r="BJ51" i="100"/>
  <c r="BJ55" i="100"/>
  <c r="BJ56" i="100"/>
  <c r="BJ47" i="100"/>
  <c r="BJ48" i="100"/>
  <c r="BJ57" i="100"/>
  <c r="BJ50" i="100"/>
  <c r="BJ58" i="100"/>
  <c r="BJ49" i="100"/>
  <c r="BJ59" i="100"/>
  <c r="BJ61" i="100"/>
  <c r="BJ54" i="100"/>
  <c r="BJ60" i="100"/>
  <c r="BJ53" i="100"/>
  <c r="BJ52" i="100"/>
  <c r="IK31" i="100"/>
  <c r="AK30" i="100"/>
  <c r="BI339" i="100"/>
  <c r="BI79" i="100"/>
  <c r="BI78" i="100" s="1"/>
  <c r="BI209" i="100"/>
  <c r="FH287" i="100"/>
  <c r="FG338" i="100"/>
  <c r="BJ309" i="100"/>
  <c r="BJ72" i="100"/>
  <c r="BJ330" i="100"/>
  <c r="BJ321" i="100"/>
  <c r="BJ33" i="100"/>
  <c r="BJ171" i="100"/>
  <c r="BJ64" i="100"/>
  <c r="BJ291" i="100"/>
  <c r="BJ333" i="100"/>
  <c r="BJ206" i="100"/>
  <c r="BJ313" i="100"/>
  <c r="BJ13" i="100"/>
  <c r="BJ311" i="100"/>
  <c r="BJ334" i="100"/>
  <c r="BJ31" i="100"/>
  <c r="BJ301" i="100"/>
  <c r="BJ15" i="100"/>
  <c r="BJ34" i="100"/>
  <c r="BJ315" i="100"/>
  <c r="BJ18" i="100"/>
  <c r="BJ329" i="100"/>
  <c r="BJ323" i="100"/>
  <c r="BJ27" i="100"/>
  <c r="BJ183" i="100"/>
  <c r="BJ306" i="100"/>
  <c r="BJ11" i="100"/>
  <c r="BJ207" i="100"/>
  <c r="BJ165" i="100"/>
  <c r="BJ325" i="100"/>
  <c r="BJ16" i="100"/>
  <c r="BJ163" i="100"/>
  <c r="BJ175" i="100"/>
  <c r="BJ316" i="100"/>
  <c r="BJ337" i="100"/>
  <c r="BJ303" i="100"/>
  <c r="BJ182" i="100"/>
  <c r="BJ24" i="100"/>
  <c r="BJ297" i="100"/>
  <c r="BJ189" i="100"/>
  <c r="BJ294" i="100"/>
  <c r="BJ328" i="100"/>
  <c r="BJ166" i="100"/>
  <c r="BJ158" i="100"/>
  <c r="BJ74" i="100"/>
  <c r="BJ180" i="100"/>
  <c r="BJ8" i="100"/>
  <c r="BJ304" i="100"/>
  <c r="BJ319" i="100"/>
  <c r="BJ162" i="100"/>
  <c r="BJ293" i="100"/>
  <c r="BJ168" i="100"/>
  <c r="BJ177" i="100"/>
  <c r="BJ324" i="100"/>
  <c r="BJ35" i="100"/>
  <c r="BJ68" i="100"/>
  <c r="BJ173" i="100"/>
  <c r="BJ77" i="100"/>
  <c r="BJ21" i="100"/>
  <c r="BJ19" i="100"/>
  <c r="BJ191" i="100"/>
  <c r="BJ327" i="100"/>
  <c r="BJ76" i="100"/>
  <c r="BJ300" i="100"/>
  <c r="BJ331" i="100"/>
  <c r="BJ160" i="100"/>
  <c r="BJ159" i="100"/>
  <c r="BJ9" i="100"/>
  <c r="BJ326" i="100"/>
  <c r="BJ310" i="100"/>
  <c r="BJ71" i="100"/>
  <c r="BJ179" i="100"/>
  <c r="BJ169" i="100"/>
  <c r="BJ318" i="100"/>
  <c r="BJ176" i="100"/>
  <c r="BJ199" i="100"/>
  <c r="BJ289" i="100"/>
  <c r="BJ192" i="100"/>
  <c r="BJ10" i="100"/>
  <c r="BJ298" i="100"/>
  <c r="BJ23" i="100"/>
  <c r="BJ172" i="100"/>
  <c r="BJ187" i="100"/>
  <c r="BJ190" i="100"/>
  <c r="BJ43" i="100"/>
  <c r="BJ37" i="100"/>
  <c r="BJ193" i="100"/>
  <c r="BJ41" i="100"/>
  <c r="BJ167" i="100"/>
  <c r="BJ200" i="100"/>
  <c r="BJ312" i="100"/>
  <c r="BJ70" i="100"/>
  <c r="BJ317" i="100"/>
  <c r="BJ307" i="100"/>
  <c r="BJ296" i="100"/>
  <c r="BJ66" i="100"/>
  <c r="BJ195" i="100"/>
  <c r="BJ32" i="100"/>
  <c r="BJ196" i="100"/>
  <c r="BJ30" i="100"/>
  <c r="BJ203" i="100"/>
  <c r="BJ186" i="100"/>
  <c r="BJ39" i="100"/>
  <c r="BJ164" i="100"/>
  <c r="BJ22" i="100"/>
  <c r="BJ204" i="100"/>
  <c r="BJ40" i="100"/>
  <c r="BJ299" i="100"/>
  <c r="BJ170" i="100"/>
  <c r="BJ161" i="100"/>
  <c r="BJ197" i="100"/>
  <c r="BJ29" i="100"/>
  <c r="BJ28" i="100"/>
  <c r="BJ202" i="100"/>
  <c r="BJ336" i="100"/>
  <c r="BJ305" i="100"/>
  <c r="BJ73" i="100"/>
  <c r="BJ201" i="100"/>
  <c r="BJ314" i="100"/>
  <c r="BJ205" i="100"/>
  <c r="BJ322" i="100"/>
  <c r="BJ20" i="100"/>
  <c r="BJ194" i="100"/>
  <c r="BJ75" i="100"/>
  <c r="BJ308" i="100"/>
  <c r="BJ38" i="100"/>
  <c r="BJ184" i="100"/>
  <c r="BJ320" i="100"/>
  <c r="BJ188" i="100"/>
  <c r="BJ65" i="100"/>
  <c r="BJ185" i="100"/>
  <c r="BJ17" i="100"/>
  <c r="BJ69" i="100"/>
  <c r="BJ12" i="100"/>
  <c r="BJ67" i="100"/>
  <c r="BJ332" i="100"/>
  <c r="BJ42" i="100"/>
  <c r="BJ25" i="100"/>
  <c r="BJ198" i="100"/>
  <c r="BJ178" i="100"/>
  <c r="BJ288" i="100"/>
  <c r="BJ14" i="100"/>
  <c r="BJ36" i="100"/>
  <c r="BK7" i="100"/>
  <c r="BJ181" i="100"/>
  <c r="BJ295" i="100"/>
  <c r="BJ302" i="100"/>
  <c r="BJ290" i="100"/>
  <c r="BJ292" i="100"/>
  <c r="BJ335" i="100"/>
  <c r="BJ174" i="100"/>
  <c r="BJ26" i="100"/>
  <c r="BK58" i="100" l="1"/>
  <c r="BK51" i="100"/>
  <c r="BK46" i="100"/>
  <c r="BK59" i="100"/>
  <c r="BK62" i="100"/>
  <c r="BK52" i="100"/>
  <c r="BK63" i="100"/>
  <c r="BK44" i="100"/>
  <c r="BK57" i="100"/>
  <c r="BK45" i="100"/>
  <c r="BK56" i="100"/>
  <c r="BK50" i="100"/>
  <c r="BK61" i="100"/>
  <c r="BK53" i="100"/>
  <c r="BK60" i="100"/>
  <c r="BK49" i="100"/>
  <c r="BK47" i="100"/>
  <c r="BK54" i="100"/>
  <c r="BK48" i="100"/>
  <c r="BK55" i="100"/>
  <c r="AK31" i="100"/>
  <c r="IK32" i="100"/>
  <c r="BJ79" i="100"/>
  <c r="BJ78" i="100" s="1"/>
  <c r="BJ209" i="100"/>
  <c r="BJ339" i="100"/>
  <c r="BK330" i="100"/>
  <c r="BK165" i="100"/>
  <c r="BK28" i="100"/>
  <c r="BK69" i="100"/>
  <c r="BK296" i="100"/>
  <c r="BK335" i="100"/>
  <c r="BK161" i="100"/>
  <c r="BK297" i="100"/>
  <c r="BK71" i="100"/>
  <c r="BK301" i="100"/>
  <c r="BK72" i="100"/>
  <c r="BK306" i="100"/>
  <c r="BK305" i="100"/>
  <c r="BK290" i="100"/>
  <c r="BK314" i="100"/>
  <c r="BK40" i="100"/>
  <c r="BK32" i="100"/>
  <c r="BK15" i="100"/>
  <c r="BK323" i="100"/>
  <c r="BK24" i="100"/>
  <c r="BK298" i="100"/>
  <c r="BK31" i="100"/>
  <c r="BK186" i="100"/>
  <c r="BK74" i="100"/>
  <c r="BK191" i="100"/>
  <c r="BK181" i="100"/>
  <c r="BK188" i="100"/>
  <c r="BK319" i="100"/>
  <c r="BK66" i="100"/>
  <c r="BK13" i="100"/>
  <c r="BK160" i="100"/>
  <c r="BK33" i="100"/>
  <c r="BK201" i="100"/>
  <c r="BK14" i="100"/>
  <c r="BK184" i="100"/>
  <c r="BK12" i="100"/>
  <c r="BK315" i="100"/>
  <c r="BK178" i="100"/>
  <c r="BK317" i="100"/>
  <c r="BK196" i="100"/>
  <c r="BK311" i="100"/>
  <c r="BK173" i="100"/>
  <c r="BK313" i="100"/>
  <c r="BK65" i="100"/>
  <c r="BK172" i="100"/>
  <c r="BK38" i="100"/>
  <c r="BK327" i="100"/>
  <c r="BK164" i="100"/>
  <c r="BK299" i="100"/>
  <c r="BK9" i="100"/>
  <c r="BK325" i="100"/>
  <c r="BK320" i="100"/>
  <c r="BK16" i="100"/>
  <c r="BK70" i="100"/>
  <c r="BK37" i="100"/>
  <c r="BK167" i="100"/>
  <c r="BK30" i="100"/>
  <c r="BK68" i="100"/>
  <c r="BK67" i="100"/>
  <c r="BK207" i="100"/>
  <c r="BK177" i="100"/>
  <c r="BK326" i="100"/>
  <c r="BK194" i="100"/>
  <c r="BK337" i="100"/>
  <c r="BK310" i="100"/>
  <c r="BK190" i="100"/>
  <c r="BK293" i="100"/>
  <c r="BK332" i="100"/>
  <c r="BK333" i="100"/>
  <c r="BK166" i="100"/>
  <c r="BK35" i="100"/>
  <c r="BK43" i="100"/>
  <c r="BK197" i="100"/>
  <c r="BK300" i="100"/>
  <c r="BK195" i="100"/>
  <c r="BK334" i="100"/>
  <c r="BK182" i="100"/>
  <c r="BK18" i="100"/>
  <c r="BK205" i="100"/>
  <c r="BK307" i="100"/>
  <c r="BK291" i="100"/>
  <c r="BK25" i="100"/>
  <c r="BK292" i="100"/>
  <c r="BK34" i="100"/>
  <c r="BK185" i="100"/>
  <c r="BK324" i="100"/>
  <c r="BK322" i="100"/>
  <c r="BK29" i="100"/>
  <c r="BK20" i="100"/>
  <c r="BK8" i="100"/>
  <c r="BK187" i="100"/>
  <c r="BK22" i="100"/>
  <c r="BK42" i="100"/>
  <c r="BK200" i="100"/>
  <c r="BK176" i="100"/>
  <c r="BK170" i="100"/>
  <c r="BK11" i="100"/>
  <c r="BK27" i="100"/>
  <c r="BK76" i="100"/>
  <c r="BK64" i="100"/>
  <c r="BK321" i="100"/>
  <c r="BK39" i="100"/>
  <c r="BK175" i="100"/>
  <c r="BK329" i="100"/>
  <c r="BK318" i="100"/>
  <c r="BK203" i="100"/>
  <c r="BK328" i="100"/>
  <c r="BK77" i="100"/>
  <c r="BK206" i="100"/>
  <c r="BK180" i="100"/>
  <c r="BK163" i="100"/>
  <c r="BK10" i="100"/>
  <c r="BK304" i="100"/>
  <c r="BK303" i="100"/>
  <c r="BK189" i="100"/>
  <c r="BK192" i="100"/>
  <c r="BK336" i="100"/>
  <c r="BK198" i="100"/>
  <c r="BK162" i="100"/>
  <c r="BK289" i="100"/>
  <c r="BK295" i="100"/>
  <c r="BK171" i="100"/>
  <c r="BK316" i="100"/>
  <c r="BK288" i="100"/>
  <c r="BK159" i="100"/>
  <c r="BK179" i="100"/>
  <c r="BK41" i="100"/>
  <c r="BK168" i="100"/>
  <c r="BK19" i="100"/>
  <c r="BK158" i="100"/>
  <c r="BK312" i="100"/>
  <c r="BK302" i="100"/>
  <c r="BK26" i="100"/>
  <c r="BK17" i="100"/>
  <c r="BK174" i="100"/>
  <c r="BL7" i="100"/>
  <c r="BK183" i="100"/>
  <c r="BK75" i="100"/>
  <c r="BK294" i="100"/>
  <c r="BK204" i="100"/>
  <c r="BK169" i="100"/>
  <c r="BK199" i="100"/>
  <c r="BK23" i="100"/>
  <c r="BK21" i="100"/>
  <c r="BK331" i="100"/>
  <c r="BK36" i="100"/>
  <c r="BK193" i="100"/>
  <c r="BK202" i="100"/>
  <c r="BK73" i="100"/>
  <c r="BK308" i="100"/>
  <c r="BK309" i="100"/>
  <c r="FI287" i="100"/>
  <c r="FH338" i="100"/>
  <c r="BL46" i="100" l="1"/>
  <c r="BL51" i="100"/>
  <c r="BL63" i="100"/>
  <c r="BL53" i="100"/>
  <c r="BL62" i="100"/>
  <c r="BL59" i="100"/>
  <c r="BL54" i="100"/>
  <c r="BL44" i="100"/>
  <c r="BL50" i="100"/>
  <c r="BL45" i="100"/>
  <c r="BL49" i="100"/>
  <c r="BL48" i="100"/>
  <c r="BL60" i="100"/>
  <c r="BL47" i="100"/>
  <c r="BL58" i="100"/>
  <c r="BL57" i="100"/>
  <c r="BL52" i="100"/>
  <c r="BL56" i="100"/>
  <c r="BL55" i="100"/>
  <c r="BL61" i="100"/>
  <c r="IK33" i="100"/>
  <c r="AK32" i="100"/>
  <c r="BK209" i="100"/>
  <c r="BK339" i="100"/>
  <c r="BK79" i="100"/>
  <c r="BK78" i="100" s="1"/>
  <c r="FJ287" i="100"/>
  <c r="FI338" i="100"/>
  <c r="BL24" i="100"/>
  <c r="BL74" i="100"/>
  <c r="BL66" i="100"/>
  <c r="BL324" i="100"/>
  <c r="BL314" i="100"/>
  <c r="BL292" i="100"/>
  <c r="BL180" i="100"/>
  <c r="BL65" i="100"/>
  <c r="BL165" i="100"/>
  <c r="BL161" i="100"/>
  <c r="BL69" i="100"/>
  <c r="BL8" i="100"/>
  <c r="BL164" i="100"/>
  <c r="BL303" i="100"/>
  <c r="BL10" i="100"/>
  <c r="BL313" i="100"/>
  <c r="BL43" i="100"/>
  <c r="BL171" i="100"/>
  <c r="BL170" i="100"/>
  <c r="BL32" i="100"/>
  <c r="BL316" i="100"/>
  <c r="BL318" i="100"/>
  <c r="BL296" i="100"/>
  <c r="BL304" i="100"/>
  <c r="BL184" i="100"/>
  <c r="BL72" i="100"/>
  <c r="BL297" i="100"/>
  <c r="BL77" i="100"/>
  <c r="BL300" i="100"/>
  <c r="BL193" i="100"/>
  <c r="BL37" i="100"/>
  <c r="BL295" i="100"/>
  <c r="BL192" i="100"/>
  <c r="BL317" i="100"/>
  <c r="BL39" i="100"/>
  <c r="BL308" i="100"/>
  <c r="BL21" i="100"/>
  <c r="BL306" i="100"/>
  <c r="BL196" i="100"/>
  <c r="BL64" i="100"/>
  <c r="BL166" i="100"/>
  <c r="BL194" i="100"/>
  <c r="BL38" i="100"/>
  <c r="BL200" i="100"/>
  <c r="BL76" i="100"/>
  <c r="BL301" i="100"/>
  <c r="BL176" i="100"/>
  <c r="BL186" i="100"/>
  <c r="BL20" i="100"/>
  <c r="BL178" i="100"/>
  <c r="BL13" i="100"/>
  <c r="BL302" i="100"/>
  <c r="BL320" i="100"/>
  <c r="BL290" i="100"/>
  <c r="BL190" i="100"/>
  <c r="BL18" i="100"/>
  <c r="BL202" i="100"/>
  <c r="BL305" i="100"/>
  <c r="BL172" i="100"/>
  <c r="BL291" i="100"/>
  <c r="BL26" i="100"/>
  <c r="BL17" i="100"/>
  <c r="BL199" i="100"/>
  <c r="BL158" i="100"/>
  <c r="BL298" i="100"/>
  <c r="BL293" i="100"/>
  <c r="BL336" i="100"/>
  <c r="BL309" i="100"/>
  <c r="BL33" i="100"/>
  <c r="BL187" i="100"/>
  <c r="BL328" i="100"/>
  <c r="BL42" i="100"/>
  <c r="BL189" i="100"/>
  <c r="BL29" i="100"/>
  <c r="BL163" i="100"/>
  <c r="BL35" i="100"/>
  <c r="BL30" i="100"/>
  <c r="BL179" i="100"/>
  <c r="BL330" i="100"/>
  <c r="BL332" i="100"/>
  <c r="BL311" i="100"/>
  <c r="BL9" i="100"/>
  <c r="BL68" i="100"/>
  <c r="BL159" i="100"/>
  <c r="BL201" i="100"/>
  <c r="BL174" i="100"/>
  <c r="BL329" i="100"/>
  <c r="BL335" i="100"/>
  <c r="BL75" i="100"/>
  <c r="BL168" i="100"/>
  <c r="BL312" i="100"/>
  <c r="BL310" i="100"/>
  <c r="BL23" i="100"/>
  <c r="BL321" i="100"/>
  <c r="BL177" i="100"/>
  <c r="BL206" i="100"/>
  <c r="BL36" i="100"/>
  <c r="BL175" i="100"/>
  <c r="BM7" i="100"/>
  <c r="BL203" i="100"/>
  <c r="BL31" i="100"/>
  <c r="BL315" i="100"/>
  <c r="BL319" i="100"/>
  <c r="BL73" i="100"/>
  <c r="BL41" i="100"/>
  <c r="BL195" i="100"/>
  <c r="BL167" i="100"/>
  <c r="BL160" i="100"/>
  <c r="BL19" i="100"/>
  <c r="BL12" i="100"/>
  <c r="BL204" i="100"/>
  <c r="BL162" i="100"/>
  <c r="BL325" i="100"/>
  <c r="BL205" i="100"/>
  <c r="BL326" i="100"/>
  <c r="BL67" i="100"/>
  <c r="BL185" i="100"/>
  <c r="BL327" i="100"/>
  <c r="BL197" i="100"/>
  <c r="BL27" i="100"/>
  <c r="BL334" i="100"/>
  <c r="BL181" i="100"/>
  <c r="BL294" i="100"/>
  <c r="BL14" i="100"/>
  <c r="BL191" i="100"/>
  <c r="BL40" i="100"/>
  <c r="BL15" i="100"/>
  <c r="BL25" i="100"/>
  <c r="BL333" i="100"/>
  <c r="BL307" i="100"/>
  <c r="BL22" i="100"/>
  <c r="BL299" i="100"/>
  <c r="BL322" i="100"/>
  <c r="BL207" i="100"/>
  <c r="BL16" i="100"/>
  <c r="BL173" i="100"/>
  <c r="BL331" i="100"/>
  <c r="BL188" i="100"/>
  <c r="BL70" i="100"/>
  <c r="BL169" i="100"/>
  <c r="BL323" i="100"/>
  <c r="BL289" i="100"/>
  <c r="BL28" i="100"/>
  <c r="BL11" i="100"/>
  <c r="BL198" i="100"/>
  <c r="BL288" i="100"/>
  <c r="BL71" i="100"/>
  <c r="BL337" i="100"/>
  <c r="BL183" i="100"/>
  <c r="BL34" i="100"/>
  <c r="BL182" i="100"/>
  <c r="BM45" i="100" l="1"/>
  <c r="BM46" i="100"/>
  <c r="BM49" i="100"/>
  <c r="BM44" i="100"/>
  <c r="BM62" i="100"/>
  <c r="BM63" i="100"/>
  <c r="BM54" i="100"/>
  <c r="BM56" i="100"/>
  <c r="BM60" i="100"/>
  <c r="BM47" i="100"/>
  <c r="BM59" i="100"/>
  <c r="BM52" i="100"/>
  <c r="BM55" i="100"/>
  <c r="BM50" i="100"/>
  <c r="BM51" i="100"/>
  <c r="BM48" i="100"/>
  <c r="BM57" i="100"/>
  <c r="BM58" i="100"/>
  <c r="BM53" i="100"/>
  <c r="BM61" i="100"/>
  <c r="AK33" i="100"/>
  <c r="IK34" i="100"/>
  <c r="BL209" i="100"/>
  <c r="BL79" i="100"/>
  <c r="BL78" i="100" s="1"/>
  <c r="BL339" i="100"/>
  <c r="BM160" i="100"/>
  <c r="BM11" i="100"/>
  <c r="BM67" i="100"/>
  <c r="BM166" i="100"/>
  <c r="BM323" i="100"/>
  <c r="BM175" i="100"/>
  <c r="BM306" i="100"/>
  <c r="BM162" i="100"/>
  <c r="BM177" i="100"/>
  <c r="BM293" i="100"/>
  <c r="BM325" i="100"/>
  <c r="BM313" i="100"/>
  <c r="BM168" i="100"/>
  <c r="BM71" i="100"/>
  <c r="BM335" i="100"/>
  <c r="BM37" i="100"/>
  <c r="BM317" i="100"/>
  <c r="BM183" i="100"/>
  <c r="BM195" i="100"/>
  <c r="BM199" i="100"/>
  <c r="BM69" i="100"/>
  <c r="BM297" i="100"/>
  <c r="BM304" i="100"/>
  <c r="BM163" i="100"/>
  <c r="BM329" i="100"/>
  <c r="BM188" i="100"/>
  <c r="BM333" i="100"/>
  <c r="BM169" i="100"/>
  <c r="BM20" i="100"/>
  <c r="BM75" i="100"/>
  <c r="BM9" i="100"/>
  <c r="BM294" i="100"/>
  <c r="BM25" i="100"/>
  <c r="BM72" i="100"/>
  <c r="BM319" i="100"/>
  <c r="BM34" i="100"/>
  <c r="BM191" i="100"/>
  <c r="BM309" i="100"/>
  <c r="BM322" i="100"/>
  <c r="BM15" i="100"/>
  <c r="BM308" i="100"/>
  <c r="BM336" i="100"/>
  <c r="BM324" i="100"/>
  <c r="BM42" i="100"/>
  <c r="BM315" i="100"/>
  <c r="BM10" i="100"/>
  <c r="BM36" i="100"/>
  <c r="BM158" i="100"/>
  <c r="BM43" i="100"/>
  <c r="BM31" i="100"/>
  <c r="BM32" i="100"/>
  <c r="BM332" i="100"/>
  <c r="BM193" i="100"/>
  <c r="BM66" i="100"/>
  <c r="BM170" i="100"/>
  <c r="BM202" i="100"/>
  <c r="BM172" i="100"/>
  <c r="BM288" i="100"/>
  <c r="BM29" i="100"/>
  <c r="BM24" i="100"/>
  <c r="BM295" i="100"/>
  <c r="BM14" i="100"/>
  <c r="BM203" i="100"/>
  <c r="BM206" i="100"/>
  <c r="BM164" i="100"/>
  <c r="BM180" i="100"/>
  <c r="BM303" i="100"/>
  <c r="BM178" i="100"/>
  <c r="BM301" i="100"/>
  <c r="BM23" i="100"/>
  <c r="BM176" i="100"/>
  <c r="BM334" i="100"/>
  <c r="BM310" i="100"/>
  <c r="BM185" i="100"/>
  <c r="BM296" i="100"/>
  <c r="BM18" i="100"/>
  <c r="BM198" i="100"/>
  <c r="BM30" i="100"/>
  <c r="BM173" i="100"/>
  <c r="BM204" i="100"/>
  <c r="BM39" i="100"/>
  <c r="BM174" i="100"/>
  <c r="BM197" i="100"/>
  <c r="BM35" i="100"/>
  <c r="BM73" i="100"/>
  <c r="BM167" i="100"/>
  <c r="BM291" i="100"/>
  <c r="BM181" i="100"/>
  <c r="BM320" i="100"/>
  <c r="BM321" i="100"/>
  <c r="BM298" i="100"/>
  <c r="BM207" i="100"/>
  <c r="BM68" i="100"/>
  <c r="BM307" i="100"/>
  <c r="BM337" i="100"/>
  <c r="BM22" i="100"/>
  <c r="BM289" i="100"/>
  <c r="BM192" i="100"/>
  <c r="BM312" i="100"/>
  <c r="BM17" i="100"/>
  <c r="BM331" i="100"/>
  <c r="BM12" i="100"/>
  <c r="BM328" i="100"/>
  <c r="BM21" i="100"/>
  <c r="BM200" i="100"/>
  <c r="BM190" i="100"/>
  <c r="BM302" i="100"/>
  <c r="BM179" i="100"/>
  <c r="BM8" i="100"/>
  <c r="BN7" i="100"/>
  <c r="BM186" i="100"/>
  <c r="BM311" i="100"/>
  <c r="BM171" i="100"/>
  <c r="BM187" i="100"/>
  <c r="BM161" i="100"/>
  <c r="BM326" i="100"/>
  <c r="BM318" i="100"/>
  <c r="BM300" i="100"/>
  <c r="BM74" i="100"/>
  <c r="BM299" i="100"/>
  <c r="BM16" i="100"/>
  <c r="BM201" i="100"/>
  <c r="BM330" i="100"/>
  <c r="BM41" i="100"/>
  <c r="BM38" i="100"/>
  <c r="BM28" i="100"/>
  <c r="BM70" i="100"/>
  <c r="BM196" i="100"/>
  <c r="BM65" i="100"/>
  <c r="BM77" i="100"/>
  <c r="BM182" i="100"/>
  <c r="BM205" i="100"/>
  <c r="BM184" i="100"/>
  <c r="BM290" i="100"/>
  <c r="BM292" i="100"/>
  <c r="BM27" i="100"/>
  <c r="BM165" i="100"/>
  <c r="BM13" i="100"/>
  <c r="BM159" i="100"/>
  <c r="BM33" i="100"/>
  <c r="BM194" i="100"/>
  <c r="BM64" i="100"/>
  <c r="BM189" i="100"/>
  <c r="BM314" i="100"/>
  <c r="BM40" i="100"/>
  <c r="BM327" i="100"/>
  <c r="BM316" i="100"/>
  <c r="BM76" i="100"/>
  <c r="BM26" i="100"/>
  <c r="BM305" i="100"/>
  <c r="BM19" i="100"/>
  <c r="FK287" i="100"/>
  <c r="FJ338" i="100"/>
  <c r="BN63" i="100" l="1"/>
  <c r="BN62" i="100"/>
  <c r="BN44" i="100"/>
  <c r="BN51" i="100"/>
  <c r="BN46" i="100"/>
  <c r="BN58" i="100"/>
  <c r="BN48" i="100"/>
  <c r="BN61" i="100"/>
  <c r="BN49" i="100"/>
  <c r="BN50" i="100"/>
  <c r="BN53" i="100"/>
  <c r="BN56" i="100"/>
  <c r="BN45" i="100"/>
  <c r="BN54" i="100"/>
  <c r="BN59" i="100"/>
  <c r="BN55" i="100"/>
  <c r="BN47" i="100"/>
  <c r="BN60" i="100"/>
  <c r="BN57" i="100"/>
  <c r="BN52" i="100"/>
  <c r="IK35" i="100"/>
  <c r="AK34" i="100"/>
  <c r="BM79" i="100"/>
  <c r="BM78" i="100" s="1"/>
  <c r="BM339" i="100"/>
  <c r="BM209" i="100"/>
  <c r="FL287" i="100"/>
  <c r="FK338" i="100"/>
  <c r="BN299" i="100"/>
  <c r="BN325" i="100"/>
  <c r="BN320" i="100"/>
  <c r="BN64" i="100"/>
  <c r="BN192" i="100"/>
  <c r="BN24" i="100"/>
  <c r="BN35" i="100"/>
  <c r="BN37" i="100"/>
  <c r="BN13" i="100"/>
  <c r="BN207" i="100"/>
  <c r="BN204" i="100"/>
  <c r="BN183" i="100"/>
  <c r="BN193" i="100"/>
  <c r="BN23" i="100"/>
  <c r="BN68" i="100"/>
  <c r="BN160" i="100"/>
  <c r="BN195" i="100"/>
  <c r="BN291" i="100"/>
  <c r="BN205" i="100"/>
  <c r="BN30" i="100"/>
  <c r="BN71" i="100"/>
  <c r="BN333" i="100"/>
  <c r="BN11" i="100"/>
  <c r="BN164" i="100"/>
  <c r="BN196" i="100"/>
  <c r="BN188" i="100"/>
  <c r="BN185" i="100"/>
  <c r="BN328" i="100"/>
  <c r="BN304" i="100"/>
  <c r="BN294" i="100"/>
  <c r="BN14" i="100"/>
  <c r="BN66" i="100"/>
  <c r="BN10" i="100"/>
  <c r="BN77" i="100"/>
  <c r="BN28" i="100"/>
  <c r="BN317" i="100"/>
  <c r="BN315" i="100"/>
  <c r="BN19" i="100"/>
  <c r="BN38" i="100"/>
  <c r="BN182" i="100"/>
  <c r="BN178" i="100"/>
  <c r="BN168" i="100"/>
  <c r="BN69" i="100"/>
  <c r="BN74" i="100"/>
  <c r="BN332" i="100"/>
  <c r="BN21" i="100"/>
  <c r="BN302" i="100"/>
  <c r="BN310" i="100"/>
  <c r="BN305" i="100"/>
  <c r="BN158" i="100"/>
  <c r="BN65" i="100"/>
  <c r="BN337" i="100"/>
  <c r="BN288" i="100"/>
  <c r="BN174" i="100"/>
  <c r="BN330" i="100"/>
  <c r="BN75" i="100"/>
  <c r="BN12" i="100"/>
  <c r="BN175" i="100"/>
  <c r="BN197" i="100"/>
  <c r="BN206" i="100"/>
  <c r="BN25" i="100"/>
  <c r="BN15" i="100"/>
  <c r="BN312" i="100"/>
  <c r="BN202" i="100"/>
  <c r="BN293" i="100"/>
  <c r="BN311" i="100"/>
  <c r="BN167" i="100"/>
  <c r="BN22" i="100"/>
  <c r="BN179" i="100"/>
  <c r="BN296" i="100"/>
  <c r="BN31" i="100"/>
  <c r="BN165" i="100"/>
  <c r="BN27" i="100"/>
  <c r="BN194" i="100"/>
  <c r="BN187" i="100"/>
  <c r="BN327" i="100"/>
  <c r="BN40" i="100"/>
  <c r="BN336" i="100"/>
  <c r="BN18" i="100"/>
  <c r="BN191" i="100"/>
  <c r="BN26" i="100"/>
  <c r="BN324" i="100"/>
  <c r="BN298" i="100"/>
  <c r="BN8" i="100"/>
  <c r="BN203" i="100"/>
  <c r="BN308" i="100"/>
  <c r="BN181" i="100"/>
  <c r="BN335" i="100"/>
  <c r="BN198" i="100"/>
  <c r="BN314" i="100"/>
  <c r="BN295" i="100"/>
  <c r="BN16" i="100"/>
  <c r="BN313" i="100"/>
  <c r="BN331" i="100"/>
  <c r="BN190" i="100"/>
  <c r="BN292" i="100"/>
  <c r="BN170" i="100"/>
  <c r="BN76" i="100"/>
  <c r="BN72" i="100"/>
  <c r="BN163" i="100"/>
  <c r="BN73" i="100"/>
  <c r="BN176" i="100"/>
  <c r="BN17" i="100"/>
  <c r="BN32" i="100"/>
  <c r="BN201" i="100"/>
  <c r="BN67" i="100"/>
  <c r="BN329" i="100"/>
  <c r="BN186" i="100"/>
  <c r="BN319" i="100"/>
  <c r="BN34" i="100"/>
  <c r="BN199" i="100"/>
  <c r="BN177" i="100"/>
  <c r="BN43" i="100"/>
  <c r="BN322" i="100"/>
  <c r="BN290" i="100"/>
  <c r="BN171" i="100"/>
  <c r="BN159" i="100"/>
  <c r="BN41" i="100"/>
  <c r="BN318" i="100"/>
  <c r="BN326" i="100"/>
  <c r="BN161" i="100"/>
  <c r="BN33" i="100"/>
  <c r="BN162" i="100"/>
  <c r="BN301" i="100"/>
  <c r="BN173" i="100"/>
  <c r="BN29" i="100"/>
  <c r="BO7" i="100"/>
  <c r="BN289" i="100"/>
  <c r="BN42" i="100"/>
  <c r="BN309" i="100"/>
  <c r="BN321" i="100"/>
  <c r="BN70" i="100"/>
  <c r="BN184" i="100"/>
  <c r="BN300" i="100"/>
  <c r="BN306" i="100"/>
  <c r="BN307" i="100"/>
  <c r="BN316" i="100"/>
  <c r="BN180" i="100"/>
  <c r="BN36" i="100"/>
  <c r="BN200" i="100"/>
  <c r="BN9" i="100"/>
  <c r="BN166" i="100"/>
  <c r="BN334" i="100"/>
  <c r="BN189" i="100"/>
  <c r="BN297" i="100"/>
  <c r="BN172" i="100"/>
  <c r="BN169" i="100"/>
  <c r="BN303" i="100"/>
  <c r="BN20" i="100"/>
  <c r="BN323" i="100"/>
  <c r="BN39" i="100"/>
  <c r="BO49" i="100" l="1"/>
  <c r="BO46" i="100"/>
  <c r="BO58" i="100"/>
  <c r="BO62" i="100"/>
  <c r="BO63" i="100"/>
  <c r="BO44" i="100"/>
  <c r="BO48" i="100"/>
  <c r="BO61" i="100"/>
  <c r="BO55" i="100"/>
  <c r="BO54" i="100"/>
  <c r="BO59" i="100"/>
  <c r="BO47" i="100"/>
  <c r="BO53" i="100"/>
  <c r="BO57" i="100"/>
  <c r="BO50" i="100"/>
  <c r="BO60" i="100"/>
  <c r="BO51" i="100"/>
  <c r="BO56" i="100"/>
  <c r="BO52" i="100"/>
  <c r="BO45" i="100"/>
  <c r="IK36" i="100"/>
  <c r="AK35" i="100"/>
  <c r="BN339" i="100"/>
  <c r="BN79" i="100"/>
  <c r="BN78" i="100" s="1"/>
  <c r="BN209" i="100"/>
  <c r="BO37" i="100"/>
  <c r="BO331" i="100"/>
  <c r="BO35" i="100"/>
  <c r="BO169" i="100"/>
  <c r="BO326" i="100"/>
  <c r="BO291" i="100"/>
  <c r="BO186" i="100"/>
  <c r="BO24" i="100"/>
  <c r="BO311" i="100"/>
  <c r="BO13" i="100"/>
  <c r="BO204" i="100"/>
  <c r="BO300" i="100"/>
  <c r="BO69" i="100"/>
  <c r="BO196" i="100"/>
  <c r="BO12" i="100"/>
  <c r="BO29" i="100"/>
  <c r="BO158" i="100"/>
  <c r="BO18" i="100"/>
  <c r="BO76" i="100"/>
  <c r="BO305" i="100"/>
  <c r="BO321" i="100"/>
  <c r="BO71" i="100"/>
  <c r="BO162" i="100"/>
  <c r="BO304" i="100"/>
  <c r="BO27" i="100"/>
  <c r="BO39" i="100"/>
  <c r="BO203" i="100"/>
  <c r="BO174" i="100"/>
  <c r="BO309" i="100"/>
  <c r="BO317" i="100"/>
  <c r="BO65" i="100"/>
  <c r="BO314" i="100"/>
  <c r="BO41" i="100"/>
  <c r="BO302" i="100"/>
  <c r="BO72" i="100"/>
  <c r="BO292" i="100"/>
  <c r="BO189" i="100"/>
  <c r="BO30" i="100"/>
  <c r="BO197" i="100"/>
  <c r="BO171" i="100"/>
  <c r="BO179" i="100"/>
  <c r="BO167" i="100"/>
  <c r="BO193" i="100"/>
  <c r="BO73" i="100"/>
  <c r="BO172" i="100"/>
  <c r="BO308" i="100"/>
  <c r="BO36" i="100"/>
  <c r="BO175" i="100"/>
  <c r="BO11" i="100"/>
  <c r="BO325" i="100"/>
  <c r="BO288" i="100"/>
  <c r="BO289" i="100"/>
  <c r="BO312" i="100"/>
  <c r="BO315" i="100"/>
  <c r="BO164" i="100"/>
  <c r="BO199" i="100"/>
  <c r="BO70" i="100"/>
  <c r="BO74" i="100"/>
  <c r="BO195" i="100"/>
  <c r="BO303" i="100"/>
  <c r="BO23" i="100"/>
  <c r="BO178" i="100"/>
  <c r="BO201" i="100"/>
  <c r="BO320" i="100"/>
  <c r="BO327" i="100"/>
  <c r="BO32" i="100"/>
  <c r="BO166" i="100"/>
  <c r="BO163" i="100"/>
  <c r="BO190" i="100"/>
  <c r="BO42" i="100"/>
  <c r="BO183" i="100"/>
  <c r="BO66" i="100"/>
  <c r="BO181" i="100"/>
  <c r="BO176" i="100"/>
  <c r="BO168" i="100"/>
  <c r="BO64" i="100"/>
  <c r="BO180" i="100"/>
  <c r="BO316" i="100"/>
  <c r="BO68" i="100"/>
  <c r="BO16" i="100"/>
  <c r="BO22" i="100"/>
  <c r="BO77" i="100"/>
  <c r="BO206" i="100"/>
  <c r="BO9" i="100"/>
  <c r="BO33" i="100"/>
  <c r="BO306" i="100"/>
  <c r="BO25" i="100"/>
  <c r="BO67" i="100"/>
  <c r="BO75" i="100"/>
  <c r="BO28" i="100"/>
  <c r="BP7" i="100"/>
  <c r="BO160" i="100"/>
  <c r="BO318" i="100"/>
  <c r="BO322" i="100"/>
  <c r="BO200" i="100"/>
  <c r="BO334" i="100"/>
  <c r="BO207" i="100"/>
  <c r="BO297" i="100"/>
  <c r="BO298" i="100"/>
  <c r="BO38" i="100"/>
  <c r="BO17" i="100"/>
  <c r="BO14" i="100"/>
  <c r="BO177" i="100"/>
  <c r="BO191" i="100"/>
  <c r="BO187" i="100"/>
  <c r="BO161" i="100"/>
  <c r="BO165" i="100"/>
  <c r="BO21" i="100"/>
  <c r="BO329" i="100"/>
  <c r="BO319" i="100"/>
  <c r="BO294" i="100"/>
  <c r="BO333" i="100"/>
  <c r="BO296" i="100"/>
  <c r="BO20" i="100"/>
  <c r="BO323" i="100"/>
  <c r="BO15" i="100"/>
  <c r="BO192" i="100"/>
  <c r="BO313" i="100"/>
  <c r="BO10" i="100"/>
  <c r="BO295" i="100"/>
  <c r="BO43" i="100"/>
  <c r="BO31" i="100"/>
  <c r="BO330" i="100"/>
  <c r="BO301" i="100"/>
  <c r="BO202" i="100"/>
  <c r="BO335" i="100"/>
  <c r="BO328" i="100"/>
  <c r="BO185" i="100"/>
  <c r="BO19" i="100"/>
  <c r="BO34" i="100"/>
  <c r="BO26" i="100"/>
  <c r="BO198" i="100"/>
  <c r="BO332" i="100"/>
  <c r="BO290" i="100"/>
  <c r="BO293" i="100"/>
  <c r="BO307" i="100"/>
  <c r="BO188" i="100"/>
  <c r="BO173" i="100"/>
  <c r="BO336" i="100"/>
  <c r="BO337" i="100"/>
  <c r="BO40" i="100"/>
  <c r="BO182" i="100"/>
  <c r="BO310" i="100"/>
  <c r="BO8" i="100"/>
  <c r="BO170" i="100"/>
  <c r="BO194" i="100"/>
  <c r="BO299" i="100"/>
  <c r="BO184" i="100"/>
  <c r="BO159" i="100"/>
  <c r="BO205" i="100"/>
  <c r="BO324" i="100"/>
  <c r="FM287" i="100"/>
  <c r="FL338" i="100"/>
  <c r="BP48" i="100" l="1"/>
  <c r="BP46" i="100"/>
  <c r="BP62" i="100"/>
  <c r="BP63" i="100"/>
  <c r="BP44" i="100"/>
  <c r="BP53" i="100"/>
  <c r="BP54" i="100"/>
  <c r="BP50" i="100"/>
  <c r="BP55" i="100"/>
  <c r="BP47" i="100"/>
  <c r="BP49" i="100"/>
  <c r="BP51" i="100"/>
  <c r="BP56" i="100"/>
  <c r="BP58" i="100"/>
  <c r="BP59" i="100"/>
  <c r="BP52" i="100"/>
  <c r="BP45" i="100"/>
  <c r="BP60" i="100"/>
  <c r="BP57" i="100"/>
  <c r="BP61" i="100"/>
  <c r="AK36" i="100"/>
  <c r="IK37" i="100"/>
  <c r="BO339" i="100"/>
  <c r="BO79" i="100"/>
  <c r="BO78" i="100" s="1"/>
  <c r="BO209" i="100"/>
  <c r="FN287" i="100"/>
  <c r="FM338" i="100"/>
  <c r="BP317" i="100"/>
  <c r="BP176" i="100"/>
  <c r="BP313" i="100"/>
  <c r="BP188" i="100"/>
  <c r="BP304" i="100"/>
  <c r="BP306" i="100"/>
  <c r="BP170" i="100"/>
  <c r="BP158" i="100"/>
  <c r="BP9" i="100"/>
  <c r="BP332" i="100"/>
  <c r="BP318" i="100"/>
  <c r="BP297" i="100"/>
  <c r="BP74" i="100"/>
  <c r="BP202" i="100"/>
  <c r="BP326" i="100"/>
  <c r="BP307" i="100"/>
  <c r="BP13" i="100"/>
  <c r="BP68" i="100"/>
  <c r="BP23" i="100"/>
  <c r="BP323" i="100"/>
  <c r="BP28" i="100"/>
  <c r="BP337" i="100"/>
  <c r="BP161" i="100"/>
  <c r="BP169" i="100"/>
  <c r="BP336" i="100"/>
  <c r="BP72" i="100"/>
  <c r="BP199" i="100"/>
  <c r="BP314" i="100"/>
  <c r="BP330" i="100"/>
  <c r="BP29" i="100"/>
  <c r="BP324" i="100"/>
  <c r="BP180" i="100"/>
  <c r="BP184" i="100"/>
  <c r="BP167" i="100"/>
  <c r="BP335" i="100"/>
  <c r="BP38" i="100"/>
  <c r="BP316" i="100"/>
  <c r="BP299" i="100"/>
  <c r="BP10" i="100"/>
  <c r="BQ7" i="100"/>
  <c r="BP22" i="100"/>
  <c r="BP35" i="100"/>
  <c r="BP36" i="100"/>
  <c r="BP197" i="100"/>
  <c r="BP311" i="100"/>
  <c r="BP171" i="100"/>
  <c r="BP295" i="100"/>
  <c r="BP331" i="100"/>
  <c r="BP21" i="100"/>
  <c r="BP25" i="100"/>
  <c r="BP17" i="100"/>
  <c r="BP201" i="100"/>
  <c r="BP183" i="100"/>
  <c r="BP319" i="100"/>
  <c r="BP19" i="100"/>
  <c r="BP43" i="100"/>
  <c r="BP41" i="100"/>
  <c r="BP168" i="100"/>
  <c r="BP322" i="100"/>
  <c r="BP8" i="100"/>
  <c r="BP298" i="100"/>
  <c r="BP296" i="100"/>
  <c r="BP185" i="100"/>
  <c r="BP14" i="100"/>
  <c r="BP39" i="100"/>
  <c r="BP293" i="100"/>
  <c r="BP24" i="100"/>
  <c r="BP76" i="100"/>
  <c r="BP189" i="100"/>
  <c r="BP64" i="100"/>
  <c r="BP31" i="100"/>
  <c r="BP71" i="100"/>
  <c r="BP182" i="100"/>
  <c r="BP11" i="100"/>
  <c r="BP20" i="100"/>
  <c r="BP32" i="100"/>
  <c r="BP30" i="100"/>
  <c r="BP163" i="100"/>
  <c r="BP200" i="100"/>
  <c r="BP67" i="100"/>
  <c r="BP181" i="100"/>
  <c r="BP198" i="100"/>
  <c r="BP194" i="100"/>
  <c r="BP75" i="100"/>
  <c r="BP69" i="100"/>
  <c r="BP166" i="100"/>
  <c r="BP164" i="100"/>
  <c r="BP173" i="100"/>
  <c r="BP291" i="100"/>
  <c r="BP288" i="100"/>
  <c r="BP300" i="100"/>
  <c r="BP26" i="100"/>
  <c r="BP320" i="100"/>
  <c r="BP179" i="100"/>
  <c r="BP302" i="100"/>
  <c r="BP315" i="100"/>
  <c r="BP40" i="100"/>
  <c r="BP172" i="100"/>
  <c r="BP159" i="100"/>
  <c r="BP207" i="100"/>
  <c r="BP177" i="100"/>
  <c r="BP290" i="100"/>
  <c r="BP190" i="100"/>
  <c r="BP65" i="100"/>
  <c r="BP289" i="100"/>
  <c r="BP174" i="100"/>
  <c r="BP18" i="100"/>
  <c r="BP77" i="100"/>
  <c r="BP187" i="100"/>
  <c r="BP165" i="100"/>
  <c r="BP328" i="100"/>
  <c r="BP321" i="100"/>
  <c r="BP192" i="100"/>
  <c r="BP37" i="100"/>
  <c r="BP160" i="100"/>
  <c r="BP310" i="100"/>
  <c r="BP33" i="100"/>
  <c r="BP292" i="100"/>
  <c r="BP325" i="100"/>
  <c r="BP333" i="100"/>
  <c r="BP175" i="100"/>
  <c r="BP196" i="100"/>
  <c r="BP12" i="100"/>
  <c r="BP73" i="100"/>
  <c r="BP178" i="100"/>
  <c r="BP308" i="100"/>
  <c r="BP66" i="100"/>
  <c r="BP327" i="100"/>
  <c r="BP15" i="100"/>
  <c r="BP16" i="100"/>
  <c r="BP205" i="100"/>
  <c r="BP301" i="100"/>
  <c r="BP193" i="100"/>
  <c r="BP70" i="100"/>
  <c r="BP204" i="100"/>
  <c r="BP294" i="100"/>
  <c r="BP305" i="100"/>
  <c r="BP34" i="100"/>
  <c r="BP195" i="100"/>
  <c r="BP334" i="100"/>
  <c r="BP206" i="100"/>
  <c r="BP27" i="100"/>
  <c r="BP191" i="100"/>
  <c r="BP186" i="100"/>
  <c r="BP303" i="100"/>
  <c r="BP42" i="100"/>
  <c r="BP162" i="100"/>
  <c r="BP203" i="100"/>
  <c r="BP309" i="100"/>
  <c r="BP312" i="100"/>
  <c r="BP329" i="100"/>
  <c r="BQ51" i="100" l="1"/>
  <c r="BQ52" i="100"/>
  <c r="BQ63" i="100"/>
  <c r="BQ44" i="100"/>
  <c r="BQ46" i="100"/>
  <c r="BQ62" i="100"/>
  <c r="BQ61" i="100"/>
  <c r="BQ54" i="100"/>
  <c r="BQ55" i="100"/>
  <c r="BQ48" i="100"/>
  <c r="BQ49" i="100"/>
  <c r="BQ59" i="100"/>
  <c r="BQ60" i="100"/>
  <c r="BQ57" i="100"/>
  <c r="BQ50" i="100"/>
  <c r="BQ47" i="100"/>
  <c r="BQ56" i="100"/>
  <c r="BQ45" i="100"/>
  <c r="BQ58" i="100"/>
  <c r="BQ53" i="100"/>
  <c r="IK38" i="100"/>
  <c r="AK37" i="100"/>
  <c r="BP209" i="100"/>
  <c r="BP79" i="100"/>
  <c r="BP78" i="100" s="1"/>
  <c r="BP339" i="100"/>
  <c r="BQ315" i="100"/>
  <c r="BQ164" i="100"/>
  <c r="BQ305" i="100"/>
  <c r="BQ35" i="100"/>
  <c r="BQ195" i="100"/>
  <c r="BQ40" i="100"/>
  <c r="BQ185" i="100"/>
  <c r="BQ41" i="100"/>
  <c r="BQ165" i="100"/>
  <c r="BQ168" i="100"/>
  <c r="BQ36" i="100"/>
  <c r="BQ71" i="100"/>
  <c r="BQ196" i="100"/>
  <c r="BQ11" i="100"/>
  <c r="BQ322" i="100"/>
  <c r="BQ182" i="100"/>
  <c r="BQ306" i="100"/>
  <c r="BQ19" i="100"/>
  <c r="BQ21" i="100"/>
  <c r="BQ64" i="100"/>
  <c r="BQ310" i="100"/>
  <c r="BQ179" i="100"/>
  <c r="BQ15" i="100"/>
  <c r="BQ323" i="100"/>
  <c r="BQ27" i="100"/>
  <c r="BR7" i="100"/>
  <c r="BQ187" i="100"/>
  <c r="BQ38" i="100"/>
  <c r="BQ299" i="100"/>
  <c r="BQ42" i="100"/>
  <c r="BQ330" i="100"/>
  <c r="BQ332" i="100"/>
  <c r="BQ20" i="100"/>
  <c r="BQ14" i="100"/>
  <c r="BQ293" i="100"/>
  <c r="BQ300" i="100"/>
  <c r="BQ309" i="100"/>
  <c r="BQ25" i="100"/>
  <c r="BQ313" i="100"/>
  <c r="BQ198" i="100"/>
  <c r="BQ328" i="100"/>
  <c r="BQ28" i="100"/>
  <c r="BQ189" i="100"/>
  <c r="BQ162" i="100"/>
  <c r="BQ329" i="100"/>
  <c r="BQ73" i="100"/>
  <c r="BQ207" i="100"/>
  <c r="BQ298" i="100"/>
  <c r="BQ183" i="100"/>
  <c r="BQ172" i="100"/>
  <c r="BQ163" i="100"/>
  <c r="BQ175" i="100"/>
  <c r="BQ160" i="100"/>
  <c r="BQ29" i="100"/>
  <c r="BQ334" i="100"/>
  <c r="BQ289" i="100"/>
  <c r="BQ333" i="100"/>
  <c r="BQ34" i="100"/>
  <c r="BQ186" i="100"/>
  <c r="BQ37" i="100"/>
  <c r="BQ10" i="100"/>
  <c r="BQ197" i="100"/>
  <c r="BQ199" i="100"/>
  <c r="BQ336" i="100"/>
  <c r="BQ12" i="100"/>
  <c r="BQ301" i="100"/>
  <c r="BQ26" i="100"/>
  <c r="BQ325" i="100"/>
  <c r="BQ194" i="100"/>
  <c r="BQ177" i="100"/>
  <c r="BQ166" i="100"/>
  <c r="BQ311" i="100"/>
  <c r="BQ161" i="100"/>
  <c r="BQ32" i="100"/>
  <c r="BQ176" i="100"/>
  <c r="BQ326" i="100"/>
  <c r="BQ290" i="100"/>
  <c r="BQ200" i="100"/>
  <c r="BQ39" i="100"/>
  <c r="BQ324" i="100"/>
  <c r="BQ335" i="100"/>
  <c r="BQ318" i="100"/>
  <c r="BQ67" i="100"/>
  <c r="BQ158" i="100"/>
  <c r="BQ327" i="100"/>
  <c r="BQ321" i="100"/>
  <c r="BQ204" i="100"/>
  <c r="BQ181" i="100"/>
  <c r="BQ288" i="100"/>
  <c r="BQ30" i="100"/>
  <c r="BQ192" i="100"/>
  <c r="BQ178" i="100"/>
  <c r="BQ66" i="100"/>
  <c r="BQ316" i="100"/>
  <c r="BQ159" i="100"/>
  <c r="BQ18" i="100"/>
  <c r="BQ184" i="100"/>
  <c r="BQ167" i="100"/>
  <c r="BQ317" i="100"/>
  <c r="BQ77" i="100"/>
  <c r="BQ203" i="100"/>
  <c r="BQ169" i="100"/>
  <c r="BQ24" i="100"/>
  <c r="BQ70" i="100"/>
  <c r="BQ8" i="100"/>
  <c r="BQ76" i="100"/>
  <c r="BQ180" i="100"/>
  <c r="BQ193" i="100"/>
  <c r="BQ202" i="100"/>
  <c r="BQ307" i="100"/>
  <c r="BQ201" i="100"/>
  <c r="BQ68" i="100"/>
  <c r="BQ294" i="100"/>
  <c r="BQ295" i="100"/>
  <c r="BQ302" i="100"/>
  <c r="BQ9" i="100"/>
  <c r="BQ16" i="100"/>
  <c r="BQ291" i="100"/>
  <c r="BQ304" i="100"/>
  <c r="BQ191" i="100"/>
  <c r="BQ303" i="100"/>
  <c r="BQ17" i="100"/>
  <c r="BQ308" i="100"/>
  <c r="BQ75" i="100"/>
  <c r="BQ174" i="100"/>
  <c r="BQ23" i="100"/>
  <c r="BQ43" i="100"/>
  <c r="BQ190" i="100"/>
  <c r="BQ314" i="100"/>
  <c r="BQ31" i="100"/>
  <c r="BQ205" i="100"/>
  <c r="BQ297" i="100"/>
  <c r="BQ69" i="100"/>
  <c r="BQ320" i="100"/>
  <c r="BQ206" i="100"/>
  <c r="BQ337" i="100"/>
  <c r="BQ72" i="100"/>
  <c r="BQ170" i="100"/>
  <c r="BQ188" i="100"/>
  <c r="BQ171" i="100"/>
  <c r="BQ292" i="100"/>
  <c r="BQ331" i="100"/>
  <c r="BQ33" i="100"/>
  <c r="BQ319" i="100"/>
  <c r="BQ296" i="100"/>
  <c r="BQ312" i="100"/>
  <c r="BQ13" i="100"/>
  <c r="BQ22" i="100"/>
  <c r="BQ65" i="100"/>
  <c r="BQ173" i="100"/>
  <c r="BQ74" i="100"/>
  <c r="FO287" i="100"/>
  <c r="FN338" i="100"/>
  <c r="BR62" i="100" l="1"/>
  <c r="BR46" i="100"/>
  <c r="BR63" i="100"/>
  <c r="BR50" i="100"/>
  <c r="BR44" i="100"/>
  <c r="BR49" i="100"/>
  <c r="BR48" i="100"/>
  <c r="BR54" i="100"/>
  <c r="BR45" i="100"/>
  <c r="BR59" i="100"/>
  <c r="BR58" i="100"/>
  <c r="BR61" i="100"/>
  <c r="BR57" i="100"/>
  <c r="BR47" i="100"/>
  <c r="BR51" i="100"/>
  <c r="BR53" i="100"/>
  <c r="BR60" i="100"/>
  <c r="BR55" i="100"/>
  <c r="BR52" i="100"/>
  <c r="BR56" i="100"/>
  <c r="IK39" i="100"/>
  <c r="AK38" i="100"/>
  <c r="BQ79" i="100"/>
  <c r="BQ78" i="100" s="1"/>
  <c r="BQ339" i="100"/>
  <c r="BQ209" i="100"/>
  <c r="FP287" i="100"/>
  <c r="FO338" i="100"/>
  <c r="BR74" i="100"/>
  <c r="BR332" i="100"/>
  <c r="BR205" i="100"/>
  <c r="BR316" i="100"/>
  <c r="BR197" i="100"/>
  <c r="BR196" i="100"/>
  <c r="BR68" i="100"/>
  <c r="BR70" i="100"/>
  <c r="BR307" i="100"/>
  <c r="BR41" i="100"/>
  <c r="BR322" i="100"/>
  <c r="BR166" i="100"/>
  <c r="BR183" i="100"/>
  <c r="BR202" i="100"/>
  <c r="BR161" i="100"/>
  <c r="BR66" i="100"/>
  <c r="BR291" i="100"/>
  <c r="BR198" i="100"/>
  <c r="BR32" i="100"/>
  <c r="BR22" i="100"/>
  <c r="BR165" i="100"/>
  <c r="BR65" i="100"/>
  <c r="BR333" i="100"/>
  <c r="BR175" i="100"/>
  <c r="BR28" i="100"/>
  <c r="BR10" i="100"/>
  <c r="BR39" i="100"/>
  <c r="BR184" i="100"/>
  <c r="BR289" i="100"/>
  <c r="BR185" i="100"/>
  <c r="BR35" i="100"/>
  <c r="BR318" i="100"/>
  <c r="BR159" i="100"/>
  <c r="BR64" i="100"/>
  <c r="BR19" i="100"/>
  <c r="BR320" i="100"/>
  <c r="BR295" i="100"/>
  <c r="BR16" i="100"/>
  <c r="BR321" i="100"/>
  <c r="BR331" i="100"/>
  <c r="BR42" i="100"/>
  <c r="BR193" i="100"/>
  <c r="BR201" i="100"/>
  <c r="BR34" i="100"/>
  <c r="BR192" i="100"/>
  <c r="BR323" i="100"/>
  <c r="BR23" i="100"/>
  <c r="BR75" i="100"/>
  <c r="BR195" i="100"/>
  <c r="BR301" i="100"/>
  <c r="BR293" i="100"/>
  <c r="BR200" i="100"/>
  <c r="BR187" i="100"/>
  <c r="BR173" i="100"/>
  <c r="BR14" i="100"/>
  <c r="BR311" i="100"/>
  <c r="BR186" i="100"/>
  <c r="BR204" i="100"/>
  <c r="BR17" i="100"/>
  <c r="BR73" i="100"/>
  <c r="BR292" i="100"/>
  <c r="BR180" i="100"/>
  <c r="BR176" i="100"/>
  <c r="BR8" i="100"/>
  <c r="BR179" i="100"/>
  <c r="BR190" i="100"/>
  <c r="BR30" i="100"/>
  <c r="BR25" i="100"/>
  <c r="BR164" i="100"/>
  <c r="BR315" i="100"/>
  <c r="BR171" i="100"/>
  <c r="BR9" i="100"/>
  <c r="BR168" i="100"/>
  <c r="BR162" i="100"/>
  <c r="BR188" i="100"/>
  <c r="BR191" i="100"/>
  <c r="BR312" i="100"/>
  <c r="BR290" i="100"/>
  <c r="BR334" i="100"/>
  <c r="BR305" i="100"/>
  <c r="BR203" i="100"/>
  <c r="BR170" i="100"/>
  <c r="BR36" i="100"/>
  <c r="BR158" i="100"/>
  <c r="BR21" i="100"/>
  <c r="BR15" i="100"/>
  <c r="BR294" i="100"/>
  <c r="BR308" i="100"/>
  <c r="BR310" i="100"/>
  <c r="BR303" i="100"/>
  <c r="BR72" i="100"/>
  <c r="BR299" i="100"/>
  <c r="BS7" i="100"/>
  <c r="BR163" i="100"/>
  <c r="BR43" i="100"/>
  <c r="BR31" i="100"/>
  <c r="BR172" i="100"/>
  <c r="BR18" i="100"/>
  <c r="BR335" i="100"/>
  <c r="BR319" i="100"/>
  <c r="BR38" i="100"/>
  <c r="BR300" i="100"/>
  <c r="BR327" i="100"/>
  <c r="BR304" i="100"/>
  <c r="BR328" i="100"/>
  <c r="BR76" i="100"/>
  <c r="BR27" i="100"/>
  <c r="BR330" i="100"/>
  <c r="BR314" i="100"/>
  <c r="BR336" i="100"/>
  <c r="BR199" i="100"/>
  <c r="BR67" i="100"/>
  <c r="BR297" i="100"/>
  <c r="BR288" i="100"/>
  <c r="BR324" i="100"/>
  <c r="BR71" i="100"/>
  <c r="BR302" i="100"/>
  <c r="BR12" i="100"/>
  <c r="BR160" i="100"/>
  <c r="BR329" i="100"/>
  <c r="BR167" i="100"/>
  <c r="BR309" i="100"/>
  <c r="BR317" i="100"/>
  <c r="BR13" i="100"/>
  <c r="BR181" i="100"/>
  <c r="BR24" i="100"/>
  <c r="BR207" i="100"/>
  <c r="BR306" i="100"/>
  <c r="BR26" i="100"/>
  <c r="BR33" i="100"/>
  <c r="BR69" i="100"/>
  <c r="BR174" i="100"/>
  <c r="BR177" i="100"/>
  <c r="BR178" i="100"/>
  <c r="BR296" i="100"/>
  <c r="BR20" i="100"/>
  <c r="BR77" i="100"/>
  <c r="BR337" i="100"/>
  <c r="BR189" i="100"/>
  <c r="BR325" i="100"/>
  <c r="BR37" i="100"/>
  <c r="BR169" i="100"/>
  <c r="BR11" i="100"/>
  <c r="BR298" i="100"/>
  <c r="BR182" i="100"/>
  <c r="BR40" i="100"/>
  <c r="BR206" i="100"/>
  <c r="BR326" i="100"/>
  <c r="BR194" i="100"/>
  <c r="BR29" i="100"/>
  <c r="BR313" i="100"/>
  <c r="BS44" i="100" l="1"/>
  <c r="BS62" i="100"/>
  <c r="BS63" i="100"/>
  <c r="BS58" i="100"/>
  <c r="BS49" i="100"/>
  <c r="BS46" i="100"/>
  <c r="BS56" i="100"/>
  <c r="BS52" i="100"/>
  <c r="BS59" i="100"/>
  <c r="BS48" i="100"/>
  <c r="BS55" i="100"/>
  <c r="BS51" i="100"/>
  <c r="BS57" i="100"/>
  <c r="BS54" i="100"/>
  <c r="BS53" i="100"/>
  <c r="BS47" i="100"/>
  <c r="BS60" i="100"/>
  <c r="BS61" i="100"/>
  <c r="BS45" i="100"/>
  <c r="BS50" i="100"/>
  <c r="AK39" i="100"/>
  <c r="IK40" i="100"/>
  <c r="BR339" i="100"/>
  <c r="BR209" i="100"/>
  <c r="BR79" i="100"/>
  <c r="BR78" i="100" s="1"/>
  <c r="BS11" i="100"/>
  <c r="BS68" i="100"/>
  <c r="BS289" i="100"/>
  <c r="BS306" i="100"/>
  <c r="BS314" i="100"/>
  <c r="BS22" i="100"/>
  <c r="BS169" i="100"/>
  <c r="BS293" i="100"/>
  <c r="BS165" i="100"/>
  <c r="BS307" i="100"/>
  <c r="BS318" i="100"/>
  <c r="BS161" i="100"/>
  <c r="BS334" i="100"/>
  <c r="BS173" i="100"/>
  <c r="BS301" i="100"/>
  <c r="BS160" i="100"/>
  <c r="BS74" i="100"/>
  <c r="BS69" i="100"/>
  <c r="BS200" i="100"/>
  <c r="BS171" i="100"/>
  <c r="BS16" i="100"/>
  <c r="BS295" i="100"/>
  <c r="BS316" i="100"/>
  <c r="BS304" i="100"/>
  <c r="BS206" i="100"/>
  <c r="BS191" i="100"/>
  <c r="BS319" i="100"/>
  <c r="BS38" i="100"/>
  <c r="BS186" i="100"/>
  <c r="BS21" i="100"/>
  <c r="BS19" i="100"/>
  <c r="BS43" i="100"/>
  <c r="BS76" i="100"/>
  <c r="BS308" i="100"/>
  <c r="BS322" i="100"/>
  <c r="BS10" i="100"/>
  <c r="BS291" i="100"/>
  <c r="BS159" i="100"/>
  <c r="BS73" i="100"/>
  <c r="BS34" i="100"/>
  <c r="BS202" i="100"/>
  <c r="BS13" i="100"/>
  <c r="BT7" i="100"/>
  <c r="BS177" i="100"/>
  <c r="BS207" i="100"/>
  <c r="BS77" i="100"/>
  <c r="BS166" i="100"/>
  <c r="BS337" i="100"/>
  <c r="BS313" i="100"/>
  <c r="BS184" i="100"/>
  <c r="BS312" i="100"/>
  <c r="BS164" i="100"/>
  <c r="BS170" i="100"/>
  <c r="BS192" i="100"/>
  <c r="BS199" i="100"/>
  <c r="BS25" i="100"/>
  <c r="BS18" i="100"/>
  <c r="BS182" i="100"/>
  <c r="BS40" i="100"/>
  <c r="BS303" i="100"/>
  <c r="BS20" i="100"/>
  <c r="BS36" i="100"/>
  <c r="BS310" i="100"/>
  <c r="BS195" i="100"/>
  <c r="BS179" i="100"/>
  <c r="BS181" i="100"/>
  <c r="BS327" i="100"/>
  <c r="BS193" i="100"/>
  <c r="BS75" i="100"/>
  <c r="BS9" i="100"/>
  <c r="BS328" i="100"/>
  <c r="BS42" i="100"/>
  <c r="BS39" i="100"/>
  <c r="BS185" i="100"/>
  <c r="BS302" i="100"/>
  <c r="BS27" i="100"/>
  <c r="BS32" i="100"/>
  <c r="BS8" i="100"/>
  <c r="BS198" i="100"/>
  <c r="BS66" i="100"/>
  <c r="BS70" i="100"/>
  <c r="BS196" i="100"/>
  <c r="BS203" i="100"/>
  <c r="BS65" i="100"/>
  <c r="BS299" i="100"/>
  <c r="BS315" i="100"/>
  <c r="BS168" i="100"/>
  <c r="BS176" i="100"/>
  <c r="BS158" i="100"/>
  <c r="BS183" i="100"/>
  <c r="BS290" i="100"/>
  <c r="BS30" i="100"/>
  <c r="BS33" i="100"/>
  <c r="BS23" i="100"/>
  <c r="BS332" i="100"/>
  <c r="BS14" i="100"/>
  <c r="BS329" i="100"/>
  <c r="BS180" i="100"/>
  <c r="BS325" i="100"/>
  <c r="BS320" i="100"/>
  <c r="BS323" i="100"/>
  <c r="BS305" i="100"/>
  <c r="BS175" i="100"/>
  <c r="BS64" i="100"/>
  <c r="BS12" i="100"/>
  <c r="BS24" i="100"/>
  <c r="BS71" i="100"/>
  <c r="BS309" i="100"/>
  <c r="BS163" i="100"/>
  <c r="BS297" i="100"/>
  <c r="BS167" i="100"/>
  <c r="BS26" i="100"/>
  <c r="BS292" i="100"/>
  <c r="BS317" i="100"/>
  <c r="BS35" i="100"/>
  <c r="BS201" i="100"/>
  <c r="BS67" i="100"/>
  <c r="BS188" i="100"/>
  <c r="BS326" i="100"/>
  <c r="BS41" i="100"/>
  <c r="BS174" i="100"/>
  <c r="BS29" i="100"/>
  <c r="BS330" i="100"/>
  <c r="BS296" i="100"/>
  <c r="BS162" i="100"/>
  <c r="BS197" i="100"/>
  <c r="BS333" i="100"/>
  <c r="BS335" i="100"/>
  <c r="BS204" i="100"/>
  <c r="BS31" i="100"/>
  <c r="BS17" i="100"/>
  <c r="BS37" i="100"/>
  <c r="BS187" i="100"/>
  <c r="BS288" i="100"/>
  <c r="BS172" i="100"/>
  <c r="BS178" i="100"/>
  <c r="BS324" i="100"/>
  <c r="BS15" i="100"/>
  <c r="BS72" i="100"/>
  <c r="BS336" i="100"/>
  <c r="BS298" i="100"/>
  <c r="BS189" i="100"/>
  <c r="BS190" i="100"/>
  <c r="BS294" i="100"/>
  <c r="BS321" i="100"/>
  <c r="BS194" i="100"/>
  <c r="BS300" i="100"/>
  <c r="BS331" i="100"/>
  <c r="BS311" i="100"/>
  <c r="BS205" i="100"/>
  <c r="BS28" i="100"/>
  <c r="FQ287" i="100"/>
  <c r="FP338" i="100"/>
  <c r="BT46" i="100" l="1"/>
  <c r="BT63" i="100"/>
  <c r="BT56" i="100"/>
  <c r="BT62" i="100"/>
  <c r="BT44" i="100"/>
  <c r="BT45" i="100"/>
  <c r="BT57" i="100"/>
  <c r="BT59" i="100"/>
  <c r="BT54" i="100"/>
  <c r="BT48" i="100"/>
  <c r="BT53" i="100"/>
  <c r="BT50" i="100"/>
  <c r="BT58" i="100"/>
  <c r="BT55" i="100"/>
  <c r="BT49" i="100"/>
  <c r="BT60" i="100"/>
  <c r="BT47" i="100"/>
  <c r="BT61" i="100"/>
  <c r="BT52" i="100"/>
  <c r="BT51" i="100"/>
  <c r="AK40" i="100"/>
  <c r="IK41" i="100"/>
  <c r="BS79" i="100"/>
  <c r="BS78" i="100" s="1"/>
  <c r="BS339" i="100"/>
  <c r="BS209" i="100"/>
  <c r="FR287" i="100"/>
  <c r="FQ338" i="100"/>
  <c r="BT191" i="100"/>
  <c r="BT159" i="100"/>
  <c r="BT315" i="100"/>
  <c r="BT202" i="100"/>
  <c r="BT196" i="100"/>
  <c r="BT173" i="100"/>
  <c r="BT17" i="100"/>
  <c r="BT312" i="100"/>
  <c r="BT161" i="100"/>
  <c r="BT335" i="100"/>
  <c r="BT42" i="100"/>
  <c r="BT11" i="100"/>
  <c r="BT64" i="100"/>
  <c r="BT336" i="100"/>
  <c r="BT194" i="100"/>
  <c r="BT204" i="100"/>
  <c r="BT41" i="100"/>
  <c r="BT22" i="100"/>
  <c r="BT192" i="100"/>
  <c r="BT332" i="100"/>
  <c r="BT30" i="100"/>
  <c r="BT19" i="100"/>
  <c r="BT320" i="100"/>
  <c r="BT328" i="100"/>
  <c r="BT300" i="100"/>
  <c r="BT162" i="100"/>
  <c r="BT303" i="100"/>
  <c r="BT69" i="100"/>
  <c r="BT36" i="100"/>
  <c r="BT294" i="100"/>
  <c r="BT327" i="100"/>
  <c r="BT172" i="100"/>
  <c r="BT40" i="100"/>
  <c r="BT296" i="100"/>
  <c r="BT337" i="100"/>
  <c r="BT179" i="100"/>
  <c r="BT15" i="100"/>
  <c r="BT298" i="100"/>
  <c r="BT319" i="100"/>
  <c r="BT185" i="100"/>
  <c r="BT65" i="100"/>
  <c r="BT291" i="100"/>
  <c r="BT307" i="100"/>
  <c r="BT288" i="100"/>
  <c r="BT306" i="100"/>
  <c r="BT301" i="100"/>
  <c r="BT325" i="100"/>
  <c r="BT18" i="100"/>
  <c r="BT201" i="100"/>
  <c r="BT28" i="100"/>
  <c r="BT37" i="100"/>
  <c r="BT180" i="100"/>
  <c r="BT10" i="100"/>
  <c r="BT170" i="100"/>
  <c r="BT24" i="100"/>
  <c r="BT308" i="100"/>
  <c r="BT8" i="100"/>
  <c r="BT176" i="100"/>
  <c r="BU7" i="100"/>
  <c r="BT169" i="100"/>
  <c r="BT74" i="100"/>
  <c r="BT32" i="100"/>
  <c r="BT66" i="100"/>
  <c r="BT163" i="100"/>
  <c r="BT68" i="100"/>
  <c r="BT203" i="100"/>
  <c r="BT313" i="100"/>
  <c r="BT160" i="100"/>
  <c r="BT195" i="100"/>
  <c r="BT77" i="100"/>
  <c r="BT324" i="100"/>
  <c r="BT190" i="100"/>
  <c r="BT38" i="100"/>
  <c r="BT322" i="100"/>
  <c r="BT304" i="100"/>
  <c r="BT175" i="100"/>
  <c r="BT317" i="100"/>
  <c r="BT207" i="100"/>
  <c r="BT29" i="100"/>
  <c r="BT299" i="100"/>
  <c r="BT302" i="100"/>
  <c r="BT297" i="100"/>
  <c r="BT193" i="100"/>
  <c r="BT186" i="100"/>
  <c r="BT34" i="100"/>
  <c r="BT293" i="100"/>
  <c r="BT72" i="100"/>
  <c r="BT27" i="100"/>
  <c r="BT70" i="100"/>
  <c r="BT167" i="100"/>
  <c r="BT198" i="100"/>
  <c r="BT33" i="100"/>
  <c r="BT76" i="100"/>
  <c r="BT333" i="100"/>
  <c r="BT14" i="100"/>
  <c r="BT181" i="100"/>
  <c r="BT35" i="100"/>
  <c r="BT16" i="100"/>
  <c r="BT165" i="100"/>
  <c r="BT330" i="100"/>
  <c r="BT316" i="100"/>
  <c r="BT164" i="100"/>
  <c r="BT31" i="100"/>
  <c r="BT67" i="100"/>
  <c r="BT326" i="100"/>
  <c r="BT205" i="100"/>
  <c r="BT26" i="100"/>
  <c r="BT290" i="100"/>
  <c r="BT314" i="100"/>
  <c r="BT309" i="100"/>
  <c r="BT182" i="100"/>
  <c r="BT174" i="100"/>
  <c r="BT23" i="100"/>
  <c r="BT168" i="100"/>
  <c r="BT321" i="100"/>
  <c r="BT189" i="100"/>
  <c r="BT12" i="100"/>
  <c r="BT13" i="100"/>
  <c r="BT166" i="100"/>
  <c r="BT289" i="100"/>
  <c r="BT71" i="100"/>
  <c r="BT184" i="100"/>
  <c r="BT171" i="100"/>
  <c r="BT178" i="100"/>
  <c r="BT199" i="100"/>
  <c r="BT188" i="100"/>
  <c r="BT329" i="100"/>
  <c r="BT197" i="100"/>
  <c r="BT323" i="100"/>
  <c r="BT292" i="100"/>
  <c r="BT75" i="100"/>
  <c r="BT9" i="100"/>
  <c r="BT21" i="100"/>
  <c r="BT158" i="100"/>
  <c r="BT334" i="100"/>
  <c r="BT311" i="100"/>
  <c r="BT39" i="100"/>
  <c r="BT20" i="100"/>
  <c r="BT187" i="100"/>
  <c r="BT43" i="100"/>
  <c r="BT183" i="100"/>
  <c r="BT177" i="100"/>
  <c r="BT206" i="100"/>
  <c r="BT295" i="100"/>
  <c r="BT331" i="100"/>
  <c r="BT73" i="100"/>
  <c r="BT305" i="100"/>
  <c r="BT25" i="100"/>
  <c r="BT310" i="100"/>
  <c r="BT318" i="100"/>
  <c r="BT200" i="100"/>
  <c r="BU44" i="100" l="1"/>
  <c r="BU46" i="100"/>
  <c r="BU63" i="100"/>
  <c r="BU58" i="100"/>
  <c r="BU62" i="100"/>
  <c r="BU55" i="100"/>
  <c r="BU48" i="100"/>
  <c r="BU47" i="100"/>
  <c r="BU59" i="100"/>
  <c r="BU49" i="100"/>
  <c r="BU52" i="100"/>
  <c r="BU54" i="100"/>
  <c r="BU45" i="100"/>
  <c r="BU53" i="100"/>
  <c r="BU50" i="100"/>
  <c r="BU61" i="100"/>
  <c r="BU60" i="100"/>
  <c r="BU57" i="100"/>
  <c r="BU56" i="100"/>
  <c r="BU51" i="100"/>
  <c r="AK41" i="100"/>
  <c r="IK42" i="100"/>
  <c r="BT209" i="100"/>
  <c r="BT79" i="100"/>
  <c r="BT78" i="100" s="1"/>
  <c r="BT339" i="100"/>
  <c r="BU168" i="100"/>
  <c r="BU158" i="100"/>
  <c r="BU199" i="100"/>
  <c r="BU169" i="100"/>
  <c r="BU16" i="100"/>
  <c r="BU173" i="100"/>
  <c r="BU167" i="100"/>
  <c r="BU163" i="100"/>
  <c r="BU319" i="100"/>
  <c r="BU189" i="100"/>
  <c r="BU312" i="100"/>
  <c r="BU40" i="100"/>
  <c r="BU27" i="100"/>
  <c r="BU181" i="100"/>
  <c r="BU182" i="100"/>
  <c r="BU68" i="100"/>
  <c r="BU179" i="100"/>
  <c r="BU26" i="100"/>
  <c r="BU178" i="100"/>
  <c r="BU36" i="100"/>
  <c r="BU23" i="100"/>
  <c r="BU195" i="100"/>
  <c r="BU332" i="100"/>
  <c r="BU197" i="100"/>
  <c r="BU74" i="100"/>
  <c r="BU191" i="100"/>
  <c r="BU205" i="100"/>
  <c r="BU39" i="100"/>
  <c r="BU177" i="100"/>
  <c r="BU310" i="100"/>
  <c r="BU202" i="100"/>
  <c r="BU302" i="100"/>
  <c r="BU25" i="100"/>
  <c r="BU13" i="100"/>
  <c r="BU301" i="100"/>
  <c r="BU330" i="100"/>
  <c r="BU297" i="100"/>
  <c r="BU322" i="100"/>
  <c r="BU298" i="100"/>
  <c r="BU165" i="100"/>
  <c r="BU336" i="100"/>
  <c r="BU198" i="100"/>
  <c r="BU71" i="100"/>
  <c r="BU65" i="100"/>
  <c r="BU37" i="100"/>
  <c r="BU192" i="100"/>
  <c r="BU159" i="100"/>
  <c r="BU329" i="100"/>
  <c r="BU172" i="100"/>
  <c r="BU8" i="100"/>
  <c r="BU171" i="100"/>
  <c r="BU308" i="100"/>
  <c r="BU293" i="100"/>
  <c r="BU160" i="100"/>
  <c r="BU200" i="100"/>
  <c r="BU32" i="100"/>
  <c r="BU204" i="100"/>
  <c r="BU70" i="100"/>
  <c r="BU334" i="100"/>
  <c r="BU306" i="100"/>
  <c r="BU207" i="100"/>
  <c r="BU66" i="100"/>
  <c r="BU41" i="100"/>
  <c r="BU201" i="100"/>
  <c r="BU69" i="100"/>
  <c r="BU311" i="100"/>
  <c r="BU309" i="100"/>
  <c r="BU184" i="100"/>
  <c r="BU19" i="100"/>
  <c r="BU317" i="100"/>
  <c r="BU314" i="100"/>
  <c r="BU335" i="100"/>
  <c r="BU193" i="100"/>
  <c r="BU161" i="100"/>
  <c r="BU290" i="100"/>
  <c r="BU21" i="100"/>
  <c r="BU72" i="100"/>
  <c r="BU295" i="100"/>
  <c r="BU12" i="100"/>
  <c r="BU307" i="100"/>
  <c r="BU11" i="100"/>
  <c r="BU73" i="100"/>
  <c r="BV7" i="100"/>
  <c r="BU9" i="100"/>
  <c r="BU183" i="100"/>
  <c r="BU315" i="100"/>
  <c r="BU175" i="100"/>
  <c r="BU188" i="100"/>
  <c r="BU29" i="100"/>
  <c r="BU316" i="100"/>
  <c r="BU18" i="100"/>
  <c r="BU67" i="100"/>
  <c r="BU294" i="100"/>
  <c r="BU33" i="100"/>
  <c r="BU15" i="100"/>
  <c r="BU194" i="100"/>
  <c r="BU28" i="100"/>
  <c r="BU170" i="100"/>
  <c r="BU17" i="100"/>
  <c r="BU186" i="100"/>
  <c r="BU76" i="100"/>
  <c r="BU333" i="100"/>
  <c r="BU337" i="100"/>
  <c r="BU196" i="100"/>
  <c r="BU328" i="100"/>
  <c r="BU323" i="100"/>
  <c r="BU304" i="100"/>
  <c r="BU325" i="100"/>
  <c r="BU292" i="100"/>
  <c r="BU176" i="100"/>
  <c r="BU31" i="100"/>
  <c r="BU185" i="100"/>
  <c r="BU43" i="100"/>
  <c r="BU30" i="100"/>
  <c r="BU300" i="100"/>
  <c r="BU305" i="100"/>
  <c r="BU288" i="100"/>
  <c r="BU296" i="100"/>
  <c r="BU162" i="100"/>
  <c r="BU203" i="100"/>
  <c r="BU289" i="100"/>
  <c r="BU34" i="100"/>
  <c r="BU166" i="100"/>
  <c r="BU327" i="100"/>
  <c r="BU75" i="100"/>
  <c r="BU331" i="100"/>
  <c r="BU326" i="100"/>
  <c r="BU38" i="100"/>
  <c r="BU187" i="100"/>
  <c r="BU164" i="100"/>
  <c r="BU174" i="100"/>
  <c r="BU42" i="100"/>
  <c r="BU24" i="100"/>
  <c r="BU206" i="100"/>
  <c r="BU321" i="100"/>
  <c r="BU64" i="100"/>
  <c r="BU318" i="100"/>
  <c r="BU324" i="100"/>
  <c r="BU190" i="100"/>
  <c r="BU14" i="100"/>
  <c r="BU10" i="100"/>
  <c r="BU291" i="100"/>
  <c r="BU35" i="100"/>
  <c r="BU303" i="100"/>
  <c r="BU313" i="100"/>
  <c r="BU22" i="100"/>
  <c r="BU320" i="100"/>
  <c r="BU77" i="100"/>
  <c r="BU299" i="100"/>
  <c r="BU180" i="100"/>
  <c r="BU20" i="100"/>
  <c r="FS287" i="100"/>
  <c r="FR338" i="100"/>
  <c r="BV46" i="100" l="1"/>
  <c r="BV59" i="100"/>
  <c r="BV63" i="100"/>
  <c r="BV51" i="100"/>
  <c r="BV44" i="100"/>
  <c r="BV62" i="100"/>
  <c r="BV49" i="100"/>
  <c r="BV48" i="100"/>
  <c r="BV53" i="100"/>
  <c r="BV57" i="100"/>
  <c r="BV54" i="100"/>
  <c r="BV58" i="100"/>
  <c r="BV55" i="100"/>
  <c r="BV47" i="100"/>
  <c r="BV61" i="100"/>
  <c r="BV52" i="100"/>
  <c r="BV45" i="100"/>
  <c r="BV56" i="100"/>
  <c r="BV60" i="100"/>
  <c r="BV50" i="100"/>
  <c r="AK42" i="100"/>
  <c r="IK43" i="100"/>
  <c r="IK44" i="100" s="1"/>
  <c r="IK45" i="100" s="1"/>
  <c r="IK46" i="100" s="1"/>
  <c r="IK47" i="100" s="1"/>
  <c r="IK48" i="100" s="1"/>
  <c r="IK49" i="100" s="1"/>
  <c r="IK50" i="100" s="1"/>
  <c r="IK51" i="100" s="1"/>
  <c r="IK52" i="100" s="1"/>
  <c r="IK53" i="100" s="1"/>
  <c r="IK54" i="100" s="1"/>
  <c r="IK55" i="100" s="1"/>
  <c r="IK56" i="100" s="1"/>
  <c r="IK57" i="100" s="1"/>
  <c r="IK58" i="100" s="1"/>
  <c r="IK59" i="100" s="1"/>
  <c r="IK60" i="100" s="1"/>
  <c r="IK61" i="100" s="1"/>
  <c r="IK62" i="100" s="1"/>
  <c r="IK63" i="100" s="1"/>
  <c r="IK64" i="100" s="1"/>
  <c r="IK65" i="100" s="1"/>
  <c r="IK66" i="100" s="1"/>
  <c r="IK67" i="100" s="1"/>
  <c r="IK68" i="100" s="1"/>
  <c r="IK69" i="100" s="1"/>
  <c r="IK70" i="100" s="1"/>
  <c r="IK71" i="100" s="1"/>
  <c r="IK72" i="100" s="1"/>
  <c r="IK73" i="100" s="1"/>
  <c r="IK74" i="100" s="1"/>
  <c r="IK75" i="100" s="1"/>
  <c r="IK76" i="100" s="1"/>
  <c r="IK77" i="100" s="1"/>
  <c r="BU339" i="100"/>
  <c r="BU209" i="100"/>
  <c r="BU79" i="100"/>
  <c r="BU78" i="100" s="1"/>
  <c r="FT287" i="100"/>
  <c r="FS338" i="100"/>
  <c r="BV182" i="100"/>
  <c r="BV291" i="100"/>
  <c r="BV300" i="100"/>
  <c r="BV40" i="100"/>
  <c r="BV178" i="100"/>
  <c r="BV319" i="100"/>
  <c r="BV309" i="100"/>
  <c r="BV320" i="100"/>
  <c r="BV184" i="100"/>
  <c r="BV297" i="100"/>
  <c r="BV193" i="100"/>
  <c r="BV177" i="100"/>
  <c r="BV20" i="100"/>
  <c r="BV68" i="100"/>
  <c r="BV171" i="100"/>
  <c r="BV163" i="100"/>
  <c r="BV160" i="100"/>
  <c r="BV33" i="100"/>
  <c r="BV77" i="100"/>
  <c r="BV41" i="100"/>
  <c r="BV205" i="100"/>
  <c r="BV26" i="100"/>
  <c r="BV308" i="100"/>
  <c r="BV27" i="100"/>
  <c r="BV301" i="100"/>
  <c r="BV195" i="100"/>
  <c r="BV11" i="100"/>
  <c r="BV32" i="100"/>
  <c r="BV185" i="100"/>
  <c r="BV206" i="100"/>
  <c r="BV69" i="100"/>
  <c r="BV42" i="100"/>
  <c r="BV76" i="100"/>
  <c r="BV202" i="100"/>
  <c r="BV304" i="100"/>
  <c r="BV330" i="100"/>
  <c r="BV39" i="100"/>
  <c r="BV165" i="100"/>
  <c r="BV180" i="100"/>
  <c r="BV313" i="100"/>
  <c r="BV200" i="100"/>
  <c r="BV173" i="100"/>
  <c r="BV312" i="100"/>
  <c r="BV74" i="100"/>
  <c r="BV34" i="100"/>
  <c r="BV315" i="100"/>
  <c r="BV43" i="100"/>
  <c r="BV36" i="100"/>
  <c r="BV67" i="100"/>
  <c r="BV65" i="100"/>
  <c r="BV204" i="100"/>
  <c r="BV197" i="100"/>
  <c r="BV307" i="100"/>
  <c r="BV66" i="100"/>
  <c r="BV295" i="100"/>
  <c r="BV201" i="100"/>
  <c r="BV71" i="100"/>
  <c r="BV31" i="100"/>
  <c r="BV311" i="100"/>
  <c r="BV19" i="100"/>
  <c r="BV334" i="100"/>
  <c r="BV190" i="100"/>
  <c r="BV310" i="100"/>
  <c r="BV35" i="100"/>
  <c r="BV17" i="100"/>
  <c r="BV321" i="100"/>
  <c r="BV322" i="100"/>
  <c r="BV183" i="100"/>
  <c r="BV325" i="100"/>
  <c r="BV296" i="100"/>
  <c r="BV328" i="100"/>
  <c r="BV168" i="100"/>
  <c r="BV30" i="100"/>
  <c r="BV336" i="100"/>
  <c r="BV181" i="100"/>
  <c r="BW7" i="100"/>
  <c r="BV169" i="100"/>
  <c r="BV12" i="100"/>
  <c r="BV22" i="100"/>
  <c r="BV335" i="100"/>
  <c r="BV10" i="100"/>
  <c r="BV176" i="100"/>
  <c r="BV159" i="100"/>
  <c r="BV298" i="100"/>
  <c r="BV162" i="100"/>
  <c r="BV327" i="100"/>
  <c r="BV179" i="100"/>
  <c r="BV192" i="100"/>
  <c r="BV15" i="100"/>
  <c r="BV326" i="100"/>
  <c r="BV167" i="100"/>
  <c r="BV198" i="100"/>
  <c r="BV187" i="100"/>
  <c r="BV175" i="100"/>
  <c r="BV332" i="100"/>
  <c r="BV8" i="100"/>
  <c r="BV337" i="100"/>
  <c r="BV189" i="100"/>
  <c r="BV292" i="100"/>
  <c r="BV75" i="100"/>
  <c r="BV191" i="100"/>
  <c r="BV299" i="100"/>
  <c r="BV72" i="100"/>
  <c r="BV294" i="100"/>
  <c r="BV288" i="100"/>
  <c r="BV24" i="100"/>
  <c r="BV188" i="100"/>
  <c r="BV9" i="100"/>
  <c r="BV164" i="100"/>
  <c r="BV318" i="100"/>
  <c r="BV73" i="100"/>
  <c r="BV331" i="100"/>
  <c r="BV203" i="100"/>
  <c r="BV302" i="100"/>
  <c r="BV23" i="100"/>
  <c r="BV290" i="100"/>
  <c r="BV29" i="100"/>
  <c r="BV25" i="100"/>
  <c r="BV14" i="100"/>
  <c r="BV303" i="100"/>
  <c r="BV314" i="100"/>
  <c r="BV305" i="100"/>
  <c r="BV207" i="100"/>
  <c r="BV172" i="100"/>
  <c r="BV70" i="100"/>
  <c r="BV317" i="100"/>
  <c r="BV64" i="100"/>
  <c r="BV306" i="100"/>
  <c r="BV158" i="100"/>
  <c r="BV316" i="100"/>
  <c r="BV161" i="100"/>
  <c r="BV323" i="100"/>
  <c r="BV293" i="100"/>
  <c r="BV16" i="100"/>
  <c r="BV37" i="100"/>
  <c r="BV199" i="100"/>
  <c r="BV289" i="100"/>
  <c r="BV186" i="100"/>
  <c r="BV13" i="100"/>
  <c r="BV170" i="100"/>
  <c r="BV28" i="100"/>
  <c r="BV174" i="100"/>
  <c r="BV329" i="100"/>
  <c r="BV196" i="100"/>
  <c r="BV166" i="100"/>
  <c r="BV333" i="100"/>
  <c r="BV21" i="100"/>
  <c r="BV194" i="100"/>
  <c r="BV18" i="100"/>
  <c r="BV38" i="100"/>
  <c r="BV324" i="100"/>
  <c r="BW44" i="100" l="1"/>
  <c r="BW62" i="100"/>
  <c r="BW45" i="100"/>
  <c r="BW63" i="100"/>
  <c r="BW53" i="100"/>
  <c r="BW51" i="100"/>
  <c r="BW46" i="100"/>
  <c r="BW49" i="100"/>
  <c r="BW52" i="100"/>
  <c r="BW54" i="100"/>
  <c r="BW61" i="100"/>
  <c r="BW50" i="100"/>
  <c r="BW48" i="100"/>
  <c r="BW57" i="100"/>
  <c r="BW58" i="100"/>
  <c r="BW47" i="100"/>
  <c r="BW60" i="100"/>
  <c r="BW56" i="100"/>
  <c r="BW55" i="100"/>
  <c r="BW59" i="100"/>
  <c r="BV339" i="100"/>
  <c r="BV209" i="100"/>
  <c r="BV79" i="100"/>
  <c r="BV78" i="100" s="1"/>
  <c r="FU287" i="100"/>
  <c r="FT338" i="100"/>
  <c r="BW311" i="100"/>
  <c r="BW75" i="100"/>
  <c r="BW189" i="100"/>
  <c r="BW71" i="100"/>
  <c r="BW298" i="100"/>
  <c r="BW14" i="100"/>
  <c r="BW160" i="100"/>
  <c r="BW169" i="100"/>
  <c r="BW309" i="100"/>
  <c r="BW185" i="100"/>
  <c r="BW76" i="100"/>
  <c r="BW33" i="100"/>
  <c r="BW72" i="100"/>
  <c r="BW199" i="100"/>
  <c r="BW330" i="100"/>
  <c r="BW10" i="100"/>
  <c r="BW333" i="100"/>
  <c r="BW21" i="100"/>
  <c r="BW186" i="100"/>
  <c r="BW327" i="100"/>
  <c r="BW292" i="100"/>
  <c r="BW31" i="100"/>
  <c r="BW15" i="100"/>
  <c r="BW295" i="100"/>
  <c r="BW34" i="100"/>
  <c r="BW19" i="100"/>
  <c r="BW182" i="100"/>
  <c r="BW28" i="100"/>
  <c r="BW332" i="100"/>
  <c r="BW158" i="100"/>
  <c r="BW181" i="100"/>
  <c r="BW17" i="100"/>
  <c r="BW67" i="100"/>
  <c r="BW35" i="100"/>
  <c r="BW290" i="100"/>
  <c r="BW161" i="100"/>
  <c r="BW191" i="100"/>
  <c r="BW65" i="100"/>
  <c r="BW334" i="100"/>
  <c r="BW305" i="100"/>
  <c r="BW203" i="100"/>
  <c r="BW24" i="100"/>
  <c r="BW42" i="100"/>
  <c r="BW335" i="100"/>
  <c r="BW70" i="100"/>
  <c r="BW325" i="100"/>
  <c r="BW12" i="100"/>
  <c r="BW288" i="100"/>
  <c r="BW177" i="100"/>
  <c r="BW337" i="100"/>
  <c r="BW69" i="100"/>
  <c r="BW178" i="100"/>
  <c r="BW293" i="100"/>
  <c r="BW188" i="100"/>
  <c r="BW314" i="100"/>
  <c r="BW204" i="100"/>
  <c r="BW304" i="100"/>
  <c r="BW27" i="100"/>
  <c r="BW167" i="100"/>
  <c r="BW313" i="100"/>
  <c r="BW43" i="100"/>
  <c r="BW296" i="100"/>
  <c r="BW321" i="100"/>
  <c r="BW320" i="100"/>
  <c r="BW319" i="100"/>
  <c r="BW20" i="100"/>
  <c r="BW303" i="100"/>
  <c r="BW289" i="100"/>
  <c r="BW197" i="100"/>
  <c r="BW18" i="100"/>
  <c r="BW166" i="100"/>
  <c r="BW9" i="100"/>
  <c r="BW326" i="100"/>
  <c r="BW38" i="100"/>
  <c r="BW159" i="100"/>
  <c r="BW176" i="100"/>
  <c r="BW323" i="100"/>
  <c r="BW294" i="100"/>
  <c r="BW66" i="100"/>
  <c r="BW318" i="100"/>
  <c r="BW173" i="100"/>
  <c r="BW165" i="100"/>
  <c r="BW180" i="100"/>
  <c r="BW302" i="100"/>
  <c r="BW336" i="100"/>
  <c r="BW324" i="100"/>
  <c r="BW187" i="100"/>
  <c r="BX7" i="100"/>
  <c r="BW310" i="100"/>
  <c r="BW306" i="100"/>
  <c r="BW205" i="100"/>
  <c r="BW198" i="100"/>
  <c r="BW171" i="100"/>
  <c r="BW328" i="100"/>
  <c r="BW299" i="100"/>
  <c r="BW40" i="100"/>
  <c r="BW207" i="100"/>
  <c r="BW23" i="100"/>
  <c r="BW36" i="100"/>
  <c r="BW190" i="100"/>
  <c r="BW162" i="100"/>
  <c r="BW331" i="100"/>
  <c r="BW317" i="100"/>
  <c r="BW170" i="100"/>
  <c r="BW64" i="100"/>
  <c r="BW164" i="100"/>
  <c r="BW179" i="100"/>
  <c r="BW195" i="100"/>
  <c r="BW26" i="100"/>
  <c r="BW300" i="100"/>
  <c r="BW307" i="100"/>
  <c r="BW329" i="100"/>
  <c r="BW315" i="100"/>
  <c r="BW308" i="100"/>
  <c r="BW174" i="100"/>
  <c r="BW74" i="100"/>
  <c r="BW22" i="100"/>
  <c r="BW8" i="100"/>
  <c r="BW13" i="100"/>
  <c r="BW37" i="100"/>
  <c r="BW201" i="100"/>
  <c r="BW322" i="100"/>
  <c r="BW297" i="100"/>
  <c r="BW183" i="100"/>
  <c r="BW193" i="100"/>
  <c r="BW196" i="100"/>
  <c r="BW32" i="100"/>
  <c r="BW184" i="100"/>
  <c r="BW192" i="100"/>
  <c r="BW16" i="100"/>
  <c r="BW77" i="100"/>
  <c r="BW206" i="100"/>
  <c r="BW11" i="100"/>
  <c r="BW30" i="100"/>
  <c r="BW312" i="100"/>
  <c r="BW68" i="100"/>
  <c r="BW202" i="100"/>
  <c r="BW291" i="100"/>
  <c r="BW172" i="100"/>
  <c r="BW175" i="100"/>
  <c r="BW25" i="100"/>
  <c r="BW194" i="100"/>
  <c r="BW73" i="100"/>
  <c r="BW41" i="100"/>
  <c r="BW301" i="100"/>
  <c r="BW163" i="100"/>
  <c r="BW200" i="100"/>
  <c r="BW29" i="100"/>
  <c r="BW39" i="100"/>
  <c r="BW316" i="100"/>
  <c r="BW168" i="100"/>
  <c r="BX46" i="100" l="1"/>
  <c r="BX44" i="100"/>
  <c r="BX51" i="100"/>
  <c r="BX63" i="100"/>
  <c r="BX62" i="100"/>
  <c r="BX48" i="100"/>
  <c r="BX47" i="100"/>
  <c r="BX55" i="100"/>
  <c r="BX59" i="100"/>
  <c r="BX49" i="100"/>
  <c r="BX61" i="100"/>
  <c r="BX58" i="100"/>
  <c r="BX54" i="100"/>
  <c r="BX56" i="100"/>
  <c r="BX53" i="100"/>
  <c r="BX57" i="100"/>
  <c r="BX52" i="100"/>
  <c r="BX45" i="100"/>
  <c r="BX60" i="100"/>
  <c r="BX50" i="100"/>
  <c r="BW79" i="100"/>
  <c r="BW78" i="100" s="1"/>
  <c r="BW209" i="100"/>
  <c r="BW339" i="100"/>
  <c r="BX193" i="100"/>
  <c r="BX34" i="100"/>
  <c r="BX70" i="100"/>
  <c r="BX308" i="100"/>
  <c r="BX317" i="100"/>
  <c r="BX71" i="100"/>
  <c r="BX330" i="100"/>
  <c r="BX35" i="100"/>
  <c r="BX204" i="100"/>
  <c r="BX192" i="100"/>
  <c r="BX300" i="100"/>
  <c r="BX161" i="100"/>
  <c r="BX320" i="100"/>
  <c r="BX190" i="100"/>
  <c r="BX293" i="100"/>
  <c r="BX189" i="100"/>
  <c r="BX313" i="100"/>
  <c r="BX296" i="100"/>
  <c r="BX202" i="100"/>
  <c r="BX163" i="100"/>
  <c r="BX23" i="100"/>
  <c r="BX315" i="100"/>
  <c r="BX42" i="100"/>
  <c r="BX19" i="100"/>
  <c r="BY7" i="100"/>
  <c r="BX200" i="100"/>
  <c r="BX294" i="100"/>
  <c r="BX199" i="100"/>
  <c r="BX68" i="100"/>
  <c r="BX198" i="100"/>
  <c r="BX180" i="100"/>
  <c r="BX327" i="100"/>
  <c r="BX170" i="100"/>
  <c r="BX304" i="100"/>
  <c r="BX196" i="100"/>
  <c r="BX29" i="100"/>
  <c r="BX184" i="100"/>
  <c r="BX321" i="100"/>
  <c r="BX159" i="100"/>
  <c r="BX194" i="100"/>
  <c r="BX166" i="100"/>
  <c r="BX301" i="100"/>
  <c r="BX195" i="100"/>
  <c r="BX167" i="100"/>
  <c r="BX309" i="100"/>
  <c r="BX334" i="100"/>
  <c r="BX289" i="100"/>
  <c r="BX201" i="100"/>
  <c r="BX310" i="100"/>
  <c r="BX25" i="100"/>
  <c r="BX183" i="100"/>
  <c r="BX186" i="100"/>
  <c r="BX24" i="100"/>
  <c r="BX76" i="100"/>
  <c r="BX67" i="100"/>
  <c r="BX173" i="100"/>
  <c r="BX295" i="100"/>
  <c r="BX297" i="100"/>
  <c r="BX40" i="100"/>
  <c r="BX175" i="100"/>
  <c r="BX66" i="100"/>
  <c r="BX27" i="100"/>
  <c r="BX182" i="100"/>
  <c r="BX302" i="100"/>
  <c r="BX168" i="100"/>
  <c r="BX26" i="100"/>
  <c r="BX207" i="100"/>
  <c r="BX11" i="100"/>
  <c r="BX335" i="100"/>
  <c r="BX316" i="100"/>
  <c r="BX203" i="100"/>
  <c r="BX187" i="100"/>
  <c r="BX33" i="100"/>
  <c r="BX188" i="100"/>
  <c r="BX15" i="100"/>
  <c r="BX288" i="100"/>
  <c r="BX331" i="100"/>
  <c r="BX290" i="100"/>
  <c r="BX329" i="100"/>
  <c r="BX38" i="100"/>
  <c r="BX314" i="100"/>
  <c r="BX69" i="100"/>
  <c r="BX74" i="100"/>
  <c r="BX307" i="100"/>
  <c r="BX291" i="100"/>
  <c r="BX328" i="100"/>
  <c r="BX322" i="100"/>
  <c r="BX32" i="100"/>
  <c r="BX191" i="100"/>
  <c r="BX20" i="100"/>
  <c r="BX77" i="100"/>
  <c r="BX318" i="100"/>
  <c r="BX178" i="100"/>
  <c r="BX165" i="100"/>
  <c r="BX158" i="100"/>
  <c r="BX17" i="100"/>
  <c r="BX21" i="100"/>
  <c r="BX325" i="100"/>
  <c r="BX16" i="100"/>
  <c r="BX31" i="100"/>
  <c r="BX164" i="100"/>
  <c r="BX319" i="100"/>
  <c r="BX333" i="100"/>
  <c r="BX73" i="100"/>
  <c r="BX337" i="100"/>
  <c r="BX306" i="100"/>
  <c r="BX39" i="100"/>
  <c r="BX43" i="100"/>
  <c r="BX8" i="100"/>
  <c r="BX169" i="100"/>
  <c r="BX205" i="100"/>
  <c r="BX336" i="100"/>
  <c r="BX323" i="100"/>
  <c r="BX13" i="100"/>
  <c r="BX30" i="100"/>
  <c r="BX64" i="100"/>
  <c r="BX312" i="100"/>
  <c r="BX332" i="100"/>
  <c r="BX299" i="100"/>
  <c r="BX298" i="100"/>
  <c r="BX160" i="100"/>
  <c r="BX181" i="100"/>
  <c r="BX65" i="100"/>
  <c r="BX14" i="100"/>
  <c r="BX12" i="100"/>
  <c r="BX28" i="100"/>
  <c r="BX303" i="100"/>
  <c r="BX9" i="100"/>
  <c r="BX41" i="100"/>
  <c r="BX162" i="100"/>
  <c r="BX174" i="100"/>
  <c r="BX37" i="100"/>
  <c r="BX171" i="100"/>
  <c r="BX176" i="100"/>
  <c r="BX18" i="100"/>
  <c r="BX177" i="100"/>
  <c r="BX197" i="100"/>
  <c r="BX292" i="100"/>
  <c r="BX179" i="100"/>
  <c r="BX72" i="100"/>
  <c r="BX10" i="100"/>
  <c r="BX326" i="100"/>
  <c r="BX36" i="100"/>
  <c r="BX185" i="100"/>
  <c r="BX172" i="100"/>
  <c r="BX324" i="100"/>
  <c r="BX206" i="100"/>
  <c r="BX311" i="100"/>
  <c r="BX22" i="100"/>
  <c r="BX305" i="100"/>
  <c r="BX75" i="100"/>
  <c r="FV287" i="100"/>
  <c r="FU338" i="100"/>
  <c r="BY62" i="100" l="1"/>
  <c r="BY46" i="100"/>
  <c r="BY44" i="100"/>
  <c r="BY63" i="100"/>
  <c r="BY49" i="100"/>
  <c r="BY58" i="100"/>
  <c r="BY55" i="100"/>
  <c r="BY54" i="100"/>
  <c r="BY56" i="100"/>
  <c r="BY61" i="100"/>
  <c r="BY51" i="100"/>
  <c r="BY45" i="100"/>
  <c r="BY59" i="100"/>
  <c r="BY53" i="100"/>
  <c r="BY60" i="100"/>
  <c r="BY52" i="100"/>
  <c r="BY48" i="100"/>
  <c r="BY57" i="100"/>
  <c r="BY50" i="100"/>
  <c r="BY47" i="100"/>
  <c r="BX339" i="100"/>
  <c r="BX79" i="100"/>
  <c r="BX78" i="100" s="1"/>
  <c r="BX209" i="100"/>
  <c r="FW287" i="100"/>
  <c r="FV338" i="100"/>
  <c r="BY206" i="100"/>
  <c r="BY36" i="100"/>
  <c r="BY71" i="100"/>
  <c r="BY69" i="100"/>
  <c r="BY303" i="100"/>
  <c r="BY200" i="100"/>
  <c r="BY16" i="100"/>
  <c r="BY329" i="100"/>
  <c r="BY39" i="100"/>
  <c r="BY31" i="100"/>
  <c r="BY192" i="100"/>
  <c r="BY68" i="100"/>
  <c r="BY189" i="100"/>
  <c r="BY168" i="100"/>
  <c r="BY169" i="100"/>
  <c r="BY8" i="100"/>
  <c r="BY43" i="100"/>
  <c r="BY66" i="100"/>
  <c r="BY306" i="100"/>
  <c r="BY74" i="100"/>
  <c r="BY19" i="100"/>
  <c r="BY21" i="100"/>
  <c r="BY319" i="100"/>
  <c r="BY163" i="100"/>
  <c r="BY166" i="100"/>
  <c r="BY34" i="100"/>
  <c r="BY295" i="100"/>
  <c r="BY320" i="100"/>
  <c r="BY193" i="100"/>
  <c r="BY28" i="100"/>
  <c r="BY203" i="100"/>
  <c r="BY309" i="100"/>
  <c r="BY179" i="100"/>
  <c r="BY165" i="100"/>
  <c r="BY196" i="100"/>
  <c r="BY181" i="100"/>
  <c r="BY294" i="100"/>
  <c r="BY176" i="100"/>
  <c r="BY186" i="100"/>
  <c r="BY77" i="100"/>
  <c r="BY183" i="100"/>
  <c r="BY324" i="100"/>
  <c r="BY9" i="100"/>
  <c r="BY14" i="100"/>
  <c r="BY337" i="100"/>
  <c r="BY75" i="100"/>
  <c r="BY12" i="100"/>
  <c r="BY172" i="100"/>
  <c r="BY331" i="100"/>
  <c r="BY300" i="100"/>
  <c r="BY187" i="100"/>
  <c r="BY297" i="100"/>
  <c r="BY304" i="100"/>
  <c r="BY312" i="100"/>
  <c r="BZ7" i="100"/>
  <c r="BY207" i="100"/>
  <c r="BY23" i="100"/>
  <c r="BY13" i="100"/>
  <c r="BY199" i="100"/>
  <c r="BY321" i="100"/>
  <c r="BY158" i="100"/>
  <c r="BY190" i="100"/>
  <c r="BY175" i="100"/>
  <c r="BY292" i="100"/>
  <c r="BY197" i="100"/>
  <c r="BY22" i="100"/>
  <c r="BY323" i="100"/>
  <c r="BY316" i="100"/>
  <c r="BY164" i="100"/>
  <c r="BY291" i="100"/>
  <c r="BY72" i="100"/>
  <c r="BY20" i="100"/>
  <c r="BY32" i="100"/>
  <c r="BY29" i="100"/>
  <c r="BY33" i="100"/>
  <c r="BY198" i="100"/>
  <c r="BY170" i="100"/>
  <c r="BY305" i="100"/>
  <c r="BY310" i="100"/>
  <c r="BY160" i="100"/>
  <c r="BY204" i="100"/>
  <c r="BY296" i="100"/>
  <c r="BY184" i="100"/>
  <c r="BY315" i="100"/>
  <c r="BY314" i="100"/>
  <c r="BY65" i="100"/>
  <c r="BY167" i="100"/>
  <c r="BY17" i="100"/>
  <c r="BY288" i="100"/>
  <c r="BY289" i="100"/>
  <c r="BY325" i="100"/>
  <c r="BY64" i="100"/>
  <c r="BY205" i="100"/>
  <c r="BY335" i="100"/>
  <c r="BY307" i="100"/>
  <c r="BY73" i="100"/>
  <c r="BY201" i="100"/>
  <c r="BY188" i="100"/>
  <c r="BY18" i="100"/>
  <c r="BY15" i="100"/>
  <c r="BY177" i="100"/>
  <c r="BY311" i="100"/>
  <c r="BY161" i="100"/>
  <c r="BY194" i="100"/>
  <c r="BY195" i="100"/>
  <c r="BY301" i="100"/>
  <c r="BY182" i="100"/>
  <c r="BY328" i="100"/>
  <c r="BY11" i="100"/>
  <c r="BY178" i="100"/>
  <c r="BY38" i="100"/>
  <c r="BY174" i="100"/>
  <c r="BY191" i="100"/>
  <c r="BY180" i="100"/>
  <c r="BY25" i="100"/>
  <c r="BY322" i="100"/>
  <c r="BY24" i="100"/>
  <c r="BY334" i="100"/>
  <c r="BY330" i="100"/>
  <c r="BY40" i="100"/>
  <c r="BY171" i="100"/>
  <c r="BY290" i="100"/>
  <c r="BY42" i="100"/>
  <c r="BY298" i="100"/>
  <c r="BY318" i="100"/>
  <c r="BY41" i="100"/>
  <c r="BY30" i="100"/>
  <c r="BY185" i="100"/>
  <c r="BY76" i="100"/>
  <c r="BY27" i="100"/>
  <c r="BY35" i="100"/>
  <c r="BY308" i="100"/>
  <c r="BY317" i="100"/>
  <c r="BY67" i="100"/>
  <c r="BY293" i="100"/>
  <c r="BY159" i="100"/>
  <c r="BY336" i="100"/>
  <c r="BY70" i="100"/>
  <c r="BY202" i="100"/>
  <c r="BY173" i="100"/>
  <c r="BY162" i="100"/>
  <c r="BY313" i="100"/>
  <c r="BY326" i="100"/>
  <c r="BY26" i="100"/>
  <c r="BY302" i="100"/>
  <c r="BY299" i="100"/>
  <c r="BY332" i="100"/>
  <c r="BY333" i="100"/>
  <c r="BY37" i="100"/>
  <c r="BY10" i="100"/>
  <c r="BY327" i="100"/>
  <c r="BZ45" i="100" l="1"/>
  <c r="BZ51" i="100"/>
  <c r="BZ62" i="100"/>
  <c r="BZ63" i="100"/>
  <c r="BZ44" i="100"/>
  <c r="BZ61" i="100"/>
  <c r="BZ57" i="100"/>
  <c r="BZ46" i="100"/>
  <c r="BZ48" i="100"/>
  <c r="BZ54" i="100"/>
  <c r="BZ55" i="100"/>
  <c r="BZ59" i="100"/>
  <c r="BZ49" i="100"/>
  <c r="BZ50" i="100"/>
  <c r="BZ47" i="100"/>
  <c r="BZ56" i="100"/>
  <c r="BZ53" i="100"/>
  <c r="BZ60" i="100"/>
  <c r="BZ58" i="100"/>
  <c r="BZ52" i="100"/>
  <c r="BY339" i="100"/>
  <c r="BY79" i="100"/>
  <c r="BY78" i="100" s="1"/>
  <c r="BY209" i="100"/>
  <c r="BZ19" i="100"/>
  <c r="BZ65" i="100"/>
  <c r="BZ161" i="100"/>
  <c r="BZ169" i="100"/>
  <c r="BZ34" i="100"/>
  <c r="BZ321" i="100"/>
  <c r="BZ302" i="100"/>
  <c r="BZ320" i="100"/>
  <c r="BZ308" i="100"/>
  <c r="BZ184" i="100"/>
  <c r="BZ71" i="100"/>
  <c r="BZ178" i="100"/>
  <c r="BZ43" i="100"/>
  <c r="BZ12" i="100"/>
  <c r="BZ29" i="100"/>
  <c r="BZ21" i="100"/>
  <c r="BZ39" i="100"/>
  <c r="BZ30" i="100"/>
  <c r="BZ323" i="100"/>
  <c r="BZ163" i="100"/>
  <c r="BZ24" i="100"/>
  <c r="BZ207" i="100"/>
  <c r="BZ334" i="100"/>
  <c r="BZ324" i="100"/>
  <c r="BZ289" i="100"/>
  <c r="BZ306" i="100"/>
  <c r="BZ190" i="100"/>
  <c r="BZ312" i="100"/>
  <c r="BZ40" i="100"/>
  <c r="BZ73" i="100"/>
  <c r="BZ197" i="100"/>
  <c r="BZ173" i="100"/>
  <c r="BZ310" i="100"/>
  <c r="BZ10" i="100"/>
  <c r="BZ182" i="100"/>
  <c r="BZ296" i="100"/>
  <c r="BZ327" i="100"/>
  <c r="BZ77" i="100"/>
  <c r="BZ300" i="100"/>
  <c r="BZ33" i="100"/>
  <c r="BZ66" i="100"/>
  <c r="BZ74" i="100"/>
  <c r="BZ68" i="100"/>
  <c r="BZ28" i="100"/>
  <c r="BZ319" i="100"/>
  <c r="BZ295" i="100"/>
  <c r="BZ13" i="100"/>
  <c r="BZ298" i="100"/>
  <c r="BZ192" i="100"/>
  <c r="BZ196" i="100"/>
  <c r="BZ288" i="100"/>
  <c r="BZ188" i="100"/>
  <c r="BZ164" i="100"/>
  <c r="BZ23" i="100"/>
  <c r="BZ26" i="100"/>
  <c r="BZ175" i="100"/>
  <c r="BZ199" i="100"/>
  <c r="BZ25" i="100"/>
  <c r="BZ172" i="100"/>
  <c r="BZ191" i="100"/>
  <c r="BZ331" i="100"/>
  <c r="BZ337" i="100"/>
  <c r="BZ333" i="100"/>
  <c r="BZ202" i="100"/>
  <c r="BZ37" i="100"/>
  <c r="BZ297" i="100"/>
  <c r="BZ194" i="100"/>
  <c r="BZ70" i="100"/>
  <c r="BZ64" i="100"/>
  <c r="BZ167" i="100"/>
  <c r="BZ301" i="100"/>
  <c r="BZ206" i="100"/>
  <c r="BZ291" i="100"/>
  <c r="BZ22" i="100"/>
  <c r="BZ17" i="100"/>
  <c r="BZ20" i="100"/>
  <c r="BZ318" i="100"/>
  <c r="BZ35" i="100"/>
  <c r="BZ168" i="100"/>
  <c r="BZ336" i="100"/>
  <c r="BZ293" i="100"/>
  <c r="BZ204" i="100"/>
  <c r="BZ31" i="100"/>
  <c r="BZ309" i="100"/>
  <c r="BZ186" i="100"/>
  <c r="BZ303" i="100"/>
  <c r="BZ76" i="100"/>
  <c r="BZ162" i="100"/>
  <c r="BZ311" i="100"/>
  <c r="BZ335" i="100"/>
  <c r="BZ183" i="100"/>
  <c r="BZ185" i="100"/>
  <c r="BZ292" i="100"/>
  <c r="BZ69" i="100"/>
  <c r="BZ195" i="100"/>
  <c r="BZ18" i="100"/>
  <c r="BZ67" i="100"/>
  <c r="BZ177" i="100"/>
  <c r="BZ315" i="100"/>
  <c r="BZ329" i="100"/>
  <c r="BZ299" i="100"/>
  <c r="BZ72" i="100"/>
  <c r="BZ171" i="100"/>
  <c r="BZ36" i="100"/>
  <c r="BZ174" i="100"/>
  <c r="BZ160" i="100"/>
  <c r="BZ317" i="100"/>
  <c r="BZ193" i="100"/>
  <c r="BZ325" i="100"/>
  <c r="BZ314" i="100"/>
  <c r="BZ158" i="100"/>
  <c r="BZ11" i="100"/>
  <c r="BZ9" i="100"/>
  <c r="BZ305" i="100"/>
  <c r="BZ187" i="100"/>
  <c r="BZ159" i="100"/>
  <c r="BZ179" i="100"/>
  <c r="BZ14" i="100"/>
  <c r="BZ165" i="100"/>
  <c r="BZ290" i="100"/>
  <c r="BZ16" i="100"/>
  <c r="BZ189" i="100"/>
  <c r="BZ326" i="100"/>
  <c r="CA7" i="100"/>
  <c r="BZ200" i="100"/>
  <c r="BZ307" i="100"/>
  <c r="BZ330" i="100"/>
  <c r="BZ41" i="100"/>
  <c r="BZ313" i="100"/>
  <c r="BZ181" i="100"/>
  <c r="BZ205" i="100"/>
  <c r="BZ170" i="100"/>
  <c r="BZ180" i="100"/>
  <c r="BZ203" i="100"/>
  <c r="BZ27" i="100"/>
  <c r="BZ328" i="100"/>
  <c r="BZ322" i="100"/>
  <c r="BZ176" i="100"/>
  <c r="BZ294" i="100"/>
  <c r="BZ201" i="100"/>
  <c r="BZ42" i="100"/>
  <c r="BZ304" i="100"/>
  <c r="BZ8" i="100"/>
  <c r="BZ332" i="100"/>
  <c r="BZ316" i="100"/>
  <c r="BZ15" i="100"/>
  <c r="BZ198" i="100"/>
  <c r="BZ38" i="100"/>
  <c r="BZ166" i="100"/>
  <c r="BZ32" i="100"/>
  <c r="BZ75" i="100"/>
  <c r="FX287" i="100"/>
  <c r="FW338" i="100"/>
  <c r="CA45" i="100" l="1"/>
  <c r="CA44" i="100"/>
  <c r="CA59" i="100"/>
  <c r="CA62" i="100"/>
  <c r="CA46" i="100"/>
  <c r="CA63" i="100"/>
  <c r="CA47" i="100"/>
  <c r="CA54" i="100"/>
  <c r="CA51" i="100"/>
  <c r="CA50" i="100"/>
  <c r="CA53" i="100"/>
  <c r="CA48" i="100"/>
  <c r="CA56" i="100"/>
  <c r="CA58" i="100"/>
  <c r="CA52" i="100"/>
  <c r="CA49" i="100"/>
  <c r="CA61" i="100"/>
  <c r="CA55" i="100"/>
  <c r="CA60" i="100"/>
  <c r="CA57" i="100"/>
  <c r="BZ209" i="100"/>
  <c r="BZ339" i="100"/>
  <c r="BZ79" i="100"/>
  <c r="BZ78" i="100" s="1"/>
  <c r="CA40" i="100"/>
  <c r="CA25" i="100"/>
  <c r="CA27" i="100"/>
  <c r="CA320" i="100"/>
  <c r="CA291" i="100"/>
  <c r="CA170" i="100"/>
  <c r="CA327" i="100"/>
  <c r="CA14" i="100"/>
  <c r="CA328" i="100"/>
  <c r="CB7" i="100"/>
  <c r="CA306" i="100"/>
  <c r="CA309" i="100"/>
  <c r="CA295" i="100"/>
  <c r="CA159" i="100"/>
  <c r="CA178" i="100"/>
  <c r="CA20" i="100"/>
  <c r="CA317" i="100"/>
  <c r="CA337" i="100"/>
  <c r="CA71" i="100"/>
  <c r="CA166" i="100"/>
  <c r="CA38" i="100"/>
  <c r="CA29" i="100"/>
  <c r="CA23" i="100"/>
  <c r="CA30" i="100"/>
  <c r="CA186" i="100"/>
  <c r="CA42" i="100"/>
  <c r="CA175" i="100"/>
  <c r="CA190" i="100"/>
  <c r="CA331" i="100"/>
  <c r="CA158" i="100"/>
  <c r="CA168" i="100"/>
  <c r="CA11" i="100"/>
  <c r="CA165" i="100"/>
  <c r="CA26" i="100"/>
  <c r="CA68" i="100"/>
  <c r="CA32" i="100"/>
  <c r="CA207" i="100"/>
  <c r="CA13" i="100"/>
  <c r="CA70" i="100"/>
  <c r="CA319" i="100"/>
  <c r="CA181" i="100"/>
  <c r="CA196" i="100"/>
  <c r="CA180" i="100"/>
  <c r="CA182" i="100"/>
  <c r="CA17" i="100"/>
  <c r="CA314" i="100"/>
  <c r="CA9" i="100"/>
  <c r="CA162" i="100"/>
  <c r="CA326" i="100"/>
  <c r="CA65" i="100"/>
  <c r="CA187" i="100"/>
  <c r="CA73" i="100"/>
  <c r="CA74" i="100"/>
  <c r="CA19" i="100"/>
  <c r="CA204" i="100"/>
  <c r="CA24" i="100"/>
  <c r="CA321" i="100"/>
  <c r="CA206" i="100"/>
  <c r="CA75" i="100"/>
  <c r="CA77" i="100"/>
  <c r="CA12" i="100"/>
  <c r="CA322" i="100"/>
  <c r="CA293" i="100"/>
  <c r="CA177" i="100"/>
  <c r="CA200" i="100"/>
  <c r="CA10" i="100"/>
  <c r="CA184" i="100"/>
  <c r="CA307" i="100"/>
  <c r="CA160" i="100"/>
  <c r="CA299" i="100"/>
  <c r="CA8" i="100"/>
  <c r="CA312" i="100"/>
  <c r="CA174" i="100"/>
  <c r="CA202" i="100"/>
  <c r="CA191" i="100"/>
  <c r="CA35" i="100"/>
  <c r="CA193" i="100"/>
  <c r="CA332" i="100"/>
  <c r="CA192" i="100"/>
  <c r="CA179" i="100"/>
  <c r="CA161" i="100"/>
  <c r="CA185" i="100"/>
  <c r="CA316" i="100"/>
  <c r="CA330" i="100"/>
  <c r="CA36" i="100"/>
  <c r="CA289" i="100"/>
  <c r="CA173" i="100"/>
  <c r="CA33" i="100"/>
  <c r="CA37" i="100"/>
  <c r="CA21" i="100"/>
  <c r="CA169" i="100"/>
  <c r="CA188" i="100"/>
  <c r="CA296" i="100"/>
  <c r="CA163" i="100"/>
  <c r="CA198" i="100"/>
  <c r="CA329" i="100"/>
  <c r="CA297" i="100"/>
  <c r="CA195" i="100"/>
  <c r="CA67" i="100"/>
  <c r="CA335" i="100"/>
  <c r="CA76" i="100"/>
  <c r="CA292" i="100"/>
  <c r="CA28" i="100"/>
  <c r="CA16" i="100"/>
  <c r="CA171" i="100"/>
  <c r="CA189" i="100"/>
  <c r="CA311" i="100"/>
  <c r="CA15" i="100"/>
  <c r="CA43" i="100"/>
  <c r="CA34" i="100"/>
  <c r="CA290" i="100"/>
  <c r="CA41" i="100"/>
  <c r="CA333" i="100"/>
  <c r="CA183" i="100"/>
  <c r="CA18" i="100"/>
  <c r="CA318" i="100"/>
  <c r="CA301" i="100"/>
  <c r="CA304" i="100"/>
  <c r="CA302" i="100"/>
  <c r="CA203" i="100"/>
  <c r="CA308" i="100"/>
  <c r="CA197" i="100"/>
  <c r="CA66" i="100"/>
  <c r="CA69" i="100"/>
  <c r="CA303" i="100"/>
  <c r="CA298" i="100"/>
  <c r="CA176" i="100"/>
  <c r="CA72" i="100"/>
  <c r="CA199" i="100"/>
  <c r="CA336" i="100"/>
  <c r="CA325" i="100"/>
  <c r="CA164" i="100"/>
  <c r="CA194" i="100"/>
  <c r="CA334" i="100"/>
  <c r="CA310" i="100"/>
  <c r="CA305" i="100"/>
  <c r="CA315" i="100"/>
  <c r="CA64" i="100"/>
  <c r="CA300" i="100"/>
  <c r="CA39" i="100"/>
  <c r="CA313" i="100"/>
  <c r="CA167" i="100"/>
  <c r="CA201" i="100"/>
  <c r="CA288" i="100"/>
  <c r="CA324" i="100"/>
  <c r="CA205" i="100"/>
  <c r="CA31" i="100"/>
  <c r="CA172" i="100"/>
  <c r="CA294" i="100"/>
  <c r="CA323" i="100"/>
  <c r="CA22" i="100"/>
  <c r="FY287" i="100"/>
  <c r="FX338" i="100"/>
  <c r="CB63" i="100" l="1"/>
  <c r="CB46" i="100"/>
  <c r="CB62" i="100"/>
  <c r="CB57" i="100"/>
  <c r="CB44" i="100"/>
  <c r="CB58" i="100"/>
  <c r="CB56" i="100"/>
  <c r="CB47" i="100"/>
  <c r="CB60" i="100"/>
  <c r="CB61" i="100"/>
  <c r="CB48" i="100"/>
  <c r="CB50" i="100"/>
  <c r="CB45" i="100"/>
  <c r="CB51" i="100"/>
  <c r="CB52" i="100"/>
  <c r="CB55" i="100"/>
  <c r="CB59" i="100"/>
  <c r="CB54" i="100"/>
  <c r="CB53" i="100"/>
  <c r="CB49" i="100"/>
  <c r="CA209" i="100"/>
  <c r="CA339" i="100"/>
  <c r="CA79" i="100"/>
  <c r="CA78" i="100" s="1"/>
  <c r="CB304" i="100"/>
  <c r="CB64" i="100"/>
  <c r="CB320" i="100"/>
  <c r="CB305" i="100"/>
  <c r="CB199" i="100"/>
  <c r="CB164" i="100"/>
  <c r="CB168" i="100"/>
  <c r="CB325" i="100"/>
  <c r="CB161" i="100"/>
  <c r="CB10" i="100"/>
  <c r="CB182" i="100"/>
  <c r="CB187" i="100"/>
  <c r="CB188" i="100"/>
  <c r="CB317" i="100"/>
  <c r="CB15" i="100"/>
  <c r="CB27" i="100"/>
  <c r="CB179" i="100"/>
  <c r="CB17" i="100"/>
  <c r="CB69" i="100"/>
  <c r="CB207" i="100"/>
  <c r="CB196" i="100"/>
  <c r="CB308" i="100"/>
  <c r="CB298" i="100"/>
  <c r="CB32" i="100"/>
  <c r="CB30" i="100"/>
  <c r="CB186" i="100"/>
  <c r="CB36" i="100"/>
  <c r="CB68" i="100"/>
  <c r="CB307" i="100"/>
  <c r="CB295" i="100"/>
  <c r="CB203" i="100"/>
  <c r="CB25" i="100"/>
  <c r="CB35" i="100"/>
  <c r="CB26" i="100"/>
  <c r="CB76" i="100"/>
  <c r="CB195" i="100"/>
  <c r="CB300" i="100"/>
  <c r="CB327" i="100"/>
  <c r="CB67" i="100"/>
  <c r="CB167" i="100"/>
  <c r="CB13" i="100"/>
  <c r="CB302" i="100"/>
  <c r="CB201" i="100"/>
  <c r="CB20" i="100"/>
  <c r="CB171" i="100"/>
  <c r="CB75" i="100"/>
  <c r="CB16" i="100"/>
  <c r="CB34" i="100"/>
  <c r="CB311" i="100"/>
  <c r="CB18" i="100"/>
  <c r="CB174" i="100"/>
  <c r="CB299" i="100"/>
  <c r="CB191" i="100"/>
  <c r="CB193" i="100"/>
  <c r="CB197" i="100"/>
  <c r="CB181" i="100"/>
  <c r="CB321" i="100"/>
  <c r="CB183" i="100"/>
  <c r="CB322" i="100"/>
  <c r="CB204" i="100"/>
  <c r="CB329" i="100"/>
  <c r="CB185" i="100"/>
  <c r="CB184" i="100"/>
  <c r="CB316" i="100"/>
  <c r="CB336" i="100"/>
  <c r="CB192" i="100"/>
  <c r="CB73" i="100"/>
  <c r="CB194" i="100"/>
  <c r="CC7" i="100"/>
  <c r="CB74" i="100"/>
  <c r="CB297" i="100"/>
  <c r="CB165" i="100"/>
  <c r="CB21" i="100"/>
  <c r="CB324" i="100"/>
  <c r="CB200" i="100"/>
  <c r="CB310" i="100"/>
  <c r="CB326" i="100"/>
  <c r="CB41" i="100"/>
  <c r="CB172" i="100"/>
  <c r="CB206" i="100"/>
  <c r="CB31" i="100"/>
  <c r="CB178" i="100"/>
  <c r="CB289" i="100"/>
  <c r="CB319" i="100"/>
  <c r="CB71" i="100"/>
  <c r="CB314" i="100"/>
  <c r="CB303" i="100"/>
  <c r="CB309" i="100"/>
  <c r="CB42" i="100"/>
  <c r="CB333" i="100"/>
  <c r="CB332" i="100"/>
  <c r="CB23" i="100"/>
  <c r="CB337" i="100"/>
  <c r="CB14" i="100"/>
  <c r="CB312" i="100"/>
  <c r="CB331" i="100"/>
  <c r="CB334" i="100"/>
  <c r="CB175" i="100"/>
  <c r="CB169" i="100"/>
  <c r="CB313" i="100"/>
  <c r="CB180" i="100"/>
  <c r="CB318" i="100"/>
  <c r="CB160" i="100"/>
  <c r="CB37" i="100"/>
  <c r="CB40" i="100"/>
  <c r="CB291" i="100"/>
  <c r="CB11" i="100"/>
  <c r="CB190" i="100"/>
  <c r="CB65" i="100"/>
  <c r="CB202" i="100"/>
  <c r="CB173" i="100"/>
  <c r="CB323" i="100"/>
  <c r="CB12" i="100"/>
  <c r="CB162" i="100"/>
  <c r="CB22" i="100"/>
  <c r="CB189" i="100"/>
  <c r="CB9" i="100"/>
  <c r="CB292" i="100"/>
  <c r="CB330" i="100"/>
  <c r="CB166" i="100"/>
  <c r="CB29" i="100"/>
  <c r="CB198" i="100"/>
  <c r="CB66" i="100"/>
  <c r="CB288" i="100"/>
  <c r="CB70" i="100"/>
  <c r="CB158" i="100"/>
  <c r="CB177" i="100"/>
  <c r="CB24" i="100"/>
  <c r="CB72" i="100"/>
  <c r="CB28" i="100"/>
  <c r="CB33" i="100"/>
  <c r="CB306" i="100"/>
  <c r="CB301" i="100"/>
  <c r="CB43" i="100"/>
  <c r="CB170" i="100"/>
  <c r="CB159" i="100"/>
  <c r="CB315" i="100"/>
  <c r="CB8" i="100"/>
  <c r="CB77" i="100"/>
  <c r="CB176" i="100"/>
  <c r="CB205" i="100"/>
  <c r="CB163" i="100"/>
  <c r="CB328" i="100"/>
  <c r="CB290" i="100"/>
  <c r="CB39" i="100"/>
  <c r="CB296" i="100"/>
  <c r="CB293" i="100"/>
  <c r="CB38" i="100"/>
  <c r="CB294" i="100"/>
  <c r="CB335" i="100"/>
  <c r="CB19" i="100"/>
  <c r="FZ287" i="100"/>
  <c r="FY338" i="100"/>
  <c r="CC46" i="100" l="1"/>
  <c r="CC62" i="100"/>
  <c r="CC63" i="100"/>
  <c r="CC44" i="100"/>
  <c r="CC49" i="100"/>
  <c r="CC50" i="100"/>
  <c r="CC45" i="100"/>
  <c r="CC60" i="100"/>
  <c r="CC54" i="100"/>
  <c r="CC61" i="100"/>
  <c r="CC55" i="100"/>
  <c r="CC48" i="100"/>
  <c r="CC59" i="100"/>
  <c r="CC51" i="100"/>
  <c r="CC56" i="100"/>
  <c r="CC57" i="100"/>
  <c r="CC58" i="100"/>
  <c r="CC52" i="100"/>
  <c r="CC47" i="100"/>
  <c r="CC53" i="100"/>
  <c r="CB79" i="100"/>
  <c r="CB78" i="100" s="1"/>
  <c r="CB339" i="100"/>
  <c r="CB209" i="100"/>
  <c r="GA287" i="100"/>
  <c r="FZ338" i="100"/>
  <c r="CC199" i="100"/>
  <c r="CC327" i="100"/>
  <c r="CC185" i="100"/>
  <c r="CC30" i="100"/>
  <c r="CC16" i="100"/>
  <c r="CC173" i="100"/>
  <c r="CC289" i="100"/>
  <c r="CC323" i="100"/>
  <c r="CC296" i="100"/>
  <c r="CC206" i="100"/>
  <c r="CC24" i="100"/>
  <c r="CC314" i="100"/>
  <c r="CC200" i="100"/>
  <c r="CC167" i="100"/>
  <c r="CC326" i="100"/>
  <c r="CC31" i="100"/>
  <c r="CC34" i="100"/>
  <c r="CC26" i="100"/>
  <c r="CC183" i="100"/>
  <c r="CC310" i="100"/>
  <c r="CC291" i="100"/>
  <c r="CC25" i="100"/>
  <c r="CC17" i="100"/>
  <c r="CC76" i="100"/>
  <c r="CC295" i="100"/>
  <c r="CC207" i="100"/>
  <c r="CC321" i="100"/>
  <c r="CD7" i="100"/>
  <c r="CC335" i="100"/>
  <c r="CC164" i="100"/>
  <c r="CC22" i="100"/>
  <c r="CC306" i="100"/>
  <c r="CC20" i="100"/>
  <c r="CC299" i="100"/>
  <c r="CC69" i="100"/>
  <c r="CC11" i="100"/>
  <c r="CC163" i="100"/>
  <c r="CC42" i="100"/>
  <c r="CC12" i="100"/>
  <c r="CC8" i="100"/>
  <c r="CC304" i="100"/>
  <c r="CC176" i="100"/>
  <c r="CC181" i="100"/>
  <c r="CC337" i="100"/>
  <c r="CC71" i="100"/>
  <c r="CC203" i="100"/>
  <c r="CC331" i="100"/>
  <c r="CC160" i="100"/>
  <c r="CC301" i="100"/>
  <c r="CC303" i="100"/>
  <c r="CC312" i="100"/>
  <c r="CC15" i="100"/>
  <c r="CC13" i="100"/>
  <c r="CC318" i="100"/>
  <c r="CC177" i="100"/>
  <c r="CC294" i="100"/>
  <c r="CC197" i="100"/>
  <c r="CC38" i="100"/>
  <c r="CC64" i="100"/>
  <c r="CC316" i="100"/>
  <c r="CC43" i="100"/>
  <c r="CC65" i="100"/>
  <c r="CC193" i="100"/>
  <c r="CC187" i="100"/>
  <c r="CC336" i="100"/>
  <c r="CC297" i="100"/>
  <c r="CC9" i="100"/>
  <c r="CC37" i="100"/>
  <c r="CC175" i="100"/>
  <c r="CC41" i="100"/>
  <c r="CC14" i="100"/>
  <c r="CC330" i="100"/>
  <c r="CC165" i="100"/>
  <c r="CC19" i="100"/>
  <c r="CC67" i="100"/>
  <c r="CC325" i="100"/>
  <c r="CC188" i="100"/>
  <c r="CC32" i="100"/>
  <c r="CC72" i="100"/>
  <c r="CC28" i="100"/>
  <c r="CC191" i="100"/>
  <c r="CC324" i="100"/>
  <c r="CC333" i="100"/>
  <c r="CC178" i="100"/>
  <c r="CC10" i="100"/>
  <c r="CC288" i="100"/>
  <c r="CC182" i="100"/>
  <c r="CC174" i="100"/>
  <c r="CC332" i="100"/>
  <c r="CC33" i="100"/>
  <c r="CC170" i="100"/>
  <c r="CC68" i="100"/>
  <c r="CC204" i="100"/>
  <c r="CC202" i="100"/>
  <c r="CC36" i="100"/>
  <c r="CC317" i="100"/>
  <c r="CC169" i="100"/>
  <c r="CC319" i="100"/>
  <c r="CC35" i="100"/>
  <c r="CC184" i="100"/>
  <c r="CC159" i="100"/>
  <c r="CC180" i="100"/>
  <c r="CC39" i="100"/>
  <c r="CC158" i="100"/>
  <c r="CC305" i="100"/>
  <c r="CC194" i="100"/>
  <c r="CC293" i="100"/>
  <c r="CC166" i="100"/>
  <c r="CC172" i="100"/>
  <c r="CC77" i="100"/>
  <c r="CC302" i="100"/>
  <c r="CC27" i="100"/>
  <c r="CC29" i="100"/>
  <c r="CC298" i="100"/>
  <c r="CC311" i="100"/>
  <c r="CC75" i="100"/>
  <c r="CC179" i="100"/>
  <c r="CC334" i="100"/>
  <c r="CC290" i="100"/>
  <c r="CC73" i="100"/>
  <c r="CC307" i="100"/>
  <c r="CC192" i="100"/>
  <c r="CC190" i="100"/>
  <c r="CC21" i="100"/>
  <c r="CC18" i="100"/>
  <c r="CC40" i="100"/>
  <c r="CC189" i="100"/>
  <c r="CC162" i="100"/>
  <c r="CC322" i="100"/>
  <c r="CC66" i="100"/>
  <c r="CC70" i="100"/>
  <c r="CC308" i="100"/>
  <c r="CC186" i="100"/>
  <c r="CC329" i="100"/>
  <c r="CC171" i="100"/>
  <c r="CC201" i="100"/>
  <c r="CC23" i="100"/>
  <c r="CC313" i="100"/>
  <c r="CC168" i="100"/>
  <c r="CC309" i="100"/>
  <c r="CC320" i="100"/>
  <c r="CC315" i="100"/>
  <c r="CC198" i="100"/>
  <c r="CC161" i="100"/>
  <c r="CC328" i="100"/>
  <c r="CC205" i="100"/>
  <c r="CC300" i="100"/>
  <c r="CC74" i="100"/>
  <c r="CC195" i="100"/>
  <c r="CC292" i="100"/>
  <c r="CC196" i="100"/>
  <c r="CD62" i="100" l="1"/>
  <c r="CD46" i="100"/>
  <c r="CD63" i="100"/>
  <c r="CD44" i="100"/>
  <c r="CD58" i="100"/>
  <c r="CD48" i="100"/>
  <c r="CD59" i="100"/>
  <c r="CD45" i="100"/>
  <c r="CD49" i="100"/>
  <c r="CD56" i="100"/>
  <c r="CD50" i="100"/>
  <c r="CD55" i="100"/>
  <c r="CD57" i="100"/>
  <c r="CD52" i="100"/>
  <c r="CD54" i="100"/>
  <c r="CD47" i="100"/>
  <c r="CD60" i="100"/>
  <c r="CD51" i="100"/>
  <c r="CD61" i="100"/>
  <c r="CD53" i="100"/>
  <c r="CC79" i="100"/>
  <c r="CC78" i="100" s="1"/>
  <c r="CC339" i="100"/>
  <c r="CC209" i="100"/>
  <c r="CD29" i="100"/>
  <c r="CD41" i="100"/>
  <c r="CD204" i="100"/>
  <c r="CD75" i="100"/>
  <c r="CD329" i="100"/>
  <c r="CD40" i="100"/>
  <c r="CD21" i="100"/>
  <c r="CD9" i="100"/>
  <c r="CD38" i="100"/>
  <c r="CD64" i="100"/>
  <c r="CD77" i="100"/>
  <c r="CD312" i="100"/>
  <c r="CD176" i="100"/>
  <c r="CD301" i="100"/>
  <c r="CD160" i="100"/>
  <c r="CD331" i="100"/>
  <c r="CD24" i="100"/>
  <c r="CD167" i="100"/>
  <c r="CD205" i="100"/>
  <c r="CD185" i="100"/>
  <c r="CD295" i="100"/>
  <c r="CD328" i="100"/>
  <c r="CD18" i="100"/>
  <c r="CD162" i="100"/>
  <c r="CD30" i="100"/>
  <c r="CD306" i="100"/>
  <c r="CD43" i="100"/>
  <c r="CE7" i="100"/>
  <c r="CD14" i="100"/>
  <c r="CD195" i="100"/>
  <c r="CD173" i="100"/>
  <c r="CD296" i="100"/>
  <c r="CD325" i="100"/>
  <c r="CD10" i="100"/>
  <c r="CD299" i="100"/>
  <c r="CD71" i="100"/>
  <c r="CD198" i="100"/>
  <c r="CD39" i="100"/>
  <c r="CD203" i="100"/>
  <c r="CD294" i="100"/>
  <c r="CD67" i="100"/>
  <c r="CD72" i="100"/>
  <c r="CD194" i="100"/>
  <c r="CD11" i="100"/>
  <c r="CD336" i="100"/>
  <c r="CD66" i="100"/>
  <c r="CD159" i="100"/>
  <c r="CD314" i="100"/>
  <c r="CD318" i="100"/>
  <c r="CD323" i="100"/>
  <c r="CD175" i="100"/>
  <c r="CD327" i="100"/>
  <c r="CD65" i="100"/>
  <c r="CD201" i="100"/>
  <c r="CD200" i="100"/>
  <c r="CD207" i="100"/>
  <c r="CD316" i="100"/>
  <c r="CD184" i="100"/>
  <c r="CD22" i="100"/>
  <c r="CD15" i="100"/>
  <c r="CD163" i="100"/>
  <c r="CD334" i="100"/>
  <c r="CD293" i="100"/>
  <c r="CD305" i="100"/>
  <c r="CD12" i="100"/>
  <c r="CD313" i="100"/>
  <c r="CD182" i="100"/>
  <c r="CD333" i="100"/>
  <c r="CD70" i="100"/>
  <c r="CD26" i="100"/>
  <c r="CD288" i="100"/>
  <c r="CD74" i="100"/>
  <c r="CD178" i="100"/>
  <c r="CD297" i="100"/>
  <c r="CD187" i="100"/>
  <c r="CD311" i="100"/>
  <c r="CD335" i="100"/>
  <c r="CD290" i="100"/>
  <c r="CD28" i="100"/>
  <c r="CD319" i="100"/>
  <c r="CD31" i="100"/>
  <c r="CD302" i="100"/>
  <c r="CD13" i="100"/>
  <c r="CD180" i="100"/>
  <c r="CD326" i="100"/>
  <c r="CD42" i="100"/>
  <c r="CD291" i="100"/>
  <c r="CD161" i="100"/>
  <c r="CD36" i="100"/>
  <c r="CD322" i="100"/>
  <c r="CD292" i="100"/>
  <c r="CD165" i="100"/>
  <c r="CD289" i="100"/>
  <c r="CD34" i="100"/>
  <c r="CD168" i="100"/>
  <c r="CD298" i="100"/>
  <c r="CD196" i="100"/>
  <c r="CD186" i="100"/>
  <c r="CD310" i="100"/>
  <c r="CD164" i="100"/>
  <c r="CD35" i="100"/>
  <c r="CD170" i="100"/>
  <c r="CD308" i="100"/>
  <c r="CD189" i="100"/>
  <c r="CD337" i="100"/>
  <c r="CD166" i="100"/>
  <c r="CD199" i="100"/>
  <c r="CD304" i="100"/>
  <c r="CD202" i="100"/>
  <c r="CD32" i="100"/>
  <c r="CD332" i="100"/>
  <c r="CD27" i="100"/>
  <c r="CD321" i="100"/>
  <c r="CD183" i="100"/>
  <c r="CD317" i="100"/>
  <c r="CD37" i="100"/>
  <c r="CD158" i="100"/>
  <c r="CD172" i="100"/>
  <c r="CD19" i="100"/>
  <c r="CD309" i="100"/>
  <c r="CD68" i="100"/>
  <c r="CD193" i="100"/>
  <c r="CD307" i="100"/>
  <c r="CD320" i="100"/>
  <c r="CD169" i="100"/>
  <c r="CD179" i="100"/>
  <c r="CD20" i="100"/>
  <c r="CD324" i="100"/>
  <c r="CD174" i="100"/>
  <c r="CD17" i="100"/>
  <c r="CD315" i="100"/>
  <c r="CD188" i="100"/>
  <c r="CD76" i="100"/>
  <c r="CD190" i="100"/>
  <c r="CD330" i="100"/>
  <c r="CD192" i="100"/>
  <c r="CD177" i="100"/>
  <c r="CD73" i="100"/>
  <c r="CD33" i="100"/>
  <c r="CD8" i="100"/>
  <c r="CD23" i="100"/>
  <c r="CD197" i="100"/>
  <c r="CD206" i="100"/>
  <c r="CD300" i="100"/>
  <c r="CD69" i="100"/>
  <c r="CD25" i="100"/>
  <c r="CD303" i="100"/>
  <c r="CD181" i="100"/>
  <c r="CD191" i="100"/>
  <c r="CD16" i="100"/>
  <c r="CD171" i="100"/>
  <c r="GB287" i="100"/>
  <c r="GA338" i="100"/>
  <c r="CE51" i="100" l="1"/>
  <c r="CE44" i="100"/>
  <c r="CE46" i="100"/>
  <c r="CE62" i="100"/>
  <c r="CE45" i="100"/>
  <c r="CE63" i="100"/>
  <c r="CE54" i="100"/>
  <c r="CE53" i="100"/>
  <c r="CE60" i="100"/>
  <c r="CE50" i="100"/>
  <c r="CE55" i="100"/>
  <c r="CE48" i="100"/>
  <c r="CE47" i="100"/>
  <c r="CE56" i="100"/>
  <c r="CE58" i="100"/>
  <c r="CE49" i="100"/>
  <c r="CE57" i="100"/>
  <c r="CE61" i="100"/>
  <c r="CE59" i="100"/>
  <c r="CE52" i="100"/>
  <c r="CD339" i="100"/>
  <c r="CD79" i="100"/>
  <c r="CD78" i="100" s="1"/>
  <c r="CD209" i="100"/>
  <c r="GC287" i="100"/>
  <c r="GB338" i="100"/>
  <c r="CE18" i="100"/>
  <c r="CE292" i="100"/>
  <c r="CE205" i="100"/>
  <c r="CE71" i="100"/>
  <c r="CE192" i="100"/>
  <c r="CE75" i="100"/>
  <c r="CE73" i="100"/>
  <c r="CE172" i="100"/>
  <c r="CE30" i="100"/>
  <c r="CE31" i="100"/>
  <c r="CE165" i="100"/>
  <c r="CE326" i="100"/>
  <c r="CE64" i="100"/>
  <c r="CE161" i="100"/>
  <c r="CE164" i="100"/>
  <c r="CE328" i="100"/>
  <c r="CE195" i="100"/>
  <c r="CE171" i="100"/>
  <c r="CE72" i="100"/>
  <c r="CE184" i="100"/>
  <c r="CE13" i="100"/>
  <c r="CE322" i="100"/>
  <c r="CE14" i="100"/>
  <c r="CE173" i="100"/>
  <c r="CE21" i="100"/>
  <c r="CE294" i="100"/>
  <c r="CE296" i="100"/>
  <c r="CE305" i="100"/>
  <c r="CE168" i="100"/>
  <c r="CF7" i="100"/>
  <c r="CE324" i="100"/>
  <c r="CE160" i="100"/>
  <c r="CE200" i="100"/>
  <c r="CE299" i="100"/>
  <c r="CE36" i="100"/>
  <c r="CE159" i="100"/>
  <c r="CE323" i="100"/>
  <c r="CE33" i="100"/>
  <c r="CE70" i="100"/>
  <c r="CE174" i="100"/>
  <c r="CE158" i="100"/>
  <c r="CE199" i="100"/>
  <c r="CE300" i="100"/>
  <c r="CE16" i="100"/>
  <c r="CE68" i="100"/>
  <c r="CE312" i="100"/>
  <c r="CE169" i="100"/>
  <c r="CE11" i="100"/>
  <c r="CE170" i="100"/>
  <c r="CE193" i="100"/>
  <c r="CE207" i="100"/>
  <c r="CE12" i="100"/>
  <c r="CE297" i="100"/>
  <c r="CE197" i="100"/>
  <c r="CE162" i="100"/>
  <c r="CE204" i="100"/>
  <c r="CE327" i="100"/>
  <c r="CE310" i="100"/>
  <c r="CE23" i="100"/>
  <c r="CE185" i="100"/>
  <c r="CE202" i="100"/>
  <c r="CE26" i="100"/>
  <c r="CE183" i="100"/>
  <c r="CE307" i="100"/>
  <c r="CE309" i="100"/>
  <c r="CE177" i="100"/>
  <c r="CE27" i="100"/>
  <c r="CE190" i="100"/>
  <c r="CE182" i="100"/>
  <c r="CE66" i="100"/>
  <c r="CE25" i="100"/>
  <c r="CE29" i="100"/>
  <c r="CE306" i="100"/>
  <c r="CE319" i="100"/>
  <c r="CE203" i="100"/>
  <c r="CE187" i="100"/>
  <c r="CE293" i="100"/>
  <c r="CE9" i="100"/>
  <c r="CE163" i="100"/>
  <c r="CE176" i="100"/>
  <c r="CE39" i="100"/>
  <c r="CE37" i="100"/>
  <c r="CE40" i="100"/>
  <c r="CE179" i="100"/>
  <c r="CE194" i="100"/>
  <c r="CE291" i="100"/>
  <c r="CE308" i="100"/>
  <c r="CE17" i="100"/>
  <c r="CE67" i="100"/>
  <c r="CE77" i="100"/>
  <c r="CE313" i="100"/>
  <c r="CE35" i="100"/>
  <c r="CE290" i="100"/>
  <c r="CE335" i="100"/>
  <c r="CE186" i="100"/>
  <c r="CE15" i="100"/>
  <c r="CE316" i="100"/>
  <c r="CE302" i="100"/>
  <c r="CE337" i="100"/>
  <c r="CE331" i="100"/>
  <c r="CE304" i="100"/>
  <c r="CE69" i="100"/>
  <c r="CE289" i="100"/>
  <c r="CE330" i="100"/>
  <c r="CE295" i="100"/>
  <c r="CE298" i="100"/>
  <c r="CE74" i="100"/>
  <c r="CE329" i="100"/>
  <c r="CE201" i="100"/>
  <c r="CE321" i="100"/>
  <c r="CE76" i="100"/>
  <c r="CE42" i="100"/>
  <c r="CE181" i="100"/>
  <c r="CE34" i="100"/>
  <c r="CE19" i="100"/>
  <c r="CE334" i="100"/>
  <c r="CE320" i="100"/>
  <c r="CE191" i="100"/>
  <c r="CE178" i="100"/>
  <c r="CE318" i="100"/>
  <c r="CE303" i="100"/>
  <c r="CE301" i="100"/>
  <c r="CE38" i="100"/>
  <c r="CE188" i="100"/>
  <c r="CE336" i="100"/>
  <c r="CE20" i="100"/>
  <c r="CE189" i="100"/>
  <c r="CE65" i="100"/>
  <c r="CE196" i="100"/>
  <c r="CE332" i="100"/>
  <c r="CE315" i="100"/>
  <c r="CE325" i="100"/>
  <c r="CE288" i="100"/>
  <c r="CE41" i="100"/>
  <c r="CE8" i="100"/>
  <c r="CE10" i="100"/>
  <c r="CE32" i="100"/>
  <c r="CE206" i="100"/>
  <c r="CE28" i="100"/>
  <c r="CE180" i="100"/>
  <c r="CE24" i="100"/>
  <c r="CE175" i="100"/>
  <c r="CE333" i="100"/>
  <c r="CE314" i="100"/>
  <c r="CE317" i="100"/>
  <c r="CE198" i="100"/>
  <c r="CE22" i="100"/>
  <c r="CE167" i="100"/>
  <c r="CE311" i="100"/>
  <c r="CE43" i="100"/>
  <c r="CE166" i="100"/>
  <c r="CF63" i="100" l="1"/>
  <c r="CF46" i="100"/>
  <c r="CF45" i="100"/>
  <c r="CF62" i="100"/>
  <c r="CF44" i="100"/>
  <c r="CF53" i="100"/>
  <c r="CF61" i="100"/>
  <c r="CF58" i="100"/>
  <c r="CF54" i="100"/>
  <c r="CF52" i="100"/>
  <c r="CF55" i="100"/>
  <c r="CF51" i="100"/>
  <c r="CF50" i="100"/>
  <c r="CF60" i="100"/>
  <c r="CF48" i="100"/>
  <c r="CF59" i="100"/>
  <c r="CF57" i="100"/>
  <c r="CF49" i="100"/>
  <c r="CF47" i="100"/>
  <c r="CF56" i="100"/>
  <c r="CE79" i="100"/>
  <c r="CE78" i="100" s="1"/>
  <c r="CE209" i="100"/>
  <c r="CE339" i="100"/>
  <c r="CF298" i="100"/>
  <c r="CF306" i="100"/>
  <c r="CF192" i="100"/>
  <c r="CF325" i="100"/>
  <c r="CF204" i="100"/>
  <c r="CF29" i="100"/>
  <c r="CF304" i="100"/>
  <c r="CF194" i="100"/>
  <c r="CF38" i="100"/>
  <c r="CF40" i="100"/>
  <c r="CF333" i="100"/>
  <c r="CF20" i="100"/>
  <c r="CF305" i="100"/>
  <c r="CF180" i="100"/>
  <c r="CF30" i="100"/>
  <c r="CF308" i="100"/>
  <c r="CF307" i="100"/>
  <c r="CF196" i="100"/>
  <c r="CF314" i="100"/>
  <c r="CF202" i="100"/>
  <c r="CF198" i="100"/>
  <c r="CF36" i="100"/>
  <c r="CF185" i="100"/>
  <c r="CF161" i="100"/>
  <c r="CF321" i="100"/>
  <c r="CF16" i="100"/>
  <c r="CF337" i="100"/>
  <c r="CF317" i="100"/>
  <c r="CF311" i="100"/>
  <c r="CF11" i="100"/>
  <c r="CF21" i="100"/>
  <c r="CF163" i="100"/>
  <c r="CF186" i="100"/>
  <c r="CF203" i="100"/>
  <c r="CF76" i="100"/>
  <c r="CF312" i="100"/>
  <c r="CF310" i="100"/>
  <c r="CF28" i="100"/>
  <c r="CF322" i="100"/>
  <c r="CF174" i="100"/>
  <c r="CF313" i="100"/>
  <c r="CF65" i="100"/>
  <c r="CF171" i="100"/>
  <c r="CF35" i="100"/>
  <c r="CF27" i="100"/>
  <c r="CF324" i="100"/>
  <c r="CF294" i="100"/>
  <c r="CF75" i="100"/>
  <c r="CF197" i="100"/>
  <c r="CF14" i="100"/>
  <c r="CF336" i="100"/>
  <c r="CF10" i="100"/>
  <c r="CF72" i="100"/>
  <c r="CF187" i="100"/>
  <c r="CF178" i="100"/>
  <c r="CF172" i="100"/>
  <c r="CF329" i="100"/>
  <c r="CF195" i="100"/>
  <c r="CF67" i="100"/>
  <c r="CF332" i="100"/>
  <c r="CF328" i="100"/>
  <c r="CF302" i="100"/>
  <c r="CF162" i="100"/>
  <c r="CF17" i="100"/>
  <c r="CF70" i="100"/>
  <c r="CF291" i="100"/>
  <c r="CF173" i="100"/>
  <c r="CF164" i="100"/>
  <c r="CF22" i="100"/>
  <c r="CF8" i="100"/>
  <c r="CF169" i="100"/>
  <c r="CF182" i="100"/>
  <c r="CF25" i="100"/>
  <c r="CF290" i="100"/>
  <c r="CF168" i="100"/>
  <c r="CF160" i="100"/>
  <c r="CF183" i="100"/>
  <c r="CF37" i="100"/>
  <c r="CF189" i="100"/>
  <c r="CF24" i="100"/>
  <c r="CF318" i="100"/>
  <c r="CF297" i="100"/>
  <c r="CF31" i="100"/>
  <c r="CF175" i="100"/>
  <c r="CF201" i="100"/>
  <c r="CF167" i="100"/>
  <c r="CF199" i="100"/>
  <c r="CF9" i="100"/>
  <c r="CF293" i="100"/>
  <c r="CF73" i="100"/>
  <c r="CF205" i="100"/>
  <c r="CF330" i="100"/>
  <c r="CF71" i="100"/>
  <c r="CF335" i="100"/>
  <c r="CF159" i="100"/>
  <c r="CF327" i="100"/>
  <c r="CF331" i="100"/>
  <c r="CF166" i="100"/>
  <c r="CF69" i="100"/>
  <c r="CF207" i="100"/>
  <c r="CF26" i="100"/>
  <c r="CF165" i="100"/>
  <c r="CF299" i="100"/>
  <c r="CF33" i="100"/>
  <c r="CF13" i="100"/>
  <c r="CF190" i="100"/>
  <c r="CF315" i="100"/>
  <c r="CF292" i="100"/>
  <c r="CF334" i="100"/>
  <c r="CF326" i="100"/>
  <c r="CF18" i="100"/>
  <c r="CF206" i="100"/>
  <c r="CF68" i="100"/>
  <c r="CF41" i="100"/>
  <c r="CF34" i="100"/>
  <c r="CF320" i="100"/>
  <c r="CF64" i="100"/>
  <c r="CF300" i="100"/>
  <c r="CF42" i="100"/>
  <c r="CG7" i="100"/>
  <c r="CF43" i="100"/>
  <c r="CF66" i="100"/>
  <c r="CF23" i="100"/>
  <c r="CF15" i="100"/>
  <c r="CF303" i="100"/>
  <c r="CF74" i="100"/>
  <c r="CF176" i="100"/>
  <c r="CF288" i="100"/>
  <c r="CF316" i="100"/>
  <c r="CF39" i="100"/>
  <c r="CF323" i="100"/>
  <c r="CF193" i="100"/>
  <c r="CF309" i="100"/>
  <c r="CF200" i="100"/>
  <c r="CF191" i="100"/>
  <c r="CF170" i="100"/>
  <c r="CF158" i="100"/>
  <c r="CF289" i="100"/>
  <c r="CF188" i="100"/>
  <c r="CF19" i="100"/>
  <c r="CF177" i="100"/>
  <c r="CF296" i="100"/>
  <c r="CF301" i="100"/>
  <c r="CF295" i="100"/>
  <c r="CF179" i="100"/>
  <c r="CF184" i="100"/>
  <c r="CF319" i="100"/>
  <c r="CF32" i="100"/>
  <c r="CF77" i="100"/>
  <c r="CF181" i="100"/>
  <c r="CF12" i="100"/>
  <c r="GD287" i="100"/>
  <c r="GC338" i="100"/>
  <c r="CG62" i="100" l="1"/>
  <c r="CG44" i="100"/>
  <c r="CG58" i="100"/>
  <c r="CG51" i="100"/>
  <c r="CG53" i="100"/>
  <c r="CG46" i="100"/>
  <c r="CG59" i="100"/>
  <c r="CG63" i="100"/>
  <c r="CG48" i="100"/>
  <c r="CG47" i="100"/>
  <c r="CG57" i="100"/>
  <c r="CG60" i="100"/>
  <c r="CG50" i="100"/>
  <c r="CG54" i="100"/>
  <c r="CG56" i="100"/>
  <c r="CG49" i="100"/>
  <c r="CG61" i="100"/>
  <c r="CG55" i="100"/>
  <c r="CG52" i="100"/>
  <c r="CG45" i="100"/>
  <c r="CF79" i="100"/>
  <c r="CF78" i="100" s="1"/>
  <c r="CF339" i="100"/>
  <c r="CF209" i="100"/>
  <c r="GE287" i="100"/>
  <c r="GD338" i="100"/>
  <c r="CG289" i="100"/>
  <c r="CG294" i="100"/>
  <c r="CG295" i="100"/>
  <c r="CG200" i="100"/>
  <c r="CG158" i="100"/>
  <c r="CG180" i="100"/>
  <c r="CG11" i="100"/>
  <c r="CG335" i="100"/>
  <c r="CG314" i="100"/>
  <c r="CG163" i="100"/>
  <c r="CG77" i="100"/>
  <c r="CG204" i="100"/>
  <c r="CG65" i="100"/>
  <c r="CG310" i="100"/>
  <c r="CG185" i="100"/>
  <c r="CG312" i="100"/>
  <c r="CG176" i="100"/>
  <c r="CG288" i="100"/>
  <c r="CG298" i="100"/>
  <c r="CG189" i="100"/>
  <c r="CG26" i="100"/>
  <c r="CG195" i="100"/>
  <c r="CG67" i="100"/>
  <c r="CG174" i="100"/>
  <c r="CG318" i="100"/>
  <c r="CG17" i="100"/>
  <c r="CG315" i="100"/>
  <c r="CG325" i="100"/>
  <c r="CG198" i="100"/>
  <c r="CG166" i="100"/>
  <c r="CG306" i="100"/>
  <c r="CG178" i="100"/>
  <c r="CG181" i="100"/>
  <c r="CG170" i="100"/>
  <c r="CG297" i="100"/>
  <c r="CG36" i="100"/>
  <c r="CG68" i="100"/>
  <c r="CG186" i="100"/>
  <c r="CG322" i="100"/>
  <c r="CG24" i="100"/>
  <c r="CG337" i="100"/>
  <c r="CG313" i="100"/>
  <c r="CG14" i="100"/>
  <c r="CG205" i="100"/>
  <c r="CG305" i="100"/>
  <c r="CG303" i="100"/>
  <c r="CG21" i="100"/>
  <c r="CG41" i="100"/>
  <c r="CG183" i="100"/>
  <c r="CG203" i="100"/>
  <c r="CG309" i="100"/>
  <c r="CG291" i="100"/>
  <c r="CG70" i="100"/>
  <c r="CG22" i="100"/>
  <c r="CG188" i="100"/>
  <c r="CG191" i="100"/>
  <c r="CG175" i="100"/>
  <c r="CG311" i="100"/>
  <c r="CG18" i="100"/>
  <c r="CG319" i="100"/>
  <c r="CG196" i="100"/>
  <c r="CG299" i="100"/>
  <c r="CG19" i="100"/>
  <c r="CG179" i="100"/>
  <c r="CG160" i="100"/>
  <c r="CG162" i="100"/>
  <c r="CG307" i="100"/>
  <c r="CG296" i="100"/>
  <c r="CG190" i="100"/>
  <c r="CG334" i="100"/>
  <c r="CG28" i="100"/>
  <c r="CG171" i="100"/>
  <c r="CG37" i="100"/>
  <c r="CG193" i="100"/>
  <c r="CG187" i="100"/>
  <c r="CG316" i="100"/>
  <c r="CG206" i="100"/>
  <c r="CG74" i="100"/>
  <c r="CG39" i="100"/>
  <c r="CG33" i="100"/>
  <c r="CG329" i="100"/>
  <c r="CG293" i="100"/>
  <c r="CG16" i="100"/>
  <c r="CG317" i="100"/>
  <c r="CG8" i="100"/>
  <c r="CG177" i="100"/>
  <c r="CG301" i="100"/>
  <c r="CG328" i="100"/>
  <c r="CG29" i="100"/>
  <c r="CG161" i="100"/>
  <c r="CG25" i="100"/>
  <c r="CG40" i="100"/>
  <c r="CG292" i="100"/>
  <c r="CG201" i="100"/>
  <c r="CG71" i="100"/>
  <c r="CG159" i="100"/>
  <c r="CG173" i="100"/>
  <c r="CG12" i="100"/>
  <c r="CG66" i="100"/>
  <c r="CG323" i="100"/>
  <c r="CG324" i="100"/>
  <c r="CG168" i="100"/>
  <c r="CG169" i="100"/>
  <c r="CG64" i="100"/>
  <c r="CG333" i="100"/>
  <c r="CG76" i="100"/>
  <c r="CG34" i="100"/>
  <c r="CG321" i="100"/>
  <c r="CG199" i="100"/>
  <c r="CG300" i="100"/>
  <c r="CG184" i="100"/>
  <c r="CG332" i="100"/>
  <c r="CG202" i="100"/>
  <c r="CG327" i="100"/>
  <c r="CG165" i="100"/>
  <c r="CG326" i="100"/>
  <c r="CG197" i="100"/>
  <c r="CG302" i="100"/>
  <c r="CG192" i="100"/>
  <c r="CG20" i="100"/>
  <c r="CG172" i="100"/>
  <c r="CG164" i="100"/>
  <c r="CG72" i="100"/>
  <c r="CG194" i="100"/>
  <c r="CG30" i="100"/>
  <c r="CG32" i="100"/>
  <c r="CG167" i="100"/>
  <c r="CG182" i="100"/>
  <c r="CG330" i="100"/>
  <c r="CG23" i="100"/>
  <c r="CG42" i="100"/>
  <c r="CG69" i="100"/>
  <c r="CG75" i="100"/>
  <c r="CG320" i="100"/>
  <c r="CG331" i="100"/>
  <c r="CG27" i="100"/>
  <c r="CG73" i="100"/>
  <c r="CG15" i="100"/>
  <c r="CG290" i="100"/>
  <c r="CG38" i="100"/>
  <c r="CG31" i="100"/>
  <c r="CG10" i="100"/>
  <c r="CG304" i="100"/>
  <c r="CG43" i="100"/>
  <c r="CG13" i="100"/>
  <c r="CG308" i="100"/>
  <c r="CH7" i="100"/>
  <c r="CG9" i="100"/>
  <c r="CG35" i="100"/>
  <c r="CG336" i="100"/>
  <c r="CG207" i="100"/>
  <c r="CH63" i="100" l="1"/>
  <c r="CH44" i="100"/>
  <c r="CH57" i="100"/>
  <c r="CH51" i="100"/>
  <c r="CH46" i="100"/>
  <c r="CH62" i="100"/>
  <c r="CH49" i="100"/>
  <c r="CH54" i="100"/>
  <c r="CH45" i="100"/>
  <c r="CH47" i="100"/>
  <c r="CH56" i="100"/>
  <c r="CH50" i="100"/>
  <c r="CH48" i="100"/>
  <c r="CH53" i="100"/>
  <c r="CH58" i="100"/>
  <c r="CH55" i="100"/>
  <c r="CH59" i="100"/>
  <c r="CH52" i="100"/>
  <c r="CH60" i="100"/>
  <c r="CH61" i="100"/>
  <c r="CG339" i="100"/>
  <c r="CG209" i="100"/>
  <c r="CG79" i="100"/>
  <c r="CG78" i="100" s="1"/>
  <c r="CH187" i="100"/>
  <c r="CH315" i="100"/>
  <c r="CH179" i="100"/>
  <c r="CH326" i="100"/>
  <c r="CH16" i="100"/>
  <c r="CH178" i="100"/>
  <c r="CH164" i="100"/>
  <c r="CH201" i="100"/>
  <c r="CH322" i="100"/>
  <c r="CH181" i="100"/>
  <c r="CH25" i="100"/>
  <c r="CH39" i="100"/>
  <c r="CH202" i="100"/>
  <c r="CH307" i="100"/>
  <c r="CH159" i="100"/>
  <c r="CH11" i="100"/>
  <c r="CH66" i="100"/>
  <c r="CH323" i="100"/>
  <c r="CH64" i="100"/>
  <c r="CH163" i="100"/>
  <c r="CH73" i="100"/>
  <c r="CH12" i="100"/>
  <c r="CH207" i="100"/>
  <c r="CH19" i="100"/>
  <c r="CH316" i="100"/>
  <c r="CH309" i="100"/>
  <c r="CH301" i="100"/>
  <c r="CH42" i="100"/>
  <c r="CH296" i="100"/>
  <c r="CH337" i="100"/>
  <c r="CH186" i="100"/>
  <c r="CH15" i="100"/>
  <c r="CH292" i="100"/>
  <c r="CH172" i="100"/>
  <c r="CH324" i="100"/>
  <c r="CH175" i="100"/>
  <c r="CH333" i="100"/>
  <c r="CH20" i="100"/>
  <c r="CH331" i="100"/>
  <c r="CH22" i="100"/>
  <c r="CH321" i="100"/>
  <c r="CH67" i="100"/>
  <c r="CH17" i="100"/>
  <c r="CH27" i="100"/>
  <c r="CH34" i="100"/>
  <c r="CH334" i="100"/>
  <c r="CH329" i="100"/>
  <c r="CH314" i="100"/>
  <c r="CH18" i="100"/>
  <c r="CH31" i="100"/>
  <c r="CH308" i="100"/>
  <c r="CH36" i="100"/>
  <c r="CH30" i="100"/>
  <c r="CH200" i="100"/>
  <c r="CH332" i="100"/>
  <c r="CH185" i="100"/>
  <c r="CH327" i="100"/>
  <c r="CH158" i="100"/>
  <c r="CH40" i="100"/>
  <c r="CH13" i="100"/>
  <c r="CH306" i="100"/>
  <c r="CI7" i="100"/>
  <c r="CH174" i="100"/>
  <c r="CH180" i="100"/>
  <c r="CH71" i="100"/>
  <c r="CH183" i="100"/>
  <c r="CH310" i="100"/>
  <c r="CH298" i="100"/>
  <c r="CH68" i="100"/>
  <c r="CH170" i="100"/>
  <c r="CH297" i="100"/>
  <c r="CH319" i="100"/>
  <c r="CH26" i="100"/>
  <c r="CH293" i="100"/>
  <c r="CH328" i="100"/>
  <c r="CH204" i="100"/>
  <c r="CH171" i="100"/>
  <c r="CH191" i="100"/>
  <c r="CH198" i="100"/>
  <c r="CH168" i="100"/>
  <c r="CH205" i="100"/>
  <c r="CH311" i="100"/>
  <c r="CH173" i="100"/>
  <c r="CH43" i="100"/>
  <c r="CH189" i="100"/>
  <c r="CH72" i="100"/>
  <c r="CH165" i="100"/>
  <c r="CH304" i="100"/>
  <c r="CH199" i="100"/>
  <c r="CH24" i="100"/>
  <c r="CH166" i="100"/>
  <c r="CH196" i="100"/>
  <c r="CH336" i="100"/>
  <c r="CH177" i="100"/>
  <c r="CH160" i="100"/>
  <c r="CH303" i="100"/>
  <c r="CH305" i="100"/>
  <c r="CH190" i="100"/>
  <c r="CH23" i="100"/>
  <c r="CH182" i="100"/>
  <c r="CH300" i="100"/>
  <c r="CH193" i="100"/>
  <c r="CH8" i="100"/>
  <c r="CH206" i="100"/>
  <c r="CH38" i="100"/>
  <c r="CH294" i="100"/>
  <c r="CH33" i="100"/>
  <c r="CH169" i="100"/>
  <c r="CH318" i="100"/>
  <c r="CH29" i="100"/>
  <c r="CH176" i="100"/>
  <c r="CH289" i="100"/>
  <c r="CH69" i="100"/>
  <c r="CH203" i="100"/>
  <c r="CH75" i="100"/>
  <c r="CH188" i="100"/>
  <c r="CH65" i="100"/>
  <c r="CH291" i="100"/>
  <c r="CH28" i="100"/>
  <c r="CH325" i="100"/>
  <c r="CH37" i="100"/>
  <c r="CH197" i="100"/>
  <c r="CH312" i="100"/>
  <c r="CH295" i="100"/>
  <c r="CH194" i="100"/>
  <c r="CH317" i="100"/>
  <c r="CH14" i="100"/>
  <c r="CH9" i="100"/>
  <c r="CH10" i="100"/>
  <c r="CH320" i="100"/>
  <c r="CH288" i="100"/>
  <c r="CH76" i="100"/>
  <c r="CH299" i="100"/>
  <c r="CH192" i="100"/>
  <c r="CH162" i="100"/>
  <c r="CH302" i="100"/>
  <c r="CH41" i="100"/>
  <c r="CH35" i="100"/>
  <c r="CH77" i="100"/>
  <c r="CH330" i="100"/>
  <c r="CH167" i="100"/>
  <c r="CH313" i="100"/>
  <c r="CH32" i="100"/>
  <c r="CH335" i="100"/>
  <c r="CH21" i="100"/>
  <c r="CH184" i="100"/>
  <c r="CH290" i="100"/>
  <c r="CH74" i="100"/>
  <c r="CH70" i="100"/>
  <c r="CH195" i="100"/>
  <c r="CH161" i="100"/>
  <c r="GF287" i="100"/>
  <c r="GE338" i="100"/>
  <c r="CI51" i="100" l="1"/>
  <c r="CI57" i="100"/>
  <c r="CI63" i="100"/>
  <c r="CI44" i="100"/>
  <c r="CI46" i="100"/>
  <c r="CI62" i="100"/>
  <c r="CI50" i="100"/>
  <c r="CI54" i="100"/>
  <c r="CI45" i="100"/>
  <c r="CI59" i="100"/>
  <c r="CI53" i="100"/>
  <c r="CI56" i="100"/>
  <c r="CI47" i="100"/>
  <c r="CI61" i="100"/>
  <c r="CI55" i="100"/>
  <c r="CI52" i="100"/>
  <c r="CI48" i="100"/>
  <c r="CI49" i="100"/>
  <c r="CI58" i="100"/>
  <c r="CI60" i="100"/>
  <c r="CH339" i="100"/>
  <c r="CH79" i="100"/>
  <c r="CH78" i="100" s="1"/>
  <c r="CH209" i="100"/>
  <c r="GG287" i="100"/>
  <c r="GF338" i="100"/>
  <c r="CI164" i="100"/>
  <c r="CI27" i="100"/>
  <c r="CI179" i="100"/>
  <c r="CI319" i="100"/>
  <c r="CI33" i="100"/>
  <c r="CI37" i="100"/>
  <c r="CI207" i="100"/>
  <c r="CI311" i="100"/>
  <c r="CI317" i="100"/>
  <c r="CI70" i="100"/>
  <c r="CJ7" i="100"/>
  <c r="CI205" i="100"/>
  <c r="CI200" i="100"/>
  <c r="CI38" i="100"/>
  <c r="CI182" i="100"/>
  <c r="CI296" i="100"/>
  <c r="CI328" i="100"/>
  <c r="CI196" i="100"/>
  <c r="CI316" i="100"/>
  <c r="CI305" i="100"/>
  <c r="CI167" i="100"/>
  <c r="CI301" i="100"/>
  <c r="CI337" i="100"/>
  <c r="CI29" i="100"/>
  <c r="CI332" i="100"/>
  <c r="CI34" i="100"/>
  <c r="CI66" i="100"/>
  <c r="CI174" i="100"/>
  <c r="CI184" i="100"/>
  <c r="CI202" i="100"/>
  <c r="CI65" i="100"/>
  <c r="CI187" i="100"/>
  <c r="CI331" i="100"/>
  <c r="CI24" i="100"/>
  <c r="CI326" i="100"/>
  <c r="CI181" i="100"/>
  <c r="CI19" i="100"/>
  <c r="CI324" i="100"/>
  <c r="CI189" i="100"/>
  <c r="CI292" i="100"/>
  <c r="CI176" i="100"/>
  <c r="CI308" i="100"/>
  <c r="CI195" i="100"/>
  <c r="CI69" i="100"/>
  <c r="CI32" i="100"/>
  <c r="CI197" i="100"/>
  <c r="CI28" i="100"/>
  <c r="CI67" i="100"/>
  <c r="CI304" i="100"/>
  <c r="CI327" i="100"/>
  <c r="CI22" i="100"/>
  <c r="CI188" i="100"/>
  <c r="CI68" i="100"/>
  <c r="CI165" i="100"/>
  <c r="CI313" i="100"/>
  <c r="CI298" i="100"/>
  <c r="CI297" i="100"/>
  <c r="CI310" i="100"/>
  <c r="CI166" i="100"/>
  <c r="CI43" i="100"/>
  <c r="CI13" i="100"/>
  <c r="CI35" i="100"/>
  <c r="CI173" i="100"/>
  <c r="CI199" i="100"/>
  <c r="CI75" i="100"/>
  <c r="CI72" i="100"/>
  <c r="CI315" i="100"/>
  <c r="CI25" i="100"/>
  <c r="CI300" i="100"/>
  <c r="CI307" i="100"/>
  <c r="CI177" i="100"/>
  <c r="CI321" i="100"/>
  <c r="CI26" i="100"/>
  <c r="CI162" i="100"/>
  <c r="CI11" i="100"/>
  <c r="CI10" i="100"/>
  <c r="CI193" i="100"/>
  <c r="CI175" i="100"/>
  <c r="CI204" i="100"/>
  <c r="CI183" i="100"/>
  <c r="CI322" i="100"/>
  <c r="CI309" i="100"/>
  <c r="CI180" i="100"/>
  <c r="CI295" i="100"/>
  <c r="CI74" i="100"/>
  <c r="CI198" i="100"/>
  <c r="CI159" i="100"/>
  <c r="CI39" i="100"/>
  <c r="CI291" i="100"/>
  <c r="CI294" i="100"/>
  <c r="CI201" i="100"/>
  <c r="CI289" i="100"/>
  <c r="CI288" i="100"/>
  <c r="CI9" i="100"/>
  <c r="CI312" i="100"/>
  <c r="CI8" i="100"/>
  <c r="CI71" i="100"/>
  <c r="CI31" i="100"/>
  <c r="CI320" i="100"/>
  <c r="CI23" i="100"/>
  <c r="CI306" i="100"/>
  <c r="CI178" i="100"/>
  <c r="CI41" i="100"/>
  <c r="CI336" i="100"/>
  <c r="CI30" i="100"/>
  <c r="CI16" i="100"/>
  <c r="CI158" i="100"/>
  <c r="CI185" i="100"/>
  <c r="CI329" i="100"/>
  <c r="CI171" i="100"/>
  <c r="CI170" i="100"/>
  <c r="CI330" i="100"/>
  <c r="CI203" i="100"/>
  <c r="CI169" i="100"/>
  <c r="CI191" i="100"/>
  <c r="CI40" i="100"/>
  <c r="CI12" i="100"/>
  <c r="CI15" i="100"/>
  <c r="CI21" i="100"/>
  <c r="CI314" i="100"/>
  <c r="CI335" i="100"/>
  <c r="CI206" i="100"/>
  <c r="CI192" i="100"/>
  <c r="CI190" i="100"/>
  <c r="CI293" i="100"/>
  <c r="CI73" i="100"/>
  <c r="CI325" i="100"/>
  <c r="CI334" i="100"/>
  <c r="CI299" i="100"/>
  <c r="CI36" i="100"/>
  <c r="CI168" i="100"/>
  <c r="CI323" i="100"/>
  <c r="CI64" i="100"/>
  <c r="CI303" i="100"/>
  <c r="CI161" i="100"/>
  <c r="CI172" i="100"/>
  <c r="CI194" i="100"/>
  <c r="CI333" i="100"/>
  <c r="CI17" i="100"/>
  <c r="CI318" i="100"/>
  <c r="CI14" i="100"/>
  <c r="CI163" i="100"/>
  <c r="CI76" i="100"/>
  <c r="CI186" i="100"/>
  <c r="CI77" i="100"/>
  <c r="CI18" i="100"/>
  <c r="CI302" i="100"/>
  <c r="CI290" i="100"/>
  <c r="CI20" i="100"/>
  <c r="CI160" i="100"/>
  <c r="CI42" i="100"/>
  <c r="CJ63" i="100" l="1"/>
  <c r="CJ44" i="100"/>
  <c r="CJ46" i="100"/>
  <c r="CJ62" i="100"/>
  <c r="CJ45" i="100"/>
  <c r="CJ50" i="100"/>
  <c r="CJ56" i="100"/>
  <c r="CJ59" i="100"/>
  <c r="CJ48" i="100"/>
  <c r="CJ49" i="100"/>
  <c r="CJ55" i="100"/>
  <c r="CJ51" i="100"/>
  <c r="CJ47" i="100"/>
  <c r="CJ53" i="100"/>
  <c r="CJ54" i="100"/>
  <c r="CJ57" i="100"/>
  <c r="CJ58" i="100"/>
  <c r="CJ60" i="100"/>
  <c r="CJ52" i="100"/>
  <c r="CJ61" i="100"/>
  <c r="CI339" i="100"/>
  <c r="CI209" i="100"/>
  <c r="CI79" i="100"/>
  <c r="CI78" i="100" s="1"/>
  <c r="CJ291" i="100"/>
  <c r="CJ41" i="100"/>
  <c r="CJ296" i="100"/>
  <c r="CJ300" i="100"/>
  <c r="CJ192" i="100"/>
  <c r="CJ305" i="100"/>
  <c r="CJ184" i="100"/>
  <c r="CJ195" i="100"/>
  <c r="CJ180" i="100"/>
  <c r="CJ8" i="100"/>
  <c r="CJ337" i="100"/>
  <c r="CJ202" i="100"/>
  <c r="CJ188" i="100"/>
  <c r="CJ302" i="100"/>
  <c r="CJ163" i="100"/>
  <c r="CJ191" i="100"/>
  <c r="CJ34" i="100"/>
  <c r="CJ190" i="100"/>
  <c r="CJ15" i="100"/>
  <c r="CJ293" i="100"/>
  <c r="CJ292" i="100"/>
  <c r="CJ69" i="100"/>
  <c r="CJ303" i="100"/>
  <c r="CJ327" i="100"/>
  <c r="CJ294" i="100"/>
  <c r="CJ161" i="100"/>
  <c r="CJ17" i="100"/>
  <c r="CJ177" i="100"/>
  <c r="CJ10" i="100"/>
  <c r="CJ200" i="100"/>
  <c r="CJ174" i="100"/>
  <c r="CJ196" i="100"/>
  <c r="CK7" i="100"/>
  <c r="CJ321" i="100"/>
  <c r="CJ324" i="100"/>
  <c r="CJ73" i="100"/>
  <c r="CJ9" i="100"/>
  <c r="CJ173" i="100"/>
  <c r="CJ323" i="100"/>
  <c r="CJ32" i="100"/>
  <c r="CJ201" i="100"/>
  <c r="CJ194" i="100"/>
  <c r="CJ319" i="100"/>
  <c r="CJ159" i="100"/>
  <c r="CJ290" i="100"/>
  <c r="CJ318" i="100"/>
  <c r="CJ308" i="100"/>
  <c r="CJ29" i="100"/>
  <c r="CJ11" i="100"/>
  <c r="CJ38" i="100"/>
  <c r="CJ27" i="100"/>
  <c r="CJ178" i="100"/>
  <c r="CJ328" i="100"/>
  <c r="CJ333" i="100"/>
  <c r="CJ36" i="100"/>
  <c r="CJ14" i="100"/>
  <c r="CJ206" i="100"/>
  <c r="CJ77" i="100"/>
  <c r="CJ186" i="100"/>
  <c r="CJ75" i="100"/>
  <c r="CJ167" i="100"/>
  <c r="CJ182" i="100"/>
  <c r="CJ311" i="100"/>
  <c r="CJ203" i="100"/>
  <c r="CJ187" i="100"/>
  <c r="CJ317" i="100"/>
  <c r="CJ306" i="100"/>
  <c r="CJ316" i="100"/>
  <c r="CJ198" i="100"/>
  <c r="CJ183" i="100"/>
  <c r="CJ176" i="100"/>
  <c r="CJ204" i="100"/>
  <c r="CJ26" i="100"/>
  <c r="CJ299" i="100"/>
  <c r="CJ40" i="100"/>
  <c r="CJ310" i="100"/>
  <c r="CJ315" i="100"/>
  <c r="CJ65" i="100"/>
  <c r="CJ313" i="100"/>
  <c r="CJ189" i="100"/>
  <c r="CJ179" i="100"/>
  <c r="CJ68" i="100"/>
  <c r="CJ331" i="100"/>
  <c r="CJ314" i="100"/>
  <c r="CJ64" i="100"/>
  <c r="CJ325" i="100"/>
  <c r="CJ162" i="100"/>
  <c r="CJ67" i="100"/>
  <c r="CJ166" i="100"/>
  <c r="CJ71" i="100"/>
  <c r="CJ185" i="100"/>
  <c r="CJ336" i="100"/>
  <c r="CJ42" i="100"/>
  <c r="CJ207" i="100"/>
  <c r="CJ301" i="100"/>
  <c r="CJ164" i="100"/>
  <c r="CJ334" i="100"/>
  <c r="CJ37" i="100"/>
  <c r="CJ307" i="100"/>
  <c r="CJ330" i="100"/>
  <c r="CJ23" i="100"/>
  <c r="CJ35" i="100"/>
  <c r="CJ322" i="100"/>
  <c r="CJ175" i="100"/>
  <c r="CJ170" i="100"/>
  <c r="CJ329" i="100"/>
  <c r="CJ298" i="100"/>
  <c r="CJ22" i="100"/>
  <c r="CJ197" i="100"/>
  <c r="CJ43" i="100"/>
  <c r="CJ28" i="100"/>
  <c r="CJ33" i="100"/>
  <c r="CJ193" i="100"/>
  <c r="CJ70" i="100"/>
  <c r="CJ332" i="100"/>
  <c r="CJ320" i="100"/>
  <c r="CJ16" i="100"/>
  <c r="CJ199" i="100"/>
  <c r="CJ25" i="100"/>
  <c r="CJ335" i="100"/>
  <c r="CJ18" i="100"/>
  <c r="CJ12" i="100"/>
  <c r="CJ158" i="100"/>
  <c r="CJ30" i="100"/>
  <c r="CJ21" i="100"/>
  <c r="CJ288" i="100"/>
  <c r="CJ312" i="100"/>
  <c r="CJ76" i="100"/>
  <c r="CJ19" i="100"/>
  <c r="CJ304" i="100"/>
  <c r="CJ181" i="100"/>
  <c r="CJ297" i="100"/>
  <c r="CJ13" i="100"/>
  <c r="CJ289" i="100"/>
  <c r="CJ66" i="100"/>
  <c r="CJ172" i="100"/>
  <c r="CJ24" i="100"/>
  <c r="CJ168" i="100"/>
  <c r="CJ326" i="100"/>
  <c r="CJ74" i="100"/>
  <c r="CJ31" i="100"/>
  <c r="CJ39" i="100"/>
  <c r="CJ205" i="100"/>
  <c r="CJ20" i="100"/>
  <c r="CJ72" i="100"/>
  <c r="CJ295" i="100"/>
  <c r="CJ309" i="100"/>
  <c r="CJ169" i="100"/>
  <c r="CJ165" i="100"/>
  <c r="CJ171" i="100"/>
  <c r="CJ160" i="100"/>
  <c r="GH287" i="100"/>
  <c r="GG338" i="100"/>
  <c r="CK44" i="100" l="1"/>
  <c r="CK53" i="100"/>
  <c r="CK46" i="100"/>
  <c r="CK57" i="100"/>
  <c r="CK63" i="100"/>
  <c r="CK62" i="100"/>
  <c r="CK49" i="100"/>
  <c r="CK54" i="100"/>
  <c r="CK47" i="100"/>
  <c r="CK56" i="100"/>
  <c r="CK48" i="100"/>
  <c r="CK50" i="100"/>
  <c r="CK58" i="100"/>
  <c r="CK45" i="100"/>
  <c r="CK61" i="100"/>
  <c r="CK59" i="100"/>
  <c r="CK52" i="100"/>
  <c r="CK55" i="100"/>
  <c r="CK60" i="100"/>
  <c r="CK51" i="100"/>
  <c r="CJ79" i="100"/>
  <c r="CJ78" i="100" s="1"/>
  <c r="CJ339" i="100"/>
  <c r="CJ209" i="100"/>
  <c r="GI287" i="100"/>
  <c r="GH338" i="100"/>
  <c r="CK304" i="100"/>
  <c r="CK315" i="100"/>
  <c r="CK26" i="100"/>
  <c r="CK34" i="100"/>
  <c r="CK14" i="100"/>
  <c r="CK39" i="100"/>
  <c r="CK179" i="100"/>
  <c r="CK329" i="100"/>
  <c r="CK207" i="100"/>
  <c r="CK205" i="100"/>
  <c r="CK335" i="100"/>
  <c r="CK183" i="100"/>
  <c r="CK322" i="100"/>
  <c r="CK178" i="100"/>
  <c r="CK316" i="100"/>
  <c r="CK176" i="100"/>
  <c r="CK186" i="100"/>
  <c r="CK25" i="100"/>
  <c r="CK303" i="100"/>
  <c r="CK203" i="100"/>
  <c r="CK71" i="100"/>
  <c r="CK38" i="100"/>
  <c r="CK191" i="100"/>
  <c r="CK27" i="100"/>
  <c r="CK204" i="100"/>
  <c r="CK197" i="100"/>
  <c r="CK160" i="100"/>
  <c r="CK302" i="100"/>
  <c r="CK290" i="100"/>
  <c r="CK23" i="100"/>
  <c r="CK187" i="100"/>
  <c r="CK158" i="100"/>
  <c r="CK294" i="100"/>
  <c r="CK300" i="100"/>
  <c r="CK334" i="100"/>
  <c r="CK29" i="100"/>
  <c r="CK163" i="100"/>
  <c r="CK76" i="100"/>
  <c r="CK12" i="100"/>
  <c r="CK22" i="100"/>
  <c r="CK73" i="100"/>
  <c r="CK321" i="100"/>
  <c r="CK199" i="100"/>
  <c r="CK171" i="100"/>
  <c r="CL7" i="100"/>
  <c r="CK167" i="100"/>
  <c r="CK65" i="100"/>
  <c r="CK77" i="100"/>
  <c r="CK319" i="100"/>
  <c r="CK299" i="100"/>
  <c r="CK37" i="100"/>
  <c r="CK312" i="100"/>
  <c r="CK297" i="100"/>
  <c r="CK184" i="100"/>
  <c r="CK188" i="100"/>
  <c r="CK323" i="100"/>
  <c r="CK193" i="100"/>
  <c r="CK11" i="100"/>
  <c r="CK336" i="100"/>
  <c r="CK8" i="100"/>
  <c r="CK75" i="100"/>
  <c r="CK326" i="100"/>
  <c r="CK192" i="100"/>
  <c r="CK332" i="100"/>
  <c r="CK305" i="100"/>
  <c r="CK42" i="100"/>
  <c r="CK177" i="100"/>
  <c r="CK68" i="100"/>
  <c r="CK169" i="100"/>
  <c r="CK293" i="100"/>
  <c r="CK182" i="100"/>
  <c r="CK288" i="100"/>
  <c r="CK308" i="100"/>
  <c r="CK16" i="100"/>
  <c r="CK9" i="100"/>
  <c r="CK64" i="100"/>
  <c r="CK180" i="100"/>
  <c r="CK19" i="100"/>
  <c r="CK189" i="100"/>
  <c r="CK173" i="100"/>
  <c r="CK309" i="100"/>
  <c r="CK185" i="100"/>
  <c r="CK24" i="100"/>
  <c r="CK330" i="100"/>
  <c r="CK206" i="100"/>
  <c r="CK13" i="100"/>
  <c r="CK159" i="100"/>
  <c r="CK295" i="100"/>
  <c r="CK70" i="100"/>
  <c r="CK30" i="100"/>
  <c r="CK170" i="100"/>
  <c r="CK307" i="100"/>
  <c r="CK333" i="100"/>
  <c r="CK201" i="100"/>
  <c r="CK166" i="100"/>
  <c r="CK291" i="100"/>
  <c r="CK181" i="100"/>
  <c r="CK202" i="100"/>
  <c r="CK198" i="100"/>
  <c r="CK69" i="100"/>
  <c r="CK172" i="100"/>
  <c r="CK301" i="100"/>
  <c r="CK317" i="100"/>
  <c r="CK325" i="100"/>
  <c r="CK33" i="100"/>
  <c r="CK174" i="100"/>
  <c r="CK43" i="100"/>
  <c r="CK36" i="100"/>
  <c r="CK35" i="100"/>
  <c r="CK17" i="100"/>
  <c r="CK314" i="100"/>
  <c r="CK161" i="100"/>
  <c r="CK31" i="100"/>
  <c r="CK72" i="100"/>
  <c r="CK168" i="100"/>
  <c r="CK74" i="100"/>
  <c r="CK28" i="100"/>
  <c r="CK21" i="100"/>
  <c r="CK67" i="100"/>
  <c r="CK165" i="100"/>
  <c r="CK200" i="100"/>
  <c r="CK175" i="100"/>
  <c r="CK328" i="100"/>
  <c r="CK194" i="100"/>
  <c r="CK18" i="100"/>
  <c r="CK162" i="100"/>
  <c r="CK20" i="100"/>
  <c r="CK292" i="100"/>
  <c r="CK327" i="100"/>
  <c r="CK41" i="100"/>
  <c r="CK337" i="100"/>
  <c r="CK32" i="100"/>
  <c r="CK196" i="100"/>
  <c r="CK311" i="100"/>
  <c r="CK331" i="100"/>
  <c r="CK296" i="100"/>
  <c r="CK40" i="100"/>
  <c r="CK318" i="100"/>
  <c r="CK66" i="100"/>
  <c r="CK310" i="100"/>
  <c r="CK15" i="100"/>
  <c r="CK195" i="100"/>
  <c r="CK313" i="100"/>
  <c r="CK190" i="100"/>
  <c r="CK10" i="100"/>
  <c r="CK320" i="100"/>
  <c r="CK164" i="100"/>
  <c r="CK289" i="100"/>
  <c r="CK324" i="100"/>
  <c r="CK306" i="100"/>
  <c r="CK298" i="100"/>
  <c r="CL62" i="100" l="1"/>
  <c r="CL44" i="100"/>
  <c r="CL51" i="100"/>
  <c r="CL63" i="100"/>
  <c r="CL46" i="100"/>
  <c r="CL48" i="100"/>
  <c r="CL58" i="100"/>
  <c r="CL53" i="100"/>
  <c r="CL61" i="100"/>
  <c r="CL50" i="100"/>
  <c r="CL55" i="100"/>
  <c r="CL59" i="100"/>
  <c r="CL52" i="100"/>
  <c r="CL56" i="100"/>
  <c r="CL49" i="100"/>
  <c r="CL60" i="100"/>
  <c r="CL54" i="100"/>
  <c r="CL47" i="100"/>
  <c r="CL57" i="100"/>
  <c r="CL45" i="100"/>
  <c r="CK209" i="100"/>
  <c r="CK339" i="100"/>
  <c r="CK79" i="100"/>
  <c r="CK78" i="100" s="1"/>
  <c r="CL291" i="100"/>
  <c r="CL167" i="100"/>
  <c r="CL35" i="100"/>
  <c r="CL203" i="100"/>
  <c r="CL172" i="100"/>
  <c r="CL183" i="100"/>
  <c r="CL11" i="100"/>
  <c r="CL327" i="100"/>
  <c r="CL330" i="100"/>
  <c r="CL322" i="100"/>
  <c r="CL12" i="100"/>
  <c r="CL302" i="100"/>
  <c r="CL201" i="100"/>
  <c r="CL169" i="100"/>
  <c r="CL205" i="100"/>
  <c r="CL333" i="100"/>
  <c r="CL18" i="100"/>
  <c r="CL73" i="100"/>
  <c r="CL309" i="100"/>
  <c r="CL77" i="100"/>
  <c r="CL318" i="100"/>
  <c r="CL170" i="100"/>
  <c r="CL158" i="100"/>
  <c r="CL40" i="100"/>
  <c r="CL324" i="100"/>
  <c r="CL66" i="100"/>
  <c r="CL294" i="100"/>
  <c r="CL292" i="100"/>
  <c r="CL202" i="100"/>
  <c r="CL188" i="100"/>
  <c r="CL14" i="100"/>
  <c r="CL293" i="100"/>
  <c r="CL182" i="100"/>
  <c r="CL311" i="100"/>
  <c r="CL41" i="100"/>
  <c r="CL289" i="100"/>
  <c r="CL196" i="100"/>
  <c r="CL24" i="100"/>
  <c r="CL175" i="100"/>
  <c r="CL13" i="100"/>
  <c r="CL316" i="100"/>
  <c r="CL299" i="100"/>
  <c r="CL179" i="100"/>
  <c r="CL304" i="100"/>
  <c r="CL9" i="100"/>
  <c r="CL64" i="100"/>
  <c r="CL163" i="100"/>
  <c r="CL76" i="100"/>
  <c r="CL39" i="100"/>
  <c r="CL192" i="100"/>
  <c r="CL189" i="100"/>
  <c r="CL197" i="100"/>
  <c r="CL332" i="100"/>
  <c r="CL323" i="100"/>
  <c r="CL21" i="100"/>
  <c r="CL15" i="100"/>
  <c r="CL160" i="100"/>
  <c r="CL187" i="100"/>
  <c r="CL38" i="100"/>
  <c r="CL70" i="100"/>
  <c r="CL185" i="100"/>
  <c r="CL23" i="100"/>
  <c r="CL331" i="100"/>
  <c r="CL30" i="100"/>
  <c r="CL20" i="100"/>
  <c r="CL306" i="100"/>
  <c r="CL27" i="100"/>
  <c r="CL34" i="100"/>
  <c r="CL68" i="100"/>
  <c r="CL28" i="100"/>
  <c r="CL168" i="100"/>
  <c r="CL67" i="100"/>
  <c r="CL288" i="100"/>
  <c r="CL290" i="100"/>
  <c r="CL300" i="100"/>
  <c r="CL198" i="100"/>
  <c r="CL191" i="100"/>
  <c r="CL310" i="100"/>
  <c r="CL328" i="100"/>
  <c r="CL312" i="100"/>
  <c r="CM7" i="100"/>
  <c r="CL206" i="100"/>
  <c r="CL193" i="100"/>
  <c r="CL29" i="100"/>
  <c r="CL17" i="100"/>
  <c r="CL301" i="100"/>
  <c r="CL72" i="100"/>
  <c r="CL321" i="100"/>
  <c r="CL177" i="100"/>
  <c r="CL10" i="100"/>
  <c r="CL74" i="100"/>
  <c r="CL313" i="100"/>
  <c r="CL336" i="100"/>
  <c r="CL204" i="100"/>
  <c r="CL71" i="100"/>
  <c r="CL25" i="100"/>
  <c r="CL176" i="100"/>
  <c r="CL32" i="100"/>
  <c r="CL166" i="100"/>
  <c r="CL317" i="100"/>
  <c r="CL19" i="100"/>
  <c r="CL335" i="100"/>
  <c r="CL320" i="100"/>
  <c r="CL43" i="100"/>
  <c r="CL199" i="100"/>
  <c r="CL165" i="100"/>
  <c r="CL186" i="100"/>
  <c r="CL200" i="100"/>
  <c r="CL42" i="100"/>
  <c r="CL337" i="100"/>
  <c r="CL31" i="100"/>
  <c r="CL298" i="100"/>
  <c r="CL174" i="100"/>
  <c r="CL173" i="100"/>
  <c r="CL325" i="100"/>
  <c r="CL16" i="100"/>
  <c r="CL161" i="100"/>
  <c r="CL296" i="100"/>
  <c r="CL75" i="100"/>
  <c r="CL308" i="100"/>
  <c r="CL65" i="100"/>
  <c r="CL22" i="100"/>
  <c r="CL26" i="100"/>
  <c r="CL334" i="100"/>
  <c r="CL314" i="100"/>
  <c r="CL297" i="100"/>
  <c r="CL37" i="100"/>
  <c r="CL181" i="100"/>
  <c r="CL8" i="100"/>
  <c r="CL194" i="100"/>
  <c r="CL303" i="100"/>
  <c r="CL326" i="100"/>
  <c r="CL207" i="100"/>
  <c r="CL171" i="100"/>
  <c r="CL69" i="100"/>
  <c r="CL195" i="100"/>
  <c r="CL164" i="100"/>
  <c r="CL159" i="100"/>
  <c r="CL33" i="100"/>
  <c r="CL36" i="100"/>
  <c r="CL295" i="100"/>
  <c r="CL307" i="100"/>
  <c r="CL162" i="100"/>
  <c r="CL315" i="100"/>
  <c r="CL184" i="100"/>
  <c r="CL178" i="100"/>
  <c r="CL180" i="100"/>
  <c r="CL329" i="100"/>
  <c r="CL190" i="100"/>
  <c r="CL305" i="100"/>
  <c r="CL319" i="100"/>
  <c r="GJ287" i="100"/>
  <c r="GI338" i="100"/>
  <c r="CM62" i="100" l="1"/>
  <c r="CM57" i="100"/>
  <c r="CM46" i="100"/>
  <c r="CM44" i="100"/>
  <c r="CM63" i="100"/>
  <c r="CM54" i="100"/>
  <c r="CM56" i="100"/>
  <c r="CM55" i="100"/>
  <c r="CM61" i="100"/>
  <c r="CM49" i="100"/>
  <c r="CM45" i="100"/>
  <c r="CM58" i="100"/>
  <c r="CM50" i="100"/>
  <c r="CM59" i="100"/>
  <c r="CM51" i="100"/>
  <c r="CM53" i="100"/>
  <c r="CM52" i="100"/>
  <c r="CM47" i="100"/>
  <c r="CM48" i="100"/>
  <c r="CM60" i="100"/>
  <c r="CL339" i="100"/>
  <c r="CL79" i="100"/>
  <c r="CL78" i="100" s="1"/>
  <c r="CL209" i="100"/>
  <c r="GK287" i="100"/>
  <c r="GJ338" i="100"/>
  <c r="CM188" i="100"/>
  <c r="CM309" i="100"/>
  <c r="CM36" i="100"/>
  <c r="CM15" i="100"/>
  <c r="CM315" i="100"/>
  <c r="CM336" i="100"/>
  <c r="CM325" i="100"/>
  <c r="CM324" i="100"/>
  <c r="CM38" i="100"/>
  <c r="CM327" i="100"/>
  <c r="CM35" i="100"/>
  <c r="CM197" i="100"/>
  <c r="CM14" i="100"/>
  <c r="CN7" i="100"/>
  <c r="CM319" i="100"/>
  <c r="CM334" i="100"/>
  <c r="CM204" i="100"/>
  <c r="CM173" i="100"/>
  <c r="CM31" i="100"/>
  <c r="CM27" i="100"/>
  <c r="CM68" i="100"/>
  <c r="CM65" i="100"/>
  <c r="CM335" i="100"/>
  <c r="CM75" i="100"/>
  <c r="CM20" i="100"/>
  <c r="CM29" i="100"/>
  <c r="CM193" i="100"/>
  <c r="CM180" i="100"/>
  <c r="CM320" i="100"/>
  <c r="CM198" i="100"/>
  <c r="CM329" i="100"/>
  <c r="CM25" i="100"/>
  <c r="CM330" i="100"/>
  <c r="CM313" i="100"/>
  <c r="CM310" i="100"/>
  <c r="CM207" i="100"/>
  <c r="CM323" i="100"/>
  <c r="CM9" i="100"/>
  <c r="CM158" i="100"/>
  <c r="CM74" i="100"/>
  <c r="CM205" i="100"/>
  <c r="CM167" i="100"/>
  <c r="CM39" i="100"/>
  <c r="CM202" i="100"/>
  <c r="CM22" i="100"/>
  <c r="CM303" i="100"/>
  <c r="CM186" i="100"/>
  <c r="CM293" i="100"/>
  <c r="CM184" i="100"/>
  <c r="CM314" i="100"/>
  <c r="CM288" i="100"/>
  <c r="CM66" i="100"/>
  <c r="CM164" i="100"/>
  <c r="CM161" i="100"/>
  <c r="CM72" i="100"/>
  <c r="CM294" i="100"/>
  <c r="CM318" i="100"/>
  <c r="CM299" i="100"/>
  <c r="CM296" i="100"/>
  <c r="CM21" i="100"/>
  <c r="CM322" i="100"/>
  <c r="CM301" i="100"/>
  <c r="CM295" i="100"/>
  <c r="CM183" i="100"/>
  <c r="CM159" i="100"/>
  <c r="CM162" i="100"/>
  <c r="CM190" i="100"/>
  <c r="CM304" i="100"/>
  <c r="CM331" i="100"/>
  <c r="CM8" i="100"/>
  <c r="CM166" i="100"/>
  <c r="CM306" i="100"/>
  <c r="CM292" i="100"/>
  <c r="CM290" i="100"/>
  <c r="CM37" i="100"/>
  <c r="CM321" i="100"/>
  <c r="CM175" i="100"/>
  <c r="CM302" i="100"/>
  <c r="CM12" i="100"/>
  <c r="CM76" i="100"/>
  <c r="CM328" i="100"/>
  <c r="CM187" i="100"/>
  <c r="CM67" i="100"/>
  <c r="CM317" i="100"/>
  <c r="CM201" i="100"/>
  <c r="CM11" i="100"/>
  <c r="CM174" i="100"/>
  <c r="CM24" i="100"/>
  <c r="CM163" i="100"/>
  <c r="CM311" i="100"/>
  <c r="CM28" i="100"/>
  <c r="CM332" i="100"/>
  <c r="CM326" i="100"/>
  <c r="CM298" i="100"/>
  <c r="CM16" i="100"/>
  <c r="CM316" i="100"/>
  <c r="CM172" i="100"/>
  <c r="CM312" i="100"/>
  <c r="CM43" i="100"/>
  <c r="CM40" i="100"/>
  <c r="CM195" i="100"/>
  <c r="CM23" i="100"/>
  <c r="CM200" i="100"/>
  <c r="CM196" i="100"/>
  <c r="CM33" i="100"/>
  <c r="CM77" i="100"/>
  <c r="CM10" i="100"/>
  <c r="CM26" i="100"/>
  <c r="CM333" i="100"/>
  <c r="CM13" i="100"/>
  <c r="CM194" i="100"/>
  <c r="CM178" i="100"/>
  <c r="CM308" i="100"/>
  <c r="CM305" i="100"/>
  <c r="CM41" i="100"/>
  <c r="CM160" i="100"/>
  <c r="CM206" i="100"/>
  <c r="CM18" i="100"/>
  <c r="CM179" i="100"/>
  <c r="CM30" i="100"/>
  <c r="CM181" i="100"/>
  <c r="CM71" i="100"/>
  <c r="CM168" i="100"/>
  <c r="CM307" i="100"/>
  <c r="CM171" i="100"/>
  <c r="CM169" i="100"/>
  <c r="CM170" i="100"/>
  <c r="CM337" i="100"/>
  <c r="CM70" i="100"/>
  <c r="CM34" i="100"/>
  <c r="CM19" i="100"/>
  <c r="CM289" i="100"/>
  <c r="CM189" i="100"/>
  <c r="CM42" i="100"/>
  <c r="CM73" i="100"/>
  <c r="CM64" i="100"/>
  <c r="CM177" i="100"/>
  <c r="CM291" i="100"/>
  <c r="CM203" i="100"/>
  <c r="CM297" i="100"/>
  <c r="CM32" i="100"/>
  <c r="CM17" i="100"/>
  <c r="CM192" i="100"/>
  <c r="CM182" i="100"/>
  <c r="CM165" i="100"/>
  <c r="CM69" i="100"/>
  <c r="CM199" i="100"/>
  <c r="CM185" i="100"/>
  <c r="CM191" i="100"/>
  <c r="CM176" i="100"/>
  <c r="CM300" i="100"/>
  <c r="CN46" i="100" l="1"/>
  <c r="CN63" i="100"/>
  <c r="CN58" i="100"/>
  <c r="CN62" i="100"/>
  <c r="CN61" i="100"/>
  <c r="CN59" i="100"/>
  <c r="CN44" i="100"/>
  <c r="CN47" i="100"/>
  <c r="CN54" i="100"/>
  <c r="CN51" i="100"/>
  <c r="CN49" i="100"/>
  <c r="CN53" i="100"/>
  <c r="CN57" i="100"/>
  <c r="CN50" i="100"/>
  <c r="CN60" i="100"/>
  <c r="CN56" i="100"/>
  <c r="CN55" i="100"/>
  <c r="CN52" i="100"/>
  <c r="CN45" i="100"/>
  <c r="CN48" i="100"/>
  <c r="CM339" i="100"/>
  <c r="CM79" i="100"/>
  <c r="CM78" i="100" s="1"/>
  <c r="CM209" i="100"/>
  <c r="CN335" i="100"/>
  <c r="CN196" i="100"/>
  <c r="CN329" i="100"/>
  <c r="CN321" i="100"/>
  <c r="CN72" i="100"/>
  <c r="CN70" i="100"/>
  <c r="CN301" i="100"/>
  <c r="CN172" i="100"/>
  <c r="CN205" i="100"/>
  <c r="CN37" i="100"/>
  <c r="CN40" i="100"/>
  <c r="CN303" i="100"/>
  <c r="CN289" i="100"/>
  <c r="CN188" i="100"/>
  <c r="CN299" i="100"/>
  <c r="CN174" i="100"/>
  <c r="CN308" i="100"/>
  <c r="CN66" i="100"/>
  <c r="CN330" i="100"/>
  <c r="CN69" i="100"/>
  <c r="CN181" i="100"/>
  <c r="CN10" i="100"/>
  <c r="CN30" i="100"/>
  <c r="CN43" i="100"/>
  <c r="CN309" i="100"/>
  <c r="CN184" i="100"/>
  <c r="CN203" i="100"/>
  <c r="CN204" i="100"/>
  <c r="CN74" i="100"/>
  <c r="CN322" i="100"/>
  <c r="CN168" i="100"/>
  <c r="CN67" i="100"/>
  <c r="CN177" i="100"/>
  <c r="CN176" i="100"/>
  <c r="CN296" i="100"/>
  <c r="CN25" i="100"/>
  <c r="CN76" i="100"/>
  <c r="CN15" i="100"/>
  <c r="CN73" i="100"/>
  <c r="CN26" i="100"/>
  <c r="CN201" i="100"/>
  <c r="CN27" i="100"/>
  <c r="CN323" i="100"/>
  <c r="CN315" i="100"/>
  <c r="CN307" i="100"/>
  <c r="CN179" i="100"/>
  <c r="CN12" i="100"/>
  <c r="CN166" i="100"/>
  <c r="CN163" i="100"/>
  <c r="CN314" i="100"/>
  <c r="CN300" i="100"/>
  <c r="CN175" i="100"/>
  <c r="CN41" i="100"/>
  <c r="CN167" i="100"/>
  <c r="CN302" i="100"/>
  <c r="CN206" i="100"/>
  <c r="CN39" i="100"/>
  <c r="CN207" i="100"/>
  <c r="CN313" i="100"/>
  <c r="CN28" i="100"/>
  <c r="CN23" i="100"/>
  <c r="CN298" i="100"/>
  <c r="CN189" i="100"/>
  <c r="CN159" i="100"/>
  <c r="CN331" i="100"/>
  <c r="CN292" i="100"/>
  <c r="CN34" i="100"/>
  <c r="CN178" i="100"/>
  <c r="CN319" i="100"/>
  <c r="CN192" i="100"/>
  <c r="CN171" i="100"/>
  <c r="CN197" i="100"/>
  <c r="CN65" i="100"/>
  <c r="CN8" i="100"/>
  <c r="CN312" i="100"/>
  <c r="CN186" i="100"/>
  <c r="CN191" i="100"/>
  <c r="CN164" i="100"/>
  <c r="CN333" i="100"/>
  <c r="CN19" i="100"/>
  <c r="CN291" i="100"/>
  <c r="CN195" i="100"/>
  <c r="CN190" i="100"/>
  <c r="CN320" i="100"/>
  <c r="CN288" i="100"/>
  <c r="CN36" i="100"/>
  <c r="CN68" i="100"/>
  <c r="CN22" i="100"/>
  <c r="CN9" i="100"/>
  <c r="CN14" i="100"/>
  <c r="CN187" i="100"/>
  <c r="CN31" i="100"/>
  <c r="CN16" i="100"/>
  <c r="CN294" i="100"/>
  <c r="CN306" i="100"/>
  <c r="CN170" i="100"/>
  <c r="CN160" i="100"/>
  <c r="CN17" i="100"/>
  <c r="CN24" i="100"/>
  <c r="CN20" i="100"/>
  <c r="CN161" i="100"/>
  <c r="CN193" i="100"/>
  <c r="CN326" i="100"/>
  <c r="CN169" i="100"/>
  <c r="CN293" i="100"/>
  <c r="CN310" i="100"/>
  <c r="CN29" i="100"/>
  <c r="CN305" i="100"/>
  <c r="CN13" i="100"/>
  <c r="CN21" i="100"/>
  <c r="CN32" i="100"/>
  <c r="CN318" i="100"/>
  <c r="CN328" i="100"/>
  <c r="CN38" i="100"/>
  <c r="CN332" i="100"/>
  <c r="CN297" i="100"/>
  <c r="CN75" i="100"/>
  <c r="CN327" i="100"/>
  <c r="CO7" i="100"/>
  <c r="CN180" i="100"/>
  <c r="CN64" i="100"/>
  <c r="CN158" i="100"/>
  <c r="CN185" i="100"/>
  <c r="CN317" i="100"/>
  <c r="CN325" i="100"/>
  <c r="CN199" i="100"/>
  <c r="CN198" i="100"/>
  <c r="CN173" i="100"/>
  <c r="CN77" i="100"/>
  <c r="CN194" i="100"/>
  <c r="CN316" i="100"/>
  <c r="CN42" i="100"/>
  <c r="CN290" i="100"/>
  <c r="CN182" i="100"/>
  <c r="CN200" i="100"/>
  <c r="CN334" i="100"/>
  <c r="CN183" i="100"/>
  <c r="CN11" i="100"/>
  <c r="CN336" i="100"/>
  <c r="CN337" i="100"/>
  <c r="CN165" i="100"/>
  <c r="CN304" i="100"/>
  <c r="CN33" i="100"/>
  <c r="CN162" i="100"/>
  <c r="CN295" i="100"/>
  <c r="CN71" i="100"/>
  <c r="CN18" i="100"/>
  <c r="CN311" i="100"/>
  <c r="CN324" i="100"/>
  <c r="CN202" i="100"/>
  <c r="CN35" i="100"/>
  <c r="GL287" i="100"/>
  <c r="GK338" i="100"/>
  <c r="CO44" i="100" l="1"/>
  <c r="CO62" i="100"/>
  <c r="CO46" i="100"/>
  <c r="CO63" i="100"/>
  <c r="CO50" i="100"/>
  <c r="CO51" i="100"/>
  <c r="CO53" i="100"/>
  <c r="CO58" i="100"/>
  <c r="CO45" i="100"/>
  <c r="CO47" i="100"/>
  <c r="CO55" i="100"/>
  <c r="CO48" i="100"/>
  <c r="CO59" i="100"/>
  <c r="CO61" i="100"/>
  <c r="CO56" i="100"/>
  <c r="CO54" i="100"/>
  <c r="CO49" i="100"/>
  <c r="CO57" i="100"/>
  <c r="CO60" i="100"/>
  <c r="CO52" i="100"/>
  <c r="CN209" i="100"/>
  <c r="CN339" i="100"/>
  <c r="CN79" i="100"/>
  <c r="CN78" i="100" s="1"/>
  <c r="GM287" i="100"/>
  <c r="GL338" i="100"/>
  <c r="CO325" i="100"/>
  <c r="CO186" i="100"/>
  <c r="CO75" i="100"/>
  <c r="CO310" i="100"/>
  <c r="CO70" i="100"/>
  <c r="CO304" i="100"/>
  <c r="CO198" i="100"/>
  <c r="CO28" i="100"/>
  <c r="CO40" i="100"/>
  <c r="CO323" i="100"/>
  <c r="CO302" i="100"/>
  <c r="CO177" i="100"/>
  <c r="CO160" i="100"/>
  <c r="CO190" i="100"/>
  <c r="CO291" i="100"/>
  <c r="CO66" i="100"/>
  <c r="CO200" i="100"/>
  <c r="CO299" i="100"/>
  <c r="CO303" i="100"/>
  <c r="CO73" i="100"/>
  <c r="CO163" i="100"/>
  <c r="CO74" i="100"/>
  <c r="CO197" i="100"/>
  <c r="CO37" i="100"/>
  <c r="CO72" i="100"/>
  <c r="CO169" i="100"/>
  <c r="CO178" i="100"/>
  <c r="CO298" i="100"/>
  <c r="CO41" i="100"/>
  <c r="CO321" i="100"/>
  <c r="CO301" i="100"/>
  <c r="CO328" i="100"/>
  <c r="CO36" i="100"/>
  <c r="CO18" i="100"/>
  <c r="CO188" i="100"/>
  <c r="CO322" i="100"/>
  <c r="CO311" i="100"/>
  <c r="CO194" i="100"/>
  <c r="CO168" i="100"/>
  <c r="CO159" i="100"/>
  <c r="CO164" i="100"/>
  <c r="CO183" i="100"/>
  <c r="CO24" i="100"/>
  <c r="CO290" i="100"/>
  <c r="CO158" i="100"/>
  <c r="CO314" i="100"/>
  <c r="CO335" i="100"/>
  <c r="CO19" i="100"/>
  <c r="CO300" i="100"/>
  <c r="CO9" i="100"/>
  <c r="CO179" i="100"/>
  <c r="CO38" i="100"/>
  <c r="CO308" i="100"/>
  <c r="CO67" i="100"/>
  <c r="CO13" i="100"/>
  <c r="CO166" i="100"/>
  <c r="CO31" i="100"/>
  <c r="CO196" i="100"/>
  <c r="CO33" i="100"/>
  <c r="CO173" i="100"/>
  <c r="CO167" i="100"/>
  <c r="CO306" i="100"/>
  <c r="CO319" i="100"/>
  <c r="CO180" i="100"/>
  <c r="CO193" i="100"/>
  <c r="CO316" i="100"/>
  <c r="CO192" i="100"/>
  <c r="CO181" i="100"/>
  <c r="CO16" i="100"/>
  <c r="CO162" i="100"/>
  <c r="CO39" i="100"/>
  <c r="CO35" i="100"/>
  <c r="CO172" i="100"/>
  <c r="CO15" i="100"/>
  <c r="CO187" i="100"/>
  <c r="CO315" i="100"/>
  <c r="CO14" i="100"/>
  <c r="CO185" i="100"/>
  <c r="CO206" i="100"/>
  <c r="CO203" i="100"/>
  <c r="CO68" i="100"/>
  <c r="CO17" i="100"/>
  <c r="CO22" i="100"/>
  <c r="CO195" i="100"/>
  <c r="CO336" i="100"/>
  <c r="CO201" i="100"/>
  <c r="CO65" i="100"/>
  <c r="CO296" i="100"/>
  <c r="CO292" i="100"/>
  <c r="CO11" i="100"/>
  <c r="CO20" i="100"/>
  <c r="CO199" i="100"/>
  <c r="CO12" i="100"/>
  <c r="CO294" i="100"/>
  <c r="CO324" i="100"/>
  <c r="CO326" i="100"/>
  <c r="CO71" i="100"/>
  <c r="CO337" i="100"/>
  <c r="CO32" i="100"/>
  <c r="CO331" i="100"/>
  <c r="CO10" i="100"/>
  <c r="CO30" i="100"/>
  <c r="CO313" i="100"/>
  <c r="CO289" i="100"/>
  <c r="CO25" i="100"/>
  <c r="CO23" i="100"/>
  <c r="CO34" i="100"/>
  <c r="CO307" i="100"/>
  <c r="CO318" i="100"/>
  <c r="CO182" i="100"/>
  <c r="CO21" i="100"/>
  <c r="CO288" i="100"/>
  <c r="CO202" i="100"/>
  <c r="CO170" i="100"/>
  <c r="CO297" i="100"/>
  <c r="CO176" i="100"/>
  <c r="CO175" i="100"/>
  <c r="CO305" i="100"/>
  <c r="CO26" i="100"/>
  <c r="CO77" i="100"/>
  <c r="CO27" i="100"/>
  <c r="CO205" i="100"/>
  <c r="CO320" i="100"/>
  <c r="CO174" i="100"/>
  <c r="CO161" i="100"/>
  <c r="CO333" i="100"/>
  <c r="CO293" i="100"/>
  <c r="CO295" i="100"/>
  <c r="CO8" i="100"/>
  <c r="CO42" i="100"/>
  <c r="CO189" i="100"/>
  <c r="CO327" i="100"/>
  <c r="CO184" i="100"/>
  <c r="CO43" i="100"/>
  <c r="CO309" i="100"/>
  <c r="CP7" i="100"/>
  <c r="CO69" i="100"/>
  <c r="CO334" i="100"/>
  <c r="CO64" i="100"/>
  <c r="CO29" i="100"/>
  <c r="CO165" i="100"/>
  <c r="CO204" i="100"/>
  <c r="CO191" i="100"/>
  <c r="CO317" i="100"/>
  <c r="CO329" i="100"/>
  <c r="CO171" i="100"/>
  <c r="CO312" i="100"/>
  <c r="CO332" i="100"/>
  <c r="CO330" i="100"/>
  <c r="CO207" i="100"/>
  <c r="CO76" i="100"/>
  <c r="CP51" i="100" l="1"/>
  <c r="CP63" i="100"/>
  <c r="CP46" i="100"/>
  <c r="CP45" i="100"/>
  <c r="CP62" i="100"/>
  <c r="CP44" i="100"/>
  <c r="CP49" i="100"/>
  <c r="CP59" i="100"/>
  <c r="CP48" i="100"/>
  <c r="CP50" i="100"/>
  <c r="CP53" i="100"/>
  <c r="CP52" i="100"/>
  <c r="CP58" i="100"/>
  <c r="CP47" i="100"/>
  <c r="CP57" i="100"/>
  <c r="CP60" i="100"/>
  <c r="CP54" i="100"/>
  <c r="CP55" i="100"/>
  <c r="CP61" i="100"/>
  <c r="CP56" i="100"/>
  <c r="CO339" i="100"/>
  <c r="CO79" i="100"/>
  <c r="CO78" i="100" s="1"/>
  <c r="CO209" i="100"/>
  <c r="CP169" i="100"/>
  <c r="CP76" i="100"/>
  <c r="CP198" i="100"/>
  <c r="CP19" i="100"/>
  <c r="CP40" i="100"/>
  <c r="CP39" i="100"/>
  <c r="CP43" i="100"/>
  <c r="CP20" i="100"/>
  <c r="CP321" i="100"/>
  <c r="CP191" i="100"/>
  <c r="CP70" i="100"/>
  <c r="CP325" i="100"/>
  <c r="CP161" i="100"/>
  <c r="CP160" i="100"/>
  <c r="CP173" i="100"/>
  <c r="CP26" i="100"/>
  <c r="CP29" i="100"/>
  <c r="CP75" i="100"/>
  <c r="CP183" i="100"/>
  <c r="CP290" i="100"/>
  <c r="CP185" i="100"/>
  <c r="CP302" i="100"/>
  <c r="CP187" i="100"/>
  <c r="CP64" i="100"/>
  <c r="CP171" i="100"/>
  <c r="CP312" i="100"/>
  <c r="CP175" i="100"/>
  <c r="CP162" i="100"/>
  <c r="CP189" i="100"/>
  <c r="CP159" i="100"/>
  <c r="CP299" i="100"/>
  <c r="CP334" i="100"/>
  <c r="CP11" i="100"/>
  <c r="CP296" i="100"/>
  <c r="CP186" i="100"/>
  <c r="CP201" i="100"/>
  <c r="CP192" i="100"/>
  <c r="CP298" i="100"/>
  <c r="CP37" i="100"/>
  <c r="CP66" i="100"/>
  <c r="CP333" i="100"/>
  <c r="CP179" i="100"/>
  <c r="CP303" i="100"/>
  <c r="CP180" i="100"/>
  <c r="CP177" i="100"/>
  <c r="CP294" i="100"/>
  <c r="CP190" i="100"/>
  <c r="CP166" i="100"/>
  <c r="CP72" i="100"/>
  <c r="CP310" i="100"/>
  <c r="CP24" i="100"/>
  <c r="CP318" i="100"/>
  <c r="CP35" i="100"/>
  <c r="CP291" i="100"/>
  <c r="CP329" i="100"/>
  <c r="CP14" i="100"/>
  <c r="CP194" i="100"/>
  <c r="CP207" i="100"/>
  <c r="CP202" i="100"/>
  <c r="CP304" i="100"/>
  <c r="CP305" i="100"/>
  <c r="CP168" i="100"/>
  <c r="CP306" i="100"/>
  <c r="CP288" i="100"/>
  <c r="CP195" i="100"/>
  <c r="CP31" i="100"/>
  <c r="CP331" i="100"/>
  <c r="CP22" i="100"/>
  <c r="CP309" i="100"/>
  <c r="CP163" i="100"/>
  <c r="CP319" i="100"/>
  <c r="CP292" i="100"/>
  <c r="CP300" i="100"/>
  <c r="CP9" i="100"/>
  <c r="CP68" i="100"/>
  <c r="CP23" i="100"/>
  <c r="CP170" i="100"/>
  <c r="CP69" i="100"/>
  <c r="CP33" i="100"/>
  <c r="CP332" i="100"/>
  <c r="CP167" i="100"/>
  <c r="CP308" i="100"/>
  <c r="CP158" i="100"/>
  <c r="CP77" i="100"/>
  <c r="CP328" i="100"/>
  <c r="CP313" i="100"/>
  <c r="CP65" i="100"/>
  <c r="CQ7" i="100"/>
  <c r="CP199" i="100"/>
  <c r="CP164" i="100"/>
  <c r="CP205" i="100"/>
  <c r="CP16" i="100"/>
  <c r="CP193" i="100"/>
  <c r="CP197" i="100"/>
  <c r="CP327" i="100"/>
  <c r="CP25" i="100"/>
  <c r="CP71" i="100"/>
  <c r="CP15" i="100"/>
  <c r="CP315" i="100"/>
  <c r="CP17" i="100"/>
  <c r="CP38" i="100"/>
  <c r="CP203" i="100"/>
  <c r="CP316" i="100"/>
  <c r="CP41" i="100"/>
  <c r="CP13" i="100"/>
  <c r="CP181" i="100"/>
  <c r="CP307" i="100"/>
  <c r="CP172" i="100"/>
  <c r="CP176" i="100"/>
  <c r="CP12" i="100"/>
  <c r="CP28" i="100"/>
  <c r="CP200" i="100"/>
  <c r="CP314" i="100"/>
  <c r="CP42" i="100"/>
  <c r="CP178" i="100"/>
  <c r="CP196" i="100"/>
  <c r="CP289" i="100"/>
  <c r="CP184" i="100"/>
  <c r="CP18" i="100"/>
  <c r="CP326" i="100"/>
  <c r="CP73" i="100"/>
  <c r="CP311" i="100"/>
  <c r="CP330" i="100"/>
  <c r="CP301" i="100"/>
  <c r="CP293" i="100"/>
  <c r="CP74" i="100"/>
  <c r="CP10" i="100"/>
  <c r="CP182" i="100"/>
  <c r="CP335" i="100"/>
  <c r="CP27" i="100"/>
  <c r="CP320" i="100"/>
  <c r="CP36" i="100"/>
  <c r="CP206" i="100"/>
  <c r="CP21" i="100"/>
  <c r="CP324" i="100"/>
  <c r="CP295" i="100"/>
  <c r="CP297" i="100"/>
  <c r="CP337" i="100"/>
  <c r="CP165" i="100"/>
  <c r="CP8" i="100"/>
  <c r="CP323" i="100"/>
  <c r="CP32" i="100"/>
  <c r="CP336" i="100"/>
  <c r="CP34" i="100"/>
  <c r="CP174" i="100"/>
  <c r="CP322" i="100"/>
  <c r="CP30" i="100"/>
  <c r="CP317" i="100"/>
  <c r="CP67" i="100"/>
  <c r="CP204" i="100"/>
  <c r="CP188" i="100"/>
  <c r="GN287" i="100"/>
  <c r="GM338" i="100"/>
  <c r="CQ63" i="100" l="1"/>
  <c r="CQ44" i="100"/>
  <c r="CQ46" i="100"/>
  <c r="CQ59" i="100"/>
  <c r="CQ51" i="100"/>
  <c r="CQ62" i="100"/>
  <c r="CQ54" i="100"/>
  <c r="CQ45" i="100"/>
  <c r="CQ61" i="100"/>
  <c r="CQ53" i="100"/>
  <c r="CQ48" i="100"/>
  <c r="CQ55" i="100"/>
  <c r="CQ60" i="100"/>
  <c r="CQ50" i="100"/>
  <c r="CQ57" i="100"/>
  <c r="CQ58" i="100"/>
  <c r="CQ47" i="100"/>
  <c r="CQ49" i="100"/>
  <c r="CQ52" i="100"/>
  <c r="CQ56" i="100"/>
  <c r="CP79" i="100"/>
  <c r="CP78" i="100" s="1"/>
  <c r="CP339" i="100"/>
  <c r="CP209" i="100"/>
  <c r="GO287" i="100"/>
  <c r="GN338" i="100"/>
  <c r="CQ330" i="100"/>
  <c r="CQ307" i="100"/>
  <c r="CQ36" i="100"/>
  <c r="CQ298" i="100"/>
  <c r="CQ177" i="100"/>
  <c r="CQ13" i="100"/>
  <c r="CQ179" i="100"/>
  <c r="CQ165" i="100"/>
  <c r="CQ174" i="100"/>
  <c r="CQ317" i="100"/>
  <c r="CQ161" i="100"/>
  <c r="CQ309" i="100"/>
  <c r="CQ185" i="100"/>
  <c r="CQ189" i="100"/>
  <c r="CQ336" i="100"/>
  <c r="CQ325" i="100"/>
  <c r="CQ314" i="100"/>
  <c r="CQ11" i="100"/>
  <c r="CQ64" i="100"/>
  <c r="CQ326" i="100"/>
  <c r="CQ17" i="100"/>
  <c r="CQ186" i="100"/>
  <c r="CQ16" i="100"/>
  <c r="CQ169" i="100"/>
  <c r="CQ289" i="100"/>
  <c r="CQ292" i="100"/>
  <c r="CQ299" i="100"/>
  <c r="CQ41" i="100"/>
  <c r="CQ327" i="100"/>
  <c r="CQ302" i="100"/>
  <c r="CQ33" i="100"/>
  <c r="CQ74" i="100"/>
  <c r="CQ288" i="100"/>
  <c r="CQ297" i="100"/>
  <c r="CQ207" i="100"/>
  <c r="CQ25" i="100"/>
  <c r="CQ31" i="100"/>
  <c r="CQ335" i="100"/>
  <c r="CQ324" i="100"/>
  <c r="CQ19" i="100"/>
  <c r="CQ40" i="100"/>
  <c r="CQ320" i="100"/>
  <c r="CQ71" i="100"/>
  <c r="CQ30" i="100"/>
  <c r="CQ170" i="100"/>
  <c r="CQ173" i="100"/>
  <c r="CQ194" i="100"/>
  <c r="CQ337" i="100"/>
  <c r="CQ200" i="100"/>
  <c r="CQ70" i="100"/>
  <c r="CQ183" i="100"/>
  <c r="CQ196" i="100"/>
  <c r="CQ76" i="100"/>
  <c r="CQ27" i="100"/>
  <c r="CQ201" i="100"/>
  <c r="CQ322" i="100"/>
  <c r="CQ26" i="100"/>
  <c r="CQ319" i="100"/>
  <c r="CQ193" i="100"/>
  <c r="CQ166" i="100"/>
  <c r="CQ15" i="100"/>
  <c r="CQ34" i="100"/>
  <c r="CQ67" i="100"/>
  <c r="CQ164" i="100"/>
  <c r="CQ66" i="100"/>
  <c r="CQ323" i="100"/>
  <c r="CQ9" i="100"/>
  <c r="CQ333" i="100"/>
  <c r="CQ42" i="100"/>
  <c r="CQ329" i="100"/>
  <c r="CQ162" i="100"/>
  <c r="CQ301" i="100"/>
  <c r="CQ293" i="100"/>
  <c r="CQ305" i="100"/>
  <c r="CQ313" i="100"/>
  <c r="CQ12" i="100"/>
  <c r="CQ321" i="100"/>
  <c r="CQ43" i="100"/>
  <c r="CQ191" i="100"/>
  <c r="CQ23" i="100"/>
  <c r="CQ181" i="100"/>
  <c r="CQ69" i="100"/>
  <c r="CQ159" i="100"/>
  <c r="CQ171" i="100"/>
  <c r="CQ315" i="100"/>
  <c r="CQ176" i="100"/>
  <c r="CQ318" i="100"/>
  <c r="CQ190" i="100"/>
  <c r="CQ197" i="100"/>
  <c r="CQ205" i="100"/>
  <c r="CQ20" i="100"/>
  <c r="CQ187" i="100"/>
  <c r="CQ21" i="100"/>
  <c r="CQ37" i="100"/>
  <c r="CQ73" i="100"/>
  <c r="CQ308" i="100"/>
  <c r="CQ68" i="100"/>
  <c r="CQ300" i="100"/>
  <c r="CQ29" i="100"/>
  <c r="CQ184" i="100"/>
  <c r="CQ291" i="100"/>
  <c r="CQ203" i="100"/>
  <c r="CQ163" i="100"/>
  <c r="CQ290" i="100"/>
  <c r="CQ316" i="100"/>
  <c r="CQ14" i="100"/>
  <c r="CQ188" i="100"/>
  <c r="CQ175" i="100"/>
  <c r="CQ331" i="100"/>
  <c r="CQ192" i="100"/>
  <c r="CQ10" i="100"/>
  <c r="CQ75" i="100"/>
  <c r="CQ294" i="100"/>
  <c r="CQ167" i="100"/>
  <c r="CQ22" i="100"/>
  <c r="CQ38" i="100"/>
  <c r="CQ199" i="100"/>
  <c r="CQ35" i="100"/>
  <c r="CQ198" i="100"/>
  <c r="CQ65" i="100"/>
  <c r="CR7" i="100"/>
  <c r="CQ178" i="100"/>
  <c r="CQ180" i="100"/>
  <c r="CQ306" i="100"/>
  <c r="CQ172" i="100"/>
  <c r="CQ39" i="100"/>
  <c r="CQ158" i="100"/>
  <c r="CQ72" i="100"/>
  <c r="CQ310" i="100"/>
  <c r="CQ312" i="100"/>
  <c r="CQ328" i="100"/>
  <c r="CQ303" i="100"/>
  <c r="CQ32" i="100"/>
  <c r="CQ24" i="100"/>
  <c r="CQ182" i="100"/>
  <c r="CQ202" i="100"/>
  <c r="CQ295" i="100"/>
  <c r="CQ204" i="100"/>
  <c r="CQ168" i="100"/>
  <c r="CQ334" i="100"/>
  <c r="CQ8" i="100"/>
  <c r="CQ332" i="100"/>
  <c r="CQ18" i="100"/>
  <c r="CQ28" i="100"/>
  <c r="CQ195" i="100"/>
  <c r="CQ77" i="100"/>
  <c r="CQ206" i="100"/>
  <c r="CQ160" i="100"/>
  <c r="CQ296" i="100"/>
  <c r="CQ304" i="100"/>
  <c r="CQ311" i="100"/>
  <c r="CR63" i="100" l="1"/>
  <c r="CR44" i="100"/>
  <c r="CR46" i="100"/>
  <c r="CR59" i="100"/>
  <c r="CR62" i="100"/>
  <c r="CR49" i="100"/>
  <c r="CR57" i="100"/>
  <c r="CR45" i="100"/>
  <c r="CR51" i="100"/>
  <c r="CR48" i="100"/>
  <c r="CR53" i="100"/>
  <c r="CR56" i="100"/>
  <c r="CR50" i="100"/>
  <c r="CR58" i="100"/>
  <c r="CR55" i="100"/>
  <c r="CR47" i="100"/>
  <c r="CR61" i="100"/>
  <c r="CR52" i="100"/>
  <c r="CR54" i="100"/>
  <c r="CR60" i="100"/>
  <c r="CQ209" i="100"/>
  <c r="CQ79" i="100"/>
  <c r="CQ78" i="100" s="1"/>
  <c r="CQ339" i="100"/>
  <c r="CR13" i="100"/>
  <c r="CR178" i="100"/>
  <c r="CR174" i="100"/>
  <c r="CR324" i="100"/>
  <c r="CR34" i="100"/>
  <c r="CR308" i="100"/>
  <c r="CR190" i="100"/>
  <c r="CR197" i="100"/>
  <c r="CR42" i="100"/>
  <c r="CR177" i="100"/>
  <c r="CR187" i="100"/>
  <c r="CR180" i="100"/>
  <c r="CR12" i="100"/>
  <c r="CR71" i="100"/>
  <c r="CR292" i="100"/>
  <c r="CR39" i="100"/>
  <c r="CR335" i="100"/>
  <c r="CR328" i="100"/>
  <c r="CR306" i="100"/>
  <c r="CR195" i="100"/>
  <c r="CR326" i="100"/>
  <c r="CR191" i="100"/>
  <c r="CR183" i="100"/>
  <c r="CR291" i="100"/>
  <c r="CR167" i="100"/>
  <c r="CR207" i="100"/>
  <c r="CR203" i="100"/>
  <c r="CR163" i="100"/>
  <c r="CR305" i="100"/>
  <c r="CR69" i="100"/>
  <c r="CR322" i="100"/>
  <c r="CR162" i="100"/>
  <c r="CR299" i="100"/>
  <c r="CR297" i="100"/>
  <c r="CR184" i="100"/>
  <c r="CR170" i="100"/>
  <c r="CR300" i="100"/>
  <c r="CR309" i="100"/>
  <c r="CR311" i="100"/>
  <c r="CR159" i="100"/>
  <c r="CR188" i="100"/>
  <c r="CR10" i="100"/>
  <c r="CR31" i="100"/>
  <c r="CR15" i="100"/>
  <c r="CR67" i="100"/>
  <c r="CR166" i="100"/>
  <c r="CR169" i="100"/>
  <c r="CR171" i="100"/>
  <c r="CR66" i="100"/>
  <c r="CR316" i="100"/>
  <c r="CR179" i="100"/>
  <c r="CR68" i="100"/>
  <c r="CR38" i="100"/>
  <c r="CR201" i="100"/>
  <c r="CR192" i="100"/>
  <c r="CR294" i="100"/>
  <c r="CR298" i="100"/>
  <c r="CR327" i="100"/>
  <c r="CR304" i="100"/>
  <c r="CR76" i="100"/>
  <c r="CR165" i="100"/>
  <c r="CR321" i="100"/>
  <c r="CR312" i="100"/>
  <c r="CR196" i="100"/>
  <c r="CR9" i="100"/>
  <c r="CR26" i="100"/>
  <c r="CR164" i="100"/>
  <c r="CR185" i="100"/>
  <c r="CR28" i="100"/>
  <c r="CR158" i="100"/>
  <c r="CR32" i="100"/>
  <c r="CR296" i="100"/>
  <c r="CR319" i="100"/>
  <c r="CR200" i="100"/>
  <c r="CR25" i="100"/>
  <c r="CR323" i="100"/>
  <c r="CR11" i="100"/>
  <c r="CR160" i="100"/>
  <c r="CR189" i="100"/>
  <c r="CR307" i="100"/>
  <c r="CR24" i="100"/>
  <c r="CR77" i="100"/>
  <c r="CR17" i="100"/>
  <c r="CR8" i="100"/>
  <c r="CR336" i="100"/>
  <c r="CR325" i="100"/>
  <c r="CR293" i="100"/>
  <c r="CR30" i="100"/>
  <c r="CR29" i="100"/>
  <c r="CR289" i="100"/>
  <c r="CR206" i="100"/>
  <c r="CR172" i="100"/>
  <c r="CR18" i="100"/>
  <c r="CR14" i="100"/>
  <c r="CR23" i="100"/>
  <c r="CR33" i="100"/>
  <c r="CR19" i="100"/>
  <c r="CR199" i="100"/>
  <c r="CR330" i="100"/>
  <c r="CR16" i="100"/>
  <c r="CR303" i="100"/>
  <c r="CR295" i="100"/>
  <c r="CR194" i="100"/>
  <c r="CR310" i="100"/>
  <c r="CR72" i="100"/>
  <c r="CR74" i="100"/>
  <c r="CR288" i="100"/>
  <c r="CR337" i="100"/>
  <c r="CR75" i="100"/>
  <c r="CR161" i="100"/>
  <c r="CR20" i="100"/>
  <c r="CR40" i="100"/>
  <c r="CR70" i="100"/>
  <c r="CR22" i="100"/>
  <c r="CR204" i="100"/>
  <c r="CR333" i="100"/>
  <c r="CR329" i="100"/>
  <c r="CR43" i="100"/>
  <c r="CR175" i="100"/>
  <c r="CR290" i="100"/>
  <c r="CR182" i="100"/>
  <c r="CR64" i="100"/>
  <c r="CR37" i="100"/>
  <c r="CR331" i="100"/>
  <c r="CR168" i="100"/>
  <c r="CR73" i="100"/>
  <c r="CR173" i="100"/>
  <c r="CR313" i="100"/>
  <c r="CR302" i="100"/>
  <c r="CR202" i="100"/>
  <c r="CR27" i="100"/>
  <c r="CR314" i="100"/>
  <c r="CR315" i="100"/>
  <c r="CR317" i="100"/>
  <c r="CR35" i="100"/>
  <c r="CR193" i="100"/>
  <c r="CS7" i="100"/>
  <c r="CR320" i="100"/>
  <c r="CR205" i="100"/>
  <c r="CR65" i="100"/>
  <c r="CR36" i="100"/>
  <c r="CR181" i="100"/>
  <c r="CR301" i="100"/>
  <c r="CR186" i="100"/>
  <c r="CR318" i="100"/>
  <c r="CR334" i="100"/>
  <c r="CR176" i="100"/>
  <c r="CR332" i="100"/>
  <c r="CR41" i="100"/>
  <c r="CR198" i="100"/>
  <c r="CR21" i="100"/>
  <c r="GP287" i="100"/>
  <c r="GO338" i="100"/>
  <c r="CS45" i="100" l="1"/>
  <c r="CS63" i="100"/>
  <c r="CS56" i="100"/>
  <c r="CS62" i="100"/>
  <c r="CS46" i="100"/>
  <c r="CS44" i="100"/>
  <c r="CS61" i="100"/>
  <c r="CS55" i="100"/>
  <c r="CS49" i="100"/>
  <c r="CS48" i="100"/>
  <c r="CS50" i="100"/>
  <c r="CS58" i="100"/>
  <c r="CS53" i="100"/>
  <c r="CS60" i="100"/>
  <c r="CS54" i="100"/>
  <c r="CS59" i="100"/>
  <c r="CS52" i="100"/>
  <c r="CS47" i="100"/>
  <c r="CS51" i="100"/>
  <c r="CS57" i="100"/>
  <c r="CR79" i="100"/>
  <c r="CR78" i="100" s="1"/>
  <c r="CR209" i="100"/>
  <c r="CR339" i="100"/>
  <c r="CS310" i="100"/>
  <c r="CS190" i="100"/>
  <c r="CS166" i="100"/>
  <c r="CS298" i="100"/>
  <c r="CS290" i="100"/>
  <c r="CS328" i="100"/>
  <c r="CS293" i="100"/>
  <c r="CS167" i="100"/>
  <c r="CS34" i="100"/>
  <c r="CS199" i="100"/>
  <c r="CS74" i="100"/>
  <c r="CS307" i="100"/>
  <c r="CS171" i="100"/>
  <c r="CS205" i="100"/>
  <c r="CS26" i="100"/>
  <c r="CS164" i="100"/>
  <c r="CS163" i="100"/>
  <c r="CS41" i="100"/>
  <c r="CS333" i="100"/>
  <c r="CS188" i="100"/>
  <c r="CS175" i="100"/>
  <c r="CS189" i="100"/>
  <c r="CS297" i="100"/>
  <c r="CS69" i="100"/>
  <c r="CS202" i="100"/>
  <c r="CS192" i="100"/>
  <c r="CS321" i="100"/>
  <c r="CS18" i="100"/>
  <c r="CS159" i="100"/>
  <c r="CS331" i="100"/>
  <c r="CS9" i="100"/>
  <c r="CS23" i="100"/>
  <c r="CS40" i="100"/>
  <c r="CS301" i="100"/>
  <c r="CS25" i="100"/>
  <c r="CS39" i="100"/>
  <c r="CS19" i="100"/>
  <c r="CS35" i="100"/>
  <c r="CS27" i="100"/>
  <c r="CS326" i="100"/>
  <c r="CS303" i="100"/>
  <c r="CS198" i="100"/>
  <c r="CS306" i="100"/>
  <c r="CS315" i="100"/>
  <c r="CS322" i="100"/>
  <c r="CS14" i="100"/>
  <c r="CS17" i="100"/>
  <c r="CS11" i="100"/>
  <c r="CS24" i="100"/>
  <c r="CS43" i="100"/>
  <c r="CS195" i="100"/>
  <c r="CS30" i="100"/>
  <c r="CS71" i="100"/>
  <c r="CS191" i="100"/>
  <c r="CS181" i="100"/>
  <c r="CS193" i="100"/>
  <c r="CS311" i="100"/>
  <c r="CS330" i="100"/>
  <c r="CS72" i="100"/>
  <c r="CS22" i="100"/>
  <c r="CS169" i="100"/>
  <c r="CS295" i="100"/>
  <c r="CS300" i="100"/>
  <c r="CS20" i="100"/>
  <c r="CS165" i="100"/>
  <c r="CS42" i="100"/>
  <c r="CS182" i="100"/>
  <c r="CS296" i="100"/>
  <c r="CS179" i="100"/>
  <c r="CS291" i="100"/>
  <c r="CS203" i="100"/>
  <c r="CS15" i="100"/>
  <c r="CS309" i="100"/>
  <c r="CS289" i="100"/>
  <c r="CS185" i="100"/>
  <c r="CS334" i="100"/>
  <c r="CS161" i="100"/>
  <c r="CS73" i="100"/>
  <c r="CS308" i="100"/>
  <c r="CS313" i="100"/>
  <c r="CS316" i="100"/>
  <c r="CS319" i="100"/>
  <c r="CS194" i="100"/>
  <c r="CS292" i="100"/>
  <c r="CS335" i="100"/>
  <c r="CS324" i="100"/>
  <c r="CS302" i="100"/>
  <c r="CS294" i="100"/>
  <c r="CS70" i="100"/>
  <c r="CS162" i="100"/>
  <c r="CS160" i="100"/>
  <c r="CS180" i="100"/>
  <c r="CS318" i="100"/>
  <c r="CS77" i="100"/>
  <c r="CS317" i="100"/>
  <c r="CS183" i="100"/>
  <c r="CS10" i="100"/>
  <c r="CS200" i="100"/>
  <c r="CS323" i="100"/>
  <c r="CS8" i="100"/>
  <c r="CS168" i="100"/>
  <c r="CS38" i="100"/>
  <c r="CS174" i="100"/>
  <c r="CS67" i="100"/>
  <c r="CS66" i="100"/>
  <c r="CS172" i="100"/>
  <c r="CS173" i="100"/>
  <c r="CS336" i="100"/>
  <c r="CS329" i="100"/>
  <c r="CS65" i="100"/>
  <c r="CS184" i="100"/>
  <c r="CS76" i="100"/>
  <c r="CS75" i="100"/>
  <c r="CS325" i="100"/>
  <c r="CS31" i="100"/>
  <c r="CS187" i="100"/>
  <c r="CS299" i="100"/>
  <c r="CS201" i="100"/>
  <c r="CS170" i="100"/>
  <c r="CS29" i="100"/>
  <c r="CS32" i="100"/>
  <c r="CS33" i="100"/>
  <c r="CS178" i="100"/>
  <c r="CS304" i="100"/>
  <c r="CS204" i="100"/>
  <c r="CS36" i="100"/>
  <c r="CS337" i="100"/>
  <c r="CS314" i="100"/>
  <c r="CS320" i="100"/>
  <c r="CS21" i="100"/>
  <c r="CS176" i="100"/>
  <c r="CS68" i="100"/>
  <c r="CS28" i="100"/>
  <c r="CS196" i="100"/>
  <c r="CS327" i="100"/>
  <c r="CS207" i="100"/>
  <c r="CS12" i="100"/>
  <c r="CS186" i="100"/>
  <c r="CS158" i="100"/>
  <c r="CS37" i="100"/>
  <c r="CS305" i="100"/>
  <c r="CS13" i="100"/>
  <c r="CS312" i="100"/>
  <c r="CT7" i="100"/>
  <c r="CS16" i="100"/>
  <c r="CS197" i="100"/>
  <c r="CS332" i="100"/>
  <c r="CS206" i="100"/>
  <c r="CS64" i="100"/>
  <c r="CS288" i="100"/>
  <c r="CS177" i="100"/>
  <c r="GQ287" i="100"/>
  <c r="GP338" i="100"/>
  <c r="CT58" i="100" l="1"/>
  <c r="CT56" i="100"/>
  <c r="CT46" i="100"/>
  <c r="CT44" i="100"/>
  <c r="CT53" i="100"/>
  <c r="CT63" i="100"/>
  <c r="CT52" i="100"/>
  <c r="CT62" i="100"/>
  <c r="CT57" i="100"/>
  <c r="CT61" i="100"/>
  <c r="CT48" i="100"/>
  <c r="CT49" i="100"/>
  <c r="CT51" i="100"/>
  <c r="CT47" i="100"/>
  <c r="CT54" i="100"/>
  <c r="CT50" i="100"/>
  <c r="CT55" i="100"/>
  <c r="CT60" i="100"/>
  <c r="CT59" i="100"/>
  <c r="CT45" i="100"/>
  <c r="CS339" i="100"/>
  <c r="CS79" i="100"/>
  <c r="CS78" i="100" s="1"/>
  <c r="CS209" i="100"/>
  <c r="GR287" i="100"/>
  <c r="GQ338" i="100"/>
  <c r="CT34" i="100"/>
  <c r="CT336" i="100"/>
  <c r="CT315" i="100"/>
  <c r="CT65" i="100"/>
  <c r="CT72" i="100"/>
  <c r="CT334" i="100"/>
  <c r="CT297" i="100"/>
  <c r="CT167" i="100"/>
  <c r="CT192" i="100"/>
  <c r="CT316" i="100"/>
  <c r="CT31" i="100"/>
  <c r="CT41" i="100"/>
  <c r="CT309" i="100"/>
  <c r="CT207" i="100"/>
  <c r="CT294" i="100"/>
  <c r="CT321" i="100"/>
  <c r="CT32" i="100"/>
  <c r="CT204" i="100"/>
  <c r="CT8" i="100"/>
  <c r="CT288" i="100"/>
  <c r="CT335" i="100"/>
  <c r="CT16" i="100"/>
  <c r="CT77" i="100"/>
  <c r="CT160" i="100"/>
  <c r="CT191" i="100"/>
  <c r="CT193" i="100"/>
  <c r="CT337" i="100"/>
  <c r="CT196" i="100"/>
  <c r="CT322" i="100"/>
  <c r="CT21" i="100"/>
  <c r="CT189" i="100"/>
  <c r="CT43" i="100"/>
  <c r="CT29" i="100"/>
  <c r="CT326" i="100"/>
  <c r="CT188" i="100"/>
  <c r="CT325" i="100"/>
  <c r="CT301" i="100"/>
  <c r="CT299" i="100"/>
  <c r="CT178" i="100"/>
  <c r="CT202" i="100"/>
  <c r="CT194" i="100"/>
  <c r="CT185" i="100"/>
  <c r="CT195" i="100"/>
  <c r="CU7" i="100"/>
  <c r="CT181" i="100"/>
  <c r="CT176" i="100"/>
  <c r="CT64" i="100"/>
  <c r="CT292" i="100"/>
  <c r="CT42" i="100"/>
  <c r="CT73" i="100"/>
  <c r="CT323" i="100"/>
  <c r="CT313" i="100"/>
  <c r="CT67" i="100"/>
  <c r="CT199" i="100"/>
  <c r="CT13" i="100"/>
  <c r="CT298" i="100"/>
  <c r="CT25" i="100"/>
  <c r="CT305" i="100"/>
  <c r="CT40" i="100"/>
  <c r="CT24" i="100"/>
  <c r="CT329" i="100"/>
  <c r="CT11" i="100"/>
  <c r="CT332" i="100"/>
  <c r="CT23" i="100"/>
  <c r="CT10" i="100"/>
  <c r="CT308" i="100"/>
  <c r="CT312" i="100"/>
  <c r="CT39" i="100"/>
  <c r="CT203" i="100"/>
  <c r="CT18" i="100"/>
  <c r="CT174" i="100"/>
  <c r="CT318" i="100"/>
  <c r="CT158" i="100"/>
  <c r="CT182" i="100"/>
  <c r="CT330" i="100"/>
  <c r="CT163" i="100"/>
  <c r="CT293" i="100"/>
  <c r="CT328" i="100"/>
  <c r="CT17" i="100"/>
  <c r="CT183" i="100"/>
  <c r="CT175" i="100"/>
  <c r="CT302" i="100"/>
  <c r="CT30" i="100"/>
  <c r="CT327" i="100"/>
  <c r="CT19" i="100"/>
  <c r="CT173" i="100"/>
  <c r="CT180" i="100"/>
  <c r="CT317" i="100"/>
  <c r="CT75" i="100"/>
  <c r="CT314" i="100"/>
  <c r="CT66" i="100"/>
  <c r="CT190" i="100"/>
  <c r="CT37" i="100"/>
  <c r="CT170" i="100"/>
  <c r="CT70" i="100"/>
  <c r="CT289" i="100"/>
  <c r="CT165" i="100"/>
  <c r="CT187" i="100"/>
  <c r="CT320" i="100"/>
  <c r="CT333" i="100"/>
  <c r="CT166" i="100"/>
  <c r="CT74" i="100"/>
  <c r="CT168" i="100"/>
  <c r="CT295" i="100"/>
  <c r="CT319" i="100"/>
  <c r="CT197" i="100"/>
  <c r="CT198" i="100"/>
  <c r="CT169" i="100"/>
  <c r="CT26" i="100"/>
  <c r="CT76" i="100"/>
  <c r="CT310" i="100"/>
  <c r="CT12" i="100"/>
  <c r="CT20" i="100"/>
  <c r="CT306" i="100"/>
  <c r="CT177" i="100"/>
  <c r="CT331" i="100"/>
  <c r="CT28" i="100"/>
  <c r="CT14" i="100"/>
  <c r="CT290" i="100"/>
  <c r="CT300" i="100"/>
  <c r="CT172" i="100"/>
  <c r="CT184" i="100"/>
  <c r="CT69" i="100"/>
  <c r="CT171" i="100"/>
  <c r="CT159" i="100"/>
  <c r="CT35" i="100"/>
  <c r="CT9" i="100"/>
  <c r="CT162" i="100"/>
  <c r="CT71" i="100"/>
  <c r="CT291" i="100"/>
  <c r="CT304" i="100"/>
  <c r="CT161" i="100"/>
  <c r="CT179" i="100"/>
  <c r="CT36" i="100"/>
  <c r="CT205" i="100"/>
  <c r="CT164" i="100"/>
  <c r="CT27" i="100"/>
  <c r="CT324" i="100"/>
  <c r="CT68" i="100"/>
  <c r="CT296" i="100"/>
  <c r="CT303" i="100"/>
  <c r="CT22" i="100"/>
  <c r="CT38" i="100"/>
  <c r="CT15" i="100"/>
  <c r="CT201" i="100"/>
  <c r="CT206" i="100"/>
  <c r="CT186" i="100"/>
  <c r="CT311" i="100"/>
  <c r="CT33" i="100"/>
  <c r="CT200" i="100"/>
  <c r="CT307" i="100"/>
  <c r="CU62" i="100" l="1"/>
  <c r="CU44" i="100"/>
  <c r="CU46" i="100"/>
  <c r="CU63" i="100"/>
  <c r="CU45" i="100"/>
  <c r="CU49" i="100"/>
  <c r="CU55" i="100"/>
  <c r="CU57" i="100"/>
  <c r="CU48" i="100"/>
  <c r="CU50" i="100"/>
  <c r="CU51" i="100"/>
  <c r="CU47" i="100"/>
  <c r="CU60" i="100"/>
  <c r="CU61" i="100"/>
  <c r="CU59" i="100"/>
  <c r="CU52" i="100"/>
  <c r="CU58" i="100"/>
  <c r="CU56" i="100"/>
  <c r="CU53" i="100"/>
  <c r="CU54" i="100"/>
  <c r="CT209" i="100"/>
  <c r="CT79" i="100"/>
  <c r="CT78" i="100" s="1"/>
  <c r="CT339" i="100"/>
  <c r="CU31" i="100"/>
  <c r="CU165" i="100"/>
  <c r="CU71" i="100"/>
  <c r="CU289" i="100"/>
  <c r="CU33" i="100"/>
  <c r="CU29" i="100"/>
  <c r="CU300" i="100"/>
  <c r="CU14" i="100"/>
  <c r="CU320" i="100"/>
  <c r="CU170" i="100"/>
  <c r="CU323" i="100"/>
  <c r="CU333" i="100"/>
  <c r="CU163" i="100"/>
  <c r="CU202" i="100"/>
  <c r="CU201" i="100"/>
  <c r="CU328" i="100"/>
  <c r="CU169" i="100"/>
  <c r="CU12" i="100"/>
  <c r="CU173" i="100"/>
  <c r="CU335" i="100"/>
  <c r="CU36" i="100"/>
  <c r="CU329" i="100"/>
  <c r="CV7" i="100"/>
  <c r="CU66" i="100"/>
  <c r="CU308" i="100"/>
  <c r="CU180" i="100"/>
  <c r="CU76" i="100"/>
  <c r="CU39" i="100"/>
  <c r="CU16" i="100"/>
  <c r="CU30" i="100"/>
  <c r="CU297" i="100"/>
  <c r="CU34" i="100"/>
  <c r="CU159" i="100"/>
  <c r="CU288" i="100"/>
  <c r="CU307" i="100"/>
  <c r="CU179" i="100"/>
  <c r="CU77" i="100"/>
  <c r="CU68" i="100"/>
  <c r="CU206" i="100"/>
  <c r="CU43" i="100"/>
  <c r="CU310" i="100"/>
  <c r="CU22" i="100"/>
  <c r="CU32" i="100"/>
  <c r="CU186" i="100"/>
  <c r="CU204" i="100"/>
  <c r="CU9" i="100"/>
  <c r="CU319" i="100"/>
  <c r="CU182" i="100"/>
  <c r="CU8" i="100"/>
  <c r="CU177" i="100"/>
  <c r="CU191" i="100"/>
  <c r="CU290" i="100"/>
  <c r="CU158" i="100"/>
  <c r="CU17" i="100"/>
  <c r="CU21" i="100"/>
  <c r="CU304" i="100"/>
  <c r="CU166" i="100"/>
  <c r="CU296" i="100"/>
  <c r="CU18" i="100"/>
  <c r="CU27" i="100"/>
  <c r="CU161" i="100"/>
  <c r="CU196" i="100"/>
  <c r="CU194" i="100"/>
  <c r="CU64" i="100"/>
  <c r="CU306" i="100"/>
  <c r="CU183" i="100"/>
  <c r="CU38" i="100"/>
  <c r="CU15" i="100"/>
  <c r="CU192" i="100"/>
  <c r="CU293" i="100"/>
  <c r="CU172" i="100"/>
  <c r="CU176" i="100"/>
  <c r="CU325" i="100"/>
  <c r="CU321" i="100"/>
  <c r="CU193" i="100"/>
  <c r="CU312" i="100"/>
  <c r="CU67" i="100"/>
  <c r="CU26" i="100"/>
  <c r="CU23" i="100"/>
  <c r="CU189" i="100"/>
  <c r="CU199" i="100"/>
  <c r="CU10" i="100"/>
  <c r="CU181" i="100"/>
  <c r="CU298" i="100"/>
  <c r="CU73" i="100"/>
  <c r="CU330" i="100"/>
  <c r="CU305" i="100"/>
  <c r="CU326" i="100"/>
  <c r="CU200" i="100"/>
  <c r="CU20" i="100"/>
  <c r="CU72" i="100"/>
  <c r="CU295" i="100"/>
  <c r="CU303" i="100"/>
  <c r="CU292" i="100"/>
  <c r="CU313" i="100"/>
  <c r="CU205" i="100"/>
  <c r="CU19" i="100"/>
  <c r="CU336" i="100"/>
  <c r="CU185" i="100"/>
  <c r="CU195" i="100"/>
  <c r="CU334" i="100"/>
  <c r="CU174" i="100"/>
  <c r="CU197" i="100"/>
  <c r="CU178" i="100"/>
  <c r="CU175" i="100"/>
  <c r="CU37" i="100"/>
  <c r="CU65" i="100"/>
  <c r="CU164" i="100"/>
  <c r="CU332" i="100"/>
  <c r="CU331" i="100"/>
  <c r="CU41" i="100"/>
  <c r="CU316" i="100"/>
  <c r="CU317" i="100"/>
  <c r="CU327" i="100"/>
  <c r="CU70" i="100"/>
  <c r="CU35" i="100"/>
  <c r="CU198" i="100"/>
  <c r="CU207" i="100"/>
  <c r="CU315" i="100"/>
  <c r="CU28" i="100"/>
  <c r="CU42" i="100"/>
  <c r="CU318" i="100"/>
  <c r="CU203" i="100"/>
  <c r="CU13" i="100"/>
  <c r="CU167" i="100"/>
  <c r="CU301" i="100"/>
  <c r="CU75" i="100"/>
  <c r="CU324" i="100"/>
  <c r="CU25" i="100"/>
  <c r="CU184" i="100"/>
  <c r="CU188" i="100"/>
  <c r="CU299" i="100"/>
  <c r="CU302" i="100"/>
  <c r="CU314" i="100"/>
  <c r="CU171" i="100"/>
  <c r="CU190" i="100"/>
  <c r="CU168" i="100"/>
  <c r="CU294" i="100"/>
  <c r="CU291" i="100"/>
  <c r="CU74" i="100"/>
  <c r="CU311" i="100"/>
  <c r="CU187" i="100"/>
  <c r="CU11" i="100"/>
  <c r="CU69" i="100"/>
  <c r="CU160" i="100"/>
  <c r="CU24" i="100"/>
  <c r="CU322" i="100"/>
  <c r="CU337" i="100"/>
  <c r="CU40" i="100"/>
  <c r="CU162" i="100"/>
  <c r="CU309" i="100"/>
  <c r="GS287" i="100"/>
  <c r="GR338" i="100"/>
  <c r="CV63" i="100" l="1"/>
  <c r="CV44" i="100"/>
  <c r="CV52" i="100"/>
  <c r="CV46" i="100"/>
  <c r="CV62" i="100"/>
  <c r="CV61" i="100"/>
  <c r="CV55" i="100"/>
  <c r="CV45" i="100"/>
  <c r="CV48" i="100"/>
  <c r="CV53" i="100"/>
  <c r="CV57" i="100"/>
  <c r="CV54" i="100"/>
  <c r="CV50" i="100"/>
  <c r="CV49" i="100"/>
  <c r="CV51" i="100"/>
  <c r="CV59" i="100"/>
  <c r="CV58" i="100"/>
  <c r="CV60" i="100"/>
  <c r="CV56" i="100"/>
  <c r="CV47" i="100"/>
  <c r="CU209" i="100"/>
  <c r="CU339" i="100"/>
  <c r="CU79" i="100"/>
  <c r="CU78" i="100" s="1"/>
  <c r="GT287" i="100"/>
  <c r="GS338" i="100"/>
  <c r="CV196" i="100"/>
  <c r="CV14" i="100"/>
  <c r="CV11" i="100"/>
  <c r="CV22" i="100"/>
  <c r="CV329" i="100"/>
  <c r="CV184" i="100"/>
  <c r="CV13" i="100"/>
  <c r="CV317" i="100"/>
  <c r="CV67" i="100"/>
  <c r="CV293" i="100"/>
  <c r="CV66" i="100"/>
  <c r="CV187" i="100"/>
  <c r="CV298" i="100"/>
  <c r="CV202" i="100"/>
  <c r="CV24" i="100"/>
  <c r="CV302" i="100"/>
  <c r="CV175" i="100"/>
  <c r="CV64" i="100"/>
  <c r="CV33" i="100"/>
  <c r="CV311" i="100"/>
  <c r="CV316" i="100"/>
  <c r="CV185" i="100"/>
  <c r="CV16" i="100"/>
  <c r="CV77" i="100"/>
  <c r="CV174" i="100"/>
  <c r="CV300" i="100"/>
  <c r="CV299" i="100"/>
  <c r="CV322" i="100"/>
  <c r="CV303" i="100"/>
  <c r="CV159" i="100"/>
  <c r="CV200" i="100"/>
  <c r="CV176" i="100"/>
  <c r="CV206" i="100"/>
  <c r="CV204" i="100"/>
  <c r="CV65" i="100"/>
  <c r="CV290" i="100"/>
  <c r="CV19" i="100"/>
  <c r="CV310" i="100"/>
  <c r="CV197" i="100"/>
  <c r="CV72" i="100"/>
  <c r="CV43" i="100"/>
  <c r="CV332" i="100"/>
  <c r="CV25" i="100"/>
  <c r="CV296" i="100"/>
  <c r="CV304" i="100"/>
  <c r="CV313" i="100"/>
  <c r="CV199" i="100"/>
  <c r="CV34" i="100"/>
  <c r="CV28" i="100"/>
  <c r="CV312" i="100"/>
  <c r="CV328" i="100"/>
  <c r="CV37" i="100"/>
  <c r="CV68" i="100"/>
  <c r="CV177" i="100"/>
  <c r="CV195" i="100"/>
  <c r="CV15" i="100"/>
  <c r="CV323" i="100"/>
  <c r="CV309" i="100"/>
  <c r="CV307" i="100"/>
  <c r="CV71" i="100"/>
  <c r="CV292" i="100"/>
  <c r="CV297" i="100"/>
  <c r="CV73" i="100"/>
  <c r="CV18" i="100"/>
  <c r="CV325" i="100"/>
  <c r="CV333" i="100"/>
  <c r="CV75" i="100"/>
  <c r="CV23" i="100"/>
  <c r="CV190" i="100"/>
  <c r="CV160" i="100"/>
  <c r="CV314" i="100"/>
  <c r="CV321" i="100"/>
  <c r="CV324" i="100"/>
  <c r="CV27" i="100"/>
  <c r="CV188" i="100"/>
  <c r="CV336" i="100"/>
  <c r="CV38" i="100"/>
  <c r="CV21" i="100"/>
  <c r="CV203" i="100"/>
  <c r="CV172" i="100"/>
  <c r="CV40" i="100"/>
  <c r="CV31" i="100"/>
  <c r="CV30" i="100"/>
  <c r="CV178" i="100"/>
  <c r="CV319" i="100"/>
  <c r="CV42" i="100"/>
  <c r="CV166" i="100"/>
  <c r="CV289" i="100"/>
  <c r="CV10" i="100"/>
  <c r="CV32" i="100"/>
  <c r="CV295" i="100"/>
  <c r="CV318" i="100"/>
  <c r="CV291" i="100"/>
  <c r="CV182" i="100"/>
  <c r="CV294" i="100"/>
  <c r="CV320" i="100"/>
  <c r="CV35" i="100"/>
  <c r="CV193" i="100"/>
  <c r="CV41" i="100"/>
  <c r="CV29" i="100"/>
  <c r="CV69" i="100"/>
  <c r="CV168" i="100"/>
  <c r="CV165" i="100"/>
  <c r="CV315" i="100"/>
  <c r="CV12" i="100"/>
  <c r="CV8" i="100"/>
  <c r="CV186" i="100"/>
  <c r="CV36" i="100"/>
  <c r="CV74" i="100"/>
  <c r="CV76" i="100"/>
  <c r="CV180" i="100"/>
  <c r="CV192" i="100"/>
  <c r="CV20" i="100"/>
  <c r="CV9" i="100"/>
  <c r="CV331" i="100"/>
  <c r="CV162" i="100"/>
  <c r="CV26" i="100"/>
  <c r="CV171" i="100"/>
  <c r="CW7" i="100"/>
  <c r="CV205" i="100"/>
  <c r="CV179" i="100"/>
  <c r="CV163" i="100"/>
  <c r="CV161" i="100"/>
  <c r="CV207" i="100"/>
  <c r="CV326" i="100"/>
  <c r="CV330" i="100"/>
  <c r="CV306" i="100"/>
  <c r="CV305" i="100"/>
  <c r="CV189" i="100"/>
  <c r="CV39" i="100"/>
  <c r="CV173" i="100"/>
  <c r="CV288" i="100"/>
  <c r="CV17" i="100"/>
  <c r="CV334" i="100"/>
  <c r="CV201" i="100"/>
  <c r="CV308" i="100"/>
  <c r="CV198" i="100"/>
  <c r="CV70" i="100"/>
  <c r="CV167" i="100"/>
  <c r="CV169" i="100"/>
  <c r="CV335" i="100"/>
  <c r="CV191" i="100"/>
  <c r="CV158" i="100"/>
  <c r="CV194" i="100"/>
  <c r="CV181" i="100"/>
  <c r="CV337" i="100"/>
  <c r="CV170" i="100"/>
  <c r="CV164" i="100"/>
  <c r="CV301" i="100"/>
  <c r="CV327" i="100"/>
  <c r="CV183" i="100"/>
  <c r="CW62" i="100" l="1"/>
  <c r="CW44" i="100"/>
  <c r="CW59" i="100"/>
  <c r="CW63" i="100"/>
  <c r="CW46" i="100"/>
  <c r="CW54" i="100"/>
  <c r="CW50" i="100"/>
  <c r="CW56" i="100"/>
  <c r="CW48" i="100"/>
  <c r="CW49" i="100"/>
  <c r="CW53" i="100"/>
  <c r="CW55" i="100"/>
  <c r="CW45" i="100"/>
  <c r="CW51" i="100"/>
  <c r="CW57" i="100"/>
  <c r="CW61" i="100"/>
  <c r="CW52" i="100"/>
  <c r="CW47" i="100"/>
  <c r="CW58" i="100"/>
  <c r="CW60" i="100"/>
  <c r="CV339" i="100"/>
  <c r="CV209" i="100"/>
  <c r="CV79" i="100"/>
  <c r="CV78" i="100" s="1"/>
  <c r="CW172" i="100"/>
  <c r="CW36" i="100"/>
  <c r="CW37" i="100"/>
  <c r="CW17" i="100"/>
  <c r="CW34" i="100"/>
  <c r="CW38" i="100"/>
  <c r="CW71" i="100"/>
  <c r="CW337" i="100"/>
  <c r="CW331" i="100"/>
  <c r="CW188" i="100"/>
  <c r="CW22" i="100"/>
  <c r="CW26" i="100"/>
  <c r="CW199" i="100"/>
  <c r="CW291" i="100"/>
  <c r="CW70" i="100"/>
  <c r="CW67" i="100"/>
  <c r="CW319" i="100"/>
  <c r="CW35" i="100"/>
  <c r="CW69" i="100"/>
  <c r="CW184" i="100"/>
  <c r="CW162" i="100"/>
  <c r="CW303" i="100"/>
  <c r="CW19" i="100"/>
  <c r="CW328" i="100"/>
  <c r="CW306" i="100"/>
  <c r="CW322" i="100"/>
  <c r="CW292" i="100"/>
  <c r="CW294" i="100"/>
  <c r="CW158" i="100"/>
  <c r="CW30" i="100"/>
  <c r="CW14" i="100"/>
  <c r="CW20" i="100"/>
  <c r="CW175" i="100"/>
  <c r="CW195" i="100"/>
  <c r="CW187" i="100"/>
  <c r="CW325" i="100"/>
  <c r="CW289" i="100"/>
  <c r="CW160" i="100"/>
  <c r="CW168" i="100"/>
  <c r="CW332" i="100"/>
  <c r="CW75" i="100"/>
  <c r="CW18" i="100"/>
  <c r="CW23" i="100"/>
  <c r="CW40" i="100"/>
  <c r="CW200" i="100"/>
  <c r="CW16" i="100"/>
  <c r="CW77" i="100"/>
  <c r="CW334" i="100"/>
  <c r="CW305" i="100"/>
  <c r="CW308" i="100"/>
  <c r="CW193" i="100"/>
  <c r="CW32" i="100"/>
  <c r="CW315" i="100"/>
  <c r="CW159" i="100"/>
  <c r="CW290" i="100"/>
  <c r="CW13" i="100"/>
  <c r="CW169" i="100"/>
  <c r="CW21" i="100"/>
  <c r="CW39" i="100"/>
  <c r="CW166" i="100"/>
  <c r="CW330" i="100"/>
  <c r="CW73" i="100"/>
  <c r="CW167" i="100"/>
  <c r="CW72" i="100"/>
  <c r="CW202" i="100"/>
  <c r="CW323" i="100"/>
  <c r="CW194" i="100"/>
  <c r="CW301" i="100"/>
  <c r="CW28" i="100"/>
  <c r="CW66" i="100"/>
  <c r="CW182" i="100"/>
  <c r="CW65" i="100"/>
  <c r="CW310" i="100"/>
  <c r="CW173" i="100"/>
  <c r="CW205" i="100"/>
  <c r="CW321" i="100"/>
  <c r="CX7" i="100"/>
  <c r="CW201" i="100"/>
  <c r="CW304" i="100"/>
  <c r="CW204" i="100"/>
  <c r="CW12" i="100"/>
  <c r="CW312" i="100"/>
  <c r="CW177" i="100"/>
  <c r="CW174" i="100"/>
  <c r="CW333" i="100"/>
  <c r="CW335" i="100"/>
  <c r="CW31" i="100"/>
  <c r="CW68" i="100"/>
  <c r="CW180" i="100"/>
  <c r="CW336" i="100"/>
  <c r="CW296" i="100"/>
  <c r="CW298" i="100"/>
  <c r="CW183" i="100"/>
  <c r="CW76" i="100"/>
  <c r="CW309" i="100"/>
  <c r="CW74" i="100"/>
  <c r="CW297" i="100"/>
  <c r="CW164" i="100"/>
  <c r="CW196" i="100"/>
  <c r="CW302" i="100"/>
  <c r="CW10" i="100"/>
  <c r="CW207" i="100"/>
  <c r="CW25" i="100"/>
  <c r="CW329" i="100"/>
  <c r="CW198" i="100"/>
  <c r="CW42" i="100"/>
  <c r="CW9" i="100"/>
  <c r="CW185" i="100"/>
  <c r="CW295" i="100"/>
  <c r="CW24" i="100"/>
  <c r="CW318" i="100"/>
  <c r="CW179" i="100"/>
  <c r="CW29" i="100"/>
  <c r="CW43" i="100"/>
  <c r="CW307" i="100"/>
  <c r="CW324" i="100"/>
  <c r="CW288" i="100"/>
  <c r="CW300" i="100"/>
  <c r="CW8" i="100"/>
  <c r="CW203" i="100"/>
  <c r="CW311" i="100"/>
  <c r="CW181" i="100"/>
  <c r="CW27" i="100"/>
  <c r="CW191" i="100"/>
  <c r="CW189" i="100"/>
  <c r="CW163" i="100"/>
  <c r="CW11" i="100"/>
  <c r="CW15" i="100"/>
  <c r="CW161" i="100"/>
  <c r="CW176" i="100"/>
  <c r="CW326" i="100"/>
  <c r="CW186" i="100"/>
  <c r="CW41" i="100"/>
  <c r="CW206" i="100"/>
  <c r="CW190" i="100"/>
  <c r="CW293" i="100"/>
  <c r="CW171" i="100"/>
  <c r="CW299" i="100"/>
  <c r="CW165" i="100"/>
  <c r="CW320" i="100"/>
  <c r="CW316" i="100"/>
  <c r="CW317" i="100"/>
  <c r="CW170" i="100"/>
  <c r="CW327" i="100"/>
  <c r="CW64" i="100"/>
  <c r="CW197" i="100"/>
  <c r="CW192" i="100"/>
  <c r="CW178" i="100"/>
  <c r="CW33" i="100"/>
  <c r="CW314" i="100"/>
  <c r="CW313" i="100"/>
  <c r="GU287" i="100"/>
  <c r="GT338" i="100"/>
  <c r="CX57" i="100" l="1"/>
  <c r="CX63" i="100"/>
  <c r="CX62" i="100"/>
  <c r="CX44" i="100"/>
  <c r="CX56" i="100"/>
  <c r="CX51" i="100"/>
  <c r="CX46" i="100"/>
  <c r="CX54" i="100"/>
  <c r="CX55" i="100"/>
  <c r="CX49" i="100"/>
  <c r="CX48" i="100"/>
  <c r="CX61" i="100"/>
  <c r="CX50" i="100"/>
  <c r="CX47" i="100"/>
  <c r="CX53" i="100"/>
  <c r="CX58" i="100"/>
  <c r="CX60" i="100"/>
  <c r="CX45" i="100"/>
  <c r="CX59" i="100"/>
  <c r="CX52" i="100"/>
  <c r="CW339" i="100"/>
  <c r="CW209" i="100"/>
  <c r="CW79" i="100"/>
  <c r="CW78" i="100" s="1"/>
  <c r="CX40" i="100"/>
  <c r="CX312" i="100"/>
  <c r="CX10" i="100"/>
  <c r="CX172" i="100"/>
  <c r="CX33" i="100"/>
  <c r="CX24" i="100"/>
  <c r="CX77" i="100"/>
  <c r="CX310" i="100"/>
  <c r="CX174" i="100"/>
  <c r="CX305" i="100"/>
  <c r="CX321" i="100"/>
  <c r="CX75" i="100"/>
  <c r="CX64" i="100"/>
  <c r="CX295" i="100"/>
  <c r="CX35" i="100"/>
  <c r="CX333" i="100"/>
  <c r="CX27" i="100"/>
  <c r="CX306" i="100"/>
  <c r="CX164" i="100"/>
  <c r="CX18" i="100"/>
  <c r="CX301" i="100"/>
  <c r="CX195" i="100"/>
  <c r="CX30" i="100"/>
  <c r="CX194" i="100"/>
  <c r="CX317" i="100"/>
  <c r="CX315" i="100"/>
  <c r="CX318" i="100"/>
  <c r="CX178" i="100"/>
  <c r="CX288" i="100"/>
  <c r="CX300" i="100"/>
  <c r="CX189" i="100"/>
  <c r="CX25" i="100"/>
  <c r="CX32" i="100"/>
  <c r="CX39" i="100"/>
  <c r="CX181" i="100"/>
  <c r="CX161" i="100"/>
  <c r="CX183" i="100"/>
  <c r="CX167" i="100"/>
  <c r="CX74" i="100"/>
  <c r="CX11" i="100"/>
  <c r="CX68" i="100"/>
  <c r="CX162" i="100"/>
  <c r="CX323" i="100"/>
  <c r="CX12" i="100"/>
  <c r="CX297" i="100"/>
  <c r="CX309" i="100"/>
  <c r="CX23" i="100"/>
  <c r="CX332" i="100"/>
  <c r="CX73" i="100"/>
  <c r="CX201" i="100"/>
  <c r="CX291" i="100"/>
  <c r="CX293" i="100"/>
  <c r="CX36" i="100"/>
  <c r="CX21" i="100"/>
  <c r="CX186" i="100"/>
  <c r="CY7" i="100"/>
  <c r="CX335" i="100"/>
  <c r="CX180" i="100"/>
  <c r="CX42" i="100"/>
  <c r="CX193" i="100"/>
  <c r="CX22" i="100"/>
  <c r="CX67" i="100"/>
  <c r="CX184" i="100"/>
  <c r="CX190" i="100"/>
  <c r="CX15" i="100"/>
  <c r="CX330" i="100"/>
  <c r="CX69" i="100"/>
  <c r="CX43" i="100"/>
  <c r="CX26" i="100"/>
  <c r="CX188" i="100"/>
  <c r="CX20" i="100"/>
  <c r="CX76" i="100"/>
  <c r="CX325" i="100"/>
  <c r="CX159" i="100"/>
  <c r="CX199" i="100"/>
  <c r="CX170" i="100"/>
  <c r="CX173" i="100"/>
  <c r="CX8" i="100"/>
  <c r="CX196" i="100"/>
  <c r="CX324" i="100"/>
  <c r="CX34" i="100"/>
  <c r="CX337" i="100"/>
  <c r="CX17" i="100"/>
  <c r="CX71" i="100"/>
  <c r="CX204" i="100"/>
  <c r="CX168" i="100"/>
  <c r="CX302" i="100"/>
  <c r="CX165" i="100"/>
  <c r="CX9" i="100"/>
  <c r="CX328" i="100"/>
  <c r="CX313" i="100"/>
  <c r="CX72" i="100"/>
  <c r="CX307" i="100"/>
  <c r="CX290" i="100"/>
  <c r="CX197" i="100"/>
  <c r="CX327" i="100"/>
  <c r="CX308" i="100"/>
  <c r="CX158" i="100"/>
  <c r="CX202" i="100"/>
  <c r="CX322" i="100"/>
  <c r="CX31" i="100"/>
  <c r="CX191" i="100"/>
  <c r="CX336" i="100"/>
  <c r="CX320" i="100"/>
  <c r="CX316" i="100"/>
  <c r="CX311" i="100"/>
  <c r="CX207" i="100"/>
  <c r="CX171" i="100"/>
  <c r="CX299" i="100"/>
  <c r="CX200" i="100"/>
  <c r="CX206" i="100"/>
  <c r="CX314" i="100"/>
  <c r="CX163" i="100"/>
  <c r="CX169" i="100"/>
  <c r="CX177" i="100"/>
  <c r="CX166" i="100"/>
  <c r="CX182" i="100"/>
  <c r="CX298" i="100"/>
  <c r="CX160" i="100"/>
  <c r="CX66" i="100"/>
  <c r="CX187" i="100"/>
  <c r="CX203" i="100"/>
  <c r="CX14" i="100"/>
  <c r="CX37" i="100"/>
  <c r="CX329" i="100"/>
  <c r="CX70" i="100"/>
  <c r="CX296" i="100"/>
  <c r="CX331" i="100"/>
  <c r="CX198" i="100"/>
  <c r="CX19" i="100"/>
  <c r="CX289" i="100"/>
  <c r="CX303" i="100"/>
  <c r="CX41" i="100"/>
  <c r="CX65" i="100"/>
  <c r="CX28" i="100"/>
  <c r="CX185" i="100"/>
  <c r="CX175" i="100"/>
  <c r="CX13" i="100"/>
  <c r="CX205" i="100"/>
  <c r="CX38" i="100"/>
  <c r="CX334" i="100"/>
  <c r="CX29" i="100"/>
  <c r="CX304" i="100"/>
  <c r="CX16" i="100"/>
  <c r="CX292" i="100"/>
  <c r="CX176" i="100"/>
  <c r="CX319" i="100"/>
  <c r="CX294" i="100"/>
  <c r="CX179" i="100"/>
  <c r="CX326" i="100"/>
  <c r="CX192" i="100"/>
  <c r="GV287" i="100"/>
  <c r="GU338" i="100"/>
  <c r="CY51" i="100" l="1"/>
  <c r="CY46" i="100"/>
  <c r="CY62" i="100"/>
  <c r="CY59" i="100"/>
  <c r="CY44" i="100"/>
  <c r="CY63" i="100"/>
  <c r="CY50" i="100"/>
  <c r="CY47" i="100"/>
  <c r="CY55" i="100"/>
  <c r="CY48" i="100"/>
  <c r="CY58" i="100"/>
  <c r="CY61" i="100"/>
  <c r="CY54" i="100"/>
  <c r="CY60" i="100"/>
  <c r="CY56" i="100"/>
  <c r="CY57" i="100"/>
  <c r="CY45" i="100"/>
  <c r="CY49" i="100"/>
  <c r="CY53" i="100"/>
  <c r="CY52" i="100"/>
  <c r="CX79" i="100"/>
  <c r="CX78" i="100" s="1"/>
  <c r="CX209" i="100"/>
  <c r="CX339" i="100"/>
  <c r="CY298" i="100"/>
  <c r="CY159" i="100"/>
  <c r="CY169" i="100"/>
  <c r="CY70" i="100"/>
  <c r="CY13" i="100"/>
  <c r="CY69" i="100"/>
  <c r="CY326" i="100"/>
  <c r="CY207" i="100"/>
  <c r="CY175" i="100"/>
  <c r="CY15" i="100"/>
  <c r="CY71" i="100"/>
  <c r="CY184" i="100"/>
  <c r="CY332" i="100"/>
  <c r="CY336" i="100"/>
  <c r="CY189" i="100"/>
  <c r="CY295" i="100"/>
  <c r="CY163" i="100"/>
  <c r="CY294" i="100"/>
  <c r="CY42" i="100"/>
  <c r="CY320" i="100"/>
  <c r="CY26" i="100"/>
  <c r="CY337" i="100"/>
  <c r="CY317" i="100"/>
  <c r="CY194" i="100"/>
  <c r="CY76" i="100"/>
  <c r="CY302" i="100"/>
  <c r="CY328" i="100"/>
  <c r="CY331" i="100"/>
  <c r="CY158" i="100"/>
  <c r="CY327" i="100"/>
  <c r="CY66" i="100"/>
  <c r="CY315" i="100"/>
  <c r="CY22" i="100"/>
  <c r="CY166" i="100"/>
  <c r="CY77" i="100"/>
  <c r="CY174" i="100"/>
  <c r="CY160" i="100"/>
  <c r="CY36" i="100"/>
  <c r="CY291" i="100"/>
  <c r="CY29" i="100"/>
  <c r="CY38" i="100"/>
  <c r="CY300" i="100"/>
  <c r="CY11" i="100"/>
  <c r="CY306" i="100"/>
  <c r="CY192" i="100"/>
  <c r="CY33" i="100"/>
  <c r="CY201" i="100"/>
  <c r="CY309" i="100"/>
  <c r="CY193" i="100"/>
  <c r="CY206" i="100"/>
  <c r="CY297" i="100"/>
  <c r="CY67" i="100"/>
  <c r="CY75" i="100"/>
  <c r="CY34" i="100"/>
  <c r="CY325" i="100"/>
  <c r="CY321" i="100"/>
  <c r="CY316" i="100"/>
  <c r="CY21" i="100"/>
  <c r="CY197" i="100"/>
  <c r="CY195" i="100"/>
  <c r="CY182" i="100"/>
  <c r="CY307" i="100"/>
  <c r="CY170" i="100"/>
  <c r="CY168" i="100"/>
  <c r="CY202" i="100"/>
  <c r="CY9" i="100"/>
  <c r="CY304" i="100"/>
  <c r="CY181" i="100"/>
  <c r="CY330" i="100"/>
  <c r="CY310" i="100"/>
  <c r="CY292" i="100"/>
  <c r="CY8" i="100"/>
  <c r="CY190" i="100"/>
  <c r="CY333" i="100"/>
  <c r="CY16" i="100"/>
  <c r="CY319" i="100"/>
  <c r="CY30" i="100"/>
  <c r="CY205" i="100"/>
  <c r="CY296" i="100"/>
  <c r="CY65" i="100"/>
  <c r="CY289" i="100"/>
  <c r="CY199" i="100"/>
  <c r="CY32" i="100"/>
  <c r="CY303" i="100"/>
  <c r="CY14" i="100"/>
  <c r="CY35" i="100"/>
  <c r="CY308" i="100"/>
  <c r="CY68" i="100"/>
  <c r="CY37" i="100"/>
  <c r="CY198" i="100"/>
  <c r="CY322" i="100"/>
  <c r="CY40" i="100"/>
  <c r="CY72" i="100"/>
  <c r="CY313" i="100"/>
  <c r="CY329" i="100"/>
  <c r="CY161" i="100"/>
  <c r="CY162" i="100"/>
  <c r="CY20" i="100"/>
  <c r="CY288" i="100"/>
  <c r="CY318" i="100"/>
  <c r="CY323" i="100"/>
  <c r="CY314" i="100"/>
  <c r="CY177" i="100"/>
  <c r="CY290" i="100"/>
  <c r="CY176" i="100"/>
  <c r="CY311" i="100"/>
  <c r="CY23" i="100"/>
  <c r="CY165" i="100"/>
  <c r="CY10" i="100"/>
  <c r="CY183" i="100"/>
  <c r="CY167" i="100"/>
  <c r="CY186" i="100"/>
  <c r="CY43" i="100"/>
  <c r="CY17" i="100"/>
  <c r="CY12" i="100"/>
  <c r="CY185" i="100"/>
  <c r="CY31" i="100"/>
  <c r="CY39" i="100"/>
  <c r="CY25" i="100"/>
  <c r="CZ7" i="100"/>
  <c r="CY19" i="100"/>
  <c r="CY196" i="100"/>
  <c r="CY299" i="100"/>
  <c r="CY312" i="100"/>
  <c r="CY64" i="100"/>
  <c r="CY74" i="100"/>
  <c r="CY18" i="100"/>
  <c r="CY28" i="100"/>
  <c r="CY334" i="100"/>
  <c r="CY188" i="100"/>
  <c r="CY204" i="100"/>
  <c r="CY324" i="100"/>
  <c r="CY171" i="100"/>
  <c r="CY179" i="100"/>
  <c r="CY172" i="100"/>
  <c r="CY335" i="100"/>
  <c r="CY180" i="100"/>
  <c r="CY178" i="100"/>
  <c r="CY200" i="100"/>
  <c r="CY187" i="100"/>
  <c r="CY301" i="100"/>
  <c r="CY173" i="100"/>
  <c r="CY164" i="100"/>
  <c r="CY191" i="100"/>
  <c r="CY41" i="100"/>
  <c r="CY27" i="100"/>
  <c r="CY293" i="100"/>
  <c r="CY305" i="100"/>
  <c r="CY24" i="100"/>
  <c r="CY73" i="100"/>
  <c r="CY203" i="100"/>
  <c r="GW287" i="100"/>
  <c r="GV338" i="100"/>
  <c r="CZ63" i="100" l="1"/>
  <c r="CZ46" i="100"/>
  <c r="CZ54" i="100"/>
  <c r="CZ59" i="100"/>
  <c r="CZ44" i="100"/>
  <c r="CZ62" i="100"/>
  <c r="CZ49" i="100"/>
  <c r="CZ61" i="100"/>
  <c r="CZ55" i="100"/>
  <c r="CZ47" i="100"/>
  <c r="CZ48" i="100"/>
  <c r="CZ56" i="100"/>
  <c r="CZ50" i="100"/>
  <c r="CZ53" i="100"/>
  <c r="CZ51" i="100"/>
  <c r="CZ60" i="100"/>
  <c r="CZ57" i="100"/>
  <c r="CZ45" i="100"/>
  <c r="CZ58" i="100"/>
  <c r="CZ52" i="100"/>
  <c r="CY79" i="100"/>
  <c r="CY78" i="100" s="1"/>
  <c r="CY209" i="100"/>
  <c r="CY339" i="100"/>
  <c r="GX287" i="100"/>
  <c r="GW338" i="100"/>
  <c r="CZ299" i="100"/>
  <c r="CZ206" i="100"/>
  <c r="CZ298" i="100"/>
  <c r="CZ328" i="100"/>
  <c r="CZ307" i="100"/>
  <c r="CZ37" i="100"/>
  <c r="CZ189" i="100"/>
  <c r="CZ69" i="100"/>
  <c r="CZ181" i="100"/>
  <c r="CZ313" i="100"/>
  <c r="CZ64" i="100"/>
  <c r="CZ41" i="100"/>
  <c r="CZ10" i="100"/>
  <c r="CZ196" i="100"/>
  <c r="CZ320" i="100"/>
  <c r="CZ26" i="100"/>
  <c r="CZ34" i="100"/>
  <c r="CZ297" i="100"/>
  <c r="CZ190" i="100"/>
  <c r="CZ319" i="100"/>
  <c r="CZ160" i="100"/>
  <c r="CZ162" i="100"/>
  <c r="CZ27" i="100"/>
  <c r="CZ25" i="100"/>
  <c r="CZ290" i="100"/>
  <c r="CZ200" i="100"/>
  <c r="CZ74" i="100"/>
  <c r="CZ38" i="100"/>
  <c r="CZ183" i="100"/>
  <c r="CZ329" i="100"/>
  <c r="CZ310" i="100"/>
  <c r="CZ289" i="100"/>
  <c r="CZ315" i="100"/>
  <c r="CZ179" i="100"/>
  <c r="CZ36" i="100"/>
  <c r="CZ178" i="100"/>
  <c r="CZ180" i="100"/>
  <c r="CZ42" i="100"/>
  <c r="CZ9" i="100"/>
  <c r="CZ15" i="100"/>
  <c r="CZ29" i="100"/>
  <c r="CZ169" i="100"/>
  <c r="CZ191" i="100"/>
  <c r="CZ163" i="100"/>
  <c r="CZ35" i="100"/>
  <c r="CZ21" i="100"/>
  <c r="CZ327" i="100"/>
  <c r="DA7" i="100"/>
  <c r="CZ166" i="100"/>
  <c r="CZ293" i="100"/>
  <c r="CZ66" i="100"/>
  <c r="CZ336" i="100"/>
  <c r="CZ14" i="100"/>
  <c r="CZ203" i="100"/>
  <c r="CZ305" i="100"/>
  <c r="CZ194" i="100"/>
  <c r="CZ171" i="100"/>
  <c r="CZ186" i="100"/>
  <c r="CZ311" i="100"/>
  <c r="CZ330" i="100"/>
  <c r="CZ288" i="100"/>
  <c r="CZ11" i="100"/>
  <c r="CZ296" i="100"/>
  <c r="CZ18" i="100"/>
  <c r="CZ167" i="100"/>
  <c r="CZ304" i="100"/>
  <c r="CZ309" i="100"/>
  <c r="CZ325" i="100"/>
  <c r="CZ326" i="100"/>
  <c r="CZ301" i="100"/>
  <c r="CZ197" i="100"/>
  <c r="CZ185" i="100"/>
  <c r="CZ295" i="100"/>
  <c r="CZ318" i="100"/>
  <c r="CZ164" i="100"/>
  <c r="CZ172" i="100"/>
  <c r="CZ207" i="100"/>
  <c r="CZ333" i="100"/>
  <c r="CZ201" i="100"/>
  <c r="CZ291" i="100"/>
  <c r="CZ159" i="100"/>
  <c r="CZ72" i="100"/>
  <c r="CZ24" i="100"/>
  <c r="CZ177" i="100"/>
  <c r="CZ193" i="100"/>
  <c r="CZ23" i="100"/>
  <c r="CZ184" i="100"/>
  <c r="CZ195" i="100"/>
  <c r="CZ174" i="100"/>
  <c r="CZ67" i="100"/>
  <c r="CZ68" i="100"/>
  <c r="CZ294" i="100"/>
  <c r="CZ176" i="100"/>
  <c r="CZ337" i="100"/>
  <c r="CZ22" i="100"/>
  <c r="CZ8" i="100"/>
  <c r="CZ19" i="100"/>
  <c r="CZ31" i="100"/>
  <c r="CZ165" i="100"/>
  <c r="CZ322" i="100"/>
  <c r="CZ168" i="100"/>
  <c r="CZ71" i="100"/>
  <c r="CZ292" i="100"/>
  <c r="CZ76" i="100"/>
  <c r="CZ33" i="100"/>
  <c r="CZ173" i="100"/>
  <c r="CZ198" i="100"/>
  <c r="CZ187" i="100"/>
  <c r="CZ199" i="100"/>
  <c r="CZ158" i="100"/>
  <c r="CZ75" i="100"/>
  <c r="CZ16" i="100"/>
  <c r="CZ312" i="100"/>
  <c r="CZ17" i="100"/>
  <c r="CZ73" i="100"/>
  <c r="CZ308" i="100"/>
  <c r="CZ20" i="100"/>
  <c r="CZ39" i="100"/>
  <c r="CZ202" i="100"/>
  <c r="CZ334" i="100"/>
  <c r="CZ70" i="100"/>
  <c r="CZ43" i="100"/>
  <c r="CZ323" i="100"/>
  <c r="CZ316" i="100"/>
  <c r="CZ12" i="100"/>
  <c r="CZ13" i="100"/>
  <c r="CZ188" i="100"/>
  <c r="CZ321" i="100"/>
  <c r="CZ175" i="100"/>
  <c r="CZ314" i="100"/>
  <c r="CZ65" i="100"/>
  <c r="CZ192" i="100"/>
  <c r="CZ28" i="100"/>
  <c r="CZ170" i="100"/>
  <c r="CZ324" i="100"/>
  <c r="CZ205" i="100"/>
  <c r="CZ40" i="100"/>
  <c r="CZ317" i="100"/>
  <c r="CZ331" i="100"/>
  <c r="CZ306" i="100"/>
  <c r="CZ303" i="100"/>
  <c r="CZ30" i="100"/>
  <c r="CZ332" i="100"/>
  <c r="CZ32" i="100"/>
  <c r="CZ182" i="100"/>
  <c r="CZ161" i="100"/>
  <c r="CZ335" i="100"/>
  <c r="CZ204" i="100"/>
  <c r="CZ77" i="100"/>
  <c r="CZ302" i="100"/>
  <c r="CZ300" i="100"/>
  <c r="DA44" i="100" l="1"/>
  <c r="DA62" i="100"/>
  <c r="DA63" i="100"/>
  <c r="DA59" i="100"/>
  <c r="DA46" i="100"/>
  <c r="DA58" i="100"/>
  <c r="DA56" i="100"/>
  <c r="DA50" i="100"/>
  <c r="DA57" i="100"/>
  <c r="DA45" i="100"/>
  <c r="DA49" i="100"/>
  <c r="DA52" i="100"/>
  <c r="DA53" i="100"/>
  <c r="DA55" i="100"/>
  <c r="DA47" i="100"/>
  <c r="DA54" i="100"/>
  <c r="DA48" i="100"/>
  <c r="DA60" i="100"/>
  <c r="DA61" i="100"/>
  <c r="DA51" i="100"/>
  <c r="CZ209" i="100"/>
  <c r="CZ339" i="100"/>
  <c r="CZ79" i="100"/>
  <c r="CZ78" i="100" s="1"/>
  <c r="DA170" i="100"/>
  <c r="DA322" i="100"/>
  <c r="DA325" i="100"/>
  <c r="DA315" i="100"/>
  <c r="DA195" i="100"/>
  <c r="DA305" i="100"/>
  <c r="DA311" i="100"/>
  <c r="DA198" i="100"/>
  <c r="DA174" i="100"/>
  <c r="DA197" i="100"/>
  <c r="DA297" i="100"/>
  <c r="DA32" i="100"/>
  <c r="DA205" i="100"/>
  <c r="DA181" i="100"/>
  <c r="DA334" i="100"/>
  <c r="DA312" i="100"/>
  <c r="DA162" i="100"/>
  <c r="DA192" i="100"/>
  <c r="DA206" i="100"/>
  <c r="DA43" i="100"/>
  <c r="DA302" i="100"/>
  <c r="DA303" i="100"/>
  <c r="DA41" i="100"/>
  <c r="DA37" i="100"/>
  <c r="DA28" i="100"/>
  <c r="DA180" i="100"/>
  <c r="DA329" i="100"/>
  <c r="DA11" i="100"/>
  <c r="DA336" i="100"/>
  <c r="DA12" i="100"/>
  <c r="DA74" i="100"/>
  <c r="DA20" i="100"/>
  <c r="DA65" i="100"/>
  <c r="DA331" i="100"/>
  <c r="DA188" i="100"/>
  <c r="DA323" i="100"/>
  <c r="DA66" i="100"/>
  <c r="DA27" i="100"/>
  <c r="DA23" i="100"/>
  <c r="DA68" i="100"/>
  <c r="DA293" i="100"/>
  <c r="DA72" i="100"/>
  <c r="DA291" i="100"/>
  <c r="DA307" i="100"/>
  <c r="DA35" i="100"/>
  <c r="DA201" i="100"/>
  <c r="DA190" i="100"/>
  <c r="DA169" i="100"/>
  <c r="DA13" i="100"/>
  <c r="DA300" i="100"/>
  <c r="DA22" i="100"/>
  <c r="DA337" i="100"/>
  <c r="DA70" i="100"/>
  <c r="DA176" i="100"/>
  <c r="DA39" i="100"/>
  <c r="DA173" i="100"/>
  <c r="DA172" i="100"/>
  <c r="DA166" i="100"/>
  <c r="DA160" i="100"/>
  <c r="DA185" i="100"/>
  <c r="DA16" i="100"/>
  <c r="DA168" i="100"/>
  <c r="DA36" i="100"/>
  <c r="DA207" i="100"/>
  <c r="DA14" i="100"/>
  <c r="DA304" i="100"/>
  <c r="DA167" i="100"/>
  <c r="DA21" i="100"/>
  <c r="DA184" i="100"/>
  <c r="DA31" i="100"/>
  <c r="DA313" i="100"/>
  <c r="DA183" i="100"/>
  <c r="DA295" i="100"/>
  <c r="DA321" i="100"/>
  <c r="DA186" i="100"/>
  <c r="DA17" i="100"/>
  <c r="DA15" i="100"/>
  <c r="DA161" i="100"/>
  <c r="DA288" i="100"/>
  <c r="DA326" i="100"/>
  <c r="DA42" i="100"/>
  <c r="DA320" i="100"/>
  <c r="DA306" i="100"/>
  <c r="DA73" i="100"/>
  <c r="DA29" i="100"/>
  <c r="DA328" i="100"/>
  <c r="DA290" i="100"/>
  <c r="DA294" i="100"/>
  <c r="DA202" i="100"/>
  <c r="DA310" i="100"/>
  <c r="DA204" i="100"/>
  <c r="DA332" i="100"/>
  <c r="DA335" i="100"/>
  <c r="DA178" i="100"/>
  <c r="DA299" i="100"/>
  <c r="DA24" i="100"/>
  <c r="DB7" i="100"/>
  <c r="DA292" i="100"/>
  <c r="DA67" i="100"/>
  <c r="DA324" i="100"/>
  <c r="DA199" i="100"/>
  <c r="DA26" i="100"/>
  <c r="DA40" i="100"/>
  <c r="DA316" i="100"/>
  <c r="DA318" i="100"/>
  <c r="DA296" i="100"/>
  <c r="DA203" i="100"/>
  <c r="DA333" i="100"/>
  <c r="DA175" i="100"/>
  <c r="DA308" i="100"/>
  <c r="DA9" i="100"/>
  <c r="DA159" i="100"/>
  <c r="DA182" i="100"/>
  <c r="DA163" i="100"/>
  <c r="DA314" i="100"/>
  <c r="DA298" i="100"/>
  <c r="DA71" i="100"/>
  <c r="DA317" i="100"/>
  <c r="DA165" i="100"/>
  <c r="DA187" i="100"/>
  <c r="DA196" i="100"/>
  <c r="DA10" i="100"/>
  <c r="DA191" i="100"/>
  <c r="DA289" i="100"/>
  <c r="DA69" i="100"/>
  <c r="DA171" i="100"/>
  <c r="DA319" i="100"/>
  <c r="DA330" i="100"/>
  <c r="DA25" i="100"/>
  <c r="DA18" i="100"/>
  <c r="DA33" i="100"/>
  <c r="DA194" i="100"/>
  <c r="DA189" i="100"/>
  <c r="DA8" i="100"/>
  <c r="DA64" i="100"/>
  <c r="DA75" i="100"/>
  <c r="DA193" i="100"/>
  <c r="DA38" i="100"/>
  <c r="DA34" i="100"/>
  <c r="DA77" i="100"/>
  <c r="DA301" i="100"/>
  <c r="DA19" i="100"/>
  <c r="DA179" i="100"/>
  <c r="DA30" i="100"/>
  <c r="DA76" i="100"/>
  <c r="DA158" i="100"/>
  <c r="DA200" i="100"/>
  <c r="DA164" i="100"/>
  <c r="DA327" i="100"/>
  <c r="DA177" i="100"/>
  <c r="DA309" i="100"/>
  <c r="GY287" i="100"/>
  <c r="GX338" i="100"/>
  <c r="DB44" i="100" l="1"/>
  <c r="DB46" i="100"/>
  <c r="DB63" i="100"/>
  <c r="DB62" i="100"/>
  <c r="DB51" i="100"/>
  <c r="DB45" i="100"/>
  <c r="DB48" i="100"/>
  <c r="DB56" i="100"/>
  <c r="DB49" i="100"/>
  <c r="DB60" i="100"/>
  <c r="DB59" i="100"/>
  <c r="DB61" i="100"/>
  <c r="DB47" i="100"/>
  <c r="DB58" i="100"/>
  <c r="DB52" i="100"/>
  <c r="DB54" i="100"/>
  <c r="DB53" i="100"/>
  <c r="DB55" i="100"/>
  <c r="DB57" i="100"/>
  <c r="DB50" i="100"/>
  <c r="DA79" i="100"/>
  <c r="DA78" i="100" s="1"/>
  <c r="DA209" i="100"/>
  <c r="DA339" i="100"/>
  <c r="DB175" i="100"/>
  <c r="DB68" i="100"/>
  <c r="DB312" i="100"/>
  <c r="DB171" i="100"/>
  <c r="DB190" i="100"/>
  <c r="DB288" i="100"/>
  <c r="DB20" i="100"/>
  <c r="DB11" i="100"/>
  <c r="DB306" i="100"/>
  <c r="DB200" i="100"/>
  <c r="DB304" i="100"/>
  <c r="DB176" i="100"/>
  <c r="DB33" i="100"/>
  <c r="DB315" i="100"/>
  <c r="DB316" i="100"/>
  <c r="DB74" i="100"/>
  <c r="DB293" i="100"/>
  <c r="DB9" i="100"/>
  <c r="DB164" i="100"/>
  <c r="DB202" i="100"/>
  <c r="DB32" i="100"/>
  <c r="DB31" i="100"/>
  <c r="DB309" i="100"/>
  <c r="DB336" i="100"/>
  <c r="DB26" i="100"/>
  <c r="DB70" i="100"/>
  <c r="DB28" i="100"/>
  <c r="DB10" i="100"/>
  <c r="DB183" i="100"/>
  <c r="DB327" i="100"/>
  <c r="DB75" i="100"/>
  <c r="DB301" i="100"/>
  <c r="DB67" i="100"/>
  <c r="DB159" i="100"/>
  <c r="DB319" i="100"/>
  <c r="DB19" i="100"/>
  <c r="DB300" i="100"/>
  <c r="DB326" i="100"/>
  <c r="DB170" i="100"/>
  <c r="DB42" i="100"/>
  <c r="DB203" i="100"/>
  <c r="DB172" i="100"/>
  <c r="DB205" i="100"/>
  <c r="DB181" i="100"/>
  <c r="DB180" i="100"/>
  <c r="DB305" i="100"/>
  <c r="DB193" i="100"/>
  <c r="DB182" i="100"/>
  <c r="DB188" i="100"/>
  <c r="DB335" i="100"/>
  <c r="DB38" i="100"/>
  <c r="DB199" i="100"/>
  <c r="DB161" i="100"/>
  <c r="DB160" i="100"/>
  <c r="DB324" i="100"/>
  <c r="DB43" i="100"/>
  <c r="DB294" i="100"/>
  <c r="DB321" i="100"/>
  <c r="DB178" i="100"/>
  <c r="DB291" i="100"/>
  <c r="DB184" i="100"/>
  <c r="DB30" i="100"/>
  <c r="DB35" i="100"/>
  <c r="DB18" i="100"/>
  <c r="DB331" i="100"/>
  <c r="DB158" i="100"/>
  <c r="DB17" i="100"/>
  <c r="DB329" i="100"/>
  <c r="DB307" i="100"/>
  <c r="DB39" i="100"/>
  <c r="DB14" i="100"/>
  <c r="DB302" i="100"/>
  <c r="DB162" i="100"/>
  <c r="DB36" i="100"/>
  <c r="DB196" i="100"/>
  <c r="DB318" i="100"/>
  <c r="DB299" i="100"/>
  <c r="DB332" i="100"/>
  <c r="DB298" i="100"/>
  <c r="DB289" i="100"/>
  <c r="DB21" i="100"/>
  <c r="DB337" i="100"/>
  <c r="DB168" i="100"/>
  <c r="DB187" i="100"/>
  <c r="DB77" i="100"/>
  <c r="DB27" i="100"/>
  <c r="DB177" i="100"/>
  <c r="DB179" i="100"/>
  <c r="DB308" i="100"/>
  <c r="DB167" i="100"/>
  <c r="DB322" i="100"/>
  <c r="DB163" i="100"/>
  <c r="DB290" i="100"/>
  <c r="DB65" i="100"/>
  <c r="DB201" i="100"/>
  <c r="DB185" i="100"/>
  <c r="DB310" i="100"/>
  <c r="DB186" i="100"/>
  <c r="DB15" i="100"/>
  <c r="DB320" i="100"/>
  <c r="DB197" i="100"/>
  <c r="DB23" i="100"/>
  <c r="DB71" i="100"/>
  <c r="DB295" i="100"/>
  <c r="DB13" i="100"/>
  <c r="DB206" i="100"/>
  <c r="DB166" i="100"/>
  <c r="DB204" i="100"/>
  <c r="DB317" i="100"/>
  <c r="DB24" i="100"/>
  <c r="DB314" i="100"/>
  <c r="DB189" i="100"/>
  <c r="DB292" i="100"/>
  <c r="DB173" i="100"/>
  <c r="DB192" i="100"/>
  <c r="DB296" i="100"/>
  <c r="DB195" i="100"/>
  <c r="DB303" i="100"/>
  <c r="DB165" i="100"/>
  <c r="DB34" i="100"/>
  <c r="DB29" i="100"/>
  <c r="DB40" i="100"/>
  <c r="DB16" i="100"/>
  <c r="DB333" i="100"/>
  <c r="DB69" i="100"/>
  <c r="DB76" i="100"/>
  <c r="DB66" i="100"/>
  <c r="DB311" i="100"/>
  <c r="DB72" i="100"/>
  <c r="DB330" i="100"/>
  <c r="DB41" i="100"/>
  <c r="DB174" i="100"/>
  <c r="DB313" i="100"/>
  <c r="DB297" i="100"/>
  <c r="DB8" i="100"/>
  <c r="DB198" i="100"/>
  <c r="DB22" i="100"/>
  <c r="DB191" i="100"/>
  <c r="DB323" i="100"/>
  <c r="DB64" i="100"/>
  <c r="DB37" i="100"/>
  <c r="DB12" i="100"/>
  <c r="DB25" i="100"/>
  <c r="DB328" i="100"/>
  <c r="DB325" i="100"/>
  <c r="DC7" i="100"/>
  <c r="DB194" i="100"/>
  <c r="DB207" i="100"/>
  <c r="DB169" i="100"/>
  <c r="DB334" i="100"/>
  <c r="DB73" i="100"/>
  <c r="GZ287" i="100"/>
  <c r="GY338" i="100"/>
  <c r="DC46" i="100" l="1"/>
  <c r="DC62" i="100"/>
  <c r="DC44" i="100"/>
  <c r="DC63" i="100"/>
  <c r="DC58" i="100"/>
  <c r="DC61" i="100"/>
  <c r="DC53" i="100"/>
  <c r="DC59" i="100"/>
  <c r="DC54" i="100"/>
  <c r="DC56" i="100"/>
  <c r="DC55" i="100"/>
  <c r="DC45" i="100"/>
  <c r="DC47" i="100"/>
  <c r="DC48" i="100"/>
  <c r="DC49" i="100"/>
  <c r="DC52" i="100"/>
  <c r="DC51" i="100"/>
  <c r="DC60" i="100"/>
  <c r="DC50" i="100"/>
  <c r="DC57" i="100"/>
  <c r="DB79" i="100"/>
  <c r="DB78" i="100" s="1"/>
  <c r="DB339" i="100"/>
  <c r="DB209" i="100"/>
  <c r="HA287" i="100"/>
  <c r="GZ338" i="100"/>
  <c r="DC289" i="100"/>
  <c r="DC185" i="100"/>
  <c r="DC8" i="100"/>
  <c r="DC26" i="100"/>
  <c r="DC182" i="100"/>
  <c r="DC201" i="100"/>
  <c r="DC331" i="100"/>
  <c r="DC328" i="100"/>
  <c r="DC71" i="100"/>
  <c r="DC190" i="100"/>
  <c r="DC321" i="100"/>
  <c r="DC172" i="100"/>
  <c r="DC307" i="100"/>
  <c r="DC205" i="100"/>
  <c r="DC308" i="100"/>
  <c r="DC165" i="100"/>
  <c r="DC186" i="100"/>
  <c r="DC329" i="100"/>
  <c r="DC167" i="100"/>
  <c r="DC36" i="100"/>
  <c r="DC11" i="100"/>
  <c r="DC327" i="100"/>
  <c r="DC337" i="100"/>
  <c r="DC323" i="100"/>
  <c r="DC207" i="100"/>
  <c r="DC298" i="100"/>
  <c r="DC318" i="100"/>
  <c r="DC178" i="100"/>
  <c r="DC325" i="100"/>
  <c r="DC38" i="100"/>
  <c r="DC168" i="100"/>
  <c r="DC28" i="100"/>
  <c r="DC14" i="100"/>
  <c r="DC65" i="100"/>
  <c r="DC288" i="100"/>
  <c r="DC34" i="100"/>
  <c r="DC324" i="100"/>
  <c r="DC206" i="100"/>
  <c r="DC39" i="100"/>
  <c r="DC32" i="100"/>
  <c r="DC187" i="100"/>
  <c r="DC176" i="100"/>
  <c r="DC35" i="100"/>
  <c r="DC295" i="100"/>
  <c r="DC333" i="100"/>
  <c r="DC69" i="100"/>
  <c r="DC198" i="100"/>
  <c r="DC199" i="100"/>
  <c r="DC30" i="100"/>
  <c r="DC174" i="100"/>
  <c r="DC203" i="100"/>
  <c r="DC184" i="100"/>
  <c r="DC192" i="100"/>
  <c r="DC334" i="100"/>
  <c r="DC195" i="100"/>
  <c r="DC180" i="100"/>
  <c r="DC293" i="100"/>
  <c r="DC10" i="100"/>
  <c r="DC311" i="100"/>
  <c r="DC297" i="100"/>
  <c r="DC193" i="100"/>
  <c r="DC317" i="100"/>
  <c r="DC66" i="100"/>
  <c r="DC202" i="100"/>
  <c r="DC320" i="100"/>
  <c r="DC16" i="100"/>
  <c r="DC72" i="100"/>
  <c r="DC18" i="100"/>
  <c r="DC25" i="100"/>
  <c r="DC67" i="100"/>
  <c r="DC161" i="100"/>
  <c r="DC292" i="100"/>
  <c r="DC299" i="100"/>
  <c r="DC291" i="100"/>
  <c r="DC191" i="100"/>
  <c r="DC169" i="100"/>
  <c r="DC177" i="100"/>
  <c r="DC196" i="100"/>
  <c r="DC336" i="100"/>
  <c r="DC175" i="100"/>
  <c r="DC197" i="100"/>
  <c r="DC166" i="100"/>
  <c r="DC335" i="100"/>
  <c r="DC64" i="100"/>
  <c r="DC77" i="100"/>
  <c r="DC159" i="100"/>
  <c r="DC181" i="100"/>
  <c r="DC309" i="100"/>
  <c r="DC290" i="100"/>
  <c r="DC31" i="100"/>
  <c r="DC314" i="100"/>
  <c r="DC332" i="100"/>
  <c r="DC29" i="100"/>
  <c r="DC160" i="100"/>
  <c r="DC27" i="100"/>
  <c r="DC305" i="100"/>
  <c r="DC73" i="100"/>
  <c r="DC70" i="100"/>
  <c r="DC162" i="100"/>
  <c r="DC13" i="100"/>
  <c r="DC330" i="100"/>
  <c r="DC17" i="100"/>
  <c r="DC304" i="100"/>
  <c r="DC37" i="100"/>
  <c r="DC179" i="100"/>
  <c r="DC12" i="100"/>
  <c r="DC75" i="100"/>
  <c r="DC40" i="100"/>
  <c r="DC301" i="100"/>
  <c r="DC163" i="100"/>
  <c r="DC24" i="100"/>
  <c r="DC23" i="100"/>
  <c r="DC300" i="100"/>
  <c r="DC296" i="100"/>
  <c r="DC306" i="100"/>
  <c r="DC22" i="100"/>
  <c r="DC315" i="100"/>
  <c r="DC76" i="100"/>
  <c r="DC312" i="100"/>
  <c r="DC200" i="100"/>
  <c r="DC171" i="100"/>
  <c r="DC33" i="100"/>
  <c r="DC158" i="100"/>
  <c r="DC310" i="100"/>
  <c r="DC194" i="100"/>
  <c r="DC188" i="100"/>
  <c r="DC15" i="100"/>
  <c r="DC20" i="100"/>
  <c r="DC170" i="100"/>
  <c r="DC294" i="100"/>
  <c r="DC319" i="100"/>
  <c r="DC322" i="100"/>
  <c r="DC313" i="100"/>
  <c r="DC183" i="100"/>
  <c r="DD7" i="100"/>
  <c r="DC173" i="100"/>
  <c r="DC21" i="100"/>
  <c r="DC42" i="100"/>
  <c r="DC302" i="100"/>
  <c r="DC41" i="100"/>
  <c r="DC204" i="100"/>
  <c r="DC43" i="100"/>
  <c r="DC19" i="100"/>
  <c r="DC189" i="100"/>
  <c r="DC74" i="100"/>
  <c r="DC68" i="100"/>
  <c r="DC326" i="100"/>
  <c r="DC316" i="100"/>
  <c r="DC164" i="100"/>
  <c r="DC9" i="100"/>
  <c r="DC303" i="100"/>
  <c r="DD44" i="100" l="1"/>
  <c r="DD63" i="100"/>
  <c r="DD45" i="100"/>
  <c r="DD62" i="100"/>
  <c r="DD46" i="100"/>
  <c r="DD59" i="100"/>
  <c r="DD48" i="100"/>
  <c r="DD50" i="100"/>
  <c r="DD53" i="100"/>
  <c r="DD47" i="100"/>
  <c r="DD57" i="100"/>
  <c r="DD56" i="100"/>
  <c r="DD61" i="100"/>
  <c r="DD60" i="100"/>
  <c r="DD54" i="100"/>
  <c r="DD51" i="100"/>
  <c r="DD49" i="100"/>
  <c r="DD55" i="100"/>
  <c r="DD58" i="100"/>
  <c r="DD52" i="100"/>
  <c r="DC209" i="100"/>
  <c r="DC79" i="100"/>
  <c r="DC78" i="100" s="1"/>
  <c r="DC339" i="100"/>
  <c r="DD12" i="100"/>
  <c r="DD202" i="100"/>
  <c r="DD289" i="100"/>
  <c r="DD73" i="100"/>
  <c r="DD175" i="100"/>
  <c r="DD166" i="100"/>
  <c r="DD191" i="100"/>
  <c r="DD34" i="100"/>
  <c r="DD329" i="100"/>
  <c r="DD198" i="100"/>
  <c r="DD325" i="100"/>
  <c r="DD13" i="100"/>
  <c r="DD291" i="100"/>
  <c r="DD197" i="100"/>
  <c r="DD333" i="100"/>
  <c r="DD26" i="100"/>
  <c r="DD167" i="100"/>
  <c r="DD206" i="100"/>
  <c r="DD14" i="100"/>
  <c r="DD180" i="100"/>
  <c r="DD35" i="100"/>
  <c r="DD64" i="100"/>
  <c r="DD297" i="100"/>
  <c r="DD15" i="100"/>
  <c r="DD8" i="100"/>
  <c r="DD172" i="100"/>
  <c r="DD158" i="100"/>
  <c r="DD29" i="100"/>
  <c r="DD324" i="100"/>
  <c r="DD171" i="100"/>
  <c r="DD19" i="100"/>
  <c r="DD330" i="100"/>
  <c r="DD320" i="100"/>
  <c r="DD292" i="100"/>
  <c r="DD196" i="100"/>
  <c r="DD71" i="100"/>
  <c r="DD43" i="100"/>
  <c r="DD174" i="100"/>
  <c r="DD67" i="100"/>
  <c r="DD188" i="100"/>
  <c r="DD169" i="100"/>
  <c r="DD336" i="100"/>
  <c r="DD187" i="100"/>
  <c r="DD168" i="100"/>
  <c r="DD201" i="100"/>
  <c r="DD316" i="100"/>
  <c r="DD183" i="100"/>
  <c r="DD27" i="100"/>
  <c r="DD37" i="100"/>
  <c r="DD36" i="100"/>
  <c r="DD161" i="100"/>
  <c r="DD40" i="100"/>
  <c r="DD9" i="100"/>
  <c r="DE7" i="100"/>
  <c r="DD313" i="100"/>
  <c r="DD159" i="100"/>
  <c r="DD176" i="100"/>
  <c r="DD17" i="100"/>
  <c r="DD334" i="100"/>
  <c r="DD317" i="100"/>
  <c r="DD293" i="100"/>
  <c r="DD207" i="100"/>
  <c r="DD288" i="100"/>
  <c r="DD38" i="100"/>
  <c r="DD307" i="100"/>
  <c r="DD301" i="100"/>
  <c r="DD185" i="100"/>
  <c r="DD305" i="100"/>
  <c r="DD309" i="100"/>
  <c r="DD300" i="100"/>
  <c r="DD25" i="100"/>
  <c r="DD76" i="100"/>
  <c r="DD74" i="100"/>
  <c r="DD77" i="100"/>
  <c r="DD179" i="100"/>
  <c r="DD296" i="100"/>
  <c r="DD20" i="100"/>
  <c r="DD182" i="100"/>
  <c r="DD304" i="100"/>
  <c r="DD16" i="100"/>
  <c r="DD177" i="100"/>
  <c r="DD41" i="100"/>
  <c r="DD312" i="100"/>
  <c r="DD22" i="100"/>
  <c r="DD18" i="100"/>
  <c r="DD70" i="100"/>
  <c r="DD33" i="100"/>
  <c r="DD332" i="100"/>
  <c r="DD42" i="100"/>
  <c r="DD11" i="100"/>
  <c r="DD295" i="100"/>
  <c r="DD173" i="100"/>
  <c r="DD327" i="100"/>
  <c r="DD190" i="100"/>
  <c r="DD68" i="100"/>
  <c r="DD194" i="100"/>
  <c r="DD24" i="100"/>
  <c r="DD322" i="100"/>
  <c r="DD10" i="100"/>
  <c r="DD331" i="100"/>
  <c r="DD31" i="100"/>
  <c r="DD203" i="100"/>
  <c r="DD189" i="100"/>
  <c r="DD21" i="100"/>
  <c r="DD311" i="100"/>
  <c r="DD186" i="100"/>
  <c r="DD314" i="100"/>
  <c r="DD205" i="100"/>
  <c r="DD299" i="100"/>
  <c r="DD308" i="100"/>
  <c r="DD66" i="100"/>
  <c r="DD294" i="100"/>
  <c r="DD65" i="100"/>
  <c r="DD75" i="100"/>
  <c r="DD69" i="100"/>
  <c r="DD298" i="100"/>
  <c r="DD23" i="100"/>
  <c r="DD162" i="100"/>
  <c r="DD178" i="100"/>
  <c r="DD28" i="100"/>
  <c r="DD319" i="100"/>
  <c r="DD32" i="100"/>
  <c r="DD204" i="100"/>
  <c r="DD181" i="100"/>
  <c r="DD315" i="100"/>
  <c r="DD200" i="100"/>
  <c r="DD192" i="100"/>
  <c r="DD195" i="100"/>
  <c r="DD165" i="100"/>
  <c r="DD170" i="100"/>
  <c r="DD72" i="100"/>
  <c r="DD321" i="100"/>
  <c r="DD335" i="100"/>
  <c r="DD193" i="100"/>
  <c r="DD39" i="100"/>
  <c r="DD302" i="100"/>
  <c r="DD160" i="100"/>
  <c r="DD164" i="100"/>
  <c r="DD323" i="100"/>
  <c r="DD199" i="100"/>
  <c r="DD184" i="100"/>
  <c r="DD328" i="100"/>
  <c r="DD303" i="100"/>
  <c r="DD290" i="100"/>
  <c r="DD326" i="100"/>
  <c r="DD337" i="100"/>
  <c r="DD30" i="100"/>
  <c r="DD306" i="100"/>
  <c r="DD318" i="100"/>
  <c r="DD163" i="100"/>
  <c r="DD310" i="100"/>
  <c r="HB287" i="100"/>
  <c r="HA338" i="100"/>
  <c r="DE59" i="100" l="1"/>
  <c r="DE51" i="100"/>
  <c r="DE44" i="100"/>
  <c r="DE63" i="100"/>
  <c r="DE62" i="100"/>
  <c r="DE57" i="100"/>
  <c r="DE46" i="100"/>
  <c r="DE61" i="100"/>
  <c r="DE48" i="100"/>
  <c r="DE53" i="100"/>
  <c r="DE58" i="100"/>
  <c r="DE45" i="100"/>
  <c r="DE52" i="100"/>
  <c r="DE54" i="100"/>
  <c r="DE50" i="100"/>
  <c r="DE47" i="100"/>
  <c r="DE60" i="100"/>
  <c r="DE49" i="100"/>
  <c r="DE55" i="100"/>
  <c r="DE56" i="100"/>
  <c r="DD339" i="100"/>
  <c r="DD79" i="100"/>
  <c r="DD78" i="100" s="1"/>
  <c r="DD209" i="100"/>
  <c r="DE290" i="100"/>
  <c r="DE67" i="100"/>
  <c r="DE305" i="100"/>
  <c r="DE42" i="100"/>
  <c r="DE301" i="100"/>
  <c r="DE180" i="100"/>
  <c r="DE167" i="100"/>
  <c r="DE165" i="100"/>
  <c r="DE336" i="100"/>
  <c r="DE307" i="100"/>
  <c r="DE23" i="100"/>
  <c r="DE195" i="100"/>
  <c r="DE324" i="100"/>
  <c r="DE66" i="100"/>
  <c r="DE313" i="100"/>
  <c r="DE72" i="100"/>
  <c r="DE199" i="100"/>
  <c r="DE68" i="100"/>
  <c r="DE317" i="100"/>
  <c r="DE43" i="100"/>
  <c r="DE33" i="100"/>
  <c r="DE19" i="100"/>
  <c r="DE30" i="100"/>
  <c r="DE196" i="100"/>
  <c r="DE316" i="100"/>
  <c r="DE193" i="100"/>
  <c r="DE296" i="100"/>
  <c r="DE182" i="100"/>
  <c r="DE207" i="100"/>
  <c r="DE177" i="100"/>
  <c r="DE293" i="100"/>
  <c r="DE170" i="100"/>
  <c r="DE294" i="100"/>
  <c r="DE326" i="100"/>
  <c r="DE20" i="100"/>
  <c r="DE37" i="100"/>
  <c r="DE186" i="100"/>
  <c r="DE162" i="100"/>
  <c r="DE161" i="100"/>
  <c r="DE22" i="100"/>
  <c r="DE325" i="100"/>
  <c r="DE188" i="100"/>
  <c r="DE299" i="100"/>
  <c r="DE25" i="100"/>
  <c r="DE158" i="100"/>
  <c r="DE179" i="100"/>
  <c r="DE178" i="100"/>
  <c r="DE163" i="100"/>
  <c r="DE71" i="100"/>
  <c r="DE183" i="100"/>
  <c r="DE310" i="100"/>
  <c r="DE197" i="100"/>
  <c r="DE335" i="100"/>
  <c r="DE35" i="100"/>
  <c r="DE319" i="100"/>
  <c r="DE11" i="100"/>
  <c r="DE173" i="100"/>
  <c r="DE27" i="100"/>
  <c r="DE334" i="100"/>
  <c r="DE329" i="100"/>
  <c r="DE332" i="100"/>
  <c r="DE306" i="100"/>
  <c r="DE69" i="100"/>
  <c r="DE292" i="100"/>
  <c r="DE328" i="100"/>
  <c r="DE34" i="100"/>
  <c r="DE73" i="100"/>
  <c r="DE169" i="100"/>
  <c r="DE333" i="100"/>
  <c r="DE304" i="100"/>
  <c r="DF7" i="100"/>
  <c r="DE297" i="100"/>
  <c r="DE322" i="100"/>
  <c r="DE164" i="100"/>
  <c r="DE205" i="100"/>
  <c r="DE13" i="100"/>
  <c r="DE327" i="100"/>
  <c r="DE168" i="100"/>
  <c r="DE74" i="100"/>
  <c r="DE331" i="100"/>
  <c r="DE10" i="100"/>
  <c r="DE291" i="100"/>
  <c r="DE39" i="100"/>
  <c r="DE21" i="100"/>
  <c r="DE190" i="100"/>
  <c r="DE314" i="100"/>
  <c r="DE192" i="100"/>
  <c r="DE206" i="100"/>
  <c r="DE308" i="100"/>
  <c r="DE323" i="100"/>
  <c r="DE36" i="100"/>
  <c r="DE16" i="100"/>
  <c r="DE9" i="100"/>
  <c r="DE176" i="100"/>
  <c r="DE302" i="100"/>
  <c r="DE184" i="100"/>
  <c r="DE330" i="100"/>
  <c r="DE198" i="100"/>
  <c r="DE41" i="100"/>
  <c r="DE77" i="100"/>
  <c r="DE204" i="100"/>
  <c r="DE159" i="100"/>
  <c r="DE14" i="100"/>
  <c r="DE17" i="100"/>
  <c r="DE174" i="100"/>
  <c r="DE185" i="100"/>
  <c r="DE311" i="100"/>
  <c r="DE160" i="100"/>
  <c r="DE29" i="100"/>
  <c r="DE201" i="100"/>
  <c r="DE28" i="100"/>
  <c r="DE76" i="100"/>
  <c r="DE15" i="100"/>
  <c r="DE40" i="100"/>
  <c r="DE318" i="100"/>
  <c r="DE312" i="100"/>
  <c r="DE166" i="100"/>
  <c r="DE31" i="100"/>
  <c r="DE189" i="100"/>
  <c r="DE315" i="100"/>
  <c r="DE175" i="100"/>
  <c r="DE337" i="100"/>
  <c r="DE8" i="100"/>
  <c r="DE172" i="100"/>
  <c r="DE171" i="100"/>
  <c r="DE70" i="100"/>
  <c r="DE75" i="100"/>
  <c r="DE298" i="100"/>
  <c r="DE32" i="100"/>
  <c r="DE303" i="100"/>
  <c r="DE203" i="100"/>
  <c r="DE26" i="100"/>
  <c r="DE194" i="100"/>
  <c r="DE320" i="100"/>
  <c r="DE321" i="100"/>
  <c r="DE64" i="100"/>
  <c r="DE191" i="100"/>
  <c r="DE202" i="100"/>
  <c r="DE289" i="100"/>
  <c r="DE288" i="100"/>
  <c r="DE65" i="100"/>
  <c r="DE12" i="100"/>
  <c r="DE18" i="100"/>
  <c r="DE38" i="100"/>
  <c r="DE187" i="100"/>
  <c r="DE24" i="100"/>
  <c r="DE200" i="100"/>
  <c r="DE295" i="100"/>
  <c r="DE309" i="100"/>
  <c r="DE300" i="100"/>
  <c r="DE181" i="100"/>
  <c r="HC287" i="100"/>
  <c r="HB338" i="100"/>
  <c r="DF62" i="100" l="1"/>
  <c r="DF60" i="100"/>
  <c r="DF44" i="100"/>
  <c r="DF54" i="100"/>
  <c r="DF63" i="100"/>
  <c r="DF46" i="100"/>
  <c r="DF52" i="100"/>
  <c r="DF50" i="100"/>
  <c r="DF49" i="100"/>
  <c r="DF59" i="100"/>
  <c r="DF56" i="100"/>
  <c r="DF55" i="100"/>
  <c r="DF53" i="100"/>
  <c r="DF45" i="100"/>
  <c r="DF48" i="100"/>
  <c r="DF58" i="100"/>
  <c r="DF61" i="100"/>
  <c r="DF51" i="100"/>
  <c r="DF57" i="100"/>
  <c r="DF47" i="100"/>
  <c r="DE339" i="100"/>
  <c r="DE79" i="100"/>
  <c r="DE78" i="100" s="1"/>
  <c r="DE209" i="100"/>
  <c r="HD287" i="100"/>
  <c r="HC338" i="100"/>
  <c r="DF291" i="100"/>
  <c r="DF205" i="100"/>
  <c r="DF301" i="100"/>
  <c r="DF70" i="100"/>
  <c r="DF335" i="100"/>
  <c r="DF333" i="100"/>
  <c r="DF188" i="100"/>
  <c r="DF336" i="100"/>
  <c r="DF191" i="100"/>
  <c r="DF300" i="100"/>
  <c r="DF314" i="100"/>
  <c r="DF165" i="100"/>
  <c r="DF296" i="100"/>
  <c r="DF71" i="100"/>
  <c r="DF203" i="100"/>
  <c r="DF168" i="100"/>
  <c r="DF309" i="100"/>
  <c r="DF18" i="100"/>
  <c r="DF174" i="100"/>
  <c r="DF159" i="100"/>
  <c r="DF69" i="100"/>
  <c r="DF20" i="100"/>
  <c r="DF178" i="100"/>
  <c r="DF68" i="100"/>
  <c r="DF169" i="100"/>
  <c r="DF337" i="100"/>
  <c r="DF207" i="100"/>
  <c r="DF187" i="100"/>
  <c r="DF204" i="100"/>
  <c r="DF38" i="100"/>
  <c r="DF160" i="100"/>
  <c r="DF158" i="100"/>
  <c r="DF206" i="100"/>
  <c r="DF74" i="100"/>
  <c r="DF182" i="100"/>
  <c r="DF331" i="100"/>
  <c r="DF313" i="100"/>
  <c r="DF19" i="100"/>
  <c r="DF21" i="100"/>
  <c r="DF198" i="100"/>
  <c r="DF35" i="100"/>
  <c r="DF329" i="100"/>
  <c r="DF307" i="100"/>
  <c r="DF295" i="100"/>
  <c r="DF315" i="100"/>
  <c r="DF318" i="100"/>
  <c r="DF194" i="100"/>
  <c r="DF65" i="100"/>
  <c r="DF13" i="100"/>
  <c r="DF170" i="100"/>
  <c r="DF289" i="100"/>
  <c r="DF180" i="100"/>
  <c r="DF30" i="100"/>
  <c r="DF15" i="100"/>
  <c r="DF199" i="100"/>
  <c r="DF16" i="100"/>
  <c r="DF288" i="100"/>
  <c r="DF193" i="100"/>
  <c r="DF34" i="100"/>
  <c r="DF325" i="100"/>
  <c r="DF184" i="100"/>
  <c r="DF42" i="100"/>
  <c r="DF11" i="100"/>
  <c r="DF14" i="100"/>
  <c r="DF172" i="100"/>
  <c r="DF37" i="100"/>
  <c r="DF323" i="100"/>
  <c r="DF312" i="100"/>
  <c r="DF161" i="100"/>
  <c r="DF27" i="100"/>
  <c r="DF177" i="100"/>
  <c r="DF202" i="100"/>
  <c r="DF17" i="100"/>
  <c r="DF330" i="100"/>
  <c r="DF171" i="100"/>
  <c r="DF32" i="100"/>
  <c r="DF163" i="100"/>
  <c r="DF67" i="100"/>
  <c r="DF311" i="100"/>
  <c r="DF317" i="100"/>
  <c r="DF29" i="100"/>
  <c r="DF197" i="100"/>
  <c r="DF183" i="100"/>
  <c r="DF9" i="100"/>
  <c r="DF76" i="100"/>
  <c r="DF190" i="100"/>
  <c r="DF310" i="100"/>
  <c r="DF185" i="100"/>
  <c r="DF39" i="100"/>
  <c r="DF320" i="100"/>
  <c r="DF73" i="100"/>
  <c r="DF189" i="100"/>
  <c r="DF306" i="100"/>
  <c r="DF23" i="100"/>
  <c r="DF22" i="100"/>
  <c r="DF192" i="100"/>
  <c r="DF72" i="100"/>
  <c r="DF162" i="100"/>
  <c r="DF308" i="100"/>
  <c r="DF328" i="100"/>
  <c r="DF316" i="100"/>
  <c r="DF26" i="100"/>
  <c r="DF75" i="100"/>
  <c r="DF24" i="100"/>
  <c r="DF66" i="100"/>
  <c r="DF25" i="100"/>
  <c r="DF167" i="100"/>
  <c r="DF297" i="100"/>
  <c r="DF36" i="100"/>
  <c r="DF303" i="100"/>
  <c r="DF294" i="100"/>
  <c r="DF334" i="100"/>
  <c r="DF195" i="100"/>
  <c r="DF181" i="100"/>
  <c r="DF322" i="100"/>
  <c r="DF327" i="100"/>
  <c r="DF326" i="100"/>
  <c r="DF40" i="100"/>
  <c r="DF43" i="100"/>
  <c r="DF298" i="100"/>
  <c r="DF12" i="100"/>
  <c r="DF321" i="100"/>
  <c r="DF332" i="100"/>
  <c r="DF201" i="100"/>
  <c r="DF196" i="100"/>
  <c r="DF179" i="100"/>
  <c r="DF200" i="100"/>
  <c r="DF77" i="100"/>
  <c r="DF173" i="100"/>
  <c r="DF28" i="100"/>
  <c r="DF176" i="100"/>
  <c r="DF33" i="100"/>
  <c r="DF166" i="100"/>
  <c r="DF164" i="100"/>
  <c r="DF305" i="100"/>
  <c r="DF175" i="100"/>
  <c r="DF319" i="100"/>
  <c r="DF290" i="100"/>
  <c r="DF31" i="100"/>
  <c r="DF186" i="100"/>
  <c r="DF304" i="100"/>
  <c r="DF8" i="100"/>
  <c r="DF41" i="100"/>
  <c r="DF10" i="100"/>
  <c r="DF292" i="100"/>
  <c r="DF302" i="100"/>
  <c r="DF299" i="100"/>
  <c r="DF324" i="100"/>
  <c r="DF64" i="100"/>
  <c r="DF293" i="100"/>
  <c r="DG7" i="100"/>
  <c r="DG63" i="100" l="1"/>
  <c r="DG44" i="100"/>
  <c r="DG46" i="100"/>
  <c r="DG51" i="100"/>
  <c r="DG62" i="100"/>
  <c r="DG59" i="100"/>
  <c r="DG48" i="100"/>
  <c r="DG47" i="100"/>
  <c r="DG52" i="100"/>
  <c r="DG55" i="100"/>
  <c r="DG45" i="100"/>
  <c r="DG57" i="100"/>
  <c r="DG50" i="100"/>
  <c r="DG56" i="100"/>
  <c r="DG58" i="100"/>
  <c r="DG60" i="100"/>
  <c r="DG61" i="100"/>
  <c r="DG49" i="100"/>
  <c r="DG53" i="100"/>
  <c r="DG54" i="100"/>
  <c r="DF209" i="100"/>
  <c r="DF79" i="100"/>
  <c r="DF78" i="100" s="1"/>
  <c r="DF339" i="100"/>
  <c r="DG64" i="100"/>
  <c r="DG293" i="100"/>
  <c r="DG199" i="100"/>
  <c r="DG34" i="100"/>
  <c r="DG309" i="100"/>
  <c r="DG332" i="100"/>
  <c r="DG187" i="100"/>
  <c r="DG38" i="100"/>
  <c r="DG8" i="100"/>
  <c r="DG175" i="100"/>
  <c r="DG192" i="100"/>
  <c r="DG204" i="100"/>
  <c r="DG165" i="100"/>
  <c r="DG310" i="100"/>
  <c r="DG291" i="100"/>
  <c r="DG167" i="100"/>
  <c r="DG202" i="100"/>
  <c r="DG183" i="100"/>
  <c r="DG331" i="100"/>
  <c r="DG20" i="100"/>
  <c r="DG311" i="100"/>
  <c r="DG41" i="100"/>
  <c r="DG299" i="100"/>
  <c r="DG158" i="100"/>
  <c r="DG174" i="100"/>
  <c r="DG184" i="100"/>
  <c r="DG318" i="100"/>
  <c r="DG17" i="100"/>
  <c r="DG302" i="100"/>
  <c r="DG205" i="100"/>
  <c r="DG326" i="100"/>
  <c r="DG39" i="100"/>
  <c r="DG294" i="100"/>
  <c r="DG161" i="100"/>
  <c r="DG15" i="100"/>
  <c r="DG312" i="100"/>
  <c r="DG77" i="100"/>
  <c r="DG317" i="100"/>
  <c r="DG300" i="100"/>
  <c r="DG70" i="100"/>
  <c r="DG320" i="100"/>
  <c r="DG305" i="100"/>
  <c r="DG334" i="100"/>
  <c r="DG166" i="100"/>
  <c r="DG313" i="100"/>
  <c r="DG18" i="100"/>
  <c r="DG12" i="100"/>
  <c r="DG168" i="100"/>
  <c r="DG327" i="100"/>
  <c r="DG206" i="100"/>
  <c r="DG197" i="100"/>
  <c r="DG176" i="100"/>
  <c r="DG304" i="100"/>
  <c r="DG329" i="100"/>
  <c r="DG10" i="100"/>
  <c r="DG314" i="100"/>
  <c r="DG190" i="100"/>
  <c r="DG307" i="100"/>
  <c r="DG43" i="100"/>
  <c r="DG24" i="100"/>
  <c r="DG159" i="100"/>
  <c r="DG74" i="100"/>
  <c r="DG198" i="100"/>
  <c r="DG328" i="100"/>
  <c r="DG196" i="100"/>
  <c r="DG33" i="100"/>
  <c r="DG297" i="100"/>
  <c r="DG35" i="100"/>
  <c r="DG321" i="100"/>
  <c r="DG180" i="100"/>
  <c r="DG336" i="100"/>
  <c r="DG306" i="100"/>
  <c r="DG68" i="100"/>
  <c r="DG303" i="100"/>
  <c r="DG75" i="100"/>
  <c r="DG9" i="100"/>
  <c r="DG324" i="100"/>
  <c r="DG193" i="100"/>
  <c r="DG40" i="100"/>
  <c r="DG201" i="100"/>
  <c r="DG73" i="100"/>
  <c r="DG207" i="100"/>
  <c r="DG292" i="100"/>
  <c r="DG191" i="100"/>
  <c r="DG172" i="100"/>
  <c r="DG170" i="100"/>
  <c r="DG195" i="100"/>
  <c r="DG11" i="100"/>
  <c r="DG42" i="100"/>
  <c r="DG203" i="100"/>
  <c r="DG185" i="100"/>
  <c r="DG337" i="100"/>
  <c r="DG322" i="100"/>
  <c r="DG290" i="100"/>
  <c r="DG319" i="100"/>
  <c r="DG28" i="100"/>
  <c r="DG71" i="100"/>
  <c r="DG163" i="100"/>
  <c r="DG289" i="100"/>
  <c r="DG37" i="100"/>
  <c r="DG160" i="100"/>
  <c r="DG296" i="100"/>
  <c r="DG200" i="100"/>
  <c r="DG76" i="100"/>
  <c r="DG301" i="100"/>
  <c r="DG13" i="100"/>
  <c r="DG32" i="100"/>
  <c r="DG29" i="100"/>
  <c r="DG288" i="100"/>
  <c r="DH7" i="100"/>
  <c r="DG162" i="100"/>
  <c r="DG308" i="100"/>
  <c r="DG67" i="100"/>
  <c r="DG164" i="100"/>
  <c r="DG335" i="100"/>
  <c r="DG194" i="100"/>
  <c r="DG178" i="100"/>
  <c r="DG179" i="100"/>
  <c r="DG65" i="100"/>
  <c r="DG333" i="100"/>
  <c r="DG26" i="100"/>
  <c r="DG177" i="100"/>
  <c r="DG330" i="100"/>
  <c r="DG23" i="100"/>
  <c r="DG316" i="100"/>
  <c r="DG295" i="100"/>
  <c r="DG25" i="100"/>
  <c r="DG188" i="100"/>
  <c r="DG189" i="100"/>
  <c r="DG19" i="100"/>
  <c r="DG173" i="100"/>
  <c r="DG72" i="100"/>
  <c r="DG181" i="100"/>
  <c r="DG66" i="100"/>
  <c r="DG298" i="100"/>
  <c r="DG69" i="100"/>
  <c r="DG171" i="100"/>
  <c r="DG27" i="100"/>
  <c r="DG315" i="100"/>
  <c r="DG323" i="100"/>
  <c r="DG325" i="100"/>
  <c r="DG31" i="100"/>
  <c r="DG22" i="100"/>
  <c r="DG16" i="100"/>
  <c r="DG36" i="100"/>
  <c r="DG14" i="100"/>
  <c r="DG30" i="100"/>
  <c r="DG21" i="100"/>
  <c r="DG186" i="100"/>
  <c r="DG169" i="100"/>
  <c r="DG182" i="100"/>
  <c r="HE287" i="100"/>
  <c r="HD338" i="100"/>
  <c r="DH46" i="100" l="1"/>
  <c r="DH49" i="100"/>
  <c r="DH52" i="100"/>
  <c r="DH62" i="100"/>
  <c r="DH51" i="100"/>
  <c r="DH63" i="100"/>
  <c r="DH44" i="100"/>
  <c r="DH58" i="100"/>
  <c r="DH47" i="100"/>
  <c r="DH50" i="100"/>
  <c r="DH56" i="100"/>
  <c r="DH55" i="100"/>
  <c r="DH53" i="100"/>
  <c r="DH48" i="100"/>
  <c r="DH45" i="100"/>
  <c r="DH61" i="100"/>
  <c r="DH57" i="100"/>
  <c r="DH54" i="100"/>
  <c r="DH60" i="100"/>
  <c r="DH59" i="100"/>
  <c r="DG339" i="100"/>
  <c r="DG79" i="100"/>
  <c r="DG78" i="100" s="1"/>
  <c r="DG209" i="100"/>
  <c r="HF287" i="100"/>
  <c r="HE338" i="100"/>
  <c r="DH292" i="100"/>
  <c r="DH68" i="100"/>
  <c r="DH328" i="100"/>
  <c r="DH168" i="100"/>
  <c r="DI7" i="100"/>
  <c r="DH74" i="100"/>
  <c r="DH332" i="100"/>
  <c r="DH28" i="100"/>
  <c r="DH39" i="100"/>
  <c r="DH335" i="100"/>
  <c r="DH164" i="100"/>
  <c r="DH325" i="100"/>
  <c r="DH306" i="100"/>
  <c r="DH172" i="100"/>
  <c r="DH175" i="100"/>
  <c r="DH20" i="100"/>
  <c r="DH159" i="100"/>
  <c r="DH64" i="100"/>
  <c r="DH43" i="100"/>
  <c r="DH294" i="100"/>
  <c r="DH38" i="100"/>
  <c r="DH37" i="100"/>
  <c r="DH293" i="100"/>
  <c r="DH321" i="100"/>
  <c r="DH186" i="100"/>
  <c r="DH206" i="100"/>
  <c r="DH312" i="100"/>
  <c r="DH163" i="100"/>
  <c r="DH183" i="100"/>
  <c r="DH73" i="100"/>
  <c r="DH158" i="100"/>
  <c r="DH31" i="100"/>
  <c r="DH70" i="100"/>
  <c r="DH9" i="100"/>
  <c r="DH299" i="100"/>
  <c r="DH309" i="100"/>
  <c r="DH18" i="100"/>
  <c r="DH324" i="100"/>
  <c r="DH13" i="100"/>
  <c r="DH300" i="100"/>
  <c r="DH25" i="100"/>
  <c r="DH295" i="100"/>
  <c r="DH65" i="100"/>
  <c r="DH30" i="100"/>
  <c r="DH334" i="100"/>
  <c r="DH174" i="100"/>
  <c r="DH75" i="100"/>
  <c r="DH322" i="100"/>
  <c r="DH189" i="100"/>
  <c r="DH67" i="100"/>
  <c r="DH192" i="100"/>
  <c r="DH184" i="100"/>
  <c r="DH311" i="100"/>
  <c r="DH12" i="100"/>
  <c r="DH16" i="100"/>
  <c r="DH182" i="100"/>
  <c r="DH169" i="100"/>
  <c r="DH10" i="100"/>
  <c r="DH291" i="100"/>
  <c r="DH42" i="100"/>
  <c r="DH301" i="100"/>
  <c r="DH36" i="100"/>
  <c r="DH203" i="100"/>
  <c r="DH302" i="100"/>
  <c r="DH207" i="100"/>
  <c r="DH333" i="100"/>
  <c r="DH204" i="100"/>
  <c r="DH297" i="100"/>
  <c r="DH205" i="100"/>
  <c r="DH315" i="100"/>
  <c r="DH22" i="100"/>
  <c r="DH66" i="100"/>
  <c r="DH290" i="100"/>
  <c r="DH40" i="100"/>
  <c r="DH194" i="100"/>
  <c r="DH167" i="100"/>
  <c r="DH26" i="100"/>
  <c r="DH330" i="100"/>
  <c r="DH8" i="100"/>
  <c r="DH310" i="100"/>
  <c r="DH21" i="100"/>
  <c r="DH288" i="100"/>
  <c r="DH201" i="100"/>
  <c r="DH327" i="100"/>
  <c r="DH304" i="100"/>
  <c r="DH317" i="100"/>
  <c r="DH179" i="100"/>
  <c r="DH298" i="100"/>
  <c r="DH329" i="100"/>
  <c r="DH160" i="100"/>
  <c r="DH200" i="100"/>
  <c r="DH170" i="100"/>
  <c r="DH76" i="100"/>
  <c r="DH197" i="100"/>
  <c r="DH190" i="100"/>
  <c r="DH199" i="100"/>
  <c r="DH195" i="100"/>
  <c r="DH32" i="100"/>
  <c r="DH296" i="100"/>
  <c r="DH24" i="100"/>
  <c r="DH72" i="100"/>
  <c r="DH34" i="100"/>
  <c r="DH198" i="100"/>
  <c r="DH191" i="100"/>
  <c r="DH27" i="100"/>
  <c r="DH289" i="100"/>
  <c r="DH316" i="100"/>
  <c r="DH323" i="100"/>
  <c r="DH303" i="100"/>
  <c r="DH337" i="100"/>
  <c r="DH187" i="100"/>
  <c r="DH193" i="100"/>
  <c r="DH196" i="100"/>
  <c r="DH161" i="100"/>
  <c r="DH173" i="100"/>
  <c r="DH69" i="100"/>
  <c r="DH15" i="100"/>
  <c r="DH178" i="100"/>
  <c r="DH71" i="100"/>
  <c r="DH14" i="100"/>
  <c r="DH308" i="100"/>
  <c r="DH188" i="100"/>
  <c r="DH320" i="100"/>
  <c r="DH313" i="100"/>
  <c r="DH77" i="100"/>
  <c r="DH41" i="100"/>
  <c r="DH17" i="100"/>
  <c r="DH165" i="100"/>
  <c r="DH314" i="100"/>
  <c r="DH305" i="100"/>
  <c r="DH331" i="100"/>
  <c r="DH326" i="100"/>
  <c r="DH166" i="100"/>
  <c r="DH35" i="100"/>
  <c r="DH177" i="100"/>
  <c r="DH319" i="100"/>
  <c r="DH318" i="100"/>
  <c r="DH162" i="100"/>
  <c r="DH180" i="100"/>
  <c r="DH176" i="100"/>
  <c r="DH307" i="100"/>
  <c r="DH23" i="100"/>
  <c r="DH185" i="100"/>
  <c r="DH202" i="100"/>
  <c r="DH171" i="100"/>
  <c r="DH33" i="100"/>
  <c r="DH11" i="100"/>
  <c r="DH19" i="100"/>
  <c r="DH336" i="100"/>
  <c r="DH29" i="100"/>
  <c r="DH181" i="100"/>
  <c r="DI46" i="100" l="1"/>
  <c r="DI58" i="100"/>
  <c r="DI63" i="100"/>
  <c r="DI44" i="100"/>
  <c r="DI51" i="100"/>
  <c r="DI57" i="100"/>
  <c r="DI62" i="100"/>
  <c r="DI50" i="100"/>
  <c r="DI56" i="100"/>
  <c r="DI55" i="100"/>
  <c r="DI59" i="100"/>
  <c r="DI53" i="100"/>
  <c r="DI47" i="100"/>
  <c r="DI61" i="100"/>
  <c r="DI45" i="100"/>
  <c r="DI54" i="100"/>
  <c r="DI52" i="100"/>
  <c r="DI60" i="100"/>
  <c r="DI49" i="100"/>
  <c r="DI48" i="100"/>
  <c r="DH209" i="100"/>
  <c r="DH339" i="100"/>
  <c r="DH79" i="100"/>
  <c r="DH78" i="100" s="1"/>
  <c r="DI12" i="100"/>
  <c r="DI189" i="100"/>
  <c r="DI303" i="100"/>
  <c r="DI8" i="100"/>
  <c r="DI68" i="100"/>
  <c r="DI24" i="100"/>
  <c r="DI317" i="100"/>
  <c r="DI13" i="100"/>
  <c r="DI184" i="100"/>
  <c r="DI199" i="100"/>
  <c r="DI77" i="100"/>
  <c r="DI301" i="100"/>
  <c r="DI333" i="100"/>
  <c r="DI33" i="100"/>
  <c r="DI323" i="100"/>
  <c r="DI204" i="100"/>
  <c r="DI166" i="100"/>
  <c r="DI202" i="100"/>
  <c r="DI26" i="100"/>
  <c r="DI11" i="100"/>
  <c r="DI31" i="100"/>
  <c r="DI293" i="100"/>
  <c r="DI315" i="100"/>
  <c r="DI329" i="100"/>
  <c r="DI196" i="100"/>
  <c r="DI192" i="100"/>
  <c r="DI179" i="100"/>
  <c r="DI201" i="100"/>
  <c r="DI177" i="100"/>
  <c r="DI306" i="100"/>
  <c r="DI168" i="100"/>
  <c r="DI197" i="100"/>
  <c r="DI203" i="100"/>
  <c r="DI74" i="100"/>
  <c r="DI183" i="100"/>
  <c r="DI175" i="100"/>
  <c r="DI336" i="100"/>
  <c r="DI42" i="100"/>
  <c r="DI34" i="100"/>
  <c r="DI298" i="100"/>
  <c r="DI319" i="100"/>
  <c r="DI185" i="100"/>
  <c r="DI330" i="100"/>
  <c r="DI316" i="100"/>
  <c r="DI310" i="100"/>
  <c r="DI318" i="100"/>
  <c r="DI39" i="100"/>
  <c r="DI328" i="100"/>
  <c r="DI29" i="100"/>
  <c r="DI162" i="100"/>
  <c r="DI294" i="100"/>
  <c r="DI296" i="100"/>
  <c r="DI195" i="100"/>
  <c r="DI172" i="100"/>
  <c r="DI9" i="100"/>
  <c r="DI321" i="100"/>
  <c r="DI64" i="100"/>
  <c r="DI182" i="100"/>
  <c r="DI65" i="100"/>
  <c r="DI176" i="100"/>
  <c r="DI161" i="100"/>
  <c r="DI205" i="100"/>
  <c r="DI289" i="100"/>
  <c r="DI67" i="100"/>
  <c r="DI334" i="100"/>
  <c r="DI16" i="100"/>
  <c r="DI324" i="100"/>
  <c r="DI18" i="100"/>
  <c r="DI188" i="100"/>
  <c r="DI73" i="100"/>
  <c r="DI326" i="100"/>
  <c r="DI288" i="100"/>
  <c r="DI292" i="100"/>
  <c r="DI37" i="100"/>
  <c r="DI165" i="100"/>
  <c r="DI40" i="100"/>
  <c r="DI186" i="100"/>
  <c r="DI297" i="100"/>
  <c r="DI169" i="100"/>
  <c r="DI66" i="100"/>
  <c r="DI28" i="100"/>
  <c r="DI320" i="100"/>
  <c r="DI158" i="100"/>
  <c r="DI311" i="100"/>
  <c r="DI167" i="100"/>
  <c r="DI181" i="100"/>
  <c r="DI159" i="100"/>
  <c r="DI27" i="100"/>
  <c r="DI312" i="100"/>
  <c r="DI76" i="100"/>
  <c r="DI337" i="100"/>
  <c r="DI309" i="100"/>
  <c r="DI300" i="100"/>
  <c r="DI206" i="100"/>
  <c r="DI178" i="100"/>
  <c r="DI322" i="100"/>
  <c r="DI174" i="100"/>
  <c r="DI304" i="100"/>
  <c r="DI25" i="100"/>
  <c r="DI171" i="100"/>
  <c r="DI305" i="100"/>
  <c r="DI207" i="100"/>
  <c r="DI163" i="100"/>
  <c r="DI332" i="100"/>
  <c r="DI173" i="100"/>
  <c r="DI23" i="100"/>
  <c r="DI38" i="100"/>
  <c r="DI314" i="100"/>
  <c r="DI69" i="100"/>
  <c r="DI17" i="100"/>
  <c r="DI32" i="100"/>
  <c r="DJ7" i="100"/>
  <c r="DI43" i="100"/>
  <c r="DI194" i="100"/>
  <c r="DI14" i="100"/>
  <c r="DI290" i="100"/>
  <c r="DI180" i="100"/>
  <c r="DI21" i="100"/>
  <c r="DI200" i="100"/>
  <c r="DI307" i="100"/>
  <c r="DI335" i="100"/>
  <c r="DI71" i="100"/>
  <c r="DI164" i="100"/>
  <c r="DI302" i="100"/>
  <c r="DI327" i="100"/>
  <c r="DI20" i="100"/>
  <c r="DI10" i="100"/>
  <c r="DI22" i="100"/>
  <c r="DI198" i="100"/>
  <c r="DI187" i="100"/>
  <c r="DI72" i="100"/>
  <c r="DI30" i="100"/>
  <c r="DI190" i="100"/>
  <c r="DI299" i="100"/>
  <c r="DI295" i="100"/>
  <c r="DI331" i="100"/>
  <c r="DI313" i="100"/>
  <c r="DI325" i="100"/>
  <c r="DI193" i="100"/>
  <c r="DI19" i="100"/>
  <c r="DI170" i="100"/>
  <c r="DI191" i="100"/>
  <c r="DI15" i="100"/>
  <c r="DI36" i="100"/>
  <c r="DI75" i="100"/>
  <c r="DI35" i="100"/>
  <c r="DI70" i="100"/>
  <c r="DI308" i="100"/>
  <c r="DI160" i="100"/>
  <c r="DI291" i="100"/>
  <c r="DI41" i="100"/>
  <c r="HG287" i="100"/>
  <c r="HF338" i="100"/>
  <c r="DJ45" i="100" l="1"/>
  <c r="DJ62" i="100"/>
  <c r="DJ44" i="100"/>
  <c r="DJ57" i="100"/>
  <c r="DJ63" i="100"/>
  <c r="DJ46" i="100"/>
  <c r="DJ51" i="100"/>
  <c r="DJ48" i="100"/>
  <c r="DJ50" i="100"/>
  <c r="DJ61" i="100"/>
  <c r="DJ59" i="100"/>
  <c r="DJ56" i="100"/>
  <c r="DJ49" i="100"/>
  <c r="DJ54" i="100"/>
  <c r="DJ55" i="100"/>
  <c r="DJ53" i="100"/>
  <c r="DJ60" i="100"/>
  <c r="DJ47" i="100"/>
  <c r="DJ58" i="100"/>
  <c r="DJ52" i="100"/>
  <c r="DI339" i="100"/>
  <c r="DI209" i="100"/>
  <c r="DI79" i="100"/>
  <c r="DI78" i="100" s="1"/>
  <c r="HH287" i="100"/>
  <c r="HG338" i="100"/>
  <c r="DJ336" i="100"/>
  <c r="DJ327" i="100"/>
  <c r="DJ160" i="100"/>
  <c r="DJ26" i="100"/>
  <c r="DJ21" i="100"/>
  <c r="DJ191" i="100"/>
  <c r="DJ163" i="100"/>
  <c r="DJ17" i="100"/>
  <c r="DJ161" i="100"/>
  <c r="DJ206" i="100"/>
  <c r="DJ41" i="100"/>
  <c r="DJ38" i="100"/>
  <c r="DJ75" i="100"/>
  <c r="DJ29" i="100"/>
  <c r="DJ310" i="100"/>
  <c r="DJ297" i="100"/>
  <c r="DJ179" i="100"/>
  <c r="DJ324" i="100"/>
  <c r="DJ187" i="100"/>
  <c r="DJ319" i="100"/>
  <c r="DJ203" i="100"/>
  <c r="DJ39" i="100"/>
  <c r="DJ322" i="100"/>
  <c r="DJ177" i="100"/>
  <c r="DJ326" i="100"/>
  <c r="DJ323" i="100"/>
  <c r="DJ170" i="100"/>
  <c r="DJ37" i="100"/>
  <c r="DJ164" i="100"/>
  <c r="DJ68" i="100"/>
  <c r="DJ169" i="100"/>
  <c r="DJ194" i="100"/>
  <c r="DJ178" i="100"/>
  <c r="DJ331" i="100"/>
  <c r="DJ302" i="100"/>
  <c r="DJ190" i="100"/>
  <c r="DJ311" i="100"/>
  <c r="DJ328" i="100"/>
  <c r="DJ333" i="100"/>
  <c r="DJ10" i="100"/>
  <c r="DJ67" i="100"/>
  <c r="DJ304" i="100"/>
  <c r="DJ31" i="100"/>
  <c r="DJ313" i="100"/>
  <c r="DJ33" i="100"/>
  <c r="DJ65" i="100"/>
  <c r="DJ11" i="100"/>
  <c r="DJ28" i="100"/>
  <c r="DJ34" i="100"/>
  <c r="DJ306" i="100"/>
  <c r="DJ320" i="100"/>
  <c r="DJ19" i="100"/>
  <c r="DJ18" i="100"/>
  <c r="DJ176" i="100"/>
  <c r="DJ14" i="100"/>
  <c r="DJ172" i="100"/>
  <c r="DJ23" i="100"/>
  <c r="DJ24" i="100"/>
  <c r="DJ315" i="100"/>
  <c r="DJ175" i="100"/>
  <c r="DJ25" i="100"/>
  <c r="DJ292" i="100"/>
  <c r="DJ77" i="100"/>
  <c r="DJ158" i="100"/>
  <c r="DJ207" i="100"/>
  <c r="DJ192" i="100"/>
  <c r="DJ182" i="100"/>
  <c r="DJ316" i="100"/>
  <c r="DJ174" i="100"/>
  <c r="DJ301" i="100"/>
  <c r="DJ195" i="100"/>
  <c r="DJ199" i="100"/>
  <c r="DJ36" i="100"/>
  <c r="DJ289" i="100"/>
  <c r="DJ15" i="100"/>
  <c r="DJ8" i="100"/>
  <c r="DJ76" i="100"/>
  <c r="DJ159" i="100"/>
  <c r="DJ66" i="100"/>
  <c r="DJ295" i="100"/>
  <c r="DJ312" i="100"/>
  <c r="DJ317" i="100"/>
  <c r="DJ201" i="100"/>
  <c r="DJ9" i="100"/>
  <c r="DJ204" i="100"/>
  <c r="DJ180" i="100"/>
  <c r="DJ332" i="100"/>
  <c r="DJ300" i="100"/>
  <c r="DJ298" i="100"/>
  <c r="DJ205" i="100"/>
  <c r="DJ200" i="100"/>
  <c r="DJ181" i="100"/>
  <c r="DJ171" i="100"/>
  <c r="DJ294" i="100"/>
  <c r="DJ293" i="100"/>
  <c r="DJ184" i="100"/>
  <c r="DK7" i="100"/>
  <c r="DJ314" i="100"/>
  <c r="DJ69" i="100"/>
  <c r="DJ185" i="100"/>
  <c r="DJ70" i="100"/>
  <c r="DJ334" i="100"/>
  <c r="DJ305" i="100"/>
  <c r="DJ43" i="100"/>
  <c r="DJ335" i="100"/>
  <c r="DJ168" i="100"/>
  <c r="DJ189" i="100"/>
  <c r="DJ318" i="100"/>
  <c r="DJ22" i="100"/>
  <c r="DJ188" i="100"/>
  <c r="DJ303" i="100"/>
  <c r="DJ13" i="100"/>
  <c r="DJ202" i="100"/>
  <c r="DJ309" i="100"/>
  <c r="DJ296" i="100"/>
  <c r="DJ337" i="100"/>
  <c r="DJ30" i="100"/>
  <c r="DJ173" i="100"/>
  <c r="DJ20" i="100"/>
  <c r="DJ193" i="100"/>
  <c r="DJ291" i="100"/>
  <c r="DJ32" i="100"/>
  <c r="DJ299" i="100"/>
  <c r="DJ329" i="100"/>
  <c r="DJ72" i="100"/>
  <c r="DJ325" i="100"/>
  <c r="DJ35" i="100"/>
  <c r="DJ71" i="100"/>
  <c r="DJ64" i="100"/>
  <c r="DJ165" i="100"/>
  <c r="DJ12" i="100"/>
  <c r="DJ40" i="100"/>
  <c r="DJ307" i="100"/>
  <c r="DJ321" i="100"/>
  <c r="DJ197" i="100"/>
  <c r="DJ42" i="100"/>
  <c r="DJ183" i="100"/>
  <c r="DJ27" i="100"/>
  <c r="DJ196" i="100"/>
  <c r="DJ330" i="100"/>
  <c r="DJ166" i="100"/>
  <c r="DJ74" i="100"/>
  <c r="DJ167" i="100"/>
  <c r="DJ16" i="100"/>
  <c r="DJ288" i="100"/>
  <c r="DJ290" i="100"/>
  <c r="DJ73" i="100"/>
  <c r="DJ198" i="100"/>
  <c r="DJ308" i="100"/>
  <c r="DJ162" i="100"/>
  <c r="DJ186" i="100"/>
  <c r="DK44" i="100" l="1"/>
  <c r="DK45" i="100"/>
  <c r="DK62" i="100"/>
  <c r="DK46" i="100"/>
  <c r="DK63" i="100"/>
  <c r="DK55" i="100"/>
  <c r="DK56" i="100"/>
  <c r="DK57" i="100"/>
  <c r="DK48" i="100"/>
  <c r="DK53" i="100"/>
  <c r="DK61" i="100"/>
  <c r="DK50" i="100"/>
  <c r="DK52" i="100"/>
  <c r="DK54" i="100"/>
  <c r="DK47" i="100"/>
  <c r="DK60" i="100"/>
  <c r="DK51" i="100"/>
  <c r="DK59" i="100"/>
  <c r="DK49" i="100"/>
  <c r="DK58" i="100"/>
  <c r="DJ209" i="100"/>
  <c r="DJ339" i="100"/>
  <c r="DJ79" i="100"/>
  <c r="DJ78" i="100" s="1"/>
  <c r="DK161" i="100"/>
  <c r="DK26" i="100"/>
  <c r="DK185" i="100"/>
  <c r="DK19" i="100"/>
  <c r="DK20" i="100"/>
  <c r="DK190" i="100"/>
  <c r="DK307" i="100"/>
  <c r="DK336" i="100"/>
  <c r="DK17" i="100"/>
  <c r="DK68" i="100"/>
  <c r="DK42" i="100"/>
  <c r="DK193" i="100"/>
  <c r="DK158" i="100"/>
  <c r="DK177" i="100"/>
  <c r="DK290" i="100"/>
  <c r="DK174" i="100"/>
  <c r="DK289" i="100"/>
  <c r="DK297" i="100"/>
  <c r="DK32" i="100"/>
  <c r="DK168" i="100"/>
  <c r="DK164" i="100"/>
  <c r="DL7" i="100"/>
  <c r="DK18" i="100"/>
  <c r="DK39" i="100"/>
  <c r="DK324" i="100"/>
  <c r="DK319" i="100"/>
  <c r="DK331" i="100"/>
  <c r="DK188" i="100"/>
  <c r="DK30" i="100"/>
  <c r="DK304" i="100"/>
  <c r="DK195" i="100"/>
  <c r="DK11" i="100"/>
  <c r="DK194" i="100"/>
  <c r="DK33" i="100"/>
  <c r="DK23" i="100"/>
  <c r="DK337" i="100"/>
  <c r="DK169" i="100"/>
  <c r="DK196" i="100"/>
  <c r="DK36" i="100"/>
  <c r="DK317" i="100"/>
  <c r="DK69" i="100"/>
  <c r="DK24" i="100"/>
  <c r="DK203" i="100"/>
  <c r="DK22" i="100"/>
  <c r="DK37" i="100"/>
  <c r="DK160" i="100"/>
  <c r="DK180" i="100"/>
  <c r="DK205" i="100"/>
  <c r="DK167" i="100"/>
  <c r="DK197" i="100"/>
  <c r="DK41" i="100"/>
  <c r="DK25" i="100"/>
  <c r="DK191" i="100"/>
  <c r="DK40" i="100"/>
  <c r="DK171" i="100"/>
  <c r="DK13" i="100"/>
  <c r="DK330" i="100"/>
  <c r="DK14" i="100"/>
  <c r="DK293" i="100"/>
  <c r="DK34" i="100"/>
  <c r="DK10" i="100"/>
  <c r="DK335" i="100"/>
  <c r="DK21" i="100"/>
  <c r="DK306" i="100"/>
  <c r="DK292" i="100"/>
  <c r="DK320" i="100"/>
  <c r="DK170" i="100"/>
  <c r="DK8" i="100"/>
  <c r="DK199" i="100"/>
  <c r="DK326" i="100"/>
  <c r="DK9" i="100"/>
  <c r="DK310" i="100"/>
  <c r="DK75" i="100"/>
  <c r="DK207" i="100"/>
  <c r="DK302" i="100"/>
  <c r="DK328" i="100"/>
  <c r="DK175" i="100"/>
  <c r="DK296" i="100"/>
  <c r="DK299" i="100"/>
  <c r="DK65" i="100"/>
  <c r="DK187" i="100"/>
  <c r="DK173" i="100"/>
  <c r="DK301" i="100"/>
  <c r="DK294" i="100"/>
  <c r="DK163" i="100"/>
  <c r="DK329" i="100"/>
  <c r="DK172" i="100"/>
  <c r="DK73" i="100"/>
  <c r="DK303" i="100"/>
  <c r="DK12" i="100"/>
  <c r="DK165" i="100"/>
  <c r="DK159" i="100"/>
  <c r="DK72" i="100"/>
  <c r="DK15" i="100"/>
  <c r="DK305" i="100"/>
  <c r="DK35" i="100"/>
  <c r="DK31" i="100"/>
  <c r="DK295" i="100"/>
  <c r="DK162" i="100"/>
  <c r="DK321" i="100"/>
  <c r="DK291" i="100"/>
  <c r="DK332" i="100"/>
  <c r="DK76" i="100"/>
  <c r="DK66" i="100"/>
  <c r="DK314" i="100"/>
  <c r="DK313" i="100"/>
  <c r="DK27" i="100"/>
  <c r="DK206" i="100"/>
  <c r="DK333" i="100"/>
  <c r="DK200" i="100"/>
  <c r="DK202" i="100"/>
  <c r="DK318" i="100"/>
  <c r="DK312" i="100"/>
  <c r="DK322" i="100"/>
  <c r="DK309" i="100"/>
  <c r="DK43" i="100"/>
  <c r="DK16" i="100"/>
  <c r="DK308" i="100"/>
  <c r="DK183" i="100"/>
  <c r="DK327" i="100"/>
  <c r="DK29" i="100"/>
  <c r="DK38" i="100"/>
  <c r="DK198" i="100"/>
  <c r="DK64" i="100"/>
  <c r="DK184" i="100"/>
  <c r="DK71" i="100"/>
  <c r="DK74" i="100"/>
  <c r="DK192" i="100"/>
  <c r="DK204" i="100"/>
  <c r="DK300" i="100"/>
  <c r="DK325" i="100"/>
  <c r="DK178" i="100"/>
  <c r="DK28" i="100"/>
  <c r="DK334" i="100"/>
  <c r="DK186" i="100"/>
  <c r="DK70" i="100"/>
  <c r="DK181" i="100"/>
  <c r="DK298" i="100"/>
  <c r="DK288" i="100"/>
  <c r="DK315" i="100"/>
  <c r="DK166" i="100"/>
  <c r="DK316" i="100"/>
  <c r="DK179" i="100"/>
  <c r="DK311" i="100"/>
  <c r="DK189" i="100"/>
  <c r="DK323" i="100"/>
  <c r="DK201" i="100"/>
  <c r="DK67" i="100"/>
  <c r="DK182" i="100"/>
  <c r="DK176" i="100"/>
  <c r="DK77" i="100"/>
  <c r="HI287" i="100"/>
  <c r="HH338" i="100"/>
  <c r="DL54" i="100" l="1"/>
  <c r="DL46" i="100"/>
  <c r="DL59" i="100"/>
  <c r="DL58" i="100"/>
  <c r="DL44" i="100"/>
  <c r="DL51" i="100"/>
  <c r="DL63" i="100"/>
  <c r="DL62" i="100"/>
  <c r="DL45" i="100"/>
  <c r="DL48" i="100"/>
  <c r="DL56" i="100"/>
  <c r="DL49" i="100"/>
  <c r="DL60" i="100"/>
  <c r="DL55" i="100"/>
  <c r="DL61" i="100"/>
  <c r="DL50" i="100"/>
  <c r="DL57" i="100"/>
  <c r="DL52" i="100"/>
  <c r="DL53" i="100"/>
  <c r="DL47" i="100"/>
  <c r="DK79" i="100"/>
  <c r="DK78" i="100" s="1"/>
  <c r="DK339" i="100"/>
  <c r="DK209" i="100"/>
  <c r="HJ287" i="100"/>
  <c r="HI338" i="100"/>
  <c r="DL334" i="100"/>
  <c r="DL166" i="100"/>
  <c r="DL8" i="100"/>
  <c r="DL305" i="100"/>
  <c r="DL33" i="100"/>
  <c r="DL327" i="100"/>
  <c r="DL26" i="100"/>
  <c r="DL174" i="100"/>
  <c r="DL16" i="100"/>
  <c r="DL292" i="100"/>
  <c r="DL69" i="100"/>
  <c r="DL307" i="100"/>
  <c r="DL317" i="100"/>
  <c r="DL206" i="100"/>
  <c r="DL28" i="100"/>
  <c r="DL188" i="100"/>
  <c r="DL301" i="100"/>
  <c r="DL298" i="100"/>
  <c r="DL302" i="100"/>
  <c r="DL315" i="100"/>
  <c r="DL162" i="100"/>
  <c r="DL159" i="100"/>
  <c r="DL190" i="100"/>
  <c r="DL198" i="100"/>
  <c r="DL76" i="100"/>
  <c r="DL170" i="100"/>
  <c r="DL181" i="100"/>
  <c r="DL77" i="100"/>
  <c r="DL67" i="100"/>
  <c r="DL193" i="100"/>
  <c r="DL328" i="100"/>
  <c r="DL203" i="100"/>
  <c r="DL182" i="100"/>
  <c r="DL74" i="100"/>
  <c r="DL204" i="100"/>
  <c r="DL207" i="100"/>
  <c r="DL164" i="100"/>
  <c r="DL297" i="100"/>
  <c r="DL293" i="100"/>
  <c r="DM7" i="100"/>
  <c r="DL196" i="100"/>
  <c r="DL202" i="100"/>
  <c r="DL199" i="100"/>
  <c r="DL303" i="100"/>
  <c r="DL32" i="100"/>
  <c r="DL295" i="100"/>
  <c r="DL172" i="100"/>
  <c r="DL167" i="100"/>
  <c r="DL70" i="100"/>
  <c r="DL324" i="100"/>
  <c r="DL195" i="100"/>
  <c r="DL17" i="100"/>
  <c r="DL38" i="100"/>
  <c r="DL30" i="100"/>
  <c r="DL12" i="100"/>
  <c r="DL179" i="100"/>
  <c r="DL13" i="100"/>
  <c r="DL325" i="100"/>
  <c r="DL331" i="100"/>
  <c r="DL171" i="100"/>
  <c r="DL311" i="100"/>
  <c r="DL169" i="100"/>
  <c r="DL19" i="100"/>
  <c r="DL68" i="100"/>
  <c r="DL72" i="100"/>
  <c r="DL9" i="100"/>
  <c r="DL323" i="100"/>
  <c r="DL335" i="100"/>
  <c r="DL73" i="100"/>
  <c r="DL194" i="100"/>
  <c r="DL18" i="100"/>
  <c r="DL308" i="100"/>
  <c r="DL321" i="100"/>
  <c r="DL336" i="100"/>
  <c r="DL306" i="100"/>
  <c r="DL23" i="100"/>
  <c r="DL192" i="100"/>
  <c r="DL309" i="100"/>
  <c r="DL40" i="100"/>
  <c r="DL66" i="100"/>
  <c r="DL36" i="100"/>
  <c r="DL184" i="100"/>
  <c r="DL173" i="100"/>
  <c r="DL322" i="100"/>
  <c r="DL185" i="100"/>
  <c r="DL288" i="100"/>
  <c r="DL313" i="100"/>
  <c r="DL200" i="100"/>
  <c r="DL180" i="100"/>
  <c r="DL15" i="100"/>
  <c r="DL39" i="100"/>
  <c r="DL161" i="100"/>
  <c r="DL64" i="100"/>
  <c r="DL27" i="100"/>
  <c r="DL333" i="100"/>
  <c r="DL197" i="100"/>
  <c r="DL175" i="100"/>
  <c r="DL183" i="100"/>
  <c r="DL326" i="100"/>
  <c r="DL290" i="100"/>
  <c r="DL22" i="100"/>
  <c r="DL31" i="100"/>
  <c r="DL187" i="100"/>
  <c r="DL337" i="100"/>
  <c r="DL43" i="100"/>
  <c r="DL75" i="100"/>
  <c r="DL71" i="100"/>
  <c r="DL332" i="100"/>
  <c r="DL165" i="100"/>
  <c r="DL176" i="100"/>
  <c r="DL318" i="100"/>
  <c r="DL34" i="100"/>
  <c r="DL65" i="100"/>
  <c r="DL41" i="100"/>
  <c r="DL35" i="100"/>
  <c r="DL319" i="100"/>
  <c r="DL177" i="100"/>
  <c r="DL178" i="100"/>
  <c r="DL168" i="100"/>
  <c r="DL10" i="100"/>
  <c r="DL201" i="100"/>
  <c r="DL160" i="100"/>
  <c r="DL296" i="100"/>
  <c r="DL163" i="100"/>
  <c r="DL300" i="100"/>
  <c r="DL186" i="100"/>
  <c r="DL37" i="100"/>
  <c r="DL21" i="100"/>
  <c r="DL329" i="100"/>
  <c r="DL291" i="100"/>
  <c r="DL289" i="100"/>
  <c r="DL312" i="100"/>
  <c r="DL320" i="100"/>
  <c r="DL29" i="100"/>
  <c r="DL42" i="100"/>
  <c r="DL158" i="100"/>
  <c r="DL310" i="100"/>
  <c r="DL304" i="100"/>
  <c r="DL314" i="100"/>
  <c r="DL189" i="100"/>
  <c r="DL14" i="100"/>
  <c r="DL24" i="100"/>
  <c r="DL191" i="100"/>
  <c r="DL294" i="100"/>
  <c r="DL299" i="100"/>
  <c r="DL20" i="100"/>
  <c r="DL330" i="100"/>
  <c r="DL205" i="100"/>
  <c r="DL11" i="100"/>
  <c r="DL316" i="100"/>
  <c r="DL25" i="100"/>
  <c r="DM50" i="100" l="1"/>
  <c r="DM63" i="100"/>
  <c r="DM45" i="100"/>
  <c r="DM46" i="100"/>
  <c r="DM44" i="100"/>
  <c r="DM62" i="100"/>
  <c r="DM61" i="100"/>
  <c r="DM55" i="100"/>
  <c r="DM58" i="100"/>
  <c r="DM48" i="100"/>
  <c r="DM53" i="100"/>
  <c r="DM60" i="100"/>
  <c r="DM51" i="100"/>
  <c r="DM49" i="100"/>
  <c r="DM52" i="100"/>
  <c r="DM54" i="100"/>
  <c r="DM57" i="100"/>
  <c r="DM56" i="100"/>
  <c r="DM59" i="100"/>
  <c r="DM47" i="100"/>
  <c r="DL339" i="100"/>
  <c r="DL79" i="100"/>
  <c r="DL78" i="100" s="1"/>
  <c r="DL209" i="100"/>
  <c r="DM332" i="100"/>
  <c r="DM327" i="100"/>
  <c r="DM17" i="100"/>
  <c r="DM313" i="100"/>
  <c r="DM70" i="100"/>
  <c r="DM196" i="100"/>
  <c r="DM333" i="100"/>
  <c r="DM74" i="100"/>
  <c r="DM29" i="100"/>
  <c r="DM38" i="100"/>
  <c r="DM308" i="100"/>
  <c r="DM168" i="100"/>
  <c r="DM305" i="100"/>
  <c r="DM319" i="100"/>
  <c r="DM194" i="100"/>
  <c r="DM76" i="100"/>
  <c r="DM25" i="100"/>
  <c r="DM204" i="100"/>
  <c r="DM68" i="100"/>
  <c r="DM183" i="100"/>
  <c r="DM41" i="100"/>
  <c r="DM77" i="100"/>
  <c r="DM30" i="100"/>
  <c r="DM325" i="100"/>
  <c r="DM184" i="100"/>
  <c r="DM18" i="100"/>
  <c r="DM69" i="100"/>
  <c r="DM28" i="100"/>
  <c r="DM326" i="100"/>
  <c r="DM169" i="100"/>
  <c r="DM195" i="100"/>
  <c r="DM298" i="100"/>
  <c r="DM35" i="100"/>
  <c r="DM72" i="100"/>
  <c r="DM64" i="100"/>
  <c r="DM11" i="100"/>
  <c r="DM336" i="100"/>
  <c r="DM207" i="100"/>
  <c r="DM303" i="100"/>
  <c r="DM201" i="100"/>
  <c r="DM43" i="100"/>
  <c r="DM331" i="100"/>
  <c r="DM188" i="100"/>
  <c r="DM20" i="100"/>
  <c r="DM334" i="100"/>
  <c r="DM337" i="100"/>
  <c r="DM197" i="100"/>
  <c r="DM10" i="100"/>
  <c r="DM200" i="100"/>
  <c r="DM165" i="100"/>
  <c r="DM171" i="100"/>
  <c r="DM36" i="100"/>
  <c r="DM14" i="100"/>
  <c r="DM19" i="100"/>
  <c r="DM34" i="100"/>
  <c r="DM12" i="100"/>
  <c r="DM294" i="100"/>
  <c r="DM170" i="100"/>
  <c r="DM289" i="100"/>
  <c r="DM322" i="100"/>
  <c r="DM66" i="100"/>
  <c r="DM295" i="100"/>
  <c r="DM304" i="100"/>
  <c r="DM189" i="100"/>
  <c r="DM323" i="100"/>
  <c r="DM37" i="100"/>
  <c r="DM162" i="100"/>
  <c r="DM300" i="100"/>
  <c r="DM174" i="100"/>
  <c r="DM315" i="100"/>
  <c r="DM32" i="100"/>
  <c r="DM316" i="100"/>
  <c r="DM163" i="100"/>
  <c r="DM24" i="100"/>
  <c r="DM158" i="100"/>
  <c r="DM175" i="100"/>
  <c r="DM296" i="100"/>
  <c r="DM299" i="100"/>
  <c r="DM202" i="100"/>
  <c r="DM33" i="100"/>
  <c r="DM293" i="100"/>
  <c r="DM178" i="100"/>
  <c r="DM318" i="100"/>
  <c r="DM187" i="100"/>
  <c r="DM328" i="100"/>
  <c r="DM291" i="100"/>
  <c r="DM181" i="100"/>
  <c r="DM314" i="100"/>
  <c r="DM193" i="100"/>
  <c r="DM205" i="100"/>
  <c r="DM40" i="100"/>
  <c r="DM330" i="100"/>
  <c r="DM301" i="100"/>
  <c r="DM306" i="100"/>
  <c r="DM27" i="100"/>
  <c r="DM199" i="100"/>
  <c r="DM198" i="100"/>
  <c r="DM167" i="100"/>
  <c r="DM317" i="100"/>
  <c r="DM159" i="100"/>
  <c r="DM65" i="100"/>
  <c r="DM302" i="100"/>
  <c r="DM324" i="100"/>
  <c r="DM290" i="100"/>
  <c r="DM172" i="100"/>
  <c r="DM173" i="100"/>
  <c r="DM321" i="100"/>
  <c r="DM190" i="100"/>
  <c r="DM31" i="100"/>
  <c r="DM166" i="100"/>
  <c r="DM329" i="100"/>
  <c r="DM191" i="100"/>
  <c r="DM297" i="100"/>
  <c r="DM73" i="100"/>
  <c r="DM185" i="100"/>
  <c r="DM186" i="100"/>
  <c r="DM312" i="100"/>
  <c r="DM8" i="100"/>
  <c r="DM310" i="100"/>
  <c r="DM13" i="100"/>
  <c r="DM22" i="100"/>
  <c r="DM21" i="100"/>
  <c r="DM71" i="100"/>
  <c r="DM288" i="100"/>
  <c r="DM309" i="100"/>
  <c r="DN7" i="100"/>
  <c r="DM176" i="100"/>
  <c r="DM180" i="100"/>
  <c r="DM39" i="100"/>
  <c r="DM160" i="100"/>
  <c r="DM182" i="100"/>
  <c r="DM164" i="100"/>
  <c r="DM311" i="100"/>
  <c r="DM307" i="100"/>
  <c r="DM292" i="100"/>
  <c r="DM320" i="100"/>
  <c r="DM161" i="100"/>
  <c r="DM206" i="100"/>
  <c r="DM179" i="100"/>
  <c r="DM15" i="100"/>
  <c r="DM26" i="100"/>
  <c r="DM23" i="100"/>
  <c r="DM9" i="100"/>
  <c r="DM75" i="100"/>
  <c r="DM335" i="100"/>
  <c r="DM203" i="100"/>
  <c r="DM67" i="100"/>
  <c r="DM16" i="100"/>
  <c r="DM192" i="100"/>
  <c r="DM177" i="100"/>
  <c r="DM42" i="100"/>
  <c r="HK287" i="100"/>
  <c r="HJ338" i="100"/>
  <c r="DN63" i="100" l="1"/>
  <c r="DN46" i="100"/>
  <c r="DN44" i="100"/>
  <c r="DN58" i="100"/>
  <c r="DN51" i="100"/>
  <c r="DN62" i="100"/>
  <c r="DN56" i="100"/>
  <c r="DN48" i="100"/>
  <c r="DN45" i="100"/>
  <c r="DN47" i="100"/>
  <c r="DN52" i="100"/>
  <c r="DN54" i="100"/>
  <c r="DN53" i="100"/>
  <c r="DN49" i="100"/>
  <c r="DN57" i="100"/>
  <c r="DN61" i="100"/>
  <c r="DN55" i="100"/>
  <c r="DN50" i="100"/>
  <c r="DN60" i="100"/>
  <c r="DN59" i="100"/>
  <c r="DM209" i="100"/>
  <c r="DM339" i="100"/>
  <c r="DM79" i="100"/>
  <c r="DM78" i="100" s="1"/>
  <c r="HL287" i="100"/>
  <c r="HK338" i="100"/>
  <c r="DN22" i="100"/>
  <c r="DN187" i="100"/>
  <c r="DN36" i="100"/>
  <c r="DN26" i="100"/>
  <c r="DN312" i="100"/>
  <c r="DN65" i="100"/>
  <c r="DN166" i="100"/>
  <c r="DN41" i="100"/>
  <c r="DN167" i="100"/>
  <c r="DN194" i="100"/>
  <c r="DN67" i="100"/>
  <c r="DN300" i="100"/>
  <c r="DN322" i="100"/>
  <c r="DN184" i="100"/>
  <c r="DN328" i="100"/>
  <c r="DN202" i="100"/>
  <c r="DN323" i="100"/>
  <c r="DN326" i="100"/>
  <c r="DN29" i="100"/>
  <c r="DN163" i="100"/>
  <c r="DN32" i="100"/>
  <c r="DN169" i="100"/>
  <c r="DN201" i="100"/>
  <c r="DN308" i="100"/>
  <c r="DN37" i="100"/>
  <c r="DN292" i="100"/>
  <c r="DN66" i="100"/>
  <c r="DN317" i="100"/>
  <c r="DN314" i="100"/>
  <c r="DN75" i="100"/>
  <c r="DN306" i="100"/>
  <c r="DN298" i="100"/>
  <c r="DN197" i="100"/>
  <c r="DN318" i="100"/>
  <c r="DN13" i="100"/>
  <c r="DN162" i="100"/>
  <c r="DN19" i="100"/>
  <c r="DN296" i="100"/>
  <c r="DN295" i="100"/>
  <c r="DN182" i="100"/>
  <c r="DN21" i="100"/>
  <c r="DN183" i="100"/>
  <c r="DN193" i="100"/>
  <c r="DN16" i="100"/>
  <c r="DN68" i="100"/>
  <c r="DN186" i="100"/>
  <c r="DN191" i="100"/>
  <c r="DN11" i="100"/>
  <c r="DN307" i="100"/>
  <c r="DN288" i="100"/>
  <c r="DN192" i="100"/>
  <c r="DN39" i="100"/>
  <c r="DN12" i="100"/>
  <c r="DN170" i="100"/>
  <c r="DN205" i="100"/>
  <c r="DN69" i="100"/>
  <c r="DN73" i="100"/>
  <c r="DN198" i="100"/>
  <c r="DN332" i="100"/>
  <c r="DN185" i="100"/>
  <c r="DN42" i="100"/>
  <c r="DN30" i="100"/>
  <c r="DN330" i="100"/>
  <c r="DN304" i="100"/>
  <c r="DN335" i="100"/>
  <c r="DN172" i="100"/>
  <c r="DN161" i="100"/>
  <c r="DN178" i="100"/>
  <c r="DN313" i="100"/>
  <c r="DN181" i="100"/>
  <c r="DN207" i="100"/>
  <c r="DN199" i="100"/>
  <c r="DN34" i="100"/>
  <c r="DN9" i="100"/>
  <c r="DN175" i="100"/>
  <c r="DN203" i="100"/>
  <c r="DN327" i="100"/>
  <c r="DN290" i="100"/>
  <c r="DN165" i="100"/>
  <c r="DN15" i="100"/>
  <c r="DN74" i="100"/>
  <c r="DN64" i="100"/>
  <c r="DN334" i="100"/>
  <c r="DN168" i="100"/>
  <c r="DN10" i="100"/>
  <c r="DN40" i="100"/>
  <c r="DN76" i="100"/>
  <c r="DN159" i="100"/>
  <c r="DN337" i="100"/>
  <c r="DN333" i="100"/>
  <c r="DN336" i="100"/>
  <c r="DN302" i="100"/>
  <c r="DN177" i="100"/>
  <c r="DN77" i="100"/>
  <c r="DN310" i="100"/>
  <c r="DN179" i="100"/>
  <c r="DN27" i="100"/>
  <c r="DN206" i="100"/>
  <c r="DN289" i="100"/>
  <c r="DN158" i="100"/>
  <c r="DN38" i="100"/>
  <c r="DN14" i="100"/>
  <c r="DN297" i="100"/>
  <c r="DN315" i="100"/>
  <c r="DN176" i="100"/>
  <c r="DN31" i="100"/>
  <c r="DN293" i="100"/>
  <c r="DN321" i="100"/>
  <c r="DN188" i="100"/>
  <c r="DN33" i="100"/>
  <c r="DN324" i="100"/>
  <c r="DN173" i="100"/>
  <c r="DN325" i="100"/>
  <c r="DN204" i="100"/>
  <c r="DN180" i="100"/>
  <c r="DN329" i="100"/>
  <c r="DN18" i="100"/>
  <c r="DN72" i="100"/>
  <c r="DN320" i="100"/>
  <c r="DN28" i="100"/>
  <c r="DN24" i="100"/>
  <c r="DN331" i="100"/>
  <c r="DN309" i="100"/>
  <c r="DN294" i="100"/>
  <c r="DO7" i="100"/>
  <c r="DN70" i="100"/>
  <c r="DN25" i="100"/>
  <c r="DN200" i="100"/>
  <c r="DN303" i="100"/>
  <c r="DN35" i="100"/>
  <c r="DN164" i="100"/>
  <c r="DN17" i="100"/>
  <c r="DN195" i="100"/>
  <c r="DN189" i="100"/>
  <c r="DN319" i="100"/>
  <c r="DN291" i="100"/>
  <c r="DN174" i="100"/>
  <c r="DN71" i="100"/>
  <c r="DN299" i="100"/>
  <c r="DN23" i="100"/>
  <c r="DN171" i="100"/>
  <c r="DN305" i="100"/>
  <c r="DN160" i="100"/>
  <c r="DN301" i="100"/>
  <c r="DN43" i="100"/>
  <c r="DN20" i="100"/>
  <c r="DN8" i="100"/>
  <c r="DN196" i="100"/>
  <c r="DN316" i="100"/>
  <c r="DN311" i="100"/>
  <c r="DN190" i="100"/>
  <c r="DO63" i="100" l="1"/>
  <c r="DO57" i="100"/>
  <c r="DO44" i="100"/>
  <c r="DO60" i="100"/>
  <c r="DO53" i="100"/>
  <c r="DO59" i="100"/>
  <c r="DO46" i="100"/>
  <c r="DO62" i="100"/>
  <c r="DO48" i="100"/>
  <c r="DO49" i="100"/>
  <c r="DO54" i="100"/>
  <c r="DO61" i="100"/>
  <c r="DO50" i="100"/>
  <c r="DO47" i="100"/>
  <c r="DO55" i="100"/>
  <c r="DO56" i="100"/>
  <c r="DO45" i="100"/>
  <c r="DO58" i="100"/>
  <c r="DO51" i="100"/>
  <c r="DO52" i="100"/>
  <c r="DN79" i="100"/>
  <c r="DN78" i="100" s="1"/>
  <c r="DN209" i="100"/>
  <c r="DN339" i="100"/>
  <c r="DO293" i="100"/>
  <c r="DO335" i="100"/>
  <c r="DO23" i="100"/>
  <c r="DO289" i="100"/>
  <c r="DO33" i="100"/>
  <c r="DO160" i="100"/>
  <c r="DO337" i="100"/>
  <c r="DO193" i="100"/>
  <c r="DO39" i="100"/>
  <c r="DO308" i="100"/>
  <c r="DO299" i="100"/>
  <c r="DO17" i="100"/>
  <c r="DO71" i="100"/>
  <c r="DO163" i="100"/>
  <c r="DO177" i="100"/>
  <c r="DO26" i="100"/>
  <c r="DO12" i="100"/>
  <c r="DO291" i="100"/>
  <c r="DO292" i="100"/>
  <c r="DO77" i="100"/>
  <c r="DO173" i="100"/>
  <c r="DO38" i="100"/>
  <c r="DO312" i="100"/>
  <c r="DO75" i="100"/>
  <c r="DO304" i="100"/>
  <c r="DO159" i="100"/>
  <c r="DO309" i="100"/>
  <c r="DO328" i="100"/>
  <c r="DO178" i="100"/>
  <c r="DO297" i="100"/>
  <c r="DO334" i="100"/>
  <c r="DO205" i="100"/>
  <c r="DO31" i="100"/>
  <c r="DO9" i="100"/>
  <c r="DO164" i="100"/>
  <c r="DO298" i="100"/>
  <c r="DO171" i="100"/>
  <c r="DO162" i="100"/>
  <c r="DO317" i="100"/>
  <c r="DO321" i="100"/>
  <c r="DO30" i="100"/>
  <c r="DO201" i="100"/>
  <c r="DO64" i="100"/>
  <c r="DO167" i="100"/>
  <c r="DO199" i="100"/>
  <c r="DO66" i="100"/>
  <c r="DO206" i="100"/>
  <c r="DO326" i="100"/>
  <c r="DO204" i="100"/>
  <c r="DO324" i="100"/>
  <c r="DO32" i="100"/>
  <c r="DP7" i="100"/>
  <c r="DO307" i="100"/>
  <c r="DO187" i="100"/>
  <c r="DO16" i="100"/>
  <c r="DO43" i="100"/>
  <c r="DO323" i="100"/>
  <c r="DO170" i="100"/>
  <c r="DO70" i="100"/>
  <c r="DO186" i="100"/>
  <c r="DO41" i="100"/>
  <c r="DO168" i="100"/>
  <c r="DO22" i="100"/>
  <c r="DO294" i="100"/>
  <c r="DO68" i="100"/>
  <c r="DO200" i="100"/>
  <c r="DO37" i="100"/>
  <c r="DO195" i="100"/>
  <c r="DO35" i="100"/>
  <c r="DO318" i="100"/>
  <c r="DO13" i="100"/>
  <c r="DO288" i="100"/>
  <c r="DO14" i="100"/>
  <c r="DO179" i="100"/>
  <c r="DO197" i="100"/>
  <c r="DO189" i="100"/>
  <c r="DO24" i="100"/>
  <c r="DO165" i="100"/>
  <c r="DO20" i="100"/>
  <c r="DO319" i="100"/>
  <c r="DO203" i="100"/>
  <c r="DO72" i="100"/>
  <c r="DO15" i="100"/>
  <c r="DO65" i="100"/>
  <c r="DO327" i="100"/>
  <c r="DO161" i="100"/>
  <c r="DO320" i="100"/>
  <c r="DO169" i="100"/>
  <c r="DO27" i="100"/>
  <c r="DO295" i="100"/>
  <c r="DO182" i="100"/>
  <c r="DO25" i="100"/>
  <c r="DO158" i="100"/>
  <c r="DO190" i="100"/>
  <c r="DO40" i="100"/>
  <c r="DO302" i="100"/>
  <c r="DO196" i="100"/>
  <c r="DO19" i="100"/>
  <c r="DO184" i="100"/>
  <c r="DO322" i="100"/>
  <c r="DO207" i="100"/>
  <c r="DO73" i="100"/>
  <c r="DO29" i="100"/>
  <c r="DO333" i="100"/>
  <c r="DO305" i="100"/>
  <c r="DO329" i="100"/>
  <c r="DO28" i="100"/>
  <c r="DO325" i="100"/>
  <c r="DO188" i="100"/>
  <c r="DO303" i="100"/>
  <c r="DO331" i="100"/>
  <c r="DO313" i="100"/>
  <c r="DO198" i="100"/>
  <c r="DO194" i="100"/>
  <c r="DO172" i="100"/>
  <c r="DO175" i="100"/>
  <c r="DO191" i="100"/>
  <c r="DO174" i="100"/>
  <c r="DO185" i="100"/>
  <c r="DO336" i="100"/>
  <c r="DO306" i="100"/>
  <c r="DO300" i="100"/>
  <c r="DO202" i="100"/>
  <c r="DO314" i="100"/>
  <c r="DO310" i="100"/>
  <c r="DO290" i="100"/>
  <c r="DO21" i="100"/>
  <c r="DO42" i="100"/>
  <c r="DO332" i="100"/>
  <c r="DO330" i="100"/>
  <c r="DO166" i="100"/>
  <c r="DO34" i="100"/>
  <c r="DO180" i="100"/>
  <c r="DO176" i="100"/>
  <c r="DO181" i="100"/>
  <c r="DO192" i="100"/>
  <c r="DO11" i="100"/>
  <c r="DO8" i="100"/>
  <c r="DO36" i="100"/>
  <c r="DO69" i="100"/>
  <c r="DO67" i="100"/>
  <c r="DO315" i="100"/>
  <c r="DO74" i="100"/>
  <c r="DO18" i="100"/>
  <c r="DO296" i="100"/>
  <c r="DO10" i="100"/>
  <c r="DO301" i="100"/>
  <c r="DO311" i="100"/>
  <c r="DO316" i="100"/>
  <c r="DO76" i="100"/>
  <c r="DO183" i="100"/>
  <c r="HM287" i="100"/>
  <c r="HL338" i="100"/>
  <c r="DP58" i="100" l="1"/>
  <c r="DP63" i="100"/>
  <c r="DP62" i="100"/>
  <c r="DP46" i="100"/>
  <c r="DP61" i="100"/>
  <c r="DP44" i="100"/>
  <c r="DP45" i="100"/>
  <c r="DP49" i="100"/>
  <c r="DP57" i="100"/>
  <c r="DP48" i="100"/>
  <c r="DP55" i="100"/>
  <c r="DP59" i="100"/>
  <c r="DP50" i="100"/>
  <c r="DP56" i="100"/>
  <c r="DP60" i="100"/>
  <c r="DP51" i="100"/>
  <c r="DP54" i="100"/>
  <c r="DP53" i="100"/>
  <c r="DP52" i="100"/>
  <c r="DP47" i="100"/>
  <c r="DO209" i="100"/>
  <c r="DO339" i="100"/>
  <c r="DO79" i="100"/>
  <c r="DO78" i="100" s="1"/>
  <c r="HN287" i="100"/>
  <c r="HM338" i="100"/>
  <c r="DP183" i="100"/>
  <c r="DP198" i="100"/>
  <c r="DP309" i="100"/>
  <c r="DP188" i="100"/>
  <c r="DP66" i="100"/>
  <c r="DP77" i="100"/>
  <c r="DP65" i="100"/>
  <c r="DP169" i="100"/>
  <c r="DP13" i="100"/>
  <c r="DP332" i="100"/>
  <c r="DP179" i="100"/>
  <c r="DP331" i="100"/>
  <c r="DP187" i="100"/>
  <c r="DP190" i="100"/>
  <c r="DP330" i="100"/>
  <c r="DP26" i="100"/>
  <c r="DP328" i="100"/>
  <c r="DP324" i="100"/>
  <c r="DP37" i="100"/>
  <c r="DP25" i="100"/>
  <c r="DP68" i="100"/>
  <c r="DP16" i="100"/>
  <c r="DP205" i="100"/>
  <c r="DP306" i="100"/>
  <c r="DP200" i="100"/>
  <c r="DP23" i="100"/>
  <c r="DP290" i="100"/>
  <c r="DP297" i="100"/>
  <c r="DP321" i="100"/>
  <c r="DP160" i="100"/>
  <c r="DP162" i="100"/>
  <c r="DP30" i="100"/>
  <c r="DP11" i="100"/>
  <c r="DP199" i="100"/>
  <c r="DP320" i="100"/>
  <c r="DP161" i="100"/>
  <c r="DP295" i="100"/>
  <c r="DP202" i="100"/>
  <c r="DP206" i="100"/>
  <c r="DP335" i="100"/>
  <c r="DP301" i="100"/>
  <c r="DP312" i="100"/>
  <c r="DP40" i="100"/>
  <c r="DP192" i="100"/>
  <c r="DP318" i="100"/>
  <c r="DP27" i="100"/>
  <c r="DP303" i="100"/>
  <c r="DP184" i="100"/>
  <c r="DP166" i="100"/>
  <c r="DP17" i="100"/>
  <c r="DP41" i="100"/>
  <c r="DP304" i="100"/>
  <c r="DP24" i="100"/>
  <c r="DP64" i="100"/>
  <c r="DP165" i="100"/>
  <c r="DP18" i="100"/>
  <c r="DP296" i="100"/>
  <c r="DP175" i="100"/>
  <c r="DP34" i="100"/>
  <c r="DP76" i="100"/>
  <c r="DP172" i="100"/>
  <c r="DP291" i="100"/>
  <c r="DP325" i="100"/>
  <c r="DP36" i="100"/>
  <c r="DP74" i="100"/>
  <c r="DP326" i="100"/>
  <c r="DP207" i="100"/>
  <c r="DP174" i="100"/>
  <c r="DP29" i="100"/>
  <c r="DP302" i="100"/>
  <c r="DP314" i="100"/>
  <c r="DP337" i="100"/>
  <c r="DP308" i="100"/>
  <c r="DP43" i="100"/>
  <c r="DP8" i="100"/>
  <c r="DP195" i="100"/>
  <c r="DP72" i="100"/>
  <c r="DP167" i="100"/>
  <c r="DP333" i="100"/>
  <c r="DP336" i="100"/>
  <c r="DP73" i="100"/>
  <c r="DP159" i="100"/>
  <c r="DP307" i="100"/>
  <c r="DP197" i="100"/>
  <c r="DP9" i="100"/>
  <c r="DP310" i="100"/>
  <c r="DP334" i="100"/>
  <c r="DP294" i="100"/>
  <c r="DP12" i="100"/>
  <c r="DP164" i="100"/>
  <c r="DP305" i="100"/>
  <c r="DP170" i="100"/>
  <c r="DP289" i="100"/>
  <c r="DP19" i="100"/>
  <c r="DP180" i="100"/>
  <c r="DP288" i="100"/>
  <c r="DP189" i="100"/>
  <c r="DP194" i="100"/>
  <c r="DP300" i="100"/>
  <c r="DP181" i="100"/>
  <c r="DP298" i="100"/>
  <c r="DP182" i="100"/>
  <c r="DP70" i="100"/>
  <c r="DP168" i="100"/>
  <c r="DP319" i="100"/>
  <c r="DP293" i="100"/>
  <c r="DP193" i="100"/>
  <c r="DP176" i="100"/>
  <c r="DP21" i="100"/>
  <c r="DP75" i="100"/>
  <c r="DP28" i="100"/>
  <c r="DP292" i="100"/>
  <c r="DP38" i="100"/>
  <c r="DP299" i="100"/>
  <c r="DP186" i="100"/>
  <c r="DP22" i="100"/>
  <c r="DP329" i="100"/>
  <c r="DP327" i="100"/>
  <c r="DP311" i="100"/>
  <c r="DP42" i="100"/>
  <c r="DP315" i="100"/>
  <c r="DP313" i="100"/>
  <c r="DP322" i="100"/>
  <c r="DP317" i="100"/>
  <c r="DP185" i="100"/>
  <c r="DP32" i="100"/>
  <c r="DP67" i="100"/>
  <c r="DP203" i="100"/>
  <c r="DP196" i="100"/>
  <c r="DP173" i="100"/>
  <c r="DP71" i="100"/>
  <c r="DP39" i="100"/>
  <c r="DP158" i="100"/>
  <c r="DP33" i="100"/>
  <c r="DP171" i="100"/>
  <c r="DP178" i="100"/>
  <c r="DP191" i="100"/>
  <c r="DP31" i="100"/>
  <c r="DP14" i="100"/>
  <c r="DQ7" i="100"/>
  <c r="DP20" i="100"/>
  <c r="DP204" i="100"/>
  <c r="DP15" i="100"/>
  <c r="DP35" i="100"/>
  <c r="DP10" i="100"/>
  <c r="DP163" i="100"/>
  <c r="DP177" i="100"/>
  <c r="DP323" i="100"/>
  <c r="DP201" i="100"/>
  <c r="DP316" i="100"/>
  <c r="DP69" i="100"/>
  <c r="DQ63" i="100" l="1"/>
  <c r="DQ58" i="100"/>
  <c r="DQ62" i="100"/>
  <c r="DQ46" i="100"/>
  <c r="DQ44" i="100"/>
  <c r="DQ59" i="100"/>
  <c r="DQ54" i="100"/>
  <c r="DQ49" i="100"/>
  <c r="DQ53" i="100"/>
  <c r="DQ56" i="100"/>
  <c r="DQ55" i="100"/>
  <c r="DQ57" i="100"/>
  <c r="DQ45" i="100"/>
  <c r="DQ51" i="100"/>
  <c r="DQ52" i="100"/>
  <c r="DQ50" i="100"/>
  <c r="DQ47" i="100"/>
  <c r="DQ60" i="100"/>
  <c r="DQ48" i="100"/>
  <c r="DQ61" i="100"/>
  <c r="DP339" i="100"/>
  <c r="DP79" i="100"/>
  <c r="DP78" i="100" s="1"/>
  <c r="DP209" i="100"/>
  <c r="DQ23" i="100"/>
  <c r="DQ205" i="100"/>
  <c r="DQ305" i="100"/>
  <c r="DQ290" i="100"/>
  <c r="DQ326" i="100"/>
  <c r="DQ166" i="100"/>
  <c r="DQ306" i="100"/>
  <c r="DQ33" i="100"/>
  <c r="DQ174" i="100"/>
  <c r="DQ322" i="100"/>
  <c r="DQ176" i="100"/>
  <c r="DQ77" i="100"/>
  <c r="DQ75" i="100"/>
  <c r="DQ327" i="100"/>
  <c r="DQ336" i="100"/>
  <c r="DQ309" i="100"/>
  <c r="DQ298" i="100"/>
  <c r="DQ167" i="100"/>
  <c r="DQ71" i="100"/>
  <c r="DQ321" i="100"/>
  <c r="DQ295" i="100"/>
  <c r="DQ70" i="100"/>
  <c r="DQ163" i="100"/>
  <c r="DQ11" i="100"/>
  <c r="DQ199" i="100"/>
  <c r="DQ194" i="100"/>
  <c r="DQ187" i="100"/>
  <c r="DQ333" i="100"/>
  <c r="DQ190" i="100"/>
  <c r="DQ69" i="100"/>
  <c r="DQ29" i="100"/>
  <c r="DQ31" i="100"/>
  <c r="DQ30" i="100"/>
  <c r="DQ189" i="100"/>
  <c r="DQ313" i="100"/>
  <c r="DQ192" i="100"/>
  <c r="DQ181" i="100"/>
  <c r="DQ35" i="100"/>
  <c r="DQ76" i="100"/>
  <c r="DQ320" i="100"/>
  <c r="DQ323" i="100"/>
  <c r="DQ184" i="100"/>
  <c r="DQ183" i="100"/>
  <c r="DQ42" i="100"/>
  <c r="DQ201" i="100"/>
  <c r="DQ32" i="100"/>
  <c r="DQ65" i="100"/>
  <c r="DQ178" i="100"/>
  <c r="DQ173" i="100"/>
  <c r="DQ185" i="100"/>
  <c r="DQ319" i="100"/>
  <c r="DQ170" i="100"/>
  <c r="DQ13" i="100"/>
  <c r="DQ197" i="100"/>
  <c r="DQ17" i="100"/>
  <c r="DQ43" i="100"/>
  <c r="DQ169" i="100"/>
  <c r="DQ307" i="100"/>
  <c r="DQ74" i="100"/>
  <c r="DQ292" i="100"/>
  <c r="DQ40" i="100"/>
  <c r="DQ315" i="100"/>
  <c r="DQ311" i="100"/>
  <c r="DQ300" i="100"/>
  <c r="DQ165" i="100"/>
  <c r="DQ67" i="100"/>
  <c r="DQ294" i="100"/>
  <c r="DQ161" i="100"/>
  <c r="DQ28" i="100"/>
  <c r="DQ316" i="100"/>
  <c r="DQ195" i="100"/>
  <c r="DQ297" i="100"/>
  <c r="DQ317" i="100"/>
  <c r="DR7" i="100"/>
  <c r="DQ160" i="100"/>
  <c r="DQ34" i="100"/>
  <c r="DQ206" i="100"/>
  <c r="DQ329" i="100"/>
  <c r="DQ200" i="100"/>
  <c r="DQ171" i="100"/>
  <c r="DQ37" i="100"/>
  <c r="DQ328" i="100"/>
  <c r="DQ180" i="100"/>
  <c r="DQ308" i="100"/>
  <c r="DQ334" i="100"/>
  <c r="DQ314" i="100"/>
  <c r="DQ179" i="100"/>
  <c r="DQ331" i="100"/>
  <c r="DQ288" i="100"/>
  <c r="DQ41" i="100"/>
  <c r="DQ73" i="100"/>
  <c r="DQ335" i="100"/>
  <c r="DQ202" i="100"/>
  <c r="DQ16" i="100"/>
  <c r="DQ293" i="100"/>
  <c r="DQ186" i="100"/>
  <c r="DQ39" i="100"/>
  <c r="DQ299" i="100"/>
  <c r="DQ291" i="100"/>
  <c r="DQ158" i="100"/>
  <c r="DQ26" i="100"/>
  <c r="DQ330" i="100"/>
  <c r="DQ10" i="100"/>
  <c r="DQ21" i="100"/>
  <c r="DQ66" i="100"/>
  <c r="DQ296" i="100"/>
  <c r="DQ318" i="100"/>
  <c r="DQ24" i="100"/>
  <c r="DQ332" i="100"/>
  <c r="DQ20" i="100"/>
  <c r="DQ175" i="100"/>
  <c r="DQ72" i="100"/>
  <c r="DQ188" i="100"/>
  <c r="DQ22" i="100"/>
  <c r="DQ18" i="100"/>
  <c r="DQ203" i="100"/>
  <c r="DQ168" i="100"/>
  <c r="DQ196" i="100"/>
  <c r="DQ312" i="100"/>
  <c r="DQ337" i="100"/>
  <c r="DQ302" i="100"/>
  <c r="DQ64" i="100"/>
  <c r="DQ162" i="100"/>
  <c r="DQ9" i="100"/>
  <c r="DQ289" i="100"/>
  <c r="DQ198" i="100"/>
  <c r="DQ38" i="100"/>
  <c r="DQ15" i="100"/>
  <c r="DQ193" i="100"/>
  <c r="DQ164" i="100"/>
  <c r="DQ159" i="100"/>
  <c r="DQ172" i="100"/>
  <c r="DQ177" i="100"/>
  <c r="DQ19" i="100"/>
  <c r="DQ14" i="100"/>
  <c r="DQ36" i="100"/>
  <c r="DQ304" i="100"/>
  <c r="DQ27" i="100"/>
  <c r="DQ325" i="100"/>
  <c r="DQ12" i="100"/>
  <c r="DQ310" i="100"/>
  <c r="DQ182" i="100"/>
  <c r="DQ68" i="100"/>
  <c r="DQ204" i="100"/>
  <c r="DQ301" i="100"/>
  <c r="DQ207" i="100"/>
  <c r="DQ25" i="100"/>
  <c r="DQ191" i="100"/>
  <c r="DQ8" i="100"/>
  <c r="DQ303" i="100"/>
  <c r="DQ324" i="100"/>
  <c r="HO287" i="100"/>
  <c r="HN338" i="100"/>
  <c r="DR62" i="100" l="1"/>
  <c r="DR63" i="100"/>
  <c r="DR44" i="100"/>
  <c r="DR51" i="100"/>
  <c r="DR46" i="100"/>
  <c r="DR54" i="100"/>
  <c r="DR55" i="100"/>
  <c r="DR53" i="100"/>
  <c r="DR61" i="100"/>
  <c r="DR56" i="100"/>
  <c r="DR49" i="100"/>
  <c r="DR50" i="100"/>
  <c r="DR47" i="100"/>
  <c r="DR52" i="100"/>
  <c r="DR45" i="100"/>
  <c r="DR59" i="100"/>
  <c r="DR48" i="100"/>
  <c r="DR57" i="100"/>
  <c r="DR58" i="100"/>
  <c r="DR60" i="100"/>
  <c r="DQ79" i="100"/>
  <c r="DQ78" i="100" s="1"/>
  <c r="DQ339" i="100"/>
  <c r="DQ209" i="100"/>
  <c r="HP287" i="100"/>
  <c r="HO338" i="100"/>
  <c r="DR194" i="100"/>
  <c r="DR304" i="100"/>
  <c r="DR174" i="100"/>
  <c r="DR69" i="100"/>
  <c r="DR10" i="100"/>
  <c r="DR292" i="100"/>
  <c r="DR11" i="100"/>
  <c r="DR163" i="100"/>
  <c r="DR26" i="100"/>
  <c r="DR17" i="100"/>
  <c r="DR183" i="100"/>
  <c r="DR43" i="100"/>
  <c r="DR39" i="100"/>
  <c r="DR173" i="100"/>
  <c r="DR72" i="100"/>
  <c r="DR295" i="100"/>
  <c r="DR37" i="100"/>
  <c r="DR206" i="100"/>
  <c r="DR323" i="100"/>
  <c r="DR35" i="100"/>
  <c r="DR200" i="100"/>
  <c r="DR165" i="100"/>
  <c r="DR77" i="100"/>
  <c r="DR178" i="100"/>
  <c r="DR18" i="100"/>
  <c r="DR198" i="100"/>
  <c r="DR336" i="100"/>
  <c r="DR21" i="100"/>
  <c r="DR313" i="100"/>
  <c r="DR167" i="100"/>
  <c r="DR20" i="100"/>
  <c r="DR38" i="100"/>
  <c r="DR302" i="100"/>
  <c r="DR300" i="100"/>
  <c r="DR42" i="100"/>
  <c r="DR27" i="100"/>
  <c r="DR199" i="100"/>
  <c r="DS7" i="100"/>
  <c r="DR192" i="100"/>
  <c r="DR12" i="100"/>
  <c r="DR316" i="100"/>
  <c r="DR9" i="100"/>
  <c r="DR41" i="100"/>
  <c r="DR191" i="100"/>
  <c r="DR202" i="100"/>
  <c r="DR189" i="100"/>
  <c r="DR290" i="100"/>
  <c r="DR201" i="100"/>
  <c r="DR310" i="100"/>
  <c r="DR180" i="100"/>
  <c r="DR317" i="100"/>
  <c r="DR314" i="100"/>
  <c r="DR28" i="100"/>
  <c r="DR297" i="100"/>
  <c r="DR161" i="100"/>
  <c r="DR204" i="100"/>
  <c r="DR188" i="100"/>
  <c r="DR305" i="100"/>
  <c r="DR176" i="100"/>
  <c r="DR34" i="100"/>
  <c r="DR172" i="100"/>
  <c r="DR64" i="100"/>
  <c r="DR333" i="100"/>
  <c r="DR330" i="100"/>
  <c r="DR22" i="100"/>
  <c r="DR294" i="100"/>
  <c r="DR169" i="100"/>
  <c r="DR329" i="100"/>
  <c r="DR293" i="100"/>
  <c r="DR309" i="100"/>
  <c r="DR182" i="100"/>
  <c r="DR168" i="100"/>
  <c r="DR181" i="100"/>
  <c r="DR24" i="100"/>
  <c r="DR288" i="100"/>
  <c r="DR326" i="100"/>
  <c r="DR70" i="100"/>
  <c r="DR308" i="100"/>
  <c r="DR321" i="100"/>
  <c r="DR15" i="100"/>
  <c r="DR331" i="100"/>
  <c r="DR175" i="100"/>
  <c r="DR195" i="100"/>
  <c r="DR16" i="100"/>
  <c r="DR320" i="100"/>
  <c r="DR327" i="100"/>
  <c r="DR25" i="100"/>
  <c r="DR32" i="100"/>
  <c r="DR298" i="100"/>
  <c r="DR187" i="100"/>
  <c r="DR40" i="100"/>
  <c r="DR171" i="100"/>
  <c r="DR190" i="100"/>
  <c r="DR177" i="100"/>
  <c r="DR160" i="100"/>
  <c r="DR73" i="100"/>
  <c r="DR296" i="100"/>
  <c r="DR67" i="100"/>
  <c r="DR164" i="100"/>
  <c r="DR76" i="100"/>
  <c r="DR289" i="100"/>
  <c r="DR328" i="100"/>
  <c r="DR159" i="100"/>
  <c r="DR319" i="100"/>
  <c r="DR36" i="100"/>
  <c r="DR186" i="100"/>
  <c r="DR179" i="100"/>
  <c r="DR307" i="100"/>
  <c r="DR14" i="100"/>
  <c r="DR75" i="100"/>
  <c r="DR291" i="100"/>
  <c r="DR334" i="100"/>
  <c r="DR66" i="100"/>
  <c r="DR170" i="100"/>
  <c r="DR19" i="100"/>
  <c r="DR299" i="100"/>
  <c r="DR185" i="100"/>
  <c r="DR158" i="100"/>
  <c r="DR184" i="100"/>
  <c r="DR335" i="100"/>
  <c r="DR71" i="100"/>
  <c r="DR166" i="100"/>
  <c r="DR318" i="100"/>
  <c r="DR315" i="100"/>
  <c r="DR30" i="100"/>
  <c r="DR311" i="100"/>
  <c r="DR325" i="100"/>
  <c r="DR13" i="100"/>
  <c r="DR205" i="100"/>
  <c r="DR197" i="100"/>
  <c r="DR29" i="100"/>
  <c r="DR332" i="100"/>
  <c r="DR322" i="100"/>
  <c r="DR207" i="100"/>
  <c r="DR312" i="100"/>
  <c r="DR74" i="100"/>
  <c r="DR68" i="100"/>
  <c r="DR33" i="100"/>
  <c r="DR31" i="100"/>
  <c r="DR306" i="100"/>
  <c r="DR203" i="100"/>
  <c r="DR303" i="100"/>
  <c r="DR162" i="100"/>
  <c r="DR301" i="100"/>
  <c r="DR337" i="100"/>
  <c r="DR324" i="100"/>
  <c r="DR193" i="100"/>
  <c r="DR23" i="100"/>
  <c r="DR196" i="100"/>
  <c r="DR65" i="100"/>
  <c r="DR8" i="100"/>
  <c r="DS63" i="100" l="1"/>
  <c r="DS44" i="100"/>
  <c r="DS58" i="100"/>
  <c r="DS57" i="100"/>
  <c r="DS62" i="100"/>
  <c r="DS46" i="100"/>
  <c r="DS53" i="100"/>
  <c r="DS54" i="100"/>
  <c r="DS56" i="100"/>
  <c r="DS51" i="100"/>
  <c r="DS48" i="100"/>
  <c r="DS47" i="100"/>
  <c r="DS55" i="100"/>
  <c r="DS61" i="100"/>
  <c r="DS59" i="100"/>
  <c r="DS52" i="100"/>
  <c r="DS45" i="100"/>
  <c r="DS50" i="100"/>
  <c r="DS60" i="100"/>
  <c r="DS49" i="100"/>
  <c r="DR339" i="100"/>
  <c r="DR79" i="100"/>
  <c r="DR78" i="100" s="1"/>
  <c r="DR209" i="100"/>
  <c r="DS289" i="100"/>
  <c r="DS312" i="100"/>
  <c r="DS73" i="100"/>
  <c r="DS291" i="100"/>
  <c r="DS304" i="100"/>
  <c r="DS31" i="100"/>
  <c r="DS207" i="100"/>
  <c r="DS72" i="100"/>
  <c r="DS327" i="100"/>
  <c r="DS320" i="100"/>
  <c r="DS293" i="100"/>
  <c r="DS334" i="100"/>
  <c r="DS76" i="100"/>
  <c r="DS23" i="100"/>
  <c r="DS75" i="100"/>
  <c r="DS310" i="100"/>
  <c r="DS67" i="100"/>
  <c r="DS183" i="100"/>
  <c r="DS331" i="100"/>
  <c r="DS303" i="100"/>
  <c r="DS40" i="100"/>
  <c r="DS184" i="100"/>
  <c r="DS204" i="100"/>
  <c r="DS195" i="100"/>
  <c r="DS193" i="100"/>
  <c r="DS39" i="100"/>
  <c r="DS18" i="100"/>
  <c r="DS336" i="100"/>
  <c r="DS337" i="100"/>
  <c r="DS188" i="100"/>
  <c r="DS159" i="100"/>
  <c r="DS22" i="100"/>
  <c r="DS27" i="100"/>
  <c r="DS77" i="100"/>
  <c r="DS187" i="100"/>
  <c r="DS297" i="100"/>
  <c r="DS200" i="100"/>
  <c r="DS172" i="100"/>
  <c r="DS30" i="100"/>
  <c r="DS15" i="100"/>
  <c r="DS181" i="100"/>
  <c r="DS316" i="100"/>
  <c r="DS35" i="100"/>
  <c r="DS8" i="100"/>
  <c r="DS158" i="100"/>
  <c r="DS43" i="100"/>
  <c r="DS298" i="100"/>
  <c r="DS36" i="100"/>
  <c r="DS319" i="100"/>
  <c r="DS179" i="100"/>
  <c r="DS180" i="100"/>
  <c r="DS202" i="100"/>
  <c r="DS14" i="100"/>
  <c r="DS296" i="100"/>
  <c r="DS160" i="100"/>
  <c r="DS37" i="100"/>
  <c r="DS315" i="100"/>
  <c r="DS176" i="100"/>
  <c r="DS65" i="100"/>
  <c r="DS13" i="100"/>
  <c r="DS194" i="100"/>
  <c r="DS66" i="100"/>
  <c r="DS11" i="100"/>
  <c r="DS325" i="100"/>
  <c r="DS192" i="100"/>
  <c r="DS197" i="100"/>
  <c r="DS32" i="100"/>
  <c r="DS330" i="100"/>
  <c r="DS169" i="100"/>
  <c r="DS302" i="100"/>
  <c r="DS299" i="100"/>
  <c r="DS295" i="100"/>
  <c r="DS324" i="100"/>
  <c r="DS41" i="100"/>
  <c r="DS165" i="100"/>
  <c r="DS290" i="100"/>
  <c r="DS321" i="100"/>
  <c r="DS185" i="100"/>
  <c r="DS333" i="100"/>
  <c r="DS20" i="100"/>
  <c r="DS335" i="100"/>
  <c r="DS317" i="100"/>
  <c r="DS307" i="100"/>
  <c r="DS12" i="100"/>
  <c r="DS68" i="100"/>
  <c r="DS186" i="100"/>
  <c r="DS306" i="100"/>
  <c r="DS163" i="100"/>
  <c r="DT7" i="100"/>
  <c r="DS329" i="100"/>
  <c r="DS164" i="100"/>
  <c r="DS10" i="100"/>
  <c r="DS323" i="100"/>
  <c r="DS33" i="100"/>
  <c r="DS328" i="100"/>
  <c r="DS300" i="100"/>
  <c r="DS171" i="100"/>
  <c r="DS205" i="100"/>
  <c r="DS64" i="100"/>
  <c r="DS313" i="100"/>
  <c r="DS292" i="100"/>
  <c r="DS178" i="100"/>
  <c r="DS301" i="100"/>
  <c r="DS196" i="100"/>
  <c r="DS190" i="100"/>
  <c r="DS71" i="100"/>
  <c r="DS38" i="100"/>
  <c r="DS199" i="100"/>
  <c r="DS314" i="100"/>
  <c r="DS322" i="100"/>
  <c r="DS318" i="100"/>
  <c r="DS168" i="100"/>
  <c r="DS206" i="100"/>
  <c r="DS182" i="100"/>
  <c r="DS198" i="100"/>
  <c r="DS70" i="100"/>
  <c r="DS42" i="100"/>
  <c r="DS69" i="100"/>
  <c r="DS161" i="100"/>
  <c r="DS162" i="100"/>
  <c r="DS175" i="100"/>
  <c r="DS177" i="100"/>
  <c r="DS191" i="100"/>
  <c r="DS305" i="100"/>
  <c r="DS309" i="100"/>
  <c r="DS34" i="100"/>
  <c r="DS24" i="100"/>
  <c r="DS166" i="100"/>
  <c r="DS19" i="100"/>
  <c r="DS16" i="100"/>
  <c r="DS28" i="100"/>
  <c r="DS326" i="100"/>
  <c r="DS21" i="100"/>
  <c r="DS25" i="100"/>
  <c r="DS203" i="100"/>
  <c r="DS311" i="100"/>
  <c r="DS288" i="100"/>
  <c r="DS332" i="100"/>
  <c r="DS174" i="100"/>
  <c r="DS26" i="100"/>
  <c r="DS189" i="100"/>
  <c r="DS294" i="100"/>
  <c r="DS29" i="100"/>
  <c r="DS9" i="100"/>
  <c r="DS308" i="100"/>
  <c r="DS74" i="100"/>
  <c r="DS167" i="100"/>
  <c r="DS170" i="100"/>
  <c r="DS173" i="100"/>
  <c r="DS201" i="100"/>
  <c r="DS17" i="100"/>
  <c r="HQ287" i="100"/>
  <c r="HP338" i="100"/>
  <c r="DT62" i="100" l="1"/>
  <c r="DT51" i="100"/>
  <c r="DT44" i="100"/>
  <c r="DT63" i="100"/>
  <c r="DT46" i="100"/>
  <c r="DT45" i="100"/>
  <c r="DT53" i="100"/>
  <c r="DT58" i="100"/>
  <c r="DT61" i="100"/>
  <c r="DT50" i="100"/>
  <c r="DT48" i="100"/>
  <c r="DT49" i="100"/>
  <c r="DT59" i="100"/>
  <c r="DT56" i="100"/>
  <c r="DT52" i="100"/>
  <c r="DT47" i="100"/>
  <c r="DT60" i="100"/>
  <c r="DT55" i="100"/>
  <c r="DT57" i="100"/>
  <c r="DT54" i="100"/>
  <c r="DS339" i="100"/>
  <c r="DS79" i="100"/>
  <c r="DS78" i="100" s="1"/>
  <c r="DS209" i="100"/>
  <c r="HR287" i="100"/>
  <c r="HQ338" i="100"/>
  <c r="DT316" i="100"/>
  <c r="DT32" i="100"/>
  <c r="DT69" i="100"/>
  <c r="DT24" i="100"/>
  <c r="DT203" i="100"/>
  <c r="DT42" i="100"/>
  <c r="DT9" i="100"/>
  <c r="DT192" i="100"/>
  <c r="DT317" i="100"/>
  <c r="DT158" i="100"/>
  <c r="DT197" i="100"/>
  <c r="DT23" i="100"/>
  <c r="DT75" i="100"/>
  <c r="DT207" i="100"/>
  <c r="DT323" i="100"/>
  <c r="DT333" i="100"/>
  <c r="DT36" i="100"/>
  <c r="DT35" i="100"/>
  <c r="DT30" i="100"/>
  <c r="DT28" i="100"/>
  <c r="DT337" i="100"/>
  <c r="DT299" i="100"/>
  <c r="DT38" i="100"/>
  <c r="DT162" i="100"/>
  <c r="DT13" i="100"/>
  <c r="DT169" i="100"/>
  <c r="DT305" i="100"/>
  <c r="DT312" i="100"/>
  <c r="DT199" i="100"/>
  <c r="DT18" i="100"/>
  <c r="DT314" i="100"/>
  <c r="DT288" i="100"/>
  <c r="DT65" i="100"/>
  <c r="DT187" i="100"/>
  <c r="DT311" i="100"/>
  <c r="DT202" i="100"/>
  <c r="DT300" i="100"/>
  <c r="DT19" i="100"/>
  <c r="DT31" i="100"/>
  <c r="DT194" i="100"/>
  <c r="DT67" i="100"/>
  <c r="DT176" i="100"/>
  <c r="DT302" i="100"/>
  <c r="DT22" i="100"/>
  <c r="DT29" i="100"/>
  <c r="DT77" i="100"/>
  <c r="DT12" i="100"/>
  <c r="DT306" i="100"/>
  <c r="DT174" i="100"/>
  <c r="DT172" i="100"/>
  <c r="DT159" i="100"/>
  <c r="DT313" i="100"/>
  <c r="DT15" i="100"/>
  <c r="DT310" i="100"/>
  <c r="DT14" i="100"/>
  <c r="DT40" i="100"/>
  <c r="DT11" i="100"/>
  <c r="DT34" i="100"/>
  <c r="DT303" i="100"/>
  <c r="DT193" i="100"/>
  <c r="DT8" i="100"/>
  <c r="DT189" i="100"/>
  <c r="DT296" i="100"/>
  <c r="DT335" i="100"/>
  <c r="DT25" i="100"/>
  <c r="DT179" i="100"/>
  <c r="DT66" i="100"/>
  <c r="DT330" i="100"/>
  <c r="DT291" i="100"/>
  <c r="DT190" i="100"/>
  <c r="DT195" i="100"/>
  <c r="DT308" i="100"/>
  <c r="DT21" i="100"/>
  <c r="DT328" i="100"/>
  <c r="DT297" i="100"/>
  <c r="DT173" i="100"/>
  <c r="DT74" i="100"/>
  <c r="DT171" i="100"/>
  <c r="DT301" i="100"/>
  <c r="DT20" i="100"/>
  <c r="DT72" i="100"/>
  <c r="DT163" i="100"/>
  <c r="DT205" i="100"/>
  <c r="DT320" i="100"/>
  <c r="DT327" i="100"/>
  <c r="DT168" i="100"/>
  <c r="DT68" i="100"/>
  <c r="DT164" i="100"/>
  <c r="DT182" i="100"/>
  <c r="DT175" i="100"/>
  <c r="DT198" i="100"/>
  <c r="DT76" i="100"/>
  <c r="DT196" i="100"/>
  <c r="DT27" i="100"/>
  <c r="DT73" i="100"/>
  <c r="DT336" i="100"/>
  <c r="DT180" i="100"/>
  <c r="DT178" i="100"/>
  <c r="DT204" i="100"/>
  <c r="DT165" i="100"/>
  <c r="DT186" i="100"/>
  <c r="DT183" i="100"/>
  <c r="DT325" i="100"/>
  <c r="DT294" i="100"/>
  <c r="DT309" i="100"/>
  <c r="DT181" i="100"/>
  <c r="DT33" i="100"/>
  <c r="DT326" i="100"/>
  <c r="DT191" i="100"/>
  <c r="DT334" i="100"/>
  <c r="DT289" i="100"/>
  <c r="DT200" i="100"/>
  <c r="DT319" i="100"/>
  <c r="DT290" i="100"/>
  <c r="DT329" i="100"/>
  <c r="DT206" i="100"/>
  <c r="DT332" i="100"/>
  <c r="DT293" i="100"/>
  <c r="DT70" i="100"/>
  <c r="DT71" i="100"/>
  <c r="DT43" i="100"/>
  <c r="DT322" i="100"/>
  <c r="DT10" i="100"/>
  <c r="DT304" i="100"/>
  <c r="DT170" i="100"/>
  <c r="DT16" i="100"/>
  <c r="DT160" i="100"/>
  <c r="DT188" i="100"/>
  <c r="DT166" i="100"/>
  <c r="DT318" i="100"/>
  <c r="DT321" i="100"/>
  <c r="DT184" i="100"/>
  <c r="DT177" i="100"/>
  <c r="DT292" i="100"/>
  <c r="DT185" i="100"/>
  <c r="DT324" i="100"/>
  <c r="DT39" i="100"/>
  <c r="DT167" i="100"/>
  <c r="DT26" i="100"/>
  <c r="DT201" i="100"/>
  <c r="DU7" i="100"/>
  <c r="DT17" i="100"/>
  <c r="DT331" i="100"/>
  <c r="DT315" i="100"/>
  <c r="DT64" i="100"/>
  <c r="DT298" i="100"/>
  <c r="DT161" i="100"/>
  <c r="DT295" i="100"/>
  <c r="DT307" i="100"/>
  <c r="DT37" i="100"/>
  <c r="DT41" i="100"/>
  <c r="DU44" i="100" l="1"/>
  <c r="DU63" i="100"/>
  <c r="DU62" i="100"/>
  <c r="DU46" i="100"/>
  <c r="DU45" i="100"/>
  <c r="DU51" i="100"/>
  <c r="DU59" i="100"/>
  <c r="DU47" i="100"/>
  <c r="DU60" i="100"/>
  <c r="DU49" i="100"/>
  <c r="DU58" i="100"/>
  <c r="DU48" i="100"/>
  <c r="DU56" i="100"/>
  <c r="DU61" i="100"/>
  <c r="DU57" i="100"/>
  <c r="DU52" i="100"/>
  <c r="DU55" i="100"/>
  <c r="DU50" i="100"/>
  <c r="DU54" i="100"/>
  <c r="DU53" i="100"/>
  <c r="DT209" i="100"/>
  <c r="DT339" i="100"/>
  <c r="DT79" i="100"/>
  <c r="DT78" i="100" s="1"/>
  <c r="DU181" i="100"/>
  <c r="DU76" i="100"/>
  <c r="DU37" i="100"/>
  <c r="DU329" i="100"/>
  <c r="DV7" i="100"/>
  <c r="DU159" i="100"/>
  <c r="DU32" i="100"/>
  <c r="DU313" i="100"/>
  <c r="DU322" i="100"/>
  <c r="DU22" i="100"/>
  <c r="DU194" i="100"/>
  <c r="DU13" i="100"/>
  <c r="DU288" i="100"/>
  <c r="DU167" i="100"/>
  <c r="DU188" i="100"/>
  <c r="DU307" i="100"/>
  <c r="DU187" i="100"/>
  <c r="DU324" i="100"/>
  <c r="DU74" i="100"/>
  <c r="DU303" i="100"/>
  <c r="DU29" i="100"/>
  <c r="DU75" i="100"/>
  <c r="DU24" i="100"/>
  <c r="DU298" i="100"/>
  <c r="DU64" i="100"/>
  <c r="DU23" i="100"/>
  <c r="DU30" i="100"/>
  <c r="DU294" i="100"/>
  <c r="DU41" i="100"/>
  <c r="DU158" i="100"/>
  <c r="DU161" i="100"/>
  <c r="DU319" i="100"/>
  <c r="DU300" i="100"/>
  <c r="DU27" i="100"/>
  <c r="DU196" i="100"/>
  <c r="DU162" i="100"/>
  <c r="DU207" i="100"/>
  <c r="DU328" i="100"/>
  <c r="DU173" i="100"/>
  <c r="DU42" i="100"/>
  <c r="DU317" i="100"/>
  <c r="DU10" i="100"/>
  <c r="DU34" i="100"/>
  <c r="DU289" i="100"/>
  <c r="DU33" i="100"/>
  <c r="DU337" i="100"/>
  <c r="DU330" i="100"/>
  <c r="DU176" i="100"/>
  <c r="DU301" i="100"/>
  <c r="DU205" i="100"/>
  <c r="DU325" i="100"/>
  <c r="DU193" i="100"/>
  <c r="DU70" i="100"/>
  <c r="DU200" i="100"/>
  <c r="DU202" i="100"/>
  <c r="DU335" i="100"/>
  <c r="DU326" i="100"/>
  <c r="DU9" i="100"/>
  <c r="DU17" i="100"/>
  <c r="DU305" i="100"/>
  <c r="DU31" i="100"/>
  <c r="DU178" i="100"/>
  <c r="DU12" i="100"/>
  <c r="DU292" i="100"/>
  <c r="DU186" i="100"/>
  <c r="DU332" i="100"/>
  <c r="DU312" i="100"/>
  <c r="DU299" i="100"/>
  <c r="DU331" i="100"/>
  <c r="DU290" i="100"/>
  <c r="DU15" i="100"/>
  <c r="DU192" i="100"/>
  <c r="DU310" i="100"/>
  <c r="DU198" i="100"/>
  <c r="DU19" i="100"/>
  <c r="DU327" i="100"/>
  <c r="DU16" i="100"/>
  <c r="DU175" i="100"/>
  <c r="DU172" i="100"/>
  <c r="DU184" i="100"/>
  <c r="DU321" i="100"/>
  <c r="DU77" i="100"/>
  <c r="DU66" i="100"/>
  <c r="DU189" i="100"/>
  <c r="DU163" i="100"/>
  <c r="DU308" i="100"/>
  <c r="DU318" i="100"/>
  <c r="DU8" i="100"/>
  <c r="DU203" i="100"/>
  <c r="DU314" i="100"/>
  <c r="DU291" i="100"/>
  <c r="DU21" i="100"/>
  <c r="DU185" i="100"/>
  <c r="DU43" i="100"/>
  <c r="DU39" i="100"/>
  <c r="DU190" i="100"/>
  <c r="DU67" i="100"/>
  <c r="DU36" i="100"/>
  <c r="DU40" i="100"/>
  <c r="DU69" i="100"/>
  <c r="DU71" i="100"/>
  <c r="DU160" i="100"/>
  <c r="DU28" i="100"/>
  <c r="DU11" i="100"/>
  <c r="DU201" i="100"/>
  <c r="DU302" i="100"/>
  <c r="DU180" i="100"/>
  <c r="DU315" i="100"/>
  <c r="DU73" i="100"/>
  <c r="DU334" i="100"/>
  <c r="DU179" i="100"/>
  <c r="DU165" i="100"/>
  <c r="DU164" i="100"/>
  <c r="DU309" i="100"/>
  <c r="DU199" i="100"/>
  <c r="DU323" i="100"/>
  <c r="DU171" i="100"/>
  <c r="DU195" i="100"/>
  <c r="DU311" i="100"/>
  <c r="DU26" i="100"/>
  <c r="DU35" i="100"/>
  <c r="DU38" i="100"/>
  <c r="DU65" i="100"/>
  <c r="DU293" i="100"/>
  <c r="DU18" i="100"/>
  <c r="DU206" i="100"/>
  <c r="DU72" i="100"/>
  <c r="DU304" i="100"/>
  <c r="DU174" i="100"/>
  <c r="DU68" i="100"/>
  <c r="DU25" i="100"/>
  <c r="DU191" i="100"/>
  <c r="DU20" i="100"/>
  <c r="DU306" i="100"/>
  <c r="DU166" i="100"/>
  <c r="DU296" i="100"/>
  <c r="DU333" i="100"/>
  <c r="DU14" i="100"/>
  <c r="DU168" i="100"/>
  <c r="DU204" i="100"/>
  <c r="DU316" i="100"/>
  <c r="DU197" i="100"/>
  <c r="DU170" i="100"/>
  <c r="DU182" i="100"/>
  <c r="DU336" i="100"/>
  <c r="DU169" i="100"/>
  <c r="DU295" i="100"/>
  <c r="DU320" i="100"/>
  <c r="DU297" i="100"/>
  <c r="DU183" i="100"/>
  <c r="DU177" i="100"/>
  <c r="HS287" i="100"/>
  <c r="HR338" i="100"/>
  <c r="DV62" i="100" l="1"/>
  <c r="DV63" i="100"/>
  <c r="DV46" i="100"/>
  <c r="DV60" i="100"/>
  <c r="DV59" i="100"/>
  <c r="DV44" i="100"/>
  <c r="DV49" i="100"/>
  <c r="DV53" i="100"/>
  <c r="DV52" i="100"/>
  <c r="DV50" i="100"/>
  <c r="DV55" i="100"/>
  <c r="DV56" i="100"/>
  <c r="DV47" i="100"/>
  <c r="DV58" i="100"/>
  <c r="DV54" i="100"/>
  <c r="DV48" i="100"/>
  <c r="DV51" i="100"/>
  <c r="DV45" i="100"/>
  <c r="DV57" i="100"/>
  <c r="DV61" i="100"/>
  <c r="DU339" i="100"/>
  <c r="DU209" i="100"/>
  <c r="DU79" i="100"/>
  <c r="DU78" i="100" s="1"/>
  <c r="HT287" i="100"/>
  <c r="HS338" i="100"/>
  <c r="DV161" i="100"/>
  <c r="DV179" i="100"/>
  <c r="DV9" i="100"/>
  <c r="DV11" i="100"/>
  <c r="DV293" i="100"/>
  <c r="DV192" i="100"/>
  <c r="DV320" i="100"/>
  <c r="DV203" i="100"/>
  <c r="DV302" i="100"/>
  <c r="DV190" i="100"/>
  <c r="DV71" i="100"/>
  <c r="DV206" i="100"/>
  <c r="DV319" i="100"/>
  <c r="DV26" i="100"/>
  <c r="DV183" i="100"/>
  <c r="DV334" i="100"/>
  <c r="DV326" i="100"/>
  <c r="DV189" i="100"/>
  <c r="DV75" i="100"/>
  <c r="DV175" i="100"/>
  <c r="DV202" i="100"/>
  <c r="DV289" i="100"/>
  <c r="DV14" i="100"/>
  <c r="DV317" i="100"/>
  <c r="DV70" i="100"/>
  <c r="DV35" i="100"/>
  <c r="DV68" i="100"/>
  <c r="DV333" i="100"/>
  <c r="DV297" i="100"/>
  <c r="DV174" i="100"/>
  <c r="DV188" i="100"/>
  <c r="DV304" i="100"/>
  <c r="DV166" i="100"/>
  <c r="DV337" i="100"/>
  <c r="DV19" i="100"/>
  <c r="DV76" i="100"/>
  <c r="DV331" i="100"/>
  <c r="DV335" i="100"/>
  <c r="DV311" i="100"/>
  <c r="DV309" i="100"/>
  <c r="DV32" i="100"/>
  <c r="DV336" i="100"/>
  <c r="DV38" i="100"/>
  <c r="DV290" i="100"/>
  <c r="DV13" i="100"/>
  <c r="DV321" i="100"/>
  <c r="DV16" i="100"/>
  <c r="DV301" i="100"/>
  <c r="DV198" i="100"/>
  <c r="DV176" i="100"/>
  <c r="DV328" i="100"/>
  <c r="DV322" i="100"/>
  <c r="DV163" i="100"/>
  <c r="DV12" i="100"/>
  <c r="DV288" i="100"/>
  <c r="DV200" i="100"/>
  <c r="DV199" i="100"/>
  <c r="DV193" i="100"/>
  <c r="DV186" i="100"/>
  <c r="DV313" i="100"/>
  <c r="DV25" i="100"/>
  <c r="DV197" i="100"/>
  <c r="DV34" i="100"/>
  <c r="DV204" i="100"/>
  <c r="DV24" i="100"/>
  <c r="DV22" i="100"/>
  <c r="DV18" i="100"/>
  <c r="DV160" i="100"/>
  <c r="DV332" i="100"/>
  <c r="DV296" i="100"/>
  <c r="DV37" i="100"/>
  <c r="DV325" i="100"/>
  <c r="DV159" i="100"/>
  <c r="DV73" i="100"/>
  <c r="DV20" i="100"/>
  <c r="DV31" i="100"/>
  <c r="DV33" i="100"/>
  <c r="DV36" i="100"/>
  <c r="DV39" i="100"/>
  <c r="DV165" i="100"/>
  <c r="DV314" i="100"/>
  <c r="DV77" i="100"/>
  <c r="DV182" i="100"/>
  <c r="DV324" i="100"/>
  <c r="DV180" i="100"/>
  <c r="DV196" i="100"/>
  <c r="DV168" i="100"/>
  <c r="DV330" i="100"/>
  <c r="DV15" i="100"/>
  <c r="DW7" i="100"/>
  <c r="DV29" i="100"/>
  <c r="DV167" i="100"/>
  <c r="DV40" i="100"/>
  <c r="DV299" i="100"/>
  <c r="DV171" i="100"/>
  <c r="DV8" i="100"/>
  <c r="DV184" i="100"/>
  <c r="DV69" i="100"/>
  <c r="DV23" i="100"/>
  <c r="DV195" i="100"/>
  <c r="DV207" i="100"/>
  <c r="DV172" i="100"/>
  <c r="DV27" i="100"/>
  <c r="DV298" i="100"/>
  <c r="DV169" i="100"/>
  <c r="DV21" i="100"/>
  <c r="DV291" i="100"/>
  <c r="DV67" i="100"/>
  <c r="DV173" i="100"/>
  <c r="DV187" i="100"/>
  <c r="DV64" i="100"/>
  <c r="DV158" i="100"/>
  <c r="DV43" i="100"/>
  <c r="DV42" i="100"/>
  <c r="DV74" i="100"/>
  <c r="DV308" i="100"/>
  <c r="DV177" i="100"/>
  <c r="DV294" i="100"/>
  <c r="DV72" i="100"/>
  <c r="DV306" i="100"/>
  <c r="DV181" i="100"/>
  <c r="DV65" i="100"/>
  <c r="DV194" i="100"/>
  <c r="DV303" i="100"/>
  <c r="DV41" i="100"/>
  <c r="DV162" i="100"/>
  <c r="DV201" i="100"/>
  <c r="DV191" i="100"/>
  <c r="DV300" i="100"/>
  <c r="DV327" i="100"/>
  <c r="DV305" i="100"/>
  <c r="DV185" i="100"/>
  <c r="DV316" i="100"/>
  <c r="DV310" i="100"/>
  <c r="DV292" i="100"/>
  <c r="DV17" i="100"/>
  <c r="DV66" i="100"/>
  <c r="DV318" i="100"/>
  <c r="DV10" i="100"/>
  <c r="DV164" i="100"/>
  <c r="DV329" i="100"/>
  <c r="DV205" i="100"/>
  <c r="DV28" i="100"/>
  <c r="DV315" i="100"/>
  <c r="DV30" i="100"/>
  <c r="DV178" i="100"/>
  <c r="DV170" i="100"/>
  <c r="DV295" i="100"/>
  <c r="DV312" i="100"/>
  <c r="DV323" i="100"/>
  <c r="DV307" i="100"/>
  <c r="DW44" i="100" l="1"/>
  <c r="DW46" i="100"/>
  <c r="DW51" i="100"/>
  <c r="DW63" i="100"/>
  <c r="DW62" i="100"/>
  <c r="DW58" i="100"/>
  <c r="DW53" i="100"/>
  <c r="DW59" i="100"/>
  <c r="DW45" i="100"/>
  <c r="DW56" i="100"/>
  <c r="DW50" i="100"/>
  <c r="DW48" i="100"/>
  <c r="DW52" i="100"/>
  <c r="DW49" i="100"/>
  <c r="DW61" i="100"/>
  <c r="DW55" i="100"/>
  <c r="DW60" i="100"/>
  <c r="DW47" i="100"/>
  <c r="DW54" i="100"/>
  <c r="DW57" i="100"/>
  <c r="DV209" i="100"/>
  <c r="DV339" i="100"/>
  <c r="DV79" i="100"/>
  <c r="DV78" i="100" s="1"/>
  <c r="DW326" i="100"/>
  <c r="DW11" i="100"/>
  <c r="DW302" i="100"/>
  <c r="DW162" i="100"/>
  <c r="DW23" i="100"/>
  <c r="DW36" i="100"/>
  <c r="DW194" i="100"/>
  <c r="DW21" i="100"/>
  <c r="DW322" i="100"/>
  <c r="DW288" i="100"/>
  <c r="DW13" i="100"/>
  <c r="DW333" i="100"/>
  <c r="DW15" i="100"/>
  <c r="DW22" i="100"/>
  <c r="DW296" i="100"/>
  <c r="DW290" i="100"/>
  <c r="DW166" i="100"/>
  <c r="DW169" i="100"/>
  <c r="DW69" i="100"/>
  <c r="DW196" i="100"/>
  <c r="DW307" i="100"/>
  <c r="DW176" i="100"/>
  <c r="DW300" i="100"/>
  <c r="DW66" i="100"/>
  <c r="DW18" i="100"/>
  <c r="DW165" i="100"/>
  <c r="DW188" i="100"/>
  <c r="DW42" i="100"/>
  <c r="DW295" i="100"/>
  <c r="DW41" i="100"/>
  <c r="DW332" i="100"/>
  <c r="DW201" i="100"/>
  <c r="DW76" i="100"/>
  <c r="DW65" i="100"/>
  <c r="DW316" i="100"/>
  <c r="DW20" i="100"/>
  <c r="DW207" i="100"/>
  <c r="DW310" i="100"/>
  <c r="DW16" i="100"/>
  <c r="DW32" i="100"/>
  <c r="DW199" i="100"/>
  <c r="DW26" i="100"/>
  <c r="DW291" i="100"/>
  <c r="DW167" i="100"/>
  <c r="DW186" i="100"/>
  <c r="DW185" i="100"/>
  <c r="DW170" i="100"/>
  <c r="DW200" i="100"/>
  <c r="DW19" i="100"/>
  <c r="DW299" i="100"/>
  <c r="DW312" i="100"/>
  <c r="DW206" i="100"/>
  <c r="DW25" i="100"/>
  <c r="DW323" i="100"/>
  <c r="DW289" i="100"/>
  <c r="DW187" i="100"/>
  <c r="DW311" i="100"/>
  <c r="DW160" i="100"/>
  <c r="DW193" i="100"/>
  <c r="DW12" i="100"/>
  <c r="DW334" i="100"/>
  <c r="DW292" i="100"/>
  <c r="DW328" i="100"/>
  <c r="DW37" i="100"/>
  <c r="DW304" i="100"/>
  <c r="DW40" i="100"/>
  <c r="DW313" i="100"/>
  <c r="DW174" i="100"/>
  <c r="DW198" i="100"/>
  <c r="DW67" i="100"/>
  <c r="DW177" i="100"/>
  <c r="DW10" i="100"/>
  <c r="DW305" i="100"/>
  <c r="DW29" i="100"/>
  <c r="DW175" i="100"/>
  <c r="DW330" i="100"/>
  <c r="DW173" i="100"/>
  <c r="DW317" i="100"/>
  <c r="DW38" i="100"/>
  <c r="DW331" i="100"/>
  <c r="DW33" i="100"/>
  <c r="DW190" i="100"/>
  <c r="DW158" i="100"/>
  <c r="DW308" i="100"/>
  <c r="DW43" i="100"/>
  <c r="DW70" i="100"/>
  <c r="DW294" i="100"/>
  <c r="DW319" i="100"/>
  <c r="DW297" i="100"/>
  <c r="DW336" i="100"/>
  <c r="DW178" i="100"/>
  <c r="DW327" i="100"/>
  <c r="DW324" i="100"/>
  <c r="DW337" i="100"/>
  <c r="DW189" i="100"/>
  <c r="DW14" i="100"/>
  <c r="DW181" i="100"/>
  <c r="DW180" i="100"/>
  <c r="DW298" i="100"/>
  <c r="DW303" i="100"/>
  <c r="DW293" i="100"/>
  <c r="DX7" i="100"/>
  <c r="DW8" i="100"/>
  <c r="DW329" i="100"/>
  <c r="DW171" i="100"/>
  <c r="DW75" i="100"/>
  <c r="DW309" i="100"/>
  <c r="DW172" i="100"/>
  <c r="DW204" i="100"/>
  <c r="DW71" i="100"/>
  <c r="DW34" i="100"/>
  <c r="DW314" i="100"/>
  <c r="DW183" i="100"/>
  <c r="DW64" i="100"/>
  <c r="DW205" i="100"/>
  <c r="DW315" i="100"/>
  <c r="DW325" i="100"/>
  <c r="DW179" i="100"/>
  <c r="DW192" i="100"/>
  <c r="DW28" i="100"/>
  <c r="DW197" i="100"/>
  <c r="DW164" i="100"/>
  <c r="DW73" i="100"/>
  <c r="DW39" i="100"/>
  <c r="DW318" i="100"/>
  <c r="DW306" i="100"/>
  <c r="DW168" i="100"/>
  <c r="DW31" i="100"/>
  <c r="DW9" i="100"/>
  <c r="DW184" i="100"/>
  <c r="DW30" i="100"/>
  <c r="DW320" i="100"/>
  <c r="DW191" i="100"/>
  <c r="DW27" i="100"/>
  <c r="DW74" i="100"/>
  <c r="DW159" i="100"/>
  <c r="DW35" i="100"/>
  <c r="DW17" i="100"/>
  <c r="DW163" i="100"/>
  <c r="DW195" i="100"/>
  <c r="DW68" i="100"/>
  <c r="DW203" i="100"/>
  <c r="DW301" i="100"/>
  <c r="DW72" i="100"/>
  <c r="DW321" i="100"/>
  <c r="DW202" i="100"/>
  <c r="DW161" i="100"/>
  <c r="DW77" i="100"/>
  <c r="DW24" i="100"/>
  <c r="DW182" i="100"/>
  <c r="DW335" i="100"/>
  <c r="HU287" i="100"/>
  <c r="HT338" i="100"/>
  <c r="DX62" i="100" l="1"/>
  <c r="DX46" i="100"/>
  <c r="DX63" i="100"/>
  <c r="DX44" i="100"/>
  <c r="DX50" i="100"/>
  <c r="DX53" i="100"/>
  <c r="DX45" i="100"/>
  <c r="DX54" i="100"/>
  <c r="DX56" i="100"/>
  <c r="DX58" i="100"/>
  <c r="DX57" i="100"/>
  <c r="DX60" i="100"/>
  <c r="DX47" i="100"/>
  <c r="DX52" i="100"/>
  <c r="DX51" i="100"/>
  <c r="DX55" i="100"/>
  <c r="DX49" i="100"/>
  <c r="DX61" i="100"/>
  <c r="DX48" i="100"/>
  <c r="DX59" i="100"/>
  <c r="DW209" i="100"/>
  <c r="DW339" i="100"/>
  <c r="DW79" i="100"/>
  <c r="DW78" i="100" s="1"/>
  <c r="HV287" i="100"/>
  <c r="HU338" i="100"/>
  <c r="DX302" i="100"/>
  <c r="DX205" i="100"/>
  <c r="DX11" i="100"/>
  <c r="DX305" i="100"/>
  <c r="DX169" i="100"/>
  <c r="DX184" i="100"/>
  <c r="DX196" i="100"/>
  <c r="DX173" i="100"/>
  <c r="DX42" i="100"/>
  <c r="DX22" i="100"/>
  <c r="DX202" i="100"/>
  <c r="DX170" i="100"/>
  <c r="DX336" i="100"/>
  <c r="DX207" i="100"/>
  <c r="DX71" i="100"/>
  <c r="DX69" i="100"/>
  <c r="DX199" i="100"/>
  <c r="DX324" i="100"/>
  <c r="DX175" i="100"/>
  <c r="DX72" i="100"/>
  <c r="DX77" i="100"/>
  <c r="DX299" i="100"/>
  <c r="DX14" i="100"/>
  <c r="DX30" i="100"/>
  <c r="DX18" i="100"/>
  <c r="DX190" i="100"/>
  <c r="DX74" i="100"/>
  <c r="DX178" i="100"/>
  <c r="DX159" i="100"/>
  <c r="DX76" i="100"/>
  <c r="DX289" i="100"/>
  <c r="DX327" i="100"/>
  <c r="DX158" i="100"/>
  <c r="DX164" i="100"/>
  <c r="DX330" i="100"/>
  <c r="DX192" i="100"/>
  <c r="DX67" i="100"/>
  <c r="DX174" i="100"/>
  <c r="DY7" i="100"/>
  <c r="DX290" i="100"/>
  <c r="DX315" i="100"/>
  <c r="DX183" i="100"/>
  <c r="DX332" i="100"/>
  <c r="DX321" i="100"/>
  <c r="DX337" i="100"/>
  <c r="DX172" i="100"/>
  <c r="DX312" i="100"/>
  <c r="DX318" i="100"/>
  <c r="DX333" i="100"/>
  <c r="DX331" i="100"/>
  <c r="DX168" i="100"/>
  <c r="DX195" i="100"/>
  <c r="DX40" i="100"/>
  <c r="DX189" i="100"/>
  <c r="DX167" i="100"/>
  <c r="DX24" i="100"/>
  <c r="DX43" i="100"/>
  <c r="DX292" i="100"/>
  <c r="DX12" i="100"/>
  <c r="DX186" i="100"/>
  <c r="DX8" i="100"/>
  <c r="DX26" i="100"/>
  <c r="DX193" i="100"/>
  <c r="DX203" i="100"/>
  <c r="DX29" i="100"/>
  <c r="DX70" i="100"/>
  <c r="DX35" i="100"/>
  <c r="DX25" i="100"/>
  <c r="DX322" i="100"/>
  <c r="DX10" i="100"/>
  <c r="DX21" i="100"/>
  <c r="DX303" i="100"/>
  <c r="DX201" i="100"/>
  <c r="DX160" i="100"/>
  <c r="DX296" i="100"/>
  <c r="DX309" i="100"/>
  <c r="DX64" i="100"/>
  <c r="DX39" i="100"/>
  <c r="DX204" i="100"/>
  <c r="DX32" i="100"/>
  <c r="DX198" i="100"/>
  <c r="DX23" i="100"/>
  <c r="DX166" i="100"/>
  <c r="DX294" i="100"/>
  <c r="DX17" i="100"/>
  <c r="DX206" i="100"/>
  <c r="DX73" i="100"/>
  <c r="DX41" i="100"/>
  <c r="DX36" i="100"/>
  <c r="DX304" i="100"/>
  <c r="DX37" i="100"/>
  <c r="DX329" i="100"/>
  <c r="DX313" i="100"/>
  <c r="DX298" i="100"/>
  <c r="DX200" i="100"/>
  <c r="DX185" i="100"/>
  <c r="DX13" i="100"/>
  <c r="DX66" i="100"/>
  <c r="DX15" i="100"/>
  <c r="DX33" i="100"/>
  <c r="DX75" i="100"/>
  <c r="DX288" i="100"/>
  <c r="DX335" i="100"/>
  <c r="DX325" i="100"/>
  <c r="DX68" i="100"/>
  <c r="DX308" i="100"/>
  <c r="DX177" i="100"/>
  <c r="DX187" i="100"/>
  <c r="DX179" i="100"/>
  <c r="DX31" i="100"/>
  <c r="DX176" i="100"/>
  <c r="DX171" i="100"/>
  <c r="DX297" i="100"/>
  <c r="DX326" i="100"/>
  <c r="DX328" i="100"/>
  <c r="DX293" i="100"/>
  <c r="DX9" i="100"/>
  <c r="DX188" i="100"/>
  <c r="DX181" i="100"/>
  <c r="DX300" i="100"/>
  <c r="DX161" i="100"/>
  <c r="DX316" i="100"/>
  <c r="DX306" i="100"/>
  <c r="DX320" i="100"/>
  <c r="DX19" i="100"/>
  <c r="DX165" i="100"/>
  <c r="DX295" i="100"/>
  <c r="DX334" i="100"/>
  <c r="DX65" i="100"/>
  <c r="DX16" i="100"/>
  <c r="DX182" i="100"/>
  <c r="DX314" i="100"/>
  <c r="DX311" i="100"/>
  <c r="DX34" i="100"/>
  <c r="DX301" i="100"/>
  <c r="DX27" i="100"/>
  <c r="DX197" i="100"/>
  <c r="DX310" i="100"/>
  <c r="DX28" i="100"/>
  <c r="DX191" i="100"/>
  <c r="DX319" i="100"/>
  <c r="DX162" i="100"/>
  <c r="DX38" i="100"/>
  <c r="DX317" i="100"/>
  <c r="DX163" i="100"/>
  <c r="DX307" i="100"/>
  <c r="DX194" i="100"/>
  <c r="DX20" i="100"/>
  <c r="DX291" i="100"/>
  <c r="DX323" i="100"/>
  <c r="DX180" i="100"/>
  <c r="DY44" i="100" l="1"/>
  <c r="DY63" i="100"/>
  <c r="DY46" i="100"/>
  <c r="DY62" i="100"/>
  <c r="DY54" i="100"/>
  <c r="DY55" i="100"/>
  <c r="DY53" i="100"/>
  <c r="DY49" i="100"/>
  <c r="DY57" i="100"/>
  <c r="DY50" i="100"/>
  <c r="DY58" i="100"/>
  <c r="DY56" i="100"/>
  <c r="DY47" i="100"/>
  <c r="DY59" i="100"/>
  <c r="DY60" i="100"/>
  <c r="DY48" i="100"/>
  <c r="DY45" i="100"/>
  <c r="DY51" i="100"/>
  <c r="DY52" i="100"/>
  <c r="DY61" i="100"/>
  <c r="DX209" i="100"/>
  <c r="DX339" i="100"/>
  <c r="DX79" i="100"/>
  <c r="DX78" i="100" s="1"/>
  <c r="DY288" i="100"/>
  <c r="DY67" i="100"/>
  <c r="DY290" i="100"/>
  <c r="DY76" i="100"/>
  <c r="DY42" i="100"/>
  <c r="DY43" i="100"/>
  <c r="DY39" i="100"/>
  <c r="DY297" i="100"/>
  <c r="DY65" i="100"/>
  <c r="DY167" i="100"/>
  <c r="DY166" i="100"/>
  <c r="DY77" i="100"/>
  <c r="DY333" i="100"/>
  <c r="DY289" i="100"/>
  <c r="DY160" i="100"/>
  <c r="DY207" i="100"/>
  <c r="DY185" i="100"/>
  <c r="DY64" i="100"/>
  <c r="DY305" i="100"/>
  <c r="DY313" i="100"/>
  <c r="DY332" i="100"/>
  <c r="DY184" i="100"/>
  <c r="DY308" i="100"/>
  <c r="DY201" i="100"/>
  <c r="DY303" i="100"/>
  <c r="DY186" i="100"/>
  <c r="DY26" i="100"/>
  <c r="DY162" i="100"/>
  <c r="DY169" i="100"/>
  <c r="DY200" i="100"/>
  <c r="DY66" i="100"/>
  <c r="DY174" i="100"/>
  <c r="DY306" i="100"/>
  <c r="DY172" i="100"/>
  <c r="DY25" i="100"/>
  <c r="DY336" i="100"/>
  <c r="DY163" i="100"/>
  <c r="DY317" i="100"/>
  <c r="DY178" i="100"/>
  <c r="DY20" i="100"/>
  <c r="DY31" i="100"/>
  <c r="DY318" i="100"/>
  <c r="DY165" i="100"/>
  <c r="DY21" i="100"/>
  <c r="DY312" i="100"/>
  <c r="DY327" i="100"/>
  <c r="DY32" i="100"/>
  <c r="DY300" i="100"/>
  <c r="DY189" i="100"/>
  <c r="DY35" i="100"/>
  <c r="DY319" i="100"/>
  <c r="DY191" i="100"/>
  <c r="DY18" i="100"/>
  <c r="DY177" i="100"/>
  <c r="DY33" i="100"/>
  <c r="DY187" i="100"/>
  <c r="DY301" i="100"/>
  <c r="DY190" i="100"/>
  <c r="DY331" i="100"/>
  <c r="DY164" i="100"/>
  <c r="DY296" i="100"/>
  <c r="DY161" i="100"/>
  <c r="DY302" i="100"/>
  <c r="DY69" i="100"/>
  <c r="DY295" i="100"/>
  <c r="DY176" i="100"/>
  <c r="DY12" i="100"/>
  <c r="DY34" i="100"/>
  <c r="DY293" i="100"/>
  <c r="DY334" i="100"/>
  <c r="DY72" i="100"/>
  <c r="DY159" i="100"/>
  <c r="DY188" i="100"/>
  <c r="DY192" i="100"/>
  <c r="DY205" i="100"/>
  <c r="DY28" i="100"/>
  <c r="DY16" i="100"/>
  <c r="DY179" i="100"/>
  <c r="DY315" i="100"/>
  <c r="DY203" i="100"/>
  <c r="DY307" i="100"/>
  <c r="DY19" i="100"/>
  <c r="DY291" i="100"/>
  <c r="DY27" i="100"/>
  <c r="DY324" i="100"/>
  <c r="DY171" i="100"/>
  <c r="DY41" i="100"/>
  <c r="DY322" i="100"/>
  <c r="DY194" i="100"/>
  <c r="DY75" i="100"/>
  <c r="DY14" i="100"/>
  <c r="DY310" i="100"/>
  <c r="DY183" i="100"/>
  <c r="DY168" i="100"/>
  <c r="DY298" i="100"/>
  <c r="DY325" i="100"/>
  <c r="DY320" i="100"/>
  <c r="DY8" i="100"/>
  <c r="DY198" i="100"/>
  <c r="DY37" i="100"/>
  <c r="DY173" i="100"/>
  <c r="DY40" i="100"/>
  <c r="DY74" i="100"/>
  <c r="DZ7" i="100"/>
  <c r="DY330" i="100"/>
  <c r="DY13" i="100"/>
  <c r="DY30" i="100"/>
  <c r="DY24" i="100"/>
  <c r="DY181" i="100"/>
  <c r="DY329" i="100"/>
  <c r="DY180" i="100"/>
  <c r="DY73" i="100"/>
  <c r="DY328" i="100"/>
  <c r="DY193" i="100"/>
  <c r="DY196" i="100"/>
  <c r="DY326" i="100"/>
  <c r="DY175" i="100"/>
  <c r="DY316" i="100"/>
  <c r="DY323" i="100"/>
  <c r="DY29" i="100"/>
  <c r="DY36" i="100"/>
  <c r="DY204" i="100"/>
  <c r="DY182" i="100"/>
  <c r="DY197" i="100"/>
  <c r="DY335" i="100"/>
  <c r="DY309" i="100"/>
  <c r="DY10" i="100"/>
  <c r="DY299" i="100"/>
  <c r="DY199" i="100"/>
  <c r="DY71" i="100"/>
  <c r="DY70" i="100"/>
  <c r="DY311" i="100"/>
  <c r="DY158" i="100"/>
  <c r="DY314" i="100"/>
  <c r="DY321" i="100"/>
  <c r="DY304" i="100"/>
  <c r="DY337" i="100"/>
  <c r="DY206" i="100"/>
  <c r="DY68" i="100"/>
  <c r="DY294" i="100"/>
  <c r="DY202" i="100"/>
  <c r="DY170" i="100"/>
  <c r="DY195" i="100"/>
  <c r="DY38" i="100"/>
  <c r="DY17" i="100"/>
  <c r="DY23" i="100"/>
  <c r="DY292" i="100"/>
  <c r="DY9" i="100"/>
  <c r="DY15" i="100"/>
  <c r="DY22" i="100"/>
  <c r="DY11" i="100"/>
  <c r="HW287" i="100"/>
  <c r="HV338" i="100"/>
  <c r="DZ46" i="100" l="1"/>
  <c r="DZ44" i="100"/>
  <c r="DZ63" i="100"/>
  <c r="DZ62" i="100"/>
  <c r="DZ54" i="100"/>
  <c r="DZ56" i="100"/>
  <c r="DZ53" i="100"/>
  <c r="DZ60" i="100"/>
  <c r="DZ50" i="100"/>
  <c r="DZ59" i="100"/>
  <c r="DZ58" i="100"/>
  <c r="DZ55" i="100"/>
  <c r="DZ51" i="100"/>
  <c r="DZ57" i="100"/>
  <c r="DZ49" i="100"/>
  <c r="DZ52" i="100"/>
  <c r="DZ47" i="100"/>
  <c r="DZ48" i="100"/>
  <c r="DZ45" i="100"/>
  <c r="DZ61" i="100"/>
  <c r="DY339" i="100"/>
  <c r="DY209" i="100"/>
  <c r="DY79" i="100"/>
  <c r="DY78" i="100" s="1"/>
  <c r="HX287" i="100"/>
  <c r="HW338" i="100"/>
  <c r="DZ308" i="100"/>
  <c r="DZ295" i="100"/>
  <c r="DZ165" i="100"/>
  <c r="DZ77" i="100"/>
  <c r="DZ184" i="100"/>
  <c r="DZ171" i="100"/>
  <c r="DZ202" i="100"/>
  <c r="DZ66" i="100"/>
  <c r="DZ169" i="100"/>
  <c r="DZ22" i="100"/>
  <c r="DZ28" i="100"/>
  <c r="DZ72" i="100"/>
  <c r="DZ293" i="100"/>
  <c r="DZ303" i="100"/>
  <c r="DZ311" i="100"/>
  <c r="DZ178" i="100"/>
  <c r="DZ313" i="100"/>
  <c r="DZ333" i="100"/>
  <c r="DZ70" i="100"/>
  <c r="DZ297" i="100"/>
  <c r="DZ21" i="100"/>
  <c r="DZ314" i="100"/>
  <c r="DZ174" i="100"/>
  <c r="DZ26" i="100"/>
  <c r="DZ12" i="100"/>
  <c r="DZ158" i="100"/>
  <c r="DZ337" i="100"/>
  <c r="DZ305" i="100"/>
  <c r="DZ164" i="100"/>
  <c r="DZ324" i="100"/>
  <c r="DZ180" i="100"/>
  <c r="DZ167" i="100"/>
  <c r="DZ328" i="100"/>
  <c r="DZ325" i="100"/>
  <c r="DZ306" i="100"/>
  <c r="DZ33" i="100"/>
  <c r="DZ319" i="100"/>
  <c r="DZ16" i="100"/>
  <c r="DZ322" i="100"/>
  <c r="DZ191" i="100"/>
  <c r="DZ194" i="100"/>
  <c r="DZ310" i="100"/>
  <c r="DZ41" i="100"/>
  <c r="DZ76" i="100"/>
  <c r="DZ201" i="100"/>
  <c r="EA7" i="100"/>
  <c r="DZ190" i="100"/>
  <c r="DZ69" i="100"/>
  <c r="DZ20" i="100"/>
  <c r="DZ195" i="100"/>
  <c r="DZ32" i="100"/>
  <c r="DZ309" i="100"/>
  <c r="DZ288" i="100"/>
  <c r="DZ65" i="100"/>
  <c r="DZ75" i="100"/>
  <c r="DZ24" i="100"/>
  <c r="DZ205" i="100"/>
  <c r="DZ42" i="100"/>
  <c r="DZ188" i="100"/>
  <c r="DZ170" i="100"/>
  <c r="DZ163" i="100"/>
  <c r="DZ317" i="100"/>
  <c r="DZ200" i="100"/>
  <c r="DZ187" i="100"/>
  <c r="DZ321" i="100"/>
  <c r="DZ196" i="100"/>
  <c r="DZ318" i="100"/>
  <c r="DZ292" i="100"/>
  <c r="DZ204" i="100"/>
  <c r="DZ179" i="100"/>
  <c r="DZ304" i="100"/>
  <c r="DZ320" i="100"/>
  <c r="DZ186" i="100"/>
  <c r="DZ34" i="100"/>
  <c r="DZ40" i="100"/>
  <c r="DZ18" i="100"/>
  <c r="DZ302" i="100"/>
  <c r="DZ203" i="100"/>
  <c r="DZ185" i="100"/>
  <c r="DZ161" i="100"/>
  <c r="DZ160" i="100"/>
  <c r="DZ289" i="100"/>
  <c r="DZ329" i="100"/>
  <c r="DZ11" i="100"/>
  <c r="DZ294" i="100"/>
  <c r="DZ172" i="100"/>
  <c r="DZ68" i="100"/>
  <c r="DZ332" i="100"/>
  <c r="DZ23" i="100"/>
  <c r="DZ312" i="100"/>
  <c r="DZ176" i="100"/>
  <c r="DZ13" i="100"/>
  <c r="DZ9" i="100"/>
  <c r="DZ15" i="100"/>
  <c r="DZ182" i="100"/>
  <c r="DZ326" i="100"/>
  <c r="DZ14" i="100"/>
  <c r="DZ183" i="100"/>
  <c r="DZ327" i="100"/>
  <c r="DZ35" i="100"/>
  <c r="DZ336" i="100"/>
  <c r="DZ335" i="100"/>
  <c r="DZ181" i="100"/>
  <c r="DZ334" i="100"/>
  <c r="DZ207" i="100"/>
  <c r="DZ307" i="100"/>
  <c r="DZ175" i="100"/>
  <c r="DZ300" i="100"/>
  <c r="DZ31" i="100"/>
  <c r="DZ36" i="100"/>
  <c r="DZ71" i="100"/>
  <c r="DZ298" i="100"/>
  <c r="DZ316" i="100"/>
  <c r="DZ67" i="100"/>
  <c r="DZ301" i="100"/>
  <c r="DZ206" i="100"/>
  <c r="DZ198" i="100"/>
  <c r="DZ296" i="100"/>
  <c r="DZ37" i="100"/>
  <c r="DZ27" i="100"/>
  <c r="DZ64" i="100"/>
  <c r="DZ73" i="100"/>
  <c r="DZ197" i="100"/>
  <c r="DZ25" i="100"/>
  <c r="DZ39" i="100"/>
  <c r="DZ192" i="100"/>
  <c r="DZ290" i="100"/>
  <c r="DZ74" i="100"/>
  <c r="DZ331" i="100"/>
  <c r="DZ38" i="100"/>
  <c r="DZ29" i="100"/>
  <c r="DZ299" i="100"/>
  <c r="DZ177" i="100"/>
  <c r="DZ162" i="100"/>
  <c r="DZ168" i="100"/>
  <c r="DZ159" i="100"/>
  <c r="DZ19" i="100"/>
  <c r="DZ323" i="100"/>
  <c r="DZ291" i="100"/>
  <c r="DZ173" i="100"/>
  <c r="DZ189" i="100"/>
  <c r="DZ8" i="100"/>
  <c r="DZ330" i="100"/>
  <c r="DZ43" i="100"/>
  <c r="DZ193" i="100"/>
  <c r="DZ17" i="100"/>
  <c r="DZ30" i="100"/>
  <c r="DZ315" i="100"/>
  <c r="DZ166" i="100"/>
  <c r="DZ199" i="100"/>
  <c r="DZ10" i="100"/>
  <c r="EA44" i="100" l="1"/>
  <c r="EA62" i="100"/>
  <c r="EA51" i="100"/>
  <c r="EA46" i="100"/>
  <c r="EA59" i="100"/>
  <c r="EA54" i="100"/>
  <c r="EA52" i="100"/>
  <c r="EA58" i="100"/>
  <c r="EA63" i="100"/>
  <c r="EA45" i="100"/>
  <c r="EA48" i="100"/>
  <c r="EA53" i="100"/>
  <c r="EA57" i="100"/>
  <c r="EA55" i="100"/>
  <c r="EA47" i="100"/>
  <c r="EA56" i="100"/>
  <c r="EA60" i="100"/>
  <c r="EA50" i="100"/>
  <c r="EA61" i="100"/>
  <c r="EA49" i="100"/>
  <c r="DZ79" i="100"/>
  <c r="DZ78" i="100" s="1"/>
  <c r="DZ339" i="100"/>
  <c r="DZ209" i="100"/>
  <c r="EA12" i="100"/>
  <c r="EA174" i="100"/>
  <c r="EA198" i="100"/>
  <c r="EA325" i="100"/>
  <c r="EA324" i="100"/>
  <c r="EA185" i="100"/>
  <c r="EA8" i="100"/>
  <c r="EA293" i="100"/>
  <c r="EA39" i="100"/>
  <c r="EA187" i="100"/>
  <c r="EA194" i="100"/>
  <c r="EA337" i="100"/>
  <c r="EA320" i="100"/>
  <c r="EA305" i="100"/>
  <c r="EA38" i="100"/>
  <c r="EA69" i="100"/>
  <c r="EA328" i="100"/>
  <c r="EA299" i="100"/>
  <c r="EA20" i="100"/>
  <c r="EA9" i="100"/>
  <c r="EA201" i="100"/>
  <c r="EA19" i="100"/>
  <c r="EA297" i="100"/>
  <c r="EA195" i="100"/>
  <c r="EA188" i="100"/>
  <c r="EA71" i="100"/>
  <c r="EA160" i="100"/>
  <c r="EA291" i="100"/>
  <c r="EA176" i="100"/>
  <c r="EA26" i="100"/>
  <c r="EA207" i="100"/>
  <c r="EA164" i="100"/>
  <c r="EA37" i="100"/>
  <c r="EA74" i="100"/>
  <c r="EA319" i="100"/>
  <c r="EA40" i="100"/>
  <c r="EA67" i="100"/>
  <c r="EA42" i="100"/>
  <c r="EA167" i="100"/>
  <c r="EA301" i="100"/>
  <c r="EA21" i="100"/>
  <c r="EA158" i="100"/>
  <c r="EA289" i="100"/>
  <c r="EA313" i="100"/>
  <c r="EA28" i="100"/>
  <c r="EA309" i="100"/>
  <c r="EA31" i="100"/>
  <c r="EA75" i="100"/>
  <c r="EA172" i="100"/>
  <c r="EA175" i="100"/>
  <c r="EA24" i="100"/>
  <c r="EA197" i="100"/>
  <c r="EA295" i="100"/>
  <c r="EA169" i="100"/>
  <c r="EA300" i="100"/>
  <c r="EB7" i="100"/>
  <c r="EA68" i="100"/>
  <c r="EA332" i="100"/>
  <c r="EA202" i="100"/>
  <c r="EA22" i="100"/>
  <c r="EA315" i="100"/>
  <c r="EA66" i="100"/>
  <c r="EA326" i="100"/>
  <c r="EA178" i="100"/>
  <c r="EA205" i="100"/>
  <c r="EA23" i="100"/>
  <c r="EA180" i="100"/>
  <c r="EA32" i="100"/>
  <c r="EA179" i="100"/>
  <c r="EA333" i="100"/>
  <c r="EA162" i="100"/>
  <c r="EA76" i="100"/>
  <c r="EA322" i="100"/>
  <c r="EA321" i="100"/>
  <c r="EA11" i="100"/>
  <c r="EA168" i="100"/>
  <c r="EA170" i="100"/>
  <c r="EA33" i="100"/>
  <c r="EA294" i="100"/>
  <c r="EA206" i="100"/>
  <c r="EA182" i="100"/>
  <c r="EA204" i="100"/>
  <c r="EA171" i="100"/>
  <c r="EA292" i="100"/>
  <c r="EA165" i="100"/>
  <c r="EA303" i="100"/>
  <c r="EA73" i="100"/>
  <c r="EA190" i="100"/>
  <c r="EA65" i="100"/>
  <c r="EA196" i="100"/>
  <c r="EA335" i="100"/>
  <c r="EA331" i="100"/>
  <c r="EA166" i="100"/>
  <c r="EA163" i="100"/>
  <c r="EA35" i="100"/>
  <c r="EA312" i="100"/>
  <c r="EA311" i="100"/>
  <c r="EA200" i="100"/>
  <c r="EA191" i="100"/>
  <c r="EA17" i="100"/>
  <c r="EA41" i="100"/>
  <c r="EA304" i="100"/>
  <c r="EA159" i="100"/>
  <c r="EA29" i="100"/>
  <c r="EA308" i="100"/>
  <c r="EA77" i="100"/>
  <c r="EA15" i="100"/>
  <c r="EA30" i="100"/>
  <c r="EA302" i="100"/>
  <c r="EA14" i="100"/>
  <c r="EA64" i="100"/>
  <c r="EA310" i="100"/>
  <c r="EA193" i="100"/>
  <c r="EA161" i="100"/>
  <c r="EA189" i="100"/>
  <c r="EA323" i="100"/>
  <c r="EA184" i="100"/>
  <c r="EA181" i="100"/>
  <c r="EA290" i="100"/>
  <c r="EA288" i="100"/>
  <c r="EA314" i="100"/>
  <c r="EA27" i="100"/>
  <c r="EA336" i="100"/>
  <c r="EA13" i="100"/>
  <c r="EA317" i="100"/>
  <c r="EA298" i="100"/>
  <c r="EA318" i="100"/>
  <c r="EA70" i="100"/>
  <c r="EA192" i="100"/>
  <c r="EA36" i="100"/>
  <c r="EA173" i="100"/>
  <c r="EA34" i="100"/>
  <c r="EA296" i="100"/>
  <c r="EA329" i="100"/>
  <c r="EA306" i="100"/>
  <c r="EA186" i="100"/>
  <c r="EA177" i="100"/>
  <c r="EA25" i="100"/>
  <c r="EA316" i="100"/>
  <c r="EA72" i="100"/>
  <c r="EA18" i="100"/>
  <c r="EA10" i="100"/>
  <c r="EA334" i="100"/>
  <c r="EA183" i="100"/>
  <c r="EA43" i="100"/>
  <c r="EA330" i="100"/>
  <c r="EA199" i="100"/>
  <c r="EA307" i="100"/>
  <c r="EA327" i="100"/>
  <c r="EA203" i="100"/>
  <c r="EA16" i="100"/>
  <c r="HY287" i="100"/>
  <c r="HX338" i="100"/>
  <c r="EB58" i="100" l="1"/>
  <c r="EB49" i="100"/>
  <c r="EB63" i="100"/>
  <c r="EB46" i="100"/>
  <c r="EB62" i="100"/>
  <c r="EB44" i="100"/>
  <c r="EB57" i="100"/>
  <c r="EB45" i="100"/>
  <c r="EB59" i="100"/>
  <c r="EB55" i="100"/>
  <c r="EB61" i="100"/>
  <c r="EB48" i="100"/>
  <c r="EB50" i="100"/>
  <c r="EB52" i="100"/>
  <c r="EB54" i="100"/>
  <c r="EB51" i="100"/>
  <c r="EB56" i="100"/>
  <c r="EB47" i="100"/>
  <c r="EB53" i="100"/>
  <c r="EB60" i="100"/>
  <c r="EA209" i="100"/>
  <c r="EA79" i="100"/>
  <c r="EA78" i="100" s="1"/>
  <c r="EA339" i="100"/>
  <c r="EB29" i="100"/>
  <c r="EB64" i="100"/>
  <c r="EB304" i="100"/>
  <c r="EB184" i="100"/>
  <c r="EB311" i="100"/>
  <c r="EB316" i="100"/>
  <c r="EB75" i="100"/>
  <c r="EB17" i="100"/>
  <c r="EB187" i="100"/>
  <c r="EB180" i="100"/>
  <c r="EB336" i="100"/>
  <c r="EB317" i="100"/>
  <c r="EB205" i="100"/>
  <c r="EB74" i="100"/>
  <c r="EB37" i="100"/>
  <c r="EB21" i="100"/>
  <c r="EB303" i="100"/>
  <c r="EB198" i="100"/>
  <c r="EB185" i="100"/>
  <c r="EB296" i="100"/>
  <c r="EB313" i="100"/>
  <c r="EB292" i="100"/>
  <c r="EB323" i="100"/>
  <c r="EB38" i="100"/>
  <c r="EB41" i="100"/>
  <c r="EB329" i="100"/>
  <c r="EB35" i="100"/>
  <c r="EB294" i="100"/>
  <c r="EB165" i="100"/>
  <c r="EB174" i="100"/>
  <c r="EB194" i="100"/>
  <c r="EB199" i="100"/>
  <c r="EB333" i="100"/>
  <c r="EB70" i="100"/>
  <c r="EB298" i="100"/>
  <c r="EB36" i="100"/>
  <c r="EB28" i="100"/>
  <c r="EB308" i="100"/>
  <c r="EB43" i="100"/>
  <c r="EB13" i="100"/>
  <c r="EB193" i="100"/>
  <c r="EB33" i="100"/>
  <c r="EB307" i="100"/>
  <c r="EB325" i="100"/>
  <c r="EB178" i="100"/>
  <c r="EB168" i="100"/>
  <c r="EB173" i="100"/>
  <c r="EB69" i="100"/>
  <c r="EB16" i="100"/>
  <c r="EB22" i="100"/>
  <c r="EB315" i="100"/>
  <c r="EB8" i="100"/>
  <c r="EB15" i="100"/>
  <c r="EB181" i="100"/>
  <c r="EB42" i="100"/>
  <c r="EB179" i="100"/>
  <c r="EB191" i="100"/>
  <c r="EB66" i="100"/>
  <c r="EB320" i="100"/>
  <c r="EB196" i="100"/>
  <c r="EB190" i="100"/>
  <c r="EB288" i="100"/>
  <c r="EB158" i="100"/>
  <c r="EB26" i="100"/>
  <c r="EB177" i="100"/>
  <c r="EB295" i="100"/>
  <c r="EB312" i="100"/>
  <c r="EB171" i="100"/>
  <c r="EB11" i="100"/>
  <c r="EB319" i="100"/>
  <c r="EB203" i="100"/>
  <c r="EB77" i="100"/>
  <c r="EB170" i="100"/>
  <c r="EB302" i="100"/>
  <c r="EB201" i="100"/>
  <c r="EB206" i="100"/>
  <c r="EB330" i="100"/>
  <c r="EB161" i="100"/>
  <c r="EC7" i="100"/>
  <c r="EB159" i="100"/>
  <c r="EB202" i="100"/>
  <c r="EB291" i="100"/>
  <c r="EB197" i="100"/>
  <c r="EB164" i="100"/>
  <c r="EB324" i="100"/>
  <c r="EB328" i="100"/>
  <c r="EB331" i="100"/>
  <c r="EB306" i="100"/>
  <c r="EB293" i="100"/>
  <c r="EB334" i="100"/>
  <c r="EB160" i="100"/>
  <c r="EB10" i="100"/>
  <c r="EB73" i="100"/>
  <c r="EB175" i="100"/>
  <c r="EB200" i="100"/>
  <c r="EB337" i="100"/>
  <c r="EB172" i="100"/>
  <c r="EB318" i="100"/>
  <c r="EB207" i="100"/>
  <c r="EB192" i="100"/>
  <c r="EB9" i="100"/>
  <c r="EB326" i="100"/>
  <c r="EB300" i="100"/>
  <c r="EB289" i="100"/>
  <c r="EB31" i="100"/>
  <c r="EB182" i="100"/>
  <c r="EB25" i="100"/>
  <c r="EB321" i="100"/>
  <c r="EB27" i="100"/>
  <c r="EB71" i="100"/>
  <c r="EB189" i="100"/>
  <c r="EB309" i="100"/>
  <c r="EB18" i="100"/>
  <c r="EB39" i="100"/>
  <c r="EB14" i="100"/>
  <c r="EB195" i="100"/>
  <c r="EB68" i="100"/>
  <c r="EB332" i="100"/>
  <c r="EB305" i="100"/>
  <c r="EB162" i="100"/>
  <c r="EB176" i="100"/>
  <c r="EB322" i="100"/>
  <c r="EB327" i="100"/>
  <c r="EB34" i="100"/>
  <c r="EB167" i="100"/>
  <c r="EB186" i="100"/>
  <c r="EB301" i="100"/>
  <c r="EB310" i="100"/>
  <c r="EB40" i="100"/>
  <c r="EB67" i="100"/>
  <c r="EB76" i="100"/>
  <c r="EB20" i="100"/>
  <c r="EB290" i="100"/>
  <c r="EB32" i="100"/>
  <c r="EB314" i="100"/>
  <c r="EB72" i="100"/>
  <c r="EB19" i="100"/>
  <c r="EB166" i="100"/>
  <c r="EB299" i="100"/>
  <c r="EB335" i="100"/>
  <c r="EB183" i="100"/>
  <c r="EB12" i="100"/>
  <c r="EB297" i="100"/>
  <c r="EB23" i="100"/>
  <c r="EB163" i="100"/>
  <c r="EB65" i="100"/>
  <c r="EB169" i="100"/>
  <c r="EB30" i="100"/>
  <c r="EB188" i="100"/>
  <c r="EB24" i="100"/>
  <c r="EB204" i="100"/>
  <c r="HZ287" i="100"/>
  <c r="HY338" i="100"/>
  <c r="EC63" i="100" l="1"/>
  <c r="EC45" i="100"/>
  <c r="EC44" i="100"/>
  <c r="EC62" i="100"/>
  <c r="EC51" i="100"/>
  <c r="EC58" i="100"/>
  <c r="EC59" i="100"/>
  <c r="EC46" i="100"/>
  <c r="EC53" i="100"/>
  <c r="EC57" i="100"/>
  <c r="EC48" i="100"/>
  <c r="EC49" i="100"/>
  <c r="EC61" i="100"/>
  <c r="EC54" i="100"/>
  <c r="EC50" i="100"/>
  <c r="EC55" i="100"/>
  <c r="EC56" i="100"/>
  <c r="EC60" i="100"/>
  <c r="EC52" i="100"/>
  <c r="EC47" i="100"/>
  <c r="EB339" i="100"/>
  <c r="EB209" i="100"/>
  <c r="EB79" i="100"/>
  <c r="EB78" i="100" s="1"/>
  <c r="EC328" i="100"/>
  <c r="EC67" i="100"/>
  <c r="EC164" i="100"/>
  <c r="EC68" i="100"/>
  <c r="EC199" i="100"/>
  <c r="EC35" i="100"/>
  <c r="EC299" i="100"/>
  <c r="EC16" i="100"/>
  <c r="EC64" i="100"/>
  <c r="EC69" i="100"/>
  <c r="EC172" i="100"/>
  <c r="EC71" i="100"/>
  <c r="EC207" i="100"/>
  <c r="EC36" i="100"/>
  <c r="EC320" i="100"/>
  <c r="EC313" i="100"/>
  <c r="EC65" i="100"/>
  <c r="EC305" i="100"/>
  <c r="EC159" i="100"/>
  <c r="EC322" i="100"/>
  <c r="EC296" i="100"/>
  <c r="EC295" i="100"/>
  <c r="EC177" i="100"/>
  <c r="EC14" i="100"/>
  <c r="EC319" i="100"/>
  <c r="EC169" i="100"/>
  <c r="EC168" i="100"/>
  <c r="EC10" i="100"/>
  <c r="EC323" i="100"/>
  <c r="EC72" i="100"/>
  <c r="EC174" i="100"/>
  <c r="EC34" i="100"/>
  <c r="EC160" i="100"/>
  <c r="EC73" i="100"/>
  <c r="EC325" i="100"/>
  <c r="EC181" i="100"/>
  <c r="EC21" i="100"/>
  <c r="EC200" i="100"/>
  <c r="EC335" i="100"/>
  <c r="EC180" i="100"/>
  <c r="EC205" i="100"/>
  <c r="EC158" i="100"/>
  <c r="EC162" i="100"/>
  <c r="EC330" i="100"/>
  <c r="EC314" i="100"/>
  <c r="EC201" i="100"/>
  <c r="EC167" i="100"/>
  <c r="EC202" i="100"/>
  <c r="EC13" i="100"/>
  <c r="EC25" i="100"/>
  <c r="EC77" i="100"/>
  <c r="EC298" i="100"/>
  <c r="EC66" i="100"/>
  <c r="EC74" i="100"/>
  <c r="EC41" i="100"/>
  <c r="EC336" i="100"/>
  <c r="EC304" i="100"/>
  <c r="EC27" i="100"/>
  <c r="EC70" i="100"/>
  <c r="EC186" i="100"/>
  <c r="EC307" i="100"/>
  <c r="EC312" i="100"/>
  <c r="EC329" i="100"/>
  <c r="EC198" i="100"/>
  <c r="EC193" i="100"/>
  <c r="EC37" i="100"/>
  <c r="EC163" i="100"/>
  <c r="EC324" i="100"/>
  <c r="EC182" i="100"/>
  <c r="EC43" i="100"/>
  <c r="EC204" i="100"/>
  <c r="EC176" i="100"/>
  <c r="EC289" i="100"/>
  <c r="EC17" i="100"/>
  <c r="EC301" i="100"/>
  <c r="EC161" i="100"/>
  <c r="EC309" i="100"/>
  <c r="EC311" i="100"/>
  <c r="EC29" i="100"/>
  <c r="EC310" i="100"/>
  <c r="EC334" i="100"/>
  <c r="EC11" i="100"/>
  <c r="EC317" i="100"/>
  <c r="EC166" i="100"/>
  <c r="EC30" i="100"/>
  <c r="EC12" i="100"/>
  <c r="EC303" i="100"/>
  <c r="EC170" i="100"/>
  <c r="EC306" i="100"/>
  <c r="ED7" i="100"/>
  <c r="EC32" i="100"/>
  <c r="EC31" i="100"/>
  <c r="EC28" i="100"/>
  <c r="EC192" i="100"/>
  <c r="EC302" i="100"/>
  <c r="EC22" i="100"/>
  <c r="EC185" i="100"/>
  <c r="EC318" i="100"/>
  <c r="EC326" i="100"/>
  <c r="EC337" i="100"/>
  <c r="EC75" i="100"/>
  <c r="EC178" i="100"/>
  <c r="EC206" i="100"/>
  <c r="EC293" i="100"/>
  <c r="EC197" i="100"/>
  <c r="EC42" i="100"/>
  <c r="EC175" i="100"/>
  <c r="EC292" i="100"/>
  <c r="EC9" i="100"/>
  <c r="EC18" i="100"/>
  <c r="EC331" i="100"/>
  <c r="EC171" i="100"/>
  <c r="EC39" i="100"/>
  <c r="EC290" i="100"/>
  <c r="EC173" i="100"/>
  <c r="EC294" i="100"/>
  <c r="EC19" i="100"/>
  <c r="EC26" i="100"/>
  <c r="EC40" i="100"/>
  <c r="EC190" i="100"/>
  <c r="EC179" i="100"/>
  <c r="EC165" i="100"/>
  <c r="EC315" i="100"/>
  <c r="EC191" i="100"/>
  <c r="EC332" i="100"/>
  <c r="EC300" i="100"/>
  <c r="EC333" i="100"/>
  <c r="EC195" i="100"/>
  <c r="EC187" i="100"/>
  <c r="EC288" i="100"/>
  <c r="EC297" i="100"/>
  <c r="EC188" i="100"/>
  <c r="EC184" i="100"/>
  <c r="EC316" i="100"/>
  <c r="EC321" i="100"/>
  <c r="EC189" i="100"/>
  <c r="EC20" i="100"/>
  <c r="EC183" i="100"/>
  <c r="EC327" i="100"/>
  <c r="EC196" i="100"/>
  <c r="EC38" i="100"/>
  <c r="EC203" i="100"/>
  <c r="EC23" i="100"/>
  <c r="EC8" i="100"/>
  <c r="EC76" i="100"/>
  <c r="EC15" i="100"/>
  <c r="EC308" i="100"/>
  <c r="EC291" i="100"/>
  <c r="EC33" i="100"/>
  <c r="EC24" i="100"/>
  <c r="EC194" i="100"/>
  <c r="IA287" i="100"/>
  <c r="HZ338" i="100"/>
  <c r="ED44" i="100" l="1"/>
  <c r="ED63" i="100"/>
  <c r="ED46" i="100"/>
  <c r="ED52" i="100"/>
  <c r="ED62" i="100"/>
  <c r="ED53" i="100"/>
  <c r="ED50" i="100"/>
  <c r="ED49" i="100"/>
  <c r="ED56" i="100"/>
  <c r="ED47" i="100"/>
  <c r="ED58" i="100"/>
  <c r="ED51" i="100"/>
  <c r="ED61" i="100"/>
  <c r="ED60" i="100"/>
  <c r="ED45" i="100"/>
  <c r="ED55" i="100"/>
  <c r="ED59" i="100"/>
  <c r="ED57" i="100"/>
  <c r="ED54" i="100"/>
  <c r="ED48" i="100"/>
  <c r="EC339" i="100"/>
  <c r="EC79" i="100"/>
  <c r="EC78" i="100" s="1"/>
  <c r="EC209" i="100"/>
  <c r="IB287" i="100"/>
  <c r="IA338" i="100"/>
  <c r="ED173" i="100"/>
  <c r="ED322" i="100"/>
  <c r="ED298" i="100"/>
  <c r="ED207" i="100"/>
  <c r="ED179" i="100"/>
  <c r="ED330" i="100"/>
  <c r="ED23" i="100"/>
  <c r="ED331" i="100"/>
  <c r="ED187" i="100"/>
  <c r="ED73" i="100"/>
  <c r="ED29" i="100"/>
  <c r="ED30" i="100"/>
  <c r="ED302" i="100"/>
  <c r="ED301" i="100"/>
  <c r="ED314" i="100"/>
  <c r="ED309" i="100"/>
  <c r="ED75" i="100"/>
  <c r="ED333" i="100"/>
  <c r="ED15" i="100"/>
  <c r="ED69" i="100"/>
  <c r="ED42" i="100"/>
  <c r="ED332" i="100"/>
  <c r="ED160" i="100"/>
  <c r="ED68" i="100"/>
  <c r="ED39" i="100"/>
  <c r="ED289" i="100"/>
  <c r="ED191" i="100"/>
  <c r="ED296" i="100"/>
  <c r="ED26" i="100"/>
  <c r="ED12" i="100"/>
  <c r="ED37" i="100"/>
  <c r="ED292" i="100"/>
  <c r="ED311" i="100"/>
  <c r="ED158" i="100"/>
  <c r="ED21" i="100"/>
  <c r="ED32" i="100"/>
  <c r="ED300" i="100"/>
  <c r="ED328" i="100"/>
  <c r="ED165" i="100"/>
  <c r="ED199" i="100"/>
  <c r="ED313" i="100"/>
  <c r="ED306" i="100"/>
  <c r="ED316" i="100"/>
  <c r="ED312" i="100"/>
  <c r="ED186" i="100"/>
  <c r="ED8" i="100"/>
  <c r="ED193" i="100"/>
  <c r="ED185" i="100"/>
  <c r="ED205" i="100"/>
  <c r="ED178" i="100"/>
  <c r="ED36" i="100"/>
  <c r="ED40" i="100"/>
  <c r="ED192" i="100"/>
  <c r="ED163" i="100"/>
  <c r="ED195" i="100"/>
  <c r="ED337" i="100"/>
  <c r="ED14" i="100"/>
  <c r="ED204" i="100"/>
  <c r="ED169" i="100"/>
  <c r="ED184" i="100"/>
  <c r="ED166" i="100"/>
  <c r="ED19" i="100"/>
  <c r="ED295" i="100"/>
  <c r="ED171" i="100"/>
  <c r="ED180" i="100"/>
  <c r="ED335" i="100"/>
  <c r="ED200" i="100"/>
  <c r="ED9" i="100"/>
  <c r="ED290" i="100"/>
  <c r="ED70" i="100"/>
  <c r="ED297" i="100"/>
  <c r="ED321" i="100"/>
  <c r="ED183" i="100"/>
  <c r="ED327" i="100"/>
  <c r="ED329" i="100"/>
  <c r="ED11" i="100"/>
  <c r="ED293" i="100"/>
  <c r="ED303" i="100"/>
  <c r="ED308" i="100"/>
  <c r="ED203" i="100"/>
  <c r="ED162" i="100"/>
  <c r="ED177" i="100"/>
  <c r="ED317" i="100"/>
  <c r="ED320" i="100"/>
  <c r="ED181" i="100"/>
  <c r="ED167" i="100"/>
  <c r="ED291" i="100"/>
  <c r="ED334" i="100"/>
  <c r="ED318" i="100"/>
  <c r="ED65" i="100"/>
  <c r="ED168" i="100"/>
  <c r="ED182" i="100"/>
  <c r="ED319" i="100"/>
  <c r="ED25" i="100"/>
  <c r="ED305" i="100"/>
  <c r="ED194" i="100"/>
  <c r="ED33" i="100"/>
  <c r="ED74" i="100"/>
  <c r="ED43" i="100"/>
  <c r="ED325" i="100"/>
  <c r="ED24" i="100"/>
  <c r="ED336" i="100"/>
  <c r="ED31" i="100"/>
  <c r="ED77" i="100"/>
  <c r="ED310" i="100"/>
  <c r="ED197" i="100"/>
  <c r="ED72" i="100"/>
  <c r="ED164" i="100"/>
  <c r="ED196" i="100"/>
  <c r="ED315" i="100"/>
  <c r="ED176" i="100"/>
  <c r="ED174" i="100"/>
  <c r="ED64" i="100"/>
  <c r="ED170" i="100"/>
  <c r="ED67" i="100"/>
  <c r="ED307" i="100"/>
  <c r="ED17" i="100"/>
  <c r="ED323" i="100"/>
  <c r="ED28" i="100"/>
  <c r="EE7" i="100"/>
  <c r="ED198" i="100"/>
  <c r="ED202" i="100"/>
  <c r="ED66" i="100"/>
  <c r="ED299" i="100"/>
  <c r="ED159" i="100"/>
  <c r="ED76" i="100"/>
  <c r="ED20" i="100"/>
  <c r="ED16" i="100"/>
  <c r="ED188" i="100"/>
  <c r="ED38" i="100"/>
  <c r="ED13" i="100"/>
  <c r="ED294" i="100"/>
  <c r="ED22" i="100"/>
  <c r="ED71" i="100"/>
  <c r="ED189" i="100"/>
  <c r="ED324" i="100"/>
  <c r="ED206" i="100"/>
  <c r="ED326" i="100"/>
  <c r="ED27" i="100"/>
  <c r="ED304" i="100"/>
  <c r="ED172" i="100"/>
  <c r="ED161" i="100"/>
  <c r="ED175" i="100"/>
  <c r="ED35" i="100"/>
  <c r="ED288" i="100"/>
  <c r="ED201" i="100"/>
  <c r="ED34" i="100"/>
  <c r="ED10" i="100"/>
  <c r="ED190" i="100"/>
  <c r="ED18" i="100"/>
  <c r="ED41" i="100"/>
  <c r="EE62" i="100" l="1"/>
  <c r="EE45" i="100"/>
  <c r="EE63" i="100"/>
  <c r="EE44" i="100"/>
  <c r="EE46" i="100"/>
  <c r="EE49" i="100"/>
  <c r="EE48" i="100"/>
  <c r="EE47" i="100"/>
  <c r="EE57" i="100"/>
  <c r="EE60" i="100"/>
  <c r="EE51" i="100"/>
  <c r="EE50" i="100"/>
  <c r="EE53" i="100"/>
  <c r="EE55" i="100"/>
  <c r="EE58" i="100"/>
  <c r="EE59" i="100"/>
  <c r="EE52" i="100"/>
  <c r="EE56" i="100"/>
  <c r="EE61" i="100"/>
  <c r="EE54" i="100"/>
  <c r="ED79" i="100"/>
  <c r="ED78" i="100" s="1"/>
  <c r="ED339" i="100"/>
  <c r="ED209" i="100"/>
  <c r="EE199" i="100"/>
  <c r="EE304" i="100"/>
  <c r="EE36" i="100"/>
  <c r="EE192" i="100"/>
  <c r="EE165" i="100"/>
  <c r="EE334" i="100"/>
  <c r="EE322" i="100"/>
  <c r="EE328" i="100"/>
  <c r="EE169" i="100"/>
  <c r="EE312" i="100"/>
  <c r="EE301" i="100"/>
  <c r="EE314" i="100"/>
  <c r="EE65" i="100"/>
  <c r="EE331" i="100"/>
  <c r="EE70" i="100"/>
  <c r="EE311" i="100"/>
  <c r="EE161" i="100"/>
  <c r="EE188" i="100"/>
  <c r="EE196" i="100"/>
  <c r="EE43" i="100"/>
  <c r="EE319" i="100"/>
  <c r="EE332" i="100"/>
  <c r="EE20" i="100"/>
  <c r="EE315" i="100"/>
  <c r="EE185" i="100"/>
  <c r="EE9" i="100"/>
  <c r="EE38" i="100"/>
  <c r="EE29" i="100"/>
  <c r="EE295" i="100"/>
  <c r="EE207" i="100"/>
  <c r="EE26" i="100"/>
  <c r="EE337" i="100"/>
  <c r="EE167" i="100"/>
  <c r="EE186" i="100"/>
  <c r="EE288" i="100"/>
  <c r="EE195" i="100"/>
  <c r="EE327" i="100"/>
  <c r="EE41" i="100"/>
  <c r="EE316" i="100"/>
  <c r="EE74" i="100"/>
  <c r="EE293" i="100"/>
  <c r="EE318" i="100"/>
  <c r="EE66" i="100"/>
  <c r="EE198" i="100"/>
  <c r="EE194" i="100"/>
  <c r="EE205" i="100"/>
  <c r="EE73" i="100"/>
  <c r="EE306" i="100"/>
  <c r="EE35" i="100"/>
  <c r="EE303" i="100"/>
  <c r="EE302" i="100"/>
  <c r="EE42" i="100"/>
  <c r="EE17" i="100"/>
  <c r="EE297" i="100"/>
  <c r="EE64" i="100"/>
  <c r="EE28" i="100"/>
  <c r="EE21" i="100"/>
  <c r="EE75" i="100"/>
  <c r="EE189" i="100"/>
  <c r="EE166" i="100"/>
  <c r="EE39" i="100"/>
  <c r="EE32" i="100"/>
  <c r="EE203" i="100"/>
  <c r="EE174" i="100"/>
  <c r="EE309" i="100"/>
  <c r="EE76" i="100"/>
  <c r="EE34" i="100"/>
  <c r="EE317" i="100"/>
  <c r="EE173" i="100"/>
  <c r="EE27" i="100"/>
  <c r="EE168" i="100"/>
  <c r="EE11" i="100"/>
  <c r="EE336" i="100"/>
  <c r="EE333" i="100"/>
  <c r="EE25" i="100"/>
  <c r="EE30" i="100"/>
  <c r="EE18" i="100"/>
  <c r="EE193" i="100"/>
  <c r="EE69" i="100"/>
  <c r="EE158" i="100"/>
  <c r="EE175" i="100"/>
  <c r="EE183" i="100"/>
  <c r="EE163" i="100"/>
  <c r="EE159" i="100"/>
  <c r="EE329" i="100"/>
  <c r="EE160" i="100"/>
  <c r="EE16" i="100"/>
  <c r="EE305" i="100"/>
  <c r="EE292" i="100"/>
  <c r="EE190" i="100"/>
  <c r="EE33" i="100"/>
  <c r="EE326" i="100"/>
  <c r="EE325" i="100"/>
  <c r="EE335" i="100"/>
  <c r="EE191" i="100"/>
  <c r="EE187" i="100"/>
  <c r="EE321" i="100"/>
  <c r="EE14" i="100"/>
  <c r="EE200" i="100"/>
  <c r="EE294" i="100"/>
  <c r="EE299" i="100"/>
  <c r="EE170" i="100"/>
  <c r="EE10" i="100"/>
  <c r="EE197" i="100"/>
  <c r="EE308" i="100"/>
  <c r="EE184" i="100"/>
  <c r="EE15" i="100"/>
  <c r="EE177" i="100"/>
  <c r="EE298" i="100"/>
  <c r="EE307" i="100"/>
  <c r="EE182" i="100"/>
  <c r="EE201" i="100"/>
  <c r="EE23" i="100"/>
  <c r="EE179" i="100"/>
  <c r="EE204" i="100"/>
  <c r="EE164" i="100"/>
  <c r="EE300" i="100"/>
  <c r="EE291" i="100"/>
  <c r="EE289" i="100"/>
  <c r="EE330" i="100"/>
  <c r="EE19" i="100"/>
  <c r="EE40" i="100"/>
  <c r="EE22" i="100"/>
  <c r="EF7" i="100"/>
  <c r="EE313" i="100"/>
  <c r="EE31" i="100"/>
  <c r="EE324" i="100"/>
  <c r="EE162" i="100"/>
  <c r="EE180" i="100"/>
  <c r="EE12" i="100"/>
  <c r="EE72" i="100"/>
  <c r="EE24" i="100"/>
  <c r="EE172" i="100"/>
  <c r="EE77" i="100"/>
  <c r="EE320" i="100"/>
  <c r="EE296" i="100"/>
  <c r="EE206" i="100"/>
  <c r="EE290" i="100"/>
  <c r="EE67" i="100"/>
  <c r="EE37" i="100"/>
  <c r="EE310" i="100"/>
  <c r="EE202" i="100"/>
  <c r="EE13" i="100"/>
  <c r="EE68" i="100"/>
  <c r="EE176" i="100"/>
  <c r="EE181" i="100"/>
  <c r="EE171" i="100"/>
  <c r="EE178" i="100"/>
  <c r="EE323" i="100"/>
  <c r="EE8" i="100"/>
  <c r="EE71" i="100"/>
  <c r="IC287" i="100"/>
  <c r="IB338" i="100"/>
  <c r="EF45" i="100" l="1"/>
  <c r="EF46" i="100"/>
  <c r="EF44" i="100"/>
  <c r="EF52" i="100"/>
  <c r="EF62" i="100"/>
  <c r="EF56" i="100"/>
  <c r="EF63" i="100"/>
  <c r="EF58" i="100"/>
  <c r="EF60" i="100"/>
  <c r="EF61" i="100"/>
  <c r="EF53" i="100"/>
  <c r="EF47" i="100"/>
  <c r="EF55" i="100"/>
  <c r="EF57" i="100"/>
  <c r="EF50" i="100"/>
  <c r="EF51" i="100"/>
  <c r="EF59" i="100"/>
  <c r="EF54" i="100"/>
  <c r="EF48" i="100"/>
  <c r="EF49" i="100"/>
  <c r="EE79" i="100"/>
  <c r="EE78" i="100" s="1"/>
  <c r="EE209" i="100"/>
  <c r="EE339" i="100"/>
  <c r="ID287" i="100"/>
  <c r="IC338" i="100"/>
  <c r="EF175" i="100"/>
  <c r="EF299" i="100"/>
  <c r="EF290" i="100"/>
  <c r="EF35" i="100"/>
  <c r="EF67" i="100"/>
  <c r="EF42" i="100"/>
  <c r="EF31" i="100"/>
  <c r="EF65" i="100"/>
  <c r="EF40" i="100"/>
  <c r="EF321" i="100"/>
  <c r="EF168" i="100"/>
  <c r="EF164" i="100"/>
  <c r="EF181" i="100"/>
  <c r="EF194" i="100"/>
  <c r="EF192" i="100"/>
  <c r="EF174" i="100"/>
  <c r="EF311" i="100"/>
  <c r="EF292" i="100"/>
  <c r="EF166" i="100"/>
  <c r="EF202" i="100"/>
  <c r="EF25" i="100"/>
  <c r="EF207" i="100"/>
  <c r="EF297" i="100"/>
  <c r="EF319" i="100"/>
  <c r="EF316" i="100"/>
  <c r="EF187" i="100"/>
  <c r="EF327" i="100"/>
  <c r="EF193" i="100"/>
  <c r="EF72" i="100"/>
  <c r="EF36" i="100"/>
  <c r="EF183" i="100"/>
  <c r="EF330" i="100"/>
  <c r="EF307" i="100"/>
  <c r="EF309" i="100"/>
  <c r="EF195" i="100"/>
  <c r="EF69" i="100"/>
  <c r="EF334" i="100"/>
  <c r="EF71" i="100"/>
  <c r="EF171" i="100"/>
  <c r="EF332" i="100"/>
  <c r="EF197" i="100"/>
  <c r="EF324" i="100"/>
  <c r="EF204" i="100"/>
  <c r="EF201" i="100"/>
  <c r="EF19" i="100"/>
  <c r="EF325" i="100"/>
  <c r="EF182" i="100"/>
  <c r="EF14" i="100"/>
  <c r="EF305" i="100"/>
  <c r="EF313" i="100"/>
  <c r="EF318" i="100"/>
  <c r="EF172" i="100"/>
  <c r="EF199" i="100"/>
  <c r="EF185" i="100"/>
  <c r="EF301" i="100"/>
  <c r="EF173" i="100"/>
  <c r="EF66" i="100"/>
  <c r="EF161" i="100"/>
  <c r="EF326" i="100"/>
  <c r="EF15" i="100"/>
  <c r="EF9" i="100"/>
  <c r="EF206" i="100"/>
  <c r="EF162" i="100"/>
  <c r="EF29" i="100"/>
  <c r="EF328" i="100"/>
  <c r="EF294" i="100"/>
  <c r="EF8" i="100"/>
  <c r="EF295" i="100"/>
  <c r="EF11" i="100"/>
  <c r="EF289" i="100"/>
  <c r="EF68" i="100"/>
  <c r="EF322" i="100"/>
  <c r="EF26" i="100"/>
  <c r="EF191" i="100"/>
  <c r="EF315" i="100"/>
  <c r="EF200" i="100"/>
  <c r="EF198" i="100"/>
  <c r="EF306" i="100"/>
  <c r="EF73" i="100"/>
  <c r="EF21" i="100"/>
  <c r="EF17" i="100"/>
  <c r="EF37" i="100"/>
  <c r="EF33" i="100"/>
  <c r="EF16" i="100"/>
  <c r="EF178" i="100"/>
  <c r="EF320" i="100"/>
  <c r="EF76" i="100"/>
  <c r="EF314" i="100"/>
  <c r="EF23" i="100"/>
  <c r="EF43" i="100"/>
  <c r="EF189" i="100"/>
  <c r="EF298" i="100"/>
  <c r="EF32" i="100"/>
  <c r="EF77" i="100"/>
  <c r="EF34" i="100"/>
  <c r="EF22" i="100"/>
  <c r="EF205" i="100"/>
  <c r="EF302" i="100"/>
  <c r="EF291" i="100"/>
  <c r="EF317" i="100"/>
  <c r="EF38" i="100"/>
  <c r="EF165" i="100"/>
  <c r="EF74" i="100"/>
  <c r="EF169" i="100"/>
  <c r="EF179" i="100"/>
  <c r="EF331" i="100"/>
  <c r="EF10" i="100"/>
  <c r="EF20" i="100"/>
  <c r="EF39" i="100"/>
  <c r="EF329" i="100"/>
  <c r="EF196" i="100"/>
  <c r="EF304" i="100"/>
  <c r="EF308" i="100"/>
  <c r="EF27" i="100"/>
  <c r="EF30" i="100"/>
  <c r="EF188" i="100"/>
  <c r="EF337" i="100"/>
  <c r="EF18" i="100"/>
  <c r="EF170" i="100"/>
  <c r="EF163" i="100"/>
  <c r="EF13" i="100"/>
  <c r="EF333" i="100"/>
  <c r="EF288" i="100"/>
  <c r="EF177" i="100"/>
  <c r="EF176" i="100"/>
  <c r="EF296" i="100"/>
  <c r="EF167" i="100"/>
  <c r="EF312" i="100"/>
  <c r="EF335" i="100"/>
  <c r="EF180" i="100"/>
  <c r="EF293" i="100"/>
  <c r="EF24" i="100"/>
  <c r="EF158" i="100"/>
  <c r="EF336" i="100"/>
  <c r="EF70" i="100"/>
  <c r="EF323" i="100"/>
  <c r="EF190" i="100"/>
  <c r="EG7" i="100"/>
  <c r="EF64" i="100"/>
  <c r="EF41" i="100"/>
  <c r="EF186" i="100"/>
  <c r="EF12" i="100"/>
  <c r="EF300" i="100"/>
  <c r="EF160" i="100"/>
  <c r="EF184" i="100"/>
  <c r="EF28" i="100"/>
  <c r="EF303" i="100"/>
  <c r="EF310" i="100"/>
  <c r="EF75" i="100"/>
  <c r="EF203" i="100"/>
  <c r="EF159" i="100"/>
  <c r="EG46" i="100" l="1"/>
  <c r="EG44" i="100"/>
  <c r="EG62" i="100"/>
  <c r="EG63" i="100"/>
  <c r="EG57" i="100"/>
  <c r="EG51" i="100"/>
  <c r="EG61" i="100"/>
  <c r="EG56" i="100"/>
  <c r="EG49" i="100"/>
  <c r="EG59" i="100"/>
  <c r="EG47" i="100"/>
  <c r="EG53" i="100"/>
  <c r="EG58" i="100"/>
  <c r="EG50" i="100"/>
  <c r="EG48" i="100"/>
  <c r="EG55" i="100"/>
  <c r="EG60" i="100"/>
  <c r="EG54" i="100"/>
  <c r="EG52" i="100"/>
  <c r="EG45" i="100"/>
  <c r="EF79" i="100"/>
  <c r="EF78" i="100" s="1"/>
  <c r="EF339" i="100"/>
  <c r="EF209" i="100"/>
  <c r="EG334" i="100"/>
  <c r="EG35" i="100"/>
  <c r="EG331" i="100"/>
  <c r="EG187" i="100"/>
  <c r="EG323" i="100"/>
  <c r="EG296" i="100"/>
  <c r="EG206" i="100"/>
  <c r="EG298" i="100"/>
  <c r="EG174" i="100"/>
  <c r="EG301" i="100"/>
  <c r="EG171" i="100"/>
  <c r="EG295" i="100"/>
  <c r="EG185" i="100"/>
  <c r="EG316" i="100"/>
  <c r="EG191" i="100"/>
  <c r="EG162" i="100"/>
  <c r="EG38" i="100"/>
  <c r="EG192" i="100"/>
  <c r="EG309" i="100"/>
  <c r="EG182" i="100"/>
  <c r="EG163" i="100"/>
  <c r="EG30" i="100"/>
  <c r="EG74" i="100"/>
  <c r="EG64" i="100"/>
  <c r="EG160" i="100"/>
  <c r="EG158" i="100"/>
  <c r="EG175" i="100"/>
  <c r="EG201" i="100"/>
  <c r="EG311" i="100"/>
  <c r="EG8" i="100"/>
  <c r="EG290" i="100"/>
  <c r="EG300" i="100"/>
  <c r="EG306" i="100"/>
  <c r="EG17" i="100"/>
  <c r="EG168" i="100"/>
  <c r="EG292" i="100"/>
  <c r="EG172" i="100"/>
  <c r="EG39" i="100"/>
  <c r="EG72" i="100"/>
  <c r="EG194" i="100"/>
  <c r="EG19" i="100"/>
  <c r="EG164" i="100"/>
  <c r="EG21" i="100"/>
  <c r="EH7" i="100"/>
  <c r="EG335" i="100"/>
  <c r="EG336" i="100"/>
  <c r="EG42" i="100"/>
  <c r="EG329" i="100"/>
  <c r="EG167" i="100"/>
  <c r="EG314" i="100"/>
  <c r="EG302" i="100"/>
  <c r="EG26" i="100"/>
  <c r="EG289" i="100"/>
  <c r="EG73" i="100"/>
  <c r="EG204" i="100"/>
  <c r="EG207" i="100"/>
  <c r="EG14" i="100"/>
  <c r="EG183" i="100"/>
  <c r="EG22" i="100"/>
  <c r="EG161" i="100"/>
  <c r="EG11" i="100"/>
  <c r="EG320" i="100"/>
  <c r="EG169" i="100"/>
  <c r="EG293" i="100"/>
  <c r="EG313" i="100"/>
  <c r="EG9" i="100"/>
  <c r="EG310" i="100"/>
  <c r="EG41" i="100"/>
  <c r="EG69" i="100"/>
  <c r="EG307" i="100"/>
  <c r="EG170" i="100"/>
  <c r="EG196" i="100"/>
  <c r="EG186" i="100"/>
  <c r="EG40" i="100"/>
  <c r="EG32" i="100"/>
  <c r="EG304" i="100"/>
  <c r="EG193" i="100"/>
  <c r="EG10" i="100"/>
  <c r="EG322" i="100"/>
  <c r="EG15" i="100"/>
  <c r="EG67" i="100"/>
  <c r="EG294" i="100"/>
  <c r="EG13" i="100"/>
  <c r="EG202" i="100"/>
  <c r="EG34" i="100"/>
  <c r="EG25" i="100"/>
  <c r="EG68" i="100"/>
  <c r="EG28" i="100"/>
  <c r="EG16" i="100"/>
  <c r="EG37" i="100"/>
  <c r="EG27" i="100"/>
  <c r="EG197" i="100"/>
  <c r="EG324" i="100"/>
  <c r="EG31" i="100"/>
  <c r="EG75" i="100"/>
  <c r="EG203" i="100"/>
  <c r="EG166" i="100"/>
  <c r="EG312" i="100"/>
  <c r="EG12" i="100"/>
  <c r="EG33" i="100"/>
  <c r="EG173" i="100"/>
  <c r="EG70" i="100"/>
  <c r="EG321" i="100"/>
  <c r="EG308" i="100"/>
  <c r="EG29" i="100"/>
  <c r="EG36" i="100"/>
  <c r="EG184" i="100"/>
  <c r="EG23" i="100"/>
  <c r="EG181" i="100"/>
  <c r="EG190" i="100"/>
  <c r="EG189" i="100"/>
  <c r="EG178" i="100"/>
  <c r="EG20" i="100"/>
  <c r="EG65" i="100"/>
  <c r="EG330" i="100"/>
  <c r="EG333" i="100"/>
  <c r="EG325" i="100"/>
  <c r="EG318" i="100"/>
  <c r="EG291" i="100"/>
  <c r="EG180" i="100"/>
  <c r="EG24" i="100"/>
  <c r="EG328" i="100"/>
  <c r="EG188" i="100"/>
  <c r="EG315" i="100"/>
  <c r="EG303" i="100"/>
  <c r="EG177" i="100"/>
  <c r="EG297" i="100"/>
  <c r="EG198" i="100"/>
  <c r="EG179" i="100"/>
  <c r="EG205" i="100"/>
  <c r="EG195" i="100"/>
  <c r="EG66" i="100"/>
  <c r="EG176" i="100"/>
  <c r="EG317" i="100"/>
  <c r="EG319" i="100"/>
  <c r="EG43" i="100"/>
  <c r="EG337" i="100"/>
  <c r="EG76" i="100"/>
  <c r="EG326" i="100"/>
  <c r="EG200" i="100"/>
  <c r="EG299" i="100"/>
  <c r="EG327" i="100"/>
  <c r="EG71" i="100"/>
  <c r="EG165" i="100"/>
  <c r="EG77" i="100"/>
  <c r="EG199" i="100"/>
  <c r="EG159" i="100"/>
  <c r="EG18" i="100"/>
  <c r="EG305" i="100"/>
  <c r="EG288" i="100"/>
  <c r="EG332" i="100"/>
  <c r="IE287" i="100"/>
  <c r="ID338" i="100"/>
  <c r="EH59" i="100" l="1"/>
  <c r="EH63" i="100"/>
  <c r="EH46" i="100"/>
  <c r="EH62" i="100"/>
  <c r="EH44" i="100"/>
  <c r="EH50" i="100"/>
  <c r="EH51" i="100"/>
  <c r="EH45" i="100"/>
  <c r="EH61" i="100"/>
  <c r="EH54" i="100"/>
  <c r="EH56" i="100"/>
  <c r="EH49" i="100"/>
  <c r="EH58" i="100"/>
  <c r="EH55" i="100"/>
  <c r="EH57" i="100"/>
  <c r="EH47" i="100"/>
  <c r="EH60" i="100"/>
  <c r="EH52" i="100"/>
  <c r="EH48" i="100"/>
  <c r="EH53" i="100"/>
  <c r="EG209" i="100"/>
  <c r="EG339" i="100"/>
  <c r="EG79" i="100"/>
  <c r="EG78" i="100" s="1"/>
  <c r="IF287" i="100"/>
  <c r="IE338" i="100"/>
  <c r="EH30" i="100"/>
  <c r="EH36" i="100"/>
  <c r="EH288" i="100"/>
  <c r="EH20" i="100"/>
  <c r="EH175" i="100"/>
  <c r="EH166" i="100"/>
  <c r="EH332" i="100"/>
  <c r="EH19" i="100"/>
  <c r="EH320" i="100"/>
  <c r="EH21" i="100"/>
  <c r="EH299" i="100"/>
  <c r="EH170" i="100"/>
  <c r="EH159" i="100"/>
  <c r="EH297" i="100"/>
  <c r="EH171" i="100"/>
  <c r="EH71" i="100"/>
  <c r="EH64" i="100"/>
  <c r="EH322" i="100"/>
  <c r="EH69" i="100"/>
  <c r="EH292" i="100"/>
  <c r="EH67" i="100"/>
  <c r="EH13" i="100"/>
  <c r="EH11" i="100"/>
  <c r="EH26" i="100"/>
  <c r="EH66" i="100"/>
  <c r="EH203" i="100"/>
  <c r="EH164" i="100"/>
  <c r="EH24" i="100"/>
  <c r="EH336" i="100"/>
  <c r="EH318" i="100"/>
  <c r="EH163" i="100"/>
  <c r="EH295" i="100"/>
  <c r="EH309" i="100"/>
  <c r="EH33" i="100"/>
  <c r="EH181" i="100"/>
  <c r="EH40" i="100"/>
  <c r="EH290" i="100"/>
  <c r="EH22" i="100"/>
  <c r="EH172" i="100"/>
  <c r="EH173" i="100"/>
  <c r="EH160" i="100"/>
  <c r="EH310" i="100"/>
  <c r="EH313" i="100"/>
  <c r="EH196" i="100"/>
  <c r="EH28" i="100"/>
  <c r="EH316" i="100"/>
  <c r="EH18" i="100"/>
  <c r="EH180" i="100"/>
  <c r="EH303" i="100"/>
  <c r="EH328" i="100"/>
  <c r="EH300" i="100"/>
  <c r="EH325" i="100"/>
  <c r="EH200" i="100"/>
  <c r="EH25" i="100"/>
  <c r="EH206" i="100"/>
  <c r="EH43" i="100"/>
  <c r="EH317" i="100"/>
  <c r="EH314" i="100"/>
  <c r="EH179" i="100"/>
  <c r="EH291" i="100"/>
  <c r="EH65" i="100"/>
  <c r="EH16" i="100"/>
  <c r="EH321" i="100"/>
  <c r="EH305" i="100"/>
  <c r="EH312" i="100"/>
  <c r="EH188" i="100"/>
  <c r="EH35" i="100"/>
  <c r="EH73" i="100"/>
  <c r="EH202" i="100"/>
  <c r="EH327" i="100"/>
  <c r="EH326" i="100"/>
  <c r="EH293" i="100"/>
  <c r="EH27" i="100"/>
  <c r="EH76" i="100"/>
  <c r="EH70" i="100"/>
  <c r="EH68" i="100"/>
  <c r="EH324" i="100"/>
  <c r="EH192" i="100"/>
  <c r="EH296" i="100"/>
  <c r="EH186" i="100"/>
  <c r="EH194" i="100"/>
  <c r="EH337" i="100"/>
  <c r="EH191" i="100"/>
  <c r="EH331" i="100"/>
  <c r="EH205" i="100"/>
  <c r="EH329" i="100"/>
  <c r="EH319" i="100"/>
  <c r="EH17" i="100"/>
  <c r="EH197" i="100"/>
  <c r="EH41" i="100"/>
  <c r="EH330" i="100"/>
  <c r="EH302" i="100"/>
  <c r="EH29" i="100"/>
  <c r="EH42" i="100"/>
  <c r="EI7" i="100"/>
  <c r="EH198" i="100"/>
  <c r="EH334" i="100"/>
  <c r="EH323" i="100"/>
  <c r="EH289" i="100"/>
  <c r="EH183" i="100"/>
  <c r="EH15" i="100"/>
  <c r="EH301" i="100"/>
  <c r="EH294" i="100"/>
  <c r="EH8" i="100"/>
  <c r="EH187" i="100"/>
  <c r="EH184" i="100"/>
  <c r="EH39" i="100"/>
  <c r="EH185" i="100"/>
  <c r="EH23" i="100"/>
  <c r="EH335" i="100"/>
  <c r="EH162" i="100"/>
  <c r="EH182" i="100"/>
  <c r="EH308" i="100"/>
  <c r="EH32" i="100"/>
  <c r="EH12" i="100"/>
  <c r="EH74" i="100"/>
  <c r="EH207" i="100"/>
  <c r="EH165" i="100"/>
  <c r="EH72" i="100"/>
  <c r="EH38" i="100"/>
  <c r="EH333" i="100"/>
  <c r="EH77" i="100"/>
  <c r="EH177" i="100"/>
  <c r="EH161" i="100"/>
  <c r="EH315" i="100"/>
  <c r="EH306" i="100"/>
  <c r="EH199" i="100"/>
  <c r="EH10" i="100"/>
  <c r="EH298" i="100"/>
  <c r="EH174" i="100"/>
  <c r="EH201" i="100"/>
  <c r="EH9" i="100"/>
  <c r="EH204" i="100"/>
  <c r="EH311" i="100"/>
  <c r="EH168" i="100"/>
  <c r="EH189" i="100"/>
  <c r="EH304" i="100"/>
  <c r="EH167" i="100"/>
  <c r="EH75" i="100"/>
  <c r="EH195" i="100"/>
  <c r="EH37" i="100"/>
  <c r="EH190" i="100"/>
  <c r="EH176" i="100"/>
  <c r="EH158" i="100"/>
  <c r="EH307" i="100"/>
  <c r="EH34" i="100"/>
  <c r="EH193" i="100"/>
  <c r="EH169" i="100"/>
  <c r="EH14" i="100"/>
  <c r="EH178" i="100"/>
  <c r="EH31" i="100"/>
  <c r="EI63" i="100" l="1"/>
  <c r="EI46" i="100"/>
  <c r="EI59" i="100"/>
  <c r="EI44" i="100"/>
  <c r="EI62" i="100"/>
  <c r="EI51" i="100"/>
  <c r="EI48" i="100"/>
  <c r="EI50" i="100"/>
  <c r="EI56" i="100"/>
  <c r="EI58" i="100"/>
  <c r="EI45" i="100"/>
  <c r="EI53" i="100"/>
  <c r="EI60" i="100"/>
  <c r="EI54" i="100"/>
  <c r="EI61" i="100"/>
  <c r="EI57" i="100"/>
  <c r="EI52" i="100"/>
  <c r="EI55" i="100"/>
  <c r="EI49" i="100"/>
  <c r="EI47" i="100"/>
  <c r="EH79" i="100"/>
  <c r="EH78" i="100" s="1"/>
  <c r="EH209" i="100"/>
  <c r="EH339" i="100"/>
  <c r="EI200" i="100"/>
  <c r="EI304" i="100"/>
  <c r="EI290" i="100"/>
  <c r="EI188" i="100"/>
  <c r="EI295" i="100"/>
  <c r="EI185" i="100"/>
  <c r="EI72" i="100"/>
  <c r="EI24" i="100"/>
  <c r="EI337" i="100"/>
  <c r="EI173" i="100"/>
  <c r="EI289" i="100"/>
  <c r="EI76" i="100"/>
  <c r="EI325" i="100"/>
  <c r="EI23" i="100"/>
  <c r="EI177" i="100"/>
  <c r="EI178" i="100"/>
  <c r="EI21" i="100"/>
  <c r="EI317" i="100"/>
  <c r="EI190" i="100"/>
  <c r="EJ7" i="100"/>
  <c r="EI202" i="100"/>
  <c r="EI37" i="100"/>
  <c r="EI38" i="100"/>
  <c r="EI169" i="100"/>
  <c r="EI70" i="100"/>
  <c r="EI172" i="100"/>
  <c r="EI313" i="100"/>
  <c r="EI334" i="100"/>
  <c r="EI189" i="100"/>
  <c r="EI66" i="100"/>
  <c r="EI40" i="100"/>
  <c r="EI64" i="100"/>
  <c r="EI162" i="100"/>
  <c r="EI166" i="100"/>
  <c r="EI10" i="100"/>
  <c r="EI307" i="100"/>
  <c r="EI74" i="100"/>
  <c r="EI75" i="100"/>
  <c r="EI69" i="100"/>
  <c r="EI32" i="100"/>
  <c r="EI335" i="100"/>
  <c r="EI77" i="100"/>
  <c r="EI18" i="100"/>
  <c r="EI203" i="100"/>
  <c r="EI168" i="100"/>
  <c r="EI33" i="100"/>
  <c r="EI13" i="100"/>
  <c r="EI329" i="100"/>
  <c r="EI192" i="100"/>
  <c r="EI328" i="100"/>
  <c r="EI303" i="100"/>
  <c r="EI201" i="100"/>
  <c r="EI28" i="100"/>
  <c r="EI8" i="100"/>
  <c r="EI301" i="100"/>
  <c r="EI35" i="100"/>
  <c r="EI175" i="100"/>
  <c r="EI332" i="100"/>
  <c r="EI26" i="100"/>
  <c r="EI176" i="100"/>
  <c r="EI315" i="100"/>
  <c r="EI319" i="100"/>
  <c r="EI311" i="100"/>
  <c r="EI302" i="100"/>
  <c r="EI288" i="100"/>
  <c r="EI293" i="100"/>
  <c r="EI197" i="100"/>
  <c r="EI42" i="100"/>
  <c r="EI206" i="100"/>
  <c r="EI183" i="100"/>
  <c r="EI27" i="100"/>
  <c r="EI194" i="100"/>
  <c r="EI291" i="100"/>
  <c r="EI165" i="100"/>
  <c r="EI159" i="100"/>
  <c r="EI163" i="100"/>
  <c r="EI308" i="100"/>
  <c r="EI14" i="100"/>
  <c r="EI198" i="100"/>
  <c r="EI170" i="100"/>
  <c r="EI298" i="100"/>
  <c r="EI187" i="100"/>
  <c r="EI182" i="100"/>
  <c r="EI11" i="100"/>
  <c r="EI161" i="100"/>
  <c r="EI309" i="100"/>
  <c r="EI31" i="100"/>
  <c r="EI318" i="100"/>
  <c r="EI314" i="100"/>
  <c r="EI160" i="100"/>
  <c r="EI207" i="100"/>
  <c r="EI158" i="100"/>
  <c r="EI167" i="100"/>
  <c r="EI164" i="100"/>
  <c r="EI305" i="100"/>
  <c r="EI71" i="100"/>
  <c r="EI324" i="100"/>
  <c r="EI199" i="100"/>
  <c r="EI204" i="100"/>
  <c r="EI36" i="100"/>
  <c r="EI296" i="100"/>
  <c r="EI306" i="100"/>
  <c r="EI171" i="100"/>
  <c r="EI195" i="100"/>
  <c r="EI34" i="100"/>
  <c r="EI9" i="100"/>
  <c r="EI205" i="100"/>
  <c r="EI297" i="100"/>
  <c r="EI191" i="100"/>
  <c r="EI41" i="100"/>
  <c r="EI15" i="100"/>
  <c r="EI16" i="100"/>
  <c r="EI326" i="100"/>
  <c r="EI29" i="100"/>
  <c r="EI330" i="100"/>
  <c r="EI25" i="100"/>
  <c r="EI67" i="100"/>
  <c r="EI22" i="100"/>
  <c r="EI299" i="100"/>
  <c r="EI321" i="100"/>
  <c r="EI184" i="100"/>
  <c r="EI39" i="100"/>
  <c r="EI181" i="100"/>
  <c r="EI186" i="100"/>
  <c r="EI331" i="100"/>
  <c r="EI300" i="100"/>
  <c r="EI310" i="100"/>
  <c r="EI333" i="100"/>
  <c r="EI174" i="100"/>
  <c r="EI336" i="100"/>
  <c r="EI180" i="100"/>
  <c r="EI20" i="100"/>
  <c r="EI294" i="100"/>
  <c r="EI43" i="100"/>
  <c r="EI30" i="100"/>
  <c r="EI320" i="100"/>
  <c r="EI312" i="100"/>
  <c r="EI68" i="100"/>
  <c r="EI73" i="100"/>
  <c r="EI19" i="100"/>
  <c r="EI323" i="100"/>
  <c r="EI179" i="100"/>
  <c r="EI17" i="100"/>
  <c r="EI12" i="100"/>
  <c r="EI327" i="100"/>
  <c r="EI65" i="100"/>
  <c r="EI316" i="100"/>
  <c r="EI322" i="100"/>
  <c r="EI193" i="100"/>
  <c r="EI292" i="100"/>
  <c r="EI196" i="100"/>
  <c r="IG287" i="100"/>
  <c r="IF338" i="100"/>
  <c r="EJ62" i="100" l="1"/>
  <c r="EJ44" i="100"/>
  <c r="EJ54" i="100"/>
  <c r="EJ46" i="100"/>
  <c r="EJ59" i="100"/>
  <c r="EJ63" i="100"/>
  <c r="EJ57" i="100"/>
  <c r="EJ48" i="100"/>
  <c r="EJ56" i="100"/>
  <c r="EJ45" i="100"/>
  <c r="EJ49" i="100"/>
  <c r="EJ50" i="100"/>
  <c r="EJ53" i="100"/>
  <c r="EJ52" i="100"/>
  <c r="EJ61" i="100"/>
  <c r="EJ58" i="100"/>
  <c r="EJ47" i="100"/>
  <c r="EJ60" i="100"/>
  <c r="EJ55" i="100"/>
  <c r="EJ51" i="100"/>
  <c r="EI209" i="100"/>
  <c r="EI339" i="100"/>
  <c r="EI79" i="100"/>
  <c r="EI78" i="100" s="1"/>
  <c r="IH287" i="100"/>
  <c r="IG338" i="100"/>
  <c r="EJ164" i="100"/>
  <c r="EJ307" i="100"/>
  <c r="EJ324" i="100"/>
  <c r="EJ192" i="100"/>
  <c r="EJ193" i="100"/>
  <c r="EJ171" i="100"/>
  <c r="EJ294" i="100"/>
  <c r="EJ201" i="100"/>
  <c r="EJ313" i="100"/>
  <c r="EJ195" i="100"/>
  <c r="EJ27" i="100"/>
  <c r="EJ289" i="100"/>
  <c r="EJ34" i="100"/>
  <c r="EJ305" i="100"/>
  <c r="EJ328" i="100"/>
  <c r="EJ293" i="100"/>
  <c r="EJ64" i="100"/>
  <c r="EJ22" i="100"/>
  <c r="EJ33" i="100"/>
  <c r="EJ188" i="100"/>
  <c r="EJ71" i="100"/>
  <c r="EJ306" i="100"/>
  <c r="EJ296" i="100"/>
  <c r="EJ163" i="100"/>
  <c r="EJ29" i="100"/>
  <c r="EJ173" i="100"/>
  <c r="EJ159" i="100"/>
  <c r="EJ335" i="100"/>
  <c r="EJ191" i="100"/>
  <c r="EJ9" i="100"/>
  <c r="EJ11" i="100"/>
  <c r="EJ67" i="100"/>
  <c r="EJ334" i="100"/>
  <c r="EJ65" i="100"/>
  <c r="EJ337" i="100"/>
  <c r="EJ302" i="100"/>
  <c r="EJ42" i="100"/>
  <c r="EJ32" i="100"/>
  <c r="EJ16" i="100"/>
  <c r="EJ179" i="100"/>
  <c r="EJ12" i="100"/>
  <c r="EJ25" i="100"/>
  <c r="EJ175" i="100"/>
  <c r="EJ21" i="100"/>
  <c r="EJ333" i="100"/>
  <c r="EJ336" i="100"/>
  <c r="EJ161" i="100"/>
  <c r="EJ19" i="100"/>
  <c r="EK7" i="100"/>
  <c r="EJ319" i="100"/>
  <c r="EJ13" i="100"/>
  <c r="EJ162" i="100"/>
  <c r="EJ308" i="100"/>
  <c r="EJ168" i="100"/>
  <c r="EJ167" i="100"/>
  <c r="EJ310" i="100"/>
  <c r="EJ207" i="100"/>
  <c r="EJ190" i="100"/>
  <c r="EJ181" i="100"/>
  <c r="EJ10" i="100"/>
  <c r="EJ186" i="100"/>
  <c r="EJ77" i="100"/>
  <c r="EJ323" i="100"/>
  <c r="EJ75" i="100"/>
  <c r="EJ198" i="100"/>
  <c r="EJ301" i="100"/>
  <c r="EJ292" i="100"/>
  <c r="EJ297" i="100"/>
  <c r="EJ200" i="100"/>
  <c r="EJ309" i="100"/>
  <c r="EJ320" i="100"/>
  <c r="EJ66" i="100"/>
  <c r="EJ17" i="100"/>
  <c r="EJ303" i="100"/>
  <c r="EJ170" i="100"/>
  <c r="EJ68" i="100"/>
  <c r="EJ331" i="100"/>
  <c r="EJ69" i="100"/>
  <c r="EJ43" i="100"/>
  <c r="EJ14" i="100"/>
  <c r="EJ199" i="100"/>
  <c r="EJ329" i="100"/>
  <c r="EJ189" i="100"/>
  <c r="EJ206" i="100"/>
  <c r="EJ158" i="100"/>
  <c r="EJ41" i="100"/>
  <c r="EJ8" i="100"/>
  <c r="EJ172" i="100"/>
  <c r="EJ288" i="100"/>
  <c r="EJ23" i="100"/>
  <c r="EJ37" i="100"/>
  <c r="EJ312" i="100"/>
  <c r="EJ203" i="100"/>
  <c r="EJ180" i="100"/>
  <c r="EJ166" i="100"/>
  <c r="EJ316" i="100"/>
  <c r="EJ202" i="100"/>
  <c r="EJ184" i="100"/>
  <c r="EJ35" i="100"/>
  <c r="EJ332" i="100"/>
  <c r="EJ169" i="100"/>
  <c r="EJ321" i="100"/>
  <c r="EJ174" i="100"/>
  <c r="EJ39" i="100"/>
  <c r="EJ165" i="100"/>
  <c r="EJ26" i="100"/>
  <c r="EJ197" i="100"/>
  <c r="EJ177" i="100"/>
  <c r="EJ73" i="100"/>
  <c r="EJ300" i="100"/>
  <c r="EJ160" i="100"/>
  <c r="EJ36" i="100"/>
  <c r="EJ318" i="100"/>
  <c r="EJ314" i="100"/>
  <c r="EJ183" i="100"/>
  <c r="EJ74" i="100"/>
  <c r="EJ72" i="100"/>
  <c r="EJ38" i="100"/>
  <c r="EJ295" i="100"/>
  <c r="EJ28" i="100"/>
  <c r="EJ76" i="100"/>
  <c r="EJ196" i="100"/>
  <c r="EJ304" i="100"/>
  <c r="EJ20" i="100"/>
  <c r="EJ176" i="100"/>
  <c r="EJ327" i="100"/>
  <c r="EJ299" i="100"/>
  <c r="EJ326" i="100"/>
  <c r="EJ182" i="100"/>
  <c r="EJ31" i="100"/>
  <c r="EJ205" i="100"/>
  <c r="EJ311" i="100"/>
  <c r="EJ18" i="100"/>
  <c r="EJ187" i="100"/>
  <c r="EJ194" i="100"/>
  <c r="EJ298" i="100"/>
  <c r="EJ185" i="100"/>
  <c r="EJ322" i="100"/>
  <c r="EJ24" i="100"/>
  <c r="EJ30" i="100"/>
  <c r="EJ15" i="100"/>
  <c r="EJ315" i="100"/>
  <c r="EJ40" i="100"/>
  <c r="EJ290" i="100"/>
  <c r="EJ204" i="100"/>
  <c r="EJ178" i="100"/>
  <c r="EJ330" i="100"/>
  <c r="EJ325" i="100"/>
  <c r="EJ70" i="100"/>
  <c r="EJ317" i="100"/>
  <c r="EJ291" i="100"/>
  <c r="EK46" i="100" l="1"/>
  <c r="EK49" i="100"/>
  <c r="EK44" i="100"/>
  <c r="EK45" i="100"/>
  <c r="EK56" i="100"/>
  <c r="EK62" i="100"/>
  <c r="EK63" i="100"/>
  <c r="EK53" i="100"/>
  <c r="EK52" i="100"/>
  <c r="EK61" i="100"/>
  <c r="EK60" i="100"/>
  <c r="EK57" i="100"/>
  <c r="EK48" i="100"/>
  <c r="EK59" i="100"/>
  <c r="EK55" i="100"/>
  <c r="EK54" i="100"/>
  <c r="EK51" i="100"/>
  <c r="EK58" i="100"/>
  <c r="EK47" i="100"/>
  <c r="EK50" i="100"/>
  <c r="EJ209" i="100"/>
  <c r="EJ79" i="100"/>
  <c r="EJ78" i="100" s="1"/>
  <c r="EJ339" i="100"/>
  <c r="EK191" i="100"/>
  <c r="EK162" i="100"/>
  <c r="EK177" i="100"/>
  <c r="EK8" i="100"/>
  <c r="EK290" i="100"/>
  <c r="EK168" i="100"/>
  <c r="EK18" i="100"/>
  <c r="EK298" i="100"/>
  <c r="EK173" i="100"/>
  <c r="EK201" i="100"/>
  <c r="EK188" i="100"/>
  <c r="EK294" i="100"/>
  <c r="EK203" i="100"/>
  <c r="EK202" i="100"/>
  <c r="EK163" i="100"/>
  <c r="EK38" i="100"/>
  <c r="EK185" i="100"/>
  <c r="EK288" i="100"/>
  <c r="EK170" i="100"/>
  <c r="EK319" i="100"/>
  <c r="EK316" i="100"/>
  <c r="EK33" i="100"/>
  <c r="EK325" i="100"/>
  <c r="EK27" i="100"/>
  <c r="EK15" i="100"/>
  <c r="EK336" i="100"/>
  <c r="EK312" i="100"/>
  <c r="EK196" i="100"/>
  <c r="EK178" i="100"/>
  <c r="EK333" i="100"/>
  <c r="EK311" i="100"/>
  <c r="EK301" i="100"/>
  <c r="EK200" i="100"/>
  <c r="EK300" i="100"/>
  <c r="EK19" i="100"/>
  <c r="EK21" i="100"/>
  <c r="EK23" i="100"/>
  <c r="EK17" i="100"/>
  <c r="EK174" i="100"/>
  <c r="EK74" i="100"/>
  <c r="EK296" i="100"/>
  <c r="EK318" i="100"/>
  <c r="EK183" i="100"/>
  <c r="EK323" i="100"/>
  <c r="EK161" i="100"/>
  <c r="EK329" i="100"/>
  <c r="EK164" i="100"/>
  <c r="EK181" i="100"/>
  <c r="EK195" i="100"/>
  <c r="EK320" i="100"/>
  <c r="EK306" i="100"/>
  <c r="EK165" i="100"/>
  <c r="EK166" i="100"/>
  <c r="EK207" i="100"/>
  <c r="EK72" i="100"/>
  <c r="EK160" i="100"/>
  <c r="EK41" i="100"/>
  <c r="EK308" i="100"/>
  <c r="EK331" i="100"/>
  <c r="EK334" i="100"/>
  <c r="EK313" i="100"/>
  <c r="EK16" i="100"/>
  <c r="EK326" i="100"/>
  <c r="EK302" i="100"/>
  <c r="EK37" i="100"/>
  <c r="EK35" i="100"/>
  <c r="EK77" i="100"/>
  <c r="EK291" i="100"/>
  <c r="EK71" i="100"/>
  <c r="EK206" i="100"/>
  <c r="EK182" i="100"/>
  <c r="EK159" i="100"/>
  <c r="EK314" i="100"/>
  <c r="EK305" i="100"/>
  <c r="EK337" i="100"/>
  <c r="EK324" i="100"/>
  <c r="EK20" i="100"/>
  <c r="EK186" i="100"/>
  <c r="EK189" i="100"/>
  <c r="EK198" i="100"/>
  <c r="EK39" i="100"/>
  <c r="EK197" i="100"/>
  <c r="EK310" i="100"/>
  <c r="EK22" i="100"/>
  <c r="EK176" i="100"/>
  <c r="EK315" i="100"/>
  <c r="EK172" i="100"/>
  <c r="EK304" i="100"/>
  <c r="EK28" i="100"/>
  <c r="EK158" i="100"/>
  <c r="EK70" i="100"/>
  <c r="EK330" i="100"/>
  <c r="EK73" i="100"/>
  <c r="EK204" i="100"/>
  <c r="EK11" i="100"/>
  <c r="EK76" i="100"/>
  <c r="EK167" i="100"/>
  <c r="EK205" i="100"/>
  <c r="EK192" i="100"/>
  <c r="EK13" i="100"/>
  <c r="EK14" i="100"/>
  <c r="EK299" i="100"/>
  <c r="EK34" i="100"/>
  <c r="EK317" i="100"/>
  <c r="EK322" i="100"/>
  <c r="EK26" i="100"/>
  <c r="EK309" i="100"/>
  <c r="EK40" i="100"/>
  <c r="EK36" i="100"/>
  <c r="EK31" i="100"/>
  <c r="EK289" i="100"/>
  <c r="EK12" i="100"/>
  <c r="EK332" i="100"/>
  <c r="EK66" i="100"/>
  <c r="EK179" i="100"/>
  <c r="EK64" i="100"/>
  <c r="EK180" i="100"/>
  <c r="EK194" i="100"/>
  <c r="EK187" i="100"/>
  <c r="EK190" i="100"/>
  <c r="EK42" i="100"/>
  <c r="EK328" i="100"/>
  <c r="EK335" i="100"/>
  <c r="EK292" i="100"/>
  <c r="EK184" i="100"/>
  <c r="EK297" i="100"/>
  <c r="EK65" i="100"/>
  <c r="EK24" i="100"/>
  <c r="EK43" i="100"/>
  <c r="EK307" i="100"/>
  <c r="EK193" i="100"/>
  <c r="EK9" i="100"/>
  <c r="EK30" i="100"/>
  <c r="EK32" i="100"/>
  <c r="EK327" i="100"/>
  <c r="EK67" i="100"/>
  <c r="EK25" i="100"/>
  <c r="EK69" i="100"/>
  <c r="EK293" i="100"/>
  <c r="EK321" i="100"/>
  <c r="EK75" i="100"/>
  <c r="EK171" i="100"/>
  <c r="EL7" i="100"/>
  <c r="EK68" i="100"/>
  <c r="EK199" i="100"/>
  <c r="EK295" i="100"/>
  <c r="EK29" i="100"/>
  <c r="EK169" i="100"/>
  <c r="EK10" i="100"/>
  <c r="EK303" i="100"/>
  <c r="EK175" i="100"/>
  <c r="II287" i="100"/>
  <c r="IH338" i="100"/>
  <c r="EL50" i="100" l="1"/>
  <c r="EL53" i="100"/>
  <c r="EL63" i="100"/>
  <c r="EL46" i="100"/>
  <c r="EL44" i="100"/>
  <c r="EL62" i="100"/>
  <c r="EL56" i="100"/>
  <c r="EL58" i="100"/>
  <c r="EL61" i="100"/>
  <c r="EL45" i="100"/>
  <c r="EL59" i="100"/>
  <c r="EL60" i="100"/>
  <c r="EL51" i="100"/>
  <c r="EL47" i="100"/>
  <c r="EL57" i="100"/>
  <c r="EL52" i="100"/>
  <c r="EL54" i="100"/>
  <c r="EL48" i="100"/>
  <c r="EL55" i="100"/>
  <c r="EL49" i="100"/>
  <c r="EK79" i="100"/>
  <c r="EK78" i="100" s="1"/>
  <c r="EK209" i="100"/>
  <c r="EK339" i="100"/>
  <c r="IJ287" i="100"/>
  <c r="IJ338" i="100" s="1"/>
  <c r="II338" i="100"/>
  <c r="EL166" i="100"/>
  <c r="EL317" i="100"/>
  <c r="EL316" i="100"/>
  <c r="EL13" i="100"/>
  <c r="EL70" i="100"/>
  <c r="EL314" i="100"/>
  <c r="EL337" i="100"/>
  <c r="EL76" i="100"/>
  <c r="EL8" i="100"/>
  <c r="EL185" i="100"/>
  <c r="EL66" i="100"/>
  <c r="EL174" i="100"/>
  <c r="EL33" i="100"/>
  <c r="EL64" i="100"/>
  <c r="EL42" i="100"/>
  <c r="EL320" i="100"/>
  <c r="EL330" i="100"/>
  <c r="EL315" i="100"/>
  <c r="EL38" i="100"/>
  <c r="EL321" i="100"/>
  <c r="EL19" i="100"/>
  <c r="EL200" i="100"/>
  <c r="EL171" i="100"/>
  <c r="EL304" i="100"/>
  <c r="EL191" i="100"/>
  <c r="EL173" i="100"/>
  <c r="EL16" i="100"/>
  <c r="EL25" i="100"/>
  <c r="EL334" i="100"/>
  <c r="EL26" i="100"/>
  <c r="EL303" i="100"/>
  <c r="EL36" i="100"/>
  <c r="EL182" i="100"/>
  <c r="EL328" i="100"/>
  <c r="EL175" i="100"/>
  <c r="EL194" i="100"/>
  <c r="EL293" i="100"/>
  <c r="EL169" i="100"/>
  <c r="EL177" i="100"/>
  <c r="EL322" i="100"/>
  <c r="EL67" i="100"/>
  <c r="EL326" i="100"/>
  <c r="EL163" i="100"/>
  <c r="EL288" i="100"/>
  <c r="EL172" i="100"/>
  <c r="EL165" i="100"/>
  <c r="EL21" i="100"/>
  <c r="EL325" i="100"/>
  <c r="EL201" i="100"/>
  <c r="EL203" i="100"/>
  <c r="EL14" i="100"/>
  <c r="EL312" i="100"/>
  <c r="EL193" i="100"/>
  <c r="EL162" i="100"/>
  <c r="EL77" i="100"/>
  <c r="EL295" i="100"/>
  <c r="EL333" i="100"/>
  <c r="EL204" i="100"/>
  <c r="EL189" i="100"/>
  <c r="EL289" i="100"/>
  <c r="EL71" i="100"/>
  <c r="EL335" i="100"/>
  <c r="EL12" i="100"/>
  <c r="EL332" i="100"/>
  <c r="EL37" i="100"/>
  <c r="EL192" i="100"/>
  <c r="EL298" i="100"/>
  <c r="EL324" i="100"/>
  <c r="EL319" i="100"/>
  <c r="EM7" i="100"/>
  <c r="EL318" i="100"/>
  <c r="EL299" i="100"/>
  <c r="EL206" i="100"/>
  <c r="EL9" i="100"/>
  <c r="EL292" i="100"/>
  <c r="EL205" i="100"/>
  <c r="EL164" i="100"/>
  <c r="EL10" i="100"/>
  <c r="EL296" i="100"/>
  <c r="EL160" i="100"/>
  <c r="EL72" i="100"/>
  <c r="EL43" i="100"/>
  <c r="EL29" i="100"/>
  <c r="EL187" i="100"/>
  <c r="EL168" i="100"/>
  <c r="EL300" i="100"/>
  <c r="EL30" i="100"/>
  <c r="EL23" i="100"/>
  <c r="EL308" i="100"/>
  <c r="EL39" i="100"/>
  <c r="EL195" i="100"/>
  <c r="EL27" i="100"/>
  <c r="EL74" i="100"/>
  <c r="EL301" i="100"/>
  <c r="EL199" i="100"/>
  <c r="EL32" i="100"/>
  <c r="EL202" i="100"/>
  <c r="EL197" i="100"/>
  <c r="EL167" i="100"/>
  <c r="EL290" i="100"/>
  <c r="EL188" i="100"/>
  <c r="EL186" i="100"/>
  <c r="EL184" i="100"/>
  <c r="EL307" i="100"/>
  <c r="EL75" i="100"/>
  <c r="EL69" i="100"/>
  <c r="EL31" i="100"/>
  <c r="EL176" i="100"/>
  <c r="EL178" i="100"/>
  <c r="EL327" i="100"/>
  <c r="EL15" i="100"/>
  <c r="EL196" i="100"/>
  <c r="EL34" i="100"/>
  <c r="EL323" i="100"/>
  <c r="EL291" i="100"/>
  <c r="EL309" i="100"/>
  <c r="EL35" i="100"/>
  <c r="EL40" i="100"/>
  <c r="EL311" i="100"/>
  <c r="EL179" i="100"/>
  <c r="EL20" i="100"/>
  <c r="EL22" i="100"/>
  <c r="EL161" i="100"/>
  <c r="EL158" i="100"/>
  <c r="EL18" i="100"/>
  <c r="EL310" i="100"/>
  <c r="EL329" i="100"/>
  <c r="EL302" i="100"/>
  <c r="EL305" i="100"/>
  <c r="EL68" i="100"/>
  <c r="EL297" i="100"/>
  <c r="EL183" i="100"/>
  <c r="EL11" i="100"/>
  <c r="EL306" i="100"/>
  <c r="EL294" i="100"/>
  <c r="EL313" i="100"/>
  <c r="EL170" i="100"/>
  <c r="EL17" i="100"/>
  <c r="EL207" i="100"/>
  <c r="EL180" i="100"/>
  <c r="EL73" i="100"/>
  <c r="EL41" i="100"/>
  <c r="EL190" i="100"/>
  <c r="EL28" i="100"/>
  <c r="EL198" i="100"/>
  <c r="EL65" i="100"/>
  <c r="EL336" i="100"/>
  <c r="EL24" i="100"/>
  <c r="EL181" i="100"/>
  <c r="EL159" i="100"/>
  <c r="EL331" i="100"/>
  <c r="EM63" i="100" l="1"/>
  <c r="EM46" i="100"/>
  <c r="EM58" i="100"/>
  <c r="EM44" i="100"/>
  <c r="EM62" i="100"/>
  <c r="EM59" i="100"/>
  <c r="EM49" i="100"/>
  <c r="EM61" i="100"/>
  <c r="EM48" i="100"/>
  <c r="EM60" i="100"/>
  <c r="EM53" i="100"/>
  <c r="EM50" i="100"/>
  <c r="EM57" i="100"/>
  <c r="EM47" i="100"/>
  <c r="EM54" i="100"/>
  <c r="EM52" i="100"/>
  <c r="EM51" i="100"/>
  <c r="EM45" i="100"/>
  <c r="EM56" i="100"/>
  <c r="EM55" i="100"/>
  <c r="EL79" i="100"/>
  <c r="EL78" i="100" s="1"/>
  <c r="EL209" i="100"/>
  <c r="EL339" i="100"/>
  <c r="EM189" i="100"/>
  <c r="EM300" i="100"/>
  <c r="EM19" i="100"/>
  <c r="EM163" i="100"/>
  <c r="EM299" i="100"/>
  <c r="EM327" i="100"/>
  <c r="EM174" i="100"/>
  <c r="EM172" i="100"/>
  <c r="EM296" i="100"/>
  <c r="EM197" i="100"/>
  <c r="EM333" i="100"/>
  <c r="EM318" i="100"/>
  <c r="EM328" i="100"/>
  <c r="EM335" i="100"/>
  <c r="EM319" i="100"/>
  <c r="EM65" i="100"/>
  <c r="EM190" i="100"/>
  <c r="EM201" i="100"/>
  <c r="EM311" i="100"/>
  <c r="EM66" i="100"/>
  <c r="EM32" i="100"/>
  <c r="EM12" i="100"/>
  <c r="EM321" i="100"/>
  <c r="EM20" i="100"/>
  <c r="EM310" i="100"/>
  <c r="EM181" i="100"/>
  <c r="EM195" i="100"/>
  <c r="EM26" i="100"/>
  <c r="EM206" i="100"/>
  <c r="EM169" i="100"/>
  <c r="EM161" i="100"/>
  <c r="EM71" i="100"/>
  <c r="EM162" i="100"/>
  <c r="EM198" i="100"/>
  <c r="EM73" i="100"/>
  <c r="EM175" i="100"/>
  <c r="EM10" i="100"/>
  <c r="EM160" i="100"/>
  <c r="EM193" i="100"/>
  <c r="EM179" i="100"/>
  <c r="EM41" i="100"/>
  <c r="EM304" i="100"/>
  <c r="EM177" i="100"/>
  <c r="EM298" i="100"/>
  <c r="EM24" i="100"/>
  <c r="EM188" i="100"/>
  <c r="EM315" i="100"/>
  <c r="EM38" i="100"/>
  <c r="EM70" i="100"/>
  <c r="EM31" i="100"/>
  <c r="EM165" i="100"/>
  <c r="EM301" i="100"/>
  <c r="EM291" i="100"/>
  <c r="EM320" i="100"/>
  <c r="EM27" i="100"/>
  <c r="EM322" i="100"/>
  <c r="EM40" i="100"/>
  <c r="EM307" i="100"/>
  <c r="EM336" i="100"/>
  <c r="EM306" i="100"/>
  <c r="EM164" i="100"/>
  <c r="EM334" i="100"/>
  <c r="EM173" i="100"/>
  <c r="EM185" i="100"/>
  <c r="EM186" i="100"/>
  <c r="EM158" i="100"/>
  <c r="EM337" i="100"/>
  <c r="EM42" i="100"/>
  <c r="EM199" i="100"/>
  <c r="EM305" i="100"/>
  <c r="EM74" i="100"/>
  <c r="EM13" i="100"/>
  <c r="EM8" i="100"/>
  <c r="EM323" i="100"/>
  <c r="EM29" i="100"/>
  <c r="EM76" i="100"/>
  <c r="EM183" i="100"/>
  <c r="EM326" i="100"/>
  <c r="EM35" i="100"/>
  <c r="EM332" i="100"/>
  <c r="EM69" i="100"/>
  <c r="EM309" i="100"/>
  <c r="EM14" i="100"/>
  <c r="EM204" i="100"/>
  <c r="EM297" i="100"/>
  <c r="EM205" i="100"/>
  <c r="EM167" i="100"/>
  <c r="EM294" i="100"/>
  <c r="EM203" i="100"/>
  <c r="EM295" i="100"/>
  <c r="EM178" i="100"/>
  <c r="EM196" i="100"/>
  <c r="EM184" i="100"/>
  <c r="EM325" i="100"/>
  <c r="EM166" i="100"/>
  <c r="EM308" i="100"/>
  <c r="EM28" i="100"/>
  <c r="EM159" i="100"/>
  <c r="EM191" i="100"/>
  <c r="EM36" i="100"/>
  <c r="EM77" i="100"/>
  <c r="EM11" i="100"/>
  <c r="EM290" i="100"/>
  <c r="EM168" i="100"/>
  <c r="EM316" i="100"/>
  <c r="EM39" i="100"/>
  <c r="EM176" i="100"/>
  <c r="EM33" i="100"/>
  <c r="EM288" i="100"/>
  <c r="EN7" i="100"/>
  <c r="EM303" i="100"/>
  <c r="EM202" i="100"/>
  <c r="EM30" i="100"/>
  <c r="EM34" i="100"/>
  <c r="EM312" i="100"/>
  <c r="EM17" i="100"/>
  <c r="EM329" i="100"/>
  <c r="EM16" i="100"/>
  <c r="EM67" i="100"/>
  <c r="EM18" i="100"/>
  <c r="EM9" i="100"/>
  <c r="EM180" i="100"/>
  <c r="EM302" i="100"/>
  <c r="EM68" i="100"/>
  <c r="EM330" i="100"/>
  <c r="EM207" i="100"/>
  <c r="EM293" i="100"/>
  <c r="EM289" i="100"/>
  <c r="EM25" i="100"/>
  <c r="EM21" i="100"/>
  <c r="EM72" i="100"/>
  <c r="EM75" i="100"/>
  <c r="EM182" i="100"/>
  <c r="EM37" i="100"/>
  <c r="EM43" i="100"/>
  <c r="EM22" i="100"/>
  <c r="EM331" i="100"/>
  <c r="EM194" i="100"/>
  <c r="EM64" i="100"/>
  <c r="EM192" i="100"/>
  <c r="EM23" i="100"/>
  <c r="EM314" i="100"/>
  <c r="EM187" i="100"/>
  <c r="EM15" i="100"/>
  <c r="EM170" i="100"/>
  <c r="EM324" i="100"/>
  <c r="EM313" i="100"/>
  <c r="EM171" i="100"/>
  <c r="EM292" i="100"/>
  <c r="EM200" i="100"/>
  <c r="EM317" i="100"/>
  <c r="E410" i="100"/>
  <c r="K410" i="100"/>
  <c r="Q410" i="100"/>
  <c r="EN44" i="100" l="1"/>
  <c r="EN62" i="100"/>
  <c r="EN46" i="100"/>
  <c r="EN63" i="100"/>
  <c r="EN54" i="100"/>
  <c r="EN47" i="100"/>
  <c r="EN56" i="100"/>
  <c r="EN50" i="100"/>
  <c r="EN59" i="100"/>
  <c r="EN60" i="100"/>
  <c r="EN57" i="100"/>
  <c r="EN58" i="100"/>
  <c r="EN51" i="100"/>
  <c r="EN53" i="100"/>
  <c r="EN45" i="100"/>
  <c r="EN49" i="100"/>
  <c r="EN55" i="100"/>
  <c r="EN61" i="100"/>
  <c r="EN52" i="100"/>
  <c r="EN48" i="100"/>
  <c r="EM339" i="100"/>
  <c r="EM79" i="100"/>
  <c r="EM78" i="100" s="1"/>
  <c r="EM209" i="100"/>
  <c r="EN330" i="100"/>
  <c r="EN172" i="100"/>
  <c r="EN9" i="100"/>
  <c r="EN35" i="100"/>
  <c r="EN10" i="100"/>
  <c r="EN190" i="100"/>
  <c r="EN179" i="100"/>
  <c r="EN28" i="100"/>
  <c r="EN292" i="100"/>
  <c r="EN189" i="100"/>
  <c r="EN43" i="100"/>
  <c r="EN322" i="100"/>
  <c r="EN29" i="100"/>
  <c r="EN307" i="100"/>
  <c r="EN40" i="100"/>
  <c r="EN18" i="100"/>
  <c r="EN70" i="100"/>
  <c r="EN164" i="100"/>
  <c r="EN324" i="100"/>
  <c r="EN76" i="100"/>
  <c r="EN185" i="100"/>
  <c r="EN331" i="100"/>
  <c r="EN326" i="100"/>
  <c r="EN171" i="100"/>
  <c r="EN295" i="100"/>
  <c r="EN12" i="100"/>
  <c r="EN42" i="100"/>
  <c r="EN72" i="100"/>
  <c r="EN21" i="100"/>
  <c r="EN301" i="100"/>
  <c r="EN37" i="100"/>
  <c r="EN163" i="100"/>
  <c r="EN306" i="100"/>
  <c r="EN303" i="100"/>
  <c r="EN167" i="100"/>
  <c r="EN174" i="100"/>
  <c r="EN327" i="100"/>
  <c r="EN65" i="100"/>
  <c r="EN64" i="100"/>
  <c r="EN197" i="100"/>
  <c r="EN168" i="100"/>
  <c r="EN313" i="100"/>
  <c r="EN30" i="100"/>
  <c r="EN32" i="100"/>
  <c r="EN316" i="100"/>
  <c r="EN310" i="100"/>
  <c r="EO7" i="100"/>
  <c r="EN68" i="100"/>
  <c r="EN205" i="100"/>
  <c r="EN294" i="100"/>
  <c r="EN297" i="100"/>
  <c r="EN309" i="100"/>
  <c r="EN173" i="100"/>
  <c r="EN166" i="100"/>
  <c r="EN22" i="100"/>
  <c r="EN165" i="100"/>
  <c r="EN184" i="100"/>
  <c r="EN75" i="100"/>
  <c r="EN158" i="100"/>
  <c r="EN182" i="100"/>
  <c r="EN328" i="100"/>
  <c r="EN38" i="100"/>
  <c r="EN200" i="100"/>
  <c r="EN159" i="100"/>
  <c r="EN178" i="100"/>
  <c r="EN333" i="100"/>
  <c r="EN188" i="100"/>
  <c r="EN201" i="100"/>
  <c r="EN204" i="100"/>
  <c r="EN170" i="100"/>
  <c r="EN39" i="100"/>
  <c r="EN25" i="100"/>
  <c r="EN183" i="100"/>
  <c r="EN180" i="100"/>
  <c r="EN329" i="100"/>
  <c r="EN319" i="100"/>
  <c r="EN161" i="100"/>
  <c r="EN41" i="100"/>
  <c r="EN320" i="100"/>
  <c r="EN160" i="100"/>
  <c r="EN8" i="100"/>
  <c r="EN186" i="100"/>
  <c r="EN334" i="100"/>
  <c r="EN20" i="100"/>
  <c r="EN11" i="100"/>
  <c r="EN195" i="100"/>
  <c r="EN19" i="100"/>
  <c r="EN67" i="100"/>
  <c r="EN191" i="100"/>
  <c r="EN177" i="100"/>
  <c r="EN337" i="100"/>
  <c r="EN312" i="100"/>
  <c r="EN175" i="100"/>
  <c r="EN69" i="100"/>
  <c r="EN34" i="100"/>
  <c r="EN176" i="100"/>
  <c r="EN193" i="100"/>
  <c r="EN314" i="100"/>
  <c r="EN162" i="100"/>
  <c r="EN194" i="100"/>
  <c r="EN77" i="100"/>
  <c r="EN202" i="100"/>
  <c r="EN293" i="100"/>
  <c r="EN311" i="100"/>
  <c r="EN300" i="100"/>
  <c r="EN16" i="100"/>
  <c r="EN304" i="100"/>
  <c r="EN335" i="100"/>
  <c r="EN73" i="100"/>
  <c r="EN305" i="100"/>
  <c r="EN332" i="100"/>
  <c r="EN74" i="100"/>
  <c r="EN198" i="100"/>
  <c r="EN298" i="100"/>
  <c r="EN192" i="100"/>
  <c r="EN302" i="100"/>
  <c r="EN13" i="100"/>
  <c r="EN196" i="100"/>
  <c r="EN308" i="100"/>
  <c r="EN296" i="100"/>
  <c r="EN33" i="100"/>
  <c r="EN71" i="100"/>
  <c r="EN315" i="100"/>
  <c r="EN317" i="100"/>
  <c r="EN199" i="100"/>
  <c r="EN336" i="100"/>
  <c r="EN289" i="100"/>
  <c r="EN291" i="100"/>
  <c r="EN181" i="100"/>
  <c r="EN27" i="100"/>
  <c r="EN207" i="100"/>
  <c r="EN24" i="100"/>
  <c r="EN323" i="100"/>
  <c r="EN14" i="100"/>
  <c r="EN187" i="100"/>
  <c r="EN15" i="100"/>
  <c r="EN290" i="100"/>
  <c r="EN288" i="100"/>
  <c r="EN66" i="100"/>
  <c r="EN318" i="100"/>
  <c r="EN17" i="100"/>
  <c r="EN325" i="100"/>
  <c r="EN321" i="100"/>
  <c r="EN203" i="100"/>
  <c r="EN26" i="100"/>
  <c r="EN169" i="100"/>
  <c r="EN299" i="100"/>
  <c r="EN36" i="100"/>
  <c r="EN31" i="100"/>
  <c r="EN23" i="100"/>
  <c r="EN206" i="100"/>
  <c r="EO53" i="100" l="1"/>
  <c r="EO62" i="100"/>
  <c r="EO44" i="100"/>
  <c r="EO46" i="100"/>
  <c r="EO54" i="100"/>
  <c r="EO63" i="100"/>
  <c r="EO56" i="100"/>
  <c r="EO60" i="100"/>
  <c r="EO50" i="100"/>
  <c r="EO58" i="100"/>
  <c r="EO55" i="100"/>
  <c r="EO47" i="100"/>
  <c r="EO48" i="100"/>
  <c r="EO51" i="100"/>
  <c r="EO57" i="100"/>
  <c r="EO59" i="100"/>
  <c r="EO45" i="100"/>
  <c r="EO61" i="100"/>
  <c r="EO49" i="100"/>
  <c r="EO52" i="100"/>
  <c r="EN79" i="100"/>
  <c r="EN78" i="100" s="1"/>
  <c r="EN209" i="100"/>
  <c r="EN339" i="100"/>
  <c r="EO199" i="100"/>
  <c r="EO171" i="100"/>
  <c r="EO201" i="100"/>
  <c r="EO203" i="100"/>
  <c r="EO324" i="100"/>
  <c r="EO195" i="100"/>
  <c r="EO166" i="100"/>
  <c r="EO319" i="100"/>
  <c r="EO304" i="100"/>
  <c r="EO288" i="100"/>
  <c r="EO289" i="100"/>
  <c r="EO162" i="100"/>
  <c r="EO168" i="100"/>
  <c r="EO164" i="100"/>
  <c r="EO179" i="100"/>
  <c r="EO167" i="100"/>
  <c r="EO163" i="100"/>
  <c r="EO21" i="100"/>
  <c r="EO24" i="100"/>
  <c r="EO165" i="100"/>
  <c r="EO306" i="100"/>
  <c r="EO188" i="100"/>
  <c r="EO28" i="100"/>
  <c r="EO35" i="100"/>
  <c r="EO184" i="100"/>
  <c r="EO181" i="100"/>
  <c r="EO325" i="100"/>
  <c r="EO314" i="100"/>
  <c r="EO74" i="100"/>
  <c r="EO327" i="100"/>
  <c r="EO297" i="100"/>
  <c r="EO160" i="100"/>
  <c r="EO335" i="100"/>
  <c r="EO177" i="100"/>
  <c r="EO190" i="100"/>
  <c r="EO318" i="100"/>
  <c r="EO193" i="100"/>
  <c r="EO10" i="100"/>
  <c r="EO186" i="100"/>
  <c r="EO185" i="100"/>
  <c r="EO66" i="100"/>
  <c r="EO316" i="100"/>
  <c r="EO39" i="100"/>
  <c r="EO67" i="100"/>
  <c r="EO191" i="100"/>
  <c r="EO315" i="100"/>
  <c r="EO192" i="100"/>
  <c r="EO183" i="100"/>
  <c r="EO290" i="100"/>
  <c r="EO303" i="100"/>
  <c r="EO311" i="100"/>
  <c r="EO298" i="100"/>
  <c r="EO200" i="100"/>
  <c r="EO330" i="100"/>
  <c r="EO292" i="100"/>
  <c r="EO9" i="100"/>
  <c r="EO194" i="100"/>
  <c r="EO14" i="100"/>
  <c r="EO158" i="100"/>
  <c r="EO321" i="100"/>
  <c r="EO202" i="100"/>
  <c r="EO301" i="100"/>
  <c r="EO29" i="100"/>
  <c r="EO182" i="100"/>
  <c r="EO71" i="100"/>
  <c r="EO174" i="100"/>
  <c r="EO17" i="100"/>
  <c r="EO331" i="100"/>
  <c r="EO309" i="100"/>
  <c r="EO334" i="100"/>
  <c r="EO31" i="100"/>
  <c r="EO64" i="100"/>
  <c r="EO198" i="100"/>
  <c r="EO33" i="100"/>
  <c r="EO294" i="100"/>
  <c r="EO77" i="100"/>
  <c r="EO65" i="100"/>
  <c r="EO307" i="100"/>
  <c r="EO172" i="100"/>
  <c r="EP7" i="100"/>
  <c r="EO41" i="100"/>
  <c r="EO326" i="100"/>
  <c r="EO11" i="100"/>
  <c r="EO69" i="100"/>
  <c r="EO176" i="100"/>
  <c r="EO317" i="100"/>
  <c r="EO310" i="100"/>
  <c r="EO40" i="100"/>
  <c r="EO180" i="100"/>
  <c r="EO25" i="100"/>
  <c r="EO196" i="100"/>
  <c r="EO30" i="100"/>
  <c r="EO197" i="100"/>
  <c r="EO336" i="100"/>
  <c r="EO189" i="100"/>
  <c r="EO72" i="100"/>
  <c r="EO161" i="100"/>
  <c r="EO75" i="100"/>
  <c r="EO12" i="100"/>
  <c r="EO332" i="100"/>
  <c r="EO313" i="100"/>
  <c r="EO37" i="100"/>
  <c r="EO169" i="100"/>
  <c r="EO20" i="100"/>
  <c r="EO170" i="100"/>
  <c r="EO293" i="100"/>
  <c r="EO38" i="100"/>
  <c r="EO300" i="100"/>
  <c r="EO204" i="100"/>
  <c r="EO333" i="100"/>
  <c r="EO207" i="100"/>
  <c r="EO68" i="100"/>
  <c r="EO34" i="100"/>
  <c r="EO296" i="100"/>
  <c r="EO16" i="100"/>
  <c r="EO36" i="100"/>
  <c r="EO15" i="100"/>
  <c r="EO23" i="100"/>
  <c r="EO299" i="100"/>
  <c r="EO175" i="100"/>
  <c r="EO206" i="100"/>
  <c r="EO159" i="100"/>
  <c r="EO305" i="100"/>
  <c r="EO27" i="100"/>
  <c r="EO178" i="100"/>
  <c r="EO19" i="100"/>
  <c r="EO76" i="100"/>
  <c r="EO320" i="100"/>
  <c r="EO43" i="100"/>
  <c r="EO18" i="100"/>
  <c r="EO323" i="100"/>
  <c r="EO295" i="100"/>
  <c r="EO312" i="100"/>
  <c r="EO32" i="100"/>
  <c r="EO308" i="100"/>
  <c r="EO26" i="100"/>
  <c r="EO322" i="100"/>
  <c r="EO302" i="100"/>
  <c r="EO73" i="100"/>
  <c r="EO8" i="100"/>
  <c r="EO205" i="100"/>
  <c r="EO22" i="100"/>
  <c r="EO70" i="100"/>
  <c r="EO173" i="100"/>
  <c r="EO187" i="100"/>
  <c r="EO329" i="100"/>
  <c r="EO42" i="100"/>
  <c r="EO291" i="100"/>
  <c r="EO13" i="100"/>
  <c r="EO337" i="100"/>
  <c r="EO328" i="100"/>
  <c r="EP44" i="100" l="1"/>
  <c r="EP62" i="100"/>
  <c r="EP53" i="100"/>
  <c r="EP58" i="100"/>
  <c r="EP46" i="100"/>
  <c r="EP63" i="100"/>
  <c r="EP48" i="100"/>
  <c r="EP51" i="100"/>
  <c r="EP49" i="100"/>
  <c r="EP55" i="100"/>
  <c r="EP59" i="100"/>
  <c r="EP50" i="100"/>
  <c r="EP56" i="100"/>
  <c r="EP45" i="100"/>
  <c r="EP57" i="100"/>
  <c r="EP60" i="100"/>
  <c r="EP52" i="100"/>
  <c r="EP61" i="100"/>
  <c r="EP47" i="100"/>
  <c r="EP54" i="100"/>
  <c r="EO79" i="100"/>
  <c r="EO78" i="100" s="1"/>
  <c r="EO339" i="100"/>
  <c r="EO209" i="100"/>
  <c r="EP186" i="100"/>
  <c r="EP66" i="100"/>
  <c r="EP183" i="100"/>
  <c r="EP71" i="100"/>
  <c r="EP336" i="100"/>
  <c r="EP313" i="100"/>
  <c r="EP334" i="100"/>
  <c r="EP9" i="100"/>
  <c r="EP187" i="100"/>
  <c r="EP333" i="100"/>
  <c r="EP305" i="100"/>
  <c r="EP178" i="100"/>
  <c r="EP337" i="100"/>
  <c r="EP301" i="100"/>
  <c r="EP300" i="100"/>
  <c r="EP39" i="100"/>
  <c r="EP204" i="100"/>
  <c r="EP22" i="100"/>
  <c r="EP322" i="100"/>
  <c r="EP324" i="100"/>
  <c r="EP189" i="100"/>
  <c r="EP161" i="100"/>
  <c r="EP8" i="100"/>
  <c r="EP159" i="100"/>
  <c r="EP199" i="100"/>
  <c r="EP290" i="100"/>
  <c r="EP38" i="100"/>
  <c r="EP11" i="100"/>
  <c r="EP207" i="100"/>
  <c r="EP299" i="100"/>
  <c r="EP302" i="100"/>
  <c r="EP316" i="100"/>
  <c r="EP321" i="100"/>
  <c r="EP319" i="100"/>
  <c r="EP42" i="100"/>
  <c r="EP314" i="100"/>
  <c r="EP18" i="100"/>
  <c r="EP40" i="100"/>
  <c r="EP206" i="100"/>
  <c r="EP298" i="100"/>
  <c r="EP12" i="100"/>
  <c r="EP77" i="100"/>
  <c r="EP23" i="100"/>
  <c r="EP30" i="100"/>
  <c r="EP325" i="100"/>
  <c r="EP164" i="100"/>
  <c r="EP191" i="100"/>
  <c r="EP10" i="100"/>
  <c r="EP193" i="100"/>
  <c r="EP163" i="100"/>
  <c r="EP33" i="100"/>
  <c r="EP197" i="100"/>
  <c r="EP203" i="100"/>
  <c r="EP172" i="100"/>
  <c r="EP43" i="100"/>
  <c r="EP17" i="100"/>
  <c r="EP32" i="100"/>
  <c r="EP202" i="100"/>
  <c r="EP195" i="100"/>
  <c r="EP170" i="100"/>
  <c r="EP320" i="100"/>
  <c r="EP200" i="100"/>
  <c r="EP196" i="100"/>
  <c r="EP293" i="100"/>
  <c r="EP171" i="100"/>
  <c r="EQ7" i="100"/>
  <c r="EP315" i="100"/>
  <c r="EP188" i="100"/>
  <c r="EP323" i="100"/>
  <c r="EP311" i="100"/>
  <c r="EP307" i="100"/>
  <c r="EP67" i="100"/>
  <c r="EP177" i="100"/>
  <c r="EP27" i="100"/>
  <c r="EP69" i="100"/>
  <c r="EP291" i="100"/>
  <c r="EP73" i="100"/>
  <c r="EP310" i="100"/>
  <c r="EP205" i="100"/>
  <c r="EP65" i="100"/>
  <c r="EP19" i="100"/>
  <c r="EP15" i="100"/>
  <c r="EP28" i="100"/>
  <c r="EP175" i="100"/>
  <c r="EP331" i="100"/>
  <c r="EP185" i="100"/>
  <c r="EP174" i="100"/>
  <c r="EP326" i="100"/>
  <c r="EP198" i="100"/>
  <c r="EP36" i="100"/>
  <c r="EP76" i="100"/>
  <c r="EP14" i="100"/>
  <c r="EP192" i="100"/>
  <c r="EP201" i="100"/>
  <c r="EP31" i="100"/>
  <c r="EP304" i="100"/>
  <c r="EP335" i="100"/>
  <c r="EP330" i="100"/>
  <c r="EP41" i="100"/>
  <c r="EP176" i="100"/>
  <c r="EP16" i="100"/>
  <c r="EP35" i="100"/>
  <c r="EP328" i="100"/>
  <c r="EP180" i="100"/>
  <c r="EP317" i="100"/>
  <c r="EP26" i="100"/>
  <c r="EP306" i="100"/>
  <c r="EP162" i="100"/>
  <c r="EP160" i="100"/>
  <c r="EP182" i="100"/>
  <c r="EP165" i="100"/>
  <c r="EP329" i="100"/>
  <c r="EP327" i="100"/>
  <c r="EP75" i="100"/>
  <c r="EP194" i="100"/>
  <c r="EP190" i="100"/>
  <c r="EP72" i="100"/>
  <c r="EP20" i="100"/>
  <c r="EP181" i="100"/>
  <c r="EP292" i="100"/>
  <c r="EP13" i="100"/>
  <c r="EP166" i="100"/>
  <c r="EP173" i="100"/>
  <c r="EP168" i="100"/>
  <c r="EP21" i="100"/>
  <c r="EP64" i="100"/>
  <c r="EP308" i="100"/>
  <c r="EP309" i="100"/>
  <c r="EP167" i="100"/>
  <c r="EP288" i="100"/>
  <c r="EP68" i="100"/>
  <c r="EP34" i="100"/>
  <c r="EP296" i="100"/>
  <c r="EP184" i="100"/>
  <c r="EP179" i="100"/>
  <c r="EP25" i="100"/>
  <c r="EP29" i="100"/>
  <c r="EP70" i="100"/>
  <c r="EP303" i="100"/>
  <c r="EP318" i="100"/>
  <c r="EP332" i="100"/>
  <c r="EP24" i="100"/>
  <c r="EP169" i="100"/>
  <c r="EP289" i="100"/>
  <c r="EP158" i="100"/>
  <c r="EP37" i="100"/>
  <c r="EP74" i="100"/>
  <c r="EP294" i="100"/>
  <c r="EP295" i="100"/>
  <c r="EP312" i="100"/>
  <c r="EP297" i="100"/>
  <c r="EQ62" i="100" l="1"/>
  <c r="EQ45" i="100"/>
  <c r="EQ63" i="100"/>
  <c r="EQ44" i="100"/>
  <c r="EQ46" i="100"/>
  <c r="EQ48" i="100"/>
  <c r="EQ55" i="100"/>
  <c r="EQ59" i="100"/>
  <c r="EQ54" i="100"/>
  <c r="EQ58" i="100"/>
  <c r="EQ53" i="100"/>
  <c r="EQ57" i="100"/>
  <c r="EQ51" i="100"/>
  <c r="EQ49" i="100"/>
  <c r="EQ52" i="100"/>
  <c r="EQ61" i="100"/>
  <c r="EQ56" i="100"/>
  <c r="EQ47" i="100"/>
  <c r="EQ50" i="100"/>
  <c r="EQ60" i="100"/>
  <c r="EP339" i="100"/>
  <c r="EP79" i="100"/>
  <c r="EP78" i="100" s="1"/>
  <c r="EP209" i="100"/>
  <c r="EQ9" i="100"/>
  <c r="EQ192" i="100"/>
  <c r="EQ322" i="100"/>
  <c r="EQ204" i="100"/>
  <c r="EQ300" i="100"/>
  <c r="EQ326" i="100"/>
  <c r="EQ168" i="100"/>
  <c r="EQ199" i="100"/>
  <c r="EQ305" i="100"/>
  <c r="EQ176" i="100"/>
  <c r="EQ288" i="100"/>
  <c r="EQ304" i="100"/>
  <c r="EQ320" i="100"/>
  <c r="EQ198" i="100"/>
  <c r="EQ74" i="100"/>
  <c r="EQ185" i="100"/>
  <c r="EQ34" i="100"/>
  <c r="EQ179" i="100"/>
  <c r="EQ319" i="100"/>
  <c r="EQ202" i="100"/>
  <c r="EQ33" i="100"/>
  <c r="EQ337" i="100"/>
  <c r="EQ65" i="100"/>
  <c r="EQ39" i="100"/>
  <c r="EQ316" i="100"/>
  <c r="EQ67" i="100"/>
  <c r="EQ206" i="100"/>
  <c r="EQ170" i="100"/>
  <c r="EQ187" i="100"/>
  <c r="EQ335" i="100"/>
  <c r="EQ64" i="100"/>
  <c r="EQ14" i="100"/>
  <c r="EQ174" i="100"/>
  <c r="EQ295" i="100"/>
  <c r="EQ324" i="100"/>
  <c r="EQ334" i="100"/>
  <c r="EQ177" i="100"/>
  <c r="EQ166" i="100"/>
  <c r="EQ172" i="100"/>
  <c r="EQ332" i="100"/>
  <c r="EQ16" i="100"/>
  <c r="EQ32" i="100"/>
  <c r="EQ69" i="100"/>
  <c r="EQ13" i="100"/>
  <c r="EQ303" i="100"/>
  <c r="EQ200" i="100"/>
  <c r="EQ301" i="100"/>
  <c r="EQ309" i="100"/>
  <c r="EQ193" i="100"/>
  <c r="EQ72" i="100"/>
  <c r="EQ22" i="100"/>
  <c r="EQ182" i="100"/>
  <c r="EQ28" i="100"/>
  <c r="EQ181" i="100"/>
  <c r="EQ159" i="100"/>
  <c r="EQ197" i="100"/>
  <c r="EQ15" i="100"/>
  <c r="EQ24" i="100"/>
  <c r="EQ298" i="100"/>
  <c r="EQ311" i="100"/>
  <c r="EQ336" i="100"/>
  <c r="EQ291" i="100"/>
  <c r="EQ12" i="100"/>
  <c r="EQ293" i="100"/>
  <c r="EQ70" i="100"/>
  <c r="EQ196" i="100"/>
  <c r="EQ328" i="100"/>
  <c r="EQ11" i="100"/>
  <c r="EQ167" i="100"/>
  <c r="EQ173" i="100"/>
  <c r="EQ161" i="100"/>
  <c r="EQ158" i="100"/>
  <c r="EQ23" i="100"/>
  <c r="EQ75" i="100"/>
  <c r="EQ308" i="100"/>
  <c r="EQ41" i="100"/>
  <c r="EQ10" i="100"/>
  <c r="EQ207" i="100"/>
  <c r="EQ195" i="100"/>
  <c r="EQ171" i="100"/>
  <c r="EQ66" i="100"/>
  <c r="EQ297" i="100"/>
  <c r="EQ189" i="100"/>
  <c r="EQ191" i="100"/>
  <c r="EQ327" i="100"/>
  <c r="EQ183" i="100"/>
  <c r="EQ164" i="100"/>
  <c r="EQ292" i="100"/>
  <c r="EQ20" i="100"/>
  <c r="EQ180" i="100"/>
  <c r="EQ31" i="100"/>
  <c r="EQ178" i="100"/>
  <c r="EQ77" i="100"/>
  <c r="EQ190" i="100"/>
  <c r="EQ313" i="100"/>
  <c r="EQ296" i="100"/>
  <c r="EQ184" i="100"/>
  <c r="EQ321" i="100"/>
  <c r="EQ175" i="100"/>
  <c r="EQ325" i="100"/>
  <c r="EQ169" i="100"/>
  <c r="EQ307" i="100"/>
  <c r="EQ18" i="100"/>
  <c r="EQ317" i="100"/>
  <c r="EQ40" i="100"/>
  <c r="EQ29" i="100"/>
  <c r="EQ37" i="100"/>
  <c r="EQ194" i="100"/>
  <c r="EQ35" i="100"/>
  <c r="EQ302" i="100"/>
  <c r="EQ68" i="100"/>
  <c r="EQ38" i="100"/>
  <c r="EQ21" i="100"/>
  <c r="EQ294" i="100"/>
  <c r="EQ306" i="100"/>
  <c r="EQ315" i="100"/>
  <c r="EQ201" i="100"/>
  <c r="EQ162" i="100"/>
  <c r="EQ186" i="100"/>
  <c r="EQ188" i="100"/>
  <c r="EQ27" i="100"/>
  <c r="EQ163" i="100"/>
  <c r="EQ310" i="100"/>
  <c r="EQ312" i="100"/>
  <c r="ER7" i="100"/>
  <c r="EQ160" i="100"/>
  <c r="EQ30" i="100"/>
  <c r="EQ314" i="100"/>
  <c r="EQ299" i="100"/>
  <c r="EQ329" i="100"/>
  <c r="EQ289" i="100"/>
  <c r="EQ26" i="100"/>
  <c r="EQ205" i="100"/>
  <c r="EQ43" i="100"/>
  <c r="EQ36" i="100"/>
  <c r="EQ19" i="100"/>
  <c r="EQ71" i="100"/>
  <c r="EQ323" i="100"/>
  <c r="EQ73" i="100"/>
  <c r="EQ25" i="100"/>
  <c r="EQ165" i="100"/>
  <c r="EQ290" i="100"/>
  <c r="EQ203" i="100"/>
  <c r="EQ333" i="100"/>
  <c r="EQ330" i="100"/>
  <c r="EQ8" i="100"/>
  <c r="EQ17" i="100"/>
  <c r="EQ76" i="100"/>
  <c r="EQ331" i="100"/>
  <c r="EQ318" i="100"/>
  <c r="EQ42" i="100"/>
  <c r="ER44" i="100" l="1"/>
  <c r="ER57" i="100"/>
  <c r="ER46" i="100"/>
  <c r="ER63" i="100"/>
  <c r="ER62" i="100"/>
  <c r="ER59" i="100"/>
  <c r="ER61" i="100"/>
  <c r="ER48" i="100"/>
  <c r="ER50" i="100"/>
  <c r="ER51" i="100"/>
  <c r="ER55" i="100"/>
  <c r="ER52" i="100"/>
  <c r="ER58" i="100"/>
  <c r="ER47" i="100"/>
  <c r="ER45" i="100"/>
  <c r="ER60" i="100"/>
  <c r="ER53" i="100"/>
  <c r="ER49" i="100"/>
  <c r="ER56" i="100"/>
  <c r="ER54" i="100"/>
  <c r="EQ79" i="100"/>
  <c r="EQ78" i="100" s="1"/>
  <c r="EQ339" i="100"/>
  <c r="EQ209" i="100"/>
  <c r="ER67" i="100"/>
  <c r="ER72" i="100"/>
  <c r="ER172" i="100"/>
  <c r="ER290" i="100"/>
  <c r="ER304" i="100"/>
  <c r="ER322" i="100"/>
  <c r="ER317" i="100"/>
  <c r="ER183" i="100"/>
  <c r="ER306" i="100"/>
  <c r="ER70" i="100"/>
  <c r="ER36" i="100"/>
  <c r="ER171" i="100"/>
  <c r="ER158" i="100"/>
  <c r="ER289" i="100"/>
  <c r="ER203" i="100"/>
  <c r="ER194" i="100"/>
  <c r="ER336" i="100"/>
  <c r="ER293" i="100"/>
  <c r="ER176" i="100"/>
  <c r="ER35" i="100"/>
  <c r="ER75" i="100"/>
  <c r="ER177" i="100"/>
  <c r="ER23" i="100"/>
  <c r="ER69" i="100"/>
  <c r="ER205" i="100"/>
  <c r="ER301" i="100"/>
  <c r="ER288" i="100"/>
  <c r="ER192" i="100"/>
  <c r="ER184" i="100"/>
  <c r="ER182" i="100"/>
  <c r="ER173" i="100"/>
  <c r="ER303" i="100"/>
  <c r="ER25" i="100"/>
  <c r="ER291" i="100"/>
  <c r="ER323" i="100"/>
  <c r="ER321" i="100"/>
  <c r="ER196" i="100"/>
  <c r="ER189" i="100"/>
  <c r="ER64" i="100"/>
  <c r="ER10" i="100"/>
  <c r="ER31" i="100"/>
  <c r="ER307" i="100"/>
  <c r="ER207" i="100"/>
  <c r="ER324" i="100"/>
  <c r="ER326" i="100"/>
  <c r="ER308" i="100"/>
  <c r="ER41" i="100"/>
  <c r="ER9" i="100"/>
  <c r="ER309" i="100"/>
  <c r="ER328" i="100"/>
  <c r="ER175" i="100"/>
  <c r="ER29" i="100"/>
  <c r="ER178" i="100"/>
  <c r="ER191" i="100"/>
  <c r="ER169" i="100"/>
  <c r="ER314" i="100"/>
  <c r="ER168" i="100"/>
  <c r="ER33" i="100"/>
  <c r="ER65" i="100"/>
  <c r="ER18" i="100"/>
  <c r="ER37" i="100"/>
  <c r="ER318" i="100"/>
  <c r="ER14" i="100"/>
  <c r="ER337" i="100"/>
  <c r="ER19" i="100"/>
  <c r="ER162" i="100"/>
  <c r="ER311" i="100"/>
  <c r="ES7" i="100"/>
  <c r="ER40" i="100"/>
  <c r="ER12" i="100"/>
  <c r="ER299" i="100"/>
  <c r="ER20" i="100"/>
  <c r="ER161" i="100"/>
  <c r="ER163" i="100"/>
  <c r="ER16" i="100"/>
  <c r="ER295" i="100"/>
  <c r="ER188" i="100"/>
  <c r="ER315" i="100"/>
  <c r="ER39" i="100"/>
  <c r="ER21" i="100"/>
  <c r="ER198" i="100"/>
  <c r="ER320" i="100"/>
  <c r="ER43" i="100"/>
  <c r="ER312" i="100"/>
  <c r="ER201" i="100"/>
  <c r="ER165" i="100"/>
  <c r="ER332" i="100"/>
  <c r="ER32" i="100"/>
  <c r="ER206" i="100"/>
  <c r="ER77" i="100"/>
  <c r="ER294" i="100"/>
  <c r="ER313" i="100"/>
  <c r="ER330" i="100"/>
  <c r="ER74" i="100"/>
  <c r="ER200" i="100"/>
  <c r="ER296" i="100"/>
  <c r="ER204" i="100"/>
  <c r="ER180" i="100"/>
  <c r="ER167" i="100"/>
  <c r="ER335" i="100"/>
  <c r="ER325" i="100"/>
  <c r="ER305" i="100"/>
  <c r="ER193" i="100"/>
  <c r="ER292" i="100"/>
  <c r="ER316" i="100"/>
  <c r="ER187" i="100"/>
  <c r="ER26" i="100"/>
  <c r="ER42" i="100"/>
  <c r="ER181" i="100"/>
  <c r="ER68" i="100"/>
  <c r="ER199" i="100"/>
  <c r="ER186" i="100"/>
  <c r="ER333" i="100"/>
  <c r="ER11" i="100"/>
  <c r="ER297" i="100"/>
  <c r="ER190" i="100"/>
  <c r="ER202" i="100"/>
  <c r="ER76" i="100"/>
  <c r="ER170" i="100"/>
  <c r="ER28" i="100"/>
  <c r="ER327" i="100"/>
  <c r="ER34" i="100"/>
  <c r="ER179" i="100"/>
  <c r="ER185" i="100"/>
  <c r="ER17" i="100"/>
  <c r="ER310" i="100"/>
  <c r="ER13" i="100"/>
  <c r="ER8" i="100"/>
  <c r="ER166" i="100"/>
  <c r="ER73" i="100"/>
  <c r="ER164" i="100"/>
  <c r="ER331" i="100"/>
  <c r="ER329" i="100"/>
  <c r="ER71" i="100"/>
  <c r="ER22" i="100"/>
  <c r="ER66" i="100"/>
  <c r="ER160" i="100"/>
  <c r="ER298" i="100"/>
  <c r="ER334" i="100"/>
  <c r="ER159" i="100"/>
  <c r="ER38" i="100"/>
  <c r="ER195" i="100"/>
  <c r="ER174" i="100"/>
  <c r="ER302" i="100"/>
  <c r="ER300" i="100"/>
  <c r="ER197" i="100"/>
  <c r="ER24" i="100"/>
  <c r="ER319" i="100"/>
  <c r="ER30" i="100"/>
  <c r="ER27" i="100"/>
  <c r="ER15" i="100"/>
  <c r="ES59" i="100" l="1"/>
  <c r="ES44" i="100"/>
  <c r="ES46" i="100"/>
  <c r="ES63" i="100"/>
  <c r="ES61" i="100"/>
  <c r="ES51" i="100"/>
  <c r="ES62" i="100"/>
  <c r="ES57" i="100"/>
  <c r="ES56" i="100"/>
  <c r="ES50" i="100"/>
  <c r="ES47" i="100"/>
  <c r="ES55" i="100"/>
  <c r="ES54" i="100"/>
  <c r="ES53" i="100"/>
  <c r="ES49" i="100"/>
  <c r="ES58" i="100"/>
  <c r="ES45" i="100"/>
  <c r="ES48" i="100"/>
  <c r="ES60" i="100"/>
  <c r="ES52" i="100"/>
  <c r="ER339" i="100"/>
  <c r="ER79" i="100"/>
  <c r="ER78" i="100" s="1"/>
  <c r="ER209" i="100"/>
  <c r="ES160" i="100"/>
  <c r="ES174" i="100"/>
  <c r="ES175" i="100"/>
  <c r="ES291" i="100"/>
  <c r="ES316" i="100"/>
  <c r="ES173" i="100"/>
  <c r="ES20" i="100"/>
  <c r="ES33" i="100"/>
  <c r="ES335" i="100"/>
  <c r="ES324" i="100"/>
  <c r="ES22" i="100"/>
  <c r="ES187" i="100"/>
  <c r="ES69" i="100"/>
  <c r="ES294" i="100"/>
  <c r="ES202" i="100"/>
  <c r="ES159" i="100"/>
  <c r="ES162" i="100"/>
  <c r="ES40" i="100"/>
  <c r="ES327" i="100"/>
  <c r="ES177" i="100"/>
  <c r="ES318" i="100"/>
  <c r="ES293" i="100"/>
  <c r="ES36" i="100"/>
  <c r="ES161" i="100"/>
  <c r="ES333" i="100"/>
  <c r="ES9" i="100"/>
  <c r="ES330" i="100"/>
  <c r="ES331" i="100"/>
  <c r="ES185" i="100"/>
  <c r="ES290" i="100"/>
  <c r="ES179" i="100"/>
  <c r="ES319" i="100"/>
  <c r="ES12" i="100"/>
  <c r="ES193" i="100"/>
  <c r="ES312" i="100"/>
  <c r="ES165" i="100"/>
  <c r="ES292" i="100"/>
  <c r="ES303" i="100"/>
  <c r="ES317" i="100"/>
  <c r="ES74" i="100"/>
  <c r="ES73" i="100"/>
  <c r="ES38" i="100"/>
  <c r="ES71" i="100"/>
  <c r="ES76" i="100"/>
  <c r="ES207" i="100"/>
  <c r="ES325" i="100"/>
  <c r="ES64" i="100"/>
  <c r="ES192" i="100"/>
  <c r="ES297" i="100"/>
  <c r="ES336" i="100"/>
  <c r="ES334" i="100"/>
  <c r="ES314" i="100"/>
  <c r="ES328" i="100"/>
  <c r="ES195" i="100"/>
  <c r="ES17" i="100"/>
  <c r="ES66" i="100"/>
  <c r="ES41" i="100"/>
  <c r="ES10" i="100"/>
  <c r="ES23" i="100"/>
  <c r="ES184" i="100"/>
  <c r="ES169" i="100"/>
  <c r="ES31" i="100"/>
  <c r="ES301" i="100"/>
  <c r="ES315" i="100"/>
  <c r="ES167" i="100"/>
  <c r="ES197" i="100"/>
  <c r="ES320" i="100"/>
  <c r="ES70" i="100"/>
  <c r="ES308" i="100"/>
  <c r="ES21" i="100"/>
  <c r="ES199" i="100"/>
  <c r="ES8" i="100"/>
  <c r="ES65" i="100"/>
  <c r="ES204" i="100"/>
  <c r="ES302" i="100"/>
  <c r="ES27" i="100"/>
  <c r="ES158" i="100"/>
  <c r="ES200" i="100"/>
  <c r="ES188" i="100"/>
  <c r="ES313" i="100"/>
  <c r="ES178" i="100"/>
  <c r="ES26" i="100"/>
  <c r="ES183" i="100"/>
  <c r="ES68" i="100"/>
  <c r="ES181" i="100"/>
  <c r="ES180" i="100"/>
  <c r="ES304" i="100"/>
  <c r="ES326" i="100"/>
  <c r="ES37" i="100"/>
  <c r="ES163" i="100"/>
  <c r="ES166" i="100"/>
  <c r="ES190" i="100"/>
  <c r="ES299" i="100"/>
  <c r="ES206" i="100"/>
  <c r="ES300" i="100"/>
  <c r="ES75" i="100"/>
  <c r="ES19" i="100"/>
  <c r="ES30" i="100"/>
  <c r="ES311" i="100"/>
  <c r="ES172" i="100"/>
  <c r="ES329" i="100"/>
  <c r="ES289" i="100"/>
  <c r="ES67" i="100"/>
  <c r="ES28" i="100"/>
  <c r="ES305" i="100"/>
  <c r="ES205" i="100"/>
  <c r="ES13" i="100"/>
  <c r="ES196" i="100"/>
  <c r="ES11" i="100"/>
  <c r="ES295" i="100"/>
  <c r="ES182" i="100"/>
  <c r="ES77" i="100"/>
  <c r="ES298" i="100"/>
  <c r="ES29" i="100"/>
  <c r="ET7" i="100"/>
  <c r="ES25" i="100"/>
  <c r="ES201" i="100"/>
  <c r="ES18" i="100"/>
  <c r="ES43" i="100"/>
  <c r="ES24" i="100"/>
  <c r="ES42" i="100"/>
  <c r="ES32" i="100"/>
  <c r="ES337" i="100"/>
  <c r="ES322" i="100"/>
  <c r="ES39" i="100"/>
  <c r="ES35" i="100"/>
  <c r="ES189" i="100"/>
  <c r="ES15" i="100"/>
  <c r="ES171" i="100"/>
  <c r="ES186" i="100"/>
  <c r="ES194" i="100"/>
  <c r="ES176" i="100"/>
  <c r="ES203" i="100"/>
  <c r="ES168" i="100"/>
  <c r="ES72" i="100"/>
  <c r="ES309" i="100"/>
  <c r="ES16" i="100"/>
  <c r="ES307" i="100"/>
  <c r="ES164" i="100"/>
  <c r="ES321" i="100"/>
  <c r="ES34" i="100"/>
  <c r="ES198" i="100"/>
  <c r="ES332" i="100"/>
  <c r="ES170" i="100"/>
  <c r="ES323" i="100"/>
  <c r="ES14" i="100"/>
  <c r="ES191" i="100"/>
  <c r="ES288" i="100"/>
  <c r="ES296" i="100"/>
  <c r="ES310" i="100"/>
  <c r="ES306" i="100"/>
  <c r="ET46" i="100" l="1"/>
  <c r="ET63" i="100"/>
  <c r="ET44" i="100"/>
  <c r="ET62" i="100"/>
  <c r="ET59" i="100"/>
  <c r="ET49" i="100"/>
  <c r="ET52" i="100"/>
  <c r="ET48" i="100"/>
  <c r="ET58" i="100"/>
  <c r="ET61" i="100"/>
  <c r="ET54" i="100"/>
  <c r="ET47" i="100"/>
  <c r="ET55" i="100"/>
  <c r="ET53" i="100"/>
  <c r="ET60" i="100"/>
  <c r="ET45" i="100"/>
  <c r="ET51" i="100"/>
  <c r="ET56" i="100"/>
  <c r="ET50" i="100"/>
  <c r="ET57" i="100"/>
  <c r="ES79" i="100"/>
  <c r="ES78" i="100" s="1"/>
  <c r="ES339" i="100"/>
  <c r="ES209" i="100"/>
  <c r="ET32" i="100"/>
  <c r="ET170" i="100"/>
  <c r="ET192" i="100"/>
  <c r="ET12" i="100"/>
  <c r="ET162" i="100"/>
  <c r="ET40" i="100"/>
  <c r="ET183" i="100"/>
  <c r="ET73" i="100"/>
  <c r="ET304" i="100"/>
  <c r="ET294" i="100"/>
  <c r="ET29" i="100"/>
  <c r="ET67" i="100"/>
  <c r="ET194" i="100"/>
  <c r="ET324" i="100"/>
  <c r="ET195" i="100"/>
  <c r="ET296" i="100"/>
  <c r="ET168" i="100"/>
  <c r="ET74" i="100"/>
  <c r="ET190" i="100"/>
  <c r="ET23" i="100"/>
  <c r="ET36" i="100"/>
  <c r="ET8" i="100"/>
  <c r="ET177" i="100"/>
  <c r="ET42" i="100"/>
  <c r="ET205" i="100"/>
  <c r="ET306" i="100"/>
  <c r="ET291" i="100"/>
  <c r="ET165" i="100"/>
  <c r="ET314" i="100"/>
  <c r="ET299" i="100"/>
  <c r="ET9" i="100"/>
  <c r="ET171" i="100"/>
  <c r="ET311" i="100"/>
  <c r="ET318" i="100"/>
  <c r="ET77" i="100"/>
  <c r="ET330" i="100"/>
  <c r="ET163" i="100"/>
  <c r="ET319" i="100"/>
  <c r="ET172" i="100"/>
  <c r="ET71" i="100"/>
  <c r="ET176" i="100"/>
  <c r="ET334" i="100"/>
  <c r="ET178" i="100"/>
  <c r="ET181" i="100"/>
  <c r="ET196" i="100"/>
  <c r="ET25" i="100"/>
  <c r="ET201" i="100"/>
  <c r="ET164" i="100"/>
  <c r="ET72" i="100"/>
  <c r="ET43" i="100"/>
  <c r="ET292" i="100"/>
  <c r="ET300" i="100"/>
  <c r="ET320" i="100"/>
  <c r="ET22" i="100"/>
  <c r="ET189" i="100"/>
  <c r="ET203" i="100"/>
  <c r="ET289" i="100"/>
  <c r="ET200" i="100"/>
  <c r="ET179" i="100"/>
  <c r="ET185" i="100"/>
  <c r="ET10" i="100"/>
  <c r="ET199" i="100"/>
  <c r="ET337" i="100"/>
  <c r="ET309" i="100"/>
  <c r="ET301" i="100"/>
  <c r="ET321" i="100"/>
  <c r="ET290" i="100"/>
  <c r="ET322" i="100"/>
  <c r="ET24" i="100"/>
  <c r="ET64" i="100"/>
  <c r="ET75" i="100"/>
  <c r="ET21" i="100"/>
  <c r="ET197" i="100"/>
  <c r="ET206" i="100"/>
  <c r="ET159" i="100"/>
  <c r="ET16" i="100"/>
  <c r="ET180" i="100"/>
  <c r="ET188" i="100"/>
  <c r="ET182" i="100"/>
  <c r="ET166" i="100"/>
  <c r="ET333" i="100"/>
  <c r="ET323" i="100"/>
  <c r="ET298" i="100"/>
  <c r="ET204" i="100"/>
  <c r="ET191" i="100"/>
  <c r="ET38" i="100"/>
  <c r="ET20" i="100"/>
  <c r="ET14" i="100"/>
  <c r="ET13" i="100"/>
  <c r="ET202" i="100"/>
  <c r="ET317" i="100"/>
  <c r="ET41" i="100"/>
  <c r="ET288" i="100"/>
  <c r="ET39" i="100"/>
  <c r="ET76" i="100"/>
  <c r="ET186" i="100"/>
  <c r="ET315" i="100"/>
  <c r="ET302" i="100"/>
  <c r="ET325" i="100"/>
  <c r="ET308" i="100"/>
  <c r="ET328" i="100"/>
  <c r="ET33" i="100"/>
  <c r="ET37" i="100"/>
  <c r="ET69" i="100"/>
  <c r="ET313" i="100"/>
  <c r="ET30" i="100"/>
  <c r="ET327" i="100"/>
  <c r="ET35" i="100"/>
  <c r="ET175" i="100"/>
  <c r="ET15" i="100"/>
  <c r="ET174" i="100"/>
  <c r="ET27" i="100"/>
  <c r="ET184" i="100"/>
  <c r="ET187" i="100"/>
  <c r="ET207" i="100"/>
  <c r="ET66" i="100"/>
  <c r="ET329" i="100"/>
  <c r="ET167" i="100"/>
  <c r="ET18" i="100"/>
  <c r="ET65" i="100"/>
  <c r="ET31" i="100"/>
  <c r="ET158" i="100"/>
  <c r="ET11" i="100"/>
  <c r="ET332" i="100"/>
  <c r="ET307" i="100"/>
  <c r="ET312" i="100"/>
  <c r="ET303" i="100"/>
  <c r="ET316" i="100"/>
  <c r="EU7" i="100"/>
  <c r="ET336" i="100"/>
  <c r="ET295" i="100"/>
  <c r="ET19" i="100"/>
  <c r="ET70" i="100"/>
  <c r="ET34" i="100"/>
  <c r="ET326" i="100"/>
  <c r="ET193" i="100"/>
  <c r="ET173" i="100"/>
  <c r="ET305" i="100"/>
  <c r="ET297" i="100"/>
  <c r="ET26" i="100"/>
  <c r="ET17" i="100"/>
  <c r="ET310" i="100"/>
  <c r="ET198" i="100"/>
  <c r="ET161" i="100"/>
  <c r="ET68" i="100"/>
  <c r="ET293" i="100"/>
  <c r="ET169" i="100"/>
  <c r="ET28" i="100"/>
  <c r="ET335" i="100"/>
  <c r="ET331" i="100"/>
  <c r="ET160" i="100"/>
  <c r="EU62" i="100" l="1"/>
  <c r="EU44" i="100"/>
  <c r="EU51" i="100"/>
  <c r="EU63" i="100"/>
  <c r="EU46" i="100"/>
  <c r="EU53" i="100"/>
  <c r="EU59" i="100"/>
  <c r="EU54" i="100"/>
  <c r="EU60" i="100"/>
  <c r="EU61" i="100"/>
  <c r="EU49" i="100"/>
  <c r="EU55" i="100"/>
  <c r="EU57" i="100"/>
  <c r="EU48" i="100"/>
  <c r="EU50" i="100"/>
  <c r="EU45" i="100"/>
  <c r="EU58" i="100"/>
  <c r="EU56" i="100"/>
  <c r="EU47" i="100"/>
  <c r="EU52" i="100"/>
  <c r="ET339" i="100"/>
  <c r="ET79" i="100"/>
  <c r="ET78" i="100" s="1"/>
  <c r="ET209" i="100"/>
  <c r="EU17" i="100"/>
  <c r="EU35" i="100"/>
  <c r="EU187" i="100"/>
  <c r="EU158" i="100"/>
  <c r="EU181" i="100"/>
  <c r="EU159" i="100"/>
  <c r="EU314" i="100"/>
  <c r="EU333" i="100"/>
  <c r="EU19" i="100"/>
  <c r="EU24" i="100"/>
  <c r="EU13" i="100"/>
  <c r="EU316" i="100"/>
  <c r="EU34" i="100"/>
  <c r="EU75" i="100"/>
  <c r="EU207" i="100"/>
  <c r="EU310" i="100"/>
  <c r="EU166" i="100"/>
  <c r="EU318" i="100"/>
  <c r="EU175" i="100"/>
  <c r="EU41" i="100"/>
  <c r="EU67" i="100"/>
  <c r="EU15" i="100"/>
  <c r="EU32" i="100"/>
  <c r="EU291" i="100"/>
  <c r="EU300" i="100"/>
  <c r="EU304" i="100"/>
  <c r="EU330" i="100"/>
  <c r="EU192" i="100"/>
  <c r="EU43" i="100"/>
  <c r="EU309" i="100"/>
  <c r="EU77" i="100"/>
  <c r="EU317" i="100"/>
  <c r="EU69" i="100"/>
  <c r="EU64" i="100"/>
  <c r="EU203" i="100"/>
  <c r="EU76" i="100"/>
  <c r="EU27" i="100"/>
  <c r="EU29" i="100"/>
  <c r="EU14" i="100"/>
  <c r="EU321" i="100"/>
  <c r="EU40" i="100"/>
  <c r="EU177" i="100"/>
  <c r="EU8" i="100"/>
  <c r="EU296" i="100"/>
  <c r="EU294" i="100"/>
  <c r="EU37" i="100"/>
  <c r="EU10" i="100"/>
  <c r="EU66" i="100"/>
  <c r="EU163" i="100"/>
  <c r="EU194" i="100"/>
  <c r="EU186" i="100"/>
  <c r="EU329" i="100"/>
  <c r="EU288" i="100"/>
  <c r="EU325" i="100"/>
  <c r="EU322" i="100"/>
  <c r="EU73" i="100"/>
  <c r="EU165" i="100"/>
  <c r="EU185" i="100"/>
  <c r="EU308" i="100"/>
  <c r="EU196" i="100"/>
  <c r="EU293" i="100"/>
  <c r="EU174" i="100"/>
  <c r="EU39" i="100"/>
  <c r="EU169" i="100"/>
  <c r="EU183" i="100"/>
  <c r="EU22" i="100"/>
  <c r="EU336" i="100"/>
  <c r="EU297" i="100"/>
  <c r="EU170" i="100"/>
  <c r="EU176" i="100"/>
  <c r="EU334" i="100"/>
  <c r="EU193" i="100"/>
  <c r="EU206" i="100"/>
  <c r="EU204" i="100"/>
  <c r="EU319" i="100"/>
  <c r="EU161" i="100"/>
  <c r="EU295" i="100"/>
  <c r="EU25" i="100"/>
  <c r="EU302" i="100"/>
  <c r="EU21" i="100"/>
  <c r="EU160" i="100"/>
  <c r="EU65" i="100"/>
  <c r="EU301" i="100"/>
  <c r="EU179" i="100"/>
  <c r="EU303" i="100"/>
  <c r="EU312" i="100"/>
  <c r="EU299" i="100"/>
  <c r="EU68" i="100"/>
  <c r="EU189" i="100"/>
  <c r="EU335" i="100"/>
  <c r="EU11" i="100"/>
  <c r="EU42" i="100"/>
  <c r="EU162" i="100"/>
  <c r="EU23" i="100"/>
  <c r="EU38" i="100"/>
  <c r="EU195" i="100"/>
  <c r="EU74" i="100"/>
  <c r="EU289" i="100"/>
  <c r="EU172" i="100"/>
  <c r="EU12" i="100"/>
  <c r="EU199" i="100"/>
  <c r="EU70" i="100"/>
  <c r="EU31" i="100"/>
  <c r="EU290" i="100"/>
  <c r="EU205" i="100"/>
  <c r="EU200" i="100"/>
  <c r="EU190" i="100"/>
  <c r="EU323" i="100"/>
  <c r="EU327" i="100"/>
  <c r="EU18" i="100"/>
  <c r="EU324" i="100"/>
  <c r="EU30" i="100"/>
  <c r="EU315" i="100"/>
  <c r="EU36" i="100"/>
  <c r="EU307" i="100"/>
  <c r="EU9" i="100"/>
  <c r="EU306" i="100"/>
  <c r="EU198" i="100"/>
  <c r="EU16" i="100"/>
  <c r="EU171" i="100"/>
  <c r="EU33" i="100"/>
  <c r="EU71" i="100"/>
  <c r="EU26" i="100"/>
  <c r="EU173" i="100"/>
  <c r="EU311" i="100"/>
  <c r="EU188" i="100"/>
  <c r="EU178" i="100"/>
  <c r="EU331" i="100"/>
  <c r="EU167" i="100"/>
  <c r="EU72" i="100"/>
  <c r="EU292" i="100"/>
  <c r="EU326" i="100"/>
  <c r="EU28" i="100"/>
  <c r="EU320" i="100"/>
  <c r="EU180" i="100"/>
  <c r="EU184" i="100"/>
  <c r="EU168" i="100"/>
  <c r="EU201" i="100"/>
  <c r="EU20" i="100"/>
  <c r="EU337" i="100"/>
  <c r="EU313" i="100"/>
  <c r="EU298" i="100"/>
  <c r="EU202" i="100"/>
  <c r="EU328" i="100"/>
  <c r="EV7" i="100"/>
  <c r="EU191" i="100"/>
  <c r="EU182" i="100"/>
  <c r="EU332" i="100"/>
  <c r="EU197" i="100"/>
  <c r="EU164" i="100"/>
  <c r="EU305" i="100"/>
  <c r="EV49" i="100" l="1"/>
  <c r="EV52" i="100"/>
  <c r="EV59" i="100"/>
  <c r="EV62" i="100"/>
  <c r="EV46" i="100"/>
  <c r="EV63" i="100"/>
  <c r="EV44" i="100"/>
  <c r="EV48" i="100"/>
  <c r="EV56" i="100"/>
  <c r="EV47" i="100"/>
  <c r="EV53" i="100"/>
  <c r="EV58" i="100"/>
  <c r="EV50" i="100"/>
  <c r="EV55" i="100"/>
  <c r="EV57" i="100"/>
  <c r="EV54" i="100"/>
  <c r="EV51" i="100"/>
  <c r="EV45" i="100"/>
  <c r="EV60" i="100"/>
  <c r="EV61" i="100"/>
  <c r="EU209" i="100"/>
  <c r="EU79" i="100"/>
  <c r="EU78" i="100" s="1"/>
  <c r="EU339" i="100"/>
  <c r="EV23" i="100"/>
  <c r="EV302" i="100"/>
  <c r="EV308" i="100"/>
  <c r="EV307" i="100"/>
  <c r="EV294" i="100"/>
  <c r="EV25" i="100"/>
  <c r="EV35" i="100"/>
  <c r="EV288" i="100"/>
  <c r="EV37" i="100"/>
  <c r="EV199" i="100"/>
  <c r="EV10" i="100"/>
  <c r="EV73" i="100"/>
  <c r="EV32" i="100"/>
  <c r="EV320" i="100"/>
  <c r="EV299" i="100"/>
  <c r="EV192" i="100"/>
  <c r="EV206" i="100"/>
  <c r="EV9" i="100"/>
  <c r="EV168" i="100"/>
  <c r="EV337" i="100"/>
  <c r="EV336" i="100"/>
  <c r="EV158" i="100"/>
  <c r="EV301" i="100"/>
  <c r="EV191" i="100"/>
  <c r="EV335" i="100"/>
  <c r="EV330" i="100"/>
  <c r="EV20" i="100"/>
  <c r="EV178" i="100"/>
  <c r="EV196" i="100"/>
  <c r="EV33" i="100"/>
  <c r="EV34" i="100"/>
  <c r="EV68" i="100"/>
  <c r="EV19" i="100"/>
  <c r="EV203" i="100"/>
  <c r="EV185" i="100"/>
  <c r="EV323" i="100"/>
  <c r="EV27" i="100"/>
  <c r="EV290" i="100"/>
  <c r="EV329" i="100"/>
  <c r="EV14" i="100"/>
  <c r="EV317" i="100"/>
  <c r="EV311" i="100"/>
  <c r="EV334" i="100"/>
  <c r="EV29" i="100"/>
  <c r="EV198" i="100"/>
  <c r="EV295" i="100"/>
  <c r="EV74" i="100"/>
  <c r="EV24" i="100"/>
  <c r="EV305" i="100"/>
  <c r="EV66" i="100"/>
  <c r="EV169" i="100"/>
  <c r="EV40" i="100"/>
  <c r="EV296" i="100"/>
  <c r="EV165" i="100"/>
  <c r="EV325" i="100"/>
  <c r="EV322" i="100"/>
  <c r="EV310" i="100"/>
  <c r="EV170" i="100"/>
  <c r="EV207" i="100"/>
  <c r="EV300" i="100"/>
  <c r="EV194" i="100"/>
  <c r="EV188" i="100"/>
  <c r="EV8" i="100"/>
  <c r="EV36" i="100"/>
  <c r="EW7" i="100"/>
  <c r="EV42" i="100"/>
  <c r="EV313" i="100"/>
  <c r="EV159" i="100"/>
  <c r="EV65" i="100"/>
  <c r="EV38" i="100"/>
  <c r="EV41" i="100"/>
  <c r="EV12" i="100"/>
  <c r="EV181" i="100"/>
  <c r="EV67" i="100"/>
  <c r="EV28" i="100"/>
  <c r="EV18" i="100"/>
  <c r="EV179" i="100"/>
  <c r="EV76" i="100"/>
  <c r="EV332" i="100"/>
  <c r="EV201" i="100"/>
  <c r="EV303" i="100"/>
  <c r="EV173" i="100"/>
  <c r="EV75" i="100"/>
  <c r="EV172" i="100"/>
  <c r="EV180" i="100"/>
  <c r="EV182" i="100"/>
  <c r="EV193" i="100"/>
  <c r="EV183" i="100"/>
  <c r="EV186" i="100"/>
  <c r="EV15" i="100"/>
  <c r="EV72" i="100"/>
  <c r="EV43" i="100"/>
  <c r="EV304" i="100"/>
  <c r="EV314" i="100"/>
  <c r="EV197" i="100"/>
  <c r="EV21" i="100"/>
  <c r="EV17" i="100"/>
  <c r="EV297" i="100"/>
  <c r="EV309" i="100"/>
  <c r="EV292" i="100"/>
  <c r="EV71" i="100"/>
  <c r="EV333" i="100"/>
  <c r="EV16" i="100"/>
  <c r="EV26" i="100"/>
  <c r="EV291" i="100"/>
  <c r="EV70" i="100"/>
  <c r="EV306" i="100"/>
  <c r="EV318" i="100"/>
  <c r="EV64" i="100"/>
  <c r="EV162" i="100"/>
  <c r="EV327" i="100"/>
  <c r="EV167" i="100"/>
  <c r="EV202" i="100"/>
  <c r="EV184" i="100"/>
  <c r="EV312" i="100"/>
  <c r="EV321" i="100"/>
  <c r="EV163" i="100"/>
  <c r="EV22" i="100"/>
  <c r="EV298" i="100"/>
  <c r="EV331" i="100"/>
  <c r="EV31" i="100"/>
  <c r="EV328" i="100"/>
  <c r="EV289" i="100"/>
  <c r="EV187" i="100"/>
  <c r="EV190" i="100"/>
  <c r="EV205" i="100"/>
  <c r="EV195" i="100"/>
  <c r="EV13" i="100"/>
  <c r="EV315" i="100"/>
  <c r="EV324" i="100"/>
  <c r="EV77" i="100"/>
  <c r="EV326" i="100"/>
  <c r="EV200" i="100"/>
  <c r="EV160" i="100"/>
  <c r="EV171" i="100"/>
  <c r="EV164" i="100"/>
  <c r="EV177" i="100"/>
  <c r="EV319" i="100"/>
  <c r="EV175" i="100"/>
  <c r="EV69" i="100"/>
  <c r="EV293" i="100"/>
  <c r="EV204" i="100"/>
  <c r="EV161" i="100"/>
  <c r="EV30" i="100"/>
  <c r="EV11" i="100"/>
  <c r="EV166" i="100"/>
  <c r="EV39" i="100"/>
  <c r="EV174" i="100"/>
  <c r="EV316" i="100"/>
  <c r="EV189" i="100"/>
  <c r="EV176" i="100"/>
  <c r="EW59" i="100" l="1"/>
  <c r="EW54" i="100"/>
  <c r="EW63" i="100"/>
  <c r="EW51" i="100"/>
  <c r="EW57" i="100"/>
  <c r="EW46" i="100"/>
  <c r="EW44" i="100"/>
  <c r="EW62" i="100"/>
  <c r="EW58" i="100"/>
  <c r="EW49" i="100"/>
  <c r="EW56" i="100"/>
  <c r="EW61" i="100"/>
  <c r="EW55" i="100"/>
  <c r="EW48" i="100"/>
  <c r="EW60" i="100"/>
  <c r="EW53" i="100"/>
  <c r="EW52" i="100"/>
  <c r="EW47" i="100"/>
  <c r="EW50" i="100"/>
  <c r="EW45" i="100"/>
  <c r="EV209" i="100"/>
  <c r="EV79" i="100"/>
  <c r="EV78" i="100" s="1"/>
  <c r="EV339" i="100"/>
  <c r="EW160" i="100"/>
  <c r="EW317" i="100"/>
  <c r="EW333" i="100"/>
  <c r="EW171" i="100"/>
  <c r="EW68" i="100"/>
  <c r="EW166" i="100"/>
  <c r="EW288" i="100"/>
  <c r="EW316" i="100"/>
  <c r="EW13" i="100"/>
  <c r="EW73" i="100"/>
  <c r="EW35" i="100"/>
  <c r="EW18" i="100"/>
  <c r="EW168" i="100"/>
  <c r="EW175" i="100"/>
  <c r="EW14" i="100"/>
  <c r="EW313" i="100"/>
  <c r="EW184" i="100"/>
  <c r="EW187" i="100"/>
  <c r="EW200" i="100"/>
  <c r="EW39" i="100"/>
  <c r="EW23" i="100"/>
  <c r="EW308" i="100"/>
  <c r="EW69" i="100"/>
  <c r="EW330" i="100"/>
  <c r="EW72" i="100"/>
  <c r="EW293" i="100"/>
  <c r="EW20" i="100"/>
  <c r="EW335" i="100"/>
  <c r="EW310" i="100"/>
  <c r="EW34" i="100"/>
  <c r="EW65" i="100"/>
  <c r="EW33" i="100"/>
  <c r="EW327" i="100"/>
  <c r="EW11" i="100"/>
  <c r="EW309" i="100"/>
  <c r="EW67" i="100"/>
  <c r="EW202" i="100"/>
  <c r="EW297" i="100"/>
  <c r="EW312" i="100"/>
  <c r="EW314" i="100"/>
  <c r="EW301" i="100"/>
  <c r="EW298" i="100"/>
  <c r="EW319" i="100"/>
  <c r="EW322" i="100"/>
  <c r="EW305" i="100"/>
  <c r="EW311" i="100"/>
  <c r="EW177" i="100"/>
  <c r="EW186" i="100"/>
  <c r="EW76" i="100"/>
  <c r="EW19" i="100"/>
  <c r="EW41" i="100"/>
  <c r="EW197" i="100"/>
  <c r="EW326" i="100"/>
  <c r="EW291" i="100"/>
  <c r="EW182" i="100"/>
  <c r="EW318" i="100"/>
  <c r="EW179" i="100"/>
  <c r="EW289" i="100"/>
  <c r="EW295" i="100"/>
  <c r="EW24" i="100"/>
  <c r="EW180" i="100"/>
  <c r="EW328" i="100"/>
  <c r="EW188" i="100"/>
  <c r="EW296" i="100"/>
  <c r="EW25" i="100"/>
  <c r="EW66" i="100"/>
  <c r="EW206" i="100"/>
  <c r="EW8" i="100"/>
  <c r="EW158" i="100"/>
  <c r="EW194" i="100"/>
  <c r="EW15" i="100"/>
  <c r="EW165" i="100"/>
  <c r="EW77" i="100"/>
  <c r="EW193" i="100"/>
  <c r="EW336" i="100"/>
  <c r="EW70" i="100"/>
  <c r="EW207" i="100"/>
  <c r="EW302" i="100"/>
  <c r="EW300" i="100"/>
  <c r="EW192" i="100"/>
  <c r="EW323" i="100"/>
  <c r="EW28" i="100"/>
  <c r="EW303" i="100"/>
  <c r="EW195" i="100"/>
  <c r="EW170" i="100"/>
  <c r="EW191" i="100"/>
  <c r="EW321" i="100"/>
  <c r="EW183" i="100"/>
  <c r="EW40" i="100"/>
  <c r="EW198" i="100"/>
  <c r="EW9" i="100"/>
  <c r="EW307" i="100"/>
  <c r="EW189" i="100"/>
  <c r="EW159" i="100"/>
  <c r="EW178" i="100"/>
  <c r="EW74" i="100"/>
  <c r="EW32" i="100"/>
  <c r="EW329" i="100"/>
  <c r="EW26" i="100"/>
  <c r="EW315" i="100"/>
  <c r="EW174" i="100"/>
  <c r="EW181" i="100"/>
  <c r="EW290" i="100"/>
  <c r="EW199" i="100"/>
  <c r="EW10" i="100"/>
  <c r="EW172" i="100"/>
  <c r="EW332" i="100"/>
  <c r="EW17" i="100"/>
  <c r="EW299" i="100"/>
  <c r="EW71" i="100"/>
  <c r="EW292" i="100"/>
  <c r="EW320" i="100"/>
  <c r="EW12" i="100"/>
  <c r="EW173" i="100"/>
  <c r="EW331" i="100"/>
  <c r="EW161" i="100"/>
  <c r="EW21" i="100"/>
  <c r="EW27" i="100"/>
  <c r="EW64" i="100"/>
  <c r="EW75" i="100"/>
  <c r="EW163" i="100"/>
  <c r="EW31" i="100"/>
  <c r="EW185" i="100"/>
  <c r="EW205" i="100"/>
  <c r="EW162" i="100"/>
  <c r="EW167" i="100"/>
  <c r="EW306" i="100"/>
  <c r="EW324" i="100"/>
  <c r="EW196" i="100"/>
  <c r="EW164" i="100"/>
  <c r="EW42" i="100"/>
  <c r="EW37" i="100"/>
  <c r="EW203" i="100"/>
  <c r="EW190" i="100"/>
  <c r="EW38" i="100"/>
  <c r="EW36" i="100"/>
  <c r="EW337" i="100"/>
  <c r="EW30" i="100"/>
  <c r="EW29" i="100"/>
  <c r="EW201" i="100"/>
  <c r="EW43" i="100"/>
  <c r="EW334" i="100"/>
  <c r="EW294" i="100"/>
  <c r="EW204" i="100"/>
  <c r="EX7" i="100"/>
  <c r="EW304" i="100"/>
  <c r="EW176" i="100"/>
  <c r="EW16" i="100"/>
  <c r="EW325" i="100"/>
  <c r="EW22" i="100"/>
  <c r="EW169" i="100"/>
  <c r="EX63" i="100" l="1"/>
  <c r="EX46" i="100"/>
  <c r="EX44" i="100"/>
  <c r="EX62" i="100"/>
  <c r="EX53" i="100"/>
  <c r="EX54" i="100"/>
  <c r="EX56" i="100"/>
  <c r="EX45" i="100"/>
  <c r="EX48" i="100"/>
  <c r="EX61" i="100"/>
  <c r="EX50" i="100"/>
  <c r="EX60" i="100"/>
  <c r="EX55" i="100"/>
  <c r="EX51" i="100"/>
  <c r="EX57" i="100"/>
  <c r="EX58" i="100"/>
  <c r="EX52" i="100"/>
  <c r="EX59" i="100"/>
  <c r="EX49" i="100"/>
  <c r="EX47" i="100"/>
  <c r="EW79" i="100"/>
  <c r="EW78" i="100" s="1"/>
  <c r="EW339" i="100"/>
  <c r="EW209" i="100"/>
  <c r="EX8" i="100"/>
  <c r="EX71" i="100"/>
  <c r="EX190" i="100"/>
  <c r="EX293" i="100"/>
  <c r="EX14" i="100"/>
  <c r="EX35" i="100"/>
  <c r="EX76" i="100"/>
  <c r="EX36" i="100"/>
  <c r="EX15" i="100"/>
  <c r="EX41" i="100"/>
  <c r="EX34" i="100"/>
  <c r="EX187" i="100"/>
  <c r="EX40" i="100"/>
  <c r="EX200" i="100"/>
  <c r="EX321" i="100"/>
  <c r="EX165" i="100"/>
  <c r="EX322" i="100"/>
  <c r="EX22" i="100"/>
  <c r="EX195" i="100"/>
  <c r="EX193" i="100"/>
  <c r="EX301" i="100"/>
  <c r="EX294" i="100"/>
  <c r="EX65" i="100"/>
  <c r="EX69" i="100"/>
  <c r="EY7" i="100"/>
  <c r="EX336" i="100"/>
  <c r="EX296" i="100"/>
  <c r="EX197" i="100"/>
  <c r="EX192" i="100"/>
  <c r="EX326" i="100"/>
  <c r="EX292" i="100"/>
  <c r="EX335" i="100"/>
  <c r="EX17" i="100"/>
  <c r="EX183" i="100"/>
  <c r="EX330" i="100"/>
  <c r="EX309" i="100"/>
  <c r="EX202" i="100"/>
  <c r="EX206" i="100"/>
  <c r="EX37" i="100"/>
  <c r="EX74" i="100"/>
  <c r="EX163" i="100"/>
  <c r="EX203" i="100"/>
  <c r="EX185" i="100"/>
  <c r="EX25" i="100"/>
  <c r="EX66" i="100"/>
  <c r="EX318" i="100"/>
  <c r="EX194" i="100"/>
  <c r="EX306" i="100"/>
  <c r="EX9" i="100"/>
  <c r="EX21" i="100"/>
  <c r="EX303" i="100"/>
  <c r="EX160" i="100"/>
  <c r="EX334" i="100"/>
  <c r="EX161" i="100"/>
  <c r="EX38" i="100"/>
  <c r="EX299" i="100"/>
  <c r="EX28" i="100"/>
  <c r="EX319" i="100"/>
  <c r="EX23" i="100"/>
  <c r="EX325" i="100"/>
  <c r="EX297" i="100"/>
  <c r="EX305" i="100"/>
  <c r="EX178" i="100"/>
  <c r="EX189" i="100"/>
  <c r="EX20" i="100"/>
  <c r="EX10" i="100"/>
  <c r="EX43" i="100"/>
  <c r="EX337" i="100"/>
  <c r="EX29" i="100"/>
  <c r="EX70" i="100"/>
  <c r="EX196" i="100"/>
  <c r="EX158" i="100"/>
  <c r="EX316" i="100"/>
  <c r="EX313" i="100"/>
  <c r="EX312" i="100"/>
  <c r="EX289" i="100"/>
  <c r="EX320" i="100"/>
  <c r="EX177" i="100"/>
  <c r="EX205" i="100"/>
  <c r="EX295" i="100"/>
  <c r="EX181" i="100"/>
  <c r="EX26" i="100"/>
  <c r="EX179" i="100"/>
  <c r="EX11" i="100"/>
  <c r="EX317" i="100"/>
  <c r="EX207" i="100"/>
  <c r="EX188" i="100"/>
  <c r="EX182" i="100"/>
  <c r="EX72" i="100"/>
  <c r="EX168" i="100"/>
  <c r="EX173" i="100"/>
  <c r="EX291" i="100"/>
  <c r="EX324" i="100"/>
  <c r="EX18" i="100"/>
  <c r="EX19" i="100"/>
  <c r="EX167" i="100"/>
  <c r="EX30" i="100"/>
  <c r="EX300" i="100"/>
  <c r="EX308" i="100"/>
  <c r="EX166" i="100"/>
  <c r="EX186" i="100"/>
  <c r="EX75" i="100"/>
  <c r="EX290" i="100"/>
  <c r="EX174" i="100"/>
  <c r="EX311" i="100"/>
  <c r="EX298" i="100"/>
  <c r="EX162" i="100"/>
  <c r="EX176" i="100"/>
  <c r="EX39" i="100"/>
  <c r="EX73" i="100"/>
  <c r="EX172" i="100"/>
  <c r="EX64" i="100"/>
  <c r="EX333" i="100"/>
  <c r="EX184" i="100"/>
  <c r="EX302" i="100"/>
  <c r="EX307" i="100"/>
  <c r="EX33" i="100"/>
  <c r="EX310" i="100"/>
  <c r="EX13" i="100"/>
  <c r="EX31" i="100"/>
  <c r="EX327" i="100"/>
  <c r="EX180" i="100"/>
  <c r="EX164" i="100"/>
  <c r="EX198" i="100"/>
  <c r="EX331" i="100"/>
  <c r="EX199" i="100"/>
  <c r="EX332" i="100"/>
  <c r="EX24" i="100"/>
  <c r="EX16" i="100"/>
  <c r="EX175" i="100"/>
  <c r="EX159" i="100"/>
  <c r="EX27" i="100"/>
  <c r="EX77" i="100"/>
  <c r="EX304" i="100"/>
  <c r="EX32" i="100"/>
  <c r="EX191" i="100"/>
  <c r="EX68" i="100"/>
  <c r="EX323" i="100"/>
  <c r="EX67" i="100"/>
  <c r="EX201" i="100"/>
  <c r="EX12" i="100"/>
  <c r="EX171" i="100"/>
  <c r="EX204" i="100"/>
  <c r="EX169" i="100"/>
  <c r="EX315" i="100"/>
  <c r="EX42" i="100"/>
  <c r="EX314" i="100"/>
  <c r="EX288" i="100"/>
  <c r="EX328" i="100"/>
  <c r="EX170" i="100"/>
  <c r="EX329" i="100"/>
  <c r="EY49" i="100" l="1"/>
  <c r="EY63" i="100"/>
  <c r="EY44" i="100"/>
  <c r="EY58" i="100"/>
  <c r="EY62" i="100"/>
  <c r="EY46" i="100"/>
  <c r="EY60" i="100"/>
  <c r="EY54" i="100"/>
  <c r="EY48" i="100"/>
  <c r="EY57" i="100"/>
  <c r="EY53" i="100"/>
  <c r="EY50" i="100"/>
  <c r="EY56" i="100"/>
  <c r="EY61" i="100"/>
  <c r="EY51" i="100"/>
  <c r="EY59" i="100"/>
  <c r="EY45" i="100"/>
  <c r="EY47" i="100"/>
  <c r="EY52" i="100"/>
  <c r="EY55" i="100"/>
  <c r="EX209" i="100"/>
  <c r="EX339" i="100"/>
  <c r="EX79" i="100"/>
  <c r="EX78" i="100" s="1"/>
  <c r="EY205" i="100"/>
  <c r="EY14" i="100"/>
  <c r="EY334" i="100"/>
  <c r="EY29" i="100"/>
  <c r="EY294" i="100"/>
  <c r="EY199" i="100"/>
  <c r="EZ7" i="100"/>
  <c r="EY17" i="100"/>
  <c r="EY194" i="100"/>
  <c r="EY203" i="100"/>
  <c r="EY293" i="100"/>
  <c r="EY326" i="100"/>
  <c r="EY196" i="100"/>
  <c r="EY179" i="100"/>
  <c r="EY200" i="100"/>
  <c r="EY71" i="100"/>
  <c r="EY77" i="100"/>
  <c r="EY41" i="100"/>
  <c r="EY318" i="100"/>
  <c r="EY67" i="100"/>
  <c r="EY183" i="100"/>
  <c r="EY176" i="100"/>
  <c r="EY11" i="100"/>
  <c r="EY22" i="100"/>
  <c r="EY174" i="100"/>
  <c r="EY302" i="100"/>
  <c r="EY291" i="100"/>
  <c r="EY192" i="100"/>
  <c r="EY337" i="100"/>
  <c r="EY162" i="100"/>
  <c r="EY310" i="100"/>
  <c r="EY201" i="100"/>
  <c r="EY74" i="100"/>
  <c r="EY296" i="100"/>
  <c r="EY314" i="100"/>
  <c r="EY186" i="100"/>
  <c r="EY297" i="100"/>
  <c r="EY333" i="100"/>
  <c r="EY299" i="100"/>
  <c r="EY317" i="100"/>
  <c r="EY65" i="100"/>
  <c r="EY20" i="100"/>
  <c r="EY330" i="100"/>
  <c r="EY72" i="100"/>
  <c r="EY169" i="100"/>
  <c r="EY332" i="100"/>
  <c r="EY33" i="100"/>
  <c r="EY189" i="100"/>
  <c r="EY177" i="100"/>
  <c r="EY168" i="100"/>
  <c r="EY161" i="100"/>
  <c r="EY298" i="100"/>
  <c r="EY75" i="100"/>
  <c r="EY289" i="100"/>
  <c r="EY64" i="100"/>
  <c r="EY10" i="100"/>
  <c r="EY21" i="100"/>
  <c r="EY182" i="100"/>
  <c r="EY202" i="100"/>
  <c r="EY336" i="100"/>
  <c r="EY13" i="100"/>
  <c r="EY34" i="100"/>
  <c r="EY175" i="100"/>
  <c r="EY304" i="100"/>
  <c r="EY323" i="100"/>
  <c r="EY312" i="100"/>
  <c r="EY173" i="100"/>
  <c r="EY315" i="100"/>
  <c r="EY160" i="100"/>
  <c r="EY32" i="100"/>
  <c r="EY158" i="100"/>
  <c r="EY188" i="100"/>
  <c r="EY195" i="100"/>
  <c r="EY31" i="100"/>
  <c r="EY66" i="100"/>
  <c r="EY73" i="100"/>
  <c r="EY18" i="100"/>
  <c r="EY164" i="100"/>
  <c r="EY328" i="100"/>
  <c r="EY69" i="100"/>
  <c r="EY301" i="100"/>
  <c r="EY206" i="100"/>
  <c r="EY325" i="100"/>
  <c r="EY190" i="100"/>
  <c r="EY187" i="100"/>
  <c r="EY329" i="100"/>
  <c r="EY25" i="100"/>
  <c r="EY26" i="100"/>
  <c r="EY23" i="100"/>
  <c r="EY331" i="100"/>
  <c r="EY24" i="100"/>
  <c r="EY313" i="100"/>
  <c r="EY327" i="100"/>
  <c r="EY321" i="100"/>
  <c r="EY76" i="100"/>
  <c r="EY322" i="100"/>
  <c r="EY305" i="100"/>
  <c r="EY295" i="100"/>
  <c r="EY303" i="100"/>
  <c r="EY70" i="100"/>
  <c r="EY37" i="100"/>
  <c r="EY290" i="100"/>
  <c r="EY292" i="100"/>
  <c r="EY42" i="100"/>
  <c r="EY35" i="100"/>
  <c r="EY316" i="100"/>
  <c r="EY335" i="100"/>
  <c r="EY68" i="100"/>
  <c r="EY207" i="100"/>
  <c r="EY319" i="100"/>
  <c r="EY185" i="100"/>
  <c r="EY166" i="100"/>
  <c r="EY27" i="100"/>
  <c r="EY306" i="100"/>
  <c r="EY180" i="100"/>
  <c r="EY198" i="100"/>
  <c r="EY28" i="100"/>
  <c r="EY19" i="100"/>
  <c r="EY30" i="100"/>
  <c r="EY36" i="100"/>
  <c r="EY40" i="100"/>
  <c r="EY8" i="100"/>
  <c r="EY171" i="100"/>
  <c r="EY16" i="100"/>
  <c r="EY311" i="100"/>
  <c r="EY38" i="100"/>
  <c r="EY197" i="100"/>
  <c r="EY181" i="100"/>
  <c r="EY191" i="100"/>
  <c r="EY178" i="100"/>
  <c r="EY43" i="100"/>
  <c r="EY172" i="100"/>
  <c r="EY288" i="100"/>
  <c r="EY309" i="100"/>
  <c r="EY193" i="100"/>
  <c r="EY320" i="100"/>
  <c r="EY15" i="100"/>
  <c r="EY300" i="100"/>
  <c r="EY170" i="100"/>
  <c r="EY204" i="100"/>
  <c r="EY167" i="100"/>
  <c r="EY163" i="100"/>
  <c r="EY184" i="100"/>
  <c r="EY324" i="100"/>
  <c r="EY9" i="100"/>
  <c r="EY307" i="100"/>
  <c r="EY165" i="100"/>
  <c r="EY308" i="100"/>
  <c r="EY39" i="100"/>
  <c r="EY12" i="100"/>
  <c r="EY159" i="100"/>
  <c r="EZ45" i="100" l="1"/>
  <c r="EZ59" i="100"/>
  <c r="EZ62" i="100"/>
  <c r="EZ44" i="100"/>
  <c r="EZ51" i="100"/>
  <c r="EZ63" i="100"/>
  <c r="EZ46" i="100"/>
  <c r="EZ54" i="100"/>
  <c r="EZ61" i="100"/>
  <c r="EZ56" i="100"/>
  <c r="EZ47" i="100"/>
  <c r="EZ52" i="100"/>
  <c r="EZ53" i="100"/>
  <c r="EZ50" i="100"/>
  <c r="EZ58" i="100"/>
  <c r="EZ55" i="100"/>
  <c r="EZ60" i="100"/>
  <c r="EZ49" i="100"/>
  <c r="EZ48" i="100"/>
  <c r="EZ57" i="100"/>
  <c r="EY209" i="100"/>
  <c r="EY339" i="100"/>
  <c r="EY79" i="100"/>
  <c r="EY78" i="100" s="1"/>
  <c r="EZ159" i="100"/>
  <c r="EZ165" i="100"/>
  <c r="EZ299" i="100"/>
  <c r="EZ39" i="100"/>
  <c r="EZ22" i="100"/>
  <c r="EZ29" i="100"/>
  <c r="EZ11" i="100"/>
  <c r="EZ333" i="100"/>
  <c r="EZ191" i="100"/>
  <c r="EZ158" i="100"/>
  <c r="EZ170" i="100"/>
  <c r="EZ27" i="100"/>
  <c r="EZ8" i="100"/>
  <c r="EZ327" i="100"/>
  <c r="EZ329" i="100"/>
  <c r="EZ301" i="100"/>
  <c r="EZ316" i="100"/>
  <c r="EZ317" i="100"/>
  <c r="EZ311" i="100"/>
  <c r="EZ312" i="100"/>
  <c r="EZ34" i="100"/>
  <c r="EZ15" i="100"/>
  <c r="EZ199" i="100"/>
  <c r="EZ68" i="100"/>
  <c r="EZ168" i="100"/>
  <c r="EZ298" i="100"/>
  <c r="EZ196" i="100"/>
  <c r="EZ187" i="100"/>
  <c r="EZ179" i="100"/>
  <c r="EZ33" i="100"/>
  <c r="EZ17" i="100"/>
  <c r="EZ70" i="100"/>
  <c r="EZ38" i="100"/>
  <c r="EZ296" i="100"/>
  <c r="EZ74" i="100"/>
  <c r="EZ73" i="100"/>
  <c r="EZ325" i="100"/>
  <c r="EZ43" i="100"/>
  <c r="EZ205" i="100"/>
  <c r="EZ19" i="100"/>
  <c r="EZ76" i="100"/>
  <c r="EZ14" i="100"/>
  <c r="EZ303" i="100"/>
  <c r="EZ306" i="100"/>
  <c r="EZ294" i="100"/>
  <c r="EZ206" i="100"/>
  <c r="EZ167" i="100"/>
  <c r="EZ184" i="100"/>
  <c r="EZ185" i="100"/>
  <c r="EZ75" i="100"/>
  <c r="EZ314" i="100"/>
  <c r="EZ300" i="100"/>
  <c r="EZ313" i="100"/>
  <c r="EZ23" i="100"/>
  <c r="EZ28" i="100"/>
  <c r="EZ162" i="100"/>
  <c r="EZ304" i="100"/>
  <c r="EZ326" i="100"/>
  <c r="EZ322" i="100"/>
  <c r="EZ204" i="100"/>
  <c r="EZ160" i="100"/>
  <c r="EZ16" i="100"/>
  <c r="EZ177" i="100"/>
  <c r="EZ202" i="100"/>
  <c r="EZ31" i="100"/>
  <c r="EZ310" i="100"/>
  <c r="EZ198" i="100"/>
  <c r="EZ26" i="100"/>
  <c r="EZ166" i="100"/>
  <c r="EZ12" i="100"/>
  <c r="EZ24" i="100"/>
  <c r="EZ32" i="100"/>
  <c r="EZ320" i="100"/>
  <c r="EZ323" i="100"/>
  <c r="EZ330" i="100"/>
  <c r="EZ291" i="100"/>
  <c r="EZ188" i="100"/>
  <c r="EZ172" i="100"/>
  <c r="EZ186" i="100"/>
  <c r="EZ321" i="100"/>
  <c r="EZ290" i="100"/>
  <c r="EZ21" i="100"/>
  <c r="EZ203" i="100"/>
  <c r="EZ189" i="100"/>
  <c r="EZ174" i="100"/>
  <c r="EZ182" i="100"/>
  <c r="EZ72" i="100"/>
  <c r="EZ295" i="100"/>
  <c r="EZ164" i="100"/>
  <c r="EZ10" i="100"/>
  <c r="EZ41" i="100"/>
  <c r="EZ66" i="100"/>
  <c r="EZ30" i="100"/>
  <c r="EZ175" i="100"/>
  <c r="EZ18" i="100"/>
  <c r="EZ65" i="100"/>
  <c r="EZ36" i="100"/>
  <c r="EZ64" i="100"/>
  <c r="EZ293" i="100"/>
  <c r="EZ336" i="100"/>
  <c r="EZ302" i="100"/>
  <c r="EZ71" i="100"/>
  <c r="EZ42" i="100"/>
  <c r="EZ292" i="100"/>
  <c r="EZ9" i="100"/>
  <c r="EZ181" i="100"/>
  <c r="EZ337" i="100"/>
  <c r="EZ163" i="100"/>
  <c r="EZ201" i="100"/>
  <c r="EZ318" i="100"/>
  <c r="EZ77" i="100"/>
  <c r="EZ67" i="100"/>
  <c r="EZ332" i="100"/>
  <c r="EZ178" i="100"/>
  <c r="EZ13" i="100"/>
  <c r="EZ297" i="100"/>
  <c r="EZ309" i="100"/>
  <c r="FA7" i="100"/>
  <c r="EZ40" i="100"/>
  <c r="EZ161" i="100"/>
  <c r="EZ171" i="100"/>
  <c r="EZ183" i="100"/>
  <c r="EZ288" i="100"/>
  <c r="EZ190" i="100"/>
  <c r="EZ194" i="100"/>
  <c r="EZ319" i="100"/>
  <c r="EZ331" i="100"/>
  <c r="EZ335" i="100"/>
  <c r="EZ315" i="100"/>
  <c r="EZ193" i="100"/>
  <c r="EZ207" i="100"/>
  <c r="EZ324" i="100"/>
  <c r="EZ69" i="100"/>
  <c r="EZ307" i="100"/>
  <c r="EZ334" i="100"/>
  <c r="EZ305" i="100"/>
  <c r="EZ195" i="100"/>
  <c r="EZ328" i="100"/>
  <c r="EZ289" i="100"/>
  <c r="EZ25" i="100"/>
  <c r="EZ173" i="100"/>
  <c r="EZ35" i="100"/>
  <c r="EZ169" i="100"/>
  <c r="EZ197" i="100"/>
  <c r="EZ176" i="100"/>
  <c r="EZ37" i="100"/>
  <c r="EZ308" i="100"/>
  <c r="EZ180" i="100"/>
  <c r="EZ192" i="100"/>
  <c r="EZ20" i="100"/>
  <c r="EZ200" i="100"/>
  <c r="FA63" i="100" l="1"/>
  <c r="FA46" i="100"/>
  <c r="FA62" i="100"/>
  <c r="FA44" i="100"/>
  <c r="FA51" i="100"/>
  <c r="FA59" i="100"/>
  <c r="FA48" i="100"/>
  <c r="FA58" i="100"/>
  <c r="FA54" i="100"/>
  <c r="FA56" i="100"/>
  <c r="FA61" i="100"/>
  <c r="FA55" i="100"/>
  <c r="FA53" i="100"/>
  <c r="FA60" i="100"/>
  <c r="FA57" i="100"/>
  <c r="FA52" i="100"/>
  <c r="FA45" i="100"/>
  <c r="FA47" i="100"/>
  <c r="FA50" i="100"/>
  <c r="FA49" i="100"/>
  <c r="EZ209" i="100"/>
  <c r="EZ339" i="100"/>
  <c r="EZ79" i="100"/>
  <c r="EZ78" i="100" s="1"/>
  <c r="FA294" i="100"/>
  <c r="FA75" i="100"/>
  <c r="FA70" i="100"/>
  <c r="FA30" i="100"/>
  <c r="FA15" i="100"/>
  <c r="FA310" i="100"/>
  <c r="FA323" i="100"/>
  <c r="FA35" i="100"/>
  <c r="FA172" i="100"/>
  <c r="FA316" i="100"/>
  <c r="FA173" i="100"/>
  <c r="FA335" i="100"/>
  <c r="FA193" i="100"/>
  <c r="FA202" i="100"/>
  <c r="FA288" i="100"/>
  <c r="FA37" i="100"/>
  <c r="FA19" i="100"/>
  <c r="FA302" i="100"/>
  <c r="FA17" i="100"/>
  <c r="FA187" i="100"/>
  <c r="FA32" i="100"/>
  <c r="FA201" i="100"/>
  <c r="FA301" i="100"/>
  <c r="FA161" i="100"/>
  <c r="FA27" i="100"/>
  <c r="FA289" i="100"/>
  <c r="FA180" i="100"/>
  <c r="FA304" i="100"/>
  <c r="FA36" i="100"/>
  <c r="FA162" i="100"/>
  <c r="FA329" i="100"/>
  <c r="FA198" i="100"/>
  <c r="FA181" i="100"/>
  <c r="FA42" i="100"/>
  <c r="FA195" i="100"/>
  <c r="FA182" i="100"/>
  <c r="FA327" i="100"/>
  <c r="FA188" i="100"/>
  <c r="FA191" i="100"/>
  <c r="FA23" i="100"/>
  <c r="FA65" i="100"/>
  <c r="FA326" i="100"/>
  <c r="FA185" i="100"/>
  <c r="FA336" i="100"/>
  <c r="FA296" i="100"/>
  <c r="FA71" i="100"/>
  <c r="FA322" i="100"/>
  <c r="FA18" i="100"/>
  <c r="FA314" i="100"/>
  <c r="FA176" i="100"/>
  <c r="FA334" i="100"/>
  <c r="FA33" i="100"/>
  <c r="FA325" i="100"/>
  <c r="FA194" i="100"/>
  <c r="FA16" i="100"/>
  <c r="FA320" i="100"/>
  <c r="FA21" i="100"/>
  <c r="FA206" i="100"/>
  <c r="FA170" i="100"/>
  <c r="FA307" i="100"/>
  <c r="FA20" i="100"/>
  <c r="FA317" i="100"/>
  <c r="FA178" i="100"/>
  <c r="FA69" i="100"/>
  <c r="FA306" i="100"/>
  <c r="FA297" i="100"/>
  <c r="FA295" i="100"/>
  <c r="FA29" i="100"/>
  <c r="FA293" i="100"/>
  <c r="FA333" i="100"/>
  <c r="FA9" i="100"/>
  <c r="FA34" i="100"/>
  <c r="FA331" i="100"/>
  <c r="FA169" i="100"/>
  <c r="FA40" i="100"/>
  <c r="FA77" i="100"/>
  <c r="FA39" i="100"/>
  <c r="FA197" i="100"/>
  <c r="FA315" i="100"/>
  <c r="FA76" i="100"/>
  <c r="FA319" i="100"/>
  <c r="FB7" i="100"/>
  <c r="FA160" i="100"/>
  <c r="FA8" i="100"/>
  <c r="FA12" i="100"/>
  <c r="FA38" i="100"/>
  <c r="FA165" i="100"/>
  <c r="FA330" i="100"/>
  <c r="FA31" i="100"/>
  <c r="FA163" i="100"/>
  <c r="FA196" i="100"/>
  <c r="FA22" i="100"/>
  <c r="FA10" i="100"/>
  <c r="FA318" i="100"/>
  <c r="FA200" i="100"/>
  <c r="FA174" i="100"/>
  <c r="FA189" i="100"/>
  <c r="FA167" i="100"/>
  <c r="FA166" i="100"/>
  <c r="FA303" i="100"/>
  <c r="FA72" i="100"/>
  <c r="FA328" i="100"/>
  <c r="FA171" i="100"/>
  <c r="FA292" i="100"/>
  <c r="FA313" i="100"/>
  <c r="FA337" i="100"/>
  <c r="FA25" i="100"/>
  <c r="FA199" i="100"/>
  <c r="FA203" i="100"/>
  <c r="FA204" i="100"/>
  <c r="FA324" i="100"/>
  <c r="FA305" i="100"/>
  <c r="FA311" i="100"/>
  <c r="FA68" i="100"/>
  <c r="FA309" i="100"/>
  <c r="FA205" i="100"/>
  <c r="FA164" i="100"/>
  <c r="FA183" i="100"/>
  <c r="FA24" i="100"/>
  <c r="FA14" i="100"/>
  <c r="FA64" i="100"/>
  <c r="FA332" i="100"/>
  <c r="FA291" i="100"/>
  <c r="FA300" i="100"/>
  <c r="FA308" i="100"/>
  <c r="FA175" i="100"/>
  <c r="FA298" i="100"/>
  <c r="FA168" i="100"/>
  <c r="FA66" i="100"/>
  <c r="FA28" i="100"/>
  <c r="FA26" i="100"/>
  <c r="FA67" i="100"/>
  <c r="FA73" i="100"/>
  <c r="FA186" i="100"/>
  <c r="FA13" i="100"/>
  <c r="FA299" i="100"/>
  <c r="FA179" i="100"/>
  <c r="FA177" i="100"/>
  <c r="FA290" i="100"/>
  <c r="FA159" i="100"/>
  <c r="FA192" i="100"/>
  <c r="FA207" i="100"/>
  <c r="FA158" i="100"/>
  <c r="FA321" i="100"/>
  <c r="FA41" i="100"/>
  <c r="FA43" i="100"/>
  <c r="FA74" i="100"/>
  <c r="FA11" i="100"/>
  <c r="FA184" i="100"/>
  <c r="FA312" i="100"/>
  <c r="FA190" i="100"/>
  <c r="FB46" i="100" l="1"/>
  <c r="FB62" i="100"/>
  <c r="FB63" i="100"/>
  <c r="FB45" i="100"/>
  <c r="FB51" i="100"/>
  <c r="FB44" i="100"/>
  <c r="FB55" i="100"/>
  <c r="FB49" i="100"/>
  <c r="FB60" i="100"/>
  <c r="FB48" i="100"/>
  <c r="FB58" i="100"/>
  <c r="FB54" i="100"/>
  <c r="FB61" i="100"/>
  <c r="FB56" i="100"/>
  <c r="FB53" i="100"/>
  <c r="FB47" i="100"/>
  <c r="FB57" i="100"/>
  <c r="FB52" i="100"/>
  <c r="FB50" i="100"/>
  <c r="FB59" i="100"/>
  <c r="FA209" i="100"/>
  <c r="FA79" i="100"/>
  <c r="FA78" i="100" s="1"/>
  <c r="FA339" i="100"/>
  <c r="FB201" i="100"/>
  <c r="FB72" i="100"/>
  <c r="FB311" i="100"/>
  <c r="FB327" i="100"/>
  <c r="FB303" i="100"/>
  <c r="FB176" i="100"/>
  <c r="FB206" i="100"/>
  <c r="FB326" i="100"/>
  <c r="FB332" i="100"/>
  <c r="FB67" i="100"/>
  <c r="FB174" i="100"/>
  <c r="FB159" i="100"/>
  <c r="FB337" i="100"/>
  <c r="FB9" i="100"/>
  <c r="FB188" i="100"/>
  <c r="FB322" i="100"/>
  <c r="FB204" i="100"/>
  <c r="FB324" i="100"/>
  <c r="FB65" i="100"/>
  <c r="FB296" i="100"/>
  <c r="FB300" i="100"/>
  <c r="FB39" i="100"/>
  <c r="FB41" i="100"/>
  <c r="FB298" i="100"/>
  <c r="FB71" i="100"/>
  <c r="FB166" i="100"/>
  <c r="FB11" i="100"/>
  <c r="FB26" i="100"/>
  <c r="FB336" i="100"/>
  <c r="FB29" i="100"/>
  <c r="FB317" i="100"/>
  <c r="FB181" i="100"/>
  <c r="FB200" i="100"/>
  <c r="FB34" i="100"/>
  <c r="FB185" i="100"/>
  <c r="FB334" i="100"/>
  <c r="FB14" i="100"/>
  <c r="FB75" i="100"/>
  <c r="FB294" i="100"/>
  <c r="FB304" i="100"/>
  <c r="FB70" i="100"/>
  <c r="FB13" i="100"/>
  <c r="FB205" i="100"/>
  <c r="FB35" i="100"/>
  <c r="FB8" i="100"/>
  <c r="FB295" i="100"/>
  <c r="FB325" i="100"/>
  <c r="FB182" i="100"/>
  <c r="FB21" i="100"/>
  <c r="FB189" i="100"/>
  <c r="FB158" i="100"/>
  <c r="FB40" i="100"/>
  <c r="FB191" i="100"/>
  <c r="FB319" i="100"/>
  <c r="FB329" i="100"/>
  <c r="FB25" i="100"/>
  <c r="FB328" i="100"/>
  <c r="FB180" i="100"/>
  <c r="FB10" i="100"/>
  <c r="FB203" i="100"/>
  <c r="FB173" i="100"/>
  <c r="FB302" i="100"/>
  <c r="FB196" i="100"/>
  <c r="FB171" i="100"/>
  <c r="FB192" i="100"/>
  <c r="FB335" i="100"/>
  <c r="FB19" i="100"/>
  <c r="FB312" i="100"/>
  <c r="FB28" i="100"/>
  <c r="FB27" i="100"/>
  <c r="FB320" i="100"/>
  <c r="FB193" i="100"/>
  <c r="FB20" i="100"/>
  <c r="FB292" i="100"/>
  <c r="FB64" i="100"/>
  <c r="FB24" i="100"/>
  <c r="FB178" i="100"/>
  <c r="FB187" i="100"/>
  <c r="FB37" i="100"/>
  <c r="FB77" i="100"/>
  <c r="FB22" i="100"/>
  <c r="FB32" i="100"/>
  <c r="FB179" i="100"/>
  <c r="FB308" i="100"/>
  <c r="FB323" i="100"/>
  <c r="FB169" i="100"/>
  <c r="FB68" i="100"/>
  <c r="FB316" i="100"/>
  <c r="FB288" i="100"/>
  <c r="FB293" i="100"/>
  <c r="FB23" i="100"/>
  <c r="FB168" i="100"/>
  <c r="FB299" i="100"/>
  <c r="FB162" i="100"/>
  <c r="FB30" i="100"/>
  <c r="FB315" i="100"/>
  <c r="FB18" i="100"/>
  <c r="FB289" i="100"/>
  <c r="FB36" i="100"/>
  <c r="FB290" i="100"/>
  <c r="FB305" i="100"/>
  <c r="FB199" i="100"/>
  <c r="FB74" i="100"/>
  <c r="FB331" i="100"/>
  <c r="FB184" i="100"/>
  <c r="FB73" i="100"/>
  <c r="FB207" i="100"/>
  <c r="FB12" i="100"/>
  <c r="FB69" i="100"/>
  <c r="FB333" i="100"/>
  <c r="FB314" i="100"/>
  <c r="FB31" i="100"/>
  <c r="FB202" i="100"/>
  <c r="FB164" i="100"/>
  <c r="FB183" i="100"/>
  <c r="FB42" i="100"/>
  <c r="FB165" i="100"/>
  <c r="FB186" i="100"/>
  <c r="FB43" i="100"/>
  <c r="FB190" i="100"/>
  <c r="FB321" i="100"/>
  <c r="FB198" i="100"/>
  <c r="FB194" i="100"/>
  <c r="FB177" i="100"/>
  <c r="FB15" i="100"/>
  <c r="FB306" i="100"/>
  <c r="FB76" i="100"/>
  <c r="FB17" i="100"/>
  <c r="FB318" i="100"/>
  <c r="FB197" i="100"/>
  <c r="FB297" i="100"/>
  <c r="FB33" i="100"/>
  <c r="FB38" i="100"/>
  <c r="FB291" i="100"/>
  <c r="FB170" i="100"/>
  <c r="FB16" i="100"/>
  <c r="FB172" i="100"/>
  <c r="FC7" i="100"/>
  <c r="FB301" i="100"/>
  <c r="FB313" i="100"/>
  <c r="FB66" i="100"/>
  <c r="FB310" i="100"/>
  <c r="FB160" i="100"/>
  <c r="FB161" i="100"/>
  <c r="FB330" i="100"/>
  <c r="FB309" i="100"/>
  <c r="FB167" i="100"/>
  <c r="FB163" i="100"/>
  <c r="FB175" i="100"/>
  <c r="FB195" i="100"/>
  <c r="FB307" i="100"/>
  <c r="FC62" i="100" l="1"/>
  <c r="FC46" i="100"/>
  <c r="FC44" i="100"/>
  <c r="FC63" i="100"/>
  <c r="FC57" i="100"/>
  <c r="FC60" i="100"/>
  <c r="FC49" i="100"/>
  <c r="FC56" i="100"/>
  <c r="FC50" i="100"/>
  <c r="FC48" i="100"/>
  <c r="FC58" i="100"/>
  <c r="FC52" i="100"/>
  <c r="FC54" i="100"/>
  <c r="FC47" i="100"/>
  <c r="FC45" i="100"/>
  <c r="FC53" i="100"/>
  <c r="FC55" i="100"/>
  <c r="FC61" i="100"/>
  <c r="FC51" i="100"/>
  <c r="FC59" i="100"/>
  <c r="FB209" i="100"/>
  <c r="FB339" i="100"/>
  <c r="FB79" i="100"/>
  <c r="FB78" i="100" s="1"/>
  <c r="FC65" i="100"/>
  <c r="FC198" i="100"/>
  <c r="FC318" i="100"/>
  <c r="FC172" i="100"/>
  <c r="FC15" i="100"/>
  <c r="FC35" i="100"/>
  <c r="FC173" i="100"/>
  <c r="FC36" i="100"/>
  <c r="FC14" i="100"/>
  <c r="FC163" i="100"/>
  <c r="FC323" i="100"/>
  <c r="FC307" i="100"/>
  <c r="FC183" i="100"/>
  <c r="FC160" i="100"/>
  <c r="FC315" i="100"/>
  <c r="FC206" i="100"/>
  <c r="FC309" i="100"/>
  <c r="FC304" i="100"/>
  <c r="FC186" i="100"/>
  <c r="FC66" i="100"/>
  <c r="FC292" i="100"/>
  <c r="FC76" i="100"/>
  <c r="FC203" i="100"/>
  <c r="FC334" i="100"/>
  <c r="FC164" i="100"/>
  <c r="FC75" i="100"/>
  <c r="FC328" i="100"/>
  <c r="FC196" i="100"/>
  <c r="FC192" i="100"/>
  <c r="FC32" i="100"/>
  <c r="FC327" i="100"/>
  <c r="FC27" i="100"/>
  <c r="FC330" i="100"/>
  <c r="FC19" i="100"/>
  <c r="FC300" i="100"/>
  <c r="FC185" i="100"/>
  <c r="FC293" i="100"/>
  <c r="FC311" i="100"/>
  <c r="FC31" i="100"/>
  <c r="FC10" i="100"/>
  <c r="FC190" i="100"/>
  <c r="FC43" i="100"/>
  <c r="FC189" i="100"/>
  <c r="FC30" i="100"/>
  <c r="FC161" i="100"/>
  <c r="FC294" i="100"/>
  <c r="FC207" i="100"/>
  <c r="FC37" i="100"/>
  <c r="FC321" i="100"/>
  <c r="FC26" i="100"/>
  <c r="FC22" i="100"/>
  <c r="FC175" i="100"/>
  <c r="FC303" i="100"/>
  <c r="FC39" i="100"/>
  <c r="FC308" i="100"/>
  <c r="FC170" i="100"/>
  <c r="FC182" i="100"/>
  <c r="FC166" i="100"/>
  <c r="FC74" i="100"/>
  <c r="FC18" i="100"/>
  <c r="FC337" i="100"/>
  <c r="FC28" i="100"/>
  <c r="FC178" i="100"/>
  <c r="FC202" i="100"/>
  <c r="FC73" i="100"/>
  <c r="FC34" i="100"/>
  <c r="FC191" i="100"/>
  <c r="FC24" i="100"/>
  <c r="FC306" i="100"/>
  <c r="FC167" i="100"/>
  <c r="FC168" i="100"/>
  <c r="FC13" i="100"/>
  <c r="FC289" i="100"/>
  <c r="FC180" i="100"/>
  <c r="FC158" i="100"/>
  <c r="FC288" i="100"/>
  <c r="FC310" i="100"/>
  <c r="FC297" i="100"/>
  <c r="FC72" i="100"/>
  <c r="FC187" i="100"/>
  <c r="FC197" i="100"/>
  <c r="FC332" i="100"/>
  <c r="FC9" i="100"/>
  <c r="FC331" i="100"/>
  <c r="FC174" i="100"/>
  <c r="FC42" i="100"/>
  <c r="FC38" i="100"/>
  <c r="FC40" i="100"/>
  <c r="FC314" i="100"/>
  <c r="FC201" i="100"/>
  <c r="FC329" i="100"/>
  <c r="FC301" i="100"/>
  <c r="FC171" i="100"/>
  <c r="FC322" i="100"/>
  <c r="FC195" i="100"/>
  <c r="FC181" i="100"/>
  <c r="FC17" i="100"/>
  <c r="FC77" i="100"/>
  <c r="FC169" i="100"/>
  <c r="FC205" i="100"/>
  <c r="FC21" i="100"/>
  <c r="FC70" i="100"/>
  <c r="FC316" i="100"/>
  <c r="FC305" i="100"/>
  <c r="FC165" i="100"/>
  <c r="FC184" i="100"/>
  <c r="FC29" i="100"/>
  <c r="FC12" i="100"/>
  <c r="FC8" i="100"/>
  <c r="FC317" i="100"/>
  <c r="FC296" i="100"/>
  <c r="FC326" i="100"/>
  <c r="FC11" i="100"/>
  <c r="FC320" i="100"/>
  <c r="FC290" i="100"/>
  <c r="FC69" i="100"/>
  <c r="FC33" i="100"/>
  <c r="FC319" i="100"/>
  <c r="FC67" i="100"/>
  <c r="FC291" i="100"/>
  <c r="FC71" i="100"/>
  <c r="FC20" i="100"/>
  <c r="FC41" i="100"/>
  <c r="FC312" i="100"/>
  <c r="FC299" i="100"/>
  <c r="FC176" i="100"/>
  <c r="FC188" i="100"/>
  <c r="FC204" i="100"/>
  <c r="FC325" i="100"/>
  <c r="FC298" i="100"/>
  <c r="FC193" i="100"/>
  <c r="FC64" i="100"/>
  <c r="FC194" i="100"/>
  <c r="FC16" i="100"/>
  <c r="FC159" i="100"/>
  <c r="FC302" i="100"/>
  <c r="FD7" i="100"/>
  <c r="FC336" i="100"/>
  <c r="FC179" i="100"/>
  <c r="FC335" i="100"/>
  <c r="FC177" i="100"/>
  <c r="FC324" i="100"/>
  <c r="FC68" i="100"/>
  <c r="FC23" i="100"/>
  <c r="FC200" i="100"/>
  <c r="FC199" i="100"/>
  <c r="FC295" i="100"/>
  <c r="FC162" i="100"/>
  <c r="FC25" i="100"/>
  <c r="FC313" i="100"/>
  <c r="FC333" i="100"/>
  <c r="FD44" i="100" l="1"/>
  <c r="FD46" i="100"/>
  <c r="FD63" i="100"/>
  <c r="FD59" i="100"/>
  <c r="FD62" i="100"/>
  <c r="FD53" i="100"/>
  <c r="FD57" i="100"/>
  <c r="FD58" i="100"/>
  <c r="FD56" i="100"/>
  <c r="FD50" i="100"/>
  <c r="FD45" i="100"/>
  <c r="FD61" i="100"/>
  <c r="FD55" i="100"/>
  <c r="FD47" i="100"/>
  <c r="FD49" i="100"/>
  <c r="FD51" i="100"/>
  <c r="FD48" i="100"/>
  <c r="FD60" i="100"/>
  <c r="FD52" i="100"/>
  <c r="FD54" i="100"/>
  <c r="FC209" i="100"/>
  <c r="FC79" i="100"/>
  <c r="FC78" i="100" s="1"/>
  <c r="FC339" i="100"/>
  <c r="FD43" i="100"/>
  <c r="FD160" i="100"/>
  <c r="FD174" i="100"/>
  <c r="FD323" i="100"/>
  <c r="FD161" i="100"/>
  <c r="FD162" i="100"/>
  <c r="FD38" i="100"/>
  <c r="FD23" i="100"/>
  <c r="FD320" i="100"/>
  <c r="FD165" i="100"/>
  <c r="FD292" i="100"/>
  <c r="FD176" i="100"/>
  <c r="FD177" i="100"/>
  <c r="FD321" i="100"/>
  <c r="FD181" i="100"/>
  <c r="FD27" i="100"/>
  <c r="FD76" i="100"/>
  <c r="FD167" i="100"/>
  <c r="FD33" i="100"/>
  <c r="FD37" i="100"/>
  <c r="FD69" i="100"/>
  <c r="FD197" i="100"/>
  <c r="FD168" i="100"/>
  <c r="FD305" i="100"/>
  <c r="FD36" i="100"/>
  <c r="FD16" i="100"/>
  <c r="FD318" i="100"/>
  <c r="FD189" i="100"/>
  <c r="FD307" i="100"/>
  <c r="FD207" i="100"/>
  <c r="FD40" i="100"/>
  <c r="FD75" i="100"/>
  <c r="FD293" i="100"/>
  <c r="FD317" i="100"/>
  <c r="FD195" i="100"/>
  <c r="FD13" i="100"/>
  <c r="FD184" i="100"/>
  <c r="FD172" i="100"/>
  <c r="FD337" i="100"/>
  <c r="FD300" i="100"/>
  <c r="FD304" i="100"/>
  <c r="FD299" i="100"/>
  <c r="FD329" i="100"/>
  <c r="FD194" i="100"/>
  <c r="FD308" i="100"/>
  <c r="FD71" i="100"/>
  <c r="FD315" i="100"/>
  <c r="FD314" i="100"/>
  <c r="FD22" i="100"/>
  <c r="FD303" i="100"/>
  <c r="FD310" i="100"/>
  <c r="FD205" i="100"/>
  <c r="FD313" i="100"/>
  <c r="FD198" i="100"/>
  <c r="FD24" i="100"/>
  <c r="FD306" i="100"/>
  <c r="FD193" i="100"/>
  <c r="FD183" i="100"/>
  <c r="FD330" i="100"/>
  <c r="FD196" i="100"/>
  <c r="FD331" i="100"/>
  <c r="FD203" i="100"/>
  <c r="FD67" i="100"/>
  <c r="FD66" i="100"/>
  <c r="FD169" i="100"/>
  <c r="FD64" i="100"/>
  <c r="FD182" i="100"/>
  <c r="FD12" i="100"/>
  <c r="FD173" i="100"/>
  <c r="FD333" i="100"/>
  <c r="FD34" i="100"/>
  <c r="FD28" i="100"/>
  <c r="FD301" i="100"/>
  <c r="FD17" i="100"/>
  <c r="FD158" i="100"/>
  <c r="FD29" i="100"/>
  <c r="FD31" i="100"/>
  <c r="FD9" i="100"/>
  <c r="FD68" i="100"/>
  <c r="FD204" i="100"/>
  <c r="FD21" i="100"/>
  <c r="FD166" i="100"/>
  <c r="FD163" i="100"/>
  <c r="FD32" i="100"/>
  <c r="FD325" i="100"/>
  <c r="FD20" i="100"/>
  <c r="FE7" i="100"/>
  <c r="FD288" i="100"/>
  <c r="FD290" i="100"/>
  <c r="FD199" i="100"/>
  <c r="FD14" i="100"/>
  <c r="FD201" i="100"/>
  <c r="FD39" i="100"/>
  <c r="FD19" i="100"/>
  <c r="FD179" i="100"/>
  <c r="FD73" i="100"/>
  <c r="FD72" i="100"/>
  <c r="FD311" i="100"/>
  <c r="FD326" i="100"/>
  <c r="FD26" i="100"/>
  <c r="FD159" i="100"/>
  <c r="FD175" i="100"/>
  <c r="FD170" i="100"/>
  <c r="FD295" i="100"/>
  <c r="FD316" i="100"/>
  <c r="FD298" i="100"/>
  <c r="FD335" i="100"/>
  <c r="FD190" i="100"/>
  <c r="FD319" i="100"/>
  <c r="FD202" i="100"/>
  <c r="FD11" i="100"/>
  <c r="FD328" i="100"/>
  <c r="FD322" i="100"/>
  <c r="FD164" i="100"/>
  <c r="FD188" i="100"/>
  <c r="FD8" i="100"/>
  <c r="FD200" i="100"/>
  <c r="FD186" i="100"/>
  <c r="FD302" i="100"/>
  <c r="FD171" i="100"/>
  <c r="FD70" i="100"/>
  <c r="FD185" i="100"/>
  <c r="FD294" i="100"/>
  <c r="FD191" i="100"/>
  <c r="FD291" i="100"/>
  <c r="FD324" i="100"/>
  <c r="FD77" i="100"/>
  <c r="FD30" i="100"/>
  <c r="FD15" i="100"/>
  <c r="FD187" i="100"/>
  <c r="FD312" i="100"/>
  <c r="FD178" i="100"/>
  <c r="FD334" i="100"/>
  <c r="FD336" i="100"/>
  <c r="FD41" i="100"/>
  <c r="FD25" i="100"/>
  <c r="FD332" i="100"/>
  <c r="FD206" i="100"/>
  <c r="FD65" i="100"/>
  <c r="FD192" i="100"/>
  <c r="FD35" i="100"/>
  <c r="FD18" i="100"/>
  <c r="FD327" i="100"/>
  <c r="FD10" i="100"/>
  <c r="FD297" i="100"/>
  <c r="FD296" i="100"/>
  <c r="FD74" i="100"/>
  <c r="FD42" i="100"/>
  <c r="FD309" i="100"/>
  <c r="FD289" i="100"/>
  <c r="FD180" i="100"/>
  <c r="FE46" i="100" l="1"/>
  <c r="FE63" i="100"/>
  <c r="FE62" i="100"/>
  <c r="FE58" i="100"/>
  <c r="FE44" i="100"/>
  <c r="FE56" i="100"/>
  <c r="FE55" i="100"/>
  <c r="FE50" i="100"/>
  <c r="FE61" i="100"/>
  <c r="FE47" i="100"/>
  <c r="FE49" i="100"/>
  <c r="FE59" i="100"/>
  <c r="FE45" i="100"/>
  <c r="FE53" i="100"/>
  <c r="FE54" i="100"/>
  <c r="FE57" i="100"/>
  <c r="FE48" i="100"/>
  <c r="FE60" i="100"/>
  <c r="FE51" i="100"/>
  <c r="FE52" i="100"/>
  <c r="FD209" i="100"/>
  <c r="FD79" i="100"/>
  <c r="FD78" i="100" s="1"/>
  <c r="FD339" i="100"/>
  <c r="FE193" i="100"/>
  <c r="FE12" i="100"/>
  <c r="FE320" i="100"/>
  <c r="FE177" i="100"/>
  <c r="FE330" i="100"/>
  <c r="FE205" i="100"/>
  <c r="FE178" i="100"/>
  <c r="FE166" i="100"/>
  <c r="FE158" i="100"/>
  <c r="FE187" i="100"/>
  <c r="FE202" i="100"/>
  <c r="FE295" i="100"/>
  <c r="FE288" i="100"/>
  <c r="FE32" i="100"/>
  <c r="FE313" i="100"/>
  <c r="FE321" i="100"/>
  <c r="FE298" i="100"/>
  <c r="FE64" i="100"/>
  <c r="FE164" i="100"/>
  <c r="FE317" i="100"/>
  <c r="FE170" i="100"/>
  <c r="FE16" i="100"/>
  <c r="FE183" i="100"/>
  <c r="FE194" i="100"/>
  <c r="FE23" i="100"/>
  <c r="FE13" i="100"/>
  <c r="FE25" i="100"/>
  <c r="FE323" i="100"/>
  <c r="FE76" i="100"/>
  <c r="FE307" i="100"/>
  <c r="FE163" i="100"/>
  <c r="FE185" i="100"/>
  <c r="FE165" i="100"/>
  <c r="FE180" i="100"/>
  <c r="FE77" i="100"/>
  <c r="FE70" i="100"/>
  <c r="FE290" i="100"/>
  <c r="FE29" i="100"/>
  <c r="FE167" i="100"/>
  <c r="FE41" i="100"/>
  <c r="FE335" i="100"/>
  <c r="FE318" i="100"/>
  <c r="FE305" i="100"/>
  <c r="FE162" i="100"/>
  <c r="FE188" i="100"/>
  <c r="FE72" i="100"/>
  <c r="FE310" i="100"/>
  <c r="FE326" i="100"/>
  <c r="FE65" i="100"/>
  <c r="FE304" i="100"/>
  <c r="FE27" i="100"/>
  <c r="FE311" i="100"/>
  <c r="FE160" i="100"/>
  <c r="FE73" i="100"/>
  <c r="FE34" i="100"/>
  <c r="FE17" i="100"/>
  <c r="FE299" i="100"/>
  <c r="FE192" i="100"/>
  <c r="FE31" i="100"/>
  <c r="FE303" i="100"/>
  <c r="FE8" i="100"/>
  <c r="FE190" i="100"/>
  <c r="FE74" i="100"/>
  <c r="FE294" i="100"/>
  <c r="FE201" i="100"/>
  <c r="FE306" i="100"/>
  <c r="FE174" i="100"/>
  <c r="FE314" i="100"/>
  <c r="FE38" i="100"/>
  <c r="FE308" i="100"/>
  <c r="FE207" i="100"/>
  <c r="FE33" i="100"/>
  <c r="FE322" i="100"/>
  <c r="FE324" i="100"/>
  <c r="FE175" i="100"/>
  <c r="FE169" i="100"/>
  <c r="FE189" i="100"/>
  <c r="FE10" i="100"/>
  <c r="FE28" i="100"/>
  <c r="FE291" i="100"/>
  <c r="FE11" i="100"/>
  <c r="FE26" i="100"/>
  <c r="FE292" i="100"/>
  <c r="FE312" i="100"/>
  <c r="FE24" i="100"/>
  <c r="FE37" i="100"/>
  <c r="FE66" i="100"/>
  <c r="FE181" i="100"/>
  <c r="FE195" i="100"/>
  <c r="FE35" i="100"/>
  <c r="FE21" i="100"/>
  <c r="FE334" i="100"/>
  <c r="FE176" i="100"/>
  <c r="FE332" i="100"/>
  <c r="FE200" i="100"/>
  <c r="FE67" i="100"/>
  <c r="FE71" i="100"/>
  <c r="FE315" i="100"/>
  <c r="FE18" i="100"/>
  <c r="FE186" i="100"/>
  <c r="FE327" i="100"/>
  <c r="FE197" i="100"/>
  <c r="FE333" i="100"/>
  <c r="FE9" i="100"/>
  <c r="FE203" i="100"/>
  <c r="FE204" i="100"/>
  <c r="FE337" i="100"/>
  <c r="FE289" i="100"/>
  <c r="FE68" i="100"/>
  <c r="FE329" i="100"/>
  <c r="FE172" i="100"/>
  <c r="FE328" i="100"/>
  <c r="FE196" i="100"/>
  <c r="FF7" i="100"/>
  <c r="FE336" i="100"/>
  <c r="FE14" i="100"/>
  <c r="FE75" i="100"/>
  <c r="FE20" i="100"/>
  <c r="FE171" i="100"/>
  <c r="FE331" i="100"/>
  <c r="FE325" i="100"/>
  <c r="FE319" i="100"/>
  <c r="FE302" i="100"/>
  <c r="FE43" i="100"/>
  <c r="FE184" i="100"/>
  <c r="FE159" i="100"/>
  <c r="FE168" i="100"/>
  <c r="FE199" i="100"/>
  <c r="FE161" i="100"/>
  <c r="FE36" i="100"/>
  <c r="FE206" i="100"/>
  <c r="FE182" i="100"/>
  <c r="FE30" i="100"/>
  <c r="FE297" i="100"/>
  <c r="FE15" i="100"/>
  <c r="FE179" i="100"/>
  <c r="FE309" i="100"/>
  <c r="FE293" i="100"/>
  <c r="FE19" i="100"/>
  <c r="FE42" i="100"/>
  <c r="FE22" i="100"/>
  <c r="FE173" i="100"/>
  <c r="FE69" i="100"/>
  <c r="FE39" i="100"/>
  <c r="FE300" i="100"/>
  <c r="FE296" i="100"/>
  <c r="FE40" i="100"/>
  <c r="FE191" i="100"/>
  <c r="FE301" i="100"/>
  <c r="FE198" i="100"/>
  <c r="FE316" i="100"/>
  <c r="FF63" i="100" l="1"/>
  <c r="FF62" i="100"/>
  <c r="FF44" i="100"/>
  <c r="FF46" i="100"/>
  <c r="FF51" i="100"/>
  <c r="FF53" i="100"/>
  <c r="FF49" i="100"/>
  <c r="FF45" i="100"/>
  <c r="FF54" i="100"/>
  <c r="FF47" i="100"/>
  <c r="FF48" i="100"/>
  <c r="FF55" i="100"/>
  <c r="FF58" i="100"/>
  <c r="FF60" i="100"/>
  <c r="FF56" i="100"/>
  <c r="FF50" i="100"/>
  <c r="FF52" i="100"/>
  <c r="FF61" i="100"/>
  <c r="FF57" i="100"/>
  <c r="FF59" i="100"/>
  <c r="FE209" i="100"/>
  <c r="FE79" i="100"/>
  <c r="FE78" i="100" s="1"/>
  <c r="FE339" i="100"/>
  <c r="FF8" i="100"/>
  <c r="FF321" i="100"/>
  <c r="FF43" i="100"/>
  <c r="FF199" i="100"/>
  <c r="FF23" i="100"/>
  <c r="FF163" i="100"/>
  <c r="FF288" i="100"/>
  <c r="FF15" i="100"/>
  <c r="FF322" i="100"/>
  <c r="FF28" i="100"/>
  <c r="FF76" i="100"/>
  <c r="FF187" i="100"/>
  <c r="FF31" i="100"/>
  <c r="FF68" i="100"/>
  <c r="FF196" i="100"/>
  <c r="FF318" i="100"/>
  <c r="FF179" i="100"/>
  <c r="FF26" i="100"/>
  <c r="FF332" i="100"/>
  <c r="FF298" i="100"/>
  <c r="FF159" i="100"/>
  <c r="FF292" i="100"/>
  <c r="FF33" i="100"/>
  <c r="FF34" i="100"/>
  <c r="FF315" i="100"/>
  <c r="FF185" i="100"/>
  <c r="FF203" i="100"/>
  <c r="FF174" i="100"/>
  <c r="FF178" i="100"/>
  <c r="FF72" i="100"/>
  <c r="FF75" i="100"/>
  <c r="FF335" i="100"/>
  <c r="FF195" i="100"/>
  <c r="FF205" i="100"/>
  <c r="FF181" i="100"/>
  <c r="FF317" i="100"/>
  <c r="FF330" i="100"/>
  <c r="FF177" i="100"/>
  <c r="FF12" i="100"/>
  <c r="FF14" i="100"/>
  <c r="FF173" i="100"/>
  <c r="FF294" i="100"/>
  <c r="FF74" i="100"/>
  <c r="FF32" i="100"/>
  <c r="FF329" i="100"/>
  <c r="FF168" i="100"/>
  <c r="FF162" i="100"/>
  <c r="FF37" i="100"/>
  <c r="FF169" i="100"/>
  <c r="FF9" i="100"/>
  <c r="FF13" i="100"/>
  <c r="FF297" i="100"/>
  <c r="FF304" i="100"/>
  <c r="FF71" i="100"/>
  <c r="FF180" i="100"/>
  <c r="FF172" i="100"/>
  <c r="FF171" i="100"/>
  <c r="FF204" i="100"/>
  <c r="FF167" i="100"/>
  <c r="FF307" i="100"/>
  <c r="FF189" i="100"/>
  <c r="FF331" i="100"/>
  <c r="FF170" i="100"/>
  <c r="FF319" i="100"/>
  <c r="FF17" i="100"/>
  <c r="FG7" i="100"/>
  <c r="FF311" i="100"/>
  <c r="FF293" i="100"/>
  <c r="FF29" i="100"/>
  <c r="FF42" i="100"/>
  <c r="FF305" i="100"/>
  <c r="FF39" i="100"/>
  <c r="FF320" i="100"/>
  <c r="FF202" i="100"/>
  <c r="FF289" i="100"/>
  <c r="FF16" i="100"/>
  <c r="FF301" i="100"/>
  <c r="FF295" i="100"/>
  <c r="FF73" i="100"/>
  <c r="FF326" i="100"/>
  <c r="FF325" i="100"/>
  <c r="FF36" i="100"/>
  <c r="FF191" i="100"/>
  <c r="FF296" i="100"/>
  <c r="FF166" i="100"/>
  <c r="FF11" i="100"/>
  <c r="FF299" i="100"/>
  <c r="FF64" i="100"/>
  <c r="FF291" i="100"/>
  <c r="FF300" i="100"/>
  <c r="FF10" i="100"/>
  <c r="FF200" i="100"/>
  <c r="FF18" i="100"/>
  <c r="FF336" i="100"/>
  <c r="FF194" i="100"/>
  <c r="FF158" i="100"/>
  <c r="FF27" i="100"/>
  <c r="FF314" i="100"/>
  <c r="FF306" i="100"/>
  <c r="FF312" i="100"/>
  <c r="FF41" i="100"/>
  <c r="FF324" i="100"/>
  <c r="FF22" i="100"/>
  <c r="FF186" i="100"/>
  <c r="FF30" i="100"/>
  <c r="FF290" i="100"/>
  <c r="FF310" i="100"/>
  <c r="FF197" i="100"/>
  <c r="FF184" i="100"/>
  <c r="FF316" i="100"/>
  <c r="FF323" i="100"/>
  <c r="FF198" i="100"/>
  <c r="FF160" i="100"/>
  <c r="FF309" i="100"/>
  <c r="FF192" i="100"/>
  <c r="FF175" i="100"/>
  <c r="FF40" i="100"/>
  <c r="FF308" i="100"/>
  <c r="FF328" i="100"/>
  <c r="FF302" i="100"/>
  <c r="FF333" i="100"/>
  <c r="FF70" i="100"/>
  <c r="FF188" i="100"/>
  <c r="FF161" i="100"/>
  <c r="FF20" i="100"/>
  <c r="FF21" i="100"/>
  <c r="FF164" i="100"/>
  <c r="FF38" i="100"/>
  <c r="FF24" i="100"/>
  <c r="FF65" i="100"/>
  <c r="FF303" i="100"/>
  <c r="FF67" i="100"/>
  <c r="FF206" i="100"/>
  <c r="FF25" i="100"/>
  <c r="FF66" i="100"/>
  <c r="FF327" i="100"/>
  <c r="FF19" i="100"/>
  <c r="FF193" i="100"/>
  <c r="FF183" i="100"/>
  <c r="FF201" i="100"/>
  <c r="FF35" i="100"/>
  <c r="FF182" i="100"/>
  <c r="FF337" i="100"/>
  <c r="FF313" i="100"/>
  <c r="FF176" i="100"/>
  <c r="FF334" i="100"/>
  <c r="FF165" i="100"/>
  <c r="FF77" i="100"/>
  <c r="FF190" i="100"/>
  <c r="FF207" i="100"/>
  <c r="FF69" i="100"/>
  <c r="FG46" i="100" l="1"/>
  <c r="FG63" i="100"/>
  <c r="FG62" i="100"/>
  <c r="FG44" i="100"/>
  <c r="FG53" i="100"/>
  <c r="FG55" i="100"/>
  <c r="FG45" i="100"/>
  <c r="FG50" i="100"/>
  <c r="FG57" i="100"/>
  <c r="FG56" i="100"/>
  <c r="FG47" i="100"/>
  <c r="FG60" i="100"/>
  <c r="FG48" i="100"/>
  <c r="FG61" i="100"/>
  <c r="FG49" i="100"/>
  <c r="FG58" i="100"/>
  <c r="FG51" i="100"/>
  <c r="FG54" i="100"/>
  <c r="FG59" i="100"/>
  <c r="FG52" i="100"/>
  <c r="FF339" i="100"/>
  <c r="FF79" i="100"/>
  <c r="FF78" i="100" s="1"/>
  <c r="FF209" i="100"/>
  <c r="FG293" i="100"/>
  <c r="FG194" i="100"/>
  <c r="FG169" i="100"/>
  <c r="FG291" i="100"/>
  <c r="FG301" i="100"/>
  <c r="FG28" i="100"/>
  <c r="FG204" i="100"/>
  <c r="FG313" i="100"/>
  <c r="FG331" i="100"/>
  <c r="FG288" i="100"/>
  <c r="FG30" i="100"/>
  <c r="FG24" i="100"/>
  <c r="FG177" i="100"/>
  <c r="FG36" i="100"/>
  <c r="FG326" i="100"/>
  <c r="FG10" i="100"/>
  <c r="FG309" i="100"/>
  <c r="FG69" i="100"/>
  <c r="FG38" i="100"/>
  <c r="FG304" i="100"/>
  <c r="FG175" i="100"/>
  <c r="FG76" i="100"/>
  <c r="FG323" i="100"/>
  <c r="FG193" i="100"/>
  <c r="FG20" i="100"/>
  <c r="FG11" i="100"/>
  <c r="FG163" i="100"/>
  <c r="FG72" i="100"/>
  <c r="FG302" i="100"/>
  <c r="FG308" i="100"/>
  <c r="FG188" i="100"/>
  <c r="FG300" i="100"/>
  <c r="FG199" i="100"/>
  <c r="FG26" i="100"/>
  <c r="FG19" i="100"/>
  <c r="FG317" i="100"/>
  <c r="FG192" i="100"/>
  <c r="FG43" i="100"/>
  <c r="FG179" i="100"/>
  <c r="FG66" i="100"/>
  <c r="FG305" i="100"/>
  <c r="FG295" i="100"/>
  <c r="FG334" i="100"/>
  <c r="FG70" i="100"/>
  <c r="FG294" i="100"/>
  <c r="FG201" i="100"/>
  <c r="FG29" i="100"/>
  <c r="FG187" i="100"/>
  <c r="FG9" i="100"/>
  <c r="FG37" i="100"/>
  <c r="FG303" i="100"/>
  <c r="FG299" i="100"/>
  <c r="FG31" i="100"/>
  <c r="FG182" i="100"/>
  <c r="FG77" i="100"/>
  <c r="FG166" i="100"/>
  <c r="FG170" i="100"/>
  <c r="FG18" i="100"/>
  <c r="FG207" i="100"/>
  <c r="FG23" i="100"/>
  <c r="FG8" i="100"/>
  <c r="FG15" i="100"/>
  <c r="FG173" i="100"/>
  <c r="FG318" i="100"/>
  <c r="FG183" i="100"/>
  <c r="FG74" i="100"/>
  <c r="FG32" i="100"/>
  <c r="FG289" i="100"/>
  <c r="FG306" i="100"/>
  <c r="FG202" i="100"/>
  <c r="FG168" i="100"/>
  <c r="FG176" i="100"/>
  <c r="FG25" i="100"/>
  <c r="FG165" i="100"/>
  <c r="FG39" i="100"/>
  <c r="FG292" i="100"/>
  <c r="FG13" i="100"/>
  <c r="FG325" i="100"/>
  <c r="FG315" i="100"/>
  <c r="FG203" i="100"/>
  <c r="FG205" i="100"/>
  <c r="FG22" i="100"/>
  <c r="FG316" i="100"/>
  <c r="FG198" i="100"/>
  <c r="FG164" i="100"/>
  <c r="FG172" i="100"/>
  <c r="FG314" i="100"/>
  <c r="FG196" i="100"/>
  <c r="FG35" i="100"/>
  <c r="FG290" i="100"/>
  <c r="FG307" i="100"/>
  <c r="FG191" i="100"/>
  <c r="FG190" i="100"/>
  <c r="FG159" i="100"/>
  <c r="FG65" i="100"/>
  <c r="FG16" i="100"/>
  <c r="FG40" i="100"/>
  <c r="FG324" i="100"/>
  <c r="FG167" i="100"/>
  <c r="FG181" i="100"/>
  <c r="FG197" i="100"/>
  <c r="FG333" i="100"/>
  <c r="FG330" i="100"/>
  <c r="FG322" i="100"/>
  <c r="FG64" i="100"/>
  <c r="FG312" i="100"/>
  <c r="FG33" i="100"/>
  <c r="FG75" i="100"/>
  <c r="FG158" i="100"/>
  <c r="FG160" i="100"/>
  <c r="FG41" i="100"/>
  <c r="FG185" i="100"/>
  <c r="FG298" i="100"/>
  <c r="FG311" i="100"/>
  <c r="FG335" i="100"/>
  <c r="FG27" i="100"/>
  <c r="FG321" i="100"/>
  <c r="FG296" i="100"/>
  <c r="FG189" i="100"/>
  <c r="FG297" i="100"/>
  <c r="FG206" i="100"/>
  <c r="FG17" i="100"/>
  <c r="FG21" i="100"/>
  <c r="FG42" i="100"/>
  <c r="FH7" i="100"/>
  <c r="FG200" i="100"/>
  <c r="FG171" i="100"/>
  <c r="FG73" i="100"/>
  <c r="FG319" i="100"/>
  <c r="FG14" i="100"/>
  <c r="FG327" i="100"/>
  <c r="FG180" i="100"/>
  <c r="FG310" i="100"/>
  <c r="FG67" i="100"/>
  <c r="FG195" i="100"/>
  <c r="FG12" i="100"/>
  <c r="FG161" i="100"/>
  <c r="FG320" i="100"/>
  <c r="FG178" i="100"/>
  <c r="FG332" i="100"/>
  <c r="FG337" i="100"/>
  <c r="FG328" i="100"/>
  <c r="FG71" i="100"/>
  <c r="FG329" i="100"/>
  <c r="FG174" i="100"/>
  <c r="FG336" i="100"/>
  <c r="FG68" i="100"/>
  <c r="FG186" i="100"/>
  <c r="FG184" i="100"/>
  <c r="FG34" i="100"/>
  <c r="FG162" i="100"/>
  <c r="FH59" i="100" l="1"/>
  <c r="FH46" i="100"/>
  <c r="FH63" i="100"/>
  <c r="FH58" i="100"/>
  <c r="FH57" i="100"/>
  <c r="FH62" i="100"/>
  <c r="FH44" i="100"/>
  <c r="FH51" i="100"/>
  <c r="FH47" i="100"/>
  <c r="FH56" i="100"/>
  <c r="FH53" i="100"/>
  <c r="FH49" i="100"/>
  <c r="FH48" i="100"/>
  <c r="FH45" i="100"/>
  <c r="FH61" i="100"/>
  <c r="FH54" i="100"/>
  <c r="FH50" i="100"/>
  <c r="FH55" i="100"/>
  <c r="FH60" i="100"/>
  <c r="FH52" i="100"/>
  <c r="FG79" i="100"/>
  <c r="FG78" i="100" s="1"/>
  <c r="FG339" i="100"/>
  <c r="FG209" i="100"/>
  <c r="FH66" i="100"/>
  <c r="FH289" i="100"/>
  <c r="FH70" i="100"/>
  <c r="FH169" i="100"/>
  <c r="FH187" i="100"/>
  <c r="FH288" i="100"/>
  <c r="FH335" i="100"/>
  <c r="FH318" i="100"/>
  <c r="FH198" i="100"/>
  <c r="FH14" i="100"/>
  <c r="FH313" i="100"/>
  <c r="FH18" i="100"/>
  <c r="FH334" i="100"/>
  <c r="FH8" i="100"/>
  <c r="FH23" i="100"/>
  <c r="FH302" i="100"/>
  <c r="FH16" i="100"/>
  <c r="FH65" i="100"/>
  <c r="FH329" i="100"/>
  <c r="FH38" i="100"/>
  <c r="FH181" i="100"/>
  <c r="FH331" i="100"/>
  <c r="FH170" i="100"/>
  <c r="FH166" i="100"/>
  <c r="FH163" i="100"/>
  <c r="FH173" i="100"/>
  <c r="FH24" i="100"/>
  <c r="FH74" i="100"/>
  <c r="FH71" i="100"/>
  <c r="FH312" i="100"/>
  <c r="FH40" i="100"/>
  <c r="FH162" i="100"/>
  <c r="FH328" i="100"/>
  <c r="FH317" i="100"/>
  <c r="FH200" i="100"/>
  <c r="FH191" i="100"/>
  <c r="FH17" i="100"/>
  <c r="FH315" i="100"/>
  <c r="FH301" i="100"/>
  <c r="FH195" i="100"/>
  <c r="FH291" i="100"/>
  <c r="FH307" i="100"/>
  <c r="FH76" i="100"/>
  <c r="FH165" i="100"/>
  <c r="FH33" i="100"/>
  <c r="FH194" i="100"/>
  <c r="FH184" i="100"/>
  <c r="FH297" i="100"/>
  <c r="FH36" i="100"/>
  <c r="FH31" i="100"/>
  <c r="FH42" i="100"/>
  <c r="FH182" i="100"/>
  <c r="FH164" i="100"/>
  <c r="FH172" i="100"/>
  <c r="FH177" i="100"/>
  <c r="FH73" i="100"/>
  <c r="FH32" i="100"/>
  <c r="FH202" i="100"/>
  <c r="FH201" i="100"/>
  <c r="FH183" i="100"/>
  <c r="FH167" i="100"/>
  <c r="FH188" i="100"/>
  <c r="FH176" i="100"/>
  <c r="FH189" i="100"/>
  <c r="FH203" i="100"/>
  <c r="FH333" i="100"/>
  <c r="FH19" i="100"/>
  <c r="FH207" i="100"/>
  <c r="FH34" i="100"/>
  <c r="FH69" i="100"/>
  <c r="FH314" i="100"/>
  <c r="FH15" i="100"/>
  <c r="FH303" i="100"/>
  <c r="FH41" i="100"/>
  <c r="FH64" i="100"/>
  <c r="FH337" i="100"/>
  <c r="FH296" i="100"/>
  <c r="FH299" i="100"/>
  <c r="FH320" i="100"/>
  <c r="FH30" i="100"/>
  <c r="FH204" i="100"/>
  <c r="FH21" i="100"/>
  <c r="FH39" i="100"/>
  <c r="FH327" i="100"/>
  <c r="FH29" i="100"/>
  <c r="FH308" i="100"/>
  <c r="FH321" i="100"/>
  <c r="FH28" i="100"/>
  <c r="FH37" i="100"/>
  <c r="FH298" i="100"/>
  <c r="FH309" i="100"/>
  <c r="FH316" i="100"/>
  <c r="FH332" i="100"/>
  <c r="FH190" i="100"/>
  <c r="FH35" i="100"/>
  <c r="FH310" i="100"/>
  <c r="FH192" i="100"/>
  <c r="FH324" i="100"/>
  <c r="FH12" i="100"/>
  <c r="FH174" i="100"/>
  <c r="FH319" i="100"/>
  <c r="FH193" i="100"/>
  <c r="FH159" i="100"/>
  <c r="FH178" i="100"/>
  <c r="FH25" i="100"/>
  <c r="FH205" i="100"/>
  <c r="FH304" i="100"/>
  <c r="FH197" i="100"/>
  <c r="FH68" i="100"/>
  <c r="FH161" i="100"/>
  <c r="FH43" i="100"/>
  <c r="FH75" i="100"/>
  <c r="FH199" i="100"/>
  <c r="FH168" i="100"/>
  <c r="FH26" i="100"/>
  <c r="FH196" i="100"/>
  <c r="FH186" i="100"/>
  <c r="FH180" i="100"/>
  <c r="FH295" i="100"/>
  <c r="FH77" i="100"/>
  <c r="FH325" i="100"/>
  <c r="FH171" i="100"/>
  <c r="FH290" i="100"/>
  <c r="FH336" i="100"/>
  <c r="FH206" i="100"/>
  <c r="FH160" i="100"/>
  <c r="FH294" i="100"/>
  <c r="FH158" i="100"/>
  <c r="FH67" i="100"/>
  <c r="FH323" i="100"/>
  <c r="FH306" i="100"/>
  <c r="FH10" i="100"/>
  <c r="FH22" i="100"/>
  <c r="FH305" i="100"/>
  <c r="FH293" i="100"/>
  <c r="FH9" i="100"/>
  <c r="FH326" i="100"/>
  <c r="FH185" i="100"/>
  <c r="FH292" i="100"/>
  <c r="FH311" i="100"/>
  <c r="FH13" i="100"/>
  <c r="FH20" i="100"/>
  <c r="FH27" i="100"/>
  <c r="FH300" i="100"/>
  <c r="FH175" i="100"/>
  <c r="FH330" i="100"/>
  <c r="FI7" i="100"/>
  <c r="FH72" i="100"/>
  <c r="FH11" i="100"/>
  <c r="FH322" i="100"/>
  <c r="FH179" i="100"/>
  <c r="FI46" i="100" l="1"/>
  <c r="FI45" i="100"/>
  <c r="FI44" i="100"/>
  <c r="FI63" i="100"/>
  <c r="FI49" i="100"/>
  <c r="FI62" i="100"/>
  <c r="FI48" i="100"/>
  <c r="FI50" i="100"/>
  <c r="FI60" i="100"/>
  <c r="FI55" i="100"/>
  <c r="FI59" i="100"/>
  <c r="FI53" i="100"/>
  <c r="FI58" i="100"/>
  <c r="FI51" i="100"/>
  <c r="FI52" i="100"/>
  <c r="FI54" i="100"/>
  <c r="FI57" i="100"/>
  <c r="FI56" i="100"/>
  <c r="FI47" i="100"/>
  <c r="FI61" i="100"/>
  <c r="FH79" i="100"/>
  <c r="FH78" i="100" s="1"/>
  <c r="FH209" i="100"/>
  <c r="FH339" i="100"/>
  <c r="FI170" i="100"/>
  <c r="FI327" i="100"/>
  <c r="FI325" i="100"/>
  <c r="FI313" i="100"/>
  <c r="FI10" i="100"/>
  <c r="FI8" i="100"/>
  <c r="FI33" i="100"/>
  <c r="FI288" i="100"/>
  <c r="FI27" i="100"/>
  <c r="FI307" i="100"/>
  <c r="FI198" i="100"/>
  <c r="FI187" i="100"/>
  <c r="FI303" i="100"/>
  <c r="FI17" i="100"/>
  <c r="FI19" i="100"/>
  <c r="FI35" i="100"/>
  <c r="FI160" i="100"/>
  <c r="FI205" i="100"/>
  <c r="FI25" i="100"/>
  <c r="FI319" i="100"/>
  <c r="FI337" i="100"/>
  <c r="FI290" i="100"/>
  <c r="FI32" i="100"/>
  <c r="FI22" i="100"/>
  <c r="FI9" i="100"/>
  <c r="FI326" i="100"/>
  <c r="FI24" i="100"/>
  <c r="FI294" i="100"/>
  <c r="FI323" i="100"/>
  <c r="FI194" i="100"/>
  <c r="FI185" i="100"/>
  <c r="FI177" i="100"/>
  <c r="FI173" i="100"/>
  <c r="FI309" i="100"/>
  <c r="FI175" i="100"/>
  <c r="FI189" i="100"/>
  <c r="FI75" i="100"/>
  <c r="FI180" i="100"/>
  <c r="FI203" i="100"/>
  <c r="FI26" i="100"/>
  <c r="FI38" i="100"/>
  <c r="FI163" i="100"/>
  <c r="FI181" i="100"/>
  <c r="FI300" i="100"/>
  <c r="FI76" i="100"/>
  <c r="FI40" i="100"/>
  <c r="FI335" i="100"/>
  <c r="FI305" i="100"/>
  <c r="FI302" i="100"/>
  <c r="FI171" i="100"/>
  <c r="FI193" i="100"/>
  <c r="FI317" i="100"/>
  <c r="FI158" i="100"/>
  <c r="FI34" i="100"/>
  <c r="FI207" i="100"/>
  <c r="FI311" i="100"/>
  <c r="FI192" i="100"/>
  <c r="FI190" i="100"/>
  <c r="FI328" i="100"/>
  <c r="FI159" i="100"/>
  <c r="FI67" i="100"/>
  <c r="FI64" i="100"/>
  <c r="FI73" i="100"/>
  <c r="FI304" i="100"/>
  <c r="FI292" i="100"/>
  <c r="FI310" i="100"/>
  <c r="FI66" i="100"/>
  <c r="FI42" i="100"/>
  <c r="FI169" i="100"/>
  <c r="FI13" i="100"/>
  <c r="FI28" i="100"/>
  <c r="FI161" i="100"/>
  <c r="FI41" i="100"/>
  <c r="FI334" i="100"/>
  <c r="FI68" i="100"/>
  <c r="FI172" i="100"/>
  <c r="FI65" i="100"/>
  <c r="FI293" i="100"/>
  <c r="FI178" i="100"/>
  <c r="FI18" i="100"/>
  <c r="FI184" i="100"/>
  <c r="FJ7" i="100"/>
  <c r="FI206" i="100"/>
  <c r="FI199" i="100"/>
  <c r="FI329" i="100"/>
  <c r="FI74" i="100"/>
  <c r="FI296" i="100"/>
  <c r="FI162" i="100"/>
  <c r="FI306" i="100"/>
  <c r="FI36" i="100"/>
  <c r="FI179" i="100"/>
  <c r="FI291" i="100"/>
  <c r="FI43" i="100"/>
  <c r="FI69" i="100"/>
  <c r="FI297" i="100"/>
  <c r="FI204" i="100"/>
  <c r="FI202" i="100"/>
  <c r="FI200" i="100"/>
  <c r="FI301" i="100"/>
  <c r="FI289" i="100"/>
  <c r="FI21" i="100"/>
  <c r="FI174" i="100"/>
  <c r="FI195" i="100"/>
  <c r="FI29" i="100"/>
  <c r="FI298" i="100"/>
  <c r="FI166" i="100"/>
  <c r="FI331" i="100"/>
  <c r="FI186" i="100"/>
  <c r="FI176" i="100"/>
  <c r="FI37" i="100"/>
  <c r="FI201" i="100"/>
  <c r="FI312" i="100"/>
  <c r="FI197" i="100"/>
  <c r="FI330" i="100"/>
  <c r="FI23" i="100"/>
  <c r="FI16" i="100"/>
  <c r="FI31" i="100"/>
  <c r="FI308" i="100"/>
  <c r="FI333" i="100"/>
  <c r="FI336" i="100"/>
  <c r="FI71" i="100"/>
  <c r="FI15" i="100"/>
  <c r="FI14" i="100"/>
  <c r="FI183" i="100"/>
  <c r="FI299" i="100"/>
  <c r="FI332" i="100"/>
  <c r="FI322" i="100"/>
  <c r="FI182" i="100"/>
  <c r="FI315" i="100"/>
  <c r="FI321" i="100"/>
  <c r="FI165" i="100"/>
  <c r="FI164" i="100"/>
  <c r="FI314" i="100"/>
  <c r="FI12" i="100"/>
  <c r="FI191" i="100"/>
  <c r="FI72" i="100"/>
  <c r="FI39" i="100"/>
  <c r="FI324" i="100"/>
  <c r="FI70" i="100"/>
  <c r="FI77" i="100"/>
  <c r="FI318" i="100"/>
  <c r="FI30" i="100"/>
  <c r="FI168" i="100"/>
  <c r="FI320" i="100"/>
  <c r="FI316" i="100"/>
  <c r="FI167" i="100"/>
  <c r="FI295" i="100"/>
  <c r="FI11" i="100"/>
  <c r="FI196" i="100"/>
  <c r="FI20" i="100"/>
  <c r="FI188" i="100"/>
  <c r="FJ51" i="100" l="1"/>
  <c r="FJ62" i="100"/>
  <c r="FJ44" i="100"/>
  <c r="FJ63" i="100"/>
  <c r="FJ46" i="100"/>
  <c r="FJ55" i="100"/>
  <c r="FJ48" i="100"/>
  <c r="FJ53" i="100"/>
  <c r="FJ50" i="100"/>
  <c r="FJ56" i="100"/>
  <c r="FJ49" i="100"/>
  <c r="FJ59" i="100"/>
  <c r="FJ54" i="100"/>
  <c r="FJ60" i="100"/>
  <c r="FJ52" i="100"/>
  <c r="FJ47" i="100"/>
  <c r="FJ57" i="100"/>
  <c r="FJ58" i="100"/>
  <c r="FJ45" i="100"/>
  <c r="FJ61" i="100"/>
  <c r="FI79" i="100"/>
  <c r="FI78" i="100" s="1"/>
  <c r="FI339" i="100"/>
  <c r="FI209" i="100"/>
  <c r="FJ183" i="100"/>
  <c r="FJ304" i="100"/>
  <c r="FJ316" i="100"/>
  <c r="FJ18" i="100"/>
  <c r="FJ159" i="100"/>
  <c r="FJ298" i="100"/>
  <c r="FJ67" i="100"/>
  <c r="FJ325" i="100"/>
  <c r="FJ182" i="100"/>
  <c r="FJ189" i="100"/>
  <c r="FJ76" i="100"/>
  <c r="FJ24" i="100"/>
  <c r="FJ174" i="100"/>
  <c r="FJ186" i="100"/>
  <c r="FK7" i="100"/>
  <c r="FJ312" i="100"/>
  <c r="FJ23" i="100"/>
  <c r="FJ202" i="100"/>
  <c r="FJ179" i="100"/>
  <c r="FJ9" i="100"/>
  <c r="FJ163" i="100"/>
  <c r="FJ204" i="100"/>
  <c r="FJ301" i="100"/>
  <c r="FJ30" i="100"/>
  <c r="FJ25" i="100"/>
  <c r="FJ293" i="100"/>
  <c r="FJ42" i="100"/>
  <c r="FJ193" i="100"/>
  <c r="FJ323" i="100"/>
  <c r="FJ327" i="100"/>
  <c r="FJ43" i="100"/>
  <c r="FJ201" i="100"/>
  <c r="FJ296" i="100"/>
  <c r="FJ337" i="100"/>
  <c r="FJ291" i="100"/>
  <c r="FJ10" i="100"/>
  <c r="FJ39" i="100"/>
  <c r="FJ176" i="100"/>
  <c r="FJ177" i="100"/>
  <c r="FJ180" i="100"/>
  <c r="FJ31" i="100"/>
  <c r="FJ167" i="100"/>
  <c r="FJ181" i="100"/>
  <c r="FJ310" i="100"/>
  <c r="FJ35" i="100"/>
  <c r="FJ288" i="100"/>
  <c r="FJ290" i="100"/>
  <c r="FJ26" i="100"/>
  <c r="FJ13" i="100"/>
  <c r="FJ319" i="100"/>
  <c r="FJ305" i="100"/>
  <c r="FJ29" i="100"/>
  <c r="FJ72" i="100"/>
  <c r="FJ69" i="100"/>
  <c r="FJ175" i="100"/>
  <c r="FJ190" i="100"/>
  <c r="FJ297" i="100"/>
  <c r="FJ168" i="100"/>
  <c r="FJ206" i="100"/>
  <c r="FJ205" i="100"/>
  <c r="FJ289" i="100"/>
  <c r="FJ198" i="100"/>
  <c r="FJ199" i="100"/>
  <c r="FJ161" i="100"/>
  <c r="FJ34" i="100"/>
  <c r="FJ165" i="100"/>
  <c r="FJ15" i="100"/>
  <c r="FJ158" i="100"/>
  <c r="FJ292" i="100"/>
  <c r="FJ185" i="100"/>
  <c r="FJ172" i="100"/>
  <c r="FJ32" i="100"/>
  <c r="FJ196" i="100"/>
  <c r="FJ16" i="100"/>
  <c r="FJ164" i="100"/>
  <c r="FJ74" i="100"/>
  <c r="FJ331" i="100"/>
  <c r="FJ37" i="100"/>
  <c r="FJ22" i="100"/>
  <c r="FJ324" i="100"/>
  <c r="FJ306" i="100"/>
  <c r="FJ311" i="100"/>
  <c r="FJ178" i="100"/>
  <c r="FJ295" i="100"/>
  <c r="FJ197" i="100"/>
  <c r="FJ20" i="100"/>
  <c r="FJ38" i="100"/>
  <c r="FJ315" i="100"/>
  <c r="FJ328" i="100"/>
  <c r="FJ313" i="100"/>
  <c r="FJ71" i="100"/>
  <c r="FJ162" i="100"/>
  <c r="FJ64" i="100"/>
  <c r="FJ303" i="100"/>
  <c r="FJ68" i="100"/>
  <c r="FJ19" i="100"/>
  <c r="FJ321" i="100"/>
  <c r="FJ66" i="100"/>
  <c r="FJ17" i="100"/>
  <c r="FJ326" i="100"/>
  <c r="FJ173" i="100"/>
  <c r="FJ41" i="100"/>
  <c r="FJ314" i="100"/>
  <c r="FJ169" i="100"/>
  <c r="FJ11" i="100"/>
  <c r="FJ334" i="100"/>
  <c r="FJ200" i="100"/>
  <c r="FJ160" i="100"/>
  <c r="FJ203" i="100"/>
  <c r="FJ171" i="100"/>
  <c r="FJ192" i="100"/>
  <c r="FJ322" i="100"/>
  <c r="FJ184" i="100"/>
  <c r="FJ336" i="100"/>
  <c r="FJ300" i="100"/>
  <c r="FJ299" i="100"/>
  <c r="FJ33" i="100"/>
  <c r="FJ207" i="100"/>
  <c r="FJ330" i="100"/>
  <c r="FJ77" i="100"/>
  <c r="FJ191" i="100"/>
  <c r="FJ27" i="100"/>
  <c r="FJ294" i="100"/>
  <c r="FJ170" i="100"/>
  <c r="FJ317" i="100"/>
  <c r="FJ187" i="100"/>
  <c r="FJ14" i="100"/>
  <c r="FJ335" i="100"/>
  <c r="FJ12" i="100"/>
  <c r="FJ333" i="100"/>
  <c r="FJ73" i="100"/>
  <c r="FJ70" i="100"/>
  <c r="FJ302" i="100"/>
  <c r="FJ166" i="100"/>
  <c r="FJ65" i="100"/>
  <c r="FJ309" i="100"/>
  <c r="FJ194" i="100"/>
  <c r="FJ318" i="100"/>
  <c r="FJ188" i="100"/>
  <c r="FJ75" i="100"/>
  <c r="FJ195" i="100"/>
  <c r="FJ28" i="100"/>
  <c r="FJ332" i="100"/>
  <c r="FJ308" i="100"/>
  <c r="FJ329" i="100"/>
  <c r="FJ40" i="100"/>
  <c r="FJ8" i="100"/>
  <c r="FJ320" i="100"/>
  <c r="FJ36" i="100"/>
  <c r="FJ21" i="100"/>
  <c r="FJ307" i="100"/>
  <c r="FK62" i="100" l="1"/>
  <c r="FK51" i="100"/>
  <c r="FK56" i="100"/>
  <c r="FK54" i="100"/>
  <c r="FK46" i="100"/>
  <c r="FK63" i="100"/>
  <c r="FK44" i="100"/>
  <c r="FK57" i="100"/>
  <c r="FK48" i="100"/>
  <c r="FK47" i="100"/>
  <c r="FK45" i="100"/>
  <c r="FK53" i="100"/>
  <c r="FK60" i="100"/>
  <c r="FK58" i="100"/>
  <c r="FK50" i="100"/>
  <c r="FK49" i="100"/>
  <c r="FK55" i="100"/>
  <c r="FK52" i="100"/>
  <c r="FK59" i="100"/>
  <c r="FK61" i="100"/>
  <c r="FJ209" i="100"/>
  <c r="FJ79" i="100"/>
  <c r="FJ78" i="100" s="1"/>
  <c r="FJ339" i="100"/>
  <c r="FK72" i="100"/>
  <c r="FK172" i="100"/>
  <c r="FK188" i="100"/>
  <c r="FK26" i="100"/>
  <c r="FK42" i="100"/>
  <c r="FK327" i="100"/>
  <c r="FK64" i="100"/>
  <c r="FK306" i="100"/>
  <c r="FK169" i="100"/>
  <c r="FK292" i="100"/>
  <c r="FK202" i="100"/>
  <c r="FK173" i="100"/>
  <c r="FK37" i="100"/>
  <c r="FK190" i="100"/>
  <c r="FK298" i="100"/>
  <c r="FK197" i="100"/>
  <c r="FK178" i="100"/>
  <c r="FK15" i="100"/>
  <c r="FK29" i="100"/>
  <c r="FK191" i="100"/>
  <c r="FK301" i="100"/>
  <c r="FK326" i="100"/>
  <c r="FK309" i="100"/>
  <c r="FK308" i="100"/>
  <c r="FK170" i="100"/>
  <c r="FK41" i="100"/>
  <c r="FK329" i="100"/>
  <c r="FK333" i="100"/>
  <c r="FK9" i="100"/>
  <c r="FK167" i="100"/>
  <c r="FK201" i="100"/>
  <c r="FK164" i="100"/>
  <c r="FK328" i="100"/>
  <c r="FK300" i="100"/>
  <c r="FK73" i="100"/>
  <c r="FK67" i="100"/>
  <c r="FK75" i="100"/>
  <c r="FK165" i="100"/>
  <c r="FK189" i="100"/>
  <c r="FK34" i="100"/>
  <c r="FK30" i="100"/>
  <c r="FK320" i="100"/>
  <c r="FK27" i="100"/>
  <c r="FK31" i="100"/>
  <c r="FK28" i="100"/>
  <c r="FK319" i="100"/>
  <c r="FK10" i="100"/>
  <c r="FK304" i="100"/>
  <c r="FK324" i="100"/>
  <c r="FK77" i="100"/>
  <c r="FK161" i="100"/>
  <c r="FK12" i="100"/>
  <c r="FK183" i="100"/>
  <c r="FK312" i="100"/>
  <c r="FK18" i="100"/>
  <c r="FK296" i="100"/>
  <c r="FK299" i="100"/>
  <c r="FK289" i="100"/>
  <c r="FK187" i="100"/>
  <c r="FK337" i="100"/>
  <c r="FK40" i="100"/>
  <c r="FK166" i="100"/>
  <c r="FK171" i="100"/>
  <c r="FK200" i="100"/>
  <c r="FK181" i="100"/>
  <c r="FK332" i="100"/>
  <c r="FK288" i="100"/>
  <c r="FK198" i="100"/>
  <c r="FK8" i="100"/>
  <c r="FK71" i="100"/>
  <c r="FK314" i="100"/>
  <c r="FK322" i="100"/>
  <c r="FK163" i="100"/>
  <c r="FK23" i="100"/>
  <c r="FK317" i="100"/>
  <c r="FK335" i="100"/>
  <c r="FK39" i="100"/>
  <c r="FK323" i="100"/>
  <c r="FK307" i="100"/>
  <c r="FK290" i="100"/>
  <c r="FK203" i="100"/>
  <c r="FK186" i="100"/>
  <c r="FK295" i="100"/>
  <c r="FK334" i="100"/>
  <c r="FK21" i="100"/>
  <c r="FK162" i="100"/>
  <c r="FK303" i="100"/>
  <c r="FK196" i="100"/>
  <c r="FK168" i="100"/>
  <c r="FK65" i="100"/>
  <c r="FK195" i="100"/>
  <c r="FK294" i="100"/>
  <c r="FK74" i="100"/>
  <c r="FK331" i="100"/>
  <c r="FK176" i="100"/>
  <c r="FK33" i="100"/>
  <c r="FK325" i="100"/>
  <c r="FK206" i="100"/>
  <c r="FK177" i="100"/>
  <c r="FK313" i="100"/>
  <c r="FK25" i="100"/>
  <c r="FK76" i="100"/>
  <c r="FK66" i="100"/>
  <c r="FK36" i="100"/>
  <c r="FK14" i="100"/>
  <c r="FK185" i="100"/>
  <c r="FK159" i="100"/>
  <c r="FK184" i="100"/>
  <c r="FK19" i="100"/>
  <c r="FK68" i="100"/>
  <c r="FL7" i="100"/>
  <c r="FK43" i="100"/>
  <c r="FK70" i="100"/>
  <c r="FK199" i="100"/>
  <c r="FK194" i="100"/>
  <c r="FK38" i="100"/>
  <c r="FK305" i="100"/>
  <c r="FK179" i="100"/>
  <c r="FK24" i="100"/>
  <c r="FK310" i="100"/>
  <c r="FK32" i="100"/>
  <c r="FK204" i="100"/>
  <c r="FK293" i="100"/>
  <c r="FK207" i="100"/>
  <c r="FK22" i="100"/>
  <c r="FK174" i="100"/>
  <c r="FK205" i="100"/>
  <c r="FK69" i="100"/>
  <c r="FK193" i="100"/>
  <c r="FK192" i="100"/>
  <c r="FK291" i="100"/>
  <c r="FK35" i="100"/>
  <c r="FK16" i="100"/>
  <c r="FK321" i="100"/>
  <c r="FK311" i="100"/>
  <c r="FK158" i="100"/>
  <c r="FK318" i="100"/>
  <c r="FK297" i="100"/>
  <c r="FK13" i="100"/>
  <c r="FK11" i="100"/>
  <c r="FK302" i="100"/>
  <c r="FK330" i="100"/>
  <c r="FK316" i="100"/>
  <c r="FK336" i="100"/>
  <c r="FK20" i="100"/>
  <c r="FK180" i="100"/>
  <c r="FK175" i="100"/>
  <c r="FK182" i="100"/>
  <c r="FK315" i="100"/>
  <c r="FK160" i="100"/>
  <c r="FK17" i="100"/>
  <c r="FL62" i="100" l="1"/>
  <c r="FL44" i="100"/>
  <c r="FL51" i="100"/>
  <c r="FL46" i="100"/>
  <c r="FL63" i="100"/>
  <c r="FL61" i="100"/>
  <c r="FL54" i="100"/>
  <c r="FL53" i="100"/>
  <c r="FL48" i="100"/>
  <c r="FL45" i="100"/>
  <c r="FL59" i="100"/>
  <c r="FL49" i="100"/>
  <c r="FL56" i="100"/>
  <c r="FL57" i="100"/>
  <c r="FL47" i="100"/>
  <c r="FL50" i="100"/>
  <c r="FL55" i="100"/>
  <c r="FL52" i="100"/>
  <c r="FL58" i="100"/>
  <c r="FL60" i="100"/>
  <c r="FK339" i="100"/>
  <c r="FK79" i="100"/>
  <c r="FK78" i="100" s="1"/>
  <c r="FK209" i="100"/>
  <c r="FL8" i="100"/>
  <c r="FL326" i="100"/>
  <c r="FL163" i="100"/>
  <c r="FL187" i="100"/>
  <c r="FL207" i="100"/>
  <c r="FL29" i="100"/>
  <c r="FL173" i="100"/>
  <c r="FL162" i="100"/>
  <c r="FL15" i="100"/>
  <c r="FL21" i="100"/>
  <c r="FL77" i="100"/>
  <c r="FL26" i="100"/>
  <c r="FL179" i="100"/>
  <c r="FL309" i="100"/>
  <c r="FL294" i="100"/>
  <c r="FL305" i="100"/>
  <c r="FL306" i="100"/>
  <c r="FL324" i="100"/>
  <c r="FL35" i="100"/>
  <c r="FL298" i="100"/>
  <c r="FL328" i="100"/>
  <c r="FL319" i="100"/>
  <c r="FL31" i="100"/>
  <c r="FM7" i="100"/>
  <c r="FL182" i="100"/>
  <c r="FL297" i="100"/>
  <c r="FL307" i="100"/>
  <c r="FL43" i="100"/>
  <c r="FL71" i="100"/>
  <c r="FL337" i="100"/>
  <c r="FL318" i="100"/>
  <c r="FL65" i="100"/>
  <c r="FL332" i="100"/>
  <c r="FL76" i="100"/>
  <c r="FL37" i="100"/>
  <c r="FL183" i="100"/>
  <c r="FL315" i="100"/>
  <c r="FL313" i="100"/>
  <c r="FL186" i="100"/>
  <c r="FL22" i="100"/>
  <c r="FL330" i="100"/>
  <c r="FL68" i="100"/>
  <c r="FL170" i="100"/>
  <c r="FL293" i="100"/>
  <c r="FL192" i="100"/>
  <c r="FL335" i="100"/>
  <c r="FL20" i="100"/>
  <c r="FL72" i="100"/>
  <c r="FL74" i="100"/>
  <c r="FL303" i="100"/>
  <c r="FL14" i="100"/>
  <c r="FL175" i="100"/>
  <c r="FL171" i="100"/>
  <c r="FL301" i="100"/>
  <c r="FL177" i="100"/>
  <c r="FL38" i="100"/>
  <c r="FL13" i="100"/>
  <c r="FL176" i="100"/>
  <c r="FL189" i="100"/>
  <c r="FL75" i="100"/>
  <c r="FL161" i="100"/>
  <c r="FL178" i="100"/>
  <c r="FL299" i="100"/>
  <c r="FL180" i="100"/>
  <c r="FL316" i="100"/>
  <c r="FL292" i="100"/>
  <c r="FL169" i="100"/>
  <c r="FL19" i="100"/>
  <c r="FL18" i="100"/>
  <c r="FL69" i="100"/>
  <c r="FL12" i="100"/>
  <c r="FL10" i="100"/>
  <c r="FL194" i="100"/>
  <c r="FL9" i="100"/>
  <c r="FL204" i="100"/>
  <c r="FL159" i="100"/>
  <c r="FL166" i="100"/>
  <c r="FL199" i="100"/>
  <c r="FL321" i="100"/>
  <c r="FL27" i="100"/>
  <c r="FL296" i="100"/>
  <c r="FL331" i="100"/>
  <c r="FL291" i="100"/>
  <c r="FL168" i="100"/>
  <c r="FL188" i="100"/>
  <c r="FL39" i="100"/>
  <c r="FL304" i="100"/>
  <c r="FL311" i="100"/>
  <c r="FL158" i="100"/>
  <c r="FL310" i="100"/>
  <c r="FL184" i="100"/>
  <c r="FL191" i="100"/>
  <c r="FL160" i="100"/>
  <c r="FL42" i="100"/>
  <c r="FL327" i="100"/>
  <c r="FL164" i="100"/>
  <c r="FL16" i="100"/>
  <c r="FL165" i="100"/>
  <c r="FL322" i="100"/>
  <c r="FL185" i="100"/>
  <c r="FL323" i="100"/>
  <c r="FL24" i="100"/>
  <c r="FL295" i="100"/>
  <c r="FL317" i="100"/>
  <c r="FL40" i="100"/>
  <c r="FL288" i="100"/>
  <c r="FL33" i="100"/>
  <c r="FL23" i="100"/>
  <c r="FL289" i="100"/>
  <c r="FL201" i="100"/>
  <c r="FL34" i="100"/>
  <c r="FL30" i="100"/>
  <c r="FL25" i="100"/>
  <c r="FL325" i="100"/>
  <c r="FL312" i="100"/>
  <c r="FL181" i="100"/>
  <c r="FL11" i="100"/>
  <c r="FL300" i="100"/>
  <c r="FL67" i="100"/>
  <c r="FL64" i="100"/>
  <c r="FL36" i="100"/>
  <c r="FL197" i="100"/>
  <c r="FL333" i="100"/>
  <c r="FL17" i="100"/>
  <c r="FL336" i="100"/>
  <c r="FL302" i="100"/>
  <c r="FL290" i="100"/>
  <c r="FL206" i="100"/>
  <c r="FL172" i="100"/>
  <c r="FL329" i="100"/>
  <c r="FL334" i="100"/>
  <c r="FL174" i="100"/>
  <c r="FL314" i="100"/>
  <c r="FL32" i="100"/>
  <c r="FL195" i="100"/>
  <c r="FL202" i="100"/>
  <c r="FL73" i="100"/>
  <c r="FL198" i="100"/>
  <c r="FL41" i="100"/>
  <c r="FL167" i="100"/>
  <c r="FL205" i="100"/>
  <c r="FL308" i="100"/>
  <c r="FL70" i="100"/>
  <c r="FL200" i="100"/>
  <c r="FL190" i="100"/>
  <c r="FL196" i="100"/>
  <c r="FL28" i="100"/>
  <c r="FL193" i="100"/>
  <c r="FL320" i="100"/>
  <c r="FL66" i="100"/>
  <c r="FL203" i="100"/>
  <c r="FM57" i="100" l="1"/>
  <c r="FM46" i="100"/>
  <c r="FM44" i="100"/>
  <c r="FM63" i="100"/>
  <c r="FM62" i="100"/>
  <c r="FM50" i="100"/>
  <c r="FM54" i="100"/>
  <c r="FM58" i="100"/>
  <c r="FM56" i="100"/>
  <c r="FM45" i="100"/>
  <c r="FM48" i="100"/>
  <c r="FM52" i="100"/>
  <c r="FM55" i="100"/>
  <c r="FM51" i="100"/>
  <c r="FM53" i="100"/>
  <c r="FM60" i="100"/>
  <c r="FM47" i="100"/>
  <c r="FM61" i="100"/>
  <c r="FM49" i="100"/>
  <c r="FM59" i="100"/>
  <c r="FL79" i="100"/>
  <c r="FL78" i="100" s="1"/>
  <c r="FL209" i="100"/>
  <c r="FL339" i="100"/>
  <c r="FM39" i="100"/>
  <c r="FM336" i="100"/>
  <c r="FM191" i="100"/>
  <c r="FM319" i="100"/>
  <c r="FM174" i="100"/>
  <c r="FM40" i="100"/>
  <c r="FM30" i="100"/>
  <c r="FM164" i="100"/>
  <c r="FM25" i="100"/>
  <c r="FM313" i="100"/>
  <c r="FM207" i="100"/>
  <c r="FM167" i="100"/>
  <c r="FM11" i="100"/>
  <c r="FM192" i="100"/>
  <c r="FM195" i="100"/>
  <c r="FM331" i="100"/>
  <c r="FM26" i="100"/>
  <c r="FM64" i="100"/>
  <c r="FM158" i="100"/>
  <c r="FM292" i="100"/>
  <c r="FM299" i="100"/>
  <c r="FM65" i="100"/>
  <c r="FM179" i="100"/>
  <c r="FM70" i="100"/>
  <c r="FM38" i="100"/>
  <c r="FM13" i="100"/>
  <c r="FM181" i="100"/>
  <c r="FM23" i="100"/>
  <c r="FM307" i="100"/>
  <c r="FM74" i="100"/>
  <c r="FM75" i="100"/>
  <c r="FM163" i="100"/>
  <c r="FM177" i="100"/>
  <c r="FM22" i="100"/>
  <c r="FM204" i="100"/>
  <c r="FM311" i="100"/>
  <c r="FM201" i="100"/>
  <c r="FM159" i="100"/>
  <c r="FN7" i="100"/>
  <c r="FM327" i="100"/>
  <c r="FM76" i="100"/>
  <c r="FM8" i="100"/>
  <c r="FM198" i="100"/>
  <c r="FM66" i="100"/>
  <c r="FM306" i="100"/>
  <c r="FM73" i="100"/>
  <c r="FM41" i="100"/>
  <c r="FM176" i="100"/>
  <c r="FM297" i="100"/>
  <c r="FM165" i="100"/>
  <c r="FM335" i="100"/>
  <c r="FM291" i="100"/>
  <c r="FM180" i="100"/>
  <c r="FM162" i="100"/>
  <c r="FM190" i="100"/>
  <c r="FM72" i="100"/>
  <c r="FM9" i="100"/>
  <c r="FM333" i="100"/>
  <c r="FM31" i="100"/>
  <c r="FM328" i="100"/>
  <c r="FM35" i="100"/>
  <c r="FM196" i="100"/>
  <c r="FM320" i="100"/>
  <c r="FM24" i="100"/>
  <c r="FM77" i="100"/>
  <c r="FM308" i="100"/>
  <c r="FM160" i="100"/>
  <c r="FM37" i="100"/>
  <c r="FM166" i="100"/>
  <c r="FM170" i="100"/>
  <c r="FM36" i="100"/>
  <c r="FM288" i="100"/>
  <c r="FM20" i="100"/>
  <c r="FM322" i="100"/>
  <c r="FM42" i="100"/>
  <c r="FM205" i="100"/>
  <c r="FM329" i="100"/>
  <c r="FM33" i="100"/>
  <c r="FM315" i="100"/>
  <c r="FM12" i="100"/>
  <c r="FM43" i="100"/>
  <c r="FM171" i="100"/>
  <c r="FM337" i="100"/>
  <c r="FM182" i="100"/>
  <c r="FM169" i="100"/>
  <c r="FM300" i="100"/>
  <c r="FM15" i="100"/>
  <c r="FM294" i="100"/>
  <c r="FM301" i="100"/>
  <c r="FM309" i="100"/>
  <c r="FM334" i="100"/>
  <c r="FM19" i="100"/>
  <c r="FM323" i="100"/>
  <c r="FM16" i="100"/>
  <c r="FM161" i="100"/>
  <c r="FM324" i="100"/>
  <c r="FM321" i="100"/>
  <c r="FM34" i="100"/>
  <c r="FM302" i="100"/>
  <c r="FM304" i="100"/>
  <c r="FM295" i="100"/>
  <c r="FM188" i="100"/>
  <c r="FM17" i="100"/>
  <c r="FM10" i="100"/>
  <c r="FM296" i="100"/>
  <c r="FM317" i="100"/>
  <c r="FM193" i="100"/>
  <c r="FM316" i="100"/>
  <c r="FM197" i="100"/>
  <c r="FM185" i="100"/>
  <c r="FM293" i="100"/>
  <c r="FM199" i="100"/>
  <c r="FM298" i="100"/>
  <c r="FM200" i="100"/>
  <c r="FM305" i="100"/>
  <c r="FM175" i="100"/>
  <c r="FM172" i="100"/>
  <c r="FM184" i="100"/>
  <c r="FM206" i="100"/>
  <c r="FM68" i="100"/>
  <c r="FM303" i="100"/>
  <c r="FM310" i="100"/>
  <c r="FM189" i="100"/>
  <c r="FM18" i="100"/>
  <c r="FM71" i="100"/>
  <c r="FM28" i="100"/>
  <c r="FM290" i="100"/>
  <c r="FM203" i="100"/>
  <c r="FM289" i="100"/>
  <c r="FM168" i="100"/>
  <c r="FM332" i="100"/>
  <c r="FM194" i="100"/>
  <c r="FM67" i="100"/>
  <c r="FM187" i="100"/>
  <c r="FM14" i="100"/>
  <c r="FM178" i="100"/>
  <c r="FM183" i="100"/>
  <c r="FM29" i="100"/>
  <c r="FM330" i="100"/>
  <c r="FM314" i="100"/>
  <c r="FM32" i="100"/>
  <c r="FM312" i="100"/>
  <c r="FM69" i="100"/>
  <c r="FM202" i="100"/>
  <c r="FM21" i="100"/>
  <c r="FM27" i="100"/>
  <c r="FM325" i="100"/>
  <c r="FM318" i="100"/>
  <c r="FM326" i="100"/>
  <c r="FM173" i="100"/>
  <c r="FM186" i="100"/>
  <c r="FN46" i="100" l="1"/>
  <c r="FN44" i="100"/>
  <c r="FN63" i="100"/>
  <c r="FN57" i="100"/>
  <c r="FN62" i="100"/>
  <c r="FN48" i="100"/>
  <c r="FN54" i="100"/>
  <c r="FN58" i="100"/>
  <c r="FN47" i="100"/>
  <c r="FN45" i="100"/>
  <c r="FN56" i="100"/>
  <c r="FN50" i="100"/>
  <c r="FN60" i="100"/>
  <c r="FN55" i="100"/>
  <c r="FN53" i="100"/>
  <c r="FN59" i="100"/>
  <c r="FN61" i="100"/>
  <c r="FN51" i="100"/>
  <c r="FN49" i="100"/>
  <c r="FN52" i="100"/>
  <c r="FM339" i="100"/>
  <c r="FM209" i="100"/>
  <c r="FM79" i="100"/>
  <c r="FM78" i="100" s="1"/>
  <c r="FN297" i="100"/>
  <c r="FN196" i="100"/>
  <c r="FN335" i="100"/>
  <c r="FN10" i="100"/>
  <c r="FN28" i="100"/>
  <c r="FN291" i="100"/>
  <c r="FN333" i="100"/>
  <c r="FN292" i="100"/>
  <c r="FN27" i="100"/>
  <c r="FN306" i="100"/>
  <c r="FN18" i="100"/>
  <c r="FN295" i="100"/>
  <c r="FN320" i="100"/>
  <c r="FN321" i="100"/>
  <c r="FN190" i="100"/>
  <c r="FN327" i="100"/>
  <c r="FN330" i="100"/>
  <c r="FN172" i="100"/>
  <c r="FN8" i="100"/>
  <c r="FN36" i="100"/>
  <c r="FN325" i="100"/>
  <c r="FN181" i="100"/>
  <c r="FN162" i="100"/>
  <c r="FN73" i="100"/>
  <c r="FN171" i="100"/>
  <c r="FN195" i="100"/>
  <c r="FN305" i="100"/>
  <c r="FN304" i="100"/>
  <c r="FN185" i="100"/>
  <c r="FN40" i="100"/>
  <c r="FN293" i="100"/>
  <c r="FN64" i="100"/>
  <c r="FN67" i="100"/>
  <c r="FN164" i="100"/>
  <c r="FN167" i="100"/>
  <c r="FN191" i="100"/>
  <c r="FN329" i="100"/>
  <c r="FN33" i="100"/>
  <c r="FN12" i="100"/>
  <c r="FN324" i="100"/>
  <c r="FN168" i="100"/>
  <c r="FN21" i="100"/>
  <c r="FN11" i="100"/>
  <c r="FN65" i="100"/>
  <c r="FN309" i="100"/>
  <c r="FN301" i="100"/>
  <c r="FN9" i="100"/>
  <c r="FN16" i="100"/>
  <c r="FN166" i="100"/>
  <c r="FN176" i="100"/>
  <c r="FN15" i="100"/>
  <c r="FN24" i="100"/>
  <c r="FN328" i="100"/>
  <c r="FN186" i="100"/>
  <c r="FN71" i="100"/>
  <c r="FN163" i="100"/>
  <c r="FN317" i="100"/>
  <c r="FN75" i="100"/>
  <c r="FN200" i="100"/>
  <c r="FN296" i="100"/>
  <c r="FN189" i="100"/>
  <c r="FN205" i="100"/>
  <c r="FN334" i="100"/>
  <c r="FN288" i="100"/>
  <c r="FN32" i="100"/>
  <c r="FN175" i="100"/>
  <c r="FN203" i="100"/>
  <c r="FN312" i="100"/>
  <c r="FN315" i="100"/>
  <c r="FN311" i="100"/>
  <c r="FN184" i="100"/>
  <c r="FN17" i="100"/>
  <c r="FN161" i="100"/>
  <c r="FN39" i="100"/>
  <c r="FN300" i="100"/>
  <c r="FN201" i="100"/>
  <c r="FN290" i="100"/>
  <c r="FN188" i="100"/>
  <c r="FN77" i="100"/>
  <c r="FN198" i="100"/>
  <c r="FN180" i="100"/>
  <c r="FN310" i="100"/>
  <c r="FN332" i="100"/>
  <c r="FN187" i="100"/>
  <c r="FN66" i="100"/>
  <c r="FN69" i="100"/>
  <c r="FN299" i="100"/>
  <c r="FN337" i="100"/>
  <c r="FN41" i="100"/>
  <c r="FN206" i="100"/>
  <c r="FN177" i="100"/>
  <c r="FN23" i="100"/>
  <c r="FN174" i="100"/>
  <c r="FN19" i="100"/>
  <c r="FN322" i="100"/>
  <c r="FN173" i="100"/>
  <c r="FN303" i="100"/>
  <c r="FN43" i="100"/>
  <c r="FN76" i="100"/>
  <c r="FO7" i="100"/>
  <c r="FN319" i="100"/>
  <c r="FN30" i="100"/>
  <c r="FN193" i="100"/>
  <c r="FN204" i="100"/>
  <c r="FN302" i="100"/>
  <c r="FN26" i="100"/>
  <c r="FN74" i="100"/>
  <c r="FN170" i="100"/>
  <c r="FN202" i="100"/>
  <c r="FN14" i="100"/>
  <c r="FN298" i="100"/>
  <c r="FN42" i="100"/>
  <c r="FN318" i="100"/>
  <c r="FN323" i="100"/>
  <c r="FN38" i="100"/>
  <c r="FN197" i="100"/>
  <c r="FN308" i="100"/>
  <c r="FN160" i="100"/>
  <c r="FN169" i="100"/>
  <c r="FN314" i="100"/>
  <c r="FN207" i="100"/>
  <c r="FN31" i="100"/>
  <c r="FN37" i="100"/>
  <c r="FN326" i="100"/>
  <c r="FN316" i="100"/>
  <c r="FN307" i="100"/>
  <c r="FN158" i="100"/>
  <c r="FN20" i="100"/>
  <c r="FN192" i="100"/>
  <c r="FN182" i="100"/>
  <c r="FN183" i="100"/>
  <c r="FN68" i="100"/>
  <c r="FN35" i="100"/>
  <c r="FN70" i="100"/>
  <c r="FN289" i="100"/>
  <c r="FN29" i="100"/>
  <c r="FN13" i="100"/>
  <c r="FN178" i="100"/>
  <c r="FN336" i="100"/>
  <c r="FN72" i="100"/>
  <c r="FN25" i="100"/>
  <c r="FN199" i="100"/>
  <c r="FN331" i="100"/>
  <c r="FN294" i="100"/>
  <c r="FN179" i="100"/>
  <c r="FN159" i="100"/>
  <c r="FN34" i="100"/>
  <c r="FN194" i="100"/>
  <c r="FN22" i="100"/>
  <c r="FN165" i="100"/>
  <c r="FN313" i="100"/>
  <c r="FO51" i="100" l="1"/>
  <c r="FO63" i="100"/>
  <c r="FO62" i="100"/>
  <c r="FO45" i="100"/>
  <c r="FO44" i="100"/>
  <c r="FO46" i="100"/>
  <c r="FO59" i="100"/>
  <c r="FO53" i="100"/>
  <c r="FO58" i="100"/>
  <c r="FO52" i="100"/>
  <c r="FO61" i="100"/>
  <c r="FO49" i="100"/>
  <c r="FO55" i="100"/>
  <c r="FO50" i="100"/>
  <c r="FO56" i="100"/>
  <c r="FO60" i="100"/>
  <c r="FO48" i="100"/>
  <c r="FO54" i="100"/>
  <c r="FO47" i="100"/>
  <c r="FO57" i="100"/>
  <c r="FN339" i="100"/>
  <c r="FN209" i="100"/>
  <c r="FN79" i="100"/>
  <c r="FN78" i="100" s="1"/>
  <c r="FO65" i="100"/>
  <c r="FO40" i="100"/>
  <c r="FO36" i="100"/>
  <c r="FO25" i="100"/>
  <c r="FO16" i="100"/>
  <c r="FO76" i="100"/>
  <c r="FO185" i="100"/>
  <c r="FO316" i="100"/>
  <c r="FO305" i="100"/>
  <c r="FO317" i="100"/>
  <c r="FO177" i="100"/>
  <c r="FO288" i="100"/>
  <c r="FO15" i="100"/>
  <c r="FO34" i="100"/>
  <c r="FO328" i="100"/>
  <c r="FO19" i="100"/>
  <c r="FO203" i="100"/>
  <c r="FO296" i="100"/>
  <c r="FO183" i="100"/>
  <c r="FO191" i="100"/>
  <c r="FO314" i="100"/>
  <c r="FO162" i="100"/>
  <c r="FO197" i="100"/>
  <c r="FO175" i="100"/>
  <c r="FO301" i="100"/>
  <c r="FO309" i="100"/>
  <c r="FO163" i="100"/>
  <c r="FO32" i="100"/>
  <c r="FO193" i="100"/>
  <c r="FO164" i="100"/>
  <c r="FO179" i="100"/>
  <c r="FO303" i="100"/>
  <c r="FO294" i="100"/>
  <c r="FO302" i="100"/>
  <c r="FO73" i="100"/>
  <c r="FO324" i="100"/>
  <c r="FO22" i="100"/>
  <c r="FO171" i="100"/>
  <c r="FO176" i="100"/>
  <c r="FO39" i="100"/>
  <c r="FO38" i="100"/>
  <c r="FO74" i="100"/>
  <c r="FO182" i="100"/>
  <c r="FO17" i="100"/>
  <c r="FO202" i="100"/>
  <c r="FO304" i="100"/>
  <c r="FO289" i="100"/>
  <c r="FO33" i="100"/>
  <c r="FO292" i="100"/>
  <c r="FO290" i="100"/>
  <c r="FO67" i="100"/>
  <c r="FO207" i="100"/>
  <c r="FO196" i="100"/>
  <c r="FO195" i="100"/>
  <c r="FO190" i="100"/>
  <c r="FO11" i="100"/>
  <c r="FO41" i="100"/>
  <c r="FO331" i="100"/>
  <c r="FO333" i="100"/>
  <c r="FO199" i="100"/>
  <c r="FO69" i="100"/>
  <c r="FO14" i="100"/>
  <c r="FO37" i="100"/>
  <c r="FO23" i="100"/>
  <c r="FO165" i="100"/>
  <c r="FO8" i="100"/>
  <c r="FO158" i="100"/>
  <c r="FO327" i="100"/>
  <c r="FO26" i="100"/>
  <c r="FO291" i="100"/>
  <c r="FO174" i="100"/>
  <c r="FO320" i="100"/>
  <c r="FO20" i="100"/>
  <c r="FO75" i="100"/>
  <c r="FO307" i="100"/>
  <c r="FP7" i="100"/>
  <c r="FO70" i="100"/>
  <c r="FO321" i="100"/>
  <c r="FO337" i="100"/>
  <c r="FO42" i="100"/>
  <c r="FO293" i="100"/>
  <c r="FO64" i="100"/>
  <c r="FO169" i="100"/>
  <c r="FO68" i="100"/>
  <c r="FO31" i="100"/>
  <c r="FO77" i="100"/>
  <c r="FO334" i="100"/>
  <c r="FO184" i="100"/>
  <c r="FO12" i="100"/>
  <c r="FO300" i="100"/>
  <c r="FO299" i="100"/>
  <c r="FO170" i="100"/>
  <c r="FO168" i="100"/>
  <c r="FO186" i="100"/>
  <c r="FO72" i="100"/>
  <c r="FO198" i="100"/>
  <c r="FO313" i="100"/>
  <c r="FO71" i="100"/>
  <c r="FO188" i="100"/>
  <c r="FO200" i="100"/>
  <c r="FO295" i="100"/>
  <c r="FO160" i="100"/>
  <c r="FO178" i="100"/>
  <c r="FO336" i="100"/>
  <c r="FO308" i="100"/>
  <c r="FO326" i="100"/>
  <c r="FO180" i="100"/>
  <c r="FO21" i="100"/>
  <c r="FO9" i="100"/>
  <c r="FO315" i="100"/>
  <c r="FO205" i="100"/>
  <c r="FO297" i="100"/>
  <c r="FO161" i="100"/>
  <c r="FO187" i="100"/>
  <c r="FO192" i="100"/>
  <c r="FO322" i="100"/>
  <c r="FO325" i="100"/>
  <c r="FO10" i="100"/>
  <c r="FO298" i="100"/>
  <c r="FO27" i="100"/>
  <c r="FO330" i="100"/>
  <c r="FO310" i="100"/>
  <c r="FO318" i="100"/>
  <c r="FO29" i="100"/>
  <c r="FO13" i="100"/>
  <c r="FO335" i="100"/>
  <c r="FO167" i="100"/>
  <c r="FO323" i="100"/>
  <c r="FO159" i="100"/>
  <c r="FO206" i="100"/>
  <c r="FO204" i="100"/>
  <c r="FO189" i="100"/>
  <c r="FO312" i="100"/>
  <c r="FO66" i="100"/>
  <c r="FO329" i="100"/>
  <c r="FO35" i="100"/>
  <c r="FO28" i="100"/>
  <c r="FO201" i="100"/>
  <c r="FO311" i="100"/>
  <c r="FO18" i="100"/>
  <c r="FO43" i="100"/>
  <c r="FO24" i="100"/>
  <c r="FO194" i="100"/>
  <c r="FO166" i="100"/>
  <c r="FO181" i="100"/>
  <c r="FO319" i="100"/>
  <c r="FO30" i="100"/>
  <c r="FO306" i="100"/>
  <c r="FO173" i="100"/>
  <c r="FO172" i="100"/>
  <c r="FO332" i="100"/>
  <c r="FP54" i="100" l="1"/>
  <c r="FP49" i="100"/>
  <c r="FP46" i="100"/>
  <c r="FP62" i="100"/>
  <c r="FP63" i="100"/>
  <c r="FP44" i="100"/>
  <c r="FP53" i="100"/>
  <c r="FP56" i="100"/>
  <c r="FP48" i="100"/>
  <c r="FP47" i="100"/>
  <c r="FP52" i="100"/>
  <c r="FP61" i="100"/>
  <c r="FP50" i="100"/>
  <c r="FP58" i="100"/>
  <c r="FP45" i="100"/>
  <c r="FP57" i="100"/>
  <c r="FP60" i="100"/>
  <c r="FP51" i="100"/>
  <c r="FP55" i="100"/>
  <c r="FP59" i="100"/>
  <c r="FO209" i="100"/>
  <c r="FO79" i="100"/>
  <c r="FO78" i="100" s="1"/>
  <c r="FO339" i="100"/>
  <c r="FP292" i="100"/>
  <c r="FP206" i="100"/>
  <c r="FP173" i="100"/>
  <c r="FP74" i="100"/>
  <c r="FP205" i="100"/>
  <c r="FP25" i="100"/>
  <c r="FP313" i="100"/>
  <c r="FP314" i="100"/>
  <c r="FP334" i="100"/>
  <c r="FP326" i="100"/>
  <c r="FP331" i="100"/>
  <c r="FP335" i="100"/>
  <c r="FP26" i="100"/>
  <c r="FP320" i="100"/>
  <c r="FP169" i="100"/>
  <c r="FP181" i="100"/>
  <c r="FP207" i="100"/>
  <c r="FP11" i="100"/>
  <c r="FP38" i="100"/>
  <c r="FP13" i="100"/>
  <c r="FP24" i="100"/>
  <c r="FP204" i="100"/>
  <c r="FP19" i="100"/>
  <c r="FQ7" i="100"/>
  <c r="FP190" i="100"/>
  <c r="FP34" i="100"/>
  <c r="FP201" i="100"/>
  <c r="FP188" i="100"/>
  <c r="FP39" i="100"/>
  <c r="FP198" i="100"/>
  <c r="FP22" i="100"/>
  <c r="FP31" i="100"/>
  <c r="FP323" i="100"/>
  <c r="FP161" i="100"/>
  <c r="FP291" i="100"/>
  <c r="FP172" i="100"/>
  <c r="FP180" i="100"/>
  <c r="FP164" i="100"/>
  <c r="FP288" i="100"/>
  <c r="FP76" i="100"/>
  <c r="FP295" i="100"/>
  <c r="FP318" i="100"/>
  <c r="FP40" i="100"/>
  <c r="FP43" i="100"/>
  <c r="FP305" i="100"/>
  <c r="FP71" i="100"/>
  <c r="FP196" i="100"/>
  <c r="FP160" i="100"/>
  <c r="FP21" i="100"/>
  <c r="FP72" i="100"/>
  <c r="FP329" i="100"/>
  <c r="FP18" i="100"/>
  <c r="FP73" i="100"/>
  <c r="FP159" i="100"/>
  <c r="FP316" i="100"/>
  <c r="FP178" i="100"/>
  <c r="FP9" i="100"/>
  <c r="FP42" i="100"/>
  <c r="FP10" i="100"/>
  <c r="FP309" i="100"/>
  <c r="FP175" i="100"/>
  <c r="FP17" i="100"/>
  <c r="FP332" i="100"/>
  <c r="FP299" i="100"/>
  <c r="FP308" i="100"/>
  <c r="FP324" i="100"/>
  <c r="FP68" i="100"/>
  <c r="FP311" i="100"/>
  <c r="FP37" i="100"/>
  <c r="FP336" i="100"/>
  <c r="FP294" i="100"/>
  <c r="FP290" i="100"/>
  <c r="FP312" i="100"/>
  <c r="FP317" i="100"/>
  <c r="FP65" i="100"/>
  <c r="FP197" i="100"/>
  <c r="FP187" i="100"/>
  <c r="FP328" i="100"/>
  <c r="FP66" i="100"/>
  <c r="FP307" i="100"/>
  <c r="FP202" i="100"/>
  <c r="FP8" i="100"/>
  <c r="FP289" i="100"/>
  <c r="FP15" i="100"/>
  <c r="FP192" i="100"/>
  <c r="FP32" i="100"/>
  <c r="FP166" i="100"/>
  <c r="FP14" i="100"/>
  <c r="FP310" i="100"/>
  <c r="FP162" i="100"/>
  <c r="FP176" i="100"/>
  <c r="FP69" i="100"/>
  <c r="FP16" i="100"/>
  <c r="FP297" i="100"/>
  <c r="FP330" i="100"/>
  <c r="FP182" i="100"/>
  <c r="FP158" i="100"/>
  <c r="FP301" i="100"/>
  <c r="FP195" i="100"/>
  <c r="FP171" i="100"/>
  <c r="FP35" i="100"/>
  <c r="FP333" i="100"/>
  <c r="FP189" i="100"/>
  <c r="FP70" i="100"/>
  <c r="FP319" i="100"/>
  <c r="FP20" i="100"/>
  <c r="FP163" i="100"/>
  <c r="FP327" i="100"/>
  <c r="FP29" i="100"/>
  <c r="FP193" i="100"/>
  <c r="FP23" i="100"/>
  <c r="FP194" i="100"/>
  <c r="FP185" i="100"/>
  <c r="FP296" i="100"/>
  <c r="FP75" i="100"/>
  <c r="FP28" i="100"/>
  <c r="FP33" i="100"/>
  <c r="FP67" i="100"/>
  <c r="FP41" i="100"/>
  <c r="FP203" i="100"/>
  <c r="FP179" i="100"/>
  <c r="FP30" i="100"/>
  <c r="FP186" i="100"/>
  <c r="FP77" i="100"/>
  <c r="FP200" i="100"/>
  <c r="FP174" i="100"/>
  <c r="FP27" i="100"/>
  <c r="FP302" i="100"/>
  <c r="FP321" i="100"/>
  <c r="FP306" i="100"/>
  <c r="FP337" i="100"/>
  <c r="FP191" i="100"/>
  <c r="FP300" i="100"/>
  <c r="FP36" i="100"/>
  <c r="FP170" i="100"/>
  <c r="FP322" i="100"/>
  <c r="FP12" i="100"/>
  <c r="FP167" i="100"/>
  <c r="FP199" i="100"/>
  <c r="FP298" i="100"/>
  <c r="FP168" i="100"/>
  <c r="FP303" i="100"/>
  <c r="FP183" i="100"/>
  <c r="FP315" i="100"/>
  <c r="FP177" i="100"/>
  <c r="FP184" i="100"/>
  <c r="FP293" i="100"/>
  <c r="FP165" i="100"/>
  <c r="FP304" i="100"/>
  <c r="FP64" i="100"/>
  <c r="FP325" i="100"/>
  <c r="FQ51" i="100" l="1"/>
  <c r="FQ58" i="100"/>
  <c r="FQ45" i="100"/>
  <c r="FQ44" i="100"/>
  <c r="FQ63" i="100"/>
  <c r="FQ62" i="100"/>
  <c r="FQ46" i="100"/>
  <c r="FQ55" i="100"/>
  <c r="FQ48" i="100"/>
  <c r="FQ61" i="100"/>
  <c r="FQ50" i="100"/>
  <c r="FQ56" i="100"/>
  <c r="FQ52" i="100"/>
  <c r="FQ54" i="100"/>
  <c r="FQ47" i="100"/>
  <c r="FQ49" i="100"/>
  <c r="FQ57" i="100"/>
  <c r="FQ59" i="100"/>
  <c r="FQ60" i="100"/>
  <c r="FQ53" i="100"/>
  <c r="FP209" i="100"/>
  <c r="FP79" i="100"/>
  <c r="FP78" i="100" s="1"/>
  <c r="FP339" i="100"/>
  <c r="FQ299" i="100"/>
  <c r="FQ312" i="100"/>
  <c r="FQ317" i="100"/>
  <c r="FQ331" i="100"/>
  <c r="FQ293" i="100"/>
  <c r="FQ10" i="100"/>
  <c r="FQ15" i="100"/>
  <c r="FQ176" i="100"/>
  <c r="FQ171" i="100"/>
  <c r="FQ77" i="100"/>
  <c r="FQ165" i="100"/>
  <c r="FQ158" i="100"/>
  <c r="FQ162" i="100"/>
  <c r="FQ161" i="100"/>
  <c r="FQ72" i="100"/>
  <c r="FQ168" i="100"/>
  <c r="FQ20" i="100"/>
  <c r="FQ326" i="100"/>
  <c r="FQ197" i="100"/>
  <c r="FQ166" i="100"/>
  <c r="FQ8" i="100"/>
  <c r="FQ39" i="100"/>
  <c r="FQ172" i="100"/>
  <c r="FQ9" i="100"/>
  <c r="FQ186" i="100"/>
  <c r="FQ32" i="100"/>
  <c r="FQ305" i="100"/>
  <c r="FQ68" i="100"/>
  <c r="FQ75" i="100"/>
  <c r="FQ17" i="100"/>
  <c r="FQ174" i="100"/>
  <c r="FQ205" i="100"/>
  <c r="FQ207" i="100"/>
  <c r="FQ21" i="100"/>
  <c r="FQ19" i="100"/>
  <c r="FQ27" i="100"/>
  <c r="FQ333" i="100"/>
  <c r="FQ288" i="100"/>
  <c r="FQ67" i="100"/>
  <c r="FQ322" i="100"/>
  <c r="FQ178" i="100"/>
  <c r="FQ302" i="100"/>
  <c r="FQ33" i="100"/>
  <c r="FQ42" i="100"/>
  <c r="FQ73" i="100"/>
  <c r="FQ324" i="100"/>
  <c r="FQ30" i="100"/>
  <c r="FQ167" i="100"/>
  <c r="FQ310" i="100"/>
  <c r="FQ323" i="100"/>
  <c r="FQ188" i="100"/>
  <c r="FQ295" i="100"/>
  <c r="FQ187" i="100"/>
  <c r="FQ71" i="100"/>
  <c r="FQ193" i="100"/>
  <c r="FQ308" i="100"/>
  <c r="FQ12" i="100"/>
  <c r="FQ201" i="100"/>
  <c r="FQ203" i="100"/>
  <c r="FQ320" i="100"/>
  <c r="FQ22" i="100"/>
  <c r="FQ29" i="100"/>
  <c r="FQ184" i="100"/>
  <c r="FQ16" i="100"/>
  <c r="FQ160" i="100"/>
  <c r="FQ175" i="100"/>
  <c r="FQ173" i="100"/>
  <c r="FQ25" i="100"/>
  <c r="FQ28" i="100"/>
  <c r="FR7" i="100"/>
  <c r="FQ316" i="100"/>
  <c r="FQ14" i="100"/>
  <c r="FQ336" i="100"/>
  <c r="FQ296" i="100"/>
  <c r="FQ195" i="100"/>
  <c r="FQ307" i="100"/>
  <c r="FQ24" i="100"/>
  <c r="FQ298" i="100"/>
  <c r="FQ180" i="100"/>
  <c r="FQ196" i="100"/>
  <c r="FQ170" i="100"/>
  <c r="FQ206" i="100"/>
  <c r="FQ34" i="100"/>
  <c r="FQ36" i="100"/>
  <c r="FQ321" i="100"/>
  <c r="FQ334" i="100"/>
  <c r="FQ26" i="100"/>
  <c r="FQ163" i="100"/>
  <c r="FQ189" i="100"/>
  <c r="FQ291" i="100"/>
  <c r="FQ202" i="100"/>
  <c r="FQ303" i="100"/>
  <c r="FQ309" i="100"/>
  <c r="FQ69" i="100"/>
  <c r="FQ306" i="100"/>
  <c r="FQ192" i="100"/>
  <c r="FQ185" i="100"/>
  <c r="FQ194" i="100"/>
  <c r="FQ164" i="100"/>
  <c r="FQ182" i="100"/>
  <c r="FQ43" i="100"/>
  <c r="FQ23" i="100"/>
  <c r="FQ335" i="100"/>
  <c r="FQ191" i="100"/>
  <c r="FQ183" i="100"/>
  <c r="FQ289" i="100"/>
  <c r="FQ297" i="100"/>
  <c r="FQ37" i="100"/>
  <c r="FQ40" i="100"/>
  <c r="FQ11" i="100"/>
  <c r="FQ169" i="100"/>
  <c r="FQ314" i="100"/>
  <c r="FQ332" i="100"/>
  <c r="FQ325" i="100"/>
  <c r="FQ204" i="100"/>
  <c r="FQ329" i="100"/>
  <c r="FQ300" i="100"/>
  <c r="FQ35" i="100"/>
  <c r="FQ18" i="100"/>
  <c r="FQ179" i="100"/>
  <c r="FQ313" i="100"/>
  <c r="FQ64" i="100"/>
  <c r="FQ76" i="100"/>
  <c r="FQ177" i="100"/>
  <c r="FQ327" i="100"/>
  <c r="FQ181" i="100"/>
  <c r="FQ330" i="100"/>
  <c r="FQ294" i="100"/>
  <c r="FQ328" i="100"/>
  <c r="FQ65" i="100"/>
  <c r="FQ318" i="100"/>
  <c r="FQ337" i="100"/>
  <c r="FQ74" i="100"/>
  <c r="FQ159" i="100"/>
  <c r="FQ190" i="100"/>
  <c r="FQ66" i="100"/>
  <c r="FQ199" i="100"/>
  <c r="FQ13" i="100"/>
  <c r="FQ311" i="100"/>
  <c r="FQ198" i="100"/>
  <c r="FQ200" i="100"/>
  <c r="FQ31" i="100"/>
  <c r="FQ70" i="100"/>
  <c r="FQ304" i="100"/>
  <c r="FQ319" i="100"/>
  <c r="FQ290" i="100"/>
  <c r="FQ315" i="100"/>
  <c r="FQ301" i="100"/>
  <c r="FQ41" i="100"/>
  <c r="FQ38" i="100"/>
  <c r="FQ292" i="100"/>
  <c r="FR59" i="100" l="1"/>
  <c r="FR44" i="100"/>
  <c r="FR62" i="100"/>
  <c r="FR63" i="100"/>
  <c r="FR46" i="100"/>
  <c r="FR55" i="100"/>
  <c r="FR61" i="100"/>
  <c r="FR49" i="100"/>
  <c r="FR51" i="100"/>
  <c r="FR48" i="100"/>
  <c r="FR53" i="100"/>
  <c r="FR54" i="100"/>
  <c r="FR57" i="100"/>
  <c r="FR50" i="100"/>
  <c r="FR58" i="100"/>
  <c r="FR56" i="100"/>
  <c r="FR52" i="100"/>
  <c r="FR60" i="100"/>
  <c r="FR45" i="100"/>
  <c r="FR47" i="100"/>
  <c r="FQ209" i="100"/>
  <c r="FQ79" i="100"/>
  <c r="FQ78" i="100" s="1"/>
  <c r="FQ339" i="100"/>
  <c r="FR317" i="100"/>
  <c r="FR68" i="100"/>
  <c r="FR197" i="100"/>
  <c r="FR309" i="100"/>
  <c r="FR76" i="100"/>
  <c r="FR201" i="100"/>
  <c r="FR320" i="100"/>
  <c r="FR43" i="100"/>
  <c r="FR181" i="100"/>
  <c r="FR12" i="100"/>
  <c r="FR34" i="100"/>
  <c r="FR207" i="100"/>
  <c r="FR171" i="100"/>
  <c r="FR332" i="100"/>
  <c r="FR29" i="100"/>
  <c r="FR185" i="100"/>
  <c r="FR322" i="100"/>
  <c r="FR11" i="100"/>
  <c r="FR327" i="100"/>
  <c r="FR28" i="100"/>
  <c r="FR17" i="100"/>
  <c r="FR301" i="100"/>
  <c r="FR182" i="100"/>
  <c r="FR26" i="100"/>
  <c r="FR199" i="100"/>
  <c r="FR293" i="100"/>
  <c r="FR193" i="100"/>
  <c r="FR288" i="100"/>
  <c r="FR9" i="100"/>
  <c r="FR31" i="100"/>
  <c r="FR72" i="100"/>
  <c r="FR172" i="100"/>
  <c r="FR196" i="100"/>
  <c r="FR304" i="100"/>
  <c r="FR180" i="100"/>
  <c r="FR173" i="100"/>
  <c r="FR308" i="100"/>
  <c r="FR19" i="100"/>
  <c r="FR296" i="100"/>
  <c r="FR192" i="100"/>
  <c r="FR200" i="100"/>
  <c r="FR326" i="100"/>
  <c r="FR166" i="100"/>
  <c r="FR40" i="100"/>
  <c r="FR160" i="100"/>
  <c r="FR302" i="100"/>
  <c r="FR174" i="100"/>
  <c r="FR33" i="100"/>
  <c r="FR164" i="100"/>
  <c r="FR13" i="100"/>
  <c r="FR69" i="100"/>
  <c r="FR77" i="100"/>
  <c r="FR71" i="100"/>
  <c r="FR335" i="100"/>
  <c r="FR189" i="100"/>
  <c r="FR36" i="100"/>
  <c r="FR333" i="100"/>
  <c r="FR16" i="100"/>
  <c r="FR187" i="100"/>
  <c r="FR324" i="100"/>
  <c r="FR195" i="100"/>
  <c r="FR183" i="100"/>
  <c r="FR204" i="100"/>
  <c r="FR203" i="100"/>
  <c r="FR313" i="100"/>
  <c r="FR297" i="100"/>
  <c r="FR75" i="100"/>
  <c r="FR198" i="100"/>
  <c r="FR289" i="100"/>
  <c r="FR307" i="100"/>
  <c r="FR176" i="100"/>
  <c r="FR178" i="100"/>
  <c r="FR65" i="100"/>
  <c r="FR328" i="100"/>
  <c r="FR331" i="100"/>
  <c r="FR175" i="100"/>
  <c r="FR25" i="100"/>
  <c r="FR37" i="100"/>
  <c r="FR312" i="100"/>
  <c r="FR300" i="100"/>
  <c r="FR64" i="100"/>
  <c r="FR66" i="100"/>
  <c r="FR169" i="100"/>
  <c r="FR202" i="100"/>
  <c r="FR163" i="100"/>
  <c r="FR32" i="100"/>
  <c r="FR8" i="100"/>
  <c r="FR319" i="100"/>
  <c r="FR39" i="100"/>
  <c r="FR295" i="100"/>
  <c r="FR30" i="100"/>
  <c r="FR186" i="100"/>
  <c r="FR298" i="100"/>
  <c r="FR316" i="100"/>
  <c r="FR314" i="100"/>
  <c r="FR206" i="100"/>
  <c r="FR336" i="100"/>
  <c r="FR41" i="100"/>
  <c r="FR315" i="100"/>
  <c r="FR190" i="100"/>
  <c r="FR177" i="100"/>
  <c r="FR329" i="100"/>
  <c r="FR170" i="100"/>
  <c r="FR20" i="100"/>
  <c r="FR165" i="100"/>
  <c r="FR290" i="100"/>
  <c r="FR159" i="100"/>
  <c r="FR24" i="100"/>
  <c r="FR179" i="100"/>
  <c r="FR73" i="100"/>
  <c r="FR325" i="100"/>
  <c r="FR27" i="100"/>
  <c r="FR337" i="100"/>
  <c r="FR323" i="100"/>
  <c r="FR191" i="100"/>
  <c r="FR70" i="100"/>
  <c r="FR35" i="100"/>
  <c r="FR21" i="100"/>
  <c r="FR67" i="100"/>
  <c r="FR38" i="100"/>
  <c r="FR184" i="100"/>
  <c r="FS7" i="100"/>
  <c r="FR294" i="100"/>
  <c r="FR18" i="100"/>
  <c r="FR22" i="100"/>
  <c r="FR168" i="100"/>
  <c r="FR42" i="100"/>
  <c r="FR299" i="100"/>
  <c r="FR305" i="100"/>
  <c r="FR15" i="100"/>
  <c r="FR23" i="100"/>
  <c r="FR162" i="100"/>
  <c r="FR205" i="100"/>
  <c r="FR330" i="100"/>
  <c r="FR167" i="100"/>
  <c r="FR306" i="100"/>
  <c r="FR291" i="100"/>
  <c r="FR318" i="100"/>
  <c r="FR334" i="100"/>
  <c r="FR311" i="100"/>
  <c r="FR310" i="100"/>
  <c r="FR303" i="100"/>
  <c r="FR292" i="100"/>
  <c r="FR161" i="100"/>
  <c r="FR10" i="100"/>
  <c r="FR188" i="100"/>
  <c r="FR158" i="100"/>
  <c r="FR14" i="100"/>
  <c r="FR321" i="100"/>
  <c r="FR194" i="100"/>
  <c r="FR74" i="100"/>
  <c r="FS46" i="100" l="1"/>
  <c r="FS59" i="100"/>
  <c r="FS51" i="100"/>
  <c r="FS62" i="100"/>
  <c r="FS63" i="100"/>
  <c r="FS44" i="100"/>
  <c r="FS50" i="100"/>
  <c r="FS61" i="100"/>
  <c r="FS54" i="100"/>
  <c r="FS58" i="100"/>
  <c r="FS57" i="100"/>
  <c r="FS49" i="100"/>
  <c r="FS48" i="100"/>
  <c r="FS55" i="100"/>
  <c r="FS52" i="100"/>
  <c r="FS56" i="100"/>
  <c r="FS53" i="100"/>
  <c r="FS47" i="100"/>
  <c r="FS45" i="100"/>
  <c r="FS60" i="100"/>
  <c r="FR339" i="100"/>
  <c r="FR79" i="100"/>
  <c r="FR78" i="100" s="1"/>
  <c r="FR209" i="100"/>
  <c r="FS12" i="100"/>
  <c r="FS160" i="100"/>
  <c r="FS294" i="100"/>
  <c r="FS200" i="100"/>
  <c r="FS27" i="100"/>
  <c r="FS324" i="100"/>
  <c r="FT7" i="100"/>
  <c r="FS322" i="100"/>
  <c r="FS333" i="100"/>
  <c r="FS158" i="100"/>
  <c r="FS35" i="100"/>
  <c r="FS315" i="100"/>
  <c r="FS327" i="100"/>
  <c r="FS66" i="100"/>
  <c r="FS9" i="100"/>
  <c r="FS31" i="100"/>
  <c r="FS37" i="100"/>
  <c r="FS199" i="100"/>
  <c r="FS336" i="100"/>
  <c r="FS176" i="100"/>
  <c r="FS318" i="100"/>
  <c r="FS38" i="100"/>
  <c r="FS205" i="100"/>
  <c r="FS305" i="100"/>
  <c r="FS25" i="100"/>
  <c r="FS183" i="100"/>
  <c r="FS292" i="100"/>
  <c r="FS172" i="100"/>
  <c r="FS21" i="100"/>
  <c r="FS164" i="100"/>
  <c r="FS334" i="100"/>
  <c r="FS332" i="100"/>
  <c r="FS323" i="100"/>
  <c r="FS39" i="100"/>
  <c r="FS313" i="100"/>
  <c r="FS191" i="100"/>
  <c r="FS185" i="100"/>
  <c r="FS329" i="100"/>
  <c r="FS189" i="100"/>
  <c r="FS162" i="100"/>
  <c r="FS316" i="100"/>
  <c r="FS194" i="100"/>
  <c r="FS317" i="100"/>
  <c r="FS326" i="100"/>
  <c r="FS70" i="100"/>
  <c r="FS319" i="100"/>
  <c r="FS207" i="100"/>
  <c r="FS302" i="100"/>
  <c r="FS74" i="100"/>
  <c r="FS34" i="100"/>
  <c r="FS166" i="100"/>
  <c r="FS321" i="100"/>
  <c r="FS75" i="100"/>
  <c r="FS40" i="100"/>
  <c r="FS328" i="100"/>
  <c r="FS42" i="100"/>
  <c r="FS17" i="100"/>
  <c r="FS68" i="100"/>
  <c r="FS72" i="100"/>
  <c r="FS337" i="100"/>
  <c r="FS65" i="100"/>
  <c r="FS184" i="100"/>
  <c r="FS73" i="100"/>
  <c r="FS69" i="100"/>
  <c r="FS11" i="100"/>
  <c r="FS16" i="100"/>
  <c r="FS308" i="100"/>
  <c r="FS300" i="100"/>
  <c r="FS33" i="100"/>
  <c r="FS15" i="100"/>
  <c r="FS173" i="100"/>
  <c r="FS295" i="100"/>
  <c r="FS20" i="100"/>
  <c r="FS67" i="100"/>
  <c r="FS303" i="100"/>
  <c r="FS41" i="100"/>
  <c r="FS181" i="100"/>
  <c r="FS77" i="100"/>
  <c r="FS177" i="100"/>
  <c r="FS180" i="100"/>
  <c r="FS193" i="100"/>
  <c r="FS325" i="100"/>
  <c r="FS203" i="100"/>
  <c r="FS290" i="100"/>
  <c r="FS24" i="100"/>
  <c r="FS196" i="100"/>
  <c r="FS171" i="100"/>
  <c r="FS310" i="100"/>
  <c r="FS288" i="100"/>
  <c r="FS299" i="100"/>
  <c r="FS13" i="100"/>
  <c r="FS298" i="100"/>
  <c r="FS14" i="100"/>
  <c r="FS314" i="100"/>
  <c r="FS311" i="100"/>
  <c r="FS10" i="100"/>
  <c r="FS304" i="100"/>
  <c r="FS32" i="100"/>
  <c r="FS188" i="100"/>
  <c r="FS170" i="100"/>
  <c r="FS206" i="100"/>
  <c r="FS64" i="100"/>
  <c r="FS29" i="100"/>
  <c r="FS331" i="100"/>
  <c r="FS296" i="100"/>
  <c r="FS204" i="100"/>
  <c r="FS335" i="100"/>
  <c r="FS289" i="100"/>
  <c r="FS167" i="100"/>
  <c r="FS306" i="100"/>
  <c r="FS307" i="100"/>
  <c r="FS71" i="100"/>
  <c r="FS195" i="100"/>
  <c r="FS165" i="100"/>
  <c r="FS297" i="100"/>
  <c r="FS174" i="100"/>
  <c r="FS179" i="100"/>
  <c r="FS43" i="100"/>
  <c r="FS169" i="100"/>
  <c r="FS76" i="100"/>
  <c r="FS197" i="100"/>
  <c r="FS186" i="100"/>
  <c r="FS19" i="100"/>
  <c r="FS301" i="100"/>
  <c r="FS182" i="100"/>
  <c r="FS23" i="100"/>
  <c r="FS202" i="100"/>
  <c r="FS175" i="100"/>
  <c r="FS291" i="100"/>
  <c r="FS22" i="100"/>
  <c r="FS161" i="100"/>
  <c r="FS330" i="100"/>
  <c r="FS36" i="100"/>
  <c r="FS187" i="100"/>
  <c r="FS168" i="100"/>
  <c r="FS163" i="100"/>
  <c r="FS198" i="100"/>
  <c r="FS159" i="100"/>
  <c r="FS18" i="100"/>
  <c r="FS312" i="100"/>
  <c r="FS192" i="100"/>
  <c r="FS26" i="100"/>
  <c r="FS178" i="100"/>
  <c r="FS190" i="100"/>
  <c r="FS30" i="100"/>
  <c r="FS201" i="100"/>
  <c r="FS293" i="100"/>
  <c r="FS28" i="100"/>
  <c r="FS320" i="100"/>
  <c r="FS309" i="100"/>
  <c r="FS8" i="100"/>
  <c r="FT62" i="100" l="1"/>
  <c r="FT57" i="100"/>
  <c r="FT59" i="100"/>
  <c r="FT63" i="100"/>
  <c r="FT46" i="100"/>
  <c r="FT52" i="100"/>
  <c r="FT61" i="100"/>
  <c r="FT44" i="100"/>
  <c r="FT58" i="100"/>
  <c r="FT50" i="100"/>
  <c r="FT53" i="100"/>
  <c r="FT56" i="100"/>
  <c r="FT49" i="100"/>
  <c r="FT48" i="100"/>
  <c r="FT60" i="100"/>
  <c r="FT54" i="100"/>
  <c r="FT47" i="100"/>
  <c r="FT55" i="100"/>
  <c r="FT45" i="100"/>
  <c r="FT51" i="100"/>
  <c r="FS79" i="100"/>
  <c r="FS78" i="100" s="1"/>
  <c r="FS339" i="100"/>
  <c r="FS209" i="100"/>
  <c r="FT290" i="100"/>
  <c r="FT182" i="100"/>
  <c r="FT307" i="100"/>
  <c r="FT291" i="100"/>
  <c r="FT42" i="100"/>
  <c r="FT308" i="100"/>
  <c r="FT317" i="100"/>
  <c r="FT336" i="100"/>
  <c r="FT180" i="100"/>
  <c r="FT191" i="100"/>
  <c r="FT203" i="100"/>
  <c r="FT18" i="100"/>
  <c r="FT19" i="100"/>
  <c r="FT73" i="100"/>
  <c r="FT166" i="100"/>
  <c r="FT159" i="100"/>
  <c r="FT163" i="100"/>
  <c r="FT204" i="100"/>
  <c r="FT300" i="100"/>
  <c r="FT313" i="100"/>
  <c r="FT13" i="100"/>
  <c r="FT335" i="100"/>
  <c r="FT318" i="100"/>
  <c r="FT10" i="100"/>
  <c r="FT175" i="100"/>
  <c r="FT304" i="100"/>
  <c r="FT172" i="100"/>
  <c r="FT35" i="100"/>
  <c r="FU7" i="100"/>
  <c r="FT303" i="100"/>
  <c r="FT297" i="100"/>
  <c r="FT41" i="100"/>
  <c r="FT314" i="100"/>
  <c r="FT158" i="100"/>
  <c r="FT320" i="100"/>
  <c r="FT193" i="100"/>
  <c r="FT186" i="100"/>
  <c r="FT321" i="100"/>
  <c r="FT11" i="100"/>
  <c r="FT195" i="100"/>
  <c r="FT310" i="100"/>
  <c r="FT162" i="100"/>
  <c r="FT72" i="100"/>
  <c r="FT66" i="100"/>
  <c r="FT288" i="100"/>
  <c r="FT296" i="100"/>
  <c r="FT199" i="100"/>
  <c r="FT43" i="100"/>
  <c r="FT202" i="100"/>
  <c r="FT309" i="100"/>
  <c r="FT293" i="100"/>
  <c r="FT12" i="100"/>
  <c r="FT36" i="100"/>
  <c r="FT26" i="100"/>
  <c r="FT302" i="100"/>
  <c r="FT23" i="100"/>
  <c r="FT294" i="100"/>
  <c r="FT200" i="100"/>
  <c r="FT305" i="100"/>
  <c r="FT165" i="100"/>
  <c r="FT28" i="100"/>
  <c r="FT329" i="100"/>
  <c r="FT65" i="100"/>
  <c r="FT188" i="100"/>
  <c r="FT22" i="100"/>
  <c r="FT315" i="100"/>
  <c r="FT289" i="100"/>
  <c r="FT38" i="100"/>
  <c r="FT16" i="100"/>
  <c r="FT177" i="100"/>
  <c r="FT168" i="100"/>
  <c r="FT327" i="100"/>
  <c r="FT326" i="100"/>
  <c r="FT64" i="100"/>
  <c r="FT25" i="100"/>
  <c r="FT325" i="100"/>
  <c r="FT178" i="100"/>
  <c r="FT67" i="100"/>
  <c r="FT70" i="100"/>
  <c r="FT31" i="100"/>
  <c r="FT169" i="100"/>
  <c r="FT319" i="100"/>
  <c r="FT34" i="100"/>
  <c r="FT8" i="100"/>
  <c r="FT323" i="100"/>
  <c r="FT9" i="100"/>
  <c r="FT201" i="100"/>
  <c r="FT170" i="100"/>
  <c r="FT32" i="100"/>
  <c r="FT306" i="100"/>
  <c r="FT27" i="100"/>
  <c r="FT174" i="100"/>
  <c r="FT194" i="100"/>
  <c r="FT331" i="100"/>
  <c r="FT179" i="100"/>
  <c r="FT187" i="100"/>
  <c r="FT316" i="100"/>
  <c r="FT312" i="100"/>
  <c r="FT30" i="100"/>
  <c r="FT20" i="100"/>
  <c r="FT295" i="100"/>
  <c r="FT299" i="100"/>
  <c r="FT71" i="100"/>
  <c r="FT33" i="100"/>
  <c r="FT207" i="100"/>
  <c r="FT311" i="100"/>
  <c r="FT184" i="100"/>
  <c r="FT77" i="100"/>
  <c r="FT68" i="100"/>
  <c r="FT24" i="100"/>
  <c r="FT330" i="100"/>
  <c r="FT322" i="100"/>
  <c r="FT69" i="100"/>
  <c r="FT192" i="100"/>
  <c r="FT173" i="100"/>
  <c r="FT197" i="100"/>
  <c r="FT332" i="100"/>
  <c r="FT39" i="100"/>
  <c r="FT324" i="100"/>
  <c r="FT76" i="100"/>
  <c r="FT298" i="100"/>
  <c r="FT17" i="100"/>
  <c r="FT171" i="100"/>
  <c r="FT161" i="100"/>
  <c r="FT181" i="100"/>
  <c r="FT29" i="100"/>
  <c r="FT292" i="100"/>
  <c r="FT206" i="100"/>
  <c r="FT75" i="100"/>
  <c r="FT337" i="100"/>
  <c r="FT21" i="100"/>
  <c r="FT160" i="100"/>
  <c r="FT167" i="100"/>
  <c r="FT14" i="100"/>
  <c r="FT190" i="100"/>
  <c r="FT198" i="100"/>
  <c r="FT196" i="100"/>
  <c r="FT189" i="100"/>
  <c r="FT37" i="100"/>
  <c r="FT164" i="100"/>
  <c r="FT333" i="100"/>
  <c r="FT334" i="100"/>
  <c r="FT185" i="100"/>
  <c r="FT74" i="100"/>
  <c r="FT205" i="100"/>
  <c r="FT328" i="100"/>
  <c r="FT15" i="100"/>
  <c r="FT183" i="100"/>
  <c r="FT176" i="100"/>
  <c r="FT301" i="100"/>
  <c r="FT40" i="100"/>
  <c r="FU63" i="100" l="1"/>
  <c r="FU44" i="100"/>
  <c r="FU51" i="100"/>
  <c r="FU46" i="100"/>
  <c r="FU62" i="100"/>
  <c r="FU58" i="100"/>
  <c r="FU61" i="100"/>
  <c r="FU53" i="100"/>
  <c r="FU56" i="100"/>
  <c r="FU47" i="100"/>
  <c r="FU50" i="100"/>
  <c r="FU57" i="100"/>
  <c r="FU48" i="100"/>
  <c r="FU45" i="100"/>
  <c r="FU52" i="100"/>
  <c r="FU59" i="100"/>
  <c r="FU49" i="100"/>
  <c r="FU54" i="100"/>
  <c r="FU60" i="100"/>
  <c r="FU55" i="100"/>
  <c r="FT209" i="100"/>
  <c r="FT79" i="100"/>
  <c r="FT78" i="100" s="1"/>
  <c r="FT339" i="100"/>
  <c r="FU327" i="100"/>
  <c r="FU170" i="100"/>
  <c r="FU161" i="100"/>
  <c r="FU331" i="100"/>
  <c r="FU21" i="100"/>
  <c r="FU301" i="100"/>
  <c r="FU77" i="100"/>
  <c r="FU181" i="100"/>
  <c r="FU328" i="100"/>
  <c r="FU35" i="100"/>
  <c r="FU169" i="100"/>
  <c r="FU311" i="100"/>
  <c r="FU175" i="100"/>
  <c r="FU324" i="100"/>
  <c r="FU10" i="100"/>
  <c r="FU313" i="100"/>
  <c r="FU160" i="100"/>
  <c r="FU68" i="100"/>
  <c r="FU158" i="100"/>
  <c r="FU309" i="100"/>
  <c r="FU176" i="100"/>
  <c r="FU22" i="100"/>
  <c r="FU159" i="100"/>
  <c r="FU70" i="100"/>
  <c r="FU24" i="100"/>
  <c r="FU326" i="100"/>
  <c r="FU174" i="100"/>
  <c r="FU27" i="100"/>
  <c r="FU296" i="100"/>
  <c r="FU207" i="100"/>
  <c r="FU186" i="100"/>
  <c r="FU18" i="100"/>
  <c r="FU303" i="100"/>
  <c r="FU332" i="100"/>
  <c r="FU162" i="100"/>
  <c r="FU9" i="100"/>
  <c r="FU178" i="100"/>
  <c r="FU330" i="100"/>
  <c r="FU199" i="100"/>
  <c r="FU76" i="100"/>
  <c r="FU187" i="100"/>
  <c r="FU203" i="100"/>
  <c r="FU298" i="100"/>
  <c r="FU195" i="100"/>
  <c r="FU197" i="100"/>
  <c r="FU15" i="100"/>
  <c r="FU182" i="100"/>
  <c r="FU167" i="100"/>
  <c r="FU336" i="100"/>
  <c r="FU308" i="100"/>
  <c r="FU16" i="100"/>
  <c r="FU180" i="100"/>
  <c r="FU317" i="100"/>
  <c r="FU165" i="100"/>
  <c r="FU73" i="100"/>
  <c r="FU288" i="100"/>
  <c r="FU201" i="100"/>
  <c r="FU42" i="100"/>
  <c r="FU43" i="100"/>
  <c r="FU72" i="100"/>
  <c r="FU202" i="100"/>
  <c r="FU32" i="100"/>
  <c r="FU185" i="100"/>
  <c r="FU294" i="100"/>
  <c r="FU335" i="100"/>
  <c r="FU39" i="100"/>
  <c r="FU323" i="100"/>
  <c r="FU310" i="100"/>
  <c r="FU33" i="100"/>
  <c r="FU334" i="100"/>
  <c r="FU163" i="100"/>
  <c r="FU38" i="100"/>
  <c r="FU31" i="100"/>
  <c r="FU66" i="100"/>
  <c r="FU312" i="100"/>
  <c r="FU172" i="100"/>
  <c r="FU191" i="100"/>
  <c r="FU164" i="100"/>
  <c r="FU26" i="100"/>
  <c r="FU297" i="100"/>
  <c r="FU37" i="100"/>
  <c r="FU183" i="100"/>
  <c r="FU304" i="100"/>
  <c r="FU302" i="100"/>
  <c r="FU198" i="100"/>
  <c r="FU28" i="100"/>
  <c r="FU41" i="100"/>
  <c r="FU315" i="100"/>
  <c r="FU30" i="100"/>
  <c r="FU190" i="100"/>
  <c r="FU64" i="100"/>
  <c r="FU188" i="100"/>
  <c r="FU71" i="100"/>
  <c r="FU291" i="100"/>
  <c r="FU8" i="100"/>
  <c r="FU196" i="100"/>
  <c r="FU177" i="100"/>
  <c r="FU290" i="100"/>
  <c r="FV7" i="100"/>
  <c r="FU300" i="100"/>
  <c r="FU299" i="100"/>
  <c r="FU200" i="100"/>
  <c r="FU306" i="100"/>
  <c r="FU67" i="100"/>
  <c r="FU173" i="100"/>
  <c r="FU292" i="100"/>
  <c r="FU305" i="100"/>
  <c r="FU316" i="100"/>
  <c r="FU184" i="100"/>
  <c r="FU13" i="100"/>
  <c r="FU204" i="100"/>
  <c r="FU17" i="100"/>
  <c r="FU20" i="100"/>
  <c r="FU189" i="100"/>
  <c r="FU12" i="100"/>
  <c r="FU75" i="100"/>
  <c r="FU194" i="100"/>
  <c r="FU318" i="100"/>
  <c r="FU179" i="100"/>
  <c r="FU34" i="100"/>
  <c r="FU320" i="100"/>
  <c r="FU321" i="100"/>
  <c r="FU325" i="100"/>
  <c r="FU337" i="100"/>
  <c r="FU307" i="100"/>
  <c r="FU314" i="100"/>
  <c r="FU168" i="100"/>
  <c r="FU322" i="100"/>
  <c r="FU329" i="100"/>
  <c r="FU29" i="100"/>
  <c r="FU295" i="100"/>
  <c r="FU25" i="100"/>
  <c r="FU319" i="100"/>
  <c r="FU65" i="100"/>
  <c r="FU192" i="100"/>
  <c r="FU40" i="100"/>
  <c r="FU14" i="100"/>
  <c r="FU69" i="100"/>
  <c r="FU23" i="100"/>
  <c r="FU333" i="100"/>
  <c r="FU166" i="100"/>
  <c r="FU36" i="100"/>
  <c r="FU19" i="100"/>
  <c r="FU171" i="100"/>
  <c r="FU205" i="100"/>
  <c r="FU289" i="100"/>
  <c r="FU293" i="100"/>
  <c r="FU11" i="100"/>
  <c r="FU193" i="100"/>
  <c r="FU206" i="100"/>
  <c r="FU74" i="100"/>
  <c r="FV62" i="100" l="1"/>
  <c r="FV46" i="100"/>
  <c r="FV63" i="100"/>
  <c r="FV44" i="100"/>
  <c r="FV48" i="100"/>
  <c r="FV53" i="100"/>
  <c r="FV55" i="100"/>
  <c r="FV58" i="100"/>
  <c r="FV54" i="100"/>
  <c r="FV56" i="100"/>
  <c r="FV51" i="100"/>
  <c r="FV59" i="100"/>
  <c r="FV50" i="100"/>
  <c r="FV52" i="100"/>
  <c r="FV47" i="100"/>
  <c r="FV57" i="100"/>
  <c r="FV45" i="100"/>
  <c r="FV61" i="100"/>
  <c r="FV49" i="100"/>
  <c r="FV60" i="100"/>
  <c r="FU79" i="100"/>
  <c r="FU78" i="100" s="1"/>
  <c r="FU209" i="100"/>
  <c r="FU339" i="100"/>
  <c r="FV206" i="100"/>
  <c r="FV331" i="100"/>
  <c r="FV27" i="100"/>
  <c r="FV158" i="100"/>
  <c r="FV298" i="100"/>
  <c r="FV183" i="100"/>
  <c r="FV26" i="100"/>
  <c r="FV14" i="100"/>
  <c r="FV336" i="100"/>
  <c r="FV76" i="100"/>
  <c r="FV313" i="100"/>
  <c r="FV316" i="100"/>
  <c r="FV68" i="100"/>
  <c r="FV75" i="100"/>
  <c r="FV28" i="100"/>
  <c r="FV173" i="100"/>
  <c r="FV33" i="100"/>
  <c r="FV293" i="100"/>
  <c r="FV30" i="100"/>
  <c r="FV16" i="100"/>
  <c r="FV172" i="100"/>
  <c r="FV207" i="100"/>
  <c r="FV18" i="100"/>
  <c r="FV73" i="100"/>
  <c r="FV36" i="100"/>
  <c r="FV22" i="100"/>
  <c r="FV205" i="100"/>
  <c r="FV15" i="100"/>
  <c r="FV13" i="100"/>
  <c r="FV179" i="100"/>
  <c r="FV74" i="100"/>
  <c r="FV177" i="100"/>
  <c r="FV165" i="100"/>
  <c r="FV303" i="100"/>
  <c r="FV288" i="100"/>
  <c r="FV306" i="100"/>
  <c r="FV199" i="100"/>
  <c r="FV181" i="100"/>
  <c r="FV333" i="100"/>
  <c r="FV20" i="100"/>
  <c r="FV169" i="100"/>
  <c r="FV159" i="100"/>
  <c r="FV314" i="100"/>
  <c r="FV178" i="100"/>
  <c r="FV204" i="100"/>
  <c r="FV21" i="100"/>
  <c r="FV175" i="100"/>
  <c r="FV17" i="100"/>
  <c r="FV315" i="100"/>
  <c r="FV329" i="100"/>
  <c r="FV19" i="100"/>
  <c r="FV328" i="100"/>
  <c r="FV25" i="100"/>
  <c r="FV307" i="100"/>
  <c r="FV323" i="100"/>
  <c r="FV77" i="100"/>
  <c r="FV289" i="100"/>
  <c r="FV41" i="100"/>
  <c r="FV332" i="100"/>
  <c r="FV180" i="100"/>
  <c r="FV42" i="100"/>
  <c r="FV11" i="100"/>
  <c r="FV198" i="100"/>
  <c r="FV38" i="100"/>
  <c r="FV302" i="100"/>
  <c r="FV300" i="100"/>
  <c r="FV69" i="100"/>
  <c r="FV170" i="100"/>
  <c r="FV34" i="100"/>
  <c r="FV292" i="100"/>
  <c r="FV320" i="100"/>
  <c r="FV162" i="100"/>
  <c r="FV65" i="100"/>
  <c r="FV9" i="100"/>
  <c r="FV72" i="100"/>
  <c r="FV35" i="100"/>
  <c r="FV164" i="100"/>
  <c r="FV195" i="100"/>
  <c r="FV301" i="100"/>
  <c r="FV39" i="100"/>
  <c r="FV322" i="100"/>
  <c r="FV182" i="100"/>
  <c r="FV202" i="100"/>
  <c r="FV8" i="100"/>
  <c r="FV321" i="100"/>
  <c r="FV167" i="100"/>
  <c r="FV12" i="100"/>
  <c r="FV160" i="100"/>
  <c r="FV297" i="100"/>
  <c r="FV330" i="100"/>
  <c r="FV201" i="100"/>
  <c r="FV317" i="100"/>
  <c r="FV295" i="100"/>
  <c r="FV335" i="100"/>
  <c r="FV334" i="100"/>
  <c r="FV196" i="100"/>
  <c r="FV161" i="100"/>
  <c r="FV40" i="100"/>
  <c r="FV318" i="100"/>
  <c r="FV191" i="100"/>
  <c r="FV190" i="100"/>
  <c r="FV203" i="100"/>
  <c r="FV37" i="100"/>
  <c r="FV163" i="100"/>
  <c r="FV23" i="100"/>
  <c r="FV200" i="100"/>
  <c r="FV311" i="100"/>
  <c r="FV327" i="100"/>
  <c r="FV32" i="100"/>
  <c r="FV291" i="100"/>
  <c r="FV324" i="100"/>
  <c r="FV166" i="100"/>
  <c r="FV197" i="100"/>
  <c r="FV186" i="100"/>
  <c r="FV71" i="100"/>
  <c r="FV31" i="100"/>
  <c r="FV319" i="100"/>
  <c r="FV337" i="100"/>
  <c r="FV10" i="100"/>
  <c r="FV193" i="100"/>
  <c r="FV326" i="100"/>
  <c r="FV312" i="100"/>
  <c r="FV299" i="100"/>
  <c r="FV174" i="100"/>
  <c r="FV308" i="100"/>
  <c r="FV189" i="100"/>
  <c r="FV296" i="100"/>
  <c r="FV176" i="100"/>
  <c r="FV70" i="100"/>
  <c r="FV66" i="100"/>
  <c r="FW7" i="100"/>
  <c r="FV325" i="100"/>
  <c r="FV304" i="100"/>
  <c r="FV310" i="100"/>
  <c r="FV43" i="100"/>
  <c r="FV305" i="100"/>
  <c r="FV188" i="100"/>
  <c r="FV187" i="100"/>
  <c r="FV194" i="100"/>
  <c r="FV290" i="100"/>
  <c r="FV294" i="100"/>
  <c r="FV192" i="100"/>
  <c r="FV64" i="100"/>
  <c r="FV185" i="100"/>
  <c r="FV168" i="100"/>
  <c r="FV171" i="100"/>
  <c r="FV184" i="100"/>
  <c r="FV309" i="100"/>
  <c r="FV67" i="100"/>
  <c r="FV29" i="100"/>
  <c r="FV24" i="100"/>
  <c r="FW60" i="100" l="1"/>
  <c r="FW46" i="100"/>
  <c r="FW63" i="100"/>
  <c r="FW44" i="100"/>
  <c r="FW51" i="100"/>
  <c r="FW62" i="100"/>
  <c r="FW49" i="100"/>
  <c r="FW55" i="100"/>
  <c r="FW48" i="100"/>
  <c r="FW53" i="100"/>
  <c r="FW58" i="100"/>
  <c r="FW61" i="100"/>
  <c r="FW45" i="100"/>
  <c r="FW59" i="100"/>
  <c r="FW56" i="100"/>
  <c r="FW50" i="100"/>
  <c r="FW54" i="100"/>
  <c r="FW47" i="100"/>
  <c r="FW57" i="100"/>
  <c r="FW52" i="100"/>
  <c r="FV339" i="100"/>
  <c r="FV209" i="100"/>
  <c r="FV79" i="100"/>
  <c r="FV78" i="100" s="1"/>
  <c r="FW22" i="100"/>
  <c r="FW162" i="100"/>
  <c r="FW170" i="100"/>
  <c r="FW77" i="100"/>
  <c r="FW192" i="100"/>
  <c r="FW333" i="100"/>
  <c r="FW161" i="100"/>
  <c r="FW171" i="100"/>
  <c r="FW69" i="100"/>
  <c r="FW335" i="100"/>
  <c r="FW183" i="100"/>
  <c r="FX7" i="100"/>
  <c r="FW295" i="100"/>
  <c r="FW11" i="100"/>
  <c r="FW38" i="100"/>
  <c r="FW299" i="100"/>
  <c r="FW308" i="100"/>
  <c r="FW336" i="100"/>
  <c r="FW313" i="100"/>
  <c r="FW70" i="100"/>
  <c r="FW202" i="100"/>
  <c r="FW160" i="100"/>
  <c r="FW40" i="100"/>
  <c r="FW315" i="100"/>
  <c r="FW190" i="100"/>
  <c r="FW13" i="100"/>
  <c r="FW205" i="100"/>
  <c r="FW302" i="100"/>
  <c r="FW300" i="100"/>
  <c r="FW194" i="100"/>
  <c r="FW75" i="100"/>
  <c r="FW65" i="100"/>
  <c r="FW178" i="100"/>
  <c r="FW201" i="100"/>
  <c r="FW177" i="100"/>
  <c r="FW301" i="100"/>
  <c r="FW174" i="100"/>
  <c r="FW334" i="100"/>
  <c r="FW181" i="100"/>
  <c r="FW206" i="100"/>
  <c r="FW312" i="100"/>
  <c r="FW28" i="100"/>
  <c r="FW197" i="100"/>
  <c r="FW66" i="100"/>
  <c r="FW167" i="100"/>
  <c r="FW288" i="100"/>
  <c r="FW172" i="100"/>
  <c r="FW32" i="100"/>
  <c r="FW325" i="100"/>
  <c r="FW180" i="100"/>
  <c r="FW176" i="100"/>
  <c r="FW337" i="100"/>
  <c r="FW321" i="100"/>
  <c r="FW15" i="100"/>
  <c r="FW76" i="100"/>
  <c r="FW326" i="100"/>
  <c r="FW164" i="100"/>
  <c r="FW165" i="100"/>
  <c r="FW327" i="100"/>
  <c r="FW304" i="100"/>
  <c r="FW182" i="100"/>
  <c r="FW297" i="100"/>
  <c r="FW36" i="100"/>
  <c r="FW191" i="100"/>
  <c r="FW12" i="100"/>
  <c r="FW168" i="100"/>
  <c r="FW290" i="100"/>
  <c r="FW324" i="100"/>
  <c r="FW43" i="100"/>
  <c r="FW292" i="100"/>
  <c r="FW23" i="100"/>
  <c r="FW9" i="100"/>
  <c r="FW74" i="100"/>
  <c r="FW16" i="100"/>
  <c r="FW179" i="100"/>
  <c r="FW186" i="100"/>
  <c r="FW41" i="100"/>
  <c r="FW64" i="100"/>
  <c r="FW303" i="100"/>
  <c r="FW193" i="100"/>
  <c r="FW33" i="100"/>
  <c r="FW30" i="100"/>
  <c r="FW73" i="100"/>
  <c r="FW163" i="100"/>
  <c r="FW68" i="100"/>
  <c r="FW185" i="100"/>
  <c r="FW204" i="100"/>
  <c r="FW166" i="100"/>
  <c r="FW189" i="100"/>
  <c r="FW14" i="100"/>
  <c r="FW18" i="100"/>
  <c r="FW19" i="100"/>
  <c r="FW294" i="100"/>
  <c r="FW311" i="100"/>
  <c r="FW310" i="100"/>
  <c r="FW199" i="100"/>
  <c r="FW319" i="100"/>
  <c r="FW195" i="100"/>
  <c r="FW25" i="100"/>
  <c r="FW296" i="100"/>
  <c r="FW307" i="100"/>
  <c r="FW20" i="100"/>
  <c r="FW17" i="100"/>
  <c r="FW291" i="100"/>
  <c r="FW196" i="100"/>
  <c r="FW306" i="100"/>
  <c r="FW8" i="100"/>
  <c r="FW29" i="100"/>
  <c r="FW318" i="100"/>
  <c r="FW331" i="100"/>
  <c r="FW159" i="100"/>
  <c r="FW293" i="100"/>
  <c r="FW203" i="100"/>
  <c r="FW35" i="100"/>
  <c r="FW309" i="100"/>
  <c r="FW27" i="100"/>
  <c r="FW169" i="100"/>
  <c r="FW71" i="100"/>
  <c r="FW173" i="100"/>
  <c r="FW200" i="100"/>
  <c r="FW298" i="100"/>
  <c r="FW328" i="100"/>
  <c r="FW67" i="100"/>
  <c r="FW158" i="100"/>
  <c r="FW320" i="100"/>
  <c r="FW21" i="100"/>
  <c r="FW322" i="100"/>
  <c r="FW39" i="100"/>
  <c r="FW314" i="100"/>
  <c r="FW72" i="100"/>
  <c r="FW317" i="100"/>
  <c r="FW207" i="100"/>
  <c r="FW187" i="100"/>
  <c r="FW34" i="100"/>
  <c r="FW332" i="100"/>
  <c r="FW329" i="100"/>
  <c r="FW26" i="100"/>
  <c r="FW31" i="100"/>
  <c r="FW323" i="100"/>
  <c r="FW316" i="100"/>
  <c r="FW305" i="100"/>
  <c r="FW330" i="100"/>
  <c r="FW42" i="100"/>
  <c r="FW175" i="100"/>
  <c r="FW37" i="100"/>
  <c r="FW24" i="100"/>
  <c r="FW289" i="100"/>
  <c r="FW184" i="100"/>
  <c r="FW188" i="100"/>
  <c r="FW10" i="100"/>
  <c r="FW198" i="100"/>
  <c r="FX62" i="100" l="1"/>
  <c r="FX46" i="100"/>
  <c r="FX51" i="100"/>
  <c r="FX44" i="100"/>
  <c r="FX63" i="100"/>
  <c r="FX58" i="100"/>
  <c r="FX45" i="100"/>
  <c r="FX49" i="100"/>
  <c r="FX53" i="100"/>
  <c r="FX47" i="100"/>
  <c r="FX48" i="100"/>
  <c r="FX59" i="100"/>
  <c r="FX56" i="100"/>
  <c r="FX55" i="100"/>
  <c r="FX60" i="100"/>
  <c r="FX52" i="100"/>
  <c r="FX54" i="100"/>
  <c r="FX61" i="100"/>
  <c r="FX50" i="100"/>
  <c r="FX57" i="100"/>
  <c r="FW79" i="100"/>
  <c r="FW78" i="100" s="1"/>
  <c r="FW339" i="100"/>
  <c r="FW209" i="100"/>
  <c r="FX72" i="100"/>
  <c r="FX203" i="100"/>
  <c r="FX162" i="100"/>
  <c r="FX24" i="100"/>
  <c r="FX10" i="100"/>
  <c r="FX314" i="100"/>
  <c r="FX300" i="100"/>
  <c r="FX16" i="100"/>
  <c r="FX177" i="100"/>
  <c r="FX187" i="100"/>
  <c r="FX186" i="100"/>
  <c r="FX180" i="100"/>
  <c r="FX319" i="100"/>
  <c r="FX330" i="100"/>
  <c r="FX66" i="100"/>
  <c r="FX182" i="100"/>
  <c r="FX299" i="100"/>
  <c r="FX194" i="100"/>
  <c r="FX185" i="100"/>
  <c r="FX35" i="100"/>
  <c r="FX42" i="100"/>
  <c r="FX169" i="100"/>
  <c r="FX165" i="100"/>
  <c r="FX322" i="100"/>
  <c r="FX298" i="100"/>
  <c r="FX41" i="100"/>
  <c r="FX65" i="100"/>
  <c r="FX11" i="100"/>
  <c r="FX200" i="100"/>
  <c r="FX317" i="100"/>
  <c r="FX34" i="100"/>
  <c r="FX306" i="100"/>
  <c r="FX77" i="100"/>
  <c r="FX189" i="100"/>
  <c r="FX291" i="100"/>
  <c r="FX31" i="100"/>
  <c r="FX324" i="100"/>
  <c r="FX303" i="100"/>
  <c r="FX14" i="100"/>
  <c r="FX43" i="100"/>
  <c r="FX335" i="100"/>
  <c r="FX332" i="100"/>
  <c r="FX191" i="100"/>
  <c r="FX71" i="100"/>
  <c r="FX313" i="100"/>
  <c r="FX69" i="100"/>
  <c r="FX310" i="100"/>
  <c r="FX33" i="100"/>
  <c r="FX166" i="100"/>
  <c r="FX318" i="100"/>
  <c r="FX320" i="100"/>
  <c r="FX178" i="100"/>
  <c r="FY7" i="100"/>
  <c r="FX64" i="100"/>
  <c r="FX32" i="100"/>
  <c r="FX175" i="100"/>
  <c r="FX183" i="100"/>
  <c r="FX26" i="100"/>
  <c r="FX171" i="100"/>
  <c r="FX206" i="100"/>
  <c r="FX30" i="100"/>
  <c r="FX179" i="100"/>
  <c r="FX8" i="100"/>
  <c r="FX36" i="100"/>
  <c r="FX297" i="100"/>
  <c r="FX13" i="100"/>
  <c r="FX302" i="100"/>
  <c r="FX163" i="100"/>
  <c r="FX312" i="100"/>
  <c r="FX70" i="100"/>
  <c r="FX198" i="100"/>
  <c r="FX164" i="100"/>
  <c r="FX333" i="100"/>
  <c r="FX196" i="100"/>
  <c r="FX294" i="100"/>
  <c r="FX174" i="100"/>
  <c r="FX75" i="100"/>
  <c r="FX176" i="100"/>
  <c r="FX325" i="100"/>
  <c r="FX40" i="100"/>
  <c r="FX328" i="100"/>
  <c r="FX170" i="100"/>
  <c r="FX28" i="100"/>
  <c r="FX305" i="100"/>
  <c r="FX304" i="100"/>
  <c r="FX334" i="100"/>
  <c r="FX19" i="100"/>
  <c r="FX67" i="100"/>
  <c r="FX22" i="100"/>
  <c r="FX207" i="100"/>
  <c r="FX315" i="100"/>
  <c r="FX192" i="100"/>
  <c r="FX309" i="100"/>
  <c r="FX316" i="100"/>
  <c r="FX20" i="100"/>
  <c r="FX296" i="100"/>
  <c r="FX161" i="100"/>
  <c r="FX290" i="100"/>
  <c r="FX168" i="100"/>
  <c r="FX292" i="100"/>
  <c r="FX73" i="100"/>
  <c r="FX21" i="100"/>
  <c r="FX23" i="100"/>
  <c r="FX76" i="100"/>
  <c r="FX160" i="100"/>
  <c r="FX199" i="100"/>
  <c r="FX201" i="100"/>
  <c r="FX307" i="100"/>
  <c r="FX289" i="100"/>
  <c r="FX301" i="100"/>
  <c r="FX337" i="100"/>
  <c r="FX17" i="100"/>
  <c r="FX311" i="100"/>
  <c r="FX18" i="100"/>
  <c r="FX167" i="100"/>
  <c r="FX323" i="100"/>
  <c r="FX326" i="100"/>
  <c r="FX68" i="100"/>
  <c r="FX181" i="100"/>
  <c r="FX193" i="100"/>
  <c r="FX184" i="100"/>
  <c r="FX288" i="100"/>
  <c r="FX37" i="100"/>
  <c r="FX202" i="100"/>
  <c r="FX195" i="100"/>
  <c r="FX172" i="100"/>
  <c r="FX15" i="100"/>
  <c r="FX204" i="100"/>
  <c r="FX39" i="100"/>
  <c r="FX158" i="100"/>
  <c r="FX205" i="100"/>
  <c r="FX321" i="100"/>
  <c r="FX25" i="100"/>
  <c r="FX29" i="100"/>
  <c r="FX327" i="100"/>
  <c r="FX12" i="100"/>
  <c r="FX308" i="100"/>
  <c r="FX331" i="100"/>
  <c r="FX190" i="100"/>
  <c r="FX74" i="100"/>
  <c r="FX9" i="100"/>
  <c r="FX336" i="100"/>
  <c r="FX293" i="100"/>
  <c r="FX188" i="100"/>
  <c r="FX329" i="100"/>
  <c r="FX27" i="100"/>
  <c r="FX38" i="100"/>
  <c r="FX197" i="100"/>
  <c r="FX295" i="100"/>
  <c r="FX173" i="100"/>
  <c r="FX159" i="100"/>
  <c r="FY63" i="100" l="1"/>
  <c r="FY62" i="100"/>
  <c r="FY46" i="100"/>
  <c r="FY44" i="100"/>
  <c r="FY51" i="100"/>
  <c r="FY49" i="100"/>
  <c r="FY58" i="100"/>
  <c r="FY54" i="100"/>
  <c r="FY56" i="100"/>
  <c r="FY48" i="100"/>
  <c r="FY50" i="100"/>
  <c r="FY52" i="100"/>
  <c r="FY57" i="100"/>
  <c r="FY59" i="100"/>
  <c r="FY61" i="100"/>
  <c r="FY60" i="100"/>
  <c r="FY53" i="100"/>
  <c r="FY55" i="100"/>
  <c r="FY47" i="100"/>
  <c r="FY45" i="100"/>
  <c r="FX209" i="100"/>
  <c r="FX79" i="100"/>
  <c r="FX78" i="100" s="1"/>
  <c r="FX339" i="100"/>
  <c r="FY179" i="100"/>
  <c r="FY10" i="100"/>
  <c r="FY176" i="100"/>
  <c r="FY326" i="100"/>
  <c r="FY311" i="100"/>
  <c r="FY26" i="100"/>
  <c r="FY163" i="100"/>
  <c r="FY177" i="100"/>
  <c r="FY305" i="100"/>
  <c r="FY329" i="100"/>
  <c r="FY333" i="100"/>
  <c r="FY73" i="100"/>
  <c r="FY291" i="100"/>
  <c r="FY31" i="100"/>
  <c r="FY324" i="100"/>
  <c r="FY74" i="100"/>
  <c r="FY299" i="100"/>
  <c r="FY331" i="100"/>
  <c r="FY75" i="100"/>
  <c r="FY322" i="100"/>
  <c r="FY306" i="100"/>
  <c r="FY35" i="100"/>
  <c r="FY27" i="100"/>
  <c r="FY194" i="100"/>
  <c r="FY165" i="100"/>
  <c r="FY193" i="100"/>
  <c r="FY77" i="100"/>
  <c r="FY16" i="100"/>
  <c r="FY330" i="100"/>
  <c r="FY21" i="100"/>
  <c r="FY191" i="100"/>
  <c r="FY294" i="100"/>
  <c r="FY202" i="100"/>
  <c r="FY161" i="100"/>
  <c r="FY12" i="100"/>
  <c r="FY20" i="100"/>
  <c r="FY11" i="100"/>
  <c r="FY170" i="100"/>
  <c r="FY172" i="100"/>
  <c r="FY296" i="100"/>
  <c r="FY14" i="100"/>
  <c r="FY201" i="100"/>
  <c r="FY295" i="100"/>
  <c r="FY309" i="100"/>
  <c r="FY15" i="100"/>
  <c r="FY189" i="100"/>
  <c r="FY206" i="100"/>
  <c r="FY336" i="100"/>
  <c r="FY197" i="100"/>
  <c r="FY188" i="100"/>
  <c r="FY37" i="100"/>
  <c r="FY36" i="100"/>
  <c r="FY288" i="100"/>
  <c r="FY178" i="100"/>
  <c r="FY315" i="100"/>
  <c r="FY158" i="100"/>
  <c r="FY68" i="100"/>
  <c r="FY293" i="100"/>
  <c r="FY313" i="100"/>
  <c r="FY310" i="100"/>
  <c r="FY301" i="100"/>
  <c r="FY30" i="100"/>
  <c r="FY204" i="100"/>
  <c r="FY184" i="100"/>
  <c r="FY198" i="100"/>
  <c r="FY289" i="100"/>
  <c r="FY166" i="100"/>
  <c r="FY321" i="100"/>
  <c r="FY308" i="100"/>
  <c r="FY69" i="100"/>
  <c r="FY24" i="100"/>
  <c r="FY290" i="100"/>
  <c r="FY316" i="100"/>
  <c r="FY187" i="100"/>
  <c r="FY168" i="100"/>
  <c r="FY42" i="100"/>
  <c r="FY298" i="100"/>
  <c r="FY186" i="100"/>
  <c r="FY292" i="100"/>
  <c r="FY159" i="100"/>
  <c r="FY190" i="100"/>
  <c r="FY29" i="100"/>
  <c r="FY312" i="100"/>
  <c r="FY320" i="100"/>
  <c r="FY64" i="100"/>
  <c r="FY200" i="100"/>
  <c r="FY334" i="100"/>
  <c r="FY319" i="100"/>
  <c r="FY183" i="100"/>
  <c r="FY182" i="100"/>
  <c r="FY38" i="100"/>
  <c r="FY33" i="100"/>
  <c r="FY174" i="100"/>
  <c r="FY180" i="100"/>
  <c r="FY318" i="100"/>
  <c r="FY23" i="100"/>
  <c r="FY181" i="100"/>
  <c r="FY335" i="100"/>
  <c r="FZ7" i="100"/>
  <c r="FY39" i="100"/>
  <c r="FY28" i="100"/>
  <c r="FY9" i="100"/>
  <c r="FY66" i="100"/>
  <c r="FY162" i="100"/>
  <c r="FY8" i="100"/>
  <c r="FY19" i="100"/>
  <c r="FY314" i="100"/>
  <c r="FY67" i="100"/>
  <c r="FY17" i="100"/>
  <c r="FY173" i="100"/>
  <c r="FY22" i="100"/>
  <c r="FY323" i="100"/>
  <c r="FY302" i="100"/>
  <c r="FY185" i="100"/>
  <c r="FY203" i="100"/>
  <c r="FY325" i="100"/>
  <c r="FY297" i="100"/>
  <c r="FY32" i="100"/>
  <c r="FY196" i="100"/>
  <c r="FY171" i="100"/>
  <c r="FY175" i="100"/>
  <c r="FY328" i="100"/>
  <c r="FY303" i="100"/>
  <c r="FY307" i="100"/>
  <c r="FY18" i="100"/>
  <c r="FY40" i="100"/>
  <c r="FY43" i="100"/>
  <c r="FY195" i="100"/>
  <c r="FY332" i="100"/>
  <c r="FY300" i="100"/>
  <c r="FY169" i="100"/>
  <c r="FY164" i="100"/>
  <c r="FY337" i="100"/>
  <c r="FY70" i="100"/>
  <c r="FY199" i="100"/>
  <c r="FY65" i="100"/>
  <c r="FY41" i="100"/>
  <c r="FY205" i="100"/>
  <c r="FY34" i="100"/>
  <c r="FY71" i="100"/>
  <c r="FY207" i="100"/>
  <c r="FY327" i="100"/>
  <c r="FY317" i="100"/>
  <c r="FY25" i="100"/>
  <c r="FY76" i="100"/>
  <c r="FY192" i="100"/>
  <c r="FY160" i="100"/>
  <c r="FY167" i="100"/>
  <c r="FY304" i="100"/>
  <c r="FY13" i="100"/>
  <c r="FY72" i="100"/>
  <c r="FZ53" i="100" l="1"/>
  <c r="FZ58" i="100"/>
  <c r="FZ62" i="100"/>
  <c r="FZ63" i="100"/>
  <c r="FZ46" i="100"/>
  <c r="FZ44" i="100"/>
  <c r="FZ51" i="100"/>
  <c r="FZ60" i="100"/>
  <c r="FZ49" i="100"/>
  <c r="FZ57" i="100"/>
  <c r="FZ56" i="100"/>
  <c r="FZ48" i="100"/>
  <c r="FZ52" i="100"/>
  <c r="FZ50" i="100"/>
  <c r="FZ61" i="100"/>
  <c r="FZ54" i="100"/>
  <c r="FZ45" i="100"/>
  <c r="FZ47" i="100"/>
  <c r="FZ55" i="100"/>
  <c r="FZ59" i="100"/>
  <c r="FY209" i="100"/>
  <c r="FY79" i="100"/>
  <c r="FY78" i="100" s="1"/>
  <c r="FY339" i="100"/>
  <c r="FZ10" i="100"/>
  <c r="FZ43" i="100"/>
  <c r="FZ309" i="100"/>
  <c r="FZ39" i="100"/>
  <c r="FZ76" i="100"/>
  <c r="FZ308" i="100"/>
  <c r="FZ73" i="100"/>
  <c r="FZ28" i="100"/>
  <c r="FZ20" i="100"/>
  <c r="FZ25" i="100"/>
  <c r="FZ164" i="100"/>
  <c r="FZ36" i="100"/>
  <c r="FZ38" i="100"/>
  <c r="FZ183" i="100"/>
  <c r="FZ174" i="100"/>
  <c r="FZ293" i="100"/>
  <c r="FZ313" i="100"/>
  <c r="FZ195" i="100"/>
  <c r="FZ184" i="100"/>
  <c r="FZ70" i="100"/>
  <c r="FZ328" i="100"/>
  <c r="FZ314" i="100"/>
  <c r="FZ182" i="100"/>
  <c r="FZ324" i="100"/>
  <c r="FZ317" i="100"/>
  <c r="FZ312" i="100"/>
  <c r="FZ24" i="100"/>
  <c r="FZ40" i="100"/>
  <c r="FZ67" i="100"/>
  <c r="FZ197" i="100"/>
  <c r="FZ198" i="100"/>
  <c r="FZ35" i="100"/>
  <c r="FZ298" i="100"/>
  <c r="FZ311" i="100"/>
  <c r="FZ321" i="100"/>
  <c r="FZ330" i="100"/>
  <c r="FZ315" i="100"/>
  <c r="FZ68" i="100"/>
  <c r="FZ179" i="100"/>
  <c r="FZ192" i="100"/>
  <c r="FZ33" i="100"/>
  <c r="FZ175" i="100"/>
  <c r="FZ74" i="100"/>
  <c r="FZ296" i="100"/>
  <c r="FZ176" i="100"/>
  <c r="FZ181" i="100"/>
  <c r="FZ332" i="100"/>
  <c r="FZ291" i="100"/>
  <c r="FZ303" i="100"/>
  <c r="FZ16" i="100"/>
  <c r="FZ177" i="100"/>
  <c r="FZ13" i="100"/>
  <c r="FZ297" i="100"/>
  <c r="FZ161" i="100"/>
  <c r="FZ32" i="100"/>
  <c r="FZ325" i="100"/>
  <c r="FZ8" i="100"/>
  <c r="FZ170" i="100"/>
  <c r="FZ77" i="100"/>
  <c r="FZ304" i="100"/>
  <c r="FZ169" i="100"/>
  <c r="FZ37" i="100"/>
  <c r="FZ189" i="100"/>
  <c r="FZ194" i="100"/>
  <c r="FZ163" i="100"/>
  <c r="FZ27" i="100"/>
  <c r="FZ17" i="100"/>
  <c r="FZ66" i="100"/>
  <c r="FZ15" i="100"/>
  <c r="FZ333" i="100"/>
  <c r="FZ310" i="100"/>
  <c r="FZ207" i="100"/>
  <c r="FZ292" i="100"/>
  <c r="FZ21" i="100"/>
  <c r="FZ335" i="100"/>
  <c r="FZ203" i="100"/>
  <c r="FZ26" i="100"/>
  <c r="FZ168" i="100"/>
  <c r="FZ42" i="100"/>
  <c r="FZ178" i="100"/>
  <c r="FZ171" i="100"/>
  <c r="FZ30" i="100"/>
  <c r="FZ186" i="100"/>
  <c r="FZ34" i="100"/>
  <c r="FZ18" i="100"/>
  <c r="FZ191" i="100"/>
  <c r="FZ326" i="100"/>
  <c r="FZ172" i="100"/>
  <c r="FZ201" i="100"/>
  <c r="FZ318" i="100"/>
  <c r="FZ158" i="100"/>
  <c r="FZ319" i="100"/>
  <c r="FZ187" i="100"/>
  <c r="FZ159" i="100"/>
  <c r="FZ180" i="100"/>
  <c r="FZ337" i="100"/>
  <c r="FZ65" i="100"/>
  <c r="FZ331" i="100"/>
  <c r="FZ204" i="100"/>
  <c r="FZ12" i="100"/>
  <c r="FZ165" i="100"/>
  <c r="FZ336" i="100"/>
  <c r="FZ288" i="100"/>
  <c r="FZ299" i="100"/>
  <c r="FZ166" i="100"/>
  <c r="FZ323" i="100"/>
  <c r="FZ306" i="100"/>
  <c r="FZ320" i="100"/>
  <c r="FZ31" i="100"/>
  <c r="FZ72" i="100"/>
  <c r="FZ71" i="100"/>
  <c r="FZ160" i="100"/>
  <c r="FZ185" i="100"/>
  <c r="FZ167" i="100"/>
  <c r="FZ301" i="100"/>
  <c r="FZ295" i="100"/>
  <c r="FZ22" i="100"/>
  <c r="FZ29" i="100"/>
  <c r="FZ327" i="100"/>
  <c r="FZ289" i="100"/>
  <c r="FZ334" i="100"/>
  <c r="FZ11" i="100"/>
  <c r="FZ14" i="100"/>
  <c r="FZ41" i="100"/>
  <c r="FZ206" i="100"/>
  <c r="FZ202" i="100"/>
  <c r="FZ205" i="100"/>
  <c r="FZ173" i="100"/>
  <c r="FZ300" i="100"/>
  <c r="FZ199" i="100"/>
  <c r="FZ322" i="100"/>
  <c r="FZ69" i="100"/>
  <c r="FZ305" i="100"/>
  <c r="FZ290" i="100"/>
  <c r="FZ329" i="100"/>
  <c r="FZ302" i="100"/>
  <c r="FZ9" i="100"/>
  <c r="FZ294" i="100"/>
  <c r="FZ19" i="100"/>
  <c r="FZ316" i="100"/>
  <c r="FZ75" i="100"/>
  <c r="FZ193" i="100"/>
  <c r="FZ190" i="100"/>
  <c r="FZ188" i="100"/>
  <c r="FZ162" i="100"/>
  <c r="FZ23" i="100"/>
  <c r="FZ64" i="100"/>
  <c r="FZ307" i="100"/>
  <c r="GA7" i="100"/>
  <c r="FZ200" i="100"/>
  <c r="FZ196" i="100"/>
  <c r="GA44" i="100" l="1"/>
  <c r="GA63" i="100"/>
  <c r="GA62" i="100"/>
  <c r="GA46" i="100"/>
  <c r="GA55" i="100"/>
  <c r="GA61" i="100"/>
  <c r="GA48" i="100"/>
  <c r="GA57" i="100"/>
  <c r="GA58" i="100"/>
  <c r="GA56" i="100"/>
  <c r="GA60" i="100"/>
  <c r="GA49" i="100"/>
  <c r="GA45" i="100"/>
  <c r="GA59" i="100"/>
  <c r="GA53" i="100"/>
  <c r="GA52" i="100"/>
  <c r="GA50" i="100"/>
  <c r="GA47" i="100"/>
  <c r="GA51" i="100"/>
  <c r="GA54" i="100"/>
  <c r="FZ209" i="100"/>
  <c r="FZ339" i="100"/>
  <c r="FZ79" i="100"/>
  <c r="FZ78" i="100" s="1"/>
  <c r="GA188" i="100"/>
  <c r="GA189" i="100"/>
  <c r="GA308" i="100"/>
  <c r="GA318" i="100"/>
  <c r="GA312" i="100"/>
  <c r="GA31" i="100"/>
  <c r="GA192" i="100"/>
  <c r="GA304" i="100"/>
  <c r="GA206" i="100"/>
  <c r="GA158" i="100"/>
  <c r="GA329" i="100"/>
  <c r="GA316" i="100"/>
  <c r="GB7" i="100"/>
  <c r="GA28" i="100"/>
  <c r="GA317" i="100"/>
  <c r="GA332" i="100"/>
  <c r="GA74" i="100"/>
  <c r="GA203" i="100"/>
  <c r="GA324" i="100"/>
  <c r="GA171" i="100"/>
  <c r="GA9" i="100"/>
  <c r="GA41" i="100"/>
  <c r="GA327" i="100"/>
  <c r="GA204" i="100"/>
  <c r="GA75" i="100"/>
  <c r="GA161" i="100"/>
  <c r="GA306" i="100"/>
  <c r="GA179" i="100"/>
  <c r="GA19" i="100"/>
  <c r="GA194" i="100"/>
  <c r="GA172" i="100"/>
  <c r="GA67" i="100"/>
  <c r="GA294" i="100"/>
  <c r="GA12" i="100"/>
  <c r="GA25" i="100"/>
  <c r="GA182" i="100"/>
  <c r="GA185" i="100"/>
  <c r="GA302" i="100"/>
  <c r="GA300" i="100"/>
  <c r="GA311" i="100"/>
  <c r="GA207" i="100"/>
  <c r="GA305" i="100"/>
  <c r="GA191" i="100"/>
  <c r="GA292" i="100"/>
  <c r="GA334" i="100"/>
  <c r="GA166" i="100"/>
  <c r="GA26" i="100"/>
  <c r="GA24" i="100"/>
  <c r="GA70" i="100"/>
  <c r="GA18" i="100"/>
  <c r="GA36" i="100"/>
  <c r="GA310" i="100"/>
  <c r="GA176" i="100"/>
  <c r="GA297" i="100"/>
  <c r="GA38" i="100"/>
  <c r="GA330" i="100"/>
  <c r="GA72" i="100"/>
  <c r="GA32" i="100"/>
  <c r="GA159" i="100"/>
  <c r="GA35" i="100"/>
  <c r="GA174" i="100"/>
  <c r="GA15" i="100"/>
  <c r="GA16" i="100"/>
  <c r="GA319" i="100"/>
  <c r="GA196" i="100"/>
  <c r="GA178" i="100"/>
  <c r="GA64" i="100"/>
  <c r="GA77" i="100"/>
  <c r="GA30" i="100"/>
  <c r="GA163" i="100"/>
  <c r="GA40" i="100"/>
  <c r="GA39" i="100"/>
  <c r="GA326" i="100"/>
  <c r="GA333" i="100"/>
  <c r="GA299" i="100"/>
  <c r="GA42" i="100"/>
  <c r="GA76" i="100"/>
  <c r="GA170" i="100"/>
  <c r="GA325" i="100"/>
  <c r="GA183" i="100"/>
  <c r="GA296" i="100"/>
  <c r="GA186" i="100"/>
  <c r="GA320" i="100"/>
  <c r="GA23" i="100"/>
  <c r="GA173" i="100"/>
  <c r="GA66" i="100"/>
  <c r="GA184" i="100"/>
  <c r="GA315" i="100"/>
  <c r="GA337" i="100"/>
  <c r="GA37" i="100"/>
  <c r="GA293" i="100"/>
  <c r="GA14" i="100"/>
  <c r="GA303" i="100"/>
  <c r="GA20" i="100"/>
  <c r="GA198" i="100"/>
  <c r="GA298" i="100"/>
  <c r="GA177" i="100"/>
  <c r="GA331" i="100"/>
  <c r="GA190" i="100"/>
  <c r="GA33" i="100"/>
  <c r="GA309" i="100"/>
  <c r="GA165" i="100"/>
  <c r="GA181" i="100"/>
  <c r="GA321" i="100"/>
  <c r="GA200" i="100"/>
  <c r="GA202" i="100"/>
  <c r="GA201" i="100"/>
  <c r="GA197" i="100"/>
  <c r="GA27" i="100"/>
  <c r="GA314" i="100"/>
  <c r="GA22" i="100"/>
  <c r="GA307" i="100"/>
  <c r="GA169" i="100"/>
  <c r="GA295" i="100"/>
  <c r="GA160" i="100"/>
  <c r="GA29" i="100"/>
  <c r="GA164" i="100"/>
  <c r="GA205" i="100"/>
  <c r="GA193" i="100"/>
  <c r="GA11" i="100"/>
  <c r="GA187" i="100"/>
  <c r="GA13" i="100"/>
  <c r="GA335" i="100"/>
  <c r="GA167" i="100"/>
  <c r="GA301" i="100"/>
  <c r="GA21" i="100"/>
  <c r="GA69" i="100"/>
  <c r="GA289" i="100"/>
  <c r="GA68" i="100"/>
  <c r="GA288" i="100"/>
  <c r="GA8" i="100"/>
  <c r="GA313" i="100"/>
  <c r="GA43" i="100"/>
  <c r="GA195" i="100"/>
  <c r="GA199" i="100"/>
  <c r="GA10" i="100"/>
  <c r="GA291" i="100"/>
  <c r="GA65" i="100"/>
  <c r="GA17" i="100"/>
  <c r="GA162" i="100"/>
  <c r="GA71" i="100"/>
  <c r="GA290" i="100"/>
  <c r="GA336" i="100"/>
  <c r="GA328" i="100"/>
  <c r="GA73" i="100"/>
  <c r="GA34" i="100"/>
  <c r="GA322" i="100"/>
  <c r="GA323" i="100"/>
  <c r="GA180" i="100"/>
  <c r="GA175" i="100"/>
  <c r="GA168" i="100"/>
  <c r="GB63" i="100" l="1"/>
  <c r="GB44" i="100"/>
  <c r="GB46" i="100"/>
  <c r="GB62" i="100"/>
  <c r="GB48" i="100"/>
  <c r="GB58" i="100"/>
  <c r="GB60" i="100"/>
  <c r="GB45" i="100"/>
  <c r="GB59" i="100"/>
  <c r="GB61" i="100"/>
  <c r="GB57" i="100"/>
  <c r="GB56" i="100"/>
  <c r="GB55" i="100"/>
  <c r="GB50" i="100"/>
  <c r="GB49" i="100"/>
  <c r="GB54" i="100"/>
  <c r="GB53" i="100"/>
  <c r="GB47" i="100"/>
  <c r="GB51" i="100"/>
  <c r="GB52" i="100"/>
  <c r="GA79" i="100"/>
  <c r="GA78" i="100" s="1"/>
  <c r="GA339" i="100"/>
  <c r="GA209" i="100"/>
  <c r="GB173" i="100"/>
  <c r="GB189" i="100"/>
  <c r="GB71" i="100"/>
  <c r="GB305" i="100"/>
  <c r="GB24" i="100"/>
  <c r="GB164" i="100"/>
  <c r="GB26" i="100"/>
  <c r="GB39" i="100"/>
  <c r="GB332" i="100"/>
  <c r="GB183" i="100"/>
  <c r="GB205" i="100"/>
  <c r="GB334" i="100"/>
  <c r="GB204" i="100"/>
  <c r="GB295" i="100"/>
  <c r="GB319" i="100"/>
  <c r="GB35" i="100"/>
  <c r="GB306" i="100"/>
  <c r="GB195" i="100"/>
  <c r="GB161" i="100"/>
  <c r="GB198" i="100"/>
  <c r="GB316" i="100"/>
  <c r="GB194" i="100"/>
  <c r="GB25" i="100"/>
  <c r="GB43" i="100"/>
  <c r="GB314" i="100"/>
  <c r="GB317" i="100"/>
  <c r="GB168" i="100"/>
  <c r="GB311" i="100"/>
  <c r="GB296" i="100"/>
  <c r="GB291" i="100"/>
  <c r="GB335" i="100"/>
  <c r="GB178" i="100"/>
  <c r="GB190" i="100"/>
  <c r="GB202" i="100"/>
  <c r="GB201" i="100"/>
  <c r="GB297" i="100"/>
  <c r="GB309" i="100"/>
  <c r="GB304" i="100"/>
  <c r="GB75" i="100"/>
  <c r="GB193" i="100"/>
  <c r="GB28" i="100"/>
  <c r="GB310" i="100"/>
  <c r="GB32" i="100"/>
  <c r="GB10" i="100"/>
  <c r="GB318" i="100"/>
  <c r="GB326" i="100"/>
  <c r="GB69" i="100"/>
  <c r="GB22" i="100"/>
  <c r="GB27" i="100"/>
  <c r="GB200" i="100"/>
  <c r="GB166" i="100"/>
  <c r="GB13" i="100"/>
  <c r="GB196" i="100"/>
  <c r="GB331" i="100"/>
  <c r="GB72" i="100"/>
  <c r="GB172" i="100"/>
  <c r="GB206" i="100"/>
  <c r="GB159" i="100"/>
  <c r="GB74" i="100"/>
  <c r="GB308" i="100"/>
  <c r="GB67" i="100"/>
  <c r="GB42" i="100"/>
  <c r="GB322" i="100"/>
  <c r="GB179" i="100"/>
  <c r="GB187" i="100"/>
  <c r="GB18" i="100"/>
  <c r="GB203" i="100"/>
  <c r="GB313" i="100"/>
  <c r="GB38" i="100"/>
  <c r="GB14" i="100"/>
  <c r="GB294" i="100"/>
  <c r="GB16" i="100"/>
  <c r="GB199" i="100"/>
  <c r="GB320" i="100"/>
  <c r="GB158" i="100"/>
  <c r="GB330" i="100"/>
  <c r="GB191" i="100"/>
  <c r="GB197" i="100"/>
  <c r="GB29" i="100"/>
  <c r="GB336" i="100"/>
  <c r="GB8" i="100"/>
  <c r="GB185" i="100"/>
  <c r="GB12" i="100"/>
  <c r="GB324" i="100"/>
  <c r="GB292" i="100"/>
  <c r="GB188" i="100"/>
  <c r="GB293" i="100"/>
  <c r="GB171" i="100"/>
  <c r="GB64" i="100"/>
  <c r="GB17" i="100"/>
  <c r="GB302" i="100"/>
  <c r="GB325" i="100"/>
  <c r="GB163" i="100"/>
  <c r="GB11" i="100"/>
  <c r="GB321" i="100"/>
  <c r="GB40" i="100"/>
  <c r="GB323" i="100"/>
  <c r="GB299" i="100"/>
  <c r="GB174" i="100"/>
  <c r="GB176" i="100"/>
  <c r="GB301" i="100"/>
  <c r="GB290" i="100"/>
  <c r="GB207" i="100"/>
  <c r="GB333" i="100"/>
  <c r="GC7" i="100"/>
  <c r="GB33" i="100"/>
  <c r="GB34" i="100"/>
  <c r="GB68" i="100"/>
  <c r="GB312" i="100"/>
  <c r="GB23" i="100"/>
  <c r="GB20" i="100"/>
  <c r="GB167" i="100"/>
  <c r="GB337" i="100"/>
  <c r="GB298" i="100"/>
  <c r="GB182" i="100"/>
  <c r="GB303" i="100"/>
  <c r="GB9" i="100"/>
  <c r="GB327" i="100"/>
  <c r="GB307" i="100"/>
  <c r="GB175" i="100"/>
  <c r="GB19" i="100"/>
  <c r="GB289" i="100"/>
  <c r="GB328" i="100"/>
  <c r="GB184" i="100"/>
  <c r="GB65" i="100"/>
  <c r="GB329" i="100"/>
  <c r="GB30" i="100"/>
  <c r="GB165" i="100"/>
  <c r="GB288" i="100"/>
  <c r="GB21" i="100"/>
  <c r="GB300" i="100"/>
  <c r="GB181" i="100"/>
  <c r="GB169" i="100"/>
  <c r="GB77" i="100"/>
  <c r="GB177" i="100"/>
  <c r="GB41" i="100"/>
  <c r="GB76" i="100"/>
  <c r="GB31" i="100"/>
  <c r="GB192" i="100"/>
  <c r="GB37" i="100"/>
  <c r="GB315" i="100"/>
  <c r="GB162" i="100"/>
  <c r="GB70" i="100"/>
  <c r="GB160" i="100"/>
  <c r="GB170" i="100"/>
  <c r="GB15" i="100"/>
  <c r="GB180" i="100"/>
  <c r="GB186" i="100"/>
  <c r="GB66" i="100"/>
  <c r="GB36" i="100"/>
  <c r="GB73" i="100"/>
  <c r="GC46" i="100" l="1"/>
  <c r="GC56" i="100"/>
  <c r="GC58" i="100"/>
  <c r="GC57" i="100"/>
  <c r="GC63" i="100"/>
  <c r="GC44" i="100"/>
  <c r="GC62" i="100"/>
  <c r="GC48" i="100"/>
  <c r="GC50" i="100"/>
  <c r="GC49" i="100"/>
  <c r="GC61" i="100"/>
  <c r="GC59" i="100"/>
  <c r="GC47" i="100"/>
  <c r="GC45" i="100"/>
  <c r="GC60" i="100"/>
  <c r="GC53" i="100"/>
  <c r="GC54" i="100"/>
  <c r="GC52" i="100"/>
  <c r="GC55" i="100"/>
  <c r="GC51" i="100"/>
  <c r="GB209" i="100"/>
  <c r="GB339" i="100"/>
  <c r="GB79" i="100"/>
  <c r="GB78" i="100" s="1"/>
  <c r="GC192" i="100"/>
  <c r="GC73" i="100"/>
  <c r="GC71" i="100"/>
  <c r="GD7" i="100"/>
  <c r="GC332" i="100"/>
  <c r="GC310" i="100"/>
  <c r="GC16" i="100"/>
  <c r="GC302" i="100"/>
  <c r="GC175" i="100"/>
  <c r="GC182" i="100"/>
  <c r="GC17" i="100"/>
  <c r="GC10" i="100"/>
  <c r="GC34" i="100"/>
  <c r="GC27" i="100"/>
  <c r="GC315" i="100"/>
  <c r="GC37" i="100"/>
  <c r="GC307" i="100"/>
  <c r="GC300" i="100"/>
  <c r="GC40" i="100"/>
  <c r="GC180" i="100"/>
  <c r="GC68" i="100"/>
  <c r="GC298" i="100"/>
  <c r="GC196" i="100"/>
  <c r="GC186" i="100"/>
  <c r="GC19" i="100"/>
  <c r="GC291" i="100"/>
  <c r="GC64" i="100"/>
  <c r="GC158" i="100"/>
  <c r="GC301" i="100"/>
  <c r="GC12" i="100"/>
  <c r="GC189" i="100"/>
  <c r="GC32" i="100"/>
  <c r="GC197" i="100"/>
  <c r="GC21" i="100"/>
  <c r="GC334" i="100"/>
  <c r="GC66" i="100"/>
  <c r="GC317" i="100"/>
  <c r="GC305" i="100"/>
  <c r="GC161" i="100"/>
  <c r="GC331" i="100"/>
  <c r="GC33" i="100"/>
  <c r="GC167" i="100"/>
  <c r="GC23" i="100"/>
  <c r="GC24" i="100"/>
  <c r="GC321" i="100"/>
  <c r="GC162" i="100"/>
  <c r="GC69" i="100"/>
  <c r="GC75" i="100"/>
  <c r="GC288" i="100"/>
  <c r="GC190" i="100"/>
  <c r="GC322" i="100"/>
  <c r="GC316" i="100"/>
  <c r="GC194" i="100"/>
  <c r="GC172" i="100"/>
  <c r="GC296" i="100"/>
  <c r="GC308" i="100"/>
  <c r="GC163" i="100"/>
  <c r="GC323" i="100"/>
  <c r="GC29" i="100"/>
  <c r="GC31" i="100"/>
  <c r="GC333" i="100"/>
  <c r="GC168" i="100"/>
  <c r="GC38" i="100"/>
  <c r="GC325" i="100"/>
  <c r="GC179" i="100"/>
  <c r="GC173" i="100"/>
  <c r="GC204" i="100"/>
  <c r="GC26" i="100"/>
  <c r="GC169" i="100"/>
  <c r="GC65" i="100"/>
  <c r="GC28" i="100"/>
  <c r="GC295" i="100"/>
  <c r="GC8" i="100"/>
  <c r="GC164" i="100"/>
  <c r="GC11" i="100"/>
  <c r="GC25" i="100"/>
  <c r="GC290" i="100"/>
  <c r="GC166" i="100"/>
  <c r="GC160" i="100"/>
  <c r="GC320" i="100"/>
  <c r="GC335" i="100"/>
  <c r="GC319" i="100"/>
  <c r="GC41" i="100"/>
  <c r="GC15" i="100"/>
  <c r="GC193" i="100"/>
  <c r="GC207" i="100"/>
  <c r="GC184" i="100"/>
  <c r="GC199" i="100"/>
  <c r="GC176" i="100"/>
  <c r="GC72" i="100"/>
  <c r="GC313" i="100"/>
  <c r="GC200" i="100"/>
  <c r="GC294" i="100"/>
  <c r="GC183" i="100"/>
  <c r="GC20" i="100"/>
  <c r="GC312" i="100"/>
  <c r="GC289" i="100"/>
  <c r="GC306" i="100"/>
  <c r="GC299" i="100"/>
  <c r="GC329" i="100"/>
  <c r="GC195" i="100"/>
  <c r="GC178" i="100"/>
  <c r="GC171" i="100"/>
  <c r="GC297" i="100"/>
  <c r="GC22" i="100"/>
  <c r="GC203" i="100"/>
  <c r="GC187" i="100"/>
  <c r="GC328" i="100"/>
  <c r="GC74" i="100"/>
  <c r="GC159" i="100"/>
  <c r="GC30" i="100"/>
  <c r="GC42" i="100"/>
  <c r="GC324" i="100"/>
  <c r="GC185" i="100"/>
  <c r="GC9" i="100"/>
  <c r="GC170" i="100"/>
  <c r="GC293" i="100"/>
  <c r="GC67" i="100"/>
  <c r="GC76" i="100"/>
  <c r="GC36" i="100"/>
  <c r="GC330" i="100"/>
  <c r="GC198" i="100"/>
  <c r="GC188" i="100"/>
  <c r="GC35" i="100"/>
  <c r="GC191" i="100"/>
  <c r="GC39" i="100"/>
  <c r="GC43" i="100"/>
  <c r="GC70" i="100"/>
  <c r="GC14" i="100"/>
  <c r="GC174" i="100"/>
  <c r="GC165" i="100"/>
  <c r="GC326" i="100"/>
  <c r="GC177" i="100"/>
  <c r="GC327" i="100"/>
  <c r="GC314" i="100"/>
  <c r="GC181" i="100"/>
  <c r="GC13" i="100"/>
  <c r="GC318" i="100"/>
  <c r="GC311" i="100"/>
  <c r="GC77" i="100"/>
  <c r="GC304" i="100"/>
  <c r="GC303" i="100"/>
  <c r="GC202" i="100"/>
  <c r="GC201" i="100"/>
  <c r="GC205" i="100"/>
  <c r="GC337" i="100"/>
  <c r="GC336" i="100"/>
  <c r="GC206" i="100"/>
  <c r="GC292" i="100"/>
  <c r="GC18" i="100"/>
  <c r="GC309" i="100"/>
  <c r="GD59" i="100" l="1"/>
  <c r="GD63" i="100"/>
  <c r="GD62" i="100"/>
  <c r="GD46" i="100"/>
  <c r="GD44" i="100"/>
  <c r="GD61" i="100"/>
  <c r="GD50" i="100"/>
  <c r="GD48" i="100"/>
  <c r="GD47" i="100"/>
  <c r="GD45" i="100"/>
  <c r="GD51" i="100"/>
  <c r="GD60" i="100"/>
  <c r="GD58" i="100"/>
  <c r="GD52" i="100"/>
  <c r="GD56" i="100"/>
  <c r="GD53" i="100"/>
  <c r="GD55" i="100"/>
  <c r="GD54" i="100"/>
  <c r="GD49" i="100"/>
  <c r="GD57" i="100"/>
  <c r="GC79" i="100"/>
  <c r="GC78" i="100" s="1"/>
  <c r="GC209" i="100"/>
  <c r="GC339" i="100"/>
  <c r="GD318" i="100"/>
  <c r="GD36" i="100"/>
  <c r="GD334" i="100"/>
  <c r="GD195" i="100"/>
  <c r="GD177" i="100"/>
  <c r="GD40" i="100"/>
  <c r="GD174" i="100"/>
  <c r="GD297" i="100"/>
  <c r="GD20" i="100"/>
  <c r="GD207" i="100"/>
  <c r="GD38" i="100"/>
  <c r="GD323" i="100"/>
  <c r="GD188" i="100"/>
  <c r="GD68" i="100"/>
  <c r="GD191" i="100"/>
  <c r="GD303" i="100"/>
  <c r="GD326" i="100"/>
  <c r="GD317" i="100"/>
  <c r="GD305" i="100"/>
  <c r="GD330" i="100"/>
  <c r="GD202" i="100"/>
  <c r="GD179" i="100"/>
  <c r="GD25" i="100"/>
  <c r="GD32" i="100"/>
  <c r="GD167" i="100"/>
  <c r="GD10" i="100"/>
  <c r="GD11" i="100"/>
  <c r="GD291" i="100"/>
  <c r="GD319" i="100"/>
  <c r="GD307" i="100"/>
  <c r="GD163" i="100"/>
  <c r="GD35" i="100"/>
  <c r="GD322" i="100"/>
  <c r="GD325" i="100"/>
  <c r="GD309" i="100"/>
  <c r="GD23" i="100"/>
  <c r="GD198" i="100"/>
  <c r="GD298" i="100"/>
  <c r="GD42" i="100"/>
  <c r="GD66" i="100"/>
  <c r="GD335" i="100"/>
  <c r="GD183" i="100"/>
  <c r="GD200" i="100"/>
  <c r="GD26" i="100"/>
  <c r="GD22" i="100"/>
  <c r="GD186" i="100"/>
  <c r="GD293" i="100"/>
  <c r="GD180" i="100"/>
  <c r="GD65" i="100"/>
  <c r="GD12" i="100"/>
  <c r="GD332" i="100"/>
  <c r="GD159" i="100"/>
  <c r="GD314" i="100"/>
  <c r="GD158" i="100"/>
  <c r="GD166" i="100"/>
  <c r="GD312" i="100"/>
  <c r="GD168" i="100"/>
  <c r="GD304" i="100"/>
  <c r="GD337" i="100"/>
  <c r="GD320" i="100"/>
  <c r="GD164" i="100"/>
  <c r="GD206" i="100"/>
  <c r="GD33" i="100"/>
  <c r="GD199" i="100"/>
  <c r="GD17" i="100"/>
  <c r="GD37" i="100"/>
  <c r="GD73" i="100"/>
  <c r="GD21" i="100"/>
  <c r="GD189" i="100"/>
  <c r="GD77" i="100"/>
  <c r="GD172" i="100"/>
  <c r="GD296" i="100"/>
  <c r="GD41" i="100"/>
  <c r="GD9" i="100"/>
  <c r="GD336" i="100"/>
  <c r="GD313" i="100"/>
  <c r="GD187" i="100"/>
  <c r="GD13" i="100"/>
  <c r="GD290" i="100"/>
  <c r="GD289" i="100"/>
  <c r="GD178" i="100"/>
  <c r="GD193" i="100"/>
  <c r="GD31" i="100"/>
  <c r="GD171" i="100"/>
  <c r="GD170" i="100"/>
  <c r="GD327" i="100"/>
  <c r="GD161" i="100"/>
  <c r="GD24" i="100"/>
  <c r="GD315" i="100"/>
  <c r="GE7" i="100"/>
  <c r="GD18" i="100"/>
  <c r="GD192" i="100"/>
  <c r="GD34" i="100"/>
  <c r="GD184" i="100"/>
  <c r="GD308" i="100"/>
  <c r="GD328" i="100"/>
  <c r="GD70" i="100"/>
  <c r="GD300" i="100"/>
  <c r="GD311" i="100"/>
  <c r="GD162" i="100"/>
  <c r="GD181" i="100"/>
  <c r="GD169" i="100"/>
  <c r="GD76" i="100"/>
  <c r="GD14" i="100"/>
  <c r="GD173" i="100"/>
  <c r="GD74" i="100"/>
  <c r="GD69" i="100"/>
  <c r="GD43" i="100"/>
  <c r="GD39" i="100"/>
  <c r="GD316" i="100"/>
  <c r="GD29" i="100"/>
  <c r="GD165" i="100"/>
  <c r="GD72" i="100"/>
  <c r="GD67" i="100"/>
  <c r="GD160" i="100"/>
  <c r="GD299" i="100"/>
  <c r="GD201" i="100"/>
  <c r="GD321" i="100"/>
  <c r="GD75" i="100"/>
  <c r="GD71" i="100"/>
  <c r="GD295" i="100"/>
  <c r="GD203" i="100"/>
  <c r="GD8" i="100"/>
  <c r="GD190" i="100"/>
  <c r="GD294" i="100"/>
  <c r="GD64" i="100"/>
  <c r="GD15" i="100"/>
  <c r="GD205" i="100"/>
  <c r="GD196" i="100"/>
  <c r="GD310" i="100"/>
  <c r="GD175" i="100"/>
  <c r="GD306" i="100"/>
  <c r="GD333" i="100"/>
  <c r="GD301" i="100"/>
  <c r="GD194" i="100"/>
  <c r="GD288" i="100"/>
  <c r="GD27" i="100"/>
  <c r="GD19" i="100"/>
  <c r="GD302" i="100"/>
  <c r="GD28" i="100"/>
  <c r="GD30" i="100"/>
  <c r="GD16" i="100"/>
  <c r="GD204" i="100"/>
  <c r="GD324" i="100"/>
  <c r="GD182" i="100"/>
  <c r="GD176" i="100"/>
  <c r="GD197" i="100"/>
  <c r="GD329" i="100"/>
  <c r="GD292" i="100"/>
  <c r="GD185" i="100"/>
  <c r="GD331" i="100"/>
  <c r="GE58" i="100" l="1"/>
  <c r="GE63" i="100"/>
  <c r="GE46" i="100"/>
  <c r="GE62" i="100"/>
  <c r="GE44" i="100"/>
  <c r="GE53" i="100"/>
  <c r="GE54" i="100"/>
  <c r="GE59" i="100"/>
  <c r="GE52" i="100"/>
  <c r="GE48" i="100"/>
  <c r="GE47" i="100"/>
  <c r="GE56" i="100"/>
  <c r="GE60" i="100"/>
  <c r="GE49" i="100"/>
  <c r="GE45" i="100"/>
  <c r="GE55" i="100"/>
  <c r="GE57" i="100"/>
  <c r="GE61" i="100"/>
  <c r="GE50" i="100"/>
  <c r="GE51" i="100"/>
  <c r="GD339" i="100"/>
  <c r="GD209" i="100"/>
  <c r="GD79" i="100"/>
  <c r="GD78" i="100" s="1"/>
  <c r="GE329" i="100"/>
  <c r="GE298" i="100"/>
  <c r="GE68" i="100"/>
  <c r="GE75" i="100"/>
  <c r="GE66" i="100"/>
  <c r="GE165" i="100"/>
  <c r="GE26" i="100"/>
  <c r="GE306" i="100"/>
  <c r="GE196" i="100"/>
  <c r="GE179" i="100"/>
  <c r="GE202" i="100"/>
  <c r="GE162" i="100"/>
  <c r="GE305" i="100"/>
  <c r="GE77" i="100"/>
  <c r="GE40" i="100"/>
  <c r="GE185" i="100"/>
  <c r="GE328" i="100"/>
  <c r="GE203" i="100"/>
  <c r="GE11" i="100"/>
  <c r="GE333" i="100"/>
  <c r="GE38" i="100"/>
  <c r="GE25" i="100"/>
  <c r="GE330" i="100"/>
  <c r="GE39" i="100"/>
  <c r="GE207" i="100"/>
  <c r="GE301" i="100"/>
  <c r="GE65" i="100"/>
  <c r="GE195" i="100"/>
  <c r="GE290" i="100"/>
  <c r="GE193" i="100"/>
  <c r="GE9" i="100"/>
  <c r="GE334" i="100"/>
  <c r="GE21" i="100"/>
  <c r="GE182" i="100"/>
  <c r="GE295" i="100"/>
  <c r="GE313" i="100"/>
  <c r="GE327" i="100"/>
  <c r="GE19" i="100"/>
  <c r="GE166" i="100"/>
  <c r="GE320" i="100"/>
  <c r="GE159" i="100"/>
  <c r="GE76" i="100"/>
  <c r="GE331" i="100"/>
  <c r="GE177" i="100"/>
  <c r="GE27" i="100"/>
  <c r="GE42" i="100"/>
  <c r="GE316" i="100"/>
  <c r="GE335" i="100"/>
  <c r="GE69" i="100"/>
  <c r="GE288" i="100"/>
  <c r="GE289" i="100"/>
  <c r="GE33" i="100"/>
  <c r="GE296" i="100"/>
  <c r="GF7" i="100"/>
  <c r="GE321" i="100"/>
  <c r="GE175" i="100"/>
  <c r="GE8" i="100"/>
  <c r="GE201" i="100"/>
  <c r="GE164" i="100"/>
  <c r="GE206" i="100"/>
  <c r="GE325" i="100"/>
  <c r="GE303" i="100"/>
  <c r="GE178" i="100"/>
  <c r="GE37" i="100"/>
  <c r="GE300" i="100"/>
  <c r="GE71" i="100"/>
  <c r="GE43" i="100"/>
  <c r="GE191" i="100"/>
  <c r="GE35" i="100"/>
  <c r="GE205" i="100"/>
  <c r="GE74" i="100"/>
  <c r="GE170" i="100"/>
  <c r="GE36" i="100"/>
  <c r="GE323" i="100"/>
  <c r="GE34" i="100"/>
  <c r="GE299" i="100"/>
  <c r="GE194" i="100"/>
  <c r="GE200" i="100"/>
  <c r="GE70" i="100"/>
  <c r="GE322" i="100"/>
  <c r="GE309" i="100"/>
  <c r="GE169" i="100"/>
  <c r="GE17" i="100"/>
  <c r="GE167" i="100"/>
  <c r="GE160" i="100"/>
  <c r="GE307" i="100"/>
  <c r="GE308" i="100"/>
  <c r="GE67" i="100"/>
  <c r="GE158" i="100"/>
  <c r="GE311" i="100"/>
  <c r="GE186" i="100"/>
  <c r="GE292" i="100"/>
  <c r="GE32" i="100"/>
  <c r="GE12" i="100"/>
  <c r="GE199" i="100"/>
  <c r="GE174" i="100"/>
  <c r="GE29" i="100"/>
  <c r="GE336" i="100"/>
  <c r="GE161" i="100"/>
  <c r="GE24" i="100"/>
  <c r="GE293" i="100"/>
  <c r="GE192" i="100"/>
  <c r="GE197" i="100"/>
  <c r="GE319" i="100"/>
  <c r="GE22" i="100"/>
  <c r="GE13" i="100"/>
  <c r="GE20" i="100"/>
  <c r="GE312" i="100"/>
  <c r="GE176" i="100"/>
  <c r="GE294" i="100"/>
  <c r="GE31" i="100"/>
  <c r="GE317" i="100"/>
  <c r="GE324" i="100"/>
  <c r="GE297" i="100"/>
  <c r="GE189" i="100"/>
  <c r="GE304" i="100"/>
  <c r="GE337" i="100"/>
  <c r="GE318" i="100"/>
  <c r="GE180" i="100"/>
  <c r="GE163" i="100"/>
  <c r="GE41" i="100"/>
  <c r="GE15" i="100"/>
  <c r="GE171" i="100"/>
  <c r="GE23" i="100"/>
  <c r="GE332" i="100"/>
  <c r="GE326" i="100"/>
  <c r="GE190" i="100"/>
  <c r="GE310" i="100"/>
  <c r="GE173" i="100"/>
  <c r="GE183" i="100"/>
  <c r="GE315" i="100"/>
  <c r="GE72" i="100"/>
  <c r="GE28" i="100"/>
  <c r="GE18" i="100"/>
  <c r="GE198" i="100"/>
  <c r="GE73" i="100"/>
  <c r="GE168" i="100"/>
  <c r="GE172" i="100"/>
  <c r="GE30" i="100"/>
  <c r="GE204" i="100"/>
  <c r="GE187" i="100"/>
  <c r="GE314" i="100"/>
  <c r="GE16" i="100"/>
  <c r="GE302" i="100"/>
  <c r="GE181" i="100"/>
  <c r="GE184" i="100"/>
  <c r="GE291" i="100"/>
  <c r="GE188" i="100"/>
  <c r="GE64" i="100"/>
  <c r="GE10" i="100"/>
  <c r="GE14" i="100"/>
  <c r="GF44" i="100" l="1"/>
  <c r="GF46" i="100"/>
  <c r="GF54" i="100"/>
  <c r="GF45" i="100"/>
  <c r="GF59" i="100"/>
  <c r="GF62" i="100"/>
  <c r="GF57" i="100"/>
  <c r="GF58" i="100"/>
  <c r="GF63" i="100"/>
  <c r="GF55" i="100"/>
  <c r="GF61" i="100"/>
  <c r="GF48" i="100"/>
  <c r="GF47" i="100"/>
  <c r="GF56" i="100"/>
  <c r="GF60" i="100"/>
  <c r="GF50" i="100"/>
  <c r="GF51" i="100"/>
  <c r="GF52" i="100"/>
  <c r="GF53" i="100"/>
  <c r="GF49" i="100"/>
  <c r="GE79" i="100"/>
  <c r="GE78" i="100" s="1"/>
  <c r="GE209" i="100"/>
  <c r="GE339" i="100"/>
  <c r="GF66" i="100"/>
  <c r="GF200" i="100"/>
  <c r="GF310" i="100"/>
  <c r="GF204" i="100"/>
  <c r="GF186" i="100"/>
  <c r="GF183" i="100"/>
  <c r="GF25" i="100"/>
  <c r="GF202" i="100"/>
  <c r="GF10" i="100"/>
  <c r="GF15" i="100"/>
  <c r="GF71" i="100"/>
  <c r="GF31" i="100"/>
  <c r="GF307" i="100"/>
  <c r="GF43" i="100"/>
  <c r="GF182" i="100"/>
  <c r="GF174" i="100"/>
  <c r="GF176" i="100"/>
  <c r="GF30" i="100"/>
  <c r="GF65" i="100"/>
  <c r="GF37" i="100"/>
  <c r="GF188" i="100"/>
  <c r="GF313" i="100"/>
  <c r="GF167" i="100"/>
  <c r="GF334" i="100"/>
  <c r="GF40" i="100"/>
  <c r="GF68" i="100"/>
  <c r="GF12" i="100"/>
  <c r="GF29" i="100"/>
  <c r="GF330" i="100"/>
  <c r="GF332" i="100"/>
  <c r="GF163" i="100"/>
  <c r="GF17" i="100"/>
  <c r="GF22" i="100"/>
  <c r="GF76" i="100"/>
  <c r="GF180" i="100"/>
  <c r="GF70" i="100"/>
  <c r="GF297" i="100"/>
  <c r="GF192" i="100"/>
  <c r="GF158" i="100"/>
  <c r="GF9" i="100"/>
  <c r="GF185" i="100"/>
  <c r="GF194" i="100"/>
  <c r="GF309" i="100"/>
  <c r="GF74" i="100"/>
  <c r="GF298" i="100"/>
  <c r="GF289" i="100"/>
  <c r="GF190" i="100"/>
  <c r="GF197" i="100"/>
  <c r="GF171" i="100"/>
  <c r="GF331" i="100"/>
  <c r="GF199" i="100"/>
  <c r="GF193" i="100"/>
  <c r="GF333" i="100"/>
  <c r="GF328" i="100"/>
  <c r="GF164" i="100"/>
  <c r="GF319" i="100"/>
  <c r="GF172" i="100"/>
  <c r="GF321" i="100"/>
  <c r="GF28" i="100"/>
  <c r="GF306" i="100"/>
  <c r="GF196" i="100"/>
  <c r="GF39" i="100"/>
  <c r="GF198" i="100"/>
  <c r="GF294" i="100"/>
  <c r="GF33" i="100"/>
  <c r="GF336" i="100"/>
  <c r="GF69" i="100"/>
  <c r="GF178" i="100"/>
  <c r="GF314" i="100"/>
  <c r="GF161" i="100"/>
  <c r="GF38" i="100"/>
  <c r="GF318" i="100"/>
  <c r="GF326" i="100"/>
  <c r="GF203" i="100"/>
  <c r="GF296" i="100"/>
  <c r="GF177" i="100"/>
  <c r="GF166" i="100"/>
  <c r="GF24" i="100"/>
  <c r="GF162" i="100"/>
  <c r="GF322" i="100"/>
  <c r="GF308" i="100"/>
  <c r="GF169" i="100"/>
  <c r="GF181" i="100"/>
  <c r="GF303" i="100"/>
  <c r="GF293" i="100"/>
  <c r="GF317" i="100"/>
  <c r="GF35" i="100"/>
  <c r="GF36" i="100"/>
  <c r="GF324" i="100"/>
  <c r="GF27" i="100"/>
  <c r="GF299" i="100"/>
  <c r="GF205" i="100"/>
  <c r="GF42" i="100"/>
  <c r="GF206" i="100"/>
  <c r="GF75" i="100"/>
  <c r="GF291" i="100"/>
  <c r="GF19" i="100"/>
  <c r="GF11" i="100"/>
  <c r="GF173" i="100"/>
  <c r="GF327" i="100"/>
  <c r="GF304" i="100"/>
  <c r="GF26" i="100"/>
  <c r="GF195" i="100"/>
  <c r="GF170" i="100"/>
  <c r="GF18" i="100"/>
  <c r="GF290" i="100"/>
  <c r="GF335" i="100"/>
  <c r="GF187" i="100"/>
  <c r="GF16" i="100"/>
  <c r="GF64" i="100"/>
  <c r="GF207" i="100"/>
  <c r="GF73" i="100"/>
  <c r="GF320" i="100"/>
  <c r="GF175" i="100"/>
  <c r="GF77" i="100"/>
  <c r="GF159" i="100"/>
  <c r="GF184" i="100"/>
  <c r="GF201" i="100"/>
  <c r="GF323" i="100"/>
  <c r="GF41" i="100"/>
  <c r="GF168" i="100"/>
  <c r="GF34" i="100"/>
  <c r="GF312" i="100"/>
  <c r="GF160" i="100"/>
  <c r="GF189" i="100"/>
  <c r="GF191" i="100"/>
  <c r="GF305" i="100"/>
  <c r="GF325" i="100"/>
  <c r="GF315" i="100"/>
  <c r="GF21" i="100"/>
  <c r="GF300" i="100"/>
  <c r="GF329" i="100"/>
  <c r="GF301" i="100"/>
  <c r="GF165" i="100"/>
  <c r="GF32" i="100"/>
  <c r="GF8" i="100"/>
  <c r="GF14" i="100"/>
  <c r="GF295" i="100"/>
  <c r="GF302" i="100"/>
  <c r="GF288" i="100"/>
  <c r="GF23" i="100"/>
  <c r="GG7" i="100"/>
  <c r="GF316" i="100"/>
  <c r="GF311" i="100"/>
  <c r="GF20" i="100"/>
  <c r="GF67" i="100"/>
  <c r="GF13" i="100"/>
  <c r="GF179" i="100"/>
  <c r="GF292" i="100"/>
  <c r="GF337" i="100"/>
  <c r="GF72" i="100"/>
  <c r="GG62" i="100" l="1"/>
  <c r="GG57" i="100"/>
  <c r="GG63" i="100"/>
  <c r="GG44" i="100"/>
  <c r="GG51" i="100"/>
  <c r="GG46" i="100"/>
  <c r="GG50" i="100"/>
  <c r="GG58" i="100"/>
  <c r="GG53" i="100"/>
  <c r="GG48" i="100"/>
  <c r="GG54" i="100"/>
  <c r="GG52" i="100"/>
  <c r="GG56" i="100"/>
  <c r="GG45" i="100"/>
  <c r="GG61" i="100"/>
  <c r="GG55" i="100"/>
  <c r="GG49" i="100"/>
  <c r="GG47" i="100"/>
  <c r="GG59" i="100"/>
  <c r="GG60" i="100"/>
  <c r="GF79" i="100"/>
  <c r="GF78" i="100" s="1"/>
  <c r="GF339" i="100"/>
  <c r="GF209" i="100"/>
  <c r="GG298" i="100"/>
  <c r="GG167" i="100"/>
  <c r="GG288" i="100"/>
  <c r="GG201" i="100"/>
  <c r="GG24" i="100"/>
  <c r="GG177" i="100"/>
  <c r="GG293" i="100"/>
  <c r="GG294" i="100"/>
  <c r="GG9" i="100"/>
  <c r="GG68" i="100"/>
  <c r="GG334" i="100"/>
  <c r="GG313" i="100"/>
  <c r="GG20" i="100"/>
  <c r="GG308" i="100"/>
  <c r="GG178" i="100"/>
  <c r="GG301" i="100"/>
  <c r="GG324" i="100"/>
  <c r="GG71" i="100"/>
  <c r="GG300" i="100"/>
  <c r="GG289" i="100"/>
  <c r="GG34" i="100"/>
  <c r="GG190" i="100"/>
  <c r="GG203" i="100"/>
  <c r="GG296" i="100"/>
  <c r="GG31" i="100"/>
  <c r="GG73" i="100"/>
  <c r="GG162" i="100"/>
  <c r="GG188" i="100"/>
  <c r="GG200" i="100"/>
  <c r="GG317" i="100"/>
  <c r="GG192" i="100"/>
  <c r="GG305" i="100"/>
  <c r="GG187" i="100"/>
  <c r="GG319" i="100"/>
  <c r="GG15" i="100"/>
  <c r="GG207" i="100"/>
  <c r="GG337" i="100"/>
  <c r="GG64" i="100"/>
  <c r="GG185" i="100"/>
  <c r="GG74" i="100"/>
  <c r="GG33" i="100"/>
  <c r="GG159" i="100"/>
  <c r="GG183" i="100"/>
  <c r="GG191" i="100"/>
  <c r="GG28" i="100"/>
  <c r="GG158" i="100"/>
  <c r="GG30" i="100"/>
  <c r="GG36" i="100"/>
  <c r="GG307" i="100"/>
  <c r="GG29" i="100"/>
  <c r="GG332" i="100"/>
  <c r="GG23" i="100"/>
  <c r="GG195" i="100"/>
  <c r="GG335" i="100"/>
  <c r="GG42" i="100"/>
  <c r="GG304" i="100"/>
  <c r="GG330" i="100"/>
  <c r="GG19" i="100"/>
  <c r="GG35" i="100"/>
  <c r="GG16" i="100"/>
  <c r="GG13" i="100"/>
  <c r="GG171" i="100"/>
  <c r="GG290" i="100"/>
  <c r="GH7" i="100"/>
  <c r="GG170" i="100"/>
  <c r="GG72" i="100"/>
  <c r="GG311" i="100"/>
  <c r="GG180" i="100"/>
  <c r="GG77" i="100"/>
  <c r="GG41" i="100"/>
  <c r="GG67" i="100"/>
  <c r="GG166" i="100"/>
  <c r="GG310" i="100"/>
  <c r="GG160" i="100"/>
  <c r="GG194" i="100"/>
  <c r="GG292" i="100"/>
  <c r="GG204" i="100"/>
  <c r="GG196" i="100"/>
  <c r="GG326" i="100"/>
  <c r="GG17" i="100"/>
  <c r="GG8" i="100"/>
  <c r="GG40" i="100"/>
  <c r="GG333" i="100"/>
  <c r="GG199" i="100"/>
  <c r="GG174" i="100"/>
  <c r="GG70" i="100"/>
  <c r="GG173" i="100"/>
  <c r="GG161" i="100"/>
  <c r="GG169" i="100"/>
  <c r="GG164" i="100"/>
  <c r="GG186" i="100"/>
  <c r="GG306" i="100"/>
  <c r="GG302" i="100"/>
  <c r="GG69" i="100"/>
  <c r="GG43" i="100"/>
  <c r="GG182" i="100"/>
  <c r="GG197" i="100"/>
  <c r="GG198" i="100"/>
  <c r="GG329" i="100"/>
  <c r="GG181" i="100"/>
  <c r="GG163" i="100"/>
  <c r="GG328" i="100"/>
  <c r="GG309" i="100"/>
  <c r="GG21" i="100"/>
  <c r="GG76" i="100"/>
  <c r="GG331" i="100"/>
  <c r="GG315" i="100"/>
  <c r="GG14" i="100"/>
  <c r="GG291" i="100"/>
  <c r="GG299" i="100"/>
  <c r="GG336" i="100"/>
  <c r="GG318" i="100"/>
  <c r="GG179" i="100"/>
  <c r="GG12" i="100"/>
  <c r="GG66" i="100"/>
  <c r="GG205" i="100"/>
  <c r="GG172" i="100"/>
  <c r="GG322" i="100"/>
  <c r="GG27" i="100"/>
  <c r="GG26" i="100"/>
  <c r="GG184" i="100"/>
  <c r="GG11" i="100"/>
  <c r="GG32" i="100"/>
  <c r="GG22" i="100"/>
  <c r="GG321" i="100"/>
  <c r="GG193" i="100"/>
  <c r="GG75" i="100"/>
  <c r="GG65" i="100"/>
  <c r="GG320" i="100"/>
  <c r="GG297" i="100"/>
  <c r="GG327" i="100"/>
  <c r="GG18" i="100"/>
  <c r="GG38" i="100"/>
  <c r="GG316" i="100"/>
  <c r="GG37" i="100"/>
  <c r="GG39" i="100"/>
  <c r="GG323" i="100"/>
  <c r="GG312" i="100"/>
  <c r="GG25" i="100"/>
  <c r="GG176" i="100"/>
  <c r="GG295" i="100"/>
  <c r="GG189" i="100"/>
  <c r="GG314" i="100"/>
  <c r="GG202" i="100"/>
  <c r="GG10" i="100"/>
  <c r="GG165" i="100"/>
  <c r="GG303" i="100"/>
  <c r="GG168" i="100"/>
  <c r="GG206" i="100"/>
  <c r="GG325" i="100"/>
  <c r="GG175" i="100"/>
  <c r="GH45" i="100" l="1"/>
  <c r="GH46" i="100"/>
  <c r="GH44" i="100"/>
  <c r="GH61" i="100"/>
  <c r="GH51" i="100"/>
  <c r="GH62" i="100"/>
  <c r="GH63" i="100"/>
  <c r="GH60" i="100"/>
  <c r="GH58" i="100"/>
  <c r="GH48" i="100"/>
  <c r="GH56" i="100"/>
  <c r="GH49" i="100"/>
  <c r="GH57" i="100"/>
  <c r="GH52" i="100"/>
  <c r="GH59" i="100"/>
  <c r="GH47" i="100"/>
  <c r="GH54" i="100"/>
  <c r="GH50" i="100"/>
  <c r="GH53" i="100"/>
  <c r="GH55" i="100"/>
  <c r="GG209" i="100"/>
  <c r="GG79" i="100"/>
  <c r="GG78" i="100" s="1"/>
  <c r="GG339" i="100"/>
  <c r="GH184" i="100"/>
  <c r="GH14" i="100"/>
  <c r="GH23" i="100"/>
  <c r="GH312" i="100"/>
  <c r="GH70" i="100"/>
  <c r="GH178" i="100"/>
  <c r="GH186" i="100"/>
  <c r="GH294" i="100"/>
  <c r="GH37" i="100"/>
  <c r="GH173" i="100"/>
  <c r="GH204" i="100"/>
  <c r="GH159" i="100"/>
  <c r="GH191" i="100"/>
  <c r="GH160" i="100"/>
  <c r="GH198" i="100"/>
  <c r="GH318" i="100"/>
  <c r="GH174" i="100"/>
  <c r="GH29" i="100"/>
  <c r="GH162" i="100"/>
  <c r="GH36" i="100"/>
  <c r="GH158" i="100"/>
  <c r="GH42" i="100"/>
  <c r="GH27" i="100"/>
  <c r="GH192" i="100"/>
  <c r="GH315" i="100"/>
  <c r="GH39" i="100"/>
  <c r="GH328" i="100"/>
  <c r="GH203" i="100"/>
  <c r="GH183" i="100"/>
  <c r="GH68" i="100"/>
  <c r="GH321" i="100"/>
  <c r="GH20" i="100"/>
  <c r="GH76" i="100"/>
  <c r="GH17" i="100"/>
  <c r="GH77" i="100"/>
  <c r="GH207" i="100"/>
  <c r="GH195" i="100"/>
  <c r="GH336" i="100"/>
  <c r="GI7" i="100"/>
  <c r="GH196" i="100"/>
  <c r="GH166" i="100"/>
  <c r="GH177" i="100"/>
  <c r="GH305" i="100"/>
  <c r="GH201" i="100"/>
  <c r="GH293" i="100"/>
  <c r="GH304" i="100"/>
  <c r="GH35" i="100"/>
  <c r="GH313" i="100"/>
  <c r="GH333" i="100"/>
  <c r="GH41" i="100"/>
  <c r="GH15" i="100"/>
  <c r="GH302" i="100"/>
  <c r="GH330" i="100"/>
  <c r="GH169" i="100"/>
  <c r="GH319" i="100"/>
  <c r="GH22" i="100"/>
  <c r="GH25" i="100"/>
  <c r="GH73" i="100"/>
  <c r="GH311" i="100"/>
  <c r="GH176" i="100"/>
  <c r="GH189" i="100"/>
  <c r="GH171" i="100"/>
  <c r="GH323" i="100"/>
  <c r="GH167" i="100"/>
  <c r="GH316" i="100"/>
  <c r="GH165" i="100"/>
  <c r="GH30" i="100"/>
  <c r="GH67" i="100"/>
  <c r="GH75" i="100"/>
  <c r="GH307" i="100"/>
  <c r="GH289" i="100"/>
  <c r="GH10" i="100"/>
  <c r="GH314" i="100"/>
  <c r="GH296" i="100"/>
  <c r="GH322" i="100"/>
  <c r="GH206" i="100"/>
  <c r="GH324" i="100"/>
  <c r="GH33" i="100"/>
  <c r="GH164" i="100"/>
  <c r="GH74" i="100"/>
  <c r="GH190" i="100"/>
  <c r="GH334" i="100"/>
  <c r="GH71" i="100"/>
  <c r="GH13" i="100"/>
  <c r="GH168" i="100"/>
  <c r="GH72" i="100"/>
  <c r="GH335" i="100"/>
  <c r="GH43" i="100"/>
  <c r="GH161" i="100"/>
  <c r="GH292" i="100"/>
  <c r="GH26" i="100"/>
  <c r="GH199" i="100"/>
  <c r="GH65" i="100"/>
  <c r="GH306" i="100"/>
  <c r="GH18" i="100"/>
  <c r="GH21" i="100"/>
  <c r="GH291" i="100"/>
  <c r="GH8" i="100"/>
  <c r="GH300" i="100"/>
  <c r="GH66" i="100"/>
  <c r="GH202" i="100"/>
  <c r="GH299" i="100"/>
  <c r="GH193" i="100"/>
  <c r="GH19" i="100"/>
  <c r="GH303" i="100"/>
  <c r="GH179" i="100"/>
  <c r="GH297" i="100"/>
  <c r="GH180" i="100"/>
  <c r="GH175" i="100"/>
  <c r="GH69" i="100"/>
  <c r="GH38" i="100"/>
  <c r="GH188" i="100"/>
  <c r="GH332" i="100"/>
  <c r="GH163" i="100"/>
  <c r="GH31" i="100"/>
  <c r="GH12" i="100"/>
  <c r="GH185" i="100"/>
  <c r="GH327" i="100"/>
  <c r="GH187" i="100"/>
  <c r="GH308" i="100"/>
  <c r="GH28" i="100"/>
  <c r="GH325" i="100"/>
  <c r="GH200" i="100"/>
  <c r="GH194" i="100"/>
  <c r="GH64" i="100"/>
  <c r="GH32" i="100"/>
  <c r="GH295" i="100"/>
  <c r="GH288" i="100"/>
  <c r="GH298" i="100"/>
  <c r="GH329" i="100"/>
  <c r="GH181" i="100"/>
  <c r="GH182" i="100"/>
  <c r="GH309" i="100"/>
  <c r="GH337" i="100"/>
  <c r="GH310" i="100"/>
  <c r="GH331" i="100"/>
  <c r="GH34" i="100"/>
  <c r="GH9" i="100"/>
  <c r="GH11" i="100"/>
  <c r="GH24" i="100"/>
  <c r="GH197" i="100"/>
  <c r="GH16" i="100"/>
  <c r="GH40" i="100"/>
  <c r="GH320" i="100"/>
  <c r="GH317" i="100"/>
  <c r="GH205" i="100"/>
  <c r="GH290" i="100"/>
  <c r="GH172" i="100"/>
  <c r="GH170" i="100"/>
  <c r="GH326" i="100"/>
  <c r="GH301" i="100"/>
  <c r="GI62" i="100" l="1"/>
  <c r="GI53" i="100"/>
  <c r="GI44" i="100"/>
  <c r="GI59" i="100"/>
  <c r="GI63" i="100"/>
  <c r="GI46" i="100"/>
  <c r="GI52" i="100"/>
  <c r="GI48" i="100"/>
  <c r="GI55" i="100"/>
  <c r="GI61" i="100"/>
  <c r="GI50" i="100"/>
  <c r="GI47" i="100"/>
  <c r="GI58" i="100"/>
  <c r="GI57" i="100"/>
  <c r="GI45" i="100"/>
  <c r="GI51" i="100"/>
  <c r="GI54" i="100"/>
  <c r="GI49" i="100"/>
  <c r="GI56" i="100"/>
  <c r="GI60" i="100"/>
  <c r="GH339" i="100"/>
  <c r="GH209" i="100"/>
  <c r="GH79" i="100"/>
  <c r="GH78" i="100" s="1"/>
  <c r="GI64" i="100"/>
  <c r="GI178" i="100"/>
  <c r="GI170" i="100"/>
  <c r="GI289" i="100"/>
  <c r="GI333" i="100"/>
  <c r="GI198" i="100"/>
  <c r="GI15" i="100"/>
  <c r="GI40" i="100"/>
  <c r="GI41" i="100"/>
  <c r="GI202" i="100"/>
  <c r="GI42" i="100"/>
  <c r="GI26" i="100"/>
  <c r="GI191" i="100"/>
  <c r="GI197" i="100"/>
  <c r="GI324" i="100"/>
  <c r="GI159" i="100"/>
  <c r="GI300" i="100"/>
  <c r="GI296" i="100"/>
  <c r="GI175" i="100"/>
  <c r="GI16" i="100"/>
  <c r="GI176" i="100"/>
  <c r="GI185" i="100"/>
  <c r="GI29" i="100"/>
  <c r="GI8" i="100"/>
  <c r="GI68" i="100"/>
  <c r="GI192" i="100"/>
  <c r="GI322" i="100"/>
  <c r="GI17" i="100"/>
  <c r="GI43" i="100"/>
  <c r="GI298" i="100"/>
  <c r="GI335" i="100"/>
  <c r="GI9" i="100"/>
  <c r="GI172" i="100"/>
  <c r="GI321" i="100"/>
  <c r="GI182" i="100"/>
  <c r="GI188" i="100"/>
  <c r="GI334" i="100"/>
  <c r="GI189" i="100"/>
  <c r="GI293" i="100"/>
  <c r="GI313" i="100"/>
  <c r="GI165" i="100"/>
  <c r="GI200" i="100"/>
  <c r="GI195" i="100"/>
  <c r="GI325" i="100"/>
  <c r="GI323" i="100"/>
  <c r="GI190" i="100"/>
  <c r="GI31" i="100"/>
  <c r="GI311" i="100"/>
  <c r="GI27" i="100"/>
  <c r="GI304" i="100"/>
  <c r="GI184" i="100"/>
  <c r="GI316" i="100"/>
  <c r="GI167" i="100"/>
  <c r="GI75" i="100"/>
  <c r="GI37" i="100"/>
  <c r="GI288" i="100"/>
  <c r="GI19" i="100"/>
  <c r="GI76" i="100"/>
  <c r="GI310" i="100"/>
  <c r="GI207" i="100"/>
  <c r="GI291" i="100"/>
  <c r="GI24" i="100"/>
  <c r="GI306" i="100"/>
  <c r="GI163" i="100"/>
  <c r="GI329" i="100"/>
  <c r="GI196" i="100"/>
  <c r="GI21" i="100"/>
  <c r="GI301" i="100"/>
  <c r="GI194" i="100"/>
  <c r="GI22" i="100"/>
  <c r="GI38" i="100"/>
  <c r="GI173" i="100"/>
  <c r="GI309" i="100"/>
  <c r="GI65" i="100"/>
  <c r="GI13" i="100"/>
  <c r="GI303" i="100"/>
  <c r="GI174" i="100"/>
  <c r="GI302" i="100"/>
  <c r="GI28" i="100"/>
  <c r="GI169" i="100"/>
  <c r="GI186" i="100"/>
  <c r="GI74" i="100"/>
  <c r="GI336" i="100"/>
  <c r="GI206" i="100"/>
  <c r="GI12" i="100"/>
  <c r="GI72" i="100"/>
  <c r="GI331" i="100"/>
  <c r="GI164" i="100"/>
  <c r="GI308" i="100"/>
  <c r="GI177" i="100"/>
  <c r="GI307" i="100"/>
  <c r="GI314" i="100"/>
  <c r="GJ7" i="100"/>
  <c r="GI20" i="100"/>
  <c r="GI34" i="100"/>
  <c r="GI33" i="100"/>
  <c r="GI32" i="100"/>
  <c r="GI294" i="100"/>
  <c r="GI179" i="100"/>
  <c r="GI35" i="100"/>
  <c r="GI11" i="100"/>
  <c r="GI160" i="100"/>
  <c r="GI181" i="100"/>
  <c r="GI337" i="100"/>
  <c r="GI171" i="100"/>
  <c r="GI69" i="100"/>
  <c r="GI162" i="100"/>
  <c r="GI77" i="100"/>
  <c r="GI183" i="100"/>
  <c r="GI295" i="100"/>
  <c r="GI187" i="100"/>
  <c r="GI18" i="100"/>
  <c r="GI290" i="100"/>
  <c r="GI315" i="100"/>
  <c r="GI30" i="100"/>
  <c r="GI10" i="100"/>
  <c r="GI327" i="100"/>
  <c r="GI39" i="100"/>
  <c r="GI201" i="100"/>
  <c r="GI70" i="100"/>
  <c r="GI318" i="100"/>
  <c r="GI299" i="100"/>
  <c r="GI297" i="100"/>
  <c r="GI14" i="100"/>
  <c r="GI319" i="100"/>
  <c r="GI332" i="100"/>
  <c r="GI326" i="100"/>
  <c r="GI320" i="100"/>
  <c r="GI71" i="100"/>
  <c r="GI67" i="100"/>
  <c r="GI73" i="100"/>
  <c r="GI205" i="100"/>
  <c r="GI317" i="100"/>
  <c r="GI204" i="100"/>
  <c r="GI161" i="100"/>
  <c r="GI166" i="100"/>
  <c r="GI330" i="100"/>
  <c r="GI168" i="100"/>
  <c r="GI312" i="100"/>
  <c r="GI328" i="100"/>
  <c r="GI158" i="100"/>
  <c r="GI36" i="100"/>
  <c r="GI199" i="100"/>
  <c r="GI66" i="100"/>
  <c r="GI23" i="100"/>
  <c r="GI193" i="100"/>
  <c r="GI180" i="100"/>
  <c r="GI203" i="100"/>
  <c r="GI305" i="100"/>
  <c r="GI292" i="100"/>
  <c r="GI25" i="100"/>
  <c r="GJ51" i="100" l="1"/>
  <c r="GJ59" i="100"/>
  <c r="GJ49" i="100"/>
  <c r="GJ57" i="100"/>
  <c r="GJ53" i="100"/>
  <c r="GJ63" i="100"/>
  <c r="GJ62" i="100"/>
  <c r="GJ46" i="100"/>
  <c r="GJ44" i="100"/>
  <c r="GJ50" i="100"/>
  <c r="GJ47" i="100"/>
  <c r="GJ45" i="100"/>
  <c r="GJ55" i="100"/>
  <c r="GJ61" i="100"/>
  <c r="GJ54" i="100"/>
  <c r="GJ48" i="100"/>
  <c r="GJ58" i="100"/>
  <c r="GJ52" i="100"/>
  <c r="GJ56" i="100"/>
  <c r="GJ60" i="100"/>
  <c r="GI209" i="100"/>
  <c r="GI79" i="100"/>
  <c r="GI78" i="100" s="1"/>
  <c r="GI339" i="100"/>
  <c r="GJ28" i="100"/>
  <c r="GJ35" i="100"/>
  <c r="GJ181" i="100"/>
  <c r="GJ73" i="100"/>
  <c r="GJ189" i="100"/>
  <c r="GJ292" i="100"/>
  <c r="GJ17" i="100"/>
  <c r="GJ174" i="100"/>
  <c r="GJ69" i="100"/>
  <c r="GJ207" i="100"/>
  <c r="GJ317" i="100"/>
  <c r="GJ183" i="100"/>
  <c r="GJ304" i="100"/>
  <c r="GJ9" i="100"/>
  <c r="GJ195" i="100"/>
  <c r="GJ162" i="100"/>
  <c r="GJ313" i="100"/>
  <c r="GJ19" i="100"/>
  <c r="GJ290" i="100"/>
  <c r="GJ159" i="100"/>
  <c r="GJ29" i="100"/>
  <c r="GJ68" i="100"/>
  <c r="GJ299" i="100"/>
  <c r="GJ191" i="100"/>
  <c r="GJ24" i="100"/>
  <c r="GJ197" i="100"/>
  <c r="GJ332" i="100"/>
  <c r="GJ333" i="100"/>
  <c r="GJ296" i="100"/>
  <c r="GJ160" i="100"/>
  <c r="GJ308" i="100"/>
  <c r="GJ320" i="100"/>
  <c r="GJ180" i="100"/>
  <c r="GJ203" i="100"/>
  <c r="GJ202" i="100"/>
  <c r="GJ184" i="100"/>
  <c r="GJ33" i="100"/>
  <c r="GJ23" i="100"/>
  <c r="GJ206" i="100"/>
  <c r="GJ21" i="100"/>
  <c r="GJ176" i="100"/>
  <c r="GJ328" i="100"/>
  <c r="GJ164" i="100"/>
  <c r="GJ36" i="100"/>
  <c r="GJ41" i="100"/>
  <c r="GJ330" i="100"/>
  <c r="GJ37" i="100"/>
  <c r="GJ14" i="100"/>
  <c r="GJ298" i="100"/>
  <c r="GJ20" i="100"/>
  <c r="GJ198" i="100"/>
  <c r="GJ327" i="100"/>
  <c r="GJ15" i="100"/>
  <c r="GJ315" i="100"/>
  <c r="GJ27" i="100"/>
  <c r="GJ66" i="100"/>
  <c r="GJ331" i="100"/>
  <c r="GJ26" i="100"/>
  <c r="GJ316" i="100"/>
  <c r="GJ16" i="100"/>
  <c r="GJ25" i="100"/>
  <c r="GJ329" i="100"/>
  <c r="GJ324" i="100"/>
  <c r="GJ13" i="100"/>
  <c r="GJ291" i="100"/>
  <c r="GJ201" i="100"/>
  <c r="GJ334" i="100"/>
  <c r="GJ188" i="100"/>
  <c r="GJ288" i="100"/>
  <c r="GJ12" i="100"/>
  <c r="GJ65" i="100"/>
  <c r="GJ22" i="100"/>
  <c r="GJ166" i="100"/>
  <c r="GJ300" i="100"/>
  <c r="GJ178" i="100"/>
  <c r="GJ75" i="100"/>
  <c r="GJ170" i="100"/>
  <c r="GJ171" i="100"/>
  <c r="GJ165" i="100"/>
  <c r="GJ326" i="100"/>
  <c r="GJ314" i="100"/>
  <c r="GJ182" i="100"/>
  <c r="GJ77" i="100"/>
  <c r="GJ302" i="100"/>
  <c r="GK7" i="100"/>
  <c r="GJ185" i="100"/>
  <c r="GJ31" i="100"/>
  <c r="GJ43" i="100"/>
  <c r="GJ297" i="100"/>
  <c r="GJ42" i="100"/>
  <c r="GJ163" i="100"/>
  <c r="GJ158" i="100"/>
  <c r="GJ305" i="100"/>
  <c r="GJ322" i="100"/>
  <c r="GJ311" i="100"/>
  <c r="GJ169" i="100"/>
  <c r="GJ71" i="100"/>
  <c r="GJ70" i="100"/>
  <c r="GJ72" i="100"/>
  <c r="GJ294" i="100"/>
  <c r="GJ289" i="100"/>
  <c r="GJ190" i="100"/>
  <c r="GJ312" i="100"/>
  <c r="GJ39" i="100"/>
  <c r="GJ321" i="100"/>
  <c r="GJ303" i="100"/>
  <c r="GJ76" i="100"/>
  <c r="GJ199" i="100"/>
  <c r="GJ336" i="100"/>
  <c r="GJ301" i="100"/>
  <c r="GJ30" i="100"/>
  <c r="GJ205" i="100"/>
  <c r="GJ192" i="100"/>
  <c r="GJ18" i="100"/>
  <c r="GJ168" i="100"/>
  <c r="GJ337" i="100"/>
  <c r="GJ38" i="100"/>
  <c r="GJ306" i="100"/>
  <c r="GJ67" i="100"/>
  <c r="GJ161" i="100"/>
  <c r="GJ186" i="100"/>
  <c r="GJ293" i="100"/>
  <c r="GJ295" i="100"/>
  <c r="GJ200" i="100"/>
  <c r="GJ335" i="100"/>
  <c r="GJ74" i="100"/>
  <c r="GJ194" i="100"/>
  <c r="GJ64" i="100"/>
  <c r="GJ173" i="100"/>
  <c r="GJ204" i="100"/>
  <c r="GJ34" i="100"/>
  <c r="GJ8" i="100"/>
  <c r="GJ172" i="100"/>
  <c r="GJ175" i="100"/>
  <c r="GJ177" i="100"/>
  <c r="GJ325" i="100"/>
  <c r="GJ307" i="100"/>
  <c r="GJ40" i="100"/>
  <c r="GJ167" i="100"/>
  <c r="GJ10" i="100"/>
  <c r="GJ310" i="100"/>
  <c r="GJ32" i="100"/>
  <c r="GJ187" i="100"/>
  <c r="GJ196" i="100"/>
  <c r="GJ179" i="100"/>
  <c r="GJ11" i="100"/>
  <c r="GJ193" i="100"/>
  <c r="GJ309" i="100"/>
  <c r="GJ318" i="100"/>
  <c r="GJ323" i="100"/>
  <c r="GJ319" i="100"/>
  <c r="GK62" i="100" l="1"/>
  <c r="GK46" i="100"/>
  <c r="GK44" i="100"/>
  <c r="GK63" i="100"/>
  <c r="GK50" i="100"/>
  <c r="GK56" i="100"/>
  <c r="GK49" i="100"/>
  <c r="GK61" i="100"/>
  <c r="GK51" i="100"/>
  <c r="GK57" i="100"/>
  <c r="GK60" i="100"/>
  <c r="GK48" i="100"/>
  <c r="GK52" i="100"/>
  <c r="GK45" i="100"/>
  <c r="GK53" i="100"/>
  <c r="GK58" i="100"/>
  <c r="GK55" i="100"/>
  <c r="GK59" i="100"/>
  <c r="GK47" i="100"/>
  <c r="GK54" i="100"/>
  <c r="GJ79" i="100"/>
  <c r="GJ78" i="100" s="1"/>
  <c r="GJ209" i="100"/>
  <c r="GJ339" i="100"/>
  <c r="GK173" i="100"/>
  <c r="GK24" i="100"/>
  <c r="GK319" i="100"/>
  <c r="GK162" i="100"/>
  <c r="GK288" i="100"/>
  <c r="GK334" i="100"/>
  <c r="GK190" i="100"/>
  <c r="GK74" i="100"/>
  <c r="GK333" i="100"/>
  <c r="GK22" i="100"/>
  <c r="GK186" i="100"/>
  <c r="GK328" i="100"/>
  <c r="GK19" i="100"/>
  <c r="GK70" i="100"/>
  <c r="GK320" i="100"/>
  <c r="GK176" i="100"/>
  <c r="GK64" i="100"/>
  <c r="GK160" i="100"/>
  <c r="GK34" i="100"/>
  <c r="GK30" i="100"/>
  <c r="GK301" i="100"/>
  <c r="GK289" i="100"/>
  <c r="GK316" i="100"/>
  <c r="GK36" i="100"/>
  <c r="GK28" i="100"/>
  <c r="GK163" i="100"/>
  <c r="GK204" i="100"/>
  <c r="GK202" i="100"/>
  <c r="GK294" i="100"/>
  <c r="GK304" i="100"/>
  <c r="GK321" i="100"/>
  <c r="GK73" i="100"/>
  <c r="GK305" i="100"/>
  <c r="GK300" i="100"/>
  <c r="GK205" i="100"/>
  <c r="GK318" i="100"/>
  <c r="GK290" i="100"/>
  <c r="GK314" i="100"/>
  <c r="GK75" i="100"/>
  <c r="GL7" i="100"/>
  <c r="GK177" i="100"/>
  <c r="GK68" i="100"/>
  <c r="GK31" i="100"/>
  <c r="GK203" i="100"/>
  <c r="GK10" i="100"/>
  <c r="GK166" i="100"/>
  <c r="GK18" i="100"/>
  <c r="GK306" i="100"/>
  <c r="GK43" i="100"/>
  <c r="GK326" i="100"/>
  <c r="GK197" i="100"/>
  <c r="GK194" i="100"/>
  <c r="GK179" i="100"/>
  <c r="GK199" i="100"/>
  <c r="GK8" i="100"/>
  <c r="GK329" i="100"/>
  <c r="GK181" i="100"/>
  <c r="GK206" i="100"/>
  <c r="GK161" i="100"/>
  <c r="GK174" i="100"/>
  <c r="GK292" i="100"/>
  <c r="GK200" i="100"/>
  <c r="GK337" i="100"/>
  <c r="GK188" i="100"/>
  <c r="GK38" i="100"/>
  <c r="GK65" i="100"/>
  <c r="GK23" i="100"/>
  <c r="GK302" i="100"/>
  <c r="GK332" i="100"/>
  <c r="GK323" i="100"/>
  <c r="GK313" i="100"/>
  <c r="GK29" i="100"/>
  <c r="GK175" i="100"/>
  <c r="GK308" i="100"/>
  <c r="GK296" i="100"/>
  <c r="GK167" i="100"/>
  <c r="GK291" i="100"/>
  <c r="GK33" i="100"/>
  <c r="GK72" i="100"/>
  <c r="GK325" i="100"/>
  <c r="GK315" i="100"/>
  <c r="GK303" i="100"/>
  <c r="GK324" i="100"/>
  <c r="GK159" i="100"/>
  <c r="GK330" i="100"/>
  <c r="GK196" i="100"/>
  <c r="GK297" i="100"/>
  <c r="GK171" i="100"/>
  <c r="GK309" i="100"/>
  <c r="GK27" i="100"/>
  <c r="GK207" i="100"/>
  <c r="GK165" i="100"/>
  <c r="GK67" i="100"/>
  <c r="GK312" i="100"/>
  <c r="GK185" i="100"/>
  <c r="GK182" i="100"/>
  <c r="GK307" i="100"/>
  <c r="GK40" i="100"/>
  <c r="GK14" i="100"/>
  <c r="GK17" i="100"/>
  <c r="GK9" i="100"/>
  <c r="GK12" i="100"/>
  <c r="GK172" i="100"/>
  <c r="GK322" i="100"/>
  <c r="GK66" i="100"/>
  <c r="GK168" i="100"/>
  <c r="GK298" i="100"/>
  <c r="GK37" i="100"/>
  <c r="GK198" i="100"/>
  <c r="GK184" i="100"/>
  <c r="GK25" i="100"/>
  <c r="GK293" i="100"/>
  <c r="GK191" i="100"/>
  <c r="GK311" i="100"/>
  <c r="GK183" i="100"/>
  <c r="GK189" i="100"/>
  <c r="GK11" i="100"/>
  <c r="GK195" i="100"/>
  <c r="GK164" i="100"/>
  <c r="GK42" i="100"/>
  <c r="GK15" i="100"/>
  <c r="GK32" i="100"/>
  <c r="GK39" i="100"/>
  <c r="GK170" i="100"/>
  <c r="GK317" i="100"/>
  <c r="GK327" i="100"/>
  <c r="GK201" i="100"/>
  <c r="GK26" i="100"/>
  <c r="GK71" i="100"/>
  <c r="GK20" i="100"/>
  <c r="GK16" i="100"/>
  <c r="GK310" i="100"/>
  <c r="GK21" i="100"/>
  <c r="GK187" i="100"/>
  <c r="GK77" i="100"/>
  <c r="GK335" i="100"/>
  <c r="GK192" i="100"/>
  <c r="GK193" i="100"/>
  <c r="GK35" i="100"/>
  <c r="GK158" i="100"/>
  <c r="GK299" i="100"/>
  <c r="GK178" i="100"/>
  <c r="GK169" i="100"/>
  <c r="GK76" i="100"/>
  <c r="GK69" i="100"/>
  <c r="GK180" i="100"/>
  <c r="GK331" i="100"/>
  <c r="GK41" i="100"/>
  <c r="GK336" i="100"/>
  <c r="GK13" i="100"/>
  <c r="GK295" i="100"/>
  <c r="GL44" i="100" l="1"/>
  <c r="GL45" i="100"/>
  <c r="GL62" i="100"/>
  <c r="GL46" i="100"/>
  <c r="GL59" i="100"/>
  <c r="GL63" i="100"/>
  <c r="GL52" i="100"/>
  <c r="GL56" i="100"/>
  <c r="GL50" i="100"/>
  <c r="GL47" i="100"/>
  <c r="GL55" i="100"/>
  <c r="GL48" i="100"/>
  <c r="GL61" i="100"/>
  <c r="GL58" i="100"/>
  <c r="GL60" i="100"/>
  <c r="GL49" i="100"/>
  <c r="GL57" i="100"/>
  <c r="GL53" i="100"/>
  <c r="GL54" i="100"/>
  <c r="GL51" i="100"/>
  <c r="GK79" i="100"/>
  <c r="GK78" i="100" s="1"/>
  <c r="GK339" i="100"/>
  <c r="GK209" i="100"/>
  <c r="GL22" i="100"/>
  <c r="GL74" i="100"/>
  <c r="GL302" i="100"/>
  <c r="GL43" i="100"/>
  <c r="GL317" i="100"/>
  <c r="GL13" i="100"/>
  <c r="GL76" i="100"/>
  <c r="GL72" i="100"/>
  <c r="GL164" i="100"/>
  <c r="GL10" i="100"/>
  <c r="GL303" i="100"/>
  <c r="GL198" i="100"/>
  <c r="GL311" i="100"/>
  <c r="GL40" i="100"/>
  <c r="GL26" i="100"/>
  <c r="GL173" i="100"/>
  <c r="GL25" i="100"/>
  <c r="GL34" i="100"/>
  <c r="GL318" i="100"/>
  <c r="GL158" i="100"/>
  <c r="GL179" i="100"/>
  <c r="GL184" i="100"/>
  <c r="GL17" i="100"/>
  <c r="GL12" i="100"/>
  <c r="GL14" i="100"/>
  <c r="GL176" i="100"/>
  <c r="GL326" i="100"/>
  <c r="GL24" i="100"/>
  <c r="GL20" i="100"/>
  <c r="GL332" i="100"/>
  <c r="GL15" i="100"/>
  <c r="GL325" i="100"/>
  <c r="GL160" i="100"/>
  <c r="GL297" i="100"/>
  <c r="GL329" i="100"/>
  <c r="GL316" i="100"/>
  <c r="GL333" i="100"/>
  <c r="GL19" i="100"/>
  <c r="GL161" i="100"/>
  <c r="GL337" i="100"/>
  <c r="GL35" i="100"/>
  <c r="GL28" i="100"/>
  <c r="GL165" i="100"/>
  <c r="GL38" i="100"/>
  <c r="GL202" i="100"/>
  <c r="GL181" i="100"/>
  <c r="GL70" i="100"/>
  <c r="GL205" i="100"/>
  <c r="GL293" i="100"/>
  <c r="GL174" i="100"/>
  <c r="GL199" i="100"/>
  <c r="GL328" i="100"/>
  <c r="GL196" i="100"/>
  <c r="GL294" i="100"/>
  <c r="GL313" i="100"/>
  <c r="GL334" i="100"/>
  <c r="GL206" i="100"/>
  <c r="GL30" i="100"/>
  <c r="GL178" i="100"/>
  <c r="GL195" i="100"/>
  <c r="GL322" i="100"/>
  <c r="GL73" i="100"/>
  <c r="GL306" i="100"/>
  <c r="GL298" i="100"/>
  <c r="GL183" i="100"/>
  <c r="GL171" i="100"/>
  <c r="GL168" i="100"/>
  <c r="GL9" i="100"/>
  <c r="GL288" i="100"/>
  <c r="GL304" i="100"/>
  <c r="GL65" i="100"/>
  <c r="GL292" i="100"/>
  <c r="GL290" i="100"/>
  <c r="GL66" i="100"/>
  <c r="GL187" i="100"/>
  <c r="GL291" i="100"/>
  <c r="GL169" i="100"/>
  <c r="GL172" i="100"/>
  <c r="GL308" i="100"/>
  <c r="GL188" i="100"/>
  <c r="GL301" i="100"/>
  <c r="GL194" i="100"/>
  <c r="GL33" i="100"/>
  <c r="GL314" i="100"/>
  <c r="GL299" i="100"/>
  <c r="GL16" i="100"/>
  <c r="GL191" i="100"/>
  <c r="GL330" i="100"/>
  <c r="GL331" i="100"/>
  <c r="GL23" i="100"/>
  <c r="GL170" i="100"/>
  <c r="GL37" i="100"/>
  <c r="GL8" i="100"/>
  <c r="GL180" i="100"/>
  <c r="GL190" i="100"/>
  <c r="GL159" i="100"/>
  <c r="GL189" i="100"/>
  <c r="GL201" i="100"/>
  <c r="GL203" i="100"/>
  <c r="GL18" i="100"/>
  <c r="GL69" i="100"/>
  <c r="GL336" i="100"/>
  <c r="GL186" i="100"/>
  <c r="GL204" i="100"/>
  <c r="GL27" i="100"/>
  <c r="GL327" i="100"/>
  <c r="GL11" i="100"/>
  <c r="GL32" i="100"/>
  <c r="GL200" i="100"/>
  <c r="GL323" i="100"/>
  <c r="GL296" i="100"/>
  <c r="GL67" i="100"/>
  <c r="GL315" i="100"/>
  <c r="GL163" i="100"/>
  <c r="GL295" i="100"/>
  <c r="GL312" i="100"/>
  <c r="GM7" i="100"/>
  <c r="GL300" i="100"/>
  <c r="GL309" i="100"/>
  <c r="GL39" i="100"/>
  <c r="GL175" i="100"/>
  <c r="GL36" i="100"/>
  <c r="GL319" i="100"/>
  <c r="GL324" i="100"/>
  <c r="GL321" i="100"/>
  <c r="GL305" i="100"/>
  <c r="GL185" i="100"/>
  <c r="GL177" i="100"/>
  <c r="GL77" i="100"/>
  <c r="GL289" i="100"/>
  <c r="GL307" i="100"/>
  <c r="GL310" i="100"/>
  <c r="GL167" i="100"/>
  <c r="GL335" i="100"/>
  <c r="GL197" i="100"/>
  <c r="GL166" i="100"/>
  <c r="GL162" i="100"/>
  <c r="GL182" i="100"/>
  <c r="GL193" i="100"/>
  <c r="GL75" i="100"/>
  <c r="GL31" i="100"/>
  <c r="GL29" i="100"/>
  <c r="GL320" i="100"/>
  <c r="GL192" i="100"/>
  <c r="GL71" i="100"/>
  <c r="GL207" i="100"/>
  <c r="GL64" i="100"/>
  <c r="GL41" i="100"/>
  <c r="GL42" i="100"/>
  <c r="GL68" i="100"/>
  <c r="GL21" i="100"/>
  <c r="GM56" i="100" l="1"/>
  <c r="GM59" i="100"/>
  <c r="GM46" i="100"/>
  <c r="GM63" i="100"/>
  <c r="GM62" i="100"/>
  <c r="GM57" i="100"/>
  <c r="GM45" i="100"/>
  <c r="GM44" i="100"/>
  <c r="GM53" i="100"/>
  <c r="GM55" i="100"/>
  <c r="GM60" i="100"/>
  <c r="GM58" i="100"/>
  <c r="GM51" i="100"/>
  <c r="GM50" i="100"/>
  <c r="GM54" i="100"/>
  <c r="GM61" i="100"/>
  <c r="GM47" i="100"/>
  <c r="GM48" i="100"/>
  <c r="GM49" i="100"/>
  <c r="GM52" i="100"/>
  <c r="GL79" i="100"/>
  <c r="GL78" i="100" s="1"/>
  <c r="GL209" i="100"/>
  <c r="GL339" i="100"/>
  <c r="GM76" i="100"/>
  <c r="GM160" i="100"/>
  <c r="GM310" i="100"/>
  <c r="GM10" i="100"/>
  <c r="GM185" i="100"/>
  <c r="GM24" i="100"/>
  <c r="GM29" i="100"/>
  <c r="GM161" i="100"/>
  <c r="GM296" i="100"/>
  <c r="GM187" i="100"/>
  <c r="GM207" i="100"/>
  <c r="GM15" i="100"/>
  <c r="GM292" i="100"/>
  <c r="GM64" i="100"/>
  <c r="GM159" i="100"/>
  <c r="GM174" i="100"/>
  <c r="GM326" i="100"/>
  <c r="GM9" i="100"/>
  <c r="GM304" i="100"/>
  <c r="GM314" i="100"/>
  <c r="GM189" i="100"/>
  <c r="GM305" i="100"/>
  <c r="GM203" i="100"/>
  <c r="GM307" i="100"/>
  <c r="GM168" i="100"/>
  <c r="GM316" i="100"/>
  <c r="GM166" i="100"/>
  <c r="GM337" i="100"/>
  <c r="GM176" i="100"/>
  <c r="GM31" i="100"/>
  <c r="GM319" i="100"/>
  <c r="GM68" i="100"/>
  <c r="GM37" i="100"/>
  <c r="GM182" i="100"/>
  <c r="GM66" i="100"/>
  <c r="GM204" i="100"/>
  <c r="GM36" i="100"/>
  <c r="GM26" i="100"/>
  <c r="GM27" i="100"/>
  <c r="GM19" i="100"/>
  <c r="GM333" i="100"/>
  <c r="GM21" i="100"/>
  <c r="GM188" i="100"/>
  <c r="GM35" i="100"/>
  <c r="GM67" i="100"/>
  <c r="GM196" i="100"/>
  <c r="GM40" i="100"/>
  <c r="GM20" i="100"/>
  <c r="GM74" i="100"/>
  <c r="GM22" i="100"/>
  <c r="GM17" i="100"/>
  <c r="GM318" i="100"/>
  <c r="GM332" i="100"/>
  <c r="GM178" i="100"/>
  <c r="GM298" i="100"/>
  <c r="GM73" i="100"/>
  <c r="GM322" i="100"/>
  <c r="GM186" i="100"/>
  <c r="GM162" i="100"/>
  <c r="GM312" i="100"/>
  <c r="GM336" i="100"/>
  <c r="GM71" i="100"/>
  <c r="GM290" i="100"/>
  <c r="GM65" i="100"/>
  <c r="GM158" i="100"/>
  <c r="GM12" i="100"/>
  <c r="GM334" i="100"/>
  <c r="GM198" i="100"/>
  <c r="GM328" i="100"/>
  <c r="GM205" i="100"/>
  <c r="GM295" i="100"/>
  <c r="GM201" i="100"/>
  <c r="GM293" i="100"/>
  <c r="GM306" i="100"/>
  <c r="GM308" i="100"/>
  <c r="GM200" i="100"/>
  <c r="GM41" i="100"/>
  <c r="GM16" i="100"/>
  <c r="GM301" i="100"/>
  <c r="GM34" i="100"/>
  <c r="GM43" i="100"/>
  <c r="GM313" i="100"/>
  <c r="GM18" i="100"/>
  <c r="GM13" i="100"/>
  <c r="GM181" i="100"/>
  <c r="GM197" i="100"/>
  <c r="GM69" i="100"/>
  <c r="GM171" i="100"/>
  <c r="GM194" i="100"/>
  <c r="GM173" i="100"/>
  <c r="GM42" i="100"/>
  <c r="GM170" i="100"/>
  <c r="GM192" i="100"/>
  <c r="GM25" i="100"/>
  <c r="GM299" i="100"/>
  <c r="GM33" i="100"/>
  <c r="GM23" i="100"/>
  <c r="GM190" i="100"/>
  <c r="GM331" i="100"/>
  <c r="GM311" i="100"/>
  <c r="GM184" i="100"/>
  <c r="GM8" i="100"/>
  <c r="GM335" i="100"/>
  <c r="GM38" i="100"/>
  <c r="GM77" i="100"/>
  <c r="GM14" i="100"/>
  <c r="GM303" i="100"/>
  <c r="GM202" i="100"/>
  <c r="GM191" i="100"/>
  <c r="GM179" i="100"/>
  <c r="GN7" i="100"/>
  <c r="GM302" i="100"/>
  <c r="GM164" i="100"/>
  <c r="GM297" i="100"/>
  <c r="GM317" i="100"/>
  <c r="GM324" i="100"/>
  <c r="GM289" i="100"/>
  <c r="GM30" i="100"/>
  <c r="GM169" i="100"/>
  <c r="GM32" i="100"/>
  <c r="GM206" i="100"/>
  <c r="GM175" i="100"/>
  <c r="GM323" i="100"/>
  <c r="GM320" i="100"/>
  <c r="GM72" i="100"/>
  <c r="GM288" i="100"/>
  <c r="GM165" i="100"/>
  <c r="GM167" i="100"/>
  <c r="GM294" i="100"/>
  <c r="GM172" i="100"/>
  <c r="GM321" i="100"/>
  <c r="GM177" i="100"/>
  <c r="GM193" i="100"/>
  <c r="GM163" i="100"/>
  <c r="GM199" i="100"/>
  <c r="GM183" i="100"/>
  <c r="GM315" i="100"/>
  <c r="GM309" i="100"/>
  <c r="GM327" i="100"/>
  <c r="GM300" i="100"/>
  <c r="GM330" i="100"/>
  <c r="GM180" i="100"/>
  <c r="GM28" i="100"/>
  <c r="GM329" i="100"/>
  <c r="GM39" i="100"/>
  <c r="GM70" i="100"/>
  <c r="GM11" i="100"/>
  <c r="GM195" i="100"/>
  <c r="GM325" i="100"/>
  <c r="GM291" i="100"/>
  <c r="GM75" i="100"/>
  <c r="GN44" i="100" l="1"/>
  <c r="GN63" i="100"/>
  <c r="GN60" i="100"/>
  <c r="GN52" i="100"/>
  <c r="GN62" i="100"/>
  <c r="GN46" i="100"/>
  <c r="GN61" i="100"/>
  <c r="GN58" i="100"/>
  <c r="GN50" i="100"/>
  <c r="GN55" i="100"/>
  <c r="GN54" i="100"/>
  <c r="GN47" i="100"/>
  <c r="GN45" i="100"/>
  <c r="GN53" i="100"/>
  <c r="GN56" i="100"/>
  <c r="GN59" i="100"/>
  <c r="GN57" i="100"/>
  <c r="GN49" i="100"/>
  <c r="GN48" i="100"/>
  <c r="GN51" i="100"/>
  <c r="GM209" i="100"/>
  <c r="GM79" i="100"/>
  <c r="GM78" i="100" s="1"/>
  <c r="GM339" i="100"/>
  <c r="GN64" i="100"/>
  <c r="GN166" i="100"/>
  <c r="GO7" i="100"/>
  <c r="GN335" i="100"/>
  <c r="GN73" i="100"/>
  <c r="GN317" i="100"/>
  <c r="GN197" i="100"/>
  <c r="GN303" i="100"/>
  <c r="GN22" i="100"/>
  <c r="GN68" i="100"/>
  <c r="GN324" i="100"/>
  <c r="GN311" i="100"/>
  <c r="GN41" i="100"/>
  <c r="GN293" i="100"/>
  <c r="GN297" i="100"/>
  <c r="GN323" i="100"/>
  <c r="GN319" i="100"/>
  <c r="GN325" i="100"/>
  <c r="GN308" i="100"/>
  <c r="GN203" i="100"/>
  <c r="GN312" i="100"/>
  <c r="GN199" i="100"/>
  <c r="GN186" i="100"/>
  <c r="GN14" i="100"/>
  <c r="GN169" i="100"/>
  <c r="GN171" i="100"/>
  <c r="GN188" i="100"/>
  <c r="GN75" i="100"/>
  <c r="GN174" i="100"/>
  <c r="GN302" i="100"/>
  <c r="GN288" i="100"/>
  <c r="GN77" i="100"/>
  <c r="GN320" i="100"/>
  <c r="GN160" i="100"/>
  <c r="GN161" i="100"/>
  <c r="GN26" i="100"/>
  <c r="GN305" i="100"/>
  <c r="GN190" i="100"/>
  <c r="GN69" i="100"/>
  <c r="GN314" i="100"/>
  <c r="GN168" i="100"/>
  <c r="GN292" i="100"/>
  <c r="GN27" i="100"/>
  <c r="GN331" i="100"/>
  <c r="GN67" i="100"/>
  <c r="GN309" i="100"/>
  <c r="GN316" i="100"/>
  <c r="GN35" i="100"/>
  <c r="GN184" i="100"/>
  <c r="GN172" i="100"/>
  <c r="GN70" i="100"/>
  <c r="GN298" i="100"/>
  <c r="GN32" i="100"/>
  <c r="GN333" i="100"/>
  <c r="GN202" i="100"/>
  <c r="GN328" i="100"/>
  <c r="GN30" i="100"/>
  <c r="GN74" i="100"/>
  <c r="GN163" i="100"/>
  <c r="GN162" i="100"/>
  <c r="GN17" i="100"/>
  <c r="GN300" i="100"/>
  <c r="GN16" i="100"/>
  <c r="GN34" i="100"/>
  <c r="GN28" i="100"/>
  <c r="GN185" i="100"/>
  <c r="GN167" i="100"/>
  <c r="GN198" i="100"/>
  <c r="GN318" i="100"/>
  <c r="GN36" i="100"/>
  <c r="GN192" i="100"/>
  <c r="GN29" i="100"/>
  <c r="GN291" i="100"/>
  <c r="GN71" i="100"/>
  <c r="GN296" i="100"/>
  <c r="GN304" i="100"/>
  <c r="GN33" i="100"/>
  <c r="GN25" i="100"/>
  <c r="GN207" i="100"/>
  <c r="GN23" i="100"/>
  <c r="GN10" i="100"/>
  <c r="GN40" i="100"/>
  <c r="GN322" i="100"/>
  <c r="GN72" i="100"/>
  <c r="GN159" i="100"/>
  <c r="GN206" i="100"/>
  <c r="GN31" i="100"/>
  <c r="GN321" i="100"/>
  <c r="GN170" i="100"/>
  <c r="GN313" i="100"/>
  <c r="GN175" i="100"/>
  <c r="GN12" i="100"/>
  <c r="GN336" i="100"/>
  <c r="GN164" i="100"/>
  <c r="GN37" i="100"/>
  <c r="GN290" i="100"/>
  <c r="GN337" i="100"/>
  <c r="GN196" i="100"/>
  <c r="GN195" i="100"/>
  <c r="GN200" i="100"/>
  <c r="GN301" i="100"/>
  <c r="GN310" i="100"/>
  <c r="GN21" i="100"/>
  <c r="GN294" i="100"/>
  <c r="GN182" i="100"/>
  <c r="GN39" i="100"/>
  <c r="GN173" i="100"/>
  <c r="GN307" i="100"/>
  <c r="GN38" i="100"/>
  <c r="GN24" i="100"/>
  <c r="GN326" i="100"/>
  <c r="GN76" i="100"/>
  <c r="GN176" i="100"/>
  <c r="GN315" i="100"/>
  <c r="GN11" i="100"/>
  <c r="GN189" i="100"/>
  <c r="GN20" i="100"/>
  <c r="GN19" i="100"/>
  <c r="GN289" i="100"/>
  <c r="GN299" i="100"/>
  <c r="GN66" i="100"/>
  <c r="GN327" i="100"/>
  <c r="GN181" i="100"/>
  <c r="GN191" i="100"/>
  <c r="GN13" i="100"/>
  <c r="GN194" i="100"/>
  <c r="GN332" i="100"/>
  <c r="GN42" i="100"/>
  <c r="GN177" i="100"/>
  <c r="GN329" i="100"/>
  <c r="GN43" i="100"/>
  <c r="GN8" i="100"/>
  <c r="GN295" i="100"/>
  <c r="GN187" i="100"/>
  <c r="GN18" i="100"/>
  <c r="GN180" i="100"/>
  <c r="GN15" i="100"/>
  <c r="GN179" i="100"/>
  <c r="GN178" i="100"/>
  <c r="GN183" i="100"/>
  <c r="GN201" i="100"/>
  <c r="GN204" i="100"/>
  <c r="GN334" i="100"/>
  <c r="GN205" i="100"/>
  <c r="GN193" i="100"/>
  <c r="GN165" i="100"/>
  <c r="GN9" i="100"/>
  <c r="GN306" i="100"/>
  <c r="GN65" i="100"/>
  <c r="GN158" i="100"/>
  <c r="GN330" i="100"/>
  <c r="GO46" i="100" l="1"/>
  <c r="GO44" i="100"/>
  <c r="GO52" i="100"/>
  <c r="GO63" i="100"/>
  <c r="GO51" i="100"/>
  <c r="GO45" i="100"/>
  <c r="GO57" i="100"/>
  <c r="GO62" i="100"/>
  <c r="GO53" i="100"/>
  <c r="GO50" i="100"/>
  <c r="GO55" i="100"/>
  <c r="GO59" i="100"/>
  <c r="GO47" i="100"/>
  <c r="GO58" i="100"/>
  <c r="GO56" i="100"/>
  <c r="GO49" i="100"/>
  <c r="GO60" i="100"/>
  <c r="GO61" i="100"/>
  <c r="GO54" i="100"/>
  <c r="GO48" i="100"/>
  <c r="GN209" i="100"/>
  <c r="GN79" i="100"/>
  <c r="GN78" i="100" s="1"/>
  <c r="GN339" i="100"/>
  <c r="GO70" i="100"/>
  <c r="GO165" i="100"/>
  <c r="GO169" i="100"/>
  <c r="GO32" i="100"/>
  <c r="GO174" i="100"/>
  <c r="GO328" i="100"/>
  <c r="GO75" i="100"/>
  <c r="GO203" i="100"/>
  <c r="GO307" i="100"/>
  <c r="GO25" i="100"/>
  <c r="GO316" i="100"/>
  <c r="GO205" i="100"/>
  <c r="GO323" i="100"/>
  <c r="GO179" i="100"/>
  <c r="GO327" i="100"/>
  <c r="GO30" i="100"/>
  <c r="GO321" i="100"/>
  <c r="GO43" i="100"/>
  <c r="GO167" i="100"/>
  <c r="GO67" i="100"/>
  <c r="GO176" i="100"/>
  <c r="GO317" i="100"/>
  <c r="GO22" i="100"/>
  <c r="GO329" i="100"/>
  <c r="GO292" i="100"/>
  <c r="GO332" i="100"/>
  <c r="GO76" i="100"/>
  <c r="GO324" i="100"/>
  <c r="GO296" i="100"/>
  <c r="GO163" i="100"/>
  <c r="GO15" i="100"/>
  <c r="GO33" i="100"/>
  <c r="GO38" i="100"/>
  <c r="GO201" i="100"/>
  <c r="GO162" i="100"/>
  <c r="GO178" i="100"/>
  <c r="GO312" i="100"/>
  <c r="GO330" i="100"/>
  <c r="GO311" i="100"/>
  <c r="GO31" i="100"/>
  <c r="GO8" i="100"/>
  <c r="GO180" i="100"/>
  <c r="GO320" i="100"/>
  <c r="GO199" i="100"/>
  <c r="GO318" i="100"/>
  <c r="GO186" i="100"/>
  <c r="GO309" i="100"/>
  <c r="GP7" i="100"/>
  <c r="GO19" i="100"/>
  <c r="GO298" i="100"/>
  <c r="GO68" i="100"/>
  <c r="GO306" i="100"/>
  <c r="GO65" i="100"/>
  <c r="GO21" i="100"/>
  <c r="GO303" i="100"/>
  <c r="GO39" i="100"/>
  <c r="GO196" i="100"/>
  <c r="GO159" i="100"/>
  <c r="GO200" i="100"/>
  <c r="GO195" i="100"/>
  <c r="GO41" i="100"/>
  <c r="GO288" i="100"/>
  <c r="GO185" i="100"/>
  <c r="GO308" i="100"/>
  <c r="GO204" i="100"/>
  <c r="GO197" i="100"/>
  <c r="GO295" i="100"/>
  <c r="GO182" i="100"/>
  <c r="GO9" i="100"/>
  <c r="GO36" i="100"/>
  <c r="GO302" i="100"/>
  <c r="GO293" i="100"/>
  <c r="GO192" i="100"/>
  <c r="GO18" i="100"/>
  <c r="GO10" i="100"/>
  <c r="GO207" i="100"/>
  <c r="GO291" i="100"/>
  <c r="GO171" i="100"/>
  <c r="GO69" i="100"/>
  <c r="GO40" i="100"/>
  <c r="GO27" i="100"/>
  <c r="GO34" i="100"/>
  <c r="GO190" i="100"/>
  <c r="GO299" i="100"/>
  <c r="GO184" i="100"/>
  <c r="GO294" i="100"/>
  <c r="GO335" i="100"/>
  <c r="GO72" i="100"/>
  <c r="GO305" i="100"/>
  <c r="GO11" i="100"/>
  <c r="GO188" i="100"/>
  <c r="GO35" i="100"/>
  <c r="GO164" i="100"/>
  <c r="GO325" i="100"/>
  <c r="GO177" i="100"/>
  <c r="GO337" i="100"/>
  <c r="GO77" i="100"/>
  <c r="GO198" i="100"/>
  <c r="GO191" i="100"/>
  <c r="GO71" i="100"/>
  <c r="GO187" i="100"/>
  <c r="GO313" i="100"/>
  <c r="GO26" i="100"/>
  <c r="GO175" i="100"/>
  <c r="GO334" i="100"/>
  <c r="GO16" i="100"/>
  <c r="GO158" i="100"/>
  <c r="GO336" i="100"/>
  <c r="GO322" i="100"/>
  <c r="GO181" i="100"/>
  <c r="GO160" i="100"/>
  <c r="GO12" i="100"/>
  <c r="GO183" i="100"/>
  <c r="GO168" i="100"/>
  <c r="GO161" i="100"/>
  <c r="GO13" i="100"/>
  <c r="GO20" i="100"/>
  <c r="GO42" i="100"/>
  <c r="GO289" i="100"/>
  <c r="GO297" i="100"/>
  <c r="GO28" i="100"/>
  <c r="GO333" i="100"/>
  <c r="GO170" i="100"/>
  <c r="GO319" i="100"/>
  <c r="GO66" i="100"/>
  <c r="GO29" i="100"/>
  <c r="GO14" i="100"/>
  <c r="GO326" i="100"/>
  <c r="GO166" i="100"/>
  <c r="GO24" i="100"/>
  <c r="GO206" i="100"/>
  <c r="GO173" i="100"/>
  <c r="GO301" i="100"/>
  <c r="GO331" i="100"/>
  <c r="GO37" i="100"/>
  <c r="GO23" i="100"/>
  <c r="GO74" i="100"/>
  <c r="GO193" i="100"/>
  <c r="GO304" i="100"/>
  <c r="GO315" i="100"/>
  <c r="GO300" i="100"/>
  <c r="GO172" i="100"/>
  <c r="GO17" i="100"/>
  <c r="GO202" i="100"/>
  <c r="GO73" i="100"/>
  <c r="GO290" i="100"/>
  <c r="GO194" i="100"/>
  <c r="GO64" i="100"/>
  <c r="GO189" i="100"/>
  <c r="GO314" i="100"/>
  <c r="GO310" i="100"/>
  <c r="GP62" i="100" l="1"/>
  <c r="GP46" i="100"/>
  <c r="GP58" i="100"/>
  <c r="GP63" i="100"/>
  <c r="GP44" i="100"/>
  <c r="GP54" i="100"/>
  <c r="GP49" i="100"/>
  <c r="GP47" i="100"/>
  <c r="GP45" i="100"/>
  <c r="GP48" i="100"/>
  <c r="GP50" i="100"/>
  <c r="GP60" i="100"/>
  <c r="GP53" i="100"/>
  <c r="GP51" i="100"/>
  <c r="GP59" i="100"/>
  <c r="GP57" i="100"/>
  <c r="GP56" i="100"/>
  <c r="GP52" i="100"/>
  <c r="GP61" i="100"/>
  <c r="GP55" i="100"/>
  <c r="GO209" i="100"/>
  <c r="GO79" i="100"/>
  <c r="GO78" i="100" s="1"/>
  <c r="GO339" i="100"/>
  <c r="GP189" i="100"/>
  <c r="GP309" i="100"/>
  <c r="GP175" i="100"/>
  <c r="GP288" i="100"/>
  <c r="GP73" i="100"/>
  <c r="GP304" i="100"/>
  <c r="GP207" i="100"/>
  <c r="GP69" i="100"/>
  <c r="GP25" i="100"/>
  <c r="GP29" i="100"/>
  <c r="GP199" i="100"/>
  <c r="GP314" i="100"/>
  <c r="GP201" i="100"/>
  <c r="GP300" i="100"/>
  <c r="GP291" i="100"/>
  <c r="GP292" i="100"/>
  <c r="GP162" i="100"/>
  <c r="GP159" i="100"/>
  <c r="GP192" i="100"/>
  <c r="GP303" i="100"/>
  <c r="GP18" i="100"/>
  <c r="GP161" i="100"/>
  <c r="GP310" i="100"/>
  <c r="GP205" i="100"/>
  <c r="GP173" i="100"/>
  <c r="GP24" i="100"/>
  <c r="GP164" i="100"/>
  <c r="GP308" i="100"/>
  <c r="GP8" i="100"/>
  <c r="GP181" i="100"/>
  <c r="GP169" i="100"/>
  <c r="GP32" i="100"/>
  <c r="GP331" i="100"/>
  <c r="GP200" i="100"/>
  <c r="GP177" i="100"/>
  <c r="GP13" i="100"/>
  <c r="GP20" i="100"/>
  <c r="GP170" i="100"/>
  <c r="GP320" i="100"/>
  <c r="GP337" i="100"/>
  <c r="GP19" i="100"/>
  <c r="GP321" i="100"/>
  <c r="GP298" i="100"/>
  <c r="GP23" i="100"/>
  <c r="GP325" i="100"/>
  <c r="GP333" i="100"/>
  <c r="GP64" i="100"/>
  <c r="GP42" i="100"/>
  <c r="GP75" i="100"/>
  <c r="GP70" i="100"/>
  <c r="GP21" i="100"/>
  <c r="GP43" i="100"/>
  <c r="GP195" i="100"/>
  <c r="GP295" i="100"/>
  <c r="GP172" i="100"/>
  <c r="GP329" i="100"/>
  <c r="GP39" i="100"/>
  <c r="GP9" i="100"/>
  <c r="GP76" i="100"/>
  <c r="GP183" i="100"/>
  <c r="GP323" i="100"/>
  <c r="GP16" i="100"/>
  <c r="GP17" i="100"/>
  <c r="GP336" i="100"/>
  <c r="GP203" i="100"/>
  <c r="GP176" i="100"/>
  <c r="GP334" i="100"/>
  <c r="GP168" i="100"/>
  <c r="GP65" i="100"/>
  <c r="GP28" i="100"/>
  <c r="GP27" i="100"/>
  <c r="GP326" i="100"/>
  <c r="GP204" i="100"/>
  <c r="GP328" i="100"/>
  <c r="GP174" i="100"/>
  <c r="GP77" i="100"/>
  <c r="GP10" i="100"/>
  <c r="GP290" i="100"/>
  <c r="GP206" i="100"/>
  <c r="GP289" i="100"/>
  <c r="GP322" i="100"/>
  <c r="GP197" i="100"/>
  <c r="GP22" i="100"/>
  <c r="GP35" i="100"/>
  <c r="GP312" i="100"/>
  <c r="GP41" i="100"/>
  <c r="GP166" i="100"/>
  <c r="GP15" i="100"/>
  <c r="GP40" i="100"/>
  <c r="GP26" i="100"/>
  <c r="GP182" i="100"/>
  <c r="GP179" i="100"/>
  <c r="GP33" i="100"/>
  <c r="GP167" i="100"/>
  <c r="GP294" i="100"/>
  <c r="GP185" i="100"/>
  <c r="GP184" i="100"/>
  <c r="GP299" i="100"/>
  <c r="GP30" i="100"/>
  <c r="GP71" i="100"/>
  <c r="GP188" i="100"/>
  <c r="GP327" i="100"/>
  <c r="GP38" i="100"/>
  <c r="GP171" i="100"/>
  <c r="GP186" i="100"/>
  <c r="GP319" i="100"/>
  <c r="GP160" i="100"/>
  <c r="GP306" i="100"/>
  <c r="GP316" i="100"/>
  <c r="GP36" i="100"/>
  <c r="GP72" i="100"/>
  <c r="GP37" i="100"/>
  <c r="GP68" i="100"/>
  <c r="GP196" i="100"/>
  <c r="GP313" i="100"/>
  <c r="GP158" i="100"/>
  <c r="GP31" i="100"/>
  <c r="GP193" i="100"/>
  <c r="GQ7" i="100"/>
  <c r="GP307" i="100"/>
  <c r="GP66" i="100"/>
  <c r="GP11" i="100"/>
  <c r="GP317" i="100"/>
  <c r="GP198" i="100"/>
  <c r="GP178" i="100"/>
  <c r="GP311" i="100"/>
  <c r="GP335" i="100"/>
  <c r="GP324" i="100"/>
  <c r="GP332" i="100"/>
  <c r="GP67" i="100"/>
  <c r="GP14" i="100"/>
  <c r="GP12" i="100"/>
  <c r="GP194" i="100"/>
  <c r="GP163" i="100"/>
  <c r="GP34" i="100"/>
  <c r="GP190" i="100"/>
  <c r="GP318" i="100"/>
  <c r="GP297" i="100"/>
  <c r="GP74" i="100"/>
  <c r="GP296" i="100"/>
  <c r="GP187" i="100"/>
  <c r="GP293" i="100"/>
  <c r="GP315" i="100"/>
  <c r="GP191" i="100"/>
  <c r="GP165" i="100"/>
  <c r="GP301" i="100"/>
  <c r="GP305" i="100"/>
  <c r="GP202" i="100"/>
  <c r="GP302" i="100"/>
  <c r="GP180" i="100"/>
  <c r="GP330" i="100"/>
  <c r="GQ63" i="100" l="1"/>
  <c r="GQ44" i="100"/>
  <c r="GQ48" i="100"/>
  <c r="GQ59" i="100"/>
  <c r="GQ51" i="100"/>
  <c r="GQ62" i="100"/>
  <c r="GQ46" i="100"/>
  <c r="GQ50" i="100"/>
  <c r="GQ55" i="100"/>
  <c r="GQ49" i="100"/>
  <c r="GQ56" i="100"/>
  <c r="GQ54" i="100"/>
  <c r="GQ58" i="100"/>
  <c r="GQ57" i="100"/>
  <c r="GQ60" i="100"/>
  <c r="GQ53" i="100"/>
  <c r="GQ61" i="100"/>
  <c r="GQ45" i="100"/>
  <c r="GQ47" i="100"/>
  <c r="GQ52" i="100"/>
  <c r="GP79" i="100"/>
  <c r="GP78" i="100" s="1"/>
  <c r="GP209" i="100"/>
  <c r="GP339" i="100"/>
  <c r="GQ19" i="100"/>
  <c r="GQ12" i="100"/>
  <c r="GQ199" i="100"/>
  <c r="GQ13" i="100"/>
  <c r="GQ27" i="100"/>
  <c r="GQ22" i="100"/>
  <c r="GQ294" i="100"/>
  <c r="GQ322" i="100"/>
  <c r="GQ10" i="100"/>
  <c r="GQ40" i="100"/>
  <c r="GQ187" i="100"/>
  <c r="GQ68" i="100"/>
  <c r="GQ330" i="100"/>
  <c r="GQ167" i="100"/>
  <c r="GQ196" i="100"/>
  <c r="GQ189" i="100"/>
  <c r="GQ316" i="100"/>
  <c r="GQ325" i="100"/>
  <c r="GQ169" i="100"/>
  <c r="GQ163" i="100"/>
  <c r="GQ171" i="100"/>
  <c r="GQ197" i="100"/>
  <c r="GQ15" i="100"/>
  <c r="GQ299" i="100"/>
  <c r="GQ23" i="100"/>
  <c r="GQ204" i="100"/>
  <c r="GQ298" i="100"/>
  <c r="GQ168" i="100"/>
  <c r="GQ161" i="100"/>
  <c r="GQ77" i="100"/>
  <c r="GQ321" i="100"/>
  <c r="GQ308" i="100"/>
  <c r="GQ64" i="100"/>
  <c r="GQ181" i="100"/>
  <c r="GQ11" i="100"/>
  <c r="GQ207" i="100"/>
  <c r="GQ33" i="100"/>
  <c r="GQ184" i="100"/>
  <c r="GQ310" i="100"/>
  <c r="GQ76" i="100"/>
  <c r="GQ32" i="100"/>
  <c r="GQ206" i="100"/>
  <c r="GQ41" i="100"/>
  <c r="GQ20" i="100"/>
  <c r="GQ200" i="100"/>
  <c r="GQ329" i="100"/>
  <c r="GQ333" i="100"/>
  <c r="GQ323" i="100"/>
  <c r="GQ8" i="100"/>
  <c r="GQ320" i="100"/>
  <c r="GQ75" i="100"/>
  <c r="GQ335" i="100"/>
  <c r="GQ34" i="100"/>
  <c r="GQ332" i="100"/>
  <c r="GQ159" i="100"/>
  <c r="GQ317" i="100"/>
  <c r="GQ38" i="100"/>
  <c r="GQ164" i="100"/>
  <c r="GQ182" i="100"/>
  <c r="GQ36" i="100"/>
  <c r="GQ288" i="100"/>
  <c r="GQ198" i="100"/>
  <c r="GQ183" i="100"/>
  <c r="GQ17" i="100"/>
  <c r="GQ293" i="100"/>
  <c r="GQ174" i="100"/>
  <c r="GQ166" i="100"/>
  <c r="GQ190" i="100"/>
  <c r="GQ296" i="100"/>
  <c r="GQ179" i="100"/>
  <c r="GQ31" i="100"/>
  <c r="GQ205" i="100"/>
  <c r="GQ35" i="100"/>
  <c r="GQ173" i="100"/>
  <c r="GQ39" i="100"/>
  <c r="GQ202" i="100"/>
  <c r="GQ176" i="100"/>
  <c r="GQ291" i="100"/>
  <c r="GQ69" i="100"/>
  <c r="GQ177" i="100"/>
  <c r="GQ26" i="100"/>
  <c r="GQ67" i="100"/>
  <c r="GQ307" i="100"/>
  <c r="GQ162" i="100"/>
  <c r="GQ172" i="100"/>
  <c r="GQ297" i="100"/>
  <c r="GQ292" i="100"/>
  <c r="GQ312" i="100"/>
  <c r="GQ14" i="100"/>
  <c r="GQ290" i="100"/>
  <c r="GQ175" i="100"/>
  <c r="GQ314" i="100"/>
  <c r="GQ203" i="100"/>
  <c r="GQ193" i="100"/>
  <c r="GQ71" i="100"/>
  <c r="GQ9" i="100"/>
  <c r="GQ313" i="100"/>
  <c r="GQ73" i="100"/>
  <c r="GQ24" i="100"/>
  <c r="GQ331" i="100"/>
  <c r="GQ29" i="100"/>
  <c r="GQ303" i="100"/>
  <c r="GQ70" i="100"/>
  <c r="GQ25" i="100"/>
  <c r="GQ301" i="100"/>
  <c r="GQ191" i="100"/>
  <c r="GQ192" i="100"/>
  <c r="GR7" i="100"/>
  <c r="GQ37" i="100"/>
  <c r="GQ304" i="100"/>
  <c r="GQ165" i="100"/>
  <c r="GQ16" i="100"/>
  <c r="GQ336" i="100"/>
  <c r="GQ186" i="100"/>
  <c r="GQ72" i="100"/>
  <c r="GQ74" i="100"/>
  <c r="GQ309" i="100"/>
  <c r="GQ18" i="100"/>
  <c r="GQ42" i="100"/>
  <c r="GQ178" i="100"/>
  <c r="GQ302" i="100"/>
  <c r="GQ201" i="100"/>
  <c r="GQ66" i="100"/>
  <c r="GQ30" i="100"/>
  <c r="GQ28" i="100"/>
  <c r="GQ337" i="100"/>
  <c r="GQ188" i="100"/>
  <c r="GQ295" i="100"/>
  <c r="GQ324" i="100"/>
  <c r="GQ289" i="100"/>
  <c r="GQ319" i="100"/>
  <c r="GQ43" i="100"/>
  <c r="GQ326" i="100"/>
  <c r="GQ311" i="100"/>
  <c r="GQ327" i="100"/>
  <c r="GQ160" i="100"/>
  <c r="GQ300" i="100"/>
  <c r="GQ334" i="100"/>
  <c r="GQ21" i="100"/>
  <c r="GQ318" i="100"/>
  <c r="GQ158" i="100"/>
  <c r="GQ328" i="100"/>
  <c r="GQ315" i="100"/>
  <c r="GQ306" i="100"/>
  <c r="GQ65" i="100"/>
  <c r="GQ185" i="100"/>
  <c r="GQ180" i="100"/>
  <c r="GQ194" i="100"/>
  <c r="GQ170" i="100"/>
  <c r="GQ305" i="100"/>
  <c r="GQ195" i="100"/>
  <c r="GR46" i="100" l="1"/>
  <c r="GR62" i="100"/>
  <c r="GR51" i="100"/>
  <c r="GR44" i="100"/>
  <c r="GR59" i="100"/>
  <c r="GR63" i="100"/>
  <c r="GR61" i="100"/>
  <c r="GR50" i="100"/>
  <c r="GR56" i="100"/>
  <c r="GR45" i="100"/>
  <c r="GR55" i="100"/>
  <c r="GR48" i="100"/>
  <c r="GR60" i="100"/>
  <c r="GR57" i="100"/>
  <c r="GR54" i="100"/>
  <c r="GR58" i="100"/>
  <c r="GR47" i="100"/>
  <c r="GR49" i="100"/>
  <c r="GR52" i="100"/>
  <c r="GR53" i="100"/>
  <c r="GQ339" i="100"/>
  <c r="GQ79" i="100"/>
  <c r="GQ78" i="100" s="1"/>
  <c r="GQ209" i="100"/>
  <c r="GR10" i="100"/>
  <c r="GR73" i="100"/>
  <c r="GR38" i="100"/>
  <c r="GR184" i="100"/>
  <c r="GR175" i="100"/>
  <c r="GR204" i="100"/>
  <c r="GR321" i="100"/>
  <c r="GR75" i="100"/>
  <c r="GR43" i="100"/>
  <c r="GR170" i="100"/>
  <c r="GR158" i="100"/>
  <c r="GR171" i="100"/>
  <c r="GR194" i="100"/>
  <c r="GR166" i="100"/>
  <c r="GR312" i="100"/>
  <c r="GR318" i="100"/>
  <c r="GR324" i="100"/>
  <c r="GR333" i="100"/>
  <c r="GR18" i="100"/>
  <c r="GR181" i="100"/>
  <c r="GR24" i="100"/>
  <c r="GR17" i="100"/>
  <c r="GR196" i="100"/>
  <c r="GR180" i="100"/>
  <c r="GR299" i="100"/>
  <c r="GR337" i="100"/>
  <c r="GR205" i="100"/>
  <c r="GR332" i="100"/>
  <c r="GR335" i="100"/>
  <c r="GR31" i="100"/>
  <c r="GR291" i="100"/>
  <c r="GR201" i="100"/>
  <c r="GR13" i="100"/>
  <c r="GR203" i="100"/>
  <c r="GR336" i="100"/>
  <c r="GR69" i="100"/>
  <c r="GR323" i="100"/>
  <c r="GR163" i="100"/>
  <c r="GR186" i="100"/>
  <c r="GR183" i="100"/>
  <c r="GR314" i="100"/>
  <c r="GR288" i="100"/>
  <c r="GR331" i="100"/>
  <c r="GS7" i="100"/>
  <c r="GR39" i="100"/>
  <c r="GR334" i="100"/>
  <c r="GR64" i="100"/>
  <c r="GR9" i="100"/>
  <c r="GR164" i="100"/>
  <c r="GR19" i="100"/>
  <c r="GR21" i="100"/>
  <c r="GR316" i="100"/>
  <c r="GR305" i="100"/>
  <c r="GR329" i="100"/>
  <c r="GR293" i="100"/>
  <c r="GR71" i="100"/>
  <c r="GR8" i="100"/>
  <c r="GR68" i="100"/>
  <c r="GR303" i="100"/>
  <c r="GR74" i="100"/>
  <c r="GR185" i="100"/>
  <c r="GR313" i="100"/>
  <c r="GR191" i="100"/>
  <c r="GR199" i="100"/>
  <c r="GR202" i="100"/>
  <c r="GR187" i="100"/>
  <c r="GR302" i="100"/>
  <c r="GR192" i="100"/>
  <c r="GR22" i="100"/>
  <c r="GR65" i="100"/>
  <c r="GR295" i="100"/>
  <c r="GR188" i="100"/>
  <c r="GR310" i="100"/>
  <c r="GR301" i="100"/>
  <c r="GR317" i="100"/>
  <c r="GR298" i="100"/>
  <c r="GR41" i="100"/>
  <c r="GR193" i="100"/>
  <c r="GR161" i="100"/>
  <c r="GR30" i="100"/>
  <c r="GR190" i="100"/>
  <c r="GR162" i="100"/>
  <c r="GR33" i="100"/>
  <c r="GR20" i="100"/>
  <c r="GR66" i="100"/>
  <c r="GR296" i="100"/>
  <c r="GR173" i="100"/>
  <c r="GR159" i="100"/>
  <c r="GR198" i="100"/>
  <c r="GR315" i="100"/>
  <c r="GR189" i="100"/>
  <c r="GR29" i="100"/>
  <c r="GR172" i="100"/>
  <c r="GR36" i="100"/>
  <c r="GR34" i="100"/>
  <c r="GR28" i="100"/>
  <c r="GR320" i="100"/>
  <c r="GR330" i="100"/>
  <c r="GR35" i="100"/>
  <c r="GR197" i="100"/>
  <c r="GR176" i="100"/>
  <c r="GR308" i="100"/>
  <c r="GR14" i="100"/>
  <c r="GR327" i="100"/>
  <c r="GR289" i="100"/>
  <c r="GR169" i="100"/>
  <c r="GR309" i="100"/>
  <c r="GR206" i="100"/>
  <c r="GR195" i="100"/>
  <c r="GR72" i="100"/>
  <c r="GR27" i="100"/>
  <c r="GR306" i="100"/>
  <c r="GR32" i="100"/>
  <c r="GR292" i="100"/>
  <c r="GR67" i="100"/>
  <c r="GR70" i="100"/>
  <c r="GR179" i="100"/>
  <c r="GR12" i="100"/>
  <c r="GR25" i="100"/>
  <c r="GR304" i="100"/>
  <c r="GR325" i="100"/>
  <c r="GR16" i="100"/>
  <c r="GR11" i="100"/>
  <c r="GR37" i="100"/>
  <c r="GR319" i="100"/>
  <c r="GR207" i="100"/>
  <c r="GR165" i="100"/>
  <c r="GR26" i="100"/>
  <c r="GR167" i="100"/>
  <c r="GR328" i="100"/>
  <c r="GR40" i="100"/>
  <c r="GR42" i="100"/>
  <c r="GR168" i="100"/>
  <c r="GR23" i="100"/>
  <c r="GR326" i="100"/>
  <c r="GR177" i="100"/>
  <c r="GR294" i="100"/>
  <c r="GR290" i="100"/>
  <c r="GR200" i="100"/>
  <c r="GR15" i="100"/>
  <c r="GR178" i="100"/>
  <c r="GR76" i="100"/>
  <c r="GR311" i="100"/>
  <c r="GR160" i="100"/>
  <c r="GR307" i="100"/>
  <c r="GR300" i="100"/>
  <c r="GR174" i="100"/>
  <c r="GR297" i="100"/>
  <c r="GR182" i="100"/>
  <c r="GR77" i="100"/>
  <c r="GR322" i="100"/>
  <c r="GS46" i="100" l="1"/>
  <c r="GS45" i="100"/>
  <c r="GS58" i="100"/>
  <c r="GS63" i="100"/>
  <c r="GS51" i="100"/>
  <c r="GS62" i="100"/>
  <c r="GS44" i="100"/>
  <c r="GS57" i="100"/>
  <c r="GS48" i="100"/>
  <c r="GS49" i="100"/>
  <c r="GS54" i="100"/>
  <c r="GS56" i="100"/>
  <c r="GS50" i="100"/>
  <c r="GS61" i="100"/>
  <c r="GS55" i="100"/>
  <c r="GS52" i="100"/>
  <c r="GS53" i="100"/>
  <c r="GS47" i="100"/>
  <c r="GS59" i="100"/>
  <c r="GS60" i="100"/>
  <c r="GR209" i="100"/>
  <c r="GR339" i="100"/>
  <c r="GR79" i="100"/>
  <c r="GR78" i="100" s="1"/>
  <c r="GS158" i="100"/>
  <c r="GS330" i="100"/>
  <c r="GS36" i="100"/>
  <c r="GS25" i="100"/>
  <c r="GS298" i="100"/>
  <c r="GS8" i="100"/>
  <c r="GS40" i="100"/>
  <c r="GS309" i="100"/>
  <c r="GS167" i="100"/>
  <c r="GS164" i="100"/>
  <c r="GS33" i="100"/>
  <c r="GS42" i="100"/>
  <c r="GS182" i="100"/>
  <c r="GS187" i="100"/>
  <c r="GS193" i="100"/>
  <c r="GS294" i="100"/>
  <c r="GS323" i="100"/>
  <c r="GS303" i="100"/>
  <c r="GS205" i="100"/>
  <c r="GS191" i="100"/>
  <c r="GS314" i="100"/>
  <c r="GS183" i="100"/>
  <c r="GS163" i="100"/>
  <c r="GS16" i="100"/>
  <c r="GS290" i="100"/>
  <c r="GS181" i="100"/>
  <c r="GS325" i="100"/>
  <c r="GS26" i="100"/>
  <c r="GS186" i="100"/>
  <c r="GT7" i="100"/>
  <c r="GS170" i="100"/>
  <c r="GS161" i="100"/>
  <c r="GS38" i="100"/>
  <c r="GS207" i="100"/>
  <c r="GS14" i="100"/>
  <c r="GS69" i="100"/>
  <c r="GS291" i="100"/>
  <c r="GS335" i="100"/>
  <c r="GS297" i="100"/>
  <c r="GS71" i="100"/>
  <c r="GS28" i="100"/>
  <c r="GS64" i="100"/>
  <c r="GS328" i="100"/>
  <c r="GS19" i="100"/>
  <c r="GS295" i="100"/>
  <c r="GS22" i="100"/>
  <c r="GS162" i="100"/>
  <c r="GS77" i="100"/>
  <c r="GS68" i="100"/>
  <c r="GS304" i="100"/>
  <c r="GS30" i="100"/>
  <c r="GS189" i="100"/>
  <c r="GS72" i="100"/>
  <c r="GS179" i="100"/>
  <c r="GS289" i="100"/>
  <c r="GS337" i="100"/>
  <c r="GS41" i="100"/>
  <c r="GS67" i="100"/>
  <c r="GS320" i="100"/>
  <c r="GS194" i="100"/>
  <c r="GS334" i="100"/>
  <c r="GS307" i="100"/>
  <c r="GS175" i="100"/>
  <c r="GS305" i="100"/>
  <c r="GS319" i="100"/>
  <c r="GS21" i="100"/>
  <c r="GS199" i="100"/>
  <c r="GS300" i="100"/>
  <c r="GS10" i="100"/>
  <c r="GS12" i="100"/>
  <c r="GS313" i="100"/>
  <c r="GS198" i="100"/>
  <c r="GS9" i="100"/>
  <c r="GS73" i="100"/>
  <c r="GS329" i="100"/>
  <c r="GS173" i="100"/>
  <c r="GS32" i="100"/>
  <c r="GS174" i="100"/>
  <c r="GS324" i="100"/>
  <c r="GS185" i="100"/>
  <c r="GS202" i="100"/>
  <c r="GS332" i="100"/>
  <c r="GS190" i="100"/>
  <c r="GS165" i="100"/>
  <c r="GS31" i="100"/>
  <c r="GS172" i="100"/>
  <c r="GS13" i="100"/>
  <c r="GS65" i="100"/>
  <c r="GS292" i="100"/>
  <c r="GS321" i="100"/>
  <c r="GS75" i="100"/>
  <c r="GS326" i="100"/>
  <c r="GS315" i="100"/>
  <c r="GS177" i="100"/>
  <c r="GS176" i="100"/>
  <c r="GS288" i="100"/>
  <c r="GS196" i="100"/>
  <c r="GS160" i="100"/>
  <c r="GS23" i="100"/>
  <c r="GS169" i="100"/>
  <c r="GS204" i="100"/>
  <c r="GS188" i="100"/>
  <c r="GS37" i="100"/>
  <c r="GS296" i="100"/>
  <c r="GS206" i="100"/>
  <c r="GS66" i="100"/>
  <c r="GS331" i="100"/>
  <c r="GS17" i="100"/>
  <c r="GS200" i="100"/>
  <c r="GS29" i="100"/>
  <c r="GS311" i="100"/>
  <c r="GS27" i="100"/>
  <c r="GS24" i="100"/>
  <c r="GS308" i="100"/>
  <c r="GS20" i="100"/>
  <c r="GS333" i="100"/>
  <c r="GS171" i="100"/>
  <c r="GS15" i="100"/>
  <c r="GS11" i="100"/>
  <c r="GS201" i="100"/>
  <c r="GS306" i="100"/>
  <c r="GS312" i="100"/>
  <c r="GS322" i="100"/>
  <c r="GS168" i="100"/>
  <c r="GS76" i="100"/>
  <c r="GS18" i="100"/>
  <c r="GS192" i="100"/>
  <c r="GS43" i="100"/>
  <c r="GS301" i="100"/>
  <c r="GS70" i="100"/>
  <c r="GS302" i="100"/>
  <c r="GS327" i="100"/>
  <c r="GS184" i="100"/>
  <c r="GS316" i="100"/>
  <c r="GS159" i="100"/>
  <c r="GS299" i="100"/>
  <c r="GS34" i="100"/>
  <c r="GS39" i="100"/>
  <c r="GS293" i="100"/>
  <c r="GS166" i="100"/>
  <c r="GS197" i="100"/>
  <c r="GS74" i="100"/>
  <c r="GS180" i="100"/>
  <c r="GS178" i="100"/>
  <c r="GS195" i="100"/>
  <c r="GS336" i="100"/>
  <c r="GS203" i="100"/>
  <c r="GS317" i="100"/>
  <c r="GS310" i="100"/>
  <c r="GS35" i="100"/>
  <c r="GS318" i="100"/>
  <c r="GT63" i="100" l="1"/>
  <c r="GT46" i="100"/>
  <c r="GT62" i="100"/>
  <c r="GT56" i="100"/>
  <c r="GT44" i="100"/>
  <c r="GT51" i="100"/>
  <c r="GT50" i="100"/>
  <c r="GT48" i="100"/>
  <c r="GT47" i="100"/>
  <c r="GT52" i="100"/>
  <c r="GT45" i="100"/>
  <c r="GT57" i="100"/>
  <c r="GT54" i="100"/>
  <c r="GT53" i="100"/>
  <c r="GT60" i="100"/>
  <c r="GT49" i="100"/>
  <c r="GT61" i="100"/>
  <c r="GT55" i="100"/>
  <c r="GT59" i="100"/>
  <c r="GT58" i="100"/>
  <c r="GS339" i="100"/>
  <c r="GS209" i="100"/>
  <c r="GS79" i="100"/>
  <c r="GS78" i="100" s="1"/>
  <c r="GT8" i="100"/>
  <c r="GT75" i="100"/>
  <c r="GT23" i="100"/>
  <c r="GT188" i="100"/>
  <c r="GT11" i="100"/>
  <c r="GT33" i="100"/>
  <c r="GT182" i="100"/>
  <c r="GT289" i="100"/>
  <c r="GT12" i="100"/>
  <c r="GT199" i="100"/>
  <c r="GT307" i="100"/>
  <c r="GT336" i="100"/>
  <c r="GT321" i="100"/>
  <c r="GT291" i="100"/>
  <c r="GT297" i="100"/>
  <c r="GT191" i="100"/>
  <c r="GT318" i="100"/>
  <c r="GT316" i="100"/>
  <c r="GT293" i="100"/>
  <c r="GT65" i="100"/>
  <c r="GT312" i="100"/>
  <c r="GT326" i="100"/>
  <c r="GT319" i="100"/>
  <c r="GT69" i="100"/>
  <c r="GT164" i="100"/>
  <c r="GT186" i="100"/>
  <c r="GT201" i="100"/>
  <c r="GT68" i="100"/>
  <c r="GT184" i="100"/>
  <c r="GT197" i="100"/>
  <c r="GT179" i="100"/>
  <c r="GT181" i="100"/>
  <c r="GT168" i="100"/>
  <c r="GT34" i="100"/>
  <c r="GT192" i="100"/>
  <c r="GT26" i="100"/>
  <c r="GT42" i="100"/>
  <c r="GT160" i="100"/>
  <c r="GT193" i="100"/>
  <c r="GT71" i="100"/>
  <c r="GT300" i="100"/>
  <c r="GT288" i="100"/>
  <c r="GT38" i="100"/>
  <c r="GT187" i="100"/>
  <c r="GT66" i="100"/>
  <c r="GT170" i="100"/>
  <c r="GT329" i="100"/>
  <c r="GT159" i="100"/>
  <c r="GT185" i="100"/>
  <c r="GT180" i="100"/>
  <c r="GT203" i="100"/>
  <c r="GT9" i="100"/>
  <c r="GT207" i="100"/>
  <c r="GU7" i="100"/>
  <c r="GT16" i="100"/>
  <c r="GT337" i="100"/>
  <c r="GT198" i="100"/>
  <c r="GT327" i="100"/>
  <c r="GT172" i="100"/>
  <c r="GT306" i="100"/>
  <c r="GT315" i="100"/>
  <c r="GT200" i="100"/>
  <c r="GT20" i="100"/>
  <c r="GT295" i="100"/>
  <c r="GT196" i="100"/>
  <c r="GT301" i="100"/>
  <c r="GT305" i="100"/>
  <c r="GT161" i="100"/>
  <c r="GT302" i="100"/>
  <c r="GT163" i="100"/>
  <c r="GT313" i="100"/>
  <c r="GT165" i="100"/>
  <c r="GT167" i="100"/>
  <c r="GT177" i="100"/>
  <c r="GT332" i="100"/>
  <c r="GT41" i="100"/>
  <c r="GT77" i="100"/>
  <c r="GT30" i="100"/>
  <c r="GT15" i="100"/>
  <c r="GT202" i="100"/>
  <c r="GT331" i="100"/>
  <c r="GT294" i="100"/>
  <c r="GT24" i="100"/>
  <c r="GT76" i="100"/>
  <c r="GT330" i="100"/>
  <c r="GT36" i="100"/>
  <c r="GT169" i="100"/>
  <c r="GT183" i="100"/>
  <c r="GT309" i="100"/>
  <c r="GT335" i="100"/>
  <c r="GT296" i="100"/>
  <c r="GT292" i="100"/>
  <c r="GT19" i="100"/>
  <c r="GT35" i="100"/>
  <c r="GT70" i="100"/>
  <c r="GT175" i="100"/>
  <c r="GT308" i="100"/>
  <c r="GT73" i="100"/>
  <c r="GT314" i="100"/>
  <c r="GT162" i="100"/>
  <c r="GT328" i="100"/>
  <c r="GT189" i="100"/>
  <c r="GT195" i="100"/>
  <c r="GT324" i="100"/>
  <c r="GT13" i="100"/>
  <c r="GT18" i="100"/>
  <c r="GT39" i="100"/>
  <c r="GT171" i="100"/>
  <c r="GT204" i="100"/>
  <c r="GT21" i="100"/>
  <c r="GT205" i="100"/>
  <c r="GT67" i="100"/>
  <c r="GT325" i="100"/>
  <c r="GT43" i="100"/>
  <c r="GT27" i="100"/>
  <c r="GT64" i="100"/>
  <c r="GT29" i="100"/>
  <c r="GT31" i="100"/>
  <c r="GT322" i="100"/>
  <c r="GT17" i="100"/>
  <c r="GT190" i="100"/>
  <c r="GT334" i="100"/>
  <c r="GT166" i="100"/>
  <c r="GT32" i="100"/>
  <c r="GT176" i="100"/>
  <c r="GT290" i="100"/>
  <c r="GT333" i="100"/>
  <c r="GT25" i="100"/>
  <c r="GT311" i="100"/>
  <c r="GT304" i="100"/>
  <c r="GT320" i="100"/>
  <c r="GT194" i="100"/>
  <c r="GT299" i="100"/>
  <c r="GT158" i="100"/>
  <c r="GT28" i="100"/>
  <c r="GT173" i="100"/>
  <c r="GT298" i="100"/>
  <c r="GT323" i="100"/>
  <c r="GT174" i="100"/>
  <c r="GT303" i="100"/>
  <c r="GT206" i="100"/>
  <c r="GT40" i="100"/>
  <c r="GT22" i="100"/>
  <c r="GT310" i="100"/>
  <c r="GT178" i="100"/>
  <c r="GT72" i="100"/>
  <c r="GT10" i="100"/>
  <c r="GT37" i="100"/>
  <c r="GT74" i="100"/>
  <c r="GT317" i="100"/>
  <c r="GT14" i="100"/>
  <c r="GU44" i="100" l="1"/>
  <c r="GU63" i="100"/>
  <c r="GU46" i="100"/>
  <c r="GU58" i="100"/>
  <c r="GU45" i="100"/>
  <c r="GU51" i="100"/>
  <c r="GU62" i="100"/>
  <c r="GU47" i="100"/>
  <c r="GU60" i="100"/>
  <c r="GU61" i="100"/>
  <c r="GU55" i="100"/>
  <c r="GU54" i="100"/>
  <c r="GU48" i="100"/>
  <c r="GU56" i="100"/>
  <c r="GU57" i="100"/>
  <c r="GU50" i="100"/>
  <c r="GU59" i="100"/>
  <c r="GU52" i="100"/>
  <c r="GU49" i="100"/>
  <c r="GU53" i="100"/>
  <c r="GT209" i="100"/>
  <c r="GT339" i="100"/>
  <c r="GT79" i="100"/>
  <c r="GT78" i="100" s="1"/>
  <c r="GU310" i="100"/>
  <c r="GU313" i="100"/>
  <c r="GU70" i="100"/>
  <c r="GU294" i="100"/>
  <c r="GU17" i="100"/>
  <c r="GU306" i="100"/>
  <c r="GU30" i="100"/>
  <c r="GU13" i="100"/>
  <c r="GU168" i="100"/>
  <c r="GU179" i="100"/>
  <c r="GU16" i="100"/>
  <c r="GU69" i="100"/>
  <c r="GU186" i="100"/>
  <c r="GU335" i="100"/>
  <c r="GU68" i="100"/>
  <c r="GU66" i="100"/>
  <c r="GU300" i="100"/>
  <c r="GU205" i="100"/>
  <c r="GU32" i="100"/>
  <c r="GU331" i="100"/>
  <c r="GU171" i="100"/>
  <c r="GU309" i="100"/>
  <c r="GU29" i="100"/>
  <c r="GU323" i="100"/>
  <c r="GU200" i="100"/>
  <c r="GU169" i="100"/>
  <c r="GU334" i="100"/>
  <c r="GU161" i="100"/>
  <c r="GU42" i="100"/>
  <c r="GU39" i="100"/>
  <c r="GU22" i="100"/>
  <c r="GU296" i="100"/>
  <c r="GU288" i="100"/>
  <c r="GU174" i="100"/>
  <c r="GU75" i="100"/>
  <c r="GU295" i="100"/>
  <c r="GU158" i="100"/>
  <c r="GU11" i="100"/>
  <c r="GU173" i="100"/>
  <c r="GU36" i="100"/>
  <c r="GU198" i="100"/>
  <c r="GU332" i="100"/>
  <c r="GU305" i="100"/>
  <c r="GU8" i="100"/>
  <c r="GU170" i="100"/>
  <c r="GU18" i="100"/>
  <c r="GU303" i="100"/>
  <c r="GU71" i="100"/>
  <c r="GU188" i="100"/>
  <c r="GU326" i="100"/>
  <c r="GU20" i="100"/>
  <c r="GU184" i="100"/>
  <c r="GU26" i="100"/>
  <c r="GU65" i="100"/>
  <c r="GU165" i="100"/>
  <c r="GU297" i="100"/>
  <c r="GU12" i="100"/>
  <c r="GU320" i="100"/>
  <c r="GU324" i="100"/>
  <c r="GU159" i="100"/>
  <c r="GU337" i="100"/>
  <c r="GU298" i="100"/>
  <c r="GU38" i="100"/>
  <c r="GU329" i="100"/>
  <c r="GU312" i="100"/>
  <c r="GU193" i="100"/>
  <c r="GU196" i="100"/>
  <c r="GU317" i="100"/>
  <c r="GU166" i="100"/>
  <c r="GU177" i="100"/>
  <c r="GU299" i="100"/>
  <c r="GU25" i="100"/>
  <c r="GU195" i="100"/>
  <c r="GU207" i="100"/>
  <c r="GU175" i="100"/>
  <c r="GU64" i="100"/>
  <c r="GU291" i="100"/>
  <c r="GU172" i="100"/>
  <c r="GU293" i="100"/>
  <c r="GU314" i="100"/>
  <c r="GU19" i="100"/>
  <c r="GU24" i="100"/>
  <c r="GU40" i="100"/>
  <c r="GU328" i="100"/>
  <c r="GU164" i="100"/>
  <c r="GU194" i="100"/>
  <c r="GU203" i="100"/>
  <c r="GU27" i="100"/>
  <c r="GU290" i="100"/>
  <c r="GU162" i="100"/>
  <c r="GU333" i="100"/>
  <c r="GV7" i="100"/>
  <c r="GU197" i="100"/>
  <c r="GU185" i="100"/>
  <c r="GU318" i="100"/>
  <c r="GU292" i="100"/>
  <c r="GU308" i="100"/>
  <c r="GU336" i="100"/>
  <c r="GU322" i="100"/>
  <c r="GU28" i="100"/>
  <c r="GU31" i="100"/>
  <c r="GU181" i="100"/>
  <c r="GU163" i="100"/>
  <c r="GU191" i="100"/>
  <c r="GU302" i="100"/>
  <c r="GU183" i="100"/>
  <c r="GU178" i="100"/>
  <c r="GU315" i="100"/>
  <c r="GU316" i="100"/>
  <c r="GU37" i="100"/>
  <c r="GU34" i="100"/>
  <c r="GU187" i="100"/>
  <c r="GU182" i="100"/>
  <c r="GU190" i="100"/>
  <c r="GU33" i="100"/>
  <c r="GU206" i="100"/>
  <c r="GU74" i="100"/>
  <c r="GU307" i="100"/>
  <c r="GU15" i="100"/>
  <c r="GU301" i="100"/>
  <c r="GU77" i="100"/>
  <c r="GU311" i="100"/>
  <c r="GU21" i="100"/>
  <c r="GU9" i="100"/>
  <c r="GU10" i="100"/>
  <c r="GU73" i="100"/>
  <c r="GU304" i="100"/>
  <c r="GU289" i="100"/>
  <c r="GU160" i="100"/>
  <c r="GU327" i="100"/>
  <c r="GU202" i="100"/>
  <c r="GU199" i="100"/>
  <c r="GU176" i="100"/>
  <c r="GU204" i="100"/>
  <c r="GU35" i="100"/>
  <c r="GU67" i="100"/>
  <c r="GU189" i="100"/>
  <c r="GU180" i="100"/>
  <c r="GU43" i="100"/>
  <c r="GU201" i="100"/>
  <c r="GU14" i="100"/>
  <c r="GU167" i="100"/>
  <c r="GU321" i="100"/>
  <c r="GU23" i="100"/>
  <c r="GU72" i="100"/>
  <c r="GU41" i="100"/>
  <c r="GU192" i="100"/>
  <c r="GU319" i="100"/>
  <c r="GU76" i="100"/>
  <c r="GU325" i="100"/>
  <c r="GU330" i="100"/>
  <c r="GV46" i="100" l="1"/>
  <c r="GV57" i="100"/>
  <c r="GV63" i="100"/>
  <c r="GV62" i="100"/>
  <c r="GV44" i="100"/>
  <c r="GV51" i="100"/>
  <c r="GV59" i="100"/>
  <c r="GV58" i="100"/>
  <c r="GV49" i="100"/>
  <c r="GV47" i="100"/>
  <c r="GV50" i="100"/>
  <c r="GV53" i="100"/>
  <c r="GV56" i="100"/>
  <c r="GV52" i="100"/>
  <c r="GV55" i="100"/>
  <c r="GV60" i="100"/>
  <c r="GV45" i="100"/>
  <c r="GV61" i="100"/>
  <c r="GV54" i="100"/>
  <c r="GV48" i="100"/>
  <c r="GU209" i="100"/>
  <c r="GU339" i="100"/>
  <c r="GU79" i="100"/>
  <c r="GU78" i="100" s="1"/>
  <c r="GV174" i="100"/>
  <c r="GV302" i="100"/>
  <c r="GV35" i="100"/>
  <c r="GV288" i="100"/>
  <c r="GV330" i="100"/>
  <c r="GV9" i="100"/>
  <c r="GV158" i="100"/>
  <c r="GV70" i="100"/>
  <c r="GV328" i="100"/>
  <c r="GV67" i="100"/>
  <c r="GV178" i="100"/>
  <c r="GV182" i="100"/>
  <c r="GV75" i="100"/>
  <c r="GV64" i="100"/>
  <c r="GW7" i="100"/>
  <c r="GV165" i="100"/>
  <c r="GV312" i="100"/>
  <c r="GV306" i="100"/>
  <c r="GV186" i="100"/>
  <c r="GV161" i="100"/>
  <c r="GV295" i="100"/>
  <c r="GV198" i="100"/>
  <c r="GV303" i="100"/>
  <c r="GV202" i="100"/>
  <c r="GV187" i="100"/>
  <c r="GV297" i="100"/>
  <c r="GV299" i="100"/>
  <c r="GV170" i="100"/>
  <c r="GV162" i="100"/>
  <c r="GV159" i="100"/>
  <c r="GV171" i="100"/>
  <c r="GV18" i="100"/>
  <c r="GV39" i="100"/>
  <c r="GV181" i="100"/>
  <c r="GV327" i="100"/>
  <c r="GV10" i="100"/>
  <c r="GV169" i="100"/>
  <c r="GV177" i="100"/>
  <c r="GV38" i="100"/>
  <c r="GV160" i="100"/>
  <c r="GV69" i="100"/>
  <c r="GV291" i="100"/>
  <c r="GV41" i="100"/>
  <c r="GV298" i="100"/>
  <c r="GV14" i="100"/>
  <c r="GV12" i="100"/>
  <c r="GV331" i="100"/>
  <c r="GV20" i="100"/>
  <c r="GV172" i="100"/>
  <c r="GV329" i="100"/>
  <c r="GV8" i="100"/>
  <c r="GV207" i="100"/>
  <c r="GV289" i="100"/>
  <c r="GV43" i="100"/>
  <c r="GV319" i="100"/>
  <c r="GV191" i="100"/>
  <c r="GV19" i="100"/>
  <c r="GV196" i="100"/>
  <c r="GV293" i="100"/>
  <c r="GV166" i="100"/>
  <c r="GV65" i="100"/>
  <c r="GV21" i="100"/>
  <c r="GV42" i="100"/>
  <c r="GV28" i="100"/>
  <c r="GV336" i="100"/>
  <c r="GV168" i="100"/>
  <c r="GV200" i="100"/>
  <c r="GV176" i="100"/>
  <c r="GV322" i="100"/>
  <c r="GV189" i="100"/>
  <c r="GV300" i="100"/>
  <c r="GV205" i="100"/>
  <c r="GV72" i="100"/>
  <c r="GV326" i="100"/>
  <c r="GV22" i="100"/>
  <c r="GV305" i="100"/>
  <c r="GV66" i="100"/>
  <c r="GV183" i="100"/>
  <c r="GV37" i="100"/>
  <c r="GV199" i="100"/>
  <c r="GV167" i="100"/>
  <c r="GV32" i="100"/>
  <c r="GV11" i="100"/>
  <c r="GV206" i="100"/>
  <c r="GV180" i="100"/>
  <c r="GV309" i="100"/>
  <c r="GV184" i="100"/>
  <c r="GV335" i="100"/>
  <c r="GV163" i="100"/>
  <c r="GV193" i="100"/>
  <c r="GV33" i="100"/>
  <c r="GV34" i="100"/>
  <c r="GV313" i="100"/>
  <c r="GV314" i="100"/>
  <c r="GV315" i="100"/>
  <c r="GV320" i="100"/>
  <c r="GV194" i="100"/>
  <c r="GV296" i="100"/>
  <c r="GV175" i="100"/>
  <c r="GV316" i="100"/>
  <c r="GV323" i="100"/>
  <c r="GV317" i="100"/>
  <c r="GV321" i="100"/>
  <c r="GV31" i="100"/>
  <c r="GV325" i="100"/>
  <c r="GV185" i="100"/>
  <c r="GV74" i="100"/>
  <c r="GV310" i="100"/>
  <c r="GV333" i="100"/>
  <c r="GV13" i="100"/>
  <c r="GV25" i="100"/>
  <c r="GV68" i="100"/>
  <c r="GV311" i="100"/>
  <c r="GV203" i="100"/>
  <c r="GV76" i="100"/>
  <c r="GV195" i="100"/>
  <c r="GV292" i="100"/>
  <c r="GV36" i="100"/>
  <c r="GV179" i="100"/>
  <c r="GV26" i="100"/>
  <c r="GV301" i="100"/>
  <c r="GV304" i="100"/>
  <c r="GV201" i="100"/>
  <c r="GV40" i="100"/>
  <c r="GV324" i="100"/>
  <c r="GV27" i="100"/>
  <c r="GV15" i="100"/>
  <c r="GV29" i="100"/>
  <c r="GV23" i="100"/>
  <c r="GV334" i="100"/>
  <c r="GV308" i="100"/>
  <c r="GV192" i="100"/>
  <c r="GV164" i="100"/>
  <c r="GV318" i="100"/>
  <c r="GV16" i="100"/>
  <c r="GV17" i="100"/>
  <c r="GV204" i="100"/>
  <c r="GV188" i="100"/>
  <c r="GV294" i="100"/>
  <c r="GV173" i="100"/>
  <c r="GV77" i="100"/>
  <c r="GV71" i="100"/>
  <c r="GV307" i="100"/>
  <c r="GV332" i="100"/>
  <c r="GV73" i="100"/>
  <c r="GV337" i="100"/>
  <c r="GV24" i="100"/>
  <c r="GV30" i="100"/>
  <c r="GV290" i="100"/>
  <c r="GV190" i="100"/>
  <c r="GV197" i="100"/>
  <c r="GW62" i="100" l="1"/>
  <c r="GW46" i="100"/>
  <c r="GW61" i="100"/>
  <c r="GW63" i="100"/>
  <c r="GW44" i="100"/>
  <c r="GW51" i="100"/>
  <c r="GW53" i="100"/>
  <c r="GW45" i="100"/>
  <c r="GW54" i="100"/>
  <c r="GW52" i="100"/>
  <c r="GW48" i="100"/>
  <c r="GW56" i="100"/>
  <c r="GW49" i="100"/>
  <c r="GW47" i="100"/>
  <c r="GW58" i="100"/>
  <c r="GW60" i="100"/>
  <c r="GW59" i="100"/>
  <c r="GW55" i="100"/>
  <c r="GW50" i="100"/>
  <c r="GW57" i="100"/>
  <c r="GV79" i="100"/>
  <c r="GV78" i="100" s="1"/>
  <c r="GV339" i="100"/>
  <c r="GV209" i="100"/>
  <c r="GW14" i="100"/>
  <c r="GW321" i="100"/>
  <c r="GW71" i="100"/>
  <c r="GW37" i="100"/>
  <c r="GW179" i="100"/>
  <c r="GW205" i="100"/>
  <c r="GW201" i="100"/>
  <c r="GW21" i="100"/>
  <c r="GW10" i="100"/>
  <c r="GW313" i="100"/>
  <c r="GW163" i="100"/>
  <c r="GW35" i="100"/>
  <c r="GW200" i="100"/>
  <c r="GW327" i="100"/>
  <c r="GW303" i="100"/>
  <c r="GW294" i="100"/>
  <c r="GW207" i="100"/>
  <c r="GW65" i="100"/>
  <c r="GW30" i="100"/>
  <c r="GW203" i="100"/>
  <c r="GW11" i="100"/>
  <c r="GW310" i="100"/>
  <c r="GW317" i="100"/>
  <c r="GW34" i="100"/>
  <c r="GW298" i="100"/>
  <c r="GW26" i="100"/>
  <c r="GW168" i="100"/>
  <c r="GW162" i="100"/>
  <c r="GW174" i="100"/>
  <c r="GW192" i="100"/>
  <c r="GW43" i="100"/>
  <c r="GW74" i="100"/>
  <c r="GW196" i="100"/>
  <c r="GW22" i="100"/>
  <c r="GW295" i="100"/>
  <c r="GW195" i="100"/>
  <c r="GW336" i="100"/>
  <c r="GW18" i="100"/>
  <c r="GW301" i="100"/>
  <c r="GW188" i="100"/>
  <c r="GW32" i="100"/>
  <c r="GW193" i="100"/>
  <c r="GW8" i="100"/>
  <c r="GX7" i="100"/>
  <c r="GW311" i="100"/>
  <c r="GW183" i="100"/>
  <c r="GW331" i="100"/>
  <c r="GW309" i="100"/>
  <c r="GW186" i="100"/>
  <c r="GW299" i="100"/>
  <c r="GW306" i="100"/>
  <c r="GW305" i="100"/>
  <c r="GW181" i="100"/>
  <c r="GW323" i="100"/>
  <c r="GW38" i="100"/>
  <c r="GW28" i="100"/>
  <c r="GW178" i="100"/>
  <c r="GW167" i="100"/>
  <c r="GW197" i="100"/>
  <c r="GW67" i="100"/>
  <c r="GW190" i="100"/>
  <c r="GW337" i="100"/>
  <c r="GW25" i="100"/>
  <c r="GW318" i="100"/>
  <c r="GW325" i="100"/>
  <c r="GW70" i="100"/>
  <c r="GW15" i="100"/>
  <c r="GW175" i="100"/>
  <c r="GW159" i="100"/>
  <c r="GW73" i="100"/>
  <c r="GW77" i="100"/>
  <c r="GW329" i="100"/>
  <c r="GW31" i="100"/>
  <c r="GW12" i="100"/>
  <c r="GW169" i="100"/>
  <c r="GW187" i="100"/>
  <c r="GW165" i="100"/>
  <c r="GW9" i="100"/>
  <c r="GW204" i="100"/>
  <c r="GW312" i="100"/>
  <c r="GW199" i="100"/>
  <c r="GW33" i="100"/>
  <c r="GW330" i="100"/>
  <c r="GW288" i="100"/>
  <c r="GW172" i="100"/>
  <c r="GW64" i="100"/>
  <c r="GW308" i="100"/>
  <c r="GW334" i="100"/>
  <c r="GW290" i="100"/>
  <c r="GW316" i="100"/>
  <c r="GW170" i="100"/>
  <c r="GW189" i="100"/>
  <c r="GW17" i="100"/>
  <c r="GW180" i="100"/>
  <c r="GW29" i="100"/>
  <c r="GW328" i="100"/>
  <c r="GW291" i="100"/>
  <c r="GW302" i="100"/>
  <c r="GW164" i="100"/>
  <c r="GW36" i="100"/>
  <c r="GW176" i="100"/>
  <c r="GW307" i="100"/>
  <c r="GW171" i="100"/>
  <c r="GW324" i="100"/>
  <c r="GW68" i="100"/>
  <c r="GW202" i="100"/>
  <c r="GW182" i="100"/>
  <c r="GW326" i="100"/>
  <c r="GW39" i="100"/>
  <c r="GW16" i="100"/>
  <c r="GW41" i="100"/>
  <c r="GW191" i="100"/>
  <c r="GW69" i="100"/>
  <c r="GW184" i="100"/>
  <c r="GW76" i="100"/>
  <c r="GW322" i="100"/>
  <c r="GW206" i="100"/>
  <c r="GW198" i="100"/>
  <c r="GW23" i="100"/>
  <c r="GW75" i="100"/>
  <c r="GW194" i="100"/>
  <c r="GW24" i="100"/>
  <c r="GW20" i="100"/>
  <c r="GW160" i="100"/>
  <c r="GW300" i="100"/>
  <c r="GW320" i="100"/>
  <c r="GW296" i="100"/>
  <c r="GW173" i="100"/>
  <c r="GW293" i="100"/>
  <c r="GW13" i="100"/>
  <c r="GW333" i="100"/>
  <c r="GW319" i="100"/>
  <c r="GW297" i="100"/>
  <c r="GW289" i="100"/>
  <c r="GW27" i="100"/>
  <c r="GW304" i="100"/>
  <c r="GW66" i="100"/>
  <c r="GW72" i="100"/>
  <c r="GW42" i="100"/>
  <c r="GW158" i="100"/>
  <c r="GW177" i="100"/>
  <c r="GW185" i="100"/>
  <c r="GW161" i="100"/>
  <c r="GW19" i="100"/>
  <c r="GW40" i="100"/>
  <c r="GW166" i="100"/>
  <c r="GW315" i="100"/>
  <c r="GW332" i="100"/>
  <c r="GW314" i="100"/>
  <c r="GW292" i="100"/>
  <c r="GW335" i="100"/>
  <c r="GX44" i="100" l="1"/>
  <c r="GX58" i="100"/>
  <c r="GX57" i="100"/>
  <c r="GX45" i="100"/>
  <c r="GX60" i="100"/>
  <c r="GX61" i="100"/>
  <c r="GX59" i="100"/>
  <c r="GX46" i="100"/>
  <c r="GX62" i="100"/>
  <c r="GX63" i="100"/>
  <c r="GX48" i="100"/>
  <c r="GX49" i="100"/>
  <c r="GX55" i="100"/>
  <c r="GX56" i="100"/>
  <c r="GX51" i="100"/>
  <c r="GX47" i="100"/>
  <c r="GX54" i="100"/>
  <c r="GX50" i="100"/>
  <c r="GX53" i="100"/>
  <c r="GX52" i="100"/>
  <c r="GW339" i="100"/>
  <c r="GW209" i="100"/>
  <c r="GW79" i="100"/>
  <c r="GW78" i="100" s="1"/>
  <c r="GX294" i="100"/>
  <c r="GX329" i="100"/>
  <c r="GX297" i="100"/>
  <c r="GX315" i="100"/>
  <c r="GX170" i="100"/>
  <c r="GX192" i="100"/>
  <c r="GX26" i="100"/>
  <c r="GX316" i="100"/>
  <c r="GX64" i="100"/>
  <c r="GX24" i="100"/>
  <c r="GY7" i="100"/>
  <c r="GX158" i="100"/>
  <c r="GX75" i="100"/>
  <c r="GX310" i="100"/>
  <c r="GX35" i="100"/>
  <c r="GX201" i="100"/>
  <c r="GX33" i="100"/>
  <c r="GX307" i="100"/>
  <c r="GX32" i="100"/>
  <c r="GX41" i="100"/>
  <c r="GX295" i="100"/>
  <c r="GX171" i="100"/>
  <c r="GX308" i="100"/>
  <c r="GX178" i="100"/>
  <c r="GX202" i="100"/>
  <c r="GX70" i="100"/>
  <c r="GX198" i="100"/>
  <c r="GX20" i="100"/>
  <c r="GX332" i="100"/>
  <c r="GX19" i="100"/>
  <c r="GX194" i="100"/>
  <c r="GX166" i="100"/>
  <c r="GX15" i="100"/>
  <c r="GX206" i="100"/>
  <c r="GX299" i="100"/>
  <c r="GX36" i="100"/>
  <c r="GX184" i="100"/>
  <c r="GX163" i="100"/>
  <c r="GX312" i="100"/>
  <c r="GX162" i="100"/>
  <c r="GX29" i="100"/>
  <c r="GX66" i="100"/>
  <c r="GX160" i="100"/>
  <c r="GX22" i="100"/>
  <c r="GX337" i="100"/>
  <c r="GX296" i="100"/>
  <c r="GX188" i="100"/>
  <c r="GX159" i="100"/>
  <c r="GX331" i="100"/>
  <c r="GX301" i="100"/>
  <c r="GX17" i="100"/>
  <c r="GX18" i="100"/>
  <c r="GX39" i="100"/>
  <c r="GX336" i="100"/>
  <c r="GX28" i="100"/>
  <c r="GX73" i="100"/>
  <c r="GX318" i="100"/>
  <c r="GX288" i="100"/>
  <c r="GX16" i="100"/>
  <c r="GX309" i="100"/>
  <c r="GX199" i="100"/>
  <c r="GX169" i="100"/>
  <c r="GX204" i="100"/>
  <c r="GX304" i="100"/>
  <c r="GX205" i="100"/>
  <c r="GX168" i="100"/>
  <c r="GX191" i="100"/>
  <c r="GX38" i="100"/>
  <c r="GX323" i="100"/>
  <c r="GX25" i="100"/>
  <c r="GX193" i="100"/>
  <c r="GX293" i="100"/>
  <c r="GX77" i="100"/>
  <c r="GX195" i="100"/>
  <c r="GX203" i="100"/>
  <c r="GX298" i="100"/>
  <c r="GX175" i="100"/>
  <c r="GX306" i="100"/>
  <c r="GX334" i="100"/>
  <c r="GX179" i="100"/>
  <c r="GX161" i="100"/>
  <c r="GX189" i="100"/>
  <c r="GX167" i="100"/>
  <c r="GX182" i="100"/>
  <c r="GX69" i="100"/>
  <c r="GX303" i="100"/>
  <c r="GX292" i="100"/>
  <c r="GX322" i="100"/>
  <c r="GX177" i="100"/>
  <c r="GX302" i="100"/>
  <c r="GX174" i="100"/>
  <c r="GX185" i="100"/>
  <c r="GX37" i="100"/>
  <c r="GX300" i="100"/>
  <c r="GX305" i="100"/>
  <c r="GX207" i="100"/>
  <c r="GX289" i="100"/>
  <c r="GX197" i="100"/>
  <c r="GX314" i="100"/>
  <c r="GX27" i="100"/>
  <c r="GX180" i="100"/>
  <c r="GX68" i="100"/>
  <c r="GX23" i="100"/>
  <c r="GX10" i="100"/>
  <c r="GX34" i="100"/>
  <c r="GX196" i="100"/>
  <c r="GX42" i="100"/>
  <c r="GX164" i="100"/>
  <c r="GX72" i="100"/>
  <c r="GX13" i="100"/>
  <c r="GX320" i="100"/>
  <c r="GX43" i="100"/>
  <c r="GX12" i="100"/>
  <c r="GX76" i="100"/>
  <c r="GX21" i="100"/>
  <c r="GX327" i="100"/>
  <c r="GX11" i="100"/>
  <c r="GX9" i="100"/>
  <c r="GX313" i="100"/>
  <c r="GX333" i="100"/>
  <c r="GX8" i="100"/>
  <c r="GX187" i="100"/>
  <c r="GX326" i="100"/>
  <c r="GX181" i="100"/>
  <c r="GX328" i="100"/>
  <c r="GX325" i="100"/>
  <c r="GX165" i="100"/>
  <c r="GX330" i="100"/>
  <c r="GX335" i="100"/>
  <c r="GX190" i="100"/>
  <c r="GX186" i="100"/>
  <c r="GX317" i="100"/>
  <c r="GX74" i="100"/>
  <c r="GX40" i="100"/>
  <c r="GX290" i="100"/>
  <c r="GX321" i="100"/>
  <c r="GX71" i="100"/>
  <c r="GX30" i="100"/>
  <c r="GX67" i="100"/>
  <c r="GX291" i="100"/>
  <c r="GX183" i="100"/>
  <c r="GX173" i="100"/>
  <c r="GX311" i="100"/>
  <c r="GX172" i="100"/>
  <c r="GX14" i="100"/>
  <c r="GX31" i="100"/>
  <c r="GX65" i="100"/>
  <c r="GX324" i="100"/>
  <c r="GX200" i="100"/>
  <c r="GX176" i="100"/>
  <c r="GX319" i="100"/>
  <c r="GY46" i="100" l="1"/>
  <c r="GY52" i="100"/>
  <c r="GY44" i="100"/>
  <c r="GY58" i="100"/>
  <c r="GY63" i="100"/>
  <c r="GY51" i="100"/>
  <c r="GY61" i="100"/>
  <c r="GY62" i="100"/>
  <c r="GY48" i="100"/>
  <c r="GY56" i="100"/>
  <c r="GY47" i="100"/>
  <c r="GY55" i="100"/>
  <c r="GY50" i="100"/>
  <c r="GY54" i="100"/>
  <c r="GY60" i="100"/>
  <c r="GY53" i="100"/>
  <c r="GY59" i="100"/>
  <c r="GY57" i="100"/>
  <c r="GY45" i="100"/>
  <c r="GY49" i="100"/>
  <c r="GX339" i="100"/>
  <c r="GX209" i="100"/>
  <c r="GX79" i="100"/>
  <c r="GX78" i="100" s="1"/>
  <c r="GY207" i="100"/>
  <c r="GY12" i="100"/>
  <c r="GY163" i="100"/>
  <c r="GY77" i="100"/>
  <c r="GY66" i="100"/>
  <c r="GY297" i="100"/>
  <c r="GY30" i="100"/>
  <c r="GY9" i="100"/>
  <c r="GY164" i="100"/>
  <c r="GY198" i="100"/>
  <c r="GY183" i="100"/>
  <c r="GY202" i="100"/>
  <c r="GY323" i="100"/>
  <c r="GY38" i="100"/>
  <c r="GY34" i="100"/>
  <c r="GY29" i="100"/>
  <c r="GY18" i="100"/>
  <c r="GY190" i="100"/>
  <c r="GY197" i="100"/>
  <c r="GY178" i="100"/>
  <c r="GY166" i="100"/>
  <c r="GY42" i="100"/>
  <c r="GY184" i="100"/>
  <c r="GY17" i="100"/>
  <c r="GY170" i="100"/>
  <c r="GY200" i="100"/>
  <c r="GY73" i="100"/>
  <c r="GY304" i="100"/>
  <c r="GY189" i="100"/>
  <c r="GY177" i="100"/>
  <c r="GY305" i="100"/>
  <c r="GY36" i="100"/>
  <c r="GY192" i="100"/>
  <c r="GY76" i="100"/>
  <c r="GY27" i="100"/>
  <c r="GY302" i="100"/>
  <c r="GY75" i="100"/>
  <c r="GY160" i="100"/>
  <c r="GY333" i="100"/>
  <c r="GY182" i="100"/>
  <c r="GY19" i="100"/>
  <c r="GY185" i="100"/>
  <c r="GY39" i="100"/>
  <c r="GY289" i="100"/>
  <c r="GY186" i="100"/>
  <c r="GY322" i="100"/>
  <c r="GY174" i="100"/>
  <c r="GY74" i="100"/>
  <c r="GY300" i="100"/>
  <c r="GY71" i="100"/>
  <c r="GY335" i="100"/>
  <c r="GY65" i="100"/>
  <c r="GY204" i="100"/>
  <c r="GY193" i="100"/>
  <c r="GY179" i="100"/>
  <c r="GY319" i="100"/>
  <c r="GY175" i="100"/>
  <c r="GY11" i="100"/>
  <c r="GY324" i="100"/>
  <c r="GY294" i="100"/>
  <c r="GY26" i="100"/>
  <c r="GY306" i="100"/>
  <c r="GY25" i="100"/>
  <c r="GY315" i="100"/>
  <c r="GY312" i="100"/>
  <c r="GY308" i="100"/>
  <c r="GY64" i="100"/>
  <c r="GY67" i="100"/>
  <c r="GY181" i="100"/>
  <c r="GY325" i="100"/>
  <c r="GY311" i="100"/>
  <c r="GY303" i="100"/>
  <c r="GY168" i="100"/>
  <c r="GY295" i="100"/>
  <c r="GY318" i="100"/>
  <c r="GY159" i="100"/>
  <c r="GY191" i="100"/>
  <c r="GY13" i="100"/>
  <c r="GY201" i="100"/>
  <c r="GY298" i="100"/>
  <c r="GY32" i="100"/>
  <c r="GY336" i="100"/>
  <c r="GY169" i="100"/>
  <c r="GY187" i="100"/>
  <c r="GY10" i="100"/>
  <c r="GY23" i="100"/>
  <c r="GY16" i="100"/>
  <c r="GY307" i="100"/>
  <c r="GY196" i="100"/>
  <c r="GY33" i="100"/>
  <c r="GY8" i="100"/>
  <c r="GY162" i="100"/>
  <c r="GY327" i="100"/>
  <c r="GY310" i="100"/>
  <c r="GY31" i="100"/>
  <c r="GY37" i="100"/>
  <c r="GY180" i="100"/>
  <c r="GY172" i="100"/>
  <c r="GY20" i="100"/>
  <c r="GY206" i="100"/>
  <c r="GY43" i="100"/>
  <c r="GY40" i="100"/>
  <c r="GY15" i="100"/>
  <c r="GY28" i="100"/>
  <c r="GY161" i="100"/>
  <c r="GY334" i="100"/>
  <c r="GY329" i="100"/>
  <c r="GY290" i="100"/>
  <c r="GY292" i="100"/>
  <c r="GY158" i="100"/>
  <c r="GY337" i="100"/>
  <c r="GY165" i="100"/>
  <c r="GY293" i="100"/>
  <c r="GY299" i="100"/>
  <c r="GY21" i="100"/>
  <c r="GY316" i="100"/>
  <c r="GY35" i="100"/>
  <c r="GY24" i="100"/>
  <c r="GY313" i="100"/>
  <c r="GY72" i="100"/>
  <c r="GY188" i="100"/>
  <c r="GY301" i="100"/>
  <c r="GY330" i="100"/>
  <c r="GY326" i="100"/>
  <c r="GY203" i="100"/>
  <c r="GZ7" i="100"/>
  <c r="GY288" i="100"/>
  <c r="GY320" i="100"/>
  <c r="GY332" i="100"/>
  <c r="GY69" i="100"/>
  <c r="GY291" i="100"/>
  <c r="GY70" i="100"/>
  <c r="GY296" i="100"/>
  <c r="GY68" i="100"/>
  <c r="GY41" i="100"/>
  <c r="GY321" i="100"/>
  <c r="GY171" i="100"/>
  <c r="GY176" i="100"/>
  <c r="GY167" i="100"/>
  <c r="GY317" i="100"/>
  <c r="GY199" i="100"/>
  <c r="GY194" i="100"/>
  <c r="GY173" i="100"/>
  <c r="GY22" i="100"/>
  <c r="GY205" i="100"/>
  <c r="GY328" i="100"/>
  <c r="GY309" i="100"/>
  <c r="GY195" i="100"/>
  <c r="GY14" i="100"/>
  <c r="GY314" i="100"/>
  <c r="GY331" i="100"/>
  <c r="GZ62" i="100" l="1"/>
  <c r="GZ44" i="100"/>
  <c r="GZ56" i="100"/>
  <c r="GZ57" i="100"/>
  <c r="GZ46" i="100"/>
  <c r="GZ45" i="100"/>
  <c r="GZ63" i="100"/>
  <c r="GZ53" i="100"/>
  <c r="GZ51" i="100"/>
  <c r="GZ50" i="100"/>
  <c r="GZ54" i="100"/>
  <c r="GZ58" i="100"/>
  <c r="GZ49" i="100"/>
  <c r="GZ55" i="100"/>
  <c r="GZ52" i="100"/>
  <c r="GZ47" i="100"/>
  <c r="GZ61" i="100"/>
  <c r="GZ48" i="100"/>
  <c r="GZ59" i="100"/>
  <c r="GZ60" i="100"/>
  <c r="GY209" i="100"/>
  <c r="GY79" i="100"/>
  <c r="GY78" i="100" s="1"/>
  <c r="GY339" i="100"/>
  <c r="GZ161" i="100"/>
  <c r="GZ9" i="100"/>
  <c r="GZ32" i="100"/>
  <c r="GZ186" i="100"/>
  <c r="GZ297" i="100"/>
  <c r="GZ8" i="100"/>
  <c r="GZ300" i="100"/>
  <c r="GZ172" i="100"/>
  <c r="GZ197" i="100"/>
  <c r="GZ301" i="100"/>
  <c r="GZ305" i="100"/>
  <c r="GZ174" i="100"/>
  <c r="GZ335" i="100"/>
  <c r="GZ324" i="100"/>
  <c r="GZ330" i="100"/>
  <c r="GZ296" i="100"/>
  <c r="GZ25" i="100"/>
  <c r="GZ10" i="100"/>
  <c r="GZ295" i="100"/>
  <c r="GZ23" i="100"/>
  <c r="GZ162" i="100"/>
  <c r="GZ326" i="100"/>
  <c r="GZ199" i="100"/>
  <c r="GZ20" i="100"/>
  <c r="GZ75" i="100"/>
  <c r="GZ64" i="100"/>
  <c r="GZ322" i="100"/>
  <c r="GZ206" i="100"/>
  <c r="GZ12" i="100"/>
  <c r="HA7" i="100"/>
  <c r="GZ158" i="100"/>
  <c r="GZ298" i="100"/>
  <c r="GZ334" i="100"/>
  <c r="GZ307" i="100"/>
  <c r="GZ312" i="100"/>
  <c r="GZ34" i="100"/>
  <c r="GZ319" i="100"/>
  <c r="GZ205" i="100"/>
  <c r="GZ337" i="100"/>
  <c r="GZ43" i="100"/>
  <c r="GZ190" i="100"/>
  <c r="GZ310" i="100"/>
  <c r="GZ204" i="100"/>
  <c r="GZ191" i="100"/>
  <c r="GZ77" i="100"/>
  <c r="GZ159" i="100"/>
  <c r="GZ76" i="100"/>
  <c r="GZ36" i="100"/>
  <c r="GZ42" i="100"/>
  <c r="GZ15" i="100"/>
  <c r="GZ171" i="100"/>
  <c r="GZ329" i="100"/>
  <c r="GZ184" i="100"/>
  <c r="GZ203" i="100"/>
  <c r="GZ196" i="100"/>
  <c r="GZ22" i="100"/>
  <c r="GZ185" i="100"/>
  <c r="GZ328" i="100"/>
  <c r="GZ21" i="100"/>
  <c r="GZ173" i="100"/>
  <c r="GZ37" i="100"/>
  <c r="GZ327" i="100"/>
  <c r="GZ11" i="100"/>
  <c r="GZ28" i="100"/>
  <c r="GZ189" i="100"/>
  <c r="GZ202" i="100"/>
  <c r="GZ74" i="100"/>
  <c r="GZ16" i="100"/>
  <c r="GZ14" i="100"/>
  <c r="GZ73" i="100"/>
  <c r="GZ302" i="100"/>
  <c r="GZ166" i="100"/>
  <c r="GZ316" i="100"/>
  <c r="GZ176" i="100"/>
  <c r="GZ164" i="100"/>
  <c r="GZ17" i="100"/>
  <c r="GZ336" i="100"/>
  <c r="GZ66" i="100"/>
  <c r="GZ178" i="100"/>
  <c r="GZ200" i="100"/>
  <c r="GZ291" i="100"/>
  <c r="GZ317" i="100"/>
  <c r="GZ35" i="100"/>
  <c r="GZ27" i="100"/>
  <c r="GZ170" i="100"/>
  <c r="GZ175" i="100"/>
  <c r="GZ309" i="100"/>
  <c r="GZ180" i="100"/>
  <c r="GZ169" i="100"/>
  <c r="GZ192" i="100"/>
  <c r="GZ201" i="100"/>
  <c r="GZ26" i="100"/>
  <c r="GZ311" i="100"/>
  <c r="GZ188" i="100"/>
  <c r="GZ314" i="100"/>
  <c r="GZ68" i="100"/>
  <c r="GZ198" i="100"/>
  <c r="GZ41" i="100"/>
  <c r="GZ160" i="100"/>
  <c r="GZ187" i="100"/>
  <c r="GZ195" i="100"/>
  <c r="GZ38" i="100"/>
  <c r="GZ29" i="100"/>
  <c r="GZ325" i="100"/>
  <c r="GZ315" i="100"/>
  <c r="GZ333" i="100"/>
  <c r="GZ70" i="100"/>
  <c r="GZ18" i="100"/>
  <c r="GZ168" i="100"/>
  <c r="GZ177" i="100"/>
  <c r="GZ293" i="100"/>
  <c r="GZ181" i="100"/>
  <c r="GZ207" i="100"/>
  <c r="GZ65" i="100"/>
  <c r="GZ72" i="100"/>
  <c r="GZ71" i="100"/>
  <c r="GZ19" i="100"/>
  <c r="GZ24" i="100"/>
  <c r="GZ13" i="100"/>
  <c r="GZ320" i="100"/>
  <c r="GZ292" i="100"/>
  <c r="GZ182" i="100"/>
  <c r="GZ294" i="100"/>
  <c r="GZ163" i="100"/>
  <c r="GZ299" i="100"/>
  <c r="GZ331" i="100"/>
  <c r="GZ193" i="100"/>
  <c r="GZ39" i="100"/>
  <c r="GZ194" i="100"/>
  <c r="GZ179" i="100"/>
  <c r="GZ290" i="100"/>
  <c r="GZ332" i="100"/>
  <c r="GZ31" i="100"/>
  <c r="GZ33" i="100"/>
  <c r="GZ40" i="100"/>
  <c r="GZ69" i="100"/>
  <c r="GZ318" i="100"/>
  <c r="GZ67" i="100"/>
  <c r="GZ323" i="100"/>
  <c r="GZ30" i="100"/>
  <c r="GZ303" i="100"/>
  <c r="GZ306" i="100"/>
  <c r="GZ321" i="100"/>
  <c r="GZ167" i="100"/>
  <c r="GZ165" i="100"/>
  <c r="GZ313" i="100"/>
  <c r="GZ308" i="100"/>
  <c r="GZ304" i="100"/>
  <c r="GZ289" i="100"/>
  <c r="GZ288" i="100"/>
  <c r="GZ183" i="100"/>
  <c r="HA62" i="100" l="1"/>
  <c r="HA51" i="100"/>
  <c r="HA46" i="100"/>
  <c r="HA44" i="100"/>
  <c r="HA63" i="100"/>
  <c r="HA50" i="100"/>
  <c r="HA58" i="100"/>
  <c r="HA61" i="100"/>
  <c r="HA55" i="100"/>
  <c r="HA60" i="100"/>
  <c r="HA45" i="100"/>
  <c r="HA54" i="100"/>
  <c r="HA49" i="100"/>
  <c r="HA52" i="100"/>
  <c r="HA56" i="100"/>
  <c r="HA53" i="100"/>
  <c r="HA47" i="100"/>
  <c r="HA59" i="100"/>
  <c r="HA57" i="100"/>
  <c r="HA48" i="100"/>
  <c r="GZ339" i="100"/>
  <c r="GZ79" i="100"/>
  <c r="GZ78" i="100" s="1"/>
  <c r="GZ209" i="100"/>
  <c r="HA309" i="100"/>
  <c r="HA304" i="100"/>
  <c r="HA323" i="100"/>
  <c r="HA21" i="100"/>
  <c r="HA305" i="100"/>
  <c r="HB7" i="100"/>
  <c r="HA64" i="100"/>
  <c r="HA172" i="100"/>
  <c r="HA179" i="100"/>
  <c r="HA168" i="100"/>
  <c r="HA296" i="100"/>
  <c r="HA34" i="100"/>
  <c r="HA190" i="100"/>
  <c r="HA322" i="100"/>
  <c r="HA175" i="100"/>
  <c r="HA76" i="100"/>
  <c r="HA199" i="100"/>
  <c r="HA332" i="100"/>
  <c r="HA26" i="100"/>
  <c r="HA11" i="100"/>
  <c r="HA160" i="100"/>
  <c r="HA31" i="100"/>
  <c r="HA333" i="100"/>
  <c r="HA18" i="100"/>
  <c r="HA201" i="100"/>
  <c r="HA9" i="100"/>
  <c r="HA207" i="100"/>
  <c r="HA37" i="100"/>
  <c r="HA293" i="100"/>
  <c r="HA159" i="100"/>
  <c r="HA27" i="100"/>
  <c r="HA197" i="100"/>
  <c r="HA41" i="100"/>
  <c r="HA327" i="100"/>
  <c r="HA161" i="100"/>
  <c r="HA178" i="100"/>
  <c r="HA307" i="100"/>
  <c r="HA169" i="100"/>
  <c r="HA316" i="100"/>
  <c r="HA36" i="100"/>
  <c r="HA39" i="100"/>
  <c r="HA176" i="100"/>
  <c r="HA321" i="100"/>
  <c r="HA325" i="100"/>
  <c r="HA171" i="100"/>
  <c r="HA330" i="100"/>
  <c r="HA13" i="100"/>
  <c r="HA33" i="100"/>
  <c r="HA12" i="100"/>
  <c r="HA182" i="100"/>
  <c r="HA23" i="100"/>
  <c r="HA35" i="100"/>
  <c r="HA67" i="100"/>
  <c r="HA28" i="100"/>
  <c r="HA165" i="100"/>
  <c r="HA16" i="100"/>
  <c r="HA22" i="100"/>
  <c r="HA30" i="100"/>
  <c r="HA188" i="100"/>
  <c r="HA17" i="100"/>
  <c r="HA297" i="100"/>
  <c r="HA206" i="100"/>
  <c r="HA334" i="100"/>
  <c r="HA66" i="100"/>
  <c r="HA167" i="100"/>
  <c r="HA177" i="100"/>
  <c r="HA301" i="100"/>
  <c r="HA72" i="100"/>
  <c r="HA295" i="100"/>
  <c r="HA170" i="100"/>
  <c r="HA71" i="100"/>
  <c r="HA290" i="100"/>
  <c r="HA29" i="100"/>
  <c r="HA306" i="100"/>
  <c r="HA69" i="100"/>
  <c r="HA196" i="100"/>
  <c r="HA42" i="100"/>
  <c r="HA187" i="100"/>
  <c r="HA74" i="100"/>
  <c r="HA25" i="100"/>
  <c r="HA310" i="100"/>
  <c r="HA312" i="100"/>
  <c r="HA336" i="100"/>
  <c r="HA192" i="100"/>
  <c r="HA70" i="100"/>
  <c r="HA10" i="100"/>
  <c r="HA288" i="100"/>
  <c r="HA183" i="100"/>
  <c r="HA317" i="100"/>
  <c r="HA313" i="100"/>
  <c r="HA185" i="100"/>
  <c r="HA308" i="100"/>
  <c r="HA181" i="100"/>
  <c r="HA77" i="100"/>
  <c r="HA298" i="100"/>
  <c r="HA292" i="100"/>
  <c r="HA164" i="100"/>
  <c r="HA43" i="100"/>
  <c r="HA163" i="100"/>
  <c r="HA204" i="100"/>
  <c r="HA158" i="100"/>
  <c r="HA195" i="100"/>
  <c r="HA186" i="100"/>
  <c r="HA20" i="100"/>
  <c r="HA174" i="100"/>
  <c r="HA180" i="100"/>
  <c r="HA24" i="100"/>
  <c r="HA15" i="100"/>
  <c r="HA193" i="100"/>
  <c r="HA75" i="100"/>
  <c r="HA32" i="100"/>
  <c r="HA173" i="100"/>
  <c r="HA311" i="100"/>
  <c r="HA319" i="100"/>
  <c r="HA314" i="100"/>
  <c r="HA291" i="100"/>
  <c r="HA14" i="100"/>
  <c r="HA303" i="100"/>
  <c r="HA326" i="100"/>
  <c r="HA315" i="100"/>
  <c r="HA191" i="100"/>
  <c r="HA38" i="100"/>
  <c r="HA73" i="100"/>
  <c r="HA335" i="100"/>
  <c r="HA328" i="100"/>
  <c r="HA19" i="100"/>
  <c r="HA65" i="100"/>
  <c r="HA184" i="100"/>
  <c r="HA302" i="100"/>
  <c r="HA194" i="100"/>
  <c r="HA68" i="100"/>
  <c r="HA289" i="100"/>
  <c r="HA329" i="100"/>
  <c r="HA318" i="100"/>
  <c r="HA162" i="100"/>
  <c r="HA299" i="100"/>
  <c r="HA205" i="100"/>
  <c r="HA337" i="100"/>
  <c r="HA300" i="100"/>
  <c r="HA8" i="100"/>
  <c r="HA198" i="100"/>
  <c r="HA203" i="100"/>
  <c r="HA320" i="100"/>
  <c r="HA294" i="100"/>
  <c r="HA324" i="100"/>
  <c r="HA40" i="100"/>
  <c r="HA331" i="100"/>
  <c r="HA202" i="100"/>
  <c r="HA189" i="100"/>
  <c r="HA166" i="100"/>
  <c r="HA200" i="100"/>
  <c r="HB62" i="100" l="1"/>
  <c r="HB63" i="100"/>
  <c r="HB46" i="100"/>
  <c r="HB53" i="100"/>
  <c r="HB44" i="100"/>
  <c r="HB55" i="100"/>
  <c r="HB59" i="100"/>
  <c r="HB49" i="100"/>
  <c r="HB56" i="100"/>
  <c r="HB60" i="100"/>
  <c r="HB61" i="100"/>
  <c r="HB51" i="100"/>
  <c r="HB47" i="100"/>
  <c r="HB58" i="100"/>
  <c r="HB50" i="100"/>
  <c r="HB57" i="100"/>
  <c r="HB48" i="100"/>
  <c r="HB45" i="100"/>
  <c r="HB52" i="100"/>
  <c r="HB54" i="100"/>
  <c r="HA339" i="100"/>
  <c r="HA209" i="100"/>
  <c r="HA79" i="100"/>
  <c r="HA78" i="100" s="1"/>
  <c r="HB69" i="100"/>
  <c r="HB289" i="100"/>
  <c r="HB68" i="100"/>
  <c r="HB168" i="100"/>
  <c r="HB322" i="100"/>
  <c r="HB295" i="100"/>
  <c r="HB204" i="100"/>
  <c r="HB180" i="100"/>
  <c r="HB13" i="100"/>
  <c r="HB35" i="100"/>
  <c r="HB65" i="100"/>
  <c r="HB304" i="100"/>
  <c r="HB189" i="100"/>
  <c r="HB192" i="100"/>
  <c r="HB200" i="100"/>
  <c r="HB43" i="100"/>
  <c r="HB33" i="100"/>
  <c r="HB32" i="100"/>
  <c r="HB36" i="100"/>
  <c r="HB333" i="100"/>
  <c r="HB28" i="100"/>
  <c r="HB297" i="100"/>
  <c r="HB179" i="100"/>
  <c r="HB34" i="100"/>
  <c r="HB324" i="100"/>
  <c r="HB41" i="100"/>
  <c r="HB175" i="100"/>
  <c r="HB186" i="100"/>
  <c r="HB167" i="100"/>
  <c r="HB171" i="100"/>
  <c r="HB20" i="100"/>
  <c r="HB164" i="100"/>
  <c r="HB317" i="100"/>
  <c r="HB75" i="100"/>
  <c r="HB329" i="100"/>
  <c r="HB331" i="100"/>
  <c r="HB29" i="100"/>
  <c r="HC7" i="100"/>
  <c r="HB290" i="100"/>
  <c r="HB66" i="100"/>
  <c r="HB183" i="100"/>
  <c r="HB187" i="100"/>
  <c r="HB296" i="100"/>
  <c r="HB325" i="100"/>
  <c r="HB307" i="100"/>
  <c r="HB30" i="100"/>
  <c r="HB181" i="100"/>
  <c r="HB336" i="100"/>
  <c r="HB22" i="100"/>
  <c r="HB306" i="100"/>
  <c r="HB202" i="100"/>
  <c r="HB315" i="100"/>
  <c r="HB334" i="100"/>
  <c r="HB293" i="100"/>
  <c r="HB77" i="100"/>
  <c r="HB172" i="100"/>
  <c r="HB177" i="100"/>
  <c r="HB39" i="100"/>
  <c r="HB14" i="100"/>
  <c r="HB70" i="100"/>
  <c r="HB18" i="100"/>
  <c r="HB311" i="100"/>
  <c r="HB163" i="100"/>
  <c r="HB305" i="100"/>
  <c r="HB23" i="100"/>
  <c r="HB330" i="100"/>
  <c r="HB159" i="100"/>
  <c r="HB185" i="100"/>
  <c r="HB327" i="100"/>
  <c r="HB205" i="100"/>
  <c r="HB316" i="100"/>
  <c r="HB42" i="100"/>
  <c r="HB37" i="100"/>
  <c r="HB314" i="100"/>
  <c r="HB291" i="100"/>
  <c r="HB31" i="100"/>
  <c r="HB298" i="100"/>
  <c r="HB318" i="100"/>
  <c r="HB27" i="100"/>
  <c r="HB309" i="100"/>
  <c r="HB8" i="100"/>
  <c r="HB169" i="100"/>
  <c r="HB199" i="100"/>
  <c r="HB26" i="100"/>
  <c r="HB19" i="100"/>
  <c r="HB184" i="100"/>
  <c r="HB158" i="100"/>
  <c r="HB178" i="100"/>
  <c r="HB320" i="100"/>
  <c r="HB198" i="100"/>
  <c r="HB193" i="100"/>
  <c r="HB299" i="100"/>
  <c r="HB337" i="100"/>
  <c r="HB170" i="100"/>
  <c r="HB25" i="100"/>
  <c r="HB203" i="100"/>
  <c r="HB319" i="100"/>
  <c r="HB40" i="100"/>
  <c r="HB17" i="100"/>
  <c r="HB38" i="100"/>
  <c r="HB310" i="100"/>
  <c r="HB188" i="100"/>
  <c r="HB64" i="100"/>
  <c r="HB321" i="100"/>
  <c r="HB328" i="100"/>
  <c r="HB323" i="100"/>
  <c r="HB207" i="100"/>
  <c r="HB312" i="100"/>
  <c r="HB303" i="100"/>
  <c r="HB332" i="100"/>
  <c r="HB71" i="100"/>
  <c r="HB191" i="100"/>
  <c r="HB195" i="100"/>
  <c r="HB166" i="100"/>
  <c r="HB300" i="100"/>
  <c r="HB74" i="100"/>
  <c r="HB72" i="100"/>
  <c r="HB292" i="100"/>
  <c r="HB302" i="100"/>
  <c r="HB294" i="100"/>
  <c r="HB313" i="100"/>
  <c r="HB24" i="100"/>
  <c r="HB10" i="100"/>
  <c r="HB182" i="100"/>
  <c r="HB176" i="100"/>
  <c r="HB335" i="100"/>
  <c r="HB197" i="100"/>
  <c r="HB12" i="100"/>
  <c r="HB288" i="100"/>
  <c r="HB326" i="100"/>
  <c r="HB194" i="100"/>
  <c r="HB173" i="100"/>
  <c r="HB161" i="100"/>
  <c r="HB308" i="100"/>
  <c r="HB301" i="100"/>
  <c r="HB76" i="100"/>
  <c r="HB15" i="100"/>
  <c r="HB21" i="100"/>
  <c r="HB201" i="100"/>
  <c r="HB9" i="100"/>
  <c r="HB165" i="100"/>
  <c r="HB67" i="100"/>
  <c r="HB16" i="100"/>
  <c r="HB196" i="100"/>
  <c r="HB206" i="100"/>
  <c r="HB73" i="100"/>
  <c r="HB160" i="100"/>
  <c r="HB190" i="100"/>
  <c r="HB11" i="100"/>
  <c r="HB162" i="100"/>
  <c r="HB174" i="100"/>
  <c r="HC46" i="100" l="1"/>
  <c r="HC62" i="100"/>
  <c r="HC44" i="100"/>
  <c r="HC63" i="100"/>
  <c r="HC59" i="100"/>
  <c r="HC45" i="100"/>
  <c r="HC55" i="100"/>
  <c r="HC53" i="100"/>
  <c r="HC58" i="100"/>
  <c r="HC57" i="100"/>
  <c r="HC48" i="100"/>
  <c r="HC50" i="100"/>
  <c r="HC61" i="100"/>
  <c r="HC47" i="100"/>
  <c r="HC51" i="100"/>
  <c r="HC49" i="100"/>
  <c r="HC52" i="100"/>
  <c r="HC60" i="100"/>
  <c r="HC54" i="100"/>
  <c r="HC56" i="100"/>
  <c r="HB79" i="100"/>
  <c r="HB78" i="100" s="1"/>
  <c r="HB209" i="100"/>
  <c r="HB339" i="100"/>
  <c r="HC315" i="100"/>
  <c r="HC172" i="100"/>
  <c r="HC198" i="100"/>
  <c r="HC187" i="100"/>
  <c r="HC32" i="100"/>
  <c r="HC10" i="100"/>
  <c r="HC28" i="100"/>
  <c r="HC292" i="100"/>
  <c r="HC13" i="100"/>
  <c r="HC329" i="100"/>
  <c r="HC41" i="100"/>
  <c r="HC206" i="100"/>
  <c r="HC325" i="100"/>
  <c r="HC300" i="100"/>
  <c r="HC70" i="100"/>
  <c r="HC302" i="100"/>
  <c r="HC175" i="100"/>
  <c r="HC170" i="100"/>
  <c r="HC31" i="100"/>
  <c r="HC164" i="100"/>
  <c r="HC301" i="100"/>
  <c r="HC190" i="100"/>
  <c r="HC21" i="100"/>
  <c r="HC68" i="100"/>
  <c r="HC42" i="100"/>
  <c r="HC308" i="100"/>
  <c r="HC163" i="100"/>
  <c r="HC176" i="100"/>
  <c r="HC65" i="100"/>
  <c r="HC36" i="100"/>
  <c r="HC307" i="100"/>
  <c r="HC305" i="100"/>
  <c r="HC288" i="100"/>
  <c r="HC299" i="100"/>
  <c r="HC168" i="100"/>
  <c r="HC330" i="100"/>
  <c r="HC16" i="100"/>
  <c r="HC304" i="100"/>
  <c r="HC30" i="100"/>
  <c r="HC191" i="100"/>
  <c r="HC203" i="100"/>
  <c r="HC306" i="100"/>
  <c r="HC35" i="100"/>
  <c r="HC289" i="100"/>
  <c r="HC33" i="100"/>
  <c r="HC313" i="100"/>
  <c r="HC327" i="100"/>
  <c r="HC337" i="100"/>
  <c r="HC159" i="100"/>
  <c r="HC322" i="100"/>
  <c r="HC331" i="100"/>
  <c r="HC334" i="100"/>
  <c r="HC297" i="100"/>
  <c r="HC169" i="100"/>
  <c r="HC11" i="100"/>
  <c r="HC188" i="100"/>
  <c r="HC201" i="100"/>
  <c r="HC29" i="100"/>
  <c r="HC193" i="100"/>
  <c r="HC296" i="100"/>
  <c r="HC309" i="100"/>
  <c r="HC311" i="100"/>
  <c r="HC290" i="100"/>
  <c r="HC24" i="100"/>
  <c r="HC181" i="100"/>
  <c r="HC185" i="100"/>
  <c r="HC312" i="100"/>
  <c r="HC171" i="100"/>
  <c r="HC321" i="100"/>
  <c r="HC179" i="100"/>
  <c r="HC8" i="100"/>
  <c r="HC293" i="100"/>
  <c r="HC75" i="100"/>
  <c r="HC40" i="100"/>
  <c r="HC200" i="100"/>
  <c r="HC17" i="100"/>
  <c r="HC328" i="100"/>
  <c r="HC178" i="100"/>
  <c r="HC189" i="100"/>
  <c r="HC20" i="100"/>
  <c r="HC173" i="100"/>
  <c r="HC310" i="100"/>
  <c r="HC161" i="100"/>
  <c r="HC67" i="100"/>
  <c r="HC196" i="100"/>
  <c r="HC71" i="100"/>
  <c r="HC14" i="100"/>
  <c r="HC207" i="100"/>
  <c r="HC19" i="100"/>
  <c r="HC295" i="100"/>
  <c r="HC324" i="100"/>
  <c r="HC319" i="100"/>
  <c r="HC303" i="100"/>
  <c r="HC320" i="100"/>
  <c r="HC192" i="100"/>
  <c r="HC194" i="100"/>
  <c r="HC314" i="100"/>
  <c r="HC160" i="100"/>
  <c r="HC317" i="100"/>
  <c r="HC18" i="100"/>
  <c r="HC177" i="100"/>
  <c r="HC76" i="100"/>
  <c r="HC316" i="100"/>
  <c r="HC34" i="100"/>
  <c r="HC186" i="100"/>
  <c r="HC77" i="100"/>
  <c r="HC204" i="100"/>
  <c r="HC166" i="100"/>
  <c r="HC72" i="100"/>
  <c r="HC165" i="100"/>
  <c r="HC336" i="100"/>
  <c r="HC26" i="100"/>
  <c r="HC197" i="100"/>
  <c r="HC195" i="100"/>
  <c r="HC15" i="100"/>
  <c r="HC291" i="100"/>
  <c r="HC326" i="100"/>
  <c r="HC66" i="100"/>
  <c r="HC182" i="100"/>
  <c r="HC69" i="100"/>
  <c r="HC298" i="100"/>
  <c r="HC9" i="100"/>
  <c r="HC167" i="100"/>
  <c r="HC39" i="100"/>
  <c r="HC64" i="100"/>
  <c r="HC162" i="100"/>
  <c r="HD7" i="100"/>
  <c r="HC202" i="100"/>
  <c r="HC335" i="100"/>
  <c r="HC205" i="100"/>
  <c r="HC199" i="100"/>
  <c r="HC180" i="100"/>
  <c r="HC43" i="100"/>
  <c r="HC38" i="100"/>
  <c r="HC22" i="100"/>
  <c r="HC332" i="100"/>
  <c r="HC323" i="100"/>
  <c r="HC184" i="100"/>
  <c r="HC27" i="100"/>
  <c r="HC174" i="100"/>
  <c r="HC74" i="100"/>
  <c r="HC25" i="100"/>
  <c r="HC294" i="100"/>
  <c r="HC158" i="100"/>
  <c r="HC318" i="100"/>
  <c r="HC37" i="100"/>
  <c r="HC12" i="100"/>
  <c r="HC333" i="100"/>
  <c r="HC73" i="100"/>
  <c r="HC183" i="100"/>
  <c r="HC23" i="100"/>
  <c r="HD59" i="100" l="1"/>
  <c r="HD49" i="100"/>
  <c r="HD46" i="100"/>
  <c r="HD62" i="100"/>
  <c r="HD63" i="100"/>
  <c r="HD44" i="100"/>
  <c r="HD48" i="100"/>
  <c r="HD55" i="100"/>
  <c r="HD50" i="100"/>
  <c r="HD45" i="100"/>
  <c r="HD61" i="100"/>
  <c r="HD60" i="100"/>
  <c r="HD57" i="100"/>
  <c r="HD53" i="100"/>
  <c r="HD47" i="100"/>
  <c r="HD52" i="100"/>
  <c r="HD56" i="100"/>
  <c r="HD51" i="100"/>
  <c r="HD54" i="100"/>
  <c r="HD58" i="100"/>
  <c r="HC339" i="100"/>
  <c r="HC79" i="100"/>
  <c r="HC78" i="100" s="1"/>
  <c r="HC209" i="100"/>
  <c r="HD29" i="100"/>
  <c r="HD301" i="100"/>
  <c r="HD319" i="100"/>
  <c r="HD332" i="100"/>
  <c r="HD194" i="100"/>
  <c r="HD205" i="100"/>
  <c r="HD36" i="100"/>
  <c r="HD37" i="100"/>
  <c r="HD200" i="100"/>
  <c r="HD43" i="100"/>
  <c r="HD306" i="100"/>
  <c r="HD72" i="100"/>
  <c r="HD188" i="100"/>
  <c r="HD207" i="100"/>
  <c r="HD324" i="100"/>
  <c r="HD314" i="100"/>
  <c r="HD165" i="100"/>
  <c r="HD25" i="100"/>
  <c r="HD178" i="100"/>
  <c r="HD330" i="100"/>
  <c r="HD302" i="100"/>
  <c r="HD8" i="100"/>
  <c r="HD40" i="100"/>
  <c r="HD13" i="100"/>
  <c r="HD308" i="100"/>
  <c r="HD16" i="100"/>
  <c r="HD66" i="100"/>
  <c r="HD288" i="100"/>
  <c r="HD77" i="100"/>
  <c r="HD15" i="100"/>
  <c r="HD190" i="100"/>
  <c r="HD22" i="100"/>
  <c r="HD312" i="100"/>
  <c r="HD197" i="100"/>
  <c r="HD159" i="100"/>
  <c r="HD68" i="100"/>
  <c r="HD304" i="100"/>
  <c r="HD199" i="100"/>
  <c r="HD303" i="100"/>
  <c r="HD326" i="100"/>
  <c r="HD316" i="100"/>
  <c r="HD73" i="100"/>
  <c r="HD38" i="100"/>
  <c r="HD174" i="100"/>
  <c r="HD182" i="100"/>
  <c r="HD67" i="100"/>
  <c r="HD75" i="100"/>
  <c r="HD65" i="100"/>
  <c r="HD333" i="100"/>
  <c r="HD74" i="100"/>
  <c r="HD158" i="100"/>
  <c r="HD296" i="100"/>
  <c r="HD323" i="100"/>
  <c r="HD334" i="100"/>
  <c r="HD31" i="100"/>
  <c r="HD42" i="100"/>
  <c r="HD307" i="100"/>
  <c r="HD20" i="100"/>
  <c r="HD318" i="100"/>
  <c r="HD204" i="100"/>
  <c r="HD168" i="100"/>
  <c r="HD183" i="100"/>
  <c r="HD297" i="100"/>
  <c r="HD195" i="100"/>
  <c r="HE7" i="100"/>
  <c r="HD27" i="100"/>
  <c r="HD328" i="100"/>
  <c r="HD24" i="100"/>
  <c r="HD196" i="100"/>
  <c r="HD169" i="100"/>
  <c r="HD41" i="100"/>
  <c r="HD164" i="100"/>
  <c r="HD34" i="100"/>
  <c r="HD298" i="100"/>
  <c r="HD290" i="100"/>
  <c r="HD331" i="100"/>
  <c r="HD192" i="100"/>
  <c r="HD201" i="100"/>
  <c r="HD311" i="100"/>
  <c r="HD189" i="100"/>
  <c r="HD206" i="100"/>
  <c r="HD19" i="100"/>
  <c r="HD295" i="100"/>
  <c r="HD23" i="100"/>
  <c r="HD12" i="100"/>
  <c r="HD187" i="100"/>
  <c r="HD162" i="100"/>
  <c r="HD70" i="100"/>
  <c r="HD173" i="100"/>
  <c r="HD32" i="100"/>
  <c r="HD26" i="100"/>
  <c r="HD170" i="100"/>
  <c r="HD76" i="100"/>
  <c r="HD321" i="100"/>
  <c r="HD203" i="100"/>
  <c r="HD322" i="100"/>
  <c r="HD71" i="100"/>
  <c r="HD300" i="100"/>
  <c r="HD294" i="100"/>
  <c r="HD305" i="100"/>
  <c r="HD30" i="100"/>
  <c r="HD161" i="100"/>
  <c r="HD28" i="100"/>
  <c r="HD39" i="100"/>
  <c r="HD299" i="100"/>
  <c r="HD289" i="100"/>
  <c r="HD179" i="100"/>
  <c r="HD163" i="100"/>
  <c r="HD181" i="100"/>
  <c r="HD177" i="100"/>
  <c r="HD191" i="100"/>
  <c r="HD9" i="100"/>
  <c r="HD18" i="100"/>
  <c r="HD320" i="100"/>
  <c r="HD309" i="100"/>
  <c r="HD329" i="100"/>
  <c r="HD293" i="100"/>
  <c r="HD69" i="100"/>
  <c r="HD176" i="100"/>
  <c r="HD180" i="100"/>
  <c r="HD184" i="100"/>
  <c r="HD337" i="100"/>
  <c r="HD336" i="100"/>
  <c r="HD313" i="100"/>
  <c r="HD11" i="100"/>
  <c r="HD325" i="100"/>
  <c r="HD172" i="100"/>
  <c r="HD292" i="100"/>
  <c r="HD315" i="100"/>
  <c r="HD185" i="100"/>
  <c r="HD317" i="100"/>
  <c r="HD186" i="100"/>
  <c r="HD167" i="100"/>
  <c r="HD335" i="100"/>
  <c r="HD160" i="100"/>
  <c r="HD202" i="100"/>
  <c r="HD35" i="100"/>
  <c r="HD64" i="100"/>
  <c r="HD175" i="100"/>
  <c r="HD193" i="100"/>
  <c r="HD291" i="100"/>
  <c r="HD327" i="100"/>
  <c r="HD21" i="100"/>
  <c r="HD14" i="100"/>
  <c r="HD33" i="100"/>
  <c r="HD198" i="100"/>
  <c r="HD166" i="100"/>
  <c r="HD310" i="100"/>
  <c r="HD10" i="100"/>
  <c r="HD171" i="100"/>
  <c r="HD17" i="100"/>
  <c r="HE44" i="100" l="1"/>
  <c r="HE62" i="100"/>
  <c r="HE45" i="100"/>
  <c r="HE46" i="100"/>
  <c r="HE63" i="100"/>
  <c r="HE51" i="100"/>
  <c r="HE48" i="100"/>
  <c r="HE59" i="100"/>
  <c r="HE49" i="100"/>
  <c r="HE61" i="100"/>
  <c r="HE56" i="100"/>
  <c r="HE47" i="100"/>
  <c r="HE52" i="100"/>
  <c r="HE53" i="100"/>
  <c r="HE54" i="100"/>
  <c r="HE57" i="100"/>
  <c r="HE55" i="100"/>
  <c r="HE58" i="100"/>
  <c r="HE50" i="100"/>
  <c r="HE60" i="100"/>
  <c r="HD79" i="100"/>
  <c r="HD78" i="100" s="1"/>
  <c r="HD209" i="100"/>
  <c r="HD339" i="100"/>
  <c r="HE77" i="100"/>
  <c r="HE165" i="100"/>
  <c r="HE171" i="100"/>
  <c r="HE76" i="100"/>
  <c r="HE315" i="100"/>
  <c r="HE194" i="100"/>
  <c r="HE294" i="100"/>
  <c r="HE181" i="100"/>
  <c r="HE192" i="100"/>
  <c r="HE203" i="100"/>
  <c r="HE195" i="100"/>
  <c r="HE307" i="100"/>
  <c r="HE288" i="100"/>
  <c r="HE73" i="100"/>
  <c r="HE313" i="100"/>
  <c r="HE318" i="100"/>
  <c r="HE187" i="100"/>
  <c r="HE69" i="100"/>
  <c r="HE18" i="100"/>
  <c r="HE300" i="100"/>
  <c r="HE38" i="100"/>
  <c r="HE166" i="100"/>
  <c r="HE30" i="100"/>
  <c r="HE68" i="100"/>
  <c r="HE178" i="100"/>
  <c r="HE176" i="100"/>
  <c r="HE308" i="100"/>
  <c r="HE199" i="100"/>
  <c r="HE25" i="100"/>
  <c r="HE33" i="100"/>
  <c r="HE168" i="100"/>
  <c r="HE10" i="100"/>
  <c r="HE306" i="100"/>
  <c r="HE158" i="100"/>
  <c r="HE309" i="100"/>
  <c r="HE23" i="100"/>
  <c r="HE14" i="100"/>
  <c r="HE336" i="100"/>
  <c r="HE8" i="100"/>
  <c r="HE296" i="100"/>
  <c r="HE28" i="100"/>
  <c r="HE26" i="100"/>
  <c r="HE205" i="100"/>
  <c r="HE297" i="100"/>
  <c r="HE161" i="100"/>
  <c r="HE201" i="100"/>
  <c r="HE65" i="100"/>
  <c r="HE21" i="100"/>
  <c r="HE202" i="100"/>
  <c r="HE174" i="100"/>
  <c r="HE319" i="100"/>
  <c r="HE311" i="100"/>
  <c r="HE196" i="100"/>
  <c r="HE13" i="100"/>
  <c r="HE172" i="100"/>
  <c r="HE66" i="100"/>
  <c r="HE74" i="100"/>
  <c r="HE327" i="100"/>
  <c r="HE191" i="100"/>
  <c r="HE298" i="100"/>
  <c r="HE24" i="100"/>
  <c r="HE177" i="100"/>
  <c r="HE190" i="100"/>
  <c r="HE334" i="100"/>
  <c r="HE200" i="100"/>
  <c r="HE40" i="100"/>
  <c r="HE35" i="100"/>
  <c r="HE70" i="100"/>
  <c r="HE17" i="100"/>
  <c r="HE22" i="100"/>
  <c r="HE310" i="100"/>
  <c r="HE312" i="100"/>
  <c r="HE314" i="100"/>
  <c r="HE179" i="100"/>
  <c r="HE15" i="100"/>
  <c r="HE198" i="100"/>
  <c r="HE162" i="100"/>
  <c r="HE302" i="100"/>
  <c r="HE170" i="100"/>
  <c r="HE333" i="100"/>
  <c r="HE322" i="100"/>
  <c r="HE189" i="100"/>
  <c r="HE160" i="100"/>
  <c r="HE305" i="100"/>
  <c r="HE185" i="100"/>
  <c r="HE291" i="100"/>
  <c r="HE332" i="100"/>
  <c r="HE19" i="100"/>
  <c r="HE32" i="100"/>
  <c r="HE180" i="100"/>
  <c r="HE20" i="100"/>
  <c r="HE41" i="100"/>
  <c r="HE29" i="100"/>
  <c r="HE43" i="100"/>
  <c r="HF7" i="100"/>
  <c r="HE316" i="100"/>
  <c r="HE320" i="100"/>
  <c r="HE169" i="100"/>
  <c r="HE323" i="100"/>
  <c r="HE184" i="100"/>
  <c r="HE337" i="100"/>
  <c r="HE11" i="100"/>
  <c r="HE317" i="100"/>
  <c r="HE164" i="100"/>
  <c r="HE329" i="100"/>
  <c r="HE335" i="100"/>
  <c r="HE304" i="100"/>
  <c r="HE324" i="100"/>
  <c r="HE173" i="100"/>
  <c r="HE326" i="100"/>
  <c r="HE31" i="100"/>
  <c r="HE331" i="100"/>
  <c r="HE303" i="100"/>
  <c r="HE175" i="100"/>
  <c r="HE67" i="100"/>
  <c r="HE295" i="100"/>
  <c r="HE183" i="100"/>
  <c r="HE206" i="100"/>
  <c r="HE289" i="100"/>
  <c r="HE167" i="100"/>
  <c r="HE207" i="100"/>
  <c r="HE64" i="100"/>
  <c r="HE9" i="100"/>
  <c r="HE301" i="100"/>
  <c r="HE299" i="100"/>
  <c r="HE330" i="100"/>
  <c r="HE37" i="100"/>
  <c r="HE39" i="100"/>
  <c r="HE163" i="100"/>
  <c r="HE12" i="100"/>
  <c r="HE321" i="100"/>
  <c r="HE36" i="100"/>
  <c r="HE159" i="100"/>
  <c r="HE188" i="100"/>
  <c r="HE186" i="100"/>
  <c r="HE328" i="100"/>
  <c r="HE325" i="100"/>
  <c r="HE72" i="100"/>
  <c r="HE290" i="100"/>
  <c r="HE71" i="100"/>
  <c r="HE182" i="100"/>
  <c r="HE197" i="100"/>
  <c r="HE42" i="100"/>
  <c r="HE293" i="100"/>
  <c r="HE75" i="100"/>
  <c r="HE193" i="100"/>
  <c r="HE34" i="100"/>
  <c r="HE27" i="100"/>
  <c r="HE204" i="100"/>
  <c r="HE292" i="100"/>
  <c r="HE16" i="100"/>
  <c r="HF46" i="100" l="1"/>
  <c r="HF54" i="100"/>
  <c r="HF44" i="100"/>
  <c r="HF59" i="100"/>
  <c r="HF63" i="100"/>
  <c r="HF62" i="100"/>
  <c r="HF55" i="100"/>
  <c r="HF60" i="100"/>
  <c r="HF47" i="100"/>
  <c r="HF57" i="100"/>
  <c r="HF58" i="100"/>
  <c r="HF51" i="100"/>
  <c r="HF50" i="100"/>
  <c r="HF53" i="100"/>
  <c r="HF61" i="100"/>
  <c r="HF56" i="100"/>
  <c r="HF45" i="100"/>
  <c r="HF48" i="100"/>
  <c r="HF49" i="100"/>
  <c r="HF52" i="100"/>
  <c r="HE209" i="100"/>
  <c r="HE339" i="100"/>
  <c r="HE79" i="100"/>
  <c r="HE78" i="100" s="1"/>
  <c r="HF158" i="100"/>
  <c r="HF184" i="100"/>
  <c r="HF206" i="100"/>
  <c r="HF17" i="100"/>
  <c r="HF21" i="100"/>
  <c r="HF327" i="100"/>
  <c r="HF164" i="100"/>
  <c r="HF301" i="100"/>
  <c r="HF186" i="100"/>
  <c r="HF185" i="100"/>
  <c r="HF22" i="100"/>
  <c r="HF312" i="100"/>
  <c r="HF30" i="100"/>
  <c r="HF18" i="100"/>
  <c r="HF173" i="100"/>
  <c r="HF310" i="100"/>
  <c r="HF198" i="100"/>
  <c r="HF203" i="100"/>
  <c r="HF160" i="100"/>
  <c r="HF178" i="100"/>
  <c r="HF33" i="100"/>
  <c r="HF303" i="100"/>
  <c r="HF322" i="100"/>
  <c r="HF23" i="100"/>
  <c r="HF294" i="100"/>
  <c r="HF330" i="100"/>
  <c r="HF16" i="100"/>
  <c r="HF161" i="100"/>
  <c r="HF32" i="100"/>
  <c r="HF76" i="100"/>
  <c r="HF293" i="100"/>
  <c r="HF336" i="100"/>
  <c r="HF68" i="100"/>
  <c r="HF35" i="100"/>
  <c r="HF191" i="100"/>
  <c r="HF168" i="100"/>
  <c r="HF64" i="100"/>
  <c r="HF70" i="100"/>
  <c r="HF192" i="100"/>
  <c r="HF193" i="100"/>
  <c r="HF334" i="100"/>
  <c r="HF166" i="100"/>
  <c r="HF324" i="100"/>
  <c r="HF11" i="100"/>
  <c r="HF190" i="100"/>
  <c r="HF194" i="100"/>
  <c r="HF71" i="100"/>
  <c r="HF41" i="100"/>
  <c r="HF8" i="100"/>
  <c r="HF197" i="100"/>
  <c r="HF326" i="100"/>
  <c r="HF202" i="100"/>
  <c r="HF66" i="100"/>
  <c r="HF298" i="100"/>
  <c r="HF37" i="100"/>
  <c r="HF177" i="100"/>
  <c r="HF199" i="100"/>
  <c r="HF311" i="100"/>
  <c r="HF196" i="100"/>
  <c r="HF329" i="100"/>
  <c r="HF189" i="100"/>
  <c r="HF36" i="100"/>
  <c r="HF201" i="100"/>
  <c r="HF316" i="100"/>
  <c r="HF314" i="100"/>
  <c r="HF207" i="100"/>
  <c r="HF69" i="100"/>
  <c r="HF14" i="100"/>
  <c r="HF43" i="100"/>
  <c r="HF12" i="100"/>
  <c r="HF319" i="100"/>
  <c r="HF27" i="100"/>
  <c r="HF331" i="100"/>
  <c r="HF313" i="100"/>
  <c r="HF306" i="100"/>
  <c r="HF204" i="100"/>
  <c r="HF176" i="100"/>
  <c r="HF167" i="100"/>
  <c r="HF10" i="100"/>
  <c r="HF162" i="100"/>
  <c r="HF300" i="100"/>
  <c r="HF9" i="100"/>
  <c r="HF25" i="100"/>
  <c r="HF174" i="100"/>
  <c r="HF333" i="100"/>
  <c r="HF170" i="100"/>
  <c r="HF26" i="100"/>
  <c r="HF180" i="100"/>
  <c r="HF19" i="100"/>
  <c r="HF295" i="100"/>
  <c r="HF73" i="100"/>
  <c r="HF31" i="100"/>
  <c r="HF200" i="100"/>
  <c r="HF315" i="100"/>
  <c r="HF74" i="100"/>
  <c r="HF175" i="100"/>
  <c r="HF34" i="100"/>
  <c r="HF165" i="100"/>
  <c r="HF302" i="100"/>
  <c r="HF332" i="100"/>
  <c r="HF65" i="100"/>
  <c r="HF297" i="100"/>
  <c r="HF172" i="100"/>
  <c r="HF39" i="100"/>
  <c r="HF320" i="100"/>
  <c r="HF188" i="100"/>
  <c r="HF171" i="100"/>
  <c r="HF308" i="100"/>
  <c r="HF15" i="100"/>
  <c r="HF187" i="100"/>
  <c r="HF205" i="100"/>
  <c r="HF159" i="100"/>
  <c r="HF181" i="100"/>
  <c r="HF195" i="100"/>
  <c r="HF179" i="100"/>
  <c r="HF304" i="100"/>
  <c r="HF325" i="100"/>
  <c r="HF75" i="100"/>
  <c r="HF291" i="100"/>
  <c r="HF29" i="100"/>
  <c r="HF13" i="100"/>
  <c r="HF182" i="100"/>
  <c r="HF328" i="100"/>
  <c r="HF38" i="100"/>
  <c r="HF337" i="100"/>
  <c r="HF299" i="100"/>
  <c r="HF169" i="100"/>
  <c r="HG7" i="100"/>
  <c r="HF296" i="100"/>
  <c r="HF317" i="100"/>
  <c r="HF288" i="100"/>
  <c r="HF335" i="100"/>
  <c r="HF163" i="100"/>
  <c r="HF42" i="100"/>
  <c r="HF309" i="100"/>
  <c r="HF307" i="100"/>
  <c r="HF305" i="100"/>
  <c r="HF28" i="100"/>
  <c r="HF40" i="100"/>
  <c r="HF183" i="100"/>
  <c r="HF289" i="100"/>
  <c r="HF67" i="100"/>
  <c r="HF323" i="100"/>
  <c r="HF77" i="100"/>
  <c r="HF318" i="100"/>
  <c r="HF20" i="100"/>
  <c r="HF321" i="100"/>
  <c r="HF292" i="100"/>
  <c r="HF290" i="100"/>
  <c r="HF24" i="100"/>
  <c r="HF72" i="100"/>
  <c r="HG62" i="100" l="1"/>
  <c r="HG58" i="100"/>
  <c r="HG46" i="100"/>
  <c r="HG52" i="100"/>
  <c r="HG63" i="100"/>
  <c r="HG44" i="100"/>
  <c r="HG57" i="100"/>
  <c r="HG48" i="100"/>
  <c r="HG54" i="100"/>
  <c r="HG47" i="100"/>
  <c r="HG61" i="100"/>
  <c r="HG59" i="100"/>
  <c r="HG50" i="100"/>
  <c r="HG49" i="100"/>
  <c r="HG60" i="100"/>
  <c r="HG45" i="100"/>
  <c r="HG53" i="100"/>
  <c r="HG51" i="100"/>
  <c r="HG56" i="100"/>
  <c r="HG55" i="100"/>
  <c r="HF209" i="100"/>
  <c r="HF339" i="100"/>
  <c r="HF79" i="100"/>
  <c r="HF78" i="100" s="1"/>
  <c r="HG195" i="100"/>
  <c r="HG36" i="100"/>
  <c r="HG173" i="100"/>
  <c r="HG39" i="100"/>
  <c r="HG328" i="100"/>
  <c r="HG40" i="100"/>
  <c r="HG200" i="100"/>
  <c r="HG28" i="100"/>
  <c r="HG15" i="100"/>
  <c r="HG291" i="100"/>
  <c r="HG188" i="100"/>
  <c r="HG191" i="100"/>
  <c r="HG183" i="100"/>
  <c r="HG185" i="100"/>
  <c r="HG333" i="100"/>
  <c r="HH7" i="100"/>
  <c r="HG189" i="100"/>
  <c r="HG197" i="100"/>
  <c r="HG38" i="100"/>
  <c r="HG77" i="100"/>
  <c r="HG18" i="100"/>
  <c r="HG177" i="100"/>
  <c r="HG20" i="100"/>
  <c r="HG166" i="100"/>
  <c r="HG317" i="100"/>
  <c r="HG198" i="100"/>
  <c r="HG318" i="100"/>
  <c r="HG9" i="100"/>
  <c r="HG306" i="100"/>
  <c r="HG315" i="100"/>
  <c r="HG160" i="100"/>
  <c r="HG24" i="100"/>
  <c r="HG313" i="100"/>
  <c r="HG21" i="100"/>
  <c r="HG17" i="100"/>
  <c r="HG67" i="100"/>
  <c r="HG326" i="100"/>
  <c r="HG293" i="100"/>
  <c r="HG294" i="100"/>
  <c r="HG297" i="100"/>
  <c r="HG32" i="100"/>
  <c r="HG332" i="100"/>
  <c r="HG312" i="100"/>
  <c r="HG199" i="100"/>
  <c r="HG336" i="100"/>
  <c r="HG176" i="100"/>
  <c r="HG193" i="100"/>
  <c r="HG33" i="100"/>
  <c r="HG69" i="100"/>
  <c r="HG19" i="100"/>
  <c r="HG181" i="100"/>
  <c r="HG205" i="100"/>
  <c r="HG71" i="100"/>
  <c r="HG172" i="100"/>
  <c r="HG201" i="100"/>
  <c r="HG194" i="100"/>
  <c r="HG329" i="100"/>
  <c r="HG298" i="100"/>
  <c r="HG330" i="100"/>
  <c r="HG68" i="100"/>
  <c r="HG319" i="100"/>
  <c r="HG35" i="100"/>
  <c r="HG29" i="100"/>
  <c r="HG203" i="100"/>
  <c r="HG187" i="100"/>
  <c r="HG170" i="100"/>
  <c r="HG308" i="100"/>
  <c r="HG316" i="100"/>
  <c r="HG65" i="100"/>
  <c r="HG307" i="100"/>
  <c r="HG158" i="100"/>
  <c r="HG289" i="100"/>
  <c r="HG76" i="100"/>
  <c r="HG27" i="100"/>
  <c r="HG72" i="100"/>
  <c r="HG207" i="100"/>
  <c r="HG325" i="100"/>
  <c r="HG37" i="100"/>
  <c r="HG8" i="100"/>
  <c r="HG13" i="100"/>
  <c r="HG196" i="100"/>
  <c r="HG321" i="100"/>
  <c r="HG25" i="100"/>
  <c r="HG305" i="100"/>
  <c r="HG174" i="100"/>
  <c r="HG311" i="100"/>
  <c r="HG300" i="100"/>
  <c r="HG169" i="100"/>
  <c r="HG11" i="100"/>
  <c r="HG314" i="100"/>
  <c r="HG10" i="100"/>
  <c r="HG43" i="100"/>
  <c r="HG64" i="100"/>
  <c r="HG70" i="100"/>
  <c r="HG179" i="100"/>
  <c r="HG334" i="100"/>
  <c r="HG164" i="100"/>
  <c r="HG31" i="100"/>
  <c r="HG299" i="100"/>
  <c r="HG14" i="100"/>
  <c r="HG34" i="100"/>
  <c r="HG159" i="100"/>
  <c r="HG167" i="100"/>
  <c r="HG171" i="100"/>
  <c r="HG22" i="100"/>
  <c r="HG290" i="100"/>
  <c r="HG320" i="100"/>
  <c r="HG26" i="100"/>
  <c r="HG175" i="100"/>
  <c r="HG304" i="100"/>
  <c r="HG324" i="100"/>
  <c r="HG75" i="100"/>
  <c r="HG301" i="100"/>
  <c r="HG202" i="100"/>
  <c r="HG162" i="100"/>
  <c r="HG184" i="100"/>
  <c r="HG296" i="100"/>
  <c r="HG323" i="100"/>
  <c r="HG192" i="100"/>
  <c r="HG295" i="100"/>
  <c r="HG186" i="100"/>
  <c r="HG302" i="100"/>
  <c r="HG12" i="100"/>
  <c r="HG303" i="100"/>
  <c r="HG74" i="100"/>
  <c r="HG41" i="100"/>
  <c r="HG178" i="100"/>
  <c r="HG322" i="100"/>
  <c r="HG288" i="100"/>
  <c r="HG309" i="100"/>
  <c r="HG23" i="100"/>
  <c r="HG165" i="100"/>
  <c r="HG327" i="100"/>
  <c r="HG73" i="100"/>
  <c r="HG66" i="100"/>
  <c r="HG206" i="100"/>
  <c r="HG292" i="100"/>
  <c r="HG180" i="100"/>
  <c r="HG30" i="100"/>
  <c r="HG331" i="100"/>
  <c r="HG190" i="100"/>
  <c r="HG163" i="100"/>
  <c r="HG182" i="100"/>
  <c r="HG161" i="100"/>
  <c r="HG204" i="100"/>
  <c r="HG16" i="100"/>
  <c r="HG168" i="100"/>
  <c r="HG42" i="100"/>
  <c r="HG335" i="100"/>
  <c r="HG310" i="100"/>
  <c r="HG337" i="100"/>
  <c r="HH63" i="100" l="1"/>
  <c r="HH44" i="100"/>
  <c r="HH51" i="100"/>
  <c r="HH62" i="100"/>
  <c r="HH46" i="100"/>
  <c r="HH61" i="100"/>
  <c r="HH54" i="100"/>
  <c r="HH59" i="100"/>
  <c r="HH47" i="100"/>
  <c r="HH55" i="100"/>
  <c r="HH53" i="100"/>
  <c r="HH57" i="100"/>
  <c r="HH58" i="100"/>
  <c r="HH56" i="100"/>
  <c r="HH49" i="100"/>
  <c r="HH52" i="100"/>
  <c r="HH48" i="100"/>
  <c r="HH50" i="100"/>
  <c r="HH60" i="100"/>
  <c r="HH45" i="100"/>
  <c r="HG339" i="100"/>
  <c r="HG209" i="100"/>
  <c r="HG79" i="100"/>
  <c r="HG78" i="100" s="1"/>
  <c r="HH30" i="100"/>
  <c r="HH187" i="100"/>
  <c r="HH36" i="100"/>
  <c r="HH306" i="100"/>
  <c r="HH180" i="100"/>
  <c r="HH198" i="100"/>
  <c r="HH191" i="100"/>
  <c r="HH14" i="100"/>
  <c r="HH189" i="100"/>
  <c r="HH316" i="100"/>
  <c r="HH21" i="100"/>
  <c r="HH70" i="100"/>
  <c r="HH170" i="100"/>
  <c r="HH303" i="100"/>
  <c r="HH329" i="100"/>
  <c r="HH33" i="100"/>
  <c r="HH296" i="100"/>
  <c r="HH322" i="100"/>
  <c r="HH25" i="100"/>
  <c r="HH336" i="100"/>
  <c r="HH13" i="100"/>
  <c r="HH69" i="100"/>
  <c r="HH9" i="100"/>
  <c r="HH203" i="100"/>
  <c r="HH43" i="100"/>
  <c r="HH194" i="100"/>
  <c r="HH37" i="100"/>
  <c r="HH185" i="100"/>
  <c r="HH309" i="100"/>
  <c r="HH200" i="100"/>
  <c r="HH312" i="100"/>
  <c r="HH301" i="100"/>
  <c r="HH165" i="100"/>
  <c r="HH288" i="100"/>
  <c r="HH293" i="100"/>
  <c r="HH292" i="100"/>
  <c r="HH291" i="100"/>
  <c r="HH74" i="100"/>
  <c r="HH76" i="100"/>
  <c r="HH17" i="100"/>
  <c r="HH323" i="100"/>
  <c r="HH334" i="100"/>
  <c r="HH324" i="100"/>
  <c r="HH28" i="100"/>
  <c r="HH77" i="100"/>
  <c r="HH302" i="100"/>
  <c r="HH192" i="100"/>
  <c r="HH197" i="100"/>
  <c r="HH164" i="100"/>
  <c r="HH313" i="100"/>
  <c r="HH64" i="100"/>
  <c r="HH294" i="100"/>
  <c r="HH178" i="100"/>
  <c r="HH24" i="100"/>
  <c r="HH326" i="100"/>
  <c r="HH183" i="100"/>
  <c r="HH325" i="100"/>
  <c r="HH331" i="100"/>
  <c r="HH168" i="100"/>
  <c r="HH41" i="100"/>
  <c r="HH337" i="100"/>
  <c r="HH12" i="100"/>
  <c r="HH204" i="100"/>
  <c r="HH8" i="100"/>
  <c r="HH297" i="100"/>
  <c r="HH327" i="100"/>
  <c r="HH158" i="100"/>
  <c r="HH300" i="100"/>
  <c r="HH32" i="100"/>
  <c r="HH10" i="100"/>
  <c r="HI7" i="100"/>
  <c r="HH173" i="100"/>
  <c r="HH67" i="100"/>
  <c r="HH186" i="100"/>
  <c r="HH162" i="100"/>
  <c r="HH40" i="100"/>
  <c r="HH330" i="100"/>
  <c r="HH332" i="100"/>
  <c r="HH172" i="100"/>
  <c r="HH182" i="100"/>
  <c r="HH16" i="100"/>
  <c r="HH38" i="100"/>
  <c r="HH206" i="100"/>
  <c r="HH205" i="100"/>
  <c r="HH15" i="100"/>
  <c r="HH27" i="100"/>
  <c r="HH163" i="100"/>
  <c r="HH167" i="100"/>
  <c r="HH317" i="100"/>
  <c r="HH181" i="100"/>
  <c r="HH196" i="100"/>
  <c r="HH39" i="100"/>
  <c r="HH190" i="100"/>
  <c r="HH23" i="100"/>
  <c r="HH166" i="100"/>
  <c r="HH305" i="100"/>
  <c r="HH65" i="100"/>
  <c r="HH308" i="100"/>
  <c r="HH328" i="100"/>
  <c r="HH68" i="100"/>
  <c r="HH199" i="100"/>
  <c r="HH19" i="100"/>
  <c r="HH195" i="100"/>
  <c r="HH34" i="100"/>
  <c r="HH175" i="100"/>
  <c r="HH184" i="100"/>
  <c r="HH18" i="100"/>
  <c r="HH333" i="100"/>
  <c r="HH304" i="100"/>
  <c r="HH29" i="100"/>
  <c r="HH311" i="100"/>
  <c r="HH169" i="100"/>
  <c r="HH71" i="100"/>
  <c r="HH75" i="100"/>
  <c r="HH31" i="100"/>
  <c r="HH320" i="100"/>
  <c r="HH160" i="100"/>
  <c r="HH188" i="100"/>
  <c r="HH161" i="100"/>
  <c r="HH318" i="100"/>
  <c r="HH314" i="100"/>
  <c r="HH289" i="100"/>
  <c r="HH72" i="100"/>
  <c r="HH73" i="100"/>
  <c r="HH299" i="100"/>
  <c r="HH171" i="100"/>
  <c r="HH20" i="100"/>
  <c r="HH174" i="100"/>
  <c r="HH66" i="100"/>
  <c r="HH159" i="100"/>
  <c r="HH179" i="100"/>
  <c r="HH307" i="100"/>
  <c r="HH42" i="100"/>
  <c r="HH310" i="100"/>
  <c r="HH22" i="100"/>
  <c r="HH319" i="100"/>
  <c r="HH176" i="100"/>
  <c r="HH193" i="100"/>
  <c r="HH11" i="100"/>
  <c r="HH35" i="100"/>
  <c r="HH201" i="100"/>
  <c r="HH315" i="100"/>
  <c r="HH298" i="100"/>
  <c r="HH290" i="100"/>
  <c r="HH26" i="100"/>
  <c r="HH335" i="100"/>
  <c r="HH321" i="100"/>
  <c r="HH202" i="100"/>
  <c r="HH207" i="100"/>
  <c r="HH295" i="100"/>
  <c r="HH177" i="100"/>
  <c r="HI46" i="100" l="1"/>
  <c r="HI63" i="100"/>
  <c r="HI62" i="100"/>
  <c r="HI44" i="100"/>
  <c r="HI49" i="100"/>
  <c r="HI55" i="100"/>
  <c r="HI56" i="100"/>
  <c r="HI61" i="100"/>
  <c r="HI47" i="100"/>
  <c r="HI59" i="100"/>
  <c r="HI53" i="100"/>
  <c r="HI54" i="100"/>
  <c r="HI48" i="100"/>
  <c r="HI45" i="100"/>
  <c r="HI58" i="100"/>
  <c r="HI50" i="100"/>
  <c r="HI60" i="100"/>
  <c r="HI57" i="100"/>
  <c r="HI51" i="100"/>
  <c r="HI52" i="100"/>
  <c r="HH209" i="100"/>
  <c r="HH339" i="100"/>
  <c r="HH79" i="100"/>
  <c r="HH78" i="100" s="1"/>
  <c r="HI302" i="100"/>
  <c r="HI14" i="100"/>
  <c r="HI316" i="100"/>
  <c r="HI43" i="100"/>
  <c r="HI160" i="100"/>
  <c r="HI173" i="100"/>
  <c r="HI73" i="100"/>
  <c r="HI205" i="100"/>
  <c r="HI304" i="100"/>
  <c r="HI27" i="100"/>
  <c r="HI203" i="100"/>
  <c r="HI315" i="100"/>
  <c r="HI314" i="100"/>
  <c r="HI165" i="100"/>
  <c r="HI202" i="100"/>
  <c r="HI292" i="100"/>
  <c r="HI295" i="100"/>
  <c r="HI325" i="100"/>
  <c r="HI70" i="100"/>
  <c r="HI333" i="100"/>
  <c r="HI16" i="100"/>
  <c r="HI188" i="100"/>
  <c r="HI330" i="100"/>
  <c r="HI191" i="100"/>
  <c r="HI183" i="100"/>
  <c r="HI180" i="100"/>
  <c r="HI26" i="100"/>
  <c r="HI322" i="100"/>
  <c r="HI171" i="100"/>
  <c r="HI25" i="100"/>
  <c r="HI189" i="100"/>
  <c r="HI197" i="100"/>
  <c r="HI72" i="100"/>
  <c r="HI33" i="100"/>
  <c r="HI164" i="100"/>
  <c r="HI17" i="100"/>
  <c r="HI334" i="100"/>
  <c r="HI187" i="100"/>
  <c r="HI35" i="100"/>
  <c r="HI331" i="100"/>
  <c r="HI299" i="100"/>
  <c r="HI184" i="100"/>
  <c r="HI18" i="100"/>
  <c r="HI179" i="100"/>
  <c r="HI39" i="100"/>
  <c r="HI332" i="100"/>
  <c r="HI294" i="100"/>
  <c r="HI195" i="100"/>
  <c r="HI172" i="100"/>
  <c r="HI64" i="100"/>
  <c r="HI168" i="100"/>
  <c r="HI324" i="100"/>
  <c r="HI75" i="100"/>
  <c r="HI41" i="100"/>
  <c r="HI307" i="100"/>
  <c r="HI297" i="100"/>
  <c r="HI28" i="100"/>
  <c r="HI318" i="100"/>
  <c r="HI207" i="100"/>
  <c r="HI161" i="100"/>
  <c r="HI42" i="100"/>
  <c r="HI296" i="100"/>
  <c r="HI323" i="100"/>
  <c r="HI37" i="100"/>
  <c r="HI163" i="100"/>
  <c r="HI336" i="100"/>
  <c r="HI320" i="100"/>
  <c r="HI68" i="100"/>
  <c r="HI185" i="100"/>
  <c r="HI193" i="100"/>
  <c r="HI13" i="100"/>
  <c r="HI24" i="100"/>
  <c r="HI8" i="100"/>
  <c r="HI313" i="100"/>
  <c r="HI329" i="100"/>
  <c r="HI166" i="100"/>
  <c r="HI9" i="100"/>
  <c r="HI288" i="100"/>
  <c r="HI11" i="100"/>
  <c r="HI303" i="100"/>
  <c r="HI158" i="100"/>
  <c r="HI204" i="100"/>
  <c r="HI23" i="100"/>
  <c r="HI326" i="100"/>
  <c r="HI29" i="100"/>
  <c r="HI337" i="100"/>
  <c r="HI20" i="100"/>
  <c r="HI312" i="100"/>
  <c r="HI190" i="100"/>
  <c r="HI30" i="100"/>
  <c r="HI192" i="100"/>
  <c r="HI74" i="100"/>
  <c r="HI66" i="100"/>
  <c r="HJ7" i="100"/>
  <c r="HI328" i="100"/>
  <c r="HI319" i="100"/>
  <c r="HI36" i="100"/>
  <c r="HI76" i="100"/>
  <c r="HI186" i="100"/>
  <c r="HI167" i="100"/>
  <c r="HI301" i="100"/>
  <c r="HI178" i="100"/>
  <c r="HI199" i="100"/>
  <c r="HI34" i="100"/>
  <c r="HI194" i="100"/>
  <c r="HI201" i="100"/>
  <c r="HI162" i="100"/>
  <c r="HI38" i="100"/>
  <c r="HI290" i="100"/>
  <c r="HI32" i="100"/>
  <c r="HI77" i="100"/>
  <c r="HI308" i="100"/>
  <c r="HI177" i="100"/>
  <c r="HI12" i="100"/>
  <c r="HI198" i="100"/>
  <c r="HI206" i="100"/>
  <c r="HI31" i="100"/>
  <c r="HI300" i="100"/>
  <c r="HI321" i="100"/>
  <c r="HI67" i="100"/>
  <c r="HI10" i="100"/>
  <c r="HI298" i="100"/>
  <c r="HI306" i="100"/>
  <c r="HI310" i="100"/>
  <c r="HI311" i="100"/>
  <c r="HI200" i="100"/>
  <c r="HI309" i="100"/>
  <c r="HI170" i="100"/>
  <c r="HI65" i="100"/>
  <c r="HI196" i="100"/>
  <c r="HI327" i="100"/>
  <c r="HI293" i="100"/>
  <c r="HI69" i="100"/>
  <c r="HI15" i="100"/>
  <c r="HI181" i="100"/>
  <c r="HI175" i="100"/>
  <c r="HI176" i="100"/>
  <c r="HI335" i="100"/>
  <c r="HI317" i="100"/>
  <c r="HI182" i="100"/>
  <c r="HI159" i="100"/>
  <c r="HI19" i="100"/>
  <c r="HI174" i="100"/>
  <c r="HI291" i="100"/>
  <c r="HI22" i="100"/>
  <c r="HI40" i="100"/>
  <c r="HI305" i="100"/>
  <c r="HI169" i="100"/>
  <c r="HI71" i="100"/>
  <c r="HI21" i="100"/>
  <c r="HI289" i="100"/>
  <c r="HJ44" i="100" l="1"/>
  <c r="HJ62" i="100"/>
  <c r="HJ46" i="100"/>
  <c r="HJ63" i="100"/>
  <c r="HJ45" i="100"/>
  <c r="HJ49" i="100"/>
  <c r="HJ58" i="100"/>
  <c r="HJ50" i="100"/>
  <c r="HJ47" i="100"/>
  <c r="HJ53" i="100"/>
  <c r="HJ54" i="100"/>
  <c r="HJ48" i="100"/>
  <c r="HJ52" i="100"/>
  <c r="HJ56" i="100"/>
  <c r="HJ59" i="100"/>
  <c r="HJ61" i="100"/>
  <c r="HJ57" i="100"/>
  <c r="HJ51" i="100"/>
  <c r="HJ60" i="100"/>
  <c r="HJ55" i="100"/>
  <c r="HI79" i="100"/>
  <c r="HI78" i="100" s="1"/>
  <c r="HI209" i="100"/>
  <c r="HI339" i="100"/>
  <c r="HJ195" i="100"/>
  <c r="HJ304" i="100"/>
  <c r="HJ31" i="100"/>
  <c r="HJ329" i="100"/>
  <c r="HJ34" i="100"/>
  <c r="HJ188" i="100"/>
  <c r="HJ335" i="100"/>
  <c r="HJ36" i="100"/>
  <c r="HJ311" i="100"/>
  <c r="HJ291" i="100"/>
  <c r="HJ19" i="100"/>
  <c r="HJ29" i="100"/>
  <c r="HJ295" i="100"/>
  <c r="HJ297" i="100"/>
  <c r="HJ28" i="100"/>
  <c r="HJ332" i="100"/>
  <c r="HJ330" i="100"/>
  <c r="HJ187" i="100"/>
  <c r="HJ20" i="100"/>
  <c r="HJ72" i="100"/>
  <c r="HJ15" i="100"/>
  <c r="HJ303" i="100"/>
  <c r="HJ170" i="100"/>
  <c r="HJ196" i="100"/>
  <c r="HJ336" i="100"/>
  <c r="HJ66" i="100"/>
  <c r="HJ205" i="100"/>
  <c r="HJ301" i="100"/>
  <c r="HJ193" i="100"/>
  <c r="HJ199" i="100"/>
  <c r="HJ73" i="100"/>
  <c r="HJ289" i="100"/>
  <c r="HJ43" i="100"/>
  <c r="HJ294" i="100"/>
  <c r="HJ309" i="100"/>
  <c r="HJ206" i="100"/>
  <c r="HJ293" i="100"/>
  <c r="HJ32" i="100"/>
  <c r="HJ21" i="100"/>
  <c r="HJ290" i="100"/>
  <c r="HJ69" i="100"/>
  <c r="HJ159" i="100"/>
  <c r="HJ207" i="100"/>
  <c r="HJ328" i="100"/>
  <c r="HJ315" i="100"/>
  <c r="HJ68" i="100"/>
  <c r="HJ337" i="100"/>
  <c r="HJ190" i="100"/>
  <c r="HJ204" i="100"/>
  <c r="HJ10" i="100"/>
  <c r="HJ158" i="100"/>
  <c r="HJ191" i="100"/>
  <c r="HJ162" i="100"/>
  <c r="HJ171" i="100"/>
  <c r="HJ174" i="100"/>
  <c r="HJ200" i="100"/>
  <c r="HJ30" i="100"/>
  <c r="HJ302" i="100"/>
  <c r="HJ298" i="100"/>
  <c r="HJ326" i="100"/>
  <c r="HJ175" i="100"/>
  <c r="HJ334" i="100"/>
  <c r="HJ11" i="100"/>
  <c r="HJ173" i="100"/>
  <c r="HJ166" i="100"/>
  <c r="HJ203" i="100"/>
  <c r="HJ14" i="100"/>
  <c r="HJ75" i="100"/>
  <c r="HJ167" i="100"/>
  <c r="HJ22" i="100"/>
  <c r="HJ67" i="100"/>
  <c r="HK7" i="100"/>
  <c r="HJ9" i="100"/>
  <c r="HJ198" i="100"/>
  <c r="HJ26" i="100"/>
  <c r="HJ324" i="100"/>
  <c r="HJ17" i="100"/>
  <c r="HJ35" i="100"/>
  <c r="HJ165" i="100"/>
  <c r="HJ320" i="100"/>
  <c r="HJ183" i="100"/>
  <c r="HJ181" i="100"/>
  <c r="HJ327" i="100"/>
  <c r="HJ306" i="100"/>
  <c r="HJ308" i="100"/>
  <c r="HJ33" i="100"/>
  <c r="HJ184" i="100"/>
  <c r="HJ296" i="100"/>
  <c r="HJ319" i="100"/>
  <c r="HJ23" i="100"/>
  <c r="HJ16" i="100"/>
  <c r="HJ314" i="100"/>
  <c r="HJ70" i="100"/>
  <c r="HJ186" i="100"/>
  <c r="HJ41" i="100"/>
  <c r="HJ25" i="100"/>
  <c r="HJ8" i="100"/>
  <c r="HJ310" i="100"/>
  <c r="HJ313" i="100"/>
  <c r="HJ317" i="100"/>
  <c r="HJ202" i="100"/>
  <c r="HJ299" i="100"/>
  <c r="HJ172" i="100"/>
  <c r="HJ161" i="100"/>
  <c r="HJ37" i="100"/>
  <c r="HJ312" i="100"/>
  <c r="HJ168" i="100"/>
  <c r="HJ300" i="100"/>
  <c r="HJ164" i="100"/>
  <c r="HJ163" i="100"/>
  <c r="HJ74" i="100"/>
  <c r="HJ77" i="100"/>
  <c r="HJ169" i="100"/>
  <c r="HJ325" i="100"/>
  <c r="HJ176" i="100"/>
  <c r="HJ194" i="100"/>
  <c r="HJ38" i="100"/>
  <c r="HJ331" i="100"/>
  <c r="HJ65" i="100"/>
  <c r="HJ192" i="100"/>
  <c r="HJ321" i="100"/>
  <c r="HJ13" i="100"/>
  <c r="HJ182" i="100"/>
  <c r="HJ322" i="100"/>
  <c r="HJ177" i="100"/>
  <c r="HJ197" i="100"/>
  <c r="HJ318" i="100"/>
  <c r="HJ185" i="100"/>
  <c r="HJ160" i="100"/>
  <c r="HJ24" i="100"/>
  <c r="HJ307" i="100"/>
  <c r="HJ76" i="100"/>
  <c r="HJ179" i="100"/>
  <c r="HJ189" i="100"/>
  <c r="HJ180" i="100"/>
  <c r="HJ305" i="100"/>
  <c r="HJ201" i="100"/>
  <c r="HJ27" i="100"/>
  <c r="HJ178" i="100"/>
  <c r="HJ40" i="100"/>
  <c r="HJ18" i="100"/>
  <c r="HJ12" i="100"/>
  <c r="HJ316" i="100"/>
  <c r="HJ333" i="100"/>
  <c r="HJ323" i="100"/>
  <c r="HJ71" i="100"/>
  <c r="HJ39" i="100"/>
  <c r="HJ42" i="100"/>
  <c r="HJ288" i="100"/>
  <c r="HJ64" i="100"/>
  <c r="HJ292" i="100"/>
  <c r="HK46" i="100" l="1"/>
  <c r="HK63" i="100"/>
  <c r="HK62" i="100"/>
  <c r="HK44" i="100"/>
  <c r="HK51" i="100"/>
  <c r="HK59" i="100"/>
  <c r="HK61" i="100"/>
  <c r="HK49" i="100"/>
  <c r="HK53" i="100"/>
  <c r="HK57" i="100"/>
  <c r="HK58" i="100"/>
  <c r="HK55" i="100"/>
  <c r="HK60" i="100"/>
  <c r="HK50" i="100"/>
  <c r="HK47" i="100"/>
  <c r="HK45" i="100"/>
  <c r="HK52" i="100"/>
  <c r="HK54" i="100"/>
  <c r="HK48" i="100"/>
  <c r="HK56" i="100"/>
  <c r="HJ79" i="100"/>
  <c r="HJ78" i="100" s="1"/>
  <c r="HJ209" i="100"/>
  <c r="HJ339" i="100"/>
  <c r="HK201" i="100"/>
  <c r="HK306" i="100"/>
  <c r="HK300" i="100"/>
  <c r="HK319" i="100"/>
  <c r="HK172" i="100"/>
  <c r="HK27" i="100"/>
  <c r="HK32" i="100"/>
  <c r="HK329" i="100"/>
  <c r="HK188" i="100"/>
  <c r="HK320" i="100"/>
  <c r="HK64" i="100"/>
  <c r="HK67" i="100"/>
  <c r="HK162" i="100"/>
  <c r="HK174" i="100"/>
  <c r="HK18" i="100"/>
  <c r="HK19" i="100"/>
  <c r="HK290" i="100"/>
  <c r="HK327" i="100"/>
  <c r="HK195" i="100"/>
  <c r="HK33" i="100"/>
  <c r="HK186" i="100"/>
  <c r="HK36" i="100"/>
  <c r="HK10" i="100"/>
  <c r="HK203" i="100"/>
  <c r="HK309" i="100"/>
  <c r="HK74" i="100"/>
  <c r="HK292" i="100"/>
  <c r="HK159" i="100"/>
  <c r="HK332" i="100"/>
  <c r="HK312" i="100"/>
  <c r="HK311" i="100"/>
  <c r="HK72" i="100"/>
  <c r="HK304" i="100"/>
  <c r="HK302" i="100"/>
  <c r="HK42" i="100"/>
  <c r="HK38" i="100"/>
  <c r="HK26" i="100"/>
  <c r="HK161" i="100"/>
  <c r="HK180" i="100"/>
  <c r="HK194" i="100"/>
  <c r="HK37" i="100"/>
  <c r="HK12" i="100"/>
  <c r="HK305" i="100"/>
  <c r="HK39" i="100"/>
  <c r="HK324" i="100"/>
  <c r="HK316" i="100"/>
  <c r="HK197" i="100"/>
  <c r="HK65" i="100"/>
  <c r="HK11" i="100"/>
  <c r="HK310" i="100"/>
  <c r="HK317" i="100"/>
  <c r="HK158" i="100"/>
  <c r="HK334" i="100"/>
  <c r="HK297" i="100"/>
  <c r="HK175" i="100"/>
  <c r="HK293" i="100"/>
  <c r="HK165" i="100"/>
  <c r="HK303" i="100"/>
  <c r="HK198" i="100"/>
  <c r="HK75" i="100"/>
  <c r="HK70" i="100"/>
  <c r="HK318" i="100"/>
  <c r="HK24" i="100"/>
  <c r="HK187" i="100"/>
  <c r="HK185" i="100"/>
  <c r="HK333" i="100"/>
  <c r="HK189" i="100"/>
  <c r="HK41" i="100"/>
  <c r="HK192" i="100"/>
  <c r="HK325" i="100"/>
  <c r="HK176" i="100"/>
  <c r="HK170" i="100"/>
  <c r="HK73" i="100"/>
  <c r="HK307" i="100"/>
  <c r="HK328" i="100"/>
  <c r="HK29" i="100"/>
  <c r="HK181" i="100"/>
  <c r="HK16" i="100"/>
  <c r="HK17" i="100"/>
  <c r="HK296" i="100"/>
  <c r="HK313" i="100"/>
  <c r="HK193" i="100"/>
  <c r="HK294" i="100"/>
  <c r="HK167" i="100"/>
  <c r="HK289" i="100"/>
  <c r="HK207" i="100"/>
  <c r="HK9" i="100"/>
  <c r="HK76" i="100"/>
  <c r="HK184" i="100"/>
  <c r="HK337" i="100"/>
  <c r="HK31" i="100"/>
  <c r="HK21" i="100"/>
  <c r="HK171" i="100"/>
  <c r="HK200" i="100"/>
  <c r="HK323" i="100"/>
  <c r="HK28" i="100"/>
  <c r="HK314" i="100"/>
  <c r="HK299" i="100"/>
  <c r="HK182" i="100"/>
  <c r="HK196" i="100"/>
  <c r="HK13" i="100"/>
  <c r="HK15" i="100"/>
  <c r="HK288" i="100"/>
  <c r="HK291" i="100"/>
  <c r="HK206" i="100"/>
  <c r="HK77" i="100"/>
  <c r="HK336" i="100"/>
  <c r="HK166" i="100"/>
  <c r="HK163" i="100"/>
  <c r="HK173" i="100"/>
  <c r="HK178" i="100"/>
  <c r="HK298" i="100"/>
  <c r="HK177" i="100"/>
  <c r="HK330" i="100"/>
  <c r="HK315" i="100"/>
  <c r="HK183" i="100"/>
  <c r="HK20" i="100"/>
  <c r="HK30" i="100"/>
  <c r="HK22" i="100"/>
  <c r="HK308" i="100"/>
  <c r="HK295" i="100"/>
  <c r="HK35" i="100"/>
  <c r="HK14" i="100"/>
  <c r="HK190" i="100"/>
  <c r="HK301" i="100"/>
  <c r="HK204" i="100"/>
  <c r="HK71" i="100"/>
  <c r="HK191" i="100"/>
  <c r="HK40" i="100"/>
  <c r="HK164" i="100"/>
  <c r="HK25" i="100"/>
  <c r="HK168" i="100"/>
  <c r="HK66" i="100"/>
  <c r="HK335" i="100"/>
  <c r="HK160" i="100"/>
  <c r="HK326" i="100"/>
  <c r="HK23" i="100"/>
  <c r="HK179" i="100"/>
  <c r="HK169" i="100"/>
  <c r="HK8" i="100"/>
  <c r="HK321" i="100"/>
  <c r="HK34" i="100"/>
  <c r="HK205" i="100"/>
  <c r="HL7" i="100"/>
  <c r="HK43" i="100"/>
  <c r="HK69" i="100"/>
  <c r="HK322" i="100"/>
  <c r="HK68" i="100"/>
  <c r="HK331" i="100"/>
  <c r="HK199" i="100"/>
  <c r="HK202" i="100"/>
  <c r="HL45" i="100" l="1"/>
  <c r="HL63" i="100"/>
  <c r="HL62" i="100"/>
  <c r="HL46" i="100"/>
  <c r="HL44" i="100"/>
  <c r="HL58" i="100"/>
  <c r="HL50" i="100"/>
  <c r="HL54" i="100"/>
  <c r="HL49" i="100"/>
  <c r="HL47" i="100"/>
  <c r="HL48" i="100"/>
  <c r="HL59" i="100"/>
  <c r="HL53" i="100"/>
  <c r="HL56" i="100"/>
  <c r="HL55" i="100"/>
  <c r="HL61" i="100"/>
  <c r="HL57" i="100"/>
  <c r="HL60" i="100"/>
  <c r="HL52" i="100"/>
  <c r="HL51" i="100"/>
  <c r="HK209" i="100"/>
  <c r="HK339" i="100"/>
  <c r="HK79" i="100"/>
  <c r="HK78" i="100" s="1"/>
  <c r="HL299" i="100"/>
  <c r="HL177" i="100"/>
  <c r="HL11" i="100"/>
  <c r="HL191" i="100"/>
  <c r="HL309" i="100"/>
  <c r="HL332" i="100"/>
  <c r="HL200" i="100"/>
  <c r="HL302" i="100"/>
  <c r="HL43" i="100"/>
  <c r="HL314" i="100"/>
  <c r="HL296" i="100"/>
  <c r="HL203" i="100"/>
  <c r="HL158" i="100"/>
  <c r="HL14" i="100"/>
  <c r="HL77" i="100"/>
  <c r="HL316" i="100"/>
  <c r="HL165" i="100"/>
  <c r="HL169" i="100"/>
  <c r="HL66" i="100"/>
  <c r="HL23" i="100"/>
  <c r="HL25" i="100"/>
  <c r="HL304" i="100"/>
  <c r="HL21" i="100"/>
  <c r="HL42" i="100"/>
  <c r="HL301" i="100"/>
  <c r="HL168" i="100"/>
  <c r="HL29" i="100"/>
  <c r="HL28" i="100"/>
  <c r="HL39" i="100"/>
  <c r="HL193" i="100"/>
  <c r="HL201" i="100"/>
  <c r="HL330" i="100"/>
  <c r="HL181" i="100"/>
  <c r="HL17" i="100"/>
  <c r="HL186" i="100"/>
  <c r="HL194" i="100"/>
  <c r="HL182" i="100"/>
  <c r="HL323" i="100"/>
  <c r="HL180" i="100"/>
  <c r="HM7" i="100"/>
  <c r="HL206" i="100"/>
  <c r="HL184" i="100"/>
  <c r="HL195" i="100"/>
  <c r="HL35" i="100"/>
  <c r="HL190" i="100"/>
  <c r="HL295" i="100"/>
  <c r="HL326" i="100"/>
  <c r="HL305" i="100"/>
  <c r="HL36" i="100"/>
  <c r="HL325" i="100"/>
  <c r="HL185" i="100"/>
  <c r="HL312" i="100"/>
  <c r="HL324" i="100"/>
  <c r="HL170" i="100"/>
  <c r="HL289" i="100"/>
  <c r="HL162" i="100"/>
  <c r="HL40" i="100"/>
  <c r="HL13" i="100"/>
  <c r="HL20" i="100"/>
  <c r="HL68" i="100"/>
  <c r="HL38" i="100"/>
  <c r="HL327" i="100"/>
  <c r="HL335" i="100"/>
  <c r="HL311" i="100"/>
  <c r="HL160" i="100"/>
  <c r="HL31" i="100"/>
  <c r="HL199" i="100"/>
  <c r="HL322" i="100"/>
  <c r="HL15" i="100"/>
  <c r="HL198" i="100"/>
  <c r="HL32" i="100"/>
  <c r="HL306" i="100"/>
  <c r="HL24" i="100"/>
  <c r="HL175" i="100"/>
  <c r="HL65" i="100"/>
  <c r="HL202" i="100"/>
  <c r="HL334" i="100"/>
  <c r="HL290" i="100"/>
  <c r="HL293" i="100"/>
  <c r="HL300" i="100"/>
  <c r="HL291" i="100"/>
  <c r="HL18" i="100"/>
  <c r="HL318" i="100"/>
  <c r="HL30" i="100"/>
  <c r="HL308" i="100"/>
  <c r="HL331" i="100"/>
  <c r="HL307" i="100"/>
  <c r="HL164" i="100"/>
  <c r="HL159" i="100"/>
  <c r="HL75" i="100"/>
  <c r="HL34" i="100"/>
  <c r="HL183" i="100"/>
  <c r="HL204" i="100"/>
  <c r="HL167" i="100"/>
  <c r="HL70" i="100"/>
  <c r="HL171" i="100"/>
  <c r="HL189" i="100"/>
  <c r="HL197" i="100"/>
  <c r="HL336" i="100"/>
  <c r="HL205" i="100"/>
  <c r="HL12" i="100"/>
  <c r="HL27" i="100"/>
  <c r="HL178" i="100"/>
  <c r="HL41" i="100"/>
  <c r="HL303" i="100"/>
  <c r="HL10" i="100"/>
  <c r="HL174" i="100"/>
  <c r="HL288" i="100"/>
  <c r="HL16" i="100"/>
  <c r="HL71" i="100"/>
  <c r="HL173" i="100"/>
  <c r="HL319" i="100"/>
  <c r="HL294" i="100"/>
  <c r="HL73" i="100"/>
  <c r="HL192" i="100"/>
  <c r="HL320" i="100"/>
  <c r="HL19" i="100"/>
  <c r="HL315" i="100"/>
  <c r="HL187" i="100"/>
  <c r="HL64" i="100"/>
  <c r="HL69" i="100"/>
  <c r="HL67" i="100"/>
  <c r="HL297" i="100"/>
  <c r="HL292" i="100"/>
  <c r="HL207" i="100"/>
  <c r="HL72" i="100"/>
  <c r="HL317" i="100"/>
  <c r="HL321" i="100"/>
  <c r="HL76" i="100"/>
  <c r="HL37" i="100"/>
  <c r="HL310" i="100"/>
  <c r="HL298" i="100"/>
  <c r="HL172" i="100"/>
  <c r="HL337" i="100"/>
  <c r="HL26" i="100"/>
  <c r="HL9" i="100"/>
  <c r="HL8" i="100"/>
  <c r="HL333" i="100"/>
  <c r="HL166" i="100"/>
  <c r="HL22" i="100"/>
  <c r="HL163" i="100"/>
  <c r="HL188" i="100"/>
  <c r="HL328" i="100"/>
  <c r="HL161" i="100"/>
  <c r="HL179" i="100"/>
  <c r="HL176" i="100"/>
  <c r="HL313" i="100"/>
  <c r="HL74" i="100"/>
  <c r="HL33" i="100"/>
  <c r="HL196" i="100"/>
  <c r="HL329" i="100"/>
  <c r="HM63" i="100" l="1"/>
  <c r="HM46" i="100"/>
  <c r="HM44" i="100"/>
  <c r="HM62" i="100"/>
  <c r="HM48" i="100"/>
  <c r="HM55" i="100"/>
  <c r="HM53" i="100"/>
  <c r="HM58" i="100"/>
  <c r="HM54" i="100"/>
  <c r="HM50" i="100"/>
  <c r="HM49" i="100"/>
  <c r="HM56" i="100"/>
  <c r="HM51" i="100"/>
  <c r="HM57" i="100"/>
  <c r="HM47" i="100"/>
  <c r="HM59" i="100"/>
  <c r="HM52" i="100"/>
  <c r="HM45" i="100"/>
  <c r="HM60" i="100"/>
  <c r="HM61" i="100"/>
  <c r="HL209" i="100"/>
  <c r="HL339" i="100"/>
  <c r="HL79" i="100"/>
  <c r="HL78" i="100" s="1"/>
  <c r="HM193" i="100"/>
  <c r="HM315" i="100"/>
  <c r="HM297" i="100"/>
  <c r="HM28" i="100"/>
  <c r="HM301" i="100"/>
  <c r="HM43" i="100"/>
  <c r="HM38" i="100"/>
  <c r="HN7" i="100"/>
  <c r="HM308" i="100"/>
  <c r="HM327" i="100"/>
  <c r="HM292" i="100"/>
  <c r="HM162" i="100"/>
  <c r="HM298" i="100"/>
  <c r="HM197" i="100"/>
  <c r="HM179" i="100"/>
  <c r="HM73" i="100"/>
  <c r="HM18" i="100"/>
  <c r="HM205" i="100"/>
  <c r="HM167" i="100"/>
  <c r="HM64" i="100"/>
  <c r="HM324" i="100"/>
  <c r="HM72" i="100"/>
  <c r="HM175" i="100"/>
  <c r="HM182" i="100"/>
  <c r="HM313" i="100"/>
  <c r="HM13" i="100"/>
  <c r="HM334" i="100"/>
  <c r="HM289" i="100"/>
  <c r="HM165" i="100"/>
  <c r="HM69" i="100"/>
  <c r="HM335" i="100"/>
  <c r="HM325" i="100"/>
  <c r="HM180" i="100"/>
  <c r="HM76" i="100"/>
  <c r="HM312" i="100"/>
  <c r="HM164" i="100"/>
  <c r="HM158" i="100"/>
  <c r="HM293" i="100"/>
  <c r="HM318" i="100"/>
  <c r="HM36" i="100"/>
  <c r="HM305" i="100"/>
  <c r="HM330" i="100"/>
  <c r="HM321" i="100"/>
  <c r="HM314" i="100"/>
  <c r="HM74" i="100"/>
  <c r="HM174" i="100"/>
  <c r="HM11" i="100"/>
  <c r="HM20" i="100"/>
  <c r="HM295" i="100"/>
  <c r="HM22" i="100"/>
  <c r="HM35" i="100"/>
  <c r="HM190" i="100"/>
  <c r="HM300" i="100"/>
  <c r="HM183" i="100"/>
  <c r="HM202" i="100"/>
  <c r="HM336" i="100"/>
  <c r="HM317" i="100"/>
  <c r="HM186" i="100"/>
  <c r="HM299" i="100"/>
  <c r="HM326" i="100"/>
  <c r="HM27" i="100"/>
  <c r="HM77" i="100"/>
  <c r="HM170" i="100"/>
  <c r="HM34" i="100"/>
  <c r="HM185" i="100"/>
  <c r="HM329" i="100"/>
  <c r="HM204" i="100"/>
  <c r="HM24" i="100"/>
  <c r="HM42" i="100"/>
  <c r="HM189" i="100"/>
  <c r="HM14" i="100"/>
  <c r="HM333" i="100"/>
  <c r="HM198" i="100"/>
  <c r="HM32" i="100"/>
  <c r="HM161" i="100"/>
  <c r="HM40" i="100"/>
  <c r="HM171" i="100"/>
  <c r="HM332" i="100"/>
  <c r="HM306" i="100"/>
  <c r="HM187" i="100"/>
  <c r="HM307" i="100"/>
  <c r="HM207" i="100"/>
  <c r="HM181" i="100"/>
  <c r="HM71" i="100"/>
  <c r="HM206" i="100"/>
  <c r="HM331" i="100"/>
  <c r="HM39" i="100"/>
  <c r="HM188" i="100"/>
  <c r="HM10" i="100"/>
  <c r="HM184" i="100"/>
  <c r="HM30" i="100"/>
  <c r="HM203" i="100"/>
  <c r="HM194" i="100"/>
  <c r="HM201" i="100"/>
  <c r="HM294" i="100"/>
  <c r="HM302" i="100"/>
  <c r="HM16" i="100"/>
  <c r="HM288" i="100"/>
  <c r="HM68" i="100"/>
  <c r="HM290" i="100"/>
  <c r="HM12" i="100"/>
  <c r="HM8" i="100"/>
  <c r="HM31" i="100"/>
  <c r="HM200" i="100"/>
  <c r="HM178" i="100"/>
  <c r="HM296" i="100"/>
  <c r="HM311" i="100"/>
  <c r="HM168" i="100"/>
  <c r="HM25" i="100"/>
  <c r="HM173" i="100"/>
  <c r="HM29" i="100"/>
  <c r="HM309" i="100"/>
  <c r="HM169" i="100"/>
  <c r="HM176" i="100"/>
  <c r="HM199" i="100"/>
  <c r="HM66" i="100"/>
  <c r="HM19" i="100"/>
  <c r="HM177" i="100"/>
  <c r="HM159" i="100"/>
  <c r="HM172" i="100"/>
  <c r="HM191" i="100"/>
  <c r="HM70" i="100"/>
  <c r="HM291" i="100"/>
  <c r="HM65" i="100"/>
  <c r="HM337" i="100"/>
  <c r="HM310" i="100"/>
  <c r="HM67" i="100"/>
  <c r="HM323" i="100"/>
  <c r="HM75" i="100"/>
  <c r="HM328" i="100"/>
  <c r="HM303" i="100"/>
  <c r="HM304" i="100"/>
  <c r="HM41" i="100"/>
  <c r="HM166" i="100"/>
  <c r="HM37" i="100"/>
  <c r="HM196" i="100"/>
  <c r="HM9" i="100"/>
  <c r="HM195" i="100"/>
  <c r="HM160" i="100"/>
  <c r="HM21" i="100"/>
  <c r="HM322" i="100"/>
  <c r="HM26" i="100"/>
  <c r="HM320" i="100"/>
  <c r="HM319" i="100"/>
  <c r="HM163" i="100"/>
  <c r="HM17" i="100"/>
  <c r="HM33" i="100"/>
  <c r="HM15" i="100"/>
  <c r="HM316" i="100"/>
  <c r="HM192" i="100"/>
  <c r="HM23" i="100"/>
  <c r="HN62" i="100" l="1"/>
  <c r="HN59" i="100"/>
  <c r="HN60" i="100"/>
  <c r="HN46" i="100"/>
  <c r="HN44" i="100"/>
  <c r="HN63" i="100"/>
  <c r="HN51" i="100"/>
  <c r="HN61" i="100"/>
  <c r="HN49" i="100"/>
  <c r="HN50" i="100"/>
  <c r="HN54" i="100"/>
  <c r="HN48" i="100"/>
  <c r="HN53" i="100"/>
  <c r="HN55" i="100"/>
  <c r="HN56" i="100"/>
  <c r="HN47" i="100"/>
  <c r="HN58" i="100"/>
  <c r="HN45" i="100"/>
  <c r="HN52" i="100"/>
  <c r="HN57" i="100"/>
  <c r="HM79" i="100"/>
  <c r="HM78" i="100" s="1"/>
  <c r="HM209" i="100"/>
  <c r="HM339" i="100"/>
  <c r="HN43" i="100"/>
  <c r="HN26" i="100"/>
  <c r="HN24" i="100"/>
  <c r="HN193" i="100"/>
  <c r="HN194" i="100"/>
  <c r="HN36" i="100"/>
  <c r="HN12" i="100"/>
  <c r="HN65" i="100"/>
  <c r="HN312" i="100"/>
  <c r="HN75" i="100"/>
  <c r="HN174" i="100"/>
  <c r="HN173" i="100"/>
  <c r="HN310" i="100"/>
  <c r="HN176" i="100"/>
  <c r="HN183" i="100"/>
  <c r="HN32" i="100"/>
  <c r="HN188" i="100"/>
  <c r="HN25" i="100"/>
  <c r="HN160" i="100"/>
  <c r="HN307" i="100"/>
  <c r="HN306" i="100"/>
  <c r="HN190" i="100"/>
  <c r="HN309" i="100"/>
  <c r="HN207" i="100"/>
  <c r="HN158" i="100"/>
  <c r="HN192" i="100"/>
  <c r="HN196" i="100"/>
  <c r="HN326" i="100"/>
  <c r="HN159" i="100"/>
  <c r="HN337" i="100"/>
  <c r="HN29" i="100"/>
  <c r="HN170" i="100"/>
  <c r="HN335" i="100"/>
  <c r="HN295" i="100"/>
  <c r="HN22" i="100"/>
  <c r="HN206" i="100"/>
  <c r="HN184" i="100"/>
  <c r="HN8" i="100"/>
  <c r="HN331" i="100"/>
  <c r="HN316" i="100"/>
  <c r="HN163" i="100"/>
  <c r="HN298" i="100"/>
  <c r="HN19" i="100"/>
  <c r="HN161" i="100"/>
  <c r="HN317" i="100"/>
  <c r="HN297" i="100"/>
  <c r="HN336" i="100"/>
  <c r="HN177" i="100"/>
  <c r="HN17" i="100"/>
  <c r="HN168" i="100"/>
  <c r="HN39" i="100"/>
  <c r="HO7" i="100"/>
  <c r="HN294" i="100"/>
  <c r="HN329" i="100"/>
  <c r="HN77" i="100"/>
  <c r="HN35" i="100"/>
  <c r="HN197" i="100"/>
  <c r="HN191" i="100"/>
  <c r="HN68" i="100"/>
  <c r="HN66" i="100"/>
  <c r="HN313" i="100"/>
  <c r="HN204" i="100"/>
  <c r="HN73" i="100"/>
  <c r="HN69" i="100"/>
  <c r="HN332" i="100"/>
  <c r="HN301" i="100"/>
  <c r="HN327" i="100"/>
  <c r="HN186" i="100"/>
  <c r="HN167" i="100"/>
  <c r="HN334" i="100"/>
  <c r="HN200" i="100"/>
  <c r="HN180" i="100"/>
  <c r="HN14" i="100"/>
  <c r="HN319" i="100"/>
  <c r="HN328" i="100"/>
  <c r="HN318" i="100"/>
  <c r="HN21" i="100"/>
  <c r="HN37" i="100"/>
  <c r="HN169" i="100"/>
  <c r="HN72" i="100"/>
  <c r="HN162" i="100"/>
  <c r="HN67" i="100"/>
  <c r="HN195" i="100"/>
  <c r="HN18" i="100"/>
  <c r="HN315" i="100"/>
  <c r="HN314" i="100"/>
  <c r="HN181" i="100"/>
  <c r="HN76" i="100"/>
  <c r="HN325" i="100"/>
  <c r="HN292" i="100"/>
  <c r="HN40" i="100"/>
  <c r="HN291" i="100"/>
  <c r="HN172" i="100"/>
  <c r="HN34" i="100"/>
  <c r="HN308" i="100"/>
  <c r="HN9" i="100"/>
  <c r="HN164" i="100"/>
  <c r="HN10" i="100"/>
  <c r="HN311" i="100"/>
  <c r="HN179" i="100"/>
  <c r="HN178" i="100"/>
  <c r="HN38" i="100"/>
  <c r="HN201" i="100"/>
  <c r="HN300" i="100"/>
  <c r="HN323" i="100"/>
  <c r="HN199" i="100"/>
  <c r="HN15" i="100"/>
  <c r="HN64" i="100"/>
  <c r="HN330" i="100"/>
  <c r="HN289" i="100"/>
  <c r="HN165" i="100"/>
  <c r="HN333" i="100"/>
  <c r="HN189" i="100"/>
  <c r="HN205" i="100"/>
  <c r="HN288" i="100"/>
  <c r="HN42" i="100"/>
  <c r="HN27" i="100"/>
  <c r="HN320" i="100"/>
  <c r="HN74" i="100"/>
  <c r="HN293" i="100"/>
  <c r="HN305" i="100"/>
  <c r="HN11" i="100"/>
  <c r="HN203" i="100"/>
  <c r="HN28" i="100"/>
  <c r="HN20" i="100"/>
  <c r="HN321" i="100"/>
  <c r="HN33" i="100"/>
  <c r="HN175" i="100"/>
  <c r="HN166" i="100"/>
  <c r="HN23" i="100"/>
  <c r="HN296" i="100"/>
  <c r="HN13" i="100"/>
  <c r="HN299" i="100"/>
  <c r="HN182" i="100"/>
  <c r="HN171" i="100"/>
  <c r="HN324" i="100"/>
  <c r="HN303" i="100"/>
  <c r="HN304" i="100"/>
  <c r="HN185" i="100"/>
  <c r="HN302" i="100"/>
  <c r="HN71" i="100"/>
  <c r="HN41" i="100"/>
  <c r="HN290" i="100"/>
  <c r="HN198" i="100"/>
  <c r="HN30" i="100"/>
  <c r="HN31" i="100"/>
  <c r="HN322" i="100"/>
  <c r="HN16" i="100"/>
  <c r="HN187" i="100"/>
  <c r="HN70" i="100"/>
  <c r="HN202" i="100"/>
  <c r="HO44" i="100" l="1"/>
  <c r="HO54" i="100"/>
  <c r="HO63" i="100"/>
  <c r="HO59" i="100"/>
  <c r="HO58" i="100"/>
  <c r="HO45" i="100"/>
  <c r="HO62" i="100"/>
  <c r="HO46" i="100"/>
  <c r="HO50" i="100"/>
  <c r="HO53" i="100"/>
  <c r="HO51" i="100"/>
  <c r="HO48" i="100"/>
  <c r="HO56" i="100"/>
  <c r="HO52" i="100"/>
  <c r="HO55" i="100"/>
  <c r="HO61" i="100"/>
  <c r="HO60" i="100"/>
  <c r="HO49" i="100"/>
  <c r="HO47" i="100"/>
  <c r="HO57" i="100"/>
  <c r="HN339" i="100"/>
  <c r="HN79" i="100"/>
  <c r="HN78" i="100" s="1"/>
  <c r="HN209" i="100"/>
  <c r="HO289" i="100"/>
  <c r="HO39" i="100"/>
  <c r="HO199" i="100"/>
  <c r="HO171" i="100"/>
  <c r="HO42" i="100"/>
  <c r="HO294" i="100"/>
  <c r="HO190" i="100"/>
  <c r="HO307" i="100"/>
  <c r="HO292" i="100"/>
  <c r="HO198" i="100"/>
  <c r="HO333" i="100"/>
  <c r="HO330" i="100"/>
  <c r="HO314" i="100"/>
  <c r="HO16" i="100"/>
  <c r="HO160" i="100"/>
  <c r="HO334" i="100"/>
  <c r="HO173" i="100"/>
  <c r="HO331" i="100"/>
  <c r="HO158" i="100"/>
  <c r="HO309" i="100"/>
  <c r="HO64" i="100"/>
  <c r="HO75" i="100"/>
  <c r="HO337" i="100"/>
  <c r="HO193" i="100"/>
  <c r="HO174" i="100"/>
  <c r="HO65" i="100"/>
  <c r="HO301" i="100"/>
  <c r="HO332" i="100"/>
  <c r="HO327" i="100"/>
  <c r="HO161" i="100"/>
  <c r="HO306" i="100"/>
  <c r="HO9" i="100"/>
  <c r="HO322" i="100"/>
  <c r="HO200" i="100"/>
  <c r="HO195" i="100"/>
  <c r="HO26" i="100"/>
  <c r="HO172" i="100"/>
  <c r="HO316" i="100"/>
  <c r="HO166" i="100"/>
  <c r="HO27" i="100"/>
  <c r="HO329" i="100"/>
  <c r="HO159" i="100"/>
  <c r="HO310" i="100"/>
  <c r="HO17" i="100"/>
  <c r="HO36" i="100"/>
  <c r="HO182" i="100"/>
  <c r="HO69" i="100"/>
  <c r="HO33" i="100"/>
  <c r="HO291" i="100"/>
  <c r="HO29" i="100"/>
  <c r="HO202" i="100"/>
  <c r="HO31" i="100"/>
  <c r="HO168" i="100"/>
  <c r="HO318" i="100"/>
  <c r="HO30" i="100"/>
  <c r="HO28" i="100"/>
  <c r="HO297" i="100"/>
  <c r="HO176" i="100"/>
  <c r="HO207" i="100"/>
  <c r="HO303" i="100"/>
  <c r="HO201" i="100"/>
  <c r="HO15" i="100"/>
  <c r="HO325" i="100"/>
  <c r="HO18" i="100"/>
  <c r="HO35" i="100"/>
  <c r="HO321" i="100"/>
  <c r="HO175" i="100"/>
  <c r="HO203" i="100"/>
  <c r="HO300" i="100"/>
  <c r="HO187" i="100"/>
  <c r="HO37" i="100"/>
  <c r="HO178" i="100"/>
  <c r="HO305" i="100"/>
  <c r="HO24" i="100"/>
  <c r="HO169" i="100"/>
  <c r="HO43" i="100"/>
  <c r="HO183" i="100"/>
  <c r="HO186" i="100"/>
  <c r="HO308" i="100"/>
  <c r="HO67" i="100"/>
  <c r="HO13" i="100"/>
  <c r="HO204" i="100"/>
  <c r="HO206" i="100"/>
  <c r="HO164" i="100"/>
  <c r="HO296" i="100"/>
  <c r="HO181" i="100"/>
  <c r="HO71" i="100"/>
  <c r="HO21" i="100"/>
  <c r="HO38" i="100"/>
  <c r="HO32" i="100"/>
  <c r="HO192" i="100"/>
  <c r="HO177" i="100"/>
  <c r="HO8" i="100"/>
  <c r="HO290" i="100"/>
  <c r="HO165" i="100"/>
  <c r="HO41" i="100"/>
  <c r="HO179" i="100"/>
  <c r="HO22" i="100"/>
  <c r="HO163" i="100"/>
  <c r="HO73" i="100"/>
  <c r="HO72" i="100"/>
  <c r="HO288" i="100"/>
  <c r="HO312" i="100"/>
  <c r="HO19" i="100"/>
  <c r="HO304" i="100"/>
  <c r="HO293" i="100"/>
  <c r="HO167" i="100"/>
  <c r="HO180" i="100"/>
  <c r="HO320" i="100"/>
  <c r="HO323" i="100"/>
  <c r="HO23" i="100"/>
  <c r="HO326" i="100"/>
  <c r="HO324" i="100"/>
  <c r="HO184" i="100"/>
  <c r="HO302" i="100"/>
  <c r="HP7" i="100"/>
  <c r="HO70" i="100"/>
  <c r="HO315" i="100"/>
  <c r="HO191" i="100"/>
  <c r="HO74" i="100"/>
  <c r="HO336" i="100"/>
  <c r="HO68" i="100"/>
  <c r="HO295" i="100"/>
  <c r="HO162" i="100"/>
  <c r="HO194" i="100"/>
  <c r="HO298" i="100"/>
  <c r="HO34" i="100"/>
  <c r="HO170" i="100"/>
  <c r="HO20" i="100"/>
  <c r="HO197" i="100"/>
  <c r="HO10" i="100"/>
  <c r="HO319" i="100"/>
  <c r="HO188" i="100"/>
  <c r="HO313" i="100"/>
  <c r="HO14" i="100"/>
  <c r="HO335" i="100"/>
  <c r="HO189" i="100"/>
  <c r="HO11" i="100"/>
  <c r="HO317" i="100"/>
  <c r="HO25" i="100"/>
  <c r="HO76" i="100"/>
  <c r="HO299" i="100"/>
  <c r="HO77" i="100"/>
  <c r="HO185" i="100"/>
  <c r="HO12" i="100"/>
  <c r="HO205" i="100"/>
  <c r="HO196" i="100"/>
  <c r="HO328" i="100"/>
  <c r="HO40" i="100"/>
  <c r="HO311" i="100"/>
  <c r="HO66" i="100"/>
  <c r="HP46" i="100" l="1"/>
  <c r="HP51" i="100"/>
  <c r="HP63" i="100"/>
  <c r="HP62" i="100"/>
  <c r="HP57" i="100"/>
  <c r="HP44" i="100"/>
  <c r="HP45" i="100"/>
  <c r="HP55" i="100"/>
  <c r="HP59" i="100"/>
  <c r="HP49" i="100"/>
  <c r="HP58" i="100"/>
  <c r="HP52" i="100"/>
  <c r="HP53" i="100"/>
  <c r="HP56" i="100"/>
  <c r="HP47" i="100"/>
  <c r="HP48" i="100"/>
  <c r="HP54" i="100"/>
  <c r="HP50" i="100"/>
  <c r="HP60" i="100"/>
  <c r="HP61" i="100"/>
  <c r="HO209" i="100"/>
  <c r="HO79" i="100"/>
  <c r="HO78" i="100" s="1"/>
  <c r="HO339" i="100"/>
  <c r="HP200" i="100"/>
  <c r="HP10" i="100"/>
  <c r="HP293" i="100"/>
  <c r="HP37" i="100"/>
  <c r="HP323" i="100"/>
  <c r="HP302" i="100"/>
  <c r="HP202" i="100"/>
  <c r="HP317" i="100"/>
  <c r="HP329" i="100"/>
  <c r="HP13" i="100"/>
  <c r="HP159" i="100"/>
  <c r="HP168" i="100"/>
  <c r="HP203" i="100"/>
  <c r="HP292" i="100"/>
  <c r="HP313" i="100"/>
  <c r="HP316" i="100"/>
  <c r="HP308" i="100"/>
  <c r="HP67" i="100"/>
  <c r="HP321" i="100"/>
  <c r="HP174" i="100"/>
  <c r="HP311" i="100"/>
  <c r="HP68" i="100"/>
  <c r="HP164" i="100"/>
  <c r="HP170" i="100"/>
  <c r="HP75" i="100"/>
  <c r="HP297" i="100"/>
  <c r="HP169" i="100"/>
  <c r="HP16" i="100"/>
  <c r="HP185" i="100"/>
  <c r="HP207" i="100"/>
  <c r="HP337" i="100"/>
  <c r="HP175" i="100"/>
  <c r="HP336" i="100"/>
  <c r="HP291" i="100"/>
  <c r="HP332" i="100"/>
  <c r="HP299" i="100"/>
  <c r="HP193" i="100"/>
  <c r="HP180" i="100"/>
  <c r="HP74" i="100"/>
  <c r="HP310" i="100"/>
  <c r="HP77" i="100"/>
  <c r="HP197" i="100"/>
  <c r="HP26" i="100"/>
  <c r="HP304" i="100"/>
  <c r="HP201" i="100"/>
  <c r="HP199" i="100"/>
  <c r="HP320" i="100"/>
  <c r="HP186" i="100"/>
  <c r="HP70" i="100"/>
  <c r="HP23" i="100"/>
  <c r="HP319" i="100"/>
  <c r="HP181" i="100"/>
  <c r="HP307" i="100"/>
  <c r="HP158" i="100"/>
  <c r="HP303" i="100"/>
  <c r="HP289" i="100"/>
  <c r="HP162" i="100"/>
  <c r="HP160" i="100"/>
  <c r="HP19" i="100"/>
  <c r="HP327" i="100"/>
  <c r="HP9" i="100"/>
  <c r="HP183" i="100"/>
  <c r="HP66" i="100"/>
  <c r="HP294" i="100"/>
  <c r="HP326" i="100"/>
  <c r="HP187" i="100"/>
  <c r="HP198" i="100"/>
  <c r="HP204" i="100"/>
  <c r="HP42" i="100"/>
  <c r="HP72" i="100"/>
  <c r="HP288" i="100"/>
  <c r="HP290" i="100"/>
  <c r="HP39" i="100"/>
  <c r="HP325" i="100"/>
  <c r="HP30" i="100"/>
  <c r="HP15" i="100"/>
  <c r="HP318" i="100"/>
  <c r="HP12" i="100"/>
  <c r="HP300" i="100"/>
  <c r="HP73" i="100"/>
  <c r="HP32" i="100"/>
  <c r="HP184" i="100"/>
  <c r="HP36" i="100"/>
  <c r="HP172" i="100"/>
  <c r="HP173" i="100"/>
  <c r="HP312" i="100"/>
  <c r="HP40" i="100"/>
  <c r="HP177" i="100"/>
  <c r="HP163" i="100"/>
  <c r="HP71" i="100"/>
  <c r="HP24" i="100"/>
  <c r="HP43" i="100"/>
  <c r="HP315" i="100"/>
  <c r="HP21" i="100"/>
  <c r="HP14" i="100"/>
  <c r="HP8" i="100"/>
  <c r="HP178" i="100"/>
  <c r="HP11" i="100"/>
  <c r="HP17" i="100"/>
  <c r="HP295" i="100"/>
  <c r="HP206" i="100"/>
  <c r="HP64" i="100"/>
  <c r="HP27" i="100"/>
  <c r="HP189" i="100"/>
  <c r="HP306" i="100"/>
  <c r="HP28" i="100"/>
  <c r="HP18" i="100"/>
  <c r="HP65" i="100"/>
  <c r="HP182" i="100"/>
  <c r="HP314" i="100"/>
  <c r="HP22" i="100"/>
  <c r="HP331" i="100"/>
  <c r="HP324" i="100"/>
  <c r="HP167" i="100"/>
  <c r="HP190" i="100"/>
  <c r="HP334" i="100"/>
  <c r="HP328" i="100"/>
  <c r="HQ7" i="100"/>
  <c r="HP194" i="100"/>
  <c r="HP33" i="100"/>
  <c r="HP333" i="100"/>
  <c r="HP35" i="100"/>
  <c r="HP34" i="100"/>
  <c r="HP301" i="100"/>
  <c r="HP69" i="100"/>
  <c r="HP195" i="100"/>
  <c r="HP296" i="100"/>
  <c r="HP161" i="100"/>
  <c r="HP20" i="100"/>
  <c r="HP205" i="100"/>
  <c r="HP188" i="100"/>
  <c r="HP29" i="100"/>
  <c r="HP322" i="100"/>
  <c r="HP25" i="100"/>
  <c r="HP179" i="100"/>
  <c r="HP309" i="100"/>
  <c r="HP305" i="100"/>
  <c r="HP166" i="100"/>
  <c r="HP165" i="100"/>
  <c r="HP196" i="100"/>
  <c r="HP192" i="100"/>
  <c r="HP38" i="100"/>
  <c r="HP41" i="100"/>
  <c r="HP176" i="100"/>
  <c r="HP335" i="100"/>
  <c r="HP76" i="100"/>
  <c r="HP298" i="100"/>
  <c r="HP31" i="100"/>
  <c r="HP191" i="100"/>
  <c r="HP330" i="100"/>
  <c r="HP171" i="100"/>
  <c r="HQ63" i="100" l="1"/>
  <c r="HQ46" i="100"/>
  <c r="HQ59" i="100"/>
  <c r="HQ44" i="100"/>
  <c r="HQ62" i="100"/>
  <c r="HQ48" i="100"/>
  <c r="HQ53" i="100"/>
  <c r="HQ54" i="100"/>
  <c r="HQ45" i="100"/>
  <c r="HQ61" i="100"/>
  <c r="HQ49" i="100"/>
  <c r="HQ60" i="100"/>
  <c r="HQ47" i="100"/>
  <c r="HQ57" i="100"/>
  <c r="HQ52" i="100"/>
  <c r="HQ56" i="100"/>
  <c r="HQ58" i="100"/>
  <c r="HQ50" i="100"/>
  <c r="HQ55" i="100"/>
  <c r="HQ51" i="100"/>
  <c r="HP209" i="100"/>
  <c r="HP339" i="100"/>
  <c r="HP79" i="100"/>
  <c r="HP78" i="100" s="1"/>
  <c r="HQ334" i="100"/>
  <c r="HQ206" i="100"/>
  <c r="HQ161" i="100"/>
  <c r="HQ21" i="100"/>
  <c r="HQ169" i="100"/>
  <c r="HQ64" i="100"/>
  <c r="HQ315" i="100"/>
  <c r="HQ195" i="100"/>
  <c r="HQ17" i="100"/>
  <c r="HQ295" i="100"/>
  <c r="HQ322" i="100"/>
  <c r="HQ42" i="100"/>
  <c r="HQ327" i="100"/>
  <c r="HQ163" i="100"/>
  <c r="HQ192" i="100"/>
  <c r="HQ207" i="100"/>
  <c r="HQ10" i="100"/>
  <c r="HQ179" i="100"/>
  <c r="HQ77" i="100"/>
  <c r="HQ298" i="100"/>
  <c r="HQ39" i="100"/>
  <c r="HQ181" i="100"/>
  <c r="HQ34" i="100"/>
  <c r="HQ177" i="100"/>
  <c r="HQ289" i="100"/>
  <c r="HQ332" i="100"/>
  <c r="HQ14" i="100"/>
  <c r="HQ69" i="100"/>
  <c r="HQ37" i="100"/>
  <c r="HQ304" i="100"/>
  <c r="HQ18" i="100"/>
  <c r="HQ330" i="100"/>
  <c r="HQ20" i="100"/>
  <c r="HQ22" i="100"/>
  <c r="HQ180" i="100"/>
  <c r="HQ290" i="100"/>
  <c r="HQ176" i="100"/>
  <c r="HQ196" i="100"/>
  <c r="HQ185" i="100"/>
  <c r="HQ323" i="100"/>
  <c r="HQ28" i="100"/>
  <c r="HQ170" i="100"/>
  <c r="HQ166" i="100"/>
  <c r="HQ326" i="100"/>
  <c r="HQ305" i="100"/>
  <c r="HQ8" i="100"/>
  <c r="HQ73" i="100"/>
  <c r="HQ299" i="100"/>
  <c r="HQ167" i="100"/>
  <c r="HQ198" i="100"/>
  <c r="HQ187" i="100"/>
  <c r="HQ24" i="100"/>
  <c r="HQ320" i="100"/>
  <c r="HQ197" i="100"/>
  <c r="HQ293" i="100"/>
  <c r="HQ71" i="100"/>
  <c r="HQ165" i="100"/>
  <c r="HQ186" i="100"/>
  <c r="HQ183" i="100"/>
  <c r="HQ74" i="100"/>
  <c r="HQ162" i="100"/>
  <c r="HQ294" i="100"/>
  <c r="HQ310" i="100"/>
  <c r="HQ182" i="100"/>
  <c r="HQ36" i="100"/>
  <c r="HQ158" i="100"/>
  <c r="HQ68" i="100"/>
  <c r="HQ25" i="100"/>
  <c r="HQ200" i="100"/>
  <c r="HQ296" i="100"/>
  <c r="HQ335" i="100"/>
  <c r="HQ302" i="100"/>
  <c r="HQ171" i="100"/>
  <c r="HQ203" i="100"/>
  <c r="HQ194" i="100"/>
  <c r="HQ29" i="100"/>
  <c r="HQ38" i="100"/>
  <c r="HQ189" i="100"/>
  <c r="HQ328" i="100"/>
  <c r="HQ27" i="100"/>
  <c r="HQ30" i="100"/>
  <c r="HQ321" i="100"/>
  <c r="HQ317" i="100"/>
  <c r="HQ308" i="100"/>
  <c r="HQ199" i="100"/>
  <c r="HQ19" i="100"/>
  <c r="HQ201" i="100"/>
  <c r="HQ307" i="100"/>
  <c r="HQ13" i="100"/>
  <c r="HQ33" i="100"/>
  <c r="HQ9" i="100"/>
  <c r="HQ184" i="100"/>
  <c r="HQ164" i="100"/>
  <c r="HQ32" i="100"/>
  <c r="HQ190" i="100"/>
  <c r="HQ159" i="100"/>
  <c r="HQ26" i="100"/>
  <c r="HQ291" i="100"/>
  <c r="HR7" i="100"/>
  <c r="HQ23" i="100"/>
  <c r="HQ16" i="100"/>
  <c r="HQ204" i="100"/>
  <c r="HQ160" i="100"/>
  <c r="HQ65" i="100"/>
  <c r="HQ313" i="100"/>
  <c r="HQ312" i="100"/>
  <c r="HQ66" i="100"/>
  <c r="HQ329" i="100"/>
  <c r="HQ172" i="100"/>
  <c r="HQ297" i="100"/>
  <c r="HQ175" i="100"/>
  <c r="HQ35" i="100"/>
  <c r="HQ309" i="100"/>
  <c r="HQ174" i="100"/>
  <c r="HQ178" i="100"/>
  <c r="HQ300" i="100"/>
  <c r="HQ331" i="100"/>
  <c r="HQ202" i="100"/>
  <c r="HQ319" i="100"/>
  <c r="HQ188" i="100"/>
  <c r="HQ337" i="100"/>
  <c r="HQ288" i="100"/>
  <c r="HQ318" i="100"/>
  <c r="HQ75" i="100"/>
  <c r="HQ316" i="100"/>
  <c r="HQ15" i="100"/>
  <c r="HQ43" i="100"/>
  <c r="HQ72" i="100"/>
  <c r="HQ314" i="100"/>
  <c r="HQ301" i="100"/>
  <c r="HQ41" i="100"/>
  <c r="HQ67" i="100"/>
  <c r="HQ193" i="100"/>
  <c r="HQ324" i="100"/>
  <c r="HQ76" i="100"/>
  <c r="HQ306" i="100"/>
  <c r="HQ173" i="100"/>
  <c r="HQ325" i="100"/>
  <c r="HQ168" i="100"/>
  <c r="HQ40" i="100"/>
  <c r="HQ11" i="100"/>
  <c r="HQ12" i="100"/>
  <c r="HQ205" i="100"/>
  <c r="HQ333" i="100"/>
  <c r="HQ31" i="100"/>
  <c r="HQ336" i="100"/>
  <c r="HQ191" i="100"/>
  <c r="HQ292" i="100"/>
  <c r="HQ70" i="100"/>
  <c r="HQ311" i="100"/>
  <c r="HQ303" i="100"/>
  <c r="HR62" i="100" l="1"/>
  <c r="HR49" i="100"/>
  <c r="HR51" i="100"/>
  <c r="HR58" i="100"/>
  <c r="HR46" i="100"/>
  <c r="HR44" i="100"/>
  <c r="HR63" i="100"/>
  <c r="HR56" i="100"/>
  <c r="HR48" i="100"/>
  <c r="HR60" i="100"/>
  <c r="HR45" i="100"/>
  <c r="HR47" i="100"/>
  <c r="HR52" i="100"/>
  <c r="HR59" i="100"/>
  <c r="HR50" i="100"/>
  <c r="HR61" i="100"/>
  <c r="HR57" i="100"/>
  <c r="HR54" i="100"/>
  <c r="HR53" i="100"/>
  <c r="HR55" i="100"/>
  <c r="HQ209" i="100"/>
  <c r="HQ79" i="100"/>
  <c r="HQ78" i="100" s="1"/>
  <c r="HQ339" i="100"/>
  <c r="HR12" i="100"/>
  <c r="HR14" i="100"/>
  <c r="HR36" i="100"/>
  <c r="HR200" i="100"/>
  <c r="HR311" i="100"/>
  <c r="HR25" i="100"/>
  <c r="HR23" i="100"/>
  <c r="HR18" i="100"/>
  <c r="HR193" i="100"/>
  <c r="HR160" i="100"/>
  <c r="HR186" i="100"/>
  <c r="HR170" i="100"/>
  <c r="HR308" i="100"/>
  <c r="HR336" i="100"/>
  <c r="HR35" i="100"/>
  <c r="HR26" i="100"/>
  <c r="HR65" i="100"/>
  <c r="HR330" i="100"/>
  <c r="HR20" i="100"/>
  <c r="HR166" i="100"/>
  <c r="HR306" i="100"/>
  <c r="HR167" i="100"/>
  <c r="HR22" i="100"/>
  <c r="HR67" i="100"/>
  <c r="HR21" i="100"/>
  <c r="HR31" i="100"/>
  <c r="HR291" i="100"/>
  <c r="HR324" i="100"/>
  <c r="HR195" i="100"/>
  <c r="HR189" i="100"/>
  <c r="HR182" i="100"/>
  <c r="HR175" i="100"/>
  <c r="HR184" i="100"/>
  <c r="HR301" i="100"/>
  <c r="HR319" i="100"/>
  <c r="HR314" i="100"/>
  <c r="HR305" i="100"/>
  <c r="HR205" i="100"/>
  <c r="HR10" i="100"/>
  <c r="HR41" i="100"/>
  <c r="HR294" i="100"/>
  <c r="HR171" i="100"/>
  <c r="HR158" i="100"/>
  <c r="HR320" i="100"/>
  <c r="HR323" i="100"/>
  <c r="HR325" i="100"/>
  <c r="HR337" i="100"/>
  <c r="HR315" i="100"/>
  <c r="HR295" i="100"/>
  <c r="HR198" i="100"/>
  <c r="HR169" i="100"/>
  <c r="HR183" i="100"/>
  <c r="HR75" i="100"/>
  <c r="HR185" i="100"/>
  <c r="HR328" i="100"/>
  <c r="HR333" i="100"/>
  <c r="HR40" i="100"/>
  <c r="HR318" i="100"/>
  <c r="HR13" i="100"/>
  <c r="HR72" i="100"/>
  <c r="HR296" i="100"/>
  <c r="HR313" i="100"/>
  <c r="HR290" i="100"/>
  <c r="HR19" i="100"/>
  <c r="HR302" i="100"/>
  <c r="HR309" i="100"/>
  <c r="HR39" i="100"/>
  <c r="HR165" i="100"/>
  <c r="HR191" i="100"/>
  <c r="HR331" i="100"/>
  <c r="HR11" i="100"/>
  <c r="HR43" i="100"/>
  <c r="HR321" i="100"/>
  <c r="HR327" i="100"/>
  <c r="HR34" i="100"/>
  <c r="HR42" i="100"/>
  <c r="HR202" i="100"/>
  <c r="HR188" i="100"/>
  <c r="HR303" i="100"/>
  <c r="HR312" i="100"/>
  <c r="HR292" i="100"/>
  <c r="HR322" i="100"/>
  <c r="HR164" i="100"/>
  <c r="HR174" i="100"/>
  <c r="HR176" i="100"/>
  <c r="HR199" i="100"/>
  <c r="HR299" i="100"/>
  <c r="HR163" i="100"/>
  <c r="HR29" i="100"/>
  <c r="HR73" i="100"/>
  <c r="HR9" i="100"/>
  <c r="HR310" i="100"/>
  <c r="HR304" i="100"/>
  <c r="HR64" i="100"/>
  <c r="HR74" i="100"/>
  <c r="HR77" i="100"/>
  <c r="HR300" i="100"/>
  <c r="HR329" i="100"/>
  <c r="HR297" i="100"/>
  <c r="HR192" i="100"/>
  <c r="HR177" i="100"/>
  <c r="HR70" i="100"/>
  <c r="HR317" i="100"/>
  <c r="HR334" i="100"/>
  <c r="HR201" i="100"/>
  <c r="HR194" i="100"/>
  <c r="HR66" i="100"/>
  <c r="HR204" i="100"/>
  <c r="HR71" i="100"/>
  <c r="HR37" i="100"/>
  <c r="HR162" i="100"/>
  <c r="HR180" i="100"/>
  <c r="HR203" i="100"/>
  <c r="HR179" i="100"/>
  <c r="HR161" i="100"/>
  <c r="HR173" i="100"/>
  <c r="HR68" i="100"/>
  <c r="HR335" i="100"/>
  <c r="HR196" i="100"/>
  <c r="HS7" i="100"/>
  <c r="HR326" i="100"/>
  <c r="HR15" i="100"/>
  <c r="HR298" i="100"/>
  <c r="HR16" i="100"/>
  <c r="HR207" i="100"/>
  <c r="HR69" i="100"/>
  <c r="HR172" i="100"/>
  <c r="HR33" i="100"/>
  <c r="HR24" i="100"/>
  <c r="HR17" i="100"/>
  <c r="HR181" i="100"/>
  <c r="HR332" i="100"/>
  <c r="HR76" i="100"/>
  <c r="HR190" i="100"/>
  <c r="HR30" i="100"/>
  <c r="HR187" i="100"/>
  <c r="HR307" i="100"/>
  <c r="HR32" i="100"/>
  <c r="HR159" i="100"/>
  <c r="HR316" i="100"/>
  <c r="HR38" i="100"/>
  <c r="HR293" i="100"/>
  <c r="HR206" i="100"/>
  <c r="HR168" i="100"/>
  <c r="HR178" i="100"/>
  <c r="HR27" i="100"/>
  <c r="HR28" i="100"/>
  <c r="HR197" i="100"/>
  <c r="HR288" i="100"/>
  <c r="HR289" i="100"/>
  <c r="HR8" i="100"/>
  <c r="HS62" i="100" l="1"/>
  <c r="HS46" i="100"/>
  <c r="HS44" i="100"/>
  <c r="HS51" i="100"/>
  <c r="HS59" i="100"/>
  <c r="HS63" i="100"/>
  <c r="HS49" i="100"/>
  <c r="HS55" i="100"/>
  <c r="HS61" i="100"/>
  <c r="HS50" i="100"/>
  <c r="HS48" i="100"/>
  <c r="HS56" i="100"/>
  <c r="HS54" i="100"/>
  <c r="HS53" i="100"/>
  <c r="HS58" i="100"/>
  <c r="HS45" i="100"/>
  <c r="HS47" i="100"/>
  <c r="HS60" i="100"/>
  <c r="HS57" i="100"/>
  <c r="HS52" i="100"/>
  <c r="HR79" i="100"/>
  <c r="HR78" i="100" s="1"/>
  <c r="HR339" i="100"/>
  <c r="HR209" i="100"/>
  <c r="HS311" i="100"/>
  <c r="HS176" i="100"/>
  <c r="HS298" i="100"/>
  <c r="HS309" i="100"/>
  <c r="HS22" i="100"/>
  <c r="HS291" i="100"/>
  <c r="HS179" i="100"/>
  <c r="HS28" i="100"/>
  <c r="HS27" i="100"/>
  <c r="HS68" i="100"/>
  <c r="HS332" i="100"/>
  <c r="HS295" i="100"/>
  <c r="HS185" i="100"/>
  <c r="HS164" i="100"/>
  <c r="HS36" i="100"/>
  <c r="HS174" i="100"/>
  <c r="HS317" i="100"/>
  <c r="HS322" i="100"/>
  <c r="HS314" i="100"/>
  <c r="HS160" i="100"/>
  <c r="HS25" i="100"/>
  <c r="HS201" i="100"/>
  <c r="HS207" i="100"/>
  <c r="HS18" i="100"/>
  <c r="HS66" i="100"/>
  <c r="HS161" i="100"/>
  <c r="HS316" i="100"/>
  <c r="HS293" i="100"/>
  <c r="HS195" i="100"/>
  <c r="HS186" i="100"/>
  <c r="HS305" i="100"/>
  <c r="HS328" i="100"/>
  <c r="HS171" i="100"/>
  <c r="HS168" i="100"/>
  <c r="HS162" i="100"/>
  <c r="HS308" i="100"/>
  <c r="HS170" i="100"/>
  <c r="HS296" i="100"/>
  <c r="HT7" i="100"/>
  <c r="HS16" i="100"/>
  <c r="HS337" i="100"/>
  <c r="HS8" i="100"/>
  <c r="HS37" i="100"/>
  <c r="HS191" i="100"/>
  <c r="HS175" i="100"/>
  <c r="HS19" i="100"/>
  <c r="HS13" i="100"/>
  <c r="HS173" i="100"/>
  <c r="HS172" i="100"/>
  <c r="HS313" i="100"/>
  <c r="HS302" i="100"/>
  <c r="HS12" i="100"/>
  <c r="HS20" i="100"/>
  <c r="HS335" i="100"/>
  <c r="HS72" i="100"/>
  <c r="HS9" i="100"/>
  <c r="HS15" i="100"/>
  <c r="HS182" i="100"/>
  <c r="HS34" i="100"/>
  <c r="HS194" i="100"/>
  <c r="HS203" i="100"/>
  <c r="HS23" i="100"/>
  <c r="HS301" i="100"/>
  <c r="HS17" i="100"/>
  <c r="HS64" i="100"/>
  <c r="HS292" i="100"/>
  <c r="HS10" i="100"/>
  <c r="HS303" i="100"/>
  <c r="HS324" i="100"/>
  <c r="HS331" i="100"/>
  <c r="HS288" i="100"/>
  <c r="HS163" i="100"/>
  <c r="HS41" i="100"/>
  <c r="HS165" i="100"/>
  <c r="HS169" i="100"/>
  <c r="HS294" i="100"/>
  <c r="HS76" i="100"/>
  <c r="HS329" i="100"/>
  <c r="HS290" i="100"/>
  <c r="HS184" i="100"/>
  <c r="HS326" i="100"/>
  <c r="HS320" i="100"/>
  <c r="HS166" i="100"/>
  <c r="HS187" i="100"/>
  <c r="HS188" i="100"/>
  <c r="HS204" i="100"/>
  <c r="HS333" i="100"/>
  <c r="HS31" i="100"/>
  <c r="HS193" i="100"/>
  <c r="HS177" i="100"/>
  <c r="HS312" i="100"/>
  <c r="HS65" i="100"/>
  <c r="HS30" i="100"/>
  <c r="HS199" i="100"/>
  <c r="HS73" i="100"/>
  <c r="HS192" i="100"/>
  <c r="HS77" i="100"/>
  <c r="HS325" i="100"/>
  <c r="HS200" i="100"/>
  <c r="HS67" i="100"/>
  <c r="HS74" i="100"/>
  <c r="HS158" i="100"/>
  <c r="HS24" i="100"/>
  <c r="HS330" i="100"/>
  <c r="HS189" i="100"/>
  <c r="HS318" i="100"/>
  <c r="HS180" i="100"/>
  <c r="HS289" i="100"/>
  <c r="HS11" i="100"/>
  <c r="HS304" i="100"/>
  <c r="HS319" i="100"/>
  <c r="HS197" i="100"/>
  <c r="HS21" i="100"/>
  <c r="HS38" i="100"/>
  <c r="HS14" i="100"/>
  <c r="HS167" i="100"/>
  <c r="HS205" i="100"/>
  <c r="HS43" i="100"/>
  <c r="HS33" i="100"/>
  <c r="HS35" i="100"/>
  <c r="HS178" i="100"/>
  <c r="HS196" i="100"/>
  <c r="HS181" i="100"/>
  <c r="HS327" i="100"/>
  <c r="HS69" i="100"/>
  <c r="HS26" i="100"/>
  <c r="HS323" i="100"/>
  <c r="HS75" i="100"/>
  <c r="HS336" i="100"/>
  <c r="HS183" i="100"/>
  <c r="HS299" i="100"/>
  <c r="HS206" i="100"/>
  <c r="HS300" i="100"/>
  <c r="HS42" i="100"/>
  <c r="HS159" i="100"/>
  <c r="HS198" i="100"/>
  <c r="HS29" i="100"/>
  <c r="HS321" i="100"/>
  <c r="HS39" i="100"/>
  <c r="HS190" i="100"/>
  <c r="HS70" i="100"/>
  <c r="HS315" i="100"/>
  <c r="HS310" i="100"/>
  <c r="HS297" i="100"/>
  <c r="HS202" i="100"/>
  <c r="HS334" i="100"/>
  <c r="HS307" i="100"/>
  <c r="HS32" i="100"/>
  <c r="HS306" i="100"/>
  <c r="HS40" i="100"/>
  <c r="HS71" i="100"/>
  <c r="HT62" i="100" l="1"/>
  <c r="HT44" i="100"/>
  <c r="HT46" i="100"/>
  <c r="HT45" i="100"/>
  <c r="HT63" i="100"/>
  <c r="HT50" i="100"/>
  <c r="HT56" i="100"/>
  <c r="HT47" i="100"/>
  <c r="HT55" i="100"/>
  <c r="HT51" i="100"/>
  <c r="HT48" i="100"/>
  <c r="HT53" i="100"/>
  <c r="HT60" i="100"/>
  <c r="HT57" i="100"/>
  <c r="HT49" i="100"/>
  <c r="HT54" i="100"/>
  <c r="HT59" i="100"/>
  <c r="HT52" i="100"/>
  <c r="HT58" i="100"/>
  <c r="HT61" i="100"/>
  <c r="HS79" i="100"/>
  <c r="HS78" i="100" s="1"/>
  <c r="HS339" i="100"/>
  <c r="HS209" i="100"/>
  <c r="HT321" i="100"/>
  <c r="HT207" i="100"/>
  <c r="HT18" i="100"/>
  <c r="HT192" i="100"/>
  <c r="HT161" i="100"/>
  <c r="HT76" i="100"/>
  <c r="HT198" i="100"/>
  <c r="HT180" i="100"/>
  <c r="HT173" i="100"/>
  <c r="HT292" i="100"/>
  <c r="HT301" i="100"/>
  <c r="HT21" i="100"/>
  <c r="HT337" i="100"/>
  <c r="HT174" i="100"/>
  <c r="HT316" i="100"/>
  <c r="HT169" i="100"/>
  <c r="HT38" i="100"/>
  <c r="HT16" i="100"/>
  <c r="HT28" i="100"/>
  <c r="HT185" i="100"/>
  <c r="HT319" i="100"/>
  <c r="HT206" i="100"/>
  <c r="HT204" i="100"/>
  <c r="HT304" i="100"/>
  <c r="HT42" i="100"/>
  <c r="HT17" i="100"/>
  <c r="HT181" i="100"/>
  <c r="HT315" i="100"/>
  <c r="HT162" i="100"/>
  <c r="HT190" i="100"/>
  <c r="HT75" i="100"/>
  <c r="HT171" i="100"/>
  <c r="HT164" i="100"/>
  <c r="HT293" i="100"/>
  <c r="HT163" i="100"/>
  <c r="HT9" i="100"/>
  <c r="HU7" i="100"/>
  <c r="HT178" i="100"/>
  <c r="HT298" i="100"/>
  <c r="HT305" i="100"/>
  <c r="HT296" i="100"/>
  <c r="HT191" i="100"/>
  <c r="HT326" i="100"/>
  <c r="HT40" i="100"/>
  <c r="HT13" i="100"/>
  <c r="HT35" i="100"/>
  <c r="HT170" i="100"/>
  <c r="HT335" i="100"/>
  <c r="HT317" i="100"/>
  <c r="HT182" i="100"/>
  <c r="HT299" i="100"/>
  <c r="HT328" i="100"/>
  <c r="HT27" i="100"/>
  <c r="HT24" i="100"/>
  <c r="HT310" i="100"/>
  <c r="HT197" i="100"/>
  <c r="HT308" i="100"/>
  <c r="HT303" i="100"/>
  <c r="HT297" i="100"/>
  <c r="HT186" i="100"/>
  <c r="HT22" i="100"/>
  <c r="HT311" i="100"/>
  <c r="HT288" i="100"/>
  <c r="HT318" i="100"/>
  <c r="HT168" i="100"/>
  <c r="HT68" i="100"/>
  <c r="HT32" i="100"/>
  <c r="HT176" i="100"/>
  <c r="HT309" i="100"/>
  <c r="HT314" i="100"/>
  <c r="HT41" i="100"/>
  <c r="HT195" i="100"/>
  <c r="HT323" i="100"/>
  <c r="HT73" i="100"/>
  <c r="HT196" i="100"/>
  <c r="HT183" i="100"/>
  <c r="HT33" i="100"/>
  <c r="HT166" i="100"/>
  <c r="HT295" i="100"/>
  <c r="HT202" i="100"/>
  <c r="HT332" i="100"/>
  <c r="HT65" i="100"/>
  <c r="HT43" i="100"/>
  <c r="HT74" i="100"/>
  <c r="HT289" i="100"/>
  <c r="HT324" i="100"/>
  <c r="HT333" i="100"/>
  <c r="HT160" i="100"/>
  <c r="HT336" i="100"/>
  <c r="HT175" i="100"/>
  <c r="HT36" i="100"/>
  <c r="HT165" i="100"/>
  <c r="HT71" i="100"/>
  <c r="HT334" i="100"/>
  <c r="HT205" i="100"/>
  <c r="HT291" i="100"/>
  <c r="HT172" i="100"/>
  <c r="HT302" i="100"/>
  <c r="HT320" i="100"/>
  <c r="HT10" i="100"/>
  <c r="HT64" i="100"/>
  <c r="HT313" i="100"/>
  <c r="HT39" i="100"/>
  <c r="HT187" i="100"/>
  <c r="HT26" i="100"/>
  <c r="HT19" i="100"/>
  <c r="HT290" i="100"/>
  <c r="HT37" i="100"/>
  <c r="HT34" i="100"/>
  <c r="HT14" i="100"/>
  <c r="HT306" i="100"/>
  <c r="HT15" i="100"/>
  <c r="HT25" i="100"/>
  <c r="HT72" i="100"/>
  <c r="HT330" i="100"/>
  <c r="HT167" i="100"/>
  <c r="HT322" i="100"/>
  <c r="HT8" i="100"/>
  <c r="HT179" i="100"/>
  <c r="HT329" i="100"/>
  <c r="HT23" i="100"/>
  <c r="HT20" i="100"/>
  <c r="HT184" i="100"/>
  <c r="HT159" i="100"/>
  <c r="HT327" i="100"/>
  <c r="HT307" i="100"/>
  <c r="HT158" i="100"/>
  <c r="HT30" i="100"/>
  <c r="HT188" i="100"/>
  <c r="HT193" i="100"/>
  <c r="HT194" i="100"/>
  <c r="HT325" i="100"/>
  <c r="HT12" i="100"/>
  <c r="HT199" i="100"/>
  <c r="HT69" i="100"/>
  <c r="HT331" i="100"/>
  <c r="HT66" i="100"/>
  <c r="HT201" i="100"/>
  <c r="HT312" i="100"/>
  <c r="HT200" i="100"/>
  <c r="HT67" i="100"/>
  <c r="HT77" i="100"/>
  <c r="HT203" i="100"/>
  <c r="HT11" i="100"/>
  <c r="HT31" i="100"/>
  <c r="HT29" i="100"/>
  <c r="HT70" i="100"/>
  <c r="HT294" i="100"/>
  <c r="HT300" i="100"/>
  <c r="HT177" i="100"/>
  <c r="HT189" i="100"/>
  <c r="HU62" i="100" l="1"/>
  <c r="HU46" i="100"/>
  <c r="HU56" i="100"/>
  <c r="HU48" i="100"/>
  <c r="HU63" i="100"/>
  <c r="HU44" i="100"/>
  <c r="HU53" i="100"/>
  <c r="HU54" i="100"/>
  <c r="HU58" i="100"/>
  <c r="HU61" i="100"/>
  <c r="HU55" i="100"/>
  <c r="HU49" i="100"/>
  <c r="HU51" i="100"/>
  <c r="HU60" i="100"/>
  <c r="HU57" i="100"/>
  <c r="HU59" i="100"/>
  <c r="HU47" i="100"/>
  <c r="HU45" i="100"/>
  <c r="HU50" i="100"/>
  <c r="HU52" i="100"/>
  <c r="HT339" i="100"/>
  <c r="HT209" i="100"/>
  <c r="HT79" i="100"/>
  <c r="HT78" i="100" s="1"/>
  <c r="HU41" i="100"/>
  <c r="HU206" i="100"/>
  <c r="HU334" i="100"/>
  <c r="HU76" i="100"/>
  <c r="HU43" i="100"/>
  <c r="HU19" i="100"/>
  <c r="HU332" i="100"/>
  <c r="HU319" i="100"/>
  <c r="HU69" i="100"/>
  <c r="HU178" i="100"/>
  <c r="HU31" i="100"/>
  <c r="HU9" i="100"/>
  <c r="HU26" i="100"/>
  <c r="HU13" i="100"/>
  <c r="HU161" i="100"/>
  <c r="HU172" i="100"/>
  <c r="HU33" i="100"/>
  <c r="HU203" i="100"/>
  <c r="HU317" i="100"/>
  <c r="HU291" i="100"/>
  <c r="HU320" i="100"/>
  <c r="HU207" i="100"/>
  <c r="HU165" i="100"/>
  <c r="HU34" i="100"/>
  <c r="HU35" i="100"/>
  <c r="HU183" i="100"/>
  <c r="HU312" i="100"/>
  <c r="HU191" i="100"/>
  <c r="HU179" i="100"/>
  <c r="HU188" i="100"/>
  <c r="HU331" i="100"/>
  <c r="HU66" i="100"/>
  <c r="HU64" i="100"/>
  <c r="HU316" i="100"/>
  <c r="HU17" i="100"/>
  <c r="HU30" i="100"/>
  <c r="HU198" i="100"/>
  <c r="HU308" i="100"/>
  <c r="HU322" i="100"/>
  <c r="HU313" i="100"/>
  <c r="HU177" i="100"/>
  <c r="HU326" i="100"/>
  <c r="HU167" i="100"/>
  <c r="HU297" i="100"/>
  <c r="HU333" i="100"/>
  <c r="HU174" i="100"/>
  <c r="HU18" i="100"/>
  <c r="HU329" i="100"/>
  <c r="HU330" i="100"/>
  <c r="HU16" i="100"/>
  <c r="HU29" i="100"/>
  <c r="HU65" i="100"/>
  <c r="HU71" i="100"/>
  <c r="HU200" i="100"/>
  <c r="HU25" i="100"/>
  <c r="HU305" i="100"/>
  <c r="HU311" i="100"/>
  <c r="HU24" i="100"/>
  <c r="HU164" i="100"/>
  <c r="HU75" i="100"/>
  <c r="HU321" i="100"/>
  <c r="HU298" i="100"/>
  <c r="HU77" i="100"/>
  <c r="HU14" i="100"/>
  <c r="HU201" i="100"/>
  <c r="HU74" i="100"/>
  <c r="HU290" i="100"/>
  <c r="HU15" i="100"/>
  <c r="HU189" i="100"/>
  <c r="HU294" i="100"/>
  <c r="HU11" i="100"/>
  <c r="HU190" i="100"/>
  <c r="HU21" i="100"/>
  <c r="HU166" i="100"/>
  <c r="HU314" i="100"/>
  <c r="HV7" i="100"/>
  <c r="HU192" i="100"/>
  <c r="HU197" i="100"/>
  <c r="HU173" i="100"/>
  <c r="HU8" i="100"/>
  <c r="HU158" i="100"/>
  <c r="HU10" i="100"/>
  <c r="HU318" i="100"/>
  <c r="HU36" i="100"/>
  <c r="HU310" i="100"/>
  <c r="HU315" i="100"/>
  <c r="HU163" i="100"/>
  <c r="HU195" i="100"/>
  <c r="HU302" i="100"/>
  <c r="HU185" i="100"/>
  <c r="HU12" i="100"/>
  <c r="HU304" i="100"/>
  <c r="HU205" i="100"/>
  <c r="HU335" i="100"/>
  <c r="HU182" i="100"/>
  <c r="HU168" i="100"/>
  <c r="HU42" i="100"/>
  <c r="HU40" i="100"/>
  <c r="HU170" i="100"/>
  <c r="HU28" i="100"/>
  <c r="HU309" i="100"/>
  <c r="HU295" i="100"/>
  <c r="HU68" i="100"/>
  <c r="HU301" i="100"/>
  <c r="HU202" i="100"/>
  <c r="HU307" i="100"/>
  <c r="HU296" i="100"/>
  <c r="HU187" i="100"/>
  <c r="HU27" i="100"/>
  <c r="HU199" i="100"/>
  <c r="HU175" i="100"/>
  <c r="HU327" i="100"/>
  <c r="HU289" i="100"/>
  <c r="HU323" i="100"/>
  <c r="HU299" i="100"/>
  <c r="HU20" i="100"/>
  <c r="HU181" i="100"/>
  <c r="HU324" i="100"/>
  <c r="HU70" i="100"/>
  <c r="HU336" i="100"/>
  <c r="HU325" i="100"/>
  <c r="HU72" i="100"/>
  <c r="HU162" i="100"/>
  <c r="HU38" i="100"/>
  <c r="HU288" i="100"/>
  <c r="HU37" i="100"/>
  <c r="HU169" i="100"/>
  <c r="HU39" i="100"/>
  <c r="HU180" i="100"/>
  <c r="HU303" i="100"/>
  <c r="HU22" i="100"/>
  <c r="HU204" i="100"/>
  <c r="HU186" i="100"/>
  <c r="HU171" i="100"/>
  <c r="HU73" i="100"/>
  <c r="HU300" i="100"/>
  <c r="HU160" i="100"/>
  <c r="HU184" i="100"/>
  <c r="HU194" i="100"/>
  <c r="HU32" i="100"/>
  <c r="HU293" i="100"/>
  <c r="HU328" i="100"/>
  <c r="HU193" i="100"/>
  <c r="HU306" i="100"/>
  <c r="HU67" i="100"/>
  <c r="HU159" i="100"/>
  <c r="HU196" i="100"/>
  <c r="HU176" i="100"/>
  <c r="HU337" i="100"/>
  <c r="HU292" i="100"/>
  <c r="HU23" i="100"/>
  <c r="HV46" i="100" l="1"/>
  <c r="HV62" i="100"/>
  <c r="HV59" i="100"/>
  <c r="HV44" i="100"/>
  <c r="HV63" i="100"/>
  <c r="HV50" i="100"/>
  <c r="HV55" i="100"/>
  <c r="HV51" i="100"/>
  <c r="HV49" i="100"/>
  <c r="HV47" i="100"/>
  <c r="HV48" i="100"/>
  <c r="HV54" i="100"/>
  <c r="HV53" i="100"/>
  <c r="HV45" i="100"/>
  <c r="HV60" i="100"/>
  <c r="HV57" i="100"/>
  <c r="HV58" i="100"/>
  <c r="HV61" i="100"/>
  <c r="HV56" i="100"/>
  <c r="HV52" i="100"/>
  <c r="HU209" i="100"/>
  <c r="HU339" i="100"/>
  <c r="HU79" i="100"/>
  <c r="HU78" i="100" s="1"/>
  <c r="HV206" i="100"/>
  <c r="HV171" i="100"/>
  <c r="HV170" i="100"/>
  <c r="HV190" i="100"/>
  <c r="HV207" i="100"/>
  <c r="HV172" i="100"/>
  <c r="HV288" i="100"/>
  <c r="HV311" i="100"/>
  <c r="HV176" i="100"/>
  <c r="HV9" i="100"/>
  <c r="HV195" i="100"/>
  <c r="HV163" i="100"/>
  <c r="HV303" i="100"/>
  <c r="HV182" i="100"/>
  <c r="HV19" i="100"/>
  <c r="HV27" i="100"/>
  <c r="HV293" i="100"/>
  <c r="HV305" i="100"/>
  <c r="HV8" i="100"/>
  <c r="HV39" i="100"/>
  <c r="HV189" i="100"/>
  <c r="HV292" i="100"/>
  <c r="HV307" i="100"/>
  <c r="HV14" i="100"/>
  <c r="HV309" i="100"/>
  <c r="HV312" i="100"/>
  <c r="HV306" i="100"/>
  <c r="HV25" i="100"/>
  <c r="HV331" i="100"/>
  <c r="HV160" i="100"/>
  <c r="HV324" i="100"/>
  <c r="HV34" i="100"/>
  <c r="HV314" i="100"/>
  <c r="HV10" i="100"/>
  <c r="HV77" i="100"/>
  <c r="HV15" i="100"/>
  <c r="HV205" i="100"/>
  <c r="HV335" i="100"/>
  <c r="HV187" i="100"/>
  <c r="HV325" i="100"/>
  <c r="HV30" i="100"/>
  <c r="HV168" i="100"/>
  <c r="HV297" i="100"/>
  <c r="HV322" i="100"/>
  <c r="HV193" i="100"/>
  <c r="HV302" i="100"/>
  <c r="HV315" i="100"/>
  <c r="HV35" i="100"/>
  <c r="HV75" i="100"/>
  <c r="HV64" i="100"/>
  <c r="HV301" i="100"/>
  <c r="HV196" i="100"/>
  <c r="HV289" i="100"/>
  <c r="HV161" i="100"/>
  <c r="HV13" i="100"/>
  <c r="HV183" i="100"/>
  <c r="HV74" i="100"/>
  <c r="HV203" i="100"/>
  <c r="HW7" i="100"/>
  <c r="HV22" i="100"/>
  <c r="HV300" i="100"/>
  <c r="HV36" i="100"/>
  <c r="HV33" i="100"/>
  <c r="HV174" i="100"/>
  <c r="HV71" i="100"/>
  <c r="HV38" i="100"/>
  <c r="HV316" i="100"/>
  <c r="HV202" i="100"/>
  <c r="HV12" i="100"/>
  <c r="HV179" i="100"/>
  <c r="HV21" i="100"/>
  <c r="HV28" i="100"/>
  <c r="HV184" i="100"/>
  <c r="HV31" i="100"/>
  <c r="HV186" i="100"/>
  <c r="HV18" i="100"/>
  <c r="HV333" i="100"/>
  <c r="HV336" i="100"/>
  <c r="HV330" i="100"/>
  <c r="HV327" i="100"/>
  <c r="HV337" i="100"/>
  <c r="HV40" i="100"/>
  <c r="HV165" i="100"/>
  <c r="HV166" i="100"/>
  <c r="HV159" i="100"/>
  <c r="HV69" i="100"/>
  <c r="HV310" i="100"/>
  <c r="HV23" i="100"/>
  <c r="HV66" i="100"/>
  <c r="HV199" i="100"/>
  <c r="HV188" i="100"/>
  <c r="HV70" i="100"/>
  <c r="HV11" i="100"/>
  <c r="HV299" i="100"/>
  <c r="HV321" i="100"/>
  <c r="HV304" i="100"/>
  <c r="HV20" i="100"/>
  <c r="HV197" i="100"/>
  <c r="HV290" i="100"/>
  <c r="HV191" i="100"/>
  <c r="HV175" i="100"/>
  <c r="HV26" i="100"/>
  <c r="HV24" i="100"/>
  <c r="HV178" i="100"/>
  <c r="HV169" i="100"/>
  <c r="HV201" i="100"/>
  <c r="HV334" i="100"/>
  <c r="HV164" i="100"/>
  <c r="HV162" i="100"/>
  <c r="HV173" i="100"/>
  <c r="HV192" i="100"/>
  <c r="HV298" i="100"/>
  <c r="HV29" i="100"/>
  <c r="HV294" i="100"/>
  <c r="HV320" i="100"/>
  <c r="HV158" i="100"/>
  <c r="HV180" i="100"/>
  <c r="HV72" i="100"/>
  <c r="HV17" i="100"/>
  <c r="HV194" i="100"/>
  <c r="HV291" i="100"/>
  <c r="HV204" i="100"/>
  <c r="HV319" i="100"/>
  <c r="HV332" i="100"/>
  <c r="HV198" i="100"/>
  <c r="HV177" i="100"/>
  <c r="HV185" i="100"/>
  <c r="HV67" i="100"/>
  <c r="HV200" i="100"/>
  <c r="HV76" i="100"/>
  <c r="HV181" i="100"/>
  <c r="HV295" i="100"/>
  <c r="HV296" i="100"/>
  <c r="HV65" i="100"/>
  <c r="HV328" i="100"/>
  <c r="HV41" i="100"/>
  <c r="HV318" i="100"/>
  <c r="HV37" i="100"/>
  <c r="HV73" i="100"/>
  <c r="HV326" i="100"/>
  <c r="HV308" i="100"/>
  <c r="HV323" i="100"/>
  <c r="HV32" i="100"/>
  <c r="HV42" i="100"/>
  <c r="HV16" i="100"/>
  <c r="HV167" i="100"/>
  <c r="HV68" i="100"/>
  <c r="HV313" i="100"/>
  <c r="HV317" i="100"/>
  <c r="HV329" i="100"/>
  <c r="HV43" i="100"/>
  <c r="HW59" i="100" l="1"/>
  <c r="HW58" i="100"/>
  <c r="HW53" i="100"/>
  <c r="HW57" i="100"/>
  <c r="HW46" i="100"/>
  <c r="HW63" i="100"/>
  <c r="HW44" i="100"/>
  <c r="HW62" i="100"/>
  <c r="HW48" i="100"/>
  <c r="HW50" i="100"/>
  <c r="HW45" i="100"/>
  <c r="HW52" i="100"/>
  <c r="HW55" i="100"/>
  <c r="HW54" i="100"/>
  <c r="HW51" i="100"/>
  <c r="HW61" i="100"/>
  <c r="HW49" i="100"/>
  <c r="HW47" i="100"/>
  <c r="HW56" i="100"/>
  <c r="HW60" i="100"/>
  <c r="HV209" i="100"/>
  <c r="HV339" i="100"/>
  <c r="HV79" i="100"/>
  <c r="HV78" i="100" s="1"/>
  <c r="HW163" i="100"/>
  <c r="HW288" i="100"/>
  <c r="HW317" i="100"/>
  <c r="HW12" i="100"/>
  <c r="HW76" i="100"/>
  <c r="HW188" i="100"/>
  <c r="HW17" i="100"/>
  <c r="HW177" i="100"/>
  <c r="HW38" i="100"/>
  <c r="HW75" i="100"/>
  <c r="HW189" i="100"/>
  <c r="HW15" i="100"/>
  <c r="HW35" i="100"/>
  <c r="HW175" i="100"/>
  <c r="HW41" i="100"/>
  <c r="HW187" i="100"/>
  <c r="HW313" i="100"/>
  <c r="HW192" i="100"/>
  <c r="HW72" i="100"/>
  <c r="HW294" i="100"/>
  <c r="HW203" i="100"/>
  <c r="HW310" i="100"/>
  <c r="HW299" i="100"/>
  <c r="HW70" i="100"/>
  <c r="HW337" i="100"/>
  <c r="HW8" i="100"/>
  <c r="HW18" i="100"/>
  <c r="HW65" i="100"/>
  <c r="HW307" i="100"/>
  <c r="HW174" i="100"/>
  <c r="HW39" i="100"/>
  <c r="HW68" i="100"/>
  <c r="HW202" i="100"/>
  <c r="HW185" i="100"/>
  <c r="HW318" i="100"/>
  <c r="HW201" i="100"/>
  <c r="HW330" i="100"/>
  <c r="HW290" i="100"/>
  <c r="HW24" i="100"/>
  <c r="HW67" i="100"/>
  <c r="HW332" i="100"/>
  <c r="HW289" i="100"/>
  <c r="HW331" i="100"/>
  <c r="HW158" i="100"/>
  <c r="HW16" i="100"/>
  <c r="HW205" i="100"/>
  <c r="HW165" i="100"/>
  <c r="HW333" i="100"/>
  <c r="HW169" i="100"/>
  <c r="HW25" i="100"/>
  <c r="HW23" i="100"/>
  <c r="HW190" i="100"/>
  <c r="HW186" i="100"/>
  <c r="HW22" i="100"/>
  <c r="HW325" i="100"/>
  <c r="HW180" i="100"/>
  <c r="HW69" i="100"/>
  <c r="HW14" i="100"/>
  <c r="HW20" i="100"/>
  <c r="HW324" i="100"/>
  <c r="HW183" i="100"/>
  <c r="HW315" i="100"/>
  <c r="HW204" i="100"/>
  <c r="HW170" i="100"/>
  <c r="HW30" i="100"/>
  <c r="HW304" i="100"/>
  <c r="HW167" i="100"/>
  <c r="HW160" i="100"/>
  <c r="HW171" i="100"/>
  <c r="HW197" i="100"/>
  <c r="HW36" i="100"/>
  <c r="HW166" i="100"/>
  <c r="HW181" i="100"/>
  <c r="HX7" i="100"/>
  <c r="HW199" i="100"/>
  <c r="HW298" i="100"/>
  <c r="HW311" i="100"/>
  <c r="HW207" i="100"/>
  <c r="HW301" i="100"/>
  <c r="HW40" i="100"/>
  <c r="HW292" i="100"/>
  <c r="HW291" i="100"/>
  <c r="HW306" i="100"/>
  <c r="HW71" i="100"/>
  <c r="HW329" i="100"/>
  <c r="HW162" i="100"/>
  <c r="HW206" i="100"/>
  <c r="HW308" i="100"/>
  <c r="HW193" i="100"/>
  <c r="HW196" i="100"/>
  <c r="HW323" i="100"/>
  <c r="HW13" i="100"/>
  <c r="HW161" i="100"/>
  <c r="HW316" i="100"/>
  <c r="HW29" i="100"/>
  <c r="HW293" i="100"/>
  <c r="HW10" i="100"/>
  <c r="HW73" i="100"/>
  <c r="HW327" i="100"/>
  <c r="HW319" i="100"/>
  <c r="HW321" i="100"/>
  <c r="HW194" i="100"/>
  <c r="HW312" i="100"/>
  <c r="HW322" i="100"/>
  <c r="HW200" i="100"/>
  <c r="HW296" i="100"/>
  <c r="HW191" i="100"/>
  <c r="HW328" i="100"/>
  <c r="HW173" i="100"/>
  <c r="HW176" i="100"/>
  <c r="HW182" i="100"/>
  <c r="HW26" i="100"/>
  <c r="HW320" i="100"/>
  <c r="HW335" i="100"/>
  <c r="HW295" i="100"/>
  <c r="HW19" i="100"/>
  <c r="HW74" i="100"/>
  <c r="HW66" i="100"/>
  <c r="HW326" i="100"/>
  <c r="HW28" i="100"/>
  <c r="HW42" i="100"/>
  <c r="HW11" i="100"/>
  <c r="HW314" i="100"/>
  <c r="HW184" i="100"/>
  <c r="HW27" i="100"/>
  <c r="HW303" i="100"/>
  <c r="HW297" i="100"/>
  <c r="HW37" i="100"/>
  <c r="HW164" i="100"/>
  <c r="HW334" i="100"/>
  <c r="HW309" i="100"/>
  <c r="HW64" i="100"/>
  <c r="HW43" i="100"/>
  <c r="HW34" i="100"/>
  <c r="HW168" i="100"/>
  <c r="HW159" i="100"/>
  <c r="HW198" i="100"/>
  <c r="HW9" i="100"/>
  <c r="HW21" i="100"/>
  <c r="HW77" i="100"/>
  <c r="HW300" i="100"/>
  <c r="HW179" i="100"/>
  <c r="HW33" i="100"/>
  <c r="HW31" i="100"/>
  <c r="HW305" i="100"/>
  <c r="HW302" i="100"/>
  <c r="HW32" i="100"/>
  <c r="HW172" i="100"/>
  <c r="HW178" i="100"/>
  <c r="HW336" i="100"/>
  <c r="HW195" i="100"/>
  <c r="HX46" i="100" l="1"/>
  <c r="HX44" i="100"/>
  <c r="HX49" i="100"/>
  <c r="HX59" i="100"/>
  <c r="HX58" i="100"/>
  <c r="HX62" i="100"/>
  <c r="HX63" i="100"/>
  <c r="HX56" i="100"/>
  <c r="HX55" i="100"/>
  <c r="HX57" i="100"/>
  <c r="HX47" i="100"/>
  <c r="HX54" i="100"/>
  <c r="HX50" i="100"/>
  <c r="HX48" i="100"/>
  <c r="HX45" i="100"/>
  <c r="HX53" i="100"/>
  <c r="HX60" i="100"/>
  <c r="HX52" i="100"/>
  <c r="HX51" i="100"/>
  <c r="HX61" i="100"/>
  <c r="HW209" i="100"/>
  <c r="HW79" i="100"/>
  <c r="HW78" i="100" s="1"/>
  <c r="HW339" i="100"/>
  <c r="HX302" i="100"/>
  <c r="HX69" i="100"/>
  <c r="HX315" i="100"/>
  <c r="HX308" i="100"/>
  <c r="HX170" i="100"/>
  <c r="HX310" i="100"/>
  <c r="HX324" i="100"/>
  <c r="HX330" i="100"/>
  <c r="HX165" i="100"/>
  <c r="HX19" i="100"/>
  <c r="HX196" i="100"/>
  <c r="HX11" i="100"/>
  <c r="HX24" i="100"/>
  <c r="HX37" i="100"/>
  <c r="HX316" i="100"/>
  <c r="HX171" i="100"/>
  <c r="HX183" i="100"/>
  <c r="HX31" i="100"/>
  <c r="HX289" i="100"/>
  <c r="HX309" i="100"/>
  <c r="HX294" i="100"/>
  <c r="HX41" i="100"/>
  <c r="HX292" i="100"/>
  <c r="HX162" i="100"/>
  <c r="HY7" i="100"/>
  <c r="HX77" i="100"/>
  <c r="HX163" i="100"/>
  <c r="HX160" i="100"/>
  <c r="HX326" i="100"/>
  <c r="HX36" i="100"/>
  <c r="HX290" i="100"/>
  <c r="HX65" i="100"/>
  <c r="HX173" i="100"/>
  <c r="HX29" i="100"/>
  <c r="HX313" i="100"/>
  <c r="HX71" i="100"/>
  <c r="HX333" i="100"/>
  <c r="HX305" i="100"/>
  <c r="HX194" i="100"/>
  <c r="HX304" i="100"/>
  <c r="HX21" i="100"/>
  <c r="HX43" i="100"/>
  <c r="HX64" i="100"/>
  <c r="HX312" i="100"/>
  <c r="HX158" i="100"/>
  <c r="HX174" i="100"/>
  <c r="HX203" i="100"/>
  <c r="HX306" i="100"/>
  <c r="HX30" i="100"/>
  <c r="HX28" i="100"/>
  <c r="HX331" i="100"/>
  <c r="HX198" i="100"/>
  <c r="HX187" i="100"/>
  <c r="HX328" i="100"/>
  <c r="HX167" i="100"/>
  <c r="HX317" i="100"/>
  <c r="HX195" i="100"/>
  <c r="HX15" i="100"/>
  <c r="HX298" i="100"/>
  <c r="HX75" i="100"/>
  <c r="HX325" i="100"/>
  <c r="HX42" i="100"/>
  <c r="HX176" i="100"/>
  <c r="HX334" i="100"/>
  <c r="HX288" i="100"/>
  <c r="HX177" i="100"/>
  <c r="HX175" i="100"/>
  <c r="HX164" i="100"/>
  <c r="HX299" i="100"/>
  <c r="HX34" i="100"/>
  <c r="HX169" i="100"/>
  <c r="HX180" i="100"/>
  <c r="HX8" i="100"/>
  <c r="HX161" i="100"/>
  <c r="HX188" i="100"/>
  <c r="HX318" i="100"/>
  <c r="HX23" i="100"/>
  <c r="HX314" i="100"/>
  <c r="HX300" i="100"/>
  <c r="HX185" i="100"/>
  <c r="HX68" i="100"/>
  <c r="HX72" i="100"/>
  <c r="HX323" i="100"/>
  <c r="HX67" i="100"/>
  <c r="HX186" i="100"/>
  <c r="HX322" i="100"/>
  <c r="HX172" i="100"/>
  <c r="HX319" i="100"/>
  <c r="HX166" i="100"/>
  <c r="HX307" i="100"/>
  <c r="HX303" i="100"/>
  <c r="HX296" i="100"/>
  <c r="HX32" i="100"/>
  <c r="HX191" i="100"/>
  <c r="HX73" i="100"/>
  <c r="HX204" i="100"/>
  <c r="HX206" i="100"/>
  <c r="HX27" i="100"/>
  <c r="HX321" i="100"/>
  <c r="HX329" i="100"/>
  <c r="HX76" i="100"/>
  <c r="HX70" i="100"/>
  <c r="HX335" i="100"/>
  <c r="HX38" i="100"/>
  <c r="HX22" i="100"/>
  <c r="HX184" i="100"/>
  <c r="HX178" i="100"/>
  <c r="HX9" i="100"/>
  <c r="HX159" i="100"/>
  <c r="HX20" i="100"/>
  <c r="HX193" i="100"/>
  <c r="HX327" i="100"/>
  <c r="HX202" i="100"/>
  <c r="HX14" i="100"/>
  <c r="HX295" i="100"/>
  <c r="HX190" i="100"/>
  <c r="HX74" i="100"/>
  <c r="HX301" i="100"/>
  <c r="HX179" i="100"/>
  <c r="HX25" i="100"/>
  <c r="HX66" i="100"/>
  <c r="HX17" i="100"/>
  <c r="HX18" i="100"/>
  <c r="HX320" i="100"/>
  <c r="HX26" i="100"/>
  <c r="HX201" i="100"/>
  <c r="HX33" i="100"/>
  <c r="HX12" i="100"/>
  <c r="HX181" i="100"/>
  <c r="HX297" i="100"/>
  <c r="HX337" i="100"/>
  <c r="HX332" i="100"/>
  <c r="HX200" i="100"/>
  <c r="HX199" i="100"/>
  <c r="HX207" i="100"/>
  <c r="HX10" i="100"/>
  <c r="HX192" i="100"/>
  <c r="HX182" i="100"/>
  <c r="HX168" i="100"/>
  <c r="HX336" i="100"/>
  <c r="HX16" i="100"/>
  <c r="HX197" i="100"/>
  <c r="HX293" i="100"/>
  <c r="HX205" i="100"/>
  <c r="HX291" i="100"/>
  <c r="HX189" i="100"/>
  <c r="HX35" i="100"/>
  <c r="HX13" i="100"/>
  <c r="HX39" i="100"/>
  <c r="HX311" i="100"/>
  <c r="HX40" i="100"/>
  <c r="HY46" i="100" l="1"/>
  <c r="HY63" i="100"/>
  <c r="HY51" i="100"/>
  <c r="HY62" i="100"/>
  <c r="HY44" i="100"/>
  <c r="HY45" i="100"/>
  <c r="HY48" i="100"/>
  <c r="HY50" i="100"/>
  <c r="HY53" i="100"/>
  <c r="HY58" i="100"/>
  <c r="HY54" i="100"/>
  <c r="HY59" i="100"/>
  <c r="HY52" i="100"/>
  <c r="HY56" i="100"/>
  <c r="HY57" i="100"/>
  <c r="HY49" i="100"/>
  <c r="HY61" i="100"/>
  <c r="HY60" i="100"/>
  <c r="HY55" i="100"/>
  <c r="HY47" i="100"/>
  <c r="HX79" i="100"/>
  <c r="HX78" i="100" s="1"/>
  <c r="HX209" i="100"/>
  <c r="HX339" i="100"/>
  <c r="HY327" i="100"/>
  <c r="HY13" i="100"/>
  <c r="HY158" i="100"/>
  <c r="HY28" i="100"/>
  <c r="HY299" i="100"/>
  <c r="HY24" i="100"/>
  <c r="HY174" i="100"/>
  <c r="HY300" i="100"/>
  <c r="HY334" i="100"/>
  <c r="HY29" i="100"/>
  <c r="HY33" i="100"/>
  <c r="HY326" i="100"/>
  <c r="HY161" i="100"/>
  <c r="HY12" i="100"/>
  <c r="HY164" i="100"/>
  <c r="HY68" i="100"/>
  <c r="HY313" i="100"/>
  <c r="HY289" i="100"/>
  <c r="HY316" i="100"/>
  <c r="HY323" i="100"/>
  <c r="HY179" i="100"/>
  <c r="HY76" i="100"/>
  <c r="HY37" i="100"/>
  <c r="HY318" i="100"/>
  <c r="HY18" i="100"/>
  <c r="HY290" i="100"/>
  <c r="HY304" i="100"/>
  <c r="HY336" i="100"/>
  <c r="HY192" i="100"/>
  <c r="HY16" i="100"/>
  <c r="HY309" i="100"/>
  <c r="HY73" i="100"/>
  <c r="HY65" i="100"/>
  <c r="HY40" i="100"/>
  <c r="HY321" i="100"/>
  <c r="HY14" i="100"/>
  <c r="HY36" i="100"/>
  <c r="HY11" i="100"/>
  <c r="HY204" i="100"/>
  <c r="HY9" i="100"/>
  <c r="HY165" i="100"/>
  <c r="HY166" i="100"/>
  <c r="HY19" i="100"/>
  <c r="HY296" i="100"/>
  <c r="HY22" i="100"/>
  <c r="HY171" i="100"/>
  <c r="HY337" i="100"/>
  <c r="HY75" i="100"/>
  <c r="HY20" i="100"/>
  <c r="HY163" i="100"/>
  <c r="HY34" i="100"/>
  <c r="HY202" i="100"/>
  <c r="HY172" i="100"/>
  <c r="HY70" i="100"/>
  <c r="HY292" i="100"/>
  <c r="HY322" i="100"/>
  <c r="HY320" i="100"/>
  <c r="HY64" i="100"/>
  <c r="HY170" i="100"/>
  <c r="HY66" i="100"/>
  <c r="HY168" i="100"/>
  <c r="HY43" i="100"/>
  <c r="HZ7" i="100"/>
  <c r="HY41" i="100"/>
  <c r="HY329" i="100"/>
  <c r="HY293" i="100"/>
  <c r="HY71" i="100"/>
  <c r="HY294" i="100"/>
  <c r="HY39" i="100"/>
  <c r="HY186" i="100"/>
  <c r="HY308" i="100"/>
  <c r="HY159" i="100"/>
  <c r="HY182" i="100"/>
  <c r="HY187" i="100"/>
  <c r="HY298" i="100"/>
  <c r="HY38" i="100"/>
  <c r="HY314" i="100"/>
  <c r="HY35" i="100"/>
  <c r="HY15" i="100"/>
  <c r="HY306" i="100"/>
  <c r="HY175" i="100"/>
  <c r="HY25" i="100"/>
  <c r="HY303" i="100"/>
  <c r="HY305" i="100"/>
  <c r="HY324" i="100"/>
  <c r="HY311" i="100"/>
  <c r="HY176" i="100"/>
  <c r="HY185" i="100"/>
  <c r="HY177" i="100"/>
  <c r="HY197" i="100"/>
  <c r="HY331" i="100"/>
  <c r="HY180" i="100"/>
  <c r="HY307" i="100"/>
  <c r="HY207" i="100"/>
  <c r="HY191" i="100"/>
  <c r="HY203" i="100"/>
  <c r="HY69" i="100"/>
  <c r="HY194" i="100"/>
  <c r="HY328" i="100"/>
  <c r="HY201" i="100"/>
  <c r="HY77" i="100"/>
  <c r="HY319" i="100"/>
  <c r="HY198" i="100"/>
  <c r="HY301" i="100"/>
  <c r="HY205" i="100"/>
  <c r="HY200" i="100"/>
  <c r="HY317" i="100"/>
  <c r="HY325" i="100"/>
  <c r="HY169" i="100"/>
  <c r="HY31" i="100"/>
  <c r="HY297" i="100"/>
  <c r="HY184" i="100"/>
  <c r="HY188" i="100"/>
  <c r="HY190" i="100"/>
  <c r="HY67" i="100"/>
  <c r="HY173" i="100"/>
  <c r="HY332" i="100"/>
  <c r="HY312" i="100"/>
  <c r="HY21" i="100"/>
  <c r="HY196" i="100"/>
  <c r="HY315" i="100"/>
  <c r="HY27" i="100"/>
  <c r="HY8" i="100"/>
  <c r="HY206" i="100"/>
  <c r="HY183" i="100"/>
  <c r="HY162" i="100"/>
  <c r="HY30" i="100"/>
  <c r="HY189" i="100"/>
  <c r="HY310" i="100"/>
  <c r="HY74" i="100"/>
  <c r="HY72" i="100"/>
  <c r="HY193" i="100"/>
  <c r="HY333" i="100"/>
  <c r="HY167" i="100"/>
  <c r="HY23" i="100"/>
  <c r="HY302" i="100"/>
  <c r="HY335" i="100"/>
  <c r="HY42" i="100"/>
  <c r="HY330" i="100"/>
  <c r="HY295" i="100"/>
  <c r="HY181" i="100"/>
  <c r="HY291" i="100"/>
  <c r="HY26" i="100"/>
  <c r="HY10" i="100"/>
  <c r="HY17" i="100"/>
  <c r="HY288" i="100"/>
  <c r="HY195" i="100"/>
  <c r="HY178" i="100"/>
  <c r="HY160" i="100"/>
  <c r="HY199" i="100"/>
  <c r="HY32" i="100"/>
  <c r="HZ62" i="100" l="1"/>
  <c r="HZ44" i="100"/>
  <c r="HZ46" i="100"/>
  <c r="HZ49" i="100"/>
  <c r="HZ63" i="100"/>
  <c r="HZ51" i="100"/>
  <c r="HZ48" i="100"/>
  <c r="HZ58" i="100"/>
  <c r="HZ55" i="100"/>
  <c r="HZ53" i="100"/>
  <c r="HZ45" i="100"/>
  <c r="HZ50" i="100"/>
  <c r="HZ57" i="100"/>
  <c r="HZ59" i="100"/>
  <c r="HZ52" i="100"/>
  <c r="HZ61" i="100"/>
  <c r="HZ56" i="100"/>
  <c r="HZ47" i="100"/>
  <c r="HZ54" i="100"/>
  <c r="HZ60" i="100"/>
  <c r="HY339" i="100"/>
  <c r="HY209" i="100"/>
  <c r="HY79" i="100"/>
  <c r="HY78" i="100" s="1"/>
  <c r="HZ72" i="100"/>
  <c r="HZ30" i="100"/>
  <c r="HZ197" i="100"/>
  <c r="HZ327" i="100"/>
  <c r="HZ305" i="100"/>
  <c r="HZ67" i="100"/>
  <c r="HZ175" i="100"/>
  <c r="HZ300" i="100"/>
  <c r="HZ65" i="100"/>
  <c r="HZ323" i="100"/>
  <c r="HZ172" i="100"/>
  <c r="HZ309" i="100"/>
  <c r="HZ35" i="100"/>
  <c r="IA7" i="100"/>
  <c r="HZ75" i="100"/>
  <c r="HZ294" i="100"/>
  <c r="HZ328" i="100"/>
  <c r="HZ23" i="100"/>
  <c r="HZ27" i="100"/>
  <c r="HZ174" i="100"/>
  <c r="HZ299" i="100"/>
  <c r="HZ314" i="100"/>
  <c r="HZ198" i="100"/>
  <c r="HZ204" i="100"/>
  <c r="HZ336" i="100"/>
  <c r="HZ168" i="100"/>
  <c r="HZ337" i="100"/>
  <c r="HZ170" i="100"/>
  <c r="HZ331" i="100"/>
  <c r="HZ326" i="100"/>
  <c r="HZ76" i="100"/>
  <c r="HZ320" i="100"/>
  <c r="HZ66" i="100"/>
  <c r="HZ32" i="100"/>
  <c r="HZ312" i="100"/>
  <c r="HZ169" i="100"/>
  <c r="HZ12" i="100"/>
  <c r="HZ194" i="100"/>
  <c r="HZ37" i="100"/>
  <c r="HZ17" i="100"/>
  <c r="HZ202" i="100"/>
  <c r="HZ311" i="100"/>
  <c r="HZ28" i="100"/>
  <c r="HZ161" i="100"/>
  <c r="HZ36" i="100"/>
  <c r="HZ205" i="100"/>
  <c r="HZ77" i="100"/>
  <c r="HZ200" i="100"/>
  <c r="HZ288" i="100"/>
  <c r="HZ71" i="100"/>
  <c r="HZ185" i="100"/>
  <c r="HZ191" i="100"/>
  <c r="HZ298" i="100"/>
  <c r="HZ183" i="100"/>
  <c r="HZ313" i="100"/>
  <c r="HZ19" i="100"/>
  <c r="HZ64" i="100"/>
  <c r="HZ15" i="100"/>
  <c r="HZ333" i="100"/>
  <c r="HZ316" i="100"/>
  <c r="HZ165" i="100"/>
  <c r="HZ306" i="100"/>
  <c r="HZ330" i="100"/>
  <c r="HZ187" i="100"/>
  <c r="HZ195" i="100"/>
  <c r="HZ207" i="100"/>
  <c r="HZ318" i="100"/>
  <c r="HZ176" i="100"/>
  <c r="HZ291" i="100"/>
  <c r="HZ31" i="100"/>
  <c r="HZ26" i="100"/>
  <c r="HZ29" i="100"/>
  <c r="HZ290" i="100"/>
  <c r="HZ184" i="100"/>
  <c r="HZ321" i="100"/>
  <c r="HZ319" i="100"/>
  <c r="HZ181" i="100"/>
  <c r="HZ158" i="100"/>
  <c r="HZ292" i="100"/>
  <c r="HZ74" i="100"/>
  <c r="HZ302" i="100"/>
  <c r="HZ40" i="100"/>
  <c r="HZ160" i="100"/>
  <c r="HZ335" i="100"/>
  <c r="HZ180" i="100"/>
  <c r="HZ301" i="100"/>
  <c r="HZ167" i="100"/>
  <c r="HZ193" i="100"/>
  <c r="HZ16" i="100"/>
  <c r="HZ203" i="100"/>
  <c r="HZ70" i="100"/>
  <c r="HZ322" i="100"/>
  <c r="HZ192" i="100"/>
  <c r="HZ324" i="100"/>
  <c r="HZ201" i="100"/>
  <c r="HZ334" i="100"/>
  <c r="HZ307" i="100"/>
  <c r="HZ310" i="100"/>
  <c r="HZ162" i="100"/>
  <c r="HZ173" i="100"/>
  <c r="HZ73" i="100"/>
  <c r="HZ24" i="100"/>
  <c r="HZ42" i="100"/>
  <c r="HZ11" i="100"/>
  <c r="HZ33" i="100"/>
  <c r="HZ13" i="100"/>
  <c r="HZ39" i="100"/>
  <c r="HZ196" i="100"/>
  <c r="HZ188" i="100"/>
  <c r="HZ159" i="100"/>
  <c r="HZ295" i="100"/>
  <c r="HZ22" i="100"/>
  <c r="HZ190" i="100"/>
  <c r="HZ308" i="100"/>
  <c r="HZ9" i="100"/>
  <c r="HZ34" i="100"/>
  <c r="HZ163" i="100"/>
  <c r="HZ315" i="100"/>
  <c r="HZ332" i="100"/>
  <c r="HZ304" i="100"/>
  <c r="HZ38" i="100"/>
  <c r="HZ182" i="100"/>
  <c r="HZ329" i="100"/>
  <c r="HZ178" i="100"/>
  <c r="HZ41" i="100"/>
  <c r="HZ10" i="100"/>
  <c r="HZ166" i="100"/>
  <c r="HZ177" i="100"/>
  <c r="HZ20" i="100"/>
  <c r="HZ297" i="100"/>
  <c r="HZ14" i="100"/>
  <c r="HZ325" i="100"/>
  <c r="HZ179" i="100"/>
  <c r="HZ317" i="100"/>
  <c r="HZ8" i="100"/>
  <c r="HZ186" i="100"/>
  <c r="HZ289" i="100"/>
  <c r="HZ18" i="100"/>
  <c r="HZ189" i="100"/>
  <c r="HZ21" i="100"/>
  <c r="HZ296" i="100"/>
  <c r="HZ69" i="100"/>
  <c r="HZ164" i="100"/>
  <c r="HZ303" i="100"/>
  <c r="HZ68" i="100"/>
  <c r="HZ25" i="100"/>
  <c r="HZ206" i="100"/>
  <c r="HZ171" i="100"/>
  <c r="HZ199" i="100"/>
  <c r="HZ43" i="100"/>
  <c r="HZ293" i="100"/>
  <c r="IA51" i="100" l="1"/>
  <c r="IA63" i="100"/>
  <c r="IA62" i="100"/>
  <c r="IA44" i="100"/>
  <c r="IA45" i="100"/>
  <c r="IA46" i="100"/>
  <c r="IA50" i="100"/>
  <c r="IA53" i="100"/>
  <c r="IA57" i="100"/>
  <c r="IA56" i="100"/>
  <c r="IA48" i="100"/>
  <c r="IA55" i="100"/>
  <c r="IA49" i="100"/>
  <c r="IA60" i="100"/>
  <c r="IA47" i="100"/>
  <c r="IA59" i="100"/>
  <c r="IA54" i="100"/>
  <c r="IA52" i="100"/>
  <c r="IA58" i="100"/>
  <c r="IA61" i="100"/>
  <c r="HZ209" i="100"/>
  <c r="HZ79" i="100"/>
  <c r="HZ78" i="100" s="1"/>
  <c r="HZ339" i="100"/>
  <c r="IA335" i="100"/>
  <c r="IA184" i="100"/>
  <c r="IA326" i="100"/>
  <c r="IA329" i="100"/>
  <c r="IA34" i="100"/>
  <c r="IA289" i="100"/>
  <c r="IA72" i="100"/>
  <c r="IA179" i="100"/>
  <c r="IA39" i="100"/>
  <c r="IA189" i="100"/>
  <c r="IA201" i="100"/>
  <c r="IA159" i="100"/>
  <c r="IA9" i="100"/>
  <c r="IA192" i="100"/>
  <c r="IA303" i="100"/>
  <c r="IA170" i="100"/>
  <c r="IA307" i="100"/>
  <c r="IA176" i="100"/>
  <c r="IA296" i="100"/>
  <c r="IA168" i="100"/>
  <c r="IA167" i="100"/>
  <c r="IA200" i="100"/>
  <c r="IA169" i="100"/>
  <c r="IA12" i="100"/>
  <c r="IA328" i="100"/>
  <c r="IA166" i="100"/>
  <c r="IA336" i="100"/>
  <c r="IA311" i="100"/>
  <c r="IA310" i="100"/>
  <c r="IA165" i="100"/>
  <c r="IA190" i="100"/>
  <c r="IA202" i="100"/>
  <c r="IA321" i="100"/>
  <c r="IA174" i="100"/>
  <c r="IA21" i="100"/>
  <c r="IA196" i="100"/>
  <c r="IA75" i="100"/>
  <c r="IA293" i="100"/>
  <c r="IA333" i="100"/>
  <c r="IA35" i="100"/>
  <c r="IA36" i="100"/>
  <c r="IA292" i="100"/>
  <c r="IA318" i="100"/>
  <c r="IA32" i="100"/>
  <c r="IA314" i="100"/>
  <c r="IA305" i="100"/>
  <c r="IA28" i="100"/>
  <c r="IA291" i="100"/>
  <c r="IA197" i="100"/>
  <c r="IA317" i="100"/>
  <c r="IA181" i="100"/>
  <c r="IA71" i="100"/>
  <c r="IA320" i="100"/>
  <c r="IA187" i="100"/>
  <c r="IB7" i="100"/>
  <c r="IA315" i="100"/>
  <c r="IA14" i="100"/>
  <c r="IA64" i="100"/>
  <c r="IA20" i="100"/>
  <c r="IA65" i="100"/>
  <c r="IA17" i="100"/>
  <c r="IA177" i="100"/>
  <c r="IA290" i="100"/>
  <c r="IA332" i="100"/>
  <c r="IA309" i="100"/>
  <c r="IA76" i="100"/>
  <c r="IA25" i="100"/>
  <c r="IA312" i="100"/>
  <c r="IA73" i="100"/>
  <c r="IA203" i="100"/>
  <c r="IA31" i="100"/>
  <c r="IA29" i="100"/>
  <c r="IA330" i="100"/>
  <c r="IA19" i="100"/>
  <c r="IA173" i="100"/>
  <c r="IA164" i="100"/>
  <c r="IA319" i="100"/>
  <c r="IA191" i="100"/>
  <c r="IA30" i="100"/>
  <c r="IA194" i="100"/>
  <c r="IA195" i="100"/>
  <c r="IA324" i="100"/>
  <c r="IA322" i="100"/>
  <c r="IA302" i="100"/>
  <c r="IA178" i="100"/>
  <c r="IA16" i="100"/>
  <c r="IA70" i="100"/>
  <c r="IA15" i="100"/>
  <c r="IA175" i="100"/>
  <c r="IA163" i="100"/>
  <c r="IA185" i="100"/>
  <c r="IA69" i="100"/>
  <c r="IA26" i="100"/>
  <c r="IA68" i="100"/>
  <c r="IA43" i="100"/>
  <c r="IA199" i="100"/>
  <c r="IA299" i="100"/>
  <c r="IA325" i="100"/>
  <c r="IA11" i="100"/>
  <c r="IA316" i="100"/>
  <c r="IA10" i="100"/>
  <c r="IA297" i="100"/>
  <c r="IA337" i="100"/>
  <c r="IA77" i="100"/>
  <c r="IA67" i="100"/>
  <c r="IA8" i="100"/>
  <c r="IA207" i="100"/>
  <c r="IA300" i="100"/>
  <c r="IA13" i="100"/>
  <c r="IA206" i="100"/>
  <c r="IA171" i="100"/>
  <c r="IA23" i="100"/>
  <c r="IA313" i="100"/>
  <c r="IA42" i="100"/>
  <c r="IA22" i="100"/>
  <c r="IA180" i="100"/>
  <c r="IA172" i="100"/>
  <c r="IA158" i="100"/>
  <c r="IA327" i="100"/>
  <c r="IA331" i="100"/>
  <c r="IA294" i="100"/>
  <c r="IA183" i="100"/>
  <c r="IA162" i="100"/>
  <c r="IA66" i="100"/>
  <c r="IA205" i="100"/>
  <c r="IA186" i="100"/>
  <c r="IA308" i="100"/>
  <c r="IA304" i="100"/>
  <c r="IA198" i="100"/>
  <c r="IA33" i="100"/>
  <c r="IA24" i="100"/>
  <c r="IA38" i="100"/>
  <c r="IA161" i="100"/>
  <c r="IA306" i="100"/>
  <c r="IA18" i="100"/>
  <c r="IA301" i="100"/>
  <c r="IA334" i="100"/>
  <c r="IA298" i="100"/>
  <c r="IA160" i="100"/>
  <c r="IA188" i="100"/>
  <c r="IA40" i="100"/>
  <c r="IA182" i="100"/>
  <c r="IA295" i="100"/>
  <c r="IA193" i="100"/>
  <c r="IA323" i="100"/>
  <c r="IA74" i="100"/>
  <c r="IA288" i="100"/>
  <c r="IA204" i="100"/>
  <c r="IA27" i="100"/>
  <c r="IA37" i="100"/>
  <c r="IA41" i="100"/>
  <c r="IB46" i="100" l="1"/>
  <c r="IB63" i="100"/>
  <c r="IB62" i="100"/>
  <c r="IB44" i="100"/>
  <c r="IB58" i="100"/>
  <c r="IB50" i="100"/>
  <c r="IB61" i="100"/>
  <c r="IB49" i="100"/>
  <c r="IB51" i="100"/>
  <c r="IB47" i="100"/>
  <c r="IB56" i="100"/>
  <c r="IB54" i="100"/>
  <c r="IB55" i="100"/>
  <c r="IB48" i="100"/>
  <c r="IB53" i="100"/>
  <c r="IB60" i="100"/>
  <c r="IB45" i="100"/>
  <c r="IB59" i="100"/>
  <c r="IB57" i="100"/>
  <c r="IB52" i="100"/>
  <c r="IA79" i="100"/>
  <c r="IA78" i="100" s="1"/>
  <c r="IA209" i="100"/>
  <c r="IA339" i="100"/>
  <c r="IB12" i="100"/>
  <c r="IB203" i="100"/>
  <c r="IB30" i="100"/>
  <c r="IB337" i="100"/>
  <c r="IB19" i="100"/>
  <c r="IB182" i="100"/>
  <c r="IB334" i="100"/>
  <c r="IB204" i="100"/>
  <c r="IB161" i="100"/>
  <c r="IB9" i="100"/>
  <c r="IB70" i="100"/>
  <c r="IB321" i="100"/>
  <c r="IB328" i="100"/>
  <c r="IB193" i="100"/>
  <c r="IB14" i="100"/>
  <c r="IB195" i="100"/>
  <c r="IB311" i="100"/>
  <c r="IB68" i="100"/>
  <c r="IB71" i="100"/>
  <c r="IB288" i="100"/>
  <c r="IB184" i="100"/>
  <c r="IB305" i="100"/>
  <c r="IB335" i="100"/>
  <c r="IB166" i="100"/>
  <c r="IB20" i="100"/>
  <c r="IB324" i="100"/>
  <c r="IB66" i="100"/>
  <c r="IB13" i="100"/>
  <c r="IB323" i="100"/>
  <c r="IB316" i="100"/>
  <c r="IB201" i="100"/>
  <c r="IB294" i="100"/>
  <c r="IB159" i="100"/>
  <c r="IB190" i="100"/>
  <c r="IB290" i="100"/>
  <c r="IB172" i="100"/>
  <c r="IB299" i="100"/>
  <c r="IB185" i="100"/>
  <c r="IB76" i="100"/>
  <c r="IB320" i="100"/>
  <c r="IB33" i="100"/>
  <c r="IB205" i="100"/>
  <c r="IB168" i="100"/>
  <c r="IB310" i="100"/>
  <c r="IB325" i="100"/>
  <c r="IB293" i="100"/>
  <c r="IB18" i="100"/>
  <c r="IB179" i="100"/>
  <c r="IB329" i="100"/>
  <c r="IB34" i="100"/>
  <c r="IB27" i="100"/>
  <c r="IB77" i="100"/>
  <c r="IB301" i="100"/>
  <c r="IB72" i="100"/>
  <c r="IB37" i="100"/>
  <c r="IB309" i="100"/>
  <c r="IB43" i="100"/>
  <c r="IB196" i="100"/>
  <c r="IB291" i="100"/>
  <c r="IB174" i="100"/>
  <c r="IB333" i="100"/>
  <c r="IB36" i="100"/>
  <c r="IB298" i="100"/>
  <c r="IB31" i="100"/>
  <c r="IB65" i="100"/>
  <c r="IB331" i="100"/>
  <c r="IB194" i="100"/>
  <c r="IB202" i="100"/>
  <c r="IB21" i="100"/>
  <c r="IB167" i="100"/>
  <c r="IB317" i="100"/>
  <c r="IB336" i="100"/>
  <c r="IB163" i="100"/>
  <c r="IB318" i="100"/>
  <c r="IB198" i="100"/>
  <c r="IB64" i="100"/>
  <c r="IB67" i="100"/>
  <c r="IB180" i="100"/>
  <c r="IB186" i="100"/>
  <c r="IB319" i="100"/>
  <c r="IB160" i="100"/>
  <c r="IB169" i="100"/>
  <c r="IB315" i="100"/>
  <c r="IB39" i="100"/>
  <c r="IB10" i="100"/>
  <c r="IB192" i="100"/>
  <c r="IB295" i="100"/>
  <c r="IB175" i="100"/>
  <c r="IB158" i="100"/>
  <c r="IB188" i="100"/>
  <c r="IB297" i="100"/>
  <c r="IB200" i="100"/>
  <c r="IB164" i="100"/>
  <c r="IB165" i="100"/>
  <c r="IB24" i="100"/>
  <c r="IB330" i="100"/>
  <c r="IB332" i="100"/>
  <c r="IB173" i="100"/>
  <c r="IB313" i="100"/>
  <c r="IB307" i="100"/>
  <c r="IB38" i="100"/>
  <c r="IB300" i="100"/>
  <c r="IB303" i="100"/>
  <c r="IB292" i="100"/>
  <c r="IB183" i="100"/>
  <c r="IB181" i="100"/>
  <c r="IB197" i="100"/>
  <c r="IB16" i="100"/>
  <c r="IB304" i="100"/>
  <c r="IB187" i="100"/>
  <c r="IB289" i="100"/>
  <c r="IB322" i="100"/>
  <c r="IB42" i="100"/>
  <c r="IB69" i="100"/>
  <c r="IB11" i="100"/>
  <c r="IB25" i="100"/>
  <c r="IB327" i="100"/>
  <c r="IB75" i="100"/>
  <c r="IB40" i="100"/>
  <c r="IB26" i="100"/>
  <c r="IB206" i="100"/>
  <c r="IB312" i="100"/>
  <c r="IB177" i="100"/>
  <c r="IB23" i="100"/>
  <c r="IB296" i="100"/>
  <c r="IB29" i="100"/>
  <c r="IC7" i="100"/>
  <c r="IB314" i="100"/>
  <c r="IB326" i="100"/>
  <c r="IB306" i="100"/>
  <c r="IB32" i="100"/>
  <c r="IB28" i="100"/>
  <c r="IB8" i="100"/>
  <c r="IB162" i="100"/>
  <c r="IB189" i="100"/>
  <c r="IB207" i="100"/>
  <c r="IB74" i="100"/>
  <c r="IB176" i="100"/>
  <c r="IB15" i="100"/>
  <c r="IB73" i="100"/>
  <c r="IB41" i="100"/>
  <c r="IB17" i="100"/>
  <c r="IB199" i="100"/>
  <c r="IB191" i="100"/>
  <c r="IB302" i="100"/>
  <c r="IB35" i="100"/>
  <c r="IB170" i="100"/>
  <c r="IB22" i="100"/>
  <c r="IB178" i="100"/>
  <c r="IB308" i="100"/>
  <c r="IB171" i="100"/>
  <c r="IC63" i="100" l="1"/>
  <c r="IC51" i="100"/>
  <c r="IC56" i="100"/>
  <c r="IC45" i="100"/>
  <c r="IC46" i="100"/>
  <c r="IC44" i="100"/>
  <c r="IC62" i="100"/>
  <c r="IC59" i="100"/>
  <c r="IC55" i="100"/>
  <c r="IC47" i="100"/>
  <c r="IC58" i="100"/>
  <c r="IC54" i="100"/>
  <c r="IC61" i="100"/>
  <c r="IC50" i="100"/>
  <c r="IC53" i="100"/>
  <c r="IC48" i="100"/>
  <c r="IC52" i="100"/>
  <c r="IC57" i="100"/>
  <c r="IC49" i="100"/>
  <c r="IC60" i="100"/>
  <c r="IB209" i="100"/>
  <c r="IB79" i="100"/>
  <c r="IB78" i="100" s="1"/>
  <c r="IB339" i="100"/>
  <c r="IC309" i="100"/>
  <c r="IC66" i="100"/>
  <c r="IC330" i="100"/>
  <c r="IC14" i="100"/>
  <c r="IC175" i="100"/>
  <c r="IC73" i="100"/>
  <c r="IC41" i="100"/>
  <c r="IC33" i="100"/>
  <c r="IC176" i="100"/>
  <c r="IC24" i="100"/>
  <c r="IC204" i="100"/>
  <c r="IC158" i="100"/>
  <c r="IC311" i="100"/>
  <c r="IC72" i="100"/>
  <c r="IC193" i="100"/>
  <c r="IC180" i="100"/>
  <c r="IC12" i="100"/>
  <c r="IC65" i="100"/>
  <c r="IC304" i="100"/>
  <c r="IC168" i="100"/>
  <c r="IC322" i="100"/>
  <c r="IC336" i="100"/>
  <c r="IC64" i="100"/>
  <c r="IC76" i="100"/>
  <c r="IC299" i="100"/>
  <c r="IC200" i="100"/>
  <c r="IC178" i="100"/>
  <c r="IC23" i="100"/>
  <c r="IC289" i="100"/>
  <c r="IC185" i="100"/>
  <c r="IC324" i="100"/>
  <c r="IC319" i="100"/>
  <c r="IC196" i="100"/>
  <c r="IC302" i="100"/>
  <c r="IC8" i="100"/>
  <c r="IC40" i="100"/>
  <c r="IC315" i="100"/>
  <c r="IC199" i="100"/>
  <c r="IC202" i="100"/>
  <c r="IC20" i="100"/>
  <c r="IC190" i="100"/>
  <c r="IC11" i="100"/>
  <c r="IC31" i="100"/>
  <c r="IC317" i="100"/>
  <c r="IC332" i="100"/>
  <c r="IC9" i="100"/>
  <c r="IC301" i="100"/>
  <c r="IC310" i="100"/>
  <c r="IC288" i="100"/>
  <c r="IC318" i="100"/>
  <c r="IC194" i="100"/>
  <c r="IC337" i="100"/>
  <c r="IC70" i="100"/>
  <c r="IC16" i="100"/>
  <c r="IC30" i="100"/>
  <c r="IC187" i="100"/>
  <c r="IC77" i="100"/>
  <c r="IC184" i="100"/>
  <c r="IC333" i="100"/>
  <c r="IC18" i="100"/>
  <c r="IC68" i="100"/>
  <c r="IC13" i="100"/>
  <c r="IC160" i="100"/>
  <c r="IC325" i="100"/>
  <c r="IC35" i="100"/>
  <c r="IC22" i="100"/>
  <c r="IC181" i="100"/>
  <c r="IC313" i="100"/>
  <c r="IC305" i="100"/>
  <c r="IC191" i="100"/>
  <c r="IC293" i="100"/>
  <c r="ID7" i="100"/>
  <c r="IC297" i="100"/>
  <c r="IC307" i="100"/>
  <c r="IC203" i="100"/>
  <c r="IC192" i="100"/>
  <c r="IC177" i="100"/>
  <c r="IC182" i="100"/>
  <c r="IC170" i="100"/>
  <c r="IC39" i="100"/>
  <c r="IC186" i="100"/>
  <c r="IC38" i="100"/>
  <c r="IC327" i="100"/>
  <c r="IC326" i="100"/>
  <c r="IC292" i="100"/>
  <c r="IC19" i="100"/>
  <c r="IC17" i="100"/>
  <c r="IC172" i="100"/>
  <c r="IC197" i="100"/>
  <c r="IC323" i="100"/>
  <c r="IC316" i="100"/>
  <c r="IC165" i="100"/>
  <c r="IC28" i="100"/>
  <c r="IC169" i="100"/>
  <c r="IC179" i="100"/>
  <c r="IC27" i="100"/>
  <c r="IC161" i="100"/>
  <c r="IC42" i="100"/>
  <c r="IC69" i="100"/>
  <c r="IC321" i="100"/>
  <c r="IC294" i="100"/>
  <c r="IC329" i="100"/>
  <c r="IC308" i="100"/>
  <c r="IC173" i="100"/>
  <c r="IC37" i="100"/>
  <c r="IC198" i="100"/>
  <c r="IC303" i="100"/>
  <c r="IC205" i="100"/>
  <c r="IC162" i="100"/>
  <c r="IC189" i="100"/>
  <c r="IC164" i="100"/>
  <c r="IC291" i="100"/>
  <c r="IC167" i="100"/>
  <c r="IC174" i="100"/>
  <c r="IC312" i="100"/>
  <c r="IC25" i="100"/>
  <c r="IC335" i="100"/>
  <c r="IC21" i="100"/>
  <c r="IC36" i="100"/>
  <c r="IC298" i="100"/>
  <c r="IC295" i="100"/>
  <c r="IC296" i="100"/>
  <c r="IC328" i="100"/>
  <c r="IC201" i="100"/>
  <c r="IC183" i="100"/>
  <c r="IC67" i="100"/>
  <c r="IC314" i="100"/>
  <c r="IC34" i="100"/>
  <c r="IC334" i="100"/>
  <c r="IC43" i="100"/>
  <c r="IC29" i="100"/>
  <c r="IC32" i="100"/>
  <c r="IC159" i="100"/>
  <c r="IC195" i="100"/>
  <c r="IC188" i="100"/>
  <c r="IC206" i="100"/>
  <c r="IC171" i="100"/>
  <c r="IC74" i="100"/>
  <c r="IC163" i="100"/>
  <c r="IC290" i="100"/>
  <c r="IC71" i="100"/>
  <c r="IC26" i="100"/>
  <c r="IC331" i="100"/>
  <c r="IC300" i="100"/>
  <c r="IC75" i="100"/>
  <c r="IC10" i="100"/>
  <c r="IC15" i="100"/>
  <c r="IC320" i="100"/>
  <c r="IC207" i="100"/>
  <c r="IC306" i="100"/>
  <c r="IC166" i="100"/>
  <c r="ID63" i="100" l="1"/>
  <c r="ID59" i="100"/>
  <c r="ID46" i="100"/>
  <c r="ID62" i="100"/>
  <c r="ID44" i="100"/>
  <c r="ID58" i="100"/>
  <c r="ID56" i="100"/>
  <c r="ID45" i="100"/>
  <c r="ID53" i="100"/>
  <c r="ID51" i="100"/>
  <c r="ID49" i="100"/>
  <c r="ID61" i="100"/>
  <c r="ID50" i="100"/>
  <c r="ID48" i="100"/>
  <c r="ID57" i="100"/>
  <c r="ID47" i="100"/>
  <c r="ID55" i="100"/>
  <c r="ID52" i="100"/>
  <c r="ID54" i="100"/>
  <c r="ID60" i="100"/>
  <c r="IC209" i="100"/>
  <c r="IC339" i="100"/>
  <c r="IC79" i="100"/>
  <c r="IC78" i="100" s="1"/>
  <c r="ID66" i="100"/>
  <c r="ID312" i="100"/>
  <c r="ID24" i="100"/>
  <c r="ID317" i="100"/>
  <c r="ID337" i="100"/>
  <c r="ID42" i="100"/>
  <c r="ID74" i="100"/>
  <c r="IE7" i="100"/>
  <c r="ID191" i="100"/>
  <c r="ID292" i="100"/>
  <c r="ID67" i="100"/>
  <c r="ID166" i="100"/>
  <c r="ID182" i="100"/>
  <c r="ID321" i="100"/>
  <c r="ID200" i="100"/>
  <c r="ID163" i="100"/>
  <c r="ID192" i="100"/>
  <c r="ID16" i="100"/>
  <c r="ID207" i="100"/>
  <c r="ID306" i="100"/>
  <c r="ID316" i="100"/>
  <c r="ID294" i="100"/>
  <c r="ID196" i="100"/>
  <c r="ID296" i="100"/>
  <c r="ID193" i="100"/>
  <c r="ID70" i="100"/>
  <c r="ID305" i="100"/>
  <c r="ID197" i="100"/>
  <c r="ID307" i="100"/>
  <c r="ID288" i="100"/>
  <c r="ID195" i="100"/>
  <c r="ID177" i="100"/>
  <c r="ID303" i="100"/>
  <c r="ID40" i="100"/>
  <c r="ID309" i="100"/>
  <c r="ID68" i="100"/>
  <c r="ID295" i="100"/>
  <c r="ID13" i="100"/>
  <c r="ID179" i="100"/>
  <c r="ID203" i="100"/>
  <c r="ID308" i="100"/>
  <c r="ID181" i="100"/>
  <c r="ID322" i="100"/>
  <c r="ID201" i="100"/>
  <c r="ID23" i="100"/>
  <c r="ID301" i="100"/>
  <c r="ID198" i="100"/>
  <c r="ID162" i="100"/>
  <c r="ID30" i="100"/>
  <c r="ID22" i="100"/>
  <c r="ID172" i="100"/>
  <c r="ID328" i="100"/>
  <c r="ID15" i="100"/>
  <c r="ID29" i="100"/>
  <c r="ID324" i="100"/>
  <c r="ID175" i="100"/>
  <c r="ID205" i="100"/>
  <c r="ID160" i="100"/>
  <c r="ID300" i="100"/>
  <c r="ID169" i="100"/>
  <c r="ID18" i="100"/>
  <c r="ID161" i="100"/>
  <c r="ID171" i="100"/>
  <c r="ID167" i="100"/>
  <c r="ID293" i="100"/>
  <c r="ID43" i="100"/>
  <c r="ID69" i="100"/>
  <c r="ID320" i="100"/>
  <c r="ID333" i="100"/>
  <c r="ID290" i="100"/>
  <c r="ID31" i="100"/>
  <c r="ID314" i="100"/>
  <c r="ID158" i="100"/>
  <c r="ID170" i="100"/>
  <c r="ID330" i="100"/>
  <c r="ID291" i="100"/>
  <c r="ID17" i="100"/>
  <c r="ID204" i="100"/>
  <c r="ID289" i="100"/>
  <c r="ID12" i="100"/>
  <c r="ID315" i="100"/>
  <c r="ID190" i="100"/>
  <c r="ID202" i="100"/>
  <c r="ID8" i="100"/>
  <c r="ID33" i="100"/>
  <c r="ID39" i="100"/>
  <c r="ID65" i="100"/>
  <c r="ID36" i="100"/>
  <c r="ID298" i="100"/>
  <c r="ID318" i="100"/>
  <c r="ID311" i="100"/>
  <c r="ID71" i="100"/>
  <c r="ID14" i="100"/>
  <c r="ID184" i="100"/>
  <c r="ID194" i="100"/>
  <c r="ID189" i="100"/>
  <c r="ID173" i="100"/>
  <c r="ID21" i="100"/>
  <c r="ID34" i="100"/>
  <c r="ID331" i="100"/>
  <c r="ID186" i="100"/>
  <c r="ID72" i="100"/>
  <c r="ID32" i="100"/>
  <c r="ID176" i="100"/>
  <c r="ID27" i="100"/>
  <c r="ID73" i="100"/>
  <c r="ID28" i="100"/>
  <c r="ID64" i="100"/>
  <c r="ID38" i="100"/>
  <c r="ID297" i="100"/>
  <c r="ID327" i="100"/>
  <c r="ID178" i="100"/>
  <c r="ID185" i="100"/>
  <c r="ID25" i="100"/>
  <c r="ID206" i="100"/>
  <c r="ID299" i="100"/>
  <c r="ID188" i="100"/>
  <c r="ID336" i="100"/>
  <c r="ID168" i="100"/>
  <c r="ID37" i="100"/>
  <c r="ID174" i="100"/>
  <c r="ID19" i="100"/>
  <c r="ID335" i="100"/>
  <c r="ID35" i="100"/>
  <c r="ID319" i="100"/>
  <c r="ID334" i="100"/>
  <c r="ID11" i="100"/>
  <c r="ID187" i="100"/>
  <c r="ID313" i="100"/>
  <c r="ID302" i="100"/>
  <c r="ID159" i="100"/>
  <c r="ID75" i="100"/>
  <c r="ID77" i="100"/>
  <c r="ID304" i="100"/>
  <c r="ID164" i="100"/>
  <c r="ID183" i="100"/>
  <c r="ID76" i="100"/>
  <c r="ID26" i="100"/>
  <c r="ID199" i="100"/>
  <c r="ID323" i="100"/>
  <c r="ID310" i="100"/>
  <c r="ID41" i="100"/>
  <c r="ID329" i="100"/>
  <c r="ID9" i="100"/>
  <c r="ID332" i="100"/>
  <c r="ID10" i="100"/>
  <c r="ID326" i="100"/>
  <c r="ID180" i="100"/>
  <c r="ID325" i="100"/>
  <c r="ID20" i="100"/>
  <c r="ID165" i="100"/>
  <c r="IE62" i="100" l="1"/>
  <c r="IE46" i="100"/>
  <c r="IE59" i="100"/>
  <c r="IE63" i="100"/>
  <c r="IE45" i="100"/>
  <c r="IE58" i="100"/>
  <c r="IE57" i="100"/>
  <c r="IE44" i="100"/>
  <c r="IE54" i="100"/>
  <c r="IE53" i="100"/>
  <c r="IE51" i="100"/>
  <c r="IE48" i="100"/>
  <c r="IE56" i="100"/>
  <c r="IE61" i="100"/>
  <c r="IE47" i="100"/>
  <c r="IE55" i="100"/>
  <c r="IE50" i="100"/>
  <c r="IE52" i="100"/>
  <c r="IE60" i="100"/>
  <c r="IE49" i="100"/>
  <c r="ID339" i="100"/>
  <c r="ID79" i="100"/>
  <c r="ID78" i="100" s="1"/>
  <c r="ID209" i="100"/>
  <c r="IE325" i="100"/>
  <c r="IE196" i="100"/>
  <c r="IE192" i="100"/>
  <c r="IE198" i="100"/>
  <c r="IE190" i="100"/>
  <c r="IE187" i="100"/>
  <c r="IE20" i="100"/>
  <c r="IE197" i="100"/>
  <c r="IE312" i="100"/>
  <c r="IE307" i="100"/>
  <c r="IE323" i="100"/>
  <c r="IE11" i="100"/>
  <c r="IE160" i="100"/>
  <c r="IE179" i="100"/>
  <c r="IE292" i="100"/>
  <c r="IE174" i="100"/>
  <c r="IE305" i="100"/>
  <c r="IE204" i="100"/>
  <c r="IE304" i="100"/>
  <c r="IE40" i="100"/>
  <c r="IE291" i="100"/>
  <c r="IE16" i="100"/>
  <c r="IE206" i="100"/>
  <c r="IE311" i="100"/>
  <c r="IF7" i="100"/>
  <c r="IE173" i="100"/>
  <c r="IE30" i="100"/>
  <c r="IE303" i="100"/>
  <c r="IE43" i="100"/>
  <c r="IE299" i="100"/>
  <c r="IE337" i="100"/>
  <c r="IE332" i="100"/>
  <c r="IE32" i="100"/>
  <c r="IE203" i="100"/>
  <c r="IE336" i="100"/>
  <c r="IE35" i="100"/>
  <c r="IE309" i="100"/>
  <c r="IE22" i="100"/>
  <c r="IE64" i="100"/>
  <c r="IE177" i="100"/>
  <c r="IE334" i="100"/>
  <c r="IE193" i="100"/>
  <c r="IE27" i="100"/>
  <c r="IE321" i="100"/>
  <c r="IE318" i="100"/>
  <c r="IE73" i="100"/>
  <c r="IE185" i="100"/>
  <c r="IE8" i="100"/>
  <c r="IE162" i="100"/>
  <c r="IE159" i="100"/>
  <c r="IE23" i="100"/>
  <c r="IE178" i="100"/>
  <c r="IE301" i="100"/>
  <c r="IE25" i="100"/>
  <c r="IE302" i="100"/>
  <c r="IE175" i="100"/>
  <c r="IE297" i="100"/>
  <c r="IE10" i="100"/>
  <c r="IE14" i="100"/>
  <c r="IE34" i="100"/>
  <c r="IE31" i="100"/>
  <c r="IE169" i="100"/>
  <c r="IE331" i="100"/>
  <c r="IE165" i="100"/>
  <c r="IE294" i="100"/>
  <c r="IE76" i="100"/>
  <c r="IE65" i="100"/>
  <c r="IE327" i="100"/>
  <c r="IE39" i="100"/>
  <c r="IE158" i="100"/>
  <c r="IE21" i="100"/>
  <c r="IE167" i="100"/>
  <c r="IE314" i="100"/>
  <c r="IE195" i="100"/>
  <c r="IE317" i="100"/>
  <c r="IE168" i="100"/>
  <c r="IE202" i="100"/>
  <c r="IE74" i="100"/>
  <c r="IE18" i="100"/>
  <c r="IE316" i="100"/>
  <c r="IE335" i="100"/>
  <c r="IE293" i="100"/>
  <c r="IE183" i="100"/>
  <c r="IE306" i="100"/>
  <c r="IE12" i="100"/>
  <c r="IE326" i="100"/>
  <c r="IE319" i="100"/>
  <c r="IE182" i="100"/>
  <c r="IE199" i="100"/>
  <c r="IE188" i="100"/>
  <c r="IE66" i="100"/>
  <c r="IE171" i="100"/>
  <c r="IE308" i="100"/>
  <c r="IE42" i="100"/>
  <c r="IE67" i="100"/>
  <c r="IE298" i="100"/>
  <c r="IE9" i="100"/>
  <c r="IE295" i="100"/>
  <c r="IE205" i="100"/>
  <c r="IE72" i="100"/>
  <c r="IE313" i="100"/>
  <c r="IE69" i="100"/>
  <c r="IE15" i="100"/>
  <c r="IE75" i="100"/>
  <c r="IE320" i="100"/>
  <c r="IE290" i="100"/>
  <c r="IE77" i="100"/>
  <c r="IE181" i="100"/>
  <c r="IE184" i="100"/>
  <c r="IE164" i="100"/>
  <c r="IE170" i="100"/>
  <c r="IE296" i="100"/>
  <c r="IE38" i="100"/>
  <c r="IE28" i="100"/>
  <c r="IE300" i="100"/>
  <c r="IE68" i="100"/>
  <c r="IE186" i="100"/>
  <c r="IE71" i="100"/>
  <c r="IE33" i="100"/>
  <c r="IE163" i="100"/>
  <c r="IE330" i="100"/>
  <c r="IE19" i="100"/>
  <c r="IE289" i="100"/>
  <c r="IE13" i="100"/>
  <c r="IE189" i="100"/>
  <c r="IE328" i="100"/>
  <c r="IE207" i="100"/>
  <c r="IE180" i="100"/>
  <c r="IE70" i="100"/>
  <c r="IE37" i="100"/>
  <c r="IE166" i="100"/>
  <c r="IE324" i="100"/>
  <c r="IE333" i="100"/>
  <c r="IE41" i="100"/>
  <c r="IE36" i="100"/>
  <c r="IE315" i="100"/>
  <c r="IE288" i="100"/>
  <c r="IE322" i="100"/>
  <c r="IE17" i="100"/>
  <c r="IE176" i="100"/>
  <c r="IE194" i="100"/>
  <c r="IE29" i="100"/>
  <c r="IE201" i="100"/>
  <c r="IE24" i="100"/>
  <c r="IE26" i="100"/>
  <c r="IE329" i="100"/>
  <c r="IE200" i="100"/>
  <c r="IE161" i="100"/>
  <c r="IE310" i="100"/>
  <c r="IE191" i="100"/>
  <c r="IE172" i="100"/>
  <c r="IF44" i="100" l="1"/>
  <c r="IF63" i="100"/>
  <c r="IF49" i="100"/>
  <c r="IF62" i="100"/>
  <c r="IF46" i="100"/>
  <c r="IF45" i="100"/>
  <c r="IF52" i="100"/>
  <c r="IF53" i="100"/>
  <c r="IF48" i="100"/>
  <c r="IF54" i="100"/>
  <c r="IF58" i="100"/>
  <c r="IF50" i="100"/>
  <c r="IF57" i="100"/>
  <c r="IF56" i="100"/>
  <c r="IF51" i="100"/>
  <c r="IF60" i="100"/>
  <c r="IF55" i="100"/>
  <c r="IF61" i="100"/>
  <c r="IF59" i="100"/>
  <c r="IF47" i="100"/>
  <c r="IE339" i="100"/>
  <c r="IE79" i="100"/>
  <c r="IE78" i="100" s="1"/>
  <c r="IE209" i="100"/>
  <c r="IF194" i="100"/>
  <c r="IF29" i="100"/>
  <c r="IF168" i="100"/>
  <c r="IF331" i="100"/>
  <c r="IF328" i="100"/>
  <c r="IF43" i="100"/>
  <c r="IF303" i="100"/>
  <c r="IF302" i="100"/>
  <c r="IF42" i="100"/>
  <c r="IF170" i="100"/>
  <c r="IF193" i="100"/>
  <c r="IF14" i="100"/>
  <c r="IF298" i="100"/>
  <c r="IF307" i="100"/>
  <c r="IF23" i="100"/>
  <c r="IF183" i="100"/>
  <c r="IF178" i="100"/>
  <c r="IF329" i="100"/>
  <c r="IF322" i="100"/>
  <c r="IF10" i="100"/>
  <c r="IF204" i="100"/>
  <c r="IF9" i="100"/>
  <c r="IF65" i="100"/>
  <c r="IF201" i="100"/>
  <c r="IF38" i="100"/>
  <c r="IF186" i="100"/>
  <c r="IF192" i="100"/>
  <c r="IF172" i="100"/>
  <c r="IF32" i="100"/>
  <c r="IF203" i="100"/>
  <c r="IF305" i="100"/>
  <c r="IF205" i="100"/>
  <c r="IF34" i="100"/>
  <c r="IF332" i="100"/>
  <c r="IF66" i="100"/>
  <c r="IF27" i="100"/>
  <c r="IF330" i="100"/>
  <c r="IF69" i="100"/>
  <c r="IF191" i="100"/>
  <c r="IF175" i="100"/>
  <c r="IF189" i="100"/>
  <c r="IF313" i="100"/>
  <c r="IF295" i="100"/>
  <c r="IF195" i="100"/>
  <c r="IF22" i="100"/>
  <c r="IF17" i="100"/>
  <c r="IF18" i="100"/>
  <c r="IF162" i="100"/>
  <c r="IF68" i="100"/>
  <c r="IF31" i="100"/>
  <c r="IF179" i="100"/>
  <c r="IF37" i="100"/>
  <c r="IF39" i="100"/>
  <c r="IF169" i="100"/>
  <c r="IF336" i="100"/>
  <c r="IF325" i="100"/>
  <c r="IF334" i="100"/>
  <c r="IF160" i="100"/>
  <c r="IF337" i="100"/>
  <c r="IF158" i="100"/>
  <c r="IF335" i="100"/>
  <c r="IF77" i="100"/>
  <c r="IF180" i="100"/>
  <c r="IF200" i="100"/>
  <c r="IF327" i="100"/>
  <c r="IF70" i="100"/>
  <c r="IF19" i="100"/>
  <c r="IF40" i="100"/>
  <c r="IF296" i="100"/>
  <c r="IF309" i="100"/>
  <c r="IF293" i="100"/>
  <c r="IF299" i="100"/>
  <c r="IF74" i="100"/>
  <c r="IF35" i="100"/>
  <c r="IF20" i="100"/>
  <c r="IF198" i="100"/>
  <c r="IF33" i="100"/>
  <c r="IF321" i="100"/>
  <c r="IF294" i="100"/>
  <c r="IF72" i="100"/>
  <c r="IF188" i="100"/>
  <c r="IF12" i="100"/>
  <c r="IF36" i="100"/>
  <c r="IF26" i="100"/>
  <c r="IF25" i="100"/>
  <c r="IF304" i="100"/>
  <c r="IF308" i="100"/>
  <c r="IF64" i="100"/>
  <c r="IF196" i="100"/>
  <c r="IF199" i="100"/>
  <c r="IF317" i="100"/>
  <c r="IF167" i="100"/>
  <c r="IF67" i="100"/>
  <c r="IF41" i="100"/>
  <c r="IF24" i="100"/>
  <c r="IF163" i="100"/>
  <c r="IF164" i="100"/>
  <c r="IF16" i="100"/>
  <c r="IF173" i="100"/>
  <c r="IF207" i="100"/>
  <c r="IF166" i="100"/>
  <c r="IF315" i="100"/>
  <c r="IF202" i="100"/>
  <c r="IF15" i="100"/>
  <c r="IF8" i="100"/>
  <c r="IF311" i="100"/>
  <c r="IF306" i="100"/>
  <c r="IF326" i="100"/>
  <c r="IF320" i="100"/>
  <c r="IF333" i="100"/>
  <c r="IF187" i="100"/>
  <c r="IF11" i="100"/>
  <c r="IF197" i="100"/>
  <c r="IF28" i="100"/>
  <c r="IF290" i="100"/>
  <c r="IF76" i="100"/>
  <c r="IF289" i="100"/>
  <c r="IF323" i="100"/>
  <c r="IF312" i="100"/>
  <c r="IF310" i="100"/>
  <c r="IF13" i="100"/>
  <c r="IF21" i="100"/>
  <c r="IF171" i="100"/>
  <c r="IF314" i="100"/>
  <c r="IF174" i="100"/>
  <c r="IG7" i="100"/>
  <c r="IF324" i="100"/>
  <c r="IF75" i="100"/>
  <c r="IF316" i="100"/>
  <c r="IF30" i="100"/>
  <c r="IF184" i="100"/>
  <c r="IF177" i="100"/>
  <c r="IF161" i="100"/>
  <c r="IF291" i="100"/>
  <c r="IF182" i="100"/>
  <c r="IF73" i="100"/>
  <c r="IF165" i="100"/>
  <c r="IF300" i="100"/>
  <c r="IF319" i="100"/>
  <c r="IF301" i="100"/>
  <c r="IF206" i="100"/>
  <c r="IF185" i="100"/>
  <c r="IF292" i="100"/>
  <c r="IF318" i="100"/>
  <c r="IF176" i="100"/>
  <c r="IF288" i="100"/>
  <c r="IF190" i="100"/>
  <c r="IF297" i="100"/>
  <c r="IF181" i="100"/>
  <c r="IF71" i="100"/>
  <c r="IF159" i="100"/>
  <c r="IG62" i="100" l="1"/>
  <c r="IG44" i="100"/>
  <c r="IG63" i="100"/>
  <c r="IG46" i="100"/>
  <c r="IG53" i="100"/>
  <c r="IG58" i="100"/>
  <c r="IG57" i="100"/>
  <c r="IG45" i="100"/>
  <c r="IG48" i="100"/>
  <c r="IG47" i="100"/>
  <c r="IG50" i="100"/>
  <c r="IG61" i="100"/>
  <c r="IG51" i="100"/>
  <c r="IG55" i="100"/>
  <c r="IG54" i="100"/>
  <c r="IG56" i="100"/>
  <c r="IG52" i="100"/>
  <c r="IG60" i="100"/>
  <c r="IG49" i="100"/>
  <c r="IG59" i="100"/>
  <c r="IF209" i="100"/>
  <c r="IF339" i="100"/>
  <c r="IF79" i="100"/>
  <c r="IF78" i="100" s="1"/>
  <c r="IG201" i="100"/>
  <c r="IG184" i="100"/>
  <c r="IG64" i="100"/>
  <c r="IG299" i="100"/>
  <c r="IG320" i="100"/>
  <c r="IG300" i="100"/>
  <c r="IG205" i="100"/>
  <c r="IG181" i="100"/>
  <c r="IG69" i="100"/>
  <c r="IG17" i="100"/>
  <c r="IG295" i="100"/>
  <c r="IG21" i="100"/>
  <c r="IG43" i="100"/>
  <c r="IG179" i="100"/>
  <c r="IG24" i="100"/>
  <c r="IG26" i="100"/>
  <c r="IG323" i="100"/>
  <c r="IG289" i="100"/>
  <c r="IG40" i="100"/>
  <c r="IG34" i="100"/>
  <c r="IG20" i="100"/>
  <c r="IG333" i="100"/>
  <c r="IG198" i="100"/>
  <c r="IG22" i="100"/>
  <c r="IG194" i="100"/>
  <c r="IG302" i="100"/>
  <c r="IG303" i="100"/>
  <c r="IG324" i="100"/>
  <c r="IG327" i="100"/>
  <c r="IG319" i="100"/>
  <c r="IG183" i="100"/>
  <c r="IG293" i="100"/>
  <c r="IG332" i="100"/>
  <c r="IG67" i="100"/>
  <c r="IG311" i="100"/>
  <c r="IG310" i="100"/>
  <c r="IG41" i="100"/>
  <c r="IG309" i="100"/>
  <c r="IG196" i="100"/>
  <c r="IG337" i="100"/>
  <c r="IG177" i="100"/>
  <c r="IG31" i="100"/>
  <c r="IG301" i="100"/>
  <c r="IG33" i="100"/>
  <c r="IG171" i="100"/>
  <c r="IG176" i="100"/>
  <c r="IG70" i="100"/>
  <c r="IG25" i="100"/>
  <c r="IG296" i="100"/>
  <c r="IG199" i="100"/>
  <c r="IG23" i="100"/>
  <c r="IG170" i="100"/>
  <c r="IG331" i="100"/>
  <c r="IG200" i="100"/>
  <c r="IG163" i="100"/>
  <c r="IG315" i="100"/>
  <c r="IG8" i="100"/>
  <c r="IG77" i="100"/>
  <c r="IG326" i="100"/>
  <c r="IG328" i="100"/>
  <c r="IG305" i="100"/>
  <c r="IG336" i="100"/>
  <c r="IG180" i="100"/>
  <c r="IG14" i="100"/>
  <c r="IG329" i="100"/>
  <c r="IG316" i="100"/>
  <c r="IG158" i="100"/>
  <c r="IG162" i="100"/>
  <c r="IG191" i="100"/>
  <c r="IG173" i="100"/>
  <c r="IG168" i="100"/>
  <c r="IG290" i="100"/>
  <c r="IG291" i="100"/>
  <c r="IG164" i="100"/>
  <c r="IG193" i="100"/>
  <c r="IG206" i="100"/>
  <c r="IG292" i="100"/>
  <c r="IG30" i="100"/>
  <c r="IG68" i="100"/>
  <c r="IG314" i="100"/>
  <c r="IG190" i="100"/>
  <c r="IG36" i="100"/>
  <c r="IG166" i="100"/>
  <c r="IG35" i="100"/>
  <c r="IG185" i="100"/>
  <c r="IH7" i="100"/>
  <c r="IG76" i="100"/>
  <c r="IG304" i="100"/>
  <c r="IG169" i="100"/>
  <c r="IG204" i="100"/>
  <c r="IG29" i="100"/>
  <c r="IG73" i="100"/>
  <c r="IG288" i="100"/>
  <c r="IG318" i="100"/>
  <c r="IG65" i="100"/>
  <c r="IG186" i="100"/>
  <c r="IG167" i="100"/>
  <c r="IG207" i="100"/>
  <c r="IG74" i="100"/>
  <c r="IG37" i="100"/>
  <c r="IG317" i="100"/>
  <c r="IG187" i="100"/>
  <c r="IG188" i="100"/>
  <c r="IG182" i="100"/>
  <c r="IG202" i="100"/>
  <c r="IG10" i="100"/>
  <c r="IG72" i="100"/>
  <c r="IG32" i="100"/>
  <c r="IG321" i="100"/>
  <c r="IG334" i="100"/>
  <c r="IG19" i="100"/>
  <c r="IG174" i="100"/>
  <c r="IG298" i="100"/>
  <c r="IG203" i="100"/>
  <c r="IG13" i="100"/>
  <c r="IG308" i="100"/>
  <c r="IG178" i="100"/>
  <c r="IG313" i="100"/>
  <c r="IG172" i="100"/>
  <c r="IG71" i="100"/>
  <c r="IG294" i="100"/>
  <c r="IG38" i="100"/>
  <c r="IG195" i="100"/>
  <c r="IG175" i="100"/>
  <c r="IG335" i="100"/>
  <c r="IG325" i="100"/>
  <c r="IG18" i="100"/>
  <c r="IG160" i="100"/>
  <c r="IG42" i="100"/>
  <c r="IG322" i="100"/>
  <c r="IG312" i="100"/>
  <c r="IG189" i="100"/>
  <c r="IG159" i="100"/>
  <c r="IG15" i="100"/>
  <c r="IG11" i="100"/>
  <c r="IG75" i="100"/>
  <c r="IG12" i="100"/>
  <c r="IG297" i="100"/>
  <c r="IG165" i="100"/>
  <c r="IG9" i="100"/>
  <c r="IG161" i="100"/>
  <c r="IG197" i="100"/>
  <c r="IG16" i="100"/>
  <c r="IG28" i="100"/>
  <c r="IG27" i="100"/>
  <c r="IG330" i="100"/>
  <c r="IG306" i="100"/>
  <c r="IG66" i="100"/>
  <c r="IG39" i="100"/>
  <c r="IG192" i="100"/>
  <c r="IG307" i="100"/>
  <c r="IH50" i="100" l="1"/>
  <c r="IH63" i="100"/>
  <c r="IH46" i="100"/>
  <c r="IH51" i="100"/>
  <c r="IH44" i="100"/>
  <c r="IH62" i="100"/>
  <c r="IH57" i="100"/>
  <c r="IH47" i="100"/>
  <c r="IH55" i="100"/>
  <c r="IH59" i="100"/>
  <c r="IH58" i="100"/>
  <c r="IH54" i="100"/>
  <c r="IH56" i="100"/>
  <c r="IH60" i="100"/>
  <c r="IH61" i="100"/>
  <c r="IH49" i="100"/>
  <c r="IH48" i="100"/>
  <c r="IH45" i="100"/>
  <c r="IH53" i="100"/>
  <c r="IH52" i="100"/>
  <c r="IG339" i="100"/>
  <c r="IG79" i="100"/>
  <c r="IG78" i="100" s="1"/>
  <c r="IG209" i="100"/>
  <c r="IH325" i="100"/>
  <c r="IH294" i="100"/>
  <c r="IH181" i="100"/>
  <c r="IH68" i="100"/>
  <c r="IH328" i="100"/>
  <c r="IH333" i="100"/>
  <c r="IH74" i="100"/>
  <c r="IH15" i="100"/>
  <c r="IH191" i="100"/>
  <c r="IH14" i="100"/>
  <c r="IH75" i="100"/>
  <c r="IH329" i="100"/>
  <c r="IH303" i="100"/>
  <c r="IH42" i="100"/>
  <c r="IH307" i="100"/>
  <c r="IH24" i="100"/>
  <c r="IH299" i="100"/>
  <c r="IH295" i="100"/>
  <c r="IH34" i="100"/>
  <c r="IH17" i="100"/>
  <c r="IH288" i="100"/>
  <c r="IH314" i="100"/>
  <c r="IH171" i="100"/>
  <c r="IH179" i="100"/>
  <c r="IH331" i="100"/>
  <c r="IH33" i="100"/>
  <c r="IH13" i="100"/>
  <c r="IH292" i="100"/>
  <c r="IH320" i="100"/>
  <c r="IH291" i="100"/>
  <c r="IH198" i="100"/>
  <c r="IH26" i="100"/>
  <c r="IH177" i="100"/>
  <c r="IH336" i="100"/>
  <c r="IH73" i="100"/>
  <c r="IH193" i="100"/>
  <c r="IH296" i="100"/>
  <c r="IH9" i="100"/>
  <c r="IH161" i="100"/>
  <c r="IH173" i="100"/>
  <c r="IH335" i="100"/>
  <c r="IH77" i="100"/>
  <c r="IH10" i="100"/>
  <c r="IH297" i="100"/>
  <c r="IH12" i="100"/>
  <c r="IH72" i="100"/>
  <c r="IH65" i="100"/>
  <c r="IH298" i="100"/>
  <c r="IH207" i="100"/>
  <c r="IH43" i="100"/>
  <c r="IH28" i="100"/>
  <c r="IH301" i="100"/>
  <c r="IH21" i="100"/>
  <c r="IH319" i="100"/>
  <c r="IH18" i="100"/>
  <c r="IH317" i="100"/>
  <c r="IH184" i="100"/>
  <c r="IH165" i="100"/>
  <c r="IH168" i="100"/>
  <c r="IH185" i="100"/>
  <c r="IH327" i="100"/>
  <c r="IH183" i="100"/>
  <c r="IH39" i="100"/>
  <c r="IH290" i="100"/>
  <c r="IH158" i="100"/>
  <c r="IH312" i="100"/>
  <c r="IH22" i="100"/>
  <c r="IH204" i="100"/>
  <c r="IH40" i="100"/>
  <c r="IH30" i="100"/>
  <c r="IH293" i="100"/>
  <c r="IH178" i="100"/>
  <c r="IH66" i="100"/>
  <c r="IH35" i="100"/>
  <c r="IH167" i="100"/>
  <c r="IH289" i="100"/>
  <c r="IH19" i="100"/>
  <c r="IH71" i="100"/>
  <c r="IH64" i="100"/>
  <c r="IH163" i="100"/>
  <c r="IH202" i="100"/>
  <c r="IH38" i="100"/>
  <c r="IH69" i="100"/>
  <c r="IH11" i="100"/>
  <c r="IH160" i="100"/>
  <c r="IH300" i="100"/>
  <c r="IH188" i="100"/>
  <c r="IH36" i="100"/>
  <c r="IH309" i="100"/>
  <c r="IH16" i="100"/>
  <c r="IH196" i="100"/>
  <c r="IH164" i="100"/>
  <c r="IH199" i="100"/>
  <c r="IH41" i="100"/>
  <c r="IH330" i="100"/>
  <c r="IH304" i="100"/>
  <c r="IH189" i="100"/>
  <c r="IH324" i="100"/>
  <c r="IH323" i="100"/>
  <c r="IH334" i="100"/>
  <c r="IH32" i="100"/>
  <c r="IH31" i="100"/>
  <c r="IH305" i="100"/>
  <c r="IH316" i="100"/>
  <c r="IH311" i="100"/>
  <c r="IH190" i="100"/>
  <c r="IH337" i="100"/>
  <c r="IH201" i="100"/>
  <c r="IH175" i="100"/>
  <c r="IH182" i="100"/>
  <c r="IH176" i="100"/>
  <c r="IH20" i="100"/>
  <c r="IH313" i="100"/>
  <c r="IH170" i="100"/>
  <c r="IH206" i="100"/>
  <c r="IH186" i="100"/>
  <c r="IH306" i="100"/>
  <c r="IH187" i="100"/>
  <c r="IH70" i="100"/>
  <c r="IH332" i="100"/>
  <c r="IH23" i="100"/>
  <c r="IH172" i="100"/>
  <c r="IH315" i="100"/>
  <c r="IH197" i="100"/>
  <c r="IH76" i="100"/>
  <c r="IH174" i="100"/>
  <c r="IH302" i="100"/>
  <c r="IH195" i="100"/>
  <c r="IH192" i="100"/>
  <c r="IH25" i="100"/>
  <c r="IH180" i="100"/>
  <c r="IH321" i="100"/>
  <c r="IH67" i="100"/>
  <c r="IH200" i="100"/>
  <c r="IH159" i="100"/>
  <c r="IH194" i="100"/>
  <c r="IH37" i="100"/>
  <c r="IH308" i="100"/>
  <c r="IH205" i="100"/>
  <c r="IH322" i="100"/>
  <c r="IH326" i="100"/>
  <c r="II7" i="100"/>
  <c r="IH310" i="100"/>
  <c r="IH29" i="100"/>
  <c r="IH162" i="100"/>
  <c r="IH318" i="100"/>
  <c r="IH8" i="100"/>
  <c r="IH169" i="100"/>
  <c r="IH203" i="100"/>
  <c r="IH166" i="100"/>
  <c r="IH27" i="100"/>
  <c r="II51" i="100" l="1"/>
  <c r="II61" i="100"/>
  <c r="II63" i="100"/>
  <c r="II46" i="100"/>
  <c r="II62" i="100"/>
  <c r="II44" i="100"/>
  <c r="II57" i="100"/>
  <c r="II48" i="100"/>
  <c r="II56" i="100"/>
  <c r="II55" i="100"/>
  <c r="II54" i="100"/>
  <c r="II53" i="100"/>
  <c r="II47" i="100"/>
  <c r="II49" i="100"/>
  <c r="II60" i="100"/>
  <c r="II58" i="100"/>
  <c r="II50" i="100"/>
  <c r="II59" i="100"/>
  <c r="II52" i="100"/>
  <c r="II45" i="100"/>
  <c r="IH79" i="100"/>
  <c r="IH78" i="100" s="1"/>
  <c r="IH339" i="100"/>
  <c r="IH209" i="100"/>
  <c r="II291" i="100"/>
  <c r="II20" i="100"/>
  <c r="II295" i="100"/>
  <c r="II162" i="100"/>
  <c r="II290" i="100"/>
  <c r="II301" i="100"/>
  <c r="II19" i="100"/>
  <c r="II163" i="100"/>
  <c r="II336" i="100"/>
  <c r="II38" i="100"/>
  <c r="II160" i="100"/>
  <c r="II75" i="100"/>
  <c r="II321" i="100"/>
  <c r="II177" i="100"/>
  <c r="II169" i="100"/>
  <c r="II179" i="100"/>
  <c r="II39" i="100"/>
  <c r="II67" i="100"/>
  <c r="II168" i="100"/>
  <c r="II72" i="100"/>
  <c r="II32" i="100"/>
  <c r="II166" i="100"/>
  <c r="II200" i="100"/>
  <c r="II323" i="100"/>
  <c r="II181" i="100"/>
  <c r="II192" i="100"/>
  <c r="II293" i="100"/>
  <c r="II64" i="100"/>
  <c r="II69" i="100"/>
  <c r="II300" i="100"/>
  <c r="II324" i="100"/>
  <c r="II13" i="100"/>
  <c r="II330" i="100"/>
  <c r="II66" i="100"/>
  <c r="II312" i="100"/>
  <c r="II22" i="100"/>
  <c r="II76" i="100"/>
  <c r="II191" i="100"/>
  <c r="II203" i="100"/>
  <c r="II74" i="100"/>
  <c r="II337" i="100"/>
  <c r="II197" i="100"/>
  <c r="II175" i="100"/>
  <c r="II161" i="100"/>
  <c r="II317" i="100"/>
  <c r="II70" i="100"/>
  <c r="II15" i="100"/>
  <c r="II21" i="100"/>
  <c r="II77" i="100"/>
  <c r="II194" i="100"/>
  <c r="II182" i="100"/>
  <c r="II165" i="100"/>
  <c r="II334" i="100"/>
  <c r="II294" i="100"/>
  <c r="II68" i="100"/>
  <c r="II325" i="100"/>
  <c r="II25" i="100"/>
  <c r="II329" i="100"/>
  <c r="II288" i="100"/>
  <c r="II180" i="100"/>
  <c r="II315" i="100"/>
  <c r="II71" i="100"/>
  <c r="II37" i="100"/>
  <c r="II9" i="100"/>
  <c r="II14" i="100"/>
  <c r="II199" i="100"/>
  <c r="II299" i="100"/>
  <c r="II327" i="100"/>
  <c r="II173" i="100"/>
  <c r="II176" i="100"/>
  <c r="II190" i="100"/>
  <c r="II204" i="100"/>
  <c r="II198" i="100"/>
  <c r="II308" i="100"/>
  <c r="II201" i="100"/>
  <c r="II26" i="100"/>
  <c r="II184" i="100"/>
  <c r="II289" i="100"/>
  <c r="II31" i="100"/>
  <c r="II170" i="100"/>
  <c r="II292" i="100"/>
  <c r="II27" i="100"/>
  <c r="II10" i="100"/>
  <c r="II158" i="100"/>
  <c r="II296" i="100"/>
  <c r="II17" i="100"/>
  <c r="II29" i="100"/>
  <c r="II316" i="100"/>
  <c r="II322" i="100"/>
  <c r="II307" i="100"/>
  <c r="II186" i="100"/>
  <c r="II206" i="100"/>
  <c r="II36" i="100"/>
  <c r="II188" i="100"/>
  <c r="II326" i="100"/>
  <c r="II28" i="100"/>
  <c r="II178" i="100"/>
  <c r="II205" i="100"/>
  <c r="II11" i="100"/>
  <c r="II195" i="100"/>
  <c r="II40" i="100"/>
  <c r="II34" i="100"/>
  <c r="II8" i="100"/>
  <c r="II303" i="100"/>
  <c r="II311" i="100"/>
  <c r="II65" i="100"/>
  <c r="II41" i="100"/>
  <c r="II187" i="100"/>
  <c r="II43" i="100"/>
  <c r="II33" i="100"/>
  <c r="II328" i="100"/>
  <c r="II18" i="100"/>
  <c r="II42" i="100"/>
  <c r="II333" i="100"/>
  <c r="II164" i="100"/>
  <c r="II297" i="100"/>
  <c r="IJ7" i="100"/>
  <c r="II16" i="100"/>
  <c r="II335" i="100"/>
  <c r="II185" i="100"/>
  <c r="II172" i="100"/>
  <c r="II12" i="100"/>
  <c r="II207" i="100"/>
  <c r="II35" i="100"/>
  <c r="II313" i="100"/>
  <c r="II320" i="100"/>
  <c r="II30" i="100"/>
  <c r="II304" i="100"/>
  <c r="II310" i="100"/>
  <c r="II309" i="100"/>
  <c r="II24" i="100"/>
  <c r="II189" i="100"/>
  <c r="II305" i="100"/>
  <c r="II306" i="100"/>
  <c r="II193" i="100"/>
  <c r="II202" i="100"/>
  <c r="II298" i="100"/>
  <c r="II196" i="100"/>
  <c r="II332" i="100"/>
  <c r="II331" i="100"/>
  <c r="II167" i="100"/>
  <c r="II318" i="100"/>
  <c r="II302" i="100"/>
  <c r="II174" i="100"/>
  <c r="II314" i="100"/>
  <c r="II183" i="100"/>
  <c r="II171" i="100"/>
  <c r="II73" i="100"/>
  <c r="II23" i="100"/>
  <c r="II159" i="100"/>
  <c r="II319" i="100"/>
  <c r="IJ62" i="100" l="1"/>
  <c r="IJ63" i="100"/>
  <c r="IJ44" i="100"/>
  <c r="IJ57" i="100"/>
  <c r="IJ46" i="100"/>
  <c r="IJ59" i="100"/>
  <c r="IJ53" i="100"/>
  <c r="IJ47" i="100"/>
  <c r="IJ60" i="100"/>
  <c r="IJ51" i="100"/>
  <c r="IJ45" i="100"/>
  <c r="IJ61" i="100"/>
  <c r="IJ48" i="100"/>
  <c r="IJ52" i="100"/>
  <c r="IJ56" i="100"/>
  <c r="IJ58" i="100"/>
  <c r="IJ49" i="100"/>
  <c r="IJ55" i="100"/>
  <c r="IJ54" i="100"/>
  <c r="IJ50" i="100"/>
  <c r="II209" i="100"/>
  <c r="II79" i="100"/>
  <c r="II78" i="100" s="1"/>
  <c r="II339" i="100"/>
  <c r="IJ290" i="100"/>
  <c r="IJ175" i="100"/>
  <c r="IJ17" i="100"/>
  <c r="IJ16" i="100"/>
  <c r="IJ169" i="100"/>
  <c r="IJ75" i="100"/>
  <c r="IJ38" i="100"/>
  <c r="IJ328" i="100"/>
  <c r="IJ324" i="100"/>
  <c r="IJ197" i="100"/>
  <c r="IJ200" i="100"/>
  <c r="IJ12" i="100"/>
  <c r="IJ331" i="100"/>
  <c r="IJ166" i="100"/>
  <c r="IJ314" i="100"/>
  <c r="IJ26" i="100"/>
  <c r="IJ332" i="100"/>
  <c r="IJ178" i="100"/>
  <c r="IJ70" i="100"/>
  <c r="IJ311" i="100"/>
  <c r="IJ69" i="100"/>
  <c r="IJ173" i="100"/>
  <c r="IJ192" i="100"/>
  <c r="IJ190" i="100"/>
  <c r="IJ167" i="100"/>
  <c r="IJ321" i="100"/>
  <c r="IJ31" i="100"/>
  <c r="IJ35" i="100"/>
  <c r="IJ313" i="100"/>
  <c r="IJ322" i="100"/>
  <c r="IJ36" i="100"/>
  <c r="IJ307" i="100"/>
  <c r="IJ204" i="100"/>
  <c r="IJ315" i="100"/>
  <c r="IJ67" i="100"/>
  <c r="IJ182" i="100"/>
  <c r="IJ74" i="100"/>
  <c r="IJ323" i="100"/>
  <c r="IJ159" i="100"/>
  <c r="IJ304" i="100"/>
  <c r="IJ288" i="100"/>
  <c r="IJ64" i="100"/>
  <c r="IJ168" i="100"/>
  <c r="IJ196" i="100"/>
  <c r="IJ186" i="100"/>
  <c r="IJ319" i="100"/>
  <c r="IJ302" i="100"/>
  <c r="IJ308" i="100"/>
  <c r="IJ189" i="100"/>
  <c r="IJ312" i="100"/>
  <c r="IJ326" i="100"/>
  <c r="IJ25" i="100"/>
  <c r="IJ181" i="100"/>
  <c r="IJ24" i="100"/>
  <c r="IJ309" i="100"/>
  <c r="IJ297" i="100"/>
  <c r="IJ163" i="100"/>
  <c r="IJ22" i="100"/>
  <c r="IJ171" i="100"/>
  <c r="IJ291" i="100"/>
  <c r="IJ65" i="100"/>
  <c r="IJ201" i="100"/>
  <c r="IJ294" i="100"/>
  <c r="IJ174" i="100"/>
  <c r="IJ10" i="100"/>
  <c r="IJ185" i="100"/>
  <c r="IJ164" i="100"/>
  <c r="IJ303" i="100"/>
  <c r="IJ199" i="100"/>
  <c r="IJ194" i="100"/>
  <c r="IJ184" i="100"/>
  <c r="IJ11" i="100"/>
  <c r="IJ293" i="100"/>
  <c r="IJ8" i="100"/>
  <c r="IJ301" i="100"/>
  <c r="IJ195" i="100"/>
  <c r="IJ72" i="100"/>
  <c r="IJ310" i="100"/>
  <c r="IJ289" i="100"/>
  <c r="IJ329" i="100"/>
  <c r="IJ188" i="100"/>
  <c r="IJ316" i="100"/>
  <c r="IJ34" i="100"/>
  <c r="IJ165" i="100"/>
  <c r="IJ20" i="100"/>
  <c r="IJ21" i="100"/>
  <c r="IJ68" i="100"/>
  <c r="IJ180" i="100"/>
  <c r="IJ42" i="100"/>
  <c r="IJ320" i="100"/>
  <c r="IJ207" i="100"/>
  <c r="IJ203" i="100"/>
  <c r="IJ23" i="100"/>
  <c r="IJ206" i="100"/>
  <c r="IJ299" i="100"/>
  <c r="IJ37" i="100"/>
  <c r="IJ14" i="100"/>
  <c r="IJ30" i="100"/>
  <c r="IJ327" i="100"/>
  <c r="IJ292" i="100"/>
  <c r="IJ330" i="100"/>
  <c r="IJ179" i="100"/>
  <c r="IJ9" i="100"/>
  <c r="IJ333" i="100"/>
  <c r="IJ76" i="100"/>
  <c r="IJ193" i="100"/>
  <c r="IJ27" i="100"/>
  <c r="IJ66" i="100"/>
  <c r="IJ198" i="100"/>
  <c r="IJ336" i="100"/>
  <c r="IJ162" i="100"/>
  <c r="IJ300" i="100"/>
  <c r="IJ205" i="100"/>
  <c r="IJ325" i="100"/>
  <c r="IJ15" i="100"/>
  <c r="IJ298" i="100"/>
  <c r="IJ28" i="100"/>
  <c r="IJ41" i="100"/>
  <c r="IJ18" i="100"/>
  <c r="IJ187" i="100"/>
  <c r="IJ161" i="100"/>
  <c r="IJ39" i="100"/>
  <c r="IJ191" i="100"/>
  <c r="IJ32" i="100"/>
  <c r="IJ176" i="100"/>
  <c r="IJ305" i="100"/>
  <c r="IJ77" i="100"/>
  <c r="IJ306" i="100"/>
  <c r="IJ172" i="100"/>
  <c r="IJ33" i="100"/>
  <c r="IJ170" i="100"/>
  <c r="IJ334" i="100"/>
  <c r="IJ43" i="100"/>
  <c r="IJ29" i="100"/>
  <c r="IJ71" i="100"/>
  <c r="IJ19" i="100"/>
  <c r="IJ183" i="100"/>
  <c r="IJ335" i="100"/>
  <c r="IJ295" i="100"/>
  <c r="IJ40" i="100"/>
  <c r="IJ296" i="100"/>
  <c r="IJ317" i="100"/>
  <c r="IJ337" i="100"/>
  <c r="IJ158" i="100"/>
  <c r="IJ318" i="100"/>
  <c r="IJ202" i="100"/>
  <c r="IJ13" i="100"/>
  <c r="IJ177" i="100"/>
  <c r="IJ73" i="100"/>
  <c r="IJ160" i="100"/>
  <c r="IJ79" i="100" l="1"/>
  <c r="IJ78" i="100" s="1"/>
  <c r="Q150" i="100" s="1"/>
  <c r="IJ209" i="100"/>
  <c r="IJ339" i="100"/>
  <c r="F410" i="100" s="1"/>
  <c r="R410" i="100"/>
  <c r="R280" i="100"/>
  <c r="F280" i="100"/>
  <c r="L280" i="100"/>
  <c r="L410" i="100" l="1"/>
  <c r="L150" i="100"/>
  <c r="K150" i="100"/>
  <c r="E150" i="100"/>
  <c r="F150" i="100"/>
  <c r="R150"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Zach Benton</author>
    <author>gwallis</author>
    <author>DH</author>
  </authors>
  <commentList>
    <comment ref="S1" authorId="0" shapeId="0" xr:uid="{DB3971D4-647F-4B1A-8CBB-6EBB2C15C2B3}">
      <text>
        <r>
          <rPr>
            <sz val="9"/>
            <color indexed="81"/>
            <rFont val="Tahoma"/>
            <family val="2"/>
          </rPr>
          <t>example: LTA DX, MTC GLY</t>
        </r>
      </text>
    </comment>
    <comment ref="V1" authorId="1" shapeId="0" xr:uid="{E9290650-6812-4047-B734-4362427D20B4}">
      <text>
        <r>
          <rPr>
            <sz val="8"/>
            <color indexed="81"/>
            <rFont val="Tahoma"/>
            <family val="2"/>
          </rPr>
          <t>Typically, when Design Ambient Temperature is above 105°F consider water-cooled type heat rejection equipment</t>
        </r>
      </text>
    </comment>
    <comment ref="F6" authorId="2" shapeId="0" xr:uid="{24D12506-2495-401D-BD59-8C9D47D47380}">
      <text>
        <r>
          <rPr>
            <sz val="8"/>
            <color indexed="81"/>
            <rFont val="Tahoma"/>
            <family val="2"/>
          </rPr>
          <t xml:space="preserve">This column will </t>
        </r>
        <r>
          <rPr>
            <b/>
            <sz val="8"/>
            <color indexed="81"/>
            <rFont val="Tahoma"/>
            <family val="2"/>
          </rPr>
          <t>NOT</t>
        </r>
        <r>
          <rPr>
            <sz val="8"/>
            <color indexed="81"/>
            <rFont val="Tahoma"/>
            <family val="2"/>
          </rPr>
          <t xml:space="preserve"> be printed.
Select</t>
        </r>
        <r>
          <rPr>
            <b/>
            <sz val="8"/>
            <color indexed="81"/>
            <rFont val="Tahoma"/>
            <family val="2"/>
          </rPr>
          <t xml:space="preserve"> CASE - AUTO</t>
        </r>
        <r>
          <rPr>
            <sz val="8"/>
            <color indexed="81"/>
            <rFont val="Tahoma"/>
            <family val="2"/>
          </rPr>
          <t xml:space="preserve"> for automatic case selections from Wal-Mart database.
Select </t>
        </r>
        <r>
          <rPr>
            <b/>
            <sz val="8"/>
            <color indexed="81"/>
            <rFont val="Tahoma"/>
            <family val="2"/>
          </rPr>
          <t>WALK-IN AUTO</t>
        </r>
        <r>
          <rPr>
            <sz val="8"/>
            <color indexed="81"/>
            <rFont val="Tahoma"/>
            <family val="2"/>
          </rPr>
          <t xml:space="preserve"> for automatic evaporator coil selection from Wal-Mart database.
Select </t>
        </r>
        <r>
          <rPr>
            <b/>
            <sz val="8"/>
            <color indexed="81"/>
            <rFont val="Tahoma"/>
            <family val="2"/>
          </rPr>
          <t>CASE MANUAL</t>
        </r>
        <r>
          <rPr>
            <sz val="8"/>
            <color indexed="81"/>
            <rFont val="Tahoma"/>
            <family val="2"/>
          </rPr>
          <t xml:space="preserve"> for manual case entries whenever automatic selections are not possible.
Select </t>
        </r>
        <r>
          <rPr>
            <b/>
            <sz val="8"/>
            <color indexed="81"/>
            <rFont val="Tahoma"/>
            <family val="2"/>
          </rPr>
          <t xml:space="preserve">WALK-IN MANUAL </t>
        </r>
        <r>
          <rPr>
            <sz val="8"/>
            <color indexed="81"/>
            <rFont val="Tahoma"/>
            <family val="2"/>
          </rPr>
          <t xml:space="preserve">for manual walk-in box entries whenever automatic selections are not possible.
Select </t>
        </r>
        <r>
          <rPr>
            <b/>
            <sz val="8"/>
            <color indexed="81"/>
            <rFont val="Tahoma"/>
            <family val="2"/>
          </rPr>
          <t>FULL MANUAL</t>
        </r>
        <r>
          <rPr>
            <sz val="8"/>
            <color indexed="81"/>
            <rFont val="Tahoma"/>
            <family val="2"/>
          </rPr>
          <t xml:space="preserve"> for manual entries whenever automatic selections are not possible.
Select </t>
        </r>
        <r>
          <rPr>
            <b/>
            <sz val="8"/>
            <color indexed="81"/>
            <rFont val="Tahoma"/>
            <family val="2"/>
          </rPr>
          <t>SPARE STUB</t>
        </r>
        <r>
          <rPr>
            <sz val="8"/>
            <color indexed="81"/>
            <rFont val="Tahoma"/>
            <family val="2"/>
          </rPr>
          <t xml:space="preserve"> for spare stubs as required.</t>
        </r>
      </text>
    </comment>
    <comment ref="H6" authorId="2" shapeId="0" xr:uid="{71039BA1-D6A7-40E0-81FF-B1D86945B1E8}">
      <text>
        <r>
          <rPr>
            <b/>
            <sz val="8"/>
            <color indexed="81"/>
            <rFont val="Tahoma"/>
            <family val="2"/>
          </rPr>
          <t>Circuit number in format : LT or MT &amp;  SYS # &amp; Circ #
i.e. :          LTC1           MTA12</t>
        </r>
      </text>
    </comment>
    <comment ref="V6" authorId="1" shapeId="0" xr:uid="{DDCB631B-58AC-4402-83CC-06B1778B4E1F}">
      <text>
        <r>
          <rPr>
            <sz val="8"/>
            <color indexed="81"/>
            <rFont val="Tahoma"/>
            <family val="2"/>
          </rPr>
          <t>Electrical data will not be calculated until the Evaporator Coil quantity has been entered.</t>
        </r>
      </text>
    </comment>
    <comment ref="AE6" authorId="1" shapeId="0" xr:uid="{58C787BA-4165-485D-9716-C860AAB9CA53}">
      <text>
        <r>
          <rPr>
            <sz val="8"/>
            <color indexed="81"/>
            <rFont val="Tahoma"/>
            <family val="2"/>
          </rPr>
          <t>Utilize appropriate manufacturer's software tool for control valve selection as follows:
-  Sporlan Valve Product Selection Program v-3.64 or higher.
-  Parker InPhorm v-1.1 or higher</t>
        </r>
      </text>
    </comment>
    <comment ref="K7" authorId="1" shapeId="0" xr:uid="{473CD7B2-9284-4D0A-97BB-624646C7C015}">
      <text>
        <r>
          <rPr>
            <b/>
            <sz val="8"/>
            <color indexed="81"/>
            <rFont val="Tahoma"/>
            <family val="2"/>
          </rPr>
          <t xml:space="preserve">RED </t>
        </r>
        <r>
          <rPr>
            <sz val="8"/>
            <color indexed="81"/>
            <rFont val="Tahoma"/>
            <family val="2"/>
          </rPr>
          <t>cells indicate that the selected case for the required length is not available in the Wal-Mart database.  Enter in case manually, then contact Database Administrator to have case included in the master database.</t>
        </r>
      </text>
    </comment>
    <comment ref="L7" authorId="1" shapeId="0" xr:uid="{73740A4F-2D77-4C45-AAE9-1520EE5158AC}">
      <text>
        <r>
          <rPr>
            <b/>
            <sz val="8"/>
            <color indexed="81"/>
            <rFont val="Tahoma"/>
            <family val="2"/>
          </rPr>
          <t xml:space="preserve">RED </t>
        </r>
        <r>
          <rPr>
            <sz val="8"/>
            <color indexed="81"/>
            <rFont val="Tahoma"/>
            <family val="2"/>
          </rPr>
          <t>cells indicate that the selected case for the required length is not available in the Wal-Mart database.  Enter in case manually, then contact Database Administrator to have case included in the master database.</t>
        </r>
      </text>
    </comment>
    <comment ref="M7" authorId="1" shapeId="0" xr:uid="{F18D858C-7E31-4B8F-BC3D-7A0F9124D348}">
      <text>
        <r>
          <rPr>
            <b/>
            <sz val="8"/>
            <color indexed="81"/>
            <rFont val="Tahoma"/>
            <family val="2"/>
          </rPr>
          <t xml:space="preserve">RED </t>
        </r>
        <r>
          <rPr>
            <sz val="8"/>
            <color indexed="81"/>
            <rFont val="Tahoma"/>
            <family val="2"/>
          </rPr>
          <t>cells indicate that the selected case for the required length is not available in the Wal-Mart database.  Enter in case manually, then contact Database Administrator to have case included in the master database.</t>
        </r>
      </text>
    </comment>
    <comment ref="N7" authorId="1" shapeId="0" xr:uid="{C4F715F5-2F09-49B3-B805-DEE5E36F18E5}">
      <text>
        <r>
          <rPr>
            <b/>
            <sz val="8"/>
            <color indexed="81"/>
            <rFont val="Tahoma"/>
            <family val="2"/>
          </rPr>
          <t xml:space="preserve">RED </t>
        </r>
        <r>
          <rPr>
            <sz val="8"/>
            <color indexed="81"/>
            <rFont val="Tahoma"/>
            <family val="2"/>
          </rPr>
          <t>cells indicate that the selected case for the required length is not available in the Wal-Mart database.  Enter in case manually, then contact Database Administrator to have case included in the master database.</t>
        </r>
      </text>
    </comment>
    <comment ref="H19" authorId="1" shapeId="0" xr:uid="{7CD4E46B-6E8A-494A-87C7-71BCB16992B8}">
      <text>
        <r>
          <rPr>
            <sz val="8"/>
            <color indexed="81"/>
            <rFont val="Tahoma"/>
            <family val="2"/>
          </rPr>
          <t>Enter compressor number in format: X1</t>
        </r>
      </text>
    </comment>
    <comment ref="I19" authorId="1" shapeId="0" xr:uid="{A932CEB6-EDC0-4A6A-AE6D-7296464B1503}">
      <text>
        <r>
          <rPr>
            <sz val="8"/>
            <color indexed="81"/>
            <rFont val="Tahoma"/>
            <family val="2"/>
          </rPr>
          <t>Utilize appropriate manufacturer's software tool for compressor selection as follows:
-  Copeland Energy Calculator v-1.0.32 or higher.
-  Carlyle Carwin v-3.0 or higher.
-  Bitzer US Software v-5.0.1 or higher.</t>
        </r>
      </text>
    </comment>
    <comment ref="H48" authorId="2" shapeId="0" xr:uid="{B8EF2AFB-D413-421D-A6F1-D50EFD673975}">
      <text>
        <r>
          <rPr>
            <b/>
            <sz val="8"/>
            <color indexed="81"/>
            <rFont val="Tahoma"/>
            <family val="2"/>
          </rPr>
          <t>Intentionally blank for future use.</t>
        </r>
      </text>
    </comment>
    <comment ref="F586" authorId="2" shapeId="0" xr:uid="{3D606DA3-71B6-4694-B055-8B283BB60092}">
      <text>
        <r>
          <rPr>
            <sz val="8"/>
            <color indexed="81"/>
            <rFont val="Tahoma"/>
            <family val="2"/>
          </rPr>
          <t xml:space="preserve">This column will </t>
        </r>
        <r>
          <rPr>
            <b/>
            <sz val="8"/>
            <color indexed="81"/>
            <rFont val="Tahoma"/>
            <family val="2"/>
          </rPr>
          <t>NOT</t>
        </r>
        <r>
          <rPr>
            <sz val="8"/>
            <color indexed="81"/>
            <rFont val="Tahoma"/>
            <family val="2"/>
          </rPr>
          <t xml:space="preserve"> be printed.
Select</t>
        </r>
        <r>
          <rPr>
            <b/>
            <sz val="8"/>
            <color indexed="81"/>
            <rFont val="Tahoma"/>
            <family val="2"/>
          </rPr>
          <t xml:space="preserve"> CASE - AUTO</t>
        </r>
        <r>
          <rPr>
            <sz val="8"/>
            <color indexed="81"/>
            <rFont val="Tahoma"/>
            <family val="2"/>
          </rPr>
          <t xml:space="preserve"> for automatic case selections from Wal-Mart database.
Select </t>
        </r>
        <r>
          <rPr>
            <b/>
            <sz val="8"/>
            <color indexed="81"/>
            <rFont val="Tahoma"/>
            <family val="2"/>
          </rPr>
          <t>WALK-IN AUTO</t>
        </r>
        <r>
          <rPr>
            <sz val="8"/>
            <color indexed="81"/>
            <rFont val="Tahoma"/>
            <family val="2"/>
          </rPr>
          <t xml:space="preserve"> for automatic evaporator coil selection from Wal-Mart database.
Select </t>
        </r>
        <r>
          <rPr>
            <b/>
            <sz val="8"/>
            <color indexed="81"/>
            <rFont val="Tahoma"/>
            <family val="2"/>
          </rPr>
          <t>CASE MANUAL</t>
        </r>
        <r>
          <rPr>
            <sz val="8"/>
            <color indexed="81"/>
            <rFont val="Tahoma"/>
            <family val="2"/>
          </rPr>
          <t xml:space="preserve"> for manual case entries whenever automatic selections are not possible.
Select </t>
        </r>
        <r>
          <rPr>
            <b/>
            <sz val="8"/>
            <color indexed="81"/>
            <rFont val="Tahoma"/>
            <family val="2"/>
          </rPr>
          <t xml:space="preserve">WALK-IN MANUAL </t>
        </r>
        <r>
          <rPr>
            <sz val="8"/>
            <color indexed="81"/>
            <rFont val="Tahoma"/>
            <family val="2"/>
          </rPr>
          <t xml:space="preserve">for manual walk-in box entries whenever automatic selections are not possible.
Select </t>
        </r>
        <r>
          <rPr>
            <b/>
            <sz val="8"/>
            <color indexed="81"/>
            <rFont val="Tahoma"/>
            <family val="2"/>
          </rPr>
          <t>FULL MANUAL</t>
        </r>
        <r>
          <rPr>
            <sz val="8"/>
            <color indexed="81"/>
            <rFont val="Tahoma"/>
            <family val="2"/>
          </rPr>
          <t xml:space="preserve"> for manual entries whenever automatic selections are not possible.
Select </t>
        </r>
        <r>
          <rPr>
            <b/>
            <sz val="8"/>
            <color indexed="81"/>
            <rFont val="Tahoma"/>
            <family val="2"/>
          </rPr>
          <t>SPARE STUB</t>
        </r>
        <r>
          <rPr>
            <sz val="8"/>
            <color indexed="81"/>
            <rFont val="Tahoma"/>
            <family val="2"/>
          </rPr>
          <t xml:space="preserve"> for spare stubs as required.</t>
        </r>
      </text>
    </comment>
    <comment ref="H586" authorId="2" shapeId="0" xr:uid="{6459FADF-DEBB-4460-9B6D-29E963816DC7}">
      <text>
        <r>
          <rPr>
            <b/>
            <sz val="8"/>
            <color indexed="81"/>
            <rFont val="Tahoma"/>
            <family val="2"/>
          </rPr>
          <t>Circuit number in format : LT or MT &amp;  SYS # &amp; Circ #
i.e. :          LTC1           MTA12</t>
        </r>
      </text>
    </comment>
    <comment ref="V586" authorId="1" shapeId="0" xr:uid="{1F81B066-859A-4A5C-B29E-57AD52FF8EB8}">
      <text>
        <r>
          <rPr>
            <sz val="8"/>
            <color indexed="81"/>
            <rFont val="Tahoma"/>
            <family val="2"/>
          </rPr>
          <t>Electrical data will not be calculated until the Evaporator Coil quantity has been entered.</t>
        </r>
      </text>
    </comment>
    <comment ref="AE586" authorId="1" shapeId="0" xr:uid="{E428CE8B-A627-4DDD-9F77-1CABEB647A4A}">
      <text>
        <r>
          <rPr>
            <sz val="8"/>
            <color indexed="81"/>
            <rFont val="Tahoma"/>
            <family val="2"/>
          </rPr>
          <t>Utilize appropriate manufacturer's software tool for control valve selection as follows:
-  Sporlan Valve Product Selection Program v-3.64 or higher.
-  Parker InPhorm v-1.1 or higher</t>
        </r>
      </text>
    </comment>
    <comment ref="K587" authorId="1" shapeId="0" xr:uid="{B49053C5-8E68-4EDD-BE2A-8B1CC86BE69B}">
      <text>
        <r>
          <rPr>
            <b/>
            <sz val="8"/>
            <color indexed="81"/>
            <rFont val="Tahoma"/>
            <family val="2"/>
          </rPr>
          <t xml:space="preserve">RED </t>
        </r>
        <r>
          <rPr>
            <sz val="8"/>
            <color indexed="81"/>
            <rFont val="Tahoma"/>
            <family val="2"/>
          </rPr>
          <t>cells indicate that the selected case for the required length is not available in the Wal-Mart database.  Enter in case manually, then contact Database Administrator to have case included in the master database.</t>
        </r>
      </text>
    </comment>
    <comment ref="L587" authorId="1" shapeId="0" xr:uid="{9F515F74-84D7-4190-ABDB-9C986A0FD1C5}">
      <text>
        <r>
          <rPr>
            <b/>
            <sz val="8"/>
            <color indexed="81"/>
            <rFont val="Tahoma"/>
            <family val="2"/>
          </rPr>
          <t xml:space="preserve">RED </t>
        </r>
        <r>
          <rPr>
            <sz val="8"/>
            <color indexed="81"/>
            <rFont val="Tahoma"/>
            <family val="2"/>
          </rPr>
          <t>cells indicate that the selected case for the required length is not available in the Wal-Mart database.  Enter in case manually, then contact Database Administrator to have case included in the master database.</t>
        </r>
      </text>
    </comment>
    <comment ref="M587" authorId="1" shapeId="0" xr:uid="{AA4CEDD8-6A8B-4E8A-9440-3B5C70FEAB10}">
      <text>
        <r>
          <rPr>
            <b/>
            <sz val="8"/>
            <color indexed="81"/>
            <rFont val="Tahoma"/>
            <family val="2"/>
          </rPr>
          <t xml:space="preserve">RED </t>
        </r>
        <r>
          <rPr>
            <sz val="8"/>
            <color indexed="81"/>
            <rFont val="Tahoma"/>
            <family val="2"/>
          </rPr>
          <t>cells indicate that the selected case for the required length is not available in the Wal-Mart database.  Enter in case manually, then contact Database Administrator to have case included in the master database.</t>
        </r>
      </text>
    </comment>
    <comment ref="N587" authorId="1" shapeId="0" xr:uid="{E9328B81-4232-4044-A36B-6C41402EDB8F}">
      <text>
        <r>
          <rPr>
            <b/>
            <sz val="8"/>
            <color indexed="81"/>
            <rFont val="Tahoma"/>
            <family val="2"/>
          </rPr>
          <t xml:space="preserve">RED </t>
        </r>
        <r>
          <rPr>
            <sz val="8"/>
            <color indexed="81"/>
            <rFont val="Tahoma"/>
            <family val="2"/>
          </rPr>
          <t>cells indicate that the selected case for the required length is not available in the Wal-Mart database.  Enter in case manually, then contact Database Administrator to have case included in the master database.</t>
        </r>
      </text>
    </comment>
    <comment ref="AJ587" authorId="1" shapeId="0" xr:uid="{5CECC9A1-6EBB-494E-AA4A-A52A27DB4EC5}">
      <text>
        <r>
          <rPr>
            <b/>
            <sz val="8"/>
            <color indexed="81"/>
            <rFont val="Tahoma"/>
            <family val="2"/>
          </rPr>
          <t xml:space="preserve">RED </t>
        </r>
        <r>
          <rPr>
            <sz val="8"/>
            <color indexed="81"/>
            <rFont val="Tahoma"/>
            <family val="2"/>
          </rPr>
          <t>cells indicate that Electric Defrost is not available for the selected voltage and/or refrigerated fixture model.</t>
        </r>
      </text>
    </comment>
    <comment ref="AM587" authorId="1" shapeId="0" xr:uid="{EEF023B7-6AA9-45B0-9519-7CF7E6A379D1}">
      <text>
        <r>
          <rPr>
            <b/>
            <sz val="8"/>
            <color indexed="81"/>
            <rFont val="Tahoma"/>
            <family val="2"/>
          </rPr>
          <t xml:space="preserve">RED </t>
        </r>
        <r>
          <rPr>
            <sz val="8"/>
            <color indexed="81"/>
            <rFont val="Tahoma"/>
            <family val="2"/>
          </rPr>
          <t>cells indicate that fans are not available for the selected voltage and/or refrigerated fixture model.</t>
        </r>
      </text>
    </comment>
    <comment ref="AA610" authorId="1" shapeId="0" xr:uid="{A20F690F-9C15-475D-BFFF-C8CA64B5E787}">
      <text>
        <r>
          <rPr>
            <sz val="8"/>
            <color indexed="81"/>
            <rFont val="Tahoma"/>
            <family val="2"/>
          </rPr>
          <t xml:space="preserve">THIS CELL INDICATES TOTAL REFRIGERATION LOAD REQUIRED FOR THIS MAIN CIRCUIT. IF ANY SUB-CIRCUIT IS DELETED AT ANY TIME, USER </t>
        </r>
        <r>
          <rPr>
            <b/>
            <u/>
            <sz val="8"/>
            <color indexed="81"/>
            <rFont val="Tahoma"/>
            <family val="2"/>
          </rPr>
          <t>MUST</t>
        </r>
        <r>
          <rPr>
            <sz val="8"/>
            <color indexed="81"/>
            <rFont val="Tahoma"/>
            <family val="2"/>
          </rPr>
          <t xml:space="preserve"> CLICK ON THE 'REFRESH' BUTTON IN ORDER TO UPDATE THE TOTAL REQUIRED LOAD.</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DH</author>
    <author>gwallis</author>
  </authors>
  <commentList>
    <comment ref="F4" authorId="0" shapeId="0" xr:uid="{DAD61237-51DF-4CC5-8E18-C58AF4F56B0C}">
      <text>
        <r>
          <rPr>
            <b/>
            <sz val="8"/>
            <color indexed="81"/>
            <rFont val="Tahoma"/>
            <family val="2"/>
          </rPr>
          <t>Circuit number in format : LT or MT &amp;  SYS # &amp; Circ #
i.e. :          LTC1           MTA12</t>
        </r>
      </text>
    </comment>
    <comment ref="G4" authorId="1" shapeId="0" xr:uid="{7A126C16-1F23-4CC3-9480-C1ED947750E6}">
      <text>
        <r>
          <rPr>
            <b/>
            <sz val="8"/>
            <color indexed="81"/>
            <rFont val="Tahoma"/>
            <family val="2"/>
          </rPr>
          <t>Application menu is disabled unless a Circuit number is entered.  Operator must enter a Circuit number prior to selecting the Application.</t>
        </r>
      </text>
    </comment>
    <comment ref="M4" authorId="1" shapeId="0" xr:uid="{773FE2FF-E5CC-4C28-AA02-8277A35CE372}">
      <text>
        <r>
          <rPr>
            <b/>
            <sz val="8"/>
            <color indexed="81"/>
            <rFont val="Tahoma"/>
            <family val="2"/>
          </rPr>
          <t xml:space="preserve">This tool ONLY calculates walk-in box loads for box lengths between 4 FT and 60 FT.  For different dimensions the designer must utilize the Heatcraft Professional Box Load (ProBox) v-3.2 or higher load calculation software. </t>
        </r>
      </text>
    </comment>
    <comment ref="N4" authorId="1" shapeId="0" xr:uid="{D234BACC-80AE-4E4A-A919-C1434946FA73}">
      <text>
        <r>
          <rPr>
            <b/>
            <sz val="8"/>
            <color indexed="81"/>
            <rFont val="Tahoma"/>
            <family val="2"/>
          </rPr>
          <t xml:space="preserve">This tool ONLY calculates walk-in box loads for box widths between 4 FT and 60 FT.  For different dimensions the designer must utilize the Heatcraft Professional Box Load (ProBox) v-3.2 or higher load calculation software. </t>
        </r>
      </text>
    </comment>
    <comment ref="O4" authorId="1" shapeId="0" xr:uid="{1A20BBB2-E48C-467F-AAAC-412DA0DAFF30}">
      <text>
        <r>
          <rPr>
            <b/>
            <sz val="8"/>
            <color indexed="81"/>
            <rFont val="Tahoma"/>
            <family val="2"/>
          </rPr>
          <t xml:space="preserve">Default box height is 10 ft; however, the operator is allowed to select either 8, 10 or 12 ft box heights.  For different dimensions the designer must utilize the Heatcraft Professional Box Load (ProBox) v-3.2 or higher load calculation software. </t>
        </r>
      </text>
    </comment>
    <comment ref="G30" authorId="1" shapeId="0" xr:uid="{DC53D777-CA50-4BEA-84D0-62E53773239A}">
      <text>
        <r>
          <rPr>
            <b/>
            <sz val="8"/>
            <color indexed="81"/>
            <rFont val="Tahoma"/>
            <family val="2"/>
          </rPr>
          <t>Application menu is disabled unless a Circuit number is entered.  Operator must enter a Circuit number prior to selecting the Application.</t>
        </r>
      </text>
    </comment>
    <comment ref="M30" authorId="1" shapeId="0" xr:uid="{03508EEB-E7AC-4C97-8001-D9579A2AF6CE}">
      <text>
        <r>
          <rPr>
            <b/>
            <sz val="8"/>
            <color indexed="81"/>
            <rFont val="Tahoma"/>
            <family val="2"/>
          </rPr>
          <t xml:space="preserve">This tool ONLY calculates walk-in box loads for box lengths between 4 FT and 44 FT.  For different dimensions the designer must utilize the Heatcraft Professional Box Load (ProBox) v-3.2 or higher load calculation software. </t>
        </r>
      </text>
    </comment>
    <comment ref="N30" authorId="1" shapeId="0" xr:uid="{AA5CF810-E21F-496D-A722-6CD9F97AF2A4}">
      <text>
        <r>
          <rPr>
            <b/>
            <sz val="8"/>
            <color indexed="81"/>
            <rFont val="Tahoma"/>
            <family val="2"/>
          </rPr>
          <t xml:space="preserve">This tool ONLY calculates walk-in box loads for box widths between 4 FT and 44 FT.  For different dimensions the designer must utilize the Heatcraft Professional Box Load (ProBox) v-3.2 or higher load calculation software. </t>
        </r>
      </text>
    </comment>
    <comment ref="O30" authorId="1" shapeId="0" xr:uid="{F1095E37-4569-4B07-AC33-34BE53EA78C7}">
      <text>
        <r>
          <rPr>
            <b/>
            <sz val="8"/>
            <color indexed="81"/>
            <rFont val="Tahoma"/>
            <family val="2"/>
          </rPr>
          <t xml:space="preserve">This tool ONLY calculates Prep. Area loads for 10 FT height rooms.  For different dimensions the designer must utilize the Heatcraft Professional Box Load (ProBox) v-3.2 or higher load calculation software.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russellbarnthouse</author>
  </authors>
  <commentList>
    <comment ref="M8" authorId="0" shapeId="0" xr:uid="{9F76116C-B10B-48D9-B2E9-64B5D04E8706}">
      <text>
        <r>
          <rPr>
            <sz val="8"/>
            <color indexed="81"/>
            <rFont val="Tahoma"/>
            <family val="2"/>
          </rPr>
          <t xml:space="preserve">THR calculation to be done at minimum condensing temperature for heating day calculations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Randy Johnson</author>
    <author>Erik H. Caylor, P.E.</author>
    <author>Zach Benton</author>
    <author>Administrator</author>
  </authors>
  <commentList>
    <comment ref="B2" authorId="0" shapeId="0" xr:uid="{182507BC-10BF-418D-B7DA-0AAE0BF967BC}">
      <text>
        <r>
          <rPr>
            <sz val="8"/>
            <color indexed="81"/>
            <rFont val="Tahoma"/>
            <family val="2"/>
          </rPr>
          <t>The refrigerant is referenced from the schedule.</t>
        </r>
      </text>
    </comment>
    <comment ref="D2" authorId="0" shapeId="0" xr:uid="{4901F40F-AF5B-427A-B5C8-116728A6CD42}">
      <text>
        <r>
          <rPr>
            <b/>
            <sz val="8"/>
            <color indexed="81"/>
            <rFont val="Tahoma"/>
            <family val="2"/>
          </rPr>
          <t>The rack Saturated Suction Temperature is determined by subtracting the design parasitic line loss from the coldest circuit's evaporator temperature.</t>
        </r>
        <r>
          <rPr>
            <sz val="8"/>
            <color indexed="81"/>
            <rFont val="Tahoma"/>
            <family val="2"/>
          </rPr>
          <t xml:space="preserve">
</t>
        </r>
      </text>
    </comment>
    <comment ref="E2" authorId="0" shapeId="0" xr:uid="{D572547D-C598-4E66-8E68-620A49E0CD9A}">
      <text>
        <r>
          <rPr>
            <b/>
            <sz val="8"/>
            <color indexed="81"/>
            <rFont val="Tahoma"/>
            <family val="2"/>
          </rPr>
          <t>The suction pressure is equivalent saturated pressure of the rack SST.</t>
        </r>
      </text>
    </comment>
    <comment ref="F2" authorId="0" shapeId="0" xr:uid="{5A944293-B8BC-4CC4-BC2A-3EA9C0EEC034}">
      <text>
        <r>
          <rPr>
            <b/>
            <sz val="8"/>
            <color indexed="81"/>
            <rFont val="Tahoma"/>
            <family val="2"/>
          </rPr>
          <t>Enter a negative number.</t>
        </r>
        <r>
          <rPr>
            <sz val="8"/>
            <color indexed="81"/>
            <rFont val="Tahoma"/>
            <family val="2"/>
          </rPr>
          <t xml:space="preserve">
</t>
        </r>
      </text>
    </comment>
    <comment ref="G2" authorId="0" shapeId="0" xr:uid="{50A76448-D519-4E3C-8938-A38ABB211D2E}">
      <text>
        <r>
          <rPr>
            <b/>
            <sz val="8"/>
            <color indexed="81"/>
            <rFont val="Tahoma"/>
            <family val="2"/>
          </rPr>
          <t>The subcooled liquid temp is referenced from the schedule.  If mechanical subcooling is not present, use the Saturated Condensing Temperature</t>
        </r>
        <r>
          <rPr>
            <sz val="8"/>
            <color indexed="81"/>
            <rFont val="Tahoma"/>
            <family val="2"/>
          </rPr>
          <t xml:space="preserve">
</t>
        </r>
      </text>
    </comment>
    <comment ref="AC2" authorId="0" shapeId="0" xr:uid="{943C9A7F-ACFD-473B-ADEC-E18153FD3F88}">
      <text>
        <r>
          <rPr>
            <b/>
            <sz val="8"/>
            <color indexed="81"/>
            <rFont val="Tahoma"/>
            <family val="2"/>
          </rPr>
          <t>The horizontal suction line velocity should be approx. &gt;1500fpm and &lt;2000fpm and not high enough to create a total pressure drop within the suction lines resulting in a ΔT greater than specified.</t>
        </r>
        <r>
          <rPr>
            <sz val="8"/>
            <color indexed="81"/>
            <rFont val="Tahoma"/>
            <family val="2"/>
          </rPr>
          <t xml:space="preserve">
</t>
        </r>
      </text>
    </comment>
    <comment ref="AS2" authorId="0" shapeId="0" xr:uid="{E53BAB52-1E7A-468A-93D0-A1CC40DE87DD}">
      <text>
        <r>
          <rPr>
            <b/>
            <sz val="8"/>
            <color indexed="81"/>
            <rFont val="Tahoma"/>
            <family val="2"/>
          </rPr>
          <t>The horizontal suction line velocity should be approx. &gt;1500fpm and &lt;2000fpm and not high enough to create a total pressure drop within the suction lines resulting in a ΔT greater than specified.</t>
        </r>
        <r>
          <rPr>
            <sz val="8"/>
            <color indexed="81"/>
            <rFont val="Tahoma"/>
            <family val="2"/>
          </rPr>
          <t xml:space="preserve">
</t>
        </r>
      </text>
    </comment>
    <comment ref="BE2" authorId="0" shapeId="0" xr:uid="{4BBA3FB8-1446-47AC-BC47-E6DC29A0B6DC}">
      <text>
        <r>
          <rPr>
            <b/>
            <sz val="8"/>
            <color indexed="81"/>
            <rFont val="Tahoma"/>
            <family val="2"/>
          </rPr>
          <t>The horizontal suction line velocity should be approx. &gt;500fpm and &lt;1000fpm and not high enough to create a total pressure drop within the suction lines resulting in a ΔT greater than specified.</t>
        </r>
        <r>
          <rPr>
            <sz val="8"/>
            <color indexed="81"/>
            <rFont val="Tahoma"/>
            <family val="2"/>
          </rPr>
          <t xml:space="preserve">
</t>
        </r>
      </text>
    </comment>
    <comment ref="BS2" authorId="1" shapeId="0" xr:uid="{85B3FF9D-26E0-4126-870C-4FD13C5BE276}">
      <text>
        <r>
          <rPr>
            <b/>
            <sz val="8"/>
            <color indexed="81"/>
            <rFont val="Tahoma"/>
            <family val="2"/>
          </rPr>
          <t>The horizontal suction line velocity should be approx. &gt;1500fpm and &lt;2000fpm and not high enough to create a total pressure drop within the suction lines resulting in a ΔT greater than specified.</t>
        </r>
      </text>
    </comment>
    <comment ref="BT2" authorId="0" shapeId="0" xr:uid="{57F26C2B-AC14-4C9E-97C8-38AE382C0CBE}">
      <text>
        <r>
          <rPr>
            <b/>
            <sz val="8"/>
            <color indexed="81"/>
            <rFont val="Tahoma"/>
            <family val="2"/>
          </rPr>
          <t>To prevent "liquid hammer" the liquid line velocity should not exceed 100fpm.</t>
        </r>
      </text>
    </comment>
    <comment ref="FA5" authorId="2" shapeId="0" xr:uid="{D74B58B1-2B1F-4C18-882D-5AE6B19DC8E0}">
      <text>
        <r>
          <rPr>
            <b/>
            <sz val="9"/>
            <color indexed="81"/>
            <rFont val="Tahoma"/>
            <family val="2"/>
          </rPr>
          <t>Zach Benton:</t>
        </r>
        <r>
          <rPr>
            <sz val="9"/>
            <color indexed="81"/>
            <rFont val="Tahoma"/>
            <family val="2"/>
          </rPr>
          <t xml:space="preserve">
Added this section to be able to create conditional formatting on velocities for orange or "warning" colors that indicate the allowance to reuse the piping but should get an updated size if installing new piping.</t>
        </r>
      </text>
    </comment>
    <comment ref="FE7" authorId="2" shapeId="0" xr:uid="{5824E60D-6060-4E75-B627-662BDC21A136}">
      <text>
        <r>
          <rPr>
            <b/>
            <sz val="9"/>
            <color indexed="81"/>
            <rFont val="Tahoma"/>
            <family val="2"/>
          </rPr>
          <t>Zach Benton
Double suction riser triggers were never programmed in. Created them here along with the warning parameters.</t>
        </r>
      </text>
    </comment>
    <comment ref="FG7" authorId="2" shapeId="0" xr:uid="{5926EEC5-1341-43CD-AB9D-3F4E28E57ACA}">
      <text>
        <r>
          <rPr>
            <b/>
            <sz val="9"/>
            <color indexed="81"/>
            <rFont val="Tahoma"/>
            <family val="2"/>
          </rPr>
          <t>Zach Benton:</t>
        </r>
        <r>
          <rPr>
            <sz val="9"/>
            <color indexed="81"/>
            <rFont val="Tahoma"/>
            <family val="2"/>
          </rPr>
          <t xml:space="preserve">
Zach Benton
Double suction riser triggers were never programmed in. Created them here along with the warning parameters.</t>
        </r>
      </text>
    </comment>
    <comment ref="E10" authorId="0" shapeId="0" xr:uid="{8905A142-B71B-49DD-A385-1BFB453DDD44}">
      <text>
        <r>
          <rPr>
            <b/>
            <sz val="8"/>
            <color indexed="81"/>
            <rFont val="Tahoma"/>
            <family val="2"/>
          </rPr>
          <t>For Loads this is circuit number is referenced from the Legend. You should create a name for a Loop</t>
        </r>
        <r>
          <rPr>
            <sz val="8"/>
            <color indexed="81"/>
            <rFont val="Tahoma"/>
            <family val="2"/>
          </rPr>
          <t xml:space="preserve">
</t>
        </r>
      </text>
    </comment>
    <comment ref="H10" authorId="0" shapeId="0" xr:uid="{4FFFB132-FC83-449F-AC04-EC4E052FAE48}">
      <text>
        <r>
          <rPr>
            <b/>
            <sz val="8"/>
            <color indexed="81"/>
            <rFont val="Tahoma"/>
            <family val="2"/>
          </rPr>
          <t>The evaporator load is referenced from the Legend.</t>
        </r>
        <r>
          <rPr>
            <sz val="8"/>
            <color indexed="81"/>
            <rFont val="Tahoma"/>
            <family val="2"/>
          </rPr>
          <t xml:space="preserve">
</t>
        </r>
      </text>
    </comment>
    <comment ref="I10" authorId="3" shapeId="0" xr:uid="{157E51C1-0696-4065-99B0-024F7977F34D}">
      <text>
        <r>
          <rPr>
            <b/>
            <sz val="8"/>
            <color indexed="81"/>
            <rFont val="Tahoma"/>
            <family val="2"/>
          </rPr>
          <t>This is referenced from the Legend</t>
        </r>
      </text>
    </comment>
    <comment ref="J10" authorId="0" shapeId="0" xr:uid="{CBD4AE60-13E2-4735-B05E-B8D1928C8ABF}">
      <text>
        <r>
          <rPr>
            <b/>
            <sz val="8"/>
            <color indexed="81"/>
            <rFont val="Tahoma"/>
            <family val="2"/>
          </rPr>
          <t>The Segment SST changes depending on the location of EPR and Design Parasitic Loss</t>
        </r>
        <r>
          <rPr>
            <sz val="8"/>
            <color indexed="81"/>
            <rFont val="Tahoma"/>
            <family val="2"/>
          </rPr>
          <t xml:space="preserve">
</t>
        </r>
      </text>
    </comment>
    <comment ref="K10" authorId="3" shapeId="0" xr:uid="{4E83B5E5-26D7-4CAB-90B4-C214BABDFEFC}">
      <text>
        <r>
          <rPr>
            <b/>
            <sz val="8"/>
            <color indexed="81"/>
            <rFont val="Tahoma"/>
            <family val="2"/>
          </rPr>
          <t xml:space="preserve">For a Load this is calculated by adding superheat to the Segment SST and for a Loop it is a mixed vapor temperature calculated from the ratio of the branches mass flow and vapor temperature </t>
        </r>
        <r>
          <rPr>
            <sz val="8"/>
            <color indexed="81"/>
            <rFont val="Tahoma"/>
            <family val="2"/>
          </rPr>
          <t xml:space="preserve">
</t>
        </r>
      </text>
    </comment>
    <comment ref="L10" authorId="3" shapeId="0" xr:uid="{6F72F7F9-C38F-4B09-B7C3-095D10F28393}">
      <text>
        <r>
          <rPr>
            <b/>
            <sz val="8"/>
            <color indexed="81"/>
            <rFont val="Tahoma"/>
            <family val="2"/>
          </rPr>
          <t>The temperature of the suction gas at the rack/system.</t>
        </r>
      </text>
    </comment>
    <comment ref="M10" authorId="0" shapeId="0" xr:uid="{03B61D07-7F40-4A2C-9C0D-B708CC04680D}">
      <text>
        <r>
          <rPr>
            <b/>
            <sz val="8"/>
            <color indexed="81"/>
            <rFont val="Tahoma"/>
            <family val="2"/>
          </rPr>
          <t>The Segment Suction Pressure is the equivalent pressure of the Segment SST</t>
        </r>
        <r>
          <rPr>
            <sz val="8"/>
            <color indexed="81"/>
            <rFont val="Tahoma"/>
            <family val="2"/>
          </rPr>
          <t xml:space="preserve">
</t>
        </r>
      </text>
    </comment>
    <comment ref="Q10" authorId="0" shapeId="0" xr:uid="{1CBDE53B-7C95-47BC-BE1D-A10A23D68621}">
      <text>
        <r>
          <rPr>
            <b/>
            <sz val="8"/>
            <color indexed="81"/>
            <rFont val="Tahoma"/>
            <family val="2"/>
          </rPr>
          <t>The suction gas is assumed to be superheated by 7ºF when exiting the evaporator.  The enthalpy of the superheated suction gas is referenced from RefProp using two properties:  the evaporator suction pressure and a temperature 7ºF above the evaporator SST.</t>
        </r>
        <r>
          <rPr>
            <sz val="8"/>
            <color indexed="81"/>
            <rFont val="Tahoma"/>
            <family val="2"/>
          </rPr>
          <t xml:space="preserve">
</t>
        </r>
      </text>
    </comment>
    <comment ref="R10" authorId="0" shapeId="0" xr:uid="{6E3CE40D-9A7E-4540-B454-D5CA41370F7F}">
      <text>
        <r>
          <rPr>
            <b/>
            <sz val="8"/>
            <color indexed="81"/>
            <rFont val="Tahoma"/>
            <family val="2"/>
          </rPr>
          <t>If the liquid is subcooled (i.e. liquid temp in G3 is less than condensing temp in H3), RefProp uses the liquid temperature and equivalent Saturated Condensing Pressure to evaluate enthalpy.  If the liquid is not subcooled, RefProp uses the enthalpy of the refrigerant at its saturated condensing temperature.</t>
        </r>
        <r>
          <rPr>
            <sz val="8"/>
            <color indexed="81"/>
            <rFont val="Tahoma"/>
            <family val="2"/>
          </rPr>
          <t xml:space="preserve">
</t>
        </r>
      </text>
    </comment>
    <comment ref="S10" authorId="0" shapeId="0" xr:uid="{5A928892-9A59-45E8-A9E1-7D86670717A0}">
      <text>
        <r>
          <rPr>
            <b/>
            <sz val="8"/>
            <color indexed="81"/>
            <rFont val="Tahoma"/>
            <family val="2"/>
          </rPr>
          <t>If the liquid is subcooled (i.e. liquid temp in G3 is less than condensing temp in H3), RefProp uses the liquid temperature and equivalent Saturated Condensing Pressure to evaluate density.  If the liquid is not subcooled, RefProp uses the density of the refrigerant at its saturated condensing temperature.</t>
        </r>
        <r>
          <rPr>
            <sz val="8"/>
            <color indexed="81"/>
            <rFont val="Tahoma"/>
            <family val="2"/>
          </rPr>
          <t xml:space="preserve">
</t>
        </r>
      </text>
    </comment>
    <comment ref="T10" authorId="3" shapeId="0" xr:uid="{1AD7A4A6-00D7-4166-BC8E-E6FE63FC9742}">
      <text>
        <r>
          <rPr>
            <b/>
            <sz val="8"/>
            <color indexed="81"/>
            <rFont val="Tahoma"/>
            <family val="2"/>
          </rPr>
          <t>The liquid viscosity is used to evaluate the Reynold's number of the refrigerant in the liquid supply line(s).</t>
        </r>
      </text>
    </comment>
    <comment ref="U10" authorId="0" shapeId="0" xr:uid="{18E3AAC1-DEA6-420D-8394-C05FEB67F6F7}">
      <text>
        <r>
          <rPr>
            <b/>
            <sz val="8"/>
            <color indexed="81"/>
            <rFont val="Tahoma"/>
            <family val="2"/>
          </rPr>
          <t>For Loads, the mass flow is calculated by dividing the evap load  by the refrigeration effect. For Loops, it is the sum of its branches mass flow.</t>
        </r>
        <r>
          <rPr>
            <sz val="8"/>
            <color indexed="81"/>
            <rFont val="Tahoma"/>
            <family val="2"/>
          </rPr>
          <t xml:space="preserve">
</t>
        </r>
      </text>
    </comment>
    <comment ref="V10" authorId="3" shapeId="0" xr:uid="{F3B22114-76D8-4F8E-9012-08D65E2B73D2}">
      <text>
        <r>
          <rPr>
            <b/>
            <sz val="8"/>
            <color indexed="81"/>
            <rFont val="Tahoma"/>
            <family val="2"/>
          </rPr>
          <t xml:space="preserve">For Loads, this is referenced from the Legend.  For Loops, it is a user input.  'BOR' is bottom of riser, 'TOR' is top of riser.
</t>
        </r>
      </text>
    </comment>
    <comment ref="W10" authorId="3" shapeId="0" xr:uid="{341F57D0-5564-4789-9EB6-0B2D17100A64}">
      <text>
        <r>
          <rPr>
            <b/>
            <sz val="8"/>
            <color indexed="81"/>
            <rFont val="Tahoma"/>
            <family val="2"/>
          </rPr>
          <t>If a load is dual temperature or if a loop has multiple branches then select double riser</t>
        </r>
        <r>
          <rPr>
            <sz val="8"/>
            <color indexed="81"/>
            <rFont val="Tahoma"/>
            <family val="2"/>
          </rPr>
          <t xml:space="preserve">
</t>
        </r>
      </text>
    </comment>
    <comment ref="X10" authorId="0" shapeId="0" xr:uid="{9C37DEBA-EB01-45A8-8AA7-59B514F1847B}">
      <text>
        <r>
          <rPr>
            <b/>
            <sz val="8"/>
            <color indexed="81"/>
            <rFont val="Tahoma"/>
            <family val="2"/>
          </rPr>
          <t>The Actual Length for the riser is input here</t>
        </r>
        <r>
          <rPr>
            <sz val="8"/>
            <color indexed="81"/>
            <rFont val="Tahoma"/>
            <family val="2"/>
          </rPr>
          <t xml:space="preserve">
</t>
        </r>
      </text>
    </comment>
    <comment ref="Y10" authorId="0" shapeId="0" xr:uid="{9C723A27-519C-4575-93A4-46EBDB0A8DE2}">
      <text>
        <r>
          <rPr>
            <b/>
            <sz val="8"/>
            <color indexed="81"/>
            <rFont val="Tahoma"/>
            <family val="2"/>
          </rPr>
          <t>The equivalent length is calculated from the lengths shown on the schedule.  This value is the actual length plus 30% to account for the fittings in the piping system.</t>
        </r>
        <r>
          <rPr>
            <sz val="8"/>
            <color indexed="81"/>
            <rFont val="Tahoma"/>
            <family val="2"/>
          </rPr>
          <t xml:space="preserve">
</t>
        </r>
      </text>
    </comment>
    <comment ref="Z10" authorId="0" shapeId="0" xr:uid="{04791866-B0DD-4C92-B873-192907A72394}">
      <text>
        <r>
          <rPr>
            <b/>
            <sz val="8"/>
            <color indexed="81"/>
            <rFont val="Tahoma"/>
            <family val="2"/>
          </rPr>
          <t>The suction density is used to evaluate the pressure drop through the riser(s) and horizontal suction line(s).  It is evaluated from two properties used by RefProp:  The Segment Suction Pressure and the Segment Suction Vapor Temperature.</t>
        </r>
      </text>
    </comment>
    <comment ref="AA10" authorId="3" shapeId="0" xr:uid="{67E42C05-241A-43D6-82FD-CA1E42B59072}">
      <text>
        <r>
          <rPr>
            <b/>
            <sz val="8"/>
            <color indexed="81"/>
            <rFont val="Tahoma"/>
            <family val="2"/>
          </rPr>
          <t>The suction viscosity is used to evaluate the Reynold's number of the refrigerant in the riser(s) and horizontal return line(s). Viscosity comes from RefProp and it is calculated using Segment Suction Pressure and Segment Suction Vapor Temperature.</t>
        </r>
      </text>
    </comment>
    <comment ref="AB10" authorId="0" shapeId="0" xr:uid="{465428E3-407B-4383-8DA0-62EEAA71ED70}">
      <text>
        <r>
          <rPr>
            <b/>
            <sz val="8"/>
            <color indexed="81"/>
            <rFont val="Tahoma"/>
            <family val="2"/>
          </rPr>
          <t>The velocity is calculated based on the mass flow and the pipe size.</t>
        </r>
        <r>
          <rPr>
            <sz val="8"/>
            <color indexed="81"/>
            <rFont val="Tahoma"/>
            <family val="2"/>
          </rPr>
          <t xml:space="preserve">
</t>
        </r>
      </text>
    </comment>
    <comment ref="AC10" authorId="0" shapeId="0" xr:uid="{4AB5398A-650E-4B4C-A4DB-3D06096E9E7F}">
      <text>
        <r>
          <rPr>
            <b/>
            <sz val="8"/>
            <color indexed="81"/>
            <rFont val="Tahoma"/>
            <family val="2"/>
          </rPr>
          <t>The pressure drop is calculated using the Darcy equation.</t>
        </r>
        <r>
          <rPr>
            <sz val="8"/>
            <color indexed="81"/>
            <rFont val="Tahoma"/>
            <family val="2"/>
          </rPr>
          <t xml:space="preserve">
</t>
        </r>
      </text>
    </comment>
    <comment ref="AE10" authorId="3" shapeId="0" xr:uid="{E678279C-814E-4F76-AA5E-AD6AC3057886}">
      <text>
        <r>
          <rPr>
            <b/>
            <sz val="8"/>
            <color indexed="81"/>
            <rFont val="Tahoma"/>
            <family val="2"/>
          </rPr>
          <t>The friction factor is calculated using the Swamee-Jain equation.</t>
        </r>
      </text>
    </comment>
    <comment ref="AF10" authorId="0" shapeId="0" xr:uid="{7857DBA9-DB8E-408E-A3D1-0AEE49FBEAB7}">
      <text>
        <r>
          <rPr>
            <b/>
            <sz val="8"/>
            <color indexed="81"/>
            <rFont val="Tahoma"/>
            <family val="2"/>
          </rPr>
          <t>The suggested pipe size is determined by picking the smallest pipe that meets the maximum velocity, and minimum velocity limits specified  above.</t>
        </r>
        <r>
          <rPr>
            <sz val="8"/>
            <color indexed="81"/>
            <rFont val="Tahoma"/>
            <family val="2"/>
          </rPr>
          <t xml:space="preserve">
</t>
        </r>
      </text>
    </comment>
    <comment ref="AG10" authorId="0" shapeId="0" xr:uid="{956B101A-A258-42DC-AEF0-BC09C00D8F03}">
      <text>
        <r>
          <rPr>
            <b/>
            <sz val="8"/>
            <color indexed="81"/>
            <rFont val="Tahoma"/>
            <family val="2"/>
          </rPr>
          <t xml:space="preserve">This column is used to override the suggested pipe size.  </t>
        </r>
        <r>
          <rPr>
            <sz val="8"/>
            <color indexed="81"/>
            <rFont val="Tahoma"/>
            <family val="2"/>
          </rPr>
          <t xml:space="preserve">
</t>
        </r>
      </text>
    </comment>
    <comment ref="AK10" authorId="0" shapeId="0" xr:uid="{2D1B22DC-23A9-497A-92C0-AF3CCA956703}">
      <text>
        <r>
          <rPr>
            <b/>
            <sz val="8"/>
            <color indexed="81"/>
            <rFont val="Tahoma"/>
            <family val="2"/>
          </rPr>
          <t>The friction factor is calculated using the Swamee-Jain equation.</t>
        </r>
      </text>
    </comment>
    <comment ref="AL10" authorId="0" shapeId="0" xr:uid="{25033A26-DA29-4B60-8E1E-D32CEE61EBBE}">
      <text>
        <r>
          <rPr>
            <b/>
            <sz val="8"/>
            <color indexed="81"/>
            <rFont val="Tahoma"/>
            <family val="2"/>
          </rPr>
          <t>The pressure drop is calculated using the Darcy equation</t>
        </r>
        <r>
          <rPr>
            <sz val="8"/>
            <color indexed="81"/>
            <rFont val="Tahoma"/>
            <family val="2"/>
          </rPr>
          <t>.</t>
        </r>
      </text>
    </comment>
    <comment ref="AN10" authorId="3" shapeId="0" xr:uid="{FE7A3CDA-0E43-456A-9121-2F4D7632DBD3}">
      <text>
        <r>
          <rPr>
            <b/>
            <sz val="8"/>
            <color indexed="81"/>
            <rFont val="Tahoma"/>
            <family val="2"/>
          </rPr>
          <t>The friction factor is calculated using the Swamee-Jain equation.</t>
        </r>
      </text>
    </comment>
    <comment ref="AO10" authorId="3" shapeId="0" xr:uid="{165A4431-81A7-4CA0-83A7-C316CF0BE8F3}">
      <text>
        <r>
          <rPr>
            <b/>
            <sz val="8"/>
            <color indexed="81"/>
            <rFont val="Tahoma"/>
            <family val="2"/>
          </rPr>
          <t xml:space="preserve">The suggested pipe size is determined by picking "A" and "B" pipe combinations such that their combined area is equal to a single riser that would be picked to handle the required mass flow </t>
        </r>
      </text>
    </comment>
    <comment ref="AP10" authorId="0" shapeId="0" xr:uid="{4EAAB42E-AB77-420C-99EB-CF504F7B5488}">
      <text>
        <r>
          <rPr>
            <b/>
            <sz val="8"/>
            <color indexed="81"/>
            <rFont val="Tahoma"/>
            <family val="2"/>
          </rPr>
          <t xml:space="preserve">This column is used to override the suggested pipe size.  </t>
        </r>
        <r>
          <rPr>
            <sz val="8"/>
            <color indexed="81"/>
            <rFont val="Tahoma"/>
            <family val="2"/>
          </rPr>
          <t xml:space="preserve">
</t>
        </r>
      </text>
    </comment>
    <comment ref="AR10" authorId="0" shapeId="0" xr:uid="{ED231F0B-144C-40B7-BEF4-D6079DBB0DFB}">
      <text>
        <r>
          <rPr>
            <b/>
            <sz val="8"/>
            <color indexed="81"/>
            <rFont val="Tahoma"/>
            <family val="2"/>
          </rPr>
          <t>The velocity is calculated based on the mass flow and the pipe size.</t>
        </r>
        <r>
          <rPr>
            <sz val="8"/>
            <color indexed="81"/>
            <rFont val="Tahoma"/>
            <family val="2"/>
          </rPr>
          <t xml:space="preserve">
</t>
        </r>
      </text>
    </comment>
    <comment ref="AS10" authorId="3" shapeId="0" xr:uid="{9788CD39-93A1-4393-BFD9-5A27A6317351}">
      <text>
        <r>
          <rPr>
            <b/>
            <sz val="8"/>
            <color indexed="81"/>
            <rFont val="Tahoma"/>
            <family val="2"/>
          </rPr>
          <t>Mass flow is split between "A" and "B" such that the pressure drop through each riser is equal.  The Darcy equation is used to for pressure drop calculation.</t>
        </r>
        <r>
          <rPr>
            <sz val="8"/>
            <color indexed="81"/>
            <rFont val="Tahoma"/>
            <family val="2"/>
          </rPr>
          <t xml:space="preserve">
</t>
        </r>
      </text>
    </comment>
    <comment ref="AT10" authorId="0" shapeId="0" xr:uid="{03B488DA-CFF3-498C-9304-DB1AA79B0281}">
      <text>
        <r>
          <rPr>
            <b/>
            <sz val="8"/>
            <color indexed="81"/>
            <rFont val="Tahoma"/>
            <family val="2"/>
          </rPr>
          <t xml:space="preserve">The suggested pipe size is determined by picking "A" and "B" pipe combinations such that their combined area is equal to a single riser that would be picked to handle the required mass flow </t>
        </r>
        <r>
          <rPr>
            <sz val="8"/>
            <color indexed="81"/>
            <rFont val="Tahoma"/>
            <family val="2"/>
          </rPr>
          <t xml:space="preserve">
</t>
        </r>
      </text>
    </comment>
    <comment ref="AU10" authorId="0" shapeId="0" xr:uid="{F9A00A26-57EC-4115-A750-FC6DF02B311A}">
      <text>
        <r>
          <rPr>
            <b/>
            <sz val="8"/>
            <color indexed="81"/>
            <rFont val="Tahoma"/>
            <family val="2"/>
          </rPr>
          <t xml:space="preserve">This column is used to override the suggested pipe size. </t>
        </r>
        <r>
          <rPr>
            <sz val="8"/>
            <color indexed="81"/>
            <rFont val="Tahoma"/>
            <family val="2"/>
          </rPr>
          <t xml:space="preserve">
</t>
        </r>
      </text>
    </comment>
    <comment ref="AW10" authorId="0" shapeId="0" xr:uid="{306C3F1D-8CFC-4967-8267-993EEFEFE320}">
      <text>
        <r>
          <rPr>
            <b/>
            <sz val="8"/>
            <color indexed="81"/>
            <rFont val="Tahoma"/>
            <family val="2"/>
          </rPr>
          <t>The velocity is calculated based on the mass flow and the pipe size.</t>
        </r>
        <r>
          <rPr>
            <sz val="8"/>
            <color indexed="81"/>
            <rFont val="Tahoma"/>
            <family val="2"/>
          </rPr>
          <t xml:space="preserve">
</t>
        </r>
      </text>
    </comment>
    <comment ref="AX10" authorId="3" shapeId="0" xr:uid="{F8491290-CE40-40F7-9A8C-A1B1C516DBDC}">
      <text>
        <r>
          <rPr>
            <b/>
            <sz val="8"/>
            <color indexed="81"/>
            <rFont val="Tahoma"/>
            <family val="2"/>
          </rPr>
          <t>Mass flow is split between "A" and "B" such that the pressure drop through each riser is equal.  The Darcy equation is used to for pressure drop calculation.</t>
        </r>
      </text>
    </comment>
    <comment ref="AZ10" authorId="0" shapeId="0" xr:uid="{9438D437-BE32-4A7A-AE75-857E9BA5D372}">
      <text>
        <r>
          <rPr>
            <b/>
            <sz val="8"/>
            <color indexed="81"/>
            <rFont val="Tahoma"/>
            <family val="2"/>
          </rPr>
          <t>For loads, the actual length is referenced from the schedule. For loops this is a user input.</t>
        </r>
        <r>
          <rPr>
            <sz val="8"/>
            <color indexed="81"/>
            <rFont val="Tahoma"/>
            <family val="2"/>
          </rPr>
          <t xml:space="preserve">
</t>
        </r>
      </text>
    </comment>
    <comment ref="BA10" authorId="0" shapeId="0" xr:uid="{2C0C0F95-D142-41B3-ADE3-B451042ADFD4}">
      <text>
        <r>
          <rPr>
            <b/>
            <sz val="8"/>
            <color indexed="81"/>
            <rFont val="Tahoma"/>
            <family val="2"/>
          </rPr>
          <t>The equivalent length is calculated from the lengths shown on the schedule.  This value is the actual length plus 30% to account for the fittings in the piping system.</t>
        </r>
        <r>
          <rPr>
            <sz val="8"/>
            <color indexed="81"/>
            <rFont val="Tahoma"/>
            <family val="2"/>
          </rPr>
          <t xml:space="preserve">
</t>
        </r>
      </text>
    </comment>
    <comment ref="BB10" authorId="0" shapeId="0" xr:uid="{726D5650-7A5F-4A1B-BE17-73001BEFD57C}">
      <text>
        <r>
          <rPr>
            <b/>
            <sz val="8"/>
            <color indexed="81"/>
            <rFont val="Tahoma"/>
            <family val="2"/>
          </rPr>
          <t>The suction density is used to evaluate the pressure drop through the riser(s) and horizontal suction line(s).  It is evaluated from two properties used by RefProp:  The Segment Suction Pressure and the Segment Suction Vapor Temperature.</t>
        </r>
      </text>
    </comment>
    <comment ref="BC10" authorId="3" shapeId="0" xr:uid="{C440D78C-C3F1-49F4-85D7-EC75EFE64BE7}">
      <text>
        <r>
          <rPr>
            <b/>
            <sz val="8"/>
            <color indexed="81"/>
            <rFont val="Tahoma"/>
            <family val="2"/>
          </rPr>
          <t>The suction viscosity is used to evaluate the Reynold's number of the refrigerant in the riser(s) and horizontal return line(s). Viscosity comes from RefProp and it is calculated using Segment Suction Pressure and Segment Suction Vapor Temperature.</t>
        </r>
      </text>
    </comment>
    <comment ref="BD10" authorId="0" shapeId="0" xr:uid="{E2DF4621-E32E-4607-AE16-D426DA069852}">
      <text>
        <r>
          <rPr>
            <b/>
            <sz val="8"/>
            <color indexed="81"/>
            <rFont val="Tahoma"/>
            <family val="2"/>
          </rPr>
          <t>The velocity is calculated based on the mass flow and the pipe size.</t>
        </r>
        <r>
          <rPr>
            <sz val="8"/>
            <color indexed="81"/>
            <rFont val="Tahoma"/>
            <family val="2"/>
          </rPr>
          <t xml:space="preserve">
</t>
        </r>
      </text>
    </comment>
    <comment ref="BE10" authorId="0" shapeId="0" xr:uid="{0C03A0D4-6697-44F0-9481-0CE4875C2ED5}">
      <text>
        <r>
          <rPr>
            <b/>
            <sz val="8"/>
            <color indexed="81"/>
            <rFont val="Tahoma"/>
            <family val="2"/>
          </rPr>
          <t>The pressure drop is calculated using the Darcy equation.</t>
        </r>
        <r>
          <rPr>
            <sz val="8"/>
            <color indexed="81"/>
            <rFont val="Tahoma"/>
            <family val="2"/>
          </rPr>
          <t xml:space="preserve">
</t>
        </r>
      </text>
    </comment>
    <comment ref="BG10" authorId="3" shapeId="0" xr:uid="{AB9D0F34-2D5B-4949-B974-18B93FDB8FE9}">
      <text>
        <r>
          <rPr>
            <b/>
            <sz val="8"/>
            <color indexed="81"/>
            <rFont val="Tahoma"/>
            <family val="2"/>
          </rPr>
          <t>The friction factor is calculated using the Swamee-Jain equation.</t>
        </r>
      </text>
    </comment>
    <comment ref="BH10" authorId="0" shapeId="0" xr:uid="{57521F4A-6977-47FA-A109-44498F9E34EE}">
      <text>
        <r>
          <rPr>
            <b/>
            <sz val="8"/>
            <color indexed="81"/>
            <rFont val="Tahoma"/>
            <family val="2"/>
          </rPr>
          <t>The suggested pipe size is determined by picking the largest pipe that meets the maximum velocity, and minimum velocity limits specified  above.</t>
        </r>
        <r>
          <rPr>
            <sz val="8"/>
            <color indexed="81"/>
            <rFont val="Tahoma"/>
            <family val="2"/>
          </rPr>
          <t xml:space="preserve">
</t>
        </r>
      </text>
    </comment>
    <comment ref="BI10" authorId="0" shapeId="0" xr:uid="{32C3E3B6-4A10-4182-A287-5A06494FC4D6}">
      <text>
        <r>
          <rPr>
            <b/>
            <sz val="8"/>
            <color indexed="81"/>
            <rFont val="Tahoma"/>
            <family val="2"/>
          </rPr>
          <t xml:space="preserve">This column is used to override the suggested pipe size.  </t>
        </r>
        <r>
          <rPr>
            <sz val="8"/>
            <color indexed="81"/>
            <rFont val="Tahoma"/>
            <family val="2"/>
          </rPr>
          <t xml:space="preserve">
</t>
        </r>
      </text>
    </comment>
    <comment ref="BK10" authorId="3" shapeId="0" xr:uid="{704537D4-9EF5-4D09-B61F-495187D73C85}">
      <text>
        <r>
          <rPr>
            <b/>
            <sz val="8"/>
            <color indexed="81"/>
            <rFont val="Tahoma"/>
            <family val="2"/>
          </rPr>
          <t>For loads this is referenced from the legend for loops this is a user input.</t>
        </r>
      </text>
    </comment>
    <comment ref="BN10" authorId="0" shapeId="0" xr:uid="{559F3097-4670-413D-B57E-77826CE2854C}">
      <text>
        <r>
          <rPr>
            <b/>
            <sz val="8"/>
            <color indexed="81"/>
            <rFont val="Tahoma"/>
            <family val="2"/>
          </rPr>
          <t>ΔT is the equivalent change in saturation temperature associated with the pressure drop through the suction line sets and control valve(s).</t>
        </r>
      </text>
    </comment>
    <comment ref="BO10" authorId="3" shapeId="0" xr:uid="{DDC8C597-C6EB-4E1C-B156-A16479685B2C}">
      <text>
        <r>
          <rPr>
            <b/>
            <sz val="8"/>
            <color indexed="81"/>
            <rFont val="Tahoma"/>
            <family val="2"/>
          </rPr>
          <t>This is the maximum suction pressure that would allow this load to meet the require discharge air temperature.</t>
        </r>
        <r>
          <rPr>
            <sz val="8"/>
            <color indexed="81"/>
            <rFont val="Tahoma"/>
            <family val="2"/>
          </rPr>
          <t xml:space="preserve">
</t>
        </r>
      </text>
    </comment>
    <comment ref="BP10" authorId="0" shapeId="0" xr:uid="{BC36AC85-821E-43BF-AB02-20EFE7EF1E14}">
      <text>
        <r>
          <rPr>
            <b/>
            <sz val="8"/>
            <color indexed="81"/>
            <rFont val="Tahoma"/>
            <family val="2"/>
          </rPr>
          <t>The equivalent saturated suction temperature of the rack suction pressure required.</t>
        </r>
        <r>
          <rPr>
            <sz val="8"/>
            <color indexed="81"/>
            <rFont val="Tahoma"/>
            <family val="2"/>
          </rPr>
          <t xml:space="preserve">
</t>
        </r>
      </text>
    </comment>
    <comment ref="BQ10" authorId="0" shapeId="0" xr:uid="{303A6109-BBB5-4C25-B17E-1DA68044425A}">
      <text>
        <r>
          <rPr>
            <b/>
            <sz val="8"/>
            <color indexed="81"/>
            <rFont val="Tahoma"/>
            <family val="2"/>
          </rPr>
          <t>For loads, the actual length is referenced from the schedule. For loops this is a user input.</t>
        </r>
      </text>
    </comment>
    <comment ref="BR10" authorId="0" shapeId="0" xr:uid="{0B467AE1-4057-4C8E-81CC-493AC40D20D7}">
      <text>
        <r>
          <rPr>
            <b/>
            <sz val="8"/>
            <color indexed="81"/>
            <rFont val="Tahoma"/>
            <family val="2"/>
          </rPr>
          <t>The equivalent length is calculated from the lengths shown on the schedule.  This value is the actual length plus 30% to account for the fittings in the piping system.</t>
        </r>
        <r>
          <rPr>
            <sz val="8"/>
            <color indexed="81"/>
            <rFont val="Tahoma"/>
            <family val="2"/>
          </rPr>
          <t xml:space="preserve">
</t>
        </r>
      </text>
    </comment>
    <comment ref="BS10" authorId="0" shapeId="0" xr:uid="{6926DF4B-4500-4A4D-B358-8D3C387CE108}">
      <text>
        <r>
          <rPr>
            <b/>
            <sz val="8"/>
            <color indexed="81"/>
            <rFont val="Tahoma"/>
            <family val="2"/>
          </rPr>
          <t>The velocity is calculated based on the mass flow and the pipe size.</t>
        </r>
        <r>
          <rPr>
            <sz val="8"/>
            <color indexed="81"/>
            <rFont val="Tahoma"/>
            <family val="2"/>
          </rPr>
          <t xml:space="preserve">
</t>
        </r>
      </text>
    </comment>
    <comment ref="BT10" authorId="0" shapeId="0" xr:uid="{C6F2D1EE-8ED3-4A90-A63C-ACD34EBAC2C3}">
      <text>
        <r>
          <rPr>
            <b/>
            <sz val="8"/>
            <color indexed="81"/>
            <rFont val="Tahoma"/>
            <family val="2"/>
          </rPr>
          <t>The pressure drop is calculated using the Darcy equation.</t>
        </r>
        <r>
          <rPr>
            <sz val="8"/>
            <color indexed="81"/>
            <rFont val="Tahoma"/>
            <family val="2"/>
          </rPr>
          <t xml:space="preserve">
</t>
        </r>
      </text>
    </comment>
    <comment ref="BW10" authorId="3" shapeId="0" xr:uid="{FD22F406-445A-4CF8-838A-52A40A50ED63}">
      <text>
        <r>
          <rPr>
            <b/>
            <sz val="8"/>
            <color indexed="81"/>
            <rFont val="Tahoma"/>
            <family val="2"/>
          </rPr>
          <t>The friction factor is calculated using the Swamee-Jain equation.</t>
        </r>
      </text>
    </comment>
    <comment ref="BX10" authorId="0" shapeId="0" xr:uid="{751DCCF7-4B03-4E53-9156-0029E59834B1}">
      <text>
        <r>
          <rPr>
            <b/>
            <sz val="8"/>
            <color indexed="81"/>
            <rFont val="Tahoma"/>
            <family val="2"/>
          </rPr>
          <t>The suggested pipe size is determined by picking the smallest pipe that meets the maximum velocity, and maximum pressure drop limits specified  above.</t>
        </r>
      </text>
    </comment>
    <comment ref="BY10" authorId="0" shapeId="0" xr:uid="{BAEED5B6-BDBF-4E3D-BF30-D023060DBF4A}">
      <text>
        <r>
          <rPr>
            <b/>
            <sz val="8"/>
            <color indexed="81"/>
            <rFont val="Tahoma"/>
            <family val="2"/>
          </rPr>
          <t>This column is used to override the suggested pipe size.</t>
        </r>
      </text>
    </comment>
    <comment ref="B118" authorId="0" shapeId="0" xr:uid="{814BFED1-8E1E-448C-8D8E-FC328EB97CD1}">
      <text>
        <r>
          <rPr>
            <sz val="8"/>
            <color indexed="81"/>
            <rFont val="Tahoma"/>
            <family val="2"/>
          </rPr>
          <t>The refrigerant is referenced from the schedule.</t>
        </r>
      </text>
    </comment>
    <comment ref="D118" authorId="0" shapeId="0" xr:uid="{326A9335-29A9-409A-81CD-40AD458364CB}">
      <text>
        <r>
          <rPr>
            <b/>
            <sz val="8"/>
            <color indexed="81"/>
            <rFont val="Tahoma"/>
            <family val="2"/>
          </rPr>
          <t>The rack Saturated Suction Temperature is determined by subtracting the design parasitic line loss from the coldest circuit's evaporator temperature.</t>
        </r>
        <r>
          <rPr>
            <sz val="8"/>
            <color indexed="81"/>
            <rFont val="Tahoma"/>
            <family val="2"/>
          </rPr>
          <t xml:space="preserve">
</t>
        </r>
      </text>
    </comment>
    <comment ref="E118" authorId="0" shapeId="0" xr:uid="{71A8DA18-15A4-444C-BD5A-920EDE75AE79}">
      <text>
        <r>
          <rPr>
            <b/>
            <sz val="8"/>
            <color indexed="81"/>
            <rFont val="Tahoma"/>
            <family val="2"/>
          </rPr>
          <t>The suction pressure is equivalent saturated pressure of the rack SST.</t>
        </r>
      </text>
    </comment>
    <comment ref="F118" authorId="0" shapeId="0" xr:uid="{CC802595-6776-49AD-9983-4A1D3B41B2AB}">
      <text>
        <r>
          <rPr>
            <b/>
            <sz val="8"/>
            <color indexed="81"/>
            <rFont val="Tahoma"/>
            <family val="2"/>
          </rPr>
          <t>Enter a negative number.</t>
        </r>
        <r>
          <rPr>
            <sz val="8"/>
            <color indexed="81"/>
            <rFont val="Tahoma"/>
            <family val="2"/>
          </rPr>
          <t xml:space="preserve">
</t>
        </r>
      </text>
    </comment>
    <comment ref="G118" authorId="0" shapeId="0" xr:uid="{D821840A-9BDA-4D3A-A589-9F2A19EAC410}">
      <text>
        <r>
          <rPr>
            <b/>
            <sz val="8"/>
            <color indexed="81"/>
            <rFont val="Tahoma"/>
            <family val="2"/>
          </rPr>
          <t>The subcooled liquid temp is referenced from the schedule.  If mechanical subcooling is not present, use the Saturated Condensing Temperature</t>
        </r>
        <r>
          <rPr>
            <sz val="8"/>
            <color indexed="81"/>
            <rFont val="Tahoma"/>
            <family val="2"/>
          </rPr>
          <t xml:space="preserve">
</t>
        </r>
      </text>
    </comment>
    <comment ref="AC118" authorId="0" shapeId="0" xr:uid="{AA80B601-ED5B-41A6-A459-7EA1CDD7C80D}">
      <text>
        <r>
          <rPr>
            <b/>
            <sz val="8"/>
            <color indexed="81"/>
            <rFont val="Tahoma"/>
            <family val="2"/>
          </rPr>
          <t>The horizontal suction line velocity should be approx. &gt;1500fpm and &lt;2000fpm and not high enough to create a total pressure drop within the suction lines resulting in a ΔT greater than specified.</t>
        </r>
        <r>
          <rPr>
            <sz val="8"/>
            <color indexed="81"/>
            <rFont val="Tahoma"/>
            <family val="2"/>
          </rPr>
          <t xml:space="preserve">
</t>
        </r>
      </text>
    </comment>
    <comment ref="AS118" authorId="0" shapeId="0" xr:uid="{9CDA45D5-B0F0-4880-990E-946375D50F68}">
      <text>
        <r>
          <rPr>
            <b/>
            <sz val="8"/>
            <color indexed="81"/>
            <rFont val="Tahoma"/>
            <family val="2"/>
          </rPr>
          <t>The horizontal suction line velocity should be approx. &gt;1500fpm and &lt;2000fpm and not high enough to create a total pressure drop within the suction lines resulting in a ΔT greater than specified.</t>
        </r>
        <r>
          <rPr>
            <sz val="8"/>
            <color indexed="81"/>
            <rFont val="Tahoma"/>
            <family val="2"/>
          </rPr>
          <t xml:space="preserve">
</t>
        </r>
      </text>
    </comment>
    <comment ref="BE118" authorId="0" shapeId="0" xr:uid="{A8740A97-990B-4285-B648-FF0F32C33784}">
      <text>
        <r>
          <rPr>
            <b/>
            <sz val="8"/>
            <color indexed="81"/>
            <rFont val="Tahoma"/>
            <family val="2"/>
          </rPr>
          <t>The horizontal suction line velocity should be approx. &gt;500fpm and &lt;1000fpm and not high enough to create a total pressure drop within the suction lines resulting in a ΔT greater than specified.</t>
        </r>
        <r>
          <rPr>
            <sz val="8"/>
            <color indexed="81"/>
            <rFont val="Tahoma"/>
            <family val="2"/>
          </rPr>
          <t xml:space="preserve">
</t>
        </r>
      </text>
    </comment>
    <comment ref="BS118" authorId="1" shapeId="0" xr:uid="{B1C8A84A-6F92-406F-AC22-1036C24F46F4}">
      <text>
        <r>
          <rPr>
            <b/>
            <sz val="8"/>
            <color indexed="81"/>
            <rFont val="Tahoma"/>
            <family val="2"/>
          </rPr>
          <t>The horizontal suction line velocity should be approx. &gt;1500fpm and &lt;2000fpm and not high enough to create a total pressure drop within the suction lines resulting in a ΔT greater than specified.</t>
        </r>
      </text>
    </comment>
    <comment ref="BT118" authorId="0" shapeId="0" xr:uid="{8B76F126-3307-4FAD-A6F4-898917B6A142}">
      <text>
        <r>
          <rPr>
            <b/>
            <sz val="8"/>
            <color indexed="81"/>
            <rFont val="Tahoma"/>
            <family val="2"/>
          </rPr>
          <t>To prevent "liquid hammer" the liquid line velocity should not exceed 100fpm.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Zach Benton</author>
  </authors>
  <commentList>
    <comment ref="G3" authorId="0" shapeId="0" xr:uid="{27539FAD-F32D-454D-B99B-577990782410}">
      <text>
        <r>
          <rPr>
            <b/>
            <sz val="9"/>
            <color indexed="81"/>
            <rFont val="Tahoma"/>
            <family val="2"/>
          </rPr>
          <t>Zach Benton:</t>
        </r>
        <r>
          <rPr>
            <sz val="9"/>
            <color indexed="81"/>
            <rFont val="Tahoma"/>
            <family val="2"/>
          </rPr>
          <t xml:space="preserve">
Use skid sizing tool to determine.</t>
        </r>
      </text>
    </comment>
    <comment ref="H3" authorId="0" shapeId="0" xr:uid="{B097FF46-2FEA-4FB2-AFB2-A5522840DC4B}">
      <text>
        <r>
          <rPr>
            <b/>
            <sz val="9"/>
            <color indexed="81"/>
            <rFont val="Tahoma"/>
            <family val="2"/>
          </rPr>
          <t>Zach Benton:</t>
        </r>
        <r>
          <rPr>
            <sz val="9"/>
            <color indexed="81"/>
            <rFont val="Tahoma"/>
            <family val="2"/>
          </rPr>
          <t xml:space="preserve">
Use the estimate 1/3 of removed load (MBH)</t>
        </r>
      </text>
    </comment>
    <comment ref="L4" authorId="0" shapeId="0" xr:uid="{F8E9F4F9-C14C-4505-9D11-2417E5E6C54E}">
      <text>
        <r>
          <rPr>
            <b/>
            <sz val="9"/>
            <color indexed="81"/>
            <rFont val="Tahoma"/>
            <family val="2"/>
          </rPr>
          <t>Zach Benton:</t>
        </r>
        <r>
          <rPr>
            <sz val="9"/>
            <color indexed="81"/>
            <rFont val="Tahoma"/>
            <family val="2"/>
          </rPr>
          <t xml:space="preserve">
Should be N/A. If more refrigerant is needed for this project's touch, need to make sure the refrigerant amount needed will decrease after full rack is converted to secondary.</t>
        </r>
      </text>
    </comment>
    <comment ref="M4" authorId="0" shapeId="0" xr:uid="{2CE2F8E1-3A7A-48D3-B982-229A87864848}">
      <text>
        <r>
          <rPr>
            <b/>
            <sz val="9"/>
            <color indexed="81"/>
            <rFont val="Tahoma"/>
            <family val="2"/>
          </rPr>
          <t xml:space="preserve">Zach Benton:
</t>
        </r>
        <r>
          <rPr>
            <sz val="9"/>
            <color indexed="81"/>
            <rFont val="Tahoma"/>
            <family val="2"/>
          </rPr>
          <t>Change to new refrigerant only if refrigerant conversion is a part of your project.</t>
        </r>
      </text>
    </comment>
    <comment ref="P4" authorId="0" shapeId="0" xr:uid="{06A81B27-E84A-4EE1-AC34-AD10B77609D4}">
      <text>
        <r>
          <rPr>
            <b/>
            <sz val="9"/>
            <color indexed="81"/>
            <rFont val="Tahoma"/>
            <family val="2"/>
          </rPr>
          <t>Zach Benton:</t>
        </r>
        <r>
          <rPr>
            <sz val="9"/>
            <color indexed="81"/>
            <rFont val="Tahoma"/>
            <family val="2"/>
          </rPr>
          <t xml:space="preserve">
Only use if a refrigerant conversion is a part of this project.</t>
        </r>
      </text>
    </comment>
    <comment ref="F6" authorId="0" shapeId="0" xr:uid="{1DC93802-9F8C-451F-8793-DE64C52A2425}">
      <text>
        <r>
          <rPr>
            <b/>
            <sz val="9"/>
            <color indexed="81"/>
            <rFont val="Tahoma"/>
            <family val="2"/>
          </rPr>
          <t xml:space="preserve">Zach Benton:
</t>
        </r>
        <r>
          <rPr>
            <sz val="9"/>
            <color indexed="81"/>
            <rFont val="Tahoma"/>
            <family val="2"/>
          </rPr>
          <t>Change to previous touch's skid charge amount if this project is not the first touch.</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Randy Johnson</author>
    <author>Erik H. Caylor, P.E.</author>
    <author>Zach Benton</author>
    <author>Administrator</author>
  </authors>
  <commentList>
    <comment ref="B2" authorId="0" shapeId="0" xr:uid="{7A1B1D28-8572-42F9-9C2C-BD348AA092EB}">
      <text>
        <r>
          <rPr>
            <sz val="8"/>
            <color indexed="81"/>
            <rFont val="Tahoma"/>
            <family val="2"/>
          </rPr>
          <t>The refrigerant is referenced from the schedule.</t>
        </r>
      </text>
    </comment>
    <comment ref="D2" authorId="0" shapeId="0" xr:uid="{4CA54A3B-C054-4829-8C0C-62B90F70CCFB}">
      <text>
        <r>
          <rPr>
            <b/>
            <sz val="8"/>
            <color indexed="81"/>
            <rFont val="Tahoma"/>
            <family val="2"/>
          </rPr>
          <t>The rack Saturated Suction Temperature is determined by subtracting the design parasitic line loss from the coldest circuit's evaporator temperature.</t>
        </r>
        <r>
          <rPr>
            <sz val="8"/>
            <color indexed="81"/>
            <rFont val="Tahoma"/>
            <family val="2"/>
          </rPr>
          <t xml:space="preserve">
</t>
        </r>
      </text>
    </comment>
    <comment ref="E2" authorId="0" shapeId="0" xr:uid="{4D218C7E-E6E1-4441-BA27-5A6C5CB832B9}">
      <text>
        <r>
          <rPr>
            <b/>
            <sz val="8"/>
            <color indexed="81"/>
            <rFont val="Tahoma"/>
            <family val="2"/>
          </rPr>
          <t>The suction pressure is equivalent saturated pressure of the rack SST.</t>
        </r>
      </text>
    </comment>
    <comment ref="F2" authorId="0" shapeId="0" xr:uid="{7BC3046A-16D8-4C90-90DE-57DC5A858AE6}">
      <text>
        <r>
          <rPr>
            <b/>
            <sz val="8"/>
            <color indexed="81"/>
            <rFont val="Tahoma"/>
            <family val="2"/>
          </rPr>
          <t>Enter a negative number.</t>
        </r>
        <r>
          <rPr>
            <sz val="8"/>
            <color indexed="81"/>
            <rFont val="Tahoma"/>
            <family val="2"/>
          </rPr>
          <t xml:space="preserve">
</t>
        </r>
      </text>
    </comment>
    <comment ref="G2" authorId="0" shapeId="0" xr:uid="{5AC4C9DE-8471-4F23-9116-A7BCB7559BED}">
      <text>
        <r>
          <rPr>
            <b/>
            <sz val="8"/>
            <color indexed="81"/>
            <rFont val="Tahoma"/>
            <family val="2"/>
          </rPr>
          <t>The subcooled liquid temp is referenced from the schedule.  If mechanical subcooling is not present, use the Saturated Condensing Temperature</t>
        </r>
        <r>
          <rPr>
            <sz val="8"/>
            <color indexed="81"/>
            <rFont val="Tahoma"/>
            <family val="2"/>
          </rPr>
          <t xml:space="preserve">
</t>
        </r>
      </text>
    </comment>
    <comment ref="AC2" authorId="0" shapeId="0" xr:uid="{BD53E360-C92B-4233-8B18-5DD3E8127932}">
      <text>
        <r>
          <rPr>
            <b/>
            <sz val="8"/>
            <color indexed="81"/>
            <rFont val="Tahoma"/>
            <family val="2"/>
          </rPr>
          <t>The horizontal suction line velocity should be approx. &gt;1500fpm and &lt;2000fpm and not high enough to create a total pressure drop within the suction lines resulting in a ΔT greater than specified.</t>
        </r>
        <r>
          <rPr>
            <sz val="8"/>
            <color indexed="81"/>
            <rFont val="Tahoma"/>
            <family val="2"/>
          </rPr>
          <t xml:space="preserve">
</t>
        </r>
      </text>
    </comment>
    <comment ref="AS2" authorId="0" shapeId="0" xr:uid="{BC214933-CA9F-4B62-B7A3-2769BA88E5DB}">
      <text>
        <r>
          <rPr>
            <b/>
            <sz val="8"/>
            <color indexed="81"/>
            <rFont val="Tahoma"/>
            <family val="2"/>
          </rPr>
          <t>The horizontal suction line velocity should be approx. &gt;1500fpm and &lt;2000fpm and not high enough to create a total pressure drop within the suction lines resulting in a ΔT greater than specified.</t>
        </r>
        <r>
          <rPr>
            <sz val="8"/>
            <color indexed="81"/>
            <rFont val="Tahoma"/>
            <family val="2"/>
          </rPr>
          <t xml:space="preserve">
</t>
        </r>
      </text>
    </comment>
    <comment ref="BE2" authorId="0" shapeId="0" xr:uid="{F50C5B78-13C1-4BD5-8670-1FC4484B207F}">
      <text>
        <r>
          <rPr>
            <b/>
            <sz val="8"/>
            <color indexed="81"/>
            <rFont val="Tahoma"/>
            <family val="2"/>
          </rPr>
          <t>The horizontal suction line velocity should be approx. &gt;500fpm and &lt;1000fpm and not high enough to create a total pressure drop within the suction lines resulting in a ΔT greater than specified.</t>
        </r>
        <r>
          <rPr>
            <sz val="8"/>
            <color indexed="81"/>
            <rFont val="Tahoma"/>
            <family val="2"/>
          </rPr>
          <t xml:space="preserve">
</t>
        </r>
      </text>
    </comment>
    <comment ref="BS2" authorId="1" shapeId="0" xr:uid="{E9B0A29B-D755-4D4F-8051-A7E1E1D9567A}">
      <text>
        <r>
          <rPr>
            <b/>
            <sz val="8"/>
            <color indexed="81"/>
            <rFont val="Tahoma"/>
            <family val="2"/>
          </rPr>
          <t>The horizontal suction line velocity should be approx. &gt;1500fpm and &lt;2000fpm and not high enough to create a total pressure drop within the suction lines resulting in a ΔT greater than specified.</t>
        </r>
      </text>
    </comment>
    <comment ref="BT2" authorId="0" shapeId="0" xr:uid="{DBA6786D-5F4F-436C-B380-A7EF0C8F1918}">
      <text>
        <r>
          <rPr>
            <b/>
            <sz val="8"/>
            <color indexed="81"/>
            <rFont val="Tahoma"/>
            <family val="2"/>
          </rPr>
          <t>To prevent "liquid hammer" the liquid line velocity should not exceed 100fpm.</t>
        </r>
      </text>
    </comment>
    <comment ref="FA5" authorId="2" shapeId="0" xr:uid="{56B926B9-1B47-4F35-A305-AF28F07DDFF3}">
      <text>
        <r>
          <rPr>
            <b/>
            <sz val="9"/>
            <color indexed="81"/>
            <rFont val="Tahoma"/>
            <family val="2"/>
          </rPr>
          <t>Zach Benton:</t>
        </r>
        <r>
          <rPr>
            <sz val="9"/>
            <color indexed="81"/>
            <rFont val="Tahoma"/>
            <family val="2"/>
          </rPr>
          <t xml:space="preserve">
Added this section to be able to create conditional formatting on velocities for orange or "warning" colors that indicate the allowance to reuse the piping but should get an updated size if installing new piping.</t>
        </r>
      </text>
    </comment>
    <comment ref="FE7" authorId="2" shapeId="0" xr:uid="{4250DD02-8992-48F5-81A4-49C680826E1E}">
      <text>
        <r>
          <rPr>
            <b/>
            <sz val="9"/>
            <color indexed="81"/>
            <rFont val="Tahoma"/>
            <family val="2"/>
          </rPr>
          <t>Zach Benton
Double suction riser triggers were never programmed in. Created them here along with the warning parameters.</t>
        </r>
      </text>
    </comment>
    <comment ref="FG7" authorId="2" shapeId="0" xr:uid="{5A33F441-B32A-4EE0-9551-BFD942AE6DDD}">
      <text>
        <r>
          <rPr>
            <b/>
            <sz val="9"/>
            <color indexed="81"/>
            <rFont val="Tahoma"/>
            <family val="2"/>
          </rPr>
          <t>Zach Benton:</t>
        </r>
        <r>
          <rPr>
            <sz val="9"/>
            <color indexed="81"/>
            <rFont val="Tahoma"/>
            <family val="2"/>
          </rPr>
          <t xml:space="preserve">
Zach Benton
Double suction riser triggers were never programmed in. Created them here along with the warning parameters.</t>
        </r>
      </text>
    </comment>
    <comment ref="E10" authorId="0" shapeId="0" xr:uid="{7B1C8790-7EFA-454F-BF26-9F78C5B273EB}">
      <text>
        <r>
          <rPr>
            <b/>
            <sz val="8"/>
            <color indexed="81"/>
            <rFont val="Tahoma"/>
            <family val="2"/>
          </rPr>
          <t>For Loads this is circuit number is referenced from the Legend. You should create a name for a Loop</t>
        </r>
        <r>
          <rPr>
            <sz val="8"/>
            <color indexed="81"/>
            <rFont val="Tahoma"/>
            <family val="2"/>
          </rPr>
          <t xml:space="preserve">
</t>
        </r>
      </text>
    </comment>
    <comment ref="H10" authorId="0" shapeId="0" xr:uid="{3D97BA23-A782-40CB-9F63-23595A712357}">
      <text>
        <r>
          <rPr>
            <b/>
            <sz val="8"/>
            <color indexed="81"/>
            <rFont val="Tahoma"/>
            <family val="2"/>
          </rPr>
          <t>The evaporator load is referenced from the Legend.</t>
        </r>
        <r>
          <rPr>
            <sz val="8"/>
            <color indexed="81"/>
            <rFont val="Tahoma"/>
            <family val="2"/>
          </rPr>
          <t xml:space="preserve">
</t>
        </r>
      </text>
    </comment>
    <comment ref="I10" authorId="3" shapeId="0" xr:uid="{C54CF45A-B8F2-44EA-AF19-B07E257D54E7}">
      <text>
        <r>
          <rPr>
            <b/>
            <sz val="8"/>
            <color indexed="81"/>
            <rFont val="Tahoma"/>
            <family val="2"/>
          </rPr>
          <t>This is referenced from the Legend</t>
        </r>
      </text>
    </comment>
    <comment ref="J10" authorId="0" shapeId="0" xr:uid="{322ED421-6B55-4F57-A90D-974F5F2AEF39}">
      <text>
        <r>
          <rPr>
            <b/>
            <sz val="8"/>
            <color indexed="81"/>
            <rFont val="Tahoma"/>
            <family val="2"/>
          </rPr>
          <t>The Segment SST changes depending on the location of EPR and Design Parasitic Loss</t>
        </r>
        <r>
          <rPr>
            <sz val="8"/>
            <color indexed="81"/>
            <rFont val="Tahoma"/>
            <family val="2"/>
          </rPr>
          <t xml:space="preserve">
</t>
        </r>
      </text>
    </comment>
    <comment ref="K10" authorId="3" shapeId="0" xr:uid="{614D9947-9818-4CF6-A7C3-97A218959E3B}">
      <text>
        <r>
          <rPr>
            <b/>
            <sz val="8"/>
            <color indexed="81"/>
            <rFont val="Tahoma"/>
            <family val="2"/>
          </rPr>
          <t xml:space="preserve">For a Load this is calculated by adding superheat to the Segment SST and for a Loop it is a mixed vapor temperature calculated from the ratio of the branches mass flow and vapor temperature </t>
        </r>
        <r>
          <rPr>
            <sz val="8"/>
            <color indexed="81"/>
            <rFont val="Tahoma"/>
            <family val="2"/>
          </rPr>
          <t xml:space="preserve">
</t>
        </r>
      </text>
    </comment>
    <comment ref="L10" authorId="3" shapeId="0" xr:uid="{8237F9B7-90C5-4ACF-B3A0-BFCD934D4865}">
      <text>
        <r>
          <rPr>
            <b/>
            <sz val="8"/>
            <color indexed="81"/>
            <rFont val="Tahoma"/>
            <family val="2"/>
          </rPr>
          <t>The temperature of the suction gas at the rack/system.</t>
        </r>
      </text>
    </comment>
    <comment ref="M10" authorId="0" shapeId="0" xr:uid="{D76CE36A-3BD7-4FEA-B098-77969E6C4D9E}">
      <text>
        <r>
          <rPr>
            <b/>
            <sz val="8"/>
            <color indexed="81"/>
            <rFont val="Tahoma"/>
            <family val="2"/>
          </rPr>
          <t>The Segment Suction Pressure is the equivalent pressure of the Segment SST</t>
        </r>
        <r>
          <rPr>
            <sz val="8"/>
            <color indexed="81"/>
            <rFont val="Tahoma"/>
            <family val="2"/>
          </rPr>
          <t xml:space="preserve">
</t>
        </r>
      </text>
    </comment>
    <comment ref="Q10" authorId="0" shapeId="0" xr:uid="{59AEEEF9-98EC-4640-ACB3-94056C80FE17}">
      <text>
        <r>
          <rPr>
            <b/>
            <sz val="8"/>
            <color indexed="81"/>
            <rFont val="Tahoma"/>
            <family val="2"/>
          </rPr>
          <t>The suction gas is assumed to be superheated by 7ºF when exiting the evaporator.  The enthalpy of the superheated suction gas is referenced from RefProp using two properties:  the evaporator suction pressure and a temperature 7ºF above the evaporator SST.</t>
        </r>
        <r>
          <rPr>
            <sz val="8"/>
            <color indexed="81"/>
            <rFont val="Tahoma"/>
            <family val="2"/>
          </rPr>
          <t xml:space="preserve">
</t>
        </r>
      </text>
    </comment>
    <comment ref="R10" authorId="0" shapeId="0" xr:uid="{72A295FA-E6A2-4470-8444-34A498FF7C93}">
      <text>
        <r>
          <rPr>
            <b/>
            <sz val="8"/>
            <color indexed="81"/>
            <rFont val="Tahoma"/>
            <family val="2"/>
          </rPr>
          <t>If the liquid is subcooled (i.e. liquid temp in G3 is less than condensing temp in H3), RefProp uses the liquid temperature and equivalent Saturated Condensing Pressure to evaluate enthalpy.  If the liquid is not subcooled, RefProp uses the enthalpy of the refrigerant at its saturated condensing temperature.</t>
        </r>
        <r>
          <rPr>
            <sz val="8"/>
            <color indexed="81"/>
            <rFont val="Tahoma"/>
            <family val="2"/>
          </rPr>
          <t xml:space="preserve">
</t>
        </r>
      </text>
    </comment>
    <comment ref="S10" authorId="0" shapeId="0" xr:uid="{A44B2952-E9D5-4942-B260-89C898876AE2}">
      <text>
        <r>
          <rPr>
            <b/>
            <sz val="8"/>
            <color indexed="81"/>
            <rFont val="Tahoma"/>
            <family val="2"/>
          </rPr>
          <t>If the liquid is subcooled (i.e. liquid temp in G3 is less than condensing temp in H3), RefProp uses the liquid temperature and equivalent Saturated Condensing Pressure to evaluate density.  If the liquid is not subcooled, RefProp uses the density of the refrigerant at its saturated condensing temperature.</t>
        </r>
        <r>
          <rPr>
            <sz val="8"/>
            <color indexed="81"/>
            <rFont val="Tahoma"/>
            <family val="2"/>
          </rPr>
          <t xml:space="preserve">
</t>
        </r>
      </text>
    </comment>
    <comment ref="T10" authorId="3" shapeId="0" xr:uid="{E21BA5C7-0717-4267-9312-B121C06E3C19}">
      <text>
        <r>
          <rPr>
            <b/>
            <sz val="8"/>
            <color indexed="81"/>
            <rFont val="Tahoma"/>
            <family val="2"/>
          </rPr>
          <t>The liquid viscosity is used to evaluate the Reynold's number of the refrigerant in the liquid supply line(s).</t>
        </r>
      </text>
    </comment>
    <comment ref="U10" authorId="0" shapeId="0" xr:uid="{FEDE5AA3-9238-4210-A8AA-BD9CD168296D}">
      <text>
        <r>
          <rPr>
            <b/>
            <sz val="8"/>
            <color indexed="81"/>
            <rFont val="Tahoma"/>
            <family val="2"/>
          </rPr>
          <t>For Loads, the mass flow is calculated by dividing the evap load  by the refrigeration effect. For Loops, it is the sum of its branches mass flow.</t>
        </r>
        <r>
          <rPr>
            <sz val="8"/>
            <color indexed="81"/>
            <rFont val="Tahoma"/>
            <family val="2"/>
          </rPr>
          <t xml:space="preserve">
</t>
        </r>
      </text>
    </comment>
    <comment ref="V10" authorId="3" shapeId="0" xr:uid="{41698765-BA53-4DA7-B956-362A84911E7F}">
      <text>
        <r>
          <rPr>
            <b/>
            <sz val="8"/>
            <color indexed="81"/>
            <rFont val="Tahoma"/>
            <family val="2"/>
          </rPr>
          <t xml:space="preserve">For Loads, this is referenced from the Legend.  For Loops, it is a user input.  'BOR' is bottom of riser, 'TOR' is top of riser.
</t>
        </r>
      </text>
    </comment>
    <comment ref="W10" authorId="3" shapeId="0" xr:uid="{D8F46A29-C180-4F8C-B499-E0A4142EA37C}">
      <text>
        <r>
          <rPr>
            <b/>
            <sz val="8"/>
            <color indexed="81"/>
            <rFont val="Tahoma"/>
            <family val="2"/>
          </rPr>
          <t>If a load is dual temperature or if a loop has multiple branches then select double riser</t>
        </r>
        <r>
          <rPr>
            <sz val="8"/>
            <color indexed="81"/>
            <rFont val="Tahoma"/>
            <family val="2"/>
          </rPr>
          <t xml:space="preserve">
</t>
        </r>
      </text>
    </comment>
    <comment ref="X10" authorId="0" shapeId="0" xr:uid="{04A5C2C0-D461-4186-BC7E-9A7931F14546}">
      <text>
        <r>
          <rPr>
            <b/>
            <sz val="8"/>
            <color indexed="81"/>
            <rFont val="Tahoma"/>
            <family val="2"/>
          </rPr>
          <t>The Actual Length for the riser is input here</t>
        </r>
        <r>
          <rPr>
            <sz val="8"/>
            <color indexed="81"/>
            <rFont val="Tahoma"/>
            <family val="2"/>
          </rPr>
          <t xml:space="preserve">
</t>
        </r>
      </text>
    </comment>
    <comment ref="Y10" authorId="0" shapeId="0" xr:uid="{6F7F9A3A-7B23-4EA2-AA28-BD875E36D20F}">
      <text>
        <r>
          <rPr>
            <b/>
            <sz val="8"/>
            <color indexed="81"/>
            <rFont val="Tahoma"/>
            <family val="2"/>
          </rPr>
          <t>The equivalent length is calculated from the lengths shown on the schedule.  This value is the actual length plus 30% to account for the fittings in the piping system.</t>
        </r>
        <r>
          <rPr>
            <sz val="8"/>
            <color indexed="81"/>
            <rFont val="Tahoma"/>
            <family val="2"/>
          </rPr>
          <t xml:space="preserve">
</t>
        </r>
      </text>
    </comment>
    <comment ref="Z10" authorId="0" shapeId="0" xr:uid="{F42BC99B-2893-4796-9A7E-2AB6A56D168E}">
      <text>
        <r>
          <rPr>
            <b/>
            <sz val="8"/>
            <color indexed="81"/>
            <rFont val="Tahoma"/>
            <family val="2"/>
          </rPr>
          <t>The suction density is used to evaluate the pressure drop through the riser(s) and horizontal suction line(s).  It is evaluated from two properties used by RefProp:  The Segment Suction Pressure and the Segment Suction Vapor Temperature.</t>
        </r>
      </text>
    </comment>
    <comment ref="AA10" authorId="3" shapeId="0" xr:uid="{D60598DC-0AFE-4249-889E-C3BA6A8A6E21}">
      <text>
        <r>
          <rPr>
            <b/>
            <sz val="8"/>
            <color indexed="81"/>
            <rFont val="Tahoma"/>
            <family val="2"/>
          </rPr>
          <t>The suction viscosity is used to evaluate the Reynold's number of the refrigerant in the riser(s) and horizontal return line(s). Viscosity comes from RefProp and it is calculated using Segment Suction Pressure and Segment Suction Vapor Temperature.</t>
        </r>
      </text>
    </comment>
    <comment ref="AB10" authorId="0" shapeId="0" xr:uid="{4EDCFB65-F708-4AD8-ACB3-7545395C9CB6}">
      <text>
        <r>
          <rPr>
            <b/>
            <sz val="8"/>
            <color indexed="81"/>
            <rFont val="Tahoma"/>
            <family val="2"/>
          </rPr>
          <t>The velocity is calculated based on the mass flow and the pipe size.</t>
        </r>
        <r>
          <rPr>
            <sz val="8"/>
            <color indexed="81"/>
            <rFont val="Tahoma"/>
            <family val="2"/>
          </rPr>
          <t xml:space="preserve">
</t>
        </r>
      </text>
    </comment>
    <comment ref="AC10" authorId="0" shapeId="0" xr:uid="{6D8B39D1-2F23-45A5-A6CF-48949653DDEB}">
      <text>
        <r>
          <rPr>
            <b/>
            <sz val="8"/>
            <color indexed="81"/>
            <rFont val="Tahoma"/>
            <family val="2"/>
          </rPr>
          <t>The pressure drop is calculated using the Darcy equation.</t>
        </r>
        <r>
          <rPr>
            <sz val="8"/>
            <color indexed="81"/>
            <rFont val="Tahoma"/>
            <family val="2"/>
          </rPr>
          <t xml:space="preserve">
</t>
        </r>
      </text>
    </comment>
    <comment ref="AE10" authorId="3" shapeId="0" xr:uid="{F4BE5F9B-2096-4687-8035-23DC242680B0}">
      <text>
        <r>
          <rPr>
            <b/>
            <sz val="8"/>
            <color indexed="81"/>
            <rFont val="Tahoma"/>
            <family val="2"/>
          </rPr>
          <t>The friction factor is calculated using the Swamee-Jain equation.</t>
        </r>
      </text>
    </comment>
    <comment ref="AF10" authorId="0" shapeId="0" xr:uid="{0C94640A-1DB9-41E5-BF17-AD05FF914252}">
      <text>
        <r>
          <rPr>
            <b/>
            <sz val="8"/>
            <color indexed="81"/>
            <rFont val="Tahoma"/>
            <family val="2"/>
          </rPr>
          <t>The suggested pipe size is determined by picking the smallest pipe that meets the maximum velocity, and minimum velocity limits specified  above.</t>
        </r>
        <r>
          <rPr>
            <sz val="8"/>
            <color indexed="81"/>
            <rFont val="Tahoma"/>
            <family val="2"/>
          </rPr>
          <t xml:space="preserve">
</t>
        </r>
      </text>
    </comment>
    <comment ref="AG10" authorId="0" shapeId="0" xr:uid="{89884D8D-2E83-411E-A7F5-EB2ABB0F3D7F}">
      <text>
        <r>
          <rPr>
            <b/>
            <sz val="8"/>
            <color indexed="81"/>
            <rFont val="Tahoma"/>
            <family val="2"/>
          </rPr>
          <t xml:space="preserve">This column is used to override the suggested pipe size.  </t>
        </r>
        <r>
          <rPr>
            <sz val="8"/>
            <color indexed="81"/>
            <rFont val="Tahoma"/>
            <family val="2"/>
          </rPr>
          <t xml:space="preserve">
</t>
        </r>
      </text>
    </comment>
    <comment ref="AK10" authorId="0" shapeId="0" xr:uid="{EC4EC4E0-36A8-4617-AB5A-29B53729D373}">
      <text>
        <r>
          <rPr>
            <b/>
            <sz val="8"/>
            <color indexed="81"/>
            <rFont val="Tahoma"/>
            <family val="2"/>
          </rPr>
          <t>The friction factor is calculated using the Swamee-Jain equation.</t>
        </r>
      </text>
    </comment>
    <comment ref="AL10" authorId="0" shapeId="0" xr:uid="{2EA69A4C-C3B6-42F9-8875-A13BC10CB97A}">
      <text>
        <r>
          <rPr>
            <b/>
            <sz val="8"/>
            <color indexed="81"/>
            <rFont val="Tahoma"/>
            <family val="2"/>
          </rPr>
          <t>The pressure drop is calculated using the Darcy equation</t>
        </r>
        <r>
          <rPr>
            <sz val="8"/>
            <color indexed="81"/>
            <rFont val="Tahoma"/>
            <family val="2"/>
          </rPr>
          <t>.</t>
        </r>
      </text>
    </comment>
    <comment ref="AN10" authorId="3" shapeId="0" xr:uid="{5E524AA9-C57A-47AD-812F-8E909F8035FC}">
      <text>
        <r>
          <rPr>
            <b/>
            <sz val="8"/>
            <color indexed="81"/>
            <rFont val="Tahoma"/>
            <family val="2"/>
          </rPr>
          <t>The friction factor is calculated using the Swamee-Jain equation.</t>
        </r>
      </text>
    </comment>
    <comment ref="AO10" authorId="3" shapeId="0" xr:uid="{A8FA7C11-A1EA-4BF5-8459-9C1FFF1C64C7}">
      <text>
        <r>
          <rPr>
            <b/>
            <sz val="8"/>
            <color indexed="81"/>
            <rFont val="Tahoma"/>
            <family val="2"/>
          </rPr>
          <t xml:space="preserve">The suggested pipe size is determined by picking "A" and "B" pipe combinations such that their combined area is equal to a single riser that would be picked to handle the required mass flow </t>
        </r>
      </text>
    </comment>
    <comment ref="AP10" authorId="0" shapeId="0" xr:uid="{327240A1-1F2C-48DC-88DF-91200227045A}">
      <text>
        <r>
          <rPr>
            <b/>
            <sz val="8"/>
            <color indexed="81"/>
            <rFont val="Tahoma"/>
            <family val="2"/>
          </rPr>
          <t xml:space="preserve">This column is used to override the suggested pipe size.  </t>
        </r>
        <r>
          <rPr>
            <sz val="8"/>
            <color indexed="81"/>
            <rFont val="Tahoma"/>
            <family val="2"/>
          </rPr>
          <t xml:space="preserve">
</t>
        </r>
      </text>
    </comment>
    <comment ref="AR10" authorId="0" shapeId="0" xr:uid="{2A792F38-FBA3-4AB8-9FF5-D4F5E5FEF269}">
      <text>
        <r>
          <rPr>
            <b/>
            <sz val="8"/>
            <color indexed="81"/>
            <rFont val="Tahoma"/>
            <family val="2"/>
          </rPr>
          <t>The velocity is calculated based on the mass flow and the pipe size.</t>
        </r>
        <r>
          <rPr>
            <sz val="8"/>
            <color indexed="81"/>
            <rFont val="Tahoma"/>
            <family val="2"/>
          </rPr>
          <t xml:space="preserve">
</t>
        </r>
      </text>
    </comment>
    <comment ref="AS10" authorId="3" shapeId="0" xr:uid="{26BDA710-2C49-44BF-B5AE-A42A48E70A00}">
      <text>
        <r>
          <rPr>
            <b/>
            <sz val="8"/>
            <color indexed="81"/>
            <rFont val="Tahoma"/>
            <family val="2"/>
          </rPr>
          <t>Mass flow is split between "A" and "B" such that the pressure drop through each riser is equal.  The Darcy equation is used to for pressure drop calculation.</t>
        </r>
        <r>
          <rPr>
            <sz val="8"/>
            <color indexed="81"/>
            <rFont val="Tahoma"/>
            <family val="2"/>
          </rPr>
          <t xml:space="preserve">
</t>
        </r>
      </text>
    </comment>
    <comment ref="AT10" authorId="0" shapeId="0" xr:uid="{6C9707F5-9BAC-4222-B97F-62F987525704}">
      <text>
        <r>
          <rPr>
            <b/>
            <sz val="8"/>
            <color indexed="81"/>
            <rFont val="Tahoma"/>
            <family val="2"/>
          </rPr>
          <t xml:space="preserve">The suggested pipe size is determined by picking "A" and "B" pipe combinations such that their combined area is equal to a single riser that would be picked to handle the required mass flow </t>
        </r>
        <r>
          <rPr>
            <sz val="8"/>
            <color indexed="81"/>
            <rFont val="Tahoma"/>
            <family val="2"/>
          </rPr>
          <t xml:space="preserve">
</t>
        </r>
      </text>
    </comment>
    <comment ref="AU10" authorId="0" shapeId="0" xr:uid="{11F1329E-3A13-4720-9DFE-2E30FA184789}">
      <text>
        <r>
          <rPr>
            <b/>
            <sz val="8"/>
            <color indexed="81"/>
            <rFont val="Tahoma"/>
            <family val="2"/>
          </rPr>
          <t xml:space="preserve">This column is used to override the suggested pipe size. </t>
        </r>
        <r>
          <rPr>
            <sz val="8"/>
            <color indexed="81"/>
            <rFont val="Tahoma"/>
            <family val="2"/>
          </rPr>
          <t xml:space="preserve">
</t>
        </r>
      </text>
    </comment>
    <comment ref="AW10" authorId="0" shapeId="0" xr:uid="{0967F7D4-1BFB-48BD-B864-DAC0E72336F6}">
      <text>
        <r>
          <rPr>
            <b/>
            <sz val="8"/>
            <color indexed="81"/>
            <rFont val="Tahoma"/>
            <family val="2"/>
          </rPr>
          <t>The velocity is calculated based on the mass flow and the pipe size.</t>
        </r>
        <r>
          <rPr>
            <sz val="8"/>
            <color indexed="81"/>
            <rFont val="Tahoma"/>
            <family val="2"/>
          </rPr>
          <t xml:space="preserve">
</t>
        </r>
      </text>
    </comment>
    <comment ref="AX10" authorId="3" shapeId="0" xr:uid="{09177933-C752-4940-9799-FE68F8AE5DEF}">
      <text>
        <r>
          <rPr>
            <b/>
            <sz val="8"/>
            <color indexed="81"/>
            <rFont val="Tahoma"/>
            <family val="2"/>
          </rPr>
          <t>Mass flow is split between "A" and "B" such that the pressure drop through each riser is equal.  The Darcy equation is used to for pressure drop calculation.</t>
        </r>
      </text>
    </comment>
    <comment ref="AZ10" authorId="0" shapeId="0" xr:uid="{FC15CC47-8978-4ED6-94AD-38ADFC4089DE}">
      <text>
        <r>
          <rPr>
            <b/>
            <sz val="8"/>
            <color indexed="81"/>
            <rFont val="Tahoma"/>
            <family val="2"/>
          </rPr>
          <t>For loads, the actual length is referenced from the schedule. For loops this is a user input.</t>
        </r>
        <r>
          <rPr>
            <sz val="8"/>
            <color indexed="81"/>
            <rFont val="Tahoma"/>
            <family val="2"/>
          </rPr>
          <t xml:space="preserve">
</t>
        </r>
      </text>
    </comment>
    <comment ref="BA10" authorId="0" shapeId="0" xr:uid="{50424B67-09E6-4C7A-9770-EE3E4955DD53}">
      <text>
        <r>
          <rPr>
            <b/>
            <sz val="8"/>
            <color indexed="81"/>
            <rFont val="Tahoma"/>
            <family val="2"/>
          </rPr>
          <t>The equivalent length is calculated from the lengths shown on the schedule.  This value is the actual length plus 30% to account for the fittings in the piping system.</t>
        </r>
        <r>
          <rPr>
            <sz val="8"/>
            <color indexed="81"/>
            <rFont val="Tahoma"/>
            <family val="2"/>
          </rPr>
          <t xml:space="preserve">
</t>
        </r>
      </text>
    </comment>
    <comment ref="BB10" authorId="0" shapeId="0" xr:uid="{4438D88B-E9C8-4C07-A8F1-7AFC0B7F6BAC}">
      <text>
        <r>
          <rPr>
            <b/>
            <sz val="8"/>
            <color indexed="81"/>
            <rFont val="Tahoma"/>
            <family val="2"/>
          </rPr>
          <t>The suction density is used to evaluate the pressure drop through the riser(s) and horizontal suction line(s).  It is evaluated from two properties used by RefProp:  The Segment Suction Pressure and the Segment Suction Vapor Temperature.</t>
        </r>
      </text>
    </comment>
    <comment ref="BC10" authorId="3" shapeId="0" xr:uid="{9DD48723-7D77-435E-9B40-C8D0C4D79A12}">
      <text>
        <r>
          <rPr>
            <b/>
            <sz val="8"/>
            <color indexed="81"/>
            <rFont val="Tahoma"/>
            <family val="2"/>
          </rPr>
          <t>The suction viscosity is used to evaluate the Reynold's number of the refrigerant in the riser(s) and horizontal return line(s). Viscosity comes from RefProp and it is calculated using Segment Suction Pressure and Segment Suction Vapor Temperature.</t>
        </r>
      </text>
    </comment>
    <comment ref="BD10" authorId="0" shapeId="0" xr:uid="{C83F63DF-CA4B-4903-98E8-649985D069EA}">
      <text>
        <r>
          <rPr>
            <b/>
            <sz val="8"/>
            <color indexed="81"/>
            <rFont val="Tahoma"/>
            <family val="2"/>
          </rPr>
          <t>The velocity is calculated based on the mass flow and the pipe size.</t>
        </r>
        <r>
          <rPr>
            <sz val="8"/>
            <color indexed="81"/>
            <rFont val="Tahoma"/>
            <family val="2"/>
          </rPr>
          <t xml:space="preserve">
</t>
        </r>
      </text>
    </comment>
    <comment ref="BE10" authorId="0" shapeId="0" xr:uid="{DC0FE9BC-7A9A-4B24-8D3A-027C140665CD}">
      <text>
        <r>
          <rPr>
            <b/>
            <sz val="8"/>
            <color indexed="81"/>
            <rFont val="Tahoma"/>
            <family val="2"/>
          </rPr>
          <t>The pressure drop is calculated using the Darcy equation.</t>
        </r>
        <r>
          <rPr>
            <sz val="8"/>
            <color indexed="81"/>
            <rFont val="Tahoma"/>
            <family val="2"/>
          </rPr>
          <t xml:space="preserve">
</t>
        </r>
      </text>
    </comment>
    <comment ref="BG10" authorId="3" shapeId="0" xr:uid="{EC7A93C5-B4C7-449F-B10A-642CB2C6E8F1}">
      <text>
        <r>
          <rPr>
            <b/>
            <sz val="8"/>
            <color indexed="81"/>
            <rFont val="Tahoma"/>
            <family val="2"/>
          </rPr>
          <t>The friction factor is calculated using the Swamee-Jain equation.</t>
        </r>
      </text>
    </comment>
    <comment ref="BH10" authorId="0" shapeId="0" xr:uid="{093F1B0E-C061-4DCD-912E-73BB854C8D97}">
      <text>
        <r>
          <rPr>
            <b/>
            <sz val="8"/>
            <color indexed="81"/>
            <rFont val="Tahoma"/>
            <family val="2"/>
          </rPr>
          <t>The suggested pipe size is determined by picking the largest pipe that meets the maximum velocity, and minimum velocity limits specified  above.</t>
        </r>
        <r>
          <rPr>
            <sz val="8"/>
            <color indexed="81"/>
            <rFont val="Tahoma"/>
            <family val="2"/>
          </rPr>
          <t xml:space="preserve">
</t>
        </r>
      </text>
    </comment>
    <comment ref="BI10" authorId="0" shapeId="0" xr:uid="{EF1EB037-A3BF-4C35-897E-B4298CAFC9E1}">
      <text>
        <r>
          <rPr>
            <b/>
            <sz val="8"/>
            <color indexed="81"/>
            <rFont val="Tahoma"/>
            <family val="2"/>
          </rPr>
          <t xml:space="preserve">This column is used to override the suggested pipe size.  </t>
        </r>
        <r>
          <rPr>
            <sz val="8"/>
            <color indexed="81"/>
            <rFont val="Tahoma"/>
            <family val="2"/>
          </rPr>
          <t xml:space="preserve">
</t>
        </r>
      </text>
    </comment>
    <comment ref="BK10" authorId="3" shapeId="0" xr:uid="{504C18EA-E12F-4EF5-83B9-42498D61797E}">
      <text>
        <r>
          <rPr>
            <b/>
            <sz val="8"/>
            <color indexed="81"/>
            <rFont val="Tahoma"/>
            <family val="2"/>
          </rPr>
          <t>For loads this is referenced from the legend for loops this is a user input.</t>
        </r>
      </text>
    </comment>
    <comment ref="BN10" authorId="0" shapeId="0" xr:uid="{02DB44E1-1734-4331-A0DB-9704024C01A7}">
      <text>
        <r>
          <rPr>
            <b/>
            <sz val="8"/>
            <color indexed="81"/>
            <rFont val="Tahoma"/>
            <family val="2"/>
          </rPr>
          <t>ΔT is the equivalent change in saturation temperature associated with the pressure drop through the suction line sets and control valve(s).</t>
        </r>
      </text>
    </comment>
    <comment ref="BO10" authorId="3" shapeId="0" xr:uid="{5586CED8-6FA0-4BAB-BE7E-C0DE35E82CF7}">
      <text>
        <r>
          <rPr>
            <b/>
            <sz val="8"/>
            <color indexed="81"/>
            <rFont val="Tahoma"/>
            <family val="2"/>
          </rPr>
          <t>This is the maximum suction pressure that would allow this load to meet the require discharge air temperature.</t>
        </r>
        <r>
          <rPr>
            <sz val="8"/>
            <color indexed="81"/>
            <rFont val="Tahoma"/>
            <family val="2"/>
          </rPr>
          <t xml:space="preserve">
</t>
        </r>
      </text>
    </comment>
    <comment ref="BP10" authorId="0" shapeId="0" xr:uid="{9E2CD31B-7D5F-416D-9DA7-3F92FC9683CF}">
      <text>
        <r>
          <rPr>
            <b/>
            <sz val="8"/>
            <color indexed="81"/>
            <rFont val="Tahoma"/>
            <family val="2"/>
          </rPr>
          <t>The equivalent saturated suction temperature of the rack suction pressure required.</t>
        </r>
        <r>
          <rPr>
            <sz val="8"/>
            <color indexed="81"/>
            <rFont val="Tahoma"/>
            <family val="2"/>
          </rPr>
          <t xml:space="preserve">
</t>
        </r>
      </text>
    </comment>
    <comment ref="BQ10" authorId="0" shapeId="0" xr:uid="{3D89340A-BEB8-4E5F-9154-86A283C88B69}">
      <text>
        <r>
          <rPr>
            <b/>
            <sz val="8"/>
            <color indexed="81"/>
            <rFont val="Tahoma"/>
            <family val="2"/>
          </rPr>
          <t>For loads, the actual length is referenced from the schedule. For loops this is a user input.</t>
        </r>
      </text>
    </comment>
    <comment ref="BR10" authorId="0" shapeId="0" xr:uid="{F9633F06-E986-4399-9154-06A069611D26}">
      <text>
        <r>
          <rPr>
            <b/>
            <sz val="8"/>
            <color indexed="81"/>
            <rFont val="Tahoma"/>
            <family val="2"/>
          </rPr>
          <t>The equivalent length is calculated from the lengths shown on the schedule.  This value is the actual length plus 30% to account for the fittings in the piping system.</t>
        </r>
        <r>
          <rPr>
            <sz val="8"/>
            <color indexed="81"/>
            <rFont val="Tahoma"/>
            <family val="2"/>
          </rPr>
          <t xml:space="preserve">
</t>
        </r>
      </text>
    </comment>
    <comment ref="BS10" authorId="0" shapeId="0" xr:uid="{1BB3BB1E-F613-442B-BFBA-760C9374996C}">
      <text>
        <r>
          <rPr>
            <b/>
            <sz val="8"/>
            <color indexed="81"/>
            <rFont val="Tahoma"/>
            <family val="2"/>
          </rPr>
          <t>The velocity is calculated based on the mass flow and the pipe size.</t>
        </r>
        <r>
          <rPr>
            <sz val="8"/>
            <color indexed="81"/>
            <rFont val="Tahoma"/>
            <family val="2"/>
          </rPr>
          <t xml:space="preserve">
</t>
        </r>
      </text>
    </comment>
    <comment ref="BT10" authorId="0" shapeId="0" xr:uid="{90831BFF-26AE-4DDF-84DD-519FF38D9DDA}">
      <text>
        <r>
          <rPr>
            <b/>
            <sz val="8"/>
            <color indexed="81"/>
            <rFont val="Tahoma"/>
            <family val="2"/>
          </rPr>
          <t>The pressure drop is calculated using the Darcy equation.</t>
        </r>
        <r>
          <rPr>
            <sz val="8"/>
            <color indexed="81"/>
            <rFont val="Tahoma"/>
            <family val="2"/>
          </rPr>
          <t xml:space="preserve">
</t>
        </r>
      </text>
    </comment>
    <comment ref="BW10" authorId="3" shapeId="0" xr:uid="{9B4403C5-0389-4F08-B3CD-F3FC6FDEBCC2}">
      <text>
        <r>
          <rPr>
            <b/>
            <sz val="8"/>
            <color indexed="81"/>
            <rFont val="Tahoma"/>
            <family val="2"/>
          </rPr>
          <t>The friction factor is calculated using the Swamee-Jain equation.</t>
        </r>
      </text>
    </comment>
    <comment ref="BX10" authorId="0" shapeId="0" xr:uid="{FB5CBA7C-6465-40F6-813E-2985481E1B6C}">
      <text>
        <r>
          <rPr>
            <b/>
            <sz val="8"/>
            <color indexed="81"/>
            <rFont val="Tahoma"/>
            <family val="2"/>
          </rPr>
          <t>The suggested pipe size is determined by picking the smallest pipe that meets the maximum velocity, and maximum pressure drop limits specified  above.</t>
        </r>
      </text>
    </comment>
    <comment ref="BY10" authorId="0" shapeId="0" xr:uid="{6ABDC067-F2DE-4AE8-8865-0C27D5500B77}">
      <text>
        <r>
          <rPr>
            <b/>
            <sz val="8"/>
            <color indexed="81"/>
            <rFont val="Tahoma"/>
            <family val="2"/>
          </rPr>
          <t>This column is used to override the suggested pipe size.</t>
        </r>
      </text>
    </comment>
    <comment ref="B118" authorId="0" shapeId="0" xr:uid="{844B58AD-A85D-49A1-B916-0DA1CA9559B5}">
      <text>
        <r>
          <rPr>
            <sz val="8"/>
            <color indexed="81"/>
            <rFont val="Tahoma"/>
            <family val="2"/>
          </rPr>
          <t>The refrigerant is referenced from the schedule.</t>
        </r>
      </text>
    </comment>
    <comment ref="D118" authorId="0" shapeId="0" xr:uid="{650A0E8B-71EA-46C4-88E1-0A3D3DA3D4BE}">
      <text>
        <r>
          <rPr>
            <b/>
            <sz val="8"/>
            <color indexed="81"/>
            <rFont val="Tahoma"/>
            <family val="2"/>
          </rPr>
          <t>The rack Saturated Suction Temperature is determined by subtracting the design parasitic line loss from the coldest circuit's evaporator temperature.</t>
        </r>
        <r>
          <rPr>
            <sz val="8"/>
            <color indexed="81"/>
            <rFont val="Tahoma"/>
            <family val="2"/>
          </rPr>
          <t xml:space="preserve">
</t>
        </r>
      </text>
    </comment>
    <comment ref="E118" authorId="0" shapeId="0" xr:uid="{90BFAF18-3FF2-48FB-BE82-6ECA06AA4D00}">
      <text>
        <r>
          <rPr>
            <b/>
            <sz val="8"/>
            <color indexed="81"/>
            <rFont val="Tahoma"/>
            <family val="2"/>
          </rPr>
          <t>The suction pressure is equivalent saturated pressure of the rack SST.</t>
        </r>
      </text>
    </comment>
    <comment ref="F118" authorId="0" shapeId="0" xr:uid="{5424B4A0-1252-4A08-9FC6-25090238319A}">
      <text>
        <r>
          <rPr>
            <b/>
            <sz val="8"/>
            <color indexed="81"/>
            <rFont val="Tahoma"/>
            <family val="2"/>
          </rPr>
          <t>Enter a negative number.</t>
        </r>
        <r>
          <rPr>
            <sz val="8"/>
            <color indexed="81"/>
            <rFont val="Tahoma"/>
            <family val="2"/>
          </rPr>
          <t xml:space="preserve">
</t>
        </r>
      </text>
    </comment>
    <comment ref="G118" authorId="0" shapeId="0" xr:uid="{FBCD275F-C8DE-4523-84D9-72205D7CE3B1}">
      <text>
        <r>
          <rPr>
            <b/>
            <sz val="8"/>
            <color indexed="81"/>
            <rFont val="Tahoma"/>
            <family val="2"/>
          </rPr>
          <t>The subcooled liquid temp is referenced from the schedule.  If mechanical subcooling is not present, use the Saturated Condensing Temperature</t>
        </r>
        <r>
          <rPr>
            <sz val="8"/>
            <color indexed="81"/>
            <rFont val="Tahoma"/>
            <family val="2"/>
          </rPr>
          <t xml:space="preserve">
</t>
        </r>
      </text>
    </comment>
    <comment ref="AC118" authorId="0" shapeId="0" xr:uid="{DC16B4E4-2A71-4F11-B5CA-72BF5197405C}">
      <text>
        <r>
          <rPr>
            <b/>
            <sz val="8"/>
            <color indexed="81"/>
            <rFont val="Tahoma"/>
            <family val="2"/>
          </rPr>
          <t>The horizontal suction line velocity should be approx. &gt;1500fpm and &lt;2000fpm and not high enough to create a total pressure drop within the suction lines resulting in a ΔT greater than specified.</t>
        </r>
        <r>
          <rPr>
            <sz val="8"/>
            <color indexed="81"/>
            <rFont val="Tahoma"/>
            <family val="2"/>
          </rPr>
          <t xml:space="preserve">
</t>
        </r>
      </text>
    </comment>
    <comment ref="AS118" authorId="0" shapeId="0" xr:uid="{443EE5CA-D152-45CA-957C-F1E915A56EDC}">
      <text>
        <r>
          <rPr>
            <b/>
            <sz val="8"/>
            <color indexed="81"/>
            <rFont val="Tahoma"/>
            <family val="2"/>
          </rPr>
          <t>The horizontal suction line velocity should be approx. &gt;1500fpm and &lt;2000fpm and not high enough to create a total pressure drop within the suction lines resulting in a ΔT greater than specified.</t>
        </r>
        <r>
          <rPr>
            <sz val="8"/>
            <color indexed="81"/>
            <rFont val="Tahoma"/>
            <family val="2"/>
          </rPr>
          <t xml:space="preserve">
</t>
        </r>
      </text>
    </comment>
    <comment ref="BE118" authorId="0" shapeId="0" xr:uid="{04CDBB99-B0A0-416F-8D3B-594741DAF141}">
      <text>
        <r>
          <rPr>
            <b/>
            <sz val="8"/>
            <color indexed="81"/>
            <rFont val="Tahoma"/>
            <family val="2"/>
          </rPr>
          <t>The horizontal suction line velocity should be approx. &gt;500fpm and &lt;1000fpm and not high enough to create a total pressure drop within the suction lines resulting in a ΔT greater than specified.</t>
        </r>
        <r>
          <rPr>
            <sz val="8"/>
            <color indexed="81"/>
            <rFont val="Tahoma"/>
            <family val="2"/>
          </rPr>
          <t xml:space="preserve">
</t>
        </r>
      </text>
    </comment>
    <comment ref="BS118" authorId="1" shapeId="0" xr:uid="{9BFE09F5-BC1B-480D-A02F-E8C13DE0FDD7}">
      <text>
        <r>
          <rPr>
            <b/>
            <sz val="8"/>
            <color indexed="81"/>
            <rFont val="Tahoma"/>
            <family val="2"/>
          </rPr>
          <t>The horizontal suction line velocity should be approx. &gt;1500fpm and &lt;2000fpm and not high enough to create a total pressure drop within the suction lines resulting in a ΔT greater than specified.</t>
        </r>
      </text>
    </comment>
    <comment ref="BT118" authorId="0" shapeId="0" xr:uid="{0DC75FF6-F9E6-426E-BCF9-0D0274386094}">
      <text>
        <r>
          <rPr>
            <b/>
            <sz val="8"/>
            <color indexed="81"/>
            <rFont val="Tahoma"/>
            <family val="2"/>
          </rPr>
          <t>To prevent "liquid hammer" the liquid line velocity should not exceed 100fpm.</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gwallis</author>
  </authors>
  <commentList>
    <comment ref="K9" authorId="0" shapeId="0" xr:uid="{0A758A30-77D2-4F03-B477-5519F4DD0DBB}">
      <text>
        <r>
          <rPr>
            <b/>
            <sz val="8"/>
            <color indexed="81"/>
            <rFont val="Tahoma"/>
            <family val="2"/>
          </rPr>
          <t xml:space="preserve">DH:
</t>
        </r>
        <r>
          <rPr>
            <sz val="8"/>
            <color indexed="81"/>
            <rFont val="Tahoma"/>
            <family val="2"/>
          </rPr>
          <t>coil capacity adjustment factor is not required for this coil model line.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gwallis</author>
  </authors>
  <commentList>
    <comment ref="K9" authorId="0" shapeId="0" xr:uid="{3DBD968D-E1E1-4A26-95B5-2BF7CBEEEC42}">
      <text>
        <r>
          <rPr>
            <b/>
            <sz val="8"/>
            <color indexed="81"/>
            <rFont val="Tahoma"/>
            <family val="2"/>
          </rPr>
          <t xml:space="preserve">DH:
</t>
        </r>
        <r>
          <rPr>
            <sz val="8"/>
            <color indexed="81"/>
            <rFont val="Tahoma"/>
            <family val="2"/>
          </rPr>
          <t>coil capacity adjustment factor is not required for this coil model line.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48F84A0-A8C1-4C21-A78B-23EE0CF99466}" sourceFile="\\dce\designdata\Design\Speciality Services\Active Design Directory\Walmart\_Remodel\Walmart data base\walmart_refrig_master_DB.mdb" keepAlive="1" name="walmart_refrig_master" type="5" refreshedVersion="8" minRefreshableVersion="3" saveData="1">
    <dbPr connection="Provider=Microsoft.ACE.OLEDB.12.0;User ID=Admin;Data Source=\\dce\designdata\Design\Speciality Services\Active Design Directory\Walmart\_Remodel\Walmart data base\walmart_refrig_master_DB.mdb;Mode=Share Deny Write;Extended Properties=&quot;&quot;;Jet OLEDB:System database=&quot;&quot;;Jet OLEDB:Registry Path=&quot;&quot;;Jet OLEDB:Engine Type=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X_case_extended_data" commandType="3"/>
  </connection>
  <connection id="2" xr16:uid="{6282BB15-AA1D-4C74-A15D-5EACC9726BB5}" sourceFile="\\dce\designdata\Design\Speciality Services\Active Design Directory\Walmart\_Remodel\Walmart data base\walmart_refrig_master_DB.mdb" keepAlive="1" name="walmart_refrig_master_DB" type="5" refreshedVersion="8" background="1" saveData="1">
    <dbPr connection="Provider=Microsoft.ACE.OLEDB.12.0;User ID=Admin;Data Source=\\dce\designdata\Design\Speciality Services\Active Design Directory\Walmart\_Remodel\Walmart data base\walmart_refrig_master_DB.mdb;Mode=Share Deny Write;Extended Properties=&quot;&quot;;Jet OLEDB:System database=&quot;&quot;;Jet OLEDB:Registry Path=&quot;&quot;;Jet OLEDB:Engine Type=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X_evaporator_data_list" commandType="3"/>
  </connection>
  <connection id="3" xr16:uid="{29E38C5C-0AF1-405C-A56A-8E7C75C9558F}" sourceFile="\\dce\designdata\Design\Speciality Services\Active Design Directory\Walmart\_Remodel\Walmart data base\walmart_refrig_master_DB.mdb" keepAlive="1" name="walmart_refrig_model" type="5" refreshedVersion="8" minRefreshableVersion="3" saveData="1">
    <dbPr connection="Provider=Microsoft.ACE.OLEDB.12.0;User ID=Admin;Data Source=\\dce\designdata\Design\Speciality Services\Active Design Directory\Walmart\_Remodel\Walmart data base\walmart_refrig_master_DB.mdb;Mode=Share Deny Write;Extended Properties=&quot;&quot;;Jet OLEDB:System database=&quot;&quot;;Jet OLEDB:Registry Path=&quot;&quot;;Jet OLEDB:Engine Type=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X_case_common_data" commandType="3"/>
  </connection>
  <connection id="4" xr16:uid="{39319BC6-06D1-4EE1-975F-AF288CD89848}" sourceFile="\\dce\designdata\Design\Speciality Services\Active Design Directory\Walmart\_Remodel\Walmart data base\walmart_refrig_master_DB.mdb" keepAlive="1" name="walmart_refrig_model1" type="5" refreshedVersion="8" minRefreshableVersion="3" saveData="1">
    <dbPr connection="Provider=Microsoft.ACE.OLEDB.12.0;User ID=Admin;Data Source=\\dce\designdata\Design\Speciality Services\Active Design Directory\Walmart\_Remodel\Walmart data base\walmart_refrig_master_DB.mdb;Mode=Share Deny Write;Extended Properties=&quot;&quot;;Jet OLEDB:System database=&quot;&quot;;Jet OLEDB:Registry Path=&quot;&quot;;Jet OLEDB:Engine Type=5;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DX_case_model_list" commandType="3"/>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<sst xmlns="http://schemas.openxmlformats.org/spreadsheetml/2006/main" count="11510" uniqueCount="2209">
  <si>
    <t>COMPRESSOR MODEL</t>
  </si>
  <si>
    <t>Case Fixture Length / Qty.</t>
  </si>
  <si>
    <t>BHL-400</t>
  </si>
  <si>
    <t>BHL-710</t>
  </si>
  <si>
    <t>BHL-480</t>
  </si>
  <si>
    <t>BHL-560</t>
  </si>
  <si>
    <t>BHL-650</t>
  </si>
  <si>
    <t>BHL-840</t>
  </si>
  <si>
    <t>BHL-890</t>
  </si>
  <si>
    <t>BHL-1050</t>
  </si>
  <si>
    <t>BHL-1220</t>
  </si>
  <si>
    <t>BHL-1440</t>
  </si>
  <si>
    <t>BHL-1860</t>
  </si>
  <si>
    <t>Heat X Model</t>
  </si>
  <si>
    <t>WM Equip Tag#</t>
  </si>
  <si>
    <t>-----</t>
  </si>
  <si>
    <t xml:space="preserve">APPLICATION </t>
  </si>
  <si>
    <t>MISC</t>
  </si>
  <si>
    <t>CIRCUIT INFORMATION</t>
  </si>
  <si>
    <t>2dr/4'</t>
  </si>
  <si>
    <t>3dr/6'</t>
  </si>
  <si>
    <t>5dr/12'</t>
  </si>
  <si>
    <t>4dr/8'</t>
  </si>
  <si>
    <t>H0150</t>
  </si>
  <si>
    <t>H0300</t>
  </si>
  <si>
    <t>H0500</t>
  </si>
  <si>
    <t>H0750</t>
  </si>
  <si>
    <t>H0100</t>
  </si>
  <si>
    <t>H0200</t>
  </si>
  <si>
    <t>H1500</t>
  </si>
  <si>
    <t>H2000</t>
  </si>
  <si>
    <t>H3500</t>
  </si>
  <si>
    <t>Digital</t>
  </si>
  <si>
    <t xml:space="preserve">Enter Heat-x </t>
  </si>
  <si>
    <t>Heat Exchanger Selections: Utilize heat exchangers for medium and low temperature walk-in box evaporator coils, except for refrigeration circuits that are provided with mechanically sub-cooled liquid. For your evap coil, select your heat exchanger model, then use the pull down menu on the legend for the heat-x model.</t>
  </si>
  <si>
    <t>M.D. Dairy</t>
  </si>
  <si>
    <t>M.D. Deli</t>
  </si>
  <si>
    <t>M.D. Produce</t>
  </si>
  <si>
    <t>M.D. Dairy End Cap</t>
  </si>
  <si>
    <t>Island Dairy</t>
  </si>
  <si>
    <t>M.D. Meat</t>
  </si>
  <si>
    <t>M.D. Beer</t>
  </si>
  <si>
    <t>SD Meat</t>
  </si>
  <si>
    <t>Deli Promo Island</t>
  </si>
  <si>
    <t>Door Floral</t>
  </si>
  <si>
    <t>Floral</t>
  </si>
  <si>
    <t>Service Deli</t>
  </si>
  <si>
    <t>M.D. Cake</t>
  </si>
  <si>
    <t>Reach-in Dairy</t>
  </si>
  <si>
    <t>Reach-in Deli</t>
  </si>
  <si>
    <t>Meat Prep</t>
  </si>
  <si>
    <t>Produce Prep</t>
  </si>
  <si>
    <t>Seafood Prep</t>
  </si>
  <si>
    <t>Spare</t>
  </si>
  <si>
    <t>Dual Temp Coffin Island</t>
  </si>
  <si>
    <t>Grocery / IC Freezer W.I.</t>
  </si>
  <si>
    <t>Bakery Freezer W.I.</t>
  </si>
  <si>
    <t>Deli Freezer W.I.</t>
  </si>
  <si>
    <t>Grocery Freezer W.I.</t>
  </si>
  <si>
    <t>M.D. Bakery</t>
  </si>
  <si>
    <t>Reach-in Frozen Cake</t>
  </si>
  <si>
    <t>Frozen Food Frzr W.I.</t>
  </si>
  <si>
    <t>1/4  Freezer W.I. w / drs</t>
  </si>
  <si>
    <t>S.D. Frozen Seafood</t>
  </si>
  <si>
    <t>Home Meal Replacement</t>
  </si>
  <si>
    <t>Rear Load Produce</t>
  </si>
  <si>
    <t>Gourmet Island</t>
  </si>
  <si>
    <t>Island Fresh Meat</t>
  </si>
  <si>
    <t>Dairy Cooler W.I.</t>
  </si>
  <si>
    <t>Deli Cooler W.I.</t>
  </si>
  <si>
    <t>Bakery Cooler W.I.</t>
  </si>
  <si>
    <t>Beverage/Beer Cooler W.I.</t>
  </si>
  <si>
    <t>Beer Cooler W.I.</t>
  </si>
  <si>
    <t>Beverge Cooler W.I.</t>
  </si>
  <si>
    <t>Meat Cooler W.I.</t>
  </si>
  <si>
    <t>Meat/Deli Cooler W.I.</t>
  </si>
  <si>
    <t>Produce Cooler W.I.</t>
  </si>
  <si>
    <t>Poultry Cooler W.I.</t>
  </si>
  <si>
    <t>Seafood (Fish)Cooler W.I.</t>
  </si>
  <si>
    <t>Floral Cooler W.I.</t>
  </si>
  <si>
    <t>1/2 Grocery Cooler W.I.</t>
  </si>
  <si>
    <t>Deli Processing Prep</t>
  </si>
  <si>
    <t xml:space="preserve">Snack Bar Cooler W.I. </t>
  </si>
  <si>
    <t xml:space="preserve">Dairy Cooler W.I. W / Bossy </t>
  </si>
  <si>
    <t>Dairy Cooler W.I. w/ drs.</t>
  </si>
  <si>
    <t>Deli / Bakery Freezer W.I.</t>
  </si>
  <si>
    <t>M.D. Produce w/ misters</t>
  </si>
  <si>
    <t xml:space="preserve">             ----------</t>
  </si>
  <si>
    <t>Snack Bar Freezer W.I.</t>
  </si>
  <si>
    <t xml:space="preserve">CASE MODEL </t>
  </si>
  <si>
    <t xml:space="preserve">Enter Application </t>
  </si>
  <si>
    <t>WALK-IN COOLER/FREEZER LOAD CALCULATION WORKSHEET</t>
  </si>
  <si>
    <t>-------------------------------</t>
  </si>
  <si>
    <t>CKT#</t>
  </si>
  <si>
    <t>APPLICATION</t>
  </si>
  <si>
    <t>ROOM TEMP. (°F)</t>
  </si>
  <si>
    <t>SUCTION TEMP. (°F)</t>
  </si>
  <si>
    <t>DESIGN TD (°F)</t>
  </si>
  <si>
    <t>LENGTH  (FT)</t>
  </si>
  <si>
    <t>HEIGHT  (FT)</t>
  </si>
  <si>
    <t>BOX LOAD (MBH)</t>
  </si>
  <si>
    <t>PREPARATION AREA LOAD CALCULATION WORKSHEET</t>
  </si>
  <si>
    <t>PREP. AREA  LOAD (MBH)</t>
  </si>
  <si>
    <t xml:space="preserve">Suct. Temp </t>
  </si>
  <si>
    <t xml:space="preserve">Evap. Temp </t>
  </si>
  <si>
    <t>Qty  Evap/Hx</t>
  </si>
  <si>
    <t>@</t>
  </si>
  <si>
    <t>DR OR FT?</t>
  </si>
  <si>
    <t>CASE ID LOOKUP</t>
  </si>
  <si>
    <t>CASE LOAD LOOKUP</t>
  </si>
  <si>
    <t>model</t>
  </si>
  <si>
    <t>L_type</t>
  </si>
  <si>
    <t>fan_volt</t>
  </si>
  <si>
    <t>light</t>
  </si>
  <si>
    <t>Comment</t>
  </si>
  <si>
    <t xml:space="preserve">THESE COLUMNS WILL BE HIDDEN IN THE FINAL RELEASE </t>
  </si>
  <si>
    <t>WDS</t>
  </si>
  <si>
    <t>EXTERIOR WET BULB (WB)  :</t>
  </si>
  <si>
    <t>drain_pan_volt</t>
  </si>
  <si>
    <t>EL</t>
  </si>
  <si>
    <t>fan1_volt</t>
  </si>
  <si>
    <t>fan2_volt</t>
  </si>
  <si>
    <t>fan3_volt</t>
  </si>
  <si>
    <t>120/1</t>
  </si>
  <si>
    <t>208/1</t>
  </si>
  <si>
    <t>208/3</t>
  </si>
  <si>
    <t>CASE FAN LOAD LOOKUP</t>
  </si>
  <si>
    <t>Total</t>
  </si>
  <si>
    <t>CASE LIGHT LOAD LOOKUP</t>
  </si>
  <si>
    <t>CASE AS LOAD LOOKUP</t>
  </si>
  <si>
    <t>CASE DEFROST LOAD LOOKUP</t>
  </si>
  <si>
    <t>CASE DRAIN PAN LOAD LOOKUP</t>
  </si>
  <si>
    <t>total</t>
  </si>
  <si>
    <t>CASE MISC. LOAD LOOKUP</t>
  </si>
  <si>
    <t>-</t>
  </si>
  <si>
    <t>Per Coil</t>
  </si>
  <si>
    <t>W/I DEFROST</t>
  </si>
  <si>
    <t>W/I DRAIN PAN</t>
  </si>
  <si>
    <t>460/1</t>
  </si>
  <si>
    <t>W/I FANS</t>
  </si>
  <si>
    <t>SELECT INPUT MODE</t>
  </si>
  <si>
    <t>CASE - AUTO</t>
  </si>
  <si>
    <t>WALK-IN AUTO</t>
  </si>
  <si>
    <t>H075</t>
  </si>
  <si>
    <t>Not Req'd</t>
  </si>
  <si>
    <t>CASE AUTO</t>
  </si>
  <si>
    <t>SELECTION MODE</t>
  </si>
  <si>
    <t>Enter Case Model</t>
  </si>
  <si>
    <t>Enter Evap. Model</t>
  </si>
  <si>
    <t>Pressure Drop</t>
  </si>
  <si>
    <t>#3*</t>
  </si>
  <si>
    <t>M</t>
  </si>
  <si>
    <t>Conditional Formating triggers for various calculations</t>
  </si>
  <si>
    <t>Sum Pipe Lengths</t>
  </si>
  <si>
    <t>horiz</t>
  </si>
  <si>
    <t>liquid</t>
  </si>
  <si>
    <t>pipe sum</t>
  </si>
  <si>
    <t>LiqDensity</t>
  </si>
  <si>
    <t>Pipe Schedule</t>
  </si>
  <si>
    <t>VERTICAL</t>
  </si>
  <si>
    <t xml:space="preserve">Pipe </t>
  </si>
  <si>
    <t>HORIZONTAL</t>
  </si>
  <si>
    <t>SUCTION</t>
  </si>
  <si>
    <t>Designation</t>
  </si>
  <si>
    <t>RISER</t>
  </si>
  <si>
    <t>LIQUID</t>
  </si>
  <si>
    <t>vert</t>
  </si>
  <si>
    <t>single</t>
  </si>
  <si>
    <t>ver</t>
  </si>
  <si>
    <t>d1</t>
  </si>
  <si>
    <t>d2</t>
  </si>
  <si>
    <t>s riser</t>
  </si>
  <si>
    <t>d1 riser</t>
  </si>
  <si>
    <t>d2 riser</t>
  </si>
  <si>
    <t>PIPE</t>
  </si>
  <si>
    <t>DESIGNATION</t>
  </si>
  <si>
    <t>Header</t>
  </si>
  <si>
    <t>#1*</t>
  </si>
  <si>
    <t>Total Segment Refrigerant Charge</t>
  </si>
  <si>
    <t>[lb]</t>
  </si>
  <si>
    <t>grand total</t>
  </si>
  <si>
    <t>ESTIMATED</t>
  </si>
  <si>
    <t>LENGTH</t>
  </si>
  <si>
    <t>TOTALS</t>
  </si>
  <si>
    <t>NOMINAL</t>
  </si>
  <si>
    <t>COPPER</t>
  </si>
  <si>
    <t>WEIGHT</t>
  </si>
  <si>
    <t>PIPE SIZE</t>
  </si>
  <si>
    <t>(FT)</t>
  </si>
  <si>
    <t>(LB)</t>
  </si>
  <si>
    <t>PIPING TOTALS</t>
  </si>
  <si>
    <t>Filename</t>
  </si>
  <si>
    <t>R404A.mix</t>
  </si>
  <si>
    <t>R410A.mix</t>
  </si>
  <si>
    <t>R422D.mix</t>
  </si>
  <si>
    <t>PIPING REFRIGERANT CHARGE (LB)</t>
  </si>
  <si>
    <t>(DOES NOT INCLUDE CASE TO CASE PIPING)</t>
  </si>
  <si>
    <t>VFD</t>
  </si>
  <si>
    <t>0</t>
  </si>
  <si>
    <t>FT</t>
  </si>
  <si>
    <t>END</t>
  </si>
  <si>
    <t>DRS</t>
  </si>
  <si>
    <t>R22</t>
  </si>
  <si>
    <t>Enter ASHRAE PUBLICATION</t>
  </si>
  <si>
    <t>Not Used</t>
  </si>
  <si>
    <t>Select Year</t>
  </si>
  <si>
    <t>CASE LINEUP CALC FLAG</t>
  </si>
  <si>
    <t>CASE MANUAL</t>
  </si>
  <si>
    <t>WALK-IN MANUAL</t>
  </si>
  <si>
    <t>CASE - MANUAL</t>
  </si>
  <si>
    <t>WALK-IN - MANUAL</t>
  </si>
  <si>
    <t>FULL MANUAL</t>
  </si>
  <si>
    <t>Min. Oper. Cond. Temp.</t>
  </si>
  <si>
    <t>deg.F</t>
  </si>
  <si>
    <t>ENTER TARGET ROOM TEMPERATURE:</t>
  </si>
  <si>
    <t>defrost_type</t>
  </si>
  <si>
    <t>Defrost Type</t>
  </si>
  <si>
    <t>TABLE No. 1 - EVAPORATOR COIL SELECTION</t>
  </si>
  <si>
    <t xml:space="preserve"> Fans (PSC)</t>
  </si>
  <si>
    <t>RED Cell equates box temp NOT to spec and a re-selection of coil(s) is necessary !</t>
  </si>
  <si>
    <t>ENTER REQUIRED REFRIGERATION LOAD:</t>
  </si>
  <si>
    <t>ENTER EVAPORATOR TEMPERATURE:</t>
  </si>
  <si>
    <t>Cap @ -20°F SST</t>
  </si>
  <si>
    <t>Cap @ +25°F SST</t>
  </si>
  <si>
    <t>REFER TO THIS ROW FOR SINGLE BOX SELECTION OF MULTIPLE DIFFERENT COILS WITH DIFFERENT MODEL #'s</t>
  </si>
  <si>
    <t>TARGETED TEMPERATURE DIFFERENCE (TD):</t>
  </si>
  <si>
    <t>Evap. Temp. (°F)</t>
  </si>
  <si>
    <t>Evap. Temp. Correct Factor</t>
  </si>
  <si>
    <t>Adjusted Calculated Capacity        @ 1°TD</t>
  </si>
  <si>
    <t>Targeted Room Temp.  (°F)</t>
  </si>
  <si>
    <t>Actual Room Temp.  (°F)  Verification</t>
  </si>
  <si>
    <t xml:space="preserve">  Amps           @ 120V-1Ph/60Hz</t>
  </si>
  <si>
    <t xml:space="preserve">  Amps           @ 208V-1Ph/60Hz</t>
  </si>
  <si>
    <t xml:space="preserve">  Amps           @ 208V-3Ph/60Hz</t>
  </si>
  <si>
    <t>Quantity        of Coils</t>
  </si>
  <si>
    <t>Calc. T.D.     (°F)</t>
  </si>
  <si>
    <t xml:space="preserve">  You may also use the RESET button at anytime during the selection process when desired.</t>
  </si>
  <si>
    <t xml:space="preserve">  Use the HELP button to display instructions on how to use the evaporator coil selection tool.</t>
  </si>
  <si>
    <t>Glycol Heating</t>
  </si>
  <si>
    <t>SCROLL DOWN FOR PREP ROOM LOAD CALCS.</t>
  </si>
  <si>
    <t>TEMP. RANGE</t>
  </si>
  <si>
    <t>ENTER APPLICATION</t>
  </si>
  <si>
    <t xml:space="preserve"> EVAP. TEMP.  (°F)</t>
  </si>
  <si>
    <t>TARGET TD (°F)</t>
  </si>
  <si>
    <t xml:space="preserve">   WIDTH  (FT)</t>
  </si>
  <si>
    <t>Enter CKT</t>
  </si>
  <si>
    <t>Enter Temp.</t>
  </si>
  <si>
    <t>Enter Length</t>
  </si>
  <si>
    <t>Enter Width</t>
  </si>
  <si>
    <t>Enter Height</t>
  </si>
  <si>
    <t>ROOM TYPE</t>
  </si>
  <si>
    <t>Box Height</t>
  </si>
  <si>
    <t>Box Length</t>
  </si>
  <si>
    <t>Box Width</t>
  </si>
  <si>
    <t>LT</t>
  </si>
  <si>
    <t>Room Temp.</t>
  </si>
  <si>
    <t>Flag</t>
  </si>
  <si>
    <t>Target TD</t>
  </si>
  <si>
    <t>MT</t>
  </si>
  <si>
    <t>PREP</t>
  </si>
  <si>
    <t>Appy Cooler W.I.</t>
  </si>
  <si>
    <t>Appy Prep.</t>
  </si>
  <si>
    <t>Deli Processing Prep.</t>
  </si>
  <si>
    <t>Meat Prep / Wrap / Process</t>
  </si>
  <si>
    <t>1/4  Freezer W.I. w / drs.</t>
  </si>
  <si>
    <t>Beverage / Beer Cooler W.I.</t>
  </si>
  <si>
    <t>Meat Prep.</t>
  </si>
  <si>
    <t>Frozen Food Freezer W.I.</t>
  </si>
  <si>
    <t>Poultry Prep.</t>
  </si>
  <si>
    <t>Cheese Cooler W.I.</t>
  </si>
  <si>
    <t>Range</t>
  </si>
  <si>
    <t>Rotisserie Prep.</t>
  </si>
  <si>
    <t>IC Freezer W.I.</t>
  </si>
  <si>
    <t>Dairy Cooler W.I. w / Bossy</t>
  </si>
  <si>
    <t>Salad Prep.</t>
  </si>
  <si>
    <t>Meat Freezer W.I.</t>
  </si>
  <si>
    <t>Dairy Cooler W.I. w / drs.</t>
  </si>
  <si>
    <t>Seafood Prep.</t>
  </si>
  <si>
    <t>Pizza Freezer W.I.</t>
  </si>
  <si>
    <t>Deli / Bakery Cooler W.I.</t>
  </si>
  <si>
    <t>Poultry Freezer W.I.</t>
  </si>
  <si>
    <t>OPEN</t>
  </si>
  <si>
    <t>Seafood Freezer W.I.</t>
  </si>
  <si>
    <t>CLOSED</t>
  </si>
  <si>
    <t>General Storage Cooler W.I.</t>
  </si>
  <si>
    <t>Grocery Cooler W.I.</t>
  </si>
  <si>
    <t>Liquor Cooler W.I.</t>
  </si>
  <si>
    <t>Meat Holding Cooler W.I.</t>
  </si>
  <si>
    <t>Meat/ Deli Cooler W.I.</t>
  </si>
  <si>
    <t>Open Produce Cooler W.I.</t>
  </si>
  <si>
    <t>Pizza Cooler W.I.</t>
  </si>
  <si>
    <t>Prepared Foods Cooler W.I.</t>
  </si>
  <si>
    <t>Rotisserie Cooler W.I.</t>
  </si>
  <si>
    <t>Seafood (Fish) Cooler W.I.</t>
  </si>
  <si>
    <t>Seafood Cooler W.I.</t>
  </si>
  <si>
    <t>Staging Area</t>
  </si>
  <si>
    <t>Sushi Cooler W.I.</t>
  </si>
  <si>
    <t>FREEZER CAPACITIES - 8' HEIGHT - ROOM TEMPERATURE AT -2°F  (LT82)</t>
  </si>
  <si>
    <t>FREEZER CAPACITIES - 8' HEIGHT - ROOM TEMPERATURE AT -10°F  (LT810)</t>
  </si>
  <si>
    <t>COOLER CAPACITIES - 8' HEIGHT - ROOM TEMPERATURE AT +33°F  (MT833)</t>
  </si>
  <si>
    <t>COOLER CAPACITIES - 8' HEIGHT - ROOM TEMPERATURE AT +28°F  (MT828)</t>
  </si>
  <si>
    <t>COOLER CAPACITIES - 8' HEIGHT - ROOM TEMPERATURE AT +35°F  (MT835)</t>
  </si>
  <si>
    <t>COOLER CAPACITIES - 8' HEIGHT - ROOM TEMPERATURE AT +36°F  (MT836)</t>
  </si>
  <si>
    <t>FREEZER CAPACITIES - 10' HEIGHT - ROOM TEMPERATURE AT -2°F  (LT102)</t>
  </si>
  <si>
    <t>FREEZER CAPACITIES - 10' HEIGHT - ROOM TEMPERATURE AT -10°F  (LT1010)</t>
  </si>
  <si>
    <t>COOLER CAPACITIES - 10' HEIGHT - ROOM TEMPERATURE AT +33°F  (MT1033)</t>
  </si>
  <si>
    <t>COOLER CAPACITIES - 10' HEIGHT - ROOM TEMPERATURE AT +28°F  (MT1028)</t>
  </si>
  <si>
    <t>R507A</t>
  </si>
  <si>
    <t>COOLER CAPACITIES - 10' HEIGHT - ROOM TEMPERATURE AT +35°F  (MT1035)</t>
  </si>
  <si>
    <t>COOLER CAPACITIES - 10' HEIGHT - ROOM TEMPERATURE AT +36°F  (MT1036)</t>
  </si>
  <si>
    <t>FREEZER CAPACITIES - 12' HEIGHT - ROOM TEMPERATURE AT -2°F  (LT122)</t>
  </si>
  <si>
    <t>FREEZER CAPACITIES - 12' HEIGHT - ROOM TEMPERATURE AT -10°F  (LT1210)</t>
  </si>
  <si>
    <t>COOLER CAPACITIES - 12' HEIGHT - ROOM TEMPERATURE AT +33°F  (MT1233)</t>
  </si>
  <si>
    <t>COOLER CAPACITIES - 12' HEIGHT - ROOM TEMPERATURE AT +28°F  (MT1228)</t>
  </si>
  <si>
    <t>COOLER CAPACITIES - 12' HEIGHT - ROOM TEMPERATURE AT +35°F  (MT1235)</t>
  </si>
  <si>
    <t>COOLER CAPACITIES - 12' HEIGHT - ROOM TEMPERATURE AT +36°F  (MT1236)</t>
  </si>
  <si>
    <t>W/I LOAD VALIDATION</t>
  </si>
  <si>
    <t>Line Sizing</t>
  </si>
  <si>
    <t>3/8"</t>
  </si>
  <si>
    <t>1/2"</t>
  </si>
  <si>
    <t>5/8"</t>
  </si>
  <si>
    <t>7/8"</t>
  </si>
  <si>
    <t>1-1/8"</t>
  </si>
  <si>
    <t>3/4"</t>
  </si>
  <si>
    <t>1-3/8"</t>
  </si>
  <si>
    <t>1-5/8"</t>
  </si>
  <si>
    <t>2-1/8"</t>
  </si>
  <si>
    <t>2-5/8"</t>
  </si>
  <si>
    <t>3-1/8"</t>
  </si>
  <si>
    <t>3-5/8"</t>
  </si>
  <si>
    <t>4-1/8"</t>
  </si>
  <si>
    <t>3/8" &amp; 1/2"</t>
  </si>
  <si>
    <t>1/2" &amp; 5/8"</t>
  </si>
  <si>
    <t>7/8" &amp; 1-1/8"</t>
  </si>
  <si>
    <t>7/8" &amp; 7/8"</t>
  </si>
  <si>
    <t>1-1/8" &amp; 1-3/8"</t>
  </si>
  <si>
    <t>1-5/8" &amp; 2-1/8"</t>
  </si>
  <si>
    <t>2-1/8" &amp; 2-5/8"</t>
  </si>
  <si>
    <t>2-1/8" &amp; 3-1/8"</t>
  </si>
  <si>
    <t>2-1/8" &amp; 3-5/8"</t>
  </si>
  <si>
    <t>Select Size</t>
  </si>
  <si>
    <t>CASE / COIL MANUF.</t>
  </si>
  <si>
    <t>COMP #</t>
  </si>
  <si>
    <t>LOOKUP LIST</t>
  </si>
  <si>
    <t>R404A</t>
  </si>
  <si>
    <t>R410A</t>
  </si>
  <si>
    <t>R422D</t>
  </si>
  <si>
    <t>SUCTION VALVE</t>
  </si>
  <si>
    <r>
      <t xml:space="preserve">SUCTION VALVE </t>
    </r>
    <r>
      <rPr>
        <b/>
        <sz val="8"/>
        <rFont val="Arial"/>
        <family val="2"/>
      </rPr>
      <t>Δ</t>
    </r>
    <r>
      <rPr>
        <b/>
        <sz val="8"/>
        <rFont val="Arial Narrow"/>
        <family val="2"/>
      </rPr>
      <t>P</t>
    </r>
  </si>
  <si>
    <t>LLSV</t>
  </si>
  <si>
    <t>SELECT MODE</t>
  </si>
  <si>
    <t>EVAP. COIL HEAT EXCHANGER</t>
  </si>
  <si>
    <t>Select Heat-X</t>
  </si>
  <si>
    <t>Division I</t>
  </si>
  <si>
    <t>460/3</t>
  </si>
  <si>
    <t>Year 2005</t>
  </si>
  <si>
    <t>Mass Flow</t>
  </si>
  <si>
    <t>Discharge Temp.</t>
  </si>
  <si>
    <t>System Req'd Load (MBH)</t>
  </si>
  <si>
    <t>Suction Temperature  (°F)</t>
  </si>
  <si>
    <t>Cond Temp.  (°F)</t>
  </si>
  <si>
    <t>THR (MBH)</t>
  </si>
  <si>
    <t>NHP (HP)</t>
  </si>
  <si>
    <t>% Sys. Spare</t>
  </si>
  <si>
    <t>Yes</t>
  </si>
  <si>
    <t>No</t>
  </si>
  <si>
    <t xml:space="preserve">EVAPORATOR MODEL #  </t>
  </si>
  <si>
    <t>1 Unloader</t>
  </si>
  <si>
    <t>2 Unloaders</t>
  </si>
  <si>
    <t>None</t>
  </si>
  <si>
    <t>Enter Capacity Control</t>
  </si>
  <si>
    <t>Evap. Coil Branch</t>
  </si>
  <si>
    <t>Return Gas Temp. (°F)</t>
  </si>
  <si>
    <t>Liquid Temp. (°F)</t>
  </si>
  <si>
    <t>P</t>
  </si>
  <si>
    <t>SUB-CKT</t>
  </si>
  <si>
    <t>CH</t>
  </si>
  <si>
    <t># of Sub CKTs</t>
  </si>
  <si>
    <t>MAIN CKT</t>
  </si>
  <si>
    <t>TOTAL MAIN CIRCUIT:</t>
  </si>
  <si>
    <t>BOHN  - SME -  LOW TEMPERATURE  -  ELECTRIC DEFROST</t>
  </si>
  <si>
    <t>SME-040</t>
  </si>
  <si>
    <t>SME-054</t>
  </si>
  <si>
    <t>SME-065</t>
  </si>
  <si>
    <t>SME-090</t>
  </si>
  <si>
    <t>SME-130</t>
  </si>
  <si>
    <t>SME-174</t>
  </si>
  <si>
    <r>
      <t>OPERATOR:</t>
    </r>
    <r>
      <rPr>
        <sz val="8"/>
        <rFont val="Arial"/>
        <family val="2"/>
      </rPr>
      <t xml:space="preserve">  Upon completion of the use of this form, kindly hit the RESET button to "zero-out" cell data.</t>
    </r>
  </si>
  <si>
    <t>BOHN  - SM -  MEDIUM TEMPERATURE  -  OFF-TIME DEFROST</t>
  </si>
  <si>
    <t>SM-052</t>
  </si>
  <si>
    <t>SM-076</t>
  </si>
  <si>
    <t>SM-090</t>
  </si>
  <si>
    <t>SM-102</t>
  </si>
  <si>
    <t>SM-108</t>
  </si>
  <si>
    <t>SM-134</t>
  </si>
  <si>
    <t>SM-156</t>
  </si>
  <si>
    <t>SM-179</t>
  </si>
  <si>
    <t>SM-208</t>
  </si>
  <si>
    <t>SM-249</t>
  </si>
  <si>
    <t>Self-Service Seafood</t>
  </si>
  <si>
    <t>Reach-in Frozen Seafood</t>
  </si>
  <si>
    <t>Self-Service Sushi</t>
  </si>
  <si>
    <t>Main Circuit</t>
  </si>
  <si>
    <t>GAP</t>
  </si>
  <si>
    <t>SPARE STUB</t>
  </si>
  <si>
    <t>SPARE</t>
  </si>
  <si>
    <t>SPARE STUB FOR FUTURE USE</t>
  </si>
  <si>
    <t>Suction Group #1 Total:</t>
  </si>
  <si>
    <t>Suction Group #2 Total:</t>
  </si>
  <si>
    <t>Suction Group #3 Total:</t>
  </si>
  <si>
    <t>NONE</t>
  </si>
  <si>
    <t>Type</t>
  </si>
  <si>
    <t>Calculated Data</t>
  </si>
  <si>
    <t>User Input</t>
  </si>
  <si>
    <t xml:space="preserve"> </t>
  </si>
  <si>
    <r>
      <t xml:space="preserve">3.   Choose the </t>
    </r>
    <r>
      <rPr>
        <b/>
        <sz val="10"/>
        <rFont val="Arial"/>
        <family val="2"/>
      </rPr>
      <t>Enable all macros (not recommended, potentially dangerous code can run)</t>
    </r>
    <r>
      <rPr>
        <sz val="10"/>
        <rFont val="Arial"/>
        <family val="2"/>
      </rPr>
      <t xml:space="preserve"> radio button.</t>
    </r>
  </si>
  <si>
    <r>
      <t xml:space="preserve">3.   In the </t>
    </r>
    <r>
      <rPr>
        <b/>
        <sz val="10"/>
        <rFont val="Arial"/>
        <family val="2"/>
      </rPr>
      <t>Trust Center</t>
    </r>
    <r>
      <rPr>
        <sz val="10"/>
        <rFont val="Arial"/>
        <family val="2"/>
      </rPr>
      <t xml:space="preserve"> category, click </t>
    </r>
    <r>
      <rPr>
        <b/>
        <sz val="10"/>
        <rFont val="Arial"/>
        <family val="2"/>
      </rPr>
      <t>Trust Center Settings</t>
    </r>
    <r>
      <rPr>
        <sz val="10"/>
        <rFont val="Arial"/>
        <family val="2"/>
      </rPr>
      <t xml:space="preserve">, and then click the </t>
    </r>
    <r>
      <rPr>
        <b/>
        <sz val="10"/>
        <rFont val="Arial"/>
        <family val="2"/>
      </rPr>
      <t>Macro Settings</t>
    </r>
    <r>
      <rPr>
        <sz val="10"/>
        <rFont val="Arial"/>
        <family val="2"/>
      </rPr>
      <t>.</t>
    </r>
  </si>
  <si>
    <r>
      <t xml:space="preserve">2.   Then click </t>
    </r>
    <r>
      <rPr>
        <b/>
        <sz val="10"/>
        <rFont val="Arial"/>
        <family val="2"/>
      </rPr>
      <t>Excel Options</t>
    </r>
    <r>
      <rPr>
        <sz val="10"/>
        <rFont val="Arial"/>
        <family val="2"/>
      </rPr>
      <t>.</t>
    </r>
  </si>
  <si>
    <t>1.   Click the Microsoft Office button image</t>
  </si>
  <si>
    <r>
      <t xml:space="preserve">To </t>
    </r>
    <r>
      <rPr>
        <sz val="10"/>
        <color indexed="10"/>
        <rFont val="Arial"/>
        <family val="2"/>
      </rPr>
      <t>permanently</t>
    </r>
    <r>
      <rPr>
        <sz val="10"/>
        <rFont val="Arial"/>
        <family val="2"/>
      </rPr>
      <t xml:space="preserve"> enable macros in </t>
    </r>
    <r>
      <rPr>
        <b/>
        <sz val="10"/>
        <rFont val="Arial"/>
        <family val="2"/>
      </rPr>
      <t>Excel 2007</t>
    </r>
    <r>
      <rPr>
        <sz val="10"/>
        <rFont val="Arial"/>
        <family val="2"/>
      </rPr>
      <t>, please do the following:</t>
    </r>
  </si>
  <si>
    <r>
      <t xml:space="preserve">2.   Choose the </t>
    </r>
    <r>
      <rPr>
        <b/>
        <sz val="10"/>
        <rFont val="Arial"/>
        <family val="2"/>
      </rPr>
      <t>Enable this content</t>
    </r>
    <r>
      <rPr>
        <sz val="10"/>
        <rFont val="Arial"/>
        <family val="2"/>
      </rPr>
      <t xml:space="preserve"> radio button.</t>
    </r>
  </si>
  <si>
    <r>
      <t xml:space="preserve">1.   Click on the </t>
    </r>
    <r>
      <rPr>
        <b/>
        <sz val="10"/>
        <rFont val="Arial"/>
        <family val="2"/>
      </rPr>
      <t>Options…</t>
    </r>
    <r>
      <rPr>
        <sz val="10"/>
        <rFont val="Arial"/>
        <family val="2"/>
      </rPr>
      <t xml:space="preserve"> button in the Security Warning Ribbon above</t>
    </r>
  </si>
  <si>
    <r>
      <t xml:space="preserve">To </t>
    </r>
    <r>
      <rPr>
        <sz val="10"/>
        <color indexed="10"/>
        <rFont val="Arial"/>
        <family val="2"/>
      </rPr>
      <t>temporarily</t>
    </r>
    <r>
      <rPr>
        <sz val="10"/>
        <rFont val="Arial"/>
        <family val="2"/>
      </rPr>
      <t xml:space="preserve"> enable macros in </t>
    </r>
    <r>
      <rPr>
        <b/>
        <sz val="10"/>
        <rFont val="Arial"/>
        <family val="2"/>
      </rPr>
      <t>Excel 2007</t>
    </r>
    <r>
      <rPr>
        <sz val="10"/>
        <rFont val="Arial"/>
        <family val="2"/>
      </rPr>
      <t>, please do the following:</t>
    </r>
  </si>
  <si>
    <t>Excel 2007</t>
  </si>
  <si>
    <t>Please check with IT Help to verify that the steps below adhere to IT policy.</t>
  </si>
  <si>
    <t>C:\Program Files\Refprop\</t>
  </si>
  <si>
    <r>
      <t xml:space="preserve">Contact IT Help to install RefProp to the following </t>
    </r>
    <r>
      <rPr>
        <b/>
        <sz val="10"/>
        <rFont val="Arial"/>
        <family val="2"/>
      </rPr>
      <t>default</t>
    </r>
    <r>
      <rPr>
        <sz val="10"/>
        <rFont val="Arial"/>
        <family val="2"/>
      </rPr>
      <t xml:space="preserve"> location:</t>
    </r>
  </si>
  <si>
    <t>(Reference Fluid Thermodynamic and Transport Properties)</t>
  </si>
  <si>
    <t>This workbook requires REFPROP!</t>
  </si>
  <si>
    <t>K</t>
  </si>
  <si>
    <t>Relative Roughness</t>
  </si>
  <si>
    <t>FT^2</t>
  </si>
  <si>
    <t>IN^2</t>
  </si>
  <si>
    <t>% Difference A+B - Single Pipe</t>
  </si>
  <si>
    <t>Difference A+B - Single Pipe</t>
  </si>
  <si>
    <t>Equivalent Relative CU Roughness</t>
  </si>
  <si>
    <t>Equivalent Pipe ID</t>
  </si>
  <si>
    <t>Total Area A+B</t>
  </si>
  <si>
    <t>B Pipe Area (in^2)</t>
  </si>
  <si>
    <t>B Pipe  OD</t>
  </si>
  <si>
    <t>A Pipe Area (in^2)</t>
  </si>
  <si>
    <t>A Pipe  OD</t>
  </si>
  <si>
    <t>Pipe Area</t>
  </si>
  <si>
    <t>Pipe OD</t>
  </si>
  <si>
    <r>
      <t>area ft</t>
    </r>
    <r>
      <rPr>
        <b/>
        <u/>
        <vertAlign val="superscript"/>
        <sz val="10"/>
        <rFont val="Arial"/>
        <family val="2"/>
      </rPr>
      <t>2</t>
    </r>
  </si>
  <si>
    <r>
      <t>area in</t>
    </r>
    <r>
      <rPr>
        <b/>
        <u/>
        <vertAlign val="superscript"/>
        <sz val="10"/>
        <rFont val="Arial"/>
        <family val="2"/>
      </rPr>
      <t>2</t>
    </r>
  </si>
  <si>
    <t>Pipe ID</t>
  </si>
  <si>
    <t>Copper</t>
  </si>
  <si>
    <t>sq ft</t>
  </si>
  <si>
    <t>ft</t>
  </si>
  <si>
    <t>inch</t>
  </si>
  <si>
    <t>Double Suction Riser Pipe Selections</t>
  </si>
  <si>
    <t>Single Pipe Selection</t>
  </si>
  <si>
    <t>Pipe Diameter</t>
  </si>
  <si>
    <t>[ft^2]</t>
  </si>
  <si>
    <t>[in]</t>
  </si>
  <si>
    <t>[psi]</t>
  </si>
  <si>
    <t>[fpm]</t>
  </si>
  <si>
    <t>[ft]</t>
  </si>
  <si>
    <t>[ºF]</t>
  </si>
  <si>
    <t>[psia]</t>
  </si>
  <si>
    <t>[lbm/ft-sec]</t>
  </si>
  <si>
    <t>[lb/ft^3]</t>
  </si>
  <si>
    <t>[lb/hr]</t>
  </si>
  <si>
    <t>[Btu/lb]</t>
  </si>
  <si>
    <t>[MBH]</t>
  </si>
  <si>
    <t>Comments</t>
  </si>
  <si>
    <t>Choose "Reviewed" after Segments have been Reviewed</t>
  </si>
  <si>
    <t>Liquid Pipe Area</t>
  </si>
  <si>
    <t>Liquid Pipe Size Override</t>
  </si>
  <si>
    <t>Suggested Pipe Size</t>
  </si>
  <si>
    <t>Friction Factor f</t>
  </si>
  <si>
    <t>Reynolds Number</t>
  </si>
  <si>
    <t>Velocity</t>
  </si>
  <si>
    <t>Equiv Length</t>
  </si>
  <si>
    <t>Actual Length</t>
  </si>
  <si>
    <t>Saturated Suction Temp Required</t>
  </si>
  <si>
    <t>Rack Suction Pressure Required</t>
  </si>
  <si>
    <t>Pressure Drop Equivalent Saturated ΔT</t>
  </si>
  <si>
    <t>Accumulative Pressure Drop</t>
  </si>
  <si>
    <t>Segment Pressure Drop</t>
  </si>
  <si>
    <t>EPR Pressure Drop</t>
  </si>
  <si>
    <t>Suction Pipe Area</t>
  </si>
  <si>
    <t>Horizontal Pipe Size Override</t>
  </si>
  <si>
    <t>Suction Viscosity</t>
  </si>
  <si>
    <t>Suction Density</t>
  </si>
  <si>
    <t>LT Mass Flow thru "B" Riser</t>
  </si>
  <si>
    <t>Double Riser "B" Velocity (LT)</t>
  </si>
  <si>
    <t>Double Riser "B" Pipe Area</t>
  </si>
  <si>
    <t xml:space="preserve"> Double Riser "B" Pipe Size Override</t>
  </si>
  <si>
    <t>Double Riser Suggested "B" Pipe Size</t>
  </si>
  <si>
    <t>LT Mass Flow thru "A" Riser</t>
  </si>
  <si>
    <t>Double Riser "A" Velocity (LT)</t>
  </si>
  <si>
    <t>Double Riser "A" Pipe Area</t>
  </si>
  <si>
    <t xml:space="preserve"> Double Riser "A" Pipe Size Override</t>
  </si>
  <si>
    <t>Double Riser Suggested "A" Pipe Size</t>
  </si>
  <si>
    <t>Double Riser "B" Friction Factor f</t>
  </si>
  <si>
    <t>Double Riser "B" Reynolds Number</t>
  </si>
  <si>
    <t>LT Pressure Drop thru Risers</t>
  </si>
  <si>
    <t>Double Riser "A" Friction Factor f</t>
  </si>
  <si>
    <t>(Riser area "A")^1.5/ (Riser Area "B")^1.5</t>
  </si>
  <si>
    <t>Double Riser "A" Reynolds Number</t>
  </si>
  <si>
    <t>Suction Riser Pipe Area</t>
  </si>
  <si>
    <t>Riser Pipe Size Override</t>
  </si>
  <si>
    <t>Riser Type</t>
  </si>
  <si>
    <t>Control Valve Location</t>
  </si>
  <si>
    <t>Liquid Viscosity</t>
  </si>
  <si>
    <t>Liquid Density</t>
  </si>
  <si>
    <t>Liquid Enthalpy</t>
  </si>
  <si>
    <t>Segment Suction Pressure</t>
  </si>
  <si>
    <t>Return Gas Temp</t>
  </si>
  <si>
    <t>Segment Suction Vapor Temp</t>
  </si>
  <si>
    <t>Segment SST</t>
  </si>
  <si>
    <t>Evap Temp</t>
  </si>
  <si>
    <t>Evap Load</t>
  </si>
  <si>
    <t>Parent</t>
  </si>
  <si>
    <t># of Branches</t>
  </si>
  <si>
    <t>Segment Name</t>
  </si>
  <si>
    <t xml:space="preserve"> Are Pipe Segments Outside of Design Parameters?</t>
  </si>
  <si>
    <t>Liquid Line</t>
  </si>
  <si>
    <t>Total Suction Temp/Pressure</t>
  </si>
  <si>
    <t>Horizontal Suction Line</t>
  </si>
  <si>
    <t>Double Suction Riser Line</t>
  </si>
  <si>
    <t>Suction Riser Line</t>
  </si>
  <si>
    <t>SUM</t>
  </si>
  <si>
    <t>PD</t>
  </si>
  <si>
    <t>Vel</t>
  </si>
  <si>
    <t>LL</t>
  </si>
  <si>
    <t>SST</t>
  </si>
  <si>
    <t>RSP</t>
  </si>
  <si>
    <t>HS</t>
  </si>
  <si>
    <t>SR</t>
  </si>
  <si>
    <t>[psid]</t>
  </si>
  <si>
    <t>Maximum Liquid Line Pressure Drop</t>
  </si>
  <si>
    <t>Maximum Liquid Line Velocity</t>
  </si>
  <si>
    <t>Equivalent Length Factor</t>
  </si>
  <si>
    <t>Maximum Horizontal Suction Velocity</t>
  </si>
  <si>
    <t>Minimum Horizontal Suction Velocity</t>
  </si>
  <si>
    <t>Maximum Double Riser Velocity</t>
  </si>
  <si>
    <t>Minimum Double Riser Velocity</t>
  </si>
  <si>
    <t>Maximum  Suction Riser Velocity</t>
  </si>
  <si>
    <t>Minimum  Suction Riser Velocity</t>
  </si>
  <si>
    <t>Condensing Temp</t>
  </si>
  <si>
    <t>Liquid Temp</t>
  </si>
  <si>
    <t xml:space="preserve"> Design Parasitic Line Loss</t>
  </si>
  <si>
    <t>Suction Pressure</t>
  </si>
  <si>
    <t>Rack SST</t>
  </si>
  <si>
    <t>#2*</t>
  </si>
  <si>
    <t>n/a</t>
  </si>
  <si>
    <t>Evap Suction Outlet Enthalpy</t>
  </si>
  <si>
    <t>Design Criteria</t>
  </si>
  <si>
    <t>Legend Error</t>
  </si>
  <si>
    <t>Referenced Legend Data</t>
  </si>
  <si>
    <t># children</t>
  </si>
  <si>
    <t>parentIDs</t>
  </si>
  <si>
    <t>segID</t>
  </si>
  <si>
    <t>Design Parasitic Line Loss</t>
  </si>
  <si>
    <t xml:space="preserve">Rack </t>
  </si>
  <si>
    <t>Application</t>
  </si>
  <si>
    <t>x</t>
  </si>
  <si>
    <t>CKT #</t>
  </si>
  <si>
    <t>RLA</t>
  </si>
  <si>
    <t>KW</t>
  </si>
  <si>
    <t>TYPE</t>
  </si>
  <si>
    <t>(120volt)</t>
  </si>
  <si>
    <t>CONTROL VALVE</t>
  </si>
  <si>
    <t>DEF</t>
  </si>
  <si>
    <t>FANS</t>
  </si>
  <si>
    <t>LIGHTS</t>
  </si>
  <si>
    <t>ANTI-SWEAT</t>
  </si>
  <si>
    <t>AMPS</t>
  </si>
  <si>
    <t>VOLT</t>
  </si>
  <si>
    <t>LOCATION</t>
  </si>
  <si>
    <t>DEFROST</t>
  </si>
  <si>
    <t xml:space="preserve">COMPRESSOR INFORMATION  </t>
  </si>
  <si>
    <t>FIXTURE ELECTRICAL INFORMATION</t>
  </si>
  <si>
    <t>L</t>
  </si>
  <si>
    <t>W</t>
  </si>
  <si>
    <t>H</t>
  </si>
  <si>
    <t xml:space="preserve"> SYSTEM  #</t>
  </si>
  <si>
    <t>Store #</t>
  </si>
  <si>
    <t>ENTER STORE TYPE</t>
  </si>
  <si>
    <t>Supercenter</t>
  </si>
  <si>
    <t>Sam's Club</t>
  </si>
  <si>
    <t>Neighborhood Mkt</t>
  </si>
  <si>
    <t>FLEX</t>
  </si>
  <si>
    <t>Renovation</t>
  </si>
  <si>
    <t>City / State:</t>
  </si>
  <si>
    <t>39 Prototype</t>
  </si>
  <si>
    <t>98 Prototype</t>
  </si>
  <si>
    <t>100 Prototype</t>
  </si>
  <si>
    <t>136 Prototype</t>
  </si>
  <si>
    <t>143 Prototype</t>
  </si>
  <si>
    <t>153 Prototype</t>
  </si>
  <si>
    <t>176 Prototype</t>
  </si>
  <si>
    <t>195 Prototype</t>
  </si>
  <si>
    <t>ENTER  PROTOTYPE</t>
  </si>
  <si>
    <t>ENTER SYSTEM TYPE</t>
  </si>
  <si>
    <t>House / Central DX</t>
  </si>
  <si>
    <t>Machine Room / Central DX</t>
  </si>
  <si>
    <t>Distributed DX</t>
  </si>
  <si>
    <t>Consultant:</t>
  </si>
  <si>
    <t>Prepared by:</t>
  </si>
  <si>
    <t>Air</t>
  </si>
  <si>
    <t>Water</t>
  </si>
  <si>
    <t>Fluid</t>
  </si>
  <si>
    <t>Enter TYPE</t>
  </si>
  <si>
    <t>Evap Condr</t>
  </si>
  <si>
    <t>Evap Fluid</t>
  </si>
  <si>
    <t>EnterRefrig</t>
  </si>
  <si>
    <t>Enter OIL:</t>
  </si>
  <si>
    <t>Mineral</t>
  </si>
  <si>
    <t>POE</t>
  </si>
  <si>
    <t>Enter Coolant</t>
  </si>
  <si>
    <t>Glycol</t>
  </si>
  <si>
    <r>
      <t>CO</t>
    </r>
    <r>
      <rPr>
        <b/>
        <vertAlign val="subscript"/>
        <sz val="8"/>
        <rFont val="Arial Narrow"/>
        <family val="2"/>
      </rPr>
      <t>2</t>
    </r>
  </si>
  <si>
    <t>N/A</t>
  </si>
  <si>
    <t>Enter Type</t>
  </si>
  <si>
    <t>Hot Water</t>
  </si>
  <si>
    <t>Air &amp; Hot H20</t>
  </si>
  <si>
    <t>NOVAR</t>
  </si>
  <si>
    <t>Enter Manuf:</t>
  </si>
  <si>
    <t>Enter Loc.:</t>
  </si>
  <si>
    <t>@ System</t>
  </si>
  <si>
    <t>@ Fixture</t>
  </si>
  <si>
    <t>HG</t>
  </si>
  <si>
    <t>OT</t>
  </si>
  <si>
    <t>Enter Def.</t>
  </si>
  <si>
    <t>Enter Volt</t>
  </si>
  <si>
    <t>MBH</t>
  </si>
  <si>
    <t>Grand Total:</t>
  </si>
  <si>
    <t>% Step</t>
  </si>
  <si>
    <t>Y or N?</t>
  </si>
  <si>
    <t>R.G TEMP?</t>
  </si>
  <si>
    <t>ProtoCycle Date:</t>
  </si>
  <si>
    <t>Model</t>
  </si>
  <si>
    <t>LLE-041</t>
  </si>
  <si>
    <t>LLE-068</t>
  </si>
  <si>
    <t>LLE-080</t>
  </si>
  <si>
    <t>LLE-102</t>
  </si>
  <si>
    <t>LLE-136</t>
  </si>
  <si>
    <t>LLE-170</t>
  </si>
  <si>
    <t>LLE-204</t>
  </si>
  <si>
    <t>LLE-235</t>
  </si>
  <si>
    <t>Electrical Data</t>
  </si>
  <si>
    <t>Defrost</t>
  </si>
  <si>
    <t>DESIGN INTERIOR DRY BULB  :</t>
  </si>
  <si>
    <t>DESIGN INTERIOR RH %  :</t>
  </si>
  <si>
    <t>DESIGN DB  :</t>
  </si>
  <si>
    <t>ADT-040</t>
  </si>
  <si>
    <t>ADT-052</t>
  </si>
  <si>
    <t>ADT-065</t>
  </si>
  <si>
    <t>ADT-070</t>
  </si>
  <si>
    <t>ADT-104</t>
  </si>
  <si>
    <t>ADT-120</t>
  </si>
  <si>
    <t>ADT-130</t>
  </si>
  <si>
    <t>ADT-140</t>
  </si>
  <si>
    <t>ADT-156</t>
  </si>
  <si>
    <t>ADT-180</t>
  </si>
  <si>
    <t>ADT-208</t>
  </si>
  <si>
    <t>ADT-260</t>
  </si>
  <si>
    <t>ADT-312</t>
  </si>
  <si>
    <t>ADT-370</t>
  </si>
  <si>
    <t>1°TD (MBH)</t>
  </si>
  <si>
    <t>10°TD (MBH)</t>
  </si>
  <si>
    <t>ADT-090</t>
  </si>
  <si>
    <t>---</t>
  </si>
  <si>
    <t>WKE-050</t>
  </si>
  <si>
    <t>WKE-075</t>
  </si>
  <si>
    <t>WKE-100</t>
  </si>
  <si>
    <t>WKE-130</t>
  </si>
  <si>
    <t>WKE-180</t>
  </si>
  <si>
    <t>WKE-210</t>
  </si>
  <si>
    <t>WKE-270</t>
  </si>
  <si>
    <t>WKE-340</t>
  </si>
  <si>
    <t>WKE-155</t>
  </si>
  <si>
    <t>WK-050</t>
  </si>
  <si>
    <t>WK-075</t>
  </si>
  <si>
    <t>WK-100</t>
  </si>
  <si>
    <t>WK-130</t>
  </si>
  <si>
    <t>WK-155</t>
  </si>
  <si>
    <t>WK-180</t>
  </si>
  <si>
    <t>WK-210</t>
  </si>
  <si>
    <t>WK-270</t>
  </si>
  <si>
    <t>WK-340</t>
  </si>
  <si>
    <t>BMA-130</t>
  </si>
  <si>
    <t>BMA-155</t>
  </si>
  <si>
    <t>BMA-245</t>
  </si>
  <si>
    <t>BMA-300</t>
  </si>
  <si>
    <t>BMA-450</t>
  </si>
  <si>
    <t>BMA-510</t>
  </si>
  <si>
    <t>BMA-600</t>
  </si>
  <si>
    <t>BMA-710</t>
  </si>
  <si>
    <t>BMA-365</t>
  </si>
  <si>
    <t>BML-100</t>
  </si>
  <si>
    <t>BML-165</t>
  </si>
  <si>
    <t>BML-220</t>
  </si>
  <si>
    <t>BML-250</t>
  </si>
  <si>
    <t>BML-330</t>
  </si>
  <si>
    <t>BML-370</t>
  </si>
  <si>
    <t>BML-440</t>
  </si>
  <si>
    <t>BML-530</t>
  </si>
  <si>
    <t>W.I Box Size</t>
  </si>
  <si>
    <t>Legend Date:</t>
  </si>
  <si>
    <t>see gen'l notes</t>
  </si>
  <si>
    <t>R407A.mix</t>
  </si>
  <si>
    <t>R407C.mix</t>
  </si>
  <si>
    <t>R134A</t>
  </si>
  <si>
    <t>R507A.mix</t>
  </si>
  <si>
    <t>R407A</t>
  </si>
  <si>
    <t>R407C</t>
  </si>
  <si>
    <t>@ Top Of Riser</t>
  </si>
  <si>
    <t>Time Increment (minutes)</t>
  </si>
  <si>
    <t>Load Profile Summary - Suction Group 1</t>
  </si>
  <si>
    <t>CIRCUIT #</t>
  </si>
  <si>
    <t>MODEL NUMBER</t>
  </si>
  <si>
    <t>Load (MBH</t>
  </si>
  <si>
    <t>FREQUENCY PER DAY</t>
  </si>
  <si>
    <t>MAX DURATION (MIN)</t>
  </si>
  <si>
    <t>Recovery Load Factor</t>
  </si>
  <si>
    <t>Defrost 1 Start</t>
  </si>
  <si>
    <t>Defrost 1 End</t>
  </si>
  <si>
    <t>Defrost 2 Start</t>
  </si>
  <si>
    <t>Defrost 2 End</t>
  </si>
  <si>
    <t>Defrost 3 Start</t>
  </si>
  <si>
    <t>Defrost 3 End</t>
  </si>
  <si>
    <t>Defrost 4 Start</t>
  </si>
  <si>
    <t>Defrost 4 End</t>
  </si>
  <si>
    <t>Defrost 5 Start</t>
  </si>
  <si>
    <t>Defrost 5 End</t>
  </si>
  <si>
    <t>Defrost 6 Start</t>
  </si>
  <si>
    <t>Defrost 6 End</t>
  </si>
  <si>
    <t>Load Profile Detail Schedule - Suction Group 1</t>
  </si>
  <si>
    <t>% of Nominal</t>
  </si>
  <si>
    <t>Refrig. Load (MBH)</t>
  </si>
  <si>
    <t>%</t>
  </si>
  <si>
    <t>Load Profile Summary - Suction Group 2</t>
  </si>
  <si>
    <t>Load Profile Detail Schedule - Suction Group 2</t>
  </si>
  <si>
    <t>Load Profile Summary - Suction Group 3</t>
  </si>
  <si>
    <t>Load Profile Detail Schedule - Suction Group 3</t>
  </si>
  <si>
    <t>Load</t>
  </si>
  <si>
    <t>Refrigerant:</t>
  </si>
  <si>
    <t>Condenser Type:</t>
  </si>
  <si>
    <t>City/State:</t>
  </si>
  <si>
    <t>MISC INFORMATION</t>
  </si>
  <si>
    <t>Case Fixture Length / Quantity</t>
  </si>
  <si>
    <t>Walk-In Box Size</t>
  </si>
  <si>
    <t>Evaporator</t>
  </si>
  <si>
    <t>Walk-In</t>
  </si>
  <si>
    <t>Circuit Control Valves</t>
  </si>
  <si>
    <t>Defrost Heaters</t>
  </si>
  <si>
    <t>Fans</t>
  </si>
  <si>
    <t>Lights</t>
  </si>
  <si>
    <t>Anti-Sweat</t>
  </si>
  <si>
    <t>Case Model</t>
  </si>
  <si>
    <t>Case/Coil Manuf.</t>
  </si>
  <si>
    <t>Load (MBH)</t>
  </si>
  <si>
    <t xml:space="preserve"> Type</t>
  </si>
  <si>
    <t>Voltage</t>
  </si>
  <si>
    <t>(ºF)Saturated Suction Temperature</t>
  </si>
  <si>
    <t>EXTERIOR DRY BULB (DB) ºF :</t>
  </si>
  <si>
    <t>EXTERIOR WET BULB (WB) ºF :</t>
  </si>
  <si>
    <t>DESIGN INTERIOR DRY BULB ºF :</t>
  </si>
  <si>
    <t>DESIGN DB ºF :</t>
  </si>
  <si>
    <t>System Type:</t>
  </si>
  <si>
    <t>Format:</t>
  </si>
  <si>
    <t>Proto Size:</t>
  </si>
  <si>
    <t>Model #</t>
  </si>
  <si>
    <t>Evap.</t>
  </si>
  <si>
    <t>Case/</t>
  </si>
  <si>
    <t>Air Temp</t>
  </si>
  <si>
    <t>Amps</t>
  </si>
  <si>
    <t>(120v)</t>
  </si>
  <si>
    <t>Date Prepared</t>
  </si>
  <si>
    <t>Evap. Superheat ºF:</t>
  </si>
  <si>
    <t>2 Dr/4'</t>
  </si>
  <si>
    <t>3 Dr/6'</t>
  </si>
  <si>
    <t>FT /# of Doors</t>
  </si>
  <si>
    <t>4 Dr/8'</t>
  </si>
  <si>
    <t>5 Dr/12'</t>
  </si>
  <si>
    <t>EPR</t>
  </si>
  <si>
    <t>LSHX Y/N? &amp; Model # for WI Evaps</t>
  </si>
  <si>
    <t xml:space="preserve"> WI Evaps</t>
  </si>
  <si>
    <t>LSHX Y or N?</t>
  </si>
  <si>
    <t xml:space="preserve">&amp; Model # </t>
  </si>
  <si>
    <t>DESIGN WB ºF :</t>
  </si>
  <si>
    <t>DESIGN WB  :</t>
  </si>
  <si>
    <t>Based on 5yr Extreme DB-ASHRAE Pub.:</t>
  </si>
  <si>
    <t>Based on 0.4% Monthly Max WB-ASHRAE Pub.:</t>
  </si>
  <si>
    <t xml:space="preserve"> Suction Group #1 Required Capacity (MBH)</t>
  </si>
  <si>
    <t>Design Elevation :</t>
  </si>
  <si>
    <t>Walmart Stores, Inc.</t>
  </si>
  <si>
    <t>Evaporator Coil TXV / Distributer Nozzle</t>
  </si>
  <si>
    <t>Distributor Nozzle</t>
  </si>
  <si>
    <t xml:space="preserve">Coil TXV / </t>
  </si>
  <si>
    <t>(MBH)</t>
  </si>
  <si>
    <t xml:space="preserve"> Suction Group #2 Required Capacity (MBH)</t>
  </si>
  <si>
    <t xml:space="preserve"> Suction Group #3 Required Capacity (MBH)</t>
  </si>
  <si>
    <t>Liquid Pressure</t>
  </si>
  <si>
    <t>Condenser Temp Glide</t>
  </si>
  <si>
    <t>Rack Pressure Avg</t>
  </si>
  <si>
    <t>Quality 1=100% vapor</t>
  </si>
  <si>
    <t>Full Temp Glide</t>
  </si>
  <si>
    <t>Evap Temp Glide</t>
  </si>
  <si>
    <t>temperature glide calcs</t>
  </si>
  <si>
    <t>Pipe Segment SST</t>
  </si>
  <si>
    <t>Segment pressure avg</t>
  </si>
  <si>
    <t>Segment Pressure Corrected</t>
  </si>
  <si>
    <t>Evap SST desired</t>
  </si>
  <si>
    <t>Evap Pressure Avg</t>
  </si>
  <si>
    <t>Evap Pressure Corrected</t>
  </si>
  <si>
    <t>Evap Pressure</t>
  </si>
  <si>
    <t>Evap Inlet Quality 1=100% Vapor</t>
  </si>
  <si>
    <t>TERMINATION 
(ºF)</t>
  </si>
  <si>
    <t>DRIP TIME (MIN)</t>
  </si>
  <si>
    <t>TOTAL MAX DURATION (MIN)</t>
  </si>
  <si>
    <t xml:space="preserve">DISCHARGE AIR TEMP </t>
  </si>
  <si>
    <t>SETTINGS FOR CASES/</t>
  </si>
  <si>
    <t xml:space="preserve">RETURN AIR TEMP  </t>
  </si>
  <si>
    <t>DEFROST SCHEDULE</t>
  </si>
  <si>
    <t xml:space="preserve">SETTING FOR WALK IN </t>
  </si>
  <si>
    <t>BOXES</t>
  </si>
  <si>
    <t>MFR</t>
  </si>
  <si>
    <t>LOWER LIMIT (°F)</t>
  </si>
  <si>
    <t>UPPER LIMIT (°F)</t>
  </si>
  <si>
    <t>TERMINATION TEMP (ºF)</t>
  </si>
  <si>
    <t>Defrost 1</t>
  </si>
  <si>
    <t>Defrost 2</t>
  </si>
  <si>
    <t>Defrost 3</t>
  </si>
  <si>
    <t>Defrost 4</t>
  </si>
  <si>
    <t>Defrost 5</t>
  </si>
  <si>
    <t>Defrost 6</t>
  </si>
  <si>
    <t>sg2</t>
  </si>
  <si>
    <t>sg1</t>
  </si>
  <si>
    <t>sg3</t>
  </si>
  <si>
    <t>Refrigerant</t>
  </si>
  <si>
    <t>Coordination Info for Mechanicals</t>
  </si>
  <si>
    <t>Reclaim</t>
  </si>
  <si>
    <t xml:space="preserve">Reclaim </t>
  </si>
  <si>
    <t xml:space="preserve">Glycol </t>
  </si>
  <si>
    <t>Temp</t>
  </si>
  <si>
    <t>% Glycol</t>
  </si>
  <si>
    <t>GPM</t>
  </si>
  <si>
    <t xml:space="preserve"> Rise (°F)</t>
  </si>
  <si>
    <t>Heat Reclaim Calculations for Heating Days</t>
  </si>
  <si>
    <t xml:space="preserve">Saturated </t>
  </si>
  <si>
    <t xml:space="preserve">Design </t>
  </si>
  <si>
    <t>Available</t>
  </si>
  <si>
    <t>THR</t>
  </si>
  <si>
    <t>Capacity</t>
  </si>
  <si>
    <t>Nominal</t>
  </si>
  <si>
    <t xml:space="preserve">Heating </t>
  </si>
  <si>
    <t>Available Rack</t>
  </si>
  <si>
    <t xml:space="preserve">% of </t>
  </si>
  <si>
    <t>Calc HR</t>
  </si>
  <si>
    <t>Full Cond</t>
  </si>
  <si>
    <t>Desuperheat</t>
  </si>
  <si>
    <t>Pressure</t>
  </si>
  <si>
    <t xml:space="preserve">Vapor </t>
  </si>
  <si>
    <t>Vapor</t>
  </si>
  <si>
    <t>Liquid</t>
  </si>
  <si>
    <t>% of THR</t>
  </si>
  <si>
    <t>Evap</t>
  </si>
  <si>
    <t>at Full</t>
  </si>
  <si>
    <t>Multiplier</t>
  </si>
  <si>
    <t>Reclaim /THR</t>
  </si>
  <si>
    <t>Day Evap</t>
  </si>
  <si>
    <t xml:space="preserve">Capacity@ </t>
  </si>
  <si>
    <t>Rack</t>
  </si>
  <si>
    <t>Compressor</t>
  </si>
  <si>
    <t>Using Comp</t>
  </si>
  <si>
    <t>Minimum</t>
  </si>
  <si>
    <t>Discharge</t>
  </si>
  <si>
    <t>Actual</t>
  </si>
  <si>
    <t>Enthalpy</t>
  </si>
  <si>
    <t>@Design Amb</t>
  </si>
  <si>
    <t>Min SCT</t>
  </si>
  <si>
    <t>Software</t>
  </si>
  <si>
    <t>Elec Data</t>
  </si>
  <si>
    <t>SCT</t>
  </si>
  <si>
    <t>[btu/lb]</t>
  </si>
  <si>
    <t>(% Design)</t>
  </si>
  <si>
    <t>Needed</t>
  </si>
  <si>
    <r>
      <t>(</t>
    </r>
    <r>
      <rPr>
        <b/>
        <sz val="10"/>
        <rFont val="Arial"/>
        <family val="2"/>
      </rPr>
      <t>°</t>
    </r>
    <r>
      <rPr>
        <b/>
        <sz val="10"/>
        <rFont val="Arial"/>
        <family val="2"/>
      </rPr>
      <t>F)</t>
    </r>
  </si>
  <si>
    <t>Power (kW)</t>
  </si>
  <si>
    <t>Suction Group 1</t>
  </si>
  <si>
    <t>Suction Group 2</t>
  </si>
  <si>
    <t>Suction Group 3</t>
  </si>
  <si>
    <t>Specific Heats @ 60F</t>
  </si>
  <si>
    <t>Propylene
(Dowfrost)</t>
  </si>
  <si>
    <t>Ethylene
(Dowtherm)</t>
  </si>
  <si>
    <t>Propylene 
Coefficients</t>
  </si>
  <si>
    <t>Ethylene
Coefficients</t>
  </si>
  <si>
    <t>Superheated</t>
  </si>
  <si>
    <t>THR From</t>
  </si>
  <si>
    <t>System Elec</t>
  </si>
  <si>
    <t>460V  3Ph 60Hz</t>
  </si>
  <si>
    <t>Defrost Elec</t>
  </si>
  <si>
    <t xml:space="preserve"> 460V 60Hz 1 or 3 Ph</t>
  </si>
  <si>
    <t>Sys. Pilot Elec</t>
  </si>
  <si>
    <t>460V 3 Ph 60Hz</t>
  </si>
  <si>
    <t xml:space="preserve">SG2 Return Gas Temp </t>
  </si>
  <si>
    <t xml:space="preserve">SG3 Return Gas Temp </t>
  </si>
  <si>
    <t>SG1 Return Gas Temp</t>
  </si>
  <si>
    <t>Customized Circuit Application 1</t>
  </si>
  <si>
    <t>Customized Circuit Application 2</t>
  </si>
  <si>
    <t>Customized Circuit Application 3</t>
  </si>
  <si>
    <t>Customized Circuit Application 4</t>
  </si>
  <si>
    <t>Sub-Circuit Load (MBH)</t>
  </si>
  <si>
    <t>Circuit Load (MBH)</t>
  </si>
  <si>
    <t xml:space="preserve">Case  / Room Temp </t>
  </si>
  <si>
    <t>Charge for Fixtures</t>
  </si>
  <si>
    <t>Compressor NRE  (MBH)</t>
  </si>
  <si>
    <t>Compressor Capacity (MBH)</t>
  </si>
  <si>
    <t>347V  3Ph 60Hz</t>
  </si>
  <si>
    <t>600V  3Ph 60Hz</t>
  </si>
  <si>
    <t>Hybrid House</t>
  </si>
  <si>
    <t xml:space="preserve"> OFF TIME</t>
  </si>
  <si>
    <t xml:space="preserve"> 208V 60Hz 1 or 3 Ph</t>
  </si>
  <si>
    <t xml:space="preserve"> 460V or 208V 60 Hz </t>
  </si>
  <si>
    <t xml:space="preserve"> 347V 60Hz 1 or 3 Ph</t>
  </si>
  <si>
    <t xml:space="preserve"> 600V 60Hz 1 or 3 Ph</t>
  </si>
  <si>
    <t xml:space="preserve"> 600V or 347V 60 Hz </t>
  </si>
  <si>
    <t>208/220V 3 Ph 60Hz</t>
  </si>
  <si>
    <t>TOTAL</t>
  </si>
  <si>
    <t xml:space="preserve">Summer  </t>
  </si>
  <si>
    <t xml:space="preserve">Winter </t>
  </si>
  <si>
    <t>Summer Temp</t>
  </si>
  <si>
    <t>Winter Temp</t>
  </si>
  <si>
    <t>Media</t>
  </si>
  <si>
    <t>Use</t>
  </si>
  <si>
    <t>H/R (MBH)</t>
  </si>
  <si>
    <t>Design Conditions</t>
  </si>
  <si>
    <t>Heating Day - @ Minimum SCT</t>
  </si>
  <si>
    <t>Discharge Temp</t>
  </si>
  <si>
    <t>Design</t>
  </si>
  <si>
    <t>Field Piping and Insulation Costs</t>
  </si>
  <si>
    <t>Piping</t>
  </si>
  <si>
    <t>Insulation</t>
  </si>
  <si>
    <t>Cost/ft (installed)</t>
  </si>
  <si>
    <t>Total Refrigerant</t>
  </si>
  <si>
    <t xml:space="preserve">Cost/lb </t>
  </si>
  <si>
    <t>Cost for Field Piping</t>
  </si>
  <si>
    <t>Grand Total</t>
  </si>
  <si>
    <t>Refrig. EMS:</t>
  </si>
  <si>
    <t>H/R Media:</t>
  </si>
  <si>
    <t>SG1 Liq Temp ºF:</t>
  </si>
  <si>
    <t>SG1 Comp RGT ºF:</t>
  </si>
  <si>
    <t>Store#:</t>
  </si>
  <si>
    <t>System Elec:</t>
  </si>
  <si>
    <t>H/R Use:</t>
  </si>
  <si>
    <t>SG2 Liq Temp ºF:</t>
  </si>
  <si>
    <t>Estimated Refrigerant Charge</t>
  </si>
  <si>
    <t>Defrost Elec:</t>
  </si>
  <si>
    <t>Cond Design TD ºF:</t>
  </si>
  <si>
    <t>H/R Water GPM:</t>
  </si>
  <si>
    <t>SG3 Liq Temp ºF:</t>
  </si>
  <si>
    <t>Rack and Condenser  (lbs)</t>
  </si>
  <si>
    <t>Sys.Pilot Elec:</t>
  </si>
  <si>
    <t>Summer H/R Avail:</t>
  </si>
  <si>
    <t>H/R Glycol Type:</t>
  </si>
  <si>
    <t>Fixture and Field Piping (lbs)</t>
  </si>
  <si>
    <t>Cond. Elec:</t>
  </si>
  <si>
    <t>Winter H/R Avail:</t>
  </si>
  <si>
    <t>H/R Glycol %:</t>
  </si>
  <si>
    <t>Sub-Circuit Load</t>
  </si>
  <si>
    <t>Circuit</t>
  </si>
  <si>
    <t>General Notes:</t>
  </si>
  <si>
    <t>1.)</t>
  </si>
  <si>
    <t>2.)</t>
  </si>
  <si>
    <t>3.)</t>
  </si>
  <si>
    <t>4.)</t>
  </si>
  <si>
    <t>5.)</t>
  </si>
  <si>
    <t>Referenced Data</t>
  </si>
  <si>
    <t>Heat Reclaim Calculations for Design (Summer) Ambient</t>
  </si>
  <si>
    <t>Capacity Control
(Unloader, VFD, or Digital)</t>
  </si>
  <si>
    <t>Editable Ref Data</t>
  </si>
  <si>
    <t>Changed Ref Data</t>
  </si>
  <si>
    <t>Subcooler Load Calculator - Suction Group #1</t>
  </si>
  <si>
    <t>Liquid Temp out of Subcooler [ºF]</t>
  </si>
  <si>
    <t>Design load mass flow [lbm/hr]</t>
  </si>
  <si>
    <r>
      <t>h</t>
    </r>
    <r>
      <rPr>
        <vertAlign val="subscript"/>
        <sz val="10"/>
        <rFont val="Arial"/>
        <family val="2"/>
      </rPr>
      <t>liquid</t>
    </r>
    <r>
      <rPr>
        <sz val="10"/>
        <rFont val="Arial"/>
        <family val="2"/>
      </rPr>
      <t xml:space="preserve"> (liquid entering Sbclr at design cond temp) [Btu/lb]</t>
    </r>
  </si>
  <si>
    <r>
      <t>h</t>
    </r>
    <r>
      <rPr>
        <vertAlign val="subscript"/>
        <sz val="10"/>
        <rFont val="Arial"/>
        <family val="2"/>
      </rPr>
      <t>liquid</t>
    </r>
    <r>
      <rPr>
        <sz val="10"/>
        <rFont val="Arial"/>
        <family val="2"/>
      </rPr>
      <t xml:space="preserve"> (liquid out of Subcooler) [Btu/lb]</t>
    </r>
  </si>
  <si>
    <t>Subcooler Load Calculator - Suction Group #2</t>
  </si>
  <si>
    <t>Subcooler Load Calculator - Suction Group #3</t>
  </si>
  <si>
    <t>Subcooler Liquid Temps</t>
  </si>
  <si>
    <t>LOAD FACTOR</t>
  </si>
  <si>
    <t>150 Prototype</t>
  </si>
  <si>
    <t>180 Prototype</t>
  </si>
  <si>
    <t xml:space="preserve"> @Design</t>
  </si>
  <si>
    <t>MAIN CIRCUIT-SUBCIRCUITS ARE BELOW</t>
  </si>
  <si>
    <t>CIRCUIT LOAD &amp; ELECTRICAL ARE TOTALS OF THE SUBCIRCUITS</t>
  </si>
  <si>
    <t>Sat. Cond. Temp ºF:</t>
  </si>
  <si>
    <t>Evap Load of SG1 [MBH]</t>
  </si>
  <si>
    <t>Evap Load of SG2 [MBH]</t>
  </si>
  <si>
    <t>Evap Load of SG3 [MBH]</t>
  </si>
  <si>
    <t>Desuperheating</t>
  </si>
  <si>
    <t>SG2 Comp RGT ºF:</t>
  </si>
  <si>
    <t>SG3 Comp RGT ºF:</t>
  </si>
  <si>
    <t>This workbook requires Excel 2007 with macros enabled!</t>
  </si>
  <si>
    <t>HUSSMANN</t>
  </si>
  <si>
    <t>HILL PHOENIX</t>
  </si>
  <si>
    <t>Enter Defrost Voltage</t>
  </si>
  <si>
    <t>Enter Condenser Voltage</t>
  </si>
  <si>
    <t>Enter system Pilot Volt.</t>
  </si>
  <si>
    <t>Enter System Voltage</t>
  </si>
  <si>
    <t>Salad</t>
  </si>
  <si>
    <t>Chilled Soup</t>
  </si>
  <si>
    <t>1/2 Grocery Freezer</t>
  </si>
  <si>
    <t>1/2 Meat Cooler W.I.</t>
  </si>
  <si>
    <t>1/3 Meat Cooler W.I.</t>
  </si>
  <si>
    <t>Subcooler Load Rack A</t>
  </si>
  <si>
    <t>Subcooler Load Rack B</t>
  </si>
  <si>
    <t>Subcooler Load Rack C</t>
  </si>
  <si>
    <t>M.D. Dairy Island</t>
  </si>
  <si>
    <t>M.D. Produce Island</t>
  </si>
  <si>
    <t>ELEVATION  ft:</t>
  </si>
  <si>
    <t>SG1 Design Subcooler Load [MBH]</t>
  </si>
  <si>
    <t>SG2 Design Subcooler Load [MBH]</t>
  </si>
  <si>
    <t>SG3 Design Subcooler Load [MBH]</t>
  </si>
  <si>
    <t>Expansion</t>
  </si>
  <si>
    <t>0.4% Monthly Max WB from ASHRAE Pub.</t>
  </si>
  <si>
    <t>I.C. Freezer W.I.</t>
  </si>
  <si>
    <t>Reach-in F.F.</t>
  </si>
  <si>
    <t>Reach-in I.C.</t>
  </si>
  <si>
    <t>Grocery / I.C. Freezer W.I.</t>
  </si>
  <si>
    <t>1/2 I.C. Freezer W.I.</t>
  </si>
  <si>
    <t>1/2 Dual Temp Coffin Island</t>
  </si>
  <si>
    <t>M.T. Coffin Island</t>
  </si>
  <si>
    <t>Full Service Cake</t>
  </si>
  <si>
    <t>Self Service Cake</t>
  </si>
  <si>
    <t>M.D. Rear Load Dairy</t>
  </si>
  <si>
    <t>#</t>
  </si>
  <si>
    <t>FT or DRS</t>
  </si>
  <si>
    <t>BOHN</t>
  </si>
  <si>
    <t>Receiver Location</t>
  </si>
  <si>
    <t>Maximum Drain Line Velocity</t>
  </si>
  <si>
    <t>Remote</t>
  </si>
  <si>
    <t>Receiver to Liquid Header Piping Charge</t>
  </si>
  <si>
    <t>Split Liquid?</t>
  </si>
  <si>
    <t>Quantity of Lines</t>
  </si>
  <si>
    <t>Equivalent Length</t>
  </si>
  <si>
    <t>Pipe Size</t>
  </si>
  <si>
    <t>Segment Refrigerant Charge</t>
  </si>
  <si>
    <t>Split Liquid</t>
  </si>
  <si>
    <t>At Rack</t>
  </si>
  <si>
    <t>Split Liquid Group 1</t>
  </si>
  <si>
    <t>Split Liquid Group 2</t>
  </si>
  <si>
    <t>Split Liquid Group 3</t>
  </si>
  <si>
    <t>Common Liquid</t>
  </si>
  <si>
    <t>Condenser to Receiver Piping Charge</t>
  </si>
  <si>
    <t>25% Split Cond Return</t>
  </si>
  <si>
    <t>50% Split Cond Return</t>
  </si>
  <si>
    <t>100% Cond Return</t>
  </si>
  <si>
    <t>Remote Condenser/Receiver Charge</t>
  </si>
  <si>
    <t>In-store piping and fixture charge</t>
  </si>
  <si>
    <t>Rack &amp; Condenser Charge</t>
  </si>
  <si>
    <t>REFRIGERATION SCHEDULE SYSTEM 456</t>
  </si>
  <si>
    <t>--</t>
  </si>
  <si>
    <t/>
  </si>
  <si>
    <t>Propylene Glycol Properties - Dowfrost</t>
  </si>
  <si>
    <t>Absolute</t>
  </si>
  <si>
    <t>Volume</t>
  </si>
  <si>
    <t>(Dynamic)</t>
  </si>
  <si>
    <t>Kinematic</t>
  </si>
  <si>
    <t>Specific</t>
  </si>
  <si>
    <t>Density</t>
  </si>
  <si>
    <t>Viscosity</t>
  </si>
  <si>
    <t>Heat</t>
  </si>
  <si>
    <t>Gravity</t>
  </si>
  <si>
    <t>(ºF)</t>
  </si>
  <si>
    <t>(%)</t>
  </si>
  <si>
    <r>
      <t>(lb/ft</t>
    </r>
    <r>
      <rPr>
        <b/>
        <vertAlign val="superscript"/>
        <sz val="10"/>
        <rFont val="Arial"/>
        <family val="2"/>
      </rPr>
      <t>3</t>
    </r>
    <r>
      <rPr>
        <b/>
        <sz val="10"/>
        <rFont val="Arial"/>
        <family val="2"/>
      </rPr>
      <t>)</t>
    </r>
  </si>
  <si>
    <r>
      <t>(g/cm</t>
    </r>
    <r>
      <rPr>
        <b/>
        <vertAlign val="superscript"/>
        <sz val="10"/>
        <rFont val="Arial"/>
        <family val="2"/>
      </rPr>
      <t>3</t>
    </r>
    <r>
      <rPr>
        <b/>
        <sz val="10"/>
        <rFont val="Arial"/>
        <family val="2"/>
      </rPr>
      <t>)</t>
    </r>
  </si>
  <si>
    <t>(lb/gal)</t>
  </si>
  <si>
    <t>(cps)</t>
  </si>
  <si>
    <t>(cst)</t>
  </si>
  <si>
    <r>
      <t xml:space="preserve">(Btu/lb </t>
    </r>
    <r>
      <rPr>
        <b/>
        <sz val="10"/>
        <rFont val="Arial"/>
        <family val="2"/>
      </rPr>
      <t>º</t>
    </r>
    <r>
      <rPr>
        <b/>
        <sz val="10"/>
        <rFont val="Arial"/>
        <family val="2"/>
      </rPr>
      <t>F)</t>
    </r>
  </si>
  <si>
    <t>rho</t>
  </si>
  <si>
    <t>mu</t>
  </si>
  <si>
    <t>nu</t>
  </si>
  <si>
    <t>Interpolation Routine</t>
  </si>
  <si>
    <t>y</t>
  </si>
  <si>
    <t>Value solved for</t>
  </si>
  <si>
    <t>Interpolated value</t>
  </si>
  <si>
    <t>Note:  All data from Dow Chemical Co.</t>
  </si>
  <si>
    <t>Engineering and Operating Guide for</t>
  </si>
  <si>
    <t>Dowfrost and Dowfrost HD,</t>
  </si>
  <si>
    <t>February 2008 Edition.</t>
  </si>
  <si>
    <t>% PG</t>
  </si>
  <si>
    <t>FluidFile program for Dowfrost.</t>
  </si>
  <si>
    <t>Note:  Values in unshaded cells obained from Dow Chemical FluidFile program.</t>
  </si>
  <si>
    <t>Return Fluid Temp</t>
  </si>
  <si>
    <t>Design Head Loss</t>
  </si>
  <si>
    <t>[ft-H2O]</t>
  </si>
  <si>
    <t>Glycol_20%</t>
  </si>
  <si>
    <t>Glycol_25%</t>
  </si>
  <si>
    <t>Glycol_30%</t>
  </si>
  <si>
    <t>Glycol_35%</t>
  </si>
  <si>
    <t>Glycol_40%</t>
  </si>
  <si>
    <t>ΔP/100’</t>
  </si>
  <si>
    <t>Ammonia</t>
  </si>
  <si>
    <t>System Circulation Rate</t>
  </si>
  <si>
    <t>2-phase flow calcs</t>
  </si>
  <si>
    <t>(Friedel Correlation)</t>
  </si>
  <si>
    <r>
      <t>Sizes lines with liquid properties then applies a correction factor Φ</t>
    </r>
    <r>
      <rPr>
        <vertAlign val="superscript"/>
        <sz val="10"/>
        <rFont val="Arial"/>
        <family val="2"/>
      </rPr>
      <t>2</t>
    </r>
    <r>
      <rPr>
        <sz val="10"/>
        <rFont val="Arial"/>
        <family val="2"/>
      </rPr>
      <t>fr to account for 2-phase flow</t>
    </r>
  </si>
  <si>
    <t>liquid / vapor</t>
  </si>
  <si>
    <t>homogeneous</t>
  </si>
  <si>
    <t>internal diam.</t>
  </si>
  <si>
    <t>Weber</t>
  </si>
  <si>
    <t>F</t>
  </si>
  <si>
    <t>E</t>
  </si>
  <si>
    <t>Frh</t>
  </si>
  <si>
    <r>
      <t>Φ</t>
    </r>
    <r>
      <rPr>
        <vertAlign val="superscript"/>
        <sz val="10"/>
        <rFont val="Arial"/>
        <family val="2"/>
      </rPr>
      <t>2</t>
    </r>
    <r>
      <rPr>
        <sz val="10"/>
        <rFont val="Arial"/>
        <family val="2"/>
      </rPr>
      <t>fr</t>
    </r>
  </si>
  <si>
    <t>Reynolds</t>
  </si>
  <si>
    <t>Friction factor</t>
  </si>
  <si>
    <t>Pdrop</t>
  </si>
  <si>
    <r>
      <t>Φ</t>
    </r>
    <r>
      <rPr>
        <vertAlign val="superscript"/>
        <sz val="10"/>
        <rFont val="Arial"/>
        <family val="2"/>
      </rPr>
      <t>2</t>
    </r>
    <r>
      <rPr>
        <sz val="10"/>
        <rFont val="Arial"/>
        <family val="2"/>
      </rPr>
      <t>fr</t>
    </r>
  </si>
  <si>
    <t>viscosity ratio</t>
  </si>
  <si>
    <t>density</t>
  </si>
  <si>
    <t>riser</t>
  </si>
  <si>
    <t>riser - liquid</t>
  </si>
  <si>
    <t>riser - 2 phase</t>
  </si>
  <si>
    <t>horz.</t>
  </si>
  <si>
    <t>horz. 2-phase</t>
  </si>
  <si>
    <t>Glycol Pdrop</t>
  </si>
  <si>
    <t>Carbon Dioxide</t>
  </si>
  <si>
    <t>CASE OVERFEED CO2 CHARGE LOOKUP</t>
  </si>
  <si>
    <t>CASE GLYCOL CHARGE LOOKUP</t>
  </si>
  <si>
    <t>CASE DX CHARGE LOOKUP</t>
  </si>
  <si>
    <t>Subcooler Load Calculator - Suction Group #1 estimate for the primary side of secondary coolant system</t>
  </si>
  <si>
    <t>Estimated Primary Refrigerant mass flow [lbm/hr]</t>
  </si>
  <si>
    <r>
      <t>h</t>
    </r>
    <r>
      <rPr>
        <vertAlign val="subscript"/>
        <sz val="10"/>
        <rFont val="Arial"/>
        <family val="2"/>
      </rPr>
      <t>rgt</t>
    </r>
    <r>
      <rPr>
        <sz val="10"/>
        <rFont val="Arial"/>
        <family val="2"/>
      </rPr>
      <t xml:space="preserve"> (compressor suction) [Btu/lb]</t>
    </r>
  </si>
  <si>
    <t>Primary Refrigerant Average Suction Pressure</t>
  </si>
  <si>
    <t>Condensing Pressure of Primary Refrigerant</t>
  </si>
  <si>
    <t>Inlet Quality [1=100% vapor]</t>
  </si>
  <si>
    <t>Full Temp Glide - Evaporator</t>
  </si>
  <si>
    <t>[°F]</t>
  </si>
  <si>
    <t xml:space="preserve"> [psia]</t>
  </si>
  <si>
    <t>(Alt)</t>
  </si>
  <si>
    <t>Subcooler Load Calculator - Suction Group #2 estimate for the primary side of secondary coolant system</t>
  </si>
  <si>
    <t>Full Temp Glide- Evaporator</t>
  </si>
  <si>
    <t>Subcooler Load Calculator - Suction Group #3 estimate for the primary side of secondary coolant system</t>
  </si>
  <si>
    <t>Condensing</t>
  </si>
  <si>
    <t>Condensing Temp.</t>
  </si>
  <si>
    <r>
      <t>[</t>
    </r>
    <r>
      <rPr>
        <sz val="10"/>
        <rFont val="Arial"/>
        <family val="2"/>
      </rPr>
      <t>°</t>
    </r>
    <r>
      <rPr>
        <i/>
        <sz val="10"/>
        <rFont val="Arial"/>
        <family val="2"/>
      </rPr>
      <t>F]</t>
    </r>
  </si>
  <si>
    <t>PUMP OUT TIME (MIN)</t>
  </si>
  <si>
    <t xml:space="preserve">average </t>
  </si>
  <si>
    <t xml:space="preserve">max </t>
  </si>
  <si>
    <t xml:space="preserve">min </t>
  </si>
  <si>
    <t>Blank0</t>
  </si>
  <si>
    <t>CO2 Circ Rate</t>
  </si>
  <si>
    <t>Glycol Charge</t>
  </si>
  <si>
    <t>blank1</t>
  </si>
  <si>
    <t>blank2</t>
  </si>
  <si>
    <t>blank3</t>
  </si>
  <si>
    <t>blank4</t>
  </si>
  <si>
    <t>blank5</t>
  </si>
  <si>
    <t>blank6</t>
  </si>
  <si>
    <t>CASE GLYCOL GPM LOOKUP</t>
  </si>
  <si>
    <t>Glycol / Modular DX</t>
  </si>
  <si>
    <t>CO2 Liquid Overfeed / Parallel DX</t>
  </si>
  <si>
    <t>load profile rows 8 - 57</t>
  </si>
  <si>
    <t>load profile rows 138 - 187</t>
  </si>
  <si>
    <t>load profile rows 268 - 317</t>
  </si>
  <si>
    <t>legend 11-12</t>
  </si>
  <si>
    <t>legend 14-15</t>
  </si>
  <si>
    <t>legend AD 8-9</t>
  </si>
  <si>
    <t>legend S 8-9</t>
  </si>
  <si>
    <t>Hide These Columns</t>
  </si>
  <si>
    <t>HIDE THESE COLUMNS</t>
  </si>
  <si>
    <t>Total Primary Refrigerant Charge</t>
  </si>
  <si>
    <t>ˬ</t>
  </si>
  <si>
    <t>ˆ</t>
  </si>
  <si>
    <t>15 Prototype</t>
  </si>
  <si>
    <t>90 Prototype</t>
  </si>
  <si>
    <t>120 Prototype</t>
  </si>
  <si>
    <t>Dual Temp Coffin End</t>
  </si>
  <si>
    <t>hide column</t>
  </si>
  <si>
    <t>OFF</t>
  </si>
  <si>
    <t>A10</t>
  </si>
  <si>
    <t>5/8</t>
  </si>
  <si>
    <t>208/220V  3Ph 60Hz</t>
  </si>
  <si>
    <t>120V 1 Ph</t>
  </si>
  <si>
    <t>208V 1 Ph</t>
  </si>
  <si>
    <t>1/15</t>
  </si>
  <si>
    <t>1/2</t>
  </si>
  <si>
    <t>1/4</t>
  </si>
  <si>
    <t>3/4</t>
  </si>
  <si>
    <t>29 1/2</t>
  </si>
  <si>
    <t>14 7/8</t>
  </si>
  <si>
    <t>16</t>
  </si>
  <si>
    <t>Low Profile</t>
  </si>
  <si>
    <t>ECM</t>
  </si>
  <si>
    <t>115/1</t>
  </si>
  <si>
    <t>EXISTING</t>
  </si>
  <si>
    <t>Year 2013</t>
  </si>
  <si>
    <t>Delete</t>
  </si>
  <si>
    <t>M.T. Coffin w/ Ends</t>
  </si>
  <si>
    <t>M.D. Seafood</t>
  </si>
  <si>
    <t>Dom. Hot Water</t>
  </si>
  <si>
    <t>Weather Pac</t>
  </si>
  <si>
    <t>Compressor House</t>
  </si>
  <si>
    <t>Bakery Desserts</t>
  </si>
  <si>
    <t>5 Yr. Extreme DB from ASHRAE Pub.</t>
  </si>
  <si>
    <t>Based on 5 yr Extreme DB-ASHRAE Pub.:</t>
  </si>
  <si>
    <t>Year 2017</t>
  </si>
  <si>
    <t>Defrost 7 Start</t>
  </si>
  <si>
    <t>Defrost 7 End</t>
  </si>
  <si>
    <t>Defrost 8 Start</t>
  </si>
  <si>
    <t>Defrost 8 End</t>
  </si>
  <si>
    <t>Defrost 9 Start</t>
  </si>
  <si>
    <t>Defrost 9 End</t>
  </si>
  <si>
    <t>Defrost 10 Start</t>
  </si>
  <si>
    <t>Defrost 10 End</t>
  </si>
  <si>
    <t>Defrost 11 Start</t>
  </si>
  <si>
    <t>Defrost 11 End</t>
  </si>
  <si>
    <t>Defrost 12 Start</t>
  </si>
  <si>
    <t>Defrost 12 End</t>
  </si>
  <si>
    <t>Defrost 7</t>
  </si>
  <si>
    <t>Defrost 8</t>
  </si>
  <si>
    <t>Defrost 9</t>
  </si>
  <si>
    <t>Defrost 10</t>
  </si>
  <si>
    <t>Defrost 11</t>
  </si>
  <si>
    <t>Defrost 12</t>
  </si>
  <si>
    <t>BAS Controller Manufacturer:</t>
  </si>
  <si>
    <t>Refrig. BAS:</t>
  </si>
  <si>
    <t>MANUFACTURER'S TARGET (°F)</t>
  </si>
  <si>
    <t>DUAL TEMP TARGET (°F)</t>
  </si>
  <si>
    <t>STARTING SUPERHEAT SETPOINT (°F)</t>
  </si>
  <si>
    <t>DCE</t>
  </si>
  <si>
    <t>R448A.mix</t>
  </si>
  <si>
    <t>R448A</t>
  </si>
  <si>
    <t>Year 2021</t>
  </si>
  <si>
    <t>1/3 Dairy Cooler W.I.</t>
  </si>
  <si>
    <t>1/2 Dairy Cooler W.I.</t>
  </si>
  <si>
    <t>Pickup Cooler W.I.</t>
  </si>
  <si>
    <t>Pickup Freezer W.I.</t>
  </si>
  <si>
    <t>M.D. Fresh Meat</t>
  </si>
  <si>
    <t>Promo Island</t>
  </si>
  <si>
    <t>Dairy Promo Island</t>
  </si>
  <si>
    <t>Freezer W.I.</t>
  </si>
  <si>
    <t>Self-Service Bakery</t>
  </si>
  <si>
    <t>Pizza</t>
  </si>
  <si>
    <t>Grab-N-Go</t>
  </si>
  <si>
    <t>1/3 Produce Cooler W.I.</t>
  </si>
  <si>
    <t>1/2 Produce Cooler W.I.</t>
  </si>
  <si>
    <t>Low Temp Coffin</t>
  </si>
  <si>
    <t>M.T. Cake</t>
  </si>
  <si>
    <t>Cheese Island</t>
  </si>
  <si>
    <t>3D Cake</t>
  </si>
  <si>
    <t>Rear Load Dairy</t>
  </si>
  <si>
    <t>Dairy Storage W.I.</t>
  </si>
  <si>
    <t>Total Estimated Length</t>
  </si>
  <si>
    <t>MNCD of Electric Defrost circuits</t>
  </si>
  <si>
    <t>F.F. Coffin w/Ends</t>
  </si>
  <si>
    <t>Main Stub</t>
  </si>
  <si>
    <t>Added Conditional Formatting Triggers for Reuse Piping</t>
  </si>
  <si>
    <t>DSR (A)</t>
  </si>
  <si>
    <t>Warning</t>
  </si>
  <si>
    <t>DSR (B)</t>
  </si>
  <si>
    <t>max/min</t>
  </si>
  <si>
    <t>R744</t>
  </si>
  <si>
    <t>Adiabatic</t>
  </si>
  <si>
    <t>Transcritical Distributed</t>
  </si>
  <si>
    <t>R449A</t>
  </si>
  <si>
    <t>R449A.mix</t>
  </si>
  <si>
    <t>R513A</t>
  </si>
  <si>
    <t>R513A.mix</t>
  </si>
  <si>
    <t>VALVE</t>
  </si>
  <si>
    <t>Secondary Glycol Skid</t>
  </si>
  <si>
    <t>Secondary CO2 LOF Skid</t>
  </si>
  <si>
    <t>End Of Loop Bypass</t>
  </si>
  <si>
    <t>Abbreviation</t>
  </si>
  <si>
    <t>CHEESE ISL</t>
  </si>
  <si>
    <t>FLORAL</t>
  </si>
  <si>
    <t>GRAB N GO</t>
  </si>
  <si>
    <t>HMRP ISL</t>
  </si>
  <si>
    <t>MD BEER</t>
  </si>
  <si>
    <t>MD CAKE</t>
  </si>
  <si>
    <t>MD DAIRY</t>
  </si>
  <si>
    <t>MD DELI</t>
  </si>
  <si>
    <t>MD MEAT</t>
  </si>
  <si>
    <t>MD PROD</t>
  </si>
  <si>
    <t>MD RL DAIRY</t>
  </si>
  <si>
    <t>MD SFD</t>
  </si>
  <si>
    <t>MT CAKE</t>
  </si>
  <si>
    <t>MT CFN ISL</t>
  </si>
  <si>
    <t>MT CFN ISL END</t>
  </si>
  <si>
    <t>3D CAKE</t>
  </si>
  <si>
    <t>PIZZA</t>
  </si>
  <si>
    <t>DAIRY DRS</t>
  </si>
  <si>
    <t>DELI DRS</t>
  </si>
  <si>
    <t>MD RL PROD</t>
  </si>
  <si>
    <t>SALAD</t>
  </si>
  <si>
    <t>SD MEAT</t>
  </si>
  <si>
    <t>SRVC DELI</t>
  </si>
  <si>
    <t>GROC CLR</t>
  </si>
  <si>
    <t>BKRY CLR</t>
  </si>
  <si>
    <t>BEER CLR</t>
  </si>
  <si>
    <t>DAIRY CLR</t>
  </si>
  <si>
    <t>DELI CLR</t>
  </si>
  <si>
    <t>MEAT CLR</t>
  </si>
  <si>
    <t>MEAT PREP</t>
  </si>
  <si>
    <t>POULTRY CLR</t>
  </si>
  <si>
    <t>PROD CLR</t>
  </si>
  <si>
    <t>PROD PREP</t>
  </si>
  <si>
    <t>DAIRY ISL</t>
  </si>
  <si>
    <t>MD BKRY</t>
  </si>
  <si>
    <t>MD DAIRY ISL</t>
  </si>
  <si>
    <t>MD PROD ISL</t>
  </si>
  <si>
    <t>PICKUP CLR</t>
  </si>
  <si>
    <t>SFD CLR</t>
  </si>
  <si>
    <t>SFD PREP</t>
  </si>
  <si>
    <t>FZR</t>
  </si>
  <si>
    <t>BKRY FZR</t>
  </si>
  <si>
    <t>DELI FZR</t>
  </si>
  <si>
    <t>LT CFN</t>
  </si>
  <si>
    <t>FF FZR</t>
  </si>
  <si>
    <t>GROC FZR</t>
  </si>
  <si>
    <t>IC FZR</t>
  </si>
  <si>
    <t>FF DRS</t>
  </si>
  <si>
    <t>IC CAKE</t>
  </si>
  <si>
    <t>IC DRS</t>
  </si>
  <si>
    <t>FF SFD</t>
  </si>
  <si>
    <t>SFD FZR</t>
  </si>
  <si>
    <t>PICKUP FZR</t>
  </si>
  <si>
    <t>BKRY/DELI FZR</t>
  </si>
  <si>
    <t>REFRIGERATION SYSTEM SCHEDULE</t>
  </si>
  <si>
    <t>Equip Number</t>
  </si>
  <si>
    <t>NOTES</t>
  </si>
  <si>
    <t>Circuit Notes:</t>
  </si>
  <si>
    <t>A.)</t>
  </si>
  <si>
    <t>Circuit shall be connected via Top-Fed piping.</t>
  </si>
  <si>
    <t>B.)</t>
  </si>
  <si>
    <t>Circuit shall be connected via Bottom-Fed piping.</t>
  </si>
  <si>
    <t>C.)</t>
  </si>
  <si>
    <t>D.)</t>
  </si>
  <si>
    <t>Circuit is existing to remain.</t>
  </si>
  <si>
    <t>E.)</t>
  </si>
  <si>
    <t>Circuit moved to seconday skid.</t>
  </si>
  <si>
    <t>F.)</t>
  </si>
  <si>
    <t>New circuit to cool secondary skid.</t>
  </si>
  <si>
    <t>Date Prepared:</t>
  </si>
  <si>
    <t>Design DB (ºF) / WB (ºF):</t>
  </si>
  <si>
    <t>Interior Design DB (ºF) / RH%:</t>
  </si>
  <si>
    <t>Refrig. OEM:</t>
  </si>
  <si>
    <t>Refrig OEM:</t>
  </si>
  <si>
    <t>Refrig OEM</t>
  </si>
  <si>
    <t>Kysor Warren</t>
  </si>
  <si>
    <t>Hussmann</t>
  </si>
  <si>
    <t>Hill Phoenix</t>
  </si>
  <si>
    <t>Carrier</t>
  </si>
  <si>
    <t>Zero Zone</t>
  </si>
  <si>
    <t>ASHRAE Design Conditions Weather Station:</t>
  </si>
  <si>
    <t>RAE Corporation</t>
  </si>
  <si>
    <t>WMT-SEC-CO2-1/10-460</t>
  </si>
  <si>
    <t>Skid Minimum Flow (GPM)</t>
  </si>
  <si>
    <t>Skid Maximum Flow (GPM)</t>
  </si>
  <si>
    <t>Approach (F)</t>
  </si>
  <si>
    <t>Skid Model</t>
  </si>
  <si>
    <t>WMT-SEC-CO2-1/10-208</t>
  </si>
  <si>
    <t>WMT-SEC-GLY-20/95-460</t>
  </si>
  <si>
    <t>WMT-SEC-GLY-20/95-208</t>
  </si>
  <si>
    <t>WMT-SEC-GLY-32/160-460</t>
  </si>
  <si>
    <t>WMT-SEC-GLY-32/160-208</t>
  </si>
  <si>
    <t>COPELAND</t>
  </si>
  <si>
    <t>HORZ. RETURN</t>
  </si>
  <si>
    <t>ISO. CHECK</t>
  </si>
  <si>
    <t>VERT. RETURN</t>
  </si>
  <si>
    <t>SUPPLY</t>
  </si>
  <si>
    <t>SCO2 Valve Stations</t>
  </si>
  <si>
    <t>HORIZONTAL RETURN ISOLATION CHECK VALVE</t>
  </si>
  <si>
    <t>VERTICAL RETURN ISOLATION CHECK VALVE</t>
  </si>
  <si>
    <t>SUPPLY ISOLATION CHECK VALVE</t>
  </si>
  <si>
    <t>(Yes/No)</t>
  </si>
  <si>
    <t>GENERAL NOTES:</t>
  </si>
  <si>
    <t>1.</t>
  </si>
  <si>
    <t>2.</t>
  </si>
  <si>
    <t>3.</t>
  </si>
  <si>
    <t>4.</t>
  </si>
  <si>
    <t>5.</t>
  </si>
  <si>
    <t>NOTES:</t>
  </si>
  <si>
    <t>B.</t>
  </si>
  <si>
    <t>C.</t>
  </si>
  <si>
    <t>D.</t>
  </si>
  <si>
    <t>E.</t>
  </si>
  <si>
    <t>F.</t>
  </si>
  <si>
    <t>ESTIMATED TOTAL LENGTH INCLUDES HORIZONTAL AND VERTICAL PIPE SECTIONS. THIS IS ONLY AN ESTIMATE AND ACTUAL LENGTH WILL VARY. NOT TO BE USED FOR BIDDING PURPOSES.</t>
  </si>
  <si>
    <t>^ RISER SIZE IS SHOWN EVEN WHERE A RISER IS NOT EXPECTED. THIS IS FOR REFERENCE ONLY AND TO BE USED IN THE EVENT THAT A PIPING CONFLICT CAUSES THE NEED FOR A RISER. IF RISER LENGTH EXCEEDS 4 FEET, IT MUST BE APPROVED BY ENGINEER OF RECORD.</t>
  </si>
  <si>
    <t>A.</t>
  </si>
  <si>
    <t>NEW PIPE SEGMENT</t>
  </si>
  <si>
    <t>PIPING TO BE REMOVED AFTER CIRCUIT HAS BEEN CONVERTED TO SECONDARY SYSTEM.</t>
  </si>
  <si>
    <t>NOTE: CONTENTS OF SCHEDULE CONTAINS INFORMATION DERIVED FROM OWNER'S RECORD SCHEDULES, MANUFACTURER SUBMITTALS, CUTSHEETS, AND OWNER'S DESIGN PARAMETERS AT THE TIME THE SCHEDULE WAS PREPARED. FIELD VERIFY AS IT MAY NOT REFLECT EXISTING CONDITIONS.</t>
  </si>
  <si>
    <t>Information included in this schedule is taken from manufacturer's submittals.</t>
  </si>
  <si>
    <t>Contractor to verify information against latest submittals available at time cases/coils are delivered.</t>
  </si>
  <si>
    <t>Starting superheat setpoint values are per manufacturer's published case data. Field adjustment may be required.</t>
  </si>
  <si>
    <t>Circuit "XX" and "XX" were used to calculate max defrost amps draw.</t>
  </si>
  <si>
    <t>Circuit "XX" and "XX" are bonded together. Reference BAS one-line.</t>
  </si>
  <si>
    <t>DB_ID</t>
  </si>
  <si>
    <t>manufacturer</t>
  </si>
  <si>
    <t>total_mbh</t>
  </si>
  <si>
    <t>ts</t>
  </si>
  <si>
    <t>te</t>
  </si>
  <si>
    <t>case_temp</t>
  </si>
  <si>
    <t>as</t>
  </si>
  <si>
    <t>defrost1_208_1</t>
  </si>
  <si>
    <t>defrost1_volt</t>
  </si>
  <si>
    <t>defrost2_208_3</t>
  </si>
  <si>
    <t>defrost2_volt</t>
  </si>
  <si>
    <t>miscellaneous</t>
  </si>
  <si>
    <t>comments</t>
  </si>
  <si>
    <t>drain_pan</t>
  </si>
  <si>
    <t>Defrost Freq</t>
  </si>
  <si>
    <t>Defrost Time</t>
  </si>
  <si>
    <t>Term Temp</t>
  </si>
  <si>
    <t>Drip Time</t>
  </si>
  <si>
    <t>CO2 Charge</t>
  </si>
  <si>
    <t>Glycol Defrost Freq</t>
  </si>
  <si>
    <t>Glycol Defrost Type</t>
  </si>
  <si>
    <t>Glycol Defrost Time</t>
  </si>
  <si>
    <t>Glycol Term Temp</t>
  </si>
  <si>
    <t>Glycol Drip Time</t>
  </si>
  <si>
    <t>CO2 Defrost Freq</t>
  </si>
  <si>
    <t>CO2 Defrost Type</t>
  </si>
  <si>
    <t>CO2 Defrost Time</t>
  </si>
  <si>
    <t>CO2 Drip Time</t>
  </si>
  <si>
    <t>CO2 Term Temp</t>
  </si>
  <si>
    <t>CO2 PumpOut</t>
  </si>
  <si>
    <t>Hyperlink</t>
  </si>
  <si>
    <t>MinOfDB_ID</t>
  </si>
  <si>
    <t>Expr1</t>
  </si>
  <si>
    <t>BMD (RD2020.642)</t>
  </si>
  <si>
    <t>RD2020.642</t>
  </si>
  <si>
    <t>BMD (RS2020.642)</t>
  </si>
  <si>
    <t>RS2020.642</t>
  </si>
  <si>
    <t>DR6LD (RS3026.042)</t>
  </si>
  <si>
    <t>RS3026.042</t>
  </si>
  <si>
    <t>DX6LD (RS3007.042)</t>
  </si>
  <si>
    <t>RS3007.042</t>
  </si>
  <si>
    <t>DX6LN (RS4018.742)</t>
  </si>
  <si>
    <t>RS4018.742</t>
  </si>
  <si>
    <t>DX6XN (RS4018.052)</t>
  </si>
  <si>
    <t>RS4018.052</t>
  </si>
  <si>
    <t>MX5XG (RS4038.352)</t>
  </si>
  <si>
    <t>RS4038.352</t>
  </si>
  <si>
    <t>ON5DMX-NRG (RD4043.042)</t>
  </si>
  <si>
    <t>RD4043.042</t>
  </si>
  <si>
    <t>PF-54-R (RD1073.652)</t>
  </si>
  <si>
    <t>RD1073.652</t>
  </si>
  <si>
    <t>PF-54-R (RS1073.652)</t>
  </si>
  <si>
    <t>RS1073.652</t>
  </si>
  <si>
    <t>QC-6R-35-EC (RD1068.652)</t>
  </si>
  <si>
    <t>RD1068.652</t>
  </si>
  <si>
    <t>QC-R-35 (RS1069.652)</t>
  </si>
  <si>
    <t>RS1069.652</t>
  </si>
  <si>
    <t>RD1069.652</t>
  </si>
  <si>
    <t>RLN-FF (RS3002.242)</t>
  </si>
  <si>
    <t>RS3002.242</t>
  </si>
  <si>
    <t>DRAIN PAN HTR AND FANS SHARE CKT. RUN ALTERNATELY.</t>
  </si>
  <si>
    <t>RLN-FF/RLNI-FF (RS3002.242 / RS3003.242)</t>
  </si>
  <si>
    <t>RS3002.242 / RS3003.242</t>
  </si>
  <si>
    <t>RLN-IC (RS3002.142)</t>
  </si>
  <si>
    <t>RS3002.142</t>
  </si>
  <si>
    <t>RLN-IC/RLNI-IC (RS3002.142 / RS3003.142)</t>
  </si>
  <si>
    <t>RS3002.142 / RS3003.142</t>
  </si>
  <si>
    <t>RLNI-FF (RS3003.242)</t>
  </si>
  <si>
    <t>RS3003.242</t>
  </si>
  <si>
    <t>RLNI-IC (RS3003.142)</t>
  </si>
  <si>
    <t>RS3003.142</t>
  </si>
  <si>
    <t>TORONTO (RS5003.005)</t>
  </si>
  <si>
    <t>RS5003.005</t>
  </si>
  <si>
    <t>TORONTO (RS5003.205)</t>
  </si>
  <si>
    <t>RS5003.205</t>
  </si>
  <si>
    <t>TORONTO (RS5004.005)</t>
  </si>
  <si>
    <t>RS5004.005</t>
  </si>
  <si>
    <t>TORONTO (RS5004.205)</t>
  </si>
  <si>
    <t>RS5004.205</t>
  </si>
  <si>
    <t>KYSOR WARREN</t>
  </si>
  <si>
    <t>ARNEG</t>
  </si>
  <si>
    <t>ON5DMX-NRG (RD4043.042)4</t>
  </si>
  <si>
    <t>ON5DMX-NRG (RD4043.042)6</t>
  </si>
  <si>
    <t>ON5DMX-NRG (RD4043.042)8</t>
  </si>
  <si>
    <t>ON5DMX-NRG (RD4043.042)12</t>
  </si>
  <si>
    <t>BMD (RD2020.642)4</t>
  </si>
  <si>
    <t>BMD (RD2020.642)6</t>
  </si>
  <si>
    <t>BMD (RD2020.642)8</t>
  </si>
  <si>
    <t>BMD (RD2020.642)12</t>
  </si>
  <si>
    <t>PF-54-R (RD1073.652)4</t>
  </si>
  <si>
    <t>PF-54-R (RD1073.652)6</t>
  </si>
  <si>
    <t>PF-54-R (RD1073.652)8</t>
  </si>
  <si>
    <t>PF-54-R (RD1073.652)10</t>
  </si>
  <si>
    <t>PF-54-R (RD1073.652)12</t>
  </si>
  <si>
    <t>QC-6R-35-EC (RD1068.652)6</t>
  </si>
  <si>
    <t>RLN-IC (RS3002.142)2</t>
  </si>
  <si>
    <t>RLN-IC (RS3002.142)3</t>
  </si>
  <si>
    <t>RLN-IC (RS3002.142)4</t>
  </si>
  <si>
    <t>RLN-IC (RS3002.142)5</t>
  </si>
  <si>
    <t>RLNI-IC (RS3003.142)2</t>
  </si>
  <si>
    <t>RLNI-IC (RS3003.142)3</t>
  </si>
  <si>
    <t>RLNI-IC (RS3003.142)4</t>
  </si>
  <si>
    <t>RLNI-IC (RS3003.142)5</t>
  </si>
  <si>
    <t>RLN-FF (RS3002.242)2</t>
  </si>
  <si>
    <t>RLN-FF (RS3002.242)3</t>
  </si>
  <si>
    <t>RLN-FF (RS3002.242)4</t>
  </si>
  <si>
    <t>RLN-FF (RS3002.242)5</t>
  </si>
  <si>
    <t>RLNI-FF (RS3003.242)2</t>
  </si>
  <si>
    <t>RLNI-FF (RS3003.242)3</t>
  </si>
  <si>
    <t>RLNI-FF (RS3003.242)4</t>
  </si>
  <si>
    <t>RLNI-FF (RS3003.242)5</t>
  </si>
  <si>
    <t>RLN-IC/RLNI-IC (RS3002.142 / RS3003.142)2</t>
  </si>
  <si>
    <t>RLN-IC/RLNI-IC (RS3002.142 / RS3003.142)3</t>
  </si>
  <si>
    <t>RLN-IC/RLNI-IC (RS3002.142 / RS3003.142)4</t>
  </si>
  <si>
    <t>RLN-IC/RLNI-IC (RS3002.142 / RS3003.142)5</t>
  </si>
  <si>
    <t>RLN-FF/RLNI-FF (RS3002.242 / RS3003.242)2</t>
  </si>
  <si>
    <t>RLN-FF/RLNI-FF (RS3002.242 / RS3003.242)3</t>
  </si>
  <si>
    <t>RLN-FF/RLNI-FF (RS3002.242 / RS3003.242)4</t>
  </si>
  <si>
    <t>RLN-FF/RLNI-FF (RS3002.242 / RS3003.242)5</t>
  </si>
  <si>
    <t>TORONTO (RS5004.205)6</t>
  </si>
  <si>
    <t>TORONTO (RS5004.205)8</t>
  </si>
  <si>
    <t>TORONTO (RS5004.205)12</t>
  </si>
  <si>
    <t>TORONTO (RS5003.205)6</t>
  </si>
  <si>
    <t>MX5XG (RS4038.352)4</t>
  </si>
  <si>
    <t>MX5XG (RS4038.352)6</t>
  </si>
  <si>
    <t>MX5XG (RS4038.352)8</t>
  </si>
  <si>
    <t>MX5XG (RS4038.352)12</t>
  </si>
  <si>
    <t>DX6LN (RS4018.742)4</t>
  </si>
  <si>
    <t>DX6LN (RS4018.742)6</t>
  </si>
  <si>
    <t>DX6LN (RS4018.742)8</t>
  </si>
  <si>
    <t>DX6LN (RS4018.742)12</t>
  </si>
  <si>
    <t>DX6LD (RS3007.042)4</t>
  </si>
  <si>
    <t>DX6LD (RS3007.042)6</t>
  </si>
  <si>
    <t>DX6LD (RS3007.042)8</t>
  </si>
  <si>
    <t>DX6LD (RS3007.042)12</t>
  </si>
  <si>
    <t>DR6LD (RS3026.042)8</t>
  </si>
  <si>
    <t>DR6LD (RS3026.042)12</t>
  </si>
  <si>
    <t>TORONTO (RS5004.005)6</t>
  </si>
  <si>
    <t>TORONTO (RS5004.005)8</t>
  </si>
  <si>
    <t>TORONTO (RS5004.005)12</t>
  </si>
  <si>
    <t>TORONTO (RS5003.005)6</t>
  </si>
  <si>
    <t>QC-R-35 (RS1069.652)8</t>
  </si>
  <si>
    <t>QC-R-35 (RS1069.652)12</t>
  </si>
  <si>
    <t>BMD (RS2020.642)4</t>
  </si>
  <si>
    <t>BMD (RS2020.642)6</t>
  </si>
  <si>
    <t>BMD (RS2020.642)8</t>
  </si>
  <si>
    <t>BMD (RS2020.642)12</t>
  </si>
  <si>
    <t>DX6XN (RS4018.052)4</t>
  </si>
  <si>
    <t>DX6XN (RS4018.052)6</t>
  </si>
  <si>
    <t>DX6XN (RS4018.052)8</t>
  </si>
  <si>
    <t>DX6XN (RS4018.052)12</t>
  </si>
  <si>
    <t>PF-54-R (RS1073.652)4</t>
  </si>
  <si>
    <t>PF-54-R (RS1073.652)6</t>
  </si>
  <si>
    <t>PF-54-R (RS1073.652)8</t>
  </si>
  <si>
    <t>PF-54-R (RS1073.652)12</t>
  </si>
  <si>
    <t>CONC%_TEMP</t>
  </si>
  <si>
    <t>Glycol_30%_20</t>
  </si>
  <si>
    <t>Glycol_30%_25</t>
  </si>
  <si>
    <t>Glycol_35%_20</t>
  </si>
  <si>
    <t>Glycol_35%_25</t>
  </si>
  <si>
    <t>capacityl_mbh</t>
  </si>
  <si>
    <t>fan1_120_1</t>
  </si>
  <si>
    <t>fan2_208_1</t>
  </si>
  <si>
    <t>fan_3_208_3</t>
  </si>
  <si>
    <t>mis_volt</t>
  </si>
  <si>
    <t>drain_pan1_120_1</t>
  </si>
  <si>
    <t>drain_pan1_volt</t>
  </si>
  <si>
    <t>drain_pan2_208_1</t>
  </si>
  <si>
    <t>drain_pan2_volt</t>
  </si>
  <si>
    <t>drain_pan3_460_1</t>
  </si>
  <si>
    <t>drain_pan3_volt</t>
  </si>
  <si>
    <t>defrost3_460_1</t>
  </si>
  <si>
    <t>defrost3_volt</t>
  </si>
  <si>
    <t>defrost4_460_3</t>
  </si>
  <si>
    <t>defrost4_volt</t>
  </si>
  <si>
    <t>Fan_Qty</t>
  </si>
  <si>
    <t>HP</t>
  </si>
  <si>
    <t>FPI</t>
  </si>
  <si>
    <t>Fan1_Watts</t>
  </si>
  <si>
    <t>Fan2_Watts</t>
  </si>
  <si>
    <t>INLET_OD</t>
  </si>
  <si>
    <t>SUCTION_ID</t>
  </si>
  <si>
    <t>Equalizer_OD</t>
  </si>
  <si>
    <t>Drain_MPT</t>
  </si>
  <si>
    <t>Length</t>
  </si>
  <si>
    <t>Width</t>
  </si>
  <si>
    <t>Height</t>
  </si>
  <si>
    <t>Weight</t>
  </si>
  <si>
    <t>HXer</t>
  </si>
  <si>
    <t>fan_type</t>
  </si>
  <si>
    <t>120/1_FANS</t>
  </si>
  <si>
    <t>REFRIGERANT CHARGE SCHEDULE</t>
  </si>
  <si>
    <t>MARK</t>
  </si>
  <si>
    <t>EQUIPMENT TYPE</t>
  </si>
  <si>
    <t>UNIT OF MEASURE (LBS OR GAL)</t>
  </si>
  <si>
    <t>EXISTING REFRIGERANT TYPE</t>
  </si>
  <si>
    <t>TOTAL EXISTING REFRIGERANT CHARGE</t>
  </si>
  <si>
    <t>ESTIMATED EXISTING REFRIGERANT AMOUNT REMOVED</t>
  </si>
  <si>
    <t>ESTIMATED EXISTING REFRIGERANT AMOUNT ADDED</t>
  </si>
  <si>
    <t>NEW REFRIGERANT TYPE</t>
  </si>
  <si>
    <t>ESTIMATED NEW REFRIGERANT TYPE ADDED</t>
  </si>
  <si>
    <t>TOTAL ESTIMATED NEW CHARGE</t>
  </si>
  <si>
    <t>SKID</t>
  </si>
  <si>
    <t>RACK</t>
  </si>
  <si>
    <t>LBS</t>
  </si>
  <si>
    <t>HFC SKID CHARGE</t>
  </si>
  <si>
    <t>CONN:1 &amp; CONN:2 CHARGE</t>
  </si>
  <si>
    <t>PIPING AND FIXTURE AMOUNT ADDED</t>
  </si>
  <si>
    <t>SKID CHARGE ADDED</t>
  </si>
  <si>
    <t>Skid HFC Charge (LBS)</t>
  </si>
  <si>
    <t>Skid Secondary Fluid Charge</t>
  </si>
  <si>
    <t>EXISTING REFRIGERANT AMOUNT REMOVED IN FIXTURES</t>
  </si>
  <si>
    <t>EXISTING REFRIGERANT AMOUNT REMOVED IN PIPING</t>
  </si>
  <si>
    <t>A01</t>
  </si>
  <si>
    <t>REPLACE ENTIRE SUCTION LINE WITH PIPING OF INDICATED SIZE, REUSE LIQUID.</t>
  </si>
  <si>
    <t>REPLACE ENTIRE LIQUID LINE WITH NEW PIPING OF INDICATED SIZE, REUSE SUCTION.</t>
  </si>
  <si>
    <t>G.</t>
  </si>
  <si>
    <t>H.</t>
  </si>
  <si>
    <t>=E12</t>
  </si>
  <si>
    <t>=E49</t>
  </si>
  <si>
    <t>=E62</t>
  </si>
  <si>
    <t>=E86</t>
  </si>
  <si>
    <t>=E99</t>
  </si>
  <si>
    <t>=E125</t>
  </si>
  <si>
    <t>=E138</t>
  </si>
  <si>
    <t>A01 SCO2</t>
  </si>
  <si>
    <t>Secondary Refrigerant:</t>
  </si>
  <si>
    <t>Primary Refrigerant SST:</t>
  </si>
  <si>
    <t>Secondary Pump Skid</t>
  </si>
  <si>
    <t>Primary Refrigerant:</t>
  </si>
  <si>
    <t>Primary Refrigerant Return Gas Temp</t>
  </si>
  <si>
    <t>REFRIGERATION SECONDARY PUMP SKID SCHEDULE</t>
  </si>
  <si>
    <t>MANUFACTURER</t>
  </si>
  <si>
    <t>MODEL</t>
  </si>
  <si>
    <t>PRIMARY REFRIGERANT</t>
  </si>
  <si>
    <t>SECONDARY REFRIGERANT</t>
  </si>
  <si>
    <t>SYSTEM LOAD (MBH)</t>
  </si>
  <si>
    <t>FLUID SUPPLY TEMP (°F)</t>
  </si>
  <si>
    <t xml:space="preserve">MINIMUM FLOW RATE (GPM) </t>
  </si>
  <si>
    <t>MAXIMUM FLOW RATE (GPM)</t>
  </si>
  <si>
    <t>DESIGN HEAD (FT)</t>
  </si>
  <si>
    <t>VOLTAGE</t>
  </si>
  <si>
    <t>SCCR</t>
  </si>
  <si>
    <t>MCA</t>
  </si>
  <si>
    <t>MOPD</t>
  </si>
  <si>
    <t>RAE</t>
  </si>
  <si>
    <t>New Skid?</t>
  </si>
  <si>
    <t>Primary Suction Group:</t>
  </si>
  <si>
    <t>Mounting:</t>
  </si>
  <si>
    <t>5KA</t>
  </si>
  <si>
    <t>5KV</t>
  </si>
  <si>
    <t>Phase</t>
  </si>
  <si>
    <t>SYSTEM</t>
  </si>
  <si>
    <t>CIRCUIT NUMBER</t>
  </si>
  <si>
    <t>CIRCUIT LOAD (MBH)</t>
  </si>
  <si>
    <t>CIRCUIT FLOWRATE (GPM)</t>
  </si>
  <si>
    <t>PHASE</t>
  </si>
  <si>
    <t>PHASE LOAD SETPOINT (MBH)</t>
  </si>
  <si>
    <t>PHASE FLOWRATE (GPM)</t>
  </si>
  <si>
    <t>GENERAL NOTES</t>
  </si>
  <si>
    <t>2. REFRIGERATION CONTRACTOR TO CONFIRM PHASING WITH WALMART MECHANICAL CONSTRUCTION MANAGER PRIOR TO CONSTRUCTION START.</t>
  </si>
  <si>
    <t>B. PHASE FLOWRATE INCLUDE PREVIOUS PHASES' FLOWRATES.</t>
  </si>
  <si>
    <t>CIRCUIT RESTART SCHEDULE</t>
  </si>
  <si>
    <t>GROUP</t>
  </si>
  <si>
    <t>TIME DELAY</t>
  </si>
  <si>
    <t>3 MINS</t>
  </si>
  <si>
    <t>Secondary Pump Skid Model:</t>
  </si>
  <si>
    <t>Sat. Cond. Temp</t>
  </si>
  <si>
    <t>Primary Refrig. Liquid Temp</t>
  </si>
  <si>
    <t>Store-Seq #</t>
  </si>
  <si>
    <t>2021</t>
  </si>
  <si>
    <t>1 of 2 Skid Connections</t>
  </si>
  <si>
    <t>2 of 2 Skid Connections</t>
  </si>
  <si>
    <t>QC-R-35 (RD1069.652)</t>
  </si>
  <si>
    <t>TY3ECSQ-4X6I-R (RS1076.552)</t>
  </si>
  <si>
    <t>RS1076.552</t>
  </si>
  <si>
    <t>QC-R-35 (RD1069.652)8</t>
  </si>
  <si>
    <t>QC-R-35 (RD1069.652)12</t>
  </si>
  <si>
    <t>TY3ECSQ-4X6I-R (RS1076.552)6</t>
  </si>
  <si>
    <t>Skid OEM:</t>
  </si>
  <si>
    <t>LTA SCO2</t>
  </si>
  <si>
    <t>LTA DX</t>
  </si>
  <si>
    <t>PH</t>
  </si>
  <si>
    <t>d</t>
  </si>
  <si>
    <t>Pump Heat</t>
  </si>
  <si>
    <t>CONNECTION 2 TO SECONDARY SKID SERVED BY (1) SUCTION LINE AND NO LIQUID LINE.</t>
  </si>
  <si>
    <t>CONNECTION 1 TO SECONDARY SKID SERVED BY (1) SUCTION LINES AND (1) LIQUID LINE. PROVIDE INDIVIDUAL 7/8" LIQUID CONNECTIONS TO SKID LIQUID STUBS.</t>
  </si>
  <si>
    <t>I.</t>
  </si>
  <si>
    <t>J.</t>
  </si>
  <si>
    <t>K.</t>
  </si>
  <si>
    <t>PIPE STUB FOR FUTURE USE.</t>
  </si>
  <si>
    <t>CASES SHALL BE CONTRACTOR INSTALLED AND OWNER FURNISHED THROUGH REFRIGERATED CASE MANUFACTURER LISTED ON SCHEDULE.</t>
  </si>
  <si>
    <t>DR6LD (RD3026.042)</t>
  </si>
  <si>
    <t>RD3026.042</t>
  </si>
  <si>
    <t>DR6LD (RDC3026.042)</t>
  </si>
  <si>
    <t>RDC3026.042</t>
  </si>
  <si>
    <t>DX6XN (RD4018.052)</t>
  </si>
  <si>
    <t>RD4018.052</t>
  </si>
  <si>
    <t>FWGH-L (RD5002.285)</t>
  </si>
  <si>
    <t>RD5002.285</t>
  </si>
  <si>
    <t>GHSS(L)52RLB (RDX090603.M05)</t>
  </si>
  <si>
    <t>RDX090603.M05</t>
  </si>
  <si>
    <t>GHSS(L)52RLB (RSR090603.M05)</t>
  </si>
  <si>
    <t>RSR090603.M05</t>
  </si>
  <si>
    <t>ID5NM (RS4041.902)</t>
  </si>
  <si>
    <t>RS4041.902</t>
  </si>
  <si>
    <t>IDD5SL (RSR020101.M01)</t>
  </si>
  <si>
    <t>RSR020101.M01</t>
  </si>
  <si>
    <t>IDD5SL (RSR020101.M04)</t>
  </si>
  <si>
    <t>RSR020101.M04</t>
  </si>
  <si>
    <t>IDD5SL-R (RSR020201.M01)</t>
  </si>
  <si>
    <t>RSR020201.M01</t>
  </si>
  <si>
    <t>JNRZH (RDC3039.142)</t>
  </si>
  <si>
    <t>RDC3039.142</t>
  </si>
  <si>
    <t>JNRZH (RDC3039.242)</t>
  </si>
  <si>
    <t>RDC3039.242</t>
  </si>
  <si>
    <t>JNRZH (RS3039.142)</t>
  </si>
  <si>
    <t>RS3039.142</t>
  </si>
  <si>
    <t>JNRZH (RS3039.242)</t>
  </si>
  <si>
    <t>RS3039.242</t>
  </si>
  <si>
    <t>MALMOE (RS6021.205)</t>
  </si>
  <si>
    <t>RS6021.205</t>
  </si>
  <si>
    <t>O5DM-NRG (RD4000.442)</t>
  </si>
  <si>
    <t>RD4000.442</t>
  </si>
  <si>
    <t>O5DM-NRG (RDC4000.442)</t>
  </si>
  <si>
    <t>RDC4000.442</t>
  </si>
  <si>
    <t>O5DM-NRG (RS4000.702)</t>
  </si>
  <si>
    <t>RS4000.702</t>
  </si>
  <si>
    <t>O5M-NRG (RS4002.352)</t>
  </si>
  <si>
    <t>RS4002.352</t>
  </si>
  <si>
    <t>ONRIZH (RS3001.142)</t>
  </si>
  <si>
    <t>DR</t>
  </si>
  <si>
    <t>RS3001.142</t>
  </si>
  <si>
    <t>ONRIZH (RS3001.242)</t>
  </si>
  <si>
    <t>RS3001.242</t>
  </si>
  <si>
    <t>ONRZH (RS3000.142)</t>
  </si>
  <si>
    <t>RS3000.142</t>
  </si>
  <si>
    <t>ONRZH (RS3000.242)</t>
  </si>
  <si>
    <t>RS3000.242</t>
  </si>
  <si>
    <t>ONRZH/ONRIZH (RS3000.142 / RS3001.142)</t>
  </si>
  <si>
    <t>RS3000.142 / RS3001.142</t>
  </si>
  <si>
    <t>ONRZH/ONRIZH (RS3000.242 / RS3001.242)</t>
  </si>
  <si>
    <t>RS3000.242 / RS3001.242</t>
  </si>
  <si>
    <t>ORB (RDC010301.M01)</t>
  </si>
  <si>
    <t>RDC010301.M01</t>
  </si>
  <si>
    <t>ORB (RDC010301.M04)</t>
  </si>
  <si>
    <t>RDC010301.M04</t>
  </si>
  <si>
    <t>OWEZV (RDC6000.285)</t>
  </si>
  <si>
    <t>RDC6000.285</t>
  </si>
  <si>
    <t>OWEZV (RS6000.205)</t>
  </si>
  <si>
    <t>RS6000.205</t>
  </si>
  <si>
    <t>OWIZV (RDC6001.285)</t>
  </si>
  <si>
    <t>RDC6001.285</t>
  </si>
  <si>
    <t>OWIZV (RS6001.205)</t>
  </si>
  <si>
    <t>RS6001.205</t>
  </si>
  <si>
    <t>PF-R-EC-56.25 (RDC1054.052)</t>
  </si>
  <si>
    <t>RDC1054.052</t>
  </si>
  <si>
    <t>Q3-DC (RD2010.652)</t>
  </si>
  <si>
    <t>RD2010.652</t>
  </si>
  <si>
    <t>Q3-DS (RD2014.652)</t>
  </si>
  <si>
    <t>RD2014.652</t>
  </si>
  <si>
    <t>RS1068.352</t>
  </si>
  <si>
    <t>RS1068.652</t>
  </si>
  <si>
    <t>RS1068.652 / RS1069.652</t>
  </si>
  <si>
    <t>RS1068.352 / RS1080.352</t>
  </si>
  <si>
    <t>RDC4106.352</t>
  </si>
  <si>
    <t>RDC4106.452</t>
  </si>
  <si>
    <t>RS4106.352</t>
  </si>
  <si>
    <t>RS4106.452</t>
  </si>
  <si>
    <t>RS4106.642</t>
  </si>
  <si>
    <t>RDC4106.352 / RDC1082.352</t>
  </si>
  <si>
    <t>RDC4106.452 / RDC1082.452</t>
  </si>
  <si>
    <t>RDC1082.352</t>
  </si>
  <si>
    <t>RDC1082.452</t>
  </si>
  <si>
    <t>RDC1082.652</t>
  </si>
  <si>
    <t>RS1080.352</t>
  </si>
  <si>
    <t>RS1080.652</t>
  </si>
  <si>
    <t>RLN-FF (RS3002.244)</t>
  </si>
  <si>
    <t>RS3002.244</t>
  </si>
  <si>
    <t>RLN-FF/RLNI-FF (RS3002.244 / RS3003.244)</t>
  </si>
  <si>
    <t>RS3002.244 / RS3003.244</t>
  </si>
  <si>
    <t>RLN-IC (RS3002.144)</t>
  </si>
  <si>
    <t>RS3002.144</t>
  </si>
  <si>
    <t>RLN-IC/RLNI-IC (RS3002.144 / RS3003.144)</t>
  </si>
  <si>
    <t>RS3002.144 / RS3003.144</t>
  </si>
  <si>
    <t>RLNI-FF (RS3003.244)</t>
  </si>
  <si>
    <t>RS3003.244</t>
  </si>
  <si>
    <t>RLNI-IC (RS3003.144)</t>
  </si>
  <si>
    <t>RS3003.144</t>
  </si>
  <si>
    <t>RMN (RD3014.442)</t>
  </si>
  <si>
    <t>RD3014.442</t>
  </si>
  <si>
    <t>RRS (RS3019.645)</t>
  </si>
  <si>
    <t>RS3019.645</t>
  </si>
  <si>
    <t>TORONTO (RS5003.205 / RS5004.205)</t>
  </si>
  <si>
    <t>RS5003.205 / RS5004.205</t>
  </si>
  <si>
    <t>HUSSMAN</t>
  </si>
  <si>
    <t>STRUCTURAL CONCEPTS</t>
  </si>
  <si>
    <t>HILL PHEONIX</t>
  </si>
  <si>
    <t>RLN-IC (RS3002.144)2</t>
  </si>
  <si>
    <t>RLN-IC (RS3002.144)3</t>
  </si>
  <si>
    <t>RLN-IC (RS3002.144)4</t>
  </si>
  <si>
    <t>RLN-IC (RS3002.144)5</t>
  </si>
  <si>
    <t>RLNI-IC (RS3003.144)2</t>
  </si>
  <si>
    <t>RLNI-IC (RS3003.144)3</t>
  </si>
  <si>
    <t>RLNI-IC (RS3003.144)4</t>
  </si>
  <si>
    <t>RLNI-IC (RS3003.144)5</t>
  </si>
  <si>
    <t>RLN-FF (RS3002.244)2</t>
  </si>
  <si>
    <t>RLN-FF (RS3002.244)3</t>
  </si>
  <si>
    <t>RLN-FF (RS3002.244)4</t>
  </si>
  <si>
    <t>RLN-FF (RS3002.244)5</t>
  </si>
  <si>
    <t>RLNI-FF (RS3003.244)2</t>
  </si>
  <si>
    <t>RLNI-FF (RS3003.244)3</t>
  </si>
  <si>
    <t>RLNI-FF (RS3003.244)4</t>
  </si>
  <si>
    <t>RLNI-FF (RS3003.244)5</t>
  </si>
  <si>
    <t>RLN-IC/RLNI-IC (RS3002.144 / RS3003.144)2</t>
  </si>
  <si>
    <t>RLN-IC/RLNI-IC (RS3002.144 / RS3003.144)3</t>
  </si>
  <si>
    <t>RLN-IC/RLNI-IC (RS3002.144 / RS3003.144)4</t>
  </si>
  <si>
    <t>RLN-IC/RLNI-IC (RS3002.144 / RS3003.144)5</t>
  </si>
  <si>
    <t>RLN-FF/RLNI-FF (RS3002.244 / RS3003.244)2</t>
  </si>
  <si>
    <t>RLN-FF/RLNI-FF (RS3002.244 / RS3003.244)3</t>
  </si>
  <si>
    <t>RLN-FF/RLNI-FF (RS3002.244 / RS3003.244)4</t>
  </si>
  <si>
    <t>RLN-FF/RLNI-FF (RS3002.244 / RS3003.244)5</t>
  </si>
  <si>
    <t>JNRZH (RS3039.142)2</t>
  </si>
  <si>
    <t>JNRZH (RS3039.142)3</t>
  </si>
  <si>
    <t>JNRZH (RS3039.142)4</t>
  </si>
  <si>
    <t>JNRZH (RS3039.142)5</t>
  </si>
  <si>
    <t>JNRZH (RS3039.242)2</t>
  </si>
  <si>
    <t>JNRZH (RS3039.242)3</t>
  </si>
  <si>
    <t>JNRZH (RS3039.242)4</t>
  </si>
  <si>
    <t>JNRZH (RS3039.242)5</t>
  </si>
  <si>
    <t>GHSS(L)52RLB (RDX090603.M05)4</t>
  </si>
  <si>
    <t>GHSS(L)52RLB (RDX090603.M05)6</t>
  </si>
  <si>
    <t>GHSS(L)52RLB (RDX090603.M05)8</t>
  </si>
  <si>
    <t>GHSS(L)52RLB (RDX090603.M05)12</t>
  </si>
  <si>
    <t>GHSS(L)52RLB (RSR090603.M05)4</t>
  </si>
  <si>
    <t>GHSS(L)52RLB (RSR090603.M05)6</t>
  </si>
  <si>
    <t>GHSS(L)52RLB (RSR090603.M05)8</t>
  </si>
  <si>
    <t>GHSS(L)52RLB (RSR090603.M05)12</t>
  </si>
  <si>
    <t>RMN (RD3014.442)2</t>
  </si>
  <si>
    <t>RMN (RD3014.442)3</t>
  </si>
  <si>
    <t>RMN (RD3014.442)4</t>
  </si>
  <si>
    <t>RMN (RD3014.442)5</t>
  </si>
  <si>
    <t>Q3-DS (RD2014.652)4</t>
  </si>
  <si>
    <t>Q3-DS (RD2014.652)6</t>
  </si>
  <si>
    <t>Q3-DS (RD2014.652)8</t>
  </si>
  <si>
    <t>Q3-DS (RD2014.652)10</t>
  </si>
  <si>
    <t>Q3-DS (RD2014.652)12</t>
  </si>
  <si>
    <t>Q3-DC (RD2010.652)4</t>
  </si>
  <si>
    <t>Q3-DC (RD2010.652)6</t>
  </si>
  <si>
    <t>Q3-DC (RD2010.652)8</t>
  </si>
  <si>
    <t>Q3-DC (RD2010.652)10</t>
  </si>
  <si>
    <t>Q3-DC (RD2010.652)12</t>
  </si>
  <si>
    <t>ORB (RDC010301.M01)4</t>
  </si>
  <si>
    <t>ORB (RDC010301.M01)6</t>
  </si>
  <si>
    <t>ORB (RDC010301.M01)8</t>
  </si>
  <si>
    <t>ORB (RDC010301.M01)12</t>
  </si>
  <si>
    <t>ORB (RDC010301.M04)4</t>
  </si>
  <si>
    <t>ORB (RDC010301.M04)6</t>
  </si>
  <si>
    <t>ORB (RDC010301.M04)8</t>
  </si>
  <si>
    <t>ORB (RDC010301.M04)12</t>
  </si>
  <si>
    <t>JNRZH (RDC3039.142)2</t>
  </si>
  <si>
    <t>JNRZH (RDC3039.142)3</t>
  </si>
  <si>
    <t>JNRZH (RDC3039.142)4</t>
  </si>
  <si>
    <t>JNRZH (RDC3039.142)5</t>
  </si>
  <si>
    <t>JNRZH (RDC3039.242)2</t>
  </si>
  <si>
    <t>JNRZH (RDC3039.242)3</t>
  </si>
  <si>
    <t>JNRZH (RDC3039.242)4</t>
  </si>
  <si>
    <t>JNRZH (RDC3039.242)5</t>
  </si>
  <si>
    <t>FWGH-L (RD5002.285)8</t>
  </si>
  <si>
    <t>FWGH-L (RD5002.285)12</t>
  </si>
  <si>
    <t>PF-R-EC-56.25 (RDC1054.052)6</t>
  </si>
  <si>
    <t>IDD5SL (RSR020101.M01)4</t>
  </si>
  <si>
    <t>IDD5SL (RSR020101.M01)6</t>
  </si>
  <si>
    <t>IDD5SL (RSR020101.M01)8</t>
  </si>
  <si>
    <t>IDD5SL (RSR020101.M01)12</t>
  </si>
  <si>
    <t>IDD5SL-R (RSR020201.M01)4</t>
  </si>
  <si>
    <t>IDD5SL-R (RSR020201.M01)6</t>
  </si>
  <si>
    <t>IDD5SL-R (RSR020201.M01)8</t>
  </si>
  <si>
    <t>IDD5SL-R (RSR020201.M01)12</t>
  </si>
  <si>
    <t>IDD5SL (RSR020101.M04)4</t>
  </si>
  <si>
    <t>IDD5SL (RSR020101.M04)6</t>
  </si>
  <si>
    <t>IDD5SL (RSR020101.M04)8</t>
  </si>
  <si>
    <t>IDD5SL (RSR020101.M04)12</t>
  </si>
  <si>
    <t>MALMOE (RS6021.205)6</t>
  </si>
  <si>
    <t>OWIZV (RS6001.205)4</t>
  </si>
  <si>
    <t>OWIZV (RS6001.205)6</t>
  </si>
  <si>
    <t>OWIZV (RS6001.205)8</t>
  </si>
  <si>
    <t>OWIZV (RS6001.205)10</t>
  </si>
  <si>
    <t>OWIZV (RS6001.205)12</t>
  </si>
  <si>
    <t>DR6LD (RD3026.042)8</t>
  </si>
  <si>
    <t>DR6LD (RD3026.042)12</t>
  </si>
  <si>
    <t>DR6LD (RDC3026.042)8</t>
  </si>
  <si>
    <t>DR6LD (RDC3026.042)12</t>
  </si>
  <si>
    <t>DX6XN (RD4018.052)4</t>
  </si>
  <si>
    <t>DX6XN (RD4018.052)6</t>
  </si>
  <si>
    <t>DX6XN (RD4018.052)8</t>
  </si>
  <si>
    <t>DX6XN (RD4018.052)12</t>
  </si>
  <si>
    <t>ONRZH (RS3000.142)2</t>
  </si>
  <si>
    <t>ONRZH (RS3000.142)3</t>
  </si>
  <si>
    <t>ONRZH (RS3000.142)4</t>
  </si>
  <si>
    <t>ONRZH (RS3000.142)5</t>
  </si>
  <si>
    <t>ONRZH (RS3000.242)2</t>
  </si>
  <si>
    <t>ONRZH (RS3000.242)3</t>
  </si>
  <si>
    <t>ONRZH (RS3000.242)4</t>
  </si>
  <si>
    <t>ONRZH (RS3000.242)5</t>
  </si>
  <si>
    <t>ONRIZH (RS3001.242)2</t>
  </si>
  <si>
    <t>ONRIZH (RS3001.242)3</t>
  </si>
  <si>
    <t>ONRIZH (RS3001.242)4</t>
  </si>
  <si>
    <t>ONRIZH (RS3001.242)5</t>
  </si>
  <si>
    <t>ONRIZH (RS3001.142)2</t>
  </si>
  <si>
    <t>ONRIZH (RS3001.142)3</t>
  </si>
  <si>
    <t>ONRIZH (RS3001.142)4</t>
  </si>
  <si>
    <t>ONRIZH (RS3001.142)5</t>
  </si>
  <si>
    <t>ONRZH/ONRIZH (RS3000.242 / RS3001.242)2</t>
  </si>
  <si>
    <t>ONRZH/ONRIZH (RS3000.242 / RS3001.242)3</t>
  </si>
  <si>
    <t>ONRZH/ONRIZH (RS3000.242 / RS3001.242)4</t>
  </si>
  <si>
    <t>ONRZH/ONRIZH (RS3000.242 / RS3001.242)5</t>
  </si>
  <si>
    <t>ONRZH/ONRIZH (RS3000.142 / RS3001.142)2</t>
  </si>
  <si>
    <t>ONRZH/ONRIZH (RS3000.142 / RS3001.142)3</t>
  </si>
  <si>
    <t>ONRZH/ONRIZH (RS3000.142 / RS3001.142)4</t>
  </si>
  <si>
    <t>ONRZH/ONRIZH (RS3000.142 / RS3001.142)5</t>
  </si>
  <si>
    <t>TORONTO (RS5003.205 / RS5004.205)6</t>
  </si>
  <si>
    <t>TORONTO (RS5003.205 / RS5004.205)8</t>
  </si>
  <si>
    <t>TORONTO (RS5003.205 / RS5004.205)12</t>
  </si>
  <si>
    <t>OWIZV (RDC6001.285)4</t>
  </si>
  <si>
    <t>OWIZV (RDC6001.285)6</t>
  </si>
  <si>
    <t>OWIZV (RDC6001.285)8</t>
  </si>
  <si>
    <t>OWIZV (RDC6001.285)10</t>
  </si>
  <si>
    <t>OWIZV (RDC6001.285)12</t>
  </si>
  <si>
    <t>OWEZV (RDC6000.285)6</t>
  </si>
  <si>
    <t>OWEZV (RS6000.205)6</t>
  </si>
  <si>
    <t>RRS (RS3019.645)4</t>
  </si>
  <si>
    <t>RRS (RS3019.645)6</t>
  </si>
  <si>
    <t>RRS (RS3019.645)8</t>
  </si>
  <si>
    <t>RRS (RS3019.645)10</t>
  </si>
  <si>
    <t>RRS (RS3019.645)12</t>
  </si>
  <si>
    <t>ID5NM (RS4041.902)4</t>
  </si>
  <si>
    <t>ID5NM (RS4041.902)6</t>
  </si>
  <si>
    <t>ID5NM (RS4041.902)8</t>
  </si>
  <si>
    <t>ID5NM (RS4041.902)12</t>
  </si>
  <si>
    <t>O5DM-NRG (RDC4000.442)4</t>
  </si>
  <si>
    <t>O5DM-NRG (RDC4000.442)6</t>
  </si>
  <si>
    <t>O5DM-NRG (RDC4000.442)8</t>
  </si>
  <si>
    <t>O5DM-NRG (RDC4000.442)12</t>
  </si>
  <si>
    <t>O5M-NRG (RS4002.352)4</t>
  </si>
  <si>
    <t>O5M-NRG (RS4002.352)6</t>
  </si>
  <si>
    <t>O5M-NRG (RS4002.352)8</t>
  </si>
  <si>
    <t>O5M-NRG (RS4002.352)12</t>
  </si>
  <si>
    <t>O5DM-NRG (RD4000.442)4</t>
  </si>
  <si>
    <t>O5DM-NRG (RD4000.442)6</t>
  </si>
  <si>
    <t>O5DM-NRG (RD4000.442)8</t>
  </si>
  <si>
    <t>O5DM-NRG (RD4000.442)12</t>
  </si>
  <si>
    <t>O5DM-NRG (RS4000.702)4</t>
  </si>
  <si>
    <t>O5DM-NRG (RS4000.702)6</t>
  </si>
  <si>
    <t>O5DM-NRG (RS4000.702)8</t>
  </si>
  <si>
    <t>O5DM-NRG (RS4000.702)12</t>
  </si>
  <si>
    <t>Executive to be programmed so that a maximum of x circuits per rack are allowed defrost concurrently. Coordinate with BAS vendor as necessary.</t>
  </si>
  <si>
    <t>4. PRE-PIPE ALL MAIN LOOPS AND CIRCUIT DROPS, FLUSH  AND FILL USING U-BEND BYPASS LINES PER SPEC 15181, AND COMPLETE SKID START-UP PRIOR TO PHASING.</t>
  </si>
  <si>
    <t>3. THE PHASING SCHEDULE IS INTENDED FOR CIRCUIT PHASING START-UP DURING CONSTRUCTION. TO BE USED DURING THE TRANSITION OF CIRCUITS FROM LEGACY REFRIGERANTS TO SECONDARY. IT IS NOT TO BE USED FOR AUTOMATED RESTART AFTER A RACK SHUT DOWN EVENT.</t>
  </si>
  <si>
    <t>Produce Island</t>
  </si>
  <si>
    <t>PROD ISL</t>
  </si>
  <si>
    <t>Produce Island End</t>
  </si>
  <si>
    <t>PROD ISL END</t>
  </si>
  <si>
    <t>Produce Island W/End</t>
  </si>
  <si>
    <t>PROD ISL/PROD ISL END</t>
  </si>
  <si>
    <t>M.D. Deli Island</t>
  </si>
  <si>
    <t>MD DELI ISL</t>
  </si>
  <si>
    <t>M.D. Deli Island End</t>
  </si>
  <si>
    <t>MD DELI ISL END</t>
  </si>
  <si>
    <t>M.D. Deli Island W/End</t>
  </si>
  <si>
    <t>MD DELI ISL/MD DELI ISL END</t>
  </si>
  <si>
    <t>Grab-N-Go Island</t>
  </si>
  <si>
    <t>Grab-N-Go Island End</t>
  </si>
  <si>
    <t>Grab-N-Go Island W/End</t>
  </si>
  <si>
    <t>GRAB N GO ISL</t>
  </si>
  <si>
    <t>GRAB N GO ISL END</t>
  </si>
  <si>
    <t>GRAB N GO ISL/GRAB N GO ISL END</t>
  </si>
  <si>
    <t>Circuit shall be connected via Bottom-Fed piping routed through partition for coffin/island cases.</t>
  </si>
  <si>
    <t>AUSTIN 95/205 MF (RDC040702.M06)</t>
  </si>
  <si>
    <t>RDC040702.M06</t>
  </si>
  <si>
    <t>AUSTIN 95/205 MF (RSR040702.M06)</t>
  </si>
  <si>
    <t>RSR040702.M06</t>
  </si>
  <si>
    <t>FFM-93-57-99 (RS4054.902)</t>
  </si>
  <si>
    <t>RS4054.902</t>
  </si>
  <si>
    <t>FFM-93-66-99 (RS4055.902)</t>
  </si>
  <si>
    <t>RS4055.902</t>
  </si>
  <si>
    <t>FFM-93-66-99 (RS4056.902)</t>
  </si>
  <si>
    <t>RS4056.902</t>
  </si>
  <si>
    <t>FWEGHL (RS5001.205)</t>
  </si>
  <si>
    <t>RS5001.205</t>
  </si>
  <si>
    <t>FWGH-L (RS5002.205)</t>
  </si>
  <si>
    <t>RS5002.205</t>
  </si>
  <si>
    <t>IMX5-EC10 (RS4051.552)</t>
  </si>
  <si>
    <t>RS4051.552</t>
  </si>
  <si>
    <t>IMX5-EC10 (RS4052.552)</t>
  </si>
  <si>
    <t>RS4052.552</t>
  </si>
  <si>
    <t>JNRZH (RD3039.142)</t>
  </si>
  <si>
    <t>RD3039.142</t>
  </si>
  <si>
    <t>JNRZH (RD3039.242)</t>
  </si>
  <si>
    <t>RD3039.242</t>
  </si>
  <si>
    <t>LISBONA 95-200MF (RD4048.902)</t>
  </si>
  <si>
    <t>RD4048.902</t>
  </si>
  <si>
    <t>LISBONA 95-200MF (RDC4048.902)</t>
  </si>
  <si>
    <t>RDC4048.902</t>
  </si>
  <si>
    <t>LISBONA 95-200MF (RS4048.902)</t>
  </si>
  <si>
    <t>RS4048.902</t>
  </si>
  <si>
    <t>O3.5UM-NRG (RS1002.051)</t>
  </si>
  <si>
    <t>RS1002.051</t>
  </si>
  <si>
    <t>O5DM-NRG (RD4000.702)</t>
  </si>
  <si>
    <t>RD4000.702</t>
  </si>
  <si>
    <t>O5DM-NRG (RDC4000.542)</t>
  </si>
  <si>
    <t>RDC4000.542</t>
  </si>
  <si>
    <t>O5DM-NRG (RS4000.542)</t>
  </si>
  <si>
    <t>RS4000.542</t>
  </si>
  <si>
    <t>O5DR-NRG (RD4001.552)</t>
  </si>
  <si>
    <t>RD4001.552</t>
  </si>
  <si>
    <t>O5DR-NRG (RS4001.552)</t>
  </si>
  <si>
    <t>RS4001.552</t>
  </si>
  <si>
    <t>ORB (RS010301.M01)</t>
  </si>
  <si>
    <t>RS010301.M01</t>
  </si>
  <si>
    <t>QC-6R-35 (RDC1068.652)</t>
  </si>
  <si>
    <t>RDC1068.652</t>
  </si>
  <si>
    <t>QC-6R-35 (RS1068.352)</t>
  </si>
  <si>
    <t>QC-6R-35 (RS1068.652)</t>
  </si>
  <si>
    <t>QC-6R-35/QC-R-35 (RS1068.652 / RS1069.652)</t>
  </si>
  <si>
    <t>QC-6R-35/QC-R-35 (RS1068.652/RS1069.652)</t>
  </si>
  <si>
    <t>QC-6R-35/QC-R-64 (RDC1068.652 / RDC1080.652)</t>
  </si>
  <si>
    <t>RDC1068.652 / RDC1080.652</t>
  </si>
  <si>
    <t>QC-6R-35/QC-R-64 (RS1068.352 / RS1080.352)</t>
  </si>
  <si>
    <t>QC-6R-57 (RDC012101.M01)</t>
  </si>
  <si>
    <t>RDC012101.M01</t>
  </si>
  <si>
    <t>QC-6R-57 (RSR012102.M01)</t>
  </si>
  <si>
    <t>RSR012102.M01</t>
  </si>
  <si>
    <t>QC-6R-60 (RDC4106.352)</t>
  </si>
  <si>
    <t>QC-6R-60 (RDC4106.452)</t>
  </si>
  <si>
    <t>QC-6R-60 (RDC4106.652)</t>
  </si>
  <si>
    <t>RDC4106.652</t>
  </si>
  <si>
    <t>QC-6R-60 (RS4106.352)</t>
  </si>
  <si>
    <t>QC-6R-60 (RS4106.452)</t>
  </si>
  <si>
    <t>QC-6R-60 (RS4106.652)</t>
  </si>
  <si>
    <t>QC-6R-60/QC-R-60 (RDC4106.352 / RDC1082.352)</t>
  </si>
  <si>
    <t>QC-6R-60/QC-R-60 (RDC4106.452 / RDC1082.452)</t>
  </si>
  <si>
    <t>QC-6R-60/QC-R-60 (RDC4106.652 / RDC1082.652)</t>
  </si>
  <si>
    <t>RDC4106.652 / RDC1082.652</t>
  </si>
  <si>
    <t>QC-R-35 (RDC1069.652)</t>
  </si>
  <si>
    <t>RDC1069.652</t>
  </si>
  <si>
    <t>QC-R-57 (RDC012001.M01)</t>
  </si>
  <si>
    <t>RDC012001.M01</t>
  </si>
  <si>
    <t>QC-R-57 (RSR012002.M01)</t>
  </si>
  <si>
    <t>RSR012002.M01</t>
  </si>
  <si>
    <t>QC-R-57/QC-6R-57 (RDC012001.M01 / RDC012101.M01)</t>
  </si>
  <si>
    <t>RDC012101.M01 / RDC012001.M01</t>
  </si>
  <si>
    <t>QC-R-60 (RDC1082.352)</t>
  </si>
  <si>
    <t>QC-R-60 (RDC1082.452)</t>
  </si>
  <si>
    <t>QC-R-60 (RDC1082.652)</t>
  </si>
  <si>
    <t>QC-R-64 (RDC1080.652)</t>
  </si>
  <si>
    <t>RDC1080.652</t>
  </si>
  <si>
    <t>QC-R-64 (RS1080.352)</t>
  </si>
  <si>
    <t>QC-R-64 (RS1080.652)</t>
  </si>
  <si>
    <t>RL (RDC3004.142)</t>
  </si>
  <si>
    <t>RDC3004.142</t>
  </si>
  <si>
    <t>RLNE (RS3021.242)</t>
  </si>
  <si>
    <t>RS3021.142</t>
  </si>
  <si>
    <t>RS3021.242</t>
  </si>
  <si>
    <t>RSS (RDC3019.645)</t>
  </si>
  <si>
    <t>RDC3019.645</t>
  </si>
  <si>
    <t>TY3-5 E (RD1034.552)</t>
  </si>
  <si>
    <t>RD1034.552</t>
  </si>
  <si>
    <t>TY4ECRC (RDC0220xx.M01)</t>
  </si>
  <si>
    <t>RDC0220xx.M01</t>
  </si>
  <si>
    <t>KILLION INDUSTRIES</t>
  </si>
  <si>
    <t>QC-6R-35 (RS1068.352)6</t>
  </si>
  <si>
    <t>QC-R-64 (RS1080.352)8</t>
  </si>
  <si>
    <t>QC-R-64 (RS1080.352)12</t>
  </si>
  <si>
    <t>QC-R-60 (RDC1082.652)8</t>
  </si>
  <si>
    <t>QC-R-60 (RDC1082.652)12</t>
  </si>
  <si>
    <t>QC-R-60 (RDC1082.452)8</t>
  </si>
  <si>
    <t>QC-R-60 (RDC1082.452)12</t>
  </si>
  <si>
    <t>QC-6R-60 (RDC4106.452)6</t>
  </si>
  <si>
    <t>QC-6R-60/QC-R-60 (RDC4106.452 / RDC1082.452)6</t>
  </si>
  <si>
    <t>QC-6R-60/QC-R-60 (RDC4106.452 / RDC1082.452)8</t>
  </si>
  <si>
    <t>QC-6R-60/QC-R-60 (RDC4106.452 / RDC1082.452)12</t>
  </si>
  <si>
    <t>QC-R-60 (RDC1082.352)8</t>
  </si>
  <si>
    <t>QC-R-60 (RDC1082.352)12</t>
  </si>
  <si>
    <t>QC-6R-60 (RDC4106.352)6</t>
  </si>
  <si>
    <t>QC-6R-60/QC-R-60 (RDC4106.352 / RDC1082.352)6</t>
  </si>
  <si>
    <t>QC-6R-60/QC-R-60 (RDC4106.352 / RDC1082.352)8</t>
  </si>
  <si>
    <t>QC-6R-60/QC-R-60 (RDC4106.352 / RDC1082.352)12</t>
  </si>
  <si>
    <t>QC-6R-35 (RS1068.652)6</t>
  </si>
  <si>
    <t>QC-6R-35/QC-R-35 (RS1068.652 / RS1069.652)6</t>
  </si>
  <si>
    <t>QC-6R-35/QC-R-35 (RS1068.652 / RS1069.652)8</t>
  </si>
  <si>
    <t>QC-6R-35/QC-R-35 (RS1068.652/RS1069.652)12</t>
  </si>
  <si>
    <t>QC-R-64 (RS1080.652)8</t>
  </si>
  <si>
    <t>QC-R-64 (RS1080.652)12</t>
  </si>
  <si>
    <t>QC-6R-60 (RS4106.352)6</t>
  </si>
  <si>
    <t>QC-6R-60 (RS4106.452)6</t>
  </si>
  <si>
    <t>QC-6R-60 (RS4106.652)6</t>
  </si>
  <si>
    <t>QC-6R-35/QC-R-64 (RS1068.352 / RS1080.352)6</t>
  </si>
  <si>
    <t>QC-6R-35/QC-R-64 (RS1068.352 / RS1080.352)8</t>
  </si>
  <si>
    <t>QC-6R-35/QC-R-64 (RS1068.352 / RS1080.352)12</t>
  </si>
  <si>
    <t>O5DM-NRG (RDC4000.542)4</t>
  </si>
  <si>
    <t>O5DM-NRG (RDC4000.542)6</t>
  </si>
  <si>
    <t>O5DM-NRG (RDC4000.542)8</t>
  </si>
  <si>
    <t>O5DM-NRG (RDC4000.542)12</t>
  </si>
  <si>
    <t>O5DM-NRG (RD4000.702)4</t>
  </si>
  <si>
    <t>O5DM-NRG (RD4000.702)6</t>
  </si>
  <si>
    <t>O5DM-NRG (RD4000.702)8</t>
  </si>
  <si>
    <t>O5DM-NRG (RD4000.702)12</t>
  </si>
  <si>
    <t>IMX5-EC10 (RS4051.552)4</t>
  </si>
  <si>
    <t>IMX5-EC10 (RS4051.552)6</t>
  </si>
  <si>
    <t>IMX5-EC10 (RS4051.552)8</t>
  </si>
  <si>
    <t>IMX5-EC10 (RS4051.552)12</t>
  </si>
  <si>
    <t>ORB (RS010301.M01)4</t>
  </si>
  <si>
    <t>ORB (RS010301.M01)6</t>
  </si>
  <si>
    <t>ORB (RS010301.M01)8</t>
  </si>
  <si>
    <t>ORB (RS010301.M01)12</t>
  </si>
  <si>
    <t>FWEGHL (RS5001.205)6</t>
  </si>
  <si>
    <t>FWGH-L (RS5002.205)4</t>
  </si>
  <si>
    <t>FWGH-L (RS5002.205)8</t>
  </si>
  <si>
    <t>FWGH-L (RS5002.205)12</t>
  </si>
  <si>
    <t>O5DR-NRG (RS4001.552)8</t>
  </si>
  <si>
    <t>O5DR-NRG (RS4001.552)12</t>
  </si>
  <si>
    <t>O3.5UM-NRG (RS1002.051)4</t>
  </si>
  <si>
    <t>O3.5UM-NRG (RS1002.051)6</t>
  </si>
  <si>
    <t>O3.5UM-NRG (RS1002.051)8</t>
  </si>
  <si>
    <t>O3.5UM-NRG (RS1002.051)12</t>
  </si>
  <si>
    <t>O5DR-NRG (RD4001.552)8</t>
  </si>
  <si>
    <t>O5DR-NRG (RD4001.552)12</t>
  </si>
  <si>
    <t>LISBONA 95-200MF (RD4048.902)4</t>
  </si>
  <si>
    <t>LISBONA 95-200MF (RD4048.902)6</t>
  </si>
  <si>
    <t>LISBONA 95-200MF (RD4048.902)8</t>
  </si>
  <si>
    <t>LISBONA 95-200MF (RD4048.902)12</t>
  </si>
  <si>
    <t>LISBONA 95-200MF (RS4048.902)4</t>
  </si>
  <si>
    <t>LISBONA 95-200MF (RS4048.902)6</t>
  </si>
  <si>
    <t>LISBONA 95-200MF (RS4048.902)8</t>
  </si>
  <si>
    <t>LISBONA 95-200MF (RS4048.902)12</t>
  </si>
  <si>
    <t>LISBONA 95-200MF (RDC4048.902)4</t>
  </si>
  <si>
    <t>LISBONA 95-200MF (RDC4048.902)6</t>
  </si>
  <si>
    <t>LISBONA 95-200MF (RDC4048.902)8</t>
  </si>
  <si>
    <t>LISBONA 95-200MF (RDC4048.902)12</t>
  </si>
  <si>
    <t>O5DM-NRG (RS4000.542)4</t>
  </si>
  <si>
    <t>O5DM-NRG (RS4000.542)6</t>
  </si>
  <si>
    <t>O5DM-NRG (RS4000.542)8</t>
  </si>
  <si>
    <t>O5DM-NRG (RS4000.542)12</t>
  </si>
  <si>
    <t>RLNE (RS3021.242)2</t>
  </si>
  <si>
    <t>RLNE (RS3021.242)3</t>
  </si>
  <si>
    <t>IMX5-EC10 (RS4052.552)5</t>
  </si>
  <si>
    <t>RL (RDC3004.142)2</t>
  </si>
  <si>
    <t>RL (RDC3004.142)3</t>
  </si>
  <si>
    <t>RL (RDC3004.142)4</t>
  </si>
  <si>
    <t>RL (RDC3004.142)5</t>
  </si>
  <si>
    <t>JNRZH (RD3039.142)2</t>
  </si>
  <si>
    <t>JNRZH (RD3039.142)3</t>
  </si>
  <si>
    <t>JNRZH (RD3039.142)4</t>
  </si>
  <si>
    <t>JNRZH (RD3039.142)5</t>
  </si>
  <si>
    <t>JNRZH (RD3039.242)2</t>
  </si>
  <si>
    <t>JNRZH (RD3039.242)3</t>
  </si>
  <si>
    <t>JNRZH (RD3039.242)4</t>
  </si>
  <si>
    <t>JNRZH (RD3039.242)5</t>
  </si>
  <si>
    <t>FFM-93-57-99 (RS4054.902)8</t>
  </si>
  <si>
    <t>FFM-93-66-99 (RS4055.902)8</t>
  </si>
  <si>
    <t>FFM-93-66-99 (RS4056.902)8</t>
  </si>
  <si>
    <t>TY4ECRC (RDC0220xx.M01)8</t>
  </si>
  <si>
    <t>TY4ECRC (RDC0220xx.M01)10</t>
  </si>
  <si>
    <t>TY4ECRC (RDC0220xx.M01)12</t>
  </si>
  <si>
    <t>QC-R-35 (RDC1069.652)8</t>
  </si>
  <si>
    <t>QC-R-35 (RDC1069.652)12</t>
  </si>
  <si>
    <t>QC-6R-60 (RDC4106.652)6</t>
  </si>
  <si>
    <t>QC-6R-60/QC-R-60 (RDC4106.652 / RDC1082.652)6</t>
  </si>
  <si>
    <t>QC-6R-60/QC-R-60 (RDC4106.652 / RDC1082.652)8</t>
  </si>
  <si>
    <t>QC-6R-60/QC-R-60 (RDC4106.652 / RDC1082.652)12</t>
  </si>
  <si>
    <t>QC-R-57 (RDC012001.M01)8</t>
  </si>
  <si>
    <t>QC-R-57 (RDC012001.M01)12</t>
  </si>
  <si>
    <t>QC-6R-57 (RDC012101.M01)6</t>
  </si>
  <si>
    <t>QC-R-57/QC-6R-57 (RDC012001.M01 / RDC012101.M01)6</t>
  </si>
  <si>
    <t>QC-R-57/QC-6R-57 (RDC012001.M01 / RDC012101.M01)8</t>
  </si>
  <si>
    <t>QC-R-57/QC-6R-57 (RDC012001.M01 / RDC012101.M01)12</t>
  </si>
  <si>
    <t>QC-6R-57 (RSR012102.M01)6</t>
  </si>
  <si>
    <t>AUSTIN 95/205 MF (RSR040702.M06)4</t>
  </si>
  <si>
    <t>AUSTIN 95/205 MF (RSR040702.M06)6</t>
  </si>
  <si>
    <t>AUSTIN 95/205 MF (RSR040702.M06)8</t>
  </si>
  <si>
    <t>AUSTIN 95/205 MF (RSR040702.M06)12</t>
  </si>
  <si>
    <t>AUSTIN 95/205 MF (RDC040702.M06)4</t>
  </si>
  <si>
    <t>AUSTIN 95/205 MF (RDC040702.M06)6</t>
  </si>
  <si>
    <t>AUSTIN 95/205 MF (RDC040702.M06)8</t>
  </si>
  <si>
    <t>AUSTIN 95/205 MF (RDC040702.M06)12</t>
  </si>
  <si>
    <t>PF-54-R (RS1073.652)10</t>
  </si>
  <si>
    <t>RSS (RDC3019.645)4</t>
  </si>
  <si>
    <t>RSS (RDC3019.645)6</t>
  </si>
  <si>
    <t>RSS (RDC3019.645)8</t>
  </si>
  <si>
    <t>RSS (RDC3019.645)10</t>
  </si>
  <si>
    <t>RSS (RDC3019.645)12</t>
  </si>
  <si>
    <t>TY3-5 E (RD1034.552)7</t>
  </si>
  <si>
    <t>TY3-5 E (RD1034.552)9</t>
  </si>
  <si>
    <t>TY3-5 E (RD1034.552)11</t>
  </si>
  <si>
    <t>TY3-5 E (RD1034.552)15</t>
  </si>
  <si>
    <t>QC-R-57 (RSR012002.M01)6</t>
  </si>
  <si>
    <t>QC-R-57 (RSR012002.M01)8</t>
  </si>
  <si>
    <t>QC-R-57 (RSR012002.M01)12</t>
  </si>
  <si>
    <t>QC-6R-35 (RDC1068.652)6</t>
  </si>
  <si>
    <t>QC-R-64 (RDC1080.652)8</t>
  </si>
  <si>
    <t>QC-R-64 (RDC1080.652)12</t>
  </si>
  <si>
    <t>QC-6R-35/QC-R-64 (RDC1068.652 / RDC1080.652)6</t>
  </si>
  <si>
    <t>QC-6R-35/QC-R-64 (RDC1068.652 / RDC1080.652)8</t>
  </si>
  <si>
    <t>QC-6R-35/QC-R-64 (RDC1068.652 / RDC1080.652)12</t>
  </si>
  <si>
    <t>LABEL ALL NEW PIPING PER SPECIFICATIONS SECTION 15181.</t>
  </si>
  <si>
    <t xml:space="preserve">CONNECTION 1 TO SECONDARY SKID SERVED BY (1) SUCTION LINES AND (1) LIQUID LINE. PROVIDE INDIVIDUAL 7/8" LIQUID CONNECTIONS TO SKID LIQUID STUBS.
</t>
  </si>
  <si>
    <t>PIPING TO CONNECT TO EXISTING RACK HEADER VIA AVAILABLE SPACE. REFER TO LIQUID SUCTION HEAD SKID PIPING CONNECTION DETAIL.</t>
  </si>
  <si>
    <t>NEW PIPING CONNECTED TO EXISTING TO REMAIN PIPING. REFER TO REFRIGERATION PLAN FOR APPROXIMATE LOCATION OF NEW AND EXISTING PIPING.</t>
  </si>
  <si>
    <t>REPLACE SUCTION RISER WITH PIPING OF INDICATED SIZE, REUSE HORIZONTAL SUCTION AND LIQUID LINES.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</si>
</sst>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4" formatCode="_(&quot;$&quot;* #,##0.00_);_(&quot;$&quot;* \(#,##0.00\);_(&quot;$&quot;* &quot;-&quot;??_);_(@_)"/>
    <numFmt numFmtId="164" formatCode="0.0"/>
    <numFmt numFmtId="165" formatCode="0.0%"/>
    <numFmt numFmtId="166" formatCode="0.000"/>
    <numFmt numFmtId="167" formatCode="0.0000"/>
    <numFmt numFmtId="168" formatCode="0\ \°\F"/>
    <numFmt numFmtId="169" formatCode="0\ \f\t."/>
    <numFmt numFmtId="170" formatCode="0\°\F"/>
    <numFmt numFmtId="171" formatCode="#,###.00\ &quot;MBH&quot;"/>
    <numFmt numFmtId="172" formatCode="0.000E+00"/>
    <numFmt numFmtId="173" formatCode="0.0E+00"/>
    <numFmt numFmtId="174" formatCode="h:mm;@"/>
    <numFmt numFmtId="175" formatCode="[h]:mm"/>
    <numFmt numFmtId="176" formatCode="&quot;$&quot;#,##0.00"/>
    <numFmt numFmtId="177" formatCode="0.00;0.00;&quot;-&quot;"/>
    <numFmt numFmtId="178" formatCode="0.000;0.000;&quot;-&quot;"/>
    <numFmt numFmtId="179" formatCode="#,##0.0000_);[Red]\(#,##0.0000\)"/>
    <numFmt numFmtId="180" formatCode="#,##0.000_);[Red]\(#,##0.000\)"/>
    <numFmt numFmtId="181" formatCode="0.0\ \°\F"/>
  </numFmts>
  <fonts count="101" x14ac:knownFonts="1">
    <font>
      <sz val="10"/>
      <name val="Arial"/>
    </font>
    <font>
      <sz val="11"/>
      <color theme="1"/>
      <name val="Calibri"/>
      <family val="2"/>
      <scheme val="minor"/>
    </font>
    <font>
      <sz val="10"/>
      <name val="Arial"/>
      <family val="2"/>
    </font>
    <font>
      <sz val="8"/>
      <name val="Arial"/>
      <family val="2"/>
    </font>
    <font>
      <sz val="8"/>
      <name val="Arial Narrow"/>
      <family val="2"/>
    </font>
    <font>
      <b/>
      <sz val="8"/>
      <name val="Arial Narrow"/>
      <family val="2"/>
    </font>
    <font>
      <sz val="10"/>
      <name val="Arial Narrow"/>
      <family val="2"/>
    </font>
    <font>
      <b/>
      <sz val="10"/>
      <name val="Arial Narrow"/>
      <family val="2"/>
    </font>
    <font>
      <sz val="10"/>
      <name val="Arial"/>
      <family val="2"/>
    </font>
    <font>
      <b/>
      <sz val="10"/>
      <name val="Arial"/>
      <family val="2"/>
    </font>
    <font>
      <b/>
      <vertAlign val="subscript"/>
      <sz val="8"/>
      <name val="Arial Narrow"/>
      <family val="2"/>
    </font>
    <font>
      <sz val="10"/>
      <name val="Arial"/>
      <family val="2"/>
    </font>
    <font>
      <sz val="8"/>
      <name val="Arial"/>
      <family val="2"/>
    </font>
    <font>
      <sz val="8"/>
      <color indexed="81"/>
      <name val="Tahoma"/>
      <family val="2"/>
    </font>
    <font>
      <b/>
      <sz val="8"/>
      <color indexed="81"/>
      <name val="Tahoma"/>
      <family val="2"/>
    </font>
    <font>
      <b/>
      <sz val="8"/>
      <name val="Arial"/>
      <family val="2"/>
    </font>
    <font>
      <b/>
      <sz val="8"/>
      <name val="Arial"/>
      <family val="2"/>
    </font>
    <font>
      <b/>
      <sz val="8"/>
      <color indexed="9"/>
      <name val="Arial"/>
      <family val="2"/>
    </font>
    <font>
      <b/>
      <sz val="8"/>
      <color indexed="9"/>
      <name val="Arial"/>
      <family val="2"/>
    </font>
    <font>
      <b/>
      <sz val="12"/>
      <name val="Arial"/>
      <family val="2"/>
    </font>
    <font>
      <sz val="8"/>
      <color indexed="12"/>
      <name val="Arial"/>
      <family val="2"/>
    </font>
    <font>
      <b/>
      <sz val="22"/>
      <name val="Arial Narrow"/>
      <family val="2"/>
    </font>
    <font>
      <u/>
      <sz val="10"/>
      <color indexed="12"/>
      <name val="Arial"/>
      <family val="2"/>
    </font>
    <font>
      <sz val="12"/>
      <name val="Arial"/>
      <family val="2"/>
    </font>
    <font>
      <i/>
      <sz val="8"/>
      <name val="Arial"/>
      <family val="2"/>
    </font>
    <font>
      <b/>
      <sz val="8"/>
      <color indexed="63"/>
      <name val="Arial"/>
      <family val="2"/>
    </font>
    <font>
      <sz val="8"/>
      <color indexed="57"/>
      <name val="Arial"/>
      <family val="2"/>
    </font>
    <font>
      <sz val="8"/>
      <color indexed="12"/>
      <name val="Arial"/>
      <family val="2"/>
    </font>
    <font>
      <sz val="8"/>
      <color indexed="9"/>
      <name val="Arial Narrow"/>
      <family val="2"/>
    </font>
    <font>
      <b/>
      <u/>
      <sz val="8"/>
      <color indexed="81"/>
      <name val="Tahoma"/>
      <family val="2"/>
    </font>
    <font>
      <b/>
      <sz val="14"/>
      <name val="Arial"/>
      <family val="2"/>
    </font>
    <font>
      <sz val="8"/>
      <color indexed="22"/>
      <name val="Arial Narrow"/>
      <family val="2"/>
    </font>
    <font>
      <b/>
      <u/>
      <sz val="10"/>
      <name val="Arial"/>
      <family val="2"/>
    </font>
    <font>
      <i/>
      <sz val="10"/>
      <name val="Arial"/>
      <family val="2"/>
    </font>
    <font>
      <sz val="10"/>
      <color indexed="10"/>
      <name val="Arial"/>
      <family val="2"/>
    </font>
    <font>
      <b/>
      <sz val="16"/>
      <name val="Arial"/>
      <family val="2"/>
    </font>
    <font>
      <b/>
      <sz val="10"/>
      <color indexed="10"/>
      <name val="Arial"/>
      <family val="2"/>
    </font>
    <font>
      <sz val="28"/>
      <name val="Arial"/>
      <family val="2"/>
    </font>
    <font>
      <b/>
      <u/>
      <vertAlign val="superscript"/>
      <sz val="10"/>
      <name val="Arial"/>
      <family val="2"/>
    </font>
    <font>
      <sz val="10"/>
      <color indexed="22"/>
      <name val="Arial"/>
      <family val="2"/>
    </font>
    <font>
      <sz val="10"/>
      <color indexed="9"/>
      <name val="Arial"/>
      <family val="2"/>
    </font>
    <font>
      <sz val="10"/>
      <color indexed="9"/>
      <name val="Arial"/>
      <family val="2"/>
    </font>
    <font>
      <i/>
      <sz val="10"/>
      <color indexed="43"/>
      <name val="Arial"/>
      <family val="2"/>
    </font>
    <font>
      <i/>
      <sz val="10"/>
      <color indexed="9"/>
      <name val="Arial"/>
      <family val="2"/>
    </font>
    <font>
      <sz val="8"/>
      <color indexed="9"/>
      <name val="Arial Narrow"/>
      <family val="2"/>
    </font>
    <font>
      <u/>
      <sz val="10"/>
      <name val="Arial"/>
      <family val="2"/>
    </font>
    <font>
      <sz val="10"/>
      <color indexed="8"/>
      <name val="Arial"/>
      <family val="2"/>
    </font>
    <font>
      <sz val="10"/>
      <color indexed="9"/>
      <name val="Arial"/>
      <family val="2"/>
    </font>
    <font>
      <sz val="10"/>
      <color indexed="10"/>
      <name val="Arial"/>
      <family val="2"/>
    </font>
    <font>
      <b/>
      <sz val="12"/>
      <color indexed="44"/>
      <name val="Arial"/>
      <family val="2"/>
    </font>
    <font>
      <sz val="8"/>
      <name val="Arial"/>
      <family val="2"/>
    </font>
    <font>
      <b/>
      <sz val="9"/>
      <name val="Arial"/>
      <family val="2"/>
    </font>
    <font>
      <b/>
      <sz val="8"/>
      <name val="Arial"/>
      <family val="2"/>
    </font>
    <font>
      <i/>
      <sz val="8"/>
      <name val="Arial"/>
      <family val="2"/>
    </font>
    <font>
      <b/>
      <sz val="8"/>
      <color indexed="10"/>
      <name val="Arial"/>
      <family val="2"/>
    </font>
    <font>
      <sz val="9"/>
      <name val="Arial"/>
      <family val="2"/>
    </font>
    <font>
      <sz val="20"/>
      <name val="Arial"/>
      <family val="2"/>
    </font>
    <font>
      <sz val="12"/>
      <name val="Swis721 BlkEx BT"/>
      <family val="2"/>
    </font>
    <font>
      <sz val="10"/>
      <color indexed="8"/>
      <name val="Arial"/>
      <family val="2"/>
    </font>
    <font>
      <b/>
      <sz val="10"/>
      <color indexed="8"/>
      <name val="Arial"/>
      <family val="2"/>
    </font>
    <font>
      <b/>
      <sz val="8"/>
      <color indexed="8"/>
      <name val="Arial"/>
      <family val="2"/>
    </font>
    <font>
      <sz val="8"/>
      <color indexed="8"/>
      <name val="Arial"/>
      <family val="2"/>
    </font>
    <font>
      <b/>
      <sz val="20"/>
      <color indexed="8"/>
      <name val="Arial"/>
      <family val="2"/>
    </font>
    <font>
      <sz val="10"/>
      <color indexed="22"/>
      <name val="Arial"/>
      <family val="2"/>
    </font>
    <font>
      <b/>
      <sz val="10"/>
      <color indexed="22"/>
      <name val="Arial"/>
      <family val="2"/>
    </font>
    <font>
      <b/>
      <sz val="8"/>
      <color indexed="22"/>
      <name val="Arial"/>
      <family val="2"/>
    </font>
    <font>
      <b/>
      <sz val="14"/>
      <color indexed="8"/>
      <name val="Arial"/>
      <family val="2"/>
    </font>
    <font>
      <sz val="10"/>
      <name val="Arial"/>
      <family val="2"/>
    </font>
    <font>
      <b/>
      <sz val="2"/>
      <color indexed="44"/>
      <name val="Arial"/>
      <family val="2"/>
    </font>
    <font>
      <sz val="10"/>
      <name val="Arial"/>
      <family val="2"/>
    </font>
    <font>
      <vertAlign val="subscript"/>
      <sz val="10"/>
      <name val="Arial"/>
      <family val="2"/>
    </font>
    <font>
      <b/>
      <u/>
      <sz val="14"/>
      <name val="Arial"/>
      <family val="2"/>
    </font>
    <font>
      <b/>
      <vertAlign val="superscript"/>
      <sz val="10"/>
      <name val="Arial"/>
      <family val="2"/>
    </font>
    <font>
      <sz val="10"/>
      <name val="Arial"/>
      <family val="2"/>
    </font>
    <font>
      <vertAlign val="superscript"/>
      <sz val="10"/>
      <name val="Arial"/>
      <family val="2"/>
    </font>
    <font>
      <sz val="10"/>
      <name val="Arial"/>
      <family val="2"/>
    </font>
    <font>
      <b/>
      <i/>
      <sz val="10"/>
      <name val="Arial"/>
      <family val="2"/>
    </font>
    <font>
      <b/>
      <sz val="12"/>
      <name val="Arial Narrow"/>
      <family val="2"/>
    </font>
    <font>
      <b/>
      <sz val="24"/>
      <name val="Arial"/>
      <family val="2"/>
    </font>
    <font>
      <b/>
      <sz val="26"/>
      <name val="Arial"/>
      <family val="2"/>
    </font>
    <font>
      <sz val="10"/>
      <name val="Arial"/>
      <family val="2"/>
    </font>
    <font>
      <sz val="20"/>
      <color indexed="8"/>
      <name val="Arial"/>
      <family val="2"/>
    </font>
    <font>
      <sz val="8"/>
      <color indexed="22"/>
      <name val="Arial"/>
      <family val="2"/>
    </font>
    <font>
      <sz val="18"/>
      <name val="Arial"/>
      <family val="2"/>
    </font>
    <font>
      <sz val="14"/>
      <name val="Arial"/>
      <family val="2"/>
    </font>
    <font>
      <sz val="9"/>
      <color indexed="81"/>
      <name val="Tahoma"/>
      <family val="2"/>
    </font>
    <font>
      <b/>
      <sz val="9"/>
      <color indexed="81"/>
      <name val="Tahoma"/>
      <family val="2"/>
    </font>
    <font>
      <sz val="8"/>
      <name val="Arial"/>
      <family val="2"/>
    </font>
    <font>
      <sz val="10"/>
      <color theme="1"/>
      <name val="Arial"/>
      <family val="2"/>
    </font>
    <font>
      <sz val="10"/>
      <color theme="0"/>
      <name val="Arial"/>
      <family val="2"/>
    </font>
    <font>
      <sz val="10"/>
      <color rgb="FF006100"/>
      <name val="Arial"/>
      <family val="2"/>
    </font>
    <font>
      <i/>
      <sz val="10"/>
      <color theme="0"/>
      <name val="Arial"/>
      <family val="2"/>
    </font>
    <font>
      <sz val="8"/>
      <color theme="0"/>
      <name val="Arial Narrow"/>
      <family val="2"/>
    </font>
    <font>
      <b/>
      <sz val="8"/>
      <color theme="0"/>
      <name val="Arial Narrow"/>
      <family val="2"/>
    </font>
    <font>
      <sz val="8"/>
      <color rgb="FF000000"/>
      <name val="Arial"/>
      <family val="2"/>
    </font>
    <font>
      <b/>
      <sz val="12"/>
      <color rgb="FF0A0101"/>
      <name val="Arial"/>
      <family val="2"/>
    </font>
    <font>
      <sz val="10"/>
      <color rgb="FFFFFF99"/>
      <name val="Arial"/>
      <family val="2"/>
    </font>
    <font>
      <sz val="20"/>
      <color theme="1"/>
      <name val="Arial"/>
      <family val="2"/>
    </font>
    <font>
      <sz val="20"/>
      <color theme="1"/>
      <name val="Calibri"/>
      <family val="2"/>
      <scheme val="minor"/>
    </font>
    <font>
      <sz val="16"/>
      <color theme="1"/>
      <name val="Calibri"/>
      <family val="2"/>
      <scheme val="minor"/>
    </font>
    <font>
      <sz val="8"/>
      <color rgb="FFFF0000"/>
      <name val="Arial Narrow"/>
      <family val="2"/>
    </font>
  </fonts>
  <fills count="33">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9"/>
        <bgColor indexed="64"/>
      </patternFill>
    </fill>
    <fill>
      <patternFill patternType="solid">
        <fgColor indexed="13"/>
        <bgColor indexed="64"/>
      </patternFill>
    </fill>
    <fill>
      <patternFill patternType="solid">
        <fgColor indexed="41"/>
        <bgColor indexed="64"/>
      </patternFill>
    </fill>
    <fill>
      <patternFill patternType="solid">
        <fgColor indexed="43"/>
        <bgColor indexed="64"/>
      </patternFill>
    </fill>
    <fill>
      <patternFill patternType="solid">
        <fgColor indexed="45"/>
        <bgColor indexed="64"/>
      </patternFill>
    </fill>
    <fill>
      <patternFill patternType="solid">
        <fgColor indexed="47"/>
        <bgColor indexed="64"/>
      </patternFill>
    </fill>
    <fill>
      <patternFill patternType="solid">
        <fgColor indexed="44"/>
        <bgColor indexed="64"/>
      </patternFill>
    </fill>
    <fill>
      <patternFill patternType="solid">
        <fgColor indexed="10"/>
        <bgColor indexed="64"/>
      </patternFill>
    </fill>
    <fill>
      <patternFill patternType="solid">
        <fgColor indexed="51"/>
        <bgColor indexed="64"/>
      </patternFill>
    </fill>
    <fill>
      <patternFill patternType="solid">
        <fgColor indexed="29"/>
        <bgColor indexed="64"/>
      </patternFill>
    </fill>
    <fill>
      <patternFill patternType="solid">
        <fgColor indexed="15"/>
        <bgColor indexed="64"/>
      </patternFill>
    </fill>
    <fill>
      <patternFill patternType="solid">
        <fgColor indexed="50"/>
        <bgColor indexed="64"/>
      </patternFill>
    </fill>
    <fill>
      <patternFill patternType="solid">
        <fgColor indexed="40"/>
        <bgColor indexed="64"/>
      </patternFill>
    </fill>
    <fill>
      <patternFill patternType="solid">
        <fgColor rgb="FFC6EFCE"/>
      </patternFill>
    </fill>
    <fill>
      <patternFill patternType="solid">
        <fgColor rgb="FF99CCFF"/>
        <bgColor indexed="64"/>
      </patternFill>
    </fill>
    <fill>
      <patternFill patternType="solid">
        <fgColor rgb="FFCCFFCC"/>
        <bgColor indexed="64"/>
      </patternFill>
    </fill>
    <fill>
      <patternFill patternType="solid">
        <fgColor rgb="FFC0C0C0"/>
        <bgColor indexed="64"/>
      </patternFill>
    </fill>
    <fill>
      <patternFill patternType="solid">
        <fgColor rgb="FFFFFF99"/>
        <bgColor indexed="64"/>
      </patternFill>
    </fill>
    <fill>
      <patternFill patternType="solid">
        <fgColor rgb="FF969696"/>
        <bgColor indexed="64"/>
      </patternFill>
    </fill>
    <fill>
      <patternFill patternType="solid">
        <fgColor rgb="FFFF99CC"/>
        <bgColor indexed="64"/>
      </patternFill>
    </fill>
    <fill>
      <patternFill patternType="solid">
        <fgColor rgb="FF00CC99"/>
        <bgColor indexed="64"/>
      </patternFill>
    </fill>
    <fill>
      <patternFill patternType="solid">
        <fgColor rgb="FFFFFF00"/>
        <bgColor indexed="64"/>
      </patternFill>
    </fill>
    <fill>
      <patternFill patternType="solid">
        <fgColor rgb="FFFF8080"/>
        <bgColor indexed="64"/>
      </patternFill>
    </fill>
    <fill>
      <patternFill patternType="solid">
        <fgColor rgb="FFFF0000"/>
        <bgColor indexed="64"/>
      </patternFill>
    </fill>
    <fill>
      <patternFill patternType="solid">
        <fgColor rgb="FFFFFFCC"/>
        <bgColor indexed="64"/>
      </patternFill>
    </fill>
    <fill>
      <patternFill patternType="solid">
        <fgColor rgb="FFFFC000"/>
        <bgColor indexed="64"/>
      </patternFill>
    </fill>
    <fill>
      <patternFill patternType="solid">
        <fgColor theme="0"/>
        <bgColor indexed="64"/>
      </patternFill>
    </fill>
    <fill>
      <patternFill patternType="solid">
        <fgColor theme="0" tint="-0.249977111117893"/>
        <bgColor indexed="64"/>
      </patternFill>
    </fill>
    <fill>
      <patternFill patternType="solid">
        <fgColor theme="0" tint="-0.34998626667073579"/>
        <bgColor indexed="64"/>
      </patternFill>
    </fill>
  </fills>
  <borders count="191">
    <border>
      <left/>
      <right/>
      <top/>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medium">
        <color indexed="64"/>
      </left>
      <right style="hair">
        <color indexed="64"/>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style="medium">
        <color indexed="64"/>
      </top>
      <bottom style="medium">
        <color indexed="64"/>
      </bottom>
      <diagonal/>
    </border>
    <border>
      <left style="thin">
        <color indexed="64"/>
      </left>
      <right style="thin">
        <color indexed="64"/>
      </right>
      <top style="medium">
        <color indexed="64"/>
      </top>
      <bottom/>
      <diagonal/>
    </border>
    <border>
      <left/>
      <right style="medium">
        <color indexed="64"/>
      </right>
      <top/>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style="medium">
        <color indexed="64"/>
      </left>
      <right/>
      <top style="thin">
        <color indexed="64"/>
      </top>
      <bottom style="thin">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hair">
        <color indexed="64"/>
      </right>
      <top style="hair">
        <color indexed="64"/>
      </top>
      <bottom style="medium">
        <color indexed="64"/>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medium">
        <color indexed="64"/>
      </top>
      <bottom style="medium">
        <color indexed="64"/>
      </bottom>
      <diagonal/>
    </border>
    <border>
      <left style="hair">
        <color indexed="64"/>
      </left>
      <right style="medium">
        <color indexed="64"/>
      </right>
      <top style="medium">
        <color indexed="64"/>
      </top>
      <bottom style="hair">
        <color indexed="64"/>
      </bottom>
      <diagonal/>
    </border>
    <border>
      <left style="medium">
        <color indexed="64"/>
      </left>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hair">
        <color indexed="64"/>
      </right>
      <top/>
      <bottom style="hair">
        <color indexed="64"/>
      </bottom>
      <diagonal/>
    </border>
    <border>
      <left style="medium">
        <color indexed="64"/>
      </left>
      <right/>
      <top style="thin">
        <color indexed="64"/>
      </top>
      <bottom style="medium">
        <color indexed="64"/>
      </bottom>
      <diagonal/>
    </border>
    <border>
      <left/>
      <right style="medium">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right/>
      <top style="thick">
        <color indexed="64"/>
      </top>
      <bottom/>
      <diagonal/>
    </border>
    <border>
      <left style="medium">
        <color indexed="64"/>
      </left>
      <right/>
      <top/>
      <bottom style="double">
        <color indexed="64"/>
      </bottom>
      <diagonal/>
    </border>
    <border>
      <left/>
      <right style="thin">
        <color indexed="64"/>
      </right>
      <top style="thick">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right style="thick">
        <color indexed="64"/>
      </right>
      <top/>
      <bottom/>
      <diagonal/>
    </border>
    <border>
      <left/>
      <right/>
      <top/>
      <bottom style="thick">
        <color indexed="64"/>
      </bottom>
      <diagonal/>
    </border>
    <border>
      <left/>
      <right style="thick">
        <color indexed="64"/>
      </right>
      <top/>
      <bottom style="thick">
        <color indexed="64"/>
      </bottom>
      <diagonal/>
    </border>
    <border>
      <left style="thick">
        <color indexed="64"/>
      </left>
      <right/>
      <top/>
      <bottom/>
      <diagonal/>
    </border>
    <border>
      <left style="thick">
        <color indexed="64"/>
      </left>
      <right/>
      <top/>
      <bottom style="thick">
        <color indexed="64"/>
      </bottom>
      <diagonal/>
    </border>
    <border>
      <left/>
      <right style="thick">
        <color indexed="64"/>
      </right>
      <top style="thin">
        <color indexed="64"/>
      </top>
      <bottom/>
      <diagonal/>
    </border>
    <border>
      <left/>
      <right style="thick">
        <color indexed="64"/>
      </right>
      <top/>
      <bottom style="thin">
        <color indexed="64"/>
      </bottom>
      <diagonal/>
    </border>
    <border>
      <left/>
      <right style="thin">
        <color indexed="64"/>
      </right>
      <top style="thick">
        <color indexed="64"/>
      </top>
      <bottom/>
      <diagonal/>
    </border>
    <border>
      <left/>
      <right style="thick">
        <color indexed="64"/>
      </right>
      <top style="thick">
        <color indexed="64"/>
      </top>
      <bottom/>
      <diagonal/>
    </border>
    <border>
      <left style="medium">
        <color indexed="64"/>
      </left>
      <right style="medium">
        <color indexed="64"/>
      </right>
      <top/>
      <bottom style="thin">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right style="thin">
        <color indexed="64"/>
      </right>
      <top style="medium">
        <color indexed="64"/>
      </top>
      <bottom/>
      <diagonal/>
    </border>
    <border>
      <left style="thick">
        <color indexed="64"/>
      </left>
      <right/>
      <top style="medium">
        <color indexed="64"/>
      </top>
      <bottom style="thin">
        <color indexed="64"/>
      </bottom>
      <diagonal/>
    </border>
    <border>
      <left style="thick">
        <color indexed="64"/>
      </left>
      <right/>
      <top style="thin">
        <color indexed="64"/>
      </top>
      <bottom style="thin">
        <color indexed="64"/>
      </bottom>
      <diagonal/>
    </border>
    <border>
      <left style="thick">
        <color indexed="64"/>
      </left>
      <right/>
      <top style="thin">
        <color indexed="64"/>
      </top>
      <bottom style="thick">
        <color indexed="64"/>
      </bottom>
      <diagonal/>
    </border>
    <border>
      <left style="thick">
        <color indexed="64"/>
      </left>
      <right/>
      <top style="medium">
        <color indexed="64"/>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top style="thin">
        <color indexed="64"/>
      </top>
      <bottom style="medium">
        <color indexed="64"/>
      </bottom>
      <diagonal/>
    </border>
    <border>
      <left/>
      <right/>
      <top style="thin">
        <color indexed="64"/>
      </top>
      <bottom style="medium">
        <color indexed="64"/>
      </bottom>
      <diagonal/>
    </border>
    <border>
      <left style="thick">
        <color indexed="64"/>
      </left>
      <right/>
      <top style="thin">
        <color indexed="64"/>
      </top>
      <bottom/>
      <diagonal/>
    </border>
    <border>
      <left style="thin">
        <color indexed="64"/>
      </left>
      <right/>
      <top/>
      <bottom style="medium">
        <color indexed="64"/>
      </bottom>
      <diagonal/>
    </border>
    <border>
      <left style="thin">
        <color indexed="64"/>
      </left>
      <right/>
      <top style="thick">
        <color indexed="64"/>
      </top>
      <bottom/>
      <diagonal/>
    </border>
    <border>
      <left/>
      <right/>
      <top style="thick">
        <color indexed="64"/>
      </top>
      <bottom style="thin">
        <color indexed="64"/>
      </bottom>
      <diagonal/>
    </border>
    <border>
      <left style="thin">
        <color indexed="64"/>
      </left>
      <right/>
      <top style="thin">
        <color indexed="64"/>
      </top>
      <bottom style="medium">
        <color indexed="64"/>
      </bottom>
      <diagonal/>
    </border>
    <border>
      <left style="thin">
        <color indexed="64"/>
      </left>
      <right/>
      <top style="thick">
        <color indexed="64"/>
      </top>
      <bottom style="thin">
        <color indexed="64"/>
      </bottom>
      <diagonal/>
    </border>
    <border>
      <left style="medium">
        <color indexed="64"/>
      </left>
      <right style="thin">
        <color indexed="64"/>
      </right>
      <top style="thin">
        <color indexed="64"/>
      </top>
      <bottom/>
      <diagonal/>
    </border>
    <border>
      <left style="thick">
        <color indexed="64"/>
      </left>
      <right/>
      <top style="thick">
        <color indexed="64"/>
      </top>
      <bottom style="medium">
        <color indexed="64"/>
      </bottom>
      <diagonal/>
    </border>
    <border>
      <left/>
      <right/>
      <top style="thick">
        <color indexed="64"/>
      </top>
      <bottom style="medium">
        <color indexed="64"/>
      </bottom>
      <diagonal/>
    </border>
    <border>
      <left style="medium">
        <color indexed="64"/>
      </left>
      <right/>
      <top style="thick">
        <color indexed="64"/>
      </top>
      <bottom style="medium">
        <color indexed="64"/>
      </bottom>
      <diagonal/>
    </border>
    <border>
      <left/>
      <right style="thick">
        <color indexed="64"/>
      </right>
      <top style="thick">
        <color indexed="64"/>
      </top>
      <bottom style="medium">
        <color indexed="64"/>
      </bottom>
      <diagonal/>
    </border>
    <border>
      <left style="thick">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ck">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medium">
        <color indexed="64"/>
      </left>
      <right style="thick">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ck">
        <color indexed="64"/>
      </left>
      <right/>
      <top style="thick">
        <color indexed="64"/>
      </top>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right style="medium">
        <color indexed="64"/>
      </right>
      <top/>
      <bottom style="thin">
        <color indexed="64"/>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medium">
        <color indexed="64"/>
      </right>
      <top/>
      <bottom style="double">
        <color indexed="64"/>
      </bottom>
      <diagonal/>
    </border>
    <border>
      <left style="medium">
        <color indexed="64"/>
      </left>
      <right/>
      <top style="thin">
        <color indexed="64"/>
      </top>
      <bottom/>
      <diagonal/>
    </border>
    <border>
      <left/>
      <right/>
      <top/>
      <bottom style="double">
        <color indexed="64"/>
      </bottom>
      <diagonal/>
    </border>
    <border>
      <left/>
      <right style="medium">
        <color indexed="64"/>
      </right>
      <top/>
      <bottom style="double">
        <color indexed="64"/>
      </bottom>
      <diagonal/>
    </border>
    <border>
      <left style="thick">
        <color indexed="64"/>
      </left>
      <right style="thin">
        <color indexed="64"/>
      </right>
      <top/>
      <bottom style="thin">
        <color indexed="64"/>
      </bottom>
      <diagonal/>
    </border>
    <border>
      <left/>
      <right style="thin">
        <color indexed="64"/>
      </right>
      <top/>
      <bottom style="medium">
        <color indexed="64"/>
      </bottom>
      <diagonal/>
    </border>
    <border>
      <left/>
      <right style="thick">
        <color indexed="64"/>
      </right>
      <top/>
      <bottom style="medium">
        <color indexed="64"/>
      </bottom>
      <diagonal/>
    </border>
    <border>
      <left style="thick">
        <color indexed="64"/>
      </left>
      <right/>
      <top style="medium">
        <color indexed="64"/>
      </top>
      <bottom style="medium">
        <color indexed="64"/>
      </bottom>
      <diagonal/>
    </border>
    <border>
      <left/>
      <right style="thick">
        <color indexed="64"/>
      </right>
      <top style="medium">
        <color indexed="64"/>
      </top>
      <bottom style="medium">
        <color indexed="64"/>
      </bottom>
      <diagonal/>
    </border>
    <border>
      <left/>
      <right style="thick">
        <color indexed="64"/>
      </right>
      <top style="thin">
        <color indexed="64"/>
      </top>
      <bottom style="medium">
        <color indexed="64"/>
      </bottom>
      <diagonal/>
    </border>
    <border>
      <left/>
      <right style="thick">
        <color indexed="64"/>
      </right>
      <top style="thin">
        <color indexed="64"/>
      </top>
      <bottom style="thin">
        <color indexed="64"/>
      </bottom>
      <diagonal/>
    </border>
    <border>
      <left/>
      <right/>
      <top style="thin">
        <color indexed="64"/>
      </top>
      <bottom style="thick">
        <color indexed="64"/>
      </bottom>
      <diagonal/>
    </border>
    <border>
      <left/>
      <right style="thick">
        <color indexed="64"/>
      </right>
      <top style="thin">
        <color indexed="64"/>
      </top>
      <bottom style="thick">
        <color indexed="64"/>
      </bottom>
      <diagonal/>
    </border>
    <border>
      <left style="medium">
        <color indexed="64"/>
      </left>
      <right/>
      <top/>
      <bottom style="thin">
        <color indexed="64"/>
      </bottom>
      <diagonal/>
    </border>
    <border>
      <left style="thin">
        <color indexed="64"/>
      </left>
      <right style="medium">
        <color indexed="64"/>
      </right>
      <top/>
      <bottom style="double">
        <color indexed="64"/>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thin">
        <color indexed="64"/>
      </right>
      <top style="medium">
        <color indexed="64"/>
      </top>
      <bottom style="hair">
        <color indexed="64"/>
      </bottom>
      <diagonal/>
    </border>
    <border>
      <left style="thin">
        <color indexed="64"/>
      </left>
      <right style="medium">
        <color indexed="64"/>
      </right>
      <top style="medium">
        <color indexed="64"/>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thin">
        <color indexed="64"/>
      </right>
      <top style="hair">
        <color indexed="64"/>
      </top>
      <bottom/>
      <diagonal/>
    </border>
    <border>
      <left style="thin">
        <color indexed="64"/>
      </left>
      <right style="thin">
        <color indexed="64"/>
      </right>
      <top style="hair">
        <color indexed="64"/>
      </top>
      <bottom/>
      <diagonal/>
    </border>
    <border>
      <left style="thin">
        <color indexed="64"/>
      </left>
      <right/>
      <top style="medium">
        <color indexed="64"/>
      </top>
      <bottom style="hair">
        <color indexed="64"/>
      </bottom>
      <diagonal/>
    </border>
    <border>
      <left style="thin">
        <color indexed="64"/>
      </left>
      <right/>
      <top style="hair">
        <color indexed="64"/>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thin">
        <color indexed="64"/>
      </left>
      <right/>
      <top/>
      <bottom style="hair">
        <color indexed="64"/>
      </bottom>
      <diagonal/>
    </border>
    <border>
      <left style="thin">
        <color indexed="64"/>
      </left>
      <right/>
      <top style="hair">
        <color indexed="64"/>
      </top>
      <bottom/>
      <diagonal/>
    </border>
    <border>
      <left style="thin">
        <color indexed="64"/>
      </left>
      <right style="medium">
        <color indexed="64"/>
      </right>
      <top style="hair">
        <color indexed="64"/>
      </top>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
      <left/>
      <right style="medium">
        <color indexed="64"/>
      </right>
      <top style="hair">
        <color indexed="64"/>
      </top>
      <bottom style="medium">
        <color indexed="64"/>
      </bottom>
      <diagonal/>
    </border>
    <border>
      <left style="thin">
        <color indexed="64"/>
      </left>
      <right style="thick">
        <color indexed="64"/>
      </right>
      <top/>
      <bottom/>
      <diagonal/>
    </border>
    <border>
      <left style="thin">
        <color indexed="64"/>
      </left>
      <right style="thick">
        <color indexed="64"/>
      </right>
      <top style="thin">
        <color indexed="64"/>
      </top>
      <bottom/>
      <diagonal/>
    </border>
    <border>
      <left/>
      <right style="thick">
        <color indexed="64"/>
      </right>
      <top style="medium">
        <color indexed="64"/>
      </top>
      <bottom/>
      <diagonal/>
    </border>
    <border>
      <left style="thin">
        <color indexed="64"/>
      </left>
      <right style="thin">
        <color indexed="64"/>
      </right>
      <top style="thick">
        <color indexed="64"/>
      </top>
      <bottom style="thick">
        <color indexed="64"/>
      </bottom>
      <diagonal/>
    </border>
    <border>
      <left style="thin">
        <color indexed="64"/>
      </left>
      <right style="medium">
        <color indexed="64"/>
      </right>
      <top/>
      <bottom style="medium">
        <color indexed="64"/>
      </bottom>
      <diagonal/>
    </border>
    <border>
      <left style="medium">
        <color indexed="10"/>
      </left>
      <right/>
      <top style="medium">
        <color indexed="10"/>
      </top>
      <bottom/>
      <diagonal/>
    </border>
    <border>
      <left/>
      <right style="medium">
        <color indexed="10"/>
      </right>
      <top style="medium">
        <color indexed="10"/>
      </top>
      <bottom/>
      <diagonal/>
    </border>
    <border>
      <left style="medium">
        <color indexed="10"/>
      </left>
      <right/>
      <top/>
      <bottom style="medium">
        <color indexed="10"/>
      </bottom>
      <diagonal/>
    </border>
    <border>
      <left/>
      <right style="medium">
        <color indexed="10"/>
      </right>
      <top/>
      <bottom style="medium">
        <color indexed="10"/>
      </bottom>
      <diagonal/>
    </border>
    <border>
      <left style="thick">
        <color indexed="64"/>
      </left>
      <right/>
      <top style="thick">
        <color indexed="64"/>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medium">
        <color indexed="10"/>
      </top>
      <bottom/>
      <diagonal/>
    </border>
    <border>
      <left/>
      <right/>
      <top/>
      <bottom style="medium">
        <color indexed="10"/>
      </bottom>
      <diagonal/>
    </border>
    <border>
      <left style="medium">
        <color indexed="10"/>
      </left>
      <right/>
      <top/>
      <bottom/>
      <diagonal/>
    </border>
    <border>
      <left/>
      <right style="medium">
        <color indexed="10"/>
      </right>
      <top/>
      <bottom/>
      <diagonal/>
    </border>
    <border>
      <left style="thick">
        <color indexed="64"/>
      </left>
      <right/>
      <top/>
      <bottom style="thin">
        <color indexed="64"/>
      </bottom>
      <diagonal/>
    </border>
  </borders>
  <cellStyleXfs count="720">
    <xf numFmtId="0" fontId="0" fillId="0" borderId="0"/>
    <xf numFmtId="44" fontId="67"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44" fontId="8" fillId="0" borderId="0" applyFont="0" applyFill="0" applyBorder="0" applyAlignment="0" applyProtection="0"/>
    <xf numFmtId="0" fontId="90" fillId="17" borderId="0" applyNumberFormat="0" applyBorder="0" applyAlignment="0" applyProtection="0"/>
    <xf numFmtId="0" fontId="22" fillId="0" borderId="0" applyNumberFormat="0" applyFill="0" applyBorder="0" applyAlignment="0" applyProtection="0">
      <alignment vertical="top"/>
      <protection locked="0"/>
    </xf>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1"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8" fillId="0" borderId="0"/>
    <xf numFmtId="0" fontId="8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9" fontId="2" fillId="0" borderId="0" applyFont="0" applyFill="0" applyBorder="0" applyAlignment="0" applyProtection="0"/>
    <xf numFmtId="9" fontId="11"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67"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73" fillId="0" borderId="0" applyFont="0" applyFill="0" applyBorder="0" applyAlignment="0" applyProtection="0"/>
    <xf numFmtId="9" fontId="8" fillId="0" borderId="0" applyFont="0" applyFill="0" applyBorder="0" applyAlignment="0" applyProtection="0"/>
    <xf numFmtId="9" fontId="75" fillId="0" borderId="0" applyFont="0" applyFill="0" applyBorder="0" applyAlignment="0" applyProtection="0"/>
    <xf numFmtId="9" fontId="8" fillId="0" borderId="0" applyFont="0" applyFill="0" applyBorder="0" applyAlignment="0" applyProtection="0"/>
    <xf numFmtId="9" fontId="11"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0" fillId="0" borderId="0" applyFont="0" applyFill="0" applyBorder="0" applyAlignment="0" applyProtection="0"/>
    <xf numFmtId="9" fontId="11"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 fillId="0" borderId="0" applyFont="0" applyFill="0" applyBorder="0" applyAlignment="0" applyProtection="0"/>
    <xf numFmtId="9" fontId="80" fillId="0" borderId="0" applyFont="0" applyFill="0" applyBorder="0" applyAlignment="0" applyProtection="0"/>
    <xf numFmtId="9" fontId="46" fillId="0" borderId="0" applyFont="0" applyFill="0" applyBorder="0" applyAlignment="0" applyProtection="0"/>
    <xf numFmtId="9" fontId="58"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9" fontId="46" fillId="0" borderId="0" applyFont="0" applyFill="0" applyBorder="0" applyAlignment="0" applyProtection="0"/>
    <xf numFmtId="0" fontId="1" fillId="0" borderId="0"/>
  </cellStyleXfs>
  <cellXfs count="2188">
    <xf numFmtId="0" fontId="0" fillId="0" borderId="0" xfId="0"/>
    <xf numFmtId="0" fontId="0" fillId="2" borderId="1" xfId="0" applyFill="1" applyBorder="1" applyAlignment="1">
      <alignment horizontal="center" vertical="center"/>
    </xf>
    <xf numFmtId="0" fontId="0" fillId="0" borderId="2" xfId="0" applyBorder="1" applyAlignment="1">
      <alignment horizontal="center" vertical="center"/>
    </xf>
    <xf numFmtId="0" fontId="2" fillId="2" borderId="1" xfId="0" applyFont="1" applyFill="1" applyBorder="1" applyAlignment="1">
      <alignment horizontal="center" vertical="center"/>
    </xf>
    <xf numFmtId="0" fontId="3" fillId="3" borderId="0" xfId="0" applyFont="1" applyFill="1" applyAlignment="1">
      <alignment horizontal="center" vertical="center"/>
    </xf>
    <xf numFmtId="0" fontId="3" fillId="4" borderId="0" xfId="0" applyFont="1" applyFill="1" applyAlignment="1">
      <alignment vertical="center"/>
    </xf>
    <xf numFmtId="0" fontId="3" fillId="4" borderId="0" xfId="0" applyFont="1" applyFill="1" applyAlignment="1">
      <alignment horizontal="center" vertical="center"/>
    </xf>
    <xf numFmtId="0" fontId="3" fillId="0" borderId="0" xfId="0" applyFont="1" applyAlignment="1">
      <alignment vertical="center"/>
    </xf>
    <xf numFmtId="0" fontId="3" fillId="3" borderId="0" xfId="0" applyFont="1" applyFill="1" applyAlignment="1">
      <alignment vertical="center"/>
    </xf>
    <xf numFmtId="0" fontId="3" fillId="4" borderId="0" xfId="0" applyFont="1" applyFill="1" applyAlignment="1" applyProtection="1">
      <alignment vertical="center"/>
      <protection hidden="1"/>
    </xf>
    <xf numFmtId="0" fontId="12" fillId="3" borderId="0" xfId="0" applyFont="1" applyFill="1" applyAlignment="1">
      <alignment horizontal="center" vertical="center"/>
    </xf>
    <xf numFmtId="0" fontId="12" fillId="4" borderId="0" xfId="0" applyFont="1" applyFill="1" applyAlignment="1">
      <alignment vertical="center"/>
    </xf>
    <xf numFmtId="0" fontId="12" fillId="4" borderId="0" xfId="0" applyFont="1" applyFill="1" applyAlignment="1" applyProtection="1">
      <alignment vertical="center"/>
      <protection hidden="1"/>
    </xf>
    <xf numFmtId="0" fontId="12" fillId="3" borderId="0" xfId="0" applyFont="1" applyFill="1" applyAlignment="1">
      <alignment vertical="center"/>
    </xf>
    <xf numFmtId="0" fontId="12" fillId="0" borderId="0" xfId="0" applyFont="1" applyAlignment="1">
      <alignment vertical="center"/>
    </xf>
    <xf numFmtId="0" fontId="3" fillId="3" borderId="0" xfId="0" applyFont="1" applyFill="1" applyAlignment="1" applyProtection="1">
      <alignment horizontal="center" vertical="center"/>
      <protection hidden="1"/>
    </xf>
    <xf numFmtId="0" fontId="16" fillId="4" borderId="0" xfId="0" applyFont="1" applyFill="1" applyAlignment="1" applyProtection="1">
      <alignment horizontal="center" vertical="center"/>
      <protection hidden="1"/>
    </xf>
    <xf numFmtId="0" fontId="17" fillId="4" borderId="0" xfId="0" applyFont="1" applyFill="1" applyAlignment="1" applyProtection="1">
      <alignment horizontal="center" vertical="center"/>
      <protection locked="0" hidden="1"/>
    </xf>
    <xf numFmtId="164" fontId="3" fillId="3" borderId="0" xfId="0" applyNumberFormat="1" applyFont="1" applyFill="1" applyAlignment="1">
      <alignment horizontal="center" vertical="center"/>
    </xf>
    <xf numFmtId="0" fontId="0" fillId="4" borderId="0" xfId="0" applyFill="1"/>
    <xf numFmtId="0" fontId="12" fillId="3" borderId="0" xfId="0" applyFont="1" applyFill="1" applyAlignment="1" applyProtection="1">
      <alignment horizontal="center" vertical="center"/>
      <protection hidden="1"/>
    </xf>
    <xf numFmtId="0" fontId="12" fillId="4" borderId="0" xfId="0" applyFont="1" applyFill="1"/>
    <xf numFmtId="0" fontId="12" fillId="4" borderId="0" xfId="0" applyFont="1" applyFill="1" applyProtection="1">
      <protection hidden="1"/>
    </xf>
    <xf numFmtId="164" fontId="12" fillId="3" borderId="0" xfId="0" applyNumberFormat="1" applyFont="1" applyFill="1" applyAlignment="1">
      <alignment horizontal="center" vertical="center"/>
    </xf>
    <xf numFmtId="0" fontId="3" fillId="0" borderId="0" xfId="0" applyFont="1" applyAlignment="1">
      <alignment horizontal="center" vertical="center"/>
    </xf>
    <xf numFmtId="0" fontId="0" fillId="0" borderId="0" xfId="0" applyProtection="1">
      <protection hidden="1"/>
    </xf>
    <xf numFmtId="0" fontId="15" fillId="0" borderId="3" xfId="0" applyFont="1" applyBorder="1" applyProtection="1">
      <protection hidden="1"/>
    </xf>
    <xf numFmtId="0" fontId="15" fillId="0" borderId="4" xfId="0" applyFont="1" applyBorder="1" applyProtection="1">
      <protection hidden="1"/>
    </xf>
    <xf numFmtId="0" fontId="15" fillId="0" borderId="5" xfId="0" applyFont="1" applyBorder="1" applyProtection="1">
      <protection hidden="1"/>
    </xf>
    <xf numFmtId="0" fontId="4" fillId="0" borderId="0" xfId="0" applyFont="1" applyAlignment="1" applyProtection="1">
      <alignment vertical="center"/>
      <protection hidden="1"/>
    </xf>
    <xf numFmtId="0" fontId="4" fillId="0" borderId="2" xfId="0" applyFont="1" applyBorder="1" applyAlignment="1" applyProtection="1">
      <alignment vertical="center"/>
      <protection hidden="1"/>
    </xf>
    <xf numFmtId="0" fontId="4" fillId="0" borderId="0" xfId="0" applyFont="1" applyAlignment="1" applyProtection="1">
      <alignment horizontal="center" vertical="center"/>
      <protection hidden="1"/>
    </xf>
    <xf numFmtId="0" fontId="5" fillId="5" borderId="0" xfId="0" applyFont="1" applyFill="1" applyAlignment="1" applyProtection="1">
      <alignment horizontal="center" vertical="center"/>
      <protection hidden="1"/>
    </xf>
    <xf numFmtId="0" fontId="5" fillId="0" borderId="0" xfId="0" applyFont="1" applyAlignment="1" applyProtection="1">
      <alignment horizontal="center" vertical="center" wrapText="1"/>
      <protection hidden="1"/>
    </xf>
    <xf numFmtId="0" fontId="5" fillId="6" borderId="6" xfId="0" applyFont="1" applyFill="1" applyBorder="1" applyAlignment="1" applyProtection="1">
      <alignment horizontal="center" vertical="center"/>
      <protection hidden="1"/>
    </xf>
    <xf numFmtId="0" fontId="5" fillId="6" borderId="7" xfId="0" applyFont="1" applyFill="1" applyBorder="1" applyAlignment="1" applyProtection="1">
      <alignment horizontal="center" vertical="center"/>
      <protection hidden="1"/>
    </xf>
    <xf numFmtId="0" fontId="5" fillId="6" borderId="8" xfId="0" applyFont="1" applyFill="1" applyBorder="1" applyAlignment="1" applyProtection="1">
      <alignment horizontal="center" vertical="center"/>
      <protection hidden="1"/>
    </xf>
    <xf numFmtId="0" fontId="5" fillId="6" borderId="9" xfId="0" applyFont="1" applyFill="1" applyBorder="1" applyAlignment="1" applyProtection="1">
      <alignment horizontal="center" vertical="center"/>
      <protection hidden="1"/>
    </xf>
    <xf numFmtId="0" fontId="5" fillId="6" borderId="10" xfId="0" applyFont="1" applyFill="1" applyBorder="1" applyAlignment="1" applyProtection="1">
      <alignment horizontal="center" vertical="center"/>
      <protection hidden="1"/>
    </xf>
    <xf numFmtId="0" fontId="5" fillId="3" borderId="8" xfId="0" applyFont="1" applyFill="1" applyBorder="1" applyAlignment="1" applyProtection="1">
      <alignment horizontal="center" vertical="center"/>
      <protection hidden="1"/>
    </xf>
    <xf numFmtId="0" fontId="5" fillId="3" borderId="11" xfId="0" applyFont="1" applyFill="1" applyBorder="1" applyAlignment="1" applyProtection="1">
      <alignment horizontal="center" vertical="center"/>
      <protection hidden="1"/>
    </xf>
    <xf numFmtId="0" fontId="5" fillId="3" borderId="7" xfId="0" applyFont="1" applyFill="1" applyBorder="1" applyAlignment="1" applyProtection="1">
      <alignment horizontal="center" vertical="center"/>
      <protection hidden="1"/>
    </xf>
    <xf numFmtId="2" fontId="4" fillId="7" borderId="6" xfId="0" applyNumberFormat="1" applyFont="1" applyFill="1" applyBorder="1" applyAlignment="1" applyProtection="1">
      <alignment horizontal="center" vertical="center"/>
      <protection hidden="1"/>
    </xf>
    <xf numFmtId="1" fontId="4" fillId="7" borderId="12" xfId="0" applyNumberFormat="1" applyFont="1" applyFill="1" applyBorder="1" applyAlignment="1" applyProtection="1">
      <alignment horizontal="center" vertical="center"/>
      <protection hidden="1"/>
    </xf>
    <xf numFmtId="0" fontId="5" fillId="0" borderId="0" xfId="0" applyFont="1" applyAlignment="1" applyProtection="1">
      <alignment horizontal="center" vertical="center"/>
      <protection hidden="1"/>
    </xf>
    <xf numFmtId="0" fontId="4" fillId="0" borderId="8" xfId="0" applyFont="1" applyBorder="1" applyAlignment="1" applyProtection="1">
      <alignment horizontal="center" vertical="center"/>
      <protection hidden="1"/>
    </xf>
    <xf numFmtId="1" fontId="4" fillId="0" borderId="6" xfId="0" applyNumberFormat="1" applyFont="1" applyBorder="1" applyAlignment="1" applyProtection="1">
      <alignment horizontal="center" vertical="center"/>
      <protection hidden="1"/>
    </xf>
    <xf numFmtId="164" fontId="4" fillId="0" borderId="6" xfId="0" applyNumberFormat="1" applyFont="1" applyBorder="1" applyAlignment="1" applyProtection="1">
      <alignment horizontal="center" vertical="center"/>
      <protection hidden="1"/>
    </xf>
    <xf numFmtId="164" fontId="4" fillId="0" borderId="7" xfId="0" applyNumberFormat="1" applyFont="1" applyBorder="1" applyAlignment="1" applyProtection="1">
      <alignment horizontal="center" vertical="center"/>
      <protection hidden="1"/>
    </xf>
    <xf numFmtId="2" fontId="4" fillId="0" borderId="8" xfId="0" applyNumberFormat="1" applyFont="1" applyBorder="1" applyAlignment="1" applyProtection="1">
      <alignment horizontal="center" vertical="center"/>
      <protection hidden="1"/>
    </xf>
    <xf numFmtId="2" fontId="4" fillId="0" borderId="6" xfId="0" applyNumberFormat="1" applyFont="1" applyBorder="1" applyAlignment="1" applyProtection="1">
      <alignment horizontal="center" vertical="center"/>
      <protection hidden="1"/>
    </xf>
    <xf numFmtId="2" fontId="4" fillId="0" borderId="9" xfId="0" applyNumberFormat="1" applyFont="1" applyBorder="1" applyAlignment="1" applyProtection="1">
      <alignment horizontal="center" vertical="center"/>
      <protection hidden="1"/>
    </xf>
    <xf numFmtId="2" fontId="4" fillId="0" borderId="7" xfId="0" applyNumberFormat="1" applyFont="1" applyBorder="1" applyAlignment="1" applyProtection="1">
      <alignment horizontal="center" vertical="center"/>
      <protection hidden="1"/>
    </xf>
    <xf numFmtId="2" fontId="4" fillId="0" borderId="10" xfId="0" applyNumberFormat="1" applyFont="1" applyBorder="1" applyAlignment="1" applyProtection="1">
      <alignment horizontal="center" vertical="center"/>
      <protection hidden="1"/>
    </xf>
    <xf numFmtId="2" fontId="4" fillId="0" borderId="11" xfId="0" applyNumberFormat="1" applyFont="1" applyBorder="1" applyAlignment="1" applyProtection="1">
      <alignment horizontal="center" vertical="center"/>
      <protection hidden="1"/>
    </xf>
    <xf numFmtId="49" fontId="4" fillId="7" borderId="13" xfId="0" applyNumberFormat="1" applyFont="1" applyFill="1" applyBorder="1" applyAlignment="1" applyProtection="1">
      <alignment horizontal="center" vertical="center"/>
      <protection hidden="1"/>
    </xf>
    <xf numFmtId="0" fontId="4" fillId="5" borderId="0" xfId="0" applyFont="1" applyFill="1" applyAlignment="1" applyProtection="1">
      <alignment vertical="center"/>
      <protection hidden="1"/>
    </xf>
    <xf numFmtId="165" fontId="4" fillId="7" borderId="14" xfId="0" applyNumberFormat="1" applyFont="1" applyFill="1" applyBorder="1" applyAlignment="1" applyProtection="1">
      <alignment horizontal="center" vertical="center"/>
      <protection hidden="1"/>
    </xf>
    <xf numFmtId="49" fontId="4" fillId="2" borderId="15" xfId="0" applyNumberFormat="1" applyFont="1" applyFill="1" applyBorder="1" applyAlignment="1" applyProtection="1">
      <alignment horizontal="left" vertical="center"/>
      <protection hidden="1"/>
    </xf>
    <xf numFmtId="1" fontId="4" fillId="7" borderId="6" xfId="0" applyNumberFormat="1" applyFont="1" applyFill="1" applyBorder="1" applyAlignment="1" applyProtection="1">
      <alignment horizontal="center" vertical="center"/>
      <protection hidden="1"/>
    </xf>
    <xf numFmtId="165" fontId="4" fillId="7" borderId="6" xfId="0" applyNumberFormat="1" applyFont="1" applyFill="1" applyBorder="1" applyAlignment="1" applyProtection="1">
      <alignment horizontal="center" vertical="center"/>
      <protection hidden="1"/>
    </xf>
    <xf numFmtId="2" fontId="4" fillId="7" borderId="16" xfId="0" applyNumberFormat="1" applyFont="1" applyFill="1" applyBorder="1" applyAlignment="1" applyProtection="1">
      <alignment horizontal="center" vertical="center"/>
      <protection hidden="1"/>
    </xf>
    <xf numFmtId="1" fontId="4" fillId="7" borderId="16" xfId="0" applyNumberFormat="1" applyFont="1" applyFill="1" applyBorder="1" applyAlignment="1" applyProtection="1">
      <alignment horizontal="center" vertical="center"/>
      <protection hidden="1"/>
    </xf>
    <xf numFmtId="1" fontId="4" fillId="7" borderId="16" xfId="0" quotePrefix="1" applyNumberFormat="1" applyFont="1" applyFill="1" applyBorder="1" applyAlignment="1" applyProtection="1">
      <alignment horizontal="center" vertical="center"/>
      <protection hidden="1"/>
    </xf>
    <xf numFmtId="2" fontId="4" fillId="7" borderId="16" xfId="0" quotePrefix="1" applyNumberFormat="1" applyFont="1" applyFill="1" applyBorder="1" applyAlignment="1" applyProtection="1">
      <alignment horizontal="center" vertical="center"/>
      <protection hidden="1"/>
    </xf>
    <xf numFmtId="2" fontId="5" fillId="2" borderId="16" xfId="0" quotePrefix="1" applyNumberFormat="1" applyFont="1" applyFill="1" applyBorder="1" applyAlignment="1" applyProtection="1">
      <alignment horizontal="center" vertical="center"/>
      <protection hidden="1"/>
    </xf>
    <xf numFmtId="9" fontId="4" fillId="7" borderId="17" xfId="356" applyFont="1" applyFill="1" applyBorder="1" applyAlignment="1" applyProtection="1">
      <alignment horizontal="center" vertical="center"/>
      <protection hidden="1"/>
    </xf>
    <xf numFmtId="1" fontId="4" fillId="0" borderId="0" xfId="0" applyNumberFormat="1" applyFont="1" applyAlignment="1" applyProtection="1">
      <alignment vertical="center"/>
      <protection hidden="1"/>
    </xf>
    <xf numFmtId="0" fontId="4" fillId="0" borderId="0" xfId="0" quotePrefix="1" applyFont="1" applyAlignment="1" applyProtection="1">
      <alignment vertical="center"/>
      <protection hidden="1"/>
    </xf>
    <xf numFmtId="0" fontId="5" fillId="0" borderId="0" xfId="0" quotePrefix="1" applyFont="1" applyAlignment="1" applyProtection="1">
      <alignment horizontal="center" vertical="center"/>
      <protection hidden="1"/>
    </xf>
    <xf numFmtId="0" fontId="4" fillId="0" borderId="0" xfId="0" quotePrefix="1" applyFont="1" applyAlignment="1" applyProtection="1">
      <alignment horizontal="center" vertical="center"/>
      <protection hidden="1"/>
    </xf>
    <xf numFmtId="0" fontId="5" fillId="0" borderId="0" xfId="0" applyFont="1" applyAlignment="1" applyProtection="1">
      <alignment vertical="center"/>
      <protection hidden="1"/>
    </xf>
    <xf numFmtId="0" fontId="4" fillId="8" borderId="0" xfId="0" applyFont="1" applyFill="1" applyAlignment="1" applyProtection="1">
      <alignment vertical="center"/>
      <protection hidden="1"/>
    </xf>
    <xf numFmtId="0" fontId="12" fillId="0" borderId="0" xfId="0" applyFont="1" applyAlignment="1">
      <alignment horizontal="center" vertical="center"/>
    </xf>
    <xf numFmtId="0" fontId="5" fillId="5" borderId="18" xfId="0" applyFont="1" applyFill="1" applyBorder="1" applyAlignment="1" applyProtection="1">
      <alignment horizontal="center" vertical="center"/>
      <protection hidden="1"/>
    </xf>
    <xf numFmtId="0" fontId="4" fillId="0" borderId="19" xfId="0" applyFont="1" applyBorder="1" applyAlignment="1" applyProtection="1">
      <alignment horizontal="center" vertical="center"/>
      <protection hidden="1"/>
    </xf>
    <xf numFmtId="0" fontId="4" fillId="0" borderId="19" xfId="0" applyFont="1" applyBorder="1" applyAlignment="1" applyProtection="1">
      <alignment vertical="center"/>
      <protection hidden="1"/>
    </xf>
    <xf numFmtId="0" fontId="4" fillId="0" borderId="12" xfId="0" applyFont="1" applyBorder="1" applyAlignment="1" applyProtection="1">
      <alignment vertical="center"/>
      <protection hidden="1"/>
    </xf>
    <xf numFmtId="0" fontId="4" fillId="0" borderId="20" xfId="0" applyFont="1" applyBorder="1" applyAlignment="1" applyProtection="1">
      <alignment vertical="center"/>
      <protection hidden="1"/>
    </xf>
    <xf numFmtId="1" fontId="4" fillId="0" borderId="11" xfId="0" applyNumberFormat="1" applyFont="1" applyBorder="1" applyAlignment="1" applyProtection="1">
      <alignment horizontal="center" vertical="center"/>
      <protection hidden="1"/>
    </xf>
    <xf numFmtId="164" fontId="4" fillId="0" borderId="10" xfId="0" applyNumberFormat="1" applyFont="1" applyBorder="1" applyAlignment="1" applyProtection="1">
      <alignment horizontal="center" vertical="center"/>
      <protection hidden="1"/>
    </xf>
    <xf numFmtId="1" fontId="4" fillId="0" borderId="21" xfId="0" applyNumberFormat="1" applyFont="1" applyBorder="1" applyAlignment="1" applyProtection="1">
      <alignment horizontal="center" vertical="center"/>
      <protection hidden="1"/>
    </xf>
    <xf numFmtId="1" fontId="4" fillId="0" borderId="9" xfId="0" applyNumberFormat="1" applyFont="1" applyBorder="1" applyAlignment="1" applyProtection="1">
      <alignment horizontal="center" vertical="center"/>
      <protection hidden="1"/>
    </xf>
    <xf numFmtId="0" fontId="15" fillId="2" borderId="23" xfId="0" applyFont="1" applyFill="1" applyBorder="1" applyAlignment="1" applyProtection="1">
      <alignment horizontal="center" vertical="center" wrapText="1"/>
      <protection hidden="1"/>
    </xf>
    <xf numFmtId="2" fontId="5" fillId="7" borderId="38" xfId="0" quotePrefix="1" applyNumberFormat="1" applyFont="1" applyFill="1" applyBorder="1" applyAlignment="1" applyProtection="1">
      <alignment horizontal="center" vertical="center"/>
      <protection hidden="1"/>
    </xf>
    <xf numFmtId="0" fontId="3" fillId="4" borderId="0" xfId="0" applyFont="1" applyFill="1" applyAlignment="1">
      <alignment horizontal="left" vertical="center"/>
    </xf>
    <xf numFmtId="0" fontId="3" fillId="9" borderId="0" xfId="0" applyFont="1" applyFill="1" applyAlignment="1">
      <alignment vertical="center"/>
    </xf>
    <xf numFmtId="0" fontId="12" fillId="4" borderId="0" xfId="0" applyFont="1" applyFill="1" applyAlignment="1">
      <alignment horizontal="center" vertical="center"/>
    </xf>
    <xf numFmtId="0" fontId="12" fillId="4" borderId="0" xfId="0" applyFont="1" applyFill="1" applyAlignment="1">
      <alignment horizontal="left" vertical="center"/>
    </xf>
    <xf numFmtId="0" fontId="12" fillId="9" borderId="0" xfId="0" applyFont="1" applyFill="1" applyAlignment="1">
      <alignment vertical="center"/>
    </xf>
    <xf numFmtId="0" fontId="12" fillId="0" borderId="0" xfId="0" applyFont="1" applyAlignment="1" applyProtection="1">
      <alignment horizontal="left" vertical="center"/>
      <protection hidden="1"/>
    </xf>
    <xf numFmtId="0" fontId="3" fillId="3" borderId="0" xfId="0" applyFont="1" applyFill="1" applyAlignment="1">
      <alignment horizontal="left" vertical="center"/>
    </xf>
    <xf numFmtId="0" fontId="3" fillId="0" borderId="0" xfId="0" applyFont="1" applyAlignment="1">
      <alignment horizontal="left" vertical="center"/>
    </xf>
    <xf numFmtId="0" fontId="15" fillId="4" borderId="0" xfId="0" applyFont="1" applyFill="1" applyAlignment="1">
      <alignment horizontal="center" vertical="center"/>
    </xf>
    <xf numFmtId="0" fontId="3" fillId="5" borderId="0" xfId="0" applyFont="1" applyFill="1" applyAlignment="1">
      <alignment horizontal="center" vertical="center"/>
    </xf>
    <xf numFmtId="0" fontId="3" fillId="10" borderId="0" xfId="0" applyFont="1" applyFill="1" applyAlignment="1">
      <alignment horizontal="center" vertical="center"/>
    </xf>
    <xf numFmtId="0" fontId="3" fillId="9" borderId="0" xfId="0" applyFont="1" applyFill="1" applyAlignment="1">
      <alignment horizontal="center" vertical="center"/>
    </xf>
    <xf numFmtId="0" fontId="3" fillId="10" borderId="0" xfId="0" quotePrefix="1" applyFont="1" applyFill="1" applyAlignment="1">
      <alignment horizontal="left" vertical="center"/>
    </xf>
    <xf numFmtId="0" fontId="3" fillId="10" borderId="0" xfId="0" quotePrefix="1" applyFont="1" applyFill="1" applyAlignment="1">
      <alignment horizontal="center" vertical="center"/>
    </xf>
    <xf numFmtId="0" fontId="3" fillId="3" borderId="0" xfId="0" quotePrefix="1" applyFont="1" applyFill="1" applyAlignment="1">
      <alignment horizontal="left" vertical="center"/>
    </xf>
    <xf numFmtId="0" fontId="3" fillId="3" borderId="0" xfId="0" quotePrefix="1" applyFont="1" applyFill="1" applyAlignment="1">
      <alignment horizontal="center" vertical="center"/>
    </xf>
    <xf numFmtId="0" fontId="3" fillId="9" borderId="0" xfId="0" quotePrefix="1" applyFont="1" applyFill="1" applyAlignment="1">
      <alignment horizontal="left" vertical="center"/>
    </xf>
    <xf numFmtId="0" fontId="3" fillId="9" borderId="0" xfId="0" quotePrefix="1" applyFont="1" applyFill="1" applyAlignment="1">
      <alignment horizontal="center" vertical="center"/>
    </xf>
    <xf numFmtId="0" fontId="12" fillId="10" borderId="23" xfId="0" applyFont="1" applyFill="1" applyBorder="1" applyAlignment="1" applyProtection="1">
      <alignment horizontal="left" vertical="center"/>
      <protection hidden="1"/>
    </xf>
    <xf numFmtId="0" fontId="3" fillId="3" borderId="23" xfId="0" applyFont="1" applyFill="1" applyBorder="1" applyAlignment="1">
      <alignment vertical="center"/>
    </xf>
    <xf numFmtId="0" fontId="3" fillId="9" borderId="23" xfId="0" applyFont="1" applyFill="1" applyBorder="1" applyAlignment="1">
      <alignment vertical="center"/>
    </xf>
    <xf numFmtId="0" fontId="12" fillId="10" borderId="39" xfId="0" applyFont="1" applyFill="1" applyBorder="1" applyAlignment="1" applyProtection="1">
      <alignment horizontal="left" vertical="center"/>
      <protection hidden="1"/>
    </xf>
    <xf numFmtId="0" fontId="12" fillId="3" borderId="39" xfId="0" applyFont="1" applyFill="1" applyBorder="1" applyAlignment="1" applyProtection="1">
      <alignment horizontal="left" vertical="center"/>
      <protection hidden="1"/>
    </xf>
    <xf numFmtId="0" fontId="12" fillId="9" borderId="39" xfId="0" applyFont="1" applyFill="1" applyBorder="1" applyAlignment="1" applyProtection="1">
      <alignment horizontal="left" vertical="center"/>
      <protection hidden="1"/>
    </xf>
    <xf numFmtId="0" fontId="3" fillId="9" borderId="39" xfId="0" applyFont="1" applyFill="1" applyBorder="1" applyAlignment="1">
      <alignment horizontal="left" vertical="center"/>
    </xf>
    <xf numFmtId="0" fontId="3" fillId="3" borderId="39" xfId="0" applyFont="1" applyFill="1" applyBorder="1" applyAlignment="1">
      <alignment vertical="center"/>
    </xf>
    <xf numFmtId="0" fontId="3" fillId="0" borderId="0" xfId="0" quotePrefix="1" applyFont="1" applyAlignment="1">
      <alignment horizontal="center" vertical="center"/>
    </xf>
    <xf numFmtId="0" fontId="12" fillId="10" borderId="39" xfId="0" applyFont="1" applyFill="1" applyBorder="1" applyAlignment="1">
      <alignment horizontal="left" vertical="center"/>
    </xf>
    <xf numFmtId="0" fontId="3" fillId="9" borderId="39" xfId="0" applyFont="1" applyFill="1" applyBorder="1" applyAlignment="1">
      <alignment vertical="center"/>
    </xf>
    <xf numFmtId="0" fontId="3" fillId="10" borderId="39" xfId="0" applyFont="1" applyFill="1" applyBorder="1" applyAlignment="1">
      <alignment horizontal="left" vertical="center"/>
    </xf>
    <xf numFmtId="0" fontId="3" fillId="10" borderId="39" xfId="0" applyFont="1" applyFill="1" applyBorder="1" applyAlignment="1">
      <alignment vertical="center"/>
    </xf>
    <xf numFmtId="0" fontId="3" fillId="9" borderId="40" xfId="0" applyFont="1" applyFill="1" applyBorder="1" applyAlignment="1">
      <alignment horizontal="left" vertical="center"/>
    </xf>
    <xf numFmtId="0" fontId="12" fillId="3" borderId="39" xfId="0" applyFont="1" applyFill="1" applyBorder="1" applyAlignment="1">
      <alignment horizontal="left" vertical="center"/>
    </xf>
    <xf numFmtId="0" fontId="3" fillId="10" borderId="40" xfId="0" applyFont="1" applyFill="1" applyBorder="1" applyAlignment="1">
      <alignment vertical="center"/>
    </xf>
    <xf numFmtId="0" fontId="3" fillId="3" borderId="40" xfId="0" applyFont="1" applyFill="1" applyBorder="1" applyAlignment="1">
      <alignment vertical="center"/>
    </xf>
    <xf numFmtId="164" fontId="26" fillId="0" borderId="41" xfId="0" applyNumberFormat="1" applyFont="1" applyBorder="1" applyProtection="1">
      <protection hidden="1"/>
    </xf>
    <xf numFmtId="164" fontId="20" fillId="0" borderId="41" xfId="0" applyNumberFormat="1" applyFont="1" applyBorder="1" applyProtection="1">
      <protection hidden="1"/>
    </xf>
    <xf numFmtId="164" fontId="26" fillId="0" borderId="42" xfId="0" applyNumberFormat="1" applyFont="1" applyBorder="1" applyProtection="1">
      <protection hidden="1"/>
    </xf>
    <xf numFmtId="164" fontId="20" fillId="0" borderId="43" xfId="0" applyNumberFormat="1" applyFont="1" applyBorder="1" applyProtection="1">
      <protection hidden="1"/>
    </xf>
    <xf numFmtId="0" fontId="0" fillId="11" borderId="0" xfId="0" applyFill="1" applyProtection="1">
      <protection hidden="1"/>
    </xf>
    <xf numFmtId="2" fontId="4" fillId="0" borderId="21" xfId="0" applyNumberFormat="1" applyFont="1" applyBorder="1" applyAlignment="1" applyProtection="1">
      <alignment horizontal="center" vertical="center"/>
      <protection hidden="1"/>
    </xf>
    <xf numFmtId="0" fontId="4" fillId="0" borderId="44" xfId="0" applyFont="1" applyBorder="1" applyAlignment="1" applyProtection="1">
      <alignment vertical="center"/>
      <protection hidden="1"/>
    </xf>
    <xf numFmtId="0" fontId="17" fillId="4" borderId="0" xfId="0" applyFont="1" applyFill="1" applyAlignment="1" applyProtection="1">
      <alignment horizontal="center" vertical="center"/>
      <protection hidden="1"/>
    </xf>
    <xf numFmtId="0" fontId="18" fillId="4" borderId="0" xfId="0" applyFont="1" applyFill="1" applyAlignment="1" applyProtection="1">
      <alignment horizontal="center" vertical="center"/>
      <protection hidden="1"/>
    </xf>
    <xf numFmtId="0" fontId="0" fillId="2" borderId="40" xfId="0" applyFill="1" applyBorder="1" applyAlignment="1">
      <alignment horizontal="center" vertical="center"/>
    </xf>
    <xf numFmtId="0" fontId="2" fillId="2" borderId="40" xfId="0" applyFont="1" applyFill="1" applyBorder="1" applyAlignment="1">
      <alignment horizontal="center" vertical="center"/>
    </xf>
    <xf numFmtId="170" fontId="4" fillId="7" borderId="16" xfId="0" quotePrefix="1" applyNumberFormat="1" applyFont="1" applyFill="1" applyBorder="1" applyAlignment="1" applyProtection="1">
      <alignment horizontal="center" vertical="center"/>
      <protection hidden="1"/>
    </xf>
    <xf numFmtId="1" fontId="4" fillId="7" borderId="13" xfId="0" applyNumberFormat="1" applyFont="1" applyFill="1" applyBorder="1" applyAlignment="1" applyProtection="1">
      <alignment horizontal="center" vertical="center"/>
      <protection hidden="1"/>
    </xf>
    <xf numFmtId="2" fontId="4" fillId="7" borderId="38" xfId="0" applyNumberFormat="1" applyFont="1" applyFill="1" applyBorder="1" applyAlignment="1" applyProtection="1">
      <alignment horizontal="center" vertical="center"/>
      <protection hidden="1"/>
    </xf>
    <xf numFmtId="170" fontId="4" fillId="7" borderId="22" xfId="0" quotePrefix="1" applyNumberFormat="1" applyFont="1" applyFill="1" applyBorder="1" applyAlignment="1" applyProtection="1">
      <alignment horizontal="center" vertical="center"/>
      <protection hidden="1"/>
    </xf>
    <xf numFmtId="0" fontId="4" fillId="0" borderId="21" xfId="0" applyFont="1" applyBorder="1" applyAlignment="1" applyProtection="1">
      <alignment vertical="center"/>
      <protection hidden="1"/>
    </xf>
    <xf numFmtId="0" fontId="4" fillId="0" borderId="6" xfId="0" applyFont="1" applyBorder="1" applyAlignment="1" applyProtection="1">
      <alignment vertical="center"/>
      <protection hidden="1"/>
    </xf>
    <xf numFmtId="0" fontId="4" fillId="0" borderId="7" xfId="0" applyFont="1" applyBorder="1" applyAlignment="1" applyProtection="1">
      <alignment horizontal="center" vertical="center"/>
      <protection locked="0" hidden="1"/>
    </xf>
    <xf numFmtId="2" fontId="4" fillId="7" borderId="22" xfId="0" quotePrefix="1" applyNumberFormat="1" applyFont="1" applyFill="1" applyBorder="1" applyAlignment="1" applyProtection="1">
      <alignment horizontal="center" vertical="center"/>
      <protection hidden="1"/>
    </xf>
    <xf numFmtId="171" fontId="4" fillId="7" borderId="29" xfId="0" applyNumberFormat="1" applyFont="1" applyFill="1" applyBorder="1" applyAlignment="1" applyProtection="1">
      <alignment horizontal="center" vertical="center"/>
      <protection hidden="1"/>
    </xf>
    <xf numFmtId="164" fontId="4" fillId="7" borderId="22" xfId="0" quotePrefix="1" applyNumberFormat="1" applyFont="1" applyFill="1" applyBorder="1" applyAlignment="1" applyProtection="1">
      <alignment horizontal="center" vertical="center"/>
      <protection hidden="1"/>
    </xf>
    <xf numFmtId="2" fontId="5" fillId="2" borderId="45" xfId="0" quotePrefix="1" applyNumberFormat="1" applyFont="1" applyFill="1" applyBorder="1" applyAlignment="1" applyProtection="1">
      <alignment horizontal="center" vertical="center"/>
      <protection hidden="1"/>
    </xf>
    <xf numFmtId="0" fontId="15" fillId="0" borderId="46" xfId="0" applyFont="1" applyBorder="1" applyProtection="1">
      <protection hidden="1"/>
    </xf>
    <xf numFmtId="0" fontId="15" fillId="0" borderId="47" xfId="0" applyFont="1" applyBorder="1" applyProtection="1">
      <protection hidden="1"/>
    </xf>
    <xf numFmtId="164" fontId="26" fillId="0" borderId="48" xfId="0" applyNumberFormat="1" applyFont="1" applyBorder="1" applyProtection="1">
      <protection hidden="1"/>
    </xf>
    <xf numFmtId="0" fontId="15" fillId="0" borderId="49" xfId="0" applyFont="1" applyBorder="1" applyProtection="1">
      <protection hidden="1"/>
    </xf>
    <xf numFmtId="0" fontId="15" fillId="0" borderId="50" xfId="0" applyFont="1" applyBorder="1" applyProtection="1">
      <protection hidden="1"/>
    </xf>
    <xf numFmtId="0" fontId="15" fillId="0" borderId="51" xfId="0" applyFont="1" applyBorder="1" applyProtection="1">
      <protection hidden="1"/>
    </xf>
    <xf numFmtId="0" fontId="15" fillId="0" borderId="52" xfId="0" applyFont="1" applyBorder="1" applyProtection="1">
      <protection hidden="1"/>
    </xf>
    <xf numFmtId="0" fontId="15" fillId="0" borderId="53" xfId="0" applyFont="1" applyBorder="1" applyProtection="1">
      <protection hidden="1"/>
    </xf>
    <xf numFmtId="164" fontId="20" fillId="0" borderId="48" xfId="0" applyNumberFormat="1" applyFont="1" applyBorder="1" applyProtection="1">
      <protection hidden="1"/>
    </xf>
    <xf numFmtId="164" fontId="27" fillId="0" borderId="43" xfId="0" applyNumberFormat="1" applyFont="1" applyBorder="1" applyProtection="1">
      <protection hidden="1"/>
    </xf>
    <xf numFmtId="164" fontId="26" fillId="0" borderId="51" xfId="0" applyNumberFormat="1" applyFont="1" applyBorder="1" applyProtection="1">
      <protection hidden="1"/>
    </xf>
    <xf numFmtId="0" fontId="3" fillId="0" borderId="0" xfId="0" applyFont="1" applyAlignment="1" applyProtection="1">
      <alignment vertical="center"/>
      <protection hidden="1"/>
    </xf>
    <xf numFmtId="0" fontId="12" fillId="0" borderId="0" xfId="0" applyFont="1" applyAlignment="1" applyProtection="1">
      <alignment vertical="center"/>
      <protection hidden="1"/>
    </xf>
    <xf numFmtId="2" fontId="12" fillId="0" borderId="0" xfId="0" applyNumberFormat="1" applyFont="1" applyAlignment="1" applyProtection="1">
      <alignment vertical="center"/>
      <protection hidden="1"/>
    </xf>
    <xf numFmtId="164" fontId="25" fillId="0" borderId="41" xfId="0" applyNumberFormat="1" applyFont="1" applyBorder="1" applyProtection="1">
      <protection hidden="1"/>
    </xf>
    <xf numFmtId="164" fontId="25" fillId="0" borderId="42" xfId="0" applyNumberFormat="1" applyFont="1" applyBorder="1" applyProtection="1">
      <protection hidden="1"/>
    </xf>
    <xf numFmtId="164" fontId="15" fillId="0" borderId="41" xfId="0" applyNumberFormat="1" applyFont="1" applyBorder="1" applyProtection="1">
      <protection hidden="1"/>
    </xf>
    <xf numFmtId="164" fontId="15" fillId="0" borderId="42" xfId="0" applyNumberFormat="1" applyFont="1" applyBorder="1" applyProtection="1">
      <protection hidden="1"/>
    </xf>
    <xf numFmtId="164" fontId="27" fillId="0" borderId="41" xfId="0" applyNumberFormat="1" applyFont="1" applyBorder="1" applyAlignment="1" applyProtection="1">
      <alignment vertical="center"/>
      <protection hidden="1"/>
    </xf>
    <xf numFmtId="164" fontId="27" fillId="0" borderId="43" xfId="0" applyNumberFormat="1" applyFont="1" applyBorder="1" applyAlignment="1" applyProtection="1">
      <alignment vertical="center"/>
      <protection hidden="1"/>
    </xf>
    <xf numFmtId="164" fontId="15" fillId="0" borderId="54" xfId="0" applyNumberFormat="1" applyFont="1" applyBorder="1" applyProtection="1">
      <protection hidden="1"/>
    </xf>
    <xf numFmtId="0" fontId="3" fillId="11" borderId="0" xfId="0" applyFont="1" applyFill="1" applyAlignment="1" applyProtection="1">
      <alignment vertical="center"/>
      <protection hidden="1"/>
    </xf>
    <xf numFmtId="164" fontId="25" fillId="0" borderId="55" xfId="0" applyNumberFormat="1" applyFont="1" applyBorder="1" applyProtection="1">
      <protection hidden="1"/>
    </xf>
    <xf numFmtId="164" fontId="25" fillId="0" borderId="51" xfId="0" applyNumberFormat="1" applyFont="1" applyBorder="1" applyProtection="1">
      <protection hidden="1"/>
    </xf>
    <xf numFmtId="0" fontId="4" fillId="7" borderId="0" xfId="0" applyFont="1" applyFill="1" applyAlignment="1" applyProtection="1">
      <alignment vertical="center"/>
      <protection hidden="1"/>
    </xf>
    <xf numFmtId="0" fontId="28" fillId="0" borderId="0" xfId="0" applyFont="1" applyAlignment="1" applyProtection="1">
      <alignment horizontal="center" vertical="center"/>
      <protection hidden="1"/>
    </xf>
    <xf numFmtId="0" fontId="4" fillId="7" borderId="44" xfId="0" applyFont="1" applyFill="1" applyBorder="1" applyAlignment="1" applyProtection="1">
      <alignment horizontal="center" vertical="center"/>
      <protection hidden="1"/>
    </xf>
    <xf numFmtId="0" fontId="0" fillId="0" borderId="34" xfId="0" applyBorder="1"/>
    <xf numFmtId="0" fontId="0" fillId="0" borderId="56" xfId="0" applyBorder="1"/>
    <xf numFmtId="0" fontId="0" fillId="0" borderId="39" xfId="0" applyBorder="1"/>
    <xf numFmtId="0" fontId="0" fillId="0" borderId="57" xfId="0" applyBorder="1"/>
    <xf numFmtId="0" fontId="28" fillId="0" borderId="0" xfId="0" applyFont="1" applyAlignment="1" applyProtection="1">
      <alignment vertical="center"/>
      <protection hidden="1"/>
    </xf>
    <xf numFmtId="49" fontId="4" fillId="2" borderId="33" xfId="0" applyNumberFormat="1" applyFont="1" applyFill="1" applyBorder="1" applyAlignment="1" applyProtection="1">
      <alignment horizontal="left" vertical="center"/>
      <protection hidden="1"/>
    </xf>
    <xf numFmtId="49" fontId="5" fillId="2" borderId="29" xfId="0" applyNumberFormat="1" applyFont="1" applyFill="1" applyBorder="1" applyAlignment="1" applyProtection="1">
      <alignment horizontal="right" vertical="center" indent="1"/>
      <protection hidden="1"/>
    </xf>
    <xf numFmtId="49" fontId="5" fillId="2" borderId="13" xfId="0" applyNumberFormat="1" applyFont="1" applyFill="1" applyBorder="1" applyAlignment="1" applyProtection="1">
      <alignment horizontal="right" vertical="center" indent="1"/>
      <protection hidden="1"/>
    </xf>
    <xf numFmtId="49" fontId="5" fillId="2" borderId="17" xfId="0" applyNumberFormat="1" applyFont="1" applyFill="1" applyBorder="1" applyAlignment="1" applyProtection="1">
      <alignment horizontal="right" vertical="center" indent="1"/>
      <protection hidden="1"/>
    </xf>
    <xf numFmtId="49" fontId="5" fillId="2" borderId="13" xfId="0" applyNumberFormat="1" applyFont="1" applyFill="1" applyBorder="1" applyAlignment="1" applyProtection="1">
      <alignment horizontal="left" vertical="center" indent="2"/>
      <protection hidden="1"/>
    </xf>
    <xf numFmtId="0" fontId="9" fillId="0" borderId="0" xfId="0" applyFont="1" applyAlignment="1">
      <alignment horizontal="center"/>
    </xf>
    <xf numFmtId="0" fontId="0" fillId="0" borderId="0" xfId="0" applyAlignment="1">
      <alignment wrapText="1"/>
    </xf>
    <xf numFmtId="0" fontId="9" fillId="0" borderId="0" xfId="0" applyFont="1"/>
    <xf numFmtId="0" fontId="11" fillId="0" borderId="0" xfId="0" applyFont="1"/>
    <xf numFmtId="0" fontId="0" fillId="0" borderId="15" xfId="0" applyBorder="1"/>
    <xf numFmtId="0" fontId="0" fillId="0" borderId="0" xfId="0" applyAlignment="1">
      <alignment horizontal="center"/>
    </xf>
    <xf numFmtId="2" fontId="0" fillId="0" borderId="0" xfId="0" applyNumberFormat="1"/>
    <xf numFmtId="0" fontId="0" fillId="0" borderId="32" xfId="0" applyBorder="1" applyAlignment="1">
      <alignment horizontal="center"/>
    </xf>
    <xf numFmtId="0" fontId="11" fillId="0" borderId="0" xfId="0" applyFont="1" applyAlignment="1">
      <alignment horizontal="left" indent="1"/>
    </xf>
    <xf numFmtId="0" fontId="11" fillId="0" borderId="0" xfId="0" applyFont="1" applyAlignment="1">
      <alignment horizontal="left" vertical="center" indent="1"/>
    </xf>
    <xf numFmtId="0" fontId="35" fillId="0" borderId="0" xfId="0" applyFont="1"/>
    <xf numFmtId="0" fontId="36" fillId="0" borderId="0" xfId="0" applyFont="1" applyAlignment="1">
      <alignment wrapText="1"/>
    </xf>
    <xf numFmtId="0" fontId="37" fillId="0" borderId="0" xfId="0" applyFont="1"/>
    <xf numFmtId="0" fontId="11" fillId="0" borderId="0" xfId="0" applyFont="1" applyAlignment="1">
      <alignment horizontal="center"/>
    </xf>
    <xf numFmtId="167" fontId="0" fillId="0" borderId="0" xfId="0" applyNumberFormat="1"/>
    <xf numFmtId="13" fontId="11" fillId="0" borderId="0" xfId="0" applyNumberFormat="1" applyFont="1"/>
    <xf numFmtId="13" fontId="0" fillId="0" borderId="0" xfId="0" applyNumberFormat="1"/>
    <xf numFmtId="12" fontId="0" fillId="0" borderId="0" xfId="0" applyNumberFormat="1"/>
    <xf numFmtId="172" fontId="0" fillId="0" borderId="0" xfId="0" applyNumberFormat="1"/>
    <xf numFmtId="9" fontId="0" fillId="0" borderId="15" xfId="579" applyFont="1" applyBorder="1"/>
    <xf numFmtId="11" fontId="0" fillId="0" borderId="0" xfId="0" applyNumberFormat="1"/>
    <xf numFmtId="166" fontId="0" fillId="0" borderId="37" xfId="0" applyNumberFormat="1" applyBorder="1"/>
    <xf numFmtId="0" fontId="9" fillId="0" borderId="35" xfId="0" applyFont="1" applyBorder="1" applyAlignment="1">
      <alignment horizontal="center"/>
    </xf>
    <xf numFmtId="166" fontId="0" fillId="0" borderId="0" xfId="0" applyNumberFormat="1"/>
    <xf numFmtId="166" fontId="0" fillId="0" borderId="15" xfId="0" applyNumberFormat="1" applyBorder="1"/>
    <xf numFmtId="0" fontId="9" fillId="0" borderId="34" xfId="0" applyFont="1" applyBorder="1" applyAlignment="1">
      <alignment horizontal="center"/>
    </xf>
    <xf numFmtId="166" fontId="9" fillId="0" borderId="0" xfId="0" applyNumberFormat="1" applyFont="1" applyAlignment="1">
      <alignment horizontal="center"/>
    </xf>
    <xf numFmtId="166" fontId="9" fillId="0" borderId="34" xfId="0" applyNumberFormat="1" applyFont="1" applyBorder="1" applyAlignment="1">
      <alignment horizontal="center"/>
    </xf>
    <xf numFmtId="166" fontId="9" fillId="0" borderId="0" xfId="0" applyNumberFormat="1" applyFont="1"/>
    <xf numFmtId="0" fontId="32" fillId="0" borderId="0" xfId="0" applyFont="1" applyAlignment="1">
      <alignment wrapText="1"/>
    </xf>
    <xf numFmtId="0" fontId="32" fillId="0" borderId="15" xfId="0" applyFont="1" applyBorder="1" applyAlignment="1">
      <alignment horizontal="center" wrapText="1"/>
    </xf>
    <xf numFmtId="0" fontId="32" fillId="0" borderId="0" xfId="0" applyFont="1" applyAlignment="1">
      <alignment horizontal="center" wrapText="1"/>
    </xf>
    <xf numFmtId="0" fontId="32" fillId="0" borderId="34" xfId="0" applyFont="1" applyBorder="1" applyAlignment="1">
      <alignment horizontal="center" wrapText="1"/>
    </xf>
    <xf numFmtId="0" fontId="9" fillId="0" borderId="23" xfId="0" applyFont="1" applyBorder="1" applyAlignment="1">
      <alignment horizontal="right"/>
    </xf>
    <xf numFmtId="0" fontId="0" fillId="0" borderId="0" xfId="0" applyAlignment="1" applyProtection="1">
      <alignment horizontal="center"/>
      <protection hidden="1"/>
    </xf>
    <xf numFmtId="0" fontId="0" fillId="0" borderId="15" xfId="0" applyBorder="1" applyProtection="1">
      <protection hidden="1"/>
    </xf>
    <xf numFmtId="0" fontId="0" fillId="0" borderId="34" xfId="0" applyBorder="1" applyProtection="1">
      <protection hidden="1"/>
    </xf>
    <xf numFmtId="13" fontId="33" fillId="12" borderId="0" xfId="0" applyNumberFormat="1" applyFont="1" applyFill="1" applyAlignment="1" applyProtection="1">
      <alignment horizontal="center"/>
      <protection hidden="1"/>
    </xf>
    <xf numFmtId="173" fontId="0" fillId="12" borderId="15" xfId="0" applyNumberFormat="1" applyFill="1" applyBorder="1" applyAlignment="1" applyProtection="1">
      <alignment horizontal="center"/>
      <protection hidden="1"/>
    </xf>
    <xf numFmtId="166" fontId="33" fillId="7" borderId="0" xfId="0" applyNumberFormat="1" applyFont="1" applyFill="1" applyAlignment="1" applyProtection="1">
      <alignment horizontal="center"/>
      <protection hidden="1"/>
    </xf>
    <xf numFmtId="1" fontId="33" fillId="7" borderId="0" xfId="0" applyNumberFormat="1" applyFont="1" applyFill="1" applyAlignment="1" applyProtection="1">
      <alignment horizontal="center"/>
      <protection hidden="1"/>
    </xf>
    <xf numFmtId="2" fontId="33" fillId="7" borderId="0" xfId="0" applyNumberFormat="1" applyFont="1" applyFill="1" applyAlignment="1" applyProtection="1">
      <alignment horizontal="center"/>
      <protection hidden="1"/>
    </xf>
    <xf numFmtId="0" fontId="33" fillId="0" borderId="0" xfId="0" applyFont="1" applyAlignment="1" applyProtection="1">
      <alignment horizontal="center"/>
      <protection hidden="1"/>
    </xf>
    <xf numFmtId="164" fontId="33" fillId="0" borderId="15" xfId="0" applyNumberFormat="1" applyFont="1" applyBorder="1" applyAlignment="1" applyProtection="1">
      <alignment horizontal="center"/>
      <protection hidden="1"/>
    </xf>
    <xf numFmtId="2" fontId="33" fillId="0" borderId="0" xfId="0" applyNumberFormat="1" applyFont="1" applyAlignment="1" applyProtection="1">
      <alignment horizontal="center"/>
      <protection hidden="1"/>
    </xf>
    <xf numFmtId="164" fontId="33" fillId="0" borderId="0" xfId="0" applyNumberFormat="1" applyFont="1" applyAlignment="1" applyProtection="1">
      <alignment horizontal="center"/>
      <protection hidden="1"/>
    </xf>
    <xf numFmtId="164" fontId="33" fillId="0" borderId="34" xfId="0" applyNumberFormat="1" applyFont="1" applyBorder="1" applyAlignment="1" applyProtection="1">
      <alignment horizontal="center"/>
      <protection hidden="1"/>
    </xf>
    <xf numFmtId="0" fontId="33" fillId="0" borderId="15" xfId="0" applyFont="1" applyBorder="1" applyAlignment="1" applyProtection="1">
      <alignment horizontal="center"/>
      <protection hidden="1"/>
    </xf>
    <xf numFmtId="172" fontId="33" fillId="0" borderId="0" xfId="0" applyNumberFormat="1" applyFont="1" applyAlignment="1" applyProtection="1">
      <alignment horizontal="center"/>
      <protection hidden="1"/>
    </xf>
    <xf numFmtId="166" fontId="33" fillId="0" borderId="0" xfId="0" applyNumberFormat="1" applyFont="1" applyAlignment="1" applyProtection="1">
      <alignment horizontal="center"/>
      <protection hidden="1"/>
    </xf>
    <xf numFmtId="0" fontId="33" fillId="0" borderId="34" xfId="0" applyFont="1" applyBorder="1" applyAlignment="1" applyProtection="1">
      <alignment horizontal="center"/>
      <protection hidden="1"/>
    </xf>
    <xf numFmtId="1" fontId="33" fillId="0" borderId="0" xfId="0" applyNumberFormat="1" applyFont="1" applyAlignment="1" applyProtection="1">
      <alignment horizontal="center"/>
      <protection hidden="1"/>
    </xf>
    <xf numFmtId="173" fontId="0" fillId="0" borderId="0" xfId="0" applyNumberFormat="1" applyAlignment="1" applyProtection="1">
      <alignment horizontal="center"/>
      <protection hidden="1"/>
    </xf>
    <xf numFmtId="13" fontId="33" fillId="0" borderId="0" xfId="0" applyNumberFormat="1" applyFont="1" applyAlignment="1" applyProtection="1">
      <alignment horizontal="center"/>
      <protection hidden="1"/>
    </xf>
    <xf numFmtId="173" fontId="0" fillId="12" borderId="0" xfId="0" applyNumberFormat="1" applyFill="1" applyAlignment="1" applyProtection="1">
      <alignment horizontal="center"/>
      <protection hidden="1"/>
    </xf>
    <xf numFmtId="0" fontId="9" fillId="0" borderId="0" xfId="0" applyFont="1" applyAlignment="1" applyProtection="1">
      <alignment horizontal="center"/>
      <protection hidden="1"/>
    </xf>
    <xf numFmtId="49" fontId="9" fillId="0" borderId="0" xfId="0" applyNumberFormat="1" applyFont="1" applyAlignment="1" applyProtection="1">
      <alignment horizontal="center"/>
      <protection hidden="1"/>
    </xf>
    <xf numFmtId="0" fontId="9" fillId="0" borderId="34" xfId="0" applyFont="1" applyBorder="1" applyAlignment="1" applyProtection="1">
      <alignment horizontal="center"/>
      <protection hidden="1"/>
    </xf>
    <xf numFmtId="13" fontId="33" fillId="12" borderId="34" xfId="0" applyNumberFormat="1" applyFont="1" applyFill="1" applyBorder="1" applyAlignment="1" applyProtection="1">
      <alignment horizontal="center"/>
      <protection hidden="1"/>
    </xf>
    <xf numFmtId="167" fontId="33" fillId="0" borderId="0" xfId="0" applyNumberFormat="1" applyFont="1" applyAlignment="1" applyProtection="1">
      <alignment horizontal="center"/>
      <protection hidden="1"/>
    </xf>
    <xf numFmtId="167" fontId="33" fillId="0" borderId="34" xfId="0" applyNumberFormat="1" applyFont="1" applyBorder="1" applyAlignment="1" applyProtection="1">
      <alignment horizontal="center"/>
      <protection hidden="1"/>
    </xf>
    <xf numFmtId="0" fontId="41" fillId="0" borderId="0" xfId="0" applyFont="1" applyProtection="1">
      <protection hidden="1"/>
    </xf>
    <xf numFmtId="13" fontId="11" fillId="3" borderId="15" xfId="0" applyNumberFormat="1" applyFont="1" applyFill="1" applyBorder="1" applyAlignment="1" applyProtection="1">
      <alignment horizontal="left"/>
      <protection locked="0"/>
    </xf>
    <xf numFmtId="13" fontId="33" fillId="3" borderId="34" xfId="0" applyNumberFormat="1" applyFont="1" applyFill="1" applyBorder="1" applyAlignment="1" applyProtection="1">
      <alignment horizontal="center"/>
      <protection locked="0"/>
    </xf>
    <xf numFmtId="173" fontId="0" fillId="7" borderId="15" xfId="0" applyNumberFormat="1" applyFill="1" applyBorder="1" applyAlignment="1" applyProtection="1">
      <alignment horizontal="center"/>
      <protection hidden="1"/>
    </xf>
    <xf numFmtId="13" fontId="33" fillId="3" borderId="0" xfId="0" applyNumberFormat="1" applyFont="1" applyFill="1" applyAlignment="1" applyProtection="1">
      <alignment horizontal="center"/>
      <protection locked="0"/>
    </xf>
    <xf numFmtId="13" fontId="33" fillId="7" borderId="0" xfId="0" applyNumberFormat="1" applyFont="1" applyFill="1" applyAlignment="1" applyProtection="1">
      <alignment horizontal="center"/>
      <protection hidden="1"/>
    </xf>
    <xf numFmtId="0" fontId="33" fillId="7" borderId="0" xfId="0" applyFont="1" applyFill="1" applyAlignment="1" applyProtection="1">
      <alignment horizontal="center"/>
      <protection hidden="1"/>
    </xf>
    <xf numFmtId="164" fontId="33" fillId="7" borderId="15" xfId="0" applyNumberFormat="1" applyFont="1" applyFill="1" applyBorder="1" applyAlignment="1" applyProtection="1">
      <alignment horizontal="center"/>
      <protection hidden="1"/>
    </xf>
    <xf numFmtId="164" fontId="33" fillId="7" borderId="0" xfId="0" applyNumberFormat="1" applyFont="1" applyFill="1" applyAlignment="1" applyProtection="1">
      <alignment horizontal="center"/>
      <protection hidden="1"/>
    </xf>
    <xf numFmtId="164" fontId="33" fillId="3" borderId="34" xfId="0" applyNumberFormat="1" applyFont="1" applyFill="1" applyBorder="1" applyAlignment="1" applyProtection="1">
      <alignment horizontal="center"/>
      <protection locked="0"/>
    </xf>
    <xf numFmtId="172" fontId="33" fillId="7" borderId="0" xfId="0" applyNumberFormat="1" applyFont="1" applyFill="1" applyAlignment="1" applyProtection="1">
      <alignment horizontal="center"/>
      <protection hidden="1"/>
    </xf>
    <xf numFmtId="173" fontId="0" fillId="7" borderId="0" xfId="0" applyNumberFormat="1" applyFill="1" applyAlignment="1" applyProtection="1">
      <alignment horizontal="center"/>
      <protection hidden="1"/>
    </xf>
    <xf numFmtId="167" fontId="33" fillId="7" borderId="0" xfId="0" applyNumberFormat="1" applyFont="1" applyFill="1" applyAlignment="1" applyProtection="1">
      <alignment horizontal="center"/>
      <protection hidden="1"/>
    </xf>
    <xf numFmtId="1" fontId="33" fillId="7" borderId="34" xfId="0" applyNumberFormat="1" applyFont="1" applyFill="1" applyBorder="1" applyAlignment="1" applyProtection="1">
      <alignment horizontal="center"/>
      <protection hidden="1"/>
    </xf>
    <xf numFmtId="0" fontId="33" fillId="3" borderId="34" xfId="0" applyFont="1" applyFill="1" applyBorder="1" applyAlignment="1" applyProtection="1">
      <alignment horizontal="center"/>
      <protection locked="0"/>
    </xf>
    <xf numFmtId="0" fontId="33" fillId="3" borderId="15" xfId="0" applyFont="1" applyFill="1" applyBorder="1" applyAlignment="1" applyProtection="1">
      <alignment horizontal="center"/>
      <protection locked="0"/>
    </xf>
    <xf numFmtId="0" fontId="33" fillId="10" borderId="0" xfId="0" quotePrefix="1" applyFont="1" applyFill="1" applyAlignment="1" applyProtection="1">
      <alignment horizontal="center"/>
      <protection hidden="1"/>
    </xf>
    <xf numFmtId="164" fontId="33" fillId="10" borderId="0" xfId="0" applyNumberFormat="1" applyFont="1" applyFill="1" applyAlignment="1" applyProtection="1">
      <alignment horizontal="center"/>
      <protection hidden="1"/>
    </xf>
    <xf numFmtId="164" fontId="42" fillId="7" borderId="0" xfId="0" applyNumberFormat="1" applyFont="1" applyFill="1" applyAlignment="1" applyProtection="1">
      <alignment horizontal="center"/>
      <protection hidden="1"/>
    </xf>
    <xf numFmtId="0" fontId="9" fillId="10" borderId="0" xfId="0" applyFont="1" applyFill="1" applyAlignment="1" applyProtection="1">
      <alignment horizontal="center"/>
      <protection hidden="1"/>
    </xf>
    <xf numFmtId="49" fontId="9" fillId="10" borderId="0" xfId="0" applyNumberFormat="1" applyFont="1" applyFill="1" applyAlignment="1" applyProtection="1">
      <alignment horizontal="center"/>
      <protection hidden="1"/>
    </xf>
    <xf numFmtId="0" fontId="9" fillId="3" borderId="34" xfId="0" applyFont="1" applyFill="1" applyBorder="1" applyAlignment="1" applyProtection="1">
      <alignment horizontal="center"/>
      <protection locked="0"/>
    </xf>
    <xf numFmtId="1" fontId="41" fillId="0" borderId="0" xfId="0" applyNumberFormat="1" applyFont="1" applyAlignment="1" applyProtection="1">
      <alignment horizontal="center"/>
      <protection hidden="1"/>
    </xf>
    <xf numFmtId="0" fontId="9" fillId="2" borderId="0" xfId="0" applyFont="1" applyFill="1" applyAlignment="1" applyProtection="1">
      <alignment horizontal="center"/>
      <protection hidden="1"/>
    </xf>
    <xf numFmtId="0" fontId="0" fillId="0" borderId="0" xfId="0" applyAlignment="1" applyProtection="1">
      <alignment horizontal="center" vertical="center"/>
      <protection hidden="1"/>
    </xf>
    <xf numFmtId="0" fontId="41" fillId="0" borderId="0" xfId="0" applyFont="1" applyAlignment="1" applyProtection="1">
      <alignment horizontal="center" vertical="center"/>
      <protection hidden="1"/>
    </xf>
    <xf numFmtId="2" fontId="41" fillId="0" borderId="0" xfId="0" applyNumberFormat="1" applyFont="1" applyAlignment="1" applyProtection="1">
      <alignment horizontal="center" vertical="center"/>
      <protection hidden="1"/>
    </xf>
    <xf numFmtId="2" fontId="39" fillId="0" borderId="0" xfId="0" applyNumberFormat="1" applyFont="1" applyAlignment="1" applyProtection="1">
      <alignment horizontal="center" vertical="center"/>
      <protection hidden="1"/>
    </xf>
    <xf numFmtId="0" fontId="40" fillId="0" borderId="0" xfId="0" applyFont="1" applyProtection="1">
      <protection hidden="1"/>
    </xf>
    <xf numFmtId="0" fontId="30" fillId="0" borderId="0" xfId="0" applyFont="1" applyAlignment="1" applyProtection="1">
      <alignment horizontal="left" vertical="center"/>
      <protection hidden="1"/>
    </xf>
    <xf numFmtId="0" fontId="11" fillId="0" borderId="0" xfId="0" applyFont="1" applyAlignment="1" applyProtection="1">
      <alignment horizontal="center"/>
      <protection hidden="1"/>
    </xf>
    <xf numFmtId="164" fontId="0" fillId="7" borderId="40" xfId="0" applyNumberFormat="1" applyFill="1" applyBorder="1" applyAlignment="1" applyProtection="1">
      <alignment horizontal="center" vertical="center" wrapText="1"/>
      <protection hidden="1"/>
    </xf>
    <xf numFmtId="1" fontId="0" fillId="13" borderId="40" xfId="0" applyNumberFormat="1" applyFill="1" applyBorder="1" applyAlignment="1" applyProtection="1">
      <alignment horizontal="center" vertical="center" wrapText="1"/>
      <protection hidden="1"/>
    </xf>
    <xf numFmtId="2" fontId="0" fillId="13" borderId="40" xfId="0" applyNumberFormat="1" applyFill="1" applyBorder="1" applyAlignment="1" applyProtection="1">
      <alignment horizontal="center" vertical="center" wrapText="1"/>
      <protection hidden="1"/>
    </xf>
    <xf numFmtId="1" fontId="0" fillId="4" borderId="0" xfId="0" applyNumberFormat="1" applyFill="1" applyAlignment="1" applyProtection="1">
      <alignment horizontal="center" vertical="center" wrapText="1"/>
      <protection hidden="1"/>
    </xf>
    <xf numFmtId="0" fontId="0" fillId="0" borderId="0" xfId="0" applyAlignment="1" applyProtection="1">
      <alignment horizontal="center" vertical="center" wrapText="1"/>
      <protection hidden="1"/>
    </xf>
    <xf numFmtId="1" fontId="0" fillId="0" borderId="0" xfId="0" applyNumberFormat="1" applyAlignment="1" applyProtection="1">
      <alignment horizontal="center" vertical="center" wrapText="1"/>
      <protection hidden="1"/>
    </xf>
    <xf numFmtId="0" fontId="33" fillId="0" borderId="0" xfId="0" applyFont="1" applyAlignment="1" applyProtection="1">
      <alignment horizontal="center" vertical="center"/>
      <protection hidden="1"/>
    </xf>
    <xf numFmtId="1" fontId="33" fillId="10" borderId="40" xfId="0" applyNumberFormat="1" applyFont="1" applyFill="1" applyBorder="1" applyAlignment="1" applyProtection="1">
      <alignment horizontal="center" vertical="center"/>
      <protection hidden="1"/>
    </xf>
    <xf numFmtId="164" fontId="33" fillId="7" borderId="40" xfId="0" applyNumberFormat="1" applyFont="1" applyFill="1" applyBorder="1" applyAlignment="1" applyProtection="1">
      <alignment horizontal="center" vertical="center"/>
      <protection hidden="1"/>
    </xf>
    <xf numFmtId="2" fontId="33" fillId="7" borderId="40" xfId="0" applyNumberFormat="1" applyFont="1" applyFill="1" applyBorder="1" applyAlignment="1" applyProtection="1">
      <alignment horizontal="center" vertical="center"/>
      <protection hidden="1"/>
    </xf>
    <xf numFmtId="164" fontId="33" fillId="10" borderId="40" xfId="0" applyNumberFormat="1" applyFont="1" applyFill="1" applyBorder="1" applyAlignment="1" applyProtection="1">
      <alignment horizontal="center" vertical="center"/>
      <protection hidden="1"/>
    </xf>
    <xf numFmtId="0" fontId="33" fillId="4" borderId="0" xfId="0" applyFont="1" applyFill="1" applyAlignment="1" applyProtection="1">
      <alignment horizontal="center" vertical="center" wrapText="1"/>
      <protection hidden="1"/>
    </xf>
    <xf numFmtId="0" fontId="33" fillId="0" borderId="0" xfId="0" applyFont="1" applyAlignment="1" applyProtection="1">
      <alignment horizontal="center" vertical="center" wrapText="1"/>
      <protection hidden="1"/>
    </xf>
    <xf numFmtId="0" fontId="0" fillId="0" borderId="0" xfId="0" applyAlignment="1" applyProtection="1">
      <alignment horizontal="right"/>
      <protection hidden="1"/>
    </xf>
    <xf numFmtId="0" fontId="9" fillId="4" borderId="0" xfId="0" applyFont="1" applyFill="1" applyAlignment="1" applyProtection="1">
      <alignment horizontal="center" vertical="center" wrapText="1"/>
      <protection hidden="1"/>
    </xf>
    <xf numFmtId="0" fontId="9" fillId="0" borderId="0" xfId="0" applyFont="1" applyAlignment="1" applyProtection="1">
      <alignment horizontal="center" vertical="center" wrapText="1"/>
      <protection hidden="1"/>
    </xf>
    <xf numFmtId="0" fontId="33" fillId="7" borderId="34" xfId="0" applyFont="1" applyFill="1" applyBorder="1" applyAlignment="1" applyProtection="1">
      <alignment horizontal="center"/>
      <protection hidden="1"/>
    </xf>
    <xf numFmtId="0" fontId="33" fillId="3" borderId="58" xfId="0" applyFont="1" applyFill="1" applyBorder="1" applyAlignment="1" applyProtection="1">
      <alignment horizontal="center" vertical="center"/>
      <protection hidden="1"/>
    </xf>
    <xf numFmtId="0" fontId="33" fillId="13" borderId="44" xfId="0" applyFont="1" applyFill="1" applyBorder="1" applyAlignment="1" applyProtection="1">
      <alignment horizontal="center" vertical="center"/>
      <protection hidden="1"/>
    </xf>
    <xf numFmtId="0" fontId="43" fillId="0" borderId="0" xfId="0" applyFont="1" applyAlignment="1" applyProtection="1">
      <alignment horizontal="left"/>
      <protection hidden="1"/>
    </xf>
    <xf numFmtId="0" fontId="33" fillId="7" borderId="44" xfId="0" applyFont="1" applyFill="1" applyBorder="1" applyAlignment="1" applyProtection="1">
      <alignment horizontal="center" vertical="center"/>
      <protection hidden="1"/>
    </xf>
    <xf numFmtId="0" fontId="33" fillId="10" borderId="59" xfId="0" applyFont="1" applyFill="1" applyBorder="1" applyAlignment="1" applyProtection="1">
      <alignment horizontal="center" vertical="center"/>
      <protection hidden="1"/>
    </xf>
    <xf numFmtId="0" fontId="44" fillId="0" borderId="15" xfId="0" applyFont="1" applyBorder="1" applyAlignment="1" applyProtection="1">
      <alignment horizontal="center" vertical="center"/>
      <protection hidden="1"/>
    </xf>
    <xf numFmtId="0" fontId="44" fillId="0" borderId="0" xfId="0" applyFont="1" applyAlignment="1" applyProtection="1">
      <alignment horizontal="center" vertical="center"/>
      <protection hidden="1"/>
    </xf>
    <xf numFmtId="0" fontId="9" fillId="3" borderId="0" xfId="0" applyFont="1" applyFill="1" applyAlignment="1" applyProtection="1">
      <alignment horizontal="center"/>
      <protection locked="0"/>
    </xf>
    <xf numFmtId="0" fontId="40" fillId="0" borderId="0" xfId="0" applyFont="1" applyAlignment="1" applyProtection="1">
      <alignment horizontal="center" vertical="center"/>
      <protection hidden="1"/>
    </xf>
    <xf numFmtId="0" fontId="9" fillId="10" borderId="34" xfId="0" applyFont="1" applyFill="1" applyBorder="1" applyAlignment="1" applyProtection="1">
      <alignment horizontal="center"/>
      <protection hidden="1"/>
    </xf>
    <xf numFmtId="173" fontId="33" fillId="7" borderId="15" xfId="0" applyNumberFormat="1" applyFont="1" applyFill="1" applyBorder="1" applyAlignment="1" applyProtection="1">
      <alignment horizontal="center"/>
      <protection hidden="1"/>
    </xf>
    <xf numFmtId="0" fontId="0" fillId="0" borderId="60" xfId="0" applyBorder="1" applyAlignment="1" applyProtection="1">
      <alignment horizontal="center"/>
      <protection hidden="1"/>
    </xf>
    <xf numFmtId="0" fontId="0" fillId="0" borderId="60" xfId="0" applyBorder="1" applyProtection="1">
      <protection hidden="1"/>
    </xf>
    <xf numFmtId="0" fontId="0" fillId="0" borderId="10" xfId="0" applyBorder="1" applyAlignment="1" applyProtection="1">
      <alignment horizontal="center"/>
      <protection hidden="1"/>
    </xf>
    <xf numFmtId="0" fontId="8" fillId="0" borderId="11" xfId="0" applyFont="1" applyBorder="1" applyAlignment="1" applyProtection="1">
      <alignment horizontal="left"/>
      <protection hidden="1"/>
    </xf>
    <xf numFmtId="13" fontId="8" fillId="0" borderId="0" xfId="0" applyNumberFormat="1" applyFont="1" applyAlignment="1">
      <alignment horizontal="center"/>
    </xf>
    <xf numFmtId="0" fontId="8" fillId="0" borderId="0" xfId="0" applyFont="1" applyProtection="1">
      <protection hidden="1"/>
    </xf>
    <xf numFmtId="0" fontId="0" fillId="0" borderId="11" xfId="0" applyBorder="1" applyProtection="1">
      <protection hidden="1"/>
    </xf>
    <xf numFmtId="0" fontId="8" fillId="0" borderId="60" xfId="0" applyFont="1" applyBorder="1" applyProtection="1">
      <protection hidden="1"/>
    </xf>
    <xf numFmtId="0" fontId="0" fillId="0" borderId="10" xfId="0" applyBorder="1" applyProtection="1">
      <protection hidden="1"/>
    </xf>
    <xf numFmtId="49" fontId="0" fillId="0" borderId="0" xfId="0" applyNumberFormat="1" applyProtection="1">
      <protection hidden="1"/>
    </xf>
    <xf numFmtId="0" fontId="8" fillId="0" borderId="11" xfId="0" applyFont="1" applyBorder="1" applyProtection="1">
      <protection hidden="1"/>
    </xf>
    <xf numFmtId="0" fontId="47" fillId="0" borderId="0" xfId="0" applyFont="1" applyAlignment="1" applyProtection="1">
      <alignment horizontal="center"/>
      <protection hidden="1"/>
    </xf>
    <xf numFmtId="0" fontId="47" fillId="0" borderId="0" xfId="0" applyFont="1" applyAlignment="1" applyProtection="1">
      <alignment horizontal="center" vertical="center"/>
      <protection hidden="1"/>
    </xf>
    <xf numFmtId="164" fontId="33" fillId="7" borderId="34" xfId="0" applyNumberFormat="1" applyFont="1" applyFill="1" applyBorder="1" applyAlignment="1" applyProtection="1">
      <alignment horizontal="center"/>
      <protection hidden="1"/>
    </xf>
    <xf numFmtId="0" fontId="0" fillId="0" borderId="15" xfId="0" applyBorder="1" applyAlignment="1" applyProtection="1">
      <alignment horizontal="center"/>
      <protection hidden="1"/>
    </xf>
    <xf numFmtId="0" fontId="34" fillId="0" borderId="34" xfId="0" applyFont="1" applyBorder="1" applyAlignment="1" applyProtection="1">
      <alignment horizontal="center"/>
      <protection hidden="1"/>
    </xf>
    <xf numFmtId="172" fontId="33" fillId="0" borderId="15" xfId="0" applyNumberFormat="1" applyFont="1" applyBorder="1" applyAlignment="1" applyProtection="1">
      <alignment horizontal="center"/>
      <protection hidden="1"/>
    </xf>
    <xf numFmtId="2" fontId="0" fillId="7" borderId="39" xfId="0" applyNumberFormat="1" applyFill="1" applyBorder="1" applyAlignment="1" applyProtection="1">
      <alignment horizontal="center"/>
      <protection hidden="1"/>
    </xf>
    <xf numFmtId="0" fontId="0" fillId="0" borderId="39" xfId="0" applyBorder="1" applyAlignment="1" applyProtection="1">
      <alignment horizontal="center"/>
      <protection hidden="1"/>
    </xf>
    <xf numFmtId="0" fontId="33" fillId="7" borderId="39" xfId="0" applyFont="1" applyFill="1" applyBorder="1" applyAlignment="1" applyProtection="1">
      <alignment horizontal="center"/>
      <protection hidden="1"/>
    </xf>
    <xf numFmtId="0" fontId="48" fillId="0" borderId="0" xfId="0" applyFont="1" applyAlignment="1" applyProtection="1">
      <alignment wrapText="1"/>
      <protection hidden="1"/>
    </xf>
    <xf numFmtId="0" fontId="8" fillId="0" borderId="0" xfId="0" applyFont="1" applyAlignment="1" applyProtection="1">
      <alignment horizontal="center"/>
      <protection hidden="1"/>
    </xf>
    <xf numFmtId="0" fontId="8" fillId="0" borderId="0" xfId="0" applyFont="1" applyAlignment="1" applyProtection="1">
      <alignment horizontal="center" vertical="center"/>
      <protection hidden="1"/>
    </xf>
    <xf numFmtId="0" fontId="45" fillId="0" borderId="0" xfId="0" applyFont="1" applyAlignment="1" applyProtection="1">
      <alignment horizontal="center" wrapText="1"/>
      <protection hidden="1"/>
    </xf>
    <xf numFmtId="166" fontId="8" fillId="0" borderId="0" xfId="0" applyNumberFormat="1" applyFont="1" applyAlignment="1" applyProtection="1">
      <alignment horizontal="center"/>
      <protection hidden="1"/>
    </xf>
    <xf numFmtId="2" fontId="8" fillId="0" borderId="0" xfId="0" applyNumberFormat="1" applyFont="1" applyAlignment="1" applyProtection="1">
      <alignment horizontal="center"/>
      <protection hidden="1"/>
    </xf>
    <xf numFmtId="0" fontId="9" fillId="0" borderId="0" xfId="0" applyFont="1" applyProtection="1">
      <protection hidden="1"/>
    </xf>
    <xf numFmtId="0" fontId="8" fillId="0" borderId="0" xfId="0" applyFont="1"/>
    <xf numFmtId="0" fontId="19" fillId="10" borderId="23" xfId="0" applyFont="1" applyFill="1" applyBorder="1" applyAlignment="1" applyProtection="1">
      <alignment horizontal="center" wrapText="1"/>
      <protection hidden="1"/>
    </xf>
    <xf numFmtId="0" fontId="49" fillId="10" borderId="40" xfId="0" applyFont="1" applyFill="1" applyBorder="1" applyAlignment="1" applyProtection="1">
      <alignment horizontal="center" vertical="top"/>
      <protection hidden="1"/>
    </xf>
    <xf numFmtId="49" fontId="47" fillId="0" borderId="0" xfId="0" applyNumberFormat="1" applyFont="1" applyAlignment="1" applyProtection="1">
      <alignment horizontal="center"/>
      <protection hidden="1"/>
    </xf>
    <xf numFmtId="0" fontId="50" fillId="4" borderId="0" xfId="0" applyFont="1" applyFill="1" applyProtection="1">
      <protection hidden="1"/>
    </xf>
    <xf numFmtId="0" fontId="50" fillId="4" borderId="0" xfId="355" applyFont="1" applyFill="1" applyAlignment="1" applyProtection="1">
      <alignment horizontal="center" vertical="center"/>
      <protection hidden="1"/>
    </xf>
    <xf numFmtId="0" fontId="50" fillId="4" borderId="0" xfId="355" applyFont="1" applyFill="1" applyAlignment="1" applyProtection="1">
      <alignment vertical="center"/>
      <protection hidden="1"/>
    </xf>
    <xf numFmtId="0" fontId="50" fillId="0" borderId="0" xfId="0" applyFont="1" applyProtection="1">
      <protection hidden="1"/>
    </xf>
    <xf numFmtId="0" fontId="50" fillId="4" borderId="0" xfId="0" applyFont="1" applyFill="1" applyAlignment="1" applyProtection="1">
      <alignment horizontal="center" vertical="center"/>
      <protection hidden="1"/>
    </xf>
    <xf numFmtId="0" fontId="50" fillId="7" borderId="17" xfId="355" applyFont="1" applyFill="1" applyBorder="1" applyAlignment="1" applyProtection="1">
      <alignment vertical="center"/>
      <protection hidden="1"/>
    </xf>
    <xf numFmtId="1" fontId="50" fillId="7" borderId="22" xfId="355" applyNumberFormat="1" applyFont="1" applyFill="1" applyBorder="1" applyAlignment="1" applyProtection="1">
      <alignment horizontal="center" vertical="center"/>
      <protection hidden="1"/>
    </xf>
    <xf numFmtId="0" fontId="52" fillId="4" borderId="0" xfId="0" applyFont="1" applyFill="1" applyAlignment="1" applyProtection="1">
      <alignment horizontal="center" vertical="center" wrapText="1"/>
      <protection hidden="1"/>
    </xf>
    <xf numFmtId="0" fontId="53" fillId="4" borderId="0" xfId="0" applyFont="1" applyFill="1" applyProtection="1">
      <protection hidden="1"/>
    </xf>
    <xf numFmtId="0" fontId="53" fillId="4" borderId="0" xfId="0" applyFont="1" applyFill="1" applyAlignment="1" applyProtection="1">
      <alignment horizontal="center" vertical="center"/>
      <protection hidden="1"/>
    </xf>
    <xf numFmtId="0" fontId="50" fillId="4" borderId="0" xfId="0" applyFont="1" applyFill="1" applyAlignment="1" applyProtection="1">
      <alignment horizontal="center" vertical="center" wrapText="1"/>
      <protection hidden="1"/>
    </xf>
    <xf numFmtId="0" fontId="53" fillId="4" borderId="0" xfId="0" applyFont="1" applyFill="1" applyAlignment="1" applyProtection="1">
      <alignment horizontal="center" vertical="center" wrapText="1"/>
      <protection hidden="1"/>
    </xf>
    <xf numFmtId="0" fontId="50" fillId="7" borderId="30" xfId="0" applyFont="1" applyFill="1" applyBorder="1" applyAlignment="1" applyProtection="1">
      <alignment horizontal="center" vertical="center"/>
      <protection hidden="1"/>
    </xf>
    <xf numFmtId="2" fontId="50" fillId="7" borderId="27" xfId="0" applyNumberFormat="1" applyFont="1" applyFill="1" applyBorder="1" applyAlignment="1" applyProtection="1">
      <alignment horizontal="center" vertical="center"/>
      <protection hidden="1"/>
    </xf>
    <xf numFmtId="2" fontId="53" fillId="7" borderId="27" xfId="0" applyNumberFormat="1" applyFont="1" applyFill="1" applyBorder="1" applyAlignment="1" applyProtection="1">
      <alignment horizontal="center" vertical="center"/>
      <protection hidden="1"/>
    </xf>
    <xf numFmtId="2" fontId="50" fillId="7" borderId="27" xfId="0" quotePrefix="1" applyNumberFormat="1" applyFont="1" applyFill="1" applyBorder="1" applyAlignment="1" applyProtection="1">
      <alignment horizontal="center" vertical="center"/>
      <protection hidden="1"/>
    </xf>
    <xf numFmtId="1" fontId="50" fillId="7" borderId="27" xfId="355" applyNumberFormat="1" applyFont="1" applyFill="1" applyBorder="1" applyAlignment="1" applyProtection="1">
      <alignment horizontal="center" vertical="center"/>
      <protection hidden="1"/>
    </xf>
    <xf numFmtId="2" fontId="50" fillId="7" borderId="28" xfId="0" applyNumberFormat="1" applyFont="1" applyFill="1" applyBorder="1" applyAlignment="1" applyProtection="1">
      <alignment horizontal="center" vertical="center"/>
      <protection hidden="1"/>
    </xf>
    <xf numFmtId="2" fontId="50" fillId="4" borderId="0" xfId="0" applyNumberFormat="1" applyFont="1" applyFill="1" applyAlignment="1" applyProtection="1">
      <alignment horizontal="center" vertical="center"/>
      <protection hidden="1"/>
    </xf>
    <xf numFmtId="2" fontId="53" fillId="4" borderId="0" xfId="0" applyNumberFormat="1" applyFont="1" applyFill="1" applyAlignment="1" applyProtection="1">
      <alignment horizontal="center" vertical="center"/>
      <protection hidden="1"/>
    </xf>
    <xf numFmtId="2" fontId="50" fillId="4" borderId="0" xfId="0" quotePrefix="1" applyNumberFormat="1" applyFont="1" applyFill="1" applyAlignment="1" applyProtection="1">
      <alignment horizontal="center" vertical="center"/>
      <protection hidden="1"/>
    </xf>
    <xf numFmtId="0" fontId="50" fillId="7" borderId="8" xfId="0" applyFont="1" applyFill="1" applyBorder="1" applyAlignment="1" applyProtection="1">
      <alignment horizontal="center" vertical="center"/>
      <protection hidden="1"/>
    </xf>
    <xf numFmtId="2" fontId="50" fillId="7" borderId="6" xfId="0" applyNumberFormat="1" applyFont="1" applyFill="1" applyBorder="1" applyAlignment="1" applyProtection="1">
      <alignment horizontal="center" vertical="center"/>
      <protection hidden="1"/>
    </xf>
    <xf numFmtId="2" fontId="53" fillId="7" borderId="6" xfId="0" applyNumberFormat="1" applyFont="1" applyFill="1" applyBorder="1" applyAlignment="1" applyProtection="1">
      <alignment horizontal="center" vertical="center"/>
      <protection hidden="1"/>
    </xf>
    <xf numFmtId="2" fontId="50" fillId="7" borderId="6" xfId="0" quotePrefix="1" applyNumberFormat="1" applyFont="1" applyFill="1" applyBorder="1" applyAlignment="1" applyProtection="1">
      <alignment horizontal="center" vertical="center"/>
      <protection hidden="1"/>
    </xf>
    <xf numFmtId="1" fontId="50" fillId="7" borderId="6" xfId="355" applyNumberFormat="1" applyFont="1" applyFill="1" applyBorder="1" applyAlignment="1" applyProtection="1">
      <alignment horizontal="center" vertical="center"/>
      <protection hidden="1"/>
    </xf>
    <xf numFmtId="2" fontId="50" fillId="7" borderId="7" xfId="0" applyNumberFormat="1" applyFont="1" applyFill="1" applyBorder="1" applyAlignment="1" applyProtection="1">
      <alignment horizontal="center" vertical="center"/>
      <protection hidden="1"/>
    </xf>
    <xf numFmtId="0" fontId="50" fillId="7" borderId="31" xfId="0" applyFont="1" applyFill="1" applyBorder="1" applyAlignment="1" applyProtection="1">
      <alignment horizontal="center" vertical="center"/>
      <protection hidden="1"/>
    </xf>
    <xf numFmtId="2" fontId="50" fillId="7" borderId="25" xfId="0" applyNumberFormat="1" applyFont="1" applyFill="1" applyBorder="1" applyAlignment="1" applyProtection="1">
      <alignment horizontal="center" vertical="center"/>
      <protection hidden="1"/>
    </xf>
    <xf numFmtId="2" fontId="53" fillId="7" borderId="25" xfId="0" applyNumberFormat="1" applyFont="1" applyFill="1" applyBorder="1" applyAlignment="1" applyProtection="1">
      <alignment horizontal="center" vertical="center"/>
      <protection hidden="1"/>
    </xf>
    <xf numFmtId="2" fontId="50" fillId="7" borderId="25" xfId="0" quotePrefix="1" applyNumberFormat="1" applyFont="1" applyFill="1" applyBorder="1" applyAlignment="1" applyProtection="1">
      <alignment horizontal="center" vertical="center"/>
      <protection hidden="1"/>
    </xf>
    <xf numFmtId="1" fontId="50" fillId="7" borderId="25" xfId="355" applyNumberFormat="1" applyFont="1" applyFill="1" applyBorder="1" applyAlignment="1" applyProtection="1">
      <alignment horizontal="center" vertical="center"/>
      <protection hidden="1"/>
    </xf>
    <xf numFmtId="2" fontId="50" fillId="7" borderId="26" xfId="0" applyNumberFormat="1" applyFont="1" applyFill="1" applyBorder="1" applyAlignment="1" applyProtection="1">
      <alignment horizontal="center" vertical="center"/>
      <protection hidden="1"/>
    </xf>
    <xf numFmtId="0" fontId="52" fillId="4" borderId="0" xfId="0" applyFont="1" applyFill="1" applyProtection="1">
      <protection hidden="1"/>
    </xf>
    <xf numFmtId="0" fontId="52" fillId="4" borderId="0" xfId="0" applyFont="1" applyFill="1" applyAlignment="1" applyProtection="1">
      <alignment horizontal="center" vertical="center"/>
      <protection hidden="1"/>
    </xf>
    <xf numFmtId="2" fontId="50" fillId="7" borderId="29" xfId="355" applyNumberFormat="1" applyFont="1" applyFill="1" applyBorder="1" applyAlignment="1" applyProtection="1">
      <alignment horizontal="center" vertical="center"/>
      <protection hidden="1"/>
    </xf>
    <xf numFmtId="1" fontId="50" fillId="7" borderId="16" xfId="355" applyNumberFormat="1" applyFont="1" applyFill="1" applyBorder="1" applyAlignment="1" applyProtection="1">
      <alignment horizontal="center" vertical="center"/>
      <protection hidden="1"/>
    </xf>
    <xf numFmtId="2" fontId="50" fillId="7" borderId="17" xfId="355" applyNumberFormat="1" applyFont="1" applyFill="1" applyBorder="1" applyAlignment="1" applyProtection="1">
      <alignment horizontal="center" vertical="center"/>
      <protection hidden="1"/>
    </xf>
    <xf numFmtId="0" fontId="54" fillId="4" borderId="0" xfId="0" applyFont="1" applyFill="1" applyProtection="1">
      <protection hidden="1"/>
    </xf>
    <xf numFmtId="0" fontId="55" fillId="6" borderId="34" xfId="0" applyFont="1" applyFill="1" applyBorder="1" applyProtection="1">
      <protection hidden="1"/>
    </xf>
    <xf numFmtId="0" fontId="50" fillId="6" borderId="35" xfId="0" applyFont="1" applyFill="1" applyBorder="1" applyProtection="1">
      <protection hidden="1"/>
    </xf>
    <xf numFmtId="2" fontId="50" fillId="4" borderId="0" xfId="0" applyNumberFormat="1" applyFont="1" applyFill="1" applyProtection="1">
      <protection hidden="1"/>
    </xf>
    <xf numFmtId="165" fontId="4" fillId="7" borderId="25" xfId="0" applyNumberFormat="1" applyFont="1" applyFill="1" applyBorder="1" applyAlignment="1" applyProtection="1">
      <alignment horizontal="center" vertical="center"/>
      <protection hidden="1"/>
    </xf>
    <xf numFmtId="49" fontId="4" fillId="2" borderId="37" xfId="0" applyNumberFormat="1" applyFont="1" applyFill="1" applyBorder="1" applyAlignment="1" applyProtection="1">
      <alignment horizontal="left" vertical="center"/>
      <protection hidden="1"/>
    </xf>
    <xf numFmtId="0" fontId="0" fillId="0" borderId="0" xfId="0" applyProtection="1">
      <protection locked="0"/>
    </xf>
    <xf numFmtId="0" fontId="88" fillId="0" borderId="0" xfId="279" applyProtection="1">
      <protection hidden="1"/>
    </xf>
    <xf numFmtId="0" fontId="88" fillId="0" borderId="0" xfId="279" applyAlignment="1" applyProtection="1">
      <alignment horizontal="center"/>
      <protection hidden="1"/>
    </xf>
    <xf numFmtId="164" fontId="88" fillId="0" borderId="0" xfId="279" applyNumberFormat="1" applyProtection="1">
      <protection hidden="1"/>
    </xf>
    <xf numFmtId="0" fontId="88" fillId="0" borderId="34" xfId="279" applyBorder="1" applyProtection="1">
      <protection hidden="1"/>
    </xf>
    <xf numFmtId="0" fontId="8" fillId="0" borderId="0" xfId="279" applyFont="1" applyAlignment="1" applyProtection="1">
      <alignment horizontal="center" vertical="center" textRotation="90" shrinkToFit="1"/>
      <protection hidden="1"/>
    </xf>
    <xf numFmtId="0" fontId="88" fillId="0" borderId="15" xfId="279" applyBorder="1" applyProtection="1">
      <protection hidden="1"/>
    </xf>
    <xf numFmtId="174" fontId="88" fillId="0" borderId="39" xfId="279" applyNumberFormat="1" applyBorder="1" applyProtection="1">
      <protection hidden="1"/>
    </xf>
    <xf numFmtId="0" fontId="88" fillId="0" borderId="2" xfId="279" applyBorder="1" applyProtection="1">
      <protection hidden="1"/>
    </xf>
    <xf numFmtId="0" fontId="88" fillId="0" borderId="2" xfId="279" applyBorder="1" applyAlignment="1" applyProtection="1">
      <alignment horizontal="center"/>
      <protection hidden="1"/>
    </xf>
    <xf numFmtId="164" fontId="88" fillId="0" borderId="2" xfId="279" applyNumberFormat="1" applyBorder="1" applyProtection="1">
      <protection hidden="1"/>
    </xf>
    <xf numFmtId="9" fontId="58" fillId="0" borderId="27" xfId="659" applyFont="1" applyBorder="1" applyAlignment="1" applyProtection="1">
      <alignment horizontal="center"/>
      <protection hidden="1"/>
    </xf>
    <xf numFmtId="9" fontId="88" fillId="0" borderId="0" xfId="279" applyNumberFormat="1" applyAlignment="1" applyProtection="1">
      <alignment horizontal="center"/>
      <protection hidden="1"/>
    </xf>
    <xf numFmtId="0" fontId="8" fillId="0" borderId="25" xfId="279" applyFont="1" applyBorder="1" applyAlignment="1" applyProtection="1">
      <alignment horizontal="center"/>
      <protection hidden="1"/>
    </xf>
    <xf numFmtId="2" fontId="88" fillId="0" borderId="0" xfId="279" applyNumberFormat="1" applyProtection="1">
      <protection hidden="1"/>
    </xf>
    <xf numFmtId="20" fontId="88" fillId="0" borderId="0" xfId="279" applyNumberFormat="1" applyProtection="1">
      <protection hidden="1"/>
    </xf>
    <xf numFmtId="0" fontId="88" fillId="0" borderId="61" xfId="279" applyBorder="1" applyProtection="1">
      <protection hidden="1"/>
    </xf>
    <xf numFmtId="0" fontId="88" fillId="0" borderId="61" xfId="279" applyBorder="1" applyAlignment="1" applyProtection="1">
      <alignment horizontal="center"/>
      <protection hidden="1"/>
    </xf>
    <xf numFmtId="164" fontId="88" fillId="0" borderId="61" xfId="279" applyNumberFormat="1" applyBorder="1" applyProtection="1">
      <protection hidden="1"/>
    </xf>
    <xf numFmtId="0" fontId="88" fillId="0" borderId="62" xfId="279" applyBorder="1" applyProtection="1">
      <protection hidden="1"/>
    </xf>
    <xf numFmtId="0" fontId="88" fillId="0" borderId="20" xfId="279" applyBorder="1" applyAlignment="1" applyProtection="1">
      <alignment horizontal="center"/>
      <protection hidden="1"/>
    </xf>
    <xf numFmtId="0" fontId="88" fillId="0" borderId="63" xfId="279" applyBorder="1" applyProtection="1">
      <protection hidden="1"/>
    </xf>
    <xf numFmtId="0" fontId="88" fillId="0" borderId="0" xfId="279" applyAlignment="1" applyProtection="1">
      <alignment horizontal="right"/>
      <protection hidden="1"/>
    </xf>
    <xf numFmtId="164" fontId="88" fillId="0" borderId="0" xfId="279" applyNumberFormat="1" applyAlignment="1" applyProtection="1">
      <alignment horizontal="right"/>
      <protection hidden="1"/>
    </xf>
    <xf numFmtId="0" fontId="88" fillId="0" borderId="20" xfId="279" applyBorder="1" applyProtection="1">
      <protection hidden="1"/>
    </xf>
    <xf numFmtId="164" fontId="88" fillId="0" borderId="20" xfId="279" applyNumberFormat="1" applyBorder="1" applyProtection="1">
      <protection hidden="1"/>
    </xf>
    <xf numFmtId="0" fontId="88" fillId="0" borderId="64" xfId="279" applyBorder="1" applyProtection="1">
      <protection hidden="1"/>
    </xf>
    <xf numFmtId="2" fontId="88" fillId="0" borderId="0" xfId="279" applyNumberFormat="1" applyAlignment="1" applyProtection="1">
      <alignment horizontal="center"/>
      <protection hidden="1"/>
    </xf>
    <xf numFmtId="2" fontId="88" fillId="0" borderId="2" xfId="279" applyNumberFormat="1" applyBorder="1" applyAlignment="1" applyProtection="1">
      <alignment horizontal="center"/>
      <protection hidden="1"/>
    </xf>
    <xf numFmtId="2" fontId="88" fillId="0" borderId="61" xfId="279" applyNumberFormat="1" applyBorder="1" applyAlignment="1" applyProtection="1">
      <alignment horizontal="center"/>
      <protection hidden="1"/>
    </xf>
    <xf numFmtId="2" fontId="88" fillId="0" borderId="20" xfId="279" applyNumberFormat="1" applyBorder="1" applyAlignment="1" applyProtection="1">
      <alignment horizontal="center"/>
      <protection hidden="1"/>
    </xf>
    <xf numFmtId="0" fontId="88" fillId="0" borderId="65" xfId="279" applyBorder="1" applyAlignment="1" applyProtection="1">
      <alignment horizontal="center"/>
      <protection hidden="1"/>
    </xf>
    <xf numFmtId="0" fontId="88" fillId="0" borderId="66" xfId="279" applyBorder="1" applyAlignment="1" applyProtection="1">
      <alignment horizontal="center"/>
      <protection hidden="1"/>
    </xf>
    <xf numFmtId="0" fontId="88" fillId="0" borderId="67" xfId="279" applyBorder="1" applyAlignment="1" applyProtection="1">
      <alignment horizontal="center"/>
      <protection hidden="1"/>
    </xf>
    <xf numFmtId="0" fontId="88" fillId="0" borderId="6" xfId="279" applyBorder="1" applyAlignment="1" applyProtection="1">
      <alignment horizontal="center" vertical="center" wrapText="1"/>
      <protection hidden="1"/>
    </xf>
    <xf numFmtId="0" fontId="8" fillId="0" borderId="12" xfId="0" applyFont="1" applyBorder="1" applyAlignment="1" applyProtection="1">
      <alignment horizontal="center"/>
      <protection hidden="1"/>
    </xf>
    <xf numFmtId="0" fontId="59" fillId="0" borderId="0" xfId="279" applyFont="1"/>
    <xf numFmtId="0" fontId="60" fillId="0" borderId="0" xfId="279" applyFont="1"/>
    <xf numFmtId="0" fontId="61" fillId="0" borderId="0" xfId="279" applyFont="1"/>
    <xf numFmtId="0" fontId="88" fillId="0" borderId="0" xfId="279"/>
    <xf numFmtId="0" fontId="61" fillId="10" borderId="60" xfId="279" applyFont="1" applyFill="1" applyBorder="1" applyAlignment="1">
      <alignment horizontal="centerContinuous"/>
    </xf>
    <xf numFmtId="0" fontId="61" fillId="10" borderId="10" xfId="279" applyFont="1" applyFill="1" applyBorder="1" applyAlignment="1">
      <alignment horizontal="centerContinuous"/>
    </xf>
    <xf numFmtId="0" fontId="61" fillId="10" borderId="10" xfId="279" applyFont="1" applyFill="1" applyBorder="1" applyAlignment="1">
      <alignment horizontal="center"/>
    </xf>
    <xf numFmtId="14" fontId="61" fillId="10" borderId="61" xfId="279" applyNumberFormat="1" applyFont="1" applyFill="1" applyBorder="1" applyAlignment="1">
      <alignment horizontal="centerContinuous"/>
    </xf>
    <xf numFmtId="14" fontId="61" fillId="10" borderId="62" xfId="279" applyNumberFormat="1" applyFont="1" applyFill="1" applyBorder="1" applyAlignment="1">
      <alignment horizontal="centerContinuous"/>
    </xf>
    <xf numFmtId="0" fontId="61" fillId="10" borderId="61" xfId="279" applyFont="1" applyFill="1" applyBorder="1" applyAlignment="1">
      <alignment horizontal="centerContinuous"/>
    </xf>
    <xf numFmtId="0" fontId="61" fillId="10" borderId="62" xfId="279" applyFont="1" applyFill="1" applyBorder="1" applyAlignment="1">
      <alignment horizontal="centerContinuous"/>
    </xf>
    <xf numFmtId="9" fontId="61" fillId="10" borderId="62" xfId="279" applyNumberFormat="1" applyFont="1" applyFill="1" applyBorder="1" applyAlignment="1">
      <alignment horizontal="centerContinuous"/>
    </xf>
    <xf numFmtId="0" fontId="61" fillId="10" borderId="68" xfId="279" applyFont="1" applyFill="1" applyBorder="1" applyAlignment="1">
      <alignment horizontal="center"/>
    </xf>
    <xf numFmtId="1" fontId="61" fillId="10" borderId="60" xfId="279" applyNumberFormat="1" applyFont="1" applyFill="1" applyBorder="1" applyAlignment="1">
      <alignment horizontal="centerContinuous"/>
    </xf>
    <xf numFmtId="0" fontId="60" fillId="0" borderId="69" xfId="279" applyFont="1" applyBorder="1"/>
    <xf numFmtId="0" fontId="63" fillId="0" borderId="0" xfId="279" applyFont="1"/>
    <xf numFmtId="0" fontId="64" fillId="0" borderId="0" xfId="279" applyFont="1"/>
    <xf numFmtId="0" fontId="65" fillId="0" borderId="0" xfId="279" applyFont="1"/>
    <xf numFmtId="0" fontId="0" fillId="18" borderId="70" xfId="0" applyFill="1" applyBorder="1" applyAlignment="1" applyProtection="1">
      <alignment horizontal="center" vertical="center"/>
      <protection hidden="1"/>
    </xf>
    <xf numFmtId="0" fontId="9" fillId="18" borderId="34" xfId="0" applyFont="1" applyFill="1" applyBorder="1" applyAlignment="1" applyProtection="1">
      <alignment horizontal="center"/>
      <protection hidden="1"/>
    </xf>
    <xf numFmtId="0" fontId="9" fillId="18" borderId="0" xfId="0" applyFont="1" applyFill="1" applyAlignment="1" applyProtection="1">
      <alignment horizontal="center"/>
      <protection hidden="1"/>
    </xf>
    <xf numFmtId="2" fontId="0" fillId="0" borderId="0" xfId="0" applyNumberFormat="1" applyProtection="1">
      <protection hidden="1"/>
    </xf>
    <xf numFmtId="0" fontId="8" fillId="0" borderId="0" xfId="277" applyAlignment="1">
      <alignment horizontal="center"/>
    </xf>
    <xf numFmtId="0" fontId="89" fillId="0" borderId="0" xfId="0" applyFont="1" applyProtection="1">
      <protection hidden="1"/>
    </xf>
    <xf numFmtId="2" fontId="89" fillId="0" borderId="0" xfId="0" applyNumberFormat="1" applyFont="1" applyProtection="1">
      <protection hidden="1"/>
    </xf>
    <xf numFmtId="1" fontId="61" fillId="10" borderId="71" xfId="279" applyNumberFormat="1" applyFont="1" applyFill="1" applyBorder="1" applyAlignment="1">
      <alignment horizontal="centerContinuous"/>
    </xf>
    <xf numFmtId="2" fontId="60" fillId="0" borderId="69" xfId="279" applyNumberFormat="1" applyFont="1" applyBorder="1"/>
    <xf numFmtId="2" fontId="61" fillId="0" borderId="0" xfId="279" applyNumberFormat="1" applyFont="1"/>
    <xf numFmtId="0" fontId="33" fillId="19" borderId="34" xfId="0" applyFont="1" applyFill="1" applyBorder="1" applyAlignment="1" applyProtection="1">
      <alignment horizontal="center"/>
      <protection hidden="1"/>
    </xf>
    <xf numFmtId="0" fontId="91" fillId="0" borderId="0" xfId="0" applyFont="1" applyAlignment="1" applyProtection="1">
      <alignment horizontal="center"/>
      <protection hidden="1"/>
    </xf>
    <xf numFmtId="0" fontId="89" fillId="0" borderId="0" xfId="0" applyFont="1" applyAlignment="1" applyProtection="1">
      <alignment horizontal="center"/>
      <protection hidden="1"/>
    </xf>
    <xf numFmtId="0" fontId="89" fillId="0" borderId="0" xfId="0" applyFont="1" applyAlignment="1" applyProtection="1">
      <alignment horizontal="center" vertical="center"/>
      <protection hidden="1"/>
    </xf>
    <xf numFmtId="0" fontId="4" fillId="20" borderId="29" xfId="0" applyFont="1" applyFill="1" applyBorder="1" applyAlignment="1" applyProtection="1">
      <alignment horizontal="centerContinuous" vertical="center"/>
      <protection hidden="1"/>
    </xf>
    <xf numFmtId="0" fontId="4" fillId="20" borderId="17" xfId="0" applyFont="1" applyFill="1" applyBorder="1" applyAlignment="1" applyProtection="1">
      <alignment horizontal="centerContinuous" vertical="center"/>
      <protection hidden="1"/>
    </xf>
    <xf numFmtId="2" fontId="0" fillId="0" borderId="0" xfId="0" applyNumberFormat="1" applyAlignment="1" applyProtection="1">
      <alignment horizontal="center"/>
      <protection hidden="1"/>
    </xf>
    <xf numFmtId="0" fontId="92" fillId="0" borderId="0" xfId="0" applyFont="1" applyAlignment="1" applyProtection="1">
      <alignment horizontal="center" vertical="center"/>
      <protection hidden="1"/>
    </xf>
    <xf numFmtId="0" fontId="93" fillId="0" borderId="15" xfId="0" applyFont="1" applyBorder="1" applyAlignment="1" applyProtection="1">
      <alignment horizontal="center" vertical="center" wrapText="1"/>
      <protection hidden="1"/>
    </xf>
    <xf numFmtId="0" fontId="93" fillId="0" borderId="0" xfId="0" applyFont="1" applyAlignment="1" applyProtection="1">
      <alignment horizontal="center" vertical="center" wrapText="1"/>
      <protection hidden="1"/>
    </xf>
    <xf numFmtId="0" fontId="48" fillId="0" borderId="0" xfId="0" applyFont="1" applyAlignment="1" applyProtection="1">
      <alignment horizontal="center" wrapText="1"/>
      <protection hidden="1"/>
    </xf>
    <xf numFmtId="0" fontId="8" fillId="0" borderId="0" xfId="64" applyProtection="1">
      <protection hidden="1"/>
    </xf>
    <xf numFmtId="0" fontId="9" fillId="18" borderId="23" xfId="64" applyFont="1" applyFill="1" applyBorder="1" applyAlignment="1" applyProtection="1">
      <alignment horizontal="center" vertical="center"/>
      <protection hidden="1"/>
    </xf>
    <xf numFmtId="0" fontId="9" fillId="18" borderId="40" xfId="64" applyFont="1" applyFill="1" applyBorder="1" applyAlignment="1" applyProtection="1">
      <alignment horizontal="center" vertical="center"/>
      <protection hidden="1"/>
    </xf>
    <xf numFmtId="0" fontId="9" fillId="19" borderId="31" xfId="64" applyFont="1" applyFill="1" applyBorder="1" applyAlignment="1" applyProtection="1">
      <alignment horizontal="center" vertical="center" wrapText="1"/>
      <protection locked="0"/>
    </xf>
    <xf numFmtId="0" fontId="9" fillId="19" borderId="68" xfId="64" applyFont="1" applyFill="1" applyBorder="1" applyAlignment="1" applyProtection="1">
      <alignment horizontal="center" vertical="center" wrapText="1"/>
      <protection locked="0"/>
    </xf>
    <xf numFmtId="0" fontId="9" fillId="19" borderId="25" xfId="64" applyFont="1" applyFill="1" applyBorder="1" applyAlignment="1" applyProtection="1">
      <alignment horizontal="center" vertical="center"/>
      <protection locked="0"/>
    </xf>
    <xf numFmtId="164" fontId="9" fillId="21" borderId="25" xfId="446" applyNumberFormat="1" applyFont="1" applyFill="1" applyBorder="1" applyAlignment="1" applyProtection="1">
      <alignment horizontal="center" vertical="center"/>
      <protection hidden="1"/>
    </xf>
    <xf numFmtId="164" fontId="9" fillId="21" borderId="25" xfId="64" applyNumberFormat="1" applyFont="1" applyFill="1" applyBorder="1" applyAlignment="1" applyProtection="1">
      <alignment horizontal="center" vertical="center"/>
      <protection hidden="1"/>
    </xf>
    <xf numFmtId="164" fontId="9" fillId="21" borderId="72" xfId="64" applyNumberFormat="1" applyFont="1" applyFill="1" applyBorder="1" applyAlignment="1" applyProtection="1">
      <alignment horizontal="center" vertical="center"/>
      <protection hidden="1"/>
    </xf>
    <xf numFmtId="44" fontId="0" fillId="0" borderId="0" xfId="12" applyFont="1" applyProtection="1">
      <protection hidden="1"/>
    </xf>
    <xf numFmtId="0" fontId="9" fillId="0" borderId="0" xfId="64" applyFont="1" applyProtection="1">
      <protection hidden="1"/>
    </xf>
    <xf numFmtId="0" fontId="8" fillId="18" borderId="10" xfId="64" applyFill="1" applyBorder="1" applyAlignment="1" applyProtection="1">
      <alignment horizontal="center" vertical="center"/>
      <protection hidden="1"/>
    </xf>
    <xf numFmtId="2" fontId="8" fillId="18" borderId="6" xfId="64" applyNumberFormat="1" applyFill="1" applyBorder="1" applyAlignment="1" applyProtection="1">
      <alignment horizontal="center" vertical="center"/>
      <protection hidden="1"/>
    </xf>
    <xf numFmtId="2" fontId="8" fillId="21" borderId="6" xfId="64" applyNumberFormat="1" applyFill="1" applyBorder="1" applyAlignment="1" applyProtection="1">
      <alignment horizontal="center" vertical="center"/>
      <protection hidden="1"/>
    </xf>
    <xf numFmtId="164" fontId="8" fillId="21" borderId="6" xfId="64" applyNumberFormat="1" applyFill="1" applyBorder="1" applyAlignment="1" applyProtection="1">
      <alignment horizontal="center" vertical="center"/>
      <protection hidden="1"/>
    </xf>
    <xf numFmtId="164" fontId="8" fillId="21" borderId="9" xfId="64" applyNumberFormat="1" applyFill="1" applyBorder="1" applyAlignment="1" applyProtection="1">
      <alignment horizontal="center" vertical="center"/>
      <protection hidden="1"/>
    </xf>
    <xf numFmtId="9" fontId="8" fillId="19" borderId="8" xfId="446" applyFont="1" applyFill="1" applyBorder="1" applyAlignment="1" applyProtection="1">
      <alignment horizontal="center" vertical="center"/>
      <protection locked="0"/>
    </xf>
    <xf numFmtId="164" fontId="8" fillId="19" borderId="6" xfId="64" applyNumberFormat="1" applyFill="1" applyBorder="1" applyAlignment="1" applyProtection="1">
      <alignment horizontal="center" vertical="center"/>
      <protection locked="0"/>
    </xf>
    <xf numFmtId="9" fontId="8" fillId="21" borderId="6" xfId="446" applyFont="1" applyFill="1" applyBorder="1" applyAlignment="1" applyProtection="1">
      <alignment horizontal="center" vertical="center"/>
      <protection hidden="1"/>
    </xf>
    <xf numFmtId="1" fontId="8" fillId="19" borderId="6" xfId="64" applyNumberFormat="1" applyFill="1" applyBorder="1" applyAlignment="1" applyProtection="1">
      <alignment horizontal="center" vertical="center"/>
      <protection locked="0"/>
    </xf>
    <xf numFmtId="1" fontId="8" fillId="21" borderId="6" xfId="64" applyNumberFormat="1" applyFill="1" applyBorder="1" applyAlignment="1" applyProtection="1">
      <alignment horizontal="center" vertical="center"/>
      <protection hidden="1"/>
    </xf>
    <xf numFmtId="164" fontId="8" fillId="21" borderId="10" xfId="64" applyNumberFormat="1" applyFill="1" applyBorder="1" applyAlignment="1" applyProtection="1">
      <alignment horizontal="center" vertical="center"/>
      <protection hidden="1"/>
    </xf>
    <xf numFmtId="164" fontId="8" fillId="21" borderId="7" xfId="64" applyNumberFormat="1" applyFill="1" applyBorder="1" applyAlignment="1" applyProtection="1">
      <alignment horizontal="center" vertical="center"/>
      <protection hidden="1"/>
    </xf>
    <xf numFmtId="164" fontId="8" fillId="21" borderId="64" xfId="64" applyNumberFormat="1" applyFill="1" applyBorder="1" applyAlignment="1" applyProtection="1">
      <alignment horizontal="center"/>
      <protection hidden="1"/>
    </xf>
    <xf numFmtId="164" fontId="8" fillId="21" borderId="12" xfId="64" applyNumberFormat="1" applyFill="1" applyBorder="1" applyAlignment="1" applyProtection="1">
      <alignment horizontal="center"/>
      <protection hidden="1"/>
    </xf>
    <xf numFmtId="165" fontId="8" fillId="21" borderId="24" xfId="446" applyNumberFormat="1" applyFont="1" applyFill="1" applyBorder="1" applyAlignment="1" applyProtection="1">
      <alignment horizontal="center"/>
      <protection hidden="1"/>
    </xf>
    <xf numFmtId="0" fontId="8" fillId="18" borderId="8" xfId="64" applyFill="1" applyBorder="1" applyAlignment="1" applyProtection="1">
      <alignment horizontal="center"/>
      <protection hidden="1"/>
    </xf>
    <xf numFmtId="164" fontId="8" fillId="21" borderId="6" xfId="64" applyNumberFormat="1" applyFill="1" applyBorder="1" applyAlignment="1" applyProtection="1">
      <alignment horizontal="center"/>
      <protection hidden="1"/>
    </xf>
    <xf numFmtId="165" fontId="8" fillId="21" borderId="7" xfId="446" applyNumberFormat="1" applyFont="1" applyFill="1" applyBorder="1" applyAlignment="1" applyProtection="1">
      <alignment horizontal="center"/>
      <protection hidden="1"/>
    </xf>
    <xf numFmtId="0" fontId="8" fillId="18" borderId="31" xfId="64" applyFill="1" applyBorder="1" applyAlignment="1" applyProtection="1">
      <alignment horizontal="center"/>
      <protection hidden="1"/>
    </xf>
    <xf numFmtId="164" fontId="8" fillId="21" borderId="68" xfId="64" applyNumberFormat="1" applyFill="1" applyBorder="1" applyAlignment="1" applyProtection="1">
      <alignment horizontal="center"/>
      <protection hidden="1"/>
    </xf>
    <xf numFmtId="164" fontId="8" fillId="21" borderId="25" xfId="64" applyNumberFormat="1" applyFill="1" applyBorder="1" applyAlignment="1" applyProtection="1">
      <alignment horizontal="center"/>
      <protection hidden="1"/>
    </xf>
    <xf numFmtId="165" fontId="8" fillId="21" borderId="26" xfId="446" applyNumberFormat="1" applyFont="1" applyFill="1" applyBorder="1" applyAlignment="1" applyProtection="1">
      <alignment horizontal="center"/>
      <protection hidden="1"/>
    </xf>
    <xf numFmtId="164" fontId="8" fillId="21" borderId="31" xfId="64" applyNumberFormat="1" applyFill="1" applyBorder="1" applyAlignment="1" applyProtection="1">
      <alignment horizontal="center"/>
      <protection hidden="1"/>
    </xf>
    <xf numFmtId="164" fontId="8" fillId="0" borderId="0" xfId="64" applyNumberFormat="1" applyAlignment="1" applyProtection="1">
      <alignment horizontal="center"/>
      <protection hidden="1"/>
    </xf>
    <xf numFmtId="0" fontId="8" fillId="0" borderId="0" xfId="64" applyAlignment="1" applyProtection="1">
      <alignment wrapText="1"/>
      <protection hidden="1"/>
    </xf>
    <xf numFmtId="0" fontId="3" fillId="0" borderId="0" xfId="64" applyFont="1" applyAlignment="1" applyProtection="1">
      <alignment wrapText="1"/>
      <protection hidden="1"/>
    </xf>
    <xf numFmtId="0" fontId="33" fillId="18" borderId="59" xfId="64" applyFont="1" applyFill="1" applyBorder="1" applyAlignment="1" applyProtection="1">
      <alignment horizontal="center" vertical="center"/>
      <protection hidden="1"/>
    </xf>
    <xf numFmtId="166" fontId="8" fillId="0" borderId="0" xfId="64" applyNumberFormat="1" applyAlignment="1" applyProtection="1">
      <alignment horizontal="center"/>
      <protection hidden="1"/>
    </xf>
    <xf numFmtId="0" fontId="33" fillId="21" borderId="44" xfId="64" applyFont="1" applyFill="1" applyBorder="1" applyAlignment="1" applyProtection="1">
      <alignment horizontal="center" vertical="center"/>
      <protection hidden="1"/>
    </xf>
    <xf numFmtId="0" fontId="33" fillId="13" borderId="44" xfId="64" applyFont="1" applyFill="1" applyBorder="1" applyAlignment="1" applyProtection="1">
      <alignment horizontal="center" vertical="center"/>
      <protection hidden="1"/>
    </xf>
    <xf numFmtId="0" fontId="33" fillId="19" borderId="58" xfId="64" applyFont="1" applyFill="1" applyBorder="1" applyAlignment="1" applyProtection="1">
      <alignment horizontal="center" vertical="center"/>
      <protection hidden="1"/>
    </xf>
    <xf numFmtId="164" fontId="8" fillId="21" borderId="73" xfId="64" applyNumberFormat="1" applyFill="1" applyBorder="1" applyAlignment="1" applyProtection="1">
      <alignment horizontal="center"/>
      <protection hidden="1"/>
    </xf>
    <xf numFmtId="164" fontId="8" fillId="21" borderId="8" xfId="64" applyNumberFormat="1" applyFill="1" applyBorder="1" applyAlignment="1" applyProtection="1">
      <alignment horizontal="center"/>
      <protection hidden="1"/>
    </xf>
    <xf numFmtId="0" fontId="8" fillId="18" borderId="6" xfId="64" applyFill="1" applyBorder="1" applyAlignment="1" applyProtection="1">
      <alignment horizontal="center"/>
      <protection hidden="1"/>
    </xf>
    <xf numFmtId="0" fontId="8" fillId="18" borderId="25" xfId="64" applyFill="1" applyBorder="1" applyAlignment="1" applyProtection="1">
      <alignment horizontal="center"/>
      <protection hidden="1"/>
    </xf>
    <xf numFmtId="0" fontId="0" fillId="0" borderId="74" xfId="0" applyBorder="1" applyProtection="1">
      <protection hidden="1"/>
    </xf>
    <xf numFmtId="0" fontId="0" fillId="0" borderId="75" xfId="0" applyBorder="1" applyProtection="1">
      <protection hidden="1"/>
    </xf>
    <xf numFmtId="0" fontId="0" fillId="0" borderId="76" xfId="0" applyBorder="1" applyProtection="1">
      <protection hidden="1"/>
    </xf>
    <xf numFmtId="49" fontId="0" fillId="0" borderId="77" xfId="0" applyNumberFormat="1" applyBorder="1" applyProtection="1">
      <protection hidden="1"/>
    </xf>
    <xf numFmtId="49" fontId="0" fillId="0" borderId="78" xfId="0" applyNumberFormat="1" applyBorder="1" applyProtection="1">
      <protection hidden="1"/>
    </xf>
    <xf numFmtId="49" fontId="0" fillId="0" borderId="77" xfId="0" applyNumberFormat="1" applyBorder="1" applyAlignment="1" applyProtection="1">
      <alignment horizontal="center"/>
      <protection hidden="1"/>
    </xf>
    <xf numFmtId="164" fontId="9" fillId="0" borderId="0" xfId="0" applyNumberFormat="1" applyFont="1" applyAlignment="1" applyProtection="1">
      <alignment horizontal="center"/>
      <protection hidden="1"/>
    </xf>
    <xf numFmtId="0" fontId="61" fillId="10" borderId="71" xfId="279" applyFont="1" applyFill="1" applyBorder="1" applyAlignment="1">
      <alignment horizontal="center"/>
    </xf>
    <xf numFmtId="1" fontId="61" fillId="10" borderId="10" xfId="279" applyNumberFormat="1" applyFont="1" applyFill="1" applyBorder="1" applyAlignment="1">
      <alignment horizontal="centerContinuous"/>
    </xf>
    <xf numFmtId="0" fontId="61" fillId="10" borderId="20" xfId="279" applyFont="1" applyFill="1" applyBorder="1" applyAlignment="1">
      <alignment horizontal="center" wrapText="1"/>
    </xf>
    <xf numFmtId="0" fontId="61" fillId="10" borderId="79" xfId="279" applyFont="1" applyFill="1" applyBorder="1" applyAlignment="1">
      <alignment horizontal="centerContinuous"/>
    </xf>
    <xf numFmtId="164" fontId="61" fillId="10" borderId="10" xfId="279" applyNumberFormat="1" applyFont="1" applyFill="1" applyBorder="1" applyAlignment="1">
      <alignment horizontal="centerContinuous"/>
    </xf>
    <xf numFmtId="0" fontId="61" fillId="10" borderId="80" xfId="279" applyFont="1" applyFill="1" applyBorder="1" applyAlignment="1">
      <alignment horizontal="center"/>
    </xf>
    <xf numFmtId="1" fontId="61" fillId="10" borderId="68" xfId="279" applyNumberFormat="1" applyFont="1" applyFill="1" applyBorder="1" applyAlignment="1">
      <alignment horizontal="centerContinuous"/>
    </xf>
    <xf numFmtId="0" fontId="61" fillId="10" borderId="81" xfId="279" applyFont="1" applyFill="1" applyBorder="1" applyAlignment="1">
      <alignment horizontal="center"/>
    </xf>
    <xf numFmtId="0" fontId="61" fillId="10" borderId="82" xfId="279" applyFont="1" applyFill="1" applyBorder="1" applyAlignment="1">
      <alignment horizontal="centerContinuous"/>
    </xf>
    <xf numFmtId="164" fontId="61" fillId="10" borderId="68" xfId="279" applyNumberFormat="1" applyFont="1" applyFill="1" applyBorder="1" applyAlignment="1">
      <alignment horizontal="centerContinuous"/>
    </xf>
    <xf numFmtId="0" fontId="5" fillId="20" borderId="40" xfId="0" applyFont="1" applyFill="1" applyBorder="1" applyAlignment="1" applyProtection="1">
      <alignment horizontal="center" vertical="center" wrapText="1"/>
      <protection hidden="1"/>
    </xf>
    <xf numFmtId="0" fontId="5" fillId="20" borderId="23" xfId="0" applyFont="1" applyFill="1" applyBorder="1" applyAlignment="1" applyProtection="1">
      <alignment horizontal="center" vertical="center"/>
      <protection hidden="1"/>
    </xf>
    <xf numFmtId="0" fontId="5" fillId="20" borderId="40" xfId="0" applyFont="1" applyFill="1" applyBorder="1" applyAlignment="1" applyProtection="1">
      <alignment horizontal="center" vertical="center"/>
      <protection hidden="1"/>
    </xf>
    <xf numFmtId="0" fontId="4" fillId="20" borderId="29" xfId="0" applyFont="1" applyFill="1" applyBorder="1" applyAlignment="1" applyProtection="1">
      <alignment horizontal="center" vertical="center" wrapText="1"/>
      <protection hidden="1"/>
    </xf>
    <xf numFmtId="0" fontId="4" fillId="20" borderId="29" xfId="0" applyFont="1" applyFill="1" applyBorder="1" applyAlignment="1" applyProtection="1">
      <alignment horizontal="center" vertical="center"/>
      <protection hidden="1"/>
    </xf>
    <xf numFmtId="0" fontId="57" fillId="20" borderId="29" xfId="0" applyFont="1" applyFill="1" applyBorder="1" applyAlignment="1" applyProtection="1">
      <alignment horizontal="centerContinuous" vertical="center" wrapText="1"/>
      <protection hidden="1"/>
    </xf>
    <xf numFmtId="0" fontId="57" fillId="20" borderId="13" xfId="0" applyFont="1" applyFill="1" applyBorder="1" applyAlignment="1" applyProtection="1">
      <alignment horizontal="centerContinuous" vertical="center" wrapText="1"/>
      <protection hidden="1"/>
    </xf>
    <xf numFmtId="0" fontId="57" fillId="20" borderId="17" xfId="0" applyFont="1" applyFill="1" applyBorder="1" applyAlignment="1" applyProtection="1">
      <alignment horizontal="centerContinuous" vertical="center" wrapText="1"/>
      <protection hidden="1"/>
    </xf>
    <xf numFmtId="0" fontId="7" fillId="20" borderId="32" xfId="0" applyFont="1" applyFill="1" applyBorder="1" applyAlignment="1" applyProtection="1">
      <alignment horizontal="center" vertical="center"/>
      <protection hidden="1"/>
    </xf>
    <xf numFmtId="0" fontId="9" fillId="19" borderId="23" xfId="0" applyFont="1" applyFill="1" applyBorder="1" applyAlignment="1" applyProtection="1">
      <alignment horizontal="center" vertical="center"/>
      <protection locked="0"/>
    </xf>
    <xf numFmtId="0" fontId="4" fillId="19" borderId="29" xfId="0" applyFont="1" applyFill="1" applyBorder="1" applyAlignment="1" applyProtection="1">
      <alignment horizontal="center" vertical="center" wrapText="1"/>
      <protection locked="0"/>
    </xf>
    <xf numFmtId="0" fontId="4" fillId="20" borderId="1" xfId="0" applyFont="1" applyFill="1" applyBorder="1" applyAlignment="1" applyProtection="1">
      <alignment horizontal="left" vertical="center" indent="1"/>
      <protection hidden="1"/>
    </xf>
    <xf numFmtId="0" fontId="4" fillId="19" borderId="1" xfId="0" applyFont="1" applyFill="1" applyBorder="1" applyAlignment="1" applyProtection="1">
      <alignment horizontal="center" vertical="center"/>
      <protection locked="0"/>
    </xf>
    <xf numFmtId="0" fontId="4" fillId="20" borderId="1" xfId="0" applyFont="1" applyFill="1" applyBorder="1" applyAlignment="1" applyProtection="1">
      <alignment horizontal="center" vertical="center" wrapText="1"/>
      <protection hidden="1"/>
    </xf>
    <xf numFmtId="0" fontId="4" fillId="20" borderId="40" xfId="0" applyFont="1" applyFill="1" applyBorder="1" applyAlignment="1" applyProtection="1">
      <alignment horizontal="center" vertical="center" wrapText="1"/>
      <protection hidden="1"/>
    </xf>
    <xf numFmtId="168" fontId="4" fillId="19" borderId="1" xfId="0" applyNumberFormat="1" applyFont="1" applyFill="1" applyBorder="1" applyAlignment="1" applyProtection="1">
      <alignment horizontal="center" vertical="center"/>
      <protection locked="0"/>
    </xf>
    <xf numFmtId="0" fontId="5" fillId="20" borderId="33" xfId="0" applyFont="1" applyFill="1" applyBorder="1" applyAlignment="1" applyProtection="1">
      <alignment horizontal="center" vertical="center"/>
      <protection hidden="1"/>
    </xf>
    <xf numFmtId="0" fontId="5" fillId="20" borderId="1" xfId="0" applyFont="1" applyFill="1" applyBorder="1" applyAlignment="1" applyProtection="1">
      <alignment horizontal="center" vertical="center"/>
      <protection hidden="1"/>
    </xf>
    <xf numFmtId="0" fontId="5" fillId="20" borderId="29" xfId="0" applyFont="1" applyFill="1" applyBorder="1" applyAlignment="1" applyProtection="1">
      <alignment horizontal="center" vertical="center" wrapText="1"/>
      <protection hidden="1"/>
    </xf>
    <xf numFmtId="0" fontId="5" fillId="20" borderId="1" xfId="0" applyFont="1" applyFill="1" applyBorder="1" applyAlignment="1" applyProtection="1">
      <alignment horizontal="center" vertical="center" wrapText="1"/>
      <protection hidden="1"/>
    </xf>
    <xf numFmtId="0" fontId="5" fillId="20" borderId="17" xfId="0" applyFont="1" applyFill="1" applyBorder="1" applyAlignment="1" applyProtection="1">
      <alignment horizontal="center" vertical="center" wrapText="1"/>
      <protection hidden="1"/>
    </xf>
    <xf numFmtId="0" fontId="5" fillId="20" borderId="36" xfId="0" applyFont="1" applyFill="1" applyBorder="1" applyAlignment="1" applyProtection="1">
      <alignment horizontal="center" vertical="center"/>
      <protection hidden="1"/>
    </xf>
    <xf numFmtId="1" fontId="0" fillId="0" borderId="0" xfId="0" applyNumberFormat="1"/>
    <xf numFmtId="0" fontId="31" fillId="20" borderId="13" xfId="0" applyFont="1" applyFill="1" applyBorder="1" applyAlignment="1" applyProtection="1">
      <alignment horizontal="center" vertical="center"/>
      <protection hidden="1"/>
    </xf>
    <xf numFmtId="0" fontId="4" fillId="20" borderId="17" xfId="0" applyFont="1" applyFill="1" applyBorder="1" applyAlignment="1" applyProtection="1">
      <alignment vertical="center"/>
      <protection hidden="1"/>
    </xf>
    <xf numFmtId="0" fontId="4" fillId="20" borderId="44" xfId="0" applyFont="1" applyFill="1" applyBorder="1" applyAlignment="1" applyProtection="1">
      <alignment vertical="center"/>
      <protection hidden="1"/>
    </xf>
    <xf numFmtId="0" fontId="4" fillId="20" borderId="1" xfId="0" applyFont="1" applyFill="1" applyBorder="1" applyAlignment="1" applyProtection="1">
      <alignment vertical="center"/>
      <protection hidden="1"/>
    </xf>
    <xf numFmtId="0" fontId="5" fillId="20" borderId="29" xfId="0" applyFont="1" applyFill="1" applyBorder="1" applyAlignment="1" applyProtection="1">
      <alignment horizontal="right" vertical="center" indent="1"/>
      <protection hidden="1"/>
    </xf>
    <xf numFmtId="0" fontId="5" fillId="20" borderId="13" xfId="0" applyFont="1" applyFill="1" applyBorder="1" applyAlignment="1" applyProtection="1">
      <alignment horizontal="right" vertical="center" indent="1"/>
      <protection hidden="1"/>
    </xf>
    <xf numFmtId="0" fontId="5" fillId="20" borderId="13" xfId="0" applyFont="1" applyFill="1" applyBorder="1" applyAlignment="1" applyProtection="1">
      <alignment horizontal="left" vertical="center" indent="2"/>
      <protection hidden="1"/>
    </xf>
    <xf numFmtId="0" fontId="5" fillId="20" borderId="17" xfId="0" applyFont="1" applyFill="1" applyBorder="1" applyAlignment="1" applyProtection="1">
      <alignment horizontal="right" vertical="center" indent="1"/>
      <protection hidden="1"/>
    </xf>
    <xf numFmtId="0" fontId="3" fillId="20" borderId="17" xfId="0" applyFont="1" applyFill="1" applyBorder="1" applyAlignment="1" applyProtection="1">
      <alignment vertical="center"/>
      <protection hidden="1"/>
    </xf>
    <xf numFmtId="0" fontId="3" fillId="20" borderId="29" xfId="0" applyFont="1" applyFill="1" applyBorder="1" applyAlignment="1" applyProtection="1">
      <alignment vertical="center"/>
      <protection hidden="1"/>
    </xf>
    <xf numFmtId="0" fontId="3" fillId="20" borderId="13" xfId="0" applyFont="1" applyFill="1" applyBorder="1" applyAlignment="1" applyProtection="1">
      <alignment vertical="center"/>
      <protection hidden="1"/>
    </xf>
    <xf numFmtId="49" fontId="4" fillId="20" borderId="13" xfId="0" applyNumberFormat="1" applyFont="1" applyFill="1" applyBorder="1" applyAlignment="1" applyProtection="1">
      <alignment horizontal="center" vertical="center"/>
      <protection hidden="1"/>
    </xf>
    <xf numFmtId="0" fontId="0" fillId="20" borderId="13" xfId="0" applyFill="1" applyBorder="1" applyAlignment="1" applyProtection="1">
      <alignment horizontal="center" vertical="center"/>
      <protection hidden="1"/>
    </xf>
    <xf numFmtId="2" fontId="4" fillId="20" borderId="13" xfId="0" applyNumberFormat="1" applyFont="1" applyFill="1" applyBorder="1" applyAlignment="1" applyProtection="1">
      <alignment horizontal="center" vertical="center"/>
      <protection hidden="1"/>
    </xf>
    <xf numFmtId="49" fontId="4" fillId="20" borderId="17" xfId="0" applyNumberFormat="1" applyFont="1" applyFill="1" applyBorder="1" applyAlignment="1" applyProtection="1">
      <alignment horizontal="center" vertical="center"/>
      <protection hidden="1"/>
    </xf>
    <xf numFmtId="0" fontId="31" fillId="20" borderId="17" xfId="0" applyFont="1" applyFill="1" applyBorder="1" applyAlignment="1" applyProtection="1">
      <alignment horizontal="center" vertical="center"/>
      <protection hidden="1"/>
    </xf>
    <xf numFmtId="0" fontId="4" fillId="20" borderId="58" xfId="0" applyFont="1" applyFill="1" applyBorder="1" applyAlignment="1" applyProtection="1">
      <alignment vertical="center"/>
      <protection hidden="1"/>
    </xf>
    <xf numFmtId="0" fontId="4" fillId="20" borderId="29" xfId="0" applyFont="1" applyFill="1" applyBorder="1" applyAlignment="1" applyProtection="1">
      <alignment vertical="center"/>
      <protection hidden="1"/>
    </xf>
    <xf numFmtId="0" fontId="4" fillId="19" borderId="83" xfId="0" applyFont="1" applyFill="1" applyBorder="1" applyAlignment="1" applyProtection="1">
      <alignment horizontal="center" vertical="center"/>
      <protection locked="0"/>
    </xf>
    <xf numFmtId="0" fontId="4" fillId="19" borderId="8" xfId="0" applyFont="1" applyFill="1" applyBorder="1" applyAlignment="1" applyProtection="1">
      <alignment horizontal="center" vertical="center"/>
      <protection locked="0"/>
    </xf>
    <xf numFmtId="0" fontId="4" fillId="21" borderId="6" xfId="0" applyFont="1" applyFill="1" applyBorder="1" applyAlignment="1" applyProtection="1">
      <alignment horizontal="center" vertical="center"/>
      <protection hidden="1"/>
    </xf>
    <xf numFmtId="0" fontId="4" fillId="21" borderId="7" xfId="0" quotePrefix="1" applyFont="1" applyFill="1" applyBorder="1" applyAlignment="1" applyProtection="1">
      <alignment horizontal="center" vertical="center"/>
      <protection hidden="1"/>
    </xf>
    <xf numFmtId="0" fontId="4" fillId="21" borderId="7" xfId="0" applyFont="1" applyFill="1" applyBorder="1" applyAlignment="1" applyProtection="1">
      <alignment horizontal="center" vertical="center"/>
      <protection hidden="1"/>
    </xf>
    <xf numFmtId="0" fontId="4" fillId="19" borderId="6" xfId="0" applyFont="1" applyFill="1" applyBorder="1" applyAlignment="1" applyProtection="1">
      <alignment horizontal="center" vertical="center"/>
      <protection locked="0"/>
    </xf>
    <xf numFmtId="2" fontId="4" fillId="19" borderId="6" xfId="0" applyNumberFormat="1" applyFont="1" applyFill="1" applyBorder="1" applyAlignment="1" applyProtection="1">
      <alignment horizontal="center" vertical="center"/>
      <protection locked="0"/>
    </xf>
    <xf numFmtId="1" fontId="4" fillId="19" borderId="6" xfId="0" applyNumberFormat="1" applyFont="1" applyFill="1" applyBorder="1" applyAlignment="1" applyProtection="1">
      <alignment horizontal="center" vertical="center"/>
      <protection locked="0"/>
    </xf>
    <xf numFmtId="49" fontId="4" fillId="19" borderId="6" xfId="0" applyNumberFormat="1" applyFont="1" applyFill="1" applyBorder="1" applyAlignment="1" applyProtection="1">
      <alignment horizontal="center" vertical="center"/>
      <protection locked="0"/>
    </xf>
    <xf numFmtId="49" fontId="4" fillId="19" borderId="30" xfId="0" applyNumberFormat="1" applyFont="1" applyFill="1" applyBorder="1" applyAlignment="1" applyProtection="1">
      <alignment horizontal="center" vertical="center"/>
      <protection locked="0"/>
    </xf>
    <xf numFmtId="49" fontId="4" fillId="19" borderId="8" xfId="0" applyNumberFormat="1" applyFont="1" applyFill="1" applyBorder="1" applyAlignment="1" applyProtection="1">
      <alignment horizontal="center" vertical="center"/>
      <protection locked="0"/>
    </xf>
    <xf numFmtId="2" fontId="4" fillId="19" borderId="84" xfId="0" applyNumberFormat="1" applyFont="1" applyFill="1" applyBorder="1" applyAlignment="1" applyProtection="1">
      <alignment horizontal="center" vertical="center"/>
      <protection locked="0"/>
    </xf>
    <xf numFmtId="49" fontId="4" fillId="19" borderId="31" xfId="0" applyNumberFormat="1" applyFont="1" applyFill="1" applyBorder="1" applyAlignment="1" applyProtection="1">
      <alignment horizontal="center" vertical="center"/>
      <protection locked="0"/>
    </xf>
    <xf numFmtId="2" fontId="4" fillId="19" borderId="25" xfId="0" applyNumberFormat="1" applyFont="1" applyFill="1" applyBorder="1" applyAlignment="1" applyProtection="1">
      <alignment horizontal="center" vertical="center"/>
      <protection locked="0"/>
    </xf>
    <xf numFmtId="164" fontId="4" fillId="19" borderId="85" xfId="0" applyNumberFormat="1" applyFont="1" applyFill="1" applyBorder="1" applyAlignment="1" applyProtection="1">
      <alignment horizontal="center" vertical="center"/>
      <protection locked="0"/>
    </xf>
    <xf numFmtId="164" fontId="4" fillId="19" borderId="27" xfId="0" applyNumberFormat="1" applyFont="1" applyFill="1" applyBorder="1" applyAlignment="1" applyProtection="1">
      <alignment horizontal="center" vertical="center"/>
      <protection locked="0"/>
    </xf>
    <xf numFmtId="164" fontId="4" fillId="19" borderId="84" xfId="0" applyNumberFormat="1" applyFont="1" applyFill="1" applyBorder="1" applyAlignment="1" applyProtection="1">
      <alignment horizontal="center" vertical="center"/>
      <protection locked="0"/>
    </xf>
    <xf numFmtId="164" fontId="4" fillId="19" borderId="14" xfId="0" applyNumberFormat="1" applyFont="1" applyFill="1" applyBorder="1" applyAlignment="1" applyProtection="1">
      <alignment horizontal="center" vertical="center"/>
      <protection locked="0"/>
    </xf>
    <xf numFmtId="164" fontId="4" fillId="19" borderId="11" xfId="0" applyNumberFormat="1" applyFont="1" applyFill="1" applyBorder="1" applyAlignment="1" applyProtection="1">
      <alignment horizontal="center" vertical="center"/>
      <protection locked="0"/>
    </xf>
    <xf numFmtId="164" fontId="4" fillId="19" borderId="6" xfId="0" applyNumberFormat="1" applyFont="1" applyFill="1" applyBorder="1" applyAlignment="1" applyProtection="1">
      <alignment horizontal="center" vertical="center"/>
      <protection locked="0"/>
    </xf>
    <xf numFmtId="164" fontId="4" fillId="19" borderId="25" xfId="0" applyNumberFormat="1" applyFont="1" applyFill="1" applyBorder="1" applyAlignment="1" applyProtection="1">
      <alignment horizontal="center" vertical="center"/>
      <protection locked="0"/>
    </xf>
    <xf numFmtId="2" fontId="4" fillId="19" borderId="86" xfId="0" applyNumberFormat="1" applyFont="1" applyFill="1" applyBorder="1" applyAlignment="1" applyProtection="1">
      <alignment horizontal="center" vertical="center"/>
      <protection locked="0"/>
    </xf>
    <xf numFmtId="0" fontId="61" fillId="0" borderId="87" xfId="279" applyFont="1" applyBorder="1" applyAlignment="1">
      <alignment horizontal="center" vertical="center"/>
    </xf>
    <xf numFmtId="0" fontId="61" fillId="0" borderId="88" xfId="279" applyFont="1" applyBorder="1" applyAlignment="1">
      <alignment horizontal="center" vertical="center"/>
    </xf>
    <xf numFmtId="0" fontId="61" fillId="0" borderId="89" xfId="279" applyFont="1" applyBorder="1" applyAlignment="1">
      <alignment horizontal="center" vertical="center"/>
    </xf>
    <xf numFmtId="0" fontId="61" fillId="22" borderId="90" xfId="279" applyFont="1" applyFill="1" applyBorder="1" applyAlignment="1" applyProtection="1">
      <alignment horizontal="centerContinuous" vertical="center"/>
      <protection hidden="1"/>
    </xf>
    <xf numFmtId="0" fontId="61" fillId="22" borderId="2" xfId="279" applyFont="1" applyFill="1" applyBorder="1" applyAlignment="1" applyProtection="1">
      <alignment horizontal="centerContinuous" vertical="center"/>
      <protection hidden="1"/>
    </xf>
    <xf numFmtId="0" fontId="61" fillId="22" borderId="91" xfId="279" applyFont="1" applyFill="1" applyBorder="1" applyAlignment="1" applyProtection="1">
      <alignment horizontal="centerContinuous" vertical="center"/>
      <protection hidden="1"/>
    </xf>
    <xf numFmtId="0" fontId="61" fillId="22" borderId="92" xfId="279" applyFont="1" applyFill="1" applyBorder="1" applyAlignment="1" applyProtection="1">
      <alignment horizontal="centerContinuous" vertical="center"/>
      <protection hidden="1"/>
    </xf>
    <xf numFmtId="0" fontId="61" fillId="22" borderId="85" xfId="279" applyFont="1" applyFill="1" applyBorder="1" applyAlignment="1" applyProtection="1">
      <alignment horizontal="centerContinuous" vertical="center"/>
      <protection hidden="1"/>
    </xf>
    <xf numFmtId="0" fontId="61" fillId="22" borderId="92" xfId="279" applyFont="1" applyFill="1" applyBorder="1" applyAlignment="1" applyProtection="1">
      <alignment horizontal="centerContinuous"/>
      <protection hidden="1"/>
    </xf>
    <xf numFmtId="0" fontId="61" fillId="22" borderId="93" xfId="279" applyFont="1" applyFill="1" applyBorder="1" applyAlignment="1" applyProtection="1">
      <alignment horizontal="centerContinuous" vertical="center"/>
      <protection hidden="1"/>
    </xf>
    <xf numFmtId="0" fontId="61" fillId="20" borderId="94" xfId="279" applyFont="1" applyFill="1" applyBorder="1" applyAlignment="1" applyProtection="1">
      <alignment horizontal="center"/>
      <protection hidden="1"/>
    </xf>
    <xf numFmtId="0" fontId="61" fillId="20" borderId="11" xfId="279" applyFont="1" applyFill="1" applyBorder="1" applyAlignment="1" applyProtection="1">
      <alignment horizontal="centerContinuous" vertical="center"/>
      <protection hidden="1"/>
    </xf>
    <xf numFmtId="0" fontId="61" fillId="20" borderId="60" xfId="279" applyFont="1" applyFill="1" applyBorder="1" applyAlignment="1" applyProtection="1">
      <alignment horizontal="centerContinuous" vertical="center"/>
      <protection hidden="1"/>
    </xf>
    <xf numFmtId="0" fontId="61" fillId="20" borderId="10" xfId="279" applyFont="1" applyFill="1" applyBorder="1" applyAlignment="1" applyProtection="1">
      <alignment horizontal="centerContinuous" vertical="center"/>
      <protection hidden="1"/>
    </xf>
    <xf numFmtId="0" fontId="61" fillId="20" borderId="18" xfId="279" applyFont="1" applyFill="1" applyBorder="1" applyAlignment="1" applyProtection="1">
      <alignment horizontal="center" vertical="top"/>
      <protection hidden="1"/>
    </xf>
    <xf numFmtId="0" fontId="61" fillId="20" borderId="65" xfId="279" applyFont="1" applyFill="1" applyBorder="1" applyAlignment="1" applyProtection="1">
      <alignment horizontal="centerContinuous" vertical="center"/>
      <protection hidden="1"/>
    </xf>
    <xf numFmtId="0" fontId="61" fillId="20" borderId="18" xfId="279" applyFont="1" applyFill="1" applyBorder="1" applyAlignment="1" applyProtection="1">
      <alignment horizontal="center"/>
      <protection hidden="1"/>
    </xf>
    <xf numFmtId="0" fontId="61" fillId="20" borderId="62" xfId="279" applyFont="1" applyFill="1" applyBorder="1" applyAlignment="1" applyProtection="1">
      <alignment horizontal="centerContinuous" vertical="center"/>
      <protection hidden="1"/>
    </xf>
    <xf numFmtId="0" fontId="61" fillId="20" borderId="18" xfId="279" applyFont="1" applyFill="1" applyBorder="1" applyAlignment="1" applyProtection="1">
      <alignment horizontal="center" vertical="center"/>
      <protection hidden="1"/>
    </xf>
    <xf numFmtId="0" fontId="61" fillId="20" borderId="63" xfId="279" applyFont="1" applyFill="1" applyBorder="1" applyAlignment="1" applyProtection="1">
      <alignment horizontal="centerContinuous" vertical="center"/>
      <protection hidden="1"/>
    </xf>
    <xf numFmtId="0" fontId="61" fillId="20" borderId="66" xfId="279" applyFont="1" applyFill="1" applyBorder="1" applyAlignment="1" applyProtection="1">
      <alignment horizontal="centerContinuous" vertical="center"/>
      <protection hidden="1"/>
    </xf>
    <xf numFmtId="0" fontId="61" fillId="20" borderId="19" xfId="279" applyFont="1" applyFill="1" applyBorder="1" applyAlignment="1" applyProtection="1">
      <alignment horizontal="center" vertical="center"/>
      <protection hidden="1"/>
    </xf>
    <xf numFmtId="0" fontId="61" fillId="20" borderId="0" xfId="279" applyFont="1" applyFill="1" applyProtection="1">
      <protection hidden="1"/>
    </xf>
    <xf numFmtId="0" fontId="61" fillId="20" borderId="74" xfId="279" applyFont="1" applyFill="1" applyBorder="1" applyProtection="1">
      <protection hidden="1"/>
    </xf>
    <xf numFmtId="0" fontId="61" fillId="20" borderId="95" xfId="279" applyFont="1" applyFill="1" applyBorder="1" applyAlignment="1" applyProtection="1">
      <alignment horizontal="center"/>
      <protection hidden="1"/>
    </xf>
    <xf numFmtId="0" fontId="61" fillId="20" borderId="18" xfId="279" applyFont="1" applyFill="1" applyBorder="1" applyAlignment="1" applyProtection="1">
      <alignment horizontal="centerContinuous" vertical="center"/>
      <protection hidden="1"/>
    </xf>
    <xf numFmtId="0" fontId="61" fillId="20" borderId="19" xfId="279" applyFont="1" applyFill="1" applyBorder="1" applyAlignment="1" applyProtection="1">
      <alignment horizontal="center" vertical="top"/>
      <protection hidden="1"/>
    </xf>
    <xf numFmtId="0" fontId="61" fillId="20" borderId="19" xfId="279" applyFont="1" applyFill="1" applyBorder="1" applyAlignment="1" applyProtection="1">
      <alignment horizontal="center"/>
      <protection hidden="1"/>
    </xf>
    <xf numFmtId="0" fontId="61" fillId="20" borderId="96" xfId="279" applyFont="1" applyFill="1" applyBorder="1" applyAlignment="1" applyProtection="1">
      <alignment horizontal="centerContinuous"/>
      <protection hidden="1"/>
    </xf>
    <xf numFmtId="0" fontId="61" fillId="20" borderId="97" xfId="279" applyFont="1" applyFill="1" applyBorder="1" applyAlignment="1" applyProtection="1">
      <alignment horizontal="centerContinuous"/>
      <protection hidden="1"/>
    </xf>
    <xf numFmtId="14" fontId="61" fillId="20" borderId="97" xfId="279" applyNumberFormat="1" applyFont="1" applyFill="1" applyBorder="1" applyAlignment="1" applyProtection="1">
      <alignment horizontal="centerContinuous"/>
      <protection hidden="1"/>
    </xf>
    <xf numFmtId="0" fontId="61" fillId="20" borderId="88" xfId="279" applyFont="1" applyFill="1" applyBorder="1" applyAlignment="1" applyProtection="1">
      <alignment horizontal="centerContinuous"/>
      <protection hidden="1"/>
    </xf>
    <xf numFmtId="0" fontId="61" fillId="20" borderId="60" xfId="279" applyFont="1" applyFill="1" applyBorder="1" applyAlignment="1" applyProtection="1">
      <alignment horizontal="centerContinuous"/>
      <protection hidden="1"/>
    </xf>
    <xf numFmtId="0" fontId="61" fillId="20" borderId="98" xfId="279" applyFont="1" applyFill="1" applyBorder="1" applyAlignment="1" applyProtection="1">
      <alignment horizontal="centerContinuous"/>
      <protection hidden="1"/>
    </xf>
    <xf numFmtId="0" fontId="61" fillId="20" borderId="61" xfId="279" applyFont="1" applyFill="1" applyBorder="1" applyAlignment="1" applyProtection="1">
      <alignment horizontal="centerContinuous"/>
      <protection hidden="1"/>
    </xf>
    <xf numFmtId="0" fontId="61" fillId="20" borderId="11" xfId="279" applyFont="1" applyFill="1" applyBorder="1" applyAlignment="1" applyProtection="1">
      <alignment horizontal="centerContinuous"/>
      <protection hidden="1"/>
    </xf>
    <xf numFmtId="0" fontId="59" fillId="20" borderId="60" xfId="279" applyFont="1" applyFill="1" applyBorder="1" applyAlignment="1" applyProtection="1">
      <alignment horizontal="centerContinuous"/>
      <protection hidden="1"/>
    </xf>
    <xf numFmtId="0" fontId="61" fillId="20" borderId="65" xfId="279" applyFont="1" applyFill="1" applyBorder="1" applyAlignment="1" applyProtection="1">
      <alignment horizontal="centerContinuous"/>
      <protection hidden="1"/>
    </xf>
    <xf numFmtId="0" fontId="59" fillId="20" borderId="61" xfId="279" applyFont="1" applyFill="1" applyBorder="1" applyAlignment="1" applyProtection="1">
      <alignment horizontal="centerContinuous"/>
      <protection hidden="1"/>
    </xf>
    <xf numFmtId="0" fontId="94" fillId="20" borderId="11" xfId="279" applyFont="1" applyFill="1" applyBorder="1" applyAlignment="1" applyProtection="1">
      <alignment horizontal="centerContinuous"/>
      <protection hidden="1"/>
    </xf>
    <xf numFmtId="0" fontId="61" fillId="20" borderId="66" xfId="279" applyFont="1" applyFill="1" applyBorder="1" applyAlignment="1" applyProtection="1">
      <alignment horizontal="center" wrapText="1"/>
      <protection hidden="1"/>
    </xf>
    <xf numFmtId="0" fontId="61" fillId="20" borderId="99" xfId="279" applyFont="1" applyFill="1" applyBorder="1" applyAlignment="1" applyProtection="1">
      <alignment horizontal="center" wrapText="1"/>
      <protection hidden="1"/>
    </xf>
    <xf numFmtId="0" fontId="61" fillId="20" borderId="100" xfId="279" applyFont="1" applyFill="1" applyBorder="1" applyAlignment="1" applyProtection="1">
      <alignment horizontal="center" wrapText="1"/>
      <protection hidden="1"/>
    </xf>
    <xf numFmtId="0" fontId="61" fillId="20" borderId="11" xfId="279" applyFont="1" applyFill="1" applyBorder="1" applyAlignment="1" applyProtection="1">
      <alignment horizontal="center" wrapText="1"/>
      <protection hidden="1"/>
    </xf>
    <xf numFmtId="0" fontId="61" fillId="20" borderId="61" xfId="279" applyFont="1" applyFill="1" applyBorder="1" applyAlignment="1" applyProtection="1">
      <alignment horizontal="center" wrapText="1"/>
      <protection hidden="1"/>
    </xf>
    <xf numFmtId="0" fontId="61" fillId="20" borderId="60" xfId="279" applyFont="1" applyFill="1" applyBorder="1" applyAlignment="1" applyProtection="1">
      <alignment horizontal="center" wrapText="1"/>
      <protection hidden="1"/>
    </xf>
    <xf numFmtId="0" fontId="61" fillId="20" borderId="36" xfId="279" applyFont="1" applyFill="1" applyBorder="1" applyAlignment="1" applyProtection="1">
      <alignment horizontal="center" wrapText="1"/>
      <protection hidden="1"/>
    </xf>
    <xf numFmtId="0" fontId="61" fillId="20" borderId="101" xfId="279" applyFont="1" applyFill="1" applyBorder="1" applyAlignment="1" applyProtection="1">
      <alignment horizontal="centerContinuous" wrapText="1"/>
      <protection hidden="1"/>
    </xf>
    <xf numFmtId="0" fontId="61" fillId="20" borderId="60" xfId="279" applyFont="1" applyFill="1" applyBorder="1" applyAlignment="1" applyProtection="1">
      <alignment horizontal="centerContinuous" wrapText="1"/>
      <protection hidden="1"/>
    </xf>
    <xf numFmtId="0" fontId="61" fillId="20" borderId="61" xfId="279" applyFont="1" applyFill="1" applyBorder="1" applyAlignment="1" applyProtection="1">
      <alignment horizontal="centerContinuous" wrapText="1"/>
      <protection hidden="1"/>
    </xf>
    <xf numFmtId="0" fontId="61" fillId="20" borderId="11" xfId="279" applyFont="1" applyFill="1" applyBorder="1" applyAlignment="1" applyProtection="1">
      <alignment horizontal="centerContinuous" wrapText="1"/>
      <protection hidden="1"/>
    </xf>
    <xf numFmtId="0" fontId="61" fillId="20" borderId="102" xfId="279" applyFont="1" applyFill="1" applyBorder="1" applyAlignment="1" applyProtection="1">
      <alignment horizontal="centerContinuous" wrapText="1"/>
      <protection hidden="1"/>
    </xf>
    <xf numFmtId="0" fontId="61" fillId="20" borderId="100" xfId="279" applyFont="1" applyFill="1" applyBorder="1" applyAlignment="1" applyProtection="1">
      <alignment horizontal="centerContinuous" wrapText="1"/>
      <protection hidden="1"/>
    </xf>
    <xf numFmtId="0" fontId="46" fillId="20" borderId="101" xfId="279" applyFont="1" applyFill="1" applyBorder="1" applyAlignment="1" applyProtection="1">
      <alignment horizontal="centerContinuous"/>
      <protection hidden="1"/>
    </xf>
    <xf numFmtId="0" fontId="46" fillId="20" borderId="20" xfId="279" applyFont="1" applyFill="1" applyBorder="1" applyAlignment="1" applyProtection="1">
      <alignment horizontal="centerContinuous"/>
      <protection hidden="1"/>
    </xf>
    <xf numFmtId="0" fontId="46" fillId="20" borderId="60" xfId="279" applyFont="1" applyFill="1" applyBorder="1" applyAlignment="1" applyProtection="1">
      <alignment horizontal="centerContinuous"/>
      <protection hidden="1"/>
    </xf>
    <xf numFmtId="0" fontId="61" fillId="20" borderId="103" xfId="279" applyFont="1" applyFill="1" applyBorder="1" applyAlignment="1" applyProtection="1">
      <alignment horizontal="centerContinuous" wrapText="1"/>
      <protection hidden="1"/>
    </xf>
    <xf numFmtId="0" fontId="61" fillId="20" borderId="99" xfId="279" applyFont="1" applyFill="1" applyBorder="1" applyAlignment="1" applyProtection="1">
      <alignment horizontal="centerContinuous" wrapText="1"/>
      <protection hidden="1"/>
    </xf>
    <xf numFmtId="0" fontId="46" fillId="20" borderId="61" xfId="279" applyFont="1" applyFill="1" applyBorder="1" applyAlignment="1" applyProtection="1">
      <alignment horizontal="centerContinuous"/>
      <protection hidden="1"/>
    </xf>
    <xf numFmtId="0" fontId="46" fillId="20" borderId="36" xfId="279" applyFont="1" applyFill="1" applyBorder="1" applyAlignment="1" applyProtection="1">
      <alignment horizontal="centerContinuous"/>
      <protection hidden="1"/>
    </xf>
    <xf numFmtId="0" fontId="61" fillId="20" borderId="67" xfId="279" applyFont="1" applyFill="1" applyBorder="1" applyAlignment="1" applyProtection="1">
      <alignment horizontal="centerContinuous" wrapText="1"/>
      <protection hidden="1"/>
    </xf>
    <xf numFmtId="0" fontId="46" fillId="20" borderId="97" xfId="279" applyFont="1" applyFill="1" applyBorder="1" applyAlignment="1" applyProtection="1">
      <alignment horizontal="centerContinuous"/>
      <protection hidden="1"/>
    </xf>
    <xf numFmtId="0" fontId="61" fillId="20" borderId="102" xfId="279" applyFont="1" applyFill="1" applyBorder="1" applyAlignment="1" applyProtection="1">
      <alignment horizontal="centerContinuous"/>
      <protection hidden="1"/>
    </xf>
    <xf numFmtId="0" fontId="61" fillId="20" borderId="101" xfId="279" applyFont="1" applyFill="1" applyBorder="1" applyAlignment="1" applyProtection="1">
      <alignment horizontal="centerContinuous"/>
      <protection hidden="1"/>
    </xf>
    <xf numFmtId="0" fontId="61" fillId="20" borderId="100" xfId="279" applyFont="1" applyFill="1" applyBorder="1" applyAlignment="1" applyProtection="1">
      <alignment horizontal="centerContinuous"/>
      <protection hidden="1"/>
    </xf>
    <xf numFmtId="0" fontId="46" fillId="20" borderId="69" xfId="279" applyFont="1" applyFill="1" applyBorder="1" applyAlignment="1" applyProtection="1">
      <alignment horizontal="centerContinuous"/>
      <protection hidden="1"/>
    </xf>
    <xf numFmtId="0" fontId="61" fillId="20" borderId="20" xfId="279" applyFont="1" applyFill="1" applyBorder="1" applyAlignment="1" applyProtection="1">
      <alignment horizontal="centerContinuous"/>
      <protection hidden="1"/>
    </xf>
    <xf numFmtId="0" fontId="61" fillId="20" borderId="67" xfId="279" applyFont="1" applyFill="1" applyBorder="1" applyAlignment="1" applyProtection="1">
      <alignment horizontal="centerContinuous"/>
      <protection hidden="1"/>
    </xf>
    <xf numFmtId="176" fontId="8" fillId="19" borderId="30" xfId="12" applyNumberFormat="1" applyFont="1" applyFill="1" applyBorder="1" applyAlignment="1" applyProtection="1">
      <alignment horizontal="center"/>
      <protection locked="0"/>
    </xf>
    <xf numFmtId="176" fontId="8" fillId="19" borderId="8" xfId="62" applyNumberFormat="1" applyFont="1" applyFill="1" applyBorder="1" applyAlignment="1" applyProtection="1">
      <alignment horizontal="center"/>
      <protection locked="0"/>
    </xf>
    <xf numFmtId="176" fontId="8" fillId="19" borderId="104" xfId="62" applyNumberFormat="1" applyFont="1" applyFill="1" applyBorder="1" applyAlignment="1" applyProtection="1">
      <alignment horizontal="center"/>
      <protection locked="0"/>
    </xf>
    <xf numFmtId="176" fontId="8" fillId="19" borderId="31" xfId="62" applyNumberFormat="1" applyFont="1" applyFill="1" applyBorder="1" applyAlignment="1" applyProtection="1">
      <alignment horizontal="center"/>
      <protection locked="0"/>
    </xf>
    <xf numFmtId="176" fontId="8" fillId="19" borderId="1" xfId="62" applyNumberFormat="1" applyFont="1" applyFill="1" applyBorder="1" applyAlignment="1" applyProtection="1">
      <alignment horizontal="center"/>
      <protection locked="0"/>
    </xf>
    <xf numFmtId="49" fontId="30" fillId="22" borderId="105" xfId="0" applyNumberFormat="1" applyFont="1" applyFill="1" applyBorder="1" applyAlignment="1" applyProtection="1">
      <alignment horizontal="centerContinuous"/>
      <protection hidden="1"/>
    </xf>
    <xf numFmtId="0" fontId="30" fillId="22" borderId="106" xfId="0" applyFont="1" applyFill="1" applyBorder="1" applyAlignment="1" applyProtection="1">
      <alignment horizontal="centerContinuous"/>
      <protection hidden="1"/>
    </xf>
    <xf numFmtId="0" fontId="19" fillId="22" borderId="106" xfId="0" applyFont="1" applyFill="1" applyBorder="1" applyAlignment="1" applyProtection="1">
      <alignment horizontal="centerContinuous"/>
      <protection hidden="1"/>
    </xf>
    <xf numFmtId="0" fontId="30" fillId="22" borderId="107" xfId="0" applyFont="1" applyFill="1" applyBorder="1" applyAlignment="1" applyProtection="1">
      <alignment horizontal="centerContinuous"/>
      <protection hidden="1"/>
    </xf>
    <xf numFmtId="0" fontId="0" fillId="22" borderId="106" xfId="0" applyFill="1" applyBorder="1" applyAlignment="1" applyProtection="1">
      <alignment horizontal="centerContinuous"/>
      <protection hidden="1"/>
    </xf>
    <xf numFmtId="0" fontId="0" fillId="22" borderId="108" xfId="0" applyFill="1" applyBorder="1" applyAlignment="1" applyProtection="1">
      <alignment horizontal="centerContinuous"/>
      <protection hidden="1"/>
    </xf>
    <xf numFmtId="0" fontId="9" fillId="20" borderId="109" xfId="0" applyFont="1" applyFill="1" applyBorder="1" applyAlignment="1" applyProtection="1">
      <alignment horizontal="center"/>
      <protection hidden="1"/>
    </xf>
    <xf numFmtId="0" fontId="9" fillId="20" borderId="14" xfId="0" applyFont="1" applyFill="1" applyBorder="1" applyAlignment="1" applyProtection="1">
      <alignment horizontal="center"/>
      <protection hidden="1"/>
    </xf>
    <xf numFmtId="0" fontId="9" fillId="20" borderId="84" xfId="0" applyFont="1" applyFill="1" applyBorder="1" applyAlignment="1" applyProtection="1">
      <alignment horizontal="center"/>
      <protection hidden="1"/>
    </xf>
    <xf numFmtId="0" fontId="9" fillId="20" borderId="110" xfId="0" applyFont="1" applyFill="1" applyBorder="1" applyAlignment="1" applyProtection="1">
      <alignment horizontal="centerContinuous"/>
      <protection hidden="1"/>
    </xf>
    <xf numFmtId="0" fontId="9" fillId="20" borderId="111" xfId="0" applyFont="1" applyFill="1" applyBorder="1" applyAlignment="1" applyProtection="1">
      <alignment horizontal="centerContinuous"/>
      <protection hidden="1"/>
    </xf>
    <xf numFmtId="0" fontId="9" fillId="20" borderId="93" xfId="0" applyFont="1" applyFill="1" applyBorder="1" applyAlignment="1" applyProtection="1">
      <alignment horizontal="centerContinuous"/>
      <protection hidden="1"/>
    </xf>
    <xf numFmtId="0" fontId="9" fillId="20" borderId="112" xfId="0" applyFont="1" applyFill="1" applyBorder="1" applyAlignment="1" applyProtection="1">
      <alignment horizontal="center" wrapText="1"/>
      <protection hidden="1"/>
    </xf>
    <xf numFmtId="0" fontId="9" fillId="20" borderId="113" xfId="0" applyFont="1" applyFill="1" applyBorder="1" applyAlignment="1" applyProtection="1">
      <alignment horizontal="center"/>
      <protection hidden="1"/>
    </xf>
    <xf numFmtId="0" fontId="9" fillId="20" borderId="113" xfId="0" applyFont="1" applyFill="1" applyBorder="1" applyAlignment="1" applyProtection="1">
      <alignment horizontal="center" wrapText="1"/>
      <protection hidden="1"/>
    </xf>
    <xf numFmtId="0" fontId="9" fillId="20" borderId="99" xfId="0" applyFont="1" applyFill="1" applyBorder="1" applyAlignment="1" applyProtection="1">
      <alignment horizontal="center" wrapText="1"/>
      <protection hidden="1"/>
    </xf>
    <xf numFmtId="0" fontId="9" fillId="20" borderId="31" xfId="0" applyFont="1" applyFill="1" applyBorder="1" applyAlignment="1" applyProtection="1">
      <alignment horizontal="center" wrapText="1"/>
      <protection hidden="1"/>
    </xf>
    <xf numFmtId="0" fontId="9" fillId="20" borderId="26" xfId="0" applyFont="1" applyFill="1" applyBorder="1" applyAlignment="1" applyProtection="1">
      <alignment horizontal="center" wrapText="1"/>
      <protection hidden="1"/>
    </xf>
    <xf numFmtId="0" fontId="9" fillId="20" borderId="114" xfId="0" applyFont="1" applyFill="1" applyBorder="1" applyAlignment="1" applyProtection="1">
      <alignment horizontal="center" wrapText="1"/>
      <protection hidden="1"/>
    </xf>
    <xf numFmtId="49" fontId="30" fillId="20" borderId="32" xfId="0" applyNumberFormat="1" applyFont="1" applyFill="1" applyBorder="1" applyAlignment="1" applyProtection="1">
      <alignment horizontal="centerContinuous" vertical="center"/>
      <protection hidden="1"/>
    </xf>
    <xf numFmtId="0" fontId="0" fillId="20" borderId="2" xfId="0" applyFill="1" applyBorder="1" applyAlignment="1" applyProtection="1">
      <alignment horizontal="centerContinuous" vertical="center"/>
      <protection hidden="1"/>
    </xf>
    <xf numFmtId="0" fontId="0" fillId="20" borderId="33" xfId="0" applyFill="1" applyBorder="1" applyAlignment="1" applyProtection="1">
      <alignment horizontal="centerContinuous" vertical="center"/>
      <protection hidden="1"/>
    </xf>
    <xf numFmtId="0" fontId="9" fillId="20" borderId="23" xfId="0" applyFont="1" applyFill="1" applyBorder="1" applyAlignment="1" applyProtection="1">
      <alignment horizontal="center"/>
      <protection hidden="1"/>
    </xf>
    <xf numFmtId="0" fontId="9" fillId="20" borderId="35" xfId="0" applyFont="1" applyFill="1" applyBorder="1" applyAlignment="1" applyProtection="1">
      <alignment horizontal="centerContinuous" vertical="center"/>
      <protection hidden="1"/>
    </xf>
    <xf numFmtId="49" fontId="30" fillId="20" borderId="36" xfId="0" applyNumberFormat="1" applyFont="1" applyFill="1" applyBorder="1" applyAlignment="1" applyProtection="1">
      <alignment horizontal="centerContinuous" vertical="center"/>
      <protection hidden="1"/>
    </xf>
    <xf numFmtId="49" fontId="30" fillId="20" borderId="37" xfId="0" applyNumberFormat="1" applyFont="1" applyFill="1" applyBorder="1" applyAlignment="1" applyProtection="1">
      <alignment horizontal="centerContinuous" vertical="center"/>
      <protection hidden="1"/>
    </xf>
    <xf numFmtId="0" fontId="9" fillId="20" borderId="40" xfId="0" applyFont="1" applyFill="1" applyBorder="1" applyAlignment="1" applyProtection="1">
      <alignment horizontal="center" wrapText="1"/>
      <protection hidden="1"/>
    </xf>
    <xf numFmtId="13" fontId="8" fillId="21" borderId="115" xfId="0" applyNumberFormat="1" applyFont="1" applyFill="1" applyBorder="1" applyAlignment="1" applyProtection="1">
      <alignment horizontal="center"/>
      <protection hidden="1"/>
    </xf>
    <xf numFmtId="0" fontId="8" fillId="21" borderId="27" xfId="0" applyFont="1" applyFill="1" applyBorder="1" applyAlignment="1" applyProtection="1">
      <alignment horizontal="center"/>
      <protection hidden="1"/>
    </xf>
    <xf numFmtId="164" fontId="8" fillId="21" borderId="27" xfId="0" applyNumberFormat="1" applyFont="1" applyFill="1" applyBorder="1" applyAlignment="1" applyProtection="1">
      <alignment horizontal="center"/>
      <protection hidden="1"/>
    </xf>
    <xf numFmtId="2" fontId="8" fillId="21" borderId="85" xfId="0" applyNumberFormat="1" applyFont="1" applyFill="1" applyBorder="1" applyAlignment="1" applyProtection="1">
      <alignment horizontal="center"/>
      <protection hidden="1"/>
    </xf>
    <xf numFmtId="13" fontId="8" fillId="21" borderId="116" xfId="0" applyNumberFormat="1" applyFont="1" applyFill="1" applyBorder="1" applyAlignment="1" applyProtection="1">
      <alignment horizontal="center"/>
      <protection hidden="1"/>
    </xf>
    <xf numFmtId="0" fontId="8" fillId="21" borderId="6" xfId="0" applyFont="1" applyFill="1" applyBorder="1" applyAlignment="1" applyProtection="1">
      <alignment horizontal="center"/>
      <protection hidden="1"/>
    </xf>
    <xf numFmtId="164" fontId="8" fillId="21" borderId="6" xfId="0" applyNumberFormat="1" applyFont="1" applyFill="1" applyBorder="1" applyAlignment="1" applyProtection="1">
      <alignment horizontal="center"/>
      <protection hidden="1"/>
    </xf>
    <xf numFmtId="2" fontId="8" fillId="21" borderId="11" xfId="0" applyNumberFormat="1" applyFont="1" applyFill="1" applyBorder="1" applyAlignment="1" applyProtection="1">
      <alignment horizontal="center"/>
      <protection hidden="1"/>
    </xf>
    <xf numFmtId="13" fontId="8" fillId="21" borderId="117" xfId="0" applyNumberFormat="1" applyFont="1" applyFill="1" applyBorder="1" applyAlignment="1" applyProtection="1">
      <alignment horizontal="center"/>
      <protection hidden="1"/>
    </xf>
    <xf numFmtId="0" fontId="8" fillId="21" borderId="25" xfId="0" applyFont="1" applyFill="1" applyBorder="1" applyAlignment="1" applyProtection="1">
      <alignment horizontal="center"/>
      <protection hidden="1"/>
    </xf>
    <xf numFmtId="164" fontId="8" fillId="21" borderId="25" xfId="0" applyNumberFormat="1" applyFont="1" applyFill="1" applyBorder="1" applyAlignment="1" applyProtection="1">
      <alignment horizontal="center"/>
      <protection hidden="1"/>
    </xf>
    <xf numFmtId="2" fontId="8" fillId="21" borderId="102" xfId="0" applyNumberFormat="1" applyFont="1" applyFill="1" applyBorder="1" applyAlignment="1" applyProtection="1">
      <alignment horizontal="center"/>
      <protection hidden="1"/>
    </xf>
    <xf numFmtId="164" fontId="9" fillId="21" borderId="16" xfId="0" applyNumberFormat="1" applyFont="1" applyFill="1" applyBorder="1" applyAlignment="1" applyProtection="1">
      <alignment horizontal="center"/>
      <protection hidden="1"/>
    </xf>
    <xf numFmtId="2" fontId="9" fillId="21" borderId="45" xfId="0" applyNumberFormat="1" applyFont="1" applyFill="1" applyBorder="1" applyAlignment="1" applyProtection="1">
      <alignment horizontal="center"/>
      <protection hidden="1"/>
    </xf>
    <xf numFmtId="176" fontId="8" fillId="21" borderId="28" xfId="12" applyNumberFormat="1" applyFont="1" applyFill="1" applyBorder="1" applyAlignment="1" applyProtection="1">
      <alignment horizontal="center"/>
      <protection hidden="1"/>
    </xf>
    <xf numFmtId="176" fontId="8" fillId="21" borderId="7" xfId="12" applyNumberFormat="1" applyFont="1" applyFill="1" applyBorder="1" applyAlignment="1" applyProtection="1">
      <alignment horizontal="center"/>
      <protection hidden="1"/>
    </xf>
    <xf numFmtId="176" fontId="8" fillId="21" borderId="26" xfId="12" applyNumberFormat="1" applyFont="1" applyFill="1" applyBorder="1" applyAlignment="1" applyProtection="1">
      <alignment horizontal="center"/>
      <protection hidden="1"/>
    </xf>
    <xf numFmtId="176" fontId="9" fillId="21" borderId="1" xfId="12" applyNumberFormat="1" applyFont="1" applyFill="1" applyBorder="1" applyAlignment="1" applyProtection="1">
      <alignment horizontal="center"/>
      <protection hidden="1"/>
    </xf>
    <xf numFmtId="176" fontId="8" fillId="21" borderId="118" xfId="12" applyNumberFormat="1" applyFont="1" applyFill="1" applyBorder="1" applyAlignment="1" applyProtection="1">
      <alignment horizontal="center"/>
      <protection hidden="1"/>
    </xf>
    <xf numFmtId="176" fontId="8" fillId="21" borderId="119" xfId="12" applyNumberFormat="1" applyFont="1" applyFill="1" applyBorder="1" applyAlignment="1" applyProtection="1">
      <alignment horizontal="center"/>
      <protection hidden="1"/>
    </xf>
    <xf numFmtId="176" fontId="8" fillId="21" borderId="114" xfId="12" applyNumberFormat="1" applyFont="1" applyFill="1" applyBorder="1" applyAlignment="1" applyProtection="1">
      <alignment horizontal="center"/>
      <protection hidden="1"/>
    </xf>
    <xf numFmtId="176" fontId="9" fillId="21" borderId="120" xfId="12" applyNumberFormat="1" applyFont="1" applyFill="1" applyBorder="1" applyAlignment="1" applyProtection="1">
      <alignment horizontal="center"/>
      <protection hidden="1"/>
    </xf>
    <xf numFmtId="176" fontId="9" fillId="21" borderId="1" xfId="12" applyNumberFormat="1" applyFont="1" applyFill="1" applyBorder="1" applyAlignment="1" applyProtection="1">
      <alignment horizontal="center" vertical="center"/>
      <protection hidden="1"/>
    </xf>
    <xf numFmtId="0" fontId="9" fillId="20" borderId="1" xfId="0" applyFont="1" applyFill="1" applyBorder="1" applyAlignment="1" applyProtection="1">
      <alignment horizontal="center" vertical="center"/>
      <protection hidden="1"/>
    </xf>
    <xf numFmtId="0" fontId="9" fillId="20" borderId="121" xfId="0" applyFont="1" applyFill="1" applyBorder="1" applyAlignment="1" applyProtection="1">
      <alignment horizontal="center"/>
      <protection hidden="1"/>
    </xf>
    <xf numFmtId="164" fontId="30" fillId="18" borderId="29" xfId="0" applyNumberFormat="1" applyFont="1" applyFill="1" applyBorder="1" applyAlignment="1" applyProtection="1">
      <alignment horizontal="centerContinuous"/>
      <protection hidden="1"/>
    </xf>
    <xf numFmtId="164" fontId="30" fillId="18" borderId="13" xfId="0" applyNumberFormat="1" applyFont="1" applyFill="1" applyBorder="1" applyAlignment="1" applyProtection="1">
      <alignment horizontal="centerContinuous"/>
      <protection hidden="1"/>
    </xf>
    <xf numFmtId="164" fontId="19" fillId="18" borderId="13" xfId="0" applyNumberFormat="1" applyFont="1" applyFill="1" applyBorder="1" applyAlignment="1" applyProtection="1">
      <alignment horizontal="centerContinuous"/>
      <protection hidden="1"/>
    </xf>
    <xf numFmtId="164" fontId="19" fillId="18" borderId="17" xfId="0" applyNumberFormat="1" applyFont="1" applyFill="1" applyBorder="1" applyAlignment="1" applyProtection="1">
      <alignment horizontal="centerContinuous"/>
      <protection hidden="1"/>
    </xf>
    <xf numFmtId="0" fontId="56" fillId="20" borderId="122" xfId="279" applyFont="1" applyFill="1" applyBorder="1" applyAlignment="1" applyProtection="1">
      <alignment horizontal="centerContinuous" vertical="center"/>
      <protection hidden="1"/>
    </xf>
    <xf numFmtId="0" fontId="46" fillId="20" borderId="69" xfId="279" applyFont="1" applyFill="1" applyBorder="1" applyAlignment="1" applyProtection="1">
      <alignment horizontal="centerContinuous" vertical="center"/>
      <protection hidden="1"/>
    </xf>
    <xf numFmtId="0" fontId="62" fillId="20" borderId="69" xfId="279" applyFont="1" applyFill="1" applyBorder="1" applyAlignment="1" applyProtection="1">
      <alignment horizontal="center" vertical="center"/>
      <protection hidden="1"/>
    </xf>
    <xf numFmtId="0" fontId="59" fillId="20" borderId="69" xfId="279" applyFont="1" applyFill="1" applyBorder="1" applyProtection="1">
      <protection hidden="1"/>
    </xf>
    <xf numFmtId="0" fontId="59" fillId="20" borderId="101" xfId="279" applyFont="1" applyFill="1" applyBorder="1" applyProtection="1">
      <protection hidden="1"/>
    </xf>
    <xf numFmtId="0" fontId="62" fillId="20" borderId="69" xfId="279" applyFont="1" applyFill="1" applyBorder="1" applyAlignment="1" applyProtection="1">
      <alignment horizontal="left" vertical="center"/>
      <protection hidden="1"/>
    </xf>
    <xf numFmtId="0" fontId="61" fillId="20" borderId="81" xfId="279" applyFont="1" applyFill="1" applyBorder="1" applyAlignment="1" applyProtection="1">
      <alignment horizontal="centerContinuous"/>
      <protection hidden="1"/>
    </xf>
    <xf numFmtId="1" fontId="88" fillId="19" borderId="6" xfId="279" applyNumberFormat="1" applyFill="1" applyBorder="1" applyAlignment="1" applyProtection="1">
      <alignment horizontal="center"/>
      <protection locked="0"/>
    </xf>
    <xf numFmtId="0" fontId="88" fillId="18" borderId="64" xfId="279" applyFill="1" applyBorder="1" applyAlignment="1" applyProtection="1">
      <alignment horizontal="center"/>
      <protection hidden="1"/>
    </xf>
    <xf numFmtId="2" fontId="88" fillId="18" borderId="64" xfId="279" applyNumberFormat="1" applyFill="1" applyBorder="1" applyProtection="1">
      <protection hidden="1"/>
    </xf>
    <xf numFmtId="1" fontId="8" fillId="19" borderId="12" xfId="279" applyNumberFormat="1" applyFont="1" applyFill="1" applyBorder="1" applyAlignment="1" applyProtection="1">
      <alignment horizontal="center"/>
      <protection locked="0"/>
    </xf>
    <xf numFmtId="1" fontId="8" fillId="19" borderId="6" xfId="279" applyNumberFormat="1" applyFont="1" applyFill="1" applyBorder="1" applyAlignment="1" applyProtection="1">
      <alignment horizontal="center"/>
      <protection locked="0"/>
    </xf>
    <xf numFmtId="1" fontId="8" fillId="19" borderId="18" xfId="279" applyNumberFormat="1" applyFont="1" applyFill="1" applyBorder="1" applyAlignment="1" applyProtection="1">
      <alignment horizontal="center"/>
      <protection locked="0"/>
    </xf>
    <xf numFmtId="164" fontId="8" fillId="19" borderId="12" xfId="279" applyNumberFormat="1" applyFont="1" applyFill="1" applyBorder="1" applyAlignment="1" applyProtection="1">
      <alignment horizontal="center"/>
      <protection locked="0"/>
    </xf>
    <xf numFmtId="164" fontId="8" fillId="19" borderId="6" xfId="279" applyNumberFormat="1" applyFont="1" applyFill="1" applyBorder="1" applyAlignment="1" applyProtection="1">
      <alignment horizontal="center"/>
      <protection locked="0"/>
    </xf>
    <xf numFmtId="175" fontId="88" fillId="19" borderId="6" xfId="279" applyNumberFormat="1" applyFill="1" applyBorder="1" applyProtection="1">
      <protection locked="0"/>
    </xf>
    <xf numFmtId="174" fontId="88" fillId="19" borderId="6" xfId="279" applyNumberFormat="1" applyFill="1" applyBorder="1" applyProtection="1">
      <protection locked="0"/>
    </xf>
    <xf numFmtId="164" fontId="8" fillId="19" borderId="18" xfId="279" applyNumberFormat="1" applyFont="1" applyFill="1" applyBorder="1" applyAlignment="1" applyProtection="1">
      <alignment horizontal="center"/>
      <protection locked="0"/>
    </xf>
    <xf numFmtId="174" fontId="88" fillId="19" borderId="18" xfId="279" applyNumberFormat="1" applyFill="1" applyBorder="1" applyProtection="1">
      <protection locked="0"/>
    </xf>
    <xf numFmtId="174" fontId="88" fillId="19" borderId="12" xfId="279" applyNumberFormat="1" applyFill="1" applyBorder="1" applyProtection="1">
      <protection locked="0"/>
    </xf>
    <xf numFmtId="0" fontId="8" fillId="20" borderId="123" xfId="279" applyFont="1" applyFill="1" applyBorder="1" applyAlignment="1" applyProtection="1">
      <alignment horizontal="center" vertical="center" textRotation="90" shrinkToFit="1"/>
      <protection hidden="1"/>
    </xf>
    <xf numFmtId="20" fontId="0" fillId="20" borderId="25" xfId="0" applyNumberFormat="1" applyFill="1" applyBorder="1" applyAlignment="1" applyProtection="1">
      <alignment horizontal="center"/>
      <protection hidden="1"/>
    </xf>
    <xf numFmtId="49" fontId="88" fillId="20" borderId="73" xfId="279" applyNumberFormat="1" applyFill="1" applyBorder="1" applyProtection="1">
      <protection hidden="1"/>
    </xf>
    <xf numFmtId="49" fontId="88" fillId="20" borderId="8" xfId="279" applyNumberFormat="1" applyFill="1" applyBorder="1" applyProtection="1">
      <protection hidden="1"/>
    </xf>
    <xf numFmtId="49" fontId="88" fillId="20" borderId="31" xfId="279" applyNumberFormat="1" applyFill="1" applyBorder="1" applyProtection="1">
      <protection hidden="1"/>
    </xf>
    <xf numFmtId="49" fontId="88" fillId="20" borderId="30" xfId="279" applyNumberFormat="1" applyFill="1" applyBorder="1" applyProtection="1">
      <protection hidden="1"/>
    </xf>
    <xf numFmtId="9" fontId="88" fillId="21" borderId="6" xfId="279" applyNumberFormat="1" applyFill="1" applyBorder="1" applyAlignment="1" applyProtection="1">
      <alignment horizontal="center"/>
      <protection hidden="1"/>
    </xf>
    <xf numFmtId="0" fontId="8" fillId="21" borderId="6" xfId="279" applyFont="1" applyFill="1" applyBorder="1" applyAlignment="1" applyProtection="1">
      <alignment horizontal="center"/>
      <protection hidden="1"/>
    </xf>
    <xf numFmtId="0" fontId="9" fillId="20" borderId="124" xfId="64" applyFont="1" applyFill="1" applyBorder="1" applyAlignment="1" applyProtection="1">
      <alignment horizontal="center"/>
      <protection hidden="1"/>
    </xf>
    <xf numFmtId="0" fontId="9" fillId="20" borderId="86" xfId="64" applyFont="1" applyFill="1" applyBorder="1" applyAlignment="1" applyProtection="1">
      <alignment horizontal="center"/>
      <protection hidden="1"/>
    </xf>
    <xf numFmtId="0" fontId="9" fillId="20" borderId="19" xfId="64" applyFont="1" applyFill="1" applyBorder="1" applyAlignment="1" applyProtection="1">
      <alignment horizontal="center"/>
      <protection hidden="1"/>
    </xf>
    <xf numFmtId="0" fontId="9" fillId="20" borderId="15" xfId="64" applyFont="1" applyFill="1" applyBorder="1" applyAlignment="1" applyProtection="1">
      <alignment horizontal="center"/>
      <protection hidden="1"/>
    </xf>
    <xf numFmtId="0" fontId="9" fillId="20" borderId="73" xfId="64" applyFont="1" applyFill="1" applyBorder="1" applyAlignment="1" applyProtection="1">
      <alignment horizontal="center"/>
      <protection hidden="1"/>
    </xf>
    <xf numFmtId="0" fontId="9" fillId="20" borderId="64" xfId="64" applyFont="1" applyFill="1" applyBorder="1" applyAlignment="1" applyProtection="1">
      <alignment horizontal="center"/>
      <protection hidden="1"/>
    </xf>
    <xf numFmtId="0" fontId="9" fillId="20" borderId="12" xfId="64" applyFont="1" applyFill="1" applyBorder="1" applyAlignment="1" applyProtection="1">
      <alignment horizontal="center"/>
      <protection hidden="1"/>
    </xf>
    <xf numFmtId="0" fontId="9" fillId="20" borderId="125" xfId="64" applyFont="1" applyFill="1" applyBorder="1" applyAlignment="1" applyProtection="1">
      <alignment horizontal="center"/>
      <protection hidden="1"/>
    </xf>
    <xf numFmtId="0" fontId="8" fillId="22" borderId="1" xfId="64" applyFill="1" applyBorder="1" applyProtection="1">
      <protection hidden="1"/>
    </xf>
    <xf numFmtId="44" fontId="9" fillId="22" borderId="29" xfId="12" applyFont="1" applyFill="1" applyBorder="1" applyAlignment="1" applyProtection="1">
      <alignment horizontal="centerContinuous"/>
      <protection hidden="1"/>
    </xf>
    <xf numFmtId="44" fontId="69" fillId="22" borderId="13" xfId="12" applyFont="1" applyFill="1" applyBorder="1" applyAlignment="1" applyProtection="1">
      <alignment horizontal="centerContinuous"/>
      <protection hidden="1"/>
    </xf>
    <xf numFmtId="0" fontId="8" fillId="22" borderId="13" xfId="64" applyFill="1" applyBorder="1" applyAlignment="1" applyProtection="1">
      <alignment horizontal="centerContinuous"/>
      <protection hidden="1"/>
    </xf>
    <xf numFmtId="44" fontId="9" fillId="22" borderId="17" xfId="12" applyFont="1" applyFill="1" applyBorder="1" applyAlignment="1" applyProtection="1">
      <alignment horizontal="centerContinuous"/>
      <protection hidden="1"/>
    </xf>
    <xf numFmtId="0" fontId="9" fillId="22" borderId="13" xfId="64" applyFont="1" applyFill="1" applyBorder="1" applyAlignment="1" applyProtection="1">
      <alignment horizontal="centerContinuous"/>
      <protection hidden="1"/>
    </xf>
    <xf numFmtId="0" fontId="8" fillId="22" borderId="17" xfId="64" applyFill="1" applyBorder="1" applyAlignment="1" applyProtection="1">
      <alignment horizontal="centerContinuous"/>
      <protection hidden="1"/>
    </xf>
    <xf numFmtId="0" fontId="9" fillId="20" borderId="23" xfId="64" applyFont="1" applyFill="1" applyBorder="1" applyProtection="1">
      <protection hidden="1"/>
    </xf>
    <xf numFmtId="0" fontId="9" fillId="20" borderId="14" xfId="64" applyFont="1" applyFill="1" applyBorder="1" applyAlignment="1" applyProtection="1">
      <alignment horizontal="center"/>
      <protection hidden="1"/>
    </xf>
    <xf numFmtId="0" fontId="9" fillId="20" borderId="126" xfId="64" applyFont="1" applyFill="1" applyBorder="1" applyAlignment="1" applyProtection="1">
      <alignment horizontal="center"/>
      <protection hidden="1"/>
    </xf>
    <xf numFmtId="0" fontId="9" fillId="20" borderId="32" xfId="64" applyFont="1" applyFill="1" applyBorder="1" applyAlignment="1" applyProtection="1">
      <alignment horizontal="center"/>
      <protection hidden="1"/>
    </xf>
    <xf numFmtId="0" fontId="9" fillId="20" borderId="33" xfId="64" applyFont="1" applyFill="1" applyBorder="1" applyAlignment="1" applyProtection="1">
      <alignment horizontal="center"/>
      <protection hidden="1"/>
    </xf>
    <xf numFmtId="0" fontId="8" fillId="20" borderId="39" xfId="64" applyFill="1" applyBorder="1" applyProtection="1">
      <protection hidden="1"/>
    </xf>
    <xf numFmtId="0" fontId="9" fillId="20" borderId="127" xfId="64" applyFont="1" applyFill="1" applyBorder="1" applyAlignment="1" applyProtection="1">
      <alignment horizontal="center"/>
      <protection hidden="1"/>
    </xf>
    <xf numFmtId="9" fontId="9" fillId="20" borderId="19" xfId="64" applyNumberFormat="1" applyFont="1" applyFill="1" applyBorder="1" applyAlignment="1" applyProtection="1">
      <alignment horizontal="center"/>
      <protection hidden="1"/>
    </xf>
    <xf numFmtId="0" fontId="9" fillId="20" borderId="128" xfId="64" applyFont="1" applyFill="1" applyBorder="1" applyAlignment="1" applyProtection="1">
      <alignment horizontal="center"/>
      <protection hidden="1"/>
    </xf>
    <xf numFmtId="0" fontId="9" fillId="20" borderId="34" xfId="64" applyFont="1" applyFill="1" applyBorder="1" applyAlignment="1" applyProtection="1">
      <alignment horizontal="center"/>
      <protection hidden="1"/>
    </xf>
    <xf numFmtId="0" fontId="9" fillId="20" borderId="63" xfId="64" applyFont="1" applyFill="1" applyBorder="1" applyAlignment="1" applyProtection="1">
      <alignment horizontal="center"/>
      <protection hidden="1"/>
    </xf>
    <xf numFmtId="49" fontId="9" fillId="20" borderId="19" xfId="64" applyNumberFormat="1" applyFont="1" applyFill="1" applyBorder="1" applyAlignment="1" applyProtection="1">
      <alignment horizontal="center"/>
      <protection hidden="1"/>
    </xf>
    <xf numFmtId="0" fontId="8" fillId="20" borderId="12" xfId="64" applyFill="1" applyBorder="1" applyProtection="1">
      <protection hidden="1"/>
    </xf>
    <xf numFmtId="0" fontId="9" fillId="20" borderId="24" xfId="64" applyFont="1" applyFill="1" applyBorder="1" applyAlignment="1" applyProtection="1">
      <alignment horizontal="center"/>
      <protection hidden="1"/>
    </xf>
    <xf numFmtId="0" fontId="9" fillId="20" borderId="44" xfId="64" applyFont="1" applyFill="1" applyBorder="1" applyProtection="1">
      <protection hidden="1"/>
    </xf>
    <xf numFmtId="0" fontId="8" fillId="18" borderId="62" xfId="64" applyFill="1" applyBorder="1" applyAlignment="1" applyProtection="1">
      <alignment horizontal="center" vertical="center"/>
      <protection hidden="1"/>
    </xf>
    <xf numFmtId="2" fontId="8" fillId="18" borderId="18" xfId="64" applyNumberFormat="1" applyFill="1" applyBorder="1" applyAlignment="1" applyProtection="1">
      <alignment horizontal="center" vertical="center"/>
      <protection hidden="1"/>
    </xf>
    <xf numFmtId="2" fontId="8" fillId="21" borderId="18" xfId="64" applyNumberFormat="1" applyFill="1" applyBorder="1" applyAlignment="1" applyProtection="1">
      <alignment horizontal="center" vertical="center"/>
      <protection hidden="1"/>
    </xf>
    <xf numFmtId="164" fontId="8" fillId="21" borderId="18" xfId="64" applyNumberFormat="1" applyFill="1" applyBorder="1" applyAlignment="1" applyProtection="1">
      <alignment horizontal="center" vertical="center"/>
      <protection hidden="1"/>
    </xf>
    <xf numFmtId="164" fontId="8" fillId="21" borderId="57" xfId="64" applyNumberFormat="1" applyFill="1" applyBorder="1" applyAlignment="1" applyProtection="1">
      <alignment horizontal="center" vertical="center"/>
      <protection hidden="1"/>
    </xf>
    <xf numFmtId="9" fontId="8" fillId="19" borderId="104" xfId="446" applyFont="1" applyFill="1" applyBorder="1" applyAlignment="1" applyProtection="1">
      <alignment horizontal="center" vertical="center"/>
      <protection locked="0"/>
    </xf>
    <xf numFmtId="164" fontId="8" fillId="19" borderId="18" xfId="64" applyNumberFormat="1" applyFill="1" applyBorder="1" applyAlignment="1" applyProtection="1">
      <alignment horizontal="center" vertical="center"/>
      <protection locked="0"/>
    </xf>
    <xf numFmtId="9" fontId="8" fillId="21" borderId="18" xfId="446" applyFont="1" applyFill="1" applyBorder="1" applyAlignment="1" applyProtection="1">
      <alignment horizontal="center" vertical="center"/>
      <protection hidden="1"/>
    </xf>
    <xf numFmtId="1" fontId="8" fillId="19" borderId="18" xfId="64" applyNumberFormat="1" applyFill="1" applyBorder="1" applyAlignment="1" applyProtection="1">
      <alignment horizontal="center" vertical="center"/>
      <protection locked="0"/>
    </xf>
    <xf numFmtId="1" fontId="8" fillId="21" borderId="18" xfId="64" applyNumberFormat="1" applyFill="1" applyBorder="1" applyAlignment="1" applyProtection="1">
      <alignment horizontal="center" vertical="center"/>
      <protection hidden="1"/>
    </xf>
    <xf numFmtId="164" fontId="8" fillId="21" borderId="62" xfId="64" applyNumberFormat="1" applyFill="1" applyBorder="1" applyAlignment="1" applyProtection="1">
      <alignment horizontal="center" vertical="center"/>
      <protection hidden="1"/>
    </xf>
    <xf numFmtId="164" fontId="8" fillId="21" borderId="129" xfId="64" applyNumberFormat="1" applyFill="1" applyBorder="1" applyAlignment="1" applyProtection="1">
      <alignment horizontal="center" vertical="center"/>
      <protection hidden="1"/>
    </xf>
    <xf numFmtId="164" fontId="8" fillId="21" borderId="121" xfId="64" applyNumberFormat="1" applyFill="1" applyBorder="1" applyAlignment="1" applyProtection="1">
      <alignment horizontal="center"/>
      <protection hidden="1"/>
    </xf>
    <xf numFmtId="164" fontId="8" fillId="21" borderId="16" xfId="64" applyNumberFormat="1" applyFill="1" applyBorder="1" applyAlignment="1" applyProtection="1">
      <alignment horizontal="center"/>
      <protection hidden="1"/>
    </xf>
    <xf numFmtId="164" fontId="8" fillId="20" borderId="16" xfId="64" applyNumberFormat="1" applyFill="1" applyBorder="1" applyAlignment="1" applyProtection="1">
      <alignment horizontal="center"/>
      <protection hidden="1"/>
    </xf>
    <xf numFmtId="164" fontId="8" fillId="21" borderId="17" xfId="64" applyNumberFormat="1" applyFill="1" applyBorder="1" applyAlignment="1" applyProtection="1">
      <alignment horizontal="center"/>
      <protection hidden="1"/>
    </xf>
    <xf numFmtId="164" fontId="8" fillId="20" borderId="121" xfId="64" applyNumberFormat="1" applyFill="1" applyBorder="1" applyAlignment="1" applyProtection="1">
      <alignment horizontal="center"/>
      <protection hidden="1"/>
    </xf>
    <xf numFmtId="164" fontId="8" fillId="21" borderId="38" xfId="64" applyNumberFormat="1" applyFill="1" applyBorder="1" applyAlignment="1" applyProtection="1">
      <alignment horizontal="center"/>
      <protection hidden="1"/>
    </xf>
    <xf numFmtId="0" fontId="9" fillId="20" borderId="44" xfId="64" applyFont="1" applyFill="1" applyBorder="1" applyAlignment="1" applyProtection="1">
      <alignment horizontal="center"/>
      <protection hidden="1"/>
    </xf>
    <xf numFmtId="0" fontId="9" fillId="20" borderId="130" xfId="64" applyFont="1" applyFill="1" applyBorder="1" applyAlignment="1" applyProtection="1">
      <alignment horizontal="center"/>
      <protection hidden="1"/>
    </xf>
    <xf numFmtId="0" fontId="9" fillId="20" borderId="1" xfId="64" applyFont="1" applyFill="1" applyBorder="1" applyAlignment="1" applyProtection="1">
      <alignment horizontal="center"/>
      <protection hidden="1"/>
    </xf>
    <xf numFmtId="0" fontId="8" fillId="22" borderId="1" xfId="64" applyFill="1" applyBorder="1" applyAlignment="1" applyProtection="1">
      <alignment horizontal="center"/>
      <protection hidden="1"/>
    </xf>
    <xf numFmtId="0" fontId="8" fillId="20" borderId="126" xfId="64" applyFill="1" applyBorder="1" applyAlignment="1" applyProtection="1">
      <alignment horizontal="center"/>
      <protection hidden="1"/>
    </xf>
    <xf numFmtId="0" fontId="9" fillId="20" borderId="83" xfId="64" applyFont="1" applyFill="1" applyBorder="1" applyProtection="1">
      <protection hidden="1"/>
    </xf>
    <xf numFmtId="0" fontId="9" fillId="20" borderId="58" xfId="64" applyFont="1" applyFill="1" applyBorder="1" applyProtection="1">
      <protection hidden="1"/>
    </xf>
    <xf numFmtId="0" fontId="8" fillId="0" borderId="0" xfId="64" applyAlignment="1" applyProtection="1">
      <alignment horizontal="centerContinuous"/>
      <protection hidden="1"/>
    </xf>
    <xf numFmtId="0" fontId="8" fillId="0" borderId="0" xfId="64" applyAlignment="1" applyProtection="1">
      <alignment horizontal="center"/>
      <protection hidden="1"/>
    </xf>
    <xf numFmtId="0" fontId="3" fillId="0" borderId="0" xfId="64" applyFont="1" applyAlignment="1" applyProtection="1">
      <alignment horizontal="center" wrapText="1"/>
      <protection hidden="1"/>
    </xf>
    <xf numFmtId="0" fontId="68" fillId="10" borderId="40" xfId="0" applyFont="1" applyFill="1" applyBorder="1" applyAlignment="1" applyProtection="1">
      <alignment horizontal="center" vertical="top"/>
      <protection hidden="1"/>
    </xf>
    <xf numFmtId="0" fontId="9" fillId="20" borderId="23" xfId="0" applyFont="1" applyFill="1" applyBorder="1" applyAlignment="1" applyProtection="1">
      <alignment horizontal="center" vertical="center" wrapText="1"/>
      <protection hidden="1"/>
    </xf>
    <xf numFmtId="0" fontId="33" fillId="20" borderId="131" xfId="0" applyFont="1" applyFill="1" applyBorder="1" applyAlignment="1" applyProtection="1">
      <alignment horizontal="center" vertical="center"/>
      <protection hidden="1"/>
    </xf>
    <xf numFmtId="0" fontId="0" fillId="20" borderId="0" xfId="0" applyFill="1" applyProtection="1">
      <protection hidden="1"/>
    </xf>
    <xf numFmtId="0" fontId="33" fillId="20" borderId="131" xfId="0" applyFont="1" applyFill="1" applyBorder="1" applyAlignment="1" applyProtection="1">
      <alignment horizontal="center" vertical="center" wrapText="1"/>
      <protection hidden="1"/>
    </xf>
    <xf numFmtId="0" fontId="0" fillId="22" borderId="32" xfId="0" applyFill="1" applyBorder="1" applyAlignment="1" applyProtection="1">
      <alignment horizontal="center"/>
      <protection hidden="1"/>
    </xf>
    <xf numFmtId="0" fontId="0" fillId="22" borderId="2" xfId="0" applyFill="1" applyBorder="1" applyProtection="1">
      <protection hidden="1"/>
    </xf>
    <xf numFmtId="0" fontId="0" fillId="22" borderId="33" xfId="0" applyFill="1" applyBorder="1" applyAlignment="1" applyProtection="1">
      <alignment horizontal="center"/>
      <protection hidden="1"/>
    </xf>
    <xf numFmtId="0" fontId="0" fillId="22" borderId="23" xfId="0" applyFill="1" applyBorder="1" applyAlignment="1" applyProtection="1">
      <alignment horizontal="center"/>
      <protection hidden="1"/>
    </xf>
    <xf numFmtId="0" fontId="9" fillId="20" borderId="32" xfId="0" applyFont="1" applyFill="1" applyBorder="1" applyAlignment="1" applyProtection="1">
      <alignment horizontal="center" vertical="center" wrapText="1"/>
      <protection hidden="1"/>
    </xf>
    <xf numFmtId="0" fontId="9" fillId="20" borderId="2" xfId="0" applyFont="1" applyFill="1" applyBorder="1" applyAlignment="1" applyProtection="1">
      <alignment horizontal="center" vertical="center" wrapText="1"/>
      <protection hidden="1"/>
    </xf>
    <xf numFmtId="2" fontId="9" fillId="20" borderId="2" xfId="0" applyNumberFormat="1" applyFont="1" applyFill="1" applyBorder="1" applyAlignment="1" applyProtection="1">
      <alignment horizontal="center" vertical="center" wrapText="1"/>
      <protection hidden="1"/>
    </xf>
    <xf numFmtId="0" fontId="9" fillId="20" borderId="33" xfId="0" applyFont="1" applyFill="1" applyBorder="1" applyAlignment="1" applyProtection="1">
      <alignment horizontal="center" vertical="center" wrapText="1"/>
      <protection hidden="1"/>
    </xf>
    <xf numFmtId="0" fontId="9" fillId="20" borderId="34" xfId="0" applyFont="1" applyFill="1" applyBorder="1" applyAlignment="1" applyProtection="1">
      <alignment horizontal="center" vertical="center" wrapText="1"/>
      <protection hidden="1"/>
    </xf>
    <xf numFmtId="0" fontId="9" fillId="20" borderId="61" xfId="0" applyFont="1" applyFill="1" applyBorder="1" applyAlignment="1" applyProtection="1">
      <alignment horizontal="center" vertical="center" wrapText="1"/>
      <protection hidden="1"/>
    </xf>
    <xf numFmtId="0" fontId="9" fillId="20" borderId="0" xfId="0" applyFont="1" applyFill="1" applyAlignment="1" applyProtection="1">
      <alignment horizontal="center" vertical="center" wrapText="1"/>
      <protection hidden="1"/>
    </xf>
    <xf numFmtId="0" fontId="9" fillId="20" borderId="15" xfId="0" applyFont="1" applyFill="1" applyBorder="1" applyAlignment="1" applyProtection="1">
      <alignment horizontal="center" vertical="center" wrapText="1"/>
      <protection hidden="1"/>
    </xf>
    <xf numFmtId="0" fontId="9" fillId="20" borderId="132" xfId="0" applyFont="1" applyFill="1" applyBorder="1" applyAlignment="1" applyProtection="1">
      <alignment horizontal="center" vertical="center" wrapText="1"/>
      <protection hidden="1"/>
    </xf>
    <xf numFmtId="0" fontId="0" fillId="20" borderId="34" xfId="0" applyFill="1" applyBorder="1" applyAlignment="1" applyProtection="1">
      <alignment horizontal="center"/>
      <protection hidden="1"/>
    </xf>
    <xf numFmtId="0" fontId="0" fillId="20" borderId="0" xfId="0" applyFill="1" applyAlignment="1" applyProtection="1">
      <alignment horizontal="center"/>
      <protection hidden="1"/>
    </xf>
    <xf numFmtId="0" fontId="0" fillId="20" borderId="15" xfId="0" applyFill="1" applyBorder="1" applyAlignment="1" applyProtection="1">
      <alignment horizontal="center"/>
      <protection hidden="1"/>
    </xf>
    <xf numFmtId="0" fontId="9" fillId="20" borderId="130" xfId="0" applyFont="1" applyFill="1" applyBorder="1" applyAlignment="1" applyProtection="1">
      <alignment horizontal="center" vertical="center" wrapText="1"/>
      <protection hidden="1"/>
    </xf>
    <xf numFmtId="0" fontId="0" fillId="20" borderId="133" xfId="0" applyFill="1" applyBorder="1" applyAlignment="1" applyProtection="1">
      <alignment horizontal="center" vertical="center"/>
      <protection hidden="1"/>
    </xf>
    <xf numFmtId="0" fontId="33" fillId="20" borderId="133" xfId="0" applyFont="1" applyFill="1" applyBorder="1" applyAlignment="1" applyProtection="1">
      <alignment horizontal="center" vertical="center"/>
      <protection hidden="1"/>
    </xf>
    <xf numFmtId="2" fontId="33" fillId="20" borderId="133" xfId="0" applyNumberFormat="1" applyFont="1" applyFill="1" applyBorder="1" applyAlignment="1" applyProtection="1">
      <alignment horizontal="center" vertical="center"/>
      <protection hidden="1"/>
    </xf>
    <xf numFmtId="0" fontId="33" fillId="20" borderId="134" xfId="0" applyFont="1" applyFill="1" applyBorder="1" applyAlignment="1" applyProtection="1">
      <alignment horizontal="center" vertical="center"/>
      <protection hidden="1"/>
    </xf>
    <xf numFmtId="0" fontId="33" fillId="20" borderId="70" xfId="0" applyFont="1" applyFill="1" applyBorder="1" applyAlignment="1" applyProtection="1">
      <alignment horizontal="center" vertical="center"/>
      <protection hidden="1"/>
    </xf>
    <xf numFmtId="0" fontId="0" fillId="20" borderId="134" xfId="0" applyFill="1" applyBorder="1" applyAlignment="1" applyProtection="1">
      <alignment horizontal="center" vertical="center"/>
      <protection hidden="1"/>
    </xf>
    <xf numFmtId="0" fontId="0" fillId="20" borderId="34" xfId="0" applyFill="1" applyBorder="1" applyAlignment="1" applyProtection="1">
      <alignment horizontal="center" vertical="center"/>
      <protection hidden="1"/>
    </xf>
    <xf numFmtId="0" fontId="0" fillId="20" borderId="0" xfId="0" applyFill="1" applyAlignment="1" applyProtection="1">
      <alignment horizontal="center" vertical="center"/>
      <protection hidden="1"/>
    </xf>
    <xf numFmtId="0" fontId="0" fillId="20" borderId="15" xfId="0" applyFill="1" applyBorder="1" applyAlignment="1" applyProtection="1">
      <alignment horizontal="center" vertical="center"/>
      <protection hidden="1"/>
    </xf>
    <xf numFmtId="0" fontId="9" fillId="20" borderId="35" xfId="0" applyFont="1" applyFill="1" applyBorder="1" applyAlignment="1" applyProtection="1">
      <alignment horizontal="center"/>
      <protection hidden="1"/>
    </xf>
    <xf numFmtId="49" fontId="9" fillId="20" borderId="36" xfId="0" applyNumberFormat="1" applyFont="1" applyFill="1" applyBorder="1" applyAlignment="1" applyProtection="1">
      <alignment horizontal="center"/>
      <protection hidden="1"/>
    </xf>
    <xf numFmtId="0" fontId="9" fillId="20" borderId="36" xfId="0" applyFont="1" applyFill="1" applyBorder="1" applyAlignment="1" applyProtection="1">
      <alignment horizontal="center"/>
      <protection hidden="1"/>
    </xf>
    <xf numFmtId="2" fontId="33" fillId="20" borderId="36" xfId="0" applyNumberFormat="1" applyFont="1" applyFill="1" applyBorder="1" applyAlignment="1" applyProtection="1">
      <alignment horizontal="center"/>
      <protection hidden="1"/>
    </xf>
    <xf numFmtId="164" fontId="33" fillId="20" borderId="36" xfId="0" applyNumberFormat="1" applyFont="1" applyFill="1" applyBorder="1" applyAlignment="1" applyProtection="1">
      <alignment horizontal="center"/>
      <protection hidden="1"/>
    </xf>
    <xf numFmtId="0" fontId="33" fillId="20" borderId="36" xfId="0" applyFont="1" applyFill="1" applyBorder="1" applyAlignment="1" applyProtection="1">
      <alignment horizontal="center"/>
      <protection hidden="1"/>
    </xf>
    <xf numFmtId="172" fontId="33" fillId="20" borderId="36" xfId="0" applyNumberFormat="1" applyFont="1" applyFill="1" applyBorder="1" applyAlignment="1" applyProtection="1">
      <alignment horizontal="center"/>
      <protection hidden="1"/>
    </xf>
    <xf numFmtId="164" fontId="33" fillId="20" borderId="37" xfId="0" applyNumberFormat="1" applyFont="1" applyFill="1" applyBorder="1" applyAlignment="1" applyProtection="1">
      <alignment horizontal="center"/>
      <protection hidden="1"/>
    </xf>
    <xf numFmtId="0" fontId="33" fillId="20" borderId="35" xfId="0" applyFont="1" applyFill="1" applyBorder="1" applyAlignment="1" applyProtection="1">
      <alignment horizontal="center"/>
      <protection hidden="1"/>
    </xf>
    <xf numFmtId="166" fontId="33" fillId="20" borderId="36" xfId="0" applyNumberFormat="1" applyFont="1" applyFill="1" applyBorder="1" applyAlignment="1" applyProtection="1">
      <alignment horizontal="center"/>
      <protection hidden="1"/>
    </xf>
    <xf numFmtId="1" fontId="33" fillId="20" borderId="36" xfId="0" applyNumberFormat="1" applyFont="1" applyFill="1" applyBorder="1" applyAlignment="1" applyProtection="1">
      <alignment horizontal="center"/>
      <protection hidden="1"/>
    </xf>
    <xf numFmtId="13" fontId="33" fillId="20" borderId="36" xfId="0" applyNumberFormat="1" applyFont="1" applyFill="1" applyBorder="1" applyAlignment="1" applyProtection="1">
      <alignment horizontal="center"/>
      <protection hidden="1"/>
    </xf>
    <xf numFmtId="173" fontId="0" fillId="20" borderId="37" xfId="0" applyNumberFormat="1" applyFill="1" applyBorder="1" applyAlignment="1" applyProtection="1">
      <alignment horizontal="center"/>
      <protection hidden="1"/>
    </xf>
    <xf numFmtId="1" fontId="33" fillId="20" borderId="35" xfId="0" applyNumberFormat="1" applyFont="1" applyFill="1" applyBorder="1" applyAlignment="1" applyProtection="1">
      <alignment horizontal="center"/>
      <protection hidden="1"/>
    </xf>
    <xf numFmtId="167" fontId="33" fillId="20" borderId="36" xfId="0" applyNumberFormat="1" applyFont="1" applyFill="1" applyBorder="1" applyAlignment="1" applyProtection="1">
      <alignment horizontal="center"/>
      <protection hidden="1"/>
    </xf>
    <xf numFmtId="173" fontId="0" fillId="20" borderId="36" xfId="0" applyNumberFormat="1" applyFill="1" applyBorder="1" applyAlignment="1" applyProtection="1">
      <alignment horizontal="center"/>
      <protection hidden="1"/>
    </xf>
    <xf numFmtId="164" fontId="33" fillId="20" borderId="35" xfId="0" applyNumberFormat="1" applyFont="1" applyFill="1" applyBorder="1" applyAlignment="1" applyProtection="1">
      <alignment horizontal="center"/>
      <protection hidden="1"/>
    </xf>
    <xf numFmtId="0" fontId="0" fillId="20" borderId="35" xfId="0" applyFill="1" applyBorder="1" applyAlignment="1" applyProtection="1">
      <alignment horizontal="center"/>
      <protection hidden="1"/>
    </xf>
    <xf numFmtId="0" fontId="0" fillId="20" borderId="36" xfId="0" applyFill="1" applyBorder="1" applyProtection="1">
      <protection hidden="1"/>
    </xf>
    <xf numFmtId="0" fontId="0" fillId="20" borderId="37" xfId="0" applyFill="1" applyBorder="1" applyAlignment="1" applyProtection="1">
      <alignment horizontal="center"/>
      <protection hidden="1"/>
    </xf>
    <xf numFmtId="0" fontId="0" fillId="20" borderId="40" xfId="0" applyFill="1" applyBorder="1" applyAlignment="1" applyProtection="1">
      <alignment horizontal="center"/>
      <protection hidden="1"/>
    </xf>
    <xf numFmtId="0" fontId="0" fillId="20" borderId="35" xfId="0" applyFill="1" applyBorder="1" applyProtection="1">
      <protection hidden="1"/>
    </xf>
    <xf numFmtId="0" fontId="0" fillId="20" borderId="37" xfId="0" applyFill="1" applyBorder="1" applyProtection="1">
      <protection hidden="1"/>
    </xf>
    <xf numFmtId="0" fontId="4" fillId="19" borderId="10" xfId="0" applyFont="1" applyFill="1" applyBorder="1" applyAlignment="1" applyProtection="1">
      <alignment horizontal="center" vertical="center"/>
      <protection locked="0"/>
    </xf>
    <xf numFmtId="2" fontId="4" fillId="19" borderId="11" xfId="0" applyNumberFormat="1" applyFont="1" applyFill="1" applyBorder="1" applyAlignment="1" applyProtection="1">
      <alignment horizontal="center" vertical="center"/>
      <protection locked="0"/>
    </xf>
    <xf numFmtId="177" fontId="4" fillId="7" borderId="6" xfId="0" applyNumberFormat="1" applyFont="1" applyFill="1" applyBorder="1" applyAlignment="1" applyProtection="1">
      <alignment horizontal="center" vertical="center"/>
      <protection hidden="1"/>
    </xf>
    <xf numFmtId="177" fontId="4" fillId="19" borderId="6" xfId="0" applyNumberFormat="1" applyFont="1" applyFill="1" applyBorder="1" applyAlignment="1" applyProtection="1">
      <alignment horizontal="center" vertical="center"/>
      <protection locked="0"/>
    </xf>
    <xf numFmtId="0" fontId="4" fillId="19" borderId="11" xfId="0" applyFont="1" applyFill="1" applyBorder="1" applyAlignment="1" applyProtection="1">
      <alignment horizontal="center" vertical="center"/>
      <protection locked="0"/>
    </xf>
    <xf numFmtId="177" fontId="4" fillId="0" borderId="0" xfId="0" applyNumberFormat="1" applyFont="1" applyAlignment="1" applyProtection="1">
      <alignment vertical="center"/>
      <protection hidden="1"/>
    </xf>
    <xf numFmtId="0" fontId="4" fillId="18" borderId="8" xfId="0" applyFont="1" applyFill="1" applyBorder="1" applyAlignment="1" applyProtection="1">
      <alignment horizontal="center" vertical="center"/>
      <protection hidden="1"/>
    </xf>
    <xf numFmtId="0" fontId="4" fillId="18" borderId="11" xfId="0" applyFont="1" applyFill="1" applyBorder="1" applyAlignment="1" applyProtection="1">
      <alignment horizontal="center" vertical="center"/>
      <protection hidden="1"/>
    </xf>
    <xf numFmtId="0" fontId="4" fillId="18" borderId="10" xfId="0" applyFont="1" applyFill="1" applyBorder="1" applyAlignment="1" applyProtection="1">
      <alignment horizontal="center" vertical="center"/>
      <protection hidden="1"/>
    </xf>
    <xf numFmtId="0" fontId="4" fillId="18" borderId="6" xfId="0" applyFont="1" applyFill="1" applyBorder="1" applyAlignment="1" applyProtection="1">
      <alignment horizontal="center" vertical="center"/>
      <protection hidden="1"/>
    </xf>
    <xf numFmtId="177" fontId="4" fillId="18" borderId="6" xfId="0" applyNumberFormat="1" applyFont="1" applyFill="1" applyBorder="1" applyAlignment="1" applyProtection="1">
      <alignment horizontal="center" vertical="center"/>
      <protection hidden="1"/>
    </xf>
    <xf numFmtId="1" fontId="4" fillId="18" borderId="6" xfId="0" quotePrefix="1" applyNumberFormat="1" applyFont="1" applyFill="1" applyBorder="1" applyAlignment="1" applyProtection="1">
      <alignment horizontal="center" vertical="center"/>
      <protection hidden="1"/>
    </xf>
    <xf numFmtId="1" fontId="4" fillId="18" borderId="11" xfId="0" quotePrefix="1" applyNumberFormat="1" applyFont="1" applyFill="1" applyBorder="1" applyAlignment="1" applyProtection="1">
      <alignment horizontal="center" vertical="center"/>
      <protection hidden="1"/>
    </xf>
    <xf numFmtId="2" fontId="4" fillId="18" borderId="6" xfId="0" applyNumberFormat="1" applyFont="1" applyFill="1" applyBorder="1" applyAlignment="1" applyProtection="1">
      <alignment horizontal="center" vertical="center"/>
      <protection hidden="1"/>
    </xf>
    <xf numFmtId="49" fontId="4" fillId="18" borderId="6" xfId="0" applyNumberFormat="1" applyFont="1" applyFill="1" applyBorder="1" applyAlignment="1" applyProtection="1">
      <alignment horizontal="center" vertical="center"/>
      <protection hidden="1"/>
    </xf>
    <xf numFmtId="2" fontId="4" fillId="18" borderId="11" xfId="0" applyNumberFormat="1" applyFont="1" applyFill="1" applyBorder="1" applyAlignment="1" applyProtection="1">
      <alignment horizontal="center" vertical="center"/>
      <protection hidden="1"/>
    </xf>
    <xf numFmtId="0" fontId="4" fillId="18" borderId="10" xfId="0" quotePrefix="1" applyFont="1" applyFill="1" applyBorder="1" applyAlignment="1" applyProtection="1">
      <alignment horizontal="center" vertical="center"/>
      <protection hidden="1"/>
    </xf>
    <xf numFmtId="0" fontId="4" fillId="18" borderId="6" xfId="0" quotePrefix="1" applyFont="1" applyFill="1" applyBorder="1" applyAlignment="1" applyProtection="1">
      <alignment horizontal="center" vertical="center"/>
      <protection hidden="1"/>
    </xf>
    <xf numFmtId="1" fontId="4" fillId="18" borderId="6" xfId="0" applyNumberFormat="1" applyFont="1" applyFill="1" applyBorder="1" applyAlignment="1" applyProtection="1">
      <alignment horizontal="center" vertical="center"/>
      <protection hidden="1"/>
    </xf>
    <xf numFmtId="1" fontId="4" fillId="19" borderId="11" xfId="0" applyNumberFormat="1" applyFont="1" applyFill="1" applyBorder="1" applyAlignment="1" applyProtection="1">
      <alignment horizontal="center" vertical="center"/>
      <protection locked="0"/>
    </xf>
    <xf numFmtId="0" fontId="3" fillId="18" borderId="10" xfId="0" applyFont="1" applyFill="1" applyBorder="1" applyAlignment="1" applyProtection="1">
      <alignment horizontal="center" vertical="center"/>
      <protection hidden="1"/>
    </xf>
    <xf numFmtId="1" fontId="4" fillId="18" borderId="11" xfId="0" applyNumberFormat="1" applyFont="1" applyFill="1" applyBorder="1" applyAlignment="1" applyProtection="1">
      <alignment horizontal="center" vertical="center"/>
      <protection hidden="1"/>
    </xf>
    <xf numFmtId="0" fontId="4" fillId="19" borderId="8" xfId="0" quotePrefix="1" applyFont="1" applyFill="1" applyBorder="1" applyAlignment="1" applyProtection="1">
      <alignment horizontal="center" vertical="center"/>
      <protection locked="0"/>
    </xf>
    <xf numFmtId="0" fontId="4" fillId="21" borderId="44" xfId="0" applyFont="1" applyFill="1" applyBorder="1" applyAlignment="1" applyProtection="1">
      <alignment horizontal="center" vertical="center"/>
      <protection hidden="1"/>
    </xf>
    <xf numFmtId="0" fontId="0" fillId="21" borderId="44" xfId="0" quotePrefix="1" applyFill="1" applyBorder="1" applyAlignment="1" applyProtection="1">
      <alignment horizontal="center"/>
      <protection hidden="1"/>
    </xf>
    <xf numFmtId="0" fontId="33" fillId="0" borderId="0" xfId="0" applyFont="1" applyAlignment="1" applyProtection="1">
      <alignment horizontal="center"/>
      <protection locked="0" hidden="1"/>
    </xf>
    <xf numFmtId="0" fontId="24" fillId="23" borderId="9" xfId="0" applyFont="1" applyFill="1" applyBorder="1" applyAlignment="1" applyProtection="1">
      <alignment horizontal="centerContinuous" vertical="center"/>
      <protection hidden="1"/>
    </xf>
    <xf numFmtId="0" fontId="24" fillId="23" borderId="60" xfId="0" applyFont="1" applyFill="1" applyBorder="1" applyAlignment="1" applyProtection="1">
      <alignment horizontal="centerContinuous" vertical="center"/>
      <protection hidden="1"/>
    </xf>
    <xf numFmtId="0" fontId="24" fillId="23" borderId="21" xfId="0" applyFont="1" applyFill="1" applyBorder="1" applyAlignment="1" applyProtection="1">
      <alignment horizontal="centerContinuous" vertical="center"/>
      <protection hidden="1"/>
    </xf>
    <xf numFmtId="0" fontId="24" fillId="24" borderId="9" xfId="0" applyFont="1" applyFill="1" applyBorder="1" applyAlignment="1" applyProtection="1">
      <alignment horizontal="centerContinuous" vertical="center"/>
      <protection hidden="1"/>
    </xf>
    <xf numFmtId="0" fontId="24" fillId="24" borderId="60" xfId="0" applyFont="1" applyFill="1" applyBorder="1" applyAlignment="1" applyProtection="1">
      <alignment horizontal="centerContinuous" vertical="center"/>
      <protection hidden="1"/>
    </xf>
    <xf numFmtId="0" fontId="24" fillId="24" borderId="21" xfId="0" applyFont="1" applyFill="1" applyBorder="1" applyAlignment="1" applyProtection="1">
      <alignment horizontal="centerContinuous" vertical="center"/>
      <protection hidden="1"/>
    </xf>
    <xf numFmtId="1" fontId="4" fillId="19" borderId="11" xfId="0" quotePrefix="1" applyNumberFormat="1" applyFont="1" applyFill="1" applyBorder="1" applyAlignment="1" applyProtection="1">
      <alignment horizontal="center" vertical="center"/>
      <protection locked="0"/>
    </xf>
    <xf numFmtId="2" fontId="4" fillId="24" borderId="6" xfId="0" applyNumberFormat="1" applyFont="1" applyFill="1" applyBorder="1" applyAlignment="1" applyProtection="1">
      <alignment horizontal="center" vertical="center"/>
      <protection locked="0"/>
    </xf>
    <xf numFmtId="0" fontId="24" fillId="10" borderId="110" xfId="0" applyFont="1" applyFill="1" applyBorder="1" applyAlignment="1" applyProtection="1">
      <alignment horizontal="centerContinuous" vertical="center"/>
      <protection hidden="1"/>
    </xf>
    <xf numFmtId="0" fontId="24" fillId="10" borderId="92" xfId="0" applyFont="1" applyFill="1" applyBorder="1" applyAlignment="1" applyProtection="1">
      <alignment horizontal="centerContinuous" vertical="center"/>
      <protection hidden="1"/>
    </xf>
    <xf numFmtId="0" fontId="24" fillId="10" borderId="111" xfId="0" applyFont="1" applyFill="1" applyBorder="1" applyAlignment="1" applyProtection="1">
      <alignment horizontal="centerContinuous" vertical="center"/>
      <protection hidden="1"/>
    </xf>
    <xf numFmtId="0" fontId="24" fillId="7" borderId="21" xfId="0" applyFont="1" applyFill="1" applyBorder="1" applyAlignment="1" applyProtection="1">
      <alignment horizontal="centerContinuous" vertical="center"/>
      <protection hidden="1"/>
    </xf>
    <xf numFmtId="0" fontId="24" fillId="7" borderId="60" xfId="0" applyFont="1" applyFill="1" applyBorder="1" applyAlignment="1" applyProtection="1">
      <alignment horizontal="centerContinuous" vertical="center"/>
      <protection hidden="1"/>
    </xf>
    <xf numFmtId="0" fontId="24" fillId="7" borderId="9" xfId="0" applyFont="1" applyFill="1" applyBorder="1" applyAlignment="1" applyProtection="1">
      <alignment horizontal="centerContinuous" vertical="center"/>
      <protection hidden="1"/>
    </xf>
    <xf numFmtId="0" fontId="24" fillId="13" borderId="21" xfId="0" applyFont="1" applyFill="1" applyBorder="1" applyAlignment="1" applyProtection="1">
      <alignment horizontal="centerContinuous" vertical="center"/>
      <protection hidden="1"/>
    </xf>
    <xf numFmtId="0" fontId="24" fillId="13" borderId="60" xfId="0" applyFont="1" applyFill="1" applyBorder="1" applyAlignment="1" applyProtection="1">
      <alignment horizontal="centerContinuous" vertical="center"/>
      <protection hidden="1"/>
    </xf>
    <xf numFmtId="0" fontId="24" fillId="13" borderId="9" xfId="0" applyFont="1" applyFill="1" applyBorder="1" applyAlignment="1" applyProtection="1">
      <alignment horizontal="centerContinuous" vertical="center"/>
      <protection hidden="1"/>
    </xf>
    <xf numFmtId="0" fontId="24" fillId="3" borderId="56" xfId="0" applyFont="1" applyFill="1" applyBorder="1" applyAlignment="1" applyProtection="1">
      <alignment horizontal="centerContinuous" vertical="center"/>
      <protection hidden="1"/>
    </xf>
    <xf numFmtId="0" fontId="24" fillId="3" borderId="97" xfId="0" applyFont="1" applyFill="1" applyBorder="1" applyAlignment="1" applyProtection="1">
      <alignment horizontal="centerContinuous" vertical="center"/>
      <protection hidden="1"/>
    </xf>
    <xf numFmtId="0" fontId="24" fillId="3" borderId="72" xfId="0" applyFont="1" applyFill="1" applyBorder="1" applyAlignment="1" applyProtection="1">
      <alignment horizontal="centerContinuous" vertical="center"/>
      <protection hidden="1"/>
    </xf>
    <xf numFmtId="1" fontId="8" fillId="21" borderId="12" xfId="279" applyNumberFormat="1" applyFont="1" applyFill="1" applyBorder="1" applyAlignment="1" applyProtection="1">
      <alignment horizontal="center"/>
      <protection hidden="1"/>
    </xf>
    <xf numFmtId="0" fontId="15" fillId="20" borderId="23" xfId="0" applyFont="1" applyFill="1" applyBorder="1" applyAlignment="1" applyProtection="1">
      <alignment horizontal="center" vertical="center" wrapText="1"/>
      <protection hidden="1"/>
    </xf>
    <xf numFmtId="2" fontId="4" fillId="19" borderId="27" xfId="0" applyNumberFormat="1" applyFont="1" applyFill="1" applyBorder="1" applyAlignment="1" applyProtection="1">
      <alignment horizontal="center" vertical="center"/>
      <protection locked="0"/>
    </xf>
    <xf numFmtId="0" fontId="92" fillId="0" borderId="0" xfId="0" applyFont="1" applyAlignment="1" applyProtection="1">
      <alignment vertical="center"/>
      <protection hidden="1"/>
    </xf>
    <xf numFmtId="0" fontId="12" fillId="19" borderId="32" xfId="0" applyFont="1" applyFill="1" applyBorder="1" applyAlignment="1" applyProtection="1">
      <alignment horizontal="center" vertical="center"/>
      <protection locked="0"/>
    </xf>
    <xf numFmtId="0" fontId="12" fillId="19" borderId="21" xfId="0" applyFont="1" applyFill="1" applyBorder="1" applyAlignment="1" applyProtection="1">
      <alignment horizontal="center" vertical="center"/>
      <protection locked="0"/>
    </xf>
    <xf numFmtId="0" fontId="12" fillId="19" borderId="56" xfId="0" applyFont="1" applyFill="1" applyBorder="1" applyAlignment="1" applyProtection="1">
      <alignment horizontal="center" vertical="center"/>
      <protection locked="0"/>
    </xf>
    <xf numFmtId="0" fontId="3" fillId="19" borderId="23" xfId="0" applyFont="1" applyFill="1" applyBorder="1" applyAlignment="1" applyProtection="1">
      <alignment horizontal="left" vertical="center" indent="1"/>
      <protection locked="0"/>
    </xf>
    <xf numFmtId="0" fontId="12" fillId="19" borderId="44" xfId="0" applyFont="1" applyFill="1" applyBorder="1" applyAlignment="1" applyProtection="1">
      <alignment horizontal="center" vertical="center"/>
      <protection locked="0"/>
    </xf>
    <xf numFmtId="0" fontId="3" fillId="19" borderId="44" xfId="0" applyFont="1" applyFill="1" applyBorder="1" applyAlignment="1" applyProtection="1">
      <alignment horizontal="left" vertical="center" indent="1"/>
      <protection locked="0"/>
    </xf>
    <xf numFmtId="0" fontId="12" fillId="19" borderId="58" xfId="0" applyFont="1" applyFill="1" applyBorder="1" applyAlignment="1" applyProtection="1">
      <alignment horizontal="center" vertical="center"/>
      <protection locked="0"/>
    </xf>
    <xf numFmtId="0" fontId="3" fillId="19" borderId="58" xfId="0" applyFont="1" applyFill="1" applyBorder="1" applyAlignment="1" applyProtection="1">
      <alignment horizontal="left" vertical="center" indent="1"/>
      <protection locked="0"/>
    </xf>
    <xf numFmtId="0" fontId="3" fillId="19" borderId="23" xfId="0" applyFont="1" applyFill="1" applyBorder="1" applyAlignment="1" applyProtection="1">
      <alignment horizontal="center" vertical="center"/>
      <protection locked="0"/>
    </xf>
    <xf numFmtId="0" fontId="3" fillId="19" borderId="44" xfId="0" applyFont="1" applyFill="1" applyBorder="1" applyAlignment="1" applyProtection="1">
      <alignment horizontal="center" vertical="center"/>
      <protection locked="0"/>
    </xf>
    <xf numFmtId="0" fontId="3" fillId="19" borderId="58" xfId="0" applyFont="1" applyFill="1" applyBorder="1" applyAlignment="1" applyProtection="1">
      <alignment horizontal="center" vertical="center"/>
      <protection locked="0"/>
    </xf>
    <xf numFmtId="0" fontId="3" fillId="19" borderId="110" xfId="0" applyFont="1" applyFill="1" applyBorder="1" applyAlignment="1" applyProtection="1">
      <alignment horizontal="center" vertical="center"/>
      <protection locked="0"/>
    </xf>
    <xf numFmtId="0" fontId="3" fillId="19" borderId="59" xfId="0" applyFont="1" applyFill="1" applyBorder="1" applyAlignment="1" applyProtection="1">
      <alignment horizontal="center" vertical="center"/>
      <protection locked="0"/>
    </xf>
    <xf numFmtId="0" fontId="3" fillId="19" borderId="32" xfId="0" applyFont="1" applyFill="1" applyBorder="1" applyAlignment="1" applyProtection="1">
      <alignment horizontal="center" vertical="center"/>
      <protection locked="0"/>
    </xf>
    <xf numFmtId="0" fontId="3" fillId="19" borderId="21" xfId="0" applyFont="1" applyFill="1" applyBorder="1" applyAlignment="1" applyProtection="1">
      <alignment horizontal="center" vertical="center"/>
      <protection locked="0"/>
    </xf>
    <xf numFmtId="0" fontId="3" fillId="19" borderId="56" xfId="0" applyFont="1" applyFill="1" applyBorder="1" applyAlignment="1" applyProtection="1">
      <alignment horizontal="center" vertical="center"/>
      <protection locked="0"/>
    </xf>
    <xf numFmtId="0" fontId="15" fillId="20" borderId="29" xfId="0" applyFont="1" applyFill="1" applyBorder="1" applyAlignment="1" applyProtection="1">
      <alignment horizontal="center" vertical="center" wrapText="1"/>
      <protection hidden="1"/>
    </xf>
    <xf numFmtId="0" fontId="15" fillId="20" borderId="1" xfId="0" applyFont="1" applyFill="1" applyBorder="1" applyAlignment="1" applyProtection="1">
      <alignment horizontal="center" vertical="center" wrapText="1"/>
      <protection hidden="1"/>
    </xf>
    <xf numFmtId="0" fontId="15" fillId="20" borderId="29" xfId="0" applyFont="1" applyFill="1" applyBorder="1" applyAlignment="1" applyProtection="1">
      <alignment horizontal="center" vertical="center" wrapText="1" shrinkToFit="1"/>
      <protection hidden="1"/>
    </xf>
    <xf numFmtId="0" fontId="12" fillId="19" borderId="23" xfId="0" applyFont="1" applyFill="1" applyBorder="1" applyAlignment="1" applyProtection="1">
      <alignment horizontal="center" vertical="center"/>
      <protection locked="0"/>
    </xf>
    <xf numFmtId="0" fontId="3" fillId="19" borderId="32" xfId="0" applyFont="1" applyFill="1" applyBorder="1" applyAlignment="1" applyProtection="1">
      <alignment horizontal="left" vertical="center" indent="1"/>
      <protection locked="0"/>
    </xf>
    <xf numFmtId="0" fontId="3" fillId="19" borderId="21" xfId="0" applyFont="1" applyFill="1" applyBorder="1" applyAlignment="1" applyProtection="1">
      <alignment horizontal="left" vertical="center" indent="1"/>
      <protection locked="0"/>
    </xf>
    <xf numFmtId="0" fontId="3" fillId="19" borderId="56" xfId="0" applyFont="1" applyFill="1" applyBorder="1" applyAlignment="1" applyProtection="1">
      <alignment horizontal="left" vertical="center" indent="1"/>
      <protection locked="0"/>
    </xf>
    <xf numFmtId="2" fontId="16" fillId="21" borderId="59" xfId="0" applyNumberFormat="1" applyFont="1" applyFill="1" applyBorder="1" applyAlignment="1" applyProtection="1">
      <alignment horizontal="center" vertical="center"/>
      <protection hidden="1"/>
    </xf>
    <xf numFmtId="2" fontId="16" fillId="21" borderId="44" xfId="0" applyNumberFormat="1" applyFont="1" applyFill="1" applyBorder="1" applyAlignment="1" applyProtection="1">
      <alignment horizontal="center" vertical="center"/>
      <protection hidden="1"/>
    </xf>
    <xf numFmtId="2" fontId="16" fillId="21" borderId="58" xfId="0" applyNumberFormat="1" applyFont="1" applyFill="1" applyBorder="1" applyAlignment="1" applyProtection="1">
      <alignment horizontal="center" vertical="center"/>
      <protection hidden="1"/>
    </xf>
    <xf numFmtId="0" fontId="12" fillId="21" borderId="32" xfId="0" applyFont="1" applyFill="1" applyBorder="1" applyAlignment="1" applyProtection="1">
      <alignment horizontal="center" vertical="center"/>
      <protection hidden="1"/>
    </xf>
    <xf numFmtId="0" fontId="12" fillId="21" borderId="21" xfId="0" applyFont="1" applyFill="1" applyBorder="1" applyAlignment="1" applyProtection="1">
      <alignment horizontal="center" vertical="center"/>
      <protection hidden="1"/>
    </xf>
    <xf numFmtId="0" fontId="12" fillId="21" borderId="56" xfId="0" applyFont="1" applyFill="1" applyBorder="1" applyAlignment="1" applyProtection="1">
      <alignment horizontal="center" vertical="center"/>
      <protection hidden="1"/>
    </xf>
    <xf numFmtId="0" fontId="8" fillId="0" borderId="0" xfId="64"/>
    <xf numFmtId="1" fontId="50" fillId="19" borderId="22" xfId="355" applyNumberFormat="1" applyFont="1" applyFill="1" applyBorder="1" applyAlignment="1" applyProtection="1">
      <alignment horizontal="center" vertical="center"/>
      <protection locked="0"/>
    </xf>
    <xf numFmtId="2" fontId="50" fillId="19" borderId="22" xfId="355" applyNumberFormat="1" applyFont="1" applyFill="1" applyBorder="1" applyAlignment="1" applyProtection="1">
      <alignment horizontal="center" vertical="center"/>
      <protection locked="0"/>
    </xf>
    <xf numFmtId="0" fontId="50" fillId="19" borderId="27" xfId="0" applyFont="1" applyFill="1" applyBorder="1" applyAlignment="1" applyProtection="1">
      <alignment horizontal="center" vertical="center"/>
      <protection locked="0"/>
    </xf>
    <xf numFmtId="0" fontId="50" fillId="19" borderId="6" xfId="0" applyFont="1" applyFill="1" applyBorder="1" applyAlignment="1" applyProtection="1">
      <alignment horizontal="center" vertical="center"/>
      <protection locked="0"/>
    </xf>
    <xf numFmtId="0" fontId="50" fillId="19" borderId="25" xfId="0" applyFont="1" applyFill="1" applyBorder="1" applyAlignment="1" applyProtection="1">
      <alignment horizontal="center" vertical="center"/>
      <protection locked="0"/>
    </xf>
    <xf numFmtId="0" fontId="3" fillId="18" borderId="23" xfId="0" applyFont="1" applyFill="1" applyBorder="1" applyAlignment="1" applyProtection="1">
      <alignment horizontal="center" vertical="center"/>
      <protection hidden="1"/>
    </xf>
    <xf numFmtId="0" fontId="3" fillId="18" borderId="44" xfId="0" applyFont="1" applyFill="1" applyBorder="1" applyAlignment="1" applyProtection="1">
      <alignment horizontal="center" vertical="center"/>
      <protection hidden="1"/>
    </xf>
    <xf numFmtId="0" fontId="3" fillId="18" borderId="58" xfId="0" applyFont="1" applyFill="1" applyBorder="1" applyAlignment="1" applyProtection="1">
      <alignment horizontal="center" vertical="center"/>
      <protection hidden="1"/>
    </xf>
    <xf numFmtId="0" fontId="3" fillId="18" borderId="33" xfId="0" applyFont="1" applyFill="1" applyBorder="1" applyAlignment="1" applyProtection="1">
      <alignment horizontal="center" vertical="center"/>
      <protection hidden="1"/>
    </xf>
    <xf numFmtId="0" fontId="3" fillId="18" borderId="9" xfId="0" applyFont="1" applyFill="1" applyBorder="1" applyAlignment="1" applyProtection="1">
      <alignment horizontal="center" vertical="center"/>
      <protection hidden="1"/>
    </xf>
    <xf numFmtId="0" fontId="3" fillId="18" borderId="72" xfId="0" applyFont="1" applyFill="1" applyBorder="1" applyAlignment="1" applyProtection="1">
      <alignment horizontal="center" vertical="center"/>
      <protection hidden="1"/>
    </xf>
    <xf numFmtId="2" fontId="16" fillId="21" borderId="83" xfId="0" applyNumberFormat="1" applyFont="1" applyFill="1" applyBorder="1" applyAlignment="1" applyProtection="1">
      <alignment horizontal="center" vertical="center"/>
      <protection hidden="1"/>
    </xf>
    <xf numFmtId="0" fontId="61" fillId="7" borderId="80" xfId="279" applyFont="1" applyFill="1" applyBorder="1" applyAlignment="1">
      <alignment horizontal="centerContinuous" vertical="center"/>
    </xf>
    <xf numFmtId="0" fontId="61" fillId="7" borderId="20" xfId="279" applyFont="1" applyFill="1" applyBorder="1" applyAlignment="1">
      <alignment horizontal="centerContinuous" vertical="center"/>
    </xf>
    <xf numFmtId="0" fontId="61" fillId="7" borderId="12" xfId="279" applyFont="1" applyFill="1" applyBorder="1" applyAlignment="1">
      <alignment horizontal="centerContinuous" vertical="top"/>
    </xf>
    <xf numFmtId="0" fontId="61" fillId="7" borderId="12" xfId="279" applyFont="1" applyFill="1" applyBorder="1" applyAlignment="1">
      <alignment horizontal="center" vertical="top"/>
    </xf>
    <xf numFmtId="0" fontId="61" fillId="7" borderId="67" xfId="279" applyFont="1" applyFill="1" applyBorder="1" applyAlignment="1">
      <alignment horizontal="center" vertical="center"/>
    </xf>
    <xf numFmtId="0" fontId="61" fillId="7" borderId="67" xfId="279" applyFont="1" applyFill="1" applyBorder="1" applyAlignment="1">
      <alignment horizontal="centerContinuous" vertical="center"/>
    </xf>
    <xf numFmtId="0" fontId="61" fillId="7" borderId="135" xfId="279" applyFont="1" applyFill="1" applyBorder="1" applyAlignment="1">
      <alignment horizontal="center" vertical="top"/>
    </xf>
    <xf numFmtId="0" fontId="61" fillId="20" borderId="112" xfId="279" applyFont="1" applyFill="1" applyBorder="1" applyAlignment="1" applyProtection="1">
      <alignment horizontal="center" vertical="top"/>
      <protection hidden="1"/>
    </xf>
    <xf numFmtId="0" fontId="61" fillId="20" borderId="99" xfId="279" applyFont="1" applyFill="1" applyBorder="1" applyAlignment="1" applyProtection="1">
      <alignment horizontal="centerContinuous" vertical="center"/>
      <protection hidden="1"/>
    </xf>
    <xf numFmtId="0" fontId="61" fillId="20" borderId="136" xfId="279" applyFont="1" applyFill="1" applyBorder="1" applyAlignment="1" applyProtection="1">
      <alignment horizontal="centerContinuous" vertical="center"/>
      <protection hidden="1"/>
    </xf>
    <xf numFmtId="0" fontId="61" fillId="20" borderId="113" xfId="279" applyFont="1" applyFill="1" applyBorder="1" applyAlignment="1" applyProtection="1">
      <alignment horizontal="center" vertical="center"/>
      <protection hidden="1"/>
    </xf>
    <xf numFmtId="0" fontId="61" fillId="20" borderId="113" xfId="279" applyFont="1" applyFill="1" applyBorder="1" applyAlignment="1" applyProtection="1">
      <alignment horizontal="center" vertical="top" wrapText="1"/>
      <protection hidden="1"/>
    </xf>
    <xf numFmtId="0" fontId="61" fillId="20" borderId="99" xfId="279" applyFont="1" applyFill="1" applyBorder="1" applyAlignment="1" applyProtection="1">
      <alignment horizontal="centerContinuous" vertical="top"/>
      <protection hidden="1"/>
    </xf>
    <xf numFmtId="0" fontId="61" fillId="20" borderId="113" xfId="279" applyFont="1" applyFill="1" applyBorder="1" applyAlignment="1" applyProtection="1">
      <alignment horizontal="center" vertical="top"/>
      <protection hidden="1"/>
    </xf>
    <xf numFmtId="0" fontId="61" fillId="20" borderId="113" xfId="279" applyFont="1" applyFill="1" applyBorder="1" applyAlignment="1" applyProtection="1">
      <alignment horizontal="center" vertical="center" wrapText="1"/>
      <protection hidden="1"/>
    </xf>
    <xf numFmtId="0" fontId="61" fillId="20" borderId="113" xfId="279" applyFont="1" applyFill="1" applyBorder="1" applyAlignment="1" applyProtection="1">
      <alignment horizontal="centerContinuous" vertical="center" wrapText="1"/>
      <protection hidden="1"/>
    </xf>
    <xf numFmtId="0" fontId="61" fillId="20" borderId="113" xfId="279" applyFont="1" applyFill="1" applyBorder="1" applyAlignment="1" applyProtection="1">
      <alignment horizontal="centerContinuous" vertical="top" wrapText="1"/>
      <protection hidden="1"/>
    </xf>
    <xf numFmtId="0" fontId="61" fillId="20" borderId="25" xfId="279" applyFont="1" applyFill="1" applyBorder="1" applyAlignment="1" applyProtection="1">
      <alignment horizontal="center" vertical="top" wrapText="1"/>
      <protection hidden="1"/>
    </xf>
    <xf numFmtId="0" fontId="61" fillId="20" borderId="25" xfId="279" applyFont="1" applyFill="1" applyBorder="1" applyAlignment="1" applyProtection="1">
      <alignment horizontal="center" vertical="center" wrapText="1"/>
      <protection hidden="1"/>
    </xf>
    <xf numFmtId="0" fontId="61" fillId="20" borderId="36" xfId="279" applyFont="1" applyFill="1" applyBorder="1" applyAlignment="1" applyProtection="1">
      <alignment horizontal="centerContinuous" vertical="top"/>
      <protection hidden="1"/>
    </xf>
    <xf numFmtId="0" fontId="61" fillId="20" borderId="137" xfId="279" applyFont="1" applyFill="1" applyBorder="1" applyAlignment="1" applyProtection="1">
      <alignment horizontal="centerContinuous" vertical="top"/>
      <protection hidden="1"/>
    </xf>
    <xf numFmtId="0" fontId="61" fillId="22" borderId="138" xfId="279" applyFont="1" applyFill="1" applyBorder="1" applyAlignment="1" applyProtection="1">
      <alignment horizontal="centerContinuous" vertical="center"/>
      <protection hidden="1"/>
    </xf>
    <xf numFmtId="0" fontId="61" fillId="22" borderId="13" xfId="279" applyFont="1" applyFill="1" applyBorder="1" applyAlignment="1" applyProtection="1">
      <alignment horizontal="centerContinuous" vertical="center"/>
      <protection hidden="1"/>
    </xf>
    <xf numFmtId="0" fontId="61" fillId="22" borderId="38" xfId="279" applyFont="1" applyFill="1" applyBorder="1" applyAlignment="1" applyProtection="1">
      <alignment horizontal="centerContinuous" vertical="center"/>
      <protection hidden="1"/>
    </xf>
    <xf numFmtId="0" fontId="61" fillId="22" borderId="22" xfId="279" applyFont="1" applyFill="1" applyBorder="1" applyAlignment="1" applyProtection="1">
      <alignment horizontal="centerContinuous" vertical="center"/>
      <protection hidden="1"/>
    </xf>
    <xf numFmtId="0" fontId="61" fillId="22" borderId="13" xfId="279" applyFont="1" applyFill="1" applyBorder="1" applyAlignment="1" applyProtection="1">
      <alignment horizontal="centerContinuous"/>
      <protection hidden="1"/>
    </xf>
    <xf numFmtId="0" fontId="61" fillId="22" borderId="139" xfId="279" applyFont="1" applyFill="1" applyBorder="1" applyAlignment="1" applyProtection="1">
      <alignment horizontal="centerContinuous" vertical="center"/>
      <protection hidden="1"/>
    </xf>
    <xf numFmtId="0" fontId="61" fillId="20" borderId="117" xfId="279" applyFont="1" applyFill="1" applyBorder="1" applyAlignment="1" applyProtection="1">
      <alignment horizontal="center" vertical="top"/>
      <protection hidden="1"/>
    </xf>
    <xf numFmtId="0" fontId="61" fillId="20" borderId="102" xfId="279" applyFont="1" applyFill="1" applyBorder="1" applyAlignment="1" applyProtection="1">
      <alignment horizontal="centerContinuous" vertical="center"/>
      <protection hidden="1"/>
    </xf>
    <xf numFmtId="0" fontId="61" fillId="20" borderId="68" xfId="279" applyFont="1" applyFill="1" applyBorder="1" applyAlignment="1" applyProtection="1">
      <alignment horizontal="centerContinuous" vertical="center"/>
      <protection hidden="1"/>
    </xf>
    <xf numFmtId="0" fontId="61" fillId="20" borderId="25" xfId="279" applyFont="1" applyFill="1" applyBorder="1" applyAlignment="1" applyProtection="1">
      <alignment horizontal="center" vertical="center"/>
      <protection hidden="1"/>
    </xf>
    <xf numFmtId="0" fontId="61" fillId="20" borderId="97" xfId="279" applyFont="1" applyFill="1" applyBorder="1" applyAlignment="1" applyProtection="1">
      <alignment horizontal="centerContinuous" vertical="top"/>
      <protection hidden="1"/>
    </xf>
    <xf numFmtId="0" fontId="61" fillId="20" borderId="25" xfId="279" applyFont="1" applyFill="1" applyBorder="1" applyAlignment="1" applyProtection="1">
      <alignment horizontal="centerContinuous" vertical="top"/>
      <protection hidden="1"/>
    </xf>
    <xf numFmtId="0" fontId="61" fillId="20" borderId="97" xfId="279" applyFont="1" applyFill="1" applyBorder="1" applyAlignment="1" applyProtection="1">
      <alignment horizontal="centerContinuous" vertical="center" wrapText="1"/>
      <protection hidden="1"/>
    </xf>
    <xf numFmtId="0" fontId="61" fillId="20" borderId="97" xfId="279" applyFont="1" applyFill="1" applyBorder="1" applyAlignment="1" applyProtection="1">
      <alignment horizontal="centerContinuous" vertical="center"/>
      <protection hidden="1"/>
    </xf>
    <xf numFmtId="0" fontId="61" fillId="20" borderId="140" xfId="279" applyFont="1" applyFill="1" applyBorder="1" applyAlignment="1" applyProtection="1">
      <alignment horizontal="centerContinuous" vertical="center"/>
      <protection hidden="1"/>
    </xf>
    <xf numFmtId="174" fontId="0" fillId="21" borderId="12" xfId="0" applyNumberFormat="1" applyFill="1" applyBorder="1" applyProtection="1">
      <protection hidden="1"/>
    </xf>
    <xf numFmtId="1" fontId="4" fillId="7" borderId="27" xfId="0" applyNumberFormat="1" applyFont="1" applyFill="1" applyBorder="1" applyAlignment="1" applyProtection="1">
      <alignment horizontal="center" vertical="center"/>
      <protection hidden="1"/>
    </xf>
    <xf numFmtId="2" fontId="4" fillId="7" borderId="27" xfId="0" applyNumberFormat="1" applyFont="1" applyFill="1" applyBorder="1" applyAlignment="1" applyProtection="1">
      <alignment horizontal="center" vertical="center"/>
      <protection hidden="1"/>
    </xf>
    <xf numFmtId="1" fontId="4" fillId="7" borderId="25" xfId="0" applyNumberFormat="1" applyFont="1" applyFill="1" applyBorder="1" applyAlignment="1" applyProtection="1">
      <alignment horizontal="center" vertical="center"/>
      <protection hidden="1"/>
    </xf>
    <xf numFmtId="1" fontId="4" fillId="7" borderId="113" xfId="0" applyNumberFormat="1" applyFont="1" applyFill="1" applyBorder="1" applyAlignment="1" applyProtection="1">
      <alignment horizontal="center" vertical="center"/>
      <protection hidden="1"/>
    </xf>
    <xf numFmtId="2" fontId="4" fillId="7" borderId="25" xfId="0" applyNumberFormat="1" applyFont="1" applyFill="1" applyBorder="1" applyAlignment="1" applyProtection="1">
      <alignment horizontal="center" vertical="center"/>
      <protection hidden="1"/>
    </xf>
    <xf numFmtId="0" fontId="8" fillId="25" borderId="0" xfId="0" applyFont="1" applyFill="1" applyAlignment="1" applyProtection="1">
      <alignment horizontal="center"/>
      <protection hidden="1"/>
    </xf>
    <xf numFmtId="164" fontId="4" fillId="24" borderId="6" xfId="0" applyNumberFormat="1" applyFont="1" applyFill="1" applyBorder="1" applyAlignment="1" applyProtection="1">
      <alignment horizontal="center" vertical="center"/>
      <protection locked="0"/>
    </xf>
    <xf numFmtId="164" fontId="4" fillId="0" borderId="0" xfId="0" applyNumberFormat="1" applyFont="1" applyAlignment="1" applyProtection="1">
      <alignment vertical="center"/>
      <protection hidden="1"/>
    </xf>
    <xf numFmtId="164" fontId="4" fillId="18" borderId="6" xfId="0" applyNumberFormat="1" applyFont="1" applyFill="1" applyBorder="1" applyAlignment="1" applyProtection="1">
      <alignment horizontal="center" vertical="center"/>
      <protection hidden="1"/>
    </xf>
    <xf numFmtId="49" fontId="4" fillId="0" borderId="0" xfId="0" applyNumberFormat="1" applyFont="1" applyAlignment="1" applyProtection="1">
      <alignment vertical="center"/>
      <protection hidden="1"/>
    </xf>
    <xf numFmtId="1" fontId="4" fillId="24" borderId="6" xfId="0" applyNumberFormat="1" applyFont="1" applyFill="1" applyBorder="1" applyAlignment="1" applyProtection="1">
      <alignment horizontal="center" vertical="center"/>
      <protection locked="0"/>
    </xf>
    <xf numFmtId="164" fontId="61" fillId="7" borderId="67" xfId="279" applyNumberFormat="1" applyFont="1" applyFill="1" applyBorder="1" applyAlignment="1">
      <alignment horizontal="centerContinuous" vertical="center"/>
    </xf>
    <xf numFmtId="164" fontId="61" fillId="20" borderId="68" xfId="279" applyNumberFormat="1" applyFont="1" applyFill="1" applyBorder="1" applyAlignment="1" applyProtection="1">
      <alignment horizontal="centerContinuous" vertical="center" wrapText="1"/>
      <protection hidden="1"/>
    </xf>
    <xf numFmtId="164" fontId="61" fillId="10" borderId="25" xfId="279" applyNumberFormat="1" applyFont="1" applyFill="1" applyBorder="1" applyAlignment="1">
      <alignment horizontal="centerContinuous" vertical="center" wrapText="1"/>
    </xf>
    <xf numFmtId="1" fontId="61" fillId="7" borderId="12" xfId="279" applyNumberFormat="1" applyFont="1" applyFill="1" applyBorder="1" applyAlignment="1">
      <alignment horizontal="center" vertical="top"/>
    </xf>
    <xf numFmtId="1" fontId="61" fillId="10" borderId="25" xfId="279" applyNumberFormat="1" applyFont="1" applyFill="1" applyBorder="1" applyAlignment="1">
      <alignment horizontal="centerContinuous" vertical="top" wrapText="1"/>
    </xf>
    <xf numFmtId="164" fontId="61" fillId="7" borderId="12" xfId="279" applyNumberFormat="1" applyFont="1" applyFill="1" applyBorder="1" applyAlignment="1">
      <alignment horizontal="centerContinuous" vertical="top"/>
    </xf>
    <xf numFmtId="164" fontId="61" fillId="20" borderId="25" xfId="279" applyNumberFormat="1" applyFont="1" applyFill="1" applyBorder="1" applyAlignment="1" applyProtection="1">
      <alignment horizontal="center" vertical="top" wrapText="1"/>
      <protection hidden="1"/>
    </xf>
    <xf numFmtId="164" fontId="61" fillId="7" borderId="12" xfId="279" applyNumberFormat="1" applyFont="1" applyFill="1" applyBorder="1" applyAlignment="1">
      <alignment horizontal="centerContinuous" vertical="center"/>
    </xf>
    <xf numFmtId="164" fontId="61" fillId="20" borderId="102" xfId="279" applyNumberFormat="1" applyFont="1" applyFill="1" applyBorder="1" applyAlignment="1" applyProtection="1">
      <alignment horizontal="centerContinuous" vertical="center"/>
      <protection hidden="1"/>
    </xf>
    <xf numFmtId="1" fontId="61" fillId="18" borderId="63" xfId="279" applyNumberFormat="1" applyFont="1" applyFill="1" applyBorder="1" applyAlignment="1" applyProtection="1">
      <alignment horizontal="center"/>
      <protection hidden="1"/>
    </xf>
    <xf numFmtId="1" fontId="61" fillId="18" borderId="136" xfId="279" applyNumberFormat="1" applyFont="1" applyFill="1" applyBorder="1" applyAlignment="1">
      <alignment horizontal="center"/>
    </xf>
    <xf numFmtId="0" fontId="4" fillId="18" borderId="60" xfId="0" applyFont="1" applyFill="1" applyBorder="1" applyAlignment="1" applyProtection="1">
      <alignment horizontal="center" vertical="center"/>
      <protection hidden="1"/>
    </xf>
    <xf numFmtId="0" fontId="0" fillId="18" borderId="6" xfId="0" applyFill="1" applyBorder="1" applyProtection="1">
      <protection hidden="1"/>
    </xf>
    <xf numFmtId="2" fontId="4" fillId="21" borderId="6" xfId="0" applyNumberFormat="1" applyFont="1" applyFill="1" applyBorder="1" applyAlignment="1" applyProtection="1">
      <alignment horizontal="center" vertical="center"/>
      <protection hidden="1"/>
    </xf>
    <xf numFmtId="164" fontId="4" fillId="21" borderId="6" xfId="0" applyNumberFormat="1" applyFont="1" applyFill="1" applyBorder="1" applyAlignment="1" applyProtection="1">
      <alignment horizontal="center" vertical="center"/>
      <protection hidden="1"/>
    </xf>
    <xf numFmtId="0" fontId="4" fillId="24" borderId="6" xfId="0" applyFont="1" applyFill="1" applyBorder="1" applyAlignment="1" applyProtection="1">
      <alignment horizontal="center" vertical="center"/>
      <protection locked="0"/>
    </xf>
    <xf numFmtId="0" fontId="61" fillId="20" borderId="71" xfId="279" applyFont="1" applyFill="1" applyBorder="1" applyAlignment="1" applyProtection="1">
      <alignment horizontal="centerContinuous" wrapText="1"/>
      <protection hidden="1"/>
    </xf>
    <xf numFmtId="0" fontId="61" fillId="20" borderId="20" xfId="279" applyFont="1" applyFill="1" applyBorder="1" applyAlignment="1" applyProtection="1">
      <alignment horizontal="centerContinuous" wrapText="1"/>
      <protection hidden="1"/>
    </xf>
    <xf numFmtId="0" fontId="61" fillId="19" borderId="92" xfId="279" applyFont="1" applyFill="1" applyBorder="1" applyAlignment="1">
      <alignment horizontal="centerContinuous" vertical="center"/>
    </xf>
    <xf numFmtId="0" fontId="61" fillId="19" borderId="92" xfId="279" applyFont="1" applyFill="1" applyBorder="1" applyAlignment="1">
      <alignment horizontal="centerContinuous"/>
    </xf>
    <xf numFmtId="0" fontId="61" fillId="19" borderId="93" xfId="279" applyFont="1" applyFill="1" applyBorder="1" applyAlignment="1">
      <alignment horizontal="centerContinuous" vertical="center"/>
    </xf>
    <xf numFmtId="0" fontId="61" fillId="19" borderId="60" xfId="279" applyFont="1" applyFill="1" applyBorder="1" applyAlignment="1">
      <alignment horizontal="centerContinuous" vertical="center"/>
    </xf>
    <xf numFmtId="0" fontId="61" fillId="19" borderId="60" xfId="279" applyFont="1" applyFill="1" applyBorder="1" applyAlignment="1">
      <alignment horizontal="centerContinuous"/>
    </xf>
    <xf numFmtId="0" fontId="61" fillId="19" borderId="141" xfId="279" applyFont="1" applyFill="1" applyBorder="1" applyAlignment="1">
      <alignment horizontal="centerContinuous" vertical="center"/>
    </xf>
    <xf numFmtId="0" fontId="61" fillId="19" borderId="142" xfId="279" applyFont="1" applyFill="1" applyBorder="1" applyAlignment="1">
      <alignment horizontal="centerContinuous" vertical="center"/>
    </xf>
    <xf numFmtId="0" fontId="61" fillId="19" borderId="142" xfId="279" applyFont="1" applyFill="1" applyBorder="1" applyAlignment="1">
      <alignment horizontal="centerContinuous"/>
    </xf>
    <xf numFmtId="0" fontId="61" fillId="19" borderId="143" xfId="279" applyFont="1" applyFill="1" applyBorder="1" applyAlignment="1">
      <alignment horizontal="centerContinuous" vertical="center"/>
    </xf>
    <xf numFmtId="0" fontId="61" fillId="19" borderId="92" xfId="279" applyFont="1" applyFill="1" applyBorder="1" applyAlignment="1" applyProtection="1">
      <alignment horizontal="left" vertical="center"/>
      <protection locked="0"/>
    </xf>
    <xf numFmtId="0" fontId="61" fillId="19" borderId="60" xfId="279" applyFont="1" applyFill="1" applyBorder="1" applyAlignment="1" applyProtection="1">
      <alignment horizontal="left" vertical="center"/>
      <protection locked="0"/>
    </xf>
    <xf numFmtId="0" fontId="61" fillId="19" borderId="142" xfId="279" applyFont="1" applyFill="1" applyBorder="1" applyAlignment="1" applyProtection="1">
      <alignment horizontal="left" vertical="center"/>
      <protection locked="0"/>
    </xf>
    <xf numFmtId="1" fontId="33" fillId="21" borderId="0" xfId="0" applyNumberFormat="1" applyFont="1" applyFill="1" applyAlignment="1" applyProtection="1">
      <alignment horizontal="center"/>
      <protection hidden="1"/>
    </xf>
    <xf numFmtId="3" fontId="61" fillId="10" borderId="140" xfId="279" applyNumberFormat="1" applyFont="1" applyFill="1" applyBorder="1" applyAlignment="1">
      <alignment horizontal="center"/>
    </xf>
    <xf numFmtId="1" fontId="9" fillId="19" borderId="25" xfId="446" applyNumberFormat="1" applyFont="1" applyFill="1" applyBorder="1" applyAlignment="1" applyProtection="1">
      <alignment horizontal="center" vertical="center"/>
      <protection locked="0"/>
    </xf>
    <xf numFmtId="178" fontId="4" fillId="18" borderId="6" xfId="0" applyNumberFormat="1" applyFont="1" applyFill="1" applyBorder="1" applyAlignment="1" applyProtection="1">
      <alignment horizontal="center" vertical="center"/>
      <protection hidden="1"/>
    </xf>
    <xf numFmtId="0" fontId="61" fillId="7" borderId="67" xfId="279" applyFont="1" applyFill="1" applyBorder="1" applyAlignment="1">
      <alignment horizontal="right" vertical="center"/>
    </xf>
    <xf numFmtId="0" fontId="5" fillId="20" borderId="121" xfId="0" applyFont="1" applyFill="1" applyBorder="1" applyAlignment="1" applyProtection="1">
      <alignment horizontal="center" vertical="center"/>
      <protection hidden="1"/>
    </xf>
    <xf numFmtId="0" fontId="5" fillId="20" borderId="45" xfId="0" applyFont="1" applyFill="1" applyBorder="1" applyAlignment="1" applyProtection="1">
      <alignment horizontal="center" vertical="center" wrapText="1"/>
      <protection hidden="1"/>
    </xf>
    <xf numFmtId="0" fontId="61" fillId="21" borderId="11" xfId="279" applyFont="1" applyFill="1" applyBorder="1" applyAlignment="1" applyProtection="1">
      <alignment horizontal="right" vertical="center"/>
      <protection hidden="1"/>
    </xf>
    <xf numFmtId="0" fontId="61" fillId="21" borderId="10" xfId="279" applyFont="1" applyFill="1" applyBorder="1" applyAlignment="1" applyProtection="1">
      <alignment horizontal="left" vertical="center"/>
      <protection hidden="1"/>
    </xf>
    <xf numFmtId="0" fontId="61" fillId="7" borderId="64" xfId="279" applyFont="1" applyFill="1" applyBorder="1" applyAlignment="1">
      <alignment horizontal="left" vertical="center"/>
    </xf>
    <xf numFmtId="0" fontId="5" fillId="20" borderId="0" xfId="0" applyFont="1" applyFill="1" applyAlignment="1" applyProtection="1">
      <alignment horizontal="center" vertical="center"/>
      <protection hidden="1"/>
    </xf>
    <xf numFmtId="164" fontId="0" fillId="0" borderId="0" xfId="0" applyNumberFormat="1"/>
    <xf numFmtId="0" fontId="0" fillId="20" borderId="32" xfId="0" applyFill="1" applyBorder="1" applyProtection="1">
      <protection hidden="1"/>
    </xf>
    <xf numFmtId="0" fontId="8" fillId="20" borderId="34" xfId="0" applyFont="1" applyFill="1" applyBorder="1" applyProtection="1">
      <protection hidden="1"/>
    </xf>
    <xf numFmtId="0" fontId="0" fillId="20" borderId="34" xfId="0" applyFill="1" applyBorder="1" applyProtection="1">
      <protection hidden="1"/>
    </xf>
    <xf numFmtId="0" fontId="0" fillId="19" borderId="40" xfId="0" applyFill="1" applyBorder="1" applyAlignment="1" applyProtection="1">
      <alignment horizontal="center" vertical="center" wrapText="1"/>
      <protection locked="0"/>
    </xf>
    <xf numFmtId="2" fontId="0" fillId="26" borderId="40" xfId="0" applyNumberFormat="1" applyFill="1" applyBorder="1" applyAlignment="1" applyProtection="1">
      <alignment horizontal="center" vertical="center" wrapText="1"/>
      <protection hidden="1"/>
    </xf>
    <xf numFmtId="1" fontId="0" fillId="26" borderId="40" xfId="0" applyNumberFormat="1" applyFill="1" applyBorder="1" applyAlignment="1" applyProtection="1">
      <alignment horizontal="center" vertical="center" wrapText="1"/>
      <protection hidden="1"/>
    </xf>
    <xf numFmtId="0" fontId="33" fillId="18" borderId="59" xfId="0" applyFont="1" applyFill="1" applyBorder="1" applyAlignment="1" applyProtection="1">
      <alignment horizontal="center" vertical="center"/>
      <protection hidden="1"/>
    </xf>
    <xf numFmtId="0" fontId="33" fillId="21" borderId="44" xfId="0" applyFont="1" applyFill="1" applyBorder="1" applyAlignment="1" applyProtection="1">
      <alignment horizontal="center" vertical="center"/>
      <protection hidden="1"/>
    </xf>
    <xf numFmtId="0" fontId="33" fillId="26" borderId="44" xfId="0" applyFont="1" applyFill="1" applyBorder="1" applyAlignment="1" applyProtection="1">
      <alignment horizontal="center" vertical="center"/>
      <protection hidden="1"/>
    </xf>
    <xf numFmtId="0" fontId="8" fillId="20" borderId="35" xfId="0" applyFont="1" applyFill="1" applyBorder="1" applyProtection="1">
      <protection hidden="1"/>
    </xf>
    <xf numFmtId="164" fontId="0" fillId="20" borderId="36" xfId="0" applyNumberFormat="1" applyFill="1" applyBorder="1" applyProtection="1">
      <protection hidden="1"/>
    </xf>
    <xf numFmtId="0" fontId="8" fillId="20" borderId="144" xfId="0" applyFont="1" applyFill="1" applyBorder="1" applyProtection="1">
      <protection hidden="1"/>
    </xf>
    <xf numFmtId="0" fontId="8" fillId="20" borderId="0" xfId="0" applyFont="1" applyFill="1" applyProtection="1">
      <protection hidden="1"/>
    </xf>
    <xf numFmtId="0" fontId="8" fillId="22" borderId="92" xfId="0" applyFont="1" applyFill="1" applyBorder="1" applyAlignment="1" applyProtection="1">
      <alignment horizontal="centerContinuous"/>
      <protection hidden="1"/>
    </xf>
    <xf numFmtId="0" fontId="0" fillId="22" borderId="92" xfId="0" applyFill="1" applyBorder="1" applyAlignment="1" applyProtection="1">
      <alignment horizontal="centerContinuous"/>
      <protection hidden="1"/>
    </xf>
    <xf numFmtId="164" fontId="0" fillId="22" borderId="92" xfId="0" applyNumberFormat="1" applyFill="1" applyBorder="1" applyAlignment="1" applyProtection="1">
      <alignment horizontal="centerContinuous"/>
      <protection hidden="1"/>
    </xf>
    <xf numFmtId="0" fontId="0" fillId="22" borderId="111" xfId="0" applyFill="1" applyBorder="1" applyAlignment="1" applyProtection="1">
      <alignment horizontal="centerContinuous"/>
      <protection hidden="1"/>
    </xf>
    <xf numFmtId="0" fontId="8" fillId="22" borderId="110" xfId="0" applyFont="1" applyFill="1" applyBorder="1" applyAlignment="1" applyProtection="1">
      <alignment horizontal="centerContinuous"/>
      <protection hidden="1"/>
    </xf>
    <xf numFmtId="0" fontId="0" fillId="20" borderId="126" xfId="0" applyFill="1" applyBorder="1" applyProtection="1">
      <protection hidden="1"/>
    </xf>
    <xf numFmtId="0" fontId="0" fillId="20" borderId="145" xfId="0" applyFill="1" applyBorder="1" applyProtection="1">
      <protection hidden="1"/>
    </xf>
    <xf numFmtId="0" fontId="0" fillId="19" borderId="70" xfId="0" applyFill="1" applyBorder="1" applyAlignment="1" applyProtection="1">
      <alignment horizontal="center"/>
      <protection locked="0"/>
    </xf>
    <xf numFmtId="164" fontId="0" fillId="22" borderId="111" xfId="0" applyNumberFormat="1" applyFill="1" applyBorder="1" applyAlignment="1" applyProtection="1">
      <alignment horizontal="centerContinuous"/>
      <protection hidden="1"/>
    </xf>
    <xf numFmtId="0" fontId="9" fillId="20" borderId="104" xfId="0" applyFont="1" applyFill="1" applyBorder="1" applyAlignment="1" applyProtection="1">
      <alignment horizontal="center" vertical="center" wrapText="1"/>
      <protection hidden="1"/>
    </xf>
    <xf numFmtId="0" fontId="9" fillId="20" borderId="18" xfId="0" applyFont="1" applyFill="1" applyBorder="1" applyAlignment="1" applyProtection="1">
      <alignment horizontal="center" vertical="center" wrapText="1"/>
      <protection hidden="1"/>
    </xf>
    <xf numFmtId="0" fontId="9" fillId="20" borderId="129" xfId="0" applyFont="1" applyFill="1" applyBorder="1" applyAlignment="1" applyProtection="1">
      <alignment horizontal="center" vertical="center" wrapText="1"/>
      <protection hidden="1"/>
    </xf>
    <xf numFmtId="0" fontId="33" fillId="20" borderId="146" xfId="0" applyFont="1" applyFill="1" applyBorder="1" applyAlignment="1" applyProtection="1">
      <alignment horizontal="center" vertical="center"/>
      <protection hidden="1"/>
    </xf>
    <xf numFmtId="0" fontId="33" fillId="20" borderId="147" xfId="0" applyFont="1" applyFill="1" applyBorder="1" applyAlignment="1" applyProtection="1">
      <alignment horizontal="center" vertical="center"/>
      <protection hidden="1"/>
    </xf>
    <xf numFmtId="0" fontId="33" fillId="20" borderId="145" xfId="0" applyFont="1" applyFill="1" applyBorder="1" applyAlignment="1" applyProtection="1">
      <alignment horizontal="center" vertical="center"/>
      <protection hidden="1"/>
    </xf>
    <xf numFmtId="0" fontId="33" fillId="19" borderId="127" xfId="0" applyFont="1" applyFill="1" applyBorder="1" applyAlignment="1" applyProtection="1">
      <alignment horizontal="center"/>
      <protection hidden="1"/>
    </xf>
    <xf numFmtId="0" fontId="33" fillId="21" borderId="19" xfId="0" applyFont="1" applyFill="1" applyBorder="1" applyAlignment="1" applyProtection="1">
      <alignment horizontal="center"/>
      <protection hidden="1"/>
    </xf>
    <xf numFmtId="13" fontId="33" fillId="3" borderId="19" xfId="0" applyNumberFormat="1" applyFont="1" applyFill="1" applyBorder="1" applyAlignment="1" applyProtection="1">
      <alignment horizontal="center"/>
      <protection locked="0"/>
    </xf>
    <xf numFmtId="0" fontId="33" fillId="21" borderId="12" xfId="0" applyFont="1" applyFill="1" applyBorder="1" applyAlignment="1" applyProtection="1">
      <alignment horizontal="center"/>
      <protection hidden="1"/>
    </xf>
    <xf numFmtId="0" fontId="0" fillId="21" borderId="12" xfId="0" applyFill="1" applyBorder="1" applyProtection="1">
      <protection hidden="1"/>
    </xf>
    <xf numFmtId="13" fontId="33" fillId="3" borderId="12" xfId="0" applyNumberFormat="1" applyFont="1" applyFill="1" applyBorder="1" applyAlignment="1" applyProtection="1">
      <alignment horizontal="center"/>
      <protection locked="0"/>
    </xf>
    <xf numFmtId="0" fontId="0" fillId="21" borderId="128" xfId="0" applyFill="1" applyBorder="1" applyProtection="1">
      <protection hidden="1"/>
    </xf>
    <xf numFmtId="0" fontId="0" fillId="21" borderId="24" xfId="0" applyFill="1" applyBorder="1" applyProtection="1">
      <protection hidden="1"/>
    </xf>
    <xf numFmtId="1" fontId="0" fillId="21" borderId="127" xfId="0" applyNumberFormat="1" applyFill="1" applyBorder="1" applyProtection="1">
      <protection hidden="1"/>
    </xf>
    <xf numFmtId="1" fontId="0" fillId="21" borderId="19" xfId="0" applyNumberFormat="1" applyFill="1" applyBorder="1" applyProtection="1">
      <protection hidden="1"/>
    </xf>
    <xf numFmtId="166" fontId="0" fillId="21" borderId="19" xfId="0" applyNumberFormat="1" applyFill="1" applyBorder="1" applyProtection="1">
      <protection hidden="1"/>
    </xf>
    <xf numFmtId="1" fontId="0" fillId="21" borderId="73" xfId="0" applyNumberFormat="1" applyFill="1" applyBorder="1" applyProtection="1">
      <protection hidden="1"/>
    </xf>
    <xf numFmtId="1" fontId="0" fillId="21" borderId="12" xfId="0" applyNumberFormat="1" applyFill="1" applyBorder="1" applyProtection="1">
      <protection hidden="1"/>
    </xf>
    <xf numFmtId="166" fontId="0" fillId="21" borderId="12" xfId="0" applyNumberFormat="1" applyFill="1" applyBorder="1" applyProtection="1">
      <protection hidden="1"/>
    </xf>
    <xf numFmtId="0" fontId="33" fillId="19" borderId="73" xfId="0" applyFont="1" applyFill="1" applyBorder="1" applyAlignment="1" applyProtection="1">
      <alignment horizontal="center"/>
      <protection hidden="1"/>
    </xf>
    <xf numFmtId="0" fontId="9" fillId="20" borderId="65" xfId="0" applyFont="1" applyFill="1" applyBorder="1" applyAlignment="1" applyProtection="1">
      <alignment horizontal="center" vertical="center" wrapText="1"/>
      <protection hidden="1"/>
    </xf>
    <xf numFmtId="0" fontId="33" fillId="20" borderId="148" xfId="0" applyFont="1" applyFill="1" applyBorder="1" applyAlignment="1" applyProtection="1">
      <alignment horizontal="center" vertical="center"/>
      <protection hidden="1"/>
    </xf>
    <xf numFmtId="164" fontId="8" fillId="21" borderId="66" xfId="0" applyNumberFormat="1" applyFont="1" applyFill="1" applyBorder="1" applyProtection="1">
      <protection hidden="1"/>
    </xf>
    <xf numFmtId="164" fontId="8" fillId="21" borderId="67" xfId="0" applyNumberFormat="1" applyFont="1" applyFill="1" applyBorder="1" applyProtection="1">
      <protection hidden="1"/>
    </xf>
    <xf numFmtId="164" fontId="0" fillId="21" borderId="39" xfId="0" applyNumberFormat="1" applyFill="1" applyBorder="1" applyProtection="1">
      <protection hidden="1"/>
    </xf>
    <xf numFmtId="164" fontId="0" fillId="21" borderId="83" xfId="0" applyNumberFormat="1" applyFill="1" applyBorder="1" applyProtection="1">
      <protection hidden="1"/>
    </xf>
    <xf numFmtId="164" fontId="0" fillId="21" borderId="40" xfId="0" applyNumberFormat="1" applyFill="1" applyBorder="1" applyProtection="1">
      <protection hidden="1"/>
    </xf>
    <xf numFmtId="1" fontId="0" fillId="21" borderId="39" xfId="0" applyNumberFormat="1" applyFill="1" applyBorder="1" applyProtection="1">
      <protection hidden="1"/>
    </xf>
    <xf numFmtId="1" fontId="0" fillId="21" borderId="39" xfId="0" applyNumberFormat="1" applyFill="1" applyBorder="1" applyAlignment="1" applyProtection="1">
      <alignment horizontal="center"/>
      <protection hidden="1"/>
    </xf>
    <xf numFmtId="0" fontId="8" fillId="20" borderId="32" xfId="0" applyFont="1" applyFill="1" applyBorder="1" applyProtection="1">
      <protection hidden="1"/>
    </xf>
    <xf numFmtId="0" fontId="0" fillId="20" borderId="70" xfId="0" applyFill="1" applyBorder="1" applyProtection="1">
      <protection hidden="1"/>
    </xf>
    <xf numFmtId="0" fontId="8" fillId="21" borderId="128" xfId="0" applyFont="1" applyFill="1" applyBorder="1" applyAlignment="1" applyProtection="1">
      <alignment horizontal="center"/>
      <protection hidden="1"/>
    </xf>
    <xf numFmtId="0" fontId="8" fillId="21" borderId="24" xfId="0" applyFont="1" applyFill="1" applyBorder="1" applyAlignment="1" applyProtection="1">
      <alignment horizontal="center"/>
      <protection hidden="1"/>
    </xf>
    <xf numFmtId="0" fontId="8" fillId="20" borderId="144" xfId="0" applyFont="1" applyFill="1" applyBorder="1" applyAlignment="1" applyProtection="1">
      <alignment horizontal="center"/>
      <protection hidden="1"/>
    </xf>
    <xf numFmtId="0" fontId="8" fillId="20" borderId="128" xfId="0" applyFont="1" applyFill="1" applyBorder="1" applyAlignment="1" applyProtection="1">
      <alignment horizontal="center" wrapText="1"/>
      <protection hidden="1"/>
    </xf>
    <xf numFmtId="0" fontId="33" fillId="21" borderId="73" xfId="0" applyFont="1" applyFill="1" applyBorder="1" applyAlignment="1" applyProtection="1">
      <alignment horizontal="center"/>
      <protection hidden="1"/>
    </xf>
    <xf numFmtId="0" fontId="8" fillId="18" borderId="19" xfId="0" applyFont="1" applyFill="1" applyBorder="1" applyProtection="1">
      <protection hidden="1"/>
    </xf>
    <xf numFmtId="164" fontId="0" fillId="21" borderId="19" xfId="0" applyNumberFormat="1" applyFill="1" applyBorder="1" applyAlignment="1" applyProtection="1">
      <alignment horizontal="center"/>
      <protection hidden="1"/>
    </xf>
    <xf numFmtId="164" fontId="0" fillId="21" borderId="12" xfId="0" applyNumberFormat="1" applyFill="1" applyBorder="1" applyAlignment="1" applyProtection="1">
      <alignment horizontal="center"/>
      <protection hidden="1"/>
    </xf>
    <xf numFmtId="164" fontId="0" fillId="18" borderId="19" xfId="0" applyNumberFormat="1" applyFill="1" applyBorder="1" applyAlignment="1" applyProtection="1">
      <alignment horizontal="center"/>
      <protection hidden="1"/>
    </xf>
    <xf numFmtId="0" fontId="0" fillId="18" borderId="19" xfId="0" applyFill="1" applyBorder="1" applyProtection="1">
      <protection hidden="1"/>
    </xf>
    <xf numFmtId="164" fontId="0" fillId="18" borderId="40" xfId="0" applyNumberFormat="1" applyFill="1" applyBorder="1" applyAlignment="1" applyProtection="1">
      <alignment horizontal="center" vertical="center" wrapText="1"/>
      <protection hidden="1"/>
    </xf>
    <xf numFmtId="13" fontId="33" fillId="19" borderId="12" xfId="0" applyNumberFormat="1" applyFont="1" applyFill="1" applyBorder="1" applyAlignment="1" applyProtection="1">
      <alignment horizontal="center"/>
      <protection locked="0"/>
    </xf>
    <xf numFmtId="0" fontId="8" fillId="20" borderId="56" xfId="0" applyFont="1" applyFill="1" applyBorder="1" applyProtection="1">
      <protection hidden="1"/>
    </xf>
    <xf numFmtId="0" fontId="0" fillId="20" borderId="97" xfId="0" applyFill="1" applyBorder="1" applyProtection="1">
      <protection hidden="1"/>
    </xf>
    <xf numFmtId="1" fontId="0" fillId="21" borderId="58" xfId="0" applyNumberFormat="1" applyFill="1" applyBorder="1" applyProtection="1">
      <protection hidden="1"/>
    </xf>
    <xf numFmtId="0" fontId="8" fillId="19" borderId="128" xfId="0" applyFont="1" applyFill="1" applyBorder="1" applyAlignment="1" applyProtection="1">
      <alignment horizontal="center"/>
      <protection locked="0"/>
    </xf>
    <xf numFmtId="0" fontId="8" fillId="19" borderId="24" xfId="0" applyFont="1" applyFill="1" applyBorder="1" applyAlignment="1" applyProtection="1">
      <alignment horizontal="center"/>
      <protection locked="0"/>
    </xf>
    <xf numFmtId="0" fontId="71" fillId="0" borderId="0" xfId="0" applyFont="1"/>
    <xf numFmtId="40" fontId="0" fillId="0" borderId="0" xfId="0" applyNumberFormat="1"/>
    <xf numFmtId="38" fontId="0" fillId="0" borderId="0" xfId="0" applyNumberFormat="1" applyAlignment="1">
      <alignment horizontal="center"/>
    </xf>
    <xf numFmtId="0" fontId="9" fillId="0" borderId="124" xfId="0" applyFont="1" applyBorder="1" applyAlignment="1">
      <alignment horizontal="center"/>
    </xf>
    <xf numFmtId="0" fontId="9" fillId="0" borderId="14" xfId="0" applyFont="1" applyBorder="1" applyAlignment="1">
      <alignment horizontal="center"/>
    </xf>
    <xf numFmtId="40" fontId="9" fillId="0" borderId="14" xfId="0" applyNumberFormat="1" applyFont="1" applyBorder="1" applyAlignment="1">
      <alignment horizontal="center"/>
    </xf>
    <xf numFmtId="0" fontId="9" fillId="0" borderId="149" xfId="0" applyFont="1" applyBorder="1" applyAlignment="1">
      <alignment horizontal="center"/>
    </xf>
    <xf numFmtId="0" fontId="9" fillId="0" borderId="150" xfId="0" applyFont="1" applyBorder="1" applyAlignment="1">
      <alignment horizontal="center"/>
    </xf>
    <xf numFmtId="0" fontId="9" fillId="0" borderId="127" xfId="0" applyFont="1" applyBorder="1" applyAlignment="1">
      <alignment horizontal="center"/>
    </xf>
    <xf numFmtId="0" fontId="9" fillId="0" borderId="19" xfId="0" applyFont="1" applyBorder="1" applyAlignment="1">
      <alignment horizontal="center"/>
    </xf>
    <xf numFmtId="40" fontId="9" fillId="0" borderId="19" xfId="0" applyNumberFormat="1" applyFont="1" applyBorder="1" applyAlignment="1">
      <alignment horizontal="center"/>
    </xf>
    <xf numFmtId="0" fontId="9" fillId="0" borderId="151" xfId="0" applyFont="1" applyBorder="1" applyAlignment="1">
      <alignment horizontal="center"/>
    </xf>
    <xf numFmtId="0" fontId="9" fillId="0" borderId="152" xfId="0" applyFont="1" applyBorder="1" applyAlignment="1">
      <alignment horizontal="center"/>
    </xf>
    <xf numFmtId="0" fontId="9" fillId="0" borderId="153" xfId="0" applyFont="1" applyBorder="1" applyAlignment="1">
      <alignment horizontal="center"/>
    </xf>
    <xf numFmtId="40" fontId="9" fillId="0" borderId="0" xfId="0" applyNumberFormat="1" applyFont="1" applyAlignment="1">
      <alignment horizontal="center"/>
    </xf>
    <xf numFmtId="0" fontId="9" fillId="0" borderId="127" xfId="0" quotePrefix="1" applyFont="1" applyBorder="1" applyAlignment="1">
      <alignment horizontal="center"/>
    </xf>
    <xf numFmtId="0" fontId="9" fillId="0" borderId="19" xfId="0" quotePrefix="1" applyFont="1" applyBorder="1" applyAlignment="1">
      <alignment horizontal="center"/>
    </xf>
    <xf numFmtId="40" fontId="9" fillId="0" borderId="19" xfId="0" quotePrefix="1" applyNumberFormat="1" applyFont="1" applyBorder="1" applyAlignment="1">
      <alignment horizontal="center"/>
    </xf>
    <xf numFmtId="0" fontId="9" fillId="0" borderId="0" xfId="0" quotePrefix="1" applyFont="1" applyAlignment="1">
      <alignment horizontal="center"/>
    </xf>
    <xf numFmtId="40" fontId="9" fillId="0" borderId="0" xfId="0" quotePrefix="1" applyNumberFormat="1" applyFont="1" applyAlignment="1">
      <alignment horizontal="center"/>
    </xf>
    <xf numFmtId="0" fontId="9" fillId="0" borderId="154" xfId="0" applyFont="1" applyBorder="1" applyAlignment="1">
      <alignment horizontal="center"/>
    </xf>
    <xf numFmtId="0" fontId="9" fillId="0" borderId="155" xfId="0" applyFont="1" applyBorder="1" applyAlignment="1">
      <alignment horizontal="center"/>
    </xf>
    <xf numFmtId="0" fontId="0" fillId="0" borderId="156" xfId="0" applyBorder="1" applyAlignment="1">
      <alignment horizontal="center"/>
    </xf>
    <xf numFmtId="0" fontId="0" fillId="0" borderId="149" xfId="0" applyBorder="1" applyAlignment="1">
      <alignment horizontal="center"/>
    </xf>
    <xf numFmtId="40" fontId="0" fillId="0" borderId="149" xfId="0" applyNumberFormat="1" applyBorder="1"/>
    <xf numFmtId="179" fontId="0" fillId="0" borderId="149" xfId="0" applyNumberFormat="1" applyBorder="1"/>
    <xf numFmtId="180" fontId="0" fillId="0" borderId="149" xfId="0" applyNumberFormat="1" applyBorder="1"/>
    <xf numFmtId="180" fontId="0" fillId="0" borderId="150" xfId="0" applyNumberFormat="1" applyBorder="1"/>
    <xf numFmtId="0" fontId="0" fillId="0" borderId="6" xfId="0" applyBorder="1" applyAlignment="1">
      <alignment horizontal="center"/>
    </xf>
    <xf numFmtId="40" fontId="0" fillId="0" borderId="6" xfId="0" applyNumberFormat="1" applyBorder="1" applyAlignment="1">
      <alignment horizontal="center"/>
    </xf>
    <xf numFmtId="180" fontId="0" fillId="0" borderId="6" xfId="0" applyNumberFormat="1" applyBorder="1" applyAlignment="1">
      <alignment horizontal="center"/>
    </xf>
    <xf numFmtId="0" fontId="9" fillId="0" borderId="110" xfId="0" applyFont="1" applyBorder="1"/>
    <xf numFmtId="0" fontId="9" fillId="0" borderId="111" xfId="0" applyFont="1" applyBorder="1"/>
    <xf numFmtId="0" fontId="8" fillId="14" borderId="157" xfId="0" applyFont="1" applyFill="1" applyBorder="1" applyAlignment="1">
      <alignment horizontal="center"/>
    </xf>
    <xf numFmtId="0" fontId="8" fillId="0" borderId="151" xfId="0" applyFont="1" applyBorder="1" applyAlignment="1">
      <alignment horizontal="center"/>
    </xf>
    <xf numFmtId="40" fontId="0" fillId="5" borderId="151" xfId="0" applyNumberFormat="1" applyFill="1" applyBorder="1"/>
    <xf numFmtId="179" fontId="0" fillId="0" borderId="151" xfId="0" applyNumberFormat="1" applyBorder="1"/>
    <xf numFmtId="40" fontId="0" fillId="0" borderId="151" xfId="0" applyNumberFormat="1" applyBorder="1"/>
    <xf numFmtId="180" fontId="0" fillId="5" borderId="151" xfId="0" applyNumberFormat="1" applyFill="1" applyBorder="1"/>
    <xf numFmtId="180" fontId="0" fillId="0" borderId="152" xfId="0" applyNumberFormat="1" applyBorder="1"/>
    <xf numFmtId="0" fontId="0" fillId="0" borderId="34" xfId="0" applyBorder="1" applyAlignment="1">
      <alignment horizontal="center"/>
    </xf>
    <xf numFmtId="0" fontId="0" fillId="0" borderId="15" xfId="0" applyBorder="1" applyAlignment="1">
      <alignment horizontal="center"/>
    </xf>
    <xf numFmtId="0" fontId="0" fillId="0" borderId="8" xfId="0" applyBorder="1" applyAlignment="1">
      <alignment horizontal="center"/>
    </xf>
    <xf numFmtId="0" fontId="0" fillId="0" borderId="7" xfId="0" applyBorder="1" applyAlignment="1">
      <alignment horizontal="center"/>
    </xf>
    <xf numFmtId="0" fontId="8" fillId="14" borderId="158" xfId="0" applyFont="1" applyFill="1" applyBorder="1" applyAlignment="1">
      <alignment horizontal="center"/>
    </xf>
    <xf numFmtId="0" fontId="8" fillId="0" borderId="154" xfId="0" applyFont="1" applyBorder="1" applyAlignment="1">
      <alignment horizontal="center"/>
    </xf>
    <xf numFmtId="40" fontId="0" fillId="5" borderId="154" xfId="0" applyNumberFormat="1" applyFill="1" applyBorder="1"/>
    <xf numFmtId="179" fontId="0" fillId="0" borderId="154" xfId="0" applyNumberFormat="1" applyBorder="1"/>
    <xf numFmtId="40" fontId="0" fillId="0" borderId="154" xfId="0" applyNumberFormat="1" applyBorder="1"/>
    <xf numFmtId="180" fontId="0" fillId="5" borderId="154" xfId="0" applyNumberFormat="1" applyFill="1" applyBorder="1"/>
    <xf numFmtId="180" fontId="0" fillId="0" borderId="155" xfId="0" applyNumberFormat="1" applyBorder="1"/>
    <xf numFmtId="0" fontId="8" fillId="14" borderId="156" xfId="0" applyFont="1" applyFill="1" applyBorder="1" applyAlignment="1">
      <alignment horizontal="center"/>
    </xf>
    <xf numFmtId="0" fontId="8" fillId="0" borderId="149" xfId="0" applyFont="1" applyBorder="1" applyAlignment="1">
      <alignment horizontal="center"/>
    </xf>
    <xf numFmtId="40" fontId="0" fillId="5" borderId="149" xfId="0" applyNumberFormat="1" applyFill="1" applyBorder="1"/>
    <xf numFmtId="180" fontId="0" fillId="5" borderId="159" xfId="0" applyNumberFormat="1" applyFill="1" applyBorder="1"/>
    <xf numFmtId="0" fontId="0" fillId="14" borderId="34" xfId="0" applyFill="1" applyBorder="1" applyAlignment="1">
      <alignment horizontal="center"/>
    </xf>
    <xf numFmtId="0" fontId="0" fillId="5" borderId="15" xfId="0" applyFill="1" applyBorder="1" applyAlignment="1">
      <alignment horizontal="center"/>
    </xf>
    <xf numFmtId="0" fontId="9" fillId="0" borderId="15" xfId="0" applyFont="1" applyBorder="1" applyAlignment="1">
      <alignment horizontal="center"/>
    </xf>
    <xf numFmtId="0" fontId="0" fillId="14" borderId="34" xfId="0" applyFill="1" applyBorder="1"/>
    <xf numFmtId="0" fontId="0" fillId="14" borderId="15" xfId="0" applyFill="1" applyBorder="1"/>
    <xf numFmtId="0" fontId="8" fillId="5" borderId="35" xfId="0" applyFont="1" applyFill="1" applyBorder="1" applyAlignment="1">
      <alignment horizontal="left"/>
    </xf>
    <xf numFmtId="0" fontId="9" fillId="5" borderId="37" xfId="0" applyFont="1" applyFill="1" applyBorder="1" applyAlignment="1">
      <alignment horizontal="center"/>
    </xf>
    <xf numFmtId="0" fontId="8" fillId="0" borderId="158" xfId="0" applyFont="1" applyBorder="1" applyAlignment="1">
      <alignment horizontal="center"/>
    </xf>
    <xf numFmtId="0" fontId="0" fillId="0" borderId="160" xfId="0" applyBorder="1" applyAlignment="1">
      <alignment horizontal="center"/>
    </xf>
    <xf numFmtId="0" fontId="0" fillId="0" borderId="159" xfId="0" applyBorder="1" applyAlignment="1">
      <alignment horizontal="center"/>
    </xf>
    <xf numFmtId="40" fontId="0" fillId="0" borderId="159" xfId="0" applyNumberFormat="1" applyBorder="1"/>
    <xf numFmtId="179" fontId="0" fillId="0" borderId="159" xfId="0" applyNumberFormat="1" applyBorder="1"/>
    <xf numFmtId="0" fontId="0" fillId="14" borderId="157" xfId="0" applyFill="1" applyBorder="1" applyAlignment="1">
      <alignment horizontal="center"/>
    </xf>
    <xf numFmtId="0" fontId="0" fillId="0" borderId="151" xfId="0" applyBorder="1" applyAlignment="1">
      <alignment horizontal="center"/>
    </xf>
    <xf numFmtId="40" fontId="0" fillId="0" borderId="0" xfId="0" applyNumberFormat="1" applyAlignment="1">
      <alignment horizontal="center"/>
    </xf>
    <xf numFmtId="0" fontId="0" fillId="14" borderId="161" xfId="0" applyFill="1" applyBorder="1" applyAlignment="1">
      <alignment horizontal="center"/>
    </xf>
    <xf numFmtId="0" fontId="0" fillId="0" borderId="162" xfId="0" applyBorder="1" applyAlignment="1">
      <alignment horizontal="center"/>
    </xf>
    <xf numFmtId="40" fontId="0" fillId="5" borderId="162" xfId="0" applyNumberFormat="1" applyFill="1" applyBorder="1"/>
    <xf numFmtId="179" fontId="0" fillId="0" borderId="162" xfId="0" applyNumberFormat="1" applyBorder="1"/>
    <xf numFmtId="40" fontId="0" fillId="0" borderId="162" xfId="0" applyNumberFormat="1" applyBorder="1"/>
    <xf numFmtId="0" fontId="0" fillId="14" borderId="156" xfId="0" applyFill="1" applyBorder="1" applyAlignment="1">
      <alignment horizontal="center"/>
    </xf>
    <xf numFmtId="180" fontId="0" fillId="5" borderId="149" xfId="0" applyNumberFormat="1" applyFill="1" applyBorder="1"/>
    <xf numFmtId="0" fontId="0" fillId="14" borderId="158" xfId="0" applyFill="1" applyBorder="1" applyAlignment="1">
      <alignment horizontal="center"/>
    </xf>
    <xf numFmtId="0" fontId="0" fillId="0" borderId="154" xfId="0" applyBorder="1" applyAlignment="1">
      <alignment horizontal="center"/>
    </xf>
    <xf numFmtId="0" fontId="0" fillId="0" borderId="121" xfId="0" applyBorder="1" applyAlignment="1">
      <alignment horizontal="center"/>
    </xf>
    <xf numFmtId="0" fontId="0" fillId="0" borderId="16" xfId="0" applyBorder="1" applyAlignment="1">
      <alignment horizontal="center"/>
    </xf>
    <xf numFmtId="40" fontId="0" fillId="0" borderId="16" xfId="0" applyNumberFormat="1" applyBorder="1"/>
    <xf numFmtId="179" fontId="0" fillId="0" borderId="16" xfId="0" applyNumberFormat="1" applyBorder="1"/>
    <xf numFmtId="180" fontId="0" fillId="0" borderId="16" xfId="0" applyNumberFormat="1" applyBorder="1"/>
    <xf numFmtId="180" fontId="0" fillId="0" borderId="45" xfId="0" applyNumberFormat="1" applyBorder="1"/>
    <xf numFmtId="180" fontId="0" fillId="0" borderId="0" xfId="0" applyNumberFormat="1" applyAlignment="1">
      <alignment horizontal="center"/>
    </xf>
    <xf numFmtId="180" fontId="0" fillId="0" borderId="0" xfId="0" applyNumberFormat="1"/>
    <xf numFmtId="0" fontId="9" fillId="0" borderId="84" xfId="0" applyFont="1" applyBorder="1" applyAlignment="1">
      <alignment horizontal="center"/>
    </xf>
    <xf numFmtId="0" fontId="9" fillId="0" borderId="66" xfId="0" applyFont="1" applyBorder="1" applyAlignment="1">
      <alignment horizontal="center"/>
    </xf>
    <xf numFmtId="40" fontId="0" fillId="0" borderId="163" xfId="0" applyNumberFormat="1" applyBorder="1"/>
    <xf numFmtId="40" fontId="0" fillId="0" borderId="164" xfId="0" applyNumberFormat="1" applyBorder="1"/>
    <xf numFmtId="180" fontId="0" fillId="5" borderId="152" xfId="0" applyNumberFormat="1" applyFill="1" applyBorder="1"/>
    <xf numFmtId="0" fontId="8" fillId="0" borderId="0" xfId="0" quotePrefix="1" applyFont="1" applyAlignment="1">
      <alignment horizontal="center"/>
    </xf>
    <xf numFmtId="0" fontId="8" fillId="0" borderId="0" xfId="0" applyFont="1" applyAlignment="1">
      <alignment horizontal="center"/>
    </xf>
    <xf numFmtId="40" fontId="0" fillId="0" borderId="165" xfId="0" applyNumberFormat="1" applyBorder="1"/>
    <xf numFmtId="180" fontId="0" fillId="5" borderId="155" xfId="0" applyNumberFormat="1" applyFill="1" applyBorder="1"/>
    <xf numFmtId="180" fontId="0" fillId="0" borderId="166" xfId="0" applyNumberFormat="1" applyBorder="1"/>
    <xf numFmtId="0" fontId="9" fillId="0" borderId="126" xfId="0" applyFont="1" applyBorder="1" applyAlignment="1">
      <alignment horizontal="center"/>
    </xf>
    <xf numFmtId="180" fontId="0" fillId="5" borderId="166" xfId="0" applyNumberFormat="1" applyFill="1" applyBorder="1"/>
    <xf numFmtId="0" fontId="9" fillId="0" borderId="128" xfId="0" applyFont="1" applyBorder="1" applyAlignment="1">
      <alignment horizontal="center"/>
    </xf>
    <xf numFmtId="40" fontId="0" fillId="0" borderId="167" xfId="0" applyNumberFormat="1" applyBorder="1"/>
    <xf numFmtId="40" fontId="0" fillId="0" borderId="150" xfId="0" applyNumberFormat="1" applyBorder="1"/>
    <xf numFmtId="40" fontId="0" fillId="0" borderId="152" xfId="0" applyNumberFormat="1" applyBorder="1"/>
    <xf numFmtId="40" fontId="8" fillId="0" borderId="0" xfId="0" applyNumberFormat="1" applyFont="1" applyAlignment="1">
      <alignment horizontal="center"/>
    </xf>
    <xf numFmtId="180" fontId="8" fillId="0" borderId="0" xfId="0" applyNumberFormat="1" applyFont="1" applyAlignment="1">
      <alignment horizontal="center"/>
    </xf>
    <xf numFmtId="40" fontId="0" fillId="0" borderId="155" xfId="0" applyNumberFormat="1" applyBorder="1"/>
    <xf numFmtId="180" fontId="0" fillId="5" borderId="150" xfId="0" applyNumberFormat="1" applyFill="1" applyBorder="1"/>
    <xf numFmtId="40" fontId="0" fillId="0" borderId="166" xfId="0" applyNumberFormat="1" applyBorder="1"/>
    <xf numFmtId="40" fontId="0" fillId="0" borderId="168" xfId="0" applyNumberFormat="1" applyBorder="1"/>
    <xf numFmtId="40" fontId="0" fillId="0" borderId="169" xfId="0" applyNumberFormat="1" applyBorder="1"/>
    <xf numFmtId="40" fontId="0" fillId="0" borderId="22" xfId="0" applyNumberFormat="1" applyBorder="1"/>
    <xf numFmtId="40" fontId="0" fillId="0" borderId="45" xfId="0" applyNumberFormat="1" applyBorder="1"/>
    <xf numFmtId="180" fontId="0" fillId="0" borderId="1" xfId="0" applyNumberFormat="1" applyBorder="1"/>
    <xf numFmtId="0" fontId="9" fillId="0" borderId="170" xfId="0" applyFont="1" applyBorder="1" applyAlignment="1">
      <alignment horizontal="center"/>
    </xf>
    <xf numFmtId="0" fontId="9" fillId="0" borderId="171" xfId="0" applyFont="1" applyBorder="1" applyAlignment="1">
      <alignment horizontal="center"/>
    </xf>
    <xf numFmtId="0" fontId="9" fillId="0" borderId="172" xfId="0" applyFont="1" applyBorder="1" applyAlignment="1">
      <alignment horizontal="center"/>
    </xf>
    <xf numFmtId="180" fontId="0" fillId="0" borderId="170" xfId="0" applyNumberFormat="1" applyBorder="1"/>
    <xf numFmtId="180" fontId="0" fillId="0" borderId="128" xfId="0" applyNumberFormat="1" applyBorder="1" applyAlignment="1">
      <alignment horizontal="center"/>
    </xf>
    <xf numFmtId="0" fontId="8" fillId="0" borderId="157" xfId="0" applyFont="1" applyBorder="1" applyAlignment="1">
      <alignment horizontal="center"/>
    </xf>
    <xf numFmtId="180" fontId="0" fillId="0" borderId="151" xfId="0" applyNumberFormat="1" applyBorder="1"/>
    <xf numFmtId="180" fontId="0" fillId="0" borderId="171" xfId="0" applyNumberFormat="1" applyBorder="1"/>
    <xf numFmtId="180" fontId="9" fillId="0" borderId="0" xfId="0" applyNumberFormat="1" applyFont="1" applyAlignment="1">
      <alignment horizontal="center"/>
    </xf>
    <xf numFmtId="180" fontId="0" fillId="0" borderId="159" xfId="0" applyNumberFormat="1" applyBorder="1"/>
    <xf numFmtId="2" fontId="8" fillId="0" borderId="0" xfId="0" applyNumberFormat="1" applyFont="1" applyAlignment="1">
      <alignment horizontal="center"/>
    </xf>
    <xf numFmtId="166" fontId="8" fillId="0" borderId="0" xfId="0" applyNumberFormat="1" applyFont="1" applyAlignment="1">
      <alignment horizontal="center"/>
    </xf>
    <xf numFmtId="180" fontId="0" fillId="0" borderId="154" xfId="0" applyNumberFormat="1" applyBorder="1"/>
    <xf numFmtId="0" fontId="8" fillId="0" borderId="0" xfId="0" applyFont="1" applyAlignment="1">
      <alignment horizontal="left"/>
    </xf>
    <xf numFmtId="0" fontId="8" fillId="0" borderId="162" xfId="0" applyFont="1" applyBorder="1" applyAlignment="1">
      <alignment horizontal="center"/>
    </xf>
    <xf numFmtId="180" fontId="0" fillId="5" borderId="162" xfId="0" applyNumberFormat="1" applyFill="1" applyBorder="1"/>
    <xf numFmtId="164" fontId="33" fillId="19" borderId="40" xfId="0" applyNumberFormat="1" applyFont="1" applyFill="1" applyBorder="1" applyAlignment="1" applyProtection="1">
      <alignment horizontal="center" vertical="center"/>
      <protection locked="0"/>
    </xf>
    <xf numFmtId="0" fontId="4" fillId="19" borderId="1" xfId="0" applyFont="1" applyFill="1" applyBorder="1" applyAlignment="1" applyProtection="1">
      <alignment horizontal="center" vertical="center" wrapText="1"/>
      <protection locked="0"/>
    </xf>
    <xf numFmtId="1" fontId="0" fillId="0" borderId="0" xfId="0" applyNumberFormat="1" applyAlignment="1" applyProtection="1">
      <alignment horizontal="center"/>
      <protection hidden="1"/>
    </xf>
    <xf numFmtId="167" fontId="0" fillId="0" borderId="0" xfId="0" applyNumberFormat="1" applyAlignment="1" applyProtection="1">
      <alignment horizontal="center"/>
      <protection hidden="1"/>
    </xf>
    <xf numFmtId="166" fontId="0" fillId="0" borderId="0" xfId="0" applyNumberFormat="1" applyAlignment="1" applyProtection="1">
      <alignment horizontal="center"/>
      <protection hidden="1"/>
    </xf>
    <xf numFmtId="164" fontId="0" fillId="0" borderId="0" xfId="0" applyNumberFormat="1" applyAlignment="1" applyProtection="1">
      <alignment horizontal="center"/>
      <protection hidden="1"/>
    </xf>
    <xf numFmtId="0" fontId="5" fillId="0" borderId="0" xfId="65" applyFont="1" applyAlignment="1" applyProtection="1">
      <alignment horizontal="center" vertical="center" wrapText="1"/>
      <protection hidden="1"/>
    </xf>
    <xf numFmtId="0" fontId="5" fillId="19" borderId="8" xfId="65" applyFont="1" applyFill="1" applyBorder="1" applyAlignment="1" applyProtection="1">
      <alignment horizontal="center" vertical="center"/>
      <protection hidden="1"/>
    </xf>
    <xf numFmtId="0" fontId="5" fillId="19" borderId="6" xfId="65" applyFont="1" applyFill="1" applyBorder="1" applyAlignment="1" applyProtection="1">
      <alignment horizontal="center" vertical="center"/>
      <protection hidden="1"/>
    </xf>
    <xf numFmtId="0" fontId="5" fillId="19" borderId="7" xfId="65" applyFont="1" applyFill="1" applyBorder="1" applyAlignment="1" applyProtection="1">
      <alignment horizontal="center" vertical="center"/>
      <protection hidden="1"/>
    </xf>
    <xf numFmtId="0" fontId="8" fillId="0" borderId="37" xfId="64" applyBorder="1"/>
    <xf numFmtId="0" fontId="8" fillId="0" borderId="36" xfId="64" applyBorder="1"/>
    <xf numFmtId="0" fontId="8" fillId="0" borderId="35" xfId="64" applyBorder="1"/>
    <xf numFmtId="164" fontId="8" fillId="21" borderId="15" xfId="64" applyNumberFormat="1" applyFill="1" applyBorder="1" applyAlignment="1" applyProtection="1">
      <alignment horizontal="center"/>
      <protection hidden="1"/>
    </xf>
    <xf numFmtId="164" fontId="8" fillId="21" borderId="0" xfId="64" applyNumberFormat="1" applyFill="1" applyAlignment="1" applyProtection="1">
      <alignment horizontal="center"/>
      <protection hidden="1"/>
    </xf>
    <xf numFmtId="0" fontId="8" fillId="18" borderId="0" xfId="64" applyFill="1" applyAlignment="1" applyProtection="1">
      <alignment horizontal="center"/>
      <protection hidden="1"/>
    </xf>
    <xf numFmtId="164" fontId="8" fillId="18" borderId="34" xfId="64" applyNumberFormat="1" applyFill="1" applyBorder="1" applyAlignment="1" applyProtection="1">
      <alignment horizontal="center"/>
      <protection hidden="1"/>
    </xf>
    <xf numFmtId="0" fontId="8" fillId="0" borderId="15" xfId="64" applyBorder="1" applyAlignment="1">
      <alignment horizontal="center" wrapText="1"/>
    </xf>
    <xf numFmtId="0" fontId="8" fillId="0" borderId="0" xfId="64" applyAlignment="1">
      <alignment horizontal="center" wrapText="1"/>
    </xf>
    <xf numFmtId="0" fontId="8" fillId="0" borderId="34" xfId="64" applyBorder="1" applyAlignment="1">
      <alignment horizontal="center" wrapText="1"/>
    </xf>
    <xf numFmtId="1" fontId="8" fillId="18" borderId="0" xfId="64" applyNumberFormat="1" applyFill="1" applyAlignment="1" applyProtection="1">
      <alignment horizontal="center"/>
      <protection hidden="1"/>
    </xf>
    <xf numFmtId="0" fontId="8" fillId="0" borderId="15" xfId="64" applyBorder="1"/>
    <xf numFmtId="0" fontId="8" fillId="0" borderId="34" xfId="64" applyBorder="1"/>
    <xf numFmtId="0" fontId="8" fillId="0" borderId="33" xfId="64" applyBorder="1"/>
    <xf numFmtId="0" fontId="8" fillId="0" borderId="2" xfId="64" applyBorder="1"/>
    <xf numFmtId="0" fontId="32" fillId="0" borderId="32" xfId="64" applyFont="1" applyBorder="1"/>
    <xf numFmtId="0" fontId="9" fillId="0" borderId="0" xfId="64" applyFont="1" applyAlignment="1">
      <alignment horizontal="center" wrapText="1"/>
    </xf>
    <xf numFmtId="164" fontId="0" fillId="0" borderId="6" xfId="0" applyNumberFormat="1" applyBorder="1" applyAlignment="1" applyProtection="1">
      <alignment horizontal="center"/>
      <protection hidden="1"/>
    </xf>
    <xf numFmtId="164" fontId="33" fillId="0" borderId="6" xfId="0" applyNumberFormat="1" applyFont="1" applyBorder="1" applyAlignment="1" applyProtection="1">
      <alignment horizontal="center" vertical="center"/>
      <protection hidden="1"/>
    </xf>
    <xf numFmtId="164" fontId="33" fillId="0" borderId="0" xfId="0" applyNumberFormat="1" applyFont="1" applyAlignment="1" applyProtection="1">
      <alignment horizontal="center" vertical="center"/>
      <protection hidden="1"/>
    </xf>
    <xf numFmtId="2" fontId="33" fillId="0" borderId="6" xfId="0" applyNumberFormat="1" applyFont="1" applyBorder="1" applyAlignment="1" applyProtection="1">
      <alignment horizontal="center" vertical="center"/>
      <protection hidden="1"/>
    </xf>
    <xf numFmtId="2" fontId="0" fillId="0" borderId="6" xfId="0" applyNumberFormat="1" applyBorder="1" applyAlignment="1" applyProtection="1">
      <alignment horizontal="center" vertical="center"/>
      <protection hidden="1"/>
    </xf>
    <xf numFmtId="0" fontId="8" fillId="0" borderId="0" xfId="0" applyFont="1" applyAlignment="1" applyProtection="1">
      <alignment horizontal="center" wrapText="1"/>
      <protection hidden="1"/>
    </xf>
    <xf numFmtId="0" fontId="0" fillId="0" borderId="0" xfId="0" applyAlignment="1" applyProtection="1">
      <alignment horizontal="center" wrapText="1"/>
      <protection hidden="1"/>
    </xf>
    <xf numFmtId="2" fontId="0" fillId="0" borderId="6" xfId="0" applyNumberFormat="1" applyBorder="1" applyAlignment="1" applyProtection="1">
      <alignment horizontal="center"/>
      <protection hidden="1"/>
    </xf>
    <xf numFmtId="0" fontId="0" fillId="0" borderId="6" xfId="0" applyBorder="1" applyAlignment="1" applyProtection="1">
      <alignment horizontal="center"/>
      <protection hidden="1"/>
    </xf>
    <xf numFmtId="1" fontId="0" fillId="0" borderId="6" xfId="0" applyNumberFormat="1" applyBorder="1" applyAlignment="1" applyProtection="1">
      <alignment horizontal="center"/>
      <protection hidden="1"/>
    </xf>
    <xf numFmtId="167" fontId="0" fillId="0" borderId="6" xfId="0" applyNumberFormat="1" applyBorder="1" applyAlignment="1" applyProtection="1">
      <alignment horizontal="center"/>
      <protection hidden="1"/>
    </xf>
    <xf numFmtId="166" fontId="0" fillId="0" borderId="6" xfId="0" applyNumberFormat="1" applyBorder="1" applyAlignment="1" applyProtection="1">
      <alignment horizontal="center"/>
      <protection hidden="1"/>
    </xf>
    <xf numFmtId="2" fontId="33" fillId="0" borderId="0" xfId="0" applyNumberFormat="1" applyFont="1" applyAlignment="1" applyProtection="1">
      <alignment horizontal="center" vertical="center"/>
      <protection hidden="1"/>
    </xf>
    <xf numFmtId="2" fontId="0" fillId="0" borderId="0" xfId="0" applyNumberFormat="1" applyAlignment="1" applyProtection="1">
      <alignment horizontal="center" vertical="center"/>
      <protection hidden="1"/>
    </xf>
    <xf numFmtId="2" fontId="8" fillId="18" borderId="0" xfId="64" applyNumberFormat="1" applyFill="1" applyProtection="1">
      <protection hidden="1"/>
    </xf>
    <xf numFmtId="1" fontId="9" fillId="21" borderId="34" xfId="64" applyNumberFormat="1" applyFont="1" applyFill="1" applyBorder="1" applyAlignment="1" applyProtection="1">
      <alignment horizontal="center"/>
      <protection hidden="1"/>
    </xf>
    <xf numFmtId="2" fontId="8" fillId="21" borderId="0" xfId="64" applyNumberFormat="1" applyFill="1" applyProtection="1">
      <protection hidden="1"/>
    </xf>
    <xf numFmtId="164" fontId="9" fillId="21" borderId="0" xfId="64" applyNumberFormat="1" applyFont="1" applyFill="1" applyProtection="1">
      <protection hidden="1"/>
    </xf>
    <xf numFmtId="0" fontId="9" fillId="0" borderId="34" xfId="0" applyFont="1" applyBorder="1" applyAlignment="1" applyProtection="1">
      <alignment horizontal="center" vertical="center" wrapText="1"/>
      <protection hidden="1"/>
    </xf>
    <xf numFmtId="0" fontId="9" fillId="0" borderId="0" xfId="0" applyFont="1" applyAlignment="1" applyProtection="1">
      <alignment horizontal="center" wrapText="1"/>
      <protection hidden="1"/>
    </xf>
    <xf numFmtId="0" fontId="9" fillId="0" borderId="15" xfId="0" applyFont="1" applyBorder="1" applyAlignment="1" applyProtection="1">
      <alignment horizontal="center" vertical="center" wrapText="1"/>
      <protection hidden="1"/>
    </xf>
    <xf numFmtId="0" fontId="76" fillId="0" borderId="0" xfId="0" applyFont="1" applyAlignment="1" applyProtection="1">
      <alignment horizontal="center" vertical="center"/>
      <protection hidden="1"/>
    </xf>
    <xf numFmtId="0" fontId="9" fillId="0" borderId="15" xfId="0" applyFont="1" applyBorder="1" applyAlignment="1" applyProtection="1">
      <alignment horizontal="center"/>
      <protection hidden="1"/>
    </xf>
    <xf numFmtId="0" fontId="9" fillId="0" borderId="0" xfId="64" applyFont="1" applyAlignment="1" applyProtection="1">
      <alignment horizontal="center" wrapText="1"/>
      <protection hidden="1"/>
    </xf>
    <xf numFmtId="0" fontId="9" fillId="0" borderId="0" xfId="64" applyFont="1" applyAlignment="1" applyProtection="1">
      <alignment horizontal="center"/>
      <protection hidden="1"/>
    </xf>
    <xf numFmtId="164" fontId="0" fillId="21" borderId="35" xfId="0" applyNumberFormat="1" applyFill="1" applyBorder="1" applyAlignment="1" applyProtection="1">
      <alignment horizontal="center"/>
      <protection hidden="1"/>
    </xf>
    <xf numFmtId="0" fontId="0" fillId="21" borderId="36" xfId="0" applyFill="1" applyBorder="1" applyAlignment="1" applyProtection="1">
      <alignment horizontal="center"/>
      <protection hidden="1"/>
    </xf>
    <xf numFmtId="164" fontId="33" fillId="21" borderId="36" xfId="0" applyNumberFormat="1" applyFont="1" applyFill="1" applyBorder="1" applyAlignment="1" applyProtection="1">
      <alignment horizontal="center" vertical="center"/>
      <protection hidden="1"/>
    </xf>
    <xf numFmtId="2" fontId="8" fillId="21" borderId="36" xfId="64" applyNumberFormat="1" applyFill="1" applyBorder="1" applyAlignment="1" applyProtection="1">
      <alignment horizontal="center"/>
      <protection hidden="1"/>
    </xf>
    <xf numFmtId="166" fontId="33" fillId="21" borderId="36" xfId="0" applyNumberFormat="1" applyFont="1" applyFill="1" applyBorder="1" applyAlignment="1" applyProtection="1">
      <alignment horizontal="center" vertical="center"/>
      <protection hidden="1"/>
    </xf>
    <xf numFmtId="2" fontId="33" fillId="21" borderId="36" xfId="0" applyNumberFormat="1" applyFont="1" applyFill="1" applyBorder="1" applyAlignment="1" applyProtection="1">
      <alignment horizontal="center" vertical="center"/>
      <protection hidden="1"/>
    </xf>
    <xf numFmtId="2" fontId="0" fillId="21" borderId="37" xfId="0" applyNumberFormat="1" applyFill="1" applyBorder="1" applyAlignment="1" applyProtection="1">
      <alignment horizontal="center" vertical="center"/>
      <protection hidden="1"/>
    </xf>
    <xf numFmtId="166" fontId="8" fillId="21" borderId="6" xfId="64" applyNumberFormat="1" applyFill="1" applyBorder="1" applyProtection="1">
      <protection hidden="1"/>
    </xf>
    <xf numFmtId="0" fontId="4" fillId="27" borderId="2" xfId="0" applyFont="1" applyFill="1" applyBorder="1" applyAlignment="1" applyProtection="1">
      <alignment vertical="center"/>
      <protection hidden="1"/>
    </xf>
    <xf numFmtId="0" fontId="4" fillId="27" borderId="0" xfId="0" applyFont="1" applyFill="1" applyAlignment="1" applyProtection="1">
      <alignment vertical="center"/>
      <protection hidden="1"/>
    </xf>
    <xf numFmtId="0" fontId="77" fillId="27" borderId="0" xfId="0" applyFont="1" applyFill="1" applyAlignment="1" applyProtection="1">
      <alignment horizontal="center" vertical="center"/>
      <protection hidden="1"/>
    </xf>
    <xf numFmtId="0" fontId="0" fillId="27" borderId="0" xfId="0" applyFill="1" applyAlignment="1" applyProtection="1">
      <alignment horizontal="center"/>
      <protection hidden="1"/>
    </xf>
    <xf numFmtId="0" fontId="0" fillId="27" borderId="0" xfId="0" applyFill="1" applyProtection="1">
      <protection hidden="1"/>
    </xf>
    <xf numFmtId="0" fontId="78" fillId="27" borderId="0" xfId="0" applyFont="1" applyFill="1" applyAlignment="1" applyProtection="1">
      <alignment horizontal="left" vertical="center"/>
      <protection hidden="1"/>
    </xf>
    <xf numFmtId="0" fontId="79" fillId="27" borderId="0" xfId="0" applyFont="1" applyFill="1" applyAlignment="1" applyProtection="1">
      <alignment horizontal="left" vertical="center"/>
      <protection hidden="1"/>
    </xf>
    <xf numFmtId="0" fontId="9" fillId="27" borderId="0" xfId="0" applyFont="1" applyFill="1" applyAlignment="1" applyProtection="1">
      <alignment horizontal="center" vertical="center" wrapText="1"/>
      <protection hidden="1"/>
    </xf>
    <xf numFmtId="0" fontId="0" fillId="27" borderId="0" xfId="0" applyFill="1" applyAlignment="1" applyProtection="1">
      <alignment horizontal="left" vertical="center"/>
      <protection hidden="1"/>
    </xf>
    <xf numFmtId="164" fontId="4" fillId="19" borderId="102" xfId="0" applyNumberFormat="1" applyFont="1" applyFill="1" applyBorder="1" applyAlignment="1" applyProtection="1">
      <alignment horizontal="center" vertical="center"/>
      <protection locked="0"/>
    </xf>
    <xf numFmtId="1" fontId="3" fillId="24" borderId="1" xfId="0" applyNumberFormat="1" applyFont="1" applyFill="1" applyBorder="1" applyAlignment="1" applyProtection="1">
      <alignment horizontal="center" vertical="center"/>
      <protection locked="0"/>
    </xf>
    <xf numFmtId="0" fontId="3" fillId="27" borderId="0" xfId="0" applyFont="1" applyFill="1" applyAlignment="1">
      <alignment vertical="center"/>
    </xf>
    <xf numFmtId="0" fontId="3" fillId="27" borderId="0" xfId="0" applyFont="1" applyFill="1" applyAlignment="1">
      <alignment horizontal="left" vertical="center"/>
    </xf>
    <xf numFmtId="0" fontId="3" fillId="27" borderId="0" xfId="0" applyFont="1" applyFill="1" applyAlignment="1">
      <alignment horizontal="center" vertical="center"/>
    </xf>
    <xf numFmtId="0" fontId="3" fillId="27" borderId="0" xfId="0" applyFont="1" applyFill="1" applyAlignment="1" applyProtection="1">
      <alignment vertical="center"/>
      <protection hidden="1"/>
    </xf>
    <xf numFmtId="0" fontId="6" fillId="27" borderId="0" xfId="0" applyFont="1" applyFill="1" applyAlignment="1" applyProtection="1">
      <alignment horizontal="center" vertical="center"/>
      <protection hidden="1"/>
    </xf>
    <xf numFmtId="175" fontId="88" fillId="3" borderId="12" xfId="279" applyNumberFormat="1" applyFill="1" applyBorder="1" applyProtection="1">
      <protection locked="0"/>
    </xf>
    <xf numFmtId="175" fontId="88" fillId="3" borderId="6" xfId="279" applyNumberFormat="1" applyFill="1" applyBorder="1" applyProtection="1">
      <protection locked="0"/>
    </xf>
    <xf numFmtId="0" fontId="59" fillId="22" borderId="0" xfId="279" applyFont="1" applyFill="1" applyAlignment="1" applyProtection="1">
      <alignment horizontal="center" vertical="center"/>
      <protection hidden="1"/>
    </xf>
    <xf numFmtId="0" fontId="8" fillId="20" borderId="0" xfId="279" applyFont="1" applyFill="1" applyAlignment="1" applyProtection="1">
      <alignment horizontal="center" vertical="center" textRotation="90" wrapText="1" shrinkToFit="1"/>
      <protection hidden="1"/>
    </xf>
    <xf numFmtId="0" fontId="61" fillId="0" borderId="100" xfId="279" applyFont="1" applyBorder="1" applyAlignment="1" applyProtection="1">
      <alignment horizontal="center" wrapText="1"/>
      <protection hidden="1"/>
    </xf>
    <xf numFmtId="0" fontId="61" fillId="0" borderId="101" xfId="279" applyFont="1" applyBorder="1" applyAlignment="1" applyProtection="1">
      <alignment horizontal="centerContinuous" wrapText="1"/>
      <protection hidden="1"/>
    </xf>
    <xf numFmtId="0" fontId="61" fillId="0" borderId="71" xfId="279" applyFont="1" applyBorder="1" applyAlignment="1">
      <alignment horizontal="center"/>
    </xf>
    <xf numFmtId="1" fontId="61" fillId="0" borderId="71" xfId="279" applyNumberFormat="1" applyFont="1" applyBorder="1" applyAlignment="1">
      <alignment horizontal="centerContinuous"/>
    </xf>
    <xf numFmtId="0" fontId="61" fillId="0" borderId="82" xfId="279" applyFont="1" applyBorder="1" applyAlignment="1">
      <alignment horizontal="centerContinuous"/>
    </xf>
    <xf numFmtId="0" fontId="61" fillId="0" borderId="10" xfId="279" applyFont="1" applyBorder="1" applyAlignment="1">
      <alignment horizontal="center"/>
    </xf>
    <xf numFmtId="0" fontId="94" fillId="0" borderId="11" xfId="279" applyFont="1" applyBorder="1" applyAlignment="1" applyProtection="1">
      <alignment horizontal="centerContinuous"/>
      <protection hidden="1"/>
    </xf>
    <xf numFmtId="0" fontId="61" fillId="0" borderId="11" xfId="279" applyFont="1" applyBorder="1" applyAlignment="1" applyProtection="1">
      <alignment horizontal="center" wrapText="1"/>
      <protection hidden="1"/>
    </xf>
    <xf numFmtId="0" fontId="61" fillId="0" borderId="60" xfId="279" applyFont="1" applyBorder="1" applyAlignment="1" applyProtection="1">
      <alignment horizontal="centerContinuous" wrapText="1"/>
      <protection hidden="1"/>
    </xf>
    <xf numFmtId="1" fontId="61" fillId="0" borderId="10" xfId="279" applyNumberFormat="1" applyFont="1" applyBorder="1" applyAlignment="1">
      <alignment horizontal="centerContinuous"/>
    </xf>
    <xf numFmtId="0" fontId="61" fillId="0" borderId="60" xfId="279" applyFont="1" applyBorder="1" applyAlignment="1" applyProtection="1">
      <alignment horizontal="center" wrapText="1"/>
      <protection hidden="1"/>
    </xf>
    <xf numFmtId="0" fontId="61" fillId="0" borderId="20" xfId="279" applyFont="1" applyBorder="1" applyAlignment="1">
      <alignment horizontal="center" wrapText="1"/>
    </xf>
    <xf numFmtId="0" fontId="61" fillId="0" borderId="11" xfId="279" applyFont="1" applyBorder="1" applyAlignment="1" applyProtection="1">
      <alignment horizontal="centerContinuous" wrapText="1"/>
      <protection hidden="1"/>
    </xf>
    <xf numFmtId="1" fontId="61" fillId="0" borderId="60" xfId="279" applyNumberFormat="1" applyFont="1" applyBorder="1" applyAlignment="1">
      <alignment horizontal="centerContinuous"/>
    </xf>
    <xf numFmtId="0" fontId="61" fillId="0" borderId="80" xfId="279" applyFont="1" applyBorder="1" applyAlignment="1">
      <alignment horizontal="center"/>
    </xf>
    <xf numFmtId="0" fontId="61" fillId="0" borderId="11" xfId="279" applyFont="1" applyBorder="1" applyAlignment="1" applyProtection="1">
      <alignment horizontal="centerContinuous"/>
      <protection hidden="1"/>
    </xf>
    <xf numFmtId="1" fontId="61" fillId="0" borderId="10" xfId="279" applyNumberFormat="1" applyFont="1" applyBorder="1" applyAlignment="1">
      <alignment horizontal="center"/>
    </xf>
    <xf numFmtId="0" fontId="61" fillId="0" borderId="61" xfId="279" applyFont="1" applyBorder="1" applyAlignment="1" applyProtection="1">
      <alignment horizontal="center" wrapText="1"/>
      <protection hidden="1"/>
    </xf>
    <xf numFmtId="0" fontId="61" fillId="0" borderId="61" xfId="279" applyFont="1" applyBorder="1" applyAlignment="1" applyProtection="1">
      <alignment horizontal="centerContinuous" wrapText="1"/>
      <protection hidden="1"/>
    </xf>
    <xf numFmtId="0" fontId="61" fillId="0" borderId="60" xfId="279" applyFont="1" applyBorder="1" applyAlignment="1">
      <alignment horizontal="centerContinuous"/>
    </xf>
    <xf numFmtId="0" fontId="61" fillId="0" borderId="79" xfId="279" applyFont="1" applyBorder="1" applyAlignment="1">
      <alignment horizontal="centerContinuous"/>
    </xf>
    <xf numFmtId="1" fontId="61" fillId="0" borderId="10" xfId="279" applyNumberFormat="1" applyFont="1" applyBorder="1" applyAlignment="1" applyProtection="1">
      <alignment horizontal="center"/>
      <protection hidden="1"/>
    </xf>
    <xf numFmtId="9" fontId="61" fillId="0" borderId="62" xfId="279" applyNumberFormat="1" applyFont="1" applyBorder="1" applyAlignment="1">
      <alignment horizontal="centerContinuous"/>
    </xf>
    <xf numFmtId="0" fontId="61" fillId="0" borderId="97" xfId="279" applyFont="1" applyBorder="1" applyAlignment="1" applyProtection="1">
      <alignment horizontal="centerContinuous"/>
      <protection hidden="1"/>
    </xf>
    <xf numFmtId="0" fontId="61" fillId="0" borderId="99" xfId="279" applyFont="1" applyBorder="1" applyAlignment="1" applyProtection="1">
      <alignment horizontal="center" wrapText="1"/>
      <protection hidden="1"/>
    </xf>
    <xf numFmtId="1" fontId="61" fillId="0" borderId="136" xfId="279" applyNumberFormat="1" applyFont="1" applyBorder="1" applyAlignment="1">
      <alignment horizontal="center"/>
    </xf>
    <xf numFmtId="0" fontId="61" fillId="0" borderId="68" xfId="279" applyFont="1" applyBorder="1" applyAlignment="1">
      <alignment horizontal="center"/>
    </xf>
    <xf numFmtId="164" fontId="61" fillId="0" borderId="68" xfId="279" applyNumberFormat="1" applyFont="1" applyBorder="1" applyAlignment="1">
      <alignment horizontal="centerContinuous"/>
    </xf>
    <xf numFmtId="1" fontId="61" fillId="0" borderId="68" xfId="279" applyNumberFormat="1" applyFont="1" applyBorder="1" applyAlignment="1">
      <alignment horizontal="centerContinuous"/>
    </xf>
    <xf numFmtId="1" fontId="61" fillId="0" borderId="60" xfId="279" applyNumberFormat="1" applyFont="1" applyBorder="1" applyAlignment="1">
      <alignment horizontal="center"/>
    </xf>
    <xf numFmtId="0" fontId="61" fillId="0" borderId="36" xfId="279" applyFont="1" applyBorder="1" applyAlignment="1" applyProtection="1">
      <alignment horizontal="centerContinuous"/>
      <protection hidden="1"/>
    </xf>
    <xf numFmtId="3" fontId="61" fillId="0" borderId="140" xfId="279" applyNumberFormat="1" applyFont="1" applyBorder="1" applyAlignment="1">
      <alignment horizontal="center"/>
    </xf>
    <xf numFmtId="0" fontId="61" fillId="0" borderId="94" xfId="279" applyFont="1" applyBorder="1" applyAlignment="1" applyProtection="1">
      <alignment horizontal="center"/>
      <protection hidden="1"/>
    </xf>
    <xf numFmtId="0" fontId="61" fillId="0" borderId="11" xfId="279" applyFont="1" applyBorder="1" applyAlignment="1" applyProtection="1">
      <alignment horizontal="center" vertical="center"/>
      <protection hidden="1"/>
    </xf>
    <xf numFmtId="0" fontId="61" fillId="0" borderId="18" xfId="279" applyFont="1" applyBorder="1" applyAlignment="1" applyProtection="1">
      <alignment horizontal="center" vertical="top"/>
      <protection hidden="1"/>
    </xf>
    <xf numFmtId="0" fontId="61" fillId="0" borderId="65" xfId="279" applyFont="1" applyBorder="1" applyAlignment="1" applyProtection="1">
      <alignment horizontal="centerContinuous" vertical="center"/>
      <protection hidden="1"/>
    </xf>
    <xf numFmtId="0" fontId="61" fillId="0" borderId="18" xfId="279" applyFont="1" applyBorder="1" applyAlignment="1" applyProtection="1">
      <alignment horizontal="center"/>
      <protection hidden="1"/>
    </xf>
    <xf numFmtId="0" fontId="61" fillId="0" borderId="62" xfId="279" applyFont="1" applyBorder="1" applyAlignment="1" applyProtection="1">
      <alignment horizontal="centerContinuous" vertical="center"/>
      <protection hidden="1"/>
    </xf>
    <xf numFmtId="0" fontId="61" fillId="0" borderId="18" xfId="279" applyFont="1" applyBorder="1" applyAlignment="1" applyProtection="1">
      <alignment horizontal="center" vertical="center"/>
      <protection hidden="1"/>
    </xf>
    <xf numFmtId="0" fontId="61" fillId="0" borderId="63" xfId="279" applyFont="1" applyBorder="1" applyAlignment="1" applyProtection="1">
      <alignment horizontal="centerContinuous" vertical="center"/>
      <protection hidden="1"/>
    </xf>
    <xf numFmtId="0" fontId="61" fillId="0" borderId="66" xfId="279" applyFont="1" applyBorder="1" applyAlignment="1" applyProtection="1">
      <alignment horizontal="centerContinuous" vertical="center"/>
      <protection hidden="1"/>
    </xf>
    <xf numFmtId="0" fontId="61" fillId="0" borderId="19" xfId="279" applyFont="1" applyBorder="1" applyAlignment="1" applyProtection="1">
      <alignment horizontal="center" vertical="center"/>
      <protection hidden="1"/>
    </xf>
    <xf numFmtId="0" fontId="61" fillId="0" borderId="95" xfId="279" applyFont="1" applyBorder="1" applyAlignment="1" applyProtection="1">
      <alignment horizontal="center"/>
      <protection hidden="1"/>
    </xf>
    <xf numFmtId="0" fontId="61" fillId="0" borderId="18" xfId="279" applyFont="1" applyBorder="1" applyAlignment="1" applyProtection="1">
      <alignment horizontal="centerContinuous" vertical="center"/>
      <protection hidden="1"/>
    </xf>
    <xf numFmtId="0" fontId="61" fillId="0" borderId="19" xfId="279" applyFont="1" applyBorder="1" applyAlignment="1" applyProtection="1">
      <alignment horizontal="center" vertical="top"/>
      <protection hidden="1"/>
    </xf>
    <xf numFmtId="0" fontId="61" fillId="0" borderId="19" xfId="279" applyFont="1" applyBorder="1" applyAlignment="1" applyProtection="1">
      <alignment horizontal="center"/>
      <protection hidden="1"/>
    </xf>
    <xf numFmtId="0" fontId="61" fillId="0" borderId="112" xfId="279" applyFont="1" applyBorder="1" applyAlignment="1" applyProtection="1">
      <alignment horizontal="center" vertical="top"/>
      <protection hidden="1"/>
    </xf>
    <xf numFmtId="0" fontId="61" fillId="0" borderId="113" xfId="279" applyFont="1" applyBorder="1" applyAlignment="1" applyProtection="1">
      <alignment horizontal="center" vertical="center"/>
      <protection hidden="1"/>
    </xf>
    <xf numFmtId="0" fontId="61" fillId="0" borderId="113" xfId="279" applyFont="1" applyBorder="1" applyAlignment="1" applyProtection="1">
      <alignment horizontal="center" vertical="top" wrapText="1"/>
      <protection hidden="1"/>
    </xf>
    <xf numFmtId="0" fontId="61" fillId="0" borderId="99" xfId="279" applyFont="1" applyBorder="1" applyAlignment="1" applyProtection="1">
      <alignment horizontal="centerContinuous" vertical="top"/>
      <protection hidden="1"/>
    </xf>
    <xf numFmtId="0" fontId="61" fillId="0" borderId="113" xfId="279" applyFont="1" applyBorder="1" applyAlignment="1" applyProtection="1">
      <alignment horizontal="center" vertical="top"/>
      <protection hidden="1"/>
    </xf>
    <xf numFmtId="0" fontId="61" fillId="0" borderId="113" xfId="279" applyFont="1" applyBorder="1" applyAlignment="1" applyProtection="1">
      <alignment horizontal="center" vertical="center" wrapText="1"/>
      <protection hidden="1"/>
    </xf>
    <xf numFmtId="0" fontId="61" fillId="0" borderId="113" xfId="279" applyFont="1" applyBorder="1" applyAlignment="1" applyProtection="1">
      <alignment horizontal="centerContinuous" vertical="center" wrapText="1"/>
      <protection hidden="1"/>
    </xf>
    <xf numFmtId="0" fontId="61" fillId="0" borderId="113" xfId="279" applyFont="1" applyBorder="1" applyAlignment="1" applyProtection="1">
      <alignment horizontal="centerContinuous" vertical="top" wrapText="1"/>
      <protection hidden="1"/>
    </xf>
    <xf numFmtId="0" fontId="61" fillId="0" borderId="25" xfId="279" applyFont="1" applyBorder="1" applyAlignment="1" applyProtection="1">
      <alignment horizontal="center" vertical="top" wrapText="1"/>
      <protection hidden="1"/>
    </xf>
    <xf numFmtId="0" fontId="61" fillId="0" borderId="25" xfId="279" applyFont="1" applyBorder="1" applyAlignment="1" applyProtection="1">
      <alignment horizontal="center" vertical="center" wrapText="1"/>
      <protection hidden="1"/>
    </xf>
    <xf numFmtId="0" fontId="61" fillId="0" borderId="135" xfId="279" applyFont="1" applyBorder="1" applyAlignment="1">
      <alignment horizontal="center" vertical="top"/>
    </xf>
    <xf numFmtId="0" fontId="61" fillId="0" borderId="11" xfId="279" applyFont="1" applyBorder="1" applyAlignment="1" applyProtection="1">
      <alignment horizontal="right" vertical="center"/>
      <protection hidden="1"/>
    </xf>
    <xf numFmtId="0" fontId="61" fillId="0" borderId="10" xfId="279" applyFont="1" applyBorder="1" applyAlignment="1" applyProtection="1">
      <alignment horizontal="left" vertical="center"/>
      <protection hidden="1"/>
    </xf>
    <xf numFmtId="0" fontId="61" fillId="0" borderId="67" xfId="279" applyFont="1" applyBorder="1" applyAlignment="1">
      <alignment horizontal="centerContinuous" vertical="center"/>
    </xf>
    <xf numFmtId="0" fontId="61" fillId="0" borderId="67" xfId="279" applyFont="1" applyBorder="1" applyAlignment="1">
      <alignment horizontal="center" vertical="center"/>
    </xf>
    <xf numFmtId="164" fontId="61" fillId="0" borderId="67" xfId="279" applyNumberFormat="1" applyFont="1" applyBorder="1" applyAlignment="1">
      <alignment horizontal="centerContinuous" vertical="center"/>
    </xf>
    <xf numFmtId="1" fontId="61" fillId="0" borderId="12" xfId="279" applyNumberFormat="1" applyFont="1" applyBorder="1" applyAlignment="1">
      <alignment horizontal="center" vertical="top"/>
    </xf>
    <xf numFmtId="0" fontId="61" fillId="0" borderId="12" xfId="279" applyFont="1" applyBorder="1" applyAlignment="1">
      <alignment horizontal="center" vertical="top"/>
    </xf>
    <xf numFmtId="0" fontId="61" fillId="0" borderId="12" xfId="279" applyFont="1" applyBorder="1" applyAlignment="1">
      <alignment horizontal="centerContinuous" vertical="top"/>
    </xf>
    <xf numFmtId="164" fontId="61" fillId="0" borderId="12" xfId="279" applyNumberFormat="1" applyFont="1" applyBorder="1" applyAlignment="1">
      <alignment horizontal="centerContinuous" vertical="top"/>
    </xf>
    <xf numFmtId="164" fontId="61" fillId="0" borderId="12" xfId="279" applyNumberFormat="1" applyFont="1" applyBorder="1" applyAlignment="1">
      <alignment horizontal="centerContinuous" vertical="center"/>
    </xf>
    <xf numFmtId="0" fontId="61" fillId="0" borderId="116" xfId="279" applyFont="1" applyBorder="1" applyAlignment="1">
      <alignment horizontal="center" vertical="top"/>
    </xf>
    <xf numFmtId="0" fontId="61" fillId="0" borderId="11" xfId="279" applyFont="1" applyBorder="1" applyAlignment="1">
      <alignment horizontal="centerContinuous" vertical="center"/>
    </xf>
    <xf numFmtId="0" fontId="61" fillId="0" borderId="10" xfId="279" applyFont="1" applyBorder="1" applyAlignment="1">
      <alignment horizontal="centerContinuous" vertical="center"/>
    </xf>
    <xf numFmtId="0" fontId="61" fillId="0" borderId="11" xfId="279" applyFont="1" applyBorder="1" applyAlignment="1">
      <alignment horizontal="center" vertical="center"/>
    </xf>
    <xf numFmtId="164" fontId="61" fillId="0" borderId="11" xfId="279" applyNumberFormat="1" applyFont="1" applyBorder="1" applyAlignment="1">
      <alignment horizontal="centerContinuous" vertical="center"/>
    </xf>
    <xf numFmtId="1" fontId="61" fillId="0" borderId="6" xfId="279" applyNumberFormat="1" applyFont="1" applyBorder="1" applyAlignment="1">
      <alignment horizontal="center" vertical="top"/>
    </xf>
    <xf numFmtId="0" fontId="61" fillId="0" borderId="6" xfId="279" applyFont="1" applyBorder="1" applyAlignment="1">
      <alignment horizontal="center" vertical="top"/>
    </xf>
    <xf numFmtId="0" fontId="61" fillId="0" borderId="6" xfId="279" applyFont="1" applyBorder="1" applyAlignment="1">
      <alignment horizontal="centerContinuous" vertical="top"/>
    </xf>
    <xf numFmtId="164" fontId="61" fillId="0" borderId="6" xfId="279" applyNumberFormat="1" applyFont="1" applyBorder="1" applyAlignment="1">
      <alignment horizontal="centerContinuous" vertical="top"/>
    </xf>
    <xf numFmtId="0" fontId="61" fillId="0" borderId="60" xfId="279" applyFont="1" applyBorder="1" applyAlignment="1">
      <alignment horizontal="centerContinuous" vertical="center"/>
    </xf>
    <xf numFmtId="0" fontId="61" fillId="0" borderId="141" xfId="279" applyFont="1" applyBorder="1" applyAlignment="1">
      <alignment horizontal="centerContinuous" vertical="center"/>
    </xf>
    <xf numFmtId="0" fontId="61" fillId="0" borderId="117" xfId="279" applyFont="1" applyBorder="1" applyAlignment="1" applyProtection="1">
      <alignment horizontal="center" vertical="top"/>
      <protection hidden="1"/>
    </xf>
    <xf numFmtId="0" fontId="61" fillId="0" borderId="102" xfId="279" applyFont="1" applyBorder="1" applyAlignment="1" applyProtection="1">
      <alignment horizontal="centerContinuous" vertical="center"/>
      <protection hidden="1"/>
    </xf>
    <xf numFmtId="0" fontId="61" fillId="0" borderId="68" xfId="279" applyFont="1" applyBorder="1" applyAlignment="1" applyProtection="1">
      <alignment horizontal="centerContinuous" vertical="center"/>
      <protection hidden="1"/>
    </xf>
    <xf numFmtId="0" fontId="61" fillId="0" borderId="25" xfId="279" applyFont="1" applyBorder="1" applyAlignment="1" applyProtection="1">
      <alignment horizontal="center" vertical="center"/>
      <protection hidden="1"/>
    </xf>
    <xf numFmtId="0" fontId="61" fillId="0" borderId="97" xfId="279" applyFont="1" applyBorder="1" applyAlignment="1" applyProtection="1">
      <alignment horizontal="centerContinuous" vertical="top"/>
      <protection hidden="1"/>
    </xf>
    <xf numFmtId="0" fontId="61" fillId="0" borderId="25" xfId="279" applyFont="1" applyBorder="1" applyAlignment="1" applyProtection="1">
      <alignment horizontal="centerContinuous" vertical="top"/>
      <protection hidden="1"/>
    </xf>
    <xf numFmtId="164" fontId="61" fillId="0" borderId="25" xfId="279" applyNumberFormat="1" applyFont="1" applyBorder="1" applyAlignment="1">
      <alignment horizontal="centerContinuous" vertical="center" wrapText="1"/>
    </xf>
    <xf numFmtId="1" fontId="61" fillId="0" borderId="25" xfId="279" applyNumberFormat="1" applyFont="1" applyBorder="1" applyAlignment="1">
      <alignment horizontal="centerContinuous" vertical="top" wrapText="1"/>
    </xf>
    <xf numFmtId="164" fontId="61" fillId="0" borderId="25" xfId="279" applyNumberFormat="1" applyFont="1" applyBorder="1" applyAlignment="1" applyProtection="1">
      <alignment horizontal="center" vertical="top" wrapText="1"/>
      <protection hidden="1"/>
    </xf>
    <xf numFmtId="164" fontId="61" fillId="0" borderId="102" xfId="279" applyNumberFormat="1" applyFont="1" applyBorder="1" applyAlignment="1" applyProtection="1">
      <alignment horizontal="centerContinuous" vertical="center"/>
      <protection hidden="1"/>
    </xf>
    <xf numFmtId="0" fontId="61" fillId="0" borderId="97" xfId="279" applyFont="1" applyBorder="1" applyAlignment="1" applyProtection="1">
      <alignment horizontal="centerContinuous" vertical="center"/>
      <protection hidden="1"/>
    </xf>
    <xf numFmtId="0" fontId="61" fillId="0" borderId="140" xfId="279" applyFont="1" applyBorder="1" applyAlignment="1" applyProtection="1">
      <alignment horizontal="centerContinuous" vertical="center"/>
      <protection hidden="1"/>
    </xf>
    <xf numFmtId="0" fontId="61" fillId="0" borderId="67" xfId="279" applyFont="1" applyBorder="1" applyAlignment="1">
      <alignment horizontal="right" vertical="center"/>
    </xf>
    <xf numFmtId="0" fontId="61" fillId="0" borderId="64" xfId="279" applyFont="1" applyBorder="1" applyAlignment="1">
      <alignment horizontal="left" vertical="center"/>
    </xf>
    <xf numFmtId="164" fontId="61" fillId="0" borderId="0" xfId="279" applyNumberFormat="1" applyFont="1"/>
    <xf numFmtId="1" fontId="61" fillId="0" borderId="0" xfId="279" applyNumberFormat="1" applyFont="1"/>
    <xf numFmtId="0" fontId="61" fillId="0" borderId="116" xfId="279" applyFont="1" applyBorder="1" applyAlignment="1" applyProtection="1">
      <alignment horizontal="center" vertical="center"/>
      <protection hidden="1"/>
    </xf>
    <xf numFmtId="164" fontId="61" fillId="0" borderId="11" xfId="279" applyNumberFormat="1" applyFont="1" applyBorder="1" applyAlignment="1" applyProtection="1">
      <alignment horizontal="center" vertical="center"/>
      <protection hidden="1"/>
    </xf>
    <xf numFmtId="1" fontId="61" fillId="0" borderId="6" xfId="279" applyNumberFormat="1" applyFont="1" applyBorder="1" applyAlignment="1" applyProtection="1">
      <alignment horizontal="center" vertical="center"/>
      <protection hidden="1"/>
    </xf>
    <xf numFmtId="0" fontId="61" fillId="0" borderId="6" xfId="279" applyFont="1" applyBorder="1" applyAlignment="1" applyProtection="1">
      <alignment horizontal="center" vertical="center"/>
      <protection hidden="1"/>
    </xf>
    <xf numFmtId="164" fontId="61" fillId="0" borderId="6" xfId="279" applyNumberFormat="1" applyFont="1" applyBorder="1" applyAlignment="1" applyProtection="1">
      <alignment horizontal="center" vertical="center"/>
      <protection hidden="1"/>
    </xf>
    <xf numFmtId="0" fontId="39" fillId="0" borderId="0" xfId="279" applyFont="1"/>
    <xf numFmtId="0" fontId="46" fillId="0" borderId="0" xfId="279" applyFont="1"/>
    <xf numFmtId="0" fontId="82" fillId="0" borderId="0" xfId="279" applyFont="1"/>
    <xf numFmtId="0" fontId="89" fillId="0" borderId="0" xfId="277" applyFont="1"/>
    <xf numFmtId="0" fontId="8" fillId="0" borderId="0" xfId="277"/>
    <xf numFmtId="13" fontId="8" fillId="0" borderId="0" xfId="277" applyNumberFormat="1" applyAlignment="1">
      <alignment horizontal="center"/>
    </xf>
    <xf numFmtId="0" fontId="8" fillId="0" borderId="0" xfId="277" applyAlignment="1">
      <alignment horizontal="left"/>
    </xf>
    <xf numFmtId="0" fontId="8" fillId="0" borderId="19" xfId="277" applyBorder="1" applyAlignment="1" applyProtection="1">
      <alignment horizontal="center"/>
      <protection hidden="1"/>
    </xf>
    <xf numFmtId="0" fontId="8" fillId="0" borderId="113" xfId="277" applyBorder="1" applyAlignment="1" applyProtection="1">
      <alignment horizontal="center"/>
      <protection hidden="1"/>
    </xf>
    <xf numFmtId="0" fontId="95" fillId="0" borderId="0" xfId="0" applyFont="1"/>
    <xf numFmtId="0" fontId="8" fillId="0" borderId="0" xfId="277" applyProtection="1">
      <protection hidden="1"/>
    </xf>
    <xf numFmtId="0" fontId="19" fillId="22" borderId="92" xfId="0" applyFont="1" applyFill="1" applyBorder="1" applyAlignment="1" applyProtection="1">
      <alignment horizontal="center" vertical="center" wrapText="1"/>
      <protection hidden="1"/>
    </xf>
    <xf numFmtId="0" fontId="23" fillId="0" borderId="63" xfId="277" applyFont="1" applyBorder="1" applyAlignment="1" applyProtection="1">
      <alignment vertical="center" wrapText="1"/>
      <protection hidden="1"/>
    </xf>
    <xf numFmtId="0" fontId="8" fillId="0" borderId="19" xfId="277" applyBorder="1" applyAlignment="1" applyProtection="1">
      <alignment vertical="center" wrapText="1"/>
      <protection hidden="1"/>
    </xf>
    <xf numFmtId="0" fontId="8" fillId="0" borderId="66" xfId="277" applyBorder="1" applyAlignment="1" applyProtection="1">
      <alignment vertical="center" wrapText="1"/>
      <protection hidden="1"/>
    </xf>
    <xf numFmtId="0" fontId="23" fillId="0" borderId="64" xfId="277" applyFont="1" applyBorder="1" applyAlignment="1" applyProtection="1">
      <alignment vertical="center" wrapText="1"/>
      <protection hidden="1"/>
    </xf>
    <xf numFmtId="0" fontId="8" fillId="0" borderId="64" xfId="277" applyBorder="1" applyAlignment="1" applyProtection="1">
      <alignment vertical="center" wrapText="1"/>
      <protection hidden="1"/>
    </xf>
    <xf numFmtId="0" fontId="8" fillId="0" borderId="12" xfId="277" applyBorder="1" applyAlignment="1" applyProtection="1">
      <alignment vertical="center" wrapText="1"/>
      <protection hidden="1"/>
    </xf>
    <xf numFmtId="0" fontId="8" fillId="0" borderId="67" xfId="277" applyBorder="1" applyAlignment="1" applyProtection="1">
      <alignment vertical="center" wrapText="1"/>
      <protection hidden="1"/>
    </xf>
    <xf numFmtId="0" fontId="8" fillId="0" borderId="20" xfId="277" applyBorder="1" applyAlignment="1" applyProtection="1">
      <alignment vertical="center" wrapText="1"/>
      <protection hidden="1"/>
    </xf>
    <xf numFmtId="0" fontId="8" fillId="0" borderId="25" xfId="277" applyBorder="1" applyAlignment="1" applyProtection="1">
      <alignment horizontal="center" vertical="center" wrapText="1"/>
      <protection hidden="1"/>
    </xf>
    <xf numFmtId="0" fontId="8" fillId="0" borderId="25" xfId="277" applyBorder="1" applyAlignment="1" applyProtection="1">
      <alignment horizontal="center" vertical="center" textRotation="90" wrapText="1"/>
      <protection hidden="1"/>
    </xf>
    <xf numFmtId="0" fontId="8" fillId="0" borderId="25" xfId="277" applyBorder="1" applyAlignment="1" applyProtection="1">
      <alignment horizontal="center" vertical="center" textRotation="90"/>
      <protection hidden="1"/>
    </xf>
    <xf numFmtId="0" fontId="8" fillId="0" borderId="25" xfId="277" applyBorder="1" applyAlignment="1" applyProtection="1">
      <alignment horizontal="center" vertical="center" textRotation="90" shrinkToFit="1"/>
      <protection hidden="1"/>
    </xf>
    <xf numFmtId="0" fontId="8" fillId="0" borderId="68" xfId="277" applyBorder="1" applyAlignment="1" applyProtection="1">
      <alignment horizontal="center" vertical="center" textRotation="90" shrinkToFit="1"/>
      <protection hidden="1"/>
    </xf>
    <xf numFmtId="0" fontId="8" fillId="0" borderId="6" xfId="277" applyBorder="1" applyAlignment="1">
      <alignment horizontal="center"/>
    </xf>
    <xf numFmtId="20" fontId="8" fillId="0" borderId="6" xfId="277" applyNumberFormat="1" applyBorder="1" applyAlignment="1">
      <alignment horizontal="center"/>
    </xf>
    <xf numFmtId="20" fontId="8" fillId="0" borderId="63" xfId="277" applyNumberFormat="1" applyBorder="1" applyAlignment="1">
      <alignment horizontal="center"/>
    </xf>
    <xf numFmtId="20" fontId="8" fillId="0" borderId="128" xfId="277" applyNumberFormat="1" applyBorder="1" applyAlignment="1">
      <alignment horizontal="center"/>
    </xf>
    <xf numFmtId="0" fontId="89" fillId="0" borderId="0" xfId="277" applyFont="1" applyAlignment="1">
      <alignment horizontal="center"/>
    </xf>
    <xf numFmtId="0" fontId="8" fillId="0" borderId="77" xfId="277" applyBorder="1"/>
    <xf numFmtId="0" fontId="88" fillId="0" borderId="6" xfId="279" applyBorder="1" applyAlignment="1" applyProtection="1">
      <alignment horizontal="center"/>
      <protection hidden="1"/>
    </xf>
    <xf numFmtId="1" fontId="88" fillId="0" borderId="6" xfId="279" applyNumberFormat="1" applyBorder="1" applyAlignment="1" applyProtection="1">
      <alignment horizontal="center"/>
      <protection hidden="1"/>
    </xf>
    <xf numFmtId="2" fontId="4" fillId="7" borderId="29" xfId="0" applyNumberFormat="1" applyFont="1" applyFill="1" applyBorder="1" applyAlignment="1" applyProtection="1">
      <alignment vertical="center"/>
      <protection hidden="1"/>
    </xf>
    <xf numFmtId="2" fontId="4" fillId="7" borderId="13" xfId="0" applyNumberFormat="1" applyFont="1" applyFill="1" applyBorder="1" applyAlignment="1" applyProtection="1">
      <alignment horizontal="left" vertical="center"/>
      <protection hidden="1"/>
    </xf>
    <xf numFmtId="164" fontId="33" fillId="21" borderId="34" xfId="0" applyNumberFormat="1" applyFont="1" applyFill="1" applyBorder="1" applyAlignment="1" applyProtection="1">
      <alignment horizontal="center"/>
      <protection locked="0"/>
    </xf>
    <xf numFmtId="164" fontId="33" fillId="19" borderId="0" xfId="0" applyNumberFormat="1" applyFont="1" applyFill="1" applyAlignment="1" applyProtection="1">
      <alignment horizontal="center"/>
      <protection hidden="1"/>
    </xf>
    <xf numFmtId="49" fontId="8" fillId="0" borderId="6" xfId="277" applyNumberFormat="1" applyBorder="1" applyAlignment="1">
      <alignment horizontal="center"/>
    </xf>
    <xf numFmtId="0" fontId="88" fillId="28" borderId="6" xfId="279" applyFill="1" applyBorder="1" applyProtection="1">
      <protection hidden="1"/>
    </xf>
    <xf numFmtId="49" fontId="89" fillId="0" borderId="0" xfId="0" applyNumberFormat="1" applyFont="1" applyAlignment="1" applyProtection="1">
      <alignment horizontal="center"/>
      <protection hidden="1"/>
    </xf>
    <xf numFmtId="1" fontId="0" fillId="29" borderId="40" xfId="0" applyNumberFormat="1" applyFill="1" applyBorder="1" applyAlignment="1" applyProtection="1">
      <alignment horizontal="center" vertical="center" wrapText="1"/>
      <protection hidden="1"/>
    </xf>
    <xf numFmtId="2" fontId="4" fillId="0" borderId="0" xfId="0" applyNumberFormat="1" applyFont="1" applyAlignment="1" applyProtection="1">
      <alignment horizontal="center" vertical="center"/>
      <protection locked="0"/>
    </xf>
    <xf numFmtId="1" fontId="4" fillId="0" borderId="0" xfId="0" applyNumberFormat="1" applyFont="1" applyAlignment="1" applyProtection="1">
      <alignment horizontal="center" vertical="center"/>
      <protection hidden="1"/>
    </xf>
    <xf numFmtId="2" fontId="4" fillId="0" borderId="0" xfId="0" applyNumberFormat="1" applyFont="1" applyAlignment="1" applyProtection="1">
      <alignment horizontal="center" vertical="center"/>
      <protection hidden="1"/>
    </xf>
    <xf numFmtId="0" fontId="61" fillId="0" borderId="67" xfId="279" applyFont="1" applyBorder="1" applyAlignment="1" applyProtection="1">
      <alignment horizontal="right" vertical="center"/>
      <protection hidden="1"/>
    </xf>
    <xf numFmtId="0" fontId="61" fillId="0" borderId="64" xfId="279" applyFont="1" applyBorder="1" applyAlignment="1" applyProtection="1">
      <alignment horizontal="left" vertical="center"/>
      <protection hidden="1"/>
    </xf>
    <xf numFmtId="164" fontId="33" fillId="19" borderId="0" xfId="0" applyNumberFormat="1" applyFont="1" applyFill="1" applyAlignment="1" applyProtection="1">
      <alignment horizontal="center"/>
      <protection locked="0" hidden="1"/>
    </xf>
    <xf numFmtId="0" fontId="88" fillId="0" borderId="18" xfId="279" applyBorder="1" applyAlignment="1" applyProtection="1">
      <alignment horizontal="center"/>
      <protection hidden="1"/>
    </xf>
    <xf numFmtId="0" fontId="8" fillId="0" borderId="18" xfId="277" applyBorder="1" applyAlignment="1">
      <alignment horizontal="center"/>
    </xf>
    <xf numFmtId="49" fontId="8" fillId="0" borderId="18" xfId="277" applyNumberFormat="1" applyBorder="1" applyAlignment="1">
      <alignment horizontal="center"/>
    </xf>
    <xf numFmtId="1" fontId="88" fillId="0" borderId="18" xfId="279" applyNumberFormat="1" applyBorder="1" applyAlignment="1" applyProtection="1">
      <alignment horizontal="center"/>
      <protection hidden="1"/>
    </xf>
    <xf numFmtId="20" fontId="8" fillId="0" borderId="18" xfId="277" applyNumberFormat="1" applyBorder="1" applyAlignment="1">
      <alignment horizontal="center"/>
    </xf>
    <xf numFmtId="0" fontId="19" fillId="22" borderId="59" xfId="0" applyFont="1" applyFill="1" applyBorder="1" applyAlignment="1" applyProtection="1">
      <alignment horizontal="center" vertical="center" wrapText="1"/>
      <protection hidden="1"/>
    </xf>
    <xf numFmtId="0" fontId="9" fillId="20" borderId="39" xfId="0" applyFont="1" applyFill="1" applyBorder="1" applyAlignment="1" applyProtection="1">
      <alignment horizontal="center" vertical="center" wrapText="1"/>
      <protection hidden="1"/>
    </xf>
    <xf numFmtId="164" fontId="33" fillId="7" borderId="39" xfId="0" applyNumberFormat="1" applyFont="1" applyFill="1" applyBorder="1" applyAlignment="1" applyProtection="1">
      <alignment horizontal="center"/>
      <protection hidden="1"/>
    </xf>
    <xf numFmtId="164" fontId="33" fillId="0" borderId="39" xfId="0" applyNumberFormat="1" applyFont="1" applyBorder="1" applyAlignment="1" applyProtection="1">
      <alignment horizontal="center"/>
      <protection hidden="1"/>
    </xf>
    <xf numFmtId="0" fontId="0" fillId="19" borderId="39" xfId="0" applyFill="1" applyBorder="1" applyAlignment="1" applyProtection="1">
      <alignment horizontal="center"/>
      <protection locked="0"/>
    </xf>
    <xf numFmtId="164" fontId="33" fillId="20" borderId="40" xfId="0" applyNumberFormat="1" applyFont="1" applyFill="1" applyBorder="1" applyAlignment="1" applyProtection="1">
      <alignment horizontal="center"/>
      <protection hidden="1"/>
    </xf>
    <xf numFmtId="164" fontId="33" fillId="19" borderId="34" xfId="0" applyNumberFormat="1" applyFont="1" applyFill="1" applyBorder="1" applyAlignment="1" applyProtection="1">
      <alignment horizontal="center"/>
      <protection locked="0"/>
    </xf>
    <xf numFmtId="164" fontId="61" fillId="0" borderId="67" xfId="279" applyNumberFormat="1" applyFont="1" applyBorder="1" applyAlignment="1">
      <alignment horizontal="center" vertical="center"/>
    </xf>
    <xf numFmtId="164" fontId="61" fillId="0" borderId="12" xfId="279" applyNumberFormat="1" applyFont="1" applyBorder="1" applyAlignment="1">
      <alignment horizontal="center" vertical="top"/>
    </xf>
    <xf numFmtId="164" fontId="61" fillId="0" borderId="25" xfId="279" applyNumberFormat="1" applyFont="1" applyBorder="1" applyAlignment="1">
      <alignment horizontal="center" vertical="center" wrapText="1"/>
    </xf>
    <xf numFmtId="1" fontId="61" fillId="0" borderId="25" xfId="279" applyNumberFormat="1" applyFont="1" applyBorder="1" applyAlignment="1">
      <alignment horizontal="center" vertical="top" wrapText="1"/>
    </xf>
    <xf numFmtId="0" fontId="8" fillId="0" borderId="66" xfId="277" applyBorder="1" applyAlignment="1" applyProtection="1">
      <alignment horizontal="center"/>
      <protection hidden="1"/>
    </xf>
    <xf numFmtId="0" fontId="8" fillId="0" borderId="99" xfId="277" applyBorder="1" applyAlignment="1" applyProtection="1">
      <alignment horizontal="center"/>
      <protection hidden="1"/>
    </xf>
    <xf numFmtId="13" fontId="89" fillId="30" borderId="0" xfId="277" applyNumberFormat="1" applyFont="1" applyFill="1" applyAlignment="1">
      <alignment horizontal="center"/>
    </xf>
    <xf numFmtId="2" fontId="4" fillId="24" borderId="6" xfId="0" applyNumberFormat="1" applyFont="1" applyFill="1" applyBorder="1" applyAlignment="1" applyProtection="1">
      <alignment horizontal="left" vertical="center"/>
      <protection locked="0"/>
    </xf>
    <xf numFmtId="0" fontId="61" fillId="0" borderId="60" xfId="279" applyFont="1" applyBorder="1" applyAlignment="1">
      <alignment horizontal="center" vertical="center"/>
    </xf>
    <xf numFmtId="0" fontId="61" fillId="0" borderId="141" xfId="279" applyFont="1" applyBorder="1" applyAlignment="1">
      <alignment horizontal="center" vertical="center"/>
    </xf>
    <xf numFmtId="0" fontId="61" fillId="0" borderId="21" xfId="279" applyFont="1" applyBorder="1" applyAlignment="1">
      <alignment horizontal="center" vertical="center"/>
    </xf>
    <xf numFmtId="0" fontId="61" fillId="0" borderId="132" xfId="279" applyFont="1" applyBorder="1" applyAlignment="1">
      <alignment horizontal="center" vertical="center"/>
    </xf>
    <xf numFmtId="0" fontId="61" fillId="0" borderId="56" xfId="279" applyFont="1" applyBorder="1" applyAlignment="1">
      <alignment horizontal="center" vertical="center"/>
    </xf>
    <xf numFmtId="0" fontId="61" fillId="0" borderId="6" xfId="279" applyFont="1" applyBorder="1" applyAlignment="1" applyProtection="1">
      <alignment vertical="center"/>
      <protection hidden="1"/>
    </xf>
    <xf numFmtId="0" fontId="61" fillId="0" borderId="27" xfId="279" applyFont="1" applyBorder="1" applyAlignment="1">
      <alignment horizontal="center" vertical="center"/>
    </xf>
    <xf numFmtId="0" fontId="61" fillId="0" borderId="81" xfId="279" applyFont="1" applyBorder="1" applyAlignment="1">
      <alignment horizontal="center"/>
    </xf>
    <xf numFmtId="0" fontId="61" fillId="0" borderId="102" xfId="279" applyFont="1" applyBorder="1" applyAlignment="1" applyProtection="1">
      <alignment horizontal="center" wrapText="1"/>
      <protection hidden="1"/>
    </xf>
    <xf numFmtId="0" fontId="61" fillId="0" borderId="10" xfId="279" applyFont="1" applyBorder="1" applyAlignment="1">
      <alignment horizontal="center" wrapText="1"/>
    </xf>
    <xf numFmtId="1" fontId="61" fillId="0" borderId="68" xfId="279" applyNumberFormat="1" applyFont="1" applyBorder="1" applyAlignment="1">
      <alignment horizontal="center"/>
    </xf>
    <xf numFmtId="1" fontId="61" fillId="0" borderId="81" xfId="279" applyNumberFormat="1" applyFont="1" applyBorder="1" applyAlignment="1">
      <alignment horizontal="center" wrapText="1"/>
    </xf>
    <xf numFmtId="0" fontId="61" fillId="0" borderId="110" xfId="279" applyFont="1" applyBorder="1" applyAlignment="1">
      <alignment horizontal="center" vertical="center"/>
    </xf>
    <xf numFmtId="0" fontId="61" fillId="0" borderId="144" xfId="279" applyFont="1" applyBorder="1" applyAlignment="1">
      <alignment horizontal="center" vertical="center"/>
    </xf>
    <xf numFmtId="168" fontId="4" fillId="31" borderId="1" xfId="0" applyNumberFormat="1" applyFont="1" applyFill="1" applyBorder="1" applyAlignment="1" applyProtection="1">
      <alignment horizontal="center" vertical="center"/>
      <protection locked="0"/>
    </xf>
    <xf numFmtId="0" fontId="0" fillId="0" borderId="34" xfId="0" applyBorder="1" applyAlignment="1" applyProtection="1">
      <alignment vertical="center"/>
      <protection locked="0"/>
    </xf>
    <xf numFmtId="0" fontId="0" fillId="0" borderId="0" xfId="0" applyAlignment="1" applyProtection="1">
      <alignment vertical="center"/>
      <protection locked="0"/>
    </xf>
    <xf numFmtId="0" fontId="8" fillId="0" borderId="34" xfId="0" applyFont="1" applyBorder="1" applyAlignment="1" applyProtection="1">
      <alignment vertical="center"/>
      <protection locked="0"/>
    </xf>
    <xf numFmtId="0" fontId="8" fillId="0" borderId="0" xfId="0" applyFont="1" applyAlignment="1" applyProtection="1">
      <alignment vertical="center"/>
      <protection locked="0"/>
    </xf>
    <xf numFmtId="0" fontId="61" fillId="0" borderId="141" xfId="279" applyFont="1" applyBorder="1" applyAlignment="1" applyProtection="1">
      <alignment vertical="center"/>
      <protection locked="0" hidden="1"/>
    </xf>
    <xf numFmtId="0" fontId="61" fillId="0" borderId="175" xfId="279" applyFont="1" applyBorder="1" applyAlignment="1" applyProtection="1">
      <alignment horizontal="center" vertical="center"/>
      <protection locked="0"/>
    </xf>
    <xf numFmtId="0" fontId="61" fillId="0" borderId="141" xfId="279" applyFont="1" applyBorder="1" applyAlignment="1" applyProtection="1">
      <alignment horizontal="center" vertical="center"/>
      <protection locked="0" hidden="1"/>
    </xf>
    <xf numFmtId="0" fontId="8" fillId="31" borderId="0" xfId="0" applyFont="1" applyFill="1" applyAlignment="1" applyProtection="1">
      <alignment horizontal="center" vertical="center"/>
      <protection hidden="1"/>
    </xf>
    <xf numFmtId="0" fontId="8" fillId="31" borderId="61" xfId="0" applyFont="1" applyFill="1" applyBorder="1" applyAlignment="1" applyProtection="1">
      <alignment horizontal="center"/>
      <protection hidden="1"/>
    </xf>
    <xf numFmtId="0" fontId="8" fillId="31" borderId="132" xfId="0" applyFont="1" applyFill="1" applyBorder="1" applyAlignment="1" applyProtection="1">
      <alignment horizontal="center"/>
      <protection hidden="1"/>
    </xf>
    <xf numFmtId="0" fontId="8" fillId="31" borderId="57" xfId="0" applyFont="1" applyFill="1" applyBorder="1" applyAlignment="1" applyProtection="1">
      <alignment horizontal="center"/>
      <protection hidden="1"/>
    </xf>
    <xf numFmtId="0" fontId="8" fillId="21" borderId="60" xfId="0" applyFont="1" applyFill="1" applyBorder="1" applyAlignment="1" applyProtection="1">
      <alignment horizontal="center"/>
      <protection hidden="1"/>
    </xf>
    <xf numFmtId="0" fontId="8" fillId="31" borderId="34" xfId="0" applyFont="1" applyFill="1" applyBorder="1" applyAlignment="1" applyProtection="1">
      <alignment horizontal="center" vertical="center"/>
      <protection hidden="1"/>
    </xf>
    <xf numFmtId="0" fontId="8" fillId="31" borderId="15" xfId="0" applyFont="1" applyFill="1" applyBorder="1" applyAlignment="1" applyProtection="1">
      <alignment horizontal="center" vertical="center"/>
      <protection hidden="1"/>
    </xf>
    <xf numFmtId="49" fontId="8" fillId="21" borderId="21" xfId="0" applyNumberFormat="1" applyFont="1" applyFill="1" applyBorder="1" applyAlignment="1" applyProtection="1">
      <alignment horizontal="center"/>
      <protection hidden="1"/>
    </xf>
    <xf numFmtId="0" fontId="8" fillId="21" borderId="9" xfId="0" applyFont="1" applyFill="1" applyBorder="1" applyAlignment="1" applyProtection="1">
      <alignment horizontal="center"/>
      <protection hidden="1"/>
    </xf>
    <xf numFmtId="0" fontId="8" fillId="0" borderId="34" xfId="0" applyFont="1" applyBorder="1" applyAlignment="1" applyProtection="1">
      <alignment horizontal="center"/>
      <protection hidden="1"/>
    </xf>
    <xf numFmtId="0" fontId="8" fillId="0" borderId="15" xfId="0" applyFont="1" applyBorder="1" applyAlignment="1" applyProtection="1">
      <alignment horizontal="center"/>
      <protection hidden="1"/>
    </xf>
    <xf numFmtId="0" fontId="8" fillId="31" borderId="35" xfId="0" applyFont="1" applyFill="1" applyBorder="1" applyAlignment="1" applyProtection="1">
      <alignment horizontal="center"/>
      <protection hidden="1"/>
    </xf>
    <xf numFmtId="0" fontId="8" fillId="31" borderId="36" xfId="0" applyFont="1" applyFill="1" applyBorder="1" applyAlignment="1" applyProtection="1">
      <alignment horizontal="center"/>
      <protection hidden="1"/>
    </xf>
    <xf numFmtId="0" fontId="8" fillId="31" borderId="37" xfId="0" applyFont="1" applyFill="1" applyBorder="1" applyAlignment="1" applyProtection="1">
      <alignment horizontal="center"/>
      <protection hidden="1"/>
    </xf>
    <xf numFmtId="0" fontId="9" fillId="31" borderId="61" xfId="0" applyFont="1" applyFill="1" applyBorder="1" applyAlignment="1" applyProtection="1">
      <alignment horizontal="center" wrapText="1"/>
      <protection hidden="1"/>
    </xf>
    <xf numFmtId="49" fontId="96" fillId="21" borderId="21" xfId="0" applyNumberFormat="1" applyFont="1" applyFill="1" applyBorder="1" applyAlignment="1" applyProtection="1">
      <alignment horizontal="center"/>
      <protection hidden="1"/>
    </xf>
    <xf numFmtId="0" fontId="96" fillId="21" borderId="60" xfId="0" applyFont="1" applyFill="1" applyBorder="1" applyAlignment="1" applyProtection="1">
      <alignment horizontal="center"/>
      <protection hidden="1"/>
    </xf>
    <xf numFmtId="0" fontId="96" fillId="21" borderId="9" xfId="0" applyFont="1" applyFill="1" applyBorder="1" applyAlignment="1" applyProtection="1">
      <alignment horizontal="center"/>
      <protection hidden="1"/>
    </xf>
    <xf numFmtId="0" fontId="8" fillId="31" borderId="29" xfId="0" applyFont="1" applyFill="1" applyBorder="1" applyAlignment="1" applyProtection="1">
      <alignment horizontal="center" vertical="center"/>
      <protection locked="0"/>
    </xf>
    <xf numFmtId="0" fontId="8" fillId="0" borderId="95" xfId="277" applyBorder="1" applyAlignment="1" applyProtection="1">
      <alignment horizontal="center"/>
      <protection hidden="1"/>
    </xf>
    <xf numFmtId="0" fontId="8" fillId="0" borderId="112" xfId="277" applyBorder="1" applyAlignment="1" applyProtection="1">
      <alignment horizontal="center"/>
      <protection hidden="1"/>
    </xf>
    <xf numFmtId="0" fontId="8" fillId="0" borderId="116" xfId="277" quotePrefix="1" applyBorder="1" applyAlignment="1" applyProtection="1">
      <alignment horizontal="right"/>
      <protection hidden="1"/>
    </xf>
    <xf numFmtId="0" fontId="8" fillId="0" borderId="116" xfId="277" applyBorder="1" applyAlignment="1" applyProtection="1">
      <alignment horizontal="right"/>
      <protection locked="0" hidden="1"/>
    </xf>
    <xf numFmtId="0" fontId="8" fillId="0" borderId="94" xfId="277" applyBorder="1" applyAlignment="1">
      <alignment horizontal="center"/>
    </xf>
    <xf numFmtId="12" fontId="8" fillId="0" borderId="18" xfId="277" applyNumberFormat="1" applyBorder="1" applyAlignment="1">
      <alignment horizontal="center"/>
    </xf>
    <xf numFmtId="12" fontId="8" fillId="0" borderId="65" xfId="277" applyNumberFormat="1" applyBorder="1" applyAlignment="1" applyProtection="1">
      <alignment horizontal="center"/>
      <protection locked="0"/>
    </xf>
    <xf numFmtId="1" fontId="8" fillId="0" borderId="174" xfId="277" applyNumberFormat="1" applyBorder="1" applyAlignment="1">
      <alignment horizontal="center"/>
    </xf>
    <xf numFmtId="0" fontId="8" fillId="0" borderId="95" xfId="277" applyBorder="1" applyAlignment="1">
      <alignment horizontal="center"/>
    </xf>
    <xf numFmtId="12" fontId="8" fillId="0" borderId="19" xfId="277" applyNumberFormat="1" applyBorder="1" applyAlignment="1">
      <alignment horizontal="center"/>
    </xf>
    <xf numFmtId="12" fontId="8" fillId="0" borderId="66" xfId="277" applyNumberFormat="1" applyBorder="1" applyAlignment="1" applyProtection="1">
      <alignment horizontal="center"/>
      <protection locked="0"/>
    </xf>
    <xf numFmtId="1" fontId="8" fillId="0" borderId="173" xfId="277" applyNumberFormat="1" applyBorder="1" applyAlignment="1">
      <alignment horizontal="center"/>
    </xf>
    <xf numFmtId="0" fontId="61" fillId="0" borderId="60" xfId="279" applyFont="1" applyBorder="1" applyAlignment="1">
      <alignment horizontal="center" wrapText="1"/>
    </xf>
    <xf numFmtId="0" fontId="8" fillId="0" borderId="184" xfId="277" applyBorder="1" applyAlignment="1" applyProtection="1">
      <alignment horizontal="center"/>
      <protection hidden="1"/>
    </xf>
    <xf numFmtId="12" fontId="8" fillId="0" borderId="176" xfId="277" applyNumberFormat="1" applyBorder="1" applyAlignment="1" applyProtection="1">
      <alignment horizontal="center"/>
      <protection hidden="1"/>
    </xf>
    <xf numFmtId="0" fontId="8" fillId="0" borderId="184" xfId="277" applyBorder="1" applyProtection="1">
      <protection hidden="1"/>
    </xf>
    <xf numFmtId="0" fontId="8" fillId="0" borderId="185" xfId="277" applyBorder="1" applyProtection="1">
      <protection hidden="1"/>
    </xf>
    <xf numFmtId="0" fontId="8" fillId="0" borderId="116" xfId="277" applyBorder="1" applyAlignment="1">
      <alignment horizontal="center"/>
    </xf>
    <xf numFmtId="12" fontId="8" fillId="0" borderId="6" xfId="277" applyNumberFormat="1" applyBorder="1" applyAlignment="1">
      <alignment horizontal="center"/>
    </xf>
    <xf numFmtId="12" fontId="8" fillId="0" borderId="11" xfId="277" applyNumberFormat="1" applyBorder="1" applyAlignment="1" applyProtection="1">
      <alignment horizontal="center"/>
      <protection locked="0"/>
    </xf>
    <xf numFmtId="1" fontId="8" fillId="0" borderId="119" xfId="277" applyNumberFormat="1" applyBorder="1" applyAlignment="1">
      <alignment horizontal="center"/>
    </xf>
    <xf numFmtId="0" fontId="8" fillId="0" borderId="6" xfId="290" applyBorder="1" applyAlignment="1">
      <alignment horizontal="center" wrapText="1"/>
    </xf>
    <xf numFmtId="0" fontId="8" fillId="0" borderId="6" xfId="290" applyBorder="1" applyAlignment="1">
      <alignment horizontal="center" vertical="center"/>
    </xf>
    <xf numFmtId="0" fontId="8" fillId="0" borderId="11" xfId="290" applyBorder="1" applyAlignment="1">
      <alignment horizontal="center" vertical="center"/>
    </xf>
    <xf numFmtId="0" fontId="8" fillId="0" borderId="60" xfId="290" applyBorder="1" applyAlignment="1">
      <alignment horizontal="center" vertical="center"/>
    </xf>
    <xf numFmtId="0" fontId="8" fillId="0" borderId="10" xfId="290" applyBorder="1" applyAlignment="1">
      <alignment horizontal="center" vertical="center"/>
    </xf>
    <xf numFmtId="0" fontId="8" fillId="19" borderId="6" xfId="290" applyFill="1" applyBorder="1" applyAlignment="1" applyProtection="1">
      <alignment horizontal="center" vertical="center"/>
      <protection locked="0"/>
    </xf>
    <xf numFmtId="0" fontId="8" fillId="24" borderId="6" xfId="290" applyFill="1" applyBorder="1" applyAlignment="1" applyProtection="1">
      <alignment horizontal="center" vertical="center"/>
      <protection locked="0"/>
    </xf>
    <xf numFmtId="0" fontId="8" fillId="0" borderId="135" xfId="277" applyBorder="1" applyAlignment="1" applyProtection="1">
      <alignment horizontal="right"/>
      <protection locked="0" hidden="1"/>
    </xf>
    <xf numFmtId="0" fontId="2" fillId="0" borderId="116" xfId="277" applyFont="1" applyBorder="1" applyAlignment="1" applyProtection="1">
      <alignment horizontal="right"/>
      <protection locked="0" hidden="1"/>
    </xf>
    <xf numFmtId="0" fontId="2" fillId="0" borderId="94" xfId="277" applyFont="1" applyBorder="1" applyAlignment="1" applyProtection="1">
      <alignment horizontal="right"/>
      <protection locked="0" hidden="1"/>
    </xf>
    <xf numFmtId="0" fontId="2" fillId="0" borderId="135" xfId="277" applyFont="1" applyBorder="1" applyAlignment="1" applyProtection="1">
      <alignment horizontal="right"/>
      <protection locked="0" hidden="1"/>
    </xf>
    <xf numFmtId="0" fontId="8" fillId="0" borderId="14" xfId="277" applyBorder="1" applyAlignment="1" applyProtection="1">
      <alignment horizontal="center"/>
      <protection hidden="1"/>
    </xf>
    <xf numFmtId="0" fontId="0" fillId="0" borderId="0" xfId="0" quotePrefix="1"/>
    <xf numFmtId="0" fontId="61" fillId="0" borderId="93" xfId="279" applyFont="1" applyBorder="1" applyAlignment="1">
      <alignment vertical="center"/>
    </xf>
    <xf numFmtId="0" fontId="88" fillId="0" borderId="6" xfId="279" applyBorder="1" applyAlignment="1" applyProtection="1">
      <alignment horizontal="center"/>
      <protection locked="0" hidden="1"/>
    </xf>
    <xf numFmtId="0" fontId="88" fillId="0" borderId="18" xfId="279" applyBorder="1" applyAlignment="1" applyProtection="1">
      <alignment horizontal="center"/>
      <protection locked="0" hidden="1"/>
    </xf>
    <xf numFmtId="0" fontId="8" fillId="0" borderId="127" xfId="277" applyBorder="1" applyProtection="1">
      <protection hidden="1"/>
    </xf>
    <xf numFmtId="0" fontId="8" fillId="0" borderId="0" xfId="277" applyAlignment="1" applyProtection="1">
      <alignment vertical="center" wrapText="1"/>
      <protection hidden="1"/>
    </xf>
    <xf numFmtId="0" fontId="8" fillId="0" borderId="0" xfId="277" applyAlignment="1" applyProtection="1">
      <alignment horizontal="centerContinuous" vertical="center" wrapText="1"/>
      <protection hidden="1"/>
    </xf>
    <xf numFmtId="0" fontId="8" fillId="0" borderId="73" xfId="277" applyBorder="1" applyProtection="1">
      <protection hidden="1"/>
    </xf>
    <xf numFmtId="0" fontId="8" fillId="0" borderId="31" xfId="277" applyBorder="1" applyAlignment="1" applyProtection="1">
      <alignment horizontal="center" vertical="center" textRotation="90" wrapText="1"/>
      <protection hidden="1"/>
    </xf>
    <xf numFmtId="0" fontId="88" fillId="0" borderId="34" xfId="279" applyBorder="1" applyAlignment="1" applyProtection="1">
      <alignment horizontal="center"/>
      <protection hidden="1"/>
    </xf>
    <xf numFmtId="0" fontId="88" fillId="0" borderId="0" xfId="279" applyAlignment="1" applyProtection="1">
      <alignment horizontal="center"/>
      <protection locked="0" hidden="1"/>
    </xf>
    <xf numFmtId="49" fontId="8" fillId="0" borderId="0" xfId="277" applyNumberFormat="1" applyAlignment="1">
      <alignment horizontal="center"/>
    </xf>
    <xf numFmtId="1" fontId="88" fillId="0" borderId="0" xfId="279" applyNumberFormat="1" applyAlignment="1" applyProtection="1">
      <alignment horizontal="center"/>
      <protection hidden="1"/>
    </xf>
    <xf numFmtId="20" fontId="8" fillId="0" borderId="0" xfId="277" applyNumberFormat="1" applyAlignment="1">
      <alignment horizontal="center"/>
    </xf>
    <xf numFmtId="0" fontId="88" fillId="0" borderId="8" xfId="279" applyBorder="1" applyAlignment="1" applyProtection="1">
      <alignment horizontal="center"/>
      <protection hidden="1"/>
    </xf>
    <xf numFmtId="0" fontId="88" fillId="0" borderId="104" xfId="279" applyBorder="1" applyAlignment="1" applyProtection="1">
      <alignment horizontal="center"/>
      <protection hidden="1"/>
    </xf>
    <xf numFmtId="0" fontId="8" fillId="0" borderId="21" xfId="277" applyBorder="1" applyAlignment="1" applyProtection="1">
      <alignment horizontal="right"/>
      <protection locked="0"/>
    </xf>
    <xf numFmtId="0" fontId="8" fillId="0" borderId="8" xfId="277" applyBorder="1" applyAlignment="1" applyProtection="1">
      <alignment horizontal="right"/>
      <protection locked="0"/>
    </xf>
    <xf numFmtId="0" fontId="8" fillId="0" borderId="31" xfId="277" applyBorder="1" applyAlignment="1" applyProtection="1">
      <alignment horizontal="right"/>
      <protection locked="0"/>
    </xf>
    <xf numFmtId="0" fontId="8" fillId="0" borderId="102" xfId="277" applyBorder="1" applyAlignment="1" applyProtection="1">
      <alignment horizontal="center" vertical="center" textRotation="90" shrinkToFit="1"/>
      <protection hidden="1"/>
    </xf>
    <xf numFmtId="20" fontId="8" fillId="0" borderId="11" xfId="277" applyNumberFormat="1" applyBorder="1" applyAlignment="1">
      <alignment horizontal="center"/>
    </xf>
    <xf numFmtId="20" fontId="8" fillId="0" borderId="65" xfId="277" applyNumberFormat="1" applyBorder="1" applyAlignment="1">
      <alignment horizontal="center"/>
    </xf>
    <xf numFmtId="2" fontId="8" fillId="21" borderId="21" xfId="0" applyNumberFormat="1" applyFont="1" applyFill="1" applyBorder="1" applyAlignment="1" applyProtection="1">
      <alignment horizontal="center"/>
      <protection hidden="1"/>
    </xf>
    <xf numFmtId="49" fontId="2" fillId="0" borderId="6" xfId="277" quotePrefix="1" applyNumberFormat="1" applyFont="1" applyBorder="1" applyAlignment="1">
      <alignment horizontal="center"/>
    </xf>
    <xf numFmtId="49" fontId="8" fillId="0" borderId="6" xfId="277" applyNumberFormat="1" applyBorder="1" applyAlignment="1" applyProtection="1">
      <alignment horizontal="center"/>
      <protection locked="0"/>
    </xf>
    <xf numFmtId="0" fontId="4" fillId="18" borderId="29" xfId="0" applyFont="1" applyFill="1" applyBorder="1" applyAlignment="1" applyProtection="1">
      <alignment horizontal="center" vertical="center" wrapText="1"/>
      <protection locked="0"/>
    </xf>
    <xf numFmtId="181" fontId="4" fillId="18" borderId="1" xfId="0" applyNumberFormat="1" applyFont="1" applyFill="1" applyBorder="1" applyAlignment="1" applyProtection="1">
      <alignment horizontal="center" vertical="center"/>
      <protection locked="0"/>
    </xf>
    <xf numFmtId="168" fontId="4" fillId="18" borderId="1" xfId="0" applyNumberFormat="1" applyFont="1" applyFill="1" applyBorder="1" applyAlignment="1" applyProtection="1">
      <alignment horizontal="center" vertical="center"/>
      <protection locked="0"/>
    </xf>
    <xf numFmtId="9" fontId="3" fillId="18" borderId="1" xfId="356" applyFont="1" applyFill="1" applyBorder="1" applyAlignment="1" applyProtection="1">
      <alignment horizontal="center" vertical="center"/>
      <protection locked="0"/>
    </xf>
    <xf numFmtId="168" fontId="4" fillId="18" borderId="17" xfId="0" applyNumberFormat="1" applyFont="1" applyFill="1" applyBorder="1" applyAlignment="1" applyProtection="1">
      <alignment horizontal="center" vertical="center" wrapText="1"/>
      <protection locked="0"/>
    </xf>
    <xf numFmtId="0" fontId="8" fillId="19" borderId="29" xfId="0" applyFont="1" applyFill="1" applyBorder="1" applyAlignment="1" applyProtection="1">
      <alignment horizontal="center" vertical="center"/>
      <protection locked="0"/>
    </xf>
    <xf numFmtId="1" fontId="4" fillId="18" borderId="29" xfId="0" applyNumberFormat="1" applyFont="1" applyFill="1" applyBorder="1" applyAlignment="1" applyProtection="1">
      <alignment horizontal="center" vertical="center" wrapText="1"/>
      <protection locked="0"/>
    </xf>
    <xf numFmtId="168" fontId="4" fillId="20" borderId="1" xfId="0" applyNumberFormat="1" applyFont="1" applyFill="1" applyBorder="1" applyAlignment="1" applyProtection="1">
      <alignment horizontal="center" vertical="center"/>
      <protection locked="0"/>
    </xf>
    <xf numFmtId="0" fontId="4" fillId="20" borderId="29" xfId="0" applyFont="1" applyFill="1" applyBorder="1" applyAlignment="1" applyProtection="1">
      <alignment horizontal="center" vertical="center" wrapText="1"/>
      <protection locked="0"/>
    </xf>
    <xf numFmtId="0" fontId="2" fillId="24" borderId="6" xfId="290" applyFont="1" applyFill="1" applyBorder="1" applyAlignment="1" applyProtection="1">
      <alignment horizontal="center" vertical="center"/>
      <protection locked="0"/>
    </xf>
    <xf numFmtId="0" fontId="8" fillId="20" borderId="6" xfId="290" applyFill="1" applyBorder="1" applyAlignment="1">
      <alignment horizontal="center" wrapText="1"/>
    </xf>
    <xf numFmtId="0" fontId="8" fillId="18" borderId="6" xfId="290" applyFill="1" applyBorder="1" applyAlignment="1">
      <alignment horizontal="center" vertical="center"/>
    </xf>
    <xf numFmtId="1" fontId="8" fillId="18" borderId="6" xfId="290" applyNumberFormat="1" applyFill="1" applyBorder="1" applyAlignment="1">
      <alignment horizontal="center" vertical="center"/>
    </xf>
    <xf numFmtId="2" fontId="8" fillId="18" borderId="6" xfId="290" applyNumberFormat="1" applyFill="1" applyBorder="1" applyAlignment="1">
      <alignment horizontal="center" vertical="center"/>
    </xf>
    <xf numFmtId="49" fontId="4" fillId="19" borderId="1" xfId="0" applyNumberFormat="1" applyFont="1" applyFill="1" applyBorder="1" applyAlignment="1" applyProtection="1">
      <alignment horizontal="center" vertical="center"/>
      <protection locked="0"/>
    </xf>
    <xf numFmtId="181" fontId="4" fillId="19" borderId="1" xfId="0" applyNumberFormat="1" applyFont="1" applyFill="1" applyBorder="1" applyAlignment="1" applyProtection="1">
      <alignment horizontal="center" vertical="center"/>
      <protection locked="0"/>
    </xf>
    <xf numFmtId="9" fontId="3" fillId="19" borderId="1" xfId="356" applyFont="1" applyFill="1" applyBorder="1" applyAlignment="1" applyProtection="1">
      <alignment horizontal="center" vertical="center"/>
      <protection locked="0"/>
    </xf>
    <xf numFmtId="168" fontId="4" fillId="19" borderId="17" xfId="0" applyNumberFormat="1" applyFont="1" applyFill="1" applyBorder="1" applyAlignment="1" applyProtection="1">
      <alignment horizontal="center" vertical="center" wrapText="1"/>
      <protection locked="0"/>
    </xf>
    <xf numFmtId="0" fontId="8" fillId="0" borderId="6" xfId="290" applyBorder="1" applyAlignment="1" applyProtection="1">
      <alignment horizontal="center" wrapText="1"/>
      <protection locked="0"/>
    </xf>
    <xf numFmtId="0" fontId="8" fillId="0" borderId="6" xfId="290" applyBorder="1" applyAlignment="1" applyProtection="1">
      <alignment horizontal="center" vertical="center"/>
      <protection locked="0"/>
    </xf>
    <xf numFmtId="0" fontId="8" fillId="0" borderId="11" xfId="290" applyBorder="1" applyAlignment="1" applyProtection="1">
      <alignment horizontal="center" vertical="center"/>
      <protection locked="0"/>
    </xf>
    <xf numFmtId="0" fontId="8" fillId="0" borderId="60" xfId="290" applyBorder="1" applyAlignment="1" applyProtection="1">
      <alignment horizontal="center" vertical="center"/>
      <protection locked="0"/>
    </xf>
    <xf numFmtId="0" fontId="8" fillId="0" borderId="10" xfId="290" applyBorder="1" applyAlignment="1" applyProtection="1">
      <alignment horizontal="center" vertical="center"/>
      <protection locked="0"/>
    </xf>
    <xf numFmtId="0" fontId="8" fillId="0" borderId="6" xfId="290" applyBorder="1" applyAlignment="1" applyProtection="1">
      <alignment horizontal="center"/>
      <protection locked="0"/>
    </xf>
    <xf numFmtId="0" fontId="2" fillId="0" borderId="6" xfId="290" applyFont="1" applyBorder="1" applyAlignment="1" applyProtection="1">
      <alignment horizontal="center"/>
      <protection locked="0"/>
    </xf>
    <xf numFmtId="0" fontId="8" fillId="0" borderId="6" xfId="290" applyBorder="1" applyAlignment="1">
      <alignment horizontal="center"/>
    </xf>
    <xf numFmtId="0" fontId="100" fillId="0" borderId="0" xfId="0" applyFont="1" applyAlignment="1" applyProtection="1">
      <alignment vertical="center"/>
      <protection hidden="1"/>
    </xf>
    <xf numFmtId="0" fontId="89" fillId="0" borderId="0" xfId="0" applyFont="1"/>
    <xf numFmtId="0" fontId="8" fillId="0" borderId="6" xfId="290" applyBorder="1" applyAlignment="1">
      <alignment horizontal="right" vertical="center"/>
    </xf>
    <xf numFmtId="0" fontId="8" fillId="0" borderId="6" xfId="290" applyBorder="1" applyAlignment="1">
      <alignment horizontal="right"/>
    </xf>
    <xf numFmtId="0" fontId="1" fillId="0" borderId="6" xfId="719" applyBorder="1" applyAlignment="1">
      <alignment horizontal="center" wrapText="1"/>
    </xf>
    <xf numFmtId="0" fontId="1" fillId="0" borderId="6" xfId="719" applyBorder="1" applyAlignment="1">
      <alignment horizontal="center"/>
    </xf>
    <xf numFmtId="0" fontId="1" fillId="0" borderId="6" xfId="719" applyBorder="1"/>
    <xf numFmtId="0" fontId="0" fillId="0" borderId="61" xfId="0" applyBorder="1"/>
    <xf numFmtId="0" fontId="92" fillId="0" borderId="0" xfId="0" applyFont="1" applyAlignment="1" applyProtection="1">
      <alignment vertical="center"/>
      <protection locked="0" hidden="1"/>
    </xf>
    <xf numFmtId="164" fontId="8" fillId="18" borderId="6" xfId="290" applyNumberFormat="1" applyFill="1" applyBorder="1" applyAlignment="1">
      <alignment horizontal="center" vertical="center"/>
    </xf>
    <xf numFmtId="164" fontId="8" fillId="21" borderId="6" xfId="290" applyNumberFormat="1" applyFill="1" applyBorder="1" applyAlignment="1" applyProtection="1">
      <alignment horizontal="center" vertical="center"/>
      <protection locked="0"/>
    </xf>
    <xf numFmtId="164" fontId="8" fillId="21" borderId="6" xfId="290" applyNumberFormat="1" applyFill="1" applyBorder="1" applyAlignment="1">
      <alignment horizontal="center" vertical="center"/>
    </xf>
    <xf numFmtId="164" fontId="8" fillId="0" borderId="6" xfId="290" applyNumberFormat="1" applyBorder="1" applyAlignment="1" applyProtection="1">
      <alignment horizontal="center" vertical="center"/>
      <protection locked="0"/>
    </xf>
    <xf numFmtId="168" fontId="4" fillId="20" borderId="1" xfId="0" applyNumberFormat="1" applyFont="1" applyFill="1" applyBorder="1" applyAlignment="1">
      <alignment horizontal="center" vertical="center"/>
    </xf>
    <xf numFmtId="2" fontId="4" fillId="20" borderId="1" xfId="0" applyNumberFormat="1" applyFont="1" applyFill="1" applyBorder="1" applyAlignment="1" applyProtection="1">
      <alignment horizontal="center" vertical="center" wrapText="1"/>
      <protection hidden="1"/>
    </xf>
    <xf numFmtId="1" fontId="4" fillId="20" borderId="29" xfId="0" applyNumberFormat="1" applyFont="1" applyFill="1" applyBorder="1" applyAlignment="1" applyProtection="1">
      <alignment horizontal="center" vertical="center" wrapText="1"/>
      <protection locked="0"/>
    </xf>
    <xf numFmtId="49" fontId="4" fillId="18" borderId="1" xfId="0" applyNumberFormat="1" applyFont="1" applyFill="1" applyBorder="1" applyAlignment="1" applyProtection="1">
      <alignment horizontal="center" vertical="center"/>
      <protection locked="0"/>
    </xf>
    <xf numFmtId="0" fontId="8" fillId="19" borderId="60" xfId="0" applyFont="1" applyFill="1" applyBorder="1" applyAlignment="1" applyProtection="1">
      <alignment horizontal="center"/>
      <protection locked="0" hidden="1"/>
    </xf>
    <xf numFmtId="164" fontId="8" fillId="0" borderId="6" xfId="290" applyNumberFormat="1" applyBorder="1" applyAlignment="1">
      <alignment horizontal="center"/>
    </xf>
    <xf numFmtId="0" fontId="96" fillId="21" borderId="60" xfId="0" applyFont="1" applyFill="1" applyBorder="1" applyAlignment="1" applyProtection="1">
      <alignment horizontal="center"/>
      <protection locked="0" hidden="1"/>
    </xf>
    <xf numFmtId="0" fontId="8" fillId="0" borderId="0" xfId="0" applyFont="1" applyAlignment="1" applyProtection="1">
      <alignment horizontal="center"/>
      <protection locked="0" hidden="1"/>
    </xf>
    <xf numFmtId="0" fontId="8" fillId="31" borderId="36" xfId="0" applyFont="1" applyFill="1" applyBorder="1" applyAlignment="1" applyProtection="1">
      <alignment horizontal="center"/>
      <protection locked="0" hidden="1"/>
    </xf>
    <xf numFmtId="0" fontId="89" fillId="0" borderId="0" xfId="0" applyFont="1" applyAlignment="1" applyProtection="1">
      <alignment horizontal="center"/>
      <protection locked="0" hidden="1"/>
    </xf>
    <xf numFmtId="0" fontId="47" fillId="0" borderId="0" xfId="0" applyFont="1" applyAlignment="1" applyProtection="1">
      <alignment horizontal="center"/>
      <protection locked="0" hidden="1"/>
    </xf>
    <xf numFmtId="0" fontId="47" fillId="0" borderId="0" xfId="0" applyFont="1" applyAlignment="1" applyProtection="1">
      <alignment horizontal="center" vertical="center"/>
      <protection locked="0" hidden="1"/>
    </xf>
    <xf numFmtId="0" fontId="89" fillId="0" borderId="0" xfId="0" applyFont="1" applyAlignment="1" applyProtection="1">
      <alignment horizontal="center" vertical="center"/>
      <protection locked="0" hidden="1"/>
    </xf>
    <xf numFmtId="0" fontId="8" fillId="0" borderId="115" xfId="277" applyBorder="1" applyAlignment="1">
      <alignment horizontal="center"/>
    </xf>
    <xf numFmtId="12" fontId="8" fillId="0" borderId="27" xfId="277" applyNumberFormat="1" applyBorder="1" applyAlignment="1">
      <alignment horizontal="center"/>
    </xf>
    <xf numFmtId="12" fontId="8" fillId="0" borderId="85" xfId="277" applyNumberFormat="1" applyBorder="1" applyAlignment="1" applyProtection="1">
      <alignment horizontal="center"/>
      <protection locked="0"/>
    </xf>
    <xf numFmtId="1" fontId="8" fillId="0" borderId="118" xfId="277" applyNumberFormat="1" applyBorder="1" applyAlignment="1">
      <alignment horizontal="center"/>
    </xf>
    <xf numFmtId="0" fontId="8" fillId="0" borderId="144" xfId="277" applyBorder="1"/>
    <xf numFmtId="0" fontId="8" fillId="0" borderId="20" xfId="277" applyBorder="1"/>
    <xf numFmtId="0" fontId="8" fillId="0" borderId="125" xfId="277" applyBorder="1"/>
    <xf numFmtId="0" fontId="2" fillId="0" borderId="116" xfId="277" applyFont="1" applyBorder="1" applyAlignment="1" applyProtection="1">
      <alignment horizontal="right" vertical="top"/>
      <protection locked="0" hidden="1"/>
    </xf>
    <xf numFmtId="0" fontId="2" fillId="0" borderId="77" xfId="277" applyFont="1" applyBorder="1" applyAlignment="1" applyProtection="1">
      <alignment horizontal="right"/>
      <protection locked="0" hidden="1"/>
    </xf>
    <xf numFmtId="0" fontId="8" fillId="0" borderId="128" xfId="277" applyBorder="1" applyProtection="1">
      <protection locked="0"/>
    </xf>
    <xf numFmtId="0" fontId="8" fillId="0" borderId="7" xfId="277" applyBorder="1" applyAlignment="1" applyProtection="1">
      <alignment horizontal="center"/>
      <protection locked="0"/>
    </xf>
    <xf numFmtId="0" fontId="8" fillId="0" borderId="129" xfId="277" applyBorder="1" applyAlignment="1" applyProtection="1">
      <alignment horizontal="center"/>
      <protection locked="0"/>
    </xf>
    <xf numFmtId="0" fontId="8" fillId="0" borderId="60" xfId="277" applyBorder="1" applyAlignment="1" applyProtection="1">
      <alignment vertical="top" wrapText="1"/>
      <protection locked="0" hidden="1"/>
    </xf>
    <xf numFmtId="0" fontId="8" fillId="0" borderId="6" xfId="277" applyBorder="1" applyAlignment="1" applyProtection="1">
      <alignment vertical="top" wrapText="1"/>
      <protection hidden="1"/>
    </xf>
    <xf numFmtId="0" fontId="8" fillId="0" borderId="11" xfId="277" applyBorder="1" applyAlignment="1" applyProtection="1">
      <alignment vertical="top" wrapText="1"/>
      <protection locked="0" hidden="1"/>
    </xf>
    <xf numFmtId="0" fontId="8" fillId="0" borderId="6" xfId="277" applyBorder="1" applyProtection="1">
      <protection locked="0" hidden="1"/>
    </xf>
    <xf numFmtId="0" fontId="2" fillId="0" borderId="18" xfId="277" applyFont="1" applyBorder="1" applyProtection="1">
      <protection locked="0" hidden="1"/>
    </xf>
    <xf numFmtId="0" fontId="8" fillId="0" borderId="18" xfId="277" applyBorder="1" applyProtection="1">
      <protection locked="0" hidden="1"/>
    </xf>
    <xf numFmtId="0" fontId="2" fillId="0" borderId="12" xfId="277" applyFont="1" applyBorder="1" applyProtection="1">
      <protection locked="0" hidden="1"/>
    </xf>
    <xf numFmtId="0" fontId="8" fillId="0" borderId="12" xfId="277" applyBorder="1" applyProtection="1">
      <protection locked="0" hidden="1"/>
    </xf>
    <xf numFmtId="0" fontId="2" fillId="0" borderId="64" xfId="277" applyFont="1" applyBorder="1" applyProtection="1">
      <protection locked="0" hidden="1"/>
    </xf>
    <xf numFmtId="0" fontId="2" fillId="0" borderId="20" xfId="277" applyFont="1" applyBorder="1" applyProtection="1">
      <protection locked="0" hidden="1"/>
    </xf>
    <xf numFmtId="0" fontId="2" fillId="0" borderId="60" xfId="277" applyFont="1" applyBorder="1" applyProtection="1">
      <protection locked="0" hidden="1"/>
    </xf>
    <xf numFmtId="0" fontId="2" fillId="0" borderId="61" xfId="277" applyFont="1" applyBorder="1" applyProtection="1">
      <protection locked="0" hidden="1"/>
    </xf>
    <xf numFmtId="0" fontId="2" fillId="0" borderId="11" xfId="277" applyFont="1" applyBorder="1" applyProtection="1">
      <protection locked="0" hidden="1"/>
    </xf>
    <xf numFmtId="0" fontId="2" fillId="0" borderId="65" xfId="277" applyFont="1" applyBorder="1" applyAlignment="1" applyProtection="1">
      <alignment vertical="top" wrapText="1"/>
      <protection locked="0" hidden="1"/>
    </xf>
    <xf numFmtId="0" fontId="8" fillId="0" borderId="61" xfId="277" applyBorder="1" applyAlignment="1" applyProtection="1">
      <alignment vertical="top" wrapText="1"/>
      <protection locked="0" hidden="1"/>
    </xf>
    <xf numFmtId="0" fontId="8" fillId="0" borderId="67" xfId="277" applyBorder="1" applyAlignment="1" applyProtection="1">
      <alignment vertical="top" wrapText="1"/>
      <protection locked="0" hidden="1"/>
    </xf>
    <xf numFmtId="0" fontId="8" fillId="0" borderId="20" xfId="277" applyBorder="1" applyAlignment="1" applyProtection="1">
      <alignment vertical="top" wrapText="1"/>
      <protection locked="0" hidden="1"/>
    </xf>
    <xf numFmtId="0" fontId="2" fillId="0" borderId="11" xfId="277" applyFont="1" applyBorder="1" applyAlignment="1" applyProtection="1">
      <alignment vertical="top" wrapText="1"/>
      <protection locked="0" hidden="1"/>
    </xf>
    <xf numFmtId="0" fontId="8" fillId="0" borderId="6" xfId="277" applyBorder="1" applyAlignment="1" applyProtection="1">
      <alignment vertical="top"/>
      <protection locked="0" hidden="1"/>
    </xf>
    <xf numFmtId="0" fontId="8" fillId="0" borderId="6" xfId="277" applyBorder="1" applyProtection="1">
      <protection hidden="1"/>
    </xf>
    <xf numFmtId="0" fontId="4" fillId="0" borderId="0" xfId="0" applyFont="1" applyAlignment="1" applyProtection="1">
      <alignment horizontal="center" vertical="center"/>
      <protection hidden="1"/>
    </xf>
    <xf numFmtId="49" fontId="4" fillId="19" borderId="11" xfId="0" applyNumberFormat="1" applyFont="1" applyFill="1" applyBorder="1" applyAlignment="1" applyProtection="1">
      <alignment horizontal="center" vertical="center"/>
      <protection locked="0"/>
    </xf>
    <xf numFmtId="49" fontId="4" fillId="19" borderId="60" xfId="0" applyNumberFormat="1" applyFont="1" applyFill="1" applyBorder="1" applyAlignment="1" applyProtection="1">
      <alignment horizontal="center" vertical="center"/>
      <protection locked="0"/>
    </xf>
    <xf numFmtId="49" fontId="4" fillId="19" borderId="10" xfId="0" applyNumberFormat="1" applyFont="1" applyFill="1" applyBorder="1" applyAlignment="1" applyProtection="1">
      <alignment horizontal="center" vertical="center"/>
      <protection locked="0"/>
    </xf>
    <xf numFmtId="2" fontId="4" fillId="19" borderId="11" xfId="0" applyNumberFormat="1" applyFont="1" applyFill="1" applyBorder="1" applyAlignment="1" applyProtection="1">
      <alignment horizontal="center" vertical="center"/>
      <protection locked="0"/>
    </xf>
    <xf numFmtId="2" fontId="4" fillId="19" borderId="10" xfId="0" applyNumberFormat="1" applyFont="1" applyFill="1" applyBorder="1" applyAlignment="1" applyProtection="1">
      <alignment horizontal="center" vertical="center"/>
      <protection locked="0"/>
    </xf>
    <xf numFmtId="164" fontId="4" fillId="19" borderId="11" xfId="0" applyNumberFormat="1" applyFont="1" applyFill="1" applyBorder="1" applyAlignment="1" applyProtection="1">
      <alignment horizontal="center" vertical="center"/>
      <protection locked="0"/>
    </xf>
    <xf numFmtId="164" fontId="4" fillId="19" borderId="10" xfId="0" applyNumberFormat="1" applyFont="1" applyFill="1" applyBorder="1" applyAlignment="1" applyProtection="1">
      <alignment horizontal="center" vertical="center"/>
      <protection locked="0"/>
    </xf>
    <xf numFmtId="49" fontId="4" fillId="2" borderId="14" xfId="0" quotePrefix="1" applyNumberFormat="1" applyFont="1" applyFill="1" applyBorder="1" applyAlignment="1" applyProtection="1">
      <alignment horizontal="center" vertical="center"/>
      <protection hidden="1"/>
    </xf>
    <xf numFmtId="49" fontId="4" fillId="2" borderId="19" xfId="0" quotePrefix="1" applyNumberFormat="1" applyFont="1" applyFill="1" applyBorder="1" applyAlignment="1" applyProtection="1">
      <alignment horizontal="center" vertical="center"/>
      <protection hidden="1"/>
    </xf>
    <xf numFmtId="49" fontId="4" fillId="2" borderId="113" xfId="0" quotePrefix="1" applyNumberFormat="1" applyFont="1" applyFill="1" applyBorder="1" applyAlignment="1" applyProtection="1">
      <alignment horizontal="center" vertical="center"/>
      <protection hidden="1"/>
    </xf>
    <xf numFmtId="2" fontId="4" fillId="19" borderId="102" xfId="0" applyNumberFormat="1" applyFont="1" applyFill="1" applyBorder="1" applyAlignment="1" applyProtection="1">
      <alignment horizontal="center" vertical="center"/>
      <protection locked="0"/>
    </xf>
    <xf numFmtId="2" fontId="4" fillId="19" borderId="68" xfId="0" applyNumberFormat="1" applyFont="1" applyFill="1" applyBorder="1" applyAlignment="1" applyProtection="1">
      <alignment horizontal="center" vertical="center"/>
      <protection locked="0"/>
    </xf>
    <xf numFmtId="2" fontId="4" fillId="19" borderId="85" xfId="0" applyNumberFormat="1" applyFont="1" applyFill="1" applyBorder="1" applyAlignment="1" applyProtection="1">
      <alignment horizontal="center" vertical="center"/>
      <protection locked="0"/>
    </xf>
    <xf numFmtId="2" fontId="4" fillId="19" borderId="91" xfId="0" applyNumberFormat="1" applyFont="1" applyFill="1" applyBorder="1" applyAlignment="1" applyProtection="1">
      <alignment horizontal="center" vertical="center"/>
      <protection locked="0"/>
    </xf>
    <xf numFmtId="164" fontId="4" fillId="19" borderId="85" xfId="0" applyNumberFormat="1" applyFont="1" applyFill="1" applyBorder="1" applyAlignment="1" applyProtection="1">
      <alignment horizontal="center" vertical="center"/>
      <protection locked="0"/>
    </xf>
    <xf numFmtId="164" fontId="4" fillId="19" borderId="91" xfId="0" applyNumberFormat="1" applyFont="1" applyFill="1" applyBorder="1" applyAlignment="1" applyProtection="1">
      <alignment horizontal="center" vertical="center"/>
      <protection locked="0"/>
    </xf>
    <xf numFmtId="0" fontId="4" fillId="18" borderId="11" xfId="0" applyFont="1" applyFill="1" applyBorder="1" applyAlignment="1" applyProtection="1">
      <alignment horizontal="center" vertical="center"/>
      <protection hidden="1"/>
    </xf>
    <xf numFmtId="0" fontId="4" fillId="18" borderId="10" xfId="0" applyFont="1" applyFill="1" applyBorder="1" applyAlignment="1" applyProtection="1">
      <alignment horizontal="center" vertical="center"/>
      <protection hidden="1"/>
    </xf>
    <xf numFmtId="0" fontId="4" fillId="18" borderId="11" xfId="0" applyFont="1" applyFill="1" applyBorder="1" applyAlignment="1" applyProtection="1">
      <alignment vertical="center"/>
      <protection hidden="1"/>
    </xf>
    <xf numFmtId="0" fontId="4" fillId="18" borderId="60" xfId="0" applyFont="1" applyFill="1" applyBorder="1" applyAlignment="1" applyProtection="1">
      <alignment vertical="center"/>
      <protection hidden="1"/>
    </xf>
    <xf numFmtId="0" fontId="4" fillId="18" borderId="10" xfId="0" applyFont="1" applyFill="1" applyBorder="1" applyAlignment="1" applyProtection="1">
      <alignment vertical="center"/>
      <protection hidden="1"/>
    </xf>
    <xf numFmtId="0" fontId="4" fillId="19" borderId="11" xfId="0" applyFont="1" applyFill="1" applyBorder="1" applyAlignment="1" applyProtection="1">
      <alignment horizontal="center" vertical="center"/>
      <protection locked="0"/>
    </xf>
    <xf numFmtId="0" fontId="3" fillId="19" borderId="10" xfId="0" applyFont="1" applyFill="1" applyBorder="1" applyAlignment="1" applyProtection="1">
      <alignment horizontal="center" vertical="center"/>
      <protection locked="0"/>
    </xf>
    <xf numFmtId="0" fontId="5" fillId="20" borderId="23" xfId="0" applyFont="1" applyFill="1" applyBorder="1" applyAlignment="1" applyProtection="1">
      <alignment horizontal="center" vertical="center" wrapText="1"/>
      <protection hidden="1"/>
    </xf>
    <xf numFmtId="0" fontId="5" fillId="20" borderId="40" xfId="0" applyFont="1" applyFill="1" applyBorder="1" applyAlignment="1" applyProtection="1">
      <alignment horizontal="center" vertical="center" wrapText="1"/>
      <protection hidden="1"/>
    </xf>
    <xf numFmtId="164" fontId="4" fillId="7" borderId="22" xfId="0" quotePrefix="1" applyNumberFormat="1" applyFont="1" applyFill="1" applyBorder="1" applyAlignment="1" applyProtection="1">
      <alignment horizontal="center" vertical="center"/>
      <protection hidden="1"/>
    </xf>
    <xf numFmtId="164" fontId="4" fillId="7" borderId="38" xfId="0" quotePrefix="1" applyNumberFormat="1" applyFont="1" applyFill="1" applyBorder="1" applyAlignment="1" applyProtection="1">
      <alignment horizontal="center" vertical="center"/>
      <protection hidden="1"/>
    </xf>
    <xf numFmtId="2" fontId="5" fillId="2" borderId="22" xfId="0" quotePrefix="1" applyNumberFormat="1" applyFont="1" applyFill="1" applyBorder="1" applyAlignment="1" applyProtection="1">
      <alignment horizontal="center" vertical="center"/>
      <protection hidden="1"/>
    </xf>
    <xf numFmtId="2" fontId="5" fillId="2" borderId="38" xfId="0" quotePrefix="1" applyNumberFormat="1" applyFont="1" applyFill="1" applyBorder="1" applyAlignment="1" applyProtection="1">
      <alignment horizontal="center" vertical="center"/>
      <protection hidden="1"/>
    </xf>
    <xf numFmtId="164" fontId="4" fillId="19" borderId="102" xfId="0" applyNumberFormat="1" applyFont="1" applyFill="1" applyBorder="1" applyAlignment="1" applyProtection="1">
      <alignment horizontal="center" vertical="center"/>
      <protection locked="0"/>
    </xf>
    <xf numFmtId="164" fontId="4" fillId="19" borderId="68" xfId="0" applyNumberFormat="1" applyFont="1" applyFill="1" applyBorder="1" applyAlignment="1" applyProtection="1">
      <alignment horizontal="center" vertical="center"/>
      <protection locked="0"/>
    </xf>
    <xf numFmtId="0" fontId="0" fillId="20" borderId="40" xfId="0" applyFill="1" applyBorder="1" applyAlignment="1" applyProtection="1">
      <alignment horizontal="center" vertical="center" wrapText="1"/>
      <protection hidden="1"/>
    </xf>
    <xf numFmtId="0" fontId="5" fillId="20" borderId="32" xfId="0" applyFont="1" applyFill="1" applyBorder="1" applyAlignment="1" applyProtection="1">
      <alignment horizontal="center" vertical="center" wrapText="1"/>
      <protection hidden="1"/>
    </xf>
    <xf numFmtId="0" fontId="0" fillId="20" borderId="33" xfId="0" applyFill="1" applyBorder="1" applyAlignment="1" applyProtection="1">
      <alignment horizontal="center" vertical="center" wrapText="1"/>
      <protection hidden="1"/>
    </xf>
    <xf numFmtId="0" fontId="0" fillId="20" borderId="35" xfId="0" applyFill="1" applyBorder="1" applyAlignment="1" applyProtection="1">
      <alignment horizontal="center" vertical="center" wrapText="1"/>
      <protection hidden="1"/>
    </xf>
    <xf numFmtId="0" fontId="0" fillId="20" borderId="37" xfId="0" applyFill="1" applyBorder="1" applyAlignment="1" applyProtection="1">
      <alignment horizontal="center" vertical="center" wrapText="1"/>
      <protection hidden="1"/>
    </xf>
    <xf numFmtId="0" fontId="4" fillId="20" borderId="29" xfId="0" applyFont="1" applyFill="1" applyBorder="1" applyAlignment="1" applyProtection="1">
      <alignment horizontal="center" vertical="center" wrapText="1"/>
      <protection hidden="1"/>
    </xf>
    <xf numFmtId="0" fontId="4" fillId="20" borderId="13" xfId="0" applyFont="1" applyFill="1" applyBorder="1" applyAlignment="1" applyProtection="1">
      <alignment horizontal="center" vertical="center" wrapText="1"/>
      <protection hidden="1"/>
    </xf>
    <xf numFmtId="0" fontId="0" fillId="20" borderId="17" xfId="0" applyFill="1" applyBorder="1" applyAlignment="1" applyProtection="1">
      <alignment wrapText="1"/>
      <protection hidden="1"/>
    </xf>
    <xf numFmtId="14" fontId="4" fillId="19" borderId="29" xfId="0" applyNumberFormat="1" applyFont="1" applyFill="1" applyBorder="1" applyAlignment="1" applyProtection="1">
      <alignment horizontal="center" vertical="center"/>
      <protection locked="0"/>
    </xf>
    <xf numFmtId="14" fontId="4" fillId="19" borderId="17" xfId="0" applyNumberFormat="1" applyFont="1" applyFill="1" applyBorder="1" applyAlignment="1" applyProtection="1">
      <alignment horizontal="center" vertical="center"/>
      <protection locked="0"/>
    </xf>
    <xf numFmtId="0" fontId="4" fillId="19" borderId="29" xfId="0" applyFont="1" applyFill="1" applyBorder="1" applyAlignment="1" applyProtection="1">
      <alignment horizontal="center" vertical="center"/>
      <protection locked="0"/>
    </xf>
    <xf numFmtId="0" fontId="4" fillId="19" borderId="13" xfId="0" applyFont="1" applyFill="1" applyBorder="1" applyAlignment="1" applyProtection="1">
      <alignment horizontal="center" vertical="center"/>
      <protection locked="0"/>
    </xf>
    <xf numFmtId="0" fontId="4" fillId="19" borderId="17" xfId="0" applyFont="1" applyFill="1" applyBorder="1" applyAlignment="1" applyProtection="1">
      <alignment horizontal="center" vertical="center"/>
      <protection locked="0"/>
    </xf>
    <xf numFmtId="0" fontId="4" fillId="20" borderId="29" xfId="0" applyFont="1" applyFill="1" applyBorder="1" applyAlignment="1" applyProtection="1">
      <alignment horizontal="left" vertical="center" wrapText="1"/>
      <protection hidden="1"/>
    </xf>
    <xf numFmtId="0" fontId="0" fillId="20" borderId="13" xfId="0" applyFill="1" applyBorder="1" applyAlignment="1" applyProtection="1">
      <alignment horizontal="left" vertical="center" wrapText="1"/>
      <protection hidden="1"/>
    </xf>
    <xf numFmtId="0" fontId="5" fillId="20" borderId="32" xfId="0" applyFont="1" applyFill="1" applyBorder="1" applyAlignment="1" applyProtection="1">
      <alignment horizontal="center" vertical="center"/>
      <protection hidden="1"/>
    </xf>
    <xf numFmtId="0" fontId="5" fillId="20" borderId="35" xfId="0" applyFont="1" applyFill="1" applyBorder="1" applyAlignment="1" applyProtection="1">
      <alignment horizontal="center" vertical="center"/>
      <protection hidden="1"/>
    </xf>
    <xf numFmtId="49" fontId="5" fillId="20" borderId="29" xfId="0" applyNumberFormat="1" applyFont="1" applyFill="1" applyBorder="1" applyAlignment="1" applyProtection="1">
      <alignment vertical="center"/>
      <protection hidden="1"/>
    </xf>
    <xf numFmtId="49" fontId="5" fillId="20" borderId="13" xfId="0" applyNumberFormat="1" applyFont="1" applyFill="1" applyBorder="1" applyAlignment="1" applyProtection="1">
      <alignment vertical="center"/>
      <protection hidden="1"/>
    </xf>
    <xf numFmtId="1" fontId="5" fillId="2" borderId="29" xfId="0" applyNumberFormat="1" applyFont="1" applyFill="1" applyBorder="1" applyAlignment="1" applyProtection="1">
      <alignment horizontal="center" vertical="center"/>
      <protection hidden="1"/>
    </xf>
    <xf numFmtId="1" fontId="5" fillId="2" borderId="38" xfId="0" applyNumberFormat="1" applyFont="1" applyFill="1" applyBorder="1" applyAlignment="1" applyProtection="1">
      <alignment horizontal="center" vertical="center"/>
      <protection hidden="1"/>
    </xf>
    <xf numFmtId="0" fontId="16" fillId="20" borderId="40" xfId="0" applyFont="1" applyFill="1" applyBorder="1" applyAlignment="1" applyProtection="1">
      <alignment horizontal="center" vertical="center" wrapText="1"/>
      <protection hidden="1"/>
    </xf>
    <xf numFmtId="49" fontId="4" fillId="19" borderId="102" xfId="0" applyNumberFormat="1" applyFont="1" applyFill="1" applyBorder="1" applyAlignment="1" applyProtection="1">
      <alignment horizontal="center" vertical="center"/>
      <protection locked="0"/>
    </xf>
    <xf numFmtId="49" fontId="4" fillId="19" borderId="97" xfId="0" applyNumberFormat="1" applyFont="1" applyFill="1" applyBorder="1" applyAlignment="1" applyProtection="1">
      <alignment horizontal="center" vertical="center"/>
      <protection locked="0"/>
    </xf>
    <xf numFmtId="49" fontId="4" fillId="19" borderId="68" xfId="0" applyNumberFormat="1" applyFont="1" applyFill="1" applyBorder="1" applyAlignment="1" applyProtection="1">
      <alignment horizontal="center" vertical="center"/>
      <protection locked="0"/>
    </xf>
    <xf numFmtId="0" fontId="5" fillId="20" borderId="29" xfId="0" applyFont="1" applyFill="1" applyBorder="1" applyAlignment="1" applyProtection="1">
      <alignment horizontal="center" vertical="center"/>
      <protection hidden="1"/>
    </xf>
    <xf numFmtId="0" fontId="0" fillId="20" borderId="13" xfId="0" applyFill="1" applyBorder="1" applyAlignment="1" applyProtection="1">
      <alignment horizontal="center" vertical="center"/>
      <protection hidden="1"/>
    </xf>
    <xf numFmtId="0" fontId="0" fillId="20" borderId="17" xfId="0" applyFill="1" applyBorder="1" applyAlignment="1" applyProtection="1">
      <alignment horizontal="center" vertical="center"/>
      <protection hidden="1"/>
    </xf>
    <xf numFmtId="0" fontId="8" fillId="19" borderId="29" xfId="0" applyFont="1" applyFill="1" applyBorder="1" applyAlignment="1" applyProtection="1">
      <alignment horizontal="center" vertical="center"/>
      <protection locked="0"/>
    </xf>
    <xf numFmtId="0" fontId="0" fillId="19" borderId="13" xfId="0" applyFill="1" applyBorder="1" applyAlignment="1" applyProtection="1">
      <alignment horizontal="center" vertical="center"/>
      <protection locked="0"/>
    </xf>
    <xf numFmtId="0" fontId="0" fillId="19" borderId="17" xfId="0" applyFill="1" applyBorder="1" applyAlignment="1" applyProtection="1">
      <alignment horizontal="center" vertical="center"/>
      <protection locked="0"/>
    </xf>
    <xf numFmtId="0" fontId="5" fillId="22" borderId="29" xfId="0" applyFont="1" applyFill="1" applyBorder="1" applyAlignment="1" applyProtection="1">
      <alignment horizontal="center" vertical="center"/>
      <protection hidden="1"/>
    </xf>
    <xf numFmtId="0" fontId="5" fillId="22" borderId="13" xfId="0" applyFont="1" applyFill="1" applyBorder="1" applyAlignment="1" applyProtection="1">
      <alignment horizontal="center" vertical="center"/>
      <protection hidden="1"/>
    </xf>
    <xf numFmtId="0" fontId="5" fillId="22" borderId="17" xfId="0" applyFont="1" applyFill="1" applyBorder="1" applyAlignment="1" applyProtection="1">
      <alignment horizontal="center" vertical="center"/>
      <protection hidden="1"/>
    </xf>
    <xf numFmtId="2" fontId="5" fillId="20" borderId="23" xfId="0" applyNumberFormat="1" applyFont="1" applyFill="1" applyBorder="1" applyAlignment="1" applyProtection="1">
      <alignment horizontal="center" vertical="center" wrapText="1"/>
      <protection hidden="1"/>
    </xf>
    <xf numFmtId="2" fontId="5" fillId="20" borderId="40" xfId="0" applyNumberFormat="1" applyFont="1" applyFill="1" applyBorder="1" applyAlignment="1" applyProtection="1">
      <alignment horizontal="center" vertical="center" wrapText="1"/>
      <protection hidden="1"/>
    </xf>
    <xf numFmtId="0" fontId="4" fillId="20" borderId="35" xfId="0" applyFont="1" applyFill="1" applyBorder="1" applyAlignment="1" applyProtection="1">
      <alignment horizontal="center" vertical="center"/>
      <protection hidden="1"/>
    </xf>
    <xf numFmtId="0" fontId="4" fillId="20" borderId="36" xfId="0" applyFont="1" applyFill="1" applyBorder="1" applyAlignment="1" applyProtection="1">
      <alignment horizontal="center" vertical="center"/>
      <protection hidden="1"/>
    </xf>
    <xf numFmtId="0" fontId="5" fillId="20" borderId="35" xfId="0" applyFont="1" applyFill="1" applyBorder="1" applyAlignment="1" applyProtection="1">
      <alignment horizontal="center" vertical="center" wrapText="1"/>
      <protection hidden="1"/>
    </xf>
    <xf numFmtId="0" fontId="5" fillId="20" borderId="23" xfId="0" applyFont="1" applyFill="1" applyBorder="1" applyAlignment="1" applyProtection="1">
      <alignment horizontal="center" vertical="center" wrapText="1" shrinkToFit="1"/>
      <protection hidden="1"/>
    </xf>
    <xf numFmtId="0" fontId="5" fillId="20" borderId="40" xfId="0" applyFont="1" applyFill="1" applyBorder="1" applyAlignment="1" applyProtection="1">
      <alignment horizontal="center" vertical="center" wrapText="1" shrinkToFit="1"/>
      <protection hidden="1"/>
    </xf>
    <xf numFmtId="0" fontId="5" fillId="20" borderId="23" xfId="0" applyFont="1" applyFill="1" applyBorder="1" applyAlignment="1" applyProtection="1">
      <alignment horizontal="center" vertical="center"/>
      <protection hidden="1"/>
    </xf>
    <xf numFmtId="0" fontId="5" fillId="20" borderId="40" xfId="0" applyFont="1" applyFill="1" applyBorder="1" applyAlignment="1" applyProtection="1">
      <alignment horizontal="center" vertical="center"/>
      <protection hidden="1"/>
    </xf>
    <xf numFmtId="0" fontId="5" fillId="20" borderId="2" xfId="0" applyFont="1" applyFill="1" applyBorder="1" applyAlignment="1" applyProtection="1">
      <alignment horizontal="center" vertical="center" wrapText="1"/>
      <protection hidden="1"/>
    </xf>
    <xf numFmtId="0" fontId="5" fillId="20" borderId="36" xfId="0" applyFont="1" applyFill="1" applyBorder="1" applyAlignment="1" applyProtection="1">
      <alignment horizontal="center" vertical="center" wrapText="1"/>
      <protection hidden="1"/>
    </xf>
    <xf numFmtId="0" fontId="5" fillId="20" borderId="33" xfId="0" applyFont="1" applyFill="1" applyBorder="1" applyAlignment="1" applyProtection="1">
      <alignment horizontal="center" vertical="center" wrapText="1"/>
      <protection hidden="1"/>
    </xf>
    <xf numFmtId="0" fontId="5" fillId="20" borderId="37" xfId="0" applyFont="1" applyFill="1" applyBorder="1" applyAlignment="1" applyProtection="1">
      <alignment horizontal="center" vertical="center" wrapText="1"/>
      <protection hidden="1"/>
    </xf>
    <xf numFmtId="0" fontId="4" fillId="20" borderId="17" xfId="0" applyFont="1" applyFill="1" applyBorder="1" applyAlignment="1" applyProtection="1">
      <alignment horizontal="center" vertical="center" wrapText="1"/>
      <protection hidden="1"/>
    </xf>
    <xf numFmtId="169" fontId="22" fillId="19" borderId="29" xfId="63" applyNumberFormat="1" applyFill="1" applyBorder="1" applyAlignment="1" applyProtection="1">
      <alignment horizontal="center" vertical="center" wrapText="1"/>
      <protection locked="0"/>
    </xf>
    <xf numFmtId="169" fontId="3" fillId="19" borderId="13" xfId="0" applyNumberFormat="1" applyFont="1" applyFill="1" applyBorder="1" applyAlignment="1" applyProtection="1">
      <alignment vertical="center" wrapText="1"/>
      <protection locked="0"/>
    </xf>
    <xf numFmtId="169" fontId="3" fillId="19" borderId="17" xfId="0" applyNumberFormat="1" applyFont="1" applyFill="1" applyBorder="1" applyAlignment="1" applyProtection="1">
      <alignment vertical="center" wrapText="1"/>
      <protection locked="0"/>
    </xf>
    <xf numFmtId="0" fontId="4" fillId="0" borderId="29" xfId="0" applyFont="1" applyBorder="1" applyAlignment="1" applyProtection="1">
      <alignment horizontal="center" vertical="center"/>
      <protection locked="0"/>
    </xf>
    <xf numFmtId="0" fontId="4" fillId="0" borderId="13" xfId="0" applyFont="1" applyBorder="1" applyAlignment="1" applyProtection="1">
      <alignment horizontal="center" vertical="center"/>
      <protection locked="0"/>
    </xf>
    <xf numFmtId="0" fontId="4" fillId="0" borderId="17" xfId="0" applyFont="1" applyBorder="1" applyAlignment="1" applyProtection="1">
      <alignment horizontal="center" vertical="center"/>
      <protection locked="0"/>
    </xf>
    <xf numFmtId="0" fontId="5" fillId="19" borderId="30" xfId="65" applyFont="1" applyFill="1" applyBorder="1" applyAlignment="1" applyProtection="1">
      <alignment horizontal="center" vertical="center" wrapText="1"/>
      <protection hidden="1"/>
    </xf>
    <xf numFmtId="0" fontId="5" fillId="19" borderId="27" xfId="65" applyFont="1" applyFill="1" applyBorder="1" applyAlignment="1" applyProtection="1">
      <alignment horizontal="center" vertical="center" wrapText="1"/>
      <protection hidden="1"/>
    </xf>
    <xf numFmtId="0" fontId="5" fillId="19" borderId="28" xfId="65" applyFont="1" applyFill="1" applyBorder="1" applyAlignment="1" applyProtection="1">
      <alignment horizontal="center" vertical="center" wrapText="1"/>
      <protection hidden="1"/>
    </xf>
    <xf numFmtId="0" fontId="5" fillId="22" borderId="35" xfId="0" applyFont="1" applyFill="1" applyBorder="1" applyAlignment="1" applyProtection="1">
      <alignment horizontal="center" vertical="center"/>
      <protection hidden="1"/>
    </xf>
    <xf numFmtId="0" fontId="0" fillId="22" borderId="36" xfId="0" applyFill="1" applyBorder="1" applyAlignment="1" applyProtection="1">
      <alignment horizontal="center" vertical="center"/>
      <protection hidden="1"/>
    </xf>
    <xf numFmtId="0" fontId="0" fillId="22" borderId="37" xfId="0" applyFill="1" applyBorder="1" applyAlignment="1" applyProtection="1">
      <alignment horizontal="center" vertical="center"/>
      <protection hidden="1"/>
    </xf>
    <xf numFmtId="0" fontId="5" fillId="6" borderId="110" xfId="0" applyFont="1" applyFill="1" applyBorder="1" applyAlignment="1" applyProtection="1">
      <alignment horizontal="center" vertical="center" wrapText="1"/>
      <protection hidden="1"/>
    </xf>
    <xf numFmtId="0" fontId="5" fillId="6" borderId="92" xfId="0" applyFont="1" applyFill="1" applyBorder="1" applyAlignment="1" applyProtection="1">
      <alignment horizontal="center" vertical="center" wrapText="1"/>
      <protection hidden="1"/>
    </xf>
    <xf numFmtId="0" fontId="5" fillId="6" borderId="111" xfId="0" applyFont="1" applyFill="1" applyBorder="1" applyAlignment="1" applyProtection="1">
      <alignment horizontal="center" vertical="center" wrapText="1"/>
      <protection hidden="1"/>
    </xf>
    <xf numFmtId="0" fontId="21" fillId="11" borderId="0" xfId="0" applyFont="1" applyFill="1" applyAlignment="1" applyProtection="1">
      <alignment horizontal="center" vertical="center"/>
      <protection hidden="1"/>
    </xf>
    <xf numFmtId="0" fontId="5" fillId="6" borderId="30" xfId="0" applyFont="1" applyFill="1" applyBorder="1" applyAlignment="1" applyProtection="1">
      <alignment horizontal="center" vertical="center" wrapText="1"/>
      <protection hidden="1"/>
    </xf>
    <xf numFmtId="0" fontId="5" fillId="6" borderId="8" xfId="0" applyFont="1" applyFill="1" applyBorder="1" applyAlignment="1" applyProtection="1">
      <alignment horizontal="center" vertical="center" wrapText="1"/>
      <protection hidden="1"/>
    </xf>
    <xf numFmtId="0" fontId="5" fillId="6" borderId="27" xfId="0" applyFont="1" applyFill="1" applyBorder="1" applyAlignment="1" applyProtection="1">
      <alignment horizontal="center" vertical="center" wrapText="1"/>
      <protection hidden="1"/>
    </xf>
    <xf numFmtId="0" fontId="5" fillId="6" borderId="28" xfId="0" applyFont="1" applyFill="1" applyBorder="1" applyAlignment="1" applyProtection="1">
      <alignment horizontal="center" vertical="center" wrapText="1"/>
      <protection hidden="1"/>
    </xf>
    <xf numFmtId="0" fontId="5" fillId="20" borderId="17" xfId="0" applyFont="1" applyFill="1" applyBorder="1" applyAlignment="1" applyProtection="1">
      <alignment horizontal="center" vertical="center"/>
      <protection hidden="1"/>
    </xf>
    <xf numFmtId="0" fontId="5" fillId="3" borderId="59" xfId="0" applyFont="1" applyFill="1" applyBorder="1" applyAlignment="1" applyProtection="1">
      <alignment horizontal="center" vertical="center" wrapText="1"/>
      <protection hidden="1"/>
    </xf>
    <xf numFmtId="0" fontId="5" fillId="3" borderId="44" xfId="0" applyFont="1" applyFill="1" applyBorder="1" applyAlignment="1" applyProtection="1">
      <alignment horizontal="center" vertical="center" wrapText="1"/>
      <protection hidden="1"/>
    </xf>
    <xf numFmtId="0" fontId="5" fillId="3" borderId="30" xfId="0" applyFont="1" applyFill="1" applyBorder="1" applyAlignment="1" applyProtection="1">
      <alignment horizontal="center" vertical="center" wrapText="1"/>
      <protection hidden="1"/>
    </xf>
    <xf numFmtId="0" fontId="5" fillId="3" borderId="85" xfId="0" applyFont="1" applyFill="1" applyBorder="1" applyAlignment="1" applyProtection="1">
      <alignment horizontal="center" vertical="center" wrapText="1"/>
      <protection hidden="1"/>
    </xf>
    <xf numFmtId="0" fontId="4" fillId="19" borderId="32" xfId="0" applyFont="1" applyFill="1" applyBorder="1" applyAlignment="1" applyProtection="1">
      <alignment horizontal="center" vertical="center" wrapText="1"/>
      <protection locked="0"/>
    </xf>
    <xf numFmtId="0" fontId="4" fillId="19" borderId="2" xfId="0" applyFont="1" applyFill="1" applyBorder="1" applyAlignment="1" applyProtection="1">
      <alignment horizontal="center" vertical="center" wrapText="1"/>
      <protection locked="0"/>
    </xf>
    <xf numFmtId="0" fontId="4" fillId="19" borderId="34" xfId="0" applyFont="1" applyFill="1" applyBorder="1" applyAlignment="1" applyProtection="1">
      <alignment horizontal="center" vertical="center" wrapText="1"/>
      <protection locked="0"/>
    </xf>
    <xf numFmtId="0" fontId="4" fillId="19" borderId="0" xfId="0" applyFont="1" applyFill="1" applyAlignment="1" applyProtection="1">
      <alignment horizontal="center" vertical="center" wrapText="1"/>
      <protection locked="0"/>
    </xf>
    <xf numFmtId="0" fontId="4" fillId="19" borderId="35" xfId="0" applyFont="1" applyFill="1" applyBorder="1" applyAlignment="1" applyProtection="1">
      <alignment horizontal="center" vertical="center" wrapText="1"/>
      <protection locked="0"/>
    </xf>
    <xf numFmtId="0" fontId="4" fillId="19" borderId="36" xfId="0" applyFont="1" applyFill="1" applyBorder="1" applyAlignment="1" applyProtection="1">
      <alignment horizontal="center" vertical="center" wrapText="1"/>
      <protection locked="0"/>
    </xf>
    <xf numFmtId="2" fontId="4" fillId="19" borderId="23" xfId="0" applyNumberFormat="1" applyFont="1" applyFill="1" applyBorder="1" applyAlignment="1" applyProtection="1">
      <alignment horizontal="center" vertical="center"/>
      <protection locked="0"/>
    </xf>
    <xf numFmtId="2" fontId="4" fillId="19" borderId="39" xfId="0" applyNumberFormat="1" applyFont="1" applyFill="1" applyBorder="1" applyAlignment="1" applyProtection="1">
      <alignment horizontal="center" vertical="center"/>
      <protection locked="0"/>
    </xf>
    <xf numFmtId="2" fontId="4" fillId="19" borderId="40" xfId="0" applyNumberFormat="1" applyFont="1" applyFill="1" applyBorder="1" applyAlignment="1" applyProtection="1">
      <alignment horizontal="center" vertical="center"/>
      <protection locked="0"/>
    </xf>
    <xf numFmtId="1" fontId="4" fillId="19" borderId="23" xfId="0" applyNumberFormat="1" applyFont="1" applyFill="1" applyBorder="1" applyAlignment="1" applyProtection="1">
      <alignment horizontal="center" vertical="center"/>
      <protection locked="0"/>
    </xf>
    <xf numFmtId="1" fontId="4" fillId="19" borderId="39" xfId="0" applyNumberFormat="1" applyFont="1" applyFill="1" applyBorder="1" applyAlignment="1" applyProtection="1">
      <alignment horizontal="center" vertical="center"/>
      <protection locked="0"/>
    </xf>
    <xf numFmtId="1" fontId="4" fillId="19" borderId="40" xfId="0" applyNumberFormat="1" applyFont="1" applyFill="1" applyBorder="1" applyAlignment="1" applyProtection="1">
      <alignment horizontal="center" vertical="center"/>
      <protection locked="0"/>
    </xf>
    <xf numFmtId="1" fontId="4" fillId="19" borderId="32" xfId="0" applyNumberFormat="1" applyFont="1" applyFill="1" applyBorder="1" applyAlignment="1" applyProtection="1">
      <alignment horizontal="center" vertical="center"/>
      <protection locked="0"/>
    </xf>
    <xf numFmtId="1" fontId="4" fillId="19" borderId="33" xfId="0" applyNumberFormat="1" applyFont="1" applyFill="1" applyBorder="1" applyAlignment="1" applyProtection="1">
      <alignment horizontal="center" vertical="center"/>
      <protection locked="0"/>
    </xf>
    <xf numFmtId="1" fontId="4" fillId="19" borderId="34" xfId="0" applyNumberFormat="1" applyFont="1" applyFill="1" applyBorder="1" applyAlignment="1" applyProtection="1">
      <alignment horizontal="center" vertical="center"/>
      <protection locked="0"/>
    </xf>
    <xf numFmtId="1" fontId="4" fillId="19" borderId="15" xfId="0" applyNumberFormat="1" applyFont="1" applyFill="1" applyBorder="1" applyAlignment="1" applyProtection="1">
      <alignment horizontal="center" vertical="center"/>
      <protection locked="0"/>
    </xf>
    <xf numFmtId="1" fontId="4" fillId="19" borderId="35" xfId="0" applyNumberFormat="1" applyFont="1" applyFill="1" applyBorder="1" applyAlignment="1" applyProtection="1">
      <alignment horizontal="center" vertical="center"/>
      <protection locked="0"/>
    </xf>
    <xf numFmtId="1" fontId="4" fillId="19" borderId="37" xfId="0" applyNumberFormat="1" applyFont="1" applyFill="1" applyBorder="1" applyAlignment="1" applyProtection="1">
      <alignment horizontal="center" vertical="center"/>
      <protection locked="0"/>
    </xf>
    <xf numFmtId="0" fontId="5" fillId="22" borderId="36" xfId="0" applyFont="1" applyFill="1" applyBorder="1" applyAlignment="1" applyProtection="1">
      <alignment horizontal="center" vertical="center"/>
      <protection hidden="1"/>
    </xf>
    <xf numFmtId="0" fontId="5" fillId="22" borderId="37" xfId="0" applyFont="1" applyFill="1" applyBorder="1" applyAlignment="1" applyProtection="1">
      <alignment horizontal="center" vertical="center"/>
      <protection hidden="1"/>
    </xf>
    <xf numFmtId="0" fontId="5" fillId="3" borderId="32" xfId="0" applyFont="1" applyFill="1" applyBorder="1" applyAlignment="1" applyProtection="1">
      <alignment horizontal="center" vertical="center" wrapText="1"/>
      <protection hidden="1"/>
    </xf>
    <xf numFmtId="0" fontId="5" fillId="3" borderId="2" xfId="0" applyFont="1" applyFill="1" applyBorder="1" applyAlignment="1" applyProtection="1">
      <alignment horizontal="center" vertical="center" wrapText="1"/>
      <protection hidden="1"/>
    </xf>
    <xf numFmtId="0" fontId="5" fillId="3" borderId="33" xfId="0" applyFont="1" applyFill="1" applyBorder="1" applyAlignment="1" applyProtection="1">
      <alignment horizontal="center" vertical="center" wrapText="1"/>
      <protection hidden="1"/>
    </xf>
    <xf numFmtId="0" fontId="5" fillId="3" borderId="144" xfId="0" applyFont="1" applyFill="1" applyBorder="1" applyAlignment="1" applyProtection="1">
      <alignment horizontal="center" vertical="center" wrapText="1"/>
      <protection hidden="1"/>
    </xf>
    <xf numFmtId="0" fontId="5" fillId="3" borderId="20" xfId="0" applyFont="1" applyFill="1" applyBorder="1" applyAlignment="1" applyProtection="1">
      <alignment horizontal="center" vertical="center" wrapText="1"/>
      <protection hidden="1"/>
    </xf>
    <xf numFmtId="0" fontId="5" fillId="3" borderId="125" xfId="0" applyFont="1" applyFill="1" applyBorder="1" applyAlignment="1" applyProtection="1">
      <alignment horizontal="center" vertical="center" wrapText="1"/>
      <protection hidden="1"/>
    </xf>
    <xf numFmtId="0" fontId="5" fillId="3" borderId="130" xfId="0" applyFont="1" applyFill="1" applyBorder="1" applyAlignment="1" applyProtection="1">
      <alignment horizontal="center" vertical="center" wrapText="1"/>
      <protection hidden="1"/>
    </xf>
    <xf numFmtId="0" fontId="4" fillId="20" borderId="29" xfId="0" applyFont="1" applyFill="1" applyBorder="1" applyAlignment="1" applyProtection="1">
      <alignment horizontal="center" vertical="center"/>
      <protection hidden="1"/>
    </xf>
    <xf numFmtId="0" fontId="4" fillId="20" borderId="13" xfId="0" applyFont="1" applyFill="1" applyBorder="1" applyAlignment="1" applyProtection="1">
      <alignment horizontal="center" vertical="center"/>
      <protection hidden="1"/>
    </xf>
    <xf numFmtId="0" fontId="0" fillId="20" borderId="17" xfId="0" applyFill="1" applyBorder="1" applyAlignment="1" applyProtection="1">
      <alignment horizontal="center" vertical="center" wrapText="1"/>
      <protection hidden="1"/>
    </xf>
    <xf numFmtId="0" fontId="5" fillId="20" borderId="13" xfId="0" applyFont="1" applyFill="1" applyBorder="1" applyAlignment="1" applyProtection="1">
      <alignment horizontal="center" vertical="center"/>
      <protection hidden="1"/>
    </xf>
    <xf numFmtId="49" fontId="4" fillId="19" borderId="85" xfId="0" applyNumberFormat="1" applyFont="1" applyFill="1" applyBorder="1" applyAlignment="1" applyProtection="1">
      <alignment horizontal="center" vertical="center"/>
      <protection locked="0"/>
    </xf>
    <xf numFmtId="49" fontId="4" fillId="19" borderId="92" xfId="0" applyNumberFormat="1" applyFont="1" applyFill="1" applyBorder="1" applyAlignment="1" applyProtection="1">
      <alignment horizontal="center" vertical="center"/>
      <protection locked="0"/>
    </xf>
    <xf numFmtId="49" fontId="4" fillId="19" borderId="91" xfId="0" applyNumberFormat="1" applyFont="1" applyFill="1" applyBorder="1" applyAlignment="1" applyProtection="1">
      <alignment horizontal="center" vertical="center"/>
      <protection locked="0"/>
    </xf>
    <xf numFmtId="14" fontId="3" fillId="19" borderId="29" xfId="0" applyNumberFormat="1" applyFont="1" applyFill="1" applyBorder="1" applyAlignment="1" applyProtection="1">
      <alignment horizontal="center" vertical="center"/>
      <protection locked="0"/>
    </xf>
    <xf numFmtId="14" fontId="0" fillId="19" borderId="13" xfId="0" applyNumberFormat="1" applyFill="1" applyBorder="1" applyAlignment="1" applyProtection="1">
      <alignment horizontal="center" vertical="center"/>
      <protection locked="0"/>
    </xf>
    <xf numFmtId="14" fontId="0" fillId="19" borderId="17" xfId="0" applyNumberFormat="1" applyFill="1" applyBorder="1" applyAlignment="1" applyProtection="1">
      <alignment horizontal="center" vertical="center"/>
      <protection locked="0"/>
    </xf>
    <xf numFmtId="0" fontId="6" fillId="20" borderId="40" xfId="0" applyFont="1" applyFill="1" applyBorder="1" applyAlignment="1" applyProtection="1">
      <alignment horizontal="center" vertical="center" wrapText="1"/>
      <protection hidden="1"/>
    </xf>
    <xf numFmtId="49" fontId="3" fillId="19" borderId="29" xfId="0" applyNumberFormat="1" applyFont="1" applyFill="1" applyBorder="1" applyAlignment="1" applyProtection="1">
      <alignment horizontal="center" vertical="center"/>
      <protection locked="0"/>
    </xf>
    <xf numFmtId="49" fontId="0" fillId="19" borderId="13" xfId="0" applyNumberFormat="1" applyFill="1" applyBorder="1" applyAlignment="1" applyProtection="1">
      <alignment horizontal="center" vertical="center"/>
      <protection locked="0"/>
    </xf>
    <xf numFmtId="49" fontId="0" fillId="19" borderId="17" xfId="0" applyNumberFormat="1" applyFill="1" applyBorder="1" applyAlignment="1" applyProtection="1">
      <alignment horizontal="center" vertical="center"/>
      <protection locked="0"/>
    </xf>
    <xf numFmtId="0" fontId="15" fillId="20" borderId="124" xfId="0" applyFont="1" applyFill="1" applyBorder="1" applyAlignment="1" applyProtection="1">
      <alignment horizontal="center" vertical="center" wrapText="1"/>
      <protection hidden="1"/>
    </xf>
    <xf numFmtId="0" fontId="15" fillId="20" borderId="123" xfId="0" applyFont="1" applyFill="1" applyBorder="1" applyAlignment="1" applyProtection="1">
      <alignment horizontal="center" vertical="center" wrapText="1"/>
      <protection hidden="1"/>
    </xf>
    <xf numFmtId="0" fontId="15" fillId="20" borderId="14" xfId="0" applyFont="1" applyFill="1" applyBorder="1" applyAlignment="1" applyProtection="1">
      <alignment horizontal="center" vertical="center" wrapText="1"/>
      <protection hidden="1"/>
    </xf>
    <xf numFmtId="0" fontId="15" fillId="20" borderId="113" xfId="0" applyFont="1" applyFill="1" applyBorder="1" applyAlignment="1" applyProtection="1">
      <alignment horizontal="center" vertical="center" wrapText="1"/>
      <protection hidden="1"/>
    </xf>
    <xf numFmtId="0" fontId="15" fillId="20" borderId="126" xfId="0" applyFont="1" applyFill="1" applyBorder="1" applyAlignment="1" applyProtection="1">
      <alignment horizontal="center" vertical="center" wrapText="1"/>
      <protection hidden="1"/>
    </xf>
    <xf numFmtId="0" fontId="15" fillId="20" borderId="177" xfId="0" applyFont="1" applyFill="1" applyBorder="1" applyAlignment="1" applyProtection="1">
      <alignment horizontal="center" vertical="center" wrapText="1"/>
      <protection hidden="1"/>
    </xf>
    <xf numFmtId="0" fontId="15" fillId="20" borderId="23" xfId="0" applyFont="1" applyFill="1" applyBorder="1" applyAlignment="1" applyProtection="1">
      <alignment horizontal="center" vertical="center" wrapText="1"/>
      <protection hidden="1"/>
    </xf>
    <xf numFmtId="0" fontId="15" fillId="20" borderId="40" xfId="0" applyFont="1" applyFill="1" applyBorder="1" applyAlignment="1" applyProtection="1">
      <alignment horizontal="center" vertical="center" wrapText="1"/>
      <protection hidden="1"/>
    </xf>
    <xf numFmtId="0" fontId="5" fillId="20" borderId="2" xfId="0" applyFont="1" applyFill="1" applyBorder="1" applyAlignment="1" applyProtection="1">
      <alignment horizontal="center" vertical="center"/>
      <protection hidden="1"/>
    </xf>
    <xf numFmtId="0" fontId="5" fillId="20" borderId="33" xfId="0" applyFont="1" applyFill="1" applyBorder="1" applyAlignment="1" applyProtection="1">
      <alignment horizontal="center" vertical="center"/>
      <protection hidden="1"/>
    </xf>
    <xf numFmtId="0" fontId="5" fillId="20" borderId="36" xfId="0" applyFont="1" applyFill="1" applyBorder="1" applyAlignment="1" applyProtection="1">
      <alignment horizontal="center" vertical="center"/>
      <protection hidden="1"/>
    </xf>
    <xf numFmtId="0" fontId="5" fillId="20" borderId="37" xfId="0" applyFont="1" applyFill="1" applyBorder="1" applyAlignment="1" applyProtection="1">
      <alignment horizontal="center" vertical="center"/>
      <protection hidden="1"/>
    </xf>
    <xf numFmtId="2" fontId="5" fillId="2" borderId="13" xfId="0" quotePrefix="1" applyNumberFormat="1" applyFont="1" applyFill="1" applyBorder="1" applyAlignment="1" applyProtection="1">
      <alignment horizontal="center" vertical="center"/>
      <protection hidden="1"/>
    </xf>
    <xf numFmtId="49" fontId="4" fillId="20" borderId="32" xfId="0" applyNumberFormat="1" applyFont="1" applyFill="1" applyBorder="1" applyAlignment="1" applyProtection="1">
      <alignment horizontal="center" vertical="center" wrapText="1"/>
      <protection hidden="1"/>
    </xf>
    <xf numFmtId="49" fontId="4" fillId="20" borderId="2" xfId="0" applyNumberFormat="1" applyFont="1" applyFill="1" applyBorder="1" applyAlignment="1" applyProtection="1">
      <alignment horizontal="center" vertical="center" wrapText="1"/>
      <protection hidden="1"/>
    </xf>
    <xf numFmtId="49" fontId="4" fillId="20" borderId="33" xfId="0" applyNumberFormat="1" applyFont="1" applyFill="1" applyBorder="1" applyAlignment="1" applyProtection="1">
      <alignment horizontal="center" vertical="center" wrapText="1"/>
      <protection hidden="1"/>
    </xf>
    <xf numFmtId="49" fontId="4" fillId="20" borderId="34" xfId="0" applyNumberFormat="1" applyFont="1" applyFill="1" applyBorder="1" applyAlignment="1" applyProtection="1">
      <alignment horizontal="center" vertical="center" wrapText="1"/>
      <protection hidden="1"/>
    </xf>
    <xf numFmtId="49" fontId="4" fillId="20" borderId="0" xfId="0" applyNumberFormat="1" applyFont="1" applyFill="1" applyAlignment="1" applyProtection="1">
      <alignment horizontal="center" vertical="center" wrapText="1"/>
      <protection hidden="1"/>
    </xf>
    <xf numFmtId="49" fontId="4" fillId="20" borderId="15" xfId="0" applyNumberFormat="1" applyFont="1" applyFill="1" applyBorder="1" applyAlignment="1" applyProtection="1">
      <alignment horizontal="center" vertical="center" wrapText="1"/>
      <protection hidden="1"/>
    </xf>
    <xf numFmtId="49" fontId="4" fillId="20" borderId="35" xfId="0" applyNumberFormat="1" applyFont="1" applyFill="1" applyBorder="1" applyAlignment="1" applyProtection="1">
      <alignment horizontal="center" vertical="center" wrapText="1"/>
      <protection hidden="1"/>
    </xf>
    <xf numFmtId="49" fontId="4" fillId="20" borderId="36" xfId="0" applyNumberFormat="1" applyFont="1" applyFill="1" applyBorder="1" applyAlignment="1" applyProtection="1">
      <alignment horizontal="center" vertical="center" wrapText="1"/>
      <protection hidden="1"/>
    </xf>
    <xf numFmtId="49" fontId="4" fillId="20" borderId="37" xfId="0" applyNumberFormat="1" applyFont="1" applyFill="1" applyBorder="1" applyAlignment="1" applyProtection="1">
      <alignment horizontal="center" vertical="center" wrapText="1"/>
      <protection hidden="1"/>
    </xf>
    <xf numFmtId="0" fontId="4" fillId="19" borderId="10" xfId="0" applyFont="1" applyFill="1" applyBorder="1" applyAlignment="1" applyProtection="1">
      <alignment horizontal="center" vertical="center"/>
      <protection locked="0"/>
    </xf>
    <xf numFmtId="0" fontId="3" fillId="18" borderId="10" xfId="0" applyFont="1" applyFill="1" applyBorder="1" applyAlignment="1" applyProtection="1">
      <alignment horizontal="center" vertical="center"/>
      <protection hidden="1"/>
    </xf>
    <xf numFmtId="0" fontId="5" fillId="3" borderId="28" xfId="0" applyFont="1" applyFill="1" applyBorder="1" applyAlignment="1" applyProtection="1">
      <alignment horizontal="center" vertical="center" wrapText="1"/>
      <protection hidden="1"/>
    </xf>
    <xf numFmtId="0" fontId="4" fillId="21" borderId="11" xfId="0" applyFont="1" applyFill="1" applyBorder="1" applyAlignment="1" applyProtection="1">
      <alignment horizontal="center" vertical="center"/>
      <protection hidden="1"/>
    </xf>
    <xf numFmtId="0" fontId="4" fillId="21" borderId="10" xfId="0" applyFont="1" applyFill="1" applyBorder="1" applyAlignment="1" applyProtection="1">
      <alignment horizontal="center" vertical="center"/>
      <protection hidden="1"/>
    </xf>
    <xf numFmtId="0" fontId="9" fillId="0" borderId="0" xfId="0" applyFont="1" applyAlignment="1">
      <alignment horizontal="center"/>
    </xf>
    <xf numFmtId="0" fontId="9" fillId="0" borderId="0" xfId="0" applyFont="1"/>
    <xf numFmtId="0" fontId="19" fillId="16" borderId="29" xfId="0" applyFont="1" applyFill="1" applyBorder="1" applyAlignment="1" applyProtection="1">
      <alignment horizontal="center"/>
      <protection hidden="1"/>
    </xf>
    <xf numFmtId="0" fontId="19" fillId="16" borderId="13" xfId="0" applyFont="1" applyFill="1" applyBorder="1" applyAlignment="1" applyProtection="1">
      <alignment horizontal="center"/>
      <protection hidden="1"/>
    </xf>
    <xf numFmtId="0" fontId="19" fillId="16" borderId="17" xfId="0" applyFont="1" applyFill="1" applyBorder="1" applyAlignment="1" applyProtection="1">
      <alignment horizontal="center"/>
      <protection hidden="1"/>
    </xf>
    <xf numFmtId="0" fontId="3" fillId="5" borderId="0" xfId="0" applyFont="1" applyFill="1" applyAlignment="1">
      <alignment horizontal="center" vertical="center"/>
    </xf>
    <xf numFmtId="0" fontId="15" fillId="4" borderId="178" xfId="0" applyFont="1" applyFill="1" applyBorder="1" applyAlignment="1" applyProtection="1">
      <alignment horizontal="center" vertical="center" wrapText="1"/>
      <protection hidden="1"/>
    </xf>
    <xf numFmtId="0" fontId="15" fillId="4" borderId="179" xfId="0" applyFont="1" applyFill="1" applyBorder="1" applyAlignment="1" applyProtection="1">
      <alignment horizontal="center" vertical="center" wrapText="1"/>
      <protection hidden="1"/>
    </xf>
    <xf numFmtId="0" fontId="15" fillId="4" borderId="180" xfId="0" applyFont="1" applyFill="1" applyBorder="1" applyAlignment="1" applyProtection="1">
      <alignment horizontal="center" vertical="center" wrapText="1"/>
      <protection hidden="1"/>
    </xf>
    <xf numFmtId="0" fontId="15" fillId="4" borderId="181" xfId="0" applyFont="1" applyFill="1" applyBorder="1" applyAlignment="1" applyProtection="1">
      <alignment horizontal="center" vertical="center" wrapText="1"/>
      <protection hidden="1"/>
    </xf>
    <xf numFmtId="0" fontId="9" fillId="22" borderId="29" xfId="0" applyFont="1" applyFill="1" applyBorder="1" applyAlignment="1" applyProtection="1">
      <alignment horizontal="center" vertical="center"/>
      <protection hidden="1"/>
    </xf>
    <xf numFmtId="0" fontId="9" fillId="22" borderId="13" xfId="0" applyFont="1" applyFill="1" applyBorder="1" applyAlignment="1" applyProtection="1">
      <alignment horizontal="center" vertical="center"/>
      <protection hidden="1"/>
    </xf>
    <xf numFmtId="0" fontId="9" fillId="22" borderId="17" xfId="0" applyFont="1" applyFill="1" applyBorder="1" applyAlignment="1" applyProtection="1">
      <alignment horizontal="center" vertical="center"/>
      <protection hidden="1"/>
    </xf>
    <xf numFmtId="0" fontId="19" fillId="15" borderId="29" xfId="0" applyFont="1" applyFill="1" applyBorder="1" applyAlignment="1" applyProtection="1">
      <alignment horizontal="center"/>
      <protection hidden="1"/>
    </xf>
    <xf numFmtId="0" fontId="19" fillId="15" borderId="13" xfId="0" applyFont="1" applyFill="1" applyBorder="1" applyAlignment="1" applyProtection="1">
      <alignment horizontal="center"/>
      <protection hidden="1"/>
    </xf>
    <xf numFmtId="0" fontId="19" fillId="15" borderId="17" xfId="0" applyFont="1" applyFill="1" applyBorder="1" applyAlignment="1" applyProtection="1">
      <alignment horizontal="center"/>
      <protection hidden="1"/>
    </xf>
    <xf numFmtId="0" fontId="9" fillId="22" borderId="29" xfId="64" applyFont="1" applyFill="1" applyBorder="1" applyAlignment="1" applyProtection="1">
      <alignment horizontal="center"/>
      <protection hidden="1"/>
    </xf>
    <xf numFmtId="0" fontId="9" fillId="22" borderId="13" xfId="64" applyFont="1" applyFill="1" applyBorder="1" applyAlignment="1" applyProtection="1">
      <alignment horizontal="center"/>
      <protection hidden="1"/>
    </xf>
    <xf numFmtId="0" fontId="9" fillId="22" borderId="17" xfId="64" applyFont="1" applyFill="1" applyBorder="1" applyAlignment="1" applyProtection="1">
      <alignment horizontal="center"/>
      <protection hidden="1"/>
    </xf>
    <xf numFmtId="0" fontId="8" fillId="22" borderId="29" xfId="64" applyFill="1" applyBorder="1" applyAlignment="1" applyProtection="1">
      <alignment horizontal="center"/>
      <protection hidden="1"/>
    </xf>
    <xf numFmtId="0" fontId="8" fillId="22" borderId="13" xfId="64" applyFill="1" applyBorder="1" applyAlignment="1" applyProtection="1">
      <alignment horizontal="center"/>
      <protection hidden="1"/>
    </xf>
    <xf numFmtId="0" fontId="8" fillId="22" borderId="17" xfId="64" applyFill="1" applyBorder="1" applyAlignment="1" applyProtection="1">
      <alignment horizontal="center"/>
      <protection hidden="1"/>
    </xf>
    <xf numFmtId="0" fontId="19" fillId="32" borderId="110" xfId="0" applyFont="1" applyFill="1" applyBorder="1" applyAlignment="1" applyProtection="1">
      <alignment horizontal="center" vertical="center"/>
      <protection hidden="1"/>
    </xf>
    <xf numFmtId="0" fontId="19" fillId="32" borderId="92" xfId="0" applyFont="1" applyFill="1" applyBorder="1" applyAlignment="1" applyProtection="1">
      <alignment horizontal="center" vertical="center"/>
      <protection hidden="1"/>
    </xf>
    <xf numFmtId="0" fontId="19" fillId="32" borderId="111" xfId="0" applyFont="1" applyFill="1" applyBorder="1" applyAlignment="1" applyProtection="1">
      <alignment horizontal="center" vertical="center"/>
      <protection hidden="1"/>
    </xf>
    <xf numFmtId="0" fontId="9" fillId="20" borderId="132" xfId="0" applyFont="1" applyFill="1" applyBorder="1" applyAlignment="1" applyProtection="1">
      <alignment horizontal="center" vertical="center" wrapText="1"/>
      <protection hidden="1"/>
    </xf>
    <xf numFmtId="0" fontId="9" fillId="20" borderId="70" xfId="0" applyFont="1" applyFill="1" applyBorder="1" applyAlignment="1" applyProtection="1">
      <alignment horizontal="center" vertical="center" wrapText="1"/>
      <protection hidden="1"/>
    </xf>
    <xf numFmtId="0" fontId="19" fillId="22" borderId="110" xfId="0" applyFont="1" applyFill="1" applyBorder="1" applyAlignment="1" applyProtection="1">
      <alignment horizontal="center" vertical="center"/>
      <protection hidden="1"/>
    </xf>
    <xf numFmtId="0" fontId="19" fillId="22" borderId="111" xfId="0" applyFont="1" applyFill="1" applyBorder="1" applyAlignment="1" applyProtection="1">
      <alignment horizontal="center" vertical="center"/>
      <protection hidden="1"/>
    </xf>
    <xf numFmtId="0" fontId="19" fillId="22" borderId="92" xfId="0" applyFont="1" applyFill="1" applyBorder="1" applyAlignment="1" applyProtection="1">
      <alignment horizontal="center" vertical="center"/>
      <protection hidden="1"/>
    </xf>
    <xf numFmtId="0" fontId="19" fillId="22" borderId="110" xfId="0" applyFont="1" applyFill="1" applyBorder="1" applyAlignment="1" applyProtection="1">
      <alignment horizontal="center" vertical="center" wrapText="1"/>
      <protection hidden="1"/>
    </xf>
    <xf numFmtId="0" fontId="19" fillId="22" borderId="92" xfId="0" applyFont="1" applyFill="1" applyBorder="1" applyAlignment="1" applyProtection="1">
      <alignment horizontal="center" vertical="center" wrapText="1"/>
      <protection hidden="1"/>
    </xf>
    <xf numFmtId="0" fontId="19" fillId="22" borderId="111" xfId="0" applyFont="1" applyFill="1" applyBorder="1" applyAlignment="1" applyProtection="1">
      <alignment horizontal="center" vertical="center" wrapText="1"/>
      <protection hidden="1"/>
    </xf>
    <xf numFmtId="0" fontId="98" fillId="22" borderId="6" xfId="290" applyFont="1" applyFill="1" applyBorder="1" applyAlignment="1">
      <alignment horizontal="center"/>
    </xf>
    <xf numFmtId="0" fontId="98" fillId="0" borderId="6" xfId="290" applyFont="1" applyBorder="1" applyAlignment="1">
      <alignment horizontal="center"/>
    </xf>
    <xf numFmtId="0" fontId="98" fillId="0" borderId="6" xfId="290" applyFont="1" applyBorder="1" applyAlignment="1" applyProtection="1">
      <alignment horizontal="center"/>
      <protection locked="0"/>
    </xf>
    <xf numFmtId="0" fontId="8" fillId="20" borderId="14" xfId="279" applyFont="1" applyFill="1" applyBorder="1" applyAlignment="1" applyProtection="1">
      <alignment horizontal="center" vertical="center" wrapText="1"/>
      <protection hidden="1"/>
    </xf>
    <xf numFmtId="0" fontId="8" fillId="20" borderId="19" xfId="279" applyFont="1" applyFill="1" applyBorder="1" applyAlignment="1" applyProtection="1">
      <alignment horizontal="center" vertical="center" wrapText="1"/>
      <protection hidden="1"/>
    </xf>
    <xf numFmtId="0" fontId="8" fillId="20" borderId="113" xfId="279" applyFont="1" applyFill="1" applyBorder="1" applyAlignment="1" applyProtection="1">
      <alignment horizontal="center" vertical="center" wrapText="1"/>
      <protection hidden="1"/>
    </xf>
    <xf numFmtId="0" fontId="8" fillId="20" borderId="14" xfId="279" applyFont="1" applyFill="1" applyBorder="1" applyAlignment="1" applyProtection="1">
      <alignment horizontal="center" vertical="center" textRotation="90" wrapText="1" shrinkToFit="1"/>
      <protection hidden="1"/>
    </xf>
    <xf numFmtId="0" fontId="8" fillId="20" borderId="19" xfId="279" applyFont="1" applyFill="1" applyBorder="1" applyAlignment="1" applyProtection="1">
      <alignment horizontal="center" vertical="center" textRotation="90" wrapText="1" shrinkToFit="1"/>
      <protection hidden="1"/>
    </xf>
    <xf numFmtId="0" fontId="8" fillId="20" borderId="113" xfId="279" applyFont="1" applyFill="1" applyBorder="1" applyAlignment="1" applyProtection="1">
      <alignment horizontal="center" vertical="center" textRotation="90" wrapText="1" shrinkToFit="1"/>
      <protection hidden="1"/>
    </xf>
    <xf numFmtId="0" fontId="59" fillId="22" borderId="34" xfId="279" applyFont="1" applyFill="1" applyBorder="1" applyAlignment="1" applyProtection="1">
      <alignment horizontal="center" vertical="center"/>
      <protection hidden="1"/>
    </xf>
    <xf numFmtId="0" fontId="59" fillId="22" borderId="0" xfId="279" applyFont="1" applyFill="1" applyAlignment="1" applyProtection="1">
      <alignment horizontal="center" vertical="center"/>
      <protection hidden="1"/>
    </xf>
    <xf numFmtId="0" fontId="8" fillId="20" borderId="126" xfId="279" applyFont="1" applyFill="1" applyBorder="1" applyAlignment="1" applyProtection="1">
      <alignment horizontal="center" vertical="center" textRotation="90" wrapText="1" shrinkToFit="1"/>
      <protection hidden="1"/>
    </xf>
    <xf numFmtId="0" fontId="8" fillId="20" borderId="128" xfId="279" applyFont="1" applyFill="1" applyBorder="1" applyAlignment="1" applyProtection="1">
      <alignment horizontal="center" vertical="center" textRotation="90" wrapText="1" shrinkToFit="1"/>
      <protection hidden="1"/>
    </xf>
    <xf numFmtId="0" fontId="8" fillId="20" borderId="177" xfId="279" applyFont="1" applyFill="1" applyBorder="1" applyAlignment="1" applyProtection="1">
      <alignment horizontal="center" vertical="center" textRotation="90" wrapText="1" shrinkToFit="1"/>
      <protection hidden="1"/>
    </xf>
    <xf numFmtId="0" fontId="66" fillId="22" borderId="32" xfId="279" applyFont="1" applyFill="1" applyBorder="1" applyAlignment="1" applyProtection="1">
      <alignment horizontal="center" vertical="center"/>
      <protection hidden="1"/>
    </xf>
    <xf numFmtId="0" fontId="66" fillId="22" borderId="2" xfId="279" applyFont="1" applyFill="1" applyBorder="1" applyAlignment="1" applyProtection="1">
      <alignment horizontal="center" vertical="center"/>
      <protection hidden="1"/>
    </xf>
    <xf numFmtId="0" fontId="66" fillId="22" borderId="33" xfId="279" applyFont="1" applyFill="1" applyBorder="1" applyAlignment="1" applyProtection="1">
      <alignment horizontal="center" vertical="center"/>
      <protection hidden="1"/>
    </xf>
    <xf numFmtId="2" fontId="8" fillId="20" borderId="14" xfId="279" applyNumberFormat="1" applyFont="1" applyFill="1" applyBorder="1" applyAlignment="1" applyProtection="1">
      <alignment horizontal="center" vertical="center" textRotation="90" wrapText="1" shrinkToFit="1"/>
      <protection hidden="1"/>
    </xf>
    <xf numFmtId="2" fontId="8" fillId="20" borderId="19" xfId="279" applyNumberFormat="1" applyFont="1" applyFill="1" applyBorder="1" applyAlignment="1" applyProtection="1">
      <alignment horizontal="center" vertical="center" textRotation="90" wrapText="1" shrinkToFit="1"/>
      <protection hidden="1"/>
    </xf>
    <xf numFmtId="2" fontId="8" fillId="20" borderId="113" xfId="279" applyNumberFormat="1" applyFont="1" applyFill="1" applyBorder="1" applyAlignment="1" applyProtection="1">
      <alignment horizontal="center" vertical="center" textRotation="90" wrapText="1" shrinkToFit="1"/>
      <protection hidden="1"/>
    </xf>
    <xf numFmtId="164" fontId="8" fillId="20" borderId="14" xfId="279" applyNumberFormat="1" applyFont="1" applyFill="1" applyBorder="1" applyAlignment="1" applyProtection="1">
      <alignment horizontal="center" vertical="center" textRotation="90" wrapText="1" shrinkToFit="1"/>
      <protection hidden="1"/>
    </xf>
    <xf numFmtId="164" fontId="8" fillId="20" borderId="19" xfId="279" applyNumberFormat="1" applyFont="1" applyFill="1" applyBorder="1" applyAlignment="1" applyProtection="1">
      <alignment horizontal="center" vertical="center" textRotation="90" wrapText="1" shrinkToFit="1"/>
      <protection hidden="1"/>
    </xf>
    <xf numFmtId="164" fontId="8" fillId="20" borderId="113" xfId="279" applyNumberFormat="1" applyFont="1" applyFill="1" applyBorder="1" applyAlignment="1" applyProtection="1">
      <alignment horizontal="center" vertical="center" textRotation="90" wrapText="1" shrinkToFit="1"/>
      <protection hidden="1"/>
    </xf>
    <xf numFmtId="0" fontId="8" fillId="20" borderId="124" xfId="279" applyFont="1" applyFill="1" applyBorder="1" applyAlignment="1" applyProtection="1">
      <alignment horizontal="center" vertical="center" textRotation="90" wrapText="1"/>
      <protection hidden="1"/>
    </xf>
    <xf numFmtId="0" fontId="8" fillId="20" borderId="127" xfId="279" applyFont="1" applyFill="1" applyBorder="1" applyAlignment="1" applyProtection="1">
      <alignment horizontal="center" vertical="center" textRotation="90" wrapText="1"/>
      <protection hidden="1"/>
    </xf>
    <xf numFmtId="0" fontId="8" fillId="20" borderId="123" xfId="279" applyFont="1" applyFill="1" applyBorder="1" applyAlignment="1" applyProtection="1">
      <alignment horizontal="center" vertical="center" textRotation="90" wrapText="1"/>
      <protection hidden="1"/>
    </xf>
    <xf numFmtId="0" fontId="59" fillId="22" borderId="29" xfId="279" applyFont="1" applyFill="1" applyBorder="1" applyAlignment="1" applyProtection="1">
      <alignment horizontal="center" vertical="center"/>
      <protection hidden="1"/>
    </xf>
    <xf numFmtId="0" fontId="59" fillId="22" borderId="13" xfId="279" applyFont="1" applyFill="1" applyBorder="1" applyAlignment="1" applyProtection="1">
      <alignment horizontal="center" vertical="center"/>
      <protection hidden="1"/>
    </xf>
    <xf numFmtId="0" fontId="59" fillId="22" borderId="17" xfId="279" applyFont="1" applyFill="1" applyBorder="1" applyAlignment="1" applyProtection="1">
      <alignment horizontal="center" vertical="center"/>
      <protection hidden="1"/>
    </xf>
    <xf numFmtId="0" fontId="88" fillId="0" borderId="6" xfId="279" applyBorder="1" applyAlignment="1" applyProtection="1">
      <alignment horizontal="center"/>
      <protection hidden="1"/>
    </xf>
    <xf numFmtId="0" fontId="1" fillId="0" borderId="6" xfId="719" applyBorder="1" applyAlignment="1">
      <alignment horizontal="center" vertical="center"/>
    </xf>
    <xf numFmtId="9" fontId="1" fillId="0" borderId="6" xfId="719" applyNumberFormat="1" applyBorder="1" applyAlignment="1">
      <alignment horizontal="center" vertical="center" wrapText="1"/>
    </xf>
    <xf numFmtId="0" fontId="1" fillId="0" borderId="18" xfId="719" applyBorder="1" applyAlignment="1">
      <alignment horizontal="center" vertical="center"/>
    </xf>
    <xf numFmtId="0" fontId="1" fillId="0" borderId="19" xfId="719" applyBorder="1" applyAlignment="1">
      <alignment horizontal="center" vertical="center"/>
    </xf>
    <xf numFmtId="0" fontId="1" fillId="0" borderId="12" xfId="719" applyBorder="1" applyAlignment="1">
      <alignment horizontal="center" vertical="center"/>
    </xf>
    <xf numFmtId="0" fontId="99" fillId="0" borderId="6" xfId="719" applyFont="1" applyBorder="1" applyAlignment="1">
      <alignment horizontal="center"/>
    </xf>
    <xf numFmtId="0" fontId="61" fillId="0" borderId="60" xfId="279" applyFont="1" applyBorder="1" applyAlignment="1" applyProtection="1">
      <alignment horizontal="left" vertical="center"/>
      <protection locked="0"/>
    </xf>
    <xf numFmtId="0" fontId="61" fillId="0" borderId="9" xfId="279" applyFont="1" applyBorder="1" applyAlignment="1" applyProtection="1">
      <alignment horizontal="left" vertical="center"/>
      <protection locked="0"/>
    </xf>
    <xf numFmtId="0" fontId="61" fillId="0" borderId="36" xfId="279" applyFont="1" applyBorder="1" applyAlignment="1" applyProtection="1">
      <alignment horizontal="left" vertical="center"/>
      <protection locked="0"/>
    </xf>
    <xf numFmtId="0" fontId="61" fillId="0" borderId="37" xfId="279" applyFont="1" applyBorder="1" applyAlignment="1" applyProtection="1">
      <alignment horizontal="left" vertical="center"/>
      <protection locked="0"/>
    </xf>
    <xf numFmtId="0" fontId="61" fillId="0" borderId="60" xfId="279" applyFont="1" applyBorder="1" applyAlignment="1">
      <alignment horizontal="left" vertical="center"/>
    </xf>
    <xf numFmtId="0" fontId="61" fillId="0" borderId="9" xfId="279" applyFont="1" applyBorder="1" applyAlignment="1">
      <alignment horizontal="left" vertical="center"/>
    </xf>
    <xf numFmtId="0" fontId="61" fillId="0" borderId="21" xfId="279" applyFont="1" applyBorder="1"/>
    <xf numFmtId="0" fontId="61" fillId="0" borderId="60" xfId="279" applyFont="1" applyBorder="1"/>
    <xf numFmtId="0" fontId="61" fillId="0" borderId="9" xfId="279" applyFont="1" applyBorder="1"/>
    <xf numFmtId="0" fontId="61" fillId="0" borderId="96" xfId="279" applyFont="1" applyBorder="1" applyAlignment="1" applyProtection="1">
      <alignment horizontal="center"/>
      <protection hidden="1"/>
    </xf>
    <xf numFmtId="0" fontId="61" fillId="0" borderId="97" xfId="279" applyFont="1" applyBorder="1" applyAlignment="1" applyProtection="1">
      <alignment horizontal="center"/>
      <protection hidden="1"/>
    </xf>
    <xf numFmtId="0" fontId="61" fillId="0" borderId="102" xfId="279" applyFont="1" applyBorder="1" applyAlignment="1" applyProtection="1">
      <alignment horizontal="center"/>
      <protection hidden="1"/>
    </xf>
    <xf numFmtId="0" fontId="61" fillId="0" borderId="68" xfId="279" applyFont="1" applyBorder="1" applyAlignment="1" applyProtection="1">
      <alignment horizontal="center"/>
      <protection hidden="1"/>
    </xf>
    <xf numFmtId="0" fontId="61" fillId="0" borderId="92" xfId="279" applyFont="1" applyBorder="1" applyAlignment="1">
      <alignment horizontal="left" vertical="center"/>
    </xf>
    <xf numFmtId="0" fontId="61" fillId="0" borderId="111" xfId="279" applyFont="1" applyBorder="1" applyAlignment="1">
      <alignment horizontal="left" vertical="center"/>
    </xf>
    <xf numFmtId="164" fontId="61" fillId="0" borderId="11" xfId="279" applyNumberFormat="1" applyFont="1" applyBorder="1" applyAlignment="1" applyProtection="1">
      <alignment horizontal="center" vertical="center"/>
      <protection hidden="1"/>
    </xf>
    <xf numFmtId="164" fontId="61" fillId="0" borderId="60" xfId="279" applyNumberFormat="1" applyFont="1" applyBorder="1" applyAlignment="1" applyProtection="1">
      <alignment horizontal="center" vertical="center"/>
      <protection hidden="1"/>
    </xf>
    <xf numFmtId="164" fontId="61" fillId="0" borderId="10" xfId="279" applyNumberFormat="1" applyFont="1" applyBorder="1" applyAlignment="1" applyProtection="1">
      <alignment horizontal="center" vertical="center"/>
      <protection hidden="1"/>
    </xf>
    <xf numFmtId="0" fontId="61" fillId="0" borderId="102" xfId="279" applyFont="1" applyBorder="1" applyAlignment="1" applyProtection="1">
      <alignment horizontal="center" vertical="center"/>
      <protection hidden="1"/>
    </xf>
    <xf numFmtId="0" fontId="61" fillId="0" borderId="97" xfId="279" applyFont="1" applyBorder="1" applyAlignment="1" applyProtection="1">
      <alignment horizontal="center" vertical="center"/>
      <protection hidden="1"/>
    </xf>
    <xf numFmtId="0" fontId="61" fillId="0" borderId="68" xfId="279" applyFont="1" applyBorder="1" applyAlignment="1" applyProtection="1">
      <alignment horizontal="center" vertical="center"/>
      <protection hidden="1"/>
    </xf>
    <xf numFmtId="0" fontId="61" fillId="0" borderId="138" xfId="279" applyFont="1" applyBorder="1" applyAlignment="1" applyProtection="1">
      <alignment horizontal="left" vertical="center"/>
      <protection hidden="1"/>
    </xf>
    <xf numFmtId="0" fontId="61" fillId="0" borderId="13" xfId="279" applyFont="1" applyBorder="1" applyAlignment="1" applyProtection="1">
      <alignment horizontal="left" vertical="center"/>
      <protection hidden="1"/>
    </xf>
    <xf numFmtId="0" fontId="61" fillId="0" borderId="139" xfId="279" applyFont="1" applyBorder="1" applyAlignment="1" applyProtection="1">
      <alignment horizontal="left" vertical="center"/>
      <protection hidden="1"/>
    </xf>
    <xf numFmtId="0" fontId="61" fillId="0" borderId="11" xfId="279" applyFont="1" applyBorder="1" applyAlignment="1" applyProtection="1">
      <alignment horizontal="center" vertical="center"/>
      <protection hidden="1"/>
    </xf>
    <xf numFmtId="0" fontId="61" fillId="0" borderId="60" xfId="279" applyFont="1" applyBorder="1" applyAlignment="1" applyProtection="1">
      <alignment horizontal="center" vertical="center"/>
      <protection hidden="1"/>
    </xf>
    <xf numFmtId="0" fontId="61" fillId="0" borderId="10" xfId="279" applyFont="1" applyBorder="1" applyAlignment="1" applyProtection="1">
      <alignment horizontal="center" vertical="center"/>
      <protection hidden="1"/>
    </xf>
    <xf numFmtId="0" fontId="97" fillId="0" borderId="183" xfId="279" applyFont="1" applyBorder="1" applyAlignment="1">
      <alignment horizontal="center"/>
    </xf>
    <xf numFmtId="0" fontId="97" fillId="0" borderId="184" xfId="279" applyFont="1" applyBorder="1" applyAlignment="1">
      <alignment horizontal="center"/>
    </xf>
    <xf numFmtId="0" fontId="97" fillId="0" borderId="185" xfId="279" applyFont="1" applyBorder="1" applyAlignment="1">
      <alignment horizontal="center"/>
    </xf>
    <xf numFmtId="0" fontId="61" fillId="0" borderId="65" xfId="279" applyFont="1" applyBorder="1" applyAlignment="1" applyProtection="1">
      <alignment horizontal="center"/>
      <protection hidden="1"/>
    </xf>
    <xf numFmtId="0" fontId="61" fillId="0" borderId="61" xfId="279" applyFont="1" applyBorder="1" applyAlignment="1" applyProtection="1">
      <alignment horizontal="center"/>
      <protection hidden="1"/>
    </xf>
    <xf numFmtId="0" fontId="61" fillId="0" borderId="66" xfId="279" applyFont="1" applyBorder="1" applyAlignment="1" applyProtection="1">
      <alignment horizontal="center"/>
      <protection hidden="1"/>
    </xf>
    <xf numFmtId="0" fontId="61" fillId="0" borderId="0" xfId="279" applyFont="1" applyAlignment="1" applyProtection="1">
      <alignment horizontal="center"/>
      <protection hidden="1"/>
    </xf>
    <xf numFmtId="0" fontId="61" fillId="0" borderId="99" xfId="279" applyFont="1" applyBorder="1" applyAlignment="1" applyProtection="1">
      <alignment horizontal="center"/>
      <protection hidden="1"/>
    </xf>
    <xf numFmtId="0" fontId="61" fillId="0" borderId="36" xfId="279" applyFont="1" applyBorder="1" applyAlignment="1" applyProtection="1">
      <alignment horizontal="center"/>
      <protection hidden="1"/>
    </xf>
    <xf numFmtId="0" fontId="61" fillId="0" borderId="18" xfId="279" applyFont="1" applyBorder="1" applyAlignment="1" applyProtection="1">
      <alignment horizontal="center"/>
      <protection hidden="1"/>
    </xf>
    <xf numFmtId="0" fontId="61" fillId="0" borderId="19" xfId="279" applyFont="1" applyBorder="1" applyAlignment="1" applyProtection="1">
      <alignment horizontal="center"/>
      <protection hidden="1"/>
    </xf>
    <xf numFmtId="0" fontId="61" fillId="0" borderId="113" xfId="279" applyFont="1" applyBorder="1" applyAlignment="1" applyProtection="1">
      <alignment horizontal="center"/>
      <protection hidden="1"/>
    </xf>
    <xf numFmtId="0" fontId="61" fillId="0" borderId="79" xfId="279" applyFont="1" applyBorder="1" applyAlignment="1" applyProtection="1">
      <alignment horizontal="center"/>
      <protection hidden="1"/>
    </xf>
    <xf numFmtId="0" fontId="61" fillId="0" borderId="74" xfId="279" applyFont="1" applyBorder="1" applyAlignment="1" applyProtection="1">
      <alignment horizontal="center"/>
      <protection hidden="1"/>
    </xf>
    <xf numFmtId="0" fontId="61" fillId="0" borderId="137" xfId="279" applyFont="1" applyBorder="1" applyAlignment="1" applyProtection="1">
      <alignment horizontal="center"/>
      <protection hidden="1"/>
    </xf>
    <xf numFmtId="164" fontId="61" fillId="0" borderId="84" xfId="279" applyNumberFormat="1" applyFont="1" applyBorder="1" applyAlignment="1">
      <alignment horizontal="center" vertical="center"/>
    </xf>
    <xf numFmtId="164" fontId="61" fillId="0" borderId="2" xfId="279" applyNumberFormat="1" applyFont="1" applyBorder="1" applyAlignment="1">
      <alignment horizontal="center" vertical="center"/>
    </xf>
    <xf numFmtId="0" fontId="61" fillId="0" borderId="88" xfId="279" applyFont="1" applyBorder="1" applyAlignment="1" applyProtection="1">
      <alignment horizontal="center"/>
      <protection hidden="1"/>
    </xf>
    <xf numFmtId="0" fontId="61" fillId="0" borderId="60" xfId="279" applyFont="1" applyBorder="1" applyAlignment="1" applyProtection="1">
      <alignment horizontal="center"/>
      <protection hidden="1"/>
    </xf>
    <xf numFmtId="0" fontId="61" fillId="0" borderId="99" xfId="279" applyFont="1" applyBorder="1" applyAlignment="1" applyProtection="1">
      <alignment horizontal="center" vertical="center"/>
      <protection hidden="1"/>
    </xf>
    <xf numFmtId="0" fontId="61" fillId="0" borderId="136" xfId="279" applyFont="1" applyBorder="1" applyAlignment="1" applyProtection="1">
      <alignment horizontal="center" vertical="center"/>
      <protection hidden="1"/>
    </xf>
    <xf numFmtId="0" fontId="61" fillId="0" borderId="102" xfId="279" applyFont="1" applyBorder="1" applyAlignment="1" applyProtection="1">
      <alignment horizontal="center" wrapText="1"/>
      <protection hidden="1"/>
    </xf>
    <xf numFmtId="0" fontId="61" fillId="0" borderId="97" xfId="279" applyFont="1" applyBorder="1" applyAlignment="1" applyProtection="1">
      <alignment horizontal="center" wrapText="1"/>
      <protection hidden="1"/>
    </xf>
    <xf numFmtId="0" fontId="61" fillId="0" borderId="11" xfId="279" applyFont="1" applyBorder="1" applyAlignment="1" applyProtection="1">
      <alignment horizontal="center"/>
      <protection hidden="1"/>
    </xf>
    <xf numFmtId="0" fontId="61" fillId="0" borderId="60" xfId="279" applyFont="1" applyBorder="1" applyAlignment="1">
      <alignment horizontal="center"/>
    </xf>
    <xf numFmtId="0" fontId="61" fillId="0" borderId="10" xfId="279" applyFont="1" applyBorder="1" applyAlignment="1">
      <alignment horizontal="center"/>
    </xf>
    <xf numFmtId="169" fontId="61" fillId="0" borderId="60" xfId="279" applyNumberFormat="1" applyFont="1" applyBorder="1" applyAlignment="1">
      <alignment horizontal="center"/>
    </xf>
    <xf numFmtId="169" fontId="61" fillId="0" borderId="10" xfId="279" applyNumberFormat="1" applyFont="1" applyBorder="1" applyAlignment="1">
      <alignment horizontal="center"/>
    </xf>
    <xf numFmtId="14" fontId="61" fillId="0" borderId="60" xfId="279" applyNumberFormat="1" applyFont="1" applyBorder="1" applyAlignment="1">
      <alignment horizontal="center"/>
    </xf>
    <xf numFmtId="14" fontId="61" fillId="0" borderId="10" xfId="279" applyNumberFormat="1" applyFont="1" applyBorder="1" applyAlignment="1">
      <alignment horizontal="center"/>
    </xf>
    <xf numFmtId="0" fontId="61" fillId="0" borderId="85" xfId="279" applyFont="1" applyBorder="1" applyAlignment="1">
      <alignment horizontal="center" vertical="center"/>
    </xf>
    <xf numFmtId="0" fontId="61" fillId="0" borderId="92" xfId="279" applyFont="1" applyBorder="1" applyAlignment="1">
      <alignment horizontal="center" vertical="center"/>
    </xf>
    <xf numFmtId="0" fontId="61" fillId="0" borderId="93" xfId="279" applyFont="1" applyBorder="1" applyAlignment="1">
      <alignment horizontal="center" vertical="center"/>
    </xf>
    <xf numFmtId="0" fontId="61" fillId="0" borderId="85" xfId="279" applyFont="1" applyBorder="1" applyAlignment="1" applyProtection="1">
      <alignment horizontal="center" vertical="center"/>
      <protection hidden="1"/>
    </xf>
    <xf numFmtId="0" fontId="61" fillId="0" borderId="92" xfId="279" applyFont="1" applyBorder="1" applyAlignment="1" applyProtection="1">
      <alignment horizontal="center" vertical="center"/>
      <protection hidden="1"/>
    </xf>
    <xf numFmtId="0" fontId="61" fillId="0" borderId="91" xfId="279" applyFont="1" applyBorder="1" applyAlignment="1" applyProtection="1">
      <alignment horizontal="center" vertical="center"/>
      <protection hidden="1"/>
    </xf>
    <xf numFmtId="0" fontId="61" fillId="0" borderId="87" xfId="279" applyFont="1" applyBorder="1" applyAlignment="1" applyProtection="1">
      <alignment horizontal="center" vertical="center"/>
      <protection hidden="1"/>
    </xf>
    <xf numFmtId="0" fontId="61" fillId="0" borderId="93" xfId="279" applyFont="1" applyBorder="1" applyAlignment="1" applyProtection="1">
      <alignment horizontal="center" vertical="center"/>
      <protection hidden="1"/>
    </xf>
    <xf numFmtId="0" fontId="61" fillId="0" borderId="67" xfId="279" applyFont="1" applyBorder="1" applyAlignment="1" applyProtection="1">
      <alignment horizontal="center" vertical="center"/>
      <protection hidden="1"/>
    </xf>
    <xf numFmtId="0" fontId="61" fillId="0" borderId="64" xfId="279" applyFont="1" applyBorder="1" applyAlignment="1" applyProtection="1">
      <alignment horizontal="center" vertical="center"/>
      <protection hidden="1"/>
    </xf>
    <xf numFmtId="164" fontId="61" fillId="0" borderId="85" xfId="279" applyNumberFormat="1" applyFont="1" applyBorder="1" applyAlignment="1">
      <alignment horizontal="center" vertical="center"/>
    </xf>
    <xf numFmtId="164" fontId="61" fillId="0" borderId="92" xfId="279" applyNumberFormat="1" applyFont="1" applyBorder="1" applyAlignment="1">
      <alignment horizontal="center" vertical="center"/>
    </xf>
    <xf numFmtId="0" fontId="61" fillId="0" borderId="67" xfId="279" applyFont="1" applyBorder="1" applyAlignment="1" applyProtection="1">
      <alignment horizontal="center"/>
      <protection hidden="1"/>
    </xf>
    <xf numFmtId="0" fontId="61" fillId="0" borderId="20" xfId="279" applyFont="1" applyBorder="1" applyAlignment="1" applyProtection="1">
      <alignment horizontal="center"/>
      <protection hidden="1"/>
    </xf>
    <xf numFmtId="0" fontId="61" fillId="0" borderId="11" xfId="279" applyFont="1" applyBorder="1" applyAlignment="1" applyProtection="1">
      <alignment horizontal="center" wrapText="1"/>
      <protection hidden="1"/>
    </xf>
    <xf numFmtId="0" fontId="61" fillId="0" borderId="60" xfId="279" applyFont="1" applyBorder="1" applyAlignment="1" applyProtection="1">
      <alignment horizontal="center" wrapText="1"/>
      <protection hidden="1"/>
    </xf>
    <xf numFmtId="14" fontId="61" fillId="0" borderId="97" xfId="279" applyNumberFormat="1" applyFont="1" applyBorder="1" applyAlignment="1" applyProtection="1">
      <alignment horizontal="center"/>
      <protection hidden="1"/>
    </xf>
    <xf numFmtId="0" fontId="61" fillId="0" borderId="100" xfId="279" applyFont="1" applyBorder="1" applyAlignment="1" applyProtection="1">
      <alignment horizontal="center"/>
      <protection hidden="1"/>
    </xf>
    <xf numFmtId="0" fontId="61" fillId="0" borderId="69" xfId="279" applyFont="1" applyBorder="1" applyAlignment="1" applyProtection="1">
      <alignment horizontal="center"/>
      <protection hidden="1"/>
    </xf>
    <xf numFmtId="0" fontId="61" fillId="0" borderId="103" xfId="279" applyFont="1" applyBorder="1" applyAlignment="1" applyProtection="1">
      <alignment horizontal="center" wrapText="1"/>
      <protection hidden="1"/>
    </xf>
    <xf numFmtId="0" fontId="61" fillId="0" borderId="71" xfId="279" applyFont="1" applyBorder="1" applyAlignment="1" applyProtection="1">
      <alignment horizontal="center" wrapText="1"/>
      <protection hidden="1"/>
    </xf>
    <xf numFmtId="0" fontId="81" fillId="0" borderId="182" xfId="279" applyFont="1" applyBorder="1" applyAlignment="1" applyProtection="1">
      <alignment horizontal="center" vertical="center"/>
      <protection hidden="1"/>
    </xf>
    <xf numFmtId="0" fontId="81" fillId="0" borderId="101" xfId="279" applyFont="1" applyBorder="1" applyAlignment="1" applyProtection="1">
      <alignment horizontal="center" vertical="center"/>
      <protection hidden="1"/>
    </xf>
    <xf numFmtId="0" fontId="81" fillId="0" borderId="71" xfId="279" applyFont="1" applyBorder="1" applyAlignment="1" applyProtection="1">
      <alignment horizontal="center" vertical="center"/>
      <protection hidden="1"/>
    </xf>
    <xf numFmtId="0" fontId="61" fillId="0" borderId="101" xfId="279" applyFont="1" applyBorder="1" applyAlignment="1" applyProtection="1">
      <alignment horizontal="center" wrapText="1"/>
      <protection hidden="1"/>
    </xf>
    <xf numFmtId="0" fontId="61" fillId="0" borderId="103" xfId="279" applyFont="1" applyBorder="1" applyAlignment="1" applyProtection="1">
      <alignment horizontal="center"/>
      <protection hidden="1"/>
    </xf>
    <xf numFmtId="0" fontId="61" fillId="0" borderId="101" xfId="279" applyFont="1" applyBorder="1" applyAlignment="1" applyProtection="1">
      <alignment horizontal="center"/>
      <protection hidden="1"/>
    </xf>
    <xf numFmtId="0" fontId="83" fillId="0" borderId="105" xfId="277" applyFont="1" applyBorder="1" applyAlignment="1" applyProtection="1">
      <alignment horizontal="center"/>
      <protection hidden="1"/>
    </xf>
    <xf numFmtId="0" fontId="83" fillId="0" borderId="106" xfId="277" applyFont="1" applyBorder="1" applyAlignment="1" applyProtection="1">
      <alignment horizontal="center"/>
      <protection hidden="1"/>
    </xf>
    <xf numFmtId="0" fontId="83" fillId="0" borderId="108" xfId="277" applyFont="1" applyBorder="1" applyAlignment="1" applyProtection="1">
      <alignment horizontal="center"/>
      <protection hidden="1"/>
    </xf>
    <xf numFmtId="0" fontId="8" fillId="0" borderId="190" xfId="277" applyBorder="1" applyProtection="1">
      <protection hidden="1"/>
    </xf>
    <xf numFmtId="0" fontId="8" fillId="0" borderId="20" xfId="277" applyBorder="1" applyProtection="1">
      <protection hidden="1"/>
    </xf>
    <xf numFmtId="0" fontId="8" fillId="0" borderId="80" xfId="277" applyBorder="1" applyProtection="1">
      <protection hidden="1"/>
    </xf>
    <xf numFmtId="0" fontId="8" fillId="0" borderId="183" xfId="277" applyBorder="1" applyAlignment="1" applyProtection="1">
      <alignment horizontal="center"/>
      <protection hidden="1"/>
    </xf>
    <xf numFmtId="0" fontId="8" fillId="0" borderId="184" xfId="277" applyBorder="1" applyAlignment="1" applyProtection="1">
      <alignment horizontal="center"/>
      <protection hidden="1"/>
    </xf>
    <xf numFmtId="0" fontId="8" fillId="0" borderId="6" xfId="277" applyBorder="1" applyAlignment="1" applyProtection="1">
      <alignment horizontal="left"/>
      <protection hidden="1"/>
    </xf>
    <xf numFmtId="0" fontId="8" fillId="0" borderId="119" xfId="277" applyBorder="1" applyAlignment="1" applyProtection="1">
      <alignment horizontal="left"/>
      <protection hidden="1"/>
    </xf>
    <xf numFmtId="0" fontId="8" fillId="0" borderId="77" xfId="277" applyBorder="1" applyAlignment="1">
      <alignment horizontal="left" vertical="top" wrapText="1"/>
    </xf>
    <xf numFmtId="0" fontId="8" fillId="0" borderId="0" xfId="277" applyAlignment="1">
      <alignment horizontal="left" vertical="top"/>
    </xf>
    <xf numFmtId="0" fontId="8" fillId="0" borderId="74" xfId="277" applyBorder="1" applyAlignment="1">
      <alignment horizontal="left" vertical="top"/>
    </xf>
    <xf numFmtId="0" fontId="8" fillId="0" borderId="77" xfId="277" applyBorder="1" applyAlignment="1">
      <alignment horizontal="left" vertical="top"/>
    </xf>
    <xf numFmtId="0" fontId="8" fillId="0" borderId="78" xfId="277" applyBorder="1" applyAlignment="1">
      <alignment horizontal="left" vertical="top"/>
    </xf>
    <xf numFmtId="0" fontId="8" fillId="0" borderId="75" xfId="277" applyBorder="1" applyAlignment="1">
      <alignment horizontal="left" vertical="top"/>
    </xf>
    <xf numFmtId="0" fontId="8" fillId="0" borderId="76" xfId="277" applyBorder="1" applyAlignment="1">
      <alignment horizontal="left" vertical="top"/>
    </xf>
    <xf numFmtId="0" fontId="8" fillId="0" borderId="6" xfId="277" applyBorder="1" applyAlignment="1" applyProtection="1">
      <alignment horizontal="left" vertical="top" wrapText="1"/>
      <protection hidden="1"/>
    </xf>
    <xf numFmtId="0" fontId="8" fillId="0" borderId="119" xfId="277" applyBorder="1" applyAlignment="1" applyProtection="1">
      <alignment horizontal="left" vertical="top" wrapText="1"/>
      <protection hidden="1"/>
    </xf>
    <xf numFmtId="0" fontId="8" fillId="0" borderId="6" xfId="277" applyBorder="1" applyAlignment="1" applyProtection="1">
      <alignment horizontal="left" vertical="top"/>
      <protection locked="0" hidden="1"/>
    </xf>
    <xf numFmtId="0" fontId="8" fillId="0" borderId="119" xfId="277" applyBorder="1" applyAlignment="1" applyProtection="1">
      <alignment horizontal="left" vertical="top"/>
      <protection locked="0" hidden="1"/>
    </xf>
    <xf numFmtId="0" fontId="8" fillId="0" borderId="6" xfId="277" applyBorder="1" applyProtection="1">
      <protection locked="0" hidden="1"/>
    </xf>
    <xf numFmtId="0" fontId="8" fillId="0" borderId="119" xfId="277" applyBorder="1" applyProtection="1">
      <protection locked="0" hidden="1"/>
    </xf>
    <xf numFmtId="0" fontId="8" fillId="0" borderId="88" xfId="277" applyBorder="1" applyProtection="1">
      <protection hidden="1"/>
    </xf>
    <xf numFmtId="0" fontId="8" fillId="0" borderId="60" xfId="277" applyBorder="1" applyProtection="1">
      <protection hidden="1"/>
    </xf>
    <xf numFmtId="0" fontId="8" fillId="0" borderId="141" xfId="277" applyBorder="1" applyProtection="1">
      <protection hidden="1"/>
    </xf>
    <xf numFmtId="0" fontId="8" fillId="0" borderId="89" xfId="277" applyBorder="1" applyAlignment="1" applyProtection="1">
      <alignment horizontal="right"/>
      <protection locked="0" hidden="1"/>
    </xf>
    <xf numFmtId="0" fontId="8" fillId="0" borderId="142" xfId="277" applyBorder="1" applyAlignment="1" applyProtection="1">
      <alignment horizontal="right"/>
      <protection locked="0" hidden="1"/>
    </xf>
    <xf numFmtId="0" fontId="8" fillId="0" borderId="143" xfId="277" applyBorder="1" applyAlignment="1" applyProtection="1">
      <alignment horizontal="right"/>
      <protection locked="0" hidden="1"/>
    </xf>
    <xf numFmtId="0" fontId="8" fillId="0" borderId="116" xfId="277" quotePrefix="1" applyBorder="1" applyAlignment="1" applyProtection="1">
      <alignment horizontal="right" vertical="top"/>
      <protection hidden="1"/>
    </xf>
    <xf numFmtId="0" fontId="2" fillId="0" borderId="60" xfId="277" applyFont="1" applyBorder="1" applyProtection="1">
      <protection locked="0" hidden="1"/>
    </xf>
    <xf numFmtId="0" fontId="2" fillId="0" borderId="141" xfId="277" applyFont="1" applyBorder="1" applyProtection="1">
      <protection locked="0" hidden="1"/>
    </xf>
    <xf numFmtId="0" fontId="2" fillId="0" borderId="61" xfId="277" applyFont="1" applyBorder="1" applyProtection="1">
      <protection locked="0" hidden="1"/>
    </xf>
    <xf numFmtId="0" fontId="2" fillId="0" borderId="79" xfId="277" applyFont="1" applyBorder="1" applyProtection="1">
      <protection locked="0" hidden="1"/>
    </xf>
    <xf numFmtId="0" fontId="2" fillId="0" borderId="65" xfId="277" applyFont="1" applyBorder="1" applyAlignment="1" applyProtection="1">
      <alignment horizontal="left" vertical="top" wrapText="1"/>
      <protection locked="0" hidden="1"/>
    </xf>
    <xf numFmtId="0" fontId="2" fillId="0" borderId="61" xfId="277" applyFont="1" applyBorder="1" applyAlignment="1" applyProtection="1">
      <alignment horizontal="left" vertical="top" wrapText="1"/>
      <protection locked="0" hidden="1"/>
    </xf>
    <xf numFmtId="0" fontId="2" fillId="0" borderId="79" xfId="277" applyFont="1" applyBorder="1" applyAlignment="1" applyProtection="1">
      <alignment horizontal="left" vertical="top" wrapText="1"/>
      <protection locked="0" hidden="1"/>
    </xf>
    <xf numFmtId="0" fontId="2" fillId="0" borderId="67" xfId="277" applyFont="1" applyBorder="1" applyAlignment="1" applyProtection="1">
      <alignment horizontal="left" vertical="top" wrapText="1"/>
      <protection locked="0" hidden="1"/>
    </xf>
    <xf numFmtId="0" fontId="2" fillId="0" borderId="20" xfId="277" applyFont="1" applyBorder="1" applyAlignment="1" applyProtection="1">
      <alignment horizontal="left" vertical="top" wrapText="1"/>
      <protection locked="0" hidden="1"/>
    </xf>
    <xf numFmtId="0" fontId="2" fillId="0" borderId="80" xfId="277" applyFont="1" applyBorder="1" applyAlignment="1" applyProtection="1">
      <alignment horizontal="left" vertical="top" wrapText="1"/>
      <protection locked="0" hidden="1"/>
    </xf>
    <xf numFmtId="0" fontId="8" fillId="0" borderId="11" xfId="277" applyBorder="1" applyAlignment="1" applyProtection="1">
      <alignment vertical="top" wrapText="1"/>
      <protection locked="0" hidden="1"/>
    </xf>
    <xf numFmtId="0" fontId="8" fillId="0" borderId="60" xfId="277" applyBorder="1" applyAlignment="1" applyProtection="1">
      <alignment vertical="top" wrapText="1"/>
      <protection locked="0" hidden="1"/>
    </xf>
    <xf numFmtId="0" fontId="8" fillId="0" borderId="141" xfId="277" applyBorder="1" applyAlignment="1" applyProtection="1">
      <alignment vertical="top" wrapText="1"/>
      <protection locked="0" hidden="1"/>
    </xf>
    <xf numFmtId="0" fontId="8" fillId="0" borderId="94" xfId="277" applyBorder="1" applyAlignment="1" applyProtection="1">
      <alignment horizontal="right" vertical="top"/>
      <protection locked="0" hidden="1"/>
    </xf>
    <xf numFmtId="0" fontId="8" fillId="0" borderId="135" xfId="277" applyBorder="1" applyAlignment="1" applyProtection="1">
      <alignment horizontal="right" vertical="top"/>
      <protection locked="0" hidden="1"/>
    </xf>
    <xf numFmtId="0" fontId="8" fillId="0" borderId="6" xfId="277" applyBorder="1" applyAlignment="1" applyProtection="1">
      <alignment horizontal="left" vertical="top"/>
      <protection hidden="1"/>
    </xf>
    <xf numFmtId="0" fontId="8" fillId="0" borderId="119" xfId="277" applyBorder="1" applyAlignment="1" applyProtection="1">
      <alignment horizontal="left" vertical="top"/>
      <protection hidden="1"/>
    </xf>
    <xf numFmtId="0" fontId="8" fillId="0" borderId="6" xfId="277" applyBorder="1" applyAlignment="1" applyProtection="1">
      <alignment vertical="top" wrapText="1"/>
      <protection hidden="1"/>
    </xf>
    <xf numFmtId="0" fontId="8" fillId="0" borderId="119" xfId="277" applyBorder="1" applyAlignment="1" applyProtection="1">
      <alignment vertical="top" wrapText="1"/>
      <protection hidden="1"/>
    </xf>
    <xf numFmtId="0" fontId="48" fillId="0" borderId="0" xfId="0" applyFont="1" applyAlignment="1" applyProtection="1">
      <alignment horizontal="center" wrapText="1"/>
      <protection hidden="1"/>
    </xf>
    <xf numFmtId="0" fontId="2" fillId="0" borderId="126" xfId="277" applyFont="1" applyBorder="1" applyAlignment="1">
      <alignment horizontal="center" vertical="center"/>
    </xf>
    <xf numFmtId="0" fontId="8" fillId="0" borderId="128" xfId="277" applyBorder="1" applyAlignment="1">
      <alignment horizontal="center" vertical="center"/>
    </xf>
    <xf numFmtId="0" fontId="8" fillId="0" borderId="177" xfId="277" applyBorder="1" applyAlignment="1">
      <alignment horizontal="center" vertical="center"/>
    </xf>
    <xf numFmtId="0" fontId="84" fillId="0" borderId="29" xfId="277" applyFont="1" applyBorder="1" applyAlignment="1" applyProtection="1">
      <alignment horizontal="center" vertical="center" wrapText="1"/>
      <protection hidden="1"/>
    </xf>
    <xf numFmtId="0" fontId="84" fillId="0" borderId="13" xfId="277" applyFont="1" applyBorder="1" applyAlignment="1" applyProtection="1">
      <alignment horizontal="center" vertical="center" wrapText="1"/>
      <protection hidden="1"/>
    </xf>
    <xf numFmtId="0" fontId="84" fillId="0" borderId="17" xfId="277" applyFont="1" applyBorder="1" applyAlignment="1" applyProtection="1">
      <alignment horizontal="center" vertical="center" wrapText="1"/>
      <protection hidden="1"/>
    </xf>
    <xf numFmtId="0" fontId="8" fillId="0" borderId="11" xfId="277" applyBorder="1" applyProtection="1">
      <protection locked="0"/>
    </xf>
    <xf numFmtId="0" fontId="8" fillId="0" borderId="60" xfId="277" applyBorder="1" applyProtection="1">
      <protection locked="0"/>
    </xf>
    <xf numFmtId="0" fontId="8" fillId="0" borderId="9" xfId="277" applyBorder="1" applyProtection="1">
      <protection locked="0"/>
    </xf>
    <xf numFmtId="0" fontId="8" fillId="0" borderId="110" xfId="277" applyBorder="1"/>
    <xf numFmtId="0" fontId="8" fillId="0" borderId="92" xfId="277" applyBorder="1"/>
    <xf numFmtId="0" fontId="8" fillId="0" borderId="111" xfId="277" applyBorder="1"/>
    <xf numFmtId="0" fontId="8" fillId="0" borderId="66" xfId="277" applyBorder="1" applyAlignment="1" applyProtection="1">
      <alignment horizontal="center" vertical="center"/>
      <protection hidden="1"/>
    </xf>
    <xf numFmtId="0" fontId="8" fillId="0" borderId="0" xfId="277" applyAlignment="1" applyProtection="1">
      <alignment horizontal="center" vertical="center"/>
      <protection hidden="1"/>
    </xf>
    <xf numFmtId="0" fontId="8" fillId="0" borderId="67" xfId="277" applyBorder="1" applyAlignment="1" applyProtection="1">
      <alignment horizontal="center" vertical="center"/>
      <protection hidden="1"/>
    </xf>
    <xf numFmtId="0" fontId="8" fillId="0" borderId="20" xfId="277" applyBorder="1" applyAlignment="1" applyProtection="1">
      <alignment horizontal="center" vertical="center"/>
      <protection hidden="1"/>
    </xf>
    <xf numFmtId="0" fontId="8" fillId="0" borderId="66" xfId="277" applyBorder="1" applyAlignment="1" applyProtection="1">
      <alignment horizontal="center" vertical="center" wrapText="1"/>
      <protection hidden="1"/>
    </xf>
    <xf numFmtId="0" fontId="8" fillId="0" borderId="0" xfId="277" applyAlignment="1" applyProtection="1">
      <alignment horizontal="center" vertical="center" wrapText="1"/>
      <protection hidden="1"/>
    </xf>
    <xf numFmtId="0" fontId="8" fillId="0" borderId="63" xfId="277" applyBorder="1" applyAlignment="1" applyProtection="1">
      <alignment horizontal="center" vertical="center" wrapText="1"/>
      <protection hidden="1"/>
    </xf>
    <xf numFmtId="0" fontId="8" fillId="0" borderId="66" xfId="277" applyBorder="1" applyAlignment="1" applyProtection="1">
      <alignment horizontal="center"/>
      <protection hidden="1"/>
    </xf>
    <xf numFmtId="0" fontId="8" fillId="0" borderId="0" xfId="277" applyAlignment="1" applyProtection="1">
      <alignment horizontal="center"/>
      <protection hidden="1"/>
    </xf>
    <xf numFmtId="0" fontId="8" fillId="0" borderId="63" xfId="277" applyBorder="1" applyAlignment="1" applyProtection="1">
      <alignment horizontal="center"/>
      <protection hidden="1"/>
    </xf>
    <xf numFmtId="0" fontId="8" fillId="0" borderId="67" xfId="277" applyBorder="1" applyAlignment="1" applyProtection="1">
      <alignment horizontal="center"/>
      <protection hidden="1"/>
    </xf>
    <xf numFmtId="0" fontId="8" fillId="0" borderId="20" xfId="277" applyBorder="1" applyAlignment="1" applyProtection="1">
      <alignment horizontal="center"/>
      <protection hidden="1"/>
    </xf>
    <xf numFmtId="0" fontId="8" fillId="0" borderId="64" xfId="277" applyBorder="1" applyAlignment="1" applyProtection="1">
      <alignment horizontal="center"/>
      <protection hidden="1"/>
    </xf>
    <xf numFmtId="0" fontId="2" fillId="0" borderId="11" xfId="277" applyFont="1" applyBorder="1" applyProtection="1">
      <protection locked="0"/>
    </xf>
    <xf numFmtId="0" fontId="8" fillId="0" borderId="102" xfId="277" applyBorder="1" applyProtection="1">
      <protection locked="0"/>
    </xf>
    <xf numFmtId="0" fontId="8" fillId="0" borderId="97" xfId="277" applyBorder="1" applyProtection="1">
      <protection locked="0"/>
    </xf>
    <xf numFmtId="0" fontId="8" fillId="0" borderId="72" xfId="277" applyBorder="1" applyProtection="1">
      <protection locked="0"/>
    </xf>
    <xf numFmtId="0" fontId="8" fillId="0" borderId="21" xfId="277" applyBorder="1" applyAlignment="1" applyProtection="1">
      <alignment horizontal="left"/>
      <protection locked="0"/>
    </xf>
    <xf numFmtId="0" fontId="8" fillId="0" borderId="60" xfId="277" applyBorder="1" applyAlignment="1" applyProtection="1">
      <alignment horizontal="left"/>
      <protection locked="0"/>
    </xf>
    <xf numFmtId="0" fontId="8" fillId="0" borderId="9" xfId="277" applyBorder="1" applyAlignment="1" applyProtection="1">
      <alignment horizontal="left"/>
      <protection locked="0"/>
    </xf>
    <xf numFmtId="14" fontId="4" fillId="18" borderId="29" xfId="0" applyNumberFormat="1" applyFont="1" applyFill="1" applyBorder="1" applyAlignment="1" applyProtection="1">
      <alignment horizontal="center" vertical="center"/>
      <protection locked="0"/>
    </xf>
    <xf numFmtId="14" fontId="4" fillId="18" borderId="17" xfId="0" applyNumberFormat="1" applyFont="1" applyFill="1" applyBorder="1" applyAlignment="1" applyProtection="1">
      <alignment horizontal="center" vertical="center"/>
      <protection locked="0"/>
    </xf>
    <xf numFmtId="0" fontId="0" fillId="18" borderId="13" xfId="0" applyFill="1" applyBorder="1" applyAlignment="1" applyProtection="1">
      <alignment vertical="center"/>
      <protection locked="0"/>
    </xf>
    <xf numFmtId="0" fontId="4" fillId="18" borderId="29" xfId="0" applyFont="1" applyFill="1" applyBorder="1" applyAlignment="1" applyProtection="1">
      <alignment horizontal="center" vertical="center"/>
      <protection locked="0"/>
    </xf>
    <xf numFmtId="0" fontId="4" fillId="18" borderId="13" xfId="0" applyFont="1" applyFill="1" applyBorder="1" applyAlignment="1" applyProtection="1">
      <alignment horizontal="center" vertical="center"/>
      <protection locked="0"/>
    </xf>
    <xf numFmtId="0" fontId="4" fillId="18" borderId="17" xfId="0" applyFont="1" applyFill="1" applyBorder="1" applyAlignment="1" applyProtection="1">
      <alignment horizontal="center" vertical="center"/>
      <protection locked="0"/>
    </xf>
    <xf numFmtId="2" fontId="3" fillId="18" borderId="29" xfId="0" applyNumberFormat="1" applyFont="1" applyFill="1" applyBorder="1" applyAlignment="1" applyProtection="1">
      <alignment horizontal="center" vertical="center" wrapText="1"/>
      <protection locked="0"/>
    </xf>
    <xf numFmtId="2" fontId="0" fillId="18" borderId="13" xfId="0" applyNumberFormat="1" applyFill="1" applyBorder="1" applyAlignment="1" applyProtection="1">
      <alignment horizontal="center" vertical="center" wrapText="1"/>
      <protection locked="0"/>
    </xf>
    <xf numFmtId="2" fontId="0" fillId="18" borderId="17" xfId="0" applyNumberFormat="1" applyFill="1" applyBorder="1" applyAlignment="1" applyProtection="1">
      <alignment horizontal="center" vertical="center" wrapText="1"/>
      <protection locked="0"/>
    </xf>
    <xf numFmtId="2" fontId="3" fillId="18" borderId="29" xfId="0" applyNumberFormat="1" applyFont="1" applyFill="1" applyBorder="1" applyAlignment="1" applyProtection="1">
      <alignment horizontal="center" vertical="center"/>
      <protection locked="0"/>
    </xf>
    <xf numFmtId="2" fontId="0" fillId="18" borderId="13" xfId="0" applyNumberFormat="1" applyFill="1" applyBorder="1" applyAlignment="1" applyProtection="1">
      <alignment horizontal="center" vertical="center"/>
      <protection locked="0"/>
    </xf>
    <xf numFmtId="2" fontId="0" fillId="18" borderId="17" xfId="0" applyNumberFormat="1" applyFill="1" applyBorder="1" applyAlignment="1" applyProtection="1">
      <alignment horizontal="center" vertical="center"/>
      <protection locked="0"/>
    </xf>
    <xf numFmtId="169" fontId="22" fillId="18" borderId="29" xfId="63" applyNumberFormat="1" applyFill="1" applyBorder="1" applyAlignment="1" applyProtection="1">
      <alignment horizontal="center" vertical="center" wrapText="1"/>
      <protection locked="0"/>
    </xf>
    <xf numFmtId="0" fontId="3" fillId="18" borderId="13" xfId="0" applyFont="1" applyFill="1" applyBorder="1" applyAlignment="1" applyProtection="1">
      <alignment vertical="center" wrapText="1"/>
      <protection locked="0"/>
    </xf>
    <xf numFmtId="0" fontId="3" fillId="18" borderId="17" xfId="0" applyFont="1" applyFill="1" applyBorder="1" applyAlignment="1" applyProtection="1">
      <alignment vertical="center" wrapText="1"/>
      <protection locked="0"/>
    </xf>
    <xf numFmtId="2" fontId="61" fillId="0" borderId="60" xfId="279" applyNumberFormat="1" applyFont="1" applyBorder="1" applyAlignment="1">
      <alignment horizontal="center"/>
    </xf>
    <xf numFmtId="2" fontId="61" fillId="0" borderId="10" xfId="279" applyNumberFormat="1" applyFont="1" applyBorder="1" applyAlignment="1">
      <alignment horizontal="center"/>
    </xf>
    <xf numFmtId="49" fontId="61" fillId="0" borderId="60" xfId="279" applyNumberFormat="1" applyFont="1" applyBorder="1" applyAlignment="1">
      <alignment horizontal="center"/>
    </xf>
    <xf numFmtId="0" fontId="2" fillId="0" borderId="11" xfId="277" applyFont="1" applyBorder="1" applyAlignment="1" applyProtection="1">
      <alignment horizontal="left"/>
      <protection locked="0" hidden="1"/>
    </xf>
    <xf numFmtId="0" fontId="2" fillId="0" borderId="60" xfId="277" applyFont="1" applyBorder="1" applyAlignment="1" applyProtection="1">
      <alignment horizontal="left"/>
      <protection locked="0" hidden="1"/>
    </xf>
    <xf numFmtId="0" fontId="8" fillId="0" borderId="88" xfId="277" applyBorder="1" applyAlignment="1" applyProtection="1">
      <alignment horizontal="left"/>
      <protection hidden="1"/>
    </xf>
    <xf numFmtId="0" fontId="8" fillId="0" borderId="60" xfId="277" applyBorder="1" applyAlignment="1" applyProtection="1">
      <alignment horizontal="left"/>
      <protection hidden="1"/>
    </xf>
    <xf numFmtId="0" fontId="8" fillId="0" borderId="141" xfId="277" applyBorder="1" applyAlignment="1" applyProtection="1">
      <alignment horizontal="left"/>
      <protection hidden="1"/>
    </xf>
    <xf numFmtId="0" fontId="8" fillId="0" borderId="11" xfId="277" applyBorder="1" applyAlignment="1" applyProtection="1">
      <alignment vertical="top" wrapText="1"/>
      <protection hidden="1"/>
    </xf>
    <xf numFmtId="0" fontId="2" fillId="0" borderId="6" xfId="277" applyFont="1" applyBorder="1" applyAlignment="1" applyProtection="1">
      <alignment horizontal="left"/>
      <protection hidden="1"/>
    </xf>
    <xf numFmtId="0" fontId="8" fillId="0" borderId="11" xfId="277" applyBorder="1" applyAlignment="1" applyProtection="1">
      <alignment horizontal="left"/>
      <protection hidden="1"/>
    </xf>
    <xf numFmtId="0" fontId="8" fillId="0" borderId="11" xfId="277" applyBorder="1" applyAlignment="1" applyProtection="1">
      <alignment horizontal="left" vertical="top"/>
      <protection locked="0" hidden="1"/>
    </xf>
    <xf numFmtId="0" fontId="8" fillId="0" borderId="61" xfId="277" applyBorder="1" applyAlignment="1" applyProtection="1">
      <alignment horizontal="left" vertical="top" wrapText="1"/>
      <protection locked="0" hidden="1"/>
    </xf>
    <xf numFmtId="0" fontId="8" fillId="0" borderId="67" xfId="277" applyBorder="1" applyAlignment="1" applyProtection="1">
      <alignment horizontal="left" vertical="top" wrapText="1"/>
      <protection locked="0" hidden="1"/>
    </xf>
    <xf numFmtId="0" fontId="8" fillId="0" borderId="20" xfId="277" applyBorder="1" applyAlignment="1" applyProtection="1">
      <alignment horizontal="left" vertical="top" wrapText="1"/>
      <protection locked="0" hidden="1"/>
    </xf>
    <xf numFmtId="0" fontId="2" fillId="0" borderId="11" xfId="277" applyFont="1" applyBorder="1" applyAlignment="1" applyProtection="1">
      <alignment horizontal="left" vertical="top" wrapText="1"/>
      <protection locked="0" hidden="1"/>
    </xf>
    <xf numFmtId="0" fontId="8" fillId="0" borderId="60" xfId="277" applyBorder="1" applyAlignment="1" applyProtection="1">
      <alignment horizontal="left" vertical="top" wrapText="1"/>
      <protection locked="0" hidden="1"/>
    </xf>
    <xf numFmtId="0" fontId="8" fillId="0" borderId="11" xfId="277" applyBorder="1" applyProtection="1">
      <protection locked="0" hidden="1"/>
    </xf>
    <xf numFmtId="0" fontId="2" fillId="0" borderId="141" xfId="277" applyFont="1" applyBorder="1" applyAlignment="1" applyProtection="1">
      <alignment horizontal="left"/>
      <protection locked="0" hidden="1"/>
    </xf>
    <xf numFmtId="0" fontId="8" fillId="0" borderId="79" xfId="277" applyBorder="1" applyAlignment="1" applyProtection="1">
      <alignment horizontal="left" vertical="top" wrapText="1"/>
      <protection locked="0" hidden="1"/>
    </xf>
    <xf numFmtId="0" fontId="8" fillId="0" borderId="80" xfId="277" applyBorder="1" applyAlignment="1" applyProtection="1">
      <alignment horizontal="left" vertical="top" wrapText="1"/>
      <protection locked="0" hidden="1"/>
    </xf>
    <xf numFmtId="0" fontId="8" fillId="0" borderId="141" xfId="277" applyBorder="1" applyAlignment="1" applyProtection="1">
      <alignment horizontal="left" vertical="top" wrapText="1"/>
      <protection locked="0" hidden="1"/>
    </xf>
    <xf numFmtId="0" fontId="8" fillId="0" borderId="6" xfId="290" applyBorder="1" applyAlignment="1">
      <alignment horizontal="center" vertical="center"/>
    </xf>
    <xf numFmtId="2" fontId="8" fillId="0" borderId="6" xfId="290" applyNumberFormat="1" applyBorder="1" applyAlignment="1">
      <alignment horizontal="center" vertical="center"/>
    </xf>
    <xf numFmtId="0" fontId="8" fillId="0" borderId="6" xfId="290" applyBorder="1" applyAlignment="1" applyProtection="1">
      <alignment horizontal="center" vertical="center"/>
      <protection locked="0"/>
    </xf>
    <xf numFmtId="0" fontId="8" fillId="0" borderId="6" xfId="290" quotePrefix="1" applyBorder="1" applyAlignment="1" applyProtection="1">
      <alignment horizontal="left"/>
      <protection locked="0"/>
    </xf>
    <xf numFmtId="0" fontId="8" fillId="0" borderId="6" xfId="290" applyBorder="1" applyAlignment="1">
      <alignment horizontal="left"/>
    </xf>
    <xf numFmtId="0" fontId="8" fillId="0" borderId="6" xfId="290" quotePrefix="1" applyBorder="1" applyAlignment="1">
      <alignment horizontal="left" vertical="top" wrapText="1"/>
    </xf>
    <xf numFmtId="0" fontId="8" fillId="0" borderId="6" xfId="290" quotePrefix="1" applyBorder="1" applyAlignment="1">
      <alignment horizontal="left"/>
    </xf>
    <xf numFmtId="0" fontId="2" fillId="0" borderId="11" xfId="290" quotePrefix="1" applyFont="1" applyBorder="1" applyAlignment="1">
      <alignment horizontal="left" vertical="top" wrapText="1"/>
    </xf>
    <xf numFmtId="0" fontId="8" fillId="0" borderId="60" xfId="290" quotePrefix="1" applyBorder="1" applyAlignment="1">
      <alignment horizontal="left" vertical="top" wrapText="1"/>
    </xf>
    <xf numFmtId="0" fontId="8" fillId="0" borderId="10" xfId="290" quotePrefix="1" applyBorder="1" applyAlignment="1">
      <alignment horizontal="left" vertical="top" wrapText="1"/>
    </xf>
    <xf numFmtId="0" fontId="2" fillId="0" borderId="60" xfId="290" quotePrefix="1" applyFont="1" applyBorder="1" applyAlignment="1">
      <alignment horizontal="left" vertical="top" wrapText="1"/>
    </xf>
    <xf numFmtId="0" fontId="2" fillId="0" borderId="10" xfId="290" quotePrefix="1" applyFont="1" applyBorder="1" applyAlignment="1">
      <alignment horizontal="left" vertical="top" wrapText="1"/>
    </xf>
    <xf numFmtId="0" fontId="99" fillId="0" borderId="6" xfId="290" applyFont="1" applyBorder="1" applyAlignment="1">
      <alignment horizontal="center" vertical="center"/>
    </xf>
    <xf numFmtId="0" fontId="8" fillId="0" borderId="18" xfId="290" applyBorder="1" applyAlignment="1">
      <alignment horizontal="center" vertical="center"/>
    </xf>
    <xf numFmtId="0" fontId="8" fillId="0" borderId="19" xfId="290" applyBorder="1" applyAlignment="1">
      <alignment horizontal="center" vertical="center"/>
    </xf>
    <xf numFmtId="0" fontId="8" fillId="0" borderId="12" xfId="290" applyBorder="1" applyAlignment="1">
      <alignment horizontal="center" vertical="center"/>
    </xf>
    <xf numFmtId="0" fontId="15" fillId="20" borderId="1" xfId="0" applyFont="1" applyFill="1" applyBorder="1" applyAlignment="1" applyProtection="1">
      <alignment horizontal="center" vertical="center" wrapText="1"/>
      <protection hidden="1"/>
    </xf>
    <xf numFmtId="0" fontId="52" fillId="2" borderId="1" xfId="0" applyFont="1" applyFill="1" applyBorder="1" applyAlignment="1" applyProtection="1">
      <alignment horizontal="center" vertical="center" wrapText="1"/>
      <protection hidden="1"/>
    </xf>
    <xf numFmtId="0" fontId="52" fillId="2" borderId="23" xfId="0" applyFont="1" applyFill="1" applyBorder="1" applyAlignment="1" applyProtection="1">
      <alignment horizontal="center" vertical="center" wrapText="1"/>
      <protection hidden="1"/>
    </xf>
    <xf numFmtId="0" fontId="52" fillId="0" borderId="39" xfId="0" applyFont="1" applyBorder="1" applyAlignment="1" applyProtection="1">
      <alignment horizontal="center" vertical="center" wrapText="1"/>
      <protection hidden="1"/>
    </xf>
    <xf numFmtId="0" fontId="52" fillId="0" borderId="1" xfId="0" applyFont="1" applyBorder="1" applyAlignment="1" applyProtection="1">
      <alignment horizontal="center" vertical="center" wrapText="1"/>
      <protection hidden="1"/>
    </xf>
    <xf numFmtId="0" fontId="53" fillId="4" borderId="0" xfId="0" applyFont="1" applyFill="1" applyAlignment="1" applyProtection="1">
      <alignment horizontal="center" vertical="center"/>
      <protection hidden="1"/>
    </xf>
    <xf numFmtId="0" fontId="52" fillId="0" borderId="23" xfId="0" applyFont="1" applyBorder="1" applyAlignment="1" applyProtection="1">
      <alignment horizontal="center" vertical="center" wrapText="1"/>
      <protection hidden="1"/>
    </xf>
    <xf numFmtId="0" fontId="52" fillId="2" borderId="23" xfId="355" applyFont="1" applyFill="1" applyBorder="1" applyAlignment="1" applyProtection="1">
      <alignment horizontal="center" vertical="center" wrapText="1"/>
      <protection hidden="1"/>
    </xf>
    <xf numFmtId="0" fontId="52" fillId="2" borderId="39" xfId="355" applyFont="1" applyFill="1" applyBorder="1" applyAlignment="1" applyProtection="1">
      <alignment horizontal="center" vertical="center" wrapText="1"/>
      <protection hidden="1"/>
    </xf>
    <xf numFmtId="0" fontId="52" fillId="2" borderId="1" xfId="355" applyFont="1" applyFill="1" applyBorder="1" applyAlignment="1" applyProtection="1">
      <alignment horizontal="center" vertical="center" wrapText="1"/>
      <protection hidden="1"/>
    </xf>
    <xf numFmtId="0" fontId="52" fillId="0" borderId="23" xfId="355" applyFont="1" applyBorder="1" applyAlignment="1" applyProtection="1">
      <alignment horizontal="center" vertical="center" wrapText="1"/>
      <protection hidden="1"/>
    </xf>
    <xf numFmtId="0" fontId="51" fillId="2" borderId="29" xfId="355" applyFont="1" applyFill="1" applyBorder="1" applyAlignment="1" applyProtection="1">
      <alignment horizontal="center" vertical="center"/>
      <protection hidden="1"/>
    </xf>
    <xf numFmtId="0" fontId="51" fillId="2" borderId="13" xfId="355" applyFont="1" applyFill="1" applyBorder="1" applyAlignment="1" applyProtection="1">
      <alignment horizontal="center" vertical="center"/>
      <protection hidden="1"/>
    </xf>
    <xf numFmtId="0" fontId="51" fillId="2" borderId="17" xfId="355" applyFont="1" applyFill="1" applyBorder="1" applyAlignment="1" applyProtection="1">
      <alignment horizontal="center" vertical="center"/>
      <protection hidden="1"/>
    </xf>
    <xf numFmtId="0" fontId="15" fillId="6" borderId="32" xfId="0" applyFont="1" applyFill="1" applyBorder="1" applyProtection="1">
      <protection hidden="1"/>
    </xf>
    <xf numFmtId="0" fontId="15" fillId="6" borderId="2" xfId="0" applyFont="1" applyFill="1" applyBorder="1" applyProtection="1">
      <protection hidden="1"/>
    </xf>
    <xf numFmtId="0" fontId="15" fillId="6" borderId="33" xfId="0" applyFont="1" applyFill="1" applyBorder="1" applyProtection="1">
      <protection hidden="1"/>
    </xf>
    <xf numFmtId="0" fontId="50" fillId="6" borderId="0" xfId="0" applyFont="1" applyFill="1" applyProtection="1">
      <protection hidden="1"/>
    </xf>
    <xf numFmtId="0" fontId="50" fillId="6" borderId="15" xfId="0" applyFont="1" applyFill="1" applyBorder="1" applyProtection="1">
      <protection hidden="1"/>
    </xf>
    <xf numFmtId="0" fontId="50" fillId="6" borderId="36" xfId="0" applyFont="1" applyFill="1" applyBorder="1" applyProtection="1">
      <protection hidden="1"/>
    </xf>
    <xf numFmtId="0" fontId="50" fillId="6" borderId="37" xfId="0" applyFont="1" applyFill="1" applyBorder="1" applyProtection="1">
      <protection hidden="1"/>
    </xf>
    <xf numFmtId="0" fontId="54" fillId="4" borderId="178" xfId="355" applyFont="1" applyFill="1" applyBorder="1" applyAlignment="1" applyProtection="1">
      <alignment horizontal="center" vertical="center" wrapText="1"/>
      <protection hidden="1"/>
    </xf>
    <xf numFmtId="0" fontId="54" fillId="4" borderId="186" xfId="355" applyFont="1" applyFill="1" applyBorder="1" applyAlignment="1" applyProtection="1">
      <alignment horizontal="center" vertical="center" wrapText="1"/>
      <protection hidden="1"/>
    </xf>
    <xf numFmtId="0" fontId="54" fillId="4" borderId="179" xfId="355" applyFont="1" applyFill="1" applyBorder="1" applyAlignment="1" applyProtection="1">
      <alignment horizontal="center" vertical="center" wrapText="1"/>
      <protection hidden="1"/>
    </xf>
    <xf numFmtId="0" fontId="54" fillId="4" borderId="180" xfId="355" applyFont="1" applyFill="1" applyBorder="1" applyAlignment="1" applyProtection="1">
      <alignment horizontal="center" vertical="center" wrapText="1"/>
      <protection hidden="1"/>
    </xf>
    <xf numFmtId="0" fontId="54" fillId="4" borderId="187" xfId="355" applyFont="1" applyFill="1" applyBorder="1" applyAlignment="1" applyProtection="1">
      <alignment horizontal="center" vertical="center" wrapText="1"/>
      <protection hidden="1"/>
    </xf>
    <xf numFmtId="0" fontId="54" fillId="4" borderId="181" xfId="355" applyFont="1" applyFill="1" applyBorder="1" applyAlignment="1" applyProtection="1">
      <alignment horizontal="center" vertical="center" wrapText="1"/>
      <protection hidden="1"/>
    </xf>
    <xf numFmtId="0" fontId="52" fillId="2" borderId="29" xfId="355" applyFont="1" applyFill="1" applyBorder="1" applyAlignment="1" applyProtection="1">
      <alignment horizontal="center" vertical="center"/>
      <protection hidden="1"/>
    </xf>
    <xf numFmtId="0" fontId="52" fillId="2" borderId="13" xfId="355" applyFont="1" applyFill="1" applyBorder="1" applyAlignment="1" applyProtection="1">
      <alignment horizontal="center" vertical="center"/>
      <protection hidden="1"/>
    </xf>
    <xf numFmtId="0" fontId="52" fillId="2" borderId="38" xfId="355" applyFont="1" applyFill="1" applyBorder="1" applyAlignment="1" applyProtection="1">
      <alignment horizontal="center" vertical="center"/>
      <protection hidden="1"/>
    </xf>
    <xf numFmtId="0" fontId="52" fillId="2" borderId="17" xfId="355" applyFont="1" applyFill="1" applyBorder="1" applyAlignment="1" applyProtection="1">
      <alignment horizontal="center" vertical="center"/>
      <protection hidden="1"/>
    </xf>
    <xf numFmtId="0" fontId="52" fillId="0" borderId="1" xfId="0" applyFont="1" applyBorder="1" applyAlignment="1" applyProtection="1">
      <alignment vertical="center" wrapText="1"/>
      <protection hidden="1"/>
    </xf>
    <xf numFmtId="0" fontId="15" fillId="2" borderId="1" xfId="355" applyFont="1" applyFill="1" applyBorder="1" applyAlignment="1" applyProtection="1">
      <alignment horizontal="center" vertical="center" wrapText="1"/>
      <protection hidden="1"/>
    </xf>
    <xf numFmtId="0" fontId="9" fillId="5" borderId="32" xfId="0" applyFont="1" applyFill="1" applyBorder="1" applyAlignment="1">
      <alignment horizontal="center" vertical="center"/>
    </xf>
    <xf numFmtId="0" fontId="9" fillId="5" borderId="33" xfId="0" applyFont="1" applyFill="1" applyBorder="1" applyAlignment="1">
      <alignment horizontal="center" vertical="center"/>
    </xf>
    <xf numFmtId="0" fontId="9" fillId="5" borderId="34" xfId="0" applyFont="1" applyFill="1" applyBorder="1" applyAlignment="1">
      <alignment horizontal="center" vertical="center"/>
    </xf>
    <xf numFmtId="0" fontId="9" fillId="5" borderId="15" xfId="0" applyFont="1" applyFill="1" applyBorder="1" applyAlignment="1">
      <alignment horizontal="center" vertical="center"/>
    </xf>
    <xf numFmtId="0" fontId="9" fillId="5" borderId="35" xfId="0" applyFont="1" applyFill="1" applyBorder="1" applyAlignment="1">
      <alignment horizontal="center" vertical="center"/>
    </xf>
    <xf numFmtId="0" fontId="9" fillId="5" borderId="37" xfId="0" applyFont="1" applyFill="1" applyBorder="1" applyAlignment="1">
      <alignment horizontal="center" vertical="center"/>
    </xf>
    <xf numFmtId="0" fontId="11" fillId="2" borderId="1" xfId="0" applyFont="1" applyFill="1" applyBorder="1" applyAlignment="1">
      <alignment horizontal="center" vertical="center"/>
    </xf>
    <xf numFmtId="0" fontId="11" fillId="2" borderId="23" xfId="0" applyFont="1" applyFill="1" applyBorder="1" applyAlignment="1">
      <alignment horizontal="center" vertical="center"/>
    </xf>
    <xf numFmtId="0" fontId="11" fillId="2" borderId="39" xfId="0" applyFont="1" applyFill="1" applyBorder="1" applyAlignment="1">
      <alignment horizontal="center" vertical="center"/>
    </xf>
    <xf numFmtId="0" fontId="11" fillId="2" borderId="40" xfId="0" applyFont="1" applyFill="1" applyBorder="1" applyAlignment="1">
      <alignment horizontal="center" vertical="center"/>
    </xf>
    <xf numFmtId="0" fontId="3" fillId="8" borderId="178" xfId="0" applyFont="1" applyFill="1" applyBorder="1" applyAlignment="1">
      <alignment wrapText="1"/>
    </xf>
    <xf numFmtId="0" fontId="3" fillId="8" borderId="186" xfId="0" applyFont="1" applyFill="1" applyBorder="1" applyAlignment="1">
      <alignment wrapText="1"/>
    </xf>
    <xf numFmtId="0" fontId="3" fillId="8" borderId="179" xfId="0" applyFont="1" applyFill="1" applyBorder="1" applyAlignment="1">
      <alignment wrapText="1"/>
    </xf>
    <xf numFmtId="0" fontId="3" fillId="8" borderId="188" xfId="0" applyFont="1" applyFill="1" applyBorder="1" applyAlignment="1">
      <alignment wrapText="1"/>
    </xf>
    <xf numFmtId="0" fontId="3" fillId="8" borderId="0" xfId="0" applyFont="1" applyFill="1" applyAlignment="1">
      <alignment wrapText="1"/>
    </xf>
    <xf numFmtId="0" fontId="3" fillId="8" borderId="189" xfId="0" applyFont="1" applyFill="1" applyBorder="1" applyAlignment="1">
      <alignment wrapText="1"/>
    </xf>
    <xf numFmtId="0" fontId="3" fillId="8" borderId="180" xfId="0" applyFont="1" applyFill="1" applyBorder="1" applyAlignment="1">
      <alignment wrapText="1"/>
    </xf>
    <xf numFmtId="0" fontId="3" fillId="8" borderId="187" xfId="0" applyFont="1" applyFill="1" applyBorder="1" applyAlignment="1">
      <alignment wrapText="1"/>
    </xf>
    <xf numFmtId="0" fontId="3" fillId="8" borderId="181" xfId="0" applyFont="1" applyFill="1" applyBorder="1" applyAlignment="1">
      <alignment wrapText="1"/>
    </xf>
    <xf numFmtId="0" fontId="2" fillId="0" borderId="18" xfId="277" applyFont="1" applyBorder="1" applyAlignment="1" applyProtection="1">
      <protection locked="0" hidden="1"/>
    </xf>
    <xf numFmtId="0" fontId="8" fillId="0" borderId="18" xfId="277" applyBorder="1" applyAlignment="1" applyProtection="1">
      <protection locked="0" hidden="1"/>
    </xf>
    <xf numFmtId="0" fontId="2" fillId="0" borderId="12" xfId="277" applyFont="1" applyBorder="1" applyAlignment="1" applyProtection="1">
      <protection locked="0" hidden="1"/>
    </xf>
    <xf numFmtId="0" fontId="8" fillId="0" borderId="12" xfId="277" applyBorder="1" applyAlignment="1" applyProtection="1">
      <protection locked="0" hidden="1"/>
    </xf>
    <xf numFmtId="0" fontId="2" fillId="0" borderId="64" xfId="277" applyFont="1" applyBorder="1" applyAlignment="1" applyProtection="1">
      <protection locked="0" hidden="1"/>
    </xf>
    <xf numFmtId="0" fontId="2" fillId="0" borderId="61" xfId="277" applyFont="1" applyBorder="1" applyAlignment="1" applyProtection="1">
      <protection locked="0" hidden="1"/>
    </xf>
    <xf numFmtId="0" fontId="2" fillId="0" borderId="20" xfId="277" applyFont="1" applyBorder="1" applyAlignment="1" applyProtection="1">
      <protection locked="0" hidden="1"/>
    </xf>
    <xf numFmtId="0" fontId="8" fillId="0" borderId="175" xfId="277" applyBorder="1" applyAlignment="1"/>
    <xf numFmtId="0" fontId="8" fillId="0" borderId="74" xfId="277" applyBorder="1" applyAlignment="1"/>
    <xf numFmtId="0" fontId="2" fillId="0" borderId="137" xfId="277" applyFont="1" applyBorder="1" applyAlignment="1">
      <alignment horizontal="center"/>
    </xf>
    <xf numFmtId="0" fontId="2" fillId="0" borderId="94" xfId="277" applyFont="1" applyBorder="1" applyAlignment="1" applyProtection="1">
      <alignment horizontal="right" vertical="top"/>
      <protection locked="0" hidden="1"/>
    </xf>
    <xf numFmtId="0" fontId="2" fillId="0" borderId="135" xfId="277" applyFont="1" applyBorder="1" applyAlignment="1" applyProtection="1">
      <alignment horizontal="right" vertical="top"/>
      <protection locked="0" hidden="1"/>
    </xf>
    <xf numFmtId="0" fontId="2" fillId="0" borderId="60" xfId="277" applyFont="1" applyBorder="1" applyAlignment="1" applyProtection="1">
      <protection locked="0" hidden="1"/>
    </xf>
    <xf numFmtId="0" fontId="2" fillId="0" borderId="61" xfId="277" applyFont="1" applyBorder="1" applyAlignment="1" applyProtection="1">
      <alignment vertical="top" wrapText="1"/>
      <protection locked="0" hidden="1"/>
    </xf>
    <xf numFmtId="0" fontId="2" fillId="0" borderId="67" xfId="277" applyFont="1" applyBorder="1" applyAlignment="1" applyProtection="1">
      <alignment vertical="top" wrapText="1"/>
      <protection locked="0" hidden="1"/>
    </xf>
    <xf numFmtId="0" fontId="2" fillId="0" borderId="20" xfId="277" applyFont="1" applyBorder="1" applyAlignment="1" applyProtection="1">
      <alignment vertical="top" wrapText="1"/>
      <protection locked="0" hidden="1"/>
    </xf>
    <xf numFmtId="0" fontId="8" fillId="0" borderId="6" xfId="277" applyBorder="1" applyAlignment="1" applyProtection="1">
      <protection locked="0" hidden="1"/>
    </xf>
    <xf numFmtId="0" fontId="8" fillId="0" borderId="6" xfId="277" applyBorder="1" applyAlignment="1" applyProtection="1">
      <protection hidden="1"/>
    </xf>
    <xf numFmtId="0" fontId="2" fillId="0" borderId="11" xfId="277" applyFont="1" applyBorder="1" applyProtection="1">
      <protection locked="0" hidden="1"/>
    </xf>
    <xf numFmtId="0" fontId="2" fillId="0" borderId="65" xfId="277" applyFont="1" applyBorder="1" applyProtection="1">
      <protection locked="0" hidden="1"/>
    </xf>
  </cellXfs>
  <cellStyles count="720">
    <cellStyle name="Currency 2" xfId="1" xr:uid="{7DAB4566-DECB-4EBC-9513-4441F1826803}"/>
    <cellStyle name="Currency 2 10" xfId="2" xr:uid="{6EE47DCD-408F-4D8F-AA09-BC00F8BDE8A7}"/>
    <cellStyle name="Currency 2 11" xfId="3" xr:uid="{3D2C593B-EC8F-47D0-BA32-3D92F75C4B45}"/>
    <cellStyle name="Currency 2 12" xfId="4" xr:uid="{28DB5368-EE68-4C71-9A6E-48B8EC21330A}"/>
    <cellStyle name="Currency 2 13" xfId="5" xr:uid="{500195E4-0D27-4824-8CDD-D0962312A148}"/>
    <cellStyle name="Currency 2 14" xfId="6" xr:uid="{B37073A2-62BE-49DE-9974-2A4A98D55CE3}"/>
    <cellStyle name="Currency 2 15" xfId="7" xr:uid="{8A6FFD23-C9B0-441B-BAA6-F08102A57E63}"/>
    <cellStyle name="Currency 2 16" xfId="8" xr:uid="{FD608FDB-FAA9-42AA-A6A5-6F4DA75001E1}"/>
    <cellStyle name="Currency 2 17" xfId="9" xr:uid="{FD3A7C9B-7EFF-4F87-97AB-36637855F1FB}"/>
    <cellStyle name="Currency 2 18" xfId="10" xr:uid="{EF9D87D4-4498-4FF4-A8B9-0DE78D74841E}"/>
    <cellStyle name="Currency 2 19" xfId="11" xr:uid="{9E2176D3-54DE-411B-BA75-B4DFA2A6E6AC}"/>
    <cellStyle name="Currency 2 2" xfId="12" xr:uid="{8E4A0E6E-7D10-4027-BEF3-6E0DAEB7C8B3}"/>
    <cellStyle name="Currency 2 20" xfId="13" xr:uid="{A8AADEDC-C6AB-4928-972A-6B5972E01358}"/>
    <cellStyle name="Currency 2 21" xfId="14" xr:uid="{101AA98A-0C00-4656-BF92-E2473DF66811}"/>
    <cellStyle name="Currency 2 22" xfId="15" xr:uid="{E2FA329C-8DC5-4876-8561-539ADC11A5AA}"/>
    <cellStyle name="Currency 2 23" xfId="16" xr:uid="{75D3A2CE-DCA5-4E3D-B055-6CF5D37D6A3F}"/>
    <cellStyle name="Currency 2 24" xfId="17" xr:uid="{2A9BF21E-3AA3-4710-B715-831F1084C635}"/>
    <cellStyle name="Currency 2 25" xfId="18" xr:uid="{38857AFF-826D-495F-8017-9D026DAEEC4B}"/>
    <cellStyle name="Currency 2 26" xfId="19" xr:uid="{CDAEDEF1-8BC9-4FCE-A3C0-7A72F092EBCD}"/>
    <cellStyle name="Currency 2 27" xfId="20" xr:uid="{9807BE20-3F46-4BEB-893A-56B2F958DF67}"/>
    <cellStyle name="Currency 2 28" xfId="21" xr:uid="{A1271BCA-965A-435D-B200-F3F021BC05EC}"/>
    <cellStyle name="Currency 2 29" xfId="22" xr:uid="{F94FBEB6-CCC1-4C7D-8536-9048CAC08AD2}"/>
    <cellStyle name="Currency 2 3" xfId="23" xr:uid="{D400C72E-8955-420E-9F25-F9714152CBF6}"/>
    <cellStyle name="Currency 2 30" xfId="24" xr:uid="{52553AE2-C22F-45C4-A80D-98FFCE83180F}"/>
    <cellStyle name="Currency 2 31" xfId="25" xr:uid="{B13193BB-C4A7-442A-ABC0-2B99A3905DEE}"/>
    <cellStyle name="Currency 2 32" xfId="26" xr:uid="{8EAF2D49-AC1D-4439-BEBC-0C39118E9783}"/>
    <cellStyle name="Currency 2 33" xfId="27" xr:uid="{CF305355-430F-4E6E-8FDB-C3763114FF4E}"/>
    <cellStyle name="Currency 2 34" xfId="28" xr:uid="{355B27FE-321E-4BA2-AB9D-DB4E4705B586}"/>
    <cellStyle name="Currency 2 35" xfId="29" xr:uid="{5AFA012B-30D4-4E91-ABF4-6716BDDF66B7}"/>
    <cellStyle name="Currency 2 36" xfId="30" xr:uid="{550B3AE9-D785-4513-B4C1-88C0F89BFADB}"/>
    <cellStyle name="Currency 2 37" xfId="31" xr:uid="{E2954ABF-C2AB-4BEB-A3DF-84EB828D0EFF}"/>
    <cellStyle name="Currency 2 38" xfId="32" xr:uid="{334898C9-9036-4D4E-B39D-C943FACD929C}"/>
    <cellStyle name="Currency 2 39" xfId="33" xr:uid="{41134874-C700-42F4-B1AB-FAB323F9A70E}"/>
    <cellStyle name="Currency 2 4" xfId="34" xr:uid="{5CAC43A7-D8D2-45B5-947C-A8AACCAFC8A4}"/>
    <cellStyle name="Currency 2 40" xfId="35" xr:uid="{A7783BD2-53FF-4618-8168-FBC971433795}"/>
    <cellStyle name="Currency 2 41" xfId="36" xr:uid="{F2B1D03B-1556-47AB-99BE-E4F9E0B72891}"/>
    <cellStyle name="Currency 2 42" xfId="37" xr:uid="{694D7FBA-D1EA-4FE7-A168-814940D3638A}"/>
    <cellStyle name="Currency 2 43" xfId="38" xr:uid="{2705116E-15EA-4985-B5B7-1EA05AE4061B}"/>
    <cellStyle name="Currency 2 44" xfId="39" xr:uid="{25722FC5-94E2-4209-84AA-0EFB41CEFC49}"/>
    <cellStyle name="Currency 2 45" xfId="40" xr:uid="{20804FE3-B245-4887-B236-54ED26262F1A}"/>
    <cellStyle name="Currency 2 46" xfId="41" xr:uid="{9540E91E-6779-4679-A385-9E64E499D7C4}"/>
    <cellStyle name="Currency 2 47" xfId="42" xr:uid="{0B7F6A96-915B-4134-8E38-8BECB12163EE}"/>
    <cellStyle name="Currency 2 48" xfId="43" xr:uid="{5ADACB34-E6D2-4EEF-AAF8-B380BBC9EA4B}"/>
    <cellStyle name="Currency 2 49" xfId="44" xr:uid="{DCF4FC55-7F02-4296-95E6-42E912956EF0}"/>
    <cellStyle name="Currency 2 5" xfId="45" xr:uid="{49666275-71D1-45A4-A4CA-B40BE028A240}"/>
    <cellStyle name="Currency 2 50" xfId="46" xr:uid="{F9CD8D33-596D-4CCC-AE3A-79B33C595CF2}"/>
    <cellStyle name="Currency 2 51" xfId="47" xr:uid="{50C56931-0D1B-4C6C-8433-AB757844879C}"/>
    <cellStyle name="Currency 2 52" xfId="48" xr:uid="{E008F9C9-A7F1-49B2-9F35-95FA509D4ECF}"/>
    <cellStyle name="Currency 2 53" xfId="49" xr:uid="{701D5D1F-F734-45DB-A21C-7C64D1C7FBE3}"/>
    <cellStyle name="Currency 2 54" xfId="50" xr:uid="{6764A699-64E6-45F5-8136-C7AF61A00D18}"/>
    <cellStyle name="Currency 2 55" xfId="51" xr:uid="{74CA2E66-5F24-4FC2-84D0-73E0AFC67614}"/>
    <cellStyle name="Currency 2 56" xfId="52" xr:uid="{EBD04857-6E26-41BE-A3DF-1280FEB81855}"/>
    <cellStyle name="Currency 2 57" xfId="53" xr:uid="{D105EB6D-125F-4ED2-932A-21B16005174A}"/>
    <cellStyle name="Currency 2 58" xfId="54" xr:uid="{D5D66E71-AEC7-4E28-8BAD-B538F2803D0E}"/>
    <cellStyle name="Currency 2 59" xfId="55" xr:uid="{29962171-054D-4EB4-9FA4-25BE99C0FB47}"/>
    <cellStyle name="Currency 2 6" xfId="56" xr:uid="{BC0265EF-ED84-4E2E-90DA-C2CCC40ED2A5}"/>
    <cellStyle name="Currency 2 60" xfId="57" xr:uid="{95B4A599-D506-4CED-B599-9B52FD6D8D7D}"/>
    <cellStyle name="Currency 2 61" xfId="58" xr:uid="{899B7DDA-2890-4475-8D5B-AD4948A05256}"/>
    <cellStyle name="Currency 2 7" xfId="59" xr:uid="{5261DD0B-99A7-47D5-B05E-3D5EF15A8B0A}"/>
    <cellStyle name="Currency 2 8" xfId="60" xr:uid="{F9BAE0BC-66A8-4EFE-8B71-55168A9F3896}"/>
    <cellStyle name="Currency 2 9" xfId="61" xr:uid="{502E2326-6E50-4F81-885B-5C1063F95C35}"/>
    <cellStyle name="Good" xfId="62" builtinId="26"/>
    <cellStyle name="Hyperlink" xfId="63" builtinId="8"/>
    <cellStyle name="Normal" xfId="0" builtinId="0"/>
    <cellStyle name="Normal 10" xfId="64" xr:uid="{A35378A8-4C63-4F7D-9F4C-C887BDB3D244}"/>
    <cellStyle name="Normal 10 10" xfId="65" xr:uid="{89FBFAF8-4DA3-428E-B229-F510B47AC6CB}"/>
    <cellStyle name="Normal 10 11" xfId="66" xr:uid="{3E6DB0B2-0C16-47DC-B10C-CFC23B43A23E}"/>
    <cellStyle name="Normal 10 12" xfId="67" xr:uid="{A72F0C99-6241-4D4C-9FEA-0D22E3948E9F}"/>
    <cellStyle name="Normal 10 13" xfId="68" xr:uid="{D669C0C5-128E-40BF-8B5F-09F724EE97EC}"/>
    <cellStyle name="Normal 10 14" xfId="69" xr:uid="{43E004E2-6186-4179-97C6-FB62140B1F96}"/>
    <cellStyle name="Normal 10 15" xfId="70" xr:uid="{C05999B2-735A-4337-88D2-845208A5483E}"/>
    <cellStyle name="Normal 10 16" xfId="71" xr:uid="{08A5AE29-20FB-44FD-A5CC-74A2CCE670C9}"/>
    <cellStyle name="Normal 10 17" xfId="72" xr:uid="{0C63F2B9-D829-4B9E-B384-0808BEC141CF}"/>
    <cellStyle name="Normal 10 18" xfId="73" xr:uid="{1912133B-354B-4D0B-8A7D-2655DE5F6349}"/>
    <cellStyle name="Normal 10 19" xfId="74" xr:uid="{AC0200A5-FF88-433D-8644-2E6C87CEC213}"/>
    <cellStyle name="Normal 10 2" xfId="75" xr:uid="{F0A7BB7C-42B7-47FB-BB43-CB19BA972D76}"/>
    <cellStyle name="Normal 10 20" xfId="76" xr:uid="{ED10E828-00BD-4E12-A26D-1D044DC4BA06}"/>
    <cellStyle name="Normal 10 21" xfId="77" xr:uid="{5539864E-E50E-4F05-8FCD-F3FF40B8EE42}"/>
    <cellStyle name="Normal 10 22" xfId="78" xr:uid="{D9406F92-3DE0-4ED7-8ECC-76321C3CAB0E}"/>
    <cellStyle name="Normal 10 23" xfId="79" xr:uid="{51183075-E760-4B64-B661-C084CF6ADD8D}"/>
    <cellStyle name="Normal 10 24" xfId="80" xr:uid="{AB77FC74-44CD-45D0-8D97-F74179699996}"/>
    <cellStyle name="Normal 10 25" xfId="81" xr:uid="{C927CBAD-87AD-4DB7-A1EE-A731BF44C717}"/>
    <cellStyle name="Normal 10 26" xfId="82" xr:uid="{E1F1CCBD-CBC8-43CF-B655-5BAA3D23C66E}"/>
    <cellStyle name="Normal 10 27" xfId="83" xr:uid="{8ED81C2D-A777-47FA-A110-C71771AF4085}"/>
    <cellStyle name="Normal 10 28" xfId="84" xr:uid="{5942E423-4CEE-4965-842B-33B9CA7F924D}"/>
    <cellStyle name="Normal 10 29" xfId="85" xr:uid="{868AEF9F-5860-4C27-B3AE-0D1C5A56886E}"/>
    <cellStyle name="Normal 10 3" xfId="86" xr:uid="{6587A790-D246-4795-8198-9BF362212318}"/>
    <cellStyle name="Normal 10 30" xfId="87" xr:uid="{D1D55203-EB0A-48CD-B4D6-0BB2FCE6B2A4}"/>
    <cellStyle name="Normal 10 31" xfId="88" xr:uid="{2221137B-A81A-4621-B3EA-5BB7A3557E1C}"/>
    <cellStyle name="Normal 10 32" xfId="89" xr:uid="{15953040-23C3-4CFC-B4D7-EA157AF90D5E}"/>
    <cellStyle name="Normal 10 33" xfId="90" xr:uid="{BA771E21-8F2C-4716-9F32-12B50CBBB9B1}"/>
    <cellStyle name="Normal 10 34" xfId="91" xr:uid="{CA5CDE32-7E1C-4781-BCF2-8AA8C3B29FE0}"/>
    <cellStyle name="Normal 10 35" xfId="92" xr:uid="{FC8158C2-D448-4D11-9C5C-ED48FEF0ADB1}"/>
    <cellStyle name="Normal 10 36" xfId="93" xr:uid="{B11202DA-6EE1-4E5B-9D5E-5886E79CAFA9}"/>
    <cellStyle name="Normal 10 37" xfId="94" xr:uid="{F9FEF7CB-3446-477E-AEB0-6671013268A8}"/>
    <cellStyle name="Normal 10 38" xfId="95" xr:uid="{50A90F50-1672-4FDB-A7AD-6EB8DB10549A}"/>
    <cellStyle name="Normal 10 39" xfId="96" xr:uid="{6E9679EF-73E5-47AA-9FB4-241FEB5607C3}"/>
    <cellStyle name="Normal 10 4" xfId="97" xr:uid="{5ACE9C17-47EF-4270-AAA6-9451F37F3FDB}"/>
    <cellStyle name="Normal 10 40" xfId="98" xr:uid="{3AFF02EE-21CA-4A26-9FFA-7A1A39C0222B}"/>
    <cellStyle name="Normal 10 41" xfId="99" xr:uid="{7CF6C114-0232-4C5C-9558-CCF92A4C2011}"/>
    <cellStyle name="Normal 10 42" xfId="100" xr:uid="{05E32225-A9C0-4786-8BC8-E8FFD0EE0B11}"/>
    <cellStyle name="Normal 10 43" xfId="101" xr:uid="{514342F8-AD0A-4ED5-84A3-B74E68C5AE24}"/>
    <cellStyle name="Normal 10 44" xfId="102" xr:uid="{1055ACF1-C800-4900-AA50-2CE82D7E7A22}"/>
    <cellStyle name="Normal 10 45" xfId="103" xr:uid="{2A553957-19D7-4AB7-9AFE-30C7DA659478}"/>
    <cellStyle name="Normal 10 46" xfId="104" xr:uid="{1B8E6AC5-C4AD-4A1E-938C-7F0A89CB0E76}"/>
    <cellStyle name="Normal 10 47" xfId="105" xr:uid="{48CF1A29-8F6A-4021-A98A-DE99CC1881A5}"/>
    <cellStyle name="Normal 10 48" xfId="106" xr:uid="{4BF92B88-EA59-42A5-8453-CBB44EE02C93}"/>
    <cellStyle name="Normal 10 49" xfId="107" xr:uid="{90D3FE60-4CE0-444E-A5F2-E5FD8CD8B0FE}"/>
    <cellStyle name="Normal 10 5" xfId="108" xr:uid="{05098830-4283-4633-A118-0880706A93DF}"/>
    <cellStyle name="Normal 10 50" xfId="109" xr:uid="{EA6B6857-A83A-4B55-9CDA-C4648585E9EC}"/>
    <cellStyle name="Normal 10 51" xfId="110" xr:uid="{89B54A93-702A-4A66-AAEA-AEE957973BCC}"/>
    <cellStyle name="Normal 10 52" xfId="111" xr:uid="{D89CA8B0-7174-4473-A4C0-8C999909AA90}"/>
    <cellStyle name="Normal 10 53" xfId="112" xr:uid="{73B99794-E710-420E-93F5-4EAB38D9D1B3}"/>
    <cellStyle name="Normal 10 54" xfId="113" xr:uid="{98A0ED5E-47B6-4531-9B0A-B07A2E502429}"/>
    <cellStyle name="Normal 10 55" xfId="114" xr:uid="{5B25E8CC-807F-4198-B42E-E12AC90D2B4C}"/>
    <cellStyle name="Normal 10 56" xfId="115" xr:uid="{6F3AEC5A-28FF-4FA8-8370-349B9E9D35B8}"/>
    <cellStyle name="Normal 10 57" xfId="116" xr:uid="{5C956CD7-B5FB-4FFD-9A95-22C1081BC11E}"/>
    <cellStyle name="Normal 10 58" xfId="117" xr:uid="{8E1F7173-2906-4D85-8DA1-C2FA54A5799A}"/>
    <cellStyle name="Normal 10 59" xfId="118" xr:uid="{1020E42C-0C64-4AEB-8303-235784C7595E}"/>
    <cellStyle name="Normal 10 6" xfId="119" xr:uid="{16831EED-7274-47CF-9FA0-EA682189E34B}"/>
    <cellStyle name="Normal 10 60" xfId="120" xr:uid="{45C42CAF-2D7C-45A4-A2CD-5C9BAC14E7B3}"/>
    <cellStyle name="Normal 10 61" xfId="121" xr:uid="{6F07C39C-BCB6-41B8-8D97-BBF75BE27B1E}"/>
    <cellStyle name="Normal 10 62" xfId="122" xr:uid="{56F46DD4-BAF5-4372-85C9-170CF5FFA0C6}"/>
    <cellStyle name="Normal 10 63" xfId="123" xr:uid="{3665D8B1-7CCE-49AA-B9F6-913BEB6808B7}"/>
    <cellStyle name="Normal 10 64" xfId="124" xr:uid="{A22B00E5-3E61-47C0-886D-7AA54DA36873}"/>
    <cellStyle name="Normal 10 65" xfId="125" xr:uid="{B2446350-F76D-494E-A707-694673C969D0}"/>
    <cellStyle name="Normal 10 66" xfId="126" xr:uid="{69C97528-4CB0-4EAB-B217-E492BC005460}"/>
    <cellStyle name="Normal 10 67" xfId="127" xr:uid="{5CA007E0-A438-444A-94B8-9B33B9A74B83}"/>
    <cellStyle name="Normal 10 68" xfId="128" xr:uid="{7456607A-9BD8-4A0D-A1CD-2287AF4A71E0}"/>
    <cellStyle name="Normal 10 69" xfId="129" xr:uid="{C71EE425-2ED6-4699-B076-3431E8894151}"/>
    <cellStyle name="Normal 10 7" xfId="130" xr:uid="{6246B0DB-ACE2-4E72-858B-C16AF3C7E9A7}"/>
    <cellStyle name="Normal 10 70" xfId="131" xr:uid="{6598CB24-42B8-4360-AD9E-D5448896B019}"/>
    <cellStyle name="Normal 10 71" xfId="132" xr:uid="{9B1C1BC6-EBCA-46E4-BF46-0D72240B98B8}"/>
    <cellStyle name="Normal 10 8" xfId="133" xr:uid="{B0F3BEBC-EFE9-42F2-9C9F-D92B42A666DD}"/>
    <cellStyle name="Normal 10 9" xfId="134" xr:uid="{D8307329-47DF-4DA6-A864-249875594A2C}"/>
    <cellStyle name="Normal 11 10" xfId="135" xr:uid="{997CA83A-FAED-442D-BFD4-724A1C31F3ED}"/>
    <cellStyle name="Normal 11 11" xfId="136" xr:uid="{B9B68980-3CF7-4DA0-A92D-5A82047F8C78}"/>
    <cellStyle name="Normal 11 12" xfId="137" xr:uid="{2D6D362B-4979-4B00-9F14-5E1C48F8D43A}"/>
    <cellStyle name="Normal 11 2" xfId="138" xr:uid="{90FF972B-74A7-4116-8354-4D17437F1E22}"/>
    <cellStyle name="Normal 11 3" xfId="139" xr:uid="{64F74CEC-614A-4754-858D-0139DE882BF2}"/>
    <cellStyle name="Normal 11 4" xfId="140" xr:uid="{D2BFE124-4F76-44CB-B00A-F05626C0A4C2}"/>
    <cellStyle name="Normal 11 5" xfId="141" xr:uid="{63891477-07D5-42BE-8421-56511BEADC3C}"/>
    <cellStyle name="Normal 11 6" xfId="142" xr:uid="{2D1629E6-0758-4B50-9F91-F3FFF5188AC5}"/>
    <cellStyle name="Normal 11 7" xfId="143" xr:uid="{114CB321-A0CE-4F45-B4DE-7A3053AE45DD}"/>
    <cellStyle name="Normal 11 8" xfId="144" xr:uid="{D5B6BD06-363C-4F86-8AEA-91531EF56CA8}"/>
    <cellStyle name="Normal 11 9" xfId="145" xr:uid="{8BB9CC72-9C41-4515-93D2-D0C74C07ED68}"/>
    <cellStyle name="Normal 12 10" xfId="146" xr:uid="{74652EA4-4823-4F81-9472-D7B172C5ABE4}"/>
    <cellStyle name="Normal 12 11" xfId="147" xr:uid="{9EAF2979-76B4-4170-91E0-DDE67F57755E}"/>
    <cellStyle name="Normal 12 2" xfId="148" xr:uid="{F8951526-2E7A-40B5-BE2F-1FB0B7173CD0}"/>
    <cellStyle name="Normal 12 3" xfId="149" xr:uid="{44E9E7DD-1EE8-4E27-A78B-F2DFE0C04232}"/>
    <cellStyle name="Normal 12 4" xfId="150" xr:uid="{8303F2BE-4DD8-4DEB-A6ED-E282C1F181C4}"/>
    <cellStyle name="Normal 12 5" xfId="151" xr:uid="{60C73E63-9DA3-47CF-8B56-754482A5B93B}"/>
    <cellStyle name="Normal 12 6" xfId="152" xr:uid="{E4A8F1A3-EDC7-48B4-B8E4-98DD546A0A99}"/>
    <cellStyle name="Normal 12 7" xfId="153" xr:uid="{6229A4CD-A6FB-4CA9-8E59-FBEC24EBA7C9}"/>
    <cellStyle name="Normal 12 8" xfId="154" xr:uid="{14E8AD8D-014D-4677-AF87-8F11AE24F76D}"/>
    <cellStyle name="Normal 12 9" xfId="155" xr:uid="{0D04EDB8-5297-48C1-8ADC-5B4C1808002E}"/>
    <cellStyle name="Normal 13 10" xfId="156" xr:uid="{B854A39B-5C38-4DBF-BF55-790F9E2D4F65}"/>
    <cellStyle name="Normal 13 2" xfId="157" xr:uid="{8F1FDC2F-7295-41E6-BB75-54B9DE4EE098}"/>
    <cellStyle name="Normal 13 3" xfId="158" xr:uid="{B36907C0-70F8-4530-8A81-FAB5456F621F}"/>
    <cellStyle name="Normal 13 4" xfId="159" xr:uid="{6B3505A7-6478-41D4-975D-E6339B21FBF9}"/>
    <cellStyle name="Normal 13 5" xfId="160" xr:uid="{00CA73AF-CF03-46AD-AF7B-8FAABF5BD125}"/>
    <cellStyle name="Normal 13 6" xfId="161" xr:uid="{CDAF0141-53ED-4FDD-9C12-1286D4142F94}"/>
    <cellStyle name="Normal 13 7" xfId="162" xr:uid="{ADAEF4C4-3190-4B4C-971E-BDA465068418}"/>
    <cellStyle name="Normal 13 8" xfId="163" xr:uid="{243A56A0-C88D-4E60-BBE8-85191E0F3E1E}"/>
    <cellStyle name="Normal 13 9" xfId="164" xr:uid="{232E86CF-4369-4A94-8515-89E594A706C8}"/>
    <cellStyle name="Normal 14 2" xfId="165" xr:uid="{16B32034-99A8-4ECE-BEDF-906E894707DE}"/>
    <cellStyle name="Normal 14 3" xfId="166" xr:uid="{E0780CAE-F881-4843-8700-3C67EBCDDF6E}"/>
    <cellStyle name="Normal 14 4" xfId="167" xr:uid="{DD6D39CE-973E-48D8-BD2F-2E88A22C6788}"/>
    <cellStyle name="Normal 14 5" xfId="168" xr:uid="{41A8C42A-B5B7-40F4-8E11-BE95E81EFCE0}"/>
    <cellStyle name="Normal 14 6" xfId="169" xr:uid="{75FA23E1-45BD-4885-9313-96743ABA0100}"/>
    <cellStyle name="Normal 14 7" xfId="170" xr:uid="{D021A58B-9475-4C33-AC23-585AB0200D60}"/>
    <cellStyle name="Normal 14 8" xfId="171" xr:uid="{4127DA05-0BA5-4E60-8F69-3A77288EA670}"/>
    <cellStyle name="Normal 14 9" xfId="172" xr:uid="{607A4F50-C0D9-4E39-81B1-B8B569920AC3}"/>
    <cellStyle name="Normal 15 2" xfId="173" xr:uid="{5EE08B05-24FB-4E34-AE69-4019E9E050BD}"/>
    <cellStyle name="Normal 15 3" xfId="174" xr:uid="{D0ACB1C9-74A8-46E0-8C2F-84B2964D1080}"/>
    <cellStyle name="Normal 15 4" xfId="175" xr:uid="{5001F38E-61E1-4078-9A5C-2A41614F9116}"/>
    <cellStyle name="Normal 15 5" xfId="176" xr:uid="{601295C8-4868-45C8-8235-F420A7F9F860}"/>
    <cellStyle name="Normal 15 6" xfId="177" xr:uid="{7D6F4BB6-7AC1-42C0-AB99-E1E0AB919BAF}"/>
    <cellStyle name="Normal 15 7" xfId="178" xr:uid="{E672E21E-9E17-4B95-A8BE-FBBAA3E246BF}"/>
    <cellStyle name="Normal 15 8" xfId="179" xr:uid="{277B5B0C-9078-4B64-8EF8-8F692BC8FAC9}"/>
    <cellStyle name="Normal 16 2" xfId="180" xr:uid="{90340267-125D-40FC-9999-EDA988F86AC0}"/>
    <cellStyle name="Normal 16 3" xfId="181" xr:uid="{6EFD2A5F-AFA6-41A6-8292-F5B1F1F404AA}"/>
    <cellStyle name="Normal 16 4" xfId="182" xr:uid="{C5D5E147-7E45-44D6-9887-1586BB240B8B}"/>
    <cellStyle name="Normal 16 5" xfId="183" xr:uid="{4920D527-B32B-420A-8F63-A67F1EB9F54F}"/>
    <cellStyle name="Normal 16 6" xfId="184" xr:uid="{E65058AD-8EBF-4F12-ADC8-94296DF8B88A}"/>
    <cellStyle name="Normal 17 2" xfId="185" xr:uid="{EBA32CEA-D41D-40F8-941D-B68E8CD18F09}"/>
    <cellStyle name="Normal 17 3" xfId="186" xr:uid="{1CED771D-A144-43DC-80E3-4F0A41F98A6F}"/>
    <cellStyle name="Normal 17 4" xfId="187" xr:uid="{7AEC3B9B-23DF-4A7A-AC57-06ABF927C08A}"/>
    <cellStyle name="Normal 17 5" xfId="188" xr:uid="{16D449C6-E6C4-4763-9B9F-C632D271F85B}"/>
    <cellStyle name="Normal 17 6" xfId="189" xr:uid="{F1B9592C-D084-43E5-BB8F-5E208DEE1FBA}"/>
    <cellStyle name="Normal 18 2" xfId="190" xr:uid="{8E2821F4-C4BD-4244-9A53-CA86EB97D1DA}"/>
    <cellStyle name="Normal 18 3" xfId="191" xr:uid="{6560A9D1-0CD5-42A1-B567-68B0AE454999}"/>
    <cellStyle name="Normal 18 4" xfId="192" xr:uid="{BB3B8316-90B7-4898-82AA-C29D43BAE63A}"/>
    <cellStyle name="Normal 19 2" xfId="193" xr:uid="{B366221E-BB5A-43C6-8904-9302F2D9C183}"/>
    <cellStyle name="Normal 19 3" xfId="194" xr:uid="{498F151B-D7C0-4663-BAA3-473DC2B498C3}"/>
    <cellStyle name="Normal 19 4" xfId="195" xr:uid="{0B372792-280E-4876-8853-1D4FA4B448CF}"/>
    <cellStyle name="Normal 2" xfId="196" xr:uid="{87961A8D-EE1A-4FA1-BB8F-06442B9BD067}"/>
    <cellStyle name="Normal 2 10" xfId="197" xr:uid="{82910D65-0324-44E4-B1C0-A3C319E17870}"/>
    <cellStyle name="Normal 2 11" xfId="198" xr:uid="{0B919993-62A4-4580-B3D0-EA321FF2AEFC}"/>
    <cellStyle name="Normal 2 12" xfId="199" xr:uid="{53DEB75C-1495-4697-AEF7-B3072BCF215B}"/>
    <cellStyle name="Normal 2 13" xfId="200" xr:uid="{A2157DB2-6110-49FD-880C-BBA192DDA9B9}"/>
    <cellStyle name="Normal 2 14" xfId="201" xr:uid="{F61DBB2A-AADA-4C56-9DB2-0C9748A560E0}"/>
    <cellStyle name="Normal 2 15" xfId="202" xr:uid="{58036A4E-197E-4774-A72B-32BBBBEB80DB}"/>
    <cellStyle name="Normal 2 16" xfId="203" xr:uid="{269E9EBB-3C09-4EDE-814B-CE02DA9D5B3E}"/>
    <cellStyle name="Normal 2 17" xfId="204" xr:uid="{289D48EF-6484-4A76-87AE-FC0BA0A9BB36}"/>
    <cellStyle name="Normal 2 18" xfId="205" xr:uid="{4E5218AC-5D08-40E7-AD59-95B8F088B0EF}"/>
    <cellStyle name="Normal 2 19" xfId="206" xr:uid="{5170CC55-0D37-4769-B51D-7D1E39B8EE56}"/>
    <cellStyle name="Normal 2 2" xfId="207" xr:uid="{C7287E8B-2C94-49D8-A0FE-EC191C888B87}"/>
    <cellStyle name="Normal 2 20" xfId="208" xr:uid="{D56FA2F0-D79F-4072-9BA5-8823474CE43F}"/>
    <cellStyle name="Normal 2 21" xfId="209" xr:uid="{BCACB798-307F-427E-8477-D6CF70BEDFF0}"/>
    <cellStyle name="Normal 2 22" xfId="210" xr:uid="{900AE7EE-45E0-406A-82E1-1B37C3317B66}"/>
    <cellStyle name="Normal 2 23" xfId="211" xr:uid="{8ADAD4F9-A16F-4459-81FA-474EAA2DA419}"/>
    <cellStyle name="Normal 2 24" xfId="212" xr:uid="{8BB72CB5-4C68-4523-B606-950E57EBA85F}"/>
    <cellStyle name="Normal 2 25" xfId="213" xr:uid="{D3CEF11F-0224-4813-BE9D-EEF48965FA5A}"/>
    <cellStyle name="Normal 2 26" xfId="214" xr:uid="{3C842969-5581-4F04-B62D-4E9F11F1E5F5}"/>
    <cellStyle name="Normal 2 27" xfId="215" xr:uid="{5E72BEA8-5CBF-4676-9D1E-41E49323B115}"/>
    <cellStyle name="Normal 2 28" xfId="216" xr:uid="{1B2E7BD4-D2AE-4EC0-82C6-DB14AA6F5FF3}"/>
    <cellStyle name="Normal 2 29" xfId="217" xr:uid="{B27C9363-831E-4B3F-ACBC-C5E51546669A}"/>
    <cellStyle name="Normal 2 3" xfId="218" xr:uid="{3F8CA52A-890C-4077-AFC9-5D132B4F34DC}"/>
    <cellStyle name="Normal 2 30" xfId="219" xr:uid="{27BF006B-8C90-4928-92C6-59FD55AEB658}"/>
    <cellStyle name="Normal 2 31" xfId="220" xr:uid="{0198A28C-9407-4F55-A686-65C30178FB05}"/>
    <cellStyle name="Normal 2 32" xfId="221" xr:uid="{A73A028C-7638-452E-A449-CEF23F2AFE84}"/>
    <cellStyle name="Normal 2 33" xfId="222" xr:uid="{209438FD-698B-405C-9D7E-3D7DA52D486B}"/>
    <cellStyle name="Normal 2 34" xfId="223" xr:uid="{6BD11FC0-71B6-40F7-8A94-3A96EF724084}"/>
    <cellStyle name="Normal 2 35" xfId="224" xr:uid="{40F63466-E325-4C02-A5DE-13AA885B4560}"/>
    <cellStyle name="Normal 2 36" xfId="225" xr:uid="{2965F395-9392-4C81-A3ED-4E9A03F32A36}"/>
    <cellStyle name="Normal 2 37" xfId="226" xr:uid="{E0F95C6D-EB7D-441F-BC3B-A664F8597D19}"/>
    <cellStyle name="Normal 2 38" xfId="227" xr:uid="{F5D14BE4-66C9-4E13-9829-0D783CEA49F8}"/>
    <cellStyle name="Normal 2 39" xfId="228" xr:uid="{D3A8E7F9-1DD7-4EE9-9C09-B27E73ACA5DB}"/>
    <cellStyle name="Normal 2 4" xfId="229" xr:uid="{EC0A6024-5BE7-46CB-B46A-907F21780524}"/>
    <cellStyle name="Normal 2 40" xfId="230" xr:uid="{AF96DAA1-D6A6-4221-AD61-03FF72FB3BEB}"/>
    <cellStyle name="Normal 2 41" xfId="231" xr:uid="{E7F8518C-1965-4515-A2A5-FAB1B8BEDE9D}"/>
    <cellStyle name="Normal 2 42" xfId="232" xr:uid="{5135246E-2B95-40AF-92BF-7B709F849761}"/>
    <cellStyle name="Normal 2 43" xfId="233" xr:uid="{A39A91FF-E50B-4407-8C62-31DFF119CAEA}"/>
    <cellStyle name="Normal 2 44" xfId="234" xr:uid="{024F0CE6-3C43-4372-AB64-859D7D113E89}"/>
    <cellStyle name="Normal 2 45" xfId="235" xr:uid="{E5C855D1-88D1-4735-8BD1-F12321E9C3ED}"/>
    <cellStyle name="Normal 2 46" xfId="236" xr:uid="{B17CCA0F-A721-46C5-A56E-A243613F1F57}"/>
    <cellStyle name="Normal 2 47" xfId="237" xr:uid="{DC5F9667-E163-42E0-A0C4-48FF7BC23035}"/>
    <cellStyle name="Normal 2 48" xfId="238" xr:uid="{59236949-06DE-4733-B229-6C22FB4C9145}"/>
    <cellStyle name="Normal 2 49" xfId="239" xr:uid="{50D75650-F114-4236-B4E7-6DD172CF9B68}"/>
    <cellStyle name="Normal 2 5" xfId="240" xr:uid="{5129E877-CA28-492A-B1D5-723BE2B92301}"/>
    <cellStyle name="Normal 2 50" xfId="241" xr:uid="{4E08925C-21FF-46A4-B21A-C373BAA31994}"/>
    <cellStyle name="Normal 2 51" xfId="242" xr:uid="{C2E41B24-8815-40F0-8B24-26C372FFE6EA}"/>
    <cellStyle name="Normal 2 52" xfId="243" xr:uid="{52CB78C5-17B7-4731-8940-2ED43E59C050}"/>
    <cellStyle name="Normal 2 53" xfId="244" xr:uid="{314740B8-6997-44DD-825F-402B6F59B820}"/>
    <cellStyle name="Normal 2 54" xfId="245" xr:uid="{258D3B10-2E21-488D-94DA-36C87E69E073}"/>
    <cellStyle name="Normal 2 55" xfId="246" xr:uid="{9E62F017-7A15-4F17-8569-F287FA34CF57}"/>
    <cellStyle name="Normal 2 56" xfId="247" xr:uid="{0EFFB2F7-A9BF-4C82-96AB-BA2405DDD001}"/>
    <cellStyle name="Normal 2 57" xfId="248" xr:uid="{46D274B0-B353-4DEB-B7BC-E7FBEC1DED66}"/>
    <cellStyle name="Normal 2 58" xfId="249" xr:uid="{A965C143-A656-45D4-8228-593C9E39AAF7}"/>
    <cellStyle name="Normal 2 59" xfId="250" xr:uid="{4ABAEEDB-930E-436B-8242-1383A985BA4C}"/>
    <cellStyle name="Normal 2 6" xfId="251" xr:uid="{44D2A641-E268-4936-BC8D-17269F9F6D37}"/>
    <cellStyle name="Normal 2 60" xfId="252" xr:uid="{DAB6AFAF-9C90-40A7-BDB9-FD33A2A0B843}"/>
    <cellStyle name="Normal 2 61" xfId="253" xr:uid="{E8B0A270-ADB0-4C66-A687-9985F1D10E33}"/>
    <cellStyle name="Normal 2 62" xfId="254" xr:uid="{4DC7B195-8C16-4DBC-8B63-263FFEFD3CBA}"/>
    <cellStyle name="Normal 2 63" xfId="255" xr:uid="{C1B781F9-95F8-4D5F-A70D-EF9B1EFBF357}"/>
    <cellStyle name="Normal 2 64" xfId="256" xr:uid="{0AA3EE47-4D9F-4D8A-B22D-A0973012575D}"/>
    <cellStyle name="Normal 2 65" xfId="257" xr:uid="{2FCE5A07-CF7B-4B7F-87AF-DFBACBEF98E0}"/>
    <cellStyle name="Normal 2 66" xfId="258" xr:uid="{1F0840B4-EB85-43A2-8A6F-AB5EFA73094A}"/>
    <cellStyle name="Normal 2 67" xfId="259" xr:uid="{E7895D06-022D-458D-9463-19A50B184A22}"/>
    <cellStyle name="Normal 2 68" xfId="260" xr:uid="{A1C4C54D-BA34-40A9-BA9F-F8E7C48E99B1}"/>
    <cellStyle name="Normal 2 69" xfId="261" xr:uid="{1E47B8C2-D78E-4466-9412-A3B78E996E5C}"/>
    <cellStyle name="Normal 2 7" xfId="262" xr:uid="{07402938-3FBB-4AEA-AACC-7C8A560BBA2C}"/>
    <cellStyle name="Normal 2 70" xfId="263" xr:uid="{261A1393-5AAA-46CE-878C-DF609631B360}"/>
    <cellStyle name="Normal 2 71" xfId="264" xr:uid="{5350D25D-D7B0-410B-8E33-58BA39F576E9}"/>
    <cellStyle name="Normal 2 72" xfId="265" xr:uid="{C159EE2D-124A-4049-AFB3-5527EECFCC41}"/>
    <cellStyle name="Normal 2 73" xfId="266" xr:uid="{714C72AE-8353-4B13-B86A-BC64E1042FF8}"/>
    <cellStyle name="Normal 2 74" xfId="267" xr:uid="{1581F9D9-751C-46A0-828F-13F4C9E7FEC7}"/>
    <cellStyle name="Normal 2 75" xfId="268" xr:uid="{AA29EAC0-4CA6-496D-8665-BD0080E640C4}"/>
    <cellStyle name="Normal 2 76" xfId="269" xr:uid="{3AB95C77-F79C-4167-96BF-8AD30D1AA45C}"/>
    <cellStyle name="Normal 2 77" xfId="270" xr:uid="{166BDB74-B33B-4541-8B72-D5A6774FEBE2}"/>
    <cellStyle name="Normal 2 78" xfId="271" xr:uid="{49C53092-8219-4146-BF75-59E9431BF0DD}"/>
    <cellStyle name="Normal 2 8" xfId="272" xr:uid="{ADCD140D-65EB-4442-BC42-E49CFA4A8387}"/>
    <cellStyle name="Normal 2 9" xfId="273" xr:uid="{6A3D7FAF-764C-4ED1-AFD4-AED372EE9475}"/>
    <cellStyle name="Normal 20 2" xfId="274" xr:uid="{3FEE45DC-E0E0-4120-B8F5-39633445F964}"/>
    <cellStyle name="Normal 20 3" xfId="275" xr:uid="{DAD4ACA9-EA3D-4A01-9609-5DE6AED9AFC3}"/>
    <cellStyle name="Normal 21 2" xfId="276" xr:uid="{75F5044B-EADA-418C-AA9A-3BC7C6070F02}"/>
    <cellStyle name="Normal 3" xfId="277" xr:uid="{B36E255B-D46A-4A03-8909-7E55526C03D0}"/>
    <cellStyle name="Normal 3 2" xfId="278" xr:uid="{5B989277-F909-4A92-94CF-EC6083DAC8D6}"/>
    <cellStyle name="Normal 4" xfId="279" xr:uid="{8DFD307E-03A9-4CDF-9C5E-31E94005E388}"/>
    <cellStyle name="Normal 4 2" xfId="280" xr:uid="{C38BEB04-CA73-4BD2-831E-BACC688C4DAB}"/>
    <cellStyle name="Normal 4 3" xfId="281" xr:uid="{61FEDC2B-E9D4-40E1-BE70-3B7A3412412A}"/>
    <cellStyle name="Normal 5 10" xfId="282" xr:uid="{894CBAA2-A0CF-48DF-8635-2808ABF6114D}"/>
    <cellStyle name="Normal 5 11" xfId="283" xr:uid="{C04D3AB1-504B-4450-8E1C-F0868338094E}"/>
    <cellStyle name="Normal 5 12" xfId="284" xr:uid="{9B678A53-FEB2-4BEE-A25B-408A7284E1A1}"/>
    <cellStyle name="Normal 5 13" xfId="285" xr:uid="{0927FA00-D547-41D9-9366-5BFBFB5B1658}"/>
    <cellStyle name="Normal 5 14" xfId="286" xr:uid="{90C90F0E-1200-44E3-B39B-DC105380380C}"/>
    <cellStyle name="Normal 5 15" xfId="287" xr:uid="{6FFDCB8A-2E16-443C-A52E-653DB859A62C}"/>
    <cellStyle name="Normal 5 16" xfId="288" xr:uid="{7844947E-216C-402D-BD4E-899683E8E2F0}"/>
    <cellStyle name="Normal 5 17" xfId="289" xr:uid="{7244DEFF-05A4-4E93-9633-DC03848BA180}"/>
    <cellStyle name="Normal 5 2" xfId="290" xr:uid="{F676D0CF-59C9-445F-8C0F-76BF2CDA189A}"/>
    <cellStyle name="Normal 5 3" xfId="291" xr:uid="{688C5E4E-6034-4A48-9E5E-9A132D7DA204}"/>
    <cellStyle name="Normal 5 4" xfId="292" xr:uid="{ECE7B91B-BE7D-4A7D-B428-AF08743CB6A6}"/>
    <cellStyle name="Normal 5 5" xfId="293" xr:uid="{B73D268E-3B6D-4DC2-89A9-94FBC7A9C050}"/>
    <cellStyle name="Normal 5 6" xfId="294" xr:uid="{E80B6F42-B700-4032-BA9C-B77D443C178C}"/>
    <cellStyle name="Normal 5 7" xfId="295" xr:uid="{776E668D-CD63-4008-8673-65F6B3D8944B}"/>
    <cellStyle name="Normal 5 8" xfId="296" xr:uid="{D0C7368E-398B-41E5-A0D1-BFE2A121E0E4}"/>
    <cellStyle name="Normal 5 9" xfId="297" xr:uid="{5A844EDC-53E5-496A-8A79-92113599150E}"/>
    <cellStyle name="Normal 6" xfId="719" xr:uid="{8E9F19BA-B93D-45FC-8FBA-3D175102F884}"/>
    <cellStyle name="Normal 6 10" xfId="298" xr:uid="{816855CB-7B56-408F-A7C8-7BE0F6EC53A2}"/>
    <cellStyle name="Normal 6 11" xfId="299" xr:uid="{01CFEB18-BF55-420F-8783-BCF07A19E22B}"/>
    <cellStyle name="Normal 6 12" xfId="300" xr:uid="{1BF013B5-305D-4736-99D8-A35DDCDC3884}"/>
    <cellStyle name="Normal 6 13" xfId="301" xr:uid="{FE0FEBCA-F992-487B-9972-0A8CD1C18F45}"/>
    <cellStyle name="Normal 6 14" xfId="302" xr:uid="{57B729BA-013A-484E-A068-E5F8ECFCA231}"/>
    <cellStyle name="Normal 6 15" xfId="303" xr:uid="{C7465542-5A2D-49AC-9A52-980246DAB2FE}"/>
    <cellStyle name="Normal 6 16" xfId="304" xr:uid="{0E7C19E8-2B74-4FD9-8F89-03179C241C22}"/>
    <cellStyle name="Normal 6 2" xfId="305" xr:uid="{E2D5805E-7D13-4404-B7FE-74AB2A7303F3}"/>
    <cellStyle name="Normal 6 2 2" xfId="306" xr:uid="{62CB688C-336D-444A-8102-71031BE87011}"/>
    <cellStyle name="Normal 6 3" xfId="307" xr:uid="{EA41DB3A-FC2F-4AD7-B713-7222C78E0229}"/>
    <cellStyle name="Normal 6 4" xfId="308" xr:uid="{252DA18B-2D6F-4A16-86A6-12780B59C281}"/>
    <cellStyle name="Normal 6 5" xfId="309" xr:uid="{17B308EC-92AC-4813-A149-2A1B558AA327}"/>
    <cellStyle name="Normal 6 6" xfId="310" xr:uid="{DC7B4BDD-A2A7-4444-B56A-3A5585E06333}"/>
    <cellStyle name="Normal 6 7" xfId="311" xr:uid="{3DE69F71-448A-4B44-B93F-67CF247B0C7E}"/>
    <cellStyle name="Normal 6 8" xfId="312" xr:uid="{DB6FB4B2-6440-4622-B975-4954E2F2A3D5}"/>
    <cellStyle name="Normal 6 9" xfId="313" xr:uid="{20F527EF-B49C-4F52-A2CD-0F0F72271EE4}"/>
    <cellStyle name="Normal 7 10" xfId="314" xr:uid="{F7BF192B-6E70-43D2-9E3D-BFC75C65FEC3}"/>
    <cellStyle name="Normal 7 11" xfId="315" xr:uid="{B2CC745A-F14C-4AFF-A754-A5E24122DCE5}"/>
    <cellStyle name="Normal 7 12" xfId="316" xr:uid="{B6F7051A-82F3-456A-9F55-DE2031C446A3}"/>
    <cellStyle name="Normal 7 13" xfId="317" xr:uid="{46D6326F-E1C4-49F4-A69B-82157E4176BB}"/>
    <cellStyle name="Normal 7 14" xfId="318" xr:uid="{355056BA-E979-423E-9236-38772CC6B13B}"/>
    <cellStyle name="Normal 7 15" xfId="319" xr:uid="{5514064E-9AB9-4086-B93D-2B2D8AE91537}"/>
    <cellStyle name="Normal 7 16" xfId="320" xr:uid="{F1548E16-4308-4A65-BC19-64487D58FCA9}"/>
    <cellStyle name="Normal 7 2" xfId="321" xr:uid="{C4D783EA-9EC0-4F76-8A02-25268F7140DE}"/>
    <cellStyle name="Normal 7 3" xfId="322" xr:uid="{DE017C68-163E-42E6-8EB3-04D958FD547B}"/>
    <cellStyle name="Normal 7 4" xfId="323" xr:uid="{6E9051B9-61D3-4667-B1E0-180845E3EAD8}"/>
    <cellStyle name="Normal 7 5" xfId="324" xr:uid="{FE2478B9-4F6C-401B-8168-1EB8FA82AB8B}"/>
    <cellStyle name="Normal 7 6" xfId="325" xr:uid="{B481A7EB-E755-4A6B-8D11-62C3A12AA21C}"/>
    <cellStyle name="Normal 7 7" xfId="326" xr:uid="{40B12CB8-0A77-4C55-AAFA-6809A45CAE75}"/>
    <cellStyle name="Normal 7 8" xfId="327" xr:uid="{E49E68C9-1A1E-4628-8BB9-E4716C749001}"/>
    <cellStyle name="Normal 7 9" xfId="328" xr:uid="{C5C0C68B-DA24-4AC7-AE70-A348BEF20AAF}"/>
    <cellStyle name="Normal 8 10" xfId="329" xr:uid="{0E4098B7-7149-487F-BEFC-FE091992189C}"/>
    <cellStyle name="Normal 8 11" xfId="330" xr:uid="{6CA0128B-A42D-46A8-AF1B-31BAA486DAF8}"/>
    <cellStyle name="Normal 8 12" xfId="331" xr:uid="{AE6D4D0A-DE8D-4945-99B9-29B5CB6600B0}"/>
    <cellStyle name="Normal 8 13" xfId="332" xr:uid="{DB3EBEA7-7392-41D4-AAE3-330DC7CED81F}"/>
    <cellStyle name="Normal 8 14" xfId="333" xr:uid="{DA03AF95-1BDE-4258-8655-910CDD7D7347}"/>
    <cellStyle name="Normal 8 15" xfId="334" xr:uid="{155F3AA6-8169-4149-A50B-49A18BB551B6}"/>
    <cellStyle name="Normal 8 2" xfId="335" xr:uid="{BFED3057-780A-4B7C-AE3A-FDD8518D35B4}"/>
    <cellStyle name="Normal 8 3" xfId="336" xr:uid="{A0FCEA04-F68C-41F4-BE3C-292AF34CB0C9}"/>
    <cellStyle name="Normal 8 4" xfId="337" xr:uid="{4157F6CD-ECDE-492D-9366-A1EF32186407}"/>
    <cellStyle name="Normal 8 5" xfId="338" xr:uid="{C46F8074-75C9-46E7-93F5-2F871E0071CC}"/>
    <cellStyle name="Normal 8 6" xfId="339" xr:uid="{1771E28E-F241-4A2A-A732-B1DEFE2A6E8F}"/>
    <cellStyle name="Normal 8 7" xfId="340" xr:uid="{6A0791E7-FDC7-43B1-904D-5BAD83EF50EF}"/>
    <cellStyle name="Normal 8 8" xfId="341" xr:uid="{A443FAA1-CB4A-424E-8F4C-907713FD7894}"/>
    <cellStyle name="Normal 8 9" xfId="342" xr:uid="{66E6C68E-F6E6-46CD-9CAC-44D0D3B3639F}"/>
    <cellStyle name="Normal 9 10" xfId="343" xr:uid="{1E3BC40C-8D1D-462D-BF7B-D62E1AE234BE}"/>
    <cellStyle name="Normal 9 11" xfId="344" xr:uid="{9978BF5D-6347-4D5B-83C8-B0D8C0183997}"/>
    <cellStyle name="Normal 9 12" xfId="345" xr:uid="{9433270D-CFBE-4647-BAF3-AC186CBACE70}"/>
    <cellStyle name="Normal 9 13" xfId="346" xr:uid="{813D782F-17E2-4388-8BFF-E54D4ACADF1C}"/>
    <cellStyle name="Normal 9 2" xfId="347" xr:uid="{4D9D0A1B-67FF-4B9F-8613-CA665BAE62CE}"/>
    <cellStyle name="Normal 9 3" xfId="348" xr:uid="{73C453F7-238B-4936-8CAE-799E91C81153}"/>
    <cellStyle name="Normal 9 4" xfId="349" xr:uid="{CC44F653-6C1C-4C71-AA72-1BEC41D88924}"/>
    <cellStyle name="Normal 9 5" xfId="350" xr:uid="{1176EA80-CC05-4CE2-BEBE-5AEC2E5824F1}"/>
    <cellStyle name="Normal 9 6" xfId="351" xr:uid="{B078B3DA-F2C9-4CA4-8BBB-DA80646A2E2C}"/>
    <cellStyle name="Normal 9 7" xfId="352" xr:uid="{D914976B-6B2D-4230-9868-C08C1085A6DA}"/>
    <cellStyle name="Normal 9 8" xfId="353" xr:uid="{8462EEFB-4E91-4EC8-AFB0-FD09339E9C5B}"/>
    <cellStyle name="Normal 9 9" xfId="354" xr:uid="{01911B5B-E55E-4E6B-8B70-3B2C6394CA9A}"/>
    <cellStyle name="Normal_2008 Wal-Mart LEGEND TEMPLATE_version_5_05_08" xfId="355" xr:uid="{968146BE-E179-4D9C-8A05-878C365A3BAE}"/>
    <cellStyle name="Percent" xfId="356" builtinId="5"/>
    <cellStyle name="Percent 2" xfId="357" xr:uid="{003F0811-B3E7-4FDF-940C-1D88DA0FCB87}"/>
    <cellStyle name="Percent 2 10" xfId="358" xr:uid="{807C8361-0C59-4B29-B9CA-DADC0B7B3F5E}"/>
    <cellStyle name="Percent 2 11" xfId="359" xr:uid="{5D133F5F-078B-4529-A173-1978024A1F67}"/>
    <cellStyle name="Percent 2 12" xfId="360" xr:uid="{13E4C9D6-39A6-4E6E-9D57-6B13EB26F422}"/>
    <cellStyle name="Percent 2 13" xfId="361" xr:uid="{70950A98-F521-40A4-999D-37B0C562C0E1}"/>
    <cellStyle name="Percent 2 14" xfId="362" xr:uid="{6A5E48ED-7E16-4582-806A-3EC2D0D22B16}"/>
    <cellStyle name="Percent 2 15" xfId="363" xr:uid="{ECC3E5E6-943B-438F-99E9-9640F37A5A58}"/>
    <cellStyle name="Percent 2 16" xfId="364" xr:uid="{1193954C-3E3F-4CBD-B153-83605D40BF5E}"/>
    <cellStyle name="Percent 2 17" xfId="365" xr:uid="{4FE0BADD-AB53-47BA-A4D2-FC424C502B27}"/>
    <cellStyle name="Percent 2 18" xfId="366" xr:uid="{A04172A6-DD6B-4F52-B62D-4464ED04F760}"/>
    <cellStyle name="Percent 2 19" xfId="367" xr:uid="{2FE77923-656A-4A7F-82D2-F3519C3C62F4}"/>
    <cellStyle name="Percent 2 2" xfId="368" xr:uid="{A8CE50D5-61A4-46D5-BC2C-CA1ABE4A326C}"/>
    <cellStyle name="Percent 2 20" xfId="369" xr:uid="{222D348A-C6A6-4856-9418-F10BE35F7692}"/>
    <cellStyle name="Percent 2 21" xfId="370" xr:uid="{97AB21A8-35AF-4C9F-B6BD-E268A0CC0C3A}"/>
    <cellStyle name="Percent 2 22" xfId="371" xr:uid="{7DA56011-60A5-4C6B-9224-C7BA32A9F35A}"/>
    <cellStyle name="Percent 2 23" xfId="372" xr:uid="{47D34FE5-CCBA-43B4-AF77-4848D47C2804}"/>
    <cellStyle name="Percent 2 24" xfId="373" xr:uid="{A5376F5D-93E3-4A00-9E37-8D7780869F51}"/>
    <cellStyle name="Percent 2 25" xfId="374" xr:uid="{590627FB-26A6-421F-AEF2-78F6A6FEA3F6}"/>
    <cellStyle name="Percent 2 26" xfId="375" xr:uid="{FD68D3B1-875B-475F-B424-BF443E217813}"/>
    <cellStyle name="Percent 2 27" xfId="376" xr:uid="{1D63C59E-340A-432A-AD31-4D5201D5B6EF}"/>
    <cellStyle name="Percent 2 28" xfId="377" xr:uid="{8D311BBD-62FE-4738-9DEB-D88EFEF8D428}"/>
    <cellStyle name="Percent 2 29" xfId="378" xr:uid="{10E077AB-635B-4D4D-AB05-35305014B7A5}"/>
    <cellStyle name="Percent 2 3" xfId="379" xr:uid="{C9CDC2D5-EA33-457C-B1B2-DB5C2FCAF715}"/>
    <cellStyle name="Percent 2 30" xfId="380" xr:uid="{046A521F-1352-44AD-ACC7-B1BD8C042A13}"/>
    <cellStyle name="Percent 2 31" xfId="381" xr:uid="{64389E69-4749-4411-BB37-498DB77BF055}"/>
    <cellStyle name="Percent 2 32" xfId="382" xr:uid="{CDEA77D9-7F97-4ED8-9C4D-00A8E0228668}"/>
    <cellStyle name="Percent 2 33" xfId="383" xr:uid="{8142580E-ABFB-461A-99C4-DA302BB3EADE}"/>
    <cellStyle name="Percent 2 34" xfId="384" xr:uid="{F2CEC5FE-42AD-4272-AF31-7BD6268E31C1}"/>
    <cellStyle name="Percent 2 35" xfId="385" xr:uid="{C7E9567D-60C3-40EF-8556-AC12FBBB4D90}"/>
    <cellStyle name="Percent 2 36" xfId="386" xr:uid="{7A7494BD-1B38-40C3-ADB3-E58506D2E32B}"/>
    <cellStyle name="Percent 2 37" xfId="387" xr:uid="{8EB2A5FE-249B-4189-A59D-763985A59A75}"/>
    <cellStyle name="Percent 2 38" xfId="388" xr:uid="{43CD8AAA-5DDC-4F55-A0DF-27362FC619C5}"/>
    <cellStyle name="Percent 2 39" xfId="389" xr:uid="{00A25BA0-8A0C-4F25-8883-E2F71209322D}"/>
    <cellStyle name="Percent 2 4" xfId="390" xr:uid="{ABDEBDDF-BED8-4BF4-BEFB-9113EDC2D24F}"/>
    <cellStyle name="Percent 2 40" xfId="391" xr:uid="{995056D7-A55F-4DCE-846F-BCC62CC299D2}"/>
    <cellStyle name="Percent 2 41" xfId="392" xr:uid="{50EE2B5D-521A-4F26-8AB1-91F84FA9C68E}"/>
    <cellStyle name="Percent 2 42" xfId="393" xr:uid="{C696F0EF-B38F-4B4B-8714-0D823F0C64B1}"/>
    <cellStyle name="Percent 2 43" xfId="394" xr:uid="{B7B45867-2B55-4952-9436-CEB984BD344D}"/>
    <cellStyle name="Percent 2 44" xfId="395" xr:uid="{82A57A5B-D7DE-4429-B2F1-2EAF84FC9560}"/>
    <cellStyle name="Percent 2 45" xfId="396" xr:uid="{6147CBBE-5813-41F9-80C2-D49CE2746E0C}"/>
    <cellStyle name="Percent 2 46" xfId="397" xr:uid="{FB495127-34CD-451C-85AD-6812AFC08473}"/>
    <cellStyle name="Percent 2 47" xfId="398" xr:uid="{74BF3C2B-58FA-4757-8EA3-AE23FF11A278}"/>
    <cellStyle name="Percent 2 48" xfId="399" xr:uid="{033116EC-1738-4600-A22D-C38924FDF2F4}"/>
    <cellStyle name="Percent 2 49" xfId="400" xr:uid="{7A884CD2-4B2F-4957-9B59-914829A5C4B6}"/>
    <cellStyle name="Percent 2 5" xfId="401" xr:uid="{E85C09CD-FAAE-4555-89BB-657C3D1DEBF1}"/>
    <cellStyle name="Percent 2 50" xfId="402" xr:uid="{E4268F07-F0A3-4D23-AF86-2D79E24356A0}"/>
    <cellStyle name="Percent 2 51" xfId="403" xr:uid="{92BA7060-C389-4957-86D7-2E4933487219}"/>
    <cellStyle name="Percent 2 52" xfId="404" xr:uid="{5C8522B0-E49B-4E4B-9B42-266F549D7D75}"/>
    <cellStyle name="Percent 2 53" xfId="405" xr:uid="{EAFE78F5-4F95-4175-B023-5570B39FDC1C}"/>
    <cellStyle name="Percent 2 54" xfId="406" xr:uid="{FF4EA376-D542-4B0F-8889-EDA6C23680EE}"/>
    <cellStyle name="Percent 2 55" xfId="407" xr:uid="{D00D40AE-25A9-49A7-82B2-BB8EBE122919}"/>
    <cellStyle name="Percent 2 56" xfId="408" xr:uid="{E7509D4A-13B4-430A-A71F-1EE1A42065C7}"/>
    <cellStyle name="Percent 2 57" xfId="409" xr:uid="{3F68B2DB-2D0D-43B8-AB86-54B24F21D19F}"/>
    <cellStyle name="Percent 2 58" xfId="410" xr:uid="{9B9C3D0B-6A13-4F46-8416-C4D1FBD56650}"/>
    <cellStyle name="Percent 2 59" xfId="411" xr:uid="{772D665A-9759-44E3-8865-8164C27E9791}"/>
    <cellStyle name="Percent 2 6" xfId="412" xr:uid="{BA2D980C-AA33-46D1-9753-CA1CD6DA859C}"/>
    <cellStyle name="Percent 2 60" xfId="413" xr:uid="{53D5A4D9-357A-47B4-9D74-7ACB2C001695}"/>
    <cellStyle name="Percent 2 61" xfId="414" xr:uid="{FED62379-6E77-4A45-95A0-CBD28F57920B}"/>
    <cellStyle name="Percent 2 62" xfId="415" xr:uid="{6A29BCA8-934C-48FC-9272-E34C1C13AFF2}"/>
    <cellStyle name="Percent 2 63" xfId="416" xr:uid="{24ECDEDD-776F-48A6-BC1A-050978758EF9}"/>
    <cellStyle name="Percent 2 64" xfId="417" xr:uid="{11500FBC-94A0-428E-99E3-149DCFADC0C1}"/>
    <cellStyle name="Percent 2 65" xfId="418" xr:uid="{CCBED462-8313-427D-9C25-B27A43E67BDC}"/>
    <cellStyle name="Percent 2 66" xfId="419" xr:uid="{64A78FBB-A62F-4023-A969-93356047E39A}"/>
    <cellStyle name="Percent 2 67" xfId="420" xr:uid="{86A51EAA-B0A3-43BB-8CD5-72FA5445BEBA}"/>
    <cellStyle name="Percent 2 68" xfId="421" xr:uid="{75430B4E-6974-4345-BAE9-25B9D41C9AD1}"/>
    <cellStyle name="Percent 2 69" xfId="422" xr:uid="{C65C1ECB-65B6-495B-9D5B-25D821A6F117}"/>
    <cellStyle name="Percent 2 7" xfId="423" xr:uid="{04DF2B21-8FA4-4CFC-94AC-C9608C90CD7E}"/>
    <cellStyle name="Percent 2 70" xfId="424" xr:uid="{9DF5E7DB-6FC1-4036-B4CA-FF0C7BA10D90}"/>
    <cellStyle name="Percent 2 71" xfId="425" xr:uid="{30529E83-EED8-4558-92C0-311103B0794F}"/>
    <cellStyle name="Percent 2 72" xfId="426" xr:uid="{1428C901-01D9-42BE-AA8F-AC0101EC4220}"/>
    <cellStyle name="Percent 2 73" xfId="427" xr:uid="{5B00CDA3-3007-44AE-9E40-C3F268DB7607}"/>
    <cellStyle name="Percent 2 74" xfId="428" xr:uid="{BE696808-7CA7-4DAD-8EC3-8E81B89F5B64}"/>
    <cellStyle name="Percent 2 75" xfId="429" xr:uid="{C9B9ECFD-7E2A-471C-B012-407337733EF9}"/>
    <cellStyle name="Percent 2 76" xfId="430" xr:uid="{36BDF973-1B89-431E-B7B0-12F7BADC33FE}"/>
    <cellStyle name="Percent 2 77" xfId="431" xr:uid="{7E8A6589-3B8C-4D48-BCD1-50DCE5AE088C}"/>
    <cellStyle name="Percent 2 78" xfId="432" xr:uid="{FAE46E1D-B9B2-4088-93ED-D85CE086D638}"/>
    <cellStyle name="Percent 2 8" xfId="433" xr:uid="{096D7EE7-FBFD-4C05-B0B5-EDC0C9215797}"/>
    <cellStyle name="Percent 2 9" xfId="434" xr:uid="{A3185F42-A5C1-4EC8-BF43-B7D4B50FBD2B}"/>
    <cellStyle name="Percent 25" xfId="435" xr:uid="{47DE61E1-BC34-42A9-AE54-FC9C3B40004B}"/>
    <cellStyle name="Percent 25 10" xfId="436" xr:uid="{49C7370A-B1AB-49E0-B374-27A038BF18E9}"/>
    <cellStyle name="Percent 25 11" xfId="437" xr:uid="{F677E065-9E53-490F-A91F-8E15E777B049}"/>
    <cellStyle name="Percent 25 12" xfId="438" xr:uid="{85713780-4E14-4EAA-8308-958E9D96D151}"/>
    <cellStyle name="Percent 25 13" xfId="439" xr:uid="{06AB0322-45D3-489D-97BB-500E0AF04A7F}"/>
    <cellStyle name="Percent 25 14" xfId="440" xr:uid="{4784674D-4F36-4905-B6B9-993BB10FC410}"/>
    <cellStyle name="Percent 25 15" xfId="441" xr:uid="{DAF55239-0336-4A1D-AF31-C2F312D90D4F}"/>
    <cellStyle name="Percent 25 16" xfId="442" xr:uid="{D99978B0-08E8-4F6E-82F6-E11457A71676}"/>
    <cellStyle name="Percent 25 17" xfId="443" xr:uid="{DEB66B07-817E-4802-88C8-5C0CD33B9571}"/>
    <cellStyle name="Percent 25 18" xfId="444" xr:uid="{DD9AEB2A-A23A-4DC3-9A80-D20148BD02EC}"/>
    <cellStyle name="Percent 25 19" xfId="445" xr:uid="{415EBE3E-EA66-411E-B8A6-E8CFC5D4763A}"/>
    <cellStyle name="Percent 25 2" xfId="446" xr:uid="{5AA7B39A-2016-4547-8BBC-B70BFFA65516}"/>
    <cellStyle name="Percent 25 20" xfId="447" xr:uid="{6A6EF3EB-6771-41B6-849C-3695931C3BD0}"/>
    <cellStyle name="Percent 25 21" xfId="448" xr:uid="{DE0A6625-7D52-4F39-B226-73809738E24E}"/>
    <cellStyle name="Percent 25 22" xfId="449" xr:uid="{89F3C292-6779-487C-A7EC-2F23C5DFFBDF}"/>
    <cellStyle name="Percent 25 23" xfId="450" xr:uid="{4CEF3D56-02FC-4E45-911B-B1582FE10F02}"/>
    <cellStyle name="Percent 25 24" xfId="451" xr:uid="{C85670EB-2234-4DB9-8FC6-740462B63259}"/>
    <cellStyle name="Percent 25 25" xfId="452" xr:uid="{56168E7B-2AD6-43AD-8C70-DAEDD05B459B}"/>
    <cellStyle name="Percent 25 26" xfId="453" xr:uid="{1AFB3F43-A222-419F-B380-4C46DD7B2AFF}"/>
    <cellStyle name="Percent 25 27" xfId="454" xr:uid="{8FA13D62-9D14-4ED2-8784-8D86254868AF}"/>
    <cellStyle name="Percent 25 28" xfId="455" xr:uid="{553C6118-040A-432D-BADA-223944FC6B9A}"/>
    <cellStyle name="Percent 25 29" xfId="456" xr:uid="{2EF94488-0E3B-495D-9DFB-084DBB6B0FD6}"/>
    <cellStyle name="Percent 25 3" xfId="457" xr:uid="{74EA0FE6-10C1-481B-AD8A-DE77CA1A1E57}"/>
    <cellStyle name="Percent 25 30" xfId="458" xr:uid="{A2C4AF35-025B-49CA-8227-152D5FAE8467}"/>
    <cellStyle name="Percent 25 31" xfId="459" xr:uid="{6C6B3081-613E-4DC9-8616-395D09A94BA5}"/>
    <cellStyle name="Percent 25 32" xfId="460" xr:uid="{B14ADEFA-6F6B-4F97-AB04-CC11889AF199}"/>
    <cellStyle name="Percent 25 33" xfId="461" xr:uid="{B1DB122B-9536-4A9C-9CA9-268D7CB6D0D7}"/>
    <cellStyle name="Percent 25 34" xfId="462" xr:uid="{F667A4FC-652F-433F-9DCF-6F2B057A61F7}"/>
    <cellStyle name="Percent 25 35" xfId="463" xr:uid="{08CF2049-114B-4464-8B53-83E48059A549}"/>
    <cellStyle name="Percent 25 36" xfId="464" xr:uid="{104D402B-B1CC-4E6E-84DB-41EABE2C766D}"/>
    <cellStyle name="Percent 25 37" xfId="465" xr:uid="{905F67FA-FC97-4DBB-961D-BD48F609F55B}"/>
    <cellStyle name="Percent 25 38" xfId="466" xr:uid="{40E560DE-C6B6-42E8-930F-4B0B41A71354}"/>
    <cellStyle name="Percent 25 39" xfId="467" xr:uid="{D5F3438D-889E-4EC6-AC48-72FE06A8E6A5}"/>
    <cellStyle name="Percent 25 4" xfId="468" xr:uid="{10E007FE-1637-470B-8AA0-237C1C9024A0}"/>
    <cellStyle name="Percent 25 40" xfId="469" xr:uid="{1D7D2406-E4ED-4AFF-AAA6-F4BB49F959EA}"/>
    <cellStyle name="Percent 25 41" xfId="470" xr:uid="{39715DC5-EE05-4BCF-B0B9-2F057146AEB7}"/>
    <cellStyle name="Percent 25 42" xfId="471" xr:uid="{DD30ED66-D47C-43A1-A6F7-163F4A04E1E3}"/>
    <cellStyle name="Percent 25 43" xfId="472" xr:uid="{177B34AC-EE20-40CD-9918-5915D4A74D1F}"/>
    <cellStyle name="Percent 25 44" xfId="473" xr:uid="{145E1C7C-51F0-466D-B778-2608008BF143}"/>
    <cellStyle name="Percent 25 45" xfId="474" xr:uid="{E8CA9B42-DF06-4610-9A8E-2D07919FB819}"/>
    <cellStyle name="Percent 25 46" xfId="475" xr:uid="{EDC29BE1-DA82-4F17-89A6-7D6734FE0DEE}"/>
    <cellStyle name="Percent 25 47" xfId="476" xr:uid="{6F2FD25A-770F-49CC-92B0-A9FE11C98A9E}"/>
    <cellStyle name="Percent 25 48" xfId="477" xr:uid="{9C5F7C6A-F8DC-4298-9D64-A66E7341A4C6}"/>
    <cellStyle name="Percent 25 49" xfId="478" xr:uid="{0D88F497-7023-402F-8EBE-0CD37F5AB1DF}"/>
    <cellStyle name="Percent 25 5" xfId="479" xr:uid="{274BAEA4-DD89-4F14-B12E-759DF06CC4E5}"/>
    <cellStyle name="Percent 25 50" xfId="480" xr:uid="{5BF13B66-FD81-47C5-AA54-8B365549E989}"/>
    <cellStyle name="Percent 25 51" xfId="481" xr:uid="{04DCC3ED-FCD4-4541-9027-F56F30A29965}"/>
    <cellStyle name="Percent 25 52" xfId="482" xr:uid="{E805CFEC-BA6B-478D-B28A-75CAAFF9E57E}"/>
    <cellStyle name="Percent 25 53" xfId="483" xr:uid="{DEDC8FE0-232E-4030-9595-B75988A5E7D3}"/>
    <cellStyle name="Percent 25 54" xfId="484" xr:uid="{1781B36F-D47C-41A0-8641-AAAD86E3108E}"/>
    <cellStyle name="Percent 25 55" xfId="485" xr:uid="{1A8F4B02-F4A3-4AE8-9627-D6AFBFAA4983}"/>
    <cellStyle name="Percent 25 56" xfId="486" xr:uid="{7D3ACFD3-A2DD-44E7-958F-ED821F28E8FE}"/>
    <cellStyle name="Percent 25 57" xfId="487" xr:uid="{C8DBAB51-71D8-41BC-A7FF-CB0CE2B80A8B}"/>
    <cellStyle name="Percent 25 58" xfId="488" xr:uid="{6A6B44D6-F471-45A3-8B2C-5FF7AAC8E5D7}"/>
    <cellStyle name="Percent 25 59" xfId="489" xr:uid="{536484B6-EA7D-4F97-A116-6099E379CB1B}"/>
    <cellStyle name="Percent 25 6" xfId="490" xr:uid="{A5766634-B85C-4CC7-A741-9388C6467E07}"/>
    <cellStyle name="Percent 25 60" xfId="491" xr:uid="{966D495E-ABC6-434F-8DFE-A885A47EBBF1}"/>
    <cellStyle name="Percent 25 61" xfId="492" xr:uid="{0C94010E-E1D7-4143-98EC-93CC71700F0D}"/>
    <cellStyle name="Percent 25 7" xfId="493" xr:uid="{09A9FAFA-E018-4341-BD2B-D89ACC5B27A5}"/>
    <cellStyle name="Percent 25 8" xfId="494" xr:uid="{A6538976-5004-4E8E-8B28-EB6F899BE7B7}"/>
    <cellStyle name="Percent 25 9" xfId="495" xr:uid="{899F957D-C099-4E9F-B309-2794A80B7274}"/>
    <cellStyle name="Percent 28" xfId="496" xr:uid="{3CD0517A-5A87-47B1-B157-326701788832}"/>
    <cellStyle name="Percent 28 2" xfId="497" xr:uid="{68004CA6-0922-44B2-A8E0-D5BC6568B7FF}"/>
    <cellStyle name="Percent 29" xfId="498" xr:uid="{31174CC2-6A51-4DE4-A465-E29EBB95995C}"/>
    <cellStyle name="Percent 29 2" xfId="499" xr:uid="{9728F2B1-2ECD-4D14-A70A-8CFFAD6AAFB9}"/>
    <cellStyle name="Percent 3" xfId="500" xr:uid="{9A675ACE-A450-4E07-A661-54C2D683F984}"/>
    <cellStyle name="Percent 3 10" xfId="501" xr:uid="{B9D9370B-B291-457D-8828-1F4FA5C0D203}"/>
    <cellStyle name="Percent 3 11" xfId="502" xr:uid="{2BA5465D-EAC6-44D9-BB02-74FCD4712ED9}"/>
    <cellStyle name="Percent 3 12" xfId="503" xr:uid="{1268D99F-9C88-4823-A08B-0BEE1ED6A862}"/>
    <cellStyle name="Percent 3 13" xfId="504" xr:uid="{3F164307-9BAB-4E6A-8E8F-1D56AA344EC0}"/>
    <cellStyle name="Percent 3 14" xfId="505" xr:uid="{78A97471-2727-4AC7-BA9A-08E2F0E1D89B}"/>
    <cellStyle name="Percent 3 15" xfId="506" xr:uid="{FE16D932-C725-4F0B-AFD4-6256BD8C05F3}"/>
    <cellStyle name="Percent 3 16" xfId="507" xr:uid="{1AACEFFA-D526-4A0B-A258-7822C9FABCD4}"/>
    <cellStyle name="Percent 3 17" xfId="508" xr:uid="{61E00A16-FFE1-4CE1-A8B2-83C83BBAC76A}"/>
    <cellStyle name="Percent 3 18" xfId="509" xr:uid="{0B78E00D-C43D-4A1B-8BBE-5C7B65ACF38C}"/>
    <cellStyle name="Percent 3 19" xfId="510" xr:uid="{FBD97DF0-5BF3-450E-8943-9A3601B912FF}"/>
    <cellStyle name="Percent 3 2" xfId="511" xr:uid="{C950A59F-5EA8-4084-B8D2-A0D741504E61}"/>
    <cellStyle name="Percent 3 20" xfId="512" xr:uid="{A395BEFE-5EB7-421B-BEB6-40FDB747E8BC}"/>
    <cellStyle name="Percent 3 21" xfId="513" xr:uid="{A20D30FD-3A25-4F49-97B0-3DC7D0A3BA01}"/>
    <cellStyle name="Percent 3 22" xfId="514" xr:uid="{B19A462E-B3AD-49CF-8AB9-94AD946635FA}"/>
    <cellStyle name="Percent 3 23" xfId="515" xr:uid="{5F624F9C-9F0A-4D0D-93CA-F45252210B27}"/>
    <cellStyle name="Percent 3 24" xfId="516" xr:uid="{8FE52FDE-8901-4ACE-BE8A-DB78E1ADABE1}"/>
    <cellStyle name="Percent 3 25" xfId="517" xr:uid="{B301F248-88C2-4D08-920F-2A7C4DCAF088}"/>
    <cellStyle name="Percent 3 26" xfId="518" xr:uid="{01354A71-3A4C-453A-8B7B-A6474B3A7E84}"/>
    <cellStyle name="Percent 3 27" xfId="519" xr:uid="{95404C60-689A-4F3A-A0EC-FF1ECD23BD83}"/>
    <cellStyle name="Percent 3 28" xfId="520" xr:uid="{5C198709-810F-4B14-8C8C-1F9743077FB0}"/>
    <cellStyle name="Percent 3 29" xfId="521" xr:uid="{ED34883A-15A8-4D38-A8F6-93F8056F4E62}"/>
    <cellStyle name="Percent 3 3" xfId="522" xr:uid="{A22343DB-E41E-48EC-AFA9-AB95E12EB49E}"/>
    <cellStyle name="Percent 3 30" xfId="523" xr:uid="{18D30E7C-3130-4FAA-A599-529450B5B4E0}"/>
    <cellStyle name="Percent 3 31" xfId="524" xr:uid="{664D1321-D29A-4D0F-A0FF-6B2C9A1A8E1D}"/>
    <cellStyle name="Percent 3 32" xfId="525" xr:uid="{8296A25C-7B73-439F-BF8D-1867CED60A3D}"/>
    <cellStyle name="Percent 3 33" xfId="526" xr:uid="{D12D3B8B-785D-4F90-B1DA-E239D6993B1E}"/>
    <cellStyle name="Percent 3 34" xfId="527" xr:uid="{69B2DA6A-BC12-4666-8DBA-EEC10AED07B8}"/>
    <cellStyle name="Percent 3 35" xfId="528" xr:uid="{62DFE75C-08EA-46D5-B45F-E9A9FB767314}"/>
    <cellStyle name="Percent 3 36" xfId="529" xr:uid="{76A9B1BA-DB56-4D93-BF7B-7327FBC28B22}"/>
    <cellStyle name="Percent 3 37" xfId="530" xr:uid="{D5768B71-4D2F-4F17-8C23-FA9CCE264666}"/>
    <cellStyle name="Percent 3 38" xfId="531" xr:uid="{DDBD79D3-99D8-4805-BC36-B7302FC970A6}"/>
    <cellStyle name="Percent 3 39" xfId="532" xr:uid="{66396295-3277-4A64-B61D-893C8E96C9D3}"/>
    <cellStyle name="Percent 3 4" xfId="533" xr:uid="{09607B79-D090-4BA4-8CAC-34EF7AC2692D}"/>
    <cellStyle name="Percent 3 40" xfId="534" xr:uid="{381F50D2-A84C-407D-B4C1-D1FCE23CCE7A}"/>
    <cellStyle name="Percent 3 41" xfId="535" xr:uid="{D4DFC6DF-D9D5-400F-8F0D-7C41A2A25BF2}"/>
    <cellStyle name="Percent 3 42" xfId="536" xr:uid="{FBAD5369-C89E-44E7-9785-75035C542757}"/>
    <cellStyle name="Percent 3 43" xfId="537" xr:uid="{8BE0F784-9808-4D31-9FF0-FA76FA840F17}"/>
    <cellStyle name="Percent 3 44" xfId="538" xr:uid="{609DA905-065E-4A9C-B098-A153F43CAAE2}"/>
    <cellStyle name="Percent 3 45" xfId="539" xr:uid="{4F012517-107D-4F6B-A916-429A4D6A11F1}"/>
    <cellStyle name="Percent 3 46" xfId="540" xr:uid="{C8A6A90A-A3F7-4565-85F1-1ECB3A7A5FF0}"/>
    <cellStyle name="Percent 3 47" xfId="541" xr:uid="{A5CAF47E-4AEE-4DF4-AB67-38E8717D43B8}"/>
    <cellStyle name="Percent 3 48" xfId="542" xr:uid="{B116D8DA-3FD5-43A8-BFCC-9A3E48DD3CA1}"/>
    <cellStyle name="Percent 3 49" xfId="543" xr:uid="{F677A4BE-DFA0-48AC-9B52-3928BD5FE7FB}"/>
    <cellStyle name="Percent 3 5" xfId="544" xr:uid="{A64E473F-F2FD-4DA0-B4D7-69B50C531500}"/>
    <cellStyle name="Percent 3 50" xfId="545" xr:uid="{2B199C43-EB80-4C96-994C-ECE9FFE12E83}"/>
    <cellStyle name="Percent 3 51" xfId="546" xr:uid="{5BBD861A-C69B-45DC-AF3D-F2E78C324418}"/>
    <cellStyle name="Percent 3 52" xfId="547" xr:uid="{77DC96C3-B1C6-4B5D-8ACE-2BA185859C90}"/>
    <cellStyle name="Percent 3 53" xfId="548" xr:uid="{F42DBF0C-10E3-43F4-A897-3819F1F460F8}"/>
    <cellStyle name="Percent 3 54" xfId="549" xr:uid="{BAE17F80-49B9-40A1-8675-65DC1B01945E}"/>
    <cellStyle name="Percent 3 55" xfId="550" xr:uid="{3FA2EA9D-3EAE-4450-BAAF-8D036479F42D}"/>
    <cellStyle name="Percent 3 56" xfId="551" xr:uid="{0D8C2A1D-701C-4F4B-AA5C-546B62AB8FA0}"/>
    <cellStyle name="Percent 3 57" xfId="552" xr:uid="{FBF0BEFC-8FFE-4B16-8202-9D18915A31C1}"/>
    <cellStyle name="Percent 3 58" xfId="553" xr:uid="{0D174591-A2FF-462E-BB32-E89ED3D31BA3}"/>
    <cellStyle name="Percent 3 59" xfId="554" xr:uid="{1672BDD6-FCED-42A3-9FBB-C5ECCAE8B3E7}"/>
    <cellStyle name="Percent 3 6" xfId="555" xr:uid="{58865F43-0EA0-4DFD-9205-60775E6ACCA7}"/>
    <cellStyle name="Percent 3 60" xfId="556" xr:uid="{BF92B05A-8456-42D9-877A-5BD2DF266F50}"/>
    <cellStyle name="Percent 3 61" xfId="557" xr:uid="{C4B6967D-9339-4F25-B7BC-7781E9167C6C}"/>
    <cellStyle name="Percent 3 62" xfId="558" xr:uid="{D8A659A9-3874-4565-BF4C-D3F55E10918C}"/>
    <cellStyle name="Percent 3 63" xfId="559" xr:uid="{C969D704-4E81-4DB1-8BAF-9C77596EEAD8}"/>
    <cellStyle name="Percent 3 64" xfId="560" xr:uid="{3A0B7ED7-3A1B-497B-A54F-1696F4520510}"/>
    <cellStyle name="Percent 3 65" xfId="561" xr:uid="{BA77F0E2-13C6-4D82-811B-1BFC1FFB292A}"/>
    <cellStyle name="Percent 3 66" xfId="562" xr:uid="{10639946-4904-4C9C-ABFE-4F583F0E0275}"/>
    <cellStyle name="Percent 3 67" xfId="563" xr:uid="{C68B9C15-5A0C-44B3-ADF8-0D2FBADFAAEE}"/>
    <cellStyle name="Percent 3 68" xfId="564" xr:uid="{0F2911A3-B424-4A53-9F86-5347DF43A6BC}"/>
    <cellStyle name="Percent 3 69" xfId="565" xr:uid="{0E22AB6E-F7F6-4AC9-8D2D-DBF7327E1321}"/>
    <cellStyle name="Percent 3 7" xfId="566" xr:uid="{90375AEA-7CAF-47C9-98D9-D571AF4DB3AC}"/>
    <cellStyle name="Percent 3 70" xfId="567" xr:uid="{C27A0DA0-B242-4A57-9EAF-0B7F6DECB594}"/>
    <cellStyle name="Percent 3 71" xfId="568" xr:uid="{28AB351E-9060-446A-94E2-6CBBC88AF032}"/>
    <cellStyle name="Percent 3 72" xfId="569" xr:uid="{AB6708F0-B582-4870-B1D3-761ED585ABEB}"/>
    <cellStyle name="Percent 3 73" xfId="570" xr:uid="{C46297B1-6DAE-456E-A5A3-20B948152B29}"/>
    <cellStyle name="Percent 3 74" xfId="571" xr:uid="{8EF8CFE9-A055-4853-B245-63048DC5B7F6}"/>
    <cellStyle name="Percent 3 75" xfId="572" xr:uid="{EEB78CBA-CEB9-439F-99D5-4FC72CA6D65E}"/>
    <cellStyle name="Percent 3 76" xfId="573" xr:uid="{16CB0F7B-BEE3-4FD5-BFAD-EDE09F111818}"/>
    <cellStyle name="Percent 3 77" xfId="574" xr:uid="{A2520266-9993-46F6-9DA9-96C22794BEA2}"/>
    <cellStyle name="Percent 3 78" xfId="575" xr:uid="{305BFCAE-9C2C-40B8-B282-7619273B3D37}"/>
    <cellStyle name="Percent 3 8" xfId="576" xr:uid="{1C700243-5EE0-45F3-BF1E-E7C732162A3C}"/>
    <cellStyle name="Percent 3 9" xfId="577" xr:uid="{3C5CFD98-92E2-4450-BE11-A031D8E4010F}"/>
    <cellStyle name="Percent 30" xfId="578" xr:uid="{89F28855-A458-4277-A985-2C4E7BAAE337}"/>
    <cellStyle name="Percent 4" xfId="579" xr:uid="{9F25523F-8825-4584-ACC9-99552EDC2538}"/>
    <cellStyle name="Percent 4 10" xfId="580" xr:uid="{9D0674B3-D05C-419C-A1DC-E14F511590D2}"/>
    <cellStyle name="Percent 4 11" xfId="581" xr:uid="{7F7C13D2-816A-4979-B9BC-0847AF16F53C}"/>
    <cellStyle name="Percent 4 12" xfId="582" xr:uid="{7244D8CC-ACB9-4191-8092-568813223EDF}"/>
    <cellStyle name="Percent 4 13" xfId="583" xr:uid="{96F74D04-4ED1-4F3C-96C0-A1B3E6FBF798}"/>
    <cellStyle name="Percent 4 14" xfId="584" xr:uid="{4A7414E8-14FC-449B-8311-3ED4E96F9386}"/>
    <cellStyle name="Percent 4 15" xfId="585" xr:uid="{E92BE637-349F-4AA8-A80B-6836AC227C52}"/>
    <cellStyle name="Percent 4 16" xfId="586" xr:uid="{EAD6C993-64C0-432C-97F7-B878079420BB}"/>
    <cellStyle name="Percent 4 17" xfId="587" xr:uid="{2535B779-50F1-4014-95BC-015DE4431231}"/>
    <cellStyle name="Percent 4 18" xfId="588" xr:uid="{50E65FB1-2CB6-444D-B848-B91FF87374DB}"/>
    <cellStyle name="Percent 4 19" xfId="589" xr:uid="{5A40125B-FC44-41AC-914C-90385F04F0FD}"/>
    <cellStyle name="Percent 4 2" xfId="590" xr:uid="{3A374764-0A07-4852-B851-C86A6CA83548}"/>
    <cellStyle name="Percent 4 20" xfId="591" xr:uid="{C5A510BE-9107-49B6-B087-CE6AC6F498AB}"/>
    <cellStyle name="Percent 4 21" xfId="592" xr:uid="{30090D33-143A-45B7-B1E3-BC53EBF83CBA}"/>
    <cellStyle name="Percent 4 22" xfId="593" xr:uid="{A33EFD65-D1DB-47F3-AC53-1C9B94443639}"/>
    <cellStyle name="Percent 4 23" xfId="594" xr:uid="{55DAAD3F-61F0-40C8-8005-221797B52A36}"/>
    <cellStyle name="Percent 4 24" xfId="595" xr:uid="{3CFDE092-8E6A-49D5-99E4-FE02149C9C78}"/>
    <cellStyle name="Percent 4 25" xfId="596" xr:uid="{E225B9C1-5DFD-4FB8-87E5-892748681A98}"/>
    <cellStyle name="Percent 4 26" xfId="597" xr:uid="{BAA691A5-92A6-4F38-B475-D4B2041BF60C}"/>
    <cellStyle name="Percent 4 27" xfId="598" xr:uid="{F484311C-FB8F-4E34-B3D0-487AFB3DE718}"/>
    <cellStyle name="Percent 4 28" xfId="599" xr:uid="{49E75561-8A41-47A0-ADB5-3503CB8A958F}"/>
    <cellStyle name="Percent 4 29" xfId="600" xr:uid="{6B1FBBA6-AEA0-4184-98DC-A861A84C0864}"/>
    <cellStyle name="Percent 4 3" xfId="601" xr:uid="{DBEDB951-501D-418C-A81C-FA752F3A45AD}"/>
    <cellStyle name="Percent 4 30" xfId="602" xr:uid="{8A5547C0-3B0C-48D9-9867-24BB6D94F1CA}"/>
    <cellStyle name="Percent 4 31" xfId="603" xr:uid="{A4B56952-75FD-4B53-B744-7AFC1D3B26DC}"/>
    <cellStyle name="Percent 4 32" xfId="604" xr:uid="{A184E64F-F45D-4D59-BD69-A9F0274DFCB7}"/>
    <cellStyle name="Percent 4 33" xfId="605" xr:uid="{18A7B449-9A8F-4674-87BB-2BDCF61E54EC}"/>
    <cellStyle name="Percent 4 34" xfId="606" xr:uid="{0FE8D296-C53E-4957-B47A-B9EF6236E14E}"/>
    <cellStyle name="Percent 4 35" xfId="607" xr:uid="{199A4316-9064-4ED5-898D-05986698B63D}"/>
    <cellStyle name="Percent 4 36" xfId="608" xr:uid="{38CE25AD-5718-4C68-B27E-111BED844AC0}"/>
    <cellStyle name="Percent 4 37" xfId="609" xr:uid="{3596898C-B975-40D4-AE07-458F7302E938}"/>
    <cellStyle name="Percent 4 38" xfId="610" xr:uid="{58CD16B8-C06D-40E0-9BCD-D2B92EBC5D58}"/>
    <cellStyle name="Percent 4 39" xfId="611" xr:uid="{3E7C9EA9-0D95-4326-BE0F-1FC96782353A}"/>
    <cellStyle name="Percent 4 4" xfId="612" xr:uid="{03DF8238-276C-4384-BEC7-ACF39B4F4C40}"/>
    <cellStyle name="Percent 4 40" xfId="613" xr:uid="{30252337-4498-4E73-B00C-AE1465DA6FE7}"/>
    <cellStyle name="Percent 4 41" xfId="614" xr:uid="{EB2E4A85-738F-4647-BF24-1DBD57EFC1F2}"/>
    <cellStyle name="Percent 4 42" xfId="615" xr:uid="{90C852BC-F6EF-4CCD-ABAB-2C38889F1439}"/>
    <cellStyle name="Percent 4 43" xfId="616" xr:uid="{2E37D9DB-3466-4894-BCCE-E24AAAC789F9}"/>
    <cellStyle name="Percent 4 44" xfId="617" xr:uid="{618BB329-1FB4-44C7-90B8-019F5C0BE125}"/>
    <cellStyle name="Percent 4 45" xfId="618" xr:uid="{978132A4-4F50-4E6A-882B-9D44E0BF61A7}"/>
    <cellStyle name="Percent 4 46" xfId="619" xr:uid="{4F5CCC2E-CD4F-4614-9140-58D844C9A2C1}"/>
    <cellStyle name="Percent 4 47" xfId="620" xr:uid="{11731784-4825-4E69-AA84-0972AC6EB6D0}"/>
    <cellStyle name="Percent 4 48" xfId="621" xr:uid="{DB6F4428-DF9F-4A72-9587-DE9BAA110F25}"/>
    <cellStyle name="Percent 4 49" xfId="622" xr:uid="{12D8CCCB-DE64-4261-8AD8-10F449A3ECA7}"/>
    <cellStyle name="Percent 4 5" xfId="623" xr:uid="{F43C23E5-27AB-4606-8CD7-68566D417F5C}"/>
    <cellStyle name="Percent 4 50" xfId="624" xr:uid="{B470C0E6-8DD7-415E-9295-B36CB6E63B5D}"/>
    <cellStyle name="Percent 4 51" xfId="625" xr:uid="{594F2250-4091-4ECC-BC19-277338484D6D}"/>
    <cellStyle name="Percent 4 52" xfId="626" xr:uid="{A8CDFBE6-1284-4114-A0B2-336B35D11819}"/>
    <cellStyle name="Percent 4 53" xfId="627" xr:uid="{872615CB-6948-4C01-B435-F7D7E7C3EB09}"/>
    <cellStyle name="Percent 4 54" xfId="628" xr:uid="{5401C2D5-D318-41E3-B03D-AFB2356C61A1}"/>
    <cellStyle name="Percent 4 55" xfId="629" xr:uid="{FFDEF00C-1074-4CFB-AF74-DE976A8075C1}"/>
    <cellStyle name="Percent 4 56" xfId="630" xr:uid="{443486C1-41A7-4E1D-A677-90B815B84774}"/>
    <cellStyle name="Percent 4 57" xfId="631" xr:uid="{06E76765-55D0-419C-A8B3-4C0D97621F8D}"/>
    <cellStyle name="Percent 4 58" xfId="632" xr:uid="{B9D4017B-EB1C-415D-A8AE-32EE06E3A94C}"/>
    <cellStyle name="Percent 4 59" xfId="633" xr:uid="{BFE60C3B-8001-4EDF-A491-EA3B7FE14B32}"/>
    <cellStyle name="Percent 4 6" xfId="634" xr:uid="{B176AC81-D8D6-4F65-825A-E3D3AC3E7534}"/>
    <cellStyle name="Percent 4 60" xfId="635" xr:uid="{950E0290-7FF2-47CA-93B5-B408142EC584}"/>
    <cellStyle name="Percent 4 61" xfId="636" xr:uid="{4D799EC8-B78B-4B8C-9655-D10BFAF99D71}"/>
    <cellStyle name="Percent 4 62" xfId="637" xr:uid="{DD0D0A93-FEC1-43E7-97F7-09D3D95A6C1A}"/>
    <cellStyle name="Percent 4 63" xfId="638" xr:uid="{F5FC4F5E-BCFC-4B01-AB2D-48749BA1F3EA}"/>
    <cellStyle name="Percent 4 64" xfId="639" xr:uid="{DF5E2176-CE61-4B26-BBB4-8F843D6A3F24}"/>
    <cellStyle name="Percent 4 65" xfId="640" xr:uid="{307EF15F-C57F-42D9-ABAD-8E9CD0F05A87}"/>
    <cellStyle name="Percent 4 66" xfId="641" xr:uid="{5403077C-3A2D-4DD5-8205-C5522E8D436F}"/>
    <cellStyle name="Percent 4 67" xfId="642" xr:uid="{F267C291-1E9B-4F5F-8663-42F6854C2521}"/>
    <cellStyle name="Percent 4 68" xfId="643" xr:uid="{A82423F9-2E69-447C-8191-EB46D31907A3}"/>
    <cellStyle name="Percent 4 69" xfId="644" xr:uid="{28072665-7EE3-4625-86E5-6BEFEBB6C1AD}"/>
    <cellStyle name="Percent 4 7" xfId="645" xr:uid="{CAB818D8-F3FE-4BB4-A664-9E5C62165DBF}"/>
    <cellStyle name="Percent 4 70" xfId="646" xr:uid="{0B79E2E0-9BCD-4832-BD30-B5790622F525}"/>
    <cellStyle name="Percent 4 71" xfId="647" xr:uid="{B989C46B-328C-47C3-896F-3F0082FEB01B}"/>
    <cellStyle name="Percent 4 72" xfId="648" xr:uid="{8684FAF9-C2A2-4467-B118-0079BE43BD69}"/>
    <cellStyle name="Percent 4 73" xfId="649" xr:uid="{92FAAB12-678F-42AB-B065-13F4DB8C2F92}"/>
    <cellStyle name="Percent 4 74" xfId="650" xr:uid="{496342C1-2BEB-4715-A66C-653D0D89CF90}"/>
    <cellStyle name="Percent 4 75" xfId="651" xr:uid="{D257B7BC-7E09-4882-99A0-F455504711F2}"/>
    <cellStyle name="Percent 4 76" xfId="652" xr:uid="{D5EE0B4E-2260-45D2-BD84-921955BD846E}"/>
    <cellStyle name="Percent 4 77" xfId="653" xr:uid="{9C99D4E9-A3EE-4C63-9905-FA281715F9E9}"/>
    <cellStyle name="Percent 4 78" xfId="654" xr:uid="{A510722D-A54F-4361-B585-9FB31E160BBC}"/>
    <cellStyle name="Percent 4 8" xfId="655" xr:uid="{87120E9D-CF97-467F-94F3-F86AF6787437}"/>
    <cellStyle name="Percent 4 9" xfId="656" xr:uid="{E93E93B7-B2A5-4F64-B834-DE6FA051EBFB}"/>
    <cellStyle name="Percent 48" xfId="657" xr:uid="{EAA4DC24-9EE9-43AA-972A-8F825CD8F451}"/>
    <cellStyle name="Percent 5" xfId="658" xr:uid="{23912545-BCFF-457B-9F13-892F935430CD}"/>
    <cellStyle name="Percent 6" xfId="659" xr:uid="{62F08CC0-4F1A-462A-A31A-C4ACE0140064}"/>
    <cellStyle name="Percent 6 10" xfId="660" xr:uid="{E46CB710-4272-48A5-AD9F-5D8374E95DF0}"/>
    <cellStyle name="Percent 6 11" xfId="661" xr:uid="{E3429A9C-116A-409F-8CA4-F79E79C095D7}"/>
    <cellStyle name="Percent 6 12" xfId="662" xr:uid="{B9E0729F-6A6B-4E09-B8FA-74436FF4A8E2}"/>
    <cellStyle name="Percent 6 13" xfId="663" xr:uid="{130102A7-64A8-4DBA-8B67-548B2BAE91C1}"/>
    <cellStyle name="Percent 6 14" xfId="664" xr:uid="{49504A66-C3A3-4028-9A1F-00D6114632E3}"/>
    <cellStyle name="Percent 6 15" xfId="665" xr:uid="{CDF32458-0E17-44A9-B0FE-8887B72302DD}"/>
    <cellStyle name="Percent 6 16" xfId="666" xr:uid="{811FF2D1-044E-4B72-9A01-5A913C90A11C}"/>
    <cellStyle name="Percent 6 17" xfId="667" xr:uid="{CC51C648-7466-43BB-9CD3-980DEF100B08}"/>
    <cellStyle name="Percent 6 18" xfId="668" xr:uid="{6EC2B623-0489-4346-92E2-F4A81EAEB085}"/>
    <cellStyle name="Percent 6 19" xfId="669" xr:uid="{DAA09C3A-DE3D-4E6C-96C2-B52D2D2BF954}"/>
    <cellStyle name="Percent 6 2" xfId="670" xr:uid="{045E007D-237A-4A36-8E4C-E58A2959B985}"/>
    <cellStyle name="Percent 6 20" xfId="671" xr:uid="{B07BB0C4-5249-4357-A2AF-1D0677E1121D}"/>
    <cellStyle name="Percent 6 21" xfId="672" xr:uid="{C78F01A4-92E1-4203-99EA-B55FAC77B15C}"/>
    <cellStyle name="Percent 6 22" xfId="673" xr:uid="{FF51E58C-93E0-48C0-8567-F0D2BBEE65FD}"/>
    <cellStyle name="Percent 6 23" xfId="674" xr:uid="{604F68AF-DFAA-4447-A507-8A809D524F4E}"/>
    <cellStyle name="Percent 6 24" xfId="675" xr:uid="{ECFB610F-8E28-4927-BB66-E4543D412A52}"/>
    <cellStyle name="Percent 6 25" xfId="676" xr:uid="{66D3B88A-B71A-4A36-9044-0F15B91FA2BD}"/>
    <cellStyle name="Percent 6 26" xfId="677" xr:uid="{D89B6902-7FD8-4F94-9AE1-16BABA2F056E}"/>
    <cellStyle name="Percent 6 27" xfId="678" xr:uid="{BC3B5962-41D7-4BFF-8F56-6C97C8F22D75}"/>
    <cellStyle name="Percent 6 28" xfId="679" xr:uid="{CA53DF05-BFBE-4065-8C7C-D2D34AC0A0EC}"/>
    <cellStyle name="Percent 6 29" xfId="680" xr:uid="{DF0880F9-1848-4D59-8A10-8220E48D1C37}"/>
    <cellStyle name="Percent 6 3" xfId="681" xr:uid="{C1AFE9FB-4582-4787-95E9-5A16145C42D2}"/>
    <cellStyle name="Percent 6 30" xfId="682" xr:uid="{BA5A29E8-9C10-483B-9689-E07C230430A9}"/>
    <cellStyle name="Percent 6 31" xfId="683" xr:uid="{34C95209-69BD-46BB-B30A-E3FF5943A239}"/>
    <cellStyle name="Percent 6 32" xfId="684" xr:uid="{817865F7-7FA2-432C-8EFA-F3CFC173400E}"/>
    <cellStyle name="Percent 6 33" xfId="685" xr:uid="{ED586DE3-BD05-4E92-828C-BAAC6CF1D19B}"/>
    <cellStyle name="Percent 6 34" xfId="686" xr:uid="{AD469B25-9C70-4054-9A25-63282FC2F203}"/>
    <cellStyle name="Percent 6 35" xfId="687" xr:uid="{4F178FC5-EE27-4458-83C0-8B1E8E6EC567}"/>
    <cellStyle name="Percent 6 36" xfId="688" xr:uid="{C23A8546-F7C9-4E70-8283-93A3D58B906E}"/>
    <cellStyle name="Percent 6 37" xfId="689" xr:uid="{D7F49092-EB3F-4323-B036-81786DFC8DC3}"/>
    <cellStyle name="Percent 6 38" xfId="690" xr:uid="{91E362CD-4039-4970-BE2D-86963A8CDE30}"/>
    <cellStyle name="Percent 6 39" xfId="691" xr:uid="{AA35BC78-784A-42CF-A513-B876597BA6A3}"/>
    <cellStyle name="Percent 6 4" xfId="692" xr:uid="{E478EEE0-8CBC-43CB-90CC-A099D83E1178}"/>
    <cellStyle name="Percent 6 40" xfId="693" xr:uid="{31D7FAAA-5A06-4B9A-90EA-0936ADD28E9F}"/>
    <cellStyle name="Percent 6 41" xfId="694" xr:uid="{F63227C0-BF84-49D6-9630-4D2E61010FFD}"/>
    <cellStyle name="Percent 6 42" xfId="695" xr:uid="{5AF9B278-1B41-4FFF-8726-D95661036C13}"/>
    <cellStyle name="Percent 6 43" xfId="696" xr:uid="{05979EDC-CE32-4DAB-B171-69E2BDD964BC}"/>
    <cellStyle name="Percent 6 44" xfId="697" xr:uid="{44D554DD-AE9C-48ED-9969-BDEF33591AE5}"/>
    <cellStyle name="Percent 6 45" xfId="698" xr:uid="{35B0BA16-90A2-499A-AD03-310D884B26D5}"/>
    <cellStyle name="Percent 6 46" xfId="699" xr:uid="{3C60C78E-B93B-4D4F-887C-8C7B2C2D084A}"/>
    <cellStyle name="Percent 6 47" xfId="700" xr:uid="{3F8BE46D-009B-41FC-9AF8-0916EBC4CB1E}"/>
    <cellStyle name="Percent 6 48" xfId="701" xr:uid="{5DF44566-2E7C-4380-98C1-A22FBAE13A20}"/>
    <cellStyle name="Percent 6 49" xfId="702" xr:uid="{07040B6F-80E8-4B43-8F6E-ED9C5951C83D}"/>
    <cellStyle name="Percent 6 5" xfId="703" xr:uid="{ABE1E4B1-7666-4985-84CD-48D0A419020F}"/>
    <cellStyle name="Percent 6 50" xfId="704" xr:uid="{9D417A47-94E9-4AA6-9A31-E705F665E8C0}"/>
    <cellStyle name="Percent 6 51" xfId="705" xr:uid="{118B4991-53AD-4508-A42C-2221D572661A}"/>
    <cellStyle name="Percent 6 52" xfId="706" xr:uid="{16FD10CC-70F1-43EC-8B15-A47D05E0F3BD}"/>
    <cellStyle name="Percent 6 53" xfId="707" xr:uid="{EFB3014D-5DCA-4B14-A240-9A9FB4089036}"/>
    <cellStyle name="Percent 6 54" xfId="708" xr:uid="{ED529F96-2A4F-4F00-94B9-2001D8530310}"/>
    <cellStyle name="Percent 6 55" xfId="709" xr:uid="{F6CFCA59-D108-4246-A466-26115ED788AA}"/>
    <cellStyle name="Percent 6 56" xfId="710" xr:uid="{9C2970B8-A94B-4617-91B3-C1DACA273689}"/>
    <cellStyle name="Percent 6 57" xfId="711" xr:uid="{33D6769F-3C44-4AE9-A391-BB5FDCC2D970}"/>
    <cellStyle name="Percent 6 58" xfId="712" xr:uid="{6F6D6DCD-F0F6-4B2E-BF56-51174953257B}"/>
    <cellStyle name="Percent 6 59" xfId="713" xr:uid="{06CFCFED-F1AA-4C03-B853-D5BF71CC21D2}"/>
    <cellStyle name="Percent 6 6" xfId="714" xr:uid="{1529FB1C-A550-480E-9371-1489A672B196}"/>
    <cellStyle name="Percent 6 60" xfId="715" xr:uid="{EE0FE422-00C7-46E0-AB3A-4EE0CABAB4E7}"/>
    <cellStyle name="Percent 6 7" xfId="716" xr:uid="{91FAB1F9-274F-4A60-9B0B-1435AA79EDD4}"/>
    <cellStyle name="Percent 6 8" xfId="717" xr:uid="{3B7A72B0-ACA1-4FF1-8818-CB3FDA3F3ACF}"/>
    <cellStyle name="Percent 6 9" xfId="718" xr:uid="{EF4211BA-77BE-45F2-B0B2-A1D5C81697CC}"/>
  </cellStyles>
  <dxfs count="951">
    <dxf>
      <font>
        <b/>
        <i val="0"/>
        <condense val="0"/>
        <extend val="0"/>
      </font>
      <fill>
        <patternFill>
          <bgColor indexed="10"/>
        </patternFill>
      </fill>
    </dxf>
    <dxf>
      <font>
        <condense val="0"/>
        <extend val="0"/>
        <color indexed="43"/>
      </font>
    </dxf>
    <dxf>
      <font>
        <condense val="0"/>
        <extend val="0"/>
        <color indexed="43"/>
      </font>
    </dxf>
    <dxf>
      <font>
        <condense val="0"/>
        <extend val="0"/>
        <color indexed="43"/>
      </font>
    </dxf>
    <dxf>
      <font>
        <condense val="0"/>
        <extend val="0"/>
        <color indexed="43"/>
      </font>
    </dxf>
    <dxf>
      <font>
        <b/>
        <i val="0"/>
        <condense val="0"/>
        <extend val="0"/>
      </font>
      <fill>
        <patternFill>
          <bgColor indexed="10"/>
        </patternFill>
      </fill>
    </dxf>
    <dxf>
      <font>
        <condense val="0"/>
        <extend val="0"/>
        <color indexed="43"/>
      </font>
    </dxf>
    <dxf>
      <font>
        <condense val="0"/>
        <extend val="0"/>
        <color indexed="43"/>
      </font>
    </dxf>
    <dxf>
      <font>
        <condense val="0"/>
        <extend val="0"/>
        <color indexed="43"/>
      </font>
    </dxf>
    <dxf>
      <font>
        <b/>
        <i val="0"/>
        <condense val="0"/>
        <extend val="0"/>
      </font>
      <fill>
        <patternFill>
          <bgColor indexed="10"/>
        </patternFill>
      </fill>
    </dxf>
    <dxf>
      <font>
        <condense val="0"/>
        <extend val="0"/>
        <color indexed="43"/>
      </font>
    </dxf>
    <dxf>
      <font>
        <condense val="0"/>
        <extend val="0"/>
        <color indexed="43"/>
      </font>
    </dxf>
    <dxf>
      <font>
        <condense val="0"/>
        <extend val="0"/>
        <color indexed="43"/>
      </font>
    </dxf>
    <dxf>
      <font>
        <condense val="0"/>
        <extend val="0"/>
        <color indexed="43"/>
      </font>
    </dxf>
    <dxf>
      <font>
        <b/>
        <i val="0"/>
        <condense val="0"/>
        <extend val="0"/>
      </font>
      <fill>
        <patternFill>
          <bgColor indexed="10"/>
        </patternFill>
      </fill>
    </dxf>
    <dxf>
      <font>
        <condense val="0"/>
        <extend val="0"/>
        <color indexed="43"/>
      </font>
    </dxf>
    <dxf>
      <font>
        <condense val="0"/>
        <extend val="0"/>
        <color indexed="43"/>
      </font>
    </dxf>
    <dxf>
      <font>
        <condense val="0"/>
        <extend val="0"/>
        <color indexed="43"/>
      </font>
    </dxf>
    <dxf>
      <numFmt numFmtId="164" formatCode="0.0"/>
    </dxf>
    <dxf>
      <font>
        <color rgb="FFFFFF99"/>
      </font>
      <fill>
        <patternFill>
          <bgColor rgb="FFFFFF99"/>
        </patternFill>
      </fill>
    </dxf>
    <dxf>
      <font>
        <color auto="1"/>
      </font>
      <fill>
        <patternFill>
          <bgColor rgb="FFFF0000"/>
        </patternFill>
      </fill>
    </dxf>
    <dxf>
      <font>
        <color rgb="FFFFFF99"/>
      </font>
      <fill>
        <patternFill>
          <bgColor rgb="FFFFFF99"/>
        </patternFill>
      </fill>
    </dxf>
    <dxf>
      <font>
        <color auto="1"/>
      </font>
      <fill>
        <patternFill>
          <bgColor rgb="FFFF0000"/>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patternType="solid">
          <bgColor rgb="FFFFFF99"/>
        </patternFill>
      </fill>
    </dxf>
    <dxf>
      <font>
        <color rgb="FFFFFF99"/>
      </font>
    </dxf>
    <dxf>
      <fill>
        <patternFill>
          <bgColor indexed="10"/>
        </patternFill>
      </fill>
    </dxf>
    <dxf>
      <font>
        <color rgb="FFFFFF99"/>
      </font>
      <fill>
        <patternFill patternType="solid">
          <bgColor rgb="FFFFFF99"/>
        </patternFill>
      </fill>
    </dxf>
    <dxf>
      <font>
        <color rgb="FFFFFF99"/>
      </font>
    </dxf>
    <dxf>
      <font>
        <color theme="0"/>
      </font>
      <fill>
        <patternFill>
          <bgColor theme="0"/>
        </patternFill>
      </fill>
      <border>
        <left/>
        <right/>
        <top/>
        <bottom/>
      </border>
    </dxf>
    <dxf>
      <font>
        <color rgb="FFFFFF99"/>
      </font>
      <fill>
        <patternFill>
          <bgColor rgb="FFFFFF99"/>
        </patternFill>
      </fill>
    </dxf>
    <dxf>
      <font>
        <color rgb="FFFFFF99"/>
      </font>
      <fill>
        <patternFill>
          <bgColor rgb="FFFFFF99"/>
        </patternFill>
      </fill>
    </dxf>
    <dxf>
      <font>
        <color rgb="FFFFFF99"/>
      </font>
      <fill>
        <patternFill>
          <bgColor rgb="FFFFFF99"/>
        </patternFill>
      </fill>
    </dxf>
    <dxf>
      <font>
        <color rgb="FFFFFF99"/>
      </font>
      <fill>
        <patternFill>
          <bgColor rgb="FFFFFF99"/>
        </patternFill>
      </fill>
    </dxf>
    <dxf>
      <font>
        <color rgb="FFFFFF99"/>
      </font>
      <fill>
        <patternFill>
          <bgColor rgb="FFFFFF99"/>
        </patternFill>
      </fill>
    </dxf>
    <dxf>
      <font>
        <color rgb="FFFFFF99"/>
      </font>
      <fill>
        <patternFill>
          <bgColor rgb="FFFFFF99"/>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ill>
        <patternFill>
          <bgColor rgb="FFFF0000"/>
        </patternFill>
      </fill>
    </dxf>
    <dxf>
      <fill>
        <patternFill>
          <bgColor indexed="10"/>
        </patternFill>
      </fill>
    </dxf>
    <dxf>
      <fill>
        <patternFill>
          <bgColor rgb="FFFFC000"/>
        </patternFill>
      </fill>
    </dxf>
    <dxf>
      <font>
        <color rgb="FFFFFF99"/>
      </font>
      <fill>
        <patternFill>
          <bgColor rgb="FFFFFF99"/>
        </patternFill>
      </fill>
    </dxf>
    <dxf>
      <fill>
        <patternFill>
          <bgColor indexed="10"/>
        </patternFill>
      </fill>
    </dxf>
    <dxf>
      <fill>
        <patternFill>
          <bgColor rgb="FFFFC000"/>
        </patternFill>
      </fill>
    </dxf>
    <dxf>
      <font>
        <color rgb="FFFFFF99"/>
      </font>
      <fill>
        <patternFill>
          <bgColor rgb="FFFFFF99"/>
        </patternFill>
      </fill>
    </dxf>
    <dxf>
      <font>
        <color rgb="FFFFFF99"/>
      </font>
      <fill>
        <patternFill>
          <bgColor rgb="FFFFFF99"/>
        </patternFill>
      </fill>
    </dxf>
    <dxf>
      <fill>
        <patternFill>
          <bgColor indexed="10"/>
        </patternFill>
      </fill>
    </dxf>
    <dxf>
      <font>
        <color rgb="FFFFFF99"/>
      </font>
      <fill>
        <patternFill>
          <bgColor rgb="FFFFFF99"/>
        </patternFill>
      </fill>
    </dxf>
    <dxf>
      <font>
        <color rgb="FFFFFF99"/>
      </font>
      <fill>
        <patternFill>
          <bgColor rgb="FFFFFF99"/>
        </patternFill>
      </fill>
    </dxf>
    <dxf>
      <font>
        <color rgb="FFFFFF99"/>
      </font>
      <fill>
        <patternFill>
          <bgColor rgb="FFFFFF99"/>
        </patternFill>
      </fill>
    </dxf>
    <dxf>
      <fill>
        <patternFill>
          <bgColor rgb="FFC0C0C0"/>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rgb="FFFF0000"/>
        </patternFill>
      </fill>
    </dxf>
    <dxf>
      <font>
        <color rgb="FFFFFF99"/>
      </font>
      <fill>
        <patternFill>
          <bgColor rgb="FFFFFF99"/>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99"/>
      </font>
    </dxf>
    <dxf>
      <font>
        <color rgb="FFFFFF99"/>
      </font>
    </dxf>
    <dxf>
      <font>
        <color rgb="FFFFFF99"/>
      </font>
    </dxf>
    <dxf>
      <font>
        <color rgb="FFCCFFCC"/>
      </font>
    </dxf>
    <dxf>
      <font>
        <color rgb="FFFFFF99"/>
      </font>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strike/>
        <condense val="0"/>
        <extend val="0"/>
        <color auto="1"/>
      </font>
      <fill>
        <patternFill patternType="solid">
          <bgColor indexed="43"/>
        </patternFill>
      </fill>
    </dxf>
    <dxf>
      <font>
        <color rgb="FFFFFF99"/>
      </font>
    </dxf>
    <dxf>
      <font>
        <strike/>
        <condense val="0"/>
        <extend val="0"/>
        <color auto="1"/>
      </font>
      <fill>
        <patternFill patternType="solid">
          <bgColor indexed="43"/>
        </patternFill>
      </fill>
    </dxf>
    <dxf>
      <font>
        <color rgb="FFFFFF99"/>
      </font>
    </dxf>
    <dxf>
      <fill>
        <patternFill>
          <bgColor indexed="10"/>
        </patternFill>
      </fill>
    </dxf>
    <dxf>
      <font>
        <color rgb="FFFFFF99"/>
      </font>
      <fill>
        <patternFill>
          <bgColor rgb="FFFFFF99"/>
        </patternFill>
      </fill>
    </dxf>
    <dxf>
      <font>
        <color rgb="FFFFFF99"/>
      </font>
    </dxf>
    <dxf>
      <font>
        <strike/>
        <condense val="0"/>
        <extend val="0"/>
        <color auto="1"/>
      </font>
      <fill>
        <patternFill patternType="solid">
          <bgColor indexed="43"/>
        </patternFill>
      </fill>
    </dxf>
    <dxf>
      <font>
        <color rgb="FFFFFF99"/>
      </font>
    </dxf>
    <dxf>
      <font>
        <color rgb="FFFFFF99"/>
      </font>
    </dxf>
    <dxf>
      <fill>
        <patternFill>
          <bgColor rgb="FFFF0000"/>
        </patternFill>
      </fill>
    </dxf>
    <dxf>
      <fill>
        <patternFill>
          <bgColor rgb="FFFFC000"/>
        </patternFill>
      </fill>
    </dxf>
    <dxf>
      <font>
        <color rgb="FFFFFF99"/>
      </font>
    </dxf>
    <dxf>
      <font>
        <color rgb="FFFFFF99"/>
      </font>
    </dxf>
    <dxf>
      <font>
        <color rgb="FFCCFFCC"/>
      </font>
    </dxf>
    <dxf>
      <font>
        <color rgb="FFFFFF99"/>
      </font>
    </dxf>
    <dxf>
      <fill>
        <patternFill>
          <bgColor rgb="FFFF0000"/>
        </patternFill>
      </fill>
    </dxf>
    <dxf>
      <fill>
        <patternFill>
          <bgColor rgb="FFFFC000"/>
        </patternFill>
      </fill>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strike/>
        <condense val="0"/>
        <extend val="0"/>
        <color auto="1"/>
      </font>
      <fill>
        <patternFill patternType="solid">
          <bgColor indexed="43"/>
        </patternFill>
      </fill>
    </dxf>
    <dxf>
      <font>
        <color rgb="FFFFFF99"/>
      </font>
    </dxf>
    <dxf>
      <font>
        <strike/>
        <condense val="0"/>
        <extend val="0"/>
        <color auto="1"/>
      </font>
      <fill>
        <patternFill patternType="solid">
          <bgColor indexed="43"/>
        </patternFill>
      </fill>
    </dxf>
    <dxf>
      <font>
        <color rgb="FFFFFF99"/>
      </font>
    </dxf>
    <dxf>
      <fill>
        <patternFill>
          <bgColor indexed="10"/>
        </patternFill>
      </fill>
    </dxf>
    <dxf>
      <font>
        <color rgb="FFFFFF99"/>
      </font>
      <fill>
        <patternFill>
          <bgColor rgb="FFFFFF99"/>
        </patternFill>
      </fill>
    </dxf>
    <dxf>
      <font>
        <color rgb="FFFFFF99"/>
      </font>
    </dxf>
    <dxf>
      <fill>
        <patternFill>
          <bgColor rgb="FFFFC000"/>
        </patternFill>
      </fill>
    </dxf>
    <dxf>
      <font>
        <strike/>
        <condense val="0"/>
        <extend val="0"/>
        <color auto="1"/>
      </font>
      <fill>
        <patternFill patternType="solid">
          <bgColor indexed="43"/>
        </patternFill>
      </fill>
    </dxf>
    <dxf>
      <font>
        <color rgb="FFFFFF99"/>
      </font>
    </dxf>
    <dxf>
      <font>
        <color rgb="FFFFFF99"/>
      </font>
    </dxf>
    <dxf>
      <fill>
        <patternFill>
          <bgColor rgb="FFFF0000"/>
        </patternFill>
      </fill>
    </dxf>
    <dxf>
      <fill>
        <patternFill>
          <bgColor rgb="FFFFC000"/>
        </patternFill>
      </fill>
    </dxf>
    <dxf>
      <font>
        <color rgb="FFFFFF99"/>
      </font>
    </dxf>
    <dxf>
      <font>
        <color rgb="FFFFFF99"/>
      </font>
    </dxf>
    <dxf>
      <font>
        <color rgb="FFCCFFCC"/>
      </font>
    </dxf>
    <dxf>
      <font>
        <color rgb="FFFFFF99"/>
      </font>
    </dxf>
    <dxf>
      <fill>
        <patternFill>
          <bgColor rgb="FFFF0000"/>
        </patternFill>
      </fill>
    </dxf>
    <dxf>
      <fill>
        <patternFill>
          <bgColor rgb="FFFFC000"/>
        </patternFill>
      </fill>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strike/>
        <condense val="0"/>
        <extend val="0"/>
        <color auto="1"/>
      </font>
      <fill>
        <patternFill patternType="solid">
          <bgColor indexed="43"/>
        </patternFill>
      </fill>
    </dxf>
    <dxf>
      <font>
        <color rgb="FFFFFF99"/>
      </font>
    </dxf>
    <dxf>
      <font>
        <strike/>
        <condense val="0"/>
        <extend val="0"/>
        <color auto="1"/>
      </font>
      <fill>
        <patternFill patternType="solid">
          <bgColor indexed="43"/>
        </patternFill>
      </fill>
    </dxf>
    <dxf>
      <font>
        <color rgb="FFFFFF99"/>
      </font>
    </dxf>
    <dxf>
      <fill>
        <patternFill>
          <bgColor indexed="10"/>
        </patternFill>
      </fill>
    </dxf>
    <dxf>
      <font>
        <color rgb="FFFFFF99"/>
      </font>
      <fill>
        <patternFill>
          <bgColor rgb="FFFFFF99"/>
        </patternFill>
      </fill>
    </dxf>
    <dxf>
      <font>
        <color rgb="FFFFFF99"/>
      </font>
    </dxf>
    <dxf>
      <fill>
        <patternFill>
          <bgColor rgb="FFFFC000"/>
        </patternFill>
      </fill>
    </dxf>
    <dxf>
      <font>
        <strike/>
        <condense val="0"/>
        <extend val="0"/>
        <color auto="1"/>
      </font>
      <fill>
        <patternFill patternType="solid">
          <bgColor indexed="43"/>
        </patternFill>
      </fill>
    </dxf>
    <dxf>
      <font>
        <color rgb="FFFFFF99"/>
      </font>
    </dxf>
    <dxf>
      <font>
        <color rgb="FFFFFF99"/>
      </font>
    </dxf>
    <dxf>
      <fill>
        <patternFill>
          <bgColor rgb="FFFF0000"/>
        </patternFill>
      </fill>
    </dxf>
    <dxf>
      <fill>
        <patternFill>
          <bgColor rgb="FFFFC000"/>
        </patternFill>
      </fill>
    </dxf>
    <dxf>
      <fill>
        <patternFill>
          <bgColor rgb="FFFFFF99"/>
        </patternFill>
      </fill>
    </dxf>
    <dxf>
      <font>
        <color rgb="FFFFFF99"/>
      </font>
    </dxf>
    <dxf>
      <font>
        <color rgb="FFFFFF99"/>
      </font>
    </dxf>
    <dxf>
      <font>
        <color rgb="FFCCFFCC"/>
      </font>
    </dxf>
    <dxf>
      <font>
        <color rgb="FFFFFF99"/>
      </font>
    </dxf>
    <dxf>
      <fill>
        <patternFill>
          <bgColor rgb="FFFF0000"/>
        </patternFill>
      </fill>
    </dxf>
    <dxf>
      <fill>
        <patternFill>
          <bgColor rgb="FFFFC000"/>
        </patternFill>
      </fill>
    </dxf>
    <dxf>
      <fill>
        <patternFill>
          <bgColor rgb="FFFFFF99"/>
        </patternFill>
      </fill>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strike/>
        <condense val="0"/>
        <extend val="0"/>
        <color auto="1"/>
      </font>
      <fill>
        <patternFill patternType="solid">
          <bgColor indexed="43"/>
        </patternFill>
      </fill>
    </dxf>
    <dxf>
      <font>
        <strike/>
        <condense val="0"/>
        <extend val="0"/>
        <color auto="1"/>
      </font>
      <fill>
        <patternFill patternType="solid">
          <bgColor indexed="43"/>
        </patternFill>
      </fill>
    </dxf>
    <dxf>
      <fill>
        <patternFill>
          <bgColor rgb="FFFF0000"/>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rgb="FFFFC000"/>
        </patternFill>
      </fill>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strike/>
        <condense val="0"/>
        <extend val="0"/>
        <color auto="1"/>
      </font>
      <fill>
        <patternFill patternType="solid">
          <bgColor indexed="43"/>
        </patternFill>
      </fill>
    </dxf>
    <dxf>
      <font>
        <strike/>
        <condense val="0"/>
        <extend val="0"/>
        <color auto="1"/>
      </font>
      <fill>
        <patternFill patternType="solid">
          <bgColor indexed="43"/>
        </patternFill>
      </fill>
    </dxf>
    <dxf>
      <font>
        <strike/>
        <condense val="0"/>
        <extend val="0"/>
        <color auto="1"/>
      </font>
      <fill>
        <patternFill patternType="solid">
          <bgColor indexed="43"/>
        </patternFill>
      </fill>
    </dxf>
    <dxf>
      <font>
        <strike/>
        <condense val="0"/>
        <extend val="0"/>
        <color auto="1"/>
      </font>
      <fill>
        <patternFill patternType="solid">
          <bgColor indexed="43"/>
        </patternFill>
      </fill>
    </dxf>
    <dxf>
      <font>
        <strike/>
        <condense val="0"/>
        <extend val="0"/>
        <color auto="1"/>
      </font>
      <fill>
        <patternFill patternType="solid">
          <bgColor indexed="43"/>
        </patternFill>
      </fill>
    </dxf>
    <dxf>
      <font>
        <strike/>
        <condense val="0"/>
        <extend val="0"/>
        <color auto="1"/>
      </font>
      <fill>
        <patternFill patternType="solid">
          <bgColor indexed="43"/>
        </patternFill>
      </fill>
    </dxf>
    <dxf>
      <font>
        <strike/>
        <condense val="0"/>
        <extend val="0"/>
        <color auto="1"/>
      </font>
      <fill>
        <patternFill patternType="solid">
          <bgColor indexed="43"/>
        </patternFill>
      </fill>
    </dxf>
    <dxf>
      <font>
        <color rgb="FFFFFF99"/>
      </font>
    </dxf>
    <dxf>
      <font>
        <strike/>
        <condense val="0"/>
        <extend val="0"/>
        <color auto="1"/>
      </font>
      <fill>
        <patternFill patternType="solid">
          <bgColor indexed="43"/>
        </patternFill>
      </fill>
    </dxf>
    <dxf>
      <font>
        <color rgb="FFFFFF99"/>
      </font>
    </dxf>
    <dxf>
      <fill>
        <patternFill>
          <bgColor indexed="10"/>
        </patternFill>
      </fill>
    </dxf>
    <dxf>
      <fill>
        <patternFill>
          <bgColor rgb="FFFFC000"/>
        </patternFill>
      </fill>
    </dxf>
    <dxf>
      <font>
        <color rgb="FFFFFF99"/>
      </font>
      <fill>
        <patternFill patternType="solid">
          <bgColor rgb="FFFFFF99"/>
        </patternFill>
      </fill>
    </dxf>
    <dxf>
      <font>
        <color rgb="FFFFFF99"/>
      </font>
    </dxf>
    <dxf>
      <font>
        <strike/>
        <condense val="0"/>
        <extend val="0"/>
        <color auto="1"/>
      </font>
      <fill>
        <patternFill patternType="solid">
          <bgColor indexed="43"/>
        </patternFill>
      </fill>
    </dxf>
    <dxf>
      <font>
        <color rgb="FFFFFF99"/>
      </font>
    </dxf>
    <dxf>
      <font>
        <color rgb="FFFFFF99"/>
      </font>
    </dxf>
    <dxf>
      <fill>
        <patternFill>
          <bgColor rgb="FFFF0000"/>
        </patternFill>
      </fill>
    </dxf>
    <dxf>
      <fill>
        <patternFill>
          <bgColor rgb="FFFF0000"/>
        </patternFill>
      </fill>
    </dxf>
    <dxf>
      <fill>
        <patternFill>
          <bgColor rgb="FFFF0000"/>
        </patternFill>
      </fill>
    </dxf>
    <dxf>
      <fill>
        <patternFill>
          <bgColor indexed="10"/>
        </patternFill>
      </fill>
    </dxf>
    <dxf>
      <font>
        <color rgb="FFFFFF99"/>
      </font>
      <fill>
        <patternFill>
          <bgColor rgb="FFFFFF99"/>
        </patternFill>
      </fill>
    </dxf>
    <dxf>
      <font>
        <color rgb="FFFFFF99"/>
      </font>
      <fill>
        <patternFill>
          <bgColor rgb="FFFFFF99"/>
        </patternFill>
      </fill>
    </dxf>
    <dxf>
      <fill>
        <patternFill>
          <bgColor indexed="10"/>
        </patternFill>
      </fill>
    </dxf>
    <dxf>
      <fill>
        <patternFill>
          <bgColor rgb="FFFFC00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rgb="FFFFC000"/>
        </patternFill>
      </fill>
    </dxf>
    <dxf>
      <fill>
        <patternFill>
          <bgColor indexed="10"/>
        </patternFill>
      </fill>
    </dxf>
    <dxf>
      <fill>
        <patternFill>
          <bgColor rgb="FFFFC000"/>
        </patternFill>
      </fill>
    </dxf>
    <dxf>
      <font>
        <color rgb="FFFFFF99"/>
      </font>
      <fill>
        <patternFill>
          <bgColor rgb="FFFFFF99"/>
        </patternFill>
      </fill>
    </dxf>
    <dxf>
      <font>
        <condense val="0"/>
        <extend val="0"/>
        <color indexed="43"/>
      </font>
    </dxf>
    <dxf>
      <fill>
        <patternFill>
          <bgColor indexed="10"/>
        </patternFill>
      </fill>
    </dxf>
    <dxf>
      <font>
        <condense val="0"/>
        <extend val="0"/>
        <color indexed="9"/>
      </font>
    </dxf>
    <dxf>
      <font>
        <condense val="0"/>
        <extend val="0"/>
      </font>
      <fill>
        <patternFill patternType="solid">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ill>
        <patternFill>
          <bgColor rgb="FFFF0000"/>
        </patternFill>
      </fill>
    </dxf>
    <dxf>
      <fill>
        <patternFill>
          <bgColor rgb="FFFFFF99"/>
        </patternFill>
      </fill>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ill>
        <patternFill>
          <bgColor indexed="10"/>
        </patternFill>
      </fill>
    </dxf>
    <dxf>
      <font>
        <condense val="0"/>
        <extend val="0"/>
        <color indexed="9"/>
      </font>
    </dxf>
    <dxf>
      <font>
        <condense val="0"/>
        <extend val="0"/>
      </font>
      <fill>
        <patternFill patternType="solid">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ont>
        <condense val="0"/>
        <extend val="0"/>
        <color indexed="43"/>
      </font>
    </dxf>
    <dxf>
      <fill>
        <patternFill>
          <bgColor indexed="10"/>
        </patternFill>
      </fill>
    </dxf>
    <dxf>
      <font>
        <condense val="0"/>
        <extend val="0"/>
        <color indexed="9"/>
      </font>
    </dxf>
    <dxf>
      <font>
        <condense val="0"/>
        <extend val="0"/>
      </font>
      <fill>
        <patternFill patternType="solid">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ont>
        <condense val="0"/>
        <extend val="0"/>
        <color indexed="43"/>
      </font>
    </dxf>
    <dxf>
      <font>
        <condense val="0"/>
        <extend val="0"/>
        <color indexed="9"/>
      </font>
    </dxf>
    <dxf>
      <font>
        <condense val="0"/>
        <extend val="0"/>
        <color indexed="43"/>
      </font>
    </dxf>
    <dxf>
      <font>
        <condense val="0"/>
        <extend val="0"/>
        <color indexed="9"/>
      </font>
    </dxf>
    <dxf>
      <font>
        <condense val="0"/>
        <extend val="0"/>
        <color indexed="43"/>
      </font>
    </dxf>
    <dxf>
      <font>
        <condense val="0"/>
        <extend val="0"/>
        <color indexed="9"/>
      </font>
    </dxf>
    <dxf>
      <font>
        <condense val="0"/>
        <extend val="0"/>
        <color indexed="43"/>
      </font>
    </dxf>
    <dxf>
      <font>
        <condense val="0"/>
        <extend val="0"/>
        <color indexed="9"/>
      </font>
    </dxf>
    <dxf>
      <fill>
        <patternFill>
          <bgColor rgb="FFFF0000"/>
        </patternFill>
      </fill>
    </dxf>
    <dxf>
      <font>
        <b val="0"/>
        <i val="0"/>
        <strike val="0"/>
        <u val="none"/>
        <color theme="1"/>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ndense val="0"/>
        <extend val="0"/>
        <color indexed="43"/>
      </font>
    </dxf>
    <dxf>
      <font>
        <condense val="0"/>
        <extend val="0"/>
        <color indexed="43"/>
      </font>
    </dxf>
    <dxf>
      <font>
        <condense val="0"/>
        <extend val="0"/>
        <color indexed="43"/>
      </font>
    </dxf>
    <dxf>
      <fill>
        <patternFill>
          <bgColor rgb="FFFF0000"/>
        </patternFill>
      </fill>
    </dxf>
    <dxf>
      <font>
        <color rgb="FFFFFF99"/>
      </font>
    </dxf>
    <dxf>
      <font>
        <condense val="0"/>
        <extend val="0"/>
        <color indexed="43"/>
      </font>
    </dxf>
    <dxf>
      <font>
        <color rgb="FFFFFF9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ill>
        <patternFill>
          <bgColor rgb="FFFF99CC"/>
        </patternFill>
      </fill>
    </dxf>
    <dxf>
      <font>
        <condense val="0"/>
        <extend val="0"/>
        <color indexed="9"/>
      </font>
    </dxf>
    <dxf>
      <font>
        <condense val="0"/>
        <extend val="0"/>
        <color indexed="9"/>
      </font>
    </dxf>
    <dxf>
      <font>
        <condense val="0"/>
        <extend val="0"/>
        <color indexed="43"/>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ill>
        <patternFill>
          <bgColor indexed="10"/>
        </patternFill>
      </fill>
    </dxf>
    <dxf>
      <font>
        <condense val="0"/>
        <extend val="0"/>
        <color indexed="9"/>
      </font>
    </dxf>
    <dxf>
      <font>
        <condense val="0"/>
        <extend val="0"/>
      </font>
      <fill>
        <patternFill patternType="solid">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ont>
        <condense val="0"/>
        <extend val="0"/>
      </font>
      <fill>
        <patternFill patternType="solid">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numFmt numFmtId="164" formatCode="0.0"/>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ill>
        <patternFill>
          <bgColor rgb="FF99CCFF"/>
        </patternFill>
      </fill>
    </dxf>
    <dxf>
      <font>
        <color rgb="FFFFFF99"/>
        <name val="Cambria"/>
        <scheme val="none"/>
      </font>
    </dxf>
    <dxf>
      <font>
        <color rgb="FFFFFF99"/>
        <name val="Cambria"/>
        <scheme val="none"/>
      </font>
    </dxf>
    <dxf>
      <font>
        <color rgb="FFFFFF99"/>
        <name val="Cambria"/>
        <scheme val="none"/>
      </font>
    </dxf>
    <dxf>
      <font>
        <color rgb="FFFFFF99"/>
        <name val="Cambria"/>
        <scheme val="none"/>
      </font>
    </dxf>
    <dxf>
      <fill>
        <patternFill>
          <bgColor rgb="FF0070C0"/>
        </patternFill>
      </fill>
    </dxf>
    <dxf>
      <fill>
        <patternFill>
          <bgColor rgb="FFFF99CC"/>
        </patternFill>
      </fill>
    </dxf>
    <dxf>
      <fill>
        <patternFill>
          <bgColor rgb="FF0070C0"/>
        </patternFill>
      </fill>
    </dxf>
    <dxf>
      <fill>
        <patternFill>
          <bgColor rgb="FFFF99CC"/>
        </patternFill>
      </fill>
    </dxf>
    <dxf>
      <font>
        <color rgb="FFFFFF99"/>
        <name val="Cambria"/>
        <scheme val="none"/>
      </font>
    </dxf>
    <dxf>
      <font>
        <color rgb="FFFFFF99"/>
        <name val="Cambria"/>
        <scheme val="none"/>
      </font>
    </dxf>
    <dxf>
      <font>
        <color rgb="FFFFFF99"/>
        <name val="Cambria"/>
        <scheme val="none"/>
      </font>
    </dxf>
    <dxf>
      <font>
        <color rgb="FFFFFF99"/>
        <name val="Cambria"/>
        <scheme val="none"/>
      </font>
    </dxf>
    <dxf>
      <fill>
        <patternFill>
          <bgColor rgb="FFFFFF99"/>
        </patternFill>
      </fill>
    </dxf>
    <dxf>
      <fill>
        <patternFill>
          <bgColor theme="9" tint="-0.24994659260841701"/>
        </patternFill>
      </fill>
    </dxf>
    <dxf>
      <fill>
        <patternFill>
          <bgColor rgb="FF0070C0"/>
        </patternFill>
      </fill>
    </dxf>
    <dxf>
      <fill>
        <patternFill>
          <bgColor rgb="FFFF99CC"/>
        </patternFill>
      </fill>
    </dxf>
    <dxf>
      <fill>
        <patternFill>
          <bgColor rgb="FF0070C0"/>
        </patternFill>
      </fill>
    </dxf>
    <dxf>
      <fill>
        <patternFill>
          <bgColor rgb="FFFF99CC"/>
        </patternFill>
      </fill>
    </dxf>
    <dxf>
      <fill>
        <patternFill>
          <bgColor rgb="FFFF0000"/>
        </patternFill>
      </fill>
    </dxf>
    <dxf>
      <fill>
        <patternFill>
          <bgColor rgb="FFFF0000"/>
        </patternFill>
      </fill>
    </dxf>
    <dxf>
      <font>
        <color rgb="FFCCFFCC"/>
      </font>
    </dxf>
    <dxf>
      <font>
        <color rgb="FFCCFFCC"/>
      </font>
    </dxf>
    <dxf>
      <fill>
        <patternFill>
          <bgColor rgb="FFFF0000"/>
        </patternFill>
      </fill>
    </dxf>
    <dxf>
      <fill>
        <patternFill>
          <bgColor rgb="FFFF0000"/>
        </patternFill>
      </fill>
    </dxf>
    <dxf>
      <font>
        <color rgb="FFCCFFCC"/>
      </font>
    </dxf>
    <dxf>
      <font>
        <color rgb="FFCCFFCC"/>
      </font>
    </dxf>
    <dxf>
      <font>
        <color rgb="FFCCFFCC"/>
      </font>
    </dxf>
    <dxf>
      <font>
        <color rgb="FFFFFF99"/>
      </font>
      <fill>
        <patternFill>
          <bgColor rgb="FFFFFF99"/>
        </patternFill>
      </fill>
    </dxf>
    <dxf>
      <font>
        <color auto="1"/>
      </font>
      <fill>
        <patternFill>
          <bgColor rgb="FFFF0000"/>
        </patternFill>
      </fill>
    </dxf>
    <dxf>
      <font>
        <color rgb="FFFFFF99"/>
      </font>
      <fill>
        <patternFill>
          <bgColor rgb="FFFFFF99"/>
        </patternFill>
      </fill>
    </dxf>
    <dxf>
      <font>
        <color auto="1"/>
      </font>
      <fill>
        <patternFill>
          <bgColor rgb="FFFF0000"/>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patternType="solid">
          <bgColor rgb="FFFFFF99"/>
        </patternFill>
      </fill>
    </dxf>
    <dxf>
      <font>
        <color rgb="FFFFFF99"/>
      </font>
    </dxf>
    <dxf>
      <fill>
        <patternFill>
          <bgColor indexed="10"/>
        </patternFill>
      </fill>
    </dxf>
    <dxf>
      <font>
        <color rgb="FFFFFF99"/>
      </font>
      <fill>
        <patternFill patternType="solid">
          <bgColor rgb="FFFFFF99"/>
        </patternFill>
      </fill>
    </dxf>
    <dxf>
      <font>
        <color rgb="FFFFFF99"/>
      </font>
    </dxf>
    <dxf>
      <font>
        <color theme="0"/>
      </font>
      <fill>
        <patternFill>
          <bgColor theme="0"/>
        </patternFill>
      </fill>
      <border>
        <left/>
        <right/>
        <top/>
        <bottom/>
      </border>
    </dxf>
    <dxf>
      <font>
        <color rgb="FFFFFF99"/>
      </font>
      <fill>
        <patternFill>
          <bgColor rgb="FFFFFF99"/>
        </patternFill>
      </fill>
    </dxf>
    <dxf>
      <font>
        <color rgb="FFFFFF99"/>
      </font>
      <fill>
        <patternFill>
          <bgColor rgb="FFFFFF99"/>
        </patternFill>
      </fill>
    </dxf>
    <dxf>
      <font>
        <color rgb="FFFFFF99"/>
      </font>
      <fill>
        <patternFill>
          <bgColor rgb="FFFFFF99"/>
        </patternFill>
      </fill>
    </dxf>
    <dxf>
      <font>
        <color rgb="FFFFFF99"/>
      </font>
      <fill>
        <patternFill>
          <bgColor rgb="FFFFFF99"/>
        </patternFill>
      </fill>
    </dxf>
    <dxf>
      <font>
        <color rgb="FFFFFF99"/>
      </font>
      <fill>
        <patternFill>
          <bgColor rgb="FFFFFF99"/>
        </patternFill>
      </fill>
    </dxf>
    <dxf>
      <font>
        <color rgb="FFFFFF99"/>
      </font>
      <fill>
        <patternFill>
          <bgColor rgb="FFFFFF99"/>
        </patternFill>
      </fill>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patternType="none">
          <bgColor indexed="65"/>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ill>
        <patternFill>
          <bgColor rgb="FFFF0000"/>
        </patternFill>
      </fill>
    </dxf>
    <dxf>
      <fill>
        <patternFill>
          <bgColor rgb="FFFF0000"/>
        </patternFill>
      </fill>
    </dxf>
    <dxf>
      <fill>
        <patternFill>
          <bgColor indexed="10"/>
        </patternFill>
      </fill>
    </dxf>
    <dxf>
      <fill>
        <patternFill>
          <bgColor rgb="FFFFC000"/>
        </patternFill>
      </fill>
    </dxf>
    <dxf>
      <font>
        <color rgb="FFFFFF99"/>
      </font>
      <fill>
        <patternFill>
          <bgColor rgb="FFFFFF99"/>
        </patternFill>
      </fill>
    </dxf>
    <dxf>
      <fill>
        <patternFill>
          <bgColor indexed="10"/>
        </patternFill>
      </fill>
    </dxf>
    <dxf>
      <fill>
        <patternFill>
          <bgColor rgb="FFFFC000"/>
        </patternFill>
      </fill>
    </dxf>
    <dxf>
      <font>
        <color rgb="FFFFFF99"/>
      </font>
      <fill>
        <patternFill>
          <bgColor rgb="FFFFFF99"/>
        </patternFill>
      </fill>
    </dxf>
    <dxf>
      <font>
        <color rgb="FFFFFF99"/>
      </font>
      <fill>
        <patternFill>
          <bgColor rgb="FFFFFF99"/>
        </patternFill>
      </fill>
    </dxf>
    <dxf>
      <fill>
        <patternFill>
          <bgColor indexed="10"/>
        </patternFill>
      </fill>
    </dxf>
    <dxf>
      <font>
        <color rgb="FFFFFF99"/>
      </font>
      <fill>
        <patternFill>
          <bgColor rgb="FFFFFF99"/>
        </patternFill>
      </fill>
    </dxf>
    <dxf>
      <font>
        <color rgb="FFFFFF99"/>
      </font>
      <fill>
        <patternFill>
          <bgColor rgb="FFFFFF99"/>
        </patternFill>
      </fill>
    </dxf>
    <dxf>
      <font>
        <color rgb="FFFFFF99"/>
      </font>
      <fill>
        <patternFill>
          <bgColor rgb="FFFFFF99"/>
        </patternFill>
      </fill>
    </dxf>
    <dxf>
      <fill>
        <patternFill>
          <bgColor rgb="FFC0C0C0"/>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rgb="FFFF0000"/>
        </patternFill>
      </fill>
    </dxf>
    <dxf>
      <font>
        <color rgb="FFFFFF99"/>
      </font>
      <fill>
        <patternFill>
          <bgColor rgb="FFFFFF99"/>
        </patternFill>
      </fill>
    </dxf>
    <dxf>
      <font>
        <color auto="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FF99"/>
      </font>
    </dxf>
    <dxf>
      <font>
        <color rgb="FFFFFF99"/>
      </font>
    </dxf>
    <dxf>
      <font>
        <color rgb="FFFFFF99"/>
      </font>
    </dxf>
    <dxf>
      <font>
        <color rgb="FFCCFFCC"/>
      </font>
    </dxf>
    <dxf>
      <font>
        <color rgb="FFFFFF99"/>
      </font>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strike/>
        <condense val="0"/>
        <extend val="0"/>
        <color auto="1"/>
      </font>
      <fill>
        <patternFill patternType="solid">
          <bgColor indexed="43"/>
        </patternFill>
      </fill>
    </dxf>
    <dxf>
      <font>
        <color rgb="FFFFFF99"/>
      </font>
    </dxf>
    <dxf>
      <font>
        <strike/>
        <condense val="0"/>
        <extend val="0"/>
        <color auto="1"/>
      </font>
      <fill>
        <patternFill patternType="solid">
          <bgColor indexed="43"/>
        </patternFill>
      </fill>
    </dxf>
    <dxf>
      <font>
        <color rgb="FFFFFF99"/>
      </font>
    </dxf>
    <dxf>
      <fill>
        <patternFill>
          <bgColor indexed="10"/>
        </patternFill>
      </fill>
    </dxf>
    <dxf>
      <font>
        <color rgb="FFFFFF99"/>
      </font>
      <fill>
        <patternFill>
          <bgColor rgb="FFFFFF99"/>
        </patternFill>
      </fill>
    </dxf>
    <dxf>
      <font>
        <color rgb="FFFFFF99"/>
      </font>
    </dxf>
    <dxf>
      <font>
        <strike/>
        <condense val="0"/>
        <extend val="0"/>
        <color auto="1"/>
      </font>
      <fill>
        <patternFill patternType="solid">
          <bgColor indexed="43"/>
        </patternFill>
      </fill>
    </dxf>
    <dxf>
      <font>
        <color rgb="FFFFFF99"/>
      </font>
    </dxf>
    <dxf>
      <font>
        <color rgb="FFFFFF99"/>
      </font>
    </dxf>
    <dxf>
      <fill>
        <patternFill>
          <bgColor rgb="FFFF0000"/>
        </patternFill>
      </fill>
    </dxf>
    <dxf>
      <fill>
        <patternFill>
          <bgColor rgb="FFFFC000"/>
        </patternFill>
      </fill>
    </dxf>
    <dxf>
      <font>
        <color rgb="FFFFFF99"/>
      </font>
    </dxf>
    <dxf>
      <font>
        <color rgb="FFFFFF99"/>
      </font>
    </dxf>
    <dxf>
      <font>
        <color rgb="FFCCFFCC"/>
      </font>
    </dxf>
    <dxf>
      <font>
        <color rgb="FFFFFF99"/>
      </font>
    </dxf>
    <dxf>
      <fill>
        <patternFill>
          <bgColor rgb="FFFF0000"/>
        </patternFill>
      </fill>
    </dxf>
    <dxf>
      <fill>
        <patternFill>
          <bgColor rgb="FFFFC000"/>
        </patternFill>
      </fill>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strike/>
        <condense val="0"/>
        <extend val="0"/>
        <color auto="1"/>
      </font>
      <fill>
        <patternFill patternType="solid">
          <bgColor indexed="43"/>
        </patternFill>
      </fill>
    </dxf>
    <dxf>
      <font>
        <color rgb="FFFFFF99"/>
      </font>
    </dxf>
    <dxf>
      <font>
        <strike/>
        <condense val="0"/>
        <extend val="0"/>
        <color auto="1"/>
      </font>
      <fill>
        <patternFill patternType="solid">
          <bgColor indexed="43"/>
        </patternFill>
      </fill>
    </dxf>
    <dxf>
      <font>
        <color rgb="FFFFFF99"/>
      </font>
    </dxf>
    <dxf>
      <fill>
        <patternFill>
          <bgColor indexed="10"/>
        </patternFill>
      </fill>
    </dxf>
    <dxf>
      <font>
        <color rgb="FFFFFF99"/>
      </font>
      <fill>
        <patternFill>
          <bgColor rgb="FFFFFF99"/>
        </patternFill>
      </fill>
    </dxf>
    <dxf>
      <font>
        <color rgb="FFFFFF99"/>
      </font>
    </dxf>
    <dxf>
      <fill>
        <patternFill>
          <bgColor rgb="FFFFC000"/>
        </patternFill>
      </fill>
    </dxf>
    <dxf>
      <font>
        <strike/>
        <condense val="0"/>
        <extend val="0"/>
        <color auto="1"/>
      </font>
      <fill>
        <patternFill patternType="solid">
          <bgColor indexed="43"/>
        </patternFill>
      </fill>
    </dxf>
    <dxf>
      <font>
        <color rgb="FFFFFF99"/>
      </font>
    </dxf>
    <dxf>
      <font>
        <color rgb="FFFFFF99"/>
      </font>
    </dxf>
    <dxf>
      <fill>
        <patternFill>
          <bgColor rgb="FFFF0000"/>
        </patternFill>
      </fill>
    </dxf>
    <dxf>
      <fill>
        <patternFill>
          <bgColor rgb="FFFFC000"/>
        </patternFill>
      </fill>
    </dxf>
    <dxf>
      <font>
        <color rgb="FFFFFF99"/>
      </font>
    </dxf>
    <dxf>
      <font>
        <color rgb="FFFFFF99"/>
      </font>
    </dxf>
    <dxf>
      <font>
        <color rgb="FFCCFFCC"/>
      </font>
    </dxf>
    <dxf>
      <font>
        <color rgb="FFFFFF99"/>
      </font>
    </dxf>
    <dxf>
      <fill>
        <patternFill>
          <bgColor rgb="FFFF0000"/>
        </patternFill>
      </fill>
    </dxf>
    <dxf>
      <fill>
        <patternFill>
          <bgColor rgb="FFFFC000"/>
        </patternFill>
      </fill>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strike/>
        <condense val="0"/>
        <extend val="0"/>
        <color auto="1"/>
      </font>
      <fill>
        <patternFill patternType="solid">
          <bgColor indexed="43"/>
        </patternFill>
      </fill>
    </dxf>
    <dxf>
      <font>
        <color rgb="FFFFFF99"/>
      </font>
    </dxf>
    <dxf>
      <font>
        <strike/>
        <condense val="0"/>
        <extend val="0"/>
        <color auto="1"/>
      </font>
      <fill>
        <patternFill patternType="solid">
          <bgColor indexed="43"/>
        </patternFill>
      </fill>
    </dxf>
    <dxf>
      <font>
        <color rgb="FFFFFF99"/>
      </font>
    </dxf>
    <dxf>
      <fill>
        <patternFill>
          <bgColor indexed="10"/>
        </patternFill>
      </fill>
    </dxf>
    <dxf>
      <font>
        <color rgb="FFFFFF99"/>
      </font>
      <fill>
        <patternFill>
          <bgColor rgb="FFFFFF99"/>
        </patternFill>
      </fill>
    </dxf>
    <dxf>
      <font>
        <color rgb="FFFFFF99"/>
      </font>
    </dxf>
    <dxf>
      <fill>
        <patternFill>
          <bgColor rgb="FFFFC000"/>
        </patternFill>
      </fill>
    </dxf>
    <dxf>
      <font>
        <strike/>
        <condense val="0"/>
        <extend val="0"/>
        <color auto="1"/>
      </font>
      <fill>
        <patternFill patternType="solid">
          <bgColor indexed="43"/>
        </patternFill>
      </fill>
    </dxf>
    <dxf>
      <font>
        <color rgb="FFFFFF99"/>
      </font>
    </dxf>
    <dxf>
      <font>
        <color rgb="FFFFFF99"/>
      </font>
    </dxf>
    <dxf>
      <fill>
        <patternFill>
          <bgColor rgb="FFFF0000"/>
        </patternFill>
      </fill>
    </dxf>
    <dxf>
      <fill>
        <patternFill>
          <bgColor rgb="FFFFC000"/>
        </patternFill>
      </fill>
    </dxf>
    <dxf>
      <fill>
        <patternFill>
          <bgColor rgb="FFFFFF99"/>
        </patternFill>
      </fill>
    </dxf>
    <dxf>
      <font>
        <color rgb="FFFFFF99"/>
      </font>
    </dxf>
    <dxf>
      <font>
        <color rgb="FFFFFF99"/>
      </font>
    </dxf>
    <dxf>
      <font>
        <color rgb="FFCCFFCC"/>
      </font>
    </dxf>
    <dxf>
      <font>
        <color rgb="FFFFFF99"/>
      </font>
    </dxf>
    <dxf>
      <fill>
        <patternFill>
          <bgColor rgb="FFFF0000"/>
        </patternFill>
      </fill>
    </dxf>
    <dxf>
      <fill>
        <patternFill>
          <bgColor rgb="FFFFC000"/>
        </patternFill>
      </fill>
    </dxf>
    <dxf>
      <fill>
        <patternFill>
          <bgColor rgb="FFFFFF99"/>
        </patternFill>
      </fill>
    </dxf>
    <dxf>
      <font>
        <color rgb="FFFFFF99"/>
      </font>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strike/>
        <condense val="0"/>
        <extend val="0"/>
        <color auto="1"/>
      </font>
      <fill>
        <patternFill patternType="solid">
          <bgColor indexed="43"/>
        </patternFill>
      </fill>
    </dxf>
    <dxf>
      <font>
        <strike/>
        <condense val="0"/>
        <extend val="0"/>
        <color auto="1"/>
      </font>
      <fill>
        <patternFill patternType="solid">
          <bgColor indexed="43"/>
        </patternFill>
      </fill>
    </dxf>
    <dxf>
      <fill>
        <patternFill>
          <bgColor rgb="FFFF0000"/>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rgb="FFFFC000"/>
        </patternFill>
      </fill>
    </dxf>
    <dxf>
      <font>
        <color rgb="FFFFFF99"/>
      </font>
    </dxf>
    <dxf>
      <font>
        <color rgb="FFCCFFCC"/>
      </font>
    </dxf>
    <dxf>
      <font>
        <color rgb="FFFFFF99"/>
      </font>
    </dxf>
    <dxf>
      <font>
        <color rgb="FFFFFF99"/>
      </font>
    </dxf>
    <dxf>
      <font>
        <color rgb="FFFFFF99"/>
      </font>
    </dxf>
    <dxf>
      <font>
        <color rgb="FFFFFF99"/>
      </font>
    </dxf>
    <dxf>
      <font>
        <color rgb="FFFFFF99"/>
      </font>
    </dxf>
    <dxf>
      <font>
        <color rgb="FFFFFF99"/>
      </font>
    </dxf>
    <dxf>
      <font>
        <strike/>
        <condense val="0"/>
        <extend val="0"/>
        <color auto="1"/>
      </font>
      <fill>
        <patternFill patternType="solid">
          <bgColor indexed="43"/>
        </patternFill>
      </fill>
    </dxf>
    <dxf>
      <font>
        <strike/>
        <condense val="0"/>
        <extend val="0"/>
        <color auto="1"/>
      </font>
      <fill>
        <patternFill patternType="solid">
          <bgColor indexed="43"/>
        </patternFill>
      </fill>
    </dxf>
    <dxf>
      <font>
        <strike/>
        <condense val="0"/>
        <extend val="0"/>
        <color auto="1"/>
      </font>
      <fill>
        <patternFill patternType="solid">
          <bgColor indexed="43"/>
        </patternFill>
      </fill>
    </dxf>
    <dxf>
      <font>
        <strike/>
        <condense val="0"/>
        <extend val="0"/>
        <color auto="1"/>
      </font>
      <fill>
        <patternFill patternType="solid">
          <bgColor indexed="43"/>
        </patternFill>
      </fill>
    </dxf>
    <dxf>
      <font>
        <strike/>
        <condense val="0"/>
        <extend val="0"/>
        <color auto="1"/>
      </font>
      <fill>
        <patternFill patternType="solid">
          <bgColor indexed="43"/>
        </patternFill>
      </fill>
    </dxf>
    <dxf>
      <font>
        <strike/>
        <condense val="0"/>
        <extend val="0"/>
        <color auto="1"/>
      </font>
      <fill>
        <patternFill patternType="solid">
          <bgColor indexed="43"/>
        </patternFill>
      </fill>
    </dxf>
    <dxf>
      <font>
        <strike/>
        <condense val="0"/>
        <extend val="0"/>
        <color auto="1"/>
      </font>
      <fill>
        <patternFill patternType="solid">
          <bgColor indexed="43"/>
        </patternFill>
      </fill>
    </dxf>
    <dxf>
      <font>
        <color rgb="FFFFFF99"/>
      </font>
    </dxf>
    <dxf>
      <font>
        <strike/>
        <condense val="0"/>
        <extend val="0"/>
        <color auto="1"/>
      </font>
      <fill>
        <patternFill patternType="solid">
          <bgColor indexed="43"/>
        </patternFill>
      </fill>
    </dxf>
    <dxf>
      <font>
        <color rgb="FFFFFF99"/>
      </font>
    </dxf>
    <dxf>
      <fill>
        <patternFill>
          <bgColor indexed="10"/>
        </patternFill>
      </fill>
    </dxf>
    <dxf>
      <fill>
        <patternFill>
          <bgColor rgb="FFFFC000"/>
        </patternFill>
      </fill>
    </dxf>
    <dxf>
      <font>
        <color rgb="FFFFFF99"/>
      </font>
      <fill>
        <patternFill patternType="solid">
          <bgColor rgb="FFFFFF99"/>
        </patternFill>
      </fill>
    </dxf>
    <dxf>
      <font>
        <color rgb="FFFFFF99"/>
      </font>
    </dxf>
    <dxf>
      <font>
        <strike/>
        <condense val="0"/>
        <extend val="0"/>
        <color auto="1"/>
      </font>
      <fill>
        <patternFill patternType="solid">
          <bgColor indexed="43"/>
        </patternFill>
      </fill>
    </dxf>
    <dxf>
      <font>
        <color rgb="FFFFFF99"/>
      </font>
    </dxf>
    <dxf>
      <font>
        <color rgb="FFFFFF99"/>
      </font>
    </dxf>
    <dxf>
      <fill>
        <patternFill>
          <bgColor rgb="FFFF0000"/>
        </patternFill>
      </fill>
    </dxf>
    <dxf>
      <fill>
        <patternFill>
          <bgColor rgb="FFFF0000"/>
        </patternFill>
      </fill>
    </dxf>
    <dxf>
      <fill>
        <patternFill>
          <bgColor rgb="FFFF0000"/>
        </patternFill>
      </fill>
    </dxf>
    <dxf>
      <fill>
        <patternFill>
          <bgColor indexed="10"/>
        </patternFill>
      </fill>
    </dxf>
    <dxf>
      <font>
        <color rgb="FFFFFF99"/>
      </font>
      <fill>
        <patternFill>
          <bgColor rgb="FFFFFF99"/>
        </patternFill>
      </fill>
    </dxf>
    <dxf>
      <font>
        <color rgb="FFFFFF99"/>
      </font>
      <fill>
        <patternFill>
          <bgColor rgb="FFFFFF99"/>
        </patternFill>
      </fill>
    </dxf>
    <dxf>
      <fill>
        <patternFill>
          <bgColor indexed="10"/>
        </patternFill>
      </fill>
    </dxf>
    <dxf>
      <fill>
        <patternFill>
          <bgColor rgb="FFFFC00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indexed="10"/>
        </patternFill>
      </fill>
    </dxf>
    <dxf>
      <font>
        <color rgb="FFFFFF99"/>
      </font>
      <fill>
        <patternFill>
          <bgColor rgb="FFFFFF99"/>
        </patternFill>
      </fill>
    </dxf>
    <dxf>
      <fill>
        <patternFill>
          <bgColor rgb="FFFFC000"/>
        </patternFill>
      </fill>
    </dxf>
    <dxf>
      <fill>
        <patternFill>
          <bgColor indexed="10"/>
        </patternFill>
      </fill>
    </dxf>
    <dxf>
      <fill>
        <patternFill>
          <bgColor rgb="FFFFC000"/>
        </patternFill>
      </fill>
    </dxf>
    <dxf>
      <font>
        <color rgb="FFFFFF99"/>
      </font>
      <fill>
        <patternFill>
          <bgColor rgb="FFFFFF99"/>
        </patternFill>
      </fill>
    </dxf>
    <dxf>
      <fill>
        <patternFill>
          <bgColor rgb="FFFF99CC"/>
        </patternFill>
      </fill>
    </dxf>
    <dxf>
      <fill>
        <patternFill>
          <bgColor rgb="FFFF99CC"/>
        </patternFill>
      </fill>
    </dxf>
    <dxf>
      <font>
        <color rgb="FFCCFFCC"/>
        <name val="Cambria"/>
        <scheme val="none"/>
      </font>
    </dxf>
    <dxf>
      <font>
        <color rgb="FFFFFF99"/>
      </font>
    </dxf>
    <dxf>
      <font>
        <condense val="0"/>
        <extend val="0"/>
        <color auto="1"/>
      </font>
      <fill>
        <patternFill>
          <bgColor indexed="47"/>
        </patternFill>
      </fill>
      <border>
        <left style="thin">
          <color indexed="64"/>
        </left>
        <right style="thin">
          <color indexed="64"/>
        </right>
        <top style="thin">
          <color indexed="64"/>
        </top>
        <bottom style="thin">
          <color indexed="64"/>
        </bottom>
      </border>
    </dxf>
    <dxf>
      <font>
        <color rgb="FFCCFFCC"/>
        <name val="Cambria"/>
        <scheme val="none"/>
      </font>
    </dxf>
    <dxf>
      <font>
        <condense val="0"/>
        <extend val="0"/>
        <color auto="1"/>
      </font>
      <fill>
        <patternFill>
          <bgColor indexed="47"/>
        </patternFill>
      </fill>
      <border>
        <left style="thin">
          <color indexed="64"/>
        </left>
        <right style="thin">
          <color indexed="64"/>
        </right>
        <top style="thin">
          <color indexed="64"/>
        </top>
        <bottom style="thin">
          <color indexed="64"/>
        </bottom>
      </border>
    </dxf>
    <dxf>
      <font>
        <condense val="0"/>
        <extend val="0"/>
        <color auto="1"/>
      </font>
      <fill>
        <patternFill>
          <bgColor indexed="47"/>
        </patternFill>
      </fill>
      <border>
        <left style="thin">
          <color indexed="64"/>
        </left>
        <right style="thin">
          <color indexed="64"/>
        </right>
        <top style="thin">
          <color indexed="64"/>
        </top>
        <bottom style="thin">
          <color indexed="64"/>
        </bottom>
      </border>
    </dxf>
    <dxf>
      <font>
        <condense val="0"/>
        <extend val="0"/>
        <color auto="1"/>
      </font>
      <fill>
        <patternFill>
          <bgColor indexed="43"/>
        </patternFill>
      </fill>
      <border>
        <left style="thin">
          <color indexed="64"/>
        </left>
        <top style="thin">
          <color indexed="64"/>
        </top>
        <bottom style="thin">
          <color indexed="64"/>
        </bottom>
      </border>
    </dxf>
    <dxf>
      <font>
        <condense val="0"/>
        <extend val="0"/>
        <color auto="1"/>
      </font>
      <fill>
        <patternFill>
          <bgColor indexed="43"/>
        </patternFill>
      </fill>
      <border>
        <left style="thin">
          <color indexed="64"/>
        </left>
        <top style="thin">
          <color indexed="64"/>
        </top>
        <bottom style="thin">
          <color indexed="64"/>
        </bottom>
      </border>
    </dxf>
    <dxf>
      <font>
        <condense val="0"/>
        <extend val="0"/>
        <color auto="1"/>
      </font>
      <fill>
        <patternFill>
          <bgColor indexed="43"/>
        </patternFill>
      </fill>
      <border>
        <left style="thin">
          <color indexed="64"/>
        </left>
        <top style="thin">
          <color indexed="64"/>
        </top>
        <bottom style="thin">
          <color indexed="64"/>
        </bottom>
      </border>
    </dxf>
    <dxf>
      <font>
        <condense val="0"/>
        <extend val="0"/>
        <color auto="1"/>
      </font>
      <fill>
        <patternFill>
          <bgColor indexed="43"/>
        </patternFill>
      </fill>
      <border>
        <left style="thin">
          <color indexed="64"/>
        </left>
        <top style="thin">
          <color indexed="64"/>
        </top>
        <bottom style="thin">
          <color indexed="64"/>
        </bottom>
      </border>
    </dxf>
    <dxf>
      <font>
        <color rgb="FFCCFFCC"/>
        <name val="Cambria"/>
        <scheme val="none"/>
      </font>
    </dxf>
    <dxf>
      <font>
        <condense val="0"/>
        <extend val="0"/>
        <color auto="1"/>
      </font>
      <fill>
        <patternFill patternType="solid">
          <bgColor indexed="43"/>
        </patternFill>
      </fill>
      <border>
        <left/>
        <right style="thin">
          <color indexed="64"/>
        </right>
        <top style="thin">
          <color indexed="64"/>
        </top>
        <bottom style="thin">
          <color indexed="64"/>
        </bottom>
      </border>
    </dxf>
    <dxf>
      <fill>
        <patternFill>
          <bgColor indexed="10"/>
        </patternFill>
      </fill>
    </dxf>
    <dxf>
      <font>
        <color rgb="FFCCFFCC"/>
        <name val="Cambria"/>
        <scheme val="none"/>
      </font>
    </dxf>
    <dxf>
      <font>
        <color rgb="FFCCFFCC"/>
        <name val="Cambria"/>
        <scheme val="none"/>
      </font>
    </dxf>
    <dxf>
      <fill>
        <patternFill>
          <bgColor indexed="10"/>
        </patternFill>
      </fill>
    </dxf>
    <dxf>
      <fill>
        <patternFill>
          <bgColor rgb="FF99CCFF"/>
        </patternFill>
      </fill>
    </dxf>
    <dxf>
      <font>
        <condense val="0"/>
        <extend val="0"/>
        <color indexed="43"/>
      </font>
    </dxf>
    <dxf>
      <font>
        <condense val="0"/>
        <extend val="0"/>
        <color auto="1"/>
      </font>
      <fill>
        <patternFill patternType="solid">
          <bgColor indexed="43"/>
        </patternFill>
      </fill>
      <border>
        <left/>
        <right style="thin">
          <color indexed="64"/>
        </right>
        <top style="thin">
          <color indexed="64"/>
        </top>
        <bottom style="thin">
          <color indexed="64"/>
        </bottom>
      </border>
    </dxf>
    <dxf>
      <font>
        <condense val="0"/>
        <extend val="0"/>
        <color indexed="43"/>
      </font>
    </dxf>
    <dxf>
      <font>
        <condense val="0"/>
        <extend val="0"/>
        <color auto="1"/>
      </font>
      <fill>
        <patternFill>
          <bgColor indexed="43"/>
        </patternFill>
      </fill>
      <border>
        <right style="thin">
          <color indexed="64"/>
        </right>
        <top style="thin">
          <color indexed="64"/>
        </top>
        <bottom style="thin">
          <color indexed="64"/>
        </bottom>
      </border>
    </dxf>
    <dxf>
      <font>
        <condense val="0"/>
        <extend val="0"/>
        <color auto="1"/>
      </font>
      <fill>
        <patternFill patternType="solid">
          <bgColor indexed="43"/>
        </patternFill>
      </fill>
      <border>
        <left/>
        <right style="thin">
          <color indexed="64"/>
        </right>
        <top style="thin">
          <color indexed="64"/>
        </top>
        <bottom style="thin">
          <color indexed="64"/>
        </bottom>
      </border>
    </dxf>
    <dxf>
      <font>
        <condense val="0"/>
        <extend val="0"/>
        <color indexed="43"/>
      </font>
    </dxf>
    <dxf>
      <fill>
        <patternFill>
          <bgColor indexed="10"/>
        </patternFill>
      </fill>
    </dxf>
    <dxf>
      <font>
        <condense val="0"/>
        <extend val="0"/>
        <color indexed="9"/>
      </font>
    </dxf>
    <dxf>
      <font>
        <condense val="0"/>
        <extend val="0"/>
      </font>
      <fill>
        <patternFill patternType="solid">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ill>
        <patternFill>
          <bgColor rgb="FFFF0000"/>
        </patternFill>
      </fill>
    </dxf>
    <dxf>
      <fill>
        <patternFill>
          <bgColor rgb="FFCCFFCC"/>
        </patternFill>
      </fill>
    </dxf>
    <dxf>
      <fill>
        <patternFill>
          <bgColor rgb="FFFFFF99"/>
        </patternFill>
      </fill>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ill>
        <patternFill>
          <bgColor indexed="10"/>
        </patternFill>
      </fill>
    </dxf>
    <dxf>
      <font>
        <condense val="0"/>
        <extend val="0"/>
        <color indexed="9"/>
      </font>
    </dxf>
    <dxf>
      <font>
        <condense val="0"/>
        <extend val="0"/>
      </font>
      <fill>
        <patternFill patternType="solid">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ont>
        <condense val="0"/>
        <extend val="0"/>
        <color indexed="43"/>
      </font>
    </dxf>
    <dxf>
      <fill>
        <patternFill>
          <bgColor indexed="10"/>
        </patternFill>
      </fill>
    </dxf>
    <dxf>
      <font>
        <condense val="0"/>
        <extend val="0"/>
        <color indexed="9"/>
      </font>
    </dxf>
    <dxf>
      <font>
        <condense val="0"/>
        <extend val="0"/>
      </font>
      <fill>
        <patternFill patternType="solid">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ill>
        <patternFill>
          <bgColor theme="0" tint="-0.24994659260841701"/>
        </patternFill>
      </fill>
    </dxf>
    <dxf>
      <fill>
        <patternFill>
          <bgColor theme="0" tint="-0.24994659260841701"/>
        </patternFill>
      </fill>
    </dxf>
    <dxf>
      <fill>
        <patternFill>
          <bgColor rgb="FFCCFFCC"/>
        </patternFill>
      </fill>
    </dxf>
    <dxf>
      <fill>
        <patternFill>
          <bgColor rgb="FFCCFFCC"/>
        </patternFill>
      </fill>
    </dxf>
    <dxf>
      <font>
        <condense val="0"/>
        <extend val="0"/>
        <color indexed="43"/>
      </font>
    </dxf>
    <dxf>
      <font>
        <condense val="0"/>
        <extend val="0"/>
        <color indexed="9"/>
      </font>
    </dxf>
    <dxf>
      <font>
        <condense val="0"/>
        <extend val="0"/>
        <color indexed="43"/>
      </font>
    </dxf>
    <dxf>
      <font>
        <condense val="0"/>
        <extend val="0"/>
        <color indexed="9"/>
      </font>
    </dxf>
    <dxf>
      <font>
        <condense val="0"/>
        <extend val="0"/>
        <color indexed="43"/>
      </font>
    </dxf>
    <dxf>
      <font>
        <condense val="0"/>
        <extend val="0"/>
        <color indexed="9"/>
      </font>
    </dxf>
    <dxf>
      <font>
        <condense val="0"/>
        <extend val="0"/>
        <color indexed="43"/>
      </font>
    </dxf>
    <dxf>
      <font>
        <condense val="0"/>
        <extend val="0"/>
        <color indexed="9"/>
      </font>
    </dxf>
    <dxf>
      <fill>
        <patternFill>
          <bgColor rgb="FFFF0000"/>
        </patternFill>
      </fill>
    </dxf>
    <dxf>
      <font>
        <b val="0"/>
        <i val="0"/>
        <strike val="0"/>
        <u val="none"/>
        <color theme="1"/>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ndense val="0"/>
        <extend val="0"/>
        <color indexed="43"/>
      </font>
    </dxf>
    <dxf>
      <font>
        <condense val="0"/>
        <extend val="0"/>
        <color indexed="43"/>
      </font>
    </dxf>
    <dxf>
      <font>
        <condense val="0"/>
        <extend val="0"/>
        <color indexed="43"/>
      </font>
    </dxf>
    <dxf>
      <fill>
        <patternFill>
          <bgColor rgb="FFFF0000"/>
        </patternFill>
      </fill>
    </dxf>
    <dxf>
      <font>
        <color rgb="FFFFFF99"/>
      </font>
    </dxf>
    <dxf>
      <font>
        <condense val="0"/>
        <extend val="0"/>
        <color indexed="43"/>
      </font>
    </dxf>
    <dxf>
      <font>
        <color rgb="FFFFFF9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ill>
        <patternFill>
          <bgColor rgb="FFFF99CC"/>
        </patternFill>
      </fill>
    </dxf>
    <dxf>
      <font>
        <condense val="0"/>
        <extend val="0"/>
        <color indexed="9"/>
      </font>
    </dxf>
    <dxf>
      <font>
        <condense val="0"/>
        <extend val="0"/>
        <color indexed="9"/>
      </font>
    </dxf>
    <dxf>
      <font>
        <condense val="0"/>
        <extend val="0"/>
        <color indexed="43"/>
      </font>
    </dxf>
    <dxf>
      <font>
        <condense val="0"/>
        <extend val="0"/>
        <color indexed="9"/>
      </font>
    </dxf>
    <dxf>
      <font>
        <condense val="0"/>
        <extend val="0"/>
        <color indexed="43"/>
      </font>
    </dxf>
    <dxf>
      <font>
        <condense val="0"/>
        <extend val="0"/>
        <color indexed="43"/>
      </font>
    </dxf>
    <dxf>
      <font>
        <condense val="0"/>
        <extend val="0"/>
        <color indexed="43"/>
      </font>
    </dxf>
    <dxf>
      <font>
        <color rgb="FFCCFFCC"/>
        <name val="Cambria"/>
        <scheme val="none"/>
      </font>
    </dxf>
    <dxf>
      <font>
        <condense val="0"/>
        <extend val="0"/>
        <color indexed="9"/>
      </font>
    </dxf>
    <dxf>
      <fill>
        <patternFill>
          <bgColor indexed="10"/>
        </patternFill>
      </fill>
    </dxf>
    <dxf>
      <font>
        <condense val="0"/>
        <extend val="0"/>
        <color indexed="9"/>
      </font>
    </dxf>
    <dxf>
      <font>
        <condense val="0"/>
        <extend val="0"/>
      </font>
      <fill>
        <patternFill patternType="solid">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ont>
        <condense val="0"/>
        <extend val="0"/>
      </font>
      <fill>
        <patternFill patternType="solid">
          <bgColor indexed="10"/>
        </patternFill>
      </fill>
    </dxf>
    <dxf>
      <font>
        <condense val="0"/>
        <extend val="0"/>
        <color indexed="9"/>
      </font>
    </dxf>
    <dxf>
      <fill>
        <patternFill>
          <bgColor indexed="10"/>
        </patternFill>
      </fill>
    </dxf>
    <dxf>
      <font>
        <condense val="0"/>
        <extend val="0"/>
        <color indexed="9"/>
      </font>
    </dxf>
    <dxf>
      <fill>
        <patternFill>
          <bgColor indexed="10"/>
        </patternFill>
      </fill>
    </dxf>
    <dxf>
      <font>
        <condense val="0"/>
        <extend val="0"/>
        <color indexed="9"/>
      </font>
    </dxf>
    <dxf>
      <font>
        <b/>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fill>
        <patternFill patternType="solid">
          <fgColor indexed="64"/>
          <bgColor indexed="13"/>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fill>
        <patternFill patternType="solid">
          <fgColor indexed="64"/>
          <bgColor indexed="13"/>
        </patternFill>
      </fill>
      <alignment horizontal="center" vertical="center" textRotation="0" wrapText="0" indent="0" justifyLastLine="0" shrinkToFit="0" readingOrder="0"/>
      <protection locked="1" hidden="1"/>
    </dxf>
    <dxf>
      <font>
        <b val="0"/>
        <i val="0"/>
        <strike val="0"/>
        <condense val="0"/>
        <extend val="0"/>
        <outline val="0"/>
        <shadow val="0"/>
        <u val="none"/>
        <vertAlign val="baseline"/>
        <sz val="10"/>
        <color auto="1"/>
        <name val="Arial"/>
        <family val="2"/>
        <scheme val="none"/>
      </font>
    </dxf>
    <dxf>
      <font>
        <b/>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fill>
        <patternFill patternType="solid">
          <fgColor indexed="64"/>
          <bgColor indexed="13"/>
        </patternFill>
      </fill>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alignment horizontal="center" vertical="center" textRotation="0" wrapText="0" indent="0" justifyLastLine="0" shrinkToFit="0" readingOrder="0"/>
      <protection locked="1" hidden="1"/>
    </dxf>
    <dxf>
      <font>
        <b/>
        <i val="0"/>
        <strike val="0"/>
        <condense val="0"/>
        <extend val="0"/>
        <outline val="0"/>
        <shadow val="0"/>
        <u val="none"/>
        <vertAlign val="baseline"/>
        <sz val="8"/>
        <color auto="1"/>
        <name val="Arial Narrow"/>
        <family val="2"/>
        <scheme val="none"/>
      </font>
      <fill>
        <patternFill patternType="solid">
          <fgColor indexed="64"/>
          <bgColor indexed="13"/>
        </patternFill>
      </fill>
      <alignment horizontal="center" vertical="center" textRotation="0" wrapText="0" indent="0" justifyLastLine="0" shrinkToFit="0" readingOrder="0"/>
      <protection locked="1" hidden="1"/>
    </dxf>
  </dxfs>
  <tableStyles count="0" defaultTableStyle="TableStyleMedium9" defaultPivotStyle="PivotStyleLight16"/>
  <colors>
    <mruColors>
      <color rgb="FFCCFFCC"/>
      <color rgb="FFC0C0C0"/>
      <color rgb="FF99FF99"/>
      <color rgb="FFFFFF99"/>
      <color rgb="FF969696"/>
      <color rgb="FF99CCFF"/>
      <color rgb="FF00CC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styles" Target="styles.xml"/><Relationship Id="rId47"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theme" Target="theme/theme1.xml"/><Relationship Id="rId45"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sharedStrings" Target="sharedStrings.xml"/><Relationship Id="rId48"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cked"/>
        <c:varyColors val="0"/>
        <c:ser>
          <c:idx val="0"/>
          <c:order val="0"/>
          <c:tx>
            <c:strRef>
              <c:f>LoadProfile!$AL$8</c:f>
              <c:strCache>
                <c:ptCount val="1"/>
                <c:pt idx="0">
                  <c:v>0</c:v>
                </c:pt>
              </c:strCache>
            </c:strRef>
          </c:tx>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LoadProfile!$AM$8:$IJ$8</c:f>
            </c:numRef>
          </c:val>
          <c:extLst>
            <c:ext xmlns:c16="http://schemas.microsoft.com/office/drawing/2014/chart" uri="{C3380CC4-5D6E-409C-BE32-E72D297353CC}">
              <c16:uniqueId val="{00000000-D28F-4BB2-9BFE-B3BFB4F88F05}"/>
            </c:ext>
          </c:extLst>
        </c:ser>
        <c:ser>
          <c:idx val="1"/>
          <c:order val="1"/>
          <c:tx>
            <c:strRef>
              <c:f>LoadProfile!$AL$9</c:f>
              <c:strCache>
                <c:ptCount val="1"/>
                <c:pt idx="0">
                  <c:v>0</c:v>
                </c:pt>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LoadProfile!$AM$9:$IJ$9</c:f>
            </c:numRef>
          </c:val>
          <c:extLst>
            <c:ext xmlns:c16="http://schemas.microsoft.com/office/drawing/2014/chart" uri="{C3380CC4-5D6E-409C-BE32-E72D297353CC}">
              <c16:uniqueId val="{00000001-D28F-4BB2-9BFE-B3BFB4F88F05}"/>
            </c:ext>
          </c:extLst>
        </c:ser>
        <c:ser>
          <c:idx val="2"/>
          <c:order val="2"/>
          <c:tx>
            <c:strRef>
              <c:f>LoadProfile!$AL$10</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LoadProfile!$AM$10:$IJ$10</c:f>
            </c:numRef>
          </c:val>
          <c:extLst>
            <c:ext xmlns:c16="http://schemas.microsoft.com/office/drawing/2014/chart" uri="{C3380CC4-5D6E-409C-BE32-E72D297353CC}">
              <c16:uniqueId val="{00000002-D28F-4BB2-9BFE-B3BFB4F88F05}"/>
            </c:ext>
          </c:extLst>
        </c:ser>
        <c:ser>
          <c:idx val="3"/>
          <c:order val="3"/>
          <c:tx>
            <c:strRef>
              <c:f>LoadProfile!$AL$11</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LoadProfile!$AM$11:$IJ$11</c:f>
            </c:numRef>
          </c:val>
          <c:extLst>
            <c:ext xmlns:c16="http://schemas.microsoft.com/office/drawing/2014/chart" uri="{C3380CC4-5D6E-409C-BE32-E72D297353CC}">
              <c16:uniqueId val="{00000003-D28F-4BB2-9BFE-B3BFB4F88F05}"/>
            </c:ext>
          </c:extLst>
        </c:ser>
        <c:ser>
          <c:idx val="4"/>
          <c:order val="4"/>
          <c:tx>
            <c:strRef>
              <c:f>LoadProfile!$AL$12</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LoadProfile!$AM$12:$IJ$12</c:f>
            </c:numRef>
          </c:val>
          <c:extLst>
            <c:ext xmlns:c16="http://schemas.microsoft.com/office/drawing/2014/chart" uri="{C3380CC4-5D6E-409C-BE32-E72D297353CC}">
              <c16:uniqueId val="{00000004-D28F-4BB2-9BFE-B3BFB4F88F05}"/>
            </c:ext>
          </c:extLst>
        </c:ser>
        <c:ser>
          <c:idx val="5"/>
          <c:order val="5"/>
          <c:tx>
            <c:strRef>
              <c:f>LoadProfile!$AL$13</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LoadProfile!$AM$13:$IJ$13</c:f>
            </c:numRef>
          </c:val>
          <c:extLst>
            <c:ext xmlns:c16="http://schemas.microsoft.com/office/drawing/2014/chart" uri="{C3380CC4-5D6E-409C-BE32-E72D297353CC}">
              <c16:uniqueId val="{00000005-D28F-4BB2-9BFE-B3BFB4F88F05}"/>
            </c:ext>
          </c:extLst>
        </c:ser>
        <c:ser>
          <c:idx val="6"/>
          <c:order val="6"/>
          <c:tx>
            <c:strRef>
              <c:f>LoadProfile!$AL$14</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LoadProfile!$AM$14:$IJ$14</c:f>
            </c:numRef>
          </c:val>
          <c:extLst>
            <c:ext xmlns:c16="http://schemas.microsoft.com/office/drawing/2014/chart" uri="{C3380CC4-5D6E-409C-BE32-E72D297353CC}">
              <c16:uniqueId val="{00000006-D28F-4BB2-9BFE-B3BFB4F88F05}"/>
            </c:ext>
          </c:extLst>
        </c:ser>
        <c:ser>
          <c:idx val="7"/>
          <c:order val="7"/>
          <c:tx>
            <c:strRef>
              <c:f>LoadProfile!$AL$15</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LoadProfile!$AM$15:$IJ$15</c:f>
            </c:numRef>
          </c:val>
          <c:extLst>
            <c:ext xmlns:c16="http://schemas.microsoft.com/office/drawing/2014/chart" uri="{C3380CC4-5D6E-409C-BE32-E72D297353CC}">
              <c16:uniqueId val="{00000007-D28F-4BB2-9BFE-B3BFB4F88F05}"/>
            </c:ext>
          </c:extLst>
        </c:ser>
        <c:ser>
          <c:idx val="8"/>
          <c:order val="8"/>
          <c:tx>
            <c:strRef>
              <c:f>LoadProfile!$AL$16</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LoadProfile!$AM$16:$IJ$16</c:f>
            </c:numRef>
          </c:val>
          <c:extLst>
            <c:ext xmlns:c16="http://schemas.microsoft.com/office/drawing/2014/chart" uri="{C3380CC4-5D6E-409C-BE32-E72D297353CC}">
              <c16:uniqueId val="{00000008-D28F-4BB2-9BFE-B3BFB4F88F05}"/>
            </c:ext>
          </c:extLst>
        </c:ser>
        <c:ser>
          <c:idx val="9"/>
          <c:order val="9"/>
          <c:tx>
            <c:strRef>
              <c:f>LoadProfile!$AL$17</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LoadProfile!$AM$17:$IJ$17</c:f>
            </c:numRef>
          </c:val>
          <c:extLst>
            <c:ext xmlns:c16="http://schemas.microsoft.com/office/drawing/2014/chart" uri="{C3380CC4-5D6E-409C-BE32-E72D297353CC}">
              <c16:uniqueId val="{00000009-D28F-4BB2-9BFE-B3BFB4F88F05}"/>
            </c:ext>
          </c:extLst>
        </c:ser>
        <c:ser>
          <c:idx val="10"/>
          <c:order val="10"/>
          <c:tx>
            <c:strRef>
              <c:f>LoadProfile!$AL$18</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LoadProfile!$AM$18:$IJ$18</c:f>
            </c:numRef>
          </c:val>
          <c:extLst>
            <c:ext xmlns:c16="http://schemas.microsoft.com/office/drawing/2014/chart" uri="{C3380CC4-5D6E-409C-BE32-E72D297353CC}">
              <c16:uniqueId val="{0000000A-D28F-4BB2-9BFE-B3BFB4F88F05}"/>
            </c:ext>
          </c:extLst>
        </c:ser>
        <c:ser>
          <c:idx val="11"/>
          <c:order val="11"/>
          <c:tx>
            <c:strRef>
              <c:f>LoadProfile!$AL$19</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LoadProfile!$AM$19:$IJ$19</c:f>
            </c:numRef>
          </c:val>
          <c:extLst>
            <c:ext xmlns:c16="http://schemas.microsoft.com/office/drawing/2014/chart" uri="{C3380CC4-5D6E-409C-BE32-E72D297353CC}">
              <c16:uniqueId val="{0000000B-D28F-4BB2-9BFE-B3BFB4F88F05}"/>
            </c:ext>
          </c:extLst>
        </c:ser>
        <c:ser>
          <c:idx val="12"/>
          <c:order val="12"/>
          <c:tx>
            <c:strRef>
              <c:f>LoadProfile!$AL$20</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LoadProfile!$AM$20:$IJ$20</c:f>
            </c:numRef>
          </c:val>
          <c:extLst>
            <c:ext xmlns:c16="http://schemas.microsoft.com/office/drawing/2014/chart" uri="{C3380CC4-5D6E-409C-BE32-E72D297353CC}">
              <c16:uniqueId val="{0000000C-D28F-4BB2-9BFE-B3BFB4F88F05}"/>
            </c:ext>
          </c:extLst>
        </c:ser>
        <c:ser>
          <c:idx val="13"/>
          <c:order val="13"/>
          <c:tx>
            <c:strRef>
              <c:f>LoadProfile!$AL$21</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LoadProfile!$AM$21:$IJ$21</c:f>
            </c:numRef>
          </c:val>
          <c:extLst>
            <c:ext xmlns:c16="http://schemas.microsoft.com/office/drawing/2014/chart" uri="{C3380CC4-5D6E-409C-BE32-E72D297353CC}">
              <c16:uniqueId val="{0000000D-D28F-4BB2-9BFE-B3BFB4F88F05}"/>
            </c:ext>
          </c:extLst>
        </c:ser>
        <c:ser>
          <c:idx val="14"/>
          <c:order val="14"/>
          <c:tx>
            <c:strRef>
              <c:f>LoadProfile!$AL$22</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LoadProfile!$AM$22:$IJ$22</c:f>
            </c:numRef>
          </c:val>
          <c:extLst>
            <c:ext xmlns:c16="http://schemas.microsoft.com/office/drawing/2014/chart" uri="{C3380CC4-5D6E-409C-BE32-E72D297353CC}">
              <c16:uniqueId val="{0000000E-D28F-4BB2-9BFE-B3BFB4F88F05}"/>
            </c:ext>
          </c:extLst>
        </c:ser>
        <c:ser>
          <c:idx val="15"/>
          <c:order val="15"/>
          <c:tx>
            <c:strRef>
              <c:f>LoadProfile!$AL$23</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LoadProfile!$AM$23:$IJ$23</c:f>
            </c:numRef>
          </c:val>
          <c:extLst>
            <c:ext xmlns:c16="http://schemas.microsoft.com/office/drawing/2014/chart" uri="{C3380CC4-5D6E-409C-BE32-E72D297353CC}">
              <c16:uniqueId val="{0000000F-D28F-4BB2-9BFE-B3BFB4F88F05}"/>
            </c:ext>
          </c:extLst>
        </c:ser>
        <c:ser>
          <c:idx val="16"/>
          <c:order val="16"/>
          <c:tx>
            <c:strRef>
              <c:f>LoadProfile!$AL$24</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LoadProfile!$AM$24:$IJ$24</c:f>
            </c:numRef>
          </c:val>
          <c:extLst>
            <c:ext xmlns:c16="http://schemas.microsoft.com/office/drawing/2014/chart" uri="{C3380CC4-5D6E-409C-BE32-E72D297353CC}">
              <c16:uniqueId val="{00000010-D28F-4BB2-9BFE-B3BFB4F88F05}"/>
            </c:ext>
          </c:extLst>
        </c:ser>
        <c:ser>
          <c:idx val="17"/>
          <c:order val="17"/>
          <c:tx>
            <c:strRef>
              <c:f>LoadProfile!$AL$25</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LoadProfile!$AM$25:$IJ$25</c:f>
            </c:numRef>
          </c:val>
          <c:extLst>
            <c:ext xmlns:c16="http://schemas.microsoft.com/office/drawing/2014/chart" uri="{C3380CC4-5D6E-409C-BE32-E72D297353CC}">
              <c16:uniqueId val="{00000011-D28F-4BB2-9BFE-B3BFB4F88F05}"/>
            </c:ext>
          </c:extLst>
        </c:ser>
        <c:ser>
          <c:idx val="18"/>
          <c:order val="18"/>
          <c:tx>
            <c:strRef>
              <c:f>LoadProfile!$AL$26</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LoadProfile!$AM$26:$IJ$26</c:f>
            </c:numRef>
          </c:val>
          <c:extLst>
            <c:ext xmlns:c16="http://schemas.microsoft.com/office/drawing/2014/chart" uri="{C3380CC4-5D6E-409C-BE32-E72D297353CC}">
              <c16:uniqueId val="{00000012-D28F-4BB2-9BFE-B3BFB4F88F05}"/>
            </c:ext>
          </c:extLst>
        </c:ser>
        <c:ser>
          <c:idx val="19"/>
          <c:order val="19"/>
          <c:tx>
            <c:strRef>
              <c:f>LoadProfile!$AL$27</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LoadProfile!$AM$27:$IJ$27</c:f>
            </c:numRef>
          </c:val>
          <c:extLst>
            <c:ext xmlns:c16="http://schemas.microsoft.com/office/drawing/2014/chart" uri="{C3380CC4-5D6E-409C-BE32-E72D297353CC}">
              <c16:uniqueId val="{00000013-D28F-4BB2-9BFE-B3BFB4F88F05}"/>
            </c:ext>
          </c:extLst>
        </c:ser>
        <c:ser>
          <c:idx val="20"/>
          <c:order val="20"/>
          <c:tx>
            <c:strRef>
              <c:f>LoadProfile!$AL$28</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LoadProfile!$AM$28:$IJ$28</c:f>
            </c:numRef>
          </c:val>
          <c:extLst>
            <c:ext xmlns:c16="http://schemas.microsoft.com/office/drawing/2014/chart" uri="{C3380CC4-5D6E-409C-BE32-E72D297353CC}">
              <c16:uniqueId val="{00000014-D28F-4BB2-9BFE-B3BFB4F88F05}"/>
            </c:ext>
          </c:extLst>
        </c:ser>
        <c:ser>
          <c:idx val="21"/>
          <c:order val="21"/>
          <c:tx>
            <c:strRef>
              <c:f>LoadProfile!$AL$29</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LoadProfile!$AM$29:$IJ$29</c:f>
            </c:numRef>
          </c:val>
          <c:extLst>
            <c:ext xmlns:c16="http://schemas.microsoft.com/office/drawing/2014/chart" uri="{C3380CC4-5D6E-409C-BE32-E72D297353CC}">
              <c16:uniqueId val="{00000015-D28F-4BB2-9BFE-B3BFB4F88F05}"/>
            </c:ext>
          </c:extLst>
        </c:ser>
        <c:ser>
          <c:idx val="22"/>
          <c:order val="22"/>
          <c:tx>
            <c:strRef>
              <c:f>LoadProfile!$AL$30</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LoadProfile!$AM$30:$IJ$30</c:f>
            </c:numRef>
          </c:val>
          <c:extLst>
            <c:ext xmlns:c16="http://schemas.microsoft.com/office/drawing/2014/chart" uri="{C3380CC4-5D6E-409C-BE32-E72D297353CC}">
              <c16:uniqueId val="{00000016-D28F-4BB2-9BFE-B3BFB4F88F05}"/>
            </c:ext>
          </c:extLst>
        </c:ser>
        <c:ser>
          <c:idx val="23"/>
          <c:order val="23"/>
          <c:tx>
            <c:strRef>
              <c:f>LoadProfile!$AL$31</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LoadProfile!$AM$31:$IJ$31</c:f>
            </c:numRef>
          </c:val>
          <c:extLst>
            <c:ext xmlns:c16="http://schemas.microsoft.com/office/drawing/2014/chart" uri="{C3380CC4-5D6E-409C-BE32-E72D297353CC}">
              <c16:uniqueId val="{00000017-D28F-4BB2-9BFE-B3BFB4F88F05}"/>
            </c:ext>
          </c:extLst>
        </c:ser>
        <c:ser>
          <c:idx val="24"/>
          <c:order val="24"/>
          <c:tx>
            <c:strRef>
              <c:f>LoadProfile!$AL$32</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LoadProfile!$AM$32:$IJ$32</c:f>
            </c:numRef>
          </c:val>
          <c:extLst>
            <c:ext xmlns:c16="http://schemas.microsoft.com/office/drawing/2014/chart" uri="{C3380CC4-5D6E-409C-BE32-E72D297353CC}">
              <c16:uniqueId val="{00000018-D28F-4BB2-9BFE-B3BFB4F88F05}"/>
            </c:ext>
          </c:extLst>
        </c:ser>
        <c:ser>
          <c:idx val="25"/>
          <c:order val="25"/>
          <c:tx>
            <c:strRef>
              <c:f>LoadProfile!$AL$33</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LoadProfile!$AM$33:$IJ$33</c:f>
            </c:numRef>
          </c:val>
          <c:extLst>
            <c:ext xmlns:c16="http://schemas.microsoft.com/office/drawing/2014/chart" uri="{C3380CC4-5D6E-409C-BE32-E72D297353CC}">
              <c16:uniqueId val="{00000019-D28F-4BB2-9BFE-B3BFB4F88F05}"/>
            </c:ext>
          </c:extLst>
        </c:ser>
        <c:ser>
          <c:idx val="26"/>
          <c:order val="26"/>
          <c:tx>
            <c:strRef>
              <c:f>LoadProfile!$AL$34</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LoadProfile!$AM$34:$IJ$34</c:f>
            </c:numRef>
          </c:val>
          <c:extLst>
            <c:ext xmlns:c16="http://schemas.microsoft.com/office/drawing/2014/chart" uri="{C3380CC4-5D6E-409C-BE32-E72D297353CC}">
              <c16:uniqueId val="{0000001A-D28F-4BB2-9BFE-B3BFB4F88F05}"/>
            </c:ext>
          </c:extLst>
        </c:ser>
        <c:ser>
          <c:idx val="27"/>
          <c:order val="27"/>
          <c:tx>
            <c:strRef>
              <c:f>LoadProfile!$AL$35</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LoadProfile!$AM$35:$IJ$35</c:f>
            </c:numRef>
          </c:val>
          <c:extLst>
            <c:ext xmlns:c16="http://schemas.microsoft.com/office/drawing/2014/chart" uri="{C3380CC4-5D6E-409C-BE32-E72D297353CC}">
              <c16:uniqueId val="{0000001B-D28F-4BB2-9BFE-B3BFB4F88F05}"/>
            </c:ext>
          </c:extLst>
        </c:ser>
        <c:ser>
          <c:idx val="28"/>
          <c:order val="28"/>
          <c:tx>
            <c:strRef>
              <c:f>LoadProfile!$AL$36</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LoadProfile!$AM$36:$IJ$36</c:f>
            </c:numRef>
          </c:val>
          <c:extLst>
            <c:ext xmlns:c16="http://schemas.microsoft.com/office/drawing/2014/chart" uri="{C3380CC4-5D6E-409C-BE32-E72D297353CC}">
              <c16:uniqueId val="{0000001C-D28F-4BB2-9BFE-B3BFB4F88F05}"/>
            </c:ext>
          </c:extLst>
        </c:ser>
        <c:ser>
          <c:idx val="29"/>
          <c:order val="29"/>
          <c:tx>
            <c:strRef>
              <c:f>LoadProfile!$AL$37</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LoadProfile!$AM$37:$IJ$37</c:f>
            </c:numRef>
          </c:val>
          <c:extLst>
            <c:ext xmlns:c16="http://schemas.microsoft.com/office/drawing/2014/chart" uri="{C3380CC4-5D6E-409C-BE32-E72D297353CC}">
              <c16:uniqueId val="{0000001D-D28F-4BB2-9BFE-B3BFB4F88F05}"/>
            </c:ext>
          </c:extLst>
        </c:ser>
        <c:ser>
          <c:idx val="31"/>
          <c:order val="31"/>
          <c:tx>
            <c:strRef>
              <c:f>LoadProfile!$AL$39</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LoadProfile!$AM$39:$IJ$39</c:f>
            </c:numRef>
          </c:val>
          <c:extLst>
            <c:ext xmlns:c16="http://schemas.microsoft.com/office/drawing/2014/chart" uri="{C3380CC4-5D6E-409C-BE32-E72D297353CC}">
              <c16:uniqueId val="{0000001F-D28F-4BB2-9BFE-B3BFB4F88F05}"/>
            </c:ext>
          </c:extLst>
        </c:ser>
        <c:ser>
          <c:idx val="32"/>
          <c:order val="32"/>
          <c:tx>
            <c:strRef>
              <c:f>LoadProfile!$AL$40</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LoadProfile!$AM$40:$IJ$40</c:f>
            </c:numRef>
          </c:val>
          <c:extLst>
            <c:ext xmlns:c16="http://schemas.microsoft.com/office/drawing/2014/chart" uri="{C3380CC4-5D6E-409C-BE32-E72D297353CC}">
              <c16:uniqueId val="{00000020-D28F-4BB2-9BFE-B3BFB4F88F05}"/>
            </c:ext>
          </c:extLst>
        </c:ser>
        <c:ser>
          <c:idx val="33"/>
          <c:order val="33"/>
          <c:tx>
            <c:strRef>
              <c:f>LoadProfile!$AL$41</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LoadProfile!$AM$41:$IJ$41</c:f>
            </c:numRef>
          </c:val>
          <c:extLst>
            <c:ext xmlns:c16="http://schemas.microsoft.com/office/drawing/2014/chart" uri="{C3380CC4-5D6E-409C-BE32-E72D297353CC}">
              <c16:uniqueId val="{00000021-D28F-4BB2-9BFE-B3BFB4F88F05}"/>
            </c:ext>
          </c:extLst>
        </c:ser>
        <c:ser>
          <c:idx val="34"/>
          <c:order val="34"/>
          <c:tx>
            <c:strRef>
              <c:f>LoadProfile!$AL$42</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LoadProfile!$AM$42:$IJ$42</c:f>
            </c:numRef>
          </c:val>
          <c:extLst>
            <c:ext xmlns:c16="http://schemas.microsoft.com/office/drawing/2014/chart" uri="{C3380CC4-5D6E-409C-BE32-E72D297353CC}">
              <c16:uniqueId val="{00000022-D28F-4BB2-9BFE-B3BFB4F88F05}"/>
            </c:ext>
          </c:extLst>
        </c:ser>
        <c:ser>
          <c:idx val="35"/>
          <c:order val="35"/>
          <c:tx>
            <c:strRef>
              <c:f>LoadProfile!$AL$43</c:f>
              <c:strCache>
                <c:ptCount val="1"/>
                <c:pt idx="0">
                  <c:v>0</c:v>
                </c:pt>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LoadProfile!$AM$43:$IJ$43</c:f>
            </c:numRef>
          </c:val>
          <c:extLst>
            <c:ext xmlns:c16="http://schemas.microsoft.com/office/drawing/2014/chart" uri="{C3380CC4-5D6E-409C-BE32-E72D297353CC}">
              <c16:uniqueId val="{00000023-D28F-4BB2-9BFE-B3BFB4F88F05}"/>
            </c:ext>
          </c:extLst>
        </c:ser>
        <c:ser>
          <c:idx val="36"/>
          <c:order val="36"/>
          <c:tx>
            <c:strRef>
              <c:f>LoadProfile!$AL$44</c:f>
              <c:strCache>
                <c:ptCount val="1"/>
                <c:pt idx="0">
                  <c:v>0</c:v>
                </c:pt>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LoadProfile!$AM$44:$IJ$44</c:f>
            </c:numRef>
          </c:val>
          <c:extLst>
            <c:ext xmlns:c16="http://schemas.microsoft.com/office/drawing/2014/chart" uri="{C3380CC4-5D6E-409C-BE32-E72D297353CC}">
              <c16:uniqueId val="{00000024-D28F-4BB2-9BFE-B3BFB4F88F05}"/>
            </c:ext>
          </c:extLst>
        </c:ser>
        <c:ser>
          <c:idx val="37"/>
          <c:order val="37"/>
          <c:tx>
            <c:strRef>
              <c:f>LoadProfile!$AL$45</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LoadProfile!$AM$45:$IJ$45</c:f>
            </c:numRef>
          </c:val>
          <c:extLst>
            <c:ext xmlns:c16="http://schemas.microsoft.com/office/drawing/2014/chart" uri="{C3380CC4-5D6E-409C-BE32-E72D297353CC}">
              <c16:uniqueId val="{00000025-D28F-4BB2-9BFE-B3BFB4F88F05}"/>
            </c:ext>
          </c:extLst>
        </c:ser>
        <c:ser>
          <c:idx val="38"/>
          <c:order val="38"/>
          <c:tx>
            <c:strRef>
              <c:f>LoadProfile!$AL$46</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LoadProfile!$AM$46:$IJ$46</c:f>
            </c:numRef>
          </c:val>
          <c:extLst>
            <c:ext xmlns:c16="http://schemas.microsoft.com/office/drawing/2014/chart" uri="{C3380CC4-5D6E-409C-BE32-E72D297353CC}">
              <c16:uniqueId val="{00000026-D28F-4BB2-9BFE-B3BFB4F88F05}"/>
            </c:ext>
          </c:extLst>
        </c:ser>
        <c:ser>
          <c:idx val="39"/>
          <c:order val="39"/>
          <c:tx>
            <c:strRef>
              <c:f>LoadProfile!$AL$47</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LoadProfile!$AM$47:$IJ$47</c:f>
            </c:numRef>
          </c:val>
          <c:extLst>
            <c:ext xmlns:c16="http://schemas.microsoft.com/office/drawing/2014/chart" uri="{C3380CC4-5D6E-409C-BE32-E72D297353CC}">
              <c16:uniqueId val="{00000027-D28F-4BB2-9BFE-B3BFB4F88F05}"/>
            </c:ext>
          </c:extLst>
        </c:ser>
        <c:ser>
          <c:idx val="40"/>
          <c:order val="40"/>
          <c:tx>
            <c:strRef>
              <c:f>LoadProfile!$AL$48</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LoadProfile!$AM$48:$IJ$48</c:f>
            </c:numRef>
          </c:val>
          <c:extLst>
            <c:ext xmlns:c16="http://schemas.microsoft.com/office/drawing/2014/chart" uri="{C3380CC4-5D6E-409C-BE32-E72D297353CC}">
              <c16:uniqueId val="{00000028-D28F-4BB2-9BFE-B3BFB4F88F05}"/>
            </c:ext>
          </c:extLst>
        </c:ser>
        <c:ser>
          <c:idx val="41"/>
          <c:order val="41"/>
          <c:tx>
            <c:strRef>
              <c:f>LoadProfile!$AL$49</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LoadProfile!$AM$49:$IJ$49</c:f>
            </c:numRef>
          </c:val>
          <c:extLst>
            <c:ext xmlns:c16="http://schemas.microsoft.com/office/drawing/2014/chart" uri="{C3380CC4-5D6E-409C-BE32-E72D297353CC}">
              <c16:uniqueId val="{00000029-D28F-4BB2-9BFE-B3BFB4F88F05}"/>
            </c:ext>
          </c:extLst>
        </c:ser>
        <c:ser>
          <c:idx val="42"/>
          <c:order val="42"/>
          <c:tx>
            <c:strRef>
              <c:f>LoadProfile!$AL$50</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LoadProfile!$AM$50:$IJ$50</c:f>
            </c:numRef>
          </c:val>
          <c:extLst>
            <c:ext xmlns:c16="http://schemas.microsoft.com/office/drawing/2014/chart" uri="{C3380CC4-5D6E-409C-BE32-E72D297353CC}">
              <c16:uniqueId val="{0000002A-D28F-4BB2-9BFE-B3BFB4F88F05}"/>
            </c:ext>
          </c:extLst>
        </c:ser>
        <c:ser>
          <c:idx val="43"/>
          <c:order val="43"/>
          <c:tx>
            <c:strRef>
              <c:f>LoadProfile!$AL$51</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LoadProfile!$AM$51:$IJ$51</c:f>
            </c:numRef>
          </c:val>
          <c:extLst>
            <c:ext xmlns:c16="http://schemas.microsoft.com/office/drawing/2014/chart" uri="{C3380CC4-5D6E-409C-BE32-E72D297353CC}">
              <c16:uniqueId val="{0000002B-D28F-4BB2-9BFE-B3BFB4F88F05}"/>
            </c:ext>
          </c:extLst>
        </c:ser>
        <c:ser>
          <c:idx val="44"/>
          <c:order val="44"/>
          <c:tx>
            <c:strRef>
              <c:f>LoadProfile!$AL$52</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LoadProfile!$AM$52:$IJ$52</c:f>
            </c:numRef>
          </c:val>
          <c:extLst>
            <c:ext xmlns:c16="http://schemas.microsoft.com/office/drawing/2014/chart" uri="{C3380CC4-5D6E-409C-BE32-E72D297353CC}">
              <c16:uniqueId val="{0000002C-D28F-4BB2-9BFE-B3BFB4F88F05}"/>
            </c:ext>
          </c:extLst>
        </c:ser>
        <c:ser>
          <c:idx val="45"/>
          <c:order val="45"/>
          <c:tx>
            <c:strRef>
              <c:f>LoadProfile!$AL$53</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LoadProfile!$AM$53:$IJ$53</c:f>
            </c:numRef>
          </c:val>
          <c:extLst>
            <c:ext xmlns:c16="http://schemas.microsoft.com/office/drawing/2014/chart" uri="{C3380CC4-5D6E-409C-BE32-E72D297353CC}">
              <c16:uniqueId val="{0000002D-D28F-4BB2-9BFE-B3BFB4F88F05}"/>
            </c:ext>
          </c:extLst>
        </c:ser>
        <c:ser>
          <c:idx val="46"/>
          <c:order val="46"/>
          <c:tx>
            <c:strRef>
              <c:f>LoadProfile!$AL$54</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LoadProfile!$AM$54:$IJ$54</c:f>
            </c:numRef>
          </c:val>
          <c:extLst>
            <c:ext xmlns:c16="http://schemas.microsoft.com/office/drawing/2014/chart" uri="{C3380CC4-5D6E-409C-BE32-E72D297353CC}">
              <c16:uniqueId val="{0000002E-D28F-4BB2-9BFE-B3BFB4F88F05}"/>
            </c:ext>
          </c:extLst>
        </c:ser>
        <c:ser>
          <c:idx val="47"/>
          <c:order val="47"/>
          <c:tx>
            <c:strRef>
              <c:f>LoadProfile!$AL$55</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LoadProfile!$AM$55:$IJ$55</c:f>
            </c:numRef>
          </c:val>
          <c:extLst>
            <c:ext xmlns:c16="http://schemas.microsoft.com/office/drawing/2014/chart" uri="{C3380CC4-5D6E-409C-BE32-E72D297353CC}">
              <c16:uniqueId val="{0000002F-D28F-4BB2-9BFE-B3BFB4F88F05}"/>
            </c:ext>
          </c:extLst>
        </c:ser>
        <c:ser>
          <c:idx val="48"/>
          <c:order val="48"/>
          <c:tx>
            <c:strRef>
              <c:f>LoadProfile!$AL$56</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LoadProfile!$AM$56:$IJ$56</c:f>
            </c:numRef>
          </c:val>
          <c:extLst>
            <c:ext xmlns:c16="http://schemas.microsoft.com/office/drawing/2014/chart" uri="{C3380CC4-5D6E-409C-BE32-E72D297353CC}">
              <c16:uniqueId val="{00000030-D28F-4BB2-9BFE-B3BFB4F88F05}"/>
            </c:ext>
          </c:extLst>
        </c:ser>
        <c:ser>
          <c:idx val="49"/>
          <c:order val="49"/>
          <c:tx>
            <c:strRef>
              <c:f>LoadProfile!$AL$57</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LoadProfile!$AM$57:$IJ$57</c:f>
            </c:numRef>
          </c:val>
          <c:extLst>
            <c:ext xmlns:c16="http://schemas.microsoft.com/office/drawing/2014/chart" uri="{C3380CC4-5D6E-409C-BE32-E72D297353CC}">
              <c16:uniqueId val="{00000031-D28F-4BB2-9BFE-B3BFB4F88F05}"/>
            </c:ext>
          </c:extLst>
        </c:ser>
        <c:ser>
          <c:idx val="50"/>
          <c:order val="50"/>
          <c:tx>
            <c:strRef>
              <c:f>LoadProfile!$AL$58</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LoadProfile!$AM$58:$IJ$58</c:f>
            </c:numRef>
          </c:val>
          <c:extLst>
            <c:ext xmlns:c16="http://schemas.microsoft.com/office/drawing/2014/chart" uri="{C3380CC4-5D6E-409C-BE32-E72D297353CC}">
              <c16:uniqueId val="{00000032-D28F-4BB2-9BFE-B3BFB4F88F05}"/>
            </c:ext>
          </c:extLst>
        </c:ser>
        <c:ser>
          <c:idx val="51"/>
          <c:order val="51"/>
          <c:tx>
            <c:strRef>
              <c:f>LoadProfile!$AL$59</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LoadProfile!$AM$59:$IJ$59</c:f>
            </c:numRef>
          </c:val>
          <c:extLst>
            <c:ext xmlns:c16="http://schemas.microsoft.com/office/drawing/2014/chart" uri="{C3380CC4-5D6E-409C-BE32-E72D297353CC}">
              <c16:uniqueId val="{00000033-D28F-4BB2-9BFE-B3BFB4F88F05}"/>
            </c:ext>
          </c:extLst>
        </c:ser>
        <c:ser>
          <c:idx val="52"/>
          <c:order val="52"/>
          <c:tx>
            <c:strRef>
              <c:f>LoadProfile!$AL$60</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LoadProfile!$AM$60:$IJ$60</c:f>
            </c:numRef>
          </c:val>
          <c:extLst>
            <c:ext xmlns:c16="http://schemas.microsoft.com/office/drawing/2014/chart" uri="{C3380CC4-5D6E-409C-BE32-E72D297353CC}">
              <c16:uniqueId val="{00000034-D28F-4BB2-9BFE-B3BFB4F88F05}"/>
            </c:ext>
          </c:extLst>
        </c:ser>
        <c:ser>
          <c:idx val="53"/>
          <c:order val="53"/>
          <c:tx>
            <c:strRef>
              <c:f>LoadProfile!$AL$61</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LoadProfile!$AM$61:$IJ$61</c:f>
            </c:numRef>
          </c:val>
          <c:extLst>
            <c:ext xmlns:c16="http://schemas.microsoft.com/office/drawing/2014/chart" uri="{C3380CC4-5D6E-409C-BE32-E72D297353CC}">
              <c16:uniqueId val="{00000035-D28F-4BB2-9BFE-B3BFB4F88F05}"/>
            </c:ext>
          </c:extLst>
        </c:ser>
        <c:ser>
          <c:idx val="54"/>
          <c:order val="54"/>
          <c:tx>
            <c:strRef>
              <c:f>LoadProfile!$AL$62</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LoadProfile!$AM$62:$IJ$62</c:f>
            </c:numRef>
          </c:val>
          <c:extLst>
            <c:ext xmlns:c16="http://schemas.microsoft.com/office/drawing/2014/chart" uri="{C3380CC4-5D6E-409C-BE32-E72D297353CC}">
              <c16:uniqueId val="{00000036-D28F-4BB2-9BFE-B3BFB4F88F05}"/>
            </c:ext>
          </c:extLst>
        </c:ser>
        <c:ser>
          <c:idx val="55"/>
          <c:order val="55"/>
          <c:tx>
            <c:strRef>
              <c:f>LoadProfile!$AL$63</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LoadProfile!$AM$63:$IJ$63</c:f>
            </c:numRef>
          </c:val>
          <c:extLst>
            <c:ext xmlns:c16="http://schemas.microsoft.com/office/drawing/2014/chart" uri="{C3380CC4-5D6E-409C-BE32-E72D297353CC}">
              <c16:uniqueId val="{00000037-D28F-4BB2-9BFE-B3BFB4F88F05}"/>
            </c:ext>
          </c:extLst>
        </c:ser>
        <c:ser>
          <c:idx val="56"/>
          <c:order val="56"/>
          <c:tx>
            <c:strRef>
              <c:f>LoadProfile!$AL$64</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LoadProfile!$AM$64:$IJ$64</c:f>
            </c:numRef>
          </c:val>
          <c:extLst>
            <c:ext xmlns:c16="http://schemas.microsoft.com/office/drawing/2014/chart" uri="{C3380CC4-5D6E-409C-BE32-E72D297353CC}">
              <c16:uniqueId val="{00000038-D28F-4BB2-9BFE-B3BFB4F88F05}"/>
            </c:ext>
          </c:extLst>
        </c:ser>
        <c:ser>
          <c:idx val="57"/>
          <c:order val="57"/>
          <c:tx>
            <c:strRef>
              <c:f>LoadProfile!$AL$65</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LoadProfile!$AM$65:$IJ$65</c:f>
            </c:numRef>
          </c:val>
          <c:extLst>
            <c:ext xmlns:c16="http://schemas.microsoft.com/office/drawing/2014/chart" uri="{C3380CC4-5D6E-409C-BE32-E72D297353CC}">
              <c16:uniqueId val="{00000039-D28F-4BB2-9BFE-B3BFB4F88F05}"/>
            </c:ext>
          </c:extLst>
        </c:ser>
        <c:ser>
          <c:idx val="58"/>
          <c:order val="58"/>
          <c:tx>
            <c:strRef>
              <c:f>LoadProfile!$AL$66</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LoadProfile!$AM$66:$IJ$66</c:f>
            </c:numRef>
          </c:val>
          <c:extLst>
            <c:ext xmlns:c16="http://schemas.microsoft.com/office/drawing/2014/chart" uri="{C3380CC4-5D6E-409C-BE32-E72D297353CC}">
              <c16:uniqueId val="{0000003A-D28F-4BB2-9BFE-B3BFB4F88F05}"/>
            </c:ext>
          </c:extLst>
        </c:ser>
        <c:ser>
          <c:idx val="59"/>
          <c:order val="59"/>
          <c:tx>
            <c:strRef>
              <c:f>LoadProfile!$AL$67</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LoadProfile!$AM$67:$IJ$67</c:f>
            </c:numRef>
          </c:val>
          <c:extLst>
            <c:ext xmlns:c16="http://schemas.microsoft.com/office/drawing/2014/chart" uri="{C3380CC4-5D6E-409C-BE32-E72D297353CC}">
              <c16:uniqueId val="{0000003B-D28F-4BB2-9BFE-B3BFB4F88F05}"/>
            </c:ext>
          </c:extLst>
        </c:ser>
        <c:ser>
          <c:idx val="60"/>
          <c:order val="60"/>
          <c:tx>
            <c:strRef>
              <c:f>LoadProfile!$AL$68</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LoadProfile!$AM$68:$IJ$68</c:f>
            </c:numRef>
          </c:val>
          <c:extLst>
            <c:ext xmlns:c16="http://schemas.microsoft.com/office/drawing/2014/chart" uri="{C3380CC4-5D6E-409C-BE32-E72D297353CC}">
              <c16:uniqueId val="{0000003C-D28F-4BB2-9BFE-B3BFB4F88F05}"/>
            </c:ext>
          </c:extLst>
        </c:ser>
        <c:ser>
          <c:idx val="61"/>
          <c:order val="61"/>
          <c:tx>
            <c:strRef>
              <c:f>LoadProfile!$AL$69</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LoadProfile!$AM$69:$IJ$69</c:f>
            </c:numRef>
          </c:val>
          <c:extLst>
            <c:ext xmlns:c16="http://schemas.microsoft.com/office/drawing/2014/chart" uri="{C3380CC4-5D6E-409C-BE32-E72D297353CC}">
              <c16:uniqueId val="{0000003D-D28F-4BB2-9BFE-B3BFB4F88F05}"/>
            </c:ext>
          </c:extLst>
        </c:ser>
        <c:ser>
          <c:idx val="62"/>
          <c:order val="62"/>
          <c:tx>
            <c:strRef>
              <c:f>LoadProfile!$AL$70</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LoadProfile!$AM$70:$IJ$70</c:f>
            </c:numRef>
          </c:val>
          <c:extLst>
            <c:ext xmlns:c16="http://schemas.microsoft.com/office/drawing/2014/chart" uri="{C3380CC4-5D6E-409C-BE32-E72D297353CC}">
              <c16:uniqueId val="{0000003E-D28F-4BB2-9BFE-B3BFB4F88F05}"/>
            </c:ext>
          </c:extLst>
        </c:ser>
        <c:ser>
          <c:idx val="63"/>
          <c:order val="63"/>
          <c:tx>
            <c:strRef>
              <c:f>LoadProfile!$AL$71</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LoadProfile!$AM$71:$IJ$71</c:f>
            </c:numRef>
          </c:val>
          <c:extLst>
            <c:ext xmlns:c16="http://schemas.microsoft.com/office/drawing/2014/chart" uri="{C3380CC4-5D6E-409C-BE32-E72D297353CC}">
              <c16:uniqueId val="{0000003F-D28F-4BB2-9BFE-B3BFB4F88F05}"/>
            </c:ext>
          </c:extLst>
        </c:ser>
        <c:ser>
          <c:idx val="64"/>
          <c:order val="64"/>
          <c:tx>
            <c:strRef>
              <c:f>LoadProfile!$AL$72</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LoadProfile!$AM$72:$IJ$72</c:f>
            </c:numRef>
          </c:val>
          <c:extLst>
            <c:ext xmlns:c16="http://schemas.microsoft.com/office/drawing/2014/chart" uri="{C3380CC4-5D6E-409C-BE32-E72D297353CC}">
              <c16:uniqueId val="{00000040-D28F-4BB2-9BFE-B3BFB4F88F05}"/>
            </c:ext>
          </c:extLst>
        </c:ser>
        <c:ser>
          <c:idx val="65"/>
          <c:order val="65"/>
          <c:tx>
            <c:strRef>
              <c:f>LoadProfile!$AL$73</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LoadProfile!$AM$73:$IJ$73</c:f>
            </c:numRef>
          </c:val>
          <c:extLst>
            <c:ext xmlns:c16="http://schemas.microsoft.com/office/drawing/2014/chart" uri="{C3380CC4-5D6E-409C-BE32-E72D297353CC}">
              <c16:uniqueId val="{00000041-D28F-4BB2-9BFE-B3BFB4F88F05}"/>
            </c:ext>
          </c:extLst>
        </c:ser>
        <c:ser>
          <c:idx val="66"/>
          <c:order val="66"/>
          <c:tx>
            <c:strRef>
              <c:f>LoadProfile!$AL$74</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LoadProfile!$AM$74:$IJ$74</c:f>
            </c:numRef>
          </c:val>
          <c:extLst>
            <c:ext xmlns:c16="http://schemas.microsoft.com/office/drawing/2014/chart" uri="{C3380CC4-5D6E-409C-BE32-E72D297353CC}">
              <c16:uniqueId val="{00000042-D28F-4BB2-9BFE-B3BFB4F88F05}"/>
            </c:ext>
          </c:extLst>
        </c:ser>
        <c:ser>
          <c:idx val="67"/>
          <c:order val="67"/>
          <c:tx>
            <c:strRef>
              <c:f>LoadProfile!$AL$75</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LoadProfile!$AM$75:$IJ$75</c:f>
            </c:numRef>
          </c:val>
          <c:extLst>
            <c:ext xmlns:c16="http://schemas.microsoft.com/office/drawing/2014/chart" uri="{C3380CC4-5D6E-409C-BE32-E72D297353CC}">
              <c16:uniqueId val="{00000043-D28F-4BB2-9BFE-B3BFB4F88F05}"/>
            </c:ext>
          </c:extLst>
        </c:ser>
        <c:ser>
          <c:idx val="68"/>
          <c:order val="68"/>
          <c:tx>
            <c:strRef>
              <c:f>LoadProfile!$AL$76</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LoadProfile!$AM$76:$IJ$76</c:f>
            </c:numRef>
          </c:val>
          <c:extLst>
            <c:ext xmlns:c16="http://schemas.microsoft.com/office/drawing/2014/chart" uri="{C3380CC4-5D6E-409C-BE32-E72D297353CC}">
              <c16:uniqueId val="{00000044-D28F-4BB2-9BFE-B3BFB4F88F05}"/>
            </c:ext>
          </c:extLst>
        </c:ser>
        <c:ser>
          <c:idx val="69"/>
          <c:order val="69"/>
          <c:tx>
            <c:strRef>
              <c:f>LoadProfile!$AL$77</c:f>
              <c:strCache>
                <c:ptCount val="1"/>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LoadProfile!$AM$77:$IJ$77</c:f>
            </c:numRef>
          </c:val>
          <c:extLst>
            <c:ext xmlns:c16="http://schemas.microsoft.com/office/drawing/2014/chart" uri="{C3380CC4-5D6E-409C-BE32-E72D297353CC}">
              <c16:uniqueId val="{00000045-D28F-4BB2-9BFE-B3BFB4F88F05}"/>
            </c:ext>
          </c:extLst>
        </c:ser>
        <c:ser>
          <c:idx val="70"/>
          <c:order val="70"/>
          <c:tx>
            <c:strRef>
              <c:f>LoadProfile!$AL$78</c:f>
              <c:strCache>
                <c:ptCount val="1"/>
                <c:pt idx="0">
                  <c:v>% of Nominal</c:v>
                </c:pt>
              </c:strCache>
            </c:strRef>
          </c:tx>
          <c:spPr>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LoadProfile!$AM$78:$IJ$78</c:f>
              <c:numCache>
                <c:formatCode>0%</c:formatCode>
                <c:ptCount val="2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numCache>
            </c:numRef>
          </c:val>
          <c:extLst>
            <c:ext xmlns:c16="http://schemas.microsoft.com/office/drawing/2014/chart" uri="{C3380CC4-5D6E-409C-BE32-E72D297353CC}">
              <c16:uniqueId val="{00000046-D28F-4BB2-9BFE-B3BFB4F88F05}"/>
            </c:ext>
          </c:extLst>
        </c:ser>
        <c:dLbls>
          <c:showLegendKey val="0"/>
          <c:showVal val="0"/>
          <c:showCatName val="0"/>
          <c:showSerName val="0"/>
          <c:showPercent val="0"/>
          <c:showBubbleSize val="0"/>
        </c:dLbls>
        <c:axId val="984552440"/>
        <c:axId val="984548840"/>
      </c:areaChart>
      <c:areaChart>
        <c:grouping val="stacked"/>
        <c:varyColors val="0"/>
        <c:ser>
          <c:idx val="30"/>
          <c:order val="30"/>
          <c:tx>
            <c:strRef>
              <c:f>LoadProfile!$AL$38</c:f>
              <c:strCache>
                <c:ptCount val="1"/>
              </c:strCache>
            </c:strRef>
          </c:tx>
          <c:spPr>
            <a:noFill/>
            <a:ln w="25400">
              <a:noFill/>
            </a:ln>
          </c:spPr>
          <c:cat>
            <c:numRef>
              <c:f>LoadProfile!$AM$7:$IJ$7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LoadProfile!$AM$38:$IJ$38</c:f>
            </c:numRef>
          </c:val>
          <c:extLst>
            <c:ext xmlns:c16="http://schemas.microsoft.com/office/drawing/2014/chart" uri="{C3380CC4-5D6E-409C-BE32-E72D297353CC}">
              <c16:uniqueId val="{0000001E-D28F-4BB2-9BFE-B3BFB4F88F05}"/>
            </c:ext>
          </c:extLst>
        </c:ser>
        <c:dLbls>
          <c:showLegendKey val="0"/>
          <c:showVal val="0"/>
          <c:showCatName val="0"/>
          <c:showSerName val="0"/>
          <c:showPercent val="0"/>
          <c:showBubbleSize val="0"/>
        </c:dLbls>
        <c:axId val="900753608"/>
        <c:axId val="900758648"/>
      </c:areaChart>
      <c:catAx>
        <c:axId val="984552440"/>
        <c:scaling>
          <c:orientation val="minMax"/>
        </c:scaling>
        <c:delete val="0"/>
        <c:axPos val="b"/>
        <c:numFmt formatCode="h:mm" sourceLinked="1"/>
        <c:majorTickMark val="out"/>
        <c:minorTickMark val="none"/>
        <c:tickLblPos val="nextTo"/>
        <c:crossAx val="984548840"/>
        <c:crosses val="autoZero"/>
        <c:auto val="1"/>
        <c:lblAlgn val="ctr"/>
        <c:lblOffset val="100"/>
        <c:noMultiLvlLbl val="0"/>
      </c:catAx>
      <c:valAx>
        <c:axId val="984548840"/>
        <c:scaling>
          <c:orientation val="minMax"/>
        </c:scaling>
        <c:delete val="0"/>
        <c:axPos val="l"/>
        <c:majorGridlines/>
        <c:numFmt formatCode="0%" sourceLinked="1"/>
        <c:majorTickMark val="out"/>
        <c:minorTickMark val="none"/>
        <c:tickLblPos val="nextTo"/>
        <c:crossAx val="984552440"/>
        <c:crosses val="autoZero"/>
        <c:crossBetween val="midCat"/>
      </c:valAx>
      <c:valAx>
        <c:axId val="900758648"/>
        <c:scaling>
          <c:orientation val="minMax"/>
          <c:min val="0"/>
        </c:scaling>
        <c:delete val="0"/>
        <c:axPos val="r"/>
        <c:numFmt formatCode="General" sourceLinked="1"/>
        <c:majorTickMark val="out"/>
        <c:minorTickMark val="none"/>
        <c:tickLblPos val="nextTo"/>
        <c:crossAx val="900753608"/>
        <c:crosses val="max"/>
        <c:crossBetween val="midCat"/>
      </c:valAx>
      <c:catAx>
        <c:axId val="900753608"/>
        <c:scaling>
          <c:orientation val="minMax"/>
        </c:scaling>
        <c:delete val="1"/>
        <c:axPos val="b"/>
        <c:numFmt formatCode="h:mm" sourceLinked="1"/>
        <c:majorTickMark val="out"/>
        <c:minorTickMark val="none"/>
        <c:tickLblPos val="nextTo"/>
        <c:crossAx val="900758648"/>
        <c:crosses val="autoZero"/>
        <c:auto val="1"/>
        <c:lblAlgn val="ctr"/>
        <c:lblOffset val="100"/>
        <c:noMultiLvlLbl val="0"/>
      </c:cat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cked"/>
        <c:varyColors val="0"/>
        <c:ser>
          <c:idx val="0"/>
          <c:order val="0"/>
          <c:tx>
            <c:strRef>
              <c:f>LoadProfile!$AL$158</c:f>
              <c:strCache>
                <c:ptCount val="1"/>
                <c:pt idx="0">
                  <c:v>0</c:v>
                </c:pt>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LoadProfile!$AM$158:$IJ$158</c:f>
            </c:numRef>
          </c:val>
          <c:extLst>
            <c:ext xmlns:c16="http://schemas.microsoft.com/office/drawing/2014/chart" uri="{C3380CC4-5D6E-409C-BE32-E72D297353CC}">
              <c16:uniqueId val="{00000000-4A26-4B77-BE71-8D2481F054A5}"/>
            </c:ext>
          </c:extLst>
        </c:ser>
        <c:ser>
          <c:idx val="1"/>
          <c:order val="1"/>
          <c:tx>
            <c:strRef>
              <c:f>LoadProfile!$AL$159</c:f>
              <c:strCache>
                <c:ptCount val="1"/>
                <c:pt idx="0">
                  <c:v>0</c:v>
                </c:pt>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LoadProfile!$AM$159:$IJ$159</c:f>
            </c:numRef>
          </c:val>
          <c:extLst>
            <c:ext xmlns:c16="http://schemas.microsoft.com/office/drawing/2014/chart" uri="{C3380CC4-5D6E-409C-BE32-E72D297353CC}">
              <c16:uniqueId val="{00000001-4A26-4B77-BE71-8D2481F054A5}"/>
            </c:ext>
          </c:extLst>
        </c:ser>
        <c:ser>
          <c:idx val="2"/>
          <c:order val="2"/>
          <c:tx>
            <c:strRef>
              <c:f>LoadProfile!$AL$160</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LoadProfile!$AM$160:$IJ$160</c:f>
            </c:numRef>
          </c:val>
          <c:extLst>
            <c:ext xmlns:c16="http://schemas.microsoft.com/office/drawing/2014/chart" uri="{C3380CC4-5D6E-409C-BE32-E72D297353CC}">
              <c16:uniqueId val="{00000002-4A26-4B77-BE71-8D2481F054A5}"/>
            </c:ext>
          </c:extLst>
        </c:ser>
        <c:ser>
          <c:idx val="3"/>
          <c:order val="3"/>
          <c:tx>
            <c:strRef>
              <c:f>LoadProfile!$AL$161</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LoadProfile!$AM$161:$IJ$161</c:f>
            </c:numRef>
          </c:val>
          <c:extLst>
            <c:ext xmlns:c16="http://schemas.microsoft.com/office/drawing/2014/chart" uri="{C3380CC4-5D6E-409C-BE32-E72D297353CC}">
              <c16:uniqueId val="{00000003-4A26-4B77-BE71-8D2481F054A5}"/>
            </c:ext>
          </c:extLst>
        </c:ser>
        <c:ser>
          <c:idx val="4"/>
          <c:order val="4"/>
          <c:tx>
            <c:strRef>
              <c:f>LoadProfile!$AL$162</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LoadProfile!$AM$162:$IJ$162</c:f>
            </c:numRef>
          </c:val>
          <c:extLst>
            <c:ext xmlns:c16="http://schemas.microsoft.com/office/drawing/2014/chart" uri="{C3380CC4-5D6E-409C-BE32-E72D297353CC}">
              <c16:uniqueId val="{00000004-4A26-4B77-BE71-8D2481F054A5}"/>
            </c:ext>
          </c:extLst>
        </c:ser>
        <c:ser>
          <c:idx val="5"/>
          <c:order val="5"/>
          <c:tx>
            <c:strRef>
              <c:f>LoadProfile!$AL$163</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LoadProfile!$AM$163:$IJ$163</c:f>
            </c:numRef>
          </c:val>
          <c:extLst>
            <c:ext xmlns:c16="http://schemas.microsoft.com/office/drawing/2014/chart" uri="{C3380CC4-5D6E-409C-BE32-E72D297353CC}">
              <c16:uniqueId val="{00000005-4A26-4B77-BE71-8D2481F054A5}"/>
            </c:ext>
          </c:extLst>
        </c:ser>
        <c:ser>
          <c:idx val="6"/>
          <c:order val="6"/>
          <c:tx>
            <c:strRef>
              <c:f>LoadProfile!$AL$164</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LoadProfile!$AM$164:$IJ$164</c:f>
            </c:numRef>
          </c:val>
          <c:extLst>
            <c:ext xmlns:c16="http://schemas.microsoft.com/office/drawing/2014/chart" uri="{C3380CC4-5D6E-409C-BE32-E72D297353CC}">
              <c16:uniqueId val="{00000006-4A26-4B77-BE71-8D2481F054A5}"/>
            </c:ext>
          </c:extLst>
        </c:ser>
        <c:ser>
          <c:idx val="7"/>
          <c:order val="7"/>
          <c:tx>
            <c:strRef>
              <c:f>LoadProfile!$AL$165</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LoadProfile!$AM$165:$IJ$165</c:f>
            </c:numRef>
          </c:val>
          <c:extLst>
            <c:ext xmlns:c16="http://schemas.microsoft.com/office/drawing/2014/chart" uri="{C3380CC4-5D6E-409C-BE32-E72D297353CC}">
              <c16:uniqueId val="{00000007-4A26-4B77-BE71-8D2481F054A5}"/>
            </c:ext>
          </c:extLst>
        </c:ser>
        <c:ser>
          <c:idx val="8"/>
          <c:order val="8"/>
          <c:tx>
            <c:strRef>
              <c:f>LoadProfile!$AL$166</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LoadProfile!$AM$166:$IJ$166</c:f>
            </c:numRef>
          </c:val>
          <c:extLst>
            <c:ext xmlns:c16="http://schemas.microsoft.com/office/drawing/2014/chart" uri="{C3380CC4-5D6E-409C-BE32-E72D297353CC}">
              <c16:uniqueId val="{00000008-4A26-4B77-BE71-8D2481F054A5}"/>
            </c:ext>
          </c:extLst>
        </c:ser>
        <c:ser>
          <c:idx val="9"/>
          <c:order val="9"/>
          <c:tx>
            <c:strRef>
              <c:f>LoadProfile!$AL$167</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LoadProfile!$AM$167:$IJ$167</c:f>
            </c:numRef>
          </c:val>
          <c:extLst>
            <c:ext xmlns:c16="http://schemas.microsoft.com/office/drawing/2014/chart" uri="{C3380CC4-5D6E-409C-BE32-E72D297353CC}">
              <c16:uniqueId val="{00000009-4A26-4B77-BE71-8D2481F054A5}"/>
            </c:ext>
          </c:extLst>
        </c:ser>
        <c:ser>
          <c:idx val="10"/>
          <c:order val="10"/>
          <c:tx>
            <c:strRef>
              <c:f>LoadProfile!$AL$168</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LoadProfile!$AM$168:$IJ$168</c:f>
            </c:numRef>
          </c:val>
          <c:extLst>
            <c:ext xmlns:c16="http://schemas.microsoft.com/office/drawing/2014/chart" uri="{C3380CC4-5D6E-409C-BE32-E72D297353CC}">
              <c16:uniqueId val="{0000000A-4A26-4B77-BE71-8D2481F054A5}"/>
            </c:ext>
          </c:extLst>
        </c:ser>
        <c:ser>
          <c:idx val="11"/>
          <c:order val="11"/>
          <c:tx>
            <c:strRef>
              <c:f>LoadProfile!$AL$169</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LoadProfile!$AM$169:$IJ$169</c:f>
            </c:numRef>
          </c:val>
          <c:extLst>
            <c:ext xmlns:c16="http://schemas.microsoft.com/office/drawing/2014/chart" uri="{C3380CC4-5D6E-409C-BE32-E72D297353CC}">
              <c16:uniqueId val="{0000000B-4A26-4B77-BE71-8D2481F054A5}"/>
            </c:ext>
          </c:extLst>
        </c:ser>
        <c:ser>
          <c:idx val="12"/>
          <c:order val="12"/>
          <c:tx>
            <c:strRef>
              <c:f>LoadProfile!$AL$170</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LoadProfile!$AM$170:$IJ$170</c:f>
            </c:numRef>
          </c:val>
          <c:extLst>
            <c:ext xmlns:c16="http://schemas.microsoft.com/office/drawing/2014/chart" uri="{C3380CC4-5D6E-409C-BE32-E72D297353CC}">
              <c16:uniqueId val="{0000000C-4A26-4B77-BE71-8D2481F054A5}"/>
            </c:ext>
          </c:extLst>
        </c:ser>
        <c:ser>
          <c:idx val="13"/>
          <c:order val="13"/>
          <c:tx>
            <c:strRef>
              <c:f>LoadProfile!$AL$171</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LoadProfile!$AM$171:$IJ$171</c:f>
            </c:numRef>
          </c:val>
          <c:extLst>
            <c:ext xmlns:c16="http://schemas.microsoft.com/office/drawing/2014/chart" uri="{C3380CC4-5D6E-409C-BE32-E72D297353CC}">
              <c16:uniqueId val="{0000000D-4A26-4B77-BE71-8D2481F054A5}"/>
            </c:ext>
          </c:extLst>
        </c:ser>
        <c:ser>
          <c:idx val="14"/>
          <c:order val="14"/>
          <c:tx>
            <c:strRef>
              <c:f>LoadProfile!$AL$172</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LoadProfile!$AM$172:$IJ$172</c:f>
            </c:numRef>
          </c:val>
          <c:extLst>
            <c:ext xmlns:c16="http://schemas.microsoft.com/office/drawing/2014/chart" uri="{C3380CC4-5D6E-409C-BE32-E72D297353CC}">
              <c16:uniqueId val="{0000000E-4A26-4B77-BE71-8D2481F054A5}"/>
            </c:ext>
          </c:extLst>
        </c:ser>
        <c:ser>
          <c:idx val="15"/>
          <c:order val="15"/>
          <c:tx>
            <c:strRef>
              <c:f>LoadProfile!$AL$173</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LoadProfile!$AM$173:$IJ$173</c:f>
            </c:numRef>
          </c:val>
          <c:extLst>
            <c:ext xmlns:c16="http://schemas.microsoft.com/office/drawing/2014/chart" uri="{C3380CC4-5D6E-409C-BE32-E72D297353CC}">
              <c16:uniqueId val="{0000000F-4A26-4B77-BE71-8D2481F054A5}"/>
            </c:ext>
          </c:extLst>
        </c:ser>
        <c:ser>
          <c:idx val="16"/>
          <c:order val="16"/>
          <c:tx>
            <c:strRef>
              <c:f>LoadProfile!$AL$174</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LoadProfile!$AM$174:$IJ$174</c:f>
            </c:numRef>
          </c:val>
          <c:extLst>
            <c:ext xmlns:c16="http://schemas.microsoft.com/office/drawing/2014/chart" uri="{C3380CC4-5D6E-409C-BE32-E72D297353CC}">
              <c16:uniqueId val="{00000010-4A26-4B77-BE71-8D2481F054A5}"/>
            </c:ext>
          </c:extLst>
        </c:ser>
        <c:ser>
          <c:idx val="17"/>
          <c:order val="17"/>
          <c:tx>
            <c:strRef>
              <c:f>LoadProfile!$AL$175</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LoadProfile!$AM$175:$IJ$175</c:f>
            </c:numRef>
          </c:val>
          <c:extLst>
            <c:ext xmlns:c16="http://schemas.microsoft.com/office/drawing/2014/chart" uri="{C3380CC4-5D6E-409C-BE32-E72D297353CC}">
              <c16:uniqueId val="{00000011-4A26-4B77-BE71-8D2481F054A5}"/>
            </c:ext>
          </c:extLst>
        </c:ser>
        <c:ser>
          <c:idx val="18"/>
          <c:order val="18"/>
          <c:tx>
            <c:strRef>
              <c:f>LoadProfile!$AL$176</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LoadProfile!$AM$176:$IJ$176</c:f>
            </c:numRef>
          </c:val>
          <c:extLst>
            <c:ext xmlns:c16="http://schemas.microsoft.com/office/drawing/2014/chart" uri="{C3380CC4-5D6E-409C-BE32-E72D297353CC}">
              <c16:uniqueId val="{00000012-4A26-4B77-BE71-8D2481F054A5}"/>
            </c:ext>
          </c:extLst>
        </c:ser>
        <c:ser>
          <c:idx val="19"/>
          <c:order val="19"/>
          <c:tx>
            <c:strRef>
              <c:f>LoadProfile!$AL$177</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LoadProfile!$AM$177:$IJ$177</c:f>
            </c:numRef>
          </c:val>
          <c:extLst>
            <c:ext xmlns:c16="http://schemas.microsoft.com/office/drawing/2014/chart" uri="{C3380CC4-5D6E-409C-BE32-E72D297353CC}">
              <c16:uniqueId val="{00000013-4A26-4B77-BE71-8D2481F054A5}"/>
            </c:ext>
          </c:extLst>
        </c:ser>
        <c:ser>
          <c:idx val="20"/>
          <c:order val="20"/>
          <c:tx>
            <c:strRef>
              <c:f>LoadProfile!$AL$178</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LoadProfile!$AM$178:$IJ$178</c:f>
            </c:numRef>
          </c:val>
          <c:extLst>
            <c:ext xmlns:c16="http://schemas.microsoft.com/office/drawing/2014/chart" uri="{C3380CC4-5D6E-409C-BE32-E72D297353CC}">
              <c16:uniqueId val="{00000014-4A26-4B77-BE71-8D2481F054A5}"/>
            </c:ext>
          </c:extLst>
        </c:ser>
        <c:ser>
          <c:idx val="21"/>
          <c:order val="21"/>
          <c:tx>
            <c:strRef>
              <c:f>LoadProfile!$AL$179</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LoadProfile!$AM$179:$IJ$179</c:f>
            </c:numRef>
          </c:val>
          <c:extLst>
            <c:ext xmlns:c16="http://schemas.microsoft.com/office/drawing/2014/chart" uri="{C3380CC4-5D6E-409C-BE32-E72D297353CC}">
              <c16:uniqueId val="{00000015-4A26-4B77-BE71-8D2481F054A5}"/>
            </c:ext>
          </c:extLst>
        </c:ser>
        <c:ser>
          <c:idx val="22"/>
          <c:order val="22"/>
          <c:tx>
            <c:strRef>
              <c:f>LoadProfile!$AL$180</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LoadProfile!$AM$180:$IJ$180</c:f>
            </c:numRef>
          </c:val>
          <c:extLst>
            <c:ext xmlns:c16="http://schemas.microsoft.com/office/drawing/2014/chart" uri="{C3380CC4-5D6E-409C-BE32-E72D297353CC}">
              <c16:uniqueId val="{00000016-4A26-4B77-BE71-8D2481F054A5}"/>
            </c:ext>
          </c:extLst>
        </c:ser>
        <c:ser>
          <c:idx val="23"/>
          <c:order val="23"/>
          <c:tx>
            <c:strRef>
              <c:f>LoadProfile!$AL$181</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LoadProfile!$AM$181:$IJ$181</c:f>
            </c:numRef>
          </c:val>
          <c:extLst>
            <c:ext xmlns:c16="http://schemas.microsoft.com/office/drawing/2014/chart" uri="{C3380CC4-5D6E-409C-BE32-E72D297353CC}">
              <c16:uniqueId val="{00000017-4A26-4B77-BE71-8D2481F054A5}"/>
            </c:ext>
          </c:extLst>
        </c:ser>
        <c:ser>
          <c:idx val="24"/>
          <c:order val="24"/>
          <c:tx>
            <c:strRef>
              <c:f>LoadProfile!$AL$182</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LoadProfile!$AM$182:$IJ$182</c:f>
            </c:numRef>
          </c:val>
          <c:extLst>
            <c:ext xmlns:c16="http://schemas.microsoft.com/office/drawing/2014/chart" uri="{C3380CC4-5D6E-409C-BE32-E72D297353CC}">
              <c16:uniqueId val="{00000018-4A26-4B77-BE71-8D2481F054A5}"/>
            </c:ext>
          </c:extLst>
        </c:ser>
        <c:ser>
          <c:idx val="25"/>
          <c:order val="25"/>
          <c:tx>
            <c:strRef>
              <c:f>LoadProfile!$AL$183</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LoadProfile!$AM$183:$IJ$183</c:f>
            </c:numRef>
          </c:val>
          <c:extLst>
            <c:ext xmlns:c16="http://schemas.microsoft.com/office/drawing/2014/chart" uri="{C3380CC4-5D6E-409C-BE32-E72D297353CC}">
              <c16:uniqueId val="{00000019-4A26-4B77-BE71-8D2481F054A5}"/>
            </c:ext>
          </c:extLst>
        </c:ser>
        <c:ser>
          <c:idx val="26"/>
          <c:order val="26"/>
          <c:tx>
            <c:strRef>
              <c:f>LoadProfile!$AL$184</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LoadProfile!$AM$184:$IJ$184</c:f>
            </c:numRef>
          </c:val>
          <c:extLst>
            <c:ext xmlns:c16="http://schemas.microsoft.com/office/drawing/2014/chart" uri="{C3380CC4-5D6E-409C-BE32-E72D297353CC}">
              <c16:uniqueId val="{0000001A-4A26-4B77-BE71-8D2481F054A5}"/>
            </c:ext>
          </c:extLst>
        </c:ser>
        <c:ser>
          <c:idx val="27"/>
          <c:order val="27"/>
          <c:tx>
            <c:strRef>
              <c:f>LoadProfile!$AL$185</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LoadProfile!$AM$185:$IJ$185</c:f>
            </c:numRef>
          </c:val>
          <c:extLst>
            <c:ext xmlns:c16="http://schemas.microsoft.com/office/drawing/2014/chart" uri="{C3380CC4-5D6E-409C-BE32-E72D297353CC}">
              <c16:uniqueId val="{0000001B-4A26-4B77-BE71-8D2481F054A5}"/>
            </c:ext>
          </c:extLst>
        </c:ser>
        <c:ser>
          <c:idx val="28"/>
          <c:order val="28"/>
          <c:tx>
            <c:strRef>
              <c:f>LoadProfile!$AL$186</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LoadProfile!$AM$186:$IJ$186</c:f>
            </c:numRef>
          </c:val>
          <c:extLst>
            <c:ext xmlns:c16="http://schemas.microsoft.com/office/drawing/2014/chart" uri="{C3380CC4-5D6E-409C-BE32-E72D297353CC}">
              <c16:uniqueId val="{0000001C-4A26-4B77-BE71-8D2481F054A5}"/>
            </c:ext>
          </c:extLst>
        </c:ser>
        <c:ser>
          <c:idx val="29"/>
          <c:order val="29"/>
          <c:tx>
            <c:strRef>
              <c:f>LoadProfile!$AL$187</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LoadProfile!$AM$187:$IJ$187</c:f>
            </c:numRef>
          </c:val>
          <c:extLst>
            <c:ext xmlns:c16="http://schemas.microsoft.com/office/drawing/2014/chart" uri="{C3380CC4-5D6E-409C-BE32-E72D297353CC}">
              <c16:uniqueId val="{0000001D-4A26-4B77-BE71-8D2481F054A5}"/>
            </c:ext>
          </c:extLst>
        </c:ser>
        <c:ser>
          <c:idx val="31"/>
          <c:order val="31"/>
          <c:tx>
            <c:strRef>
              <c:f>LoadProfile!$AL$189</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LoadProfile!$AM$189:$IJ$189</c:f>
            </c:numRef>
          </c:val>
          <c:extLst>
            <c:ext xmlns:c16="http://schemas.microsoft.com/office/drawing/2014/chart" uri="{C3380CC4-5D6E-409C-BE32-E72D297353CC}">
              <c16:uniqueId val="{0000001F-4A26-4B77-BE71-8D2481F054A5}"/>
            </c:ext>
          </c:extLst>
        </c:ser>
        <c:ser>
          <c:idx val="32"/>
          <c:order val="32"/>
          <c:tx>
            <c:strRef>
              <c:f>LoadProfile!$AL$190</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LoadProfile!$AM$190:$IJ$190</c:f>
            </c:numRef>
          </c:val>
          <c:extLst>
            <c:ext xmlns:c16="http://schemas.microsoft.com/office/drawing/2014/chart" uri="{C3380CC4-5D6E-409C-BE32-E72D297353CC}">
              <c16:uniqueId val="{00000020-4A26-4B77-BE71-8D2481F054A5}"/>
            </c:ext>
          </c:extLst>
        </c:ser>
        <c:ser>
          <c:idx val="33"/>
          <c:order val="33"/>
          <c:tx>
            <c:strRef>
              <c:f>LoadProfile!$AL$191</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LoadProfile!$AM$191:$IJ$191</c:f>
            </c:numRef>
          </c:val>
          <c:extLst>
            <c:ext xmlns:c16="http://schemas.microsoft.com/office/drawing/2014/chart" uri="{C3380CC4-5D6E-409C-BE32-E72D297353CC}">
              <c16:uniqueId val="{00000021-4A26-4B77-BE71-8D2481F054A5}"/>
            </c:ext>
          </c:extLst>
        </c:ser>
        <c:ser>
          <c:idx val="34"/>
          <c:order val="34"/>
          <c:tx>
            <c:strRef>
              <c:f>LoadProfile!$AL$192</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LoadProfile!$AM$192:$IJ$192</c:f>
            </c:numRef>
          </c:val>
          <c:extLst>
            <c:ext xmlns:c16="http://schemas.microsoft.com/office/drawing/2014/chart" uri="{C3380CC4-5D6E-409C-BE32-E72D297353CC}">
              <c16:uniqueId val="{00000022-4A26-4B77-BE71-8D2481F054A5}"/>
            </c:ext>
          </c:extLst>
        </c:ser>
        <c:ser>
          <c:idx val="35"/>
          <c:order val="35"/>
          <c:tx>
            <c:strRef>
              <c:f>LoadProfile!$AL$193</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LoadProfile!$AM$193:$IJ$193</c:f>
            </c:numRef>
          </c:val>
          <c:extLst>
            <c:ext xmlns:c16="http://schemas.microsoft.com/office/drawing/2014/chart" uri="{C3380CC4-5D6E-409C-BE32-E72D297353CC}">
              <c16:uniqueId val="{00000023-4A26-4B77-BE71-8D2481F054A5}"/>
            </c:ext>
          </c:extLst>
        </c:ser>
        <c:ser>
          <c:idx val="36"/>
          <c:order val="36"/>
          <c:tx>
            <c:strRef>
              <c:f>LoadProfile!$AL$194</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LoadProfile!$AM$194:$IJ$194</c:f>
            </c:numRef>
          </c:val>
          <c:extLst>
            <c:ext xmlns:c16="http://schemas.microsoft.com/office/drawing/2014/chart" uri="{C3380CC4-5D6E-409C-BE32-E72D297353CC}">
              <c16:uniqueId val="{00000024-4A26-4B77-BE71-8D2481F054A5}"/>
            </c:ext>
          </c:extLst>
        </c:ser>
        <c:ser>
          <c:idx val="37"/>
          <c:order val="37"/>
          <c:tx>
            <c:strRef>
              <c:f>LoadProfile!$AL$195</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LoadProfile!$AM$195:$IJ$195</c:f>
            </c:numRef>
          </c:val>
          <c:extLst>
            <c:ext xmlns:c16="http://schemas.microsoft.com/office/drawing/2014/chart" uri="{C3380CC4-5D6E-409C-BE32-E72D297353CC}">
              <c16:uniqueId val="{00000025-4A26-4B77-BE71-8D2481F054A5}"/>
            </c:ext>
          </c:extLst>
        </c:ser>
        <c:ser>
          <c:idx val="38"/>
          <c:order val="38"/>
          <c:tx>
            <c:strRef>
              <c:f>LoadProfile!$AL$196</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LoadProfile!$AM$196:$IJ$196</c:f>
            </c:numRef>
          </c:val>
          <c:extLst>
            <c:ext xmlns:c16="http://schemas.microsoft.com/office/drawing/2014/chart" uri="{C3380CC4-5D6E-409C-BE32-E72D297353CC}">
              <c16:uniqueId val="{00000026-4A26-4B77-BE71-8D2481F054A5}"/>
            </c:ext>
          </c:extLst>
        </c:ser>
        <c:ser>
          <c:idx val="39"/>
          <c:order val="39"/>
          <c:tx>
            <c:strRef>
              <c:f>LoadProfile!$AL$197</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LoadProfile!$AM$197:$IJ$197</c:f>
            </c:numRef>
          </c:val>
          <c:extLst>
            <c:ext xmlns:c16="http://schemas.microsoft.com/office/drawing/2014/chart" uri="{C3380CC4-5D6E-409C-BE32-E72D297353CC}">
              <c16:uniqueId val="{00000027-4A26-4B77-BE71-8D2481F054A5}"/>
            </c:ext>
          </c:extLst>
        </c:ser>
        <c:ser>
          <c:idx val="40"/>
          <c:order val="40"/>
          <c:tx>
            <c:strRef>
              <c:f>LoadProfile!$AL$198</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LoadProfile!$AM$198:$IJ$198</c:f>
            </c:numRef>
          </c:val>
          <c:extLst>
            <c:ext xmlns:c16="http://schemas.microsoft.com/office/drawing/2014/chart" uri="{C3380CC4-5D6E-409C-BE32-E72D297353CC}">
              <c16:uniqueId val="{00000028-4A26-4B77-BE71-8D2481F054A5}"/>
            </c:ext>
          </c:extLst>
        </c:ser>
        <c:ser>
          <c:idx val="41"/>
          <c:order val="41"/>
          <c:tx>
            <c:strRef>
              <c:f>LoadProfile!$AL$199</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LoadProfile!$AM$199:$IJ$199</c:f>
            </c:numRef>
          </c:val>
          <c:extLst>
            <c:ext xmlns:c16="http://schemas.microsoft.com/office/drawing/2014/chart" uri="{C3380CC4-5D6E-409C-BE32-E72D297353CC}">
              <c16:uniqueId val="{00000029-4A26-4B77-BE71-8D2481F054A5}"/>
            </c:ext>
          </c:extLst>
        </c:ser>
        <c:ser>
          <c:idx val="42"/>
          <c:order val="42"/>
          <c:tx>
            <c:strRef>
              <c:f>LoadProfile!$AL$200</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LoadProfile!$AM$200:$IJ$200</c:f>
            </c:numRef>
          </c:val>
          <c:extLst>
            <c:ext xmlns:c16="http://schemas.microsoft.com/office/drawing/2014/chart" uri="{C3380CC4-5D6E-409C-BE32-E72D297353CC}">
              <c16:uniqueId val="{0000002A-4A26-4B77-BE71-8D2481F054A5}"/>
            </c:ext>
          </c:extLst>
        </c:ser>
        <c:ser>
          <c:idx val="43"/>
          <c:order val="43"/>
          <c:tx>
            <c:strRef>
              <c:f>LoadProfile!$AL$201</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LoadProfile!$AM$201:$IJ$201</c:f>
            </c:numRef>
          </c:val>
          <c:extLst>
            <c:ext xmlns:c16="http://schemas.microsoft.com/office/drawing/2014/chart" uri="{C3380CC4-5D6E-409C-BE32-E72D297353CC}">
              <c16:uniqueId val="{0000002B-4A26-4B77-BE71-8D2481F054A5}"/>
            </c:ext>
          </c:extLst>
        </c:ser>
        <c:ser>
          <c:idx val="44"/>
          <c:order val="44"/>
          <c:tx>
            <c:strRef>
              <c:f>LoadProfile!$AL$202</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LoadProfile!$AM$202:$IJ$202</c:f>
            </c:numRef>
          </c:val>
          <c:extLst>
            <c:ext xmlns:c16="http://schemas.microsoft.com/office/drawing/2014/chart" uri="{C3380CC4-5D6E-409C-BE32-E72D297353CC}">
              <c16:uniqueId val="{0000002C-4A26-4B77-BE71-8D2481F054A5}"/>
            </c:ext>
          </c:extLst>
        </c:ser>
        <c:ser>
          <c:idx val="45"/>
          <c:order val="45"/>
          <c:tx>
            <c:strRef>
              <c:f>LoadProfile!$AL$203</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LoadProfile!$AM$203:$IJ$203</c:f>
            </c:numRef>
          </c:val>
          <c:extLst>
            <c:ext xmlns:c16="http://schemas.microsoft.com/office/drawing/2014/chart" uri="{C3380CC4-5D6E-409C-BE32-E72D297353CC}">
              <c16:uniqueId val="{0000002D-4A26-4B77-BE71-8D2481F054A5}"/>
            </c:ext>
          </c:extLst>
        </c:ser>
        <c:ser>
          <c:idx val="46"/>
          <c:order val="46"/>
          <c:tx>
            <c:strRef>
              <c:f>LoadProfile!$AL$204</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LoadProfile!$AM$204:$IJ$204</c:f>
            </c:numRef>
          </c:val>
          <c:extLst>
            <c:ext xmlns:c16="http://schemas.microsoft.com/office/drawing/2014/chart" uri="{C3380CC4-5D6E-409C-BE32-E72D297353CC}">
              <c16:uniqueId val="{0000002E-4A26-4B77-BE71-8D2481F054A5}"/>
            </c:ext>
          </c:extLst>
        </c:ser>
        <c:ser>
          <c:idx val="47"/>
          <c:order val="47"/>
          <c:tx>
            <c:strRef>
              <c:f>LoadProfile!$AL$205</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LoadProfile!$AM$205:$IJ$205</c:f>
            </c:numRef>
          </c:val>
          <c:extLst>
            <c:ext xmlns:c16="http://schemas.microsoft.com/office/drawing/2014/chart" uri="{C3380CC4-5D6E-409C-BE32-E72D297353CC}">
              <c16:uniqueId val="{0000002F-4A26-4B77-BE71-8D2481F054A5}"/>
            </c:ext>
          </c:extLst>
        </c:ser>
        <c:ser>
          <c:idx val="48"/>
          <c:order val="48"/>
          <c:tx>
            <c:strRef>
              <c:f>LoadProfile!$AL$206</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LoadProfile!$AM$206:$IJ$206</c:f>
            </c:numRef>
          </c:val>
          <c:extLst>
            <c:ext xmlns:c16="http://schemas.microsoft.com/office/drawing/2014/chart" uri="{C3380CC4-5D6E-409C-BE32-E72D297353CC}">
              <c16:uniqueId val="{00000030-4A26-4B77-BE71-8D2481F054A5}"/>
            </c:ext>
          </c:extLst>
        </c:ser>
        <c:ser>
          <c:idx val="49"/>
          <c:order val="49"/>
          <c:tx>
            <c:strRef>
              <c:f>LoadProfile!$AL$207</c:f>
              <c:strCache>
                <c:ptCount val="1"/>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LoadProfile!$AM$207:$IJ$207</c:f>
            </c:numRef>
          </c:val>
          <c:extLst>
            <c:ext xmlns:c16="http://schemas.microsoft.com/office/drawing/2014/chart" uri="{C3380CC4-5D6E-409C-BE32-E72D297353CC}">
              <c16:uniqueId val="{00000031-4A26-4B77-BE71-8D2481F054A5}"/>
            </c:ext>
          </c:extLst>
        </c:ser>
        <c:ser>
          <c:idx val="50"/>
          <c:order val="50"/>
          <c:tx>
            <c:strRef>
              <c:f>LoadProfile!$AL$208</c:f>
              <c:strCache>
                <c:ptCount val="1"/>
                <c:pt idx="0">
                  <c:v>% of Nominal</c:v>
                </c:pt>
              </c:strCache>
            </c:strRef>
          </c:tx>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LoadProfile!$AM$208:$IJ$208</c:f>
              <c:numCache>
                <c:formatCode>0%</c:formatCode>
                <c:ptCount val="2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numCache>
            </c:numRef>
          </c:val>
          <c:extLst>
            <c:ext xmlns:c16="http://schemas.microsoft.com/office/drawing/2014/chart" uri="{C3380CC4-5D6E-409C-BE32-E72D297353CC}">
              <c16:uniqueId val="{00000032-4A26-4B77-BE71-8D2481F054A5}"/>
            </c:ext>
          </c:extLst>
        </c:ser>
        <c:dLbls>
          <c:showLegendKey val="0"/>
          <c:showVal val="0"/>
          <c:showCatName val="0"/>
          <c:showSerName val="0"/>
          <c:showPercent val="0"/>
          <c:showBubbleSize val="0"/>
        </c:dLbls>
        <c:axId val="900757568"/>
        <c:axId val="900753968"/>
      </c:areaChart>
      <c:areaChart>
        <c:grouping val="stacked"/>
        <c:varyColors val="0"/>
        <c:ser>
          <c:idx val="30"/>
          <c:order val="30"/>
          <c:tx>
            <c:strRef>
              <c:f>LoadProfile!$AL$188</c:f>
              <c:strCache>
                <c:ptCount val="1"/>
              </c:strCache>
            </c:strRef>
          </c:tx>
          <c:spPr>
            <a:noFill/>
          </c:spPr>
          <c:cat>
            <c:numRef>
              <c:f>LoadProfile!$AM$157:$IJ$157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LoadProfile!$AM$188:$IJ$188</c:f>
            </c:numRef>
          </c:val>
          <c:extLst>
            <c:ext xmlns:c16="http://schemas.microsoft.com/office/drawing/2014/chart" uri="{C3380CC4-5D6E-409C-BE32-E72D297353CC}">
              <c16:uniqueId val="{0000001E-4A26-4B77-BE71-8D2481F054A5}"/>
            </c:ext>
          </c:extLst>
        </c:ser>
        <c:dLbls>
          <c:showLegendKey val="0"/>
          <c:showVal val="0"/>
          <c:showCatName val="0"/>
          <c:showSerName val="0"/>
          <c:showPercent val="0"/>
          <c:showBubbleSize val="0"/>
        </c:dLbls>
        <c:axId val="852030136"/>
        <c:axId val="852027976"/>
      </c:areaChart>
      <c:catAx>
        <c:axId val="900757568"/>
        <c:scaling>
          <c:orientation val="minMax"/>
        </c:scaling>
        <c:delete val="0"/>
        <c:axPos val="b"/>
        <c:numFmt formatCode="h:mm" sourceLinked="1"/>
        <c:majorTickMark val="out"/>
        <c:minorTickMark val="none"/>
        <c:tickLblPos val="nextTo"/>
        <c:crossAx val="900753968"/>
        <c:crosses val="autoZero"/>
        <c:auto val="1"/>
        <c:lblAlgn val="ctr"/>
        <c:lblOffset val="100"/>
        <c:noMultiLvlLbl val="0"/>
      </c:catAx>
      <c:valAx>
        <c:axId val="900753968"/>
        <c:scaling>
          <c:orientation val="minMax"/>
        </c:scaling>
        <c:delete val="0"/>
        <c:axPos val="l"/>
        <c:majorGridlines/>
        <c:numFmt formatCode="0%" sourceLinked="1"/>
        <c:majorTickMark val="out"/>
        <c:minorTickMark val="none"/>
        <c:tickLblPos val="nextTo"/>
        <c:crossAx val="900757568"/>
        <c:crosses val="autoZero"/>
        <c:crossBetween val="midCat"/>
      </c:valAx>
      <c:valAx>
        <c:axId val="852027976"/>
        <c:scaling>
          <c:orientation val="minMax"/>
          <c:min val="0"/>
        </c:scaling>
        <c:delete val="0"/>
        <c:axPos val="r"/>
        <c:numFmt formatCode="General" sourceLinked="1"/>
        <c:majorTickMark val="out"/>
        <c:minorTickMark val="none"/>
        <c:tickLblPos val="nextTo"/>
        <c:crossAx val="852030136"/>
        <c:crosses val="max"/>
        <c:crossBetween val="midCat"/>
      </c:valAx>
      <c:catAx>
        <c:axId val="852030136"/>
        <c:scaling>
          <c:orientation val="minMax"/>
        </c:scaling>
        <c:delete val="1"/>
        <c:axPos val="b"/>
        <c:numFmt formatCode="h:mm" sourceLinked="1"/>
        <c:majorTickMark val="out"/>
        <c:minorTickMark val="none"/>
        <c:tickLblPos val="nextTo"/>
        <c:crossAx val="852027976"/>
        <c:crosses val="autoZero"/>
        <c:auto val="1"/>
        <c:lblAlgn val="ctr"/>
        <c:lblOffset val="100"/>
        <c:noMultiLvlLbl val="0"/>
      </c:cat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areaChart>
        <c:grouping val="stacked"/>
        <c:varyColors val="0"/>
        <c:ser>
          <c:idx val="0"/>
          <c:order val="0"/>
          <c:tx>
            <c:strRef>
              <c:f>LoadProfile!$AL$288</c:f>
              <c:strCache>
                <c:ptCount val="1"/>
                <c:pt idx="0">
                  <c:v>0</c:v>
                </c:pt>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LoadProfile!$AM$288:$IJ$288</c:f>
            </c:numRef>
          </c:val>
          <c:extLst>
            <c:ext xmlns:c16="http://schemas.microsoft.com/office/drawing/2014/chart" uri="{C3380CC4-5D6E-409C-BE32-E72D297353CC}">
              <c16:uniqueId val="{00000000-90E7-4CBD-AA67-AABA39FB7CC5}"/>
            </c:ext>
          </c:extLst>
        </c:ser>
        <c:ser>
          <c:idx val="1"/>
          <c:order val="1"/>
          <c:tx>
            <c:strRef>
              <c:f>LoadProfile!$AL$289</c:f>
              <c:strCache>
                <c:ptCount val="1"/>
                <c:pt idx="0">
                  <c:v>0</c:v>
                </c:pt>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LoadProfile!$AM$289:$IJ$289</c:f>
            </c:numRef>
          </c:val>
          <c:extLst>
            <c:ext xmlns:c16="http://schemas.microsoft.com/office/drawing/2014/chart" uri="{C3380CC4-5D6E-409C-BE32-E72D297353CC}">
              <c16:uniqueId val="{00000001-90E7-4CBD-AA67-AABA39FB7CC5}"/>
            </c:ext>
          </c:extLst>
        </c:ser>
        <c:ser>
          <c:idx val="2"/>
          <c:order val="2"/>
          <c:tx>
            <c:strRef>
              <c:f>LoadProfile!$AL$290</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LoadProfile!$AM$290:$IJ$290</c:f>
            </c:numRef>
          </c:val>
          <c:extLst>
            <c:ext xmlns:c16="http://schemas.microsoft.com/office/drawing/2014/chart" uri="{C3380CC4-5D6E-409C-BE32-E72D297353CC}">
              <c16:uniqueId val="{00000002-90E7-4CBD-AA67-AABA39FB7CC5}"/>
            </c:ext>
          </c:extLst>
        </c:ser>
        <c:ser>
          <c:idx val="3"/>
          <c:order val="3"/>
          <c:tx>
            <c:strRef>
              <c:f>LoadProfile!$AL$291</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LoadProfile!$AM$291:$IJ$291</c:f>
            </c:numRef>
          </c:val>
          <c:extLst>
            <c:ext xmlns:c16="http://schemas.microsoft.com/office/drawing/2014/chart" uri="{C3380CC4-5D6E-409C-BE32-E72D297353CC}">
              <c16:uniqueId val="{00000003-90E7-4CBD-AA67-AABA39FB7CC5}"/>
            </c:ext>
          </c:extLst>
        </c:ser>
        <c:ser>
          <c:idx val="4"/>
          <c:order val="4"/>
          <c:tx>
            <c:strRef>
              <c:f>LoadProfile!$AL$292</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LoadProfile!$AM$292:$IJ$292</c:f>
            </c:numRef>
          </c:val>
          <c:extLst>
            <c:ext xmlns:c16="http://schemas.microsoft.com/office/drawing/2014/chart" uri="{C3380CC4-5D6E-409C-BE32-E72D297353CC}">
              <c16:uniqueId val="{00000004-90E7-4CBD-AA67-AABA39FB7CC5}"/>
            </c:ext>
          </c:extLst>
        </c:ser>
        <c:ser>
          <c:idx val="5"/>
          <c:order val="5"/>
          <c:tx>
            <c:strRef>
              <c:f>LoadProfile!$AL$293</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LoadProfile!$AM$293:$IJ$293</c:f>
            </c:numRef>
          </c:val>
          <c:extLst>
            <c:ext xmlns:c16="http://schemas.microsoft.com/office/drawing/2014/chart" uri="{C3380CC4-5D6E-409C-BE32-E72D297353CC}">
              <c16:uniqueId val="{00000005-90E7-4CBD-AA67-AABA39FB7CC5}"/>
            </c:ext>
          </c:extLst>
        </c:ser>
        <c:ser>
          <c:idx val="6"/>
          <c:order val="6"/>
          <c:tx>
            <c:strRef>
              <c:f>LoadProfile!$AL$294</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LoadProfile!$AM$294:$IJ$294</c:f>
            </c:numRef>
          </c:val>
          <c:extLst>
            <c:ext xmlns:c16="http://schemas.microsoft.com/office/drawing/2014/chart" uri="{C3380CC4-5D6E-409C-BE32-E72D297353CC}">
              <c16:uniqueId val="{00000006-90E7-4CBD-AA67-AABA39FB7CC5}"/>
            </c:ext>
          </c:extLst>
        </c:ser>
        <c:ser>
          <c:idx val="7"/>
          <c:order val="7"/>
          <c:tx>
            <c:strRef>
              <c:f>LoadProfile!$AL$295</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LoadProfile!$AM$295:$IJ$295</c:f>
            </c:numRef>
          </c:val>
          <c:extLst>
            <c:ext xmlns:c16="http://schemas.microsoft.com/office/drawing/2014/chart" uri="{C3380CC4-5D6E-409C-BE32-E72D297353CC}">
              <c16:uniqueId val="{00000007-90E7-4CBD-AA67-AABA39FB7CC5}"/>
            </c:ext>
          </c:extLst>
        </c:ser>
        <c:ser>
          <c:idx val="8"/>
          <c:order val="8"/>
          <c:tx>
            <c:strRef>
              <c:f>LoadProfile!$AL$296</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LoadProfile!$AM$296:$IJ$296</c:f>
            </c:numRef>
          </c:val>
          <c:extLst>
            <c:ext xmlns:c16="http://schemas.microsoft.com/office/drawing/2014/chart" uri="{C3380CC4-5D6E-409C-BE32-E72D297353CC}">
              <c16:uniqueId val="{00000008-90E7-4CBD-AA67-AABA39FB7CC5}"/>
            </c:ext>
          </c:extLst>
        </c:ser>
        <c:ser>
          <c:idx val="9"/>
          <c:order val="9"/>
          <c:tx>
            <c:strRef>
              <c:f>LoadProfile!$AL$297</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LoadProfile!$AM$297:$IJ$297</c:f>
            </c:numRef>
          </c:val>
          <c:extLst>
            <c:ext xmlns:c16="http://schemas.microsoft.com/office/drawing/2014/chart" uri="{C3380CC4-5D6E-409C-BE32-E72D297353CC}">
              <c16:uniqueId val="{00000009-90E7-4CBD-AA67-AABA39FB7CC5}"/>
            </c:ext>
          </c:extLst>
        </c:ser>
        <c:ser>
          <c:idx val="10"/>
          <c:order val="10"/>
          <c:tx>
            <c:strRef>
              <c:f>LoadProfile!$AL$298</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LoadProfile!$AM$298:$IJ$298</c:f>
            </c:numRef>
          </c:val>
          <c:extLst>
            <c:ext xmlns:c16="http://schemas.microsoft.com/office/drawing/2014/chart" uri="{C3380CC4-5D6E-409C-BE32-E72D297353CC}">
              <c16:uniqueId val="{0000000A-90E7-4CBD-AA67-AABA39FB7CC5}"/>
            </c:ext>
          </c:extLst>
        </c:ser>
        <c:ser>
          <c:idx val="11"/>
          <c:order val="11"/>
          <c:tx>
            <c:strRef>
              <c:f>LoadProfile!$AL$299</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LoadProfile!$AM$299:$IJ$299</c:f>
            </c:numRef>
          </c:val>
          <c:extLst>
            <c:ext xmlns:c16="http://schemas.microsoft.com/office/drawing/2014/chart" uri="{C3380CC4-5D6E-409C-BE32-E72D297353CC}">
              <c16:uniqueId val="{0000000B-90E7-4CBD-AA67-AABA39FB7CC5}"/>
            </c:ext>
          </c:extLst>
        </c:ser>
        <c:ser>
          <c:idx val="12"/>
          <c:order val="12"/>
          <c:tx>
            <c:strRef>
              <c:f>LoadProfile!$AL$300</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LoadProfile!$AM$300:$IJ$300</c:f>
            </c:numRef>
          </c:val>
          <c:extLst>
            <c:ext xmlns:c16="http://schemas.microsoft.com/office/drawing/2014/chart" uri="{C3380CC4-5D6E-409C-BE32-E72D297353CC}">
              <c16:uniqueId val="{0000000C-90E7-4CBD-AA67-AABA39FB7CC5}"/>
            </c:ext>
          </c:extLst>
        </c:ser>
        <c:ser>
          <c:idx val="13"/>
          <c:order val="13"/>
          <c:tx>
            <c:strRef>
              <c:f>LoadProfile!$AL$301</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LoadProfile!$AM$301:$IJ$301</c:f>
            </c:numRef>
          </c:val>
          <c:extLst>
            <c:ext xmlns:c16="http://schemas.microsoft.com/office/drawing/2014/chart" uri="{C3380CC4-5D6E-409C-BE32-E72D297353CC}">
              <c16:uniqueId val="{0000000D-90E7-4CBD-AA67-AABA39FB7CC5}"/>
            </c:ext>
          </c:extLst>
        </c:ser>
        <c:ser>
          <c:idx val="14"/>
          <c:order val="14"/>
          <c:tx>
            <c:strRef>
              <c:f>LoadProfile!$AL$302</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LoadProfile!$AM$302:$IJ$302</c:f>
            </c:numRef>
          </c:val>
          <c:extLst>
            <c:ext xmlns:c16="http://schemas.microsoft.com/office/drawing/2014/chart" uri="{C3380CC4-5D6E-409C-BE32-E72D297353CC}">
              <c16:uniqueId val="{0000000E-90E7-4CBD-AA67-AABA39FB7CC5}"/>
            </c:ext>
          </c:extLst>
        </c:ser>
        <c:ser>
          <c:idx val="15"/>
          <c:order val="15"/>
          <c:tx>
            <c:strRef>
              <c:f>LoadProfile!$AL$303</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LoadProfile!$AM$303:$IJ$303</c:f>
            </c:numRef>
          </c:val>
          <c:extLst>
            <c:ext xmlns:c16="http://schemas.microsoft.com/office/drawing/2014/chart" uri="{C3380CC4-5D6E-409C-BE32-E72D297353CC}">
              <c16:uniqueId val="{0000000F-90E7-4CBD-AA67-AABA39FB7CC5}"/>
            </c:ext>
          </c:extLst>
        </c:ser>
        <c:ser>
          <c:idx val="16"/>
          <c:order val="16"/>
          <c:tx>
            <c:strRef>
              <c:f>LoadProfile!$AL$304</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LoadProfile!$AM$304:$IJ$304</c:f>
            </c:numRef>
          </c:val>
          <c:extLst>
            <c:ext xmlns:c16="http://schemas.microsoft.com/office/drawing/2014/chart" uri="{C3380CC4-5D6E-409C-BE32-E72D297353CC}">
              <c16:uniqueId val="{00000010-90E7-4CBD-AA67-AABA39FB7CC5}"/>
            </c:ext>
          </c:extLst>
        </c:ser>
        <c:ser>
          <c:idx val="17"/>
          <c:order val="17"/>
          <c:tx>
            <c:strRef>
              <c:f>LoadProfile!$AL$305</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LoadProfile!$AM$305:$IJ$305</c:f>
            </c:numRef>
          </c:val>
          <c:extLst>
            <c:ext xmlns:c16="http://schemas.microsoft.com/office/drawing/2014/chart" uri="{C3380CC4-5D6E-409C-BE32-E72D297353CC}">
              <c16:uniqueId val="{00000011-90E7-4CBD-AA67-AABA39FB7CC5}"/>
            </c:ext>
          </c:extLst>
        </c:ser>
        <c:ser>
          <c:idx val="18"/>
          <c:order val="18"/>
          <c:tx>
            <c:strRef>
              <c:f>LoadProfile!$AL$306</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LoadProfile!$AM$306:$IJ$306</c:f>
            </c:numRef>
          </c:val>
          <c:extLst>
            <c:ext xmlns:c16="http://schemas.microsoft.com/office/drawing/2014/chart" uri="{C3380CC4-5D6E-409C-BE32-E72D297353CC}">
              <c16:uniqueId val="{00000012-90E7-4CBD-AA67-AABA39FB7CC5}"/>
            </c:ext>
          </c:extLst>
        </c:ser>
        <c:ser>
          <c:idx val="19"/>
          <c:order val="19"/>
          <c:tx>
            <c:strRef>
              <c:f>LoadProfile!$AL$307</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LoadProfile!$AM$307:$IJ$307</c:f>
            </c:numRef>
          </c:val>
          <c:extLst>
            <c:ext xmlns:c16="http://schemas.microsoft.com/office/drawing/2014/chart" uri="{C3380CC4-5D6E-409C-BE32-E72D297353CC}">
              <c16:uniqueId val="{00000013-90E7-4CBD-AA67-AABA39FB7CC5}"/>
            </c:ext>
          </c:extLst>
        </c:ser>
        <c:ser>
          <c:idx val="20"/>
          <c:order val="20"/>
          <c:tx>
            <c:strRef>
              <c:f>LoadProfile!$AL$308</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LoadProfile!$AM$308:$IJ$308</c:f>
            </c:numRef>
          </c:val>
          <c:extLst>
            <c:ext xmlns:c16="http://schemas.microsoft.com/office/drawing/2014/chart" uri="{C3380CC4-5D6E-409C-BE32-E72D297353CC}">
              <c16:uniqueId val="{00000014-90E7-4CBD-AA67-AABA39FB7CC5}"/>
            </c:ext>
          </c:extLst>
        </c:ser>
        <c:ser>
          <c:idx val="21"/>
          <c:order val="21"/>
          <c:tx>
            <c:strRef>
              <c:f>LoadProfile!$AL$309</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LoadProfile!$AM$309:$IJ$309</c:f>
            </c:numRef>
          </c:val>
          <c:extLst>
            <c:ext xmlns:c16="http://schemas.microsoft.com/office/drawing/2014/chart" uri="{C3380CC4-5D6E-409C-BE32-E72D297353CC}">
              <c16:uniqueId val="{00000015-90E7-4CBD-AA67-AABA39FB7CC5}"/>
            </c:ext>
          </c:extLst>
        </c:ser>
        <c:ser>
          <c:idx val="22"/>
          <c:order val="22"/>
          <c:tx>
            <c:strRef>
              <c:f>LoadProfile!$AL$310</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LoadProfile!$AM$310:$IJ$310</c:f>
            </c:numRef>
          </c:val>
          <c:extLst>
            <c:ext xmlns:c16="http://schemas.microsoft.com/office/drawing/2014/chart" uri="{C3380CC4-5D6E-409C-BE32-E72D297353CC}">
              <c16:uniqueId val="{00000016-90E7-4CBD-AA67-AABA39FB7CC5}"/>
            </c:ext>
          </c:extLst>
        </c:ser>
        <c:ser>
          <c:idx val="23"/>
          <c:order val="23"/>
          <c:tx>
            <c:strRef>
              <c:f>LoadProfile!$AL$311</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LoadProfile!$AM$311:$IJ$311</c:f>
            </c:numRef>
          </c:val>
          <c:extLst>
            <c:ext xmlns:c16="http://schemas.microsoft.com/office/drawing/2014/chart" uri="{C3380CC4-5D6E-409C-BE32-E72D297353CC}">
              <c16:uniqueId val="{00000017-90E7-4CBD-AA67-AABA39FB7CC5}"/>
            </c:ext>
          </c:extLst>
        </c:ser>
        <c:ser>
          <c:idx val="24"/>
          <c:order val="24"/>
          <c:tx>
            <c:strRef>
              <c:f>LoadProfile!$AL$312</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LoadProfile!$AM$312:$IJ$312</c:f>
            </c:numRef>
          </c:val>
          <c:extLst>
            <c:ext xmlns:c16="http://schemas.microsoft.com/office/drawing/2014/chart" uri="{C3380CC4-5D6E-409C-BE32-E72D297353CC}">
              <c16:uniqueId val="{00000018-90E7-4CBD-AA67-AABA39FB7CC5}"/>
            </c:ext>
          </c:extLst>
        </c:ser>
        <c:ser>
          <c:idx val="25"/>
          <c:order val="25"/>
          <c:tx>
            <c:strRef>
              <c:f>LoadProfile!$AL$313</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LoadProfile!$AM$313:$IJ$313</c:f>
            </c:numRef>
          </c:val>
          <c:extLst>
            <c:ext xmlns:c16="http://schemas.microsoft.com/office/drawing/2014/chart" uri="{C3380CC4-5D6E-409C-BE32-E72D297353CC}">
              <c16:uniqueId val="{00000019-90E7-4CBD-AA67-AABA39FB7CC5}"/>
            </c:ext>
          </c:extLst>
        </c:ser>
        <c:ser>
          <c:idx val="26"/>
          <c:order val="26"/>
          <c:tx>
            <c:strRef>
              <c:f>LoadProfile!$AL$314</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LoadProfile!$AM$314:$IJ$314</c:f>
            </c:numRef>
          </c:val>
          <c:extLst>
            <c:ext xmlns:c16="http://schemas.microsoft.com/office/drawing/2014/chart" uri="{C3380CC4-5D6E-409C-BE32-E72D297353CC}">
              <c16:uniqueId val="{0000001A-90E7-4CBD-AA67-AABA39FB7CC5}"/>
            </c:ext>
          </c:extLst>
        </c:ser>
        <c:ser>
          <c:idx val="27"/>
          <c:order val="27"/>
          <c:tx>
            <c:strRef>
              <c:f>LoadProfile!$AL$315</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LoadProfile!$AM$315:$IJ$315</c:f>
            </c:numRef>
          </c:val>
          <c:extLst>
            <c:ext xmlns:c16="http://schemas.microsoft.com/office/drawing/2014/chart" uri="{C3380CC4-5D6E-409C-BE32-E72D297353CC}">
              <c16:uniqueId val="{0000001B-90E7-4CBD-AA67-AABA39FB7CC5}"/>
            </c:ext>
          </c:extLst>
        </c:ser>
        <c:ser>
          <c:idx val="28"/>
          <c:order val="28"/>
          <c:tx>
            <c:strRef>
              <c:f>LoadProfile!$AL$316</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LoadProfile!$AM$316:$IJ$316</c:f>
            </c:numRef>
          </c:val>
          <c:extLst>
            <c:ext xmlns:c16="http://schemas.microsoft.com/office/drawing/2014/chart" uri="{C3380CC4-5D6E-409C-BE32-E72D297353CC}">
              <c16:uniqueId val="{0000001C-90E7-4CBD-AA67-AABA39FB7CC5}"/>
            </c:ext>
          </c:extLst>
        </c:ser>
        <c:ser>
          <c:idx val="29"/>
          <c:order val="29"/>
          <c:tx>
            <c:strRef>
              <c:f>LoadProfile!$AL$317</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LoadProfile!$AM$317:$IJ$317</c:f>
            </c:numRef>
          </c:val>
          <c:extLst>
            <c:ext xmlns:c16="http://schemas.microsoft.com/office/drawing/2014/chart" uri="{C3380CC4-5D6E-409C-BE32-E72D297353CC}">
              <c16:uniqueId val="{0000001D-90E7-4CBD-AA67-AABA39FB7CC5}"/>
            </c:ext>
          </c:extLst>
        </c:ser>
        <c:ser>
          <c:idx val="31"/>
          <c:order val="31"/>
          <c:tx>
            <c:strRef>
              <c:f>LoadProfile!$AL$319</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LoadProfile!$AM$319:$IJ$319</c:f>
            </c:numRef>
          </c:val>
          <c:extLst>
            <c:ext xmlns:c16="http://schemas.microsoft.com/office/drawing/2014/chart" uri="{C3380CC4-5D6E-409C-BE32-E72D297353CC}">
              <c16:uniqueId val="{0000001F-90E7-4CBD-AA67-AABA39FB7CC5}"/>
            </c:ext>
          </c:extLst>
        </c:ser>
        <c:ser>
          <c:idx val="32"/>
          <c:order val="32"/>
          <c:tx>
            <c:strRef>
              <c:f>LoadProfile!$AL$320</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LoadProfile!$AM$320:$IJ$320</c:f>
            </c:numRef>
          </c:val>
          <c:extLst>
            <c:ext xmlns:c16="http://schemas.microsoft.com/office/drawing/2014/chart" uri="{C3380CC4-5D6E-409C-BE32-E72D297353CC}">
              <c16:uniqueId val="{00000020-90E7-4CBD-AA67-AABA39FB7CC5}"/>
            </c:ext>
          </c:extLst>
        </c:ser>
        <c:ser>
          <c:idx val="33"/>
          <c:order val="33"/>
          <c:tx>
            <c:strRef>
              <c:f>LoadProfile!$AL$321</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LoadProfile!$AM$321:$IJ$321</c:f>
            </c:numRef>
          </c:val>
          <c:extLst>
            <c:ext xmlns:c16="http://schemas.microsoft.com/office/drawing/2014/chart" uri="{C3380CC4-5D6E-409C-BE32-E72D297353CC}">
              <c16:uniqueId val="{00000021-90E7-4CBD-AA67-AABA39FB7CC5}"/>
            </c:ext>
          </c:extLst>
        </c:ser>
        <c:ser>
          <c:idx val="34"/>
          <c:order val="34"/>
          <c:tx>
            <c:strRef>
              <c:f>LoadProfile!$AL$322</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LoadProfile!$AM$322:$IJ$322</c:f>
            </c:numRef>
          </c:val>
          <c:extLst>
            <c:ext xmlns:c16="http://schemas.microsoft.com/office/drawing/2014/chart" uri="{C3380CC4-5D6E-409C-BE32-E72D297353CC}">
              <c16:uniqueId val="{00000022-90E7-4CBD-AA67-AABA39FB7CC5}"/>
            </c:ext>
          </c:extLst>
        </c:ser>
        <c:ser>
          <c:idx val="35"/>
          <c:order val="35"/>
          <c:tx>
            <c:strRef>
              <c:f>LoadProfile!$AL$323</c:f>
              <c:strCache>
                <c:ptCount val="1"/>
              </c:strCache>
            </c:strRef>
          </c:tx>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LoadProfile!$AM$323:$IJ$323</c:f>
            </c:numRef>
          </c:val>
          <c:extLst>
            <c:ext xmlns:c16="http://schemas.microsoft.com/office/drawing/2014/chart" uri="{C3380CC4-5D6E-409C-BE32-E72D297353CC}">
              <c16:uniqueId val="{00000023-90E7-4CBD-AA67-AABA39FB7CC5}"/>
            </c:ext>
          </c:extLst>
        </c:ser>
        <c:ser>
          <c:idx val="36"/>
          <c:order val="36"/>
          <c:tx>
            <c:strRef>
              <c:f>LoadProfile!$AL$324</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LoadProfile!$AM$324:$IJ$324</c:f>
            </c:numRef>
          </c:val>
          <c:extLst>
            <c:ext xmlns:c16="http://schemas.microsoft.com/office/drawing/2014/chart" uri="{C3380CC4-5D6E-409C-BE32-E72D297353CC}">
              <c16:uniqueId val="{00000024-90E7-4CBD-AA67-AABA39FB7CC5}"/>
            </c:ext>
          </c:extLst>
        </c:ser>
        <c:ser>
          <c:idx val="37"/>
          <c:order val="37"/>
          <c:tx>
            <c:strRef>
              <c:f>LoadProfile!$AL$325</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LoadProfile!$AM$325:$IJ$325</c:f>
            </c:numRef>
          </c:val>
          <c:extLst>
            <c:ext xmlns:c16="http://schemas.microsoft.com/office/drawing/2014/chart" uri="{C3380CC4-5D6E-409C-BE32-E72D297353CC}">
              <c16:uniqueId val="{00000025-90E7-4CBD-AA67-AABA39FB7CC5}"/>
            </c:ext>
          </c:extLst>
        </c:ser>
        <c:ser>
          <c:idx val="38"/>
          <c:order val="38"/>
          <c:tx>
            <c:strRef>
              <c:f>LoadProfile!$AL$326</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LoadProfile!$AM$326:$IJ$326</c:f>
            </c:numRef>
          </c:val>
          <c:extLst>
            <c:ext xmlns:c16="http://schemas.microsoft.com/office/drawing/2014/chart" uri="{C3380CC4-5D6E-409C-BE32-E72D297353CC}">
              <c16:uniqueId val="{00000026-90E7-4CBD-AA67-AABA39FB7CC5}"/>
            </c:ext>
          </c:extLst>
        </c:ser>
        <c:ser>
          <c:idx val="39"/>
          <c:order val="39"/>
          <c:tx>
            <c:strRef>
              <c:f>LoadProfile!$AL$327</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LoadProfile!$AM$327:$IJ$327</c:f>
            </c:numRef>
          </c:val>
          <c:extLst>
            <c:ext xmlns:c16="http://schemas.microsoft.com/office/drawing/2014/chart" uri="{C3380CC4-5D6E-409C-BE32-E72D297353CC}">
              <c16:uniqueId val="{00000027-90E7-4CBD-AA67-AABA39FB7CC5}"/>
            </c:ext>
          </c:extLst>
        </c:ser>
        <c:ser>
          <c:idx val="40"/>
          <c:order val="40"/>
          <c:tx>
            <c:strRef>
              <c:f>LoadProfile!$AL$328</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LoadProfile!$AM$328:$IJ$328</c:f>
            </c:numRef>
          </c:val>
          <c:extLst>
            <c:ext xmlns:c16="http://schemas.microsoft.com/office/drawing/2014/chart" uri="{C3380CC4-5D6E-409C-BE32-E72D297353CC}">
              <c16:uniqueId val="{00000028-90E7-4CBD-AA67-AABA39FB7CC5}"/>
            </c:ext>
          </c:extLst>
        </c:ser>
        <c:ser>
          <c:idx val="41"/>
          <c:order val="41"/>
          <c:tx>
            <c:strRef>
              <c:f>LoadProfile!$AL$329</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LoadProfile!$AM$329:$IJ$329</c:f>
            </c:numRef>
          </c:val>
          <c:extLst>
            <c:ext xmlns:c16="http://schemas.microsoft.com/office/drawing/2014/chart" uri="{C3380CC4-5D6E-409C-BE32-E72D297353CC}">
              <c16:uniqueId val="{00000029-90E7-4CBD-AA67-AABA39FB7CC5}"/>
            </c:ext>
          </c:extLst>
        </c:ser>
        <c:ser>
          <c:idx val="42"/>
          <c:order val="42"/>
          <c:tx>
            <c:strRef>
              <c:f>LoadProfile!$AL$330</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LoadProfile!$AM$330:$IJ$330</c:f>
            </c:numRef>
          </c:val>
          <c:extLst>
            <c:ext xmlns:c16="http://schemas.microsoft.com/office/drawing/2014/chart" uri="{C3380CC4-5D6E-409C-BE32-E72D297353CC}">
              <c16:uniqueId val="{0000002A-90E7-4CBD-AA67-AABA39FB7CC5}"/>
            </c:ext>
          </c:extLst>
        </c:ser>
        <c:ser>
          <c:idx val="43"/>
          <c:order val="43"/>
          <c:tx>
            <c:strRef>
              <c:f>LoadProfile!$AL$331</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LoadProfile!$AM$331:$IJ$331</c:f>
            </c:numRef>
          </c:val>
          <c:extLst>
            <c:ext xmlns:c16="http://schemas.microsoft.com/office/drawing/2014/chart" uri="{C3380CC4-5D6E-409C-BE32-E72D297353CC}">
              <c16:uniqueId val="{0000002B-90E7-4CBD-AA67-AABA39FB7CC5}"/>
            </c:ext>
          </c:extLst>
        </c:ser>
        <c:ser>
          <c:idx val="44"/>
          <c:order val="44"/>
          <c:tx>
            <c:strRef>
              <c:f>LoadProfile!$AL$332</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LoadProfile!$AM$332:$IJ$332</c:f>
            </c:numRef>
          </c:val>
          <c:extLst>
            <c:ext xmlns:c16="http://schemas.microsoft.com/office/drawing/2014/chart" uri="{C3380CC4-5D6E-409C-BE32-E72D297353CC}">
              <c16:uniqueId val="{0000002C-90E7-4CBD-AA67-AABA39FB7CC5}"/>
            </c:ext>
          </c:extLst>
        </c:ser>
        <c:ser>
          <c:idx val="45"/>
          <c:order val="45"/>
          <c:tx>
            <c:strRef>
              <c:f>LoadProfile!$AL$333</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LoadProfile!$AM$333:$IJ$333</c:f>
            </c:numRef>
          </c:val>
          <c:extLst>
            <c:ext xmlns:c16="http://schemas.microsoft.com/office/drawing/2014/chart" uri="{C3380CC4-5D6E-409C-BE32-E72D297353CC}">
              <c16:uniqueId val="{0000002D-90E7-4CBD-AA67-AABA39FB7CC5}"/>
            </c:ext>
          </c:extLst>
        </c:ser>
        <c:ser>
          <c:idx val="46"/>
          <c:order val="46"/>
          <c:tx>
            <c:strRef>
              <c:f>LoadProfile!$AL$334</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LoadProfile!$AM$334:$IJ$334</c:f>
            </c:numRef>
          </c:val>
          <c:extLst>
            <c:ext xmlns:c16="http://schemas.microsoft.com/office/drawing/2014/chart" uri="{C3380CC4-5D6E-409C-BE32-E72D297353CC}">
              <c16:uniqueId val="{0000002E-90E7-4CBD-AA67-AABA39FB7CC5}"/>
            </c:ext>
          </c:extLst>
        </c:ser>
        <c:ser>
          <c:idx val="47"/>
          <c:order val="47"/>
          <c:tx>
            <c:strRef>
              <c:f>LoadProfile!$AL$335</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LoadProfile!$AM$335:$IJ$335</c:f>
            </c:numRef>
          </c:val>
          <c:extLst>
            <c:ext xmlns:c16="http://schemas.microsoft.com/office/drawing/2014/chart" uri="{C3380CC4-5D6E-409C-BE32-E72D297353CC}">
              <c16:uniqueId val="{0000002F-90E7-4CBD-AA67-AABA39FB7CC5}"/>
            </c:ext>
          </c:extLst>
        </c:ser>
        <c:ser>
          <c:idx val="48"/>
          <c:order val="48"/>
          <c:tx>
            <c:strRef>
              <c:f>LoadProfile!$AL$336</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LoadProfile!$AM$336:$IJ$336</c:f>
            </c:numRef>
          </c:val>
          <c:extLst>
            <c:ext xmlns:c16="http://schemas.microsoft.com/office/drawing/2014/chart" uri="{C3380CC4-5D6E-409C-BE32-E72D297353CC}">
              <c16:uniqueId val="{00000030-90E7-4CBD-AA67-AABA39FB7CC5}"/>
            </c:ext>
          </c:extLst>
        </c:ser>
        <c:ser>
          <c:idx val="49"/>
          <c:order val="49"/>
          <c:tx>
            <c:strRef>
              <c:f>LoadProfile!$AL$337</c:f>
              <c:strCache>
                <c:ptCount val="1"/>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LoadProfile!$AM$337:$IJ$337</c:f>
            </c:numRef>
          </c:val>
          <c:extLst>
            <c:ext xmlns:c16="http://schemas.microsoft.com/office/drawing/2014/chart" uri="{C3380CC4-5D6E-409C-BE32-E72D297353CC}">
              <c16:uniqueId val="{00000031-90E7-4CBD-AA67-AABA39FB7CC5}"/>
            </c:ext>
          </c:extLst>
        </c:ser>
        <c:ser>
          <c:idx val="50"/>
          <c:order val="50"/>
          <c:tx>
            <c:strRef>
              <c:f>LoadProfile!$AL$338</c:f>
              <c:strCache>
                <c:ptCount val="1"/>
                <c:pt idx="0">
                  <c:v>% of Nominal</c:v>
                </c:pt>
              </c:strCache>
            </c:strRef>
          </c:tx>
          <c:spPr>
            <a:ln w="25400">
              <a:noFill/>
            </a:ln>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LoadProfile!$AM$338:$IJ$338</c:f>
              <c:numCache>
                <c:formatCode>0%</c:formatCode>
                <c:ptCount val="20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numCache>
            </c:numRef>
          </c:val>
          <c:extLst>
            <c:ext xmlns:c16="http://schemas.microsoft.com/office/drawing/2014/chart" uri="{C3380CC4-5D6E-409C-BE32-E72D297353CC}">
              <c16:uniqueId val="{00000032-90E7-4CBD-AA67-AABA39FB7CC5}"/>
            </c:ext>
          </c:extLst>
        </c:ser>
        <c:dLbls>
          <c:showLegendKey val="0"/>
          <c:showVal val="0"/>
          <c:showCatName val="0"/>
          <c:showSerName val="0"/>
          <c:showPercent val="0"/>
          <c:showBubbleSize val="0"/>
        </c:dLbls>
        <c:axId val="900756128"/>
        <c:axId val="900756488"/>
      </c:areaChart>
      <c:areaChart>
        <c:grouping val="stacked"/>
        <c:varyColors val="0"/>
        <c:ser>
          <c:idx val="30"/>
          <c:order val="30"/>
          <c:tx>
            <c:strRef>
              <c:f>LoadProfile!$AL$318</c:f>
              <c:strCache>
                <c:ptCount val="1"/>
              </c:strCache>
            </c:strRef>
          </c:tx>
          <c:spPr>
            <a:noFill/>
          </c:spPr>
          <c:cat>
            <c:numRef>
              <c:f>LoadProfile!$AM$287:$IJ$287</c:f>
              <c:numCache>
                <c:formatCode>h:mm</c:formatCode>
                <c:ptCount val="206"/>
                <c:pt idx="0">
                  <c:v>0</c:v>
                </c:pt>
                <c:pt idx="1">
                  <c:v>4.8611111111111112E-3</c:v>
                </c:pt>
                <c:pt idx="2">
                  <c:v>9.7222222222222224E-3</c:v>
                </c:pt>
                <c:pt idx="3">
                  <c:v>1.4583333333333334E-2</c:v>
                </c:pt>
                <c:pt idx="4">
                  <c:v>1.9444444444444445E-2</c:v>
                </c:pt>
                <c:pt idx="5">
                  <c:v>2.4305555555555556E-2</c:v>
                </c:pt>
                <c:pt idx="6">
                  <c:v>2.9166666666666667E-2</c:v>
                </c:pt>
                <c:pt idx="7">
                  <c:v>3.4027777777777782E-2</c:v>
                </c:pt>
                <c:pt idx="8">
                  <c:v>3.888888888888889E-2</c:v>
                </c:pt>
                <c:pt idx="9">
                  <c:v>4.3750000000000004E-2</c:v>
                </c:pt>
                <c:pt idx="10">
                  <c:v>4.8611111111111112E-2</c:v>
                </c:pt>
                <c:pt idx="11">
                  <c:v>5.3472222222222227E-2</c:v>
                </c:pt>
                <c:pt idx="12">
                  <c:v>5.8333333333333334E-2</c:v>
                </c:pt>
                <c:pt idx="13">
                  <c:v>6.3194444444444442E-2</c:v>
                </c:pt>
                <c:pt idx="14">
                  <c:v>6.8055555555555564E-2</c:v>
                </c:pt>
                <c:pt idx="15">
                  <c:v>7.2916666666666671E-2</c:v>
                </c:pt>
                <c:pt idx="16">
                  <c:v>7.7777777777777779E-2</c:v>
                </c:pt>
                <c:pt idx="17">
                  <c:v>8.2638888888888887E-2</c:v>
                </c:pt>
                <c:pt idx="18">
                  <c:v>8.7500000000000008E-2</c:v>
                </c:pt>
                <c:pt idx="19">
                  <c:v>9.2361111111111116E-2</c:v>
                </c:pt>
                <c:pt idx="20">
                  <c:v>9.7222222222222224E-2</c:v>
                </c:pt>
                <c:pt idx="21">
                  <c:v>0.10208333333333333</c:v>
                </c:pt>
                <c:pt idx="22">
                  <c:v>0.10694444444444445</c:v>
                </c:pt>
                <c:pt idx="23">
                  <c:v>0.11180555555555556</c:v>
                </c:pt>
                <c:pt idx="24">
                  <c:v>0.11666666666666667</c:v>
                </c:pt>
                <c:pt idx="25">
                  <c:v>0.12152777777777778</c:v>
                </c:pt>
                <c:pt idx="26">
                  <c:v>0.12638888888888888</c:v>
                </c:pt>
                <c:pt idx="27">
                  <c:v>0.13125000000000001</c:v>
                </c:pt>
                <c:pt idx="28">
                  <c:v>0.13611111111111113</c:v>
                </c:pt>
                <c:pt idx="29">
                  <c:v>0.14097222222222222</c:v>
                </c:pt>
                <c:pt idx="30">
                  <c:v>0.14583333333333334</c:v>
                </c:pt>
                <c:pt idx="31">
                  <c:v>0.15069444444444444</c:v>
                </c:pt>
                <c:pt idx="32">
                  <c:v>0.15555555555555556</c:v>
                </c:pt>
                <c:pt idx="33">
                  <c:v>0.16041666666666668</c:v>
                </c:pt>
                <c:pt idx="34">
                  <c:v>0.16527777777777777</c:v>
                </c:pt>
                <c:pt idx="35">
                  <c:v>0.1701388888888889</c:v>
                </c:pt>
                <c:pt idx="36">
                  <c:v>0.17500000000000002</c:v>
                </c:pt>
                <c:pt idx="37">
                  <c:v>0.17986111111111111</c:v>
                </c:pt>
                <c:pt idx="38">
                  <c:v>0.18472222222222223</c:v>
                </c:pt>
                <c:pt idx="39">
                  <c:v>0.18958333333333335</c:v>
                </c:pt>
                <c:pt idx="40">
                  <c:v>0.19444444444444445</c:v>
                </c:pt>
                <c:pt idx="41">
                  <c:v>0.19930555555555557</c:v>
                </c:pt>
                <c:pt idx="42">
                  <c:v>0.20416666666666666</c:v>
                </c:pt>
                <c:pt idx="43">
                  <c:v>0.20902777777777778</c:v>
                </c:pt>
                <c:pt idx="44">
                  <c:v>0.21388888888888891</c:v>
                </c:pt>
                <c:pt idx="45">
                  <c:v>0.21875</c:v>
                </c:pt>
                <c:pt idx="46">
                  <c:v>0.22361111111111112</c:v>
                </c:pt>
                <c:pt idx="47">
                  <c:v>0.22847222222222224</c:v>
                </c:pt>
                <c:pt idx="48">
                  <c:v>0.23333333333333334</c:v>
                </c:pt>
                <c:pt idx="49">
                  <c:v>0.23819444444444446</c:v>
                </c:pt>
                <c:pt idx="50">
                  <c:v>0.24305555555555555</c:v>
                </c:pt>
                <c:pt idx="51">
                  <c:v>0.24791666666666667</c:v>
                </c:pt>
                <c:pt idx="52">
                  <c:v>0.25277777777777777</c:v>
                </c:pt>
                <c:pt idx="53">
                  <c:v>0.25763888888888892</c:v>
                </c:pt>
                <c:pt idx="54">
                  <c:v>0.26250000000000001</c:v>
                </c:pt>
                <c:pt idx="55">
                  <c:v>0.2673611111111111</c:v>
                </c:pt>
                <c:pt idx="56">
                  <c:v>0.27222222222222225</c:v>
                </c:pt>
                <c:pt idx="57">
                  <c:v>0.27708333333333335</c:v>
                </c:pt>
                <c:pt idx="58">
                  <c:v>0.28194444444444444</c:v>
                </c:pt>
                <c:pt idx="59">
                  <c:v>0.28680555555555559</c:v>
                </c:pt>
                <c:pt idx="60">
                  <c:v>0.29166666666666669</c:v>
                </c:pt>
                <c:pt idx="61">
                  <c:v>0.29652777777777778</c:v>
                </c:pt>
                <c:pt idx="62">
                  <c:v>0.30138888888888887</c:v>
                </c:pt>
                <c:pt idx="63">
                  <c:v>0.30625000000000002</c:v>
                </c:pt>
                <c:pt idx="64">
                  <c:v>0.31111111111111112</c:v>
                </c:pt>
                <c:pt idx="65">
                  <c:v>0.31597222222222221</c:v>
                </c:pt>
                <c:pt idx="66">
                  <c:v>0.32083333333333336</c:v>
                </c:pt>
                <c:pt idx="67">
                  <c:v>0.32569444444444445</c:v>
                </c:pt>
                <c:pt idx="68">
                  <c:v>0.33055555555555555</c:v>
                </c:pt>
                <c:pt idx="69">
                  <c:v>0.3354166666666667</c:v>
                </c:pt>
                <c:pt idx="70">
                  <c:v>0.34027777777777779</c:v>
                </c:pt>
                <c:pt idx="71">
                  <c:v>0.34513888888888888</c:v>
                </c:pt>
                <c:pt idx="72">
                  <c:v>0.35000000000000003</c:v>
                </c:pt>
                <c:pt idx="73">
                  <c:v>0.35486111111111113</c:v>
                </c:pt>
                <c:pt idx="74">
                  <c:v>0.35972222222222222</c:v>
                </c:pt>
                <c:pt idx="75">
                  <c:v>0.36458333333333337</c:v>
                </c:pt>
                <c:pt idx="76">
                  <c:v>0.36944444444444446</c:v>
                </c:pt>
                <c:pt idx="77">
                  <c:v>0.37430555555555556</c:v>
                </c:pt>
                <c:pt idx="78">
                  <c:v>0.37916666666666671</c:v>
                </c:pt>
                <c:pt idx="79">
                  <c:v>0.3840277777777778</c:v>
                </c:pt>
                <c:pt idx="80">
                  <c:v>0.3888888888888889</c:v>
                </c:pt>
                <c:pt idx="81">
                  <c:v>0.39374999999999999</c:v>
                </c:pt>
                <c:pt idx="82">
                  <c:v>0.39861111111111114</c:v>
                </c:pt>
                <c:pt idx="83">
                  <c:v>0.40347222222222223</c:v>
                </c:pt>
                <c:pt idx="84">
                  <c:v>0.40833333333333333</c:v>
                </c:pt>
                <c:pt idx="85">
                  <c:v>0.41319444444444448</c:v>
                </c:pt>
                <c:pt idx="86">
                  <c:v>0.41805555555555557</c:v>
                </c:pt>
                <c:pt idx="87">
                  <c:v>0.42291666666666666</c:v>
                </c:pt>
                <c:pt idx="88">
                  <c:v>0.42777777777777781</c:v>
                </c:pt>
                <c:pt idx="89">
                  <c:v>0.43263888888888891</c:v>
                </c:pt>
                <c:pt idx="90">
                  <c:v>0.4375</c:v>
                </c:pt>
                <c:pt idx="91">
                  <c:v>0.44236111111111115</c:v>
                </c:pt>
                <c:pt idx="92">
                  <c:v>0.44722222222222224</c:v>
                </c:pt>
                <c:pt idx="93">
                  <c:v>0.45208333333333334</c:v>
                </c:pt>
                <c:pt idx="94">
                  <c:v>0.45694444444444449</c:v>
                </c:pt>
                <c:pt idx="95">
                  <c:v>0.46180555555555558</c:v>
                </c:pt>
                <c:pt idx="96">
                  <c:v>0.46666666666666667</c:v>
                </c:pt>
                <c:pt idx="97">
                  <c:v>0.47152777777777782</c:v>
                </c:pt>
                <c:pt idx="98">
                  <c:v>0.47638888888888892</c:v>
                </c:pt>
                <c:pt idx="99">
                  <c:v>0.48125000000000001</c:v>
                </c:pt>
                <c:pt idx="100">
                  <c:v>0.4861111111111111</c:v>
                </c:pt>
                <c:pt idx="101">
                  <c:v>0.49097222222222225</c:v>
                </c:pt>
                <c:pt idx="102">
                  <c:v>0.49583333333333335</c:v>
                </c:pt>
                <c:pt idx="103">
                  <c:v>0.50069444444444444</c:v>
                </c:pt>
                <c:pt idx="104">
                  <c:v>0.50555555555555554</c:v>
                </c:pt>
                <c:pt idx="105">
                  <c:v>0.51041666666666674</c:v>
                </c:pt>
                <c:pt idx="106">
                  <c:v>0.51527777777777783</c:v>
                </c:pt>
                <c:pt idx="107">
                  <c:v>0.52013888888888893</c:v>
                </c:pt>
                <c:pt idx="108">
                  <c:v>0.52500000000000002</c:v>
                </c:pt>
                <c:pt idx="109">
                  <c:v>0.52986111111111112</c:v>
                </c:pt>
                <c:pt idx="110">
                  <c:v>0.53472222222222221</c:v>
                </c:pt>
                <c:pt idx="111">
                  <c:v>0.5395833333333333</c:v>
                </c:pt>
                <c:pt idx="112">
                  <c:v>0.54444444444444451</c:v>
                </c:pt>
                <c:pt idx="113">
                  <c:v>0.5493055555555556</c:v>
                </c:pt>
                <c:pt idx="114">
                  <c:v>0.5541666666666667</c:v>
                </c:pt>
                <c:pt idx="115">
                  <c:v>0.55902777777777779</c:v>
                </c:pt>
                <c:pt idx="116">
                  <c:v>0.56388888888888888</c:v>
                </c:pt>
                <c:pt idx="117">
                  <c:v>0.56874999999999998</c:v>
                </c:pt>
                <c:pt idx="118">
                  <c:v>0.57361111111111118</c:v>
                </c:pt>
                <c:pt idx="119">
                  <c:v>0.57847222222222228</c:v>
                </c:pt>
                <c:pt idx="120">
                  <c:v>0.58333333333333337</c:v>
                </c:pt>
                <c:pt idx="121">
                  <c:v>0.58819444444444446</c:v>
                </c:pt>
                <c:pt idx="122">
                  <c:v>0.59305555555555556</c:v>
                </c:pt>
                <c:pt idx="123">
                  <c:v>0.59791666666666665</c:v>
                </c:pt>
                <c:pt idx="124">
                  <c:v>0.60277777777777775</c:v>
                </c:pt>
                <c:pt idx="125">
                  <c:v>0.60763888888888895</c:v>
                </c:pt>
                <c:pt idx="126">
                  <c:v>0.61250000000000004</c:v>
                </c:pt>
                <c:pt idx="127">
                  <c:v>0.61736111111111114</c:v>
                </c:pt>
                <c:pt idx="128">
                  <c:v>0.62222222222222223</c:v>
                </c:pt>
                <c:pt idx="129">
                  <c:v>0.62708333333333333</c:v>
                </c:pt>
                <c:pt idx="130">
                  <c:v>0.63194444444444442</c:v>
                </c:pt>
                <c:pt idx="131">
                  <c:v>0.63680555555555562</c:v>
                </c:pt>
                <c:pt idx="132">
                  <c:v>0.64166666666666672</c:v>
                </c:pt>
                <c:pt idx="133">
                  <c:v>0.64652777777777781</c:v>
                </c:pt>
                <c:pt idx="134">
                  <c:v>0.65138888888888891</c:v>
                </c:pt>
                <c:pt idx="135">
                  <c:v>0.65625</c:v>
                </c:pt>
                <c:pt idx="136">
                  <c:v>0.66111111111111109</c:v>
                </c:pt>
                <c:pt idx="137">
                  <c:v>0.6659722222222223</c:v>
                </c:pt>
                <c:pt idx="138">
                  <c:v>0.67083333333333339</c:v>
                </c:pt>
                <c:pt idx="139">
                  <c:v>0.67569444444444449</c:v>
                </c:pt>
                <c:pt idx="140">
                  <c:v>0.68055555555555558</c:v>
                </c:pt>
                <c:pt idx="141">
                  <c:v>0.68541666666666667</c:v>
                </c:pt>
                <c:pt idx="142">
                  <c:v>0.69027777777777777</c:v>
                </c:pt>
                <c:pt idx="143">
                  <c:v>0.69513888888888886</c:v>
                </c:pt>
                <c:pt idx="144">
                  <c:v>0.70000000000000007</c:v>
                </c:pt>
                <c:pt idx="145">
                  <c:v>0.70486111111111116</c:v>
                </c:pt>
                <c:pt idx="146">
                  <c:v>0.70972222222222225</c:v>
                </c:pt>
                <c:pt idx="147">
                  <c:v>0.71458333333333335</c:v>
                </c:pt>
                <c:pt idx="148">
                  <c:v>0.71944444444444444</c:v>
                </c:pt>
                <c:pt idx="149">
                  <c:v>0.72430555555555554</c:v>
                </c:pt>
                <c:pt idx="150">
                  <c:v>0.72916666666666674</c:v>
                </c:pt>
                <c:pt idx="151">
                  <c:v>0.73402777777777783</c:v>
                </c:pt>
                <c:pt idx="152">
                  <c:v>0.73888888888888893</c:v>
                </c:pt>
                <c:pt idx="153">
                  <c:v>0.74375000000000002</c:v>
                </c:pt>
                <c:pt idx="154">
                  <c:v>0.74861111111111112</c:v>
                </c:pt>
                <c:pt idx="155">
                  <c:v>0.75347222222222221</c:v>
                </c:pt>
                <c:pt idx="156">
                  <c:v>0.75833333333333341</c:v>
                </c:pt>
                <c:pt idx="157">
                  <c:v>0.76319444444444451</c:v>
                </c:pt>
                <c:pt idx="158">
                  <c:v>0.7680555555555556</c:v>
                </c:pt>
                <c:pt idx="159">
                  <c:v>0.7729166666666667</c:v>
                </c:pt>
                <c:pt idx="160">
                  <c:v>0.77777777777777779</c:v>
                </c:pt>
                <c:pt idx="161">
                  <c:v>0.78263888888888888</c:v>
                </c:pt>
                <c:pt idx="162">
                  <c:v>0.78749999999999998</c:v>
                </c:pt>
                <c:pt idx="163">
                  <c:v>0.79236111111111118</c:v>
                </c:pt>
                <c:pt idx="164">
                  <c:v>0.79722222222222228</c:v>
                </c:pt>
                <c:pt idx="165">
                  <c:v>0.80208333333333337</c:v>
                </c:pt>
                <c:pt idx="166">
                  <c:v>0.80694444444444446</c:v>
                </c:pt>
                <c:pt idx="167">
                  <c:v>0.81180555555555556</c:v>
                </c:pt>
                <c:pt idx="168">
                  <c:v>0.81666666666666665</c:v>
                </c:pt>
                <c:pt idx="169">
                  <c:v>0.82152777777777786</c:v>
                </c:pt>
                <c:pt idx="170">
                  <c:v>0.82638888888888895</c:v>
                </c:pt>
                <c:pt idx="171">
                  <c:v>0.83125000000000004</c:v>
                </c:pt>
                <c:pt idx="172">
                  <c:v>0.83611111111111114</c:v>
                </c:pt>
                <c:pt idx="173">
                  <c:v>0.84097222222222223</c:v>
                </c:pt>
                <c:pt idx="174">
                  <c:v>0.84583333333333333</c:v>
                </c:pt>
                <c:pt idx="175">
                  <c:v>0.85069444444444453</c:v>
                </c:pt>
                <c:pt idx="176">
                  <c:v>0.85555555555555562</c:v>
                </c:pt>
                <c:pt idx="177">
                  <c:v>0.86041666666666672</c:v>
                </c:pt>
                <c:pt idx="178">
                  <c:v>0.86527777777777781</c:v>
                </c:pt>
                <c:pt idx="179">
                  <c:v>0.87013888888888891</c:v>
                </c:pt>
                <c:pt idx="180">
                  <c:v>0.875</c:v>
                </c:pt>
                <c:pt idx="181">
                  <c:v>0.87986111111111109</c:v>
                </c:pt>
                <c:pt idx="182">
                  <c:v>0.8847222222222223</c:v>
                </c:pt>
                <c:pt idx="183">
                  <c:v>0.88958333333333339</c:v>
                </c:pt>
                <c:pt idx="184">
                  <c:v>0.89444444444444449</c:v>
                </c:pt>
                <c:pt idx="185">
                  <c:v>0.89930555555555558</c:v>
                </c:pt>
                <c:pt idx="186">
                  <c:v>0.90416666666666667</c:v>
                </c:pt>
                <c:pt idx="187">
                  <c:v>0.90902777777777777</c:v>
                </c:pt>
                <c:pt idx="188">
                  <c:v>0.91388888888888897</c:v>
                </c:pt>
                <c:pt idx="189">
                  <c:v>0.91875000000000007</c:v>
                </c:pt>
                <c:pt idx="190">
                  <c:v>0.92361111111111116</c:v>
                </c:pt>
                <c:pt idx="191">
                  <c:v>0.92847222222222225</c:v>
                </c:pt>
                <c:pt idx="192">
                  <c:v>0.93333333333333335</c:v>
                </c:pt>
                <c:pt idx="193">
                  <c:v>0.93819444444444444</c:v>
                </c:pt>
                <c:pt idx="194">
                  <c:v>0.94305555555555565</c:v>
                </c:pt>
                <c:pt idx="195">
                  <c:v>0.94791666666666674</c:v>
                </c:pt>
                <c:pt idx="196">
                  <c:v>0.95277777777777783</c:v>
                </c:pt>
                <c:pt idx="197">
                  <c:v>0.95763888888888893</c:v>
                </c:pt>
                <c:pt idx="198">
                  <c:v>0.96250000000000002</c:v>
                </c:pt>
                <c:pt idx="199">
                  <c:v>0.96736111111111112</c:v>
                </c:pt>
                <c:pt idx="200">
                  <c:v>0.97222222222222221</c:v>
                </c:pt>
                <c:pt idx="201">
                  <c:v>0.97708333333333341</c:v>
                </c:pt>
                <c:pt idx="202">
                  <c:v>0.98194444444444451</c:v>
                </c:pt>
                <c:pt idx="203">
                  <c:v>0.9868055555555556</c:v>
                </c:pt>
                <c:pt idx="204">
                  <c:v>0.9916666666666667</c:v>
                </c:pt>
                <c:pt idx="205">
                  <c:v>0.99652777777777779</c:v>
                </c:pt>
              </c:numCache>
            </c:numRef>
          </c:cat>
          <c:val>
            <c:numRef>
              <c:f>LoadProfile!$AM$318:$IJ$318</c:f>
            </c:numRef>
          </c:val>
          <c:extLst>
            <c:ext xmlns:c16="http://schemas.microsoft.com/office/drawing/2014/chart" uri="{C3380CC4-5D6E-409C-BE32-E72D297353CC}">
              <c16:uniqueId val="{0000001E-90E7-4CBD-AA67-AABA39FB7CC5}"/>
            </c:ext>
          </c:extLst>
        </c:ser>
        <c:dLbls>
          <c:showLegendKey val="0"/>
          <c:showVal val="0"/>
          <c:showCatName val="0"/>
          <c:showSerName val="0"/>
          <c:showPercent val="0"/>
          <c:showBubbleSize val="0"/>
        </c:dLbls>
        <c:axId val="843344736"/>
        <c:axId val="843342216"/>
      </c:areaChart>
      <c:catAx>
        <c:axId val="900756128"/>
        <c:scaling>
          <c:orientation val="minMax"/>
        </c:scaling>
        <c:delete val="0"/>
        <c:axPos val="b"/>
        <c:numFmt formatCode="h:mm" sourceLinked="1"/>
        <c:majorTickMark val="out"/>
        <c:minorTickMark val="none"/>
        <c:tickLblPos val="nextTo"/>
        <c:crossAx val="900756488"/>
        <c:crosses val="autoZero"/>
        <c:auto val="1"/>
        <c:lblAlgn val="ctr"/>
        <c:lblOffset val="100"/>
        <c:noMultiLvlLbl val="0"/>
      </c:catAx>
      <c:valAx>
        <c:axId val="900756488"/>
        <c:scaling>
          <c:orientation val="minMax"/>
        </c:scaling>
        <c:delete val="0"/>
        <c:axPos val="l"/>
        <c:majorGridlines/>
        <c:numFmt formatCode="0%" sourceLinked="1"/>
        <c:majorTickMark val="out"/>
        <c:minorTickMark val="none"/>
        <c:tickLblPos val="nextTo"/>
        <c:crossAx val="900756128"/>
        <c:crosses val="autoZero"/>
        <c:crossBetween val="midCat"/>
      </c:valAx>
      <c:valAx>
        <c:axId val="843342216"/>
        <c:scaling>
          <c:orientation val="minMax"/>
          <c:min val="0"/>
        </c:scaling>
        <c:delete val="0"/>
        <c:axPos val="r"/>
        <c:numFmt formatCode="General" sourceLinked="1"/>
        <c:majorTickMark val="out"/>
        <c:minorTickMark val="none"/>
        <c:tickLblPos val="nextTo"/>
        <c:crossAx val="843344736"/>
        <c:crosses val="max"/>
        <c:crossBetween val="midCat"/>
      </c:valAx>
      <c:catAx>
        <c:axId val="843344736"/>
        <c:scaling>
          <c:orientation val="minMax"/>
        </c:scaling>
        <c:delete val="1"/>
        <c:axPos val="b"/>
        <c:numFmt formatCode="h:mm" sourceLinked="1"/>
        <c:majorTickMark val="out"/>
        <c:minorTickMark val="none"/>
        <c:tickLblPos val="nextTo"/>
        <c:crossAx val="843342216"/>
        <c:crosses val="autoZero"/>
        <c:auto val="1"/>
        <c:lblAlgn val="ctr"/>
        <c:lblOffset val="100"/>
        <c:noMultiLvlLbl val="0"/>
      </c:catAx>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15.xml.rels><?xml version="1.0" encoding="UTF-8" standalone="yes"?>
<Relationships xmlns="http://schemas.openxmlformats.org/package/2006/relationships"><Relationship Id="rId1" Type="http://schemas.openxmlformats.org/officeDocument/2006/relationships/image" Target="../media/image38.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8.png"/></Relationships>
</file>

<file path=xl/drawings/_rels/drawing17.xml.rels><?xml version="1.0" encoding="UTF-8" standalone="yes"?>
<Relationships xmlns="http://schemas.openxmlformats.org/package/2006/relationships"><Relationship Id="rId1" Type="http://schemas.openxmlformats.org/officeDocument/2006/relationships/image" Target="../media/image41.jpeg"/></Relationships>
</file>

<file path=xl/drawings/_rels/drawing18.xml.rels><?xml version="1.0" encoding="UTF-8" standalone="yes"?>
<Relationships xmlns="http://schemas.openxmlformats.org/package/2006/relationships"><Relationship Id="rId2" Type="http://schemas.openxmlformats.org/officeDocument/2006/relationships/image" Target="../media/image43.png"/><Relationship Id="rId1" Type="http://schemas.openxmlformats.org/officeDocument/2006/relationships/image" Target="../media/image42.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13" Type="http://schemas.openxmlformats.org/officeDocument/2006/relationships/image" Target="../media/image1.emf"/><Relationship Id="rId3" Type="http://schemas.openxmlformats.org/officeDocument/2006/relationships/image" Target="../media/image8.emf"/><Relationship Id="rId7" Type="http://schemas.openxmlformats.org/officeDocument/2006/relationships/image" Target="../media/image4.emf"/><Relationship Id="rId12" Type="http://schemas.openxmlformats.org/officeDocument/2006/relationships/image" Target="../media/image13.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11" Type="http://schemas.openxmlformats.org/officeDocument/2006/relationships/image" Target="../media/image12.emf"/><Relationship Id="rId5" Type="http://schemas.openxmlformats.org/officeDocument/2006/relationships/image" Target="../media/image6.emf"/><Relationship Id="rId10" Type="http://schemas.openxmlformats.org/officeDocument/2006/relationships/image" Target="../media/image11.emf"/><Relationship Id="rId4" Type="http://schemas.openxmlformats.org/officeDocument/2006/relationships/image" Target="../media/image7.emf"/><Relationship Id="rId9"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4.emf"/><Relationship Id="rId1"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6.emf"/><Relationship Id="rId1" Type="http://schemas.openxmlformats.org/officeDocument/2006/relationships/image" Target="../media/image17.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0.emf"/><Relationship Id="rId1" Type="http://schemas.openxmlformats.org/officeDocument/2006/relationships/image" Target="../media/image21.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22.emf"/></Relationships>
</file>

<file path=xl/drawings/_rels/vmlDrawing10.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3.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6.emf"/><Relationship Id="rId1" Type="http://schemas.openxmlformats.org/officeDocument/2006/relationships/image" Target="../media/image25.emf"/></Relationships>
</file>

<file path=xl/drawings/_rels/vmlDrawing12.vml.rels><?xml version="1.0" encoding="UTF-8" standalone="yes"?>
<Relationships xmlns="http://schemas.openxmlformats.org/package/2006/relationships"><Relationship Id="rId2" Type="http://schemas.openxmlformats.org/officeDocument/2006/relationships/image" Target="../media/image29.emf"/><Relationship Id="rId1" Type="http://schemas.openxmlformats.org/officeDocument/2006/relationships/image" Target="../media/image28.emf"/></Relationships>
</file>

<file path=xl/drawings/_rels/vmlDrawing13.vml.rels><?xml version="1.0" encoding="UTF-8" standalone="yes"?>
<Relationships xmlns="http://schemas.openxmlformats.org/package/2006/relationships"><Relationship Id="rId2" Type="http://schemas.openxmlformats.org/officeDocument/2006/relationships/image" Target="../media/image31.emf"/><Relationship Id="rId1" Type="http://schemas.openxmlformats.org/officeDocument/2006/relationships/image" Target="../media/image30.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33.emf"/><Relationship Id="rId1" Type="http://schemas.openxmlformats.org/officeDocument/2006/relationships/image" Target="../media/image32.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34.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35.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36.emf"/><Relationship Id="rId1" Type="http://schemas.openxmlformats.org/officeDocument/2006/relationships/image" Target="../media/image37.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39.emf"/><Relationship Id="rId1"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xdr:from>
      <xdr:col>35</xdr:col>
      <xdr:colOff>219075</xdr:colOff>
      <xdr:row>20</xdr:row>
      <xdr:rowOff>57150</xdr:rowOff>
    </xdr:from>
    <xdr:to>
      <xdr:col>35</xdr:col>
      <xdr:colOff>219075</xdr:colOff>
      <xdr:row>27</xdr:row>
      <xdr:rowOff>95250</xdr:rowOff>
    </xdr:to>
    <xdr:sp macro="" textlink="">
      <xdr:nvSpPr>
        <xdr:cNvPr id="7487305" name="Line 18">
          <a:extLst>
            <a:ext uri="{FF2B5EF4-FFF2-40B4-BE49-F238E27FC236}">
              <a16:creationId xmlns:a16="http://schemas.microsoft.com/office/drawing/2014/main" id="{DA7E392E-D4A7-66CC-9802-0939F21BBC02}"/>
            </a:ext>
          </a:extLst>
        </xdr:cNvPr>
        <xdr:cNvSpPr>
          <a:spLocks noChangeShapeType="1"/>
        </xdr:cNvSpPr>
      </xdr:nvSpPr>
      <xdr:spPr bwMode="auto">
        <a:xfrm>
          <a:off x="17125950"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35</xdr:col>
      <xdr:colOff>219075</xdr:colOff>
      <xdr:row>29</xdr:row>
      <xdr:rowOff>57150</xdr:rowOff>
    </xdr:from>
    <xdr:to>
      <xdr:col>35</xdr:col>
      <xdr:colOff>219075</xdr:colOff>
      <xdr:row>36</xdr:row>
      <xdr:rowOff>95250</xdr:rowOff>
    </xdr:to>
    <xdr:sp macro="" textlink="">
      <xdr:nvSpPr>
        <xdr:cNvPr id="7487306" name="Line 19">
          <a:extLst>
            <a:ext uri="{FF2B5EF4-FFF2-40B4-BE49-F238E27FC236}">
              <a16:creationId xmlns:a16="http://schemas.microsoft.com/office/drawing/2014/main" id="{E2ECA629-6969-2320-42C8-9FF98E4F7D55}"/>
            </a:ext>
          </a:extLst>
        </xdr:cNvPr>
        <xdr:cNvSpPr>
          <a:spLocks noChangeShapeType="1"/>
        </xdr:cNvSpPr>
      </xdr:nvSpPr>
      <xdr:spPr bwMode="auto">
        <a:xfrm>
          <a:off x="17125950"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381000</xdr:colOff>
      <xdr:row>20</xdr:row>
      <xdr:rowOff>9525</xdr:rowOff>
    </xdr:from>
    <xdr:to>
      <xdr:col>17</xdr:col>
      <xdr:colOff>381000</xdr:colOff>
      <xdr:row>27</xdr:row>
      <xdr:rowOff>123825</xdr:rowOff>
    </xdr:to>
    <xdr:sp macro="" textlink="">
      <xdr:nvSpPr>
        <xdr:cNvPr id="7487307" name="Line 61">
          <a:extLst>
            <a:ext uri="{FF2B5EF4-FFF2-40B4-BE49-F238E27FC236}">
              <a16:creationId xmlns:a16="http://schemas.microsoft.com/office/drawing/2014/main" id="{3E26ED2A-45D1-FC77-CF8A-7401CA63B0A5}"/>
            </a:ext>
          </a:extLst>
        </xdr:cNvPr>
        <xdr:cNvSpPr>
          <a:spLocks noChangeShapeType="1"/>
        </xdr:cNvSpPr>
      </xdr:nvSpPr>
      <xdr:spPr bwMode="auto">
        <a:xfrm flipH="1">
          <a:off x="6057900"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390525</xdr:colOff>
      <xdr:row>29</xdr:row>
      <xdr:rowOff>9525</xdr:rowOff>
    </xdr:from>
    <xdr:to>
      <xdr:col>17</xdr:col>
      <xdr:colOff>390525</xdr:colOff>
      <xdr:row>36</xdr:row>
      <xdr:rowOff>123825</xdr:rowOff>
    </xdr:to>
    <xdr:sp macro="" textlink="">
      <xdr:nvSpPr>
        <xdr:cNvPr id="7487308" name="Line 62">
          <a:extLst>
            <a:ext uri="{FF2B5EF4-FFF2-40B4-BE49-F238E27FC236}">
              <a16:creationId xmlns:a16="http://schemas.microsoft.com/office/drawing/2014/main" id="{43A73461-2A7C-027F-C873-97621C2A456B}"/>
            </a:ext>
          </a:extLst>
        </xdr:cNvPr>
        <xdr:cNvSpPr>
          <a:spLocks noChangeShapeType="1"/>
        </xdr:cNvSpPr>
      </xdr:nvSpPr>
      <xdr:spPr bwMode="auto">
        <a:xfrm flipH="1">
          <a:off x="6067425"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35</xdr:col>
      <xdr:colOff>219075</xdr:colOff>
      <xdr:row>38</xdr:row>
      <xdr:rowOff>57150</xdr:rowOff>
    </xdr:from>
    <xdr:to>
      <xdr:col>35</xdr:col>
      <xdr:colOff>219075</xdr:colOff>
      <xdr:row>45</xdr:row>
      <xdr:rowOff>95250</xdr:rowOff>
    </xdr:to>
    <xdr:sp macro="" textlink="">
      <xdr:nvSpPr>
        <xdr:cNvPr id="7487309" name="Line 600">
          <a:extLst>
            <a:ext uri="{FF2B5EF4-FFF2-40B4-BE49-F238E27FC236}">
              <a16:creationId xmlns:a16="http://schemas.microsoft.com/office/drawing/2014/main" id="{6B4A5ECC-35F2-3CD6-8910-AF6B5310C3CF}"/>
            </a:ext>
          </a:extLst>
        </xdr:cNvPr>
        <xdr:cNvSpPr>
          <a:spLocks noChangeShapeType="1"/>
        </xdr:cNvSpPr>
      </xdr:nvSpPr>
      <xdr:spPr bwMode="auto">
        <a:xfrm>
          <a:off x="17125950"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35</xdr:col>
      <xdr:colOff>219075</xdr:colOff>
      <xdr:row>264</xdr:row>
      <xdr:rowOff>0</xdr:rowOff>
    </xdr:from>
    <xdr:to>
      <xdr:col>35</xdr:col>
      <xdr:colOff>219075</xdr:colOff>
      <xdr:row>264</xdr:row>
      <xdr:rowOff>0</xdr:rowOff>
    </xdr:to>
    <xdr:sp macro="" textlink="">
      <xdr:nvSpPr>
        <xdr:cNvPr id="7487310" name="Line 618">
          <a:extLst>
            <a:ext uri="{FF2B5EF4-FFF2-40B4-BE49-F238E27FC236}">
              <a16:creationId xmlns:a16="http://schemas.microsoft.com/office/drawing/2014/main" id="{312B4B64-3120-1189-FA8E-46D7ADFC3528}"/>
            </a:ext>
          </a:extLst>
        </xdr:cNvPr>
        <xdr:cNvSpPr>
          <a:spLocks noChangeShapeType="1"/>
        </xdr:cNvSpPr>
      </xdr:nvSpPr>
      <xdr:spPr bwMode="auto">
        <a:xfrm>
          <a:off x="17125950" y="372713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381000</xdr:colOff>
      <xdr:row>264</xdr:row>
      <xdr:rowOff>0</xdr:rowOff>
    </xdr:from>
    <xdr:to>
      <xdr:col>17</xdr:col>
      <xdr:colOff>381000</xdr:colOff>
      <xdr:row>264</xdr:row>
      <xdr:rowOff>0</xdr:rowOff>
    </xdr:to>
    <xdr:sp macro="" textlink="">
      <xdr:nvSpPr>
        <xdr:cNvPr id="7487311" name="Line 619">
          <a:extLst>
            <a:ext uri="{FF2B5EF4-FFF2-40B4-BE49-F238E27FC236}">
              <a16:creationId xmlns:a16="http://schemas.microsoft.com/office/drawing/2014/main" id="{5D39DD54-DD56-60AF-28FB-F69BFBCE8EA1}"/>
            </a:ext>
          </a:extLst>
        </xdr:cNvPr>
        <xdr:cNvSpPr>
          <a:spLocks noChangeShapeType="1"/>
        </xdr:cNvSpPr>
      </xdr:nvSpPr>
      <xdr:spPr bwMode="auto">
        <a:xfrm flipH="1">
          <a:off x="6057900" y="372713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390525</xdr:colOff>
      <xdr:row>38</xdr:row>
      <xdr:rowOff>9525</xdr:rowOff>
    </xdr:from>
    <xdr:to>
      <xdr:col>17</xdr:col>
      <xdr:colOff>390525</xdr:colOff>
      <xdr:row>45</xdr:row>
      <xdr:rowOff>123825</xdr:rowOff>
    </xdr:to>
    <xdr:sp macro="" textlink="">
      <xdr:nvSpPr>
        <xdr:cNvPr id="7487312" name="Line 601">
          <a:extLst>
            <a:ext uri="{FF2B5EF4-FFF2-40B4-BE49-F238E27FC236}">
              <a16:creationId xmlns:a16="http://schemas.microsoft.com/office/drawing/2014/main" id="{48BE7DC9-1CD4-9F8B-1E89-9DCCFA56FEAD}"/>
            </a:ext>
          </a:extLst>
        </xdr:cNvPr>
        <xdr:cNvSpPr>
          <a:spLocks noChangeShapeType="1"/>
        </xdr:cNvSpPr>
      </xdr:nvSpPr>
      <xdr:spPr bwMode="auto">
        <a:xfrm flipH="1">
          <a:off x="6067425"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171450</xdr:colOff>
          <xdr:row>2</xdr:row>
          <xdr:rowOff>333375</xdr:rowOff>
        </xdr:from>
        <xdr:to>
          <xdr:col>2</xdr:col>
          <xdr:colOff>228600</xdr:colOff>
          <xdr:row>3</xdr:row>
          <xdr:rowOff>85725</xdr:rowOff>
        </xdr:to>
        <xdr:sp macro="" textlink="">
          <xdr:nvSpPr>
            <xdr:cNvPr id="1466" name="CommandButton1" hidden="1">
              <a:extLst>
                <a:ext uri="{63B3BB69-23CF-44E3-9099-C40C66FF867C}">
                  <a14:compatExt spid="_x0000_s1466"/>
                </a:ext>
                <a:ext uri="{FF2B5EF4-FFF2-40B4-BE49-F238E27FC236}">
                  <a16:creationId xmlns:a16="http://schemas.microsoft.com/office/drawing/2014/main" id="{00000000-0008-0000-0400-0000BA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2</xdr:row>
          <xdr:rowOff>333375</xdr:rowOff>
        </xdr:from>
        <xdr:to>
          <xdr:col>6</xdr:col>
          <xdr:colOff>9525</xdr:colOff>
          <xdr:row>3</xdr:row>
          <xdr:rowOff>85725</xdr:rowOff>
        </xdr:to>
        <xdr:sp macro="" textlink="">
          <xdr:nvSpPr>
            <xdr:cNvPr id="1467" name="CommandButton2" hidden="1">
              <a:extLst>
                <a:ext uri="{63B3BB69-23CF-44E3-9099-C40C66FF867C}">
                  <a14:compatExt spid="_x0000_s1467"/>
                </a:ext>
                <a:ext uri="{FF2B5EF4-FFF2-40B4-BE49-F238E27FC236}">
                  <a16:creationId xmlns:a16="http://schemas.microsoft.com/office/drawing/2014/main" id="{00000000-0008-0000-0400-0000BB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47625</xdr:colOff>
          <xdr:row>3</xdr:row>
          <xdr:rowOff>171450</xdr:rowOff>
        </xdr:from>
        <xdr:to>
          <xdr:col>6</xdr:col>
          <xdr:colOff>9525</xdr:colOff>
          <xdr:row>3</xdr:row>
          <xdr:rowOff>419100</xdr:rowOff>
        </xdr:to>
        <xdr:sp macro="" textlink="">
          <xdr:nvSpPr>
            <xdr:cNvPr id="1468" name="CommandButton3" hidden="1">
              <a:extLst>
                <a:ext uri="{63B3BB69-23CF-44E3-9099-C40C66FF867C}">
                  <a14:compatExt spid="_x0000_s1468"/>
                </a:ext>
                <a:ext uri="{FF2B5EF4-FFF2-40B4-BE49-F238E27FC236}">
                  <a16:creationId xmlns:a16="http://schemas.microsoft.com/office/drawing/2014/main" id="{00000000-0008-0000-0400-0000BC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3</xdr:row>
          <xdr:rowOff>171450</xdr:rowOff>
        </xdr:from>
        <xdr:to>
          <xdr:col>2</xdr:col>
          <xdr:colOff>228600</xdr:colOff>
          <xdr:row>3</xdr:row>
          <xdr:rowOff>419100</xdr:rowOff>
        </xdr:to>
        <xdr:sp macro="" textlink="">
          <xdr:nvSpPr>
            <xdr:cNvPr id="1469" name="CommandButton4" hidden="1">
              <a:extLst>
                <a:ext uri="{63B3BB69-23CF-44E3-9099-C40C66FF867C}">
                  <a14:compatExt spid="_x0000_s1469"/>
                </a:ext>
                <a:ext uri="{FF2B5EF4-FFF2-40B4-BE49-F238E27FC236}">
                  <a16:creationId xmlns:a16="http://schemas.microsoft.com/office/drawing/2014/main" id="{00000000-0008-0000-0400-0000BD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57150</xdr:colOff>
          <xdr:row>17</xdr:row>
          <xdr:rowOff>0</xdr:rowOff>
        </xdr:from>
        <xdr:to>
          <xdr:col>1</xdr:col>
          <xdr:colOff>333375</xdr:colOff>
          <xdr:row>51</xdr:row>
          <xdr:rowOff>114300</xdr:rowOff>
        </xdr:to>
        <xdr:sp macro="" textlink="">
          <xdr:nvSpPr>
            <xdr:cNvPr id="1598" name="CommandButton5" hidden="1">
              <a:extLst>
                <a:ext uri="{63B3BB69-23CF-44E3-9099-C40C66FF867C}">
                  <a14:compatExt spid="_x0000_s1598"/>
                </a:ext>
                <a:ext uri="{FF2B5EF4-FFF2-40B4-BE49-F238E27FC236}">
                  <a16:creationId xmlns:a16="http://schemas.microsoft.com/office/drawing/2014/main" id="{00000000-0008-0000-0400-00003E06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400050</xdr:colOff>
          <xdr:row>48</xdr:row>
          <xdr:rowOff>0</xdr:rowOff>
        </xdr:from>
        <xdr:to>
          <xdr:col>5</xdr:col>
          <xdr:colOff>28575</xdr:colOff>
          <xdr:row>51</xdr:row>
          <xdr:rowOff>114300</xdr:rowOff>
        </xdr:to>
        <xdr:sp macro="" textlink="">
          <xdr:nvSpPr>
            <xdr:cNvPr id="1599" name="CommandButton6" hidden="1">
              <a:extLst>
                <a:ext uri="{63B3BB69-23CF-44E3-9099-C40C66FF867C}">
                  <a14:compatExt spid="_x0000_s1599"/>
                </a:ext>
                <a:ext uri="{FF2B5EF4-FFF2-40B4-BE49-F238E27FC236}">
                  <a16:creationId xmlns:a16="http://schemas.microsoft.com/office/drawing/2014/main" id="{00000000-0008-0000-0400-00003F06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95250</xdr:colOff>
          <xdr:row>48</xdr:row>
          <xdr:rowOff>0</xdr:rowOff>
        </xdr:from>
        <xdr:to>
          <xdr:col>5</xdr:col>
          <xdr:colOff>790575</xdr:colOff>
          <xdr:row>51</xdr:row>
          <xdr:rowOff>114300</xdr:rowOff>
        </xdr:to>
        <xdr:sp macro="" textlink="">
          <xdr:nvSpPr>
            <xdr:cNvPr id="1626" name="CommandButton7" hidden="1">
              <a:extLst>
                <a:ext uri="{63B3BB69-23CF-44E3-9099-C40C66FF867C}">
                  <a14:compatExt spid="_x0000_s1626"/>
                </a:ext>
                <a:ext uri="{FF2B5EF4-FFF2-40B4-BE49-F238E27FC236}">
                  <a16:creationId xmlns:a16="http://schemas.microsoft.com/office/drawing/2014/main" id="{00000000-0008-0000-0400-00005A06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1</xdr:row>
          <xdr:rowOff>371475</xdr:rowOff>
        </xdr:from>
        <xdr:to>
          <xdr:col>2</xdr:col>
          <xdr:colOff>228600</xdr:colOff>
          <xdr:row>2</xdr:row>
          <xdr:rowOff>257175</xdr:rowOff>
        </xdr:to>
        <xdr:sp macro="" textlink="">
          <xdr:nvSpPr>
            <xdr:cNvPr id="5904058" name="BulkAdd" hidden="1">
              <a:extLst>
                <a:ext uri="{63B3BB69-23CF-44E3-9099-C40C66FF867C}">
                  <a14:compatExt spid="_x0000_s5904058"/>
                </a:ext>
                <a:ext uri="{FF2B5EF4-FFF2-40B4-BE49-F238E27FC236}">
                  <a16:creationId xmlns:a16="http://schemas.microsoft.com/office/drawing/2014/main" id="{00000000-0008-0000-0400-0000BA165A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xdr:row>
          <xdr:rowOff>371475</xdr:rowOff>
        </xdr:from>
        <xdr:to>
          <xdr:col>6</xdr:col>
          <xdr:colOff>0</xdr:colOff>
          <xdr:row>2</xdr:row>
          <xdr:rowOff>257175</xdr:rowOff>
        </xdr:to>
        <xdr:sp macro="" textlink="">
          <xdr:nvSpPr>
            <xdr:cNvPr id="6299896" name="SG2BulkAdd" hidden="1">
              <a:extLst>
                <a:ext uri="{63B3BB69-23CF-44E3-9099-C40C66FF867C}">
                  <a14:compatExt spid="_x0000_s6299896"/>
                </a:ext>
                <a:ext uri="{FF2B5EF4-FFF2-40B4-BE49-F238E27FC236}">
                  <a16:creationId xmlns:a16="http://schemas.microsoft.com/office/drawing/2014/main" id="{00000000-0008-0000-0400-0000F8206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0</xdr:row>
          <xdr:rowOff>95250</xdr:rowOff>
        </xdr:from>
        <xdr:to>
          <xdr:col>2</xdr:col>
          <xdr:colOff>238125</xdr:colOff>
          <xdr:row>0</xdr:row>
          <xdr:rowOff>466725</xdr:rowOff>
        </xdr:to>
        <xdr:sp macro="" textlink="">
          <xdr:nvSpPr>
            <xdr:cNvPr id="6299900" name="CommandButton8" hidden="1">
              <a:extLst>
                <a:ext uri="{63B3BB69-23CF-44E3-9099-C40C66FF867C}">
                  <a14:compatExt spid="_x0000_s6299900"/>
                </a:ext>
                <a:ext uri="{FF2B5EF4-FFF2-40B4-BE49-F238E27FC236}">
                  <a16:creationId xmlns:a16="http://schemas.microsoft.com/office/drawing/2014/main" id="{00000000-0008-0000-0400-0000FC206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95250</xdr:rowOff>
        </xdr:from>
        <xdr:to>
          <xdr:col>6</xdr:col>
          <xdr:colOff>0</xdr:colOff>
          <xdr:row>0</xdr:row>
          <xdr:rowOff>466725</xdr:rowOff>
        </xdr:to>
        <xdr:sp macro="" textlink="">
          <xdr:nvSpPr>
            <xdr:cNvPr id="6299905" name="Toggle_Skid" hidden="1">
              <a:extLst>
                <a:ext uri="{63B3BB69-23CF-44E3-9099-C40C66FF867C}">
                  <a14:compatExt spid="_x0000_s6299905"/>
                </a:ext>
                <a:ext uri="{FF2B5EF4-FFF2-40B4-BE49-F238E27FC236}">
                  <a16:creationId xmlns:a16="http://schemas.microsoft.com/office/drawing/2014/main" id="{00000000-0008-0000-0400-000001216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1</xdr:row>
          <xdr:rowOff>57150</xdr:rowOff>
        </xdr:from>
        <xdr:to>
          <xdr:col>6</xdr:col>
          <xdr:colOff>0</xdr:colOff>
          <xdr:row>1</xdr:row>
          <xdr:rowOff>304800</xdr:rowOff>
        </xdr:to>
        <xdr:sp macro="" textlink="">
          <xdr:nvSpPr>
            <xdr:cNvPr id="6299906" name="CreateExport" hidden="1">
              <a:extLst>
                <a:ext uri="{63B3BB69-23CF-44E3-9099-C40C66FF867C}">
                  <a14:compatExt spid="_x0000_s6299906"/>
                </a:ext>
                <a:ext uri="{FF2B5EF4-FFF2-40B4-BE49-F238E27FC236}">
                  <a16:creationId xmlns:a16="http://schemas.microsoft.com/office/drawing/2014/main" id="{00000000-0008-0000-0400-000002216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xdr:row>
          <xdr:rowOff>57150</xdr:rowOff>
        </xdr:from>
        <xdr:to>
          <xdr:col>2</xdr:col>
          <xdr:colOff>238125</xdr:colOff>
          <xdr:row>1</xdr:row>
          <xdr:rowOff>304800</xdr:rowOff>
        </xdr:to>
        <xdr:sp macro="" textlink="">
          <xdr:nvSpPr>
            <xdr:cNvPr id="6299907" name="SetPrintAreas" hidden="1">
              <a:extLst>
                <a:ext uri="{63B3BB69-23CF-44E3-9099-C40C66FF867C}">
                  <a14:compatExt spid="_x0000_s6299907"/>
                </a:ext>
                <a:ext uri="{FF2B5EF4-FFF2-40B4-BE49-F238E27FC236}">
                  <a16:creationId xmlns:a16="http://schemas.microsoft.com/office/drawing/2014/main" id="{00000000-0008-0000-0400-000003216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18</xdr:col>
      <xdr:colOff>333375</xdr:colOff>
      <xdr:row>3</xdr:row>
      <xdr:rowOff>0</xdr:rowOff>
    </xdr:from>
    <xdr:to>
      <xdr:col>18</xdr:col>
      <xdr:colOff>1104900</xdr:colOff>
      <xdr:row>3</xdr:row>
      <xdr:rowOff>323850</xdr:rowOff>
    </xdr:to>
    <xdr:sp macro="" textlink="">
      <xdr:nvSpPr>
        <xdr:cNvPr id="5712538" name="AutoShape 2">
          <a:extLst>
            <a:ext uri="{FF2B5EF4-FFF2-40B4-BE49-F238E27FC236}">
              <a16:creationId xmlns:a16="http://schemas.microsoft.com/office/drawing/2014/main" id="{2AF74540-19F6-34D2-328E-408B8D925A62}"/>
            </a:ext>
          </a:extLst>
        </xdr:cNvPr>
        <xdr:cNvSpPr>
          <a:spLocks noChangeArrowheads="1"/>
        </xdr:cNvSpPr>
      </xdr:nvSpPr>
      <xdr:spPr bwMode="auto">
        <a:xfrm>
          <a:off x="8772525" y="457200"/>
          <a:ext cx="771525" cy="323850"/>
        </a:xfrm>
        <a:prstGeom prst="downArrow">
          <a:avLst>
            <a:gd name="adj1" fmla="val 55556"/>
            <a:gd name="adj2" fmla="val 71431"/>
          </a:avLst>
        </a:prstGeom>
        <a:solidFill>
          <a:srgbClr val="FF99CC"/>
        </a:solidFill>
        <a:ln w="12700">
          <a:solidFill>
            <a:srgbClr val="FF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4</xdr:row>
          <xdr:rowOff>133350</xdr:rowOff>
        </xdr:from>
        <xdr:to>
          <xdr:col>6</xdr:col>
          <xdr:colOff>504825</xdr:colOff>
          <xdr:row>6</xdr:row>
          <xdr:rowOff>171450</xdr:rowOff>
        </xdr:to>
        <xdr:sp macro="" textlink="">
          <xdr:nvSpPr>
            <xdr:cNvPr id="149761" name="HideColumnsButton" hidden="1">
              <a:extLst>
                <a:ext uri="{63B3BB69-23CF-44E3-9099-C40C66FF867C}">
                  <a14:compatExt spid="_x0000_s149761"/>
                </a:ext>
                <a:ext uri="{FF2B5EF4-FFF2-40B4-BE49-F238E27FC236}">
                  <a16:creationId xmlns:a16="http://schemas.microsoft.com/office/drawing/2014/main" id="{00000000-0008-0000-0800-00000149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4</xdr:row>
          <xdr:rowOff>133350</xdr:rowOff>
        </xdr:from>
        <xdr:to>
          <xdr:col>4</xdr:col>
          <xdr:colOff>752475</xdr:colOff>
          <xdr:row>6</xdr:row>
          <xdr:rowOff>171450</xdr:rowOff>
        </xdr:to>
        <xdr:sp macro="" textlink="">
          <xdr:nvSpPr>
            <xdr:cNvPr id="149762" name="CalculationToggle" hidden="1">
              <a:extLst>
                <a:ext uri="{63B3BB69-23CF-44E3-9099-C40C66FF867C}">
                  <a14:compatExt spid="_x0000_s149762"/>
                </a:ext>
                <a:ext uri="{FF2B5EF4-FFF2-40B4-BE49-F238E27FC236}">
                  <a16:creationId xmlns:a16="http://schemas.microsoft.com/office/drawing/2014/main" id="{00000000-0008-0000-0800-00000249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419100</xdr:colOff>
          <xdr:row>0</xdr:row>
          <xdr:rowOff>66675</xdr:rowOff>
        </xdr:from>
        <xdr:to>
          <xdr:col>9</xdr:col>
          <xdr:colOff>9525</xdr:colOff>
          <xdr:row>2</xdr:row>
          <xdr:rowOff>57150</xdr:rowOff>
        </xdr:to>
        <xdr:sp macro="" textlink="">
          <xdr:nvSpPr>
            <xdr:cNvPr id="218113" name="LoadProfileUVButton" hidden="1">
              <a:extLst>
                <a:ext uri="{63B3BB69-23CF-44E3-9099-C40C66FF867C}">
                  <a14:compatExt spid="_x0000_s218113"/>
                </a:ext>
                <a:ext uri="{FF2B5EF4-FFF2-40B4-BE49-F238E27FC236}">
                  <a16:creationId xmlns:a16="http://schemas.microsoft.com/office/drawing/2014/main" id="{00000000-0008-0000-0F00-0000015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0</xdr:row>
          <xdr:rowOff>66675</xdr:rowOff>
        </xdr:from>
        <xdr:to>
          <xdr:col>11</xdr:col>
          <xdr:colOff>438150</xdr:colOff>
          <xdr:row>2</xdr:row>
          <xdr:rowOff>47625</xdr:rowOff>
        </xdr:to>
        <xdr:sp macro="" textlink="">
          <xdr:nvSpPr>
            <xdr:cNvPr id="5713265" name="GetMNCD" hidden="1">
              <a:extLst>
                <a:ext uri="{63B3BB69-23CF-44E3-9099-C40C66FF867C}">
                  <a14:compatExt spid="_x0000_s5713265"/>
                </a:ext>
                <a:ext uri="{FF2B5EF4-FFF2-40B4-BE49-F238E27FC236}">
                  <a16:creationId xmlns:a16="http://schemas.microsoft.com/office/drawing/2014/main" id="{00000000-0008-0000-0F00-0000712D5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78</xdr:row>
      <xdr:rowOff>0</xdr:rowOff>
    </xdr:from>
    <xdr:to>
      <xdr:col>24</xdr:col>
      <xdr:colOff>0</xdr:colOff>
      <xdr:row>147</xdr:row>
      <xdr:rowOff>0</xdr:rowOff>
    </xdr:to>
    <xdr:graphicFrame macro="">
      <xdr:nvGraphicFramePr>
        <xdr:cNvPr id="2" name="LoadProfileChartSG1">
          <a:extLst>
            <a:ext uri="{FF2B5EF4-FFF2-40B4-BE49-F238E27FC236}">
              <a16:creationId xmlns:a16="http://schemas.microsoft.com/office/drawing/2014/main" id="{A21689EB-8298-7F38-9AAF-95CC2D9854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208</xdr:row>
      <xdr:rowOff>0</xdr:rowOff>
    </xdr:from>
    <xdr:to>
      <xdr:col>24</xdr:col>
      <xdr:colOff>0</xdr:colOff>
      <xdr:row>277</xdr:row>
      <xdr:rowOff>0</xdr:rowOff>
    </xdr:to>
    <xdr:graphicFrame macro="">
      <xdr:nvGraphicFramePr>
        <xdr:cNvPr id="3" name="LoadProfileChartSG2">
          <a:extLst>
            <a:ext uri="{FF2B5EF4-FFF2-40B4-BE49-F238E27FC236}">
              <a16:creationId xmlns:a16="http://schemas.microsoft.com/office/drawing/2014/main" id="{21F03493-B035-9D5A-74EE-00452CC400C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338</xdr:row>
      <xdr:rowOff>0</xdr:rowOff>
    </xdr:from>
    <xdr:to>
      <xdr:col>24</xdr:col>
      <xdr:colOff>0</xdr:colOff>
      <xdr:row>407</xdr:row>
      <xdr:rowOff>0</xdr:rowOff>
    </xdr:to>
    <xdr:graphicFrame macro="">
      <xdr:nvGraphicFramePr>
        <xdr:cNvPr id="4" name="LoadProfileChartSG3">
          <a:extLst>
            <a:ext uri="{FF2B5EF4-FFF2-40B4-BE49-F238E27FC236}">
              <a16:creationId xmlns:a16="http://schemas.microsoft.com/office/drawing/2014/main" id="{7C9541EC-F87B-2685-BD1C-B98EEBF53EB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1</xdr:row>
          <xdr:rowOff>19050</xdr:rowOff>
        </xdr:from>
        <xdr:to>
          <xdr:col>0</xdr:col>
          <xdr:colOff>657225</xdr:colOff>
          <xdr:row>1</xdr:row>
          <xdr:rowOff>285750</xdr:rowOff>
        </xdr:to>
        <xdr:sp macro="" textlink="">
          <xdr:nvSpPr>
            <xdr:cNvPr id="508930" name="RefrigerationScheduleUButton" hidden="1">
              <a:extLst>
                <a:ext uri="{63B3BB69-23CF-44E3-9099-C40C66FF867C}">
                  <a14:compatExt spid="_x0000_s508930"/>
                </a:ext>
                <a:ext uri="{FF2B5EF4-FFF2-40B4-BE49-F238E27FC236}">
                  <a16:creationId xmlns:a16="http://schemas.microsoft.com/office/drawing/2014/main" id="{00000000-0008-0000-1200-000002C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xdr:row>
          <xdr:rowOff>57150</xdr:rowOff>
        </xdr:from>
        <xdr:to>
          <xdr:col>0</xdr:col>
          <xdr:colOff>638175</xdr:colOff>
          <xdr:row>2</xdr:row>
          <xdr:rowOff>304800</xdr:rowOff>
        </xdr:to>
        <xdr:sp macro="" textlink="">
          <xdr:nvSpPr>
            <xdr:cNvPr id="508931" name="ExportScheduleButton" hidden="1">
              <a:extLst>
                <a:ext uri="{63B3BB69-23CF-44E3-9099-C40C66FF867C}">
                  <a14:compatExt spid="_x0000_s508931"/>
                </a:ext>
                <a:ext uri="{FF2B5EF4-FFF2-40B4-BE49-F238E27FC236}">
                  <a16:creationId xmlns:a16="http://schemas.microsoft.com/office/drawing/2014/main" id="{00000000-0008-0000-1200-000003C407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2</xdr:row>
          <xdr:rowOff>0</xdr:rowOff>
        </xdr:from>
        <xdr:to>
          <xdr:col>0</xdr:col>
          <xdr:colOff>1162050</xdr:colOff>
          <xdr:row>4</xdr:row>
          <xdr:rowOff>142875</xdr:rowOff>
        </xdr:to>
        <xdr:sp macro="" textlink="">
          <xdr:nvSpPr>
            <xdr:cNvPr id="156675" name="PipingScheduleUVButton" hidden="1">
              <a:extLst>
                <a:ext uri="{63B3BB69-23CF-44E3-9099-C40C66FF867C}">
                  <a14:compatExt spid="_x0000_s156675"/>
                </a:ext>
                <a:ext uri="{FF2B5EF4-FFF2-40B4-BE49-F238E27FC236}">
                  <a16:creationId xmlns:a16="http://schemas.microsoft.com/office/drawing/2014/main" id="{00000000-0008-0000-1300-0000036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2</xdr:row>
          <xdr:rowOff>9525</xdr:rowOff>
        </xdr:from>
        <xdr:to>
          <xdr:col>12</xdr:col>
          <xdr:colOff>57150</xdr:colOff>
          <xdr:row>4</xdr:row>
          <xdr:rowOff>152400</xdr:rowOff>
        </xdr:to>
        <xdr:sp macro="" textlink="">
          <xdr:nvSpPr>
            <xdr:cNvPr id="156676" name="ValveStations" hidden="1">
              <a:extLst>
                <a:ext uri="{63B3BB69-23CF-44E3-9099-C40C66FF867C}">
                  <a14:compatExt spid="_x0000_s156676"/>
                </a:ext>
                <a:ext uri="{FF2B5EF4-FFF2-40B4-BE49-F238E27FC236}">
                  <a16:creationId xmlns:a16="http://schemas.microsoft.com/office/drawing/2014/main" id="{00000000-0008-0000-1300-00000464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0</xdr:row>
          <xdr:rowOff>95250</xdr:rowOff>
        </xdr:from>
        <xdr:to>
          <xdr:col>2</xdr:col>
          <xdr:colOff>419100</xdr:colOff>
          <xdr:row>4</xdr:row>
          <xdr:rowOff>57150</xdr:rowOff>
        </xdr:to>
        <xdr:sp macro="" textlink="">
          <xdr:nvSpPr>
            <xdr:cNvPr id="155650" name="PipingTotalsX2AButton" hidden="1">
              <a:extLst>
                <a:ext uri="{63B3BB69-23CF-44E3-9099-C40C66FF867C}">
                  <a14:compatExt spid="_x0000_s155650"/>
                </a:ext>
                <a:ext uri="{FF2B5EF4-FFF2-40B4-BE49-F238E27FC236}">
                  <a16:creationId xmlns:a16="http://schemas.microsoft.com/office/drawing/2014/main" id="{00000000-0008-0000-1400-00000260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2</xdr:row>
          <xdr:rowOff>85725</xdr:rowOff>
        </xdr:from>
        <xdr:to>
          <xdr:col>0</xdr:col>
          <xdr:colOff>1228725</xdr:colOff>
          <xdr:row>4</xdr:row>
          <xdr:rowOff>76200</xdr:rowOff>
        </xdr:to>
        <xdr:sp macro="" textlink="">
          <xdr:nvSpPr>
            <xdr:cNvPr id="1243137" name="CaseEMSCommandButton1" hidden="1">
              <a:extLst>
                <a:ext uri="{63B3BB69-23CF-44E3-9099-C40C66FF867C}">
                  <a14:compatExt spid="_x0000_s1243137"/>
                </a:ext>
                <a:ext uri="{FF2B5EF4-FFF2-40B4-BE49-F238E27FC236}">
                  <a16:creationId xmlns:a16="http://schemas.microsoft.com/office/drawing/2014/main" id="{00000000-0008-0000-1500-000001F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95250</xdr:colOff>
          <xdr:row>5</xdr:row>
          <xdr:rowOff>104775</xdr:rowOff>
        </xdr:from>
        <xdr:to>
          <xdr:col>0</xdr:col>
          <xdr:colOff>1228725</xdr:colOff>
          <xdr:row>7</xdr:row>
          <xdr:rowOff>180975</xdr:rowOff>
        </xdr:to>
        <xdr:sp macro="" textlink="">
          <xdr:nvSpPr>
            <xdr:cNvPr id="1243138" name="DTToggle" hidden="1">
              <a:extLst>
                <a:ext uri="{63B3BB69-23CF-44E3-9099-C40C66FF867C}">
                  <a14:compatExt spid="_x0000_s1243138"/>
                </a:ext>
                <a:ext uri="{FF2B5EF4-FFF2-40B4-BE49-F238E27FC236}">
                  <a16:creationId xmlns:a16="http://schemas.microsoft.com/office/drawing/2014/main" id="{00000000-0008-0000-1500-000002F81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35</xdr:col>
      <xdr:colOff>219075</xdr:colOff>
      <xdr:row>20</xdr:row>
      <xdr:rowOff>57150</xdr:rowOff>
    </xdr:from>
    <xdr:to>
      <xdr:col>35</xdr:col>
      <xdr:colOff>219075</xdr:colOff>
      <xdr:row>27</xdr:row>
      <xdr:rowOff>95250</xdr:rowOff>
    </xdr:to>
    <xdr:sp macro="" textlink="">
      <xdr:nvSpPr>
        <xdr:cNvPr id="2" name="Line 18">
          <a:extLst>
            <a:ext uri="{FF2B5EF4-FFF2-40B4-BE49-F238E27FC236}">
              <a16:creationId xmlns:a16="http://schemas.microsoft.com/office/drawing/2014/main" id="{E306FEAF-ECBF-4F7F-9111-3636258DFFDF}"/>
            </a:ext>
          </a:extLst>
        </xdr:cNvPr>
        <xdr:cNvSpPr>
          <a:spLocks noChangeShapeType="1"/>
        </xdr:cNvSpPr>
      </xdr:nvSpPr>
      <xdr:spPr bwMode="auto">
        <a:xfrm>
          <a:off x="17125950"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35</xdr:col>
      <xdr:colOff>219075</xdr:colOff>
      <xdr:row>29</xdr:row>
      <xdr:rowOff>57150</xdr:rowOff>
    </xdr:from>
    <xdr:to>
      <xdr:col>35</xdr:col>
      <xdr:colOff>219075</xdr:colOff>
      <xdr:row>36</xdr:row>
      <xdr:rowOff>95250</xdr:rowOff>
    </xdr:to>
    <xdr:sp macro="" textlink="">
      <xdr:nvSpPr>
        <xdr:cNvPr id="3" name="Line 19">
          <a:extLst>
            <a:ext uri="{FF2B5EF4-FFF2-40B4-BE49-F238E27FC236}">
              <a16:creationId xmlns:a16="http://schemas.microsoft.com/office/drawing/2014/main" id="{75A01004-4B79-4940-9C64-CA9CB701B840}"/>
            </a:ext>
          </a:extLst>
        </xdr:cNvPr>
        <xdr:cNvSpPr>
          <a:spLocks noChangeShapeType="1"/>
        </xdr:cNvSpPr>
      </xdr:nvSpPr>
      <xdr:spPr bwMode="auto">
        <a:xfrm>
          <a:off x="17125950"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381000</xdr:colOff>
      <xdr:row>20</xdr:row>
      <xdr:rowOff>9525</xdr:rowOff>
    </xdr:from>
    <xdr:to>
      <xdr:col>17</xdr:col>
      <xdr:colOff>381000</xdr:colOff>
      <xdr:row>27</xdr:row>
      <xdr:rowOff>123825</xdr:rowOff>
    </xdr:to>
    <xdr:sp macro="" textlink="">
      <xdr:nvSpPr>
        <xdr:cNvPr id="4" name="Line 61">
          <a:extLst>
            <a:ext uri="{FF2B5EF4-FFF2-40B4-BE49-F238E27FC236}">
              <a16:creationId xmlns:a16="http://schemas.microsoft.com/office/drawing/2014/main" id="{90E775E1-D200-4953-BB46-B77246981702}"/>
            </a:ext>
          </a:extLst>
        </xdr:cNvPr>
        <xdr:cNvSpPr>
          <a:spLocks noChangeShapeType="1"/>
        </xdr:cNvSpPr>
      </xdr:nvSpPr>
      <xdr:spPr bwMode="auto">
        <a:xfrm flipH="1">
          <a:off x="6057900"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390525</xdr:colOff>
      <xdr:row>29</xdr:row>
      <xdr:rowOff>9525</xdr:rowOff>
    </xdr:from>
    <xdr:to>
      <xdr:col>17</xdr:col>
      <xdr:colOff>390525</xdr:colOff>
      <xdr:row>36</xdr:row>
      <xdr:rowOff>123825</xdr:rowOff>
    </xdr:to>
    <xdr:sp macro="" textlink="">
      <xdr:nvSpPr>
        <xdr:cNvPr id="5" name="Line 62">
          <a:extLst>
            <a:ext uri="{FF2B5EF4-FFF2-40B4-BE49-F238E27FC236}">
              <a16:creationId xmlns:a16="http://schemas.microsoft.com/office/drawing/2014/main" id="{0232CCCB-6ADB-4137-9ABA-11A128CEC836}"/>
            </a:ext>
          </a:extLst>
        </xdr:cNvPr>
        <xdr:cNvSpPr>
          <a:spLocks noChangeShapeType="1"/>
        </xdr:cNvSpPr>
      </xdr:nvSpPr>
      <xdr:spPr bwMode="auto">
        <a:xfrm flipH="1">
          <a:off x="6067425"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35</xdr:col>
      <xdr:colOff>219075</xdr:colOff>
      <xdr:row>38</xdr:row>
      <xdr:rowOff>57150</xdr:rowOff>
    </xdr:from>
    <xdr:to>
      <xdr:col>35</xdr:col>
      <xdr:colOff>219075</xdr:colOff>
      <xdr:row>45</xdr:row>
      <xdr:rowOff>95250</xdr:rowOff>
    </xdr:to>
    <xdr:sp macro="" textlink="">
      <xdr:nvSpPr>
        <xdr:cNvPr id="6" name="Line 600">
          <a:extLst>
            <a:ext uri="{FF2B5EF4-FFF2-40B4-BE49-F238E27FC236}">
              <a16:creationId xmlns:a16="http://schemas.microsoft.com/office/drawing/2014/main" id="{5B40D38C-CDDA-404D-8DB0-3A08893CD75B}"/>
            </a:ext>
          </a:extLst>
        </xdr:cNvPr>
        <xdr:cNvSpPr>
          <a:spLocks noChangeShapeType="1"/>
        </xdr:cNvSpPr>
      </xdr:nvSpPr>
      <xdr:spPr bwMode="auto">
        <a:xfrm>
          <a:off x="17125950"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35</xdr:col>
      <xdr:colOff>219075</xdr:colOff>
      <xdr:row>264</xdr:row>
      <xdr:rowOff>0</xdr:rowOff>
    </xdr:from>
    <xdr:to>
      <xdr:col>35</xdr:col>
      <xdr:colOff>219075</xdr:colOff>
      <xdr:row>264</xdr:row>
      <xdr:rowOff>0</xdr:rowOff>
    </xdr:to>
    <xdr:sp macro="" textlink="">
      <xdr:nvSpPr>
        <xdr:cNvPr id="7" name="Line 618">
          <a:extLst>
            <a:ext uri="{FF2B5EF4-FFF2-40B4-BE49-F238E27FC236}">
              <a16:creationId xmlns:a16="http://schemas.microsoft.com/office/drawing/2014/main" id="{15B65091-50CB-4909-B2BD-EC301D7D5CC1}"/>
            </a:ext>
          </a:extLst>
        </xdr:cNvPr>
        <xdr:cNvSpPr>
          <a:spLocks noChangeShapeType="1"/>
        </xdr:cNvSpPr>
      </xdr:nvSpPr>
      <xdr:spPr bwMode="auto">
        <a:xfrm>
          <a:off x="17125950" y="372713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381000</xdr:colOff>
      <xdr:row>264</xdr:row>
      <xdr:rowOff>0</xdr:rowOff>
    </xdr:from>
    <xdr:to>
      <xdr:col>17</xdr:col>
      <xdr:colOff>381000</xdr:colOff>
      <xdr:row>264</xdr:row>
      <xdr:rowOff>0</xdr:rowOff>
    </xdr:to>
    <xdr:sp macro="" textlink="">
      <xdr:nvSpPr>
        <xdr:cNvPr id="8" name="Line 619">
          <a:extLst>
            <a:ext uri="{FF2B5EF4-FFF2-40B4-BE49-F238E27FC236}">
              <a16:creationId xmlns:a16="http://schemas.microsoft.com/office/drawing/2014/main" id="{AADEA1C0-300C-40C4-845D-505C3958351C}"/>
            </a:ext>
          </a:extLst>
        </xdr:cNvPr>
        <xdr:cNvSpPr>
          <a:spLocks noChangeShapeType="1"/>
        </xdr:cNvSpPr>
      </xdr:nvSpPr>
      <xdr:spPr bwMode="auto">
        <a:xfrm flipH="1">
          <a:off x="6057900" y="37271325"/>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17</xdr:col>
      <xdr:colOff>390525</xdr:colOff>
      <xdr:row>38</xdr:row>
      <xdr:rowOff>9525</xdr:rowOff>
    </xdr:from>
    <xdr:to>
      <xdr:col>17</xdr:col>
      <xdr:colOff>390525</xdr:colOff>
      <xdr:row>45</xdr:row>
      <xdr:rowOff>123825</xdr:rowOff>
    </xdr:to>
    <xdr:sp macro="" textlink="">
      <xdr:nvSpPr>
        <xdr:cNvPr id="9" name="Line 601">
          <a:extLst>
            <a:ext uri="{FF2B5EF4-FFF2-40B4-BE49-F238E27FC236}">
              <a16:creationId xmlns:a16="http://schemas.microsoft.com/office/drawing/2014/main" id="{E12D1330-B53B-4816-AFE9-AA8A4831A761}"/>
            </a:ext>
          </a:extLst>
        </xdr:cNvPr>
        <xdr:cNvSpPr>
          <a:spLocks noChangeShapeType="1"/>
        </xdr:cNvSpPr>
      </xdr:nvSpPr>
      <xdr:spPr bwMode="auto">
        <a:xfrm flipH="1">
          <a:off x="6067425" y="3219450"/>
          <a:ext cx="0" cy="0"/>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mc:AlternateContent xmlns:mc="http://schemas.openxmlformats.org/markup-compatibility/2006">
    <mc:Choice xmlns:a14="http://schemas.microsoft.com/office/drawing/2010/main" Requires="a14">
      <xdr:twoCellAnchor editAs="oneCell">
        <xdr:from>
          <xdr:col>0</xdr:col>
          <xdr:colOff>171450</xdr:colOff>
          <xdr:row>2</xdr:row>
          <xdr:rowOff>38100</xdr:rowOff>
        </xdr:from>
        <xdr:to>
          <xdr:col>2</xdr:col>
          <xdr:colOff>228600</xdr:colOff>
          <xdr:row>2</xdr:row>
          <xdr:rowOff>285750</xdr:rowOff>
        </xdr:to>
        <xdr:sp macro="" textlink="">
          <xdr:nvSpPr>
            <xdr:cNvPr id="6351873" name="CommandButton1" hidden="1">
              <a:extLst>
                <a:ext uri="{63B3BB69-23CF-44E3-9099-C40C66FF867C}">
                  <a14:compatExt spid="_x0000_s6351873"/>
                </a:ext>
                <a:ext uri="{FF2B5EF4-FFF2-40B4-BE49-F238E27FC236}">
                  <a16:creationId xmlns:a16="http://schemas.microsoft.com/office/drawing/2014/main" id="{00000000-0008-0000-1600-000001EC6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171450</xdr:colOff>
          <xdr:row>3</xdr:row>
          <xdr:rowOff>47625</xdr:rowOff>
        </xdr:from>
        <xdr:to>
          <xdr:col>2</xdr:col>
          <xdr:colOff>228600</xdr:colOff>
          <xdr:row>3</xdr:row>
          <xdr:rowOff>295275</xdr:rowOff>
        </xdr:to>
        <xdr:sp macro="" textlink="">
          <xdr:nvSpPr>
            <xdr:cNvPr id="6351876" name="CommandButton4" hidden="1">
              <a:extLst>
                <a:ext uri="{63B3BB69-23CF-44E3-9099-C40C66FF867C}">
                  <a14:compatExt spid="_x0000_s6351876"/>
                </a:ext>
                <a:ext uri="{FF2B5EF4-FFF2-40B4-BE49-F238E27FC236}">
                  <a16:creationId xmlns:a16="http://schemas.microsoft.com/office/drawing/2014/main" id="{00000000-0008-0000-1600-000004EC6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180975</xdr:colOff>
          <xdr:row>1</xdr:row>
          <xdr:rowOff>28575</xdr:rowOff>
        </xdr:from>
        <xdr:to>
          <xdr:col>2</xdr:col>
          <xdr:colOff>209550</xdr:colOff>
          <xdr:row>1</xdr:row>
          <xdr:rowOff>400050</xdr:rowOff>
        </xdr:to>
        <xdr:sp macro="" textlink="">
          <xdr:nvSpPr>
            <xdr:cNvPr id="6351880" name="BulkAdd" hidden="1">
              <a:extLst>
                <a:ext uri="{63B3BB69-23CF-44E3-9099-C40C66FF867C}">
                  <a14:compatExt spid="_x0000_s6351880"/>
                </a:ext>
                <a:ext uri="{FF2B5EF4-FFF2-40B4-BE49-F238E27FC236}">
                  <a16:creationId xmlns:a16="http://schemas.microsoft.com/office/drawing/2014/main" id="{00000000-0008-0000-1600-000008EC6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4</xdr:row>
          <xdr:rowOff>133350</xdr:rowOff>
        </xdr:from>
        <xdr:to>
          <xdr:col>6</xdr:col>
          <xdr:colOff>504825</xdr:colOff>
          <xdr:row>6</xdr:row>
          <xdr:rowOff>171450</xdr:rowOff>
        </xdr:to>
        <xdr:sp macro="" textlink="">
          <xdr:nvSpPr>
            <xdr:cNvPr id="6352897" name="HideColumnsButton" hidden="1">
              <a:extLst>
                <a:ext uri="{63B3BB69-23CF-44E3-9099-C40C66FF867C}">
                  <a14:compatExt spid="_x0000_s6352897"/>
                </a:ext>
                <a:ext uri="{FF2B5EF4-FFF2-40B4-BE49-F238E27FC236}">
                  <a16:creationId xmlns:a16="http://schemas.microsoft.com/office/drawing/2014/main" id="{00000000-0008-0000-1700-000001F06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180975</xdr:colOff>
          <xdr:row>4</xdr:row>
          <xdr:rowOff>133350</xdr:rowOff>
        </xdr:from>
        <xdr:to>
          <xdr:col>4</xdr:col>
          <xdr:colOff>752475</xdr:colOff>
          <xdr:row>6</xdr:row>
          <xdr:rowOff>171450</xdr:rowOff>
        </xdr:to>
        <xdr:sp macro="" textlink="">
          <xdr:nvSpPr>
            <xdr:cNvPr id="6352898" name="CalculationToggle" hidden="1">
              <a:extLst>
                <a:ext uri="{63B3BB69-23CF-44E3-9099-C40C66FF867C}">
                  <a14:compatExt spid="_x0000_s6352898"/>
                </a:ext>
                <a:ext uri="{FF2B5EF4-FFF2-40B4-BE49-F238E27FC236}">
                  <a16:creationId xmlns:a16="http://schemas.microsoft.com/office/drawing/2014/main" id="{00000000-0008-0000-1700-000002F06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1</xdr:row>
          <xdr:rowOff>19050</xdr:rowOff>
        </xdr:from>
        <xdr:to>
          <xdr:col>0</xdr:col>
          <xdr:colOff>657225</xdr:colOff>
          <xdr:row>1</xdr:row>
          <xdr:rowOff>285750</xdr:rowOff>
        </xdr:to>
        <xdr:sp macro="" textlink="">
          <xdr:nvSpPr>
            <xdr:cNvPr id="6388737" name="RefrigerationScheduleUButton" hidden="1">
              <a:extLst>
                <a:ext uri="{63B3BB69-23CF-44E3-9099-C40C66FF867C}">
                  <a14:compatExt spid="_x0000_s6388737"/>
                </a:ext>
                <a:ext uri="{FF2B5EF4-FFF2-40B4-BE49-F238E27FC236}">
                  <a16:creationId xmlns:a16="http://schemas.microsoft.com/office/drawing/2014/main" id="{00000000-0008-0000-1800-0000017C6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2</xdr:row>
          <xdr:rowOff>57150</xdr:rowOff>
        </xdr:from>
        <xdr:to>
          <xdr:col>0</xdr:col>
          <xdr:colOff>638175</xdr:colOff>
          <xdr:row>2</xdr:row>
          <xdr:rowOff>304800</xdr:rowOff>
        </xdr:to>
        <xdr:sp macro="" textlink="">
          <xdr:nvSpPr>
            <xdr:cNvPr id="6388738" name="ExportScheduleButton" hidden="1">
              <a:extLst>
                <a:ext uri="{63B3BB69-23CF-44E3-9099-C40C66FF867C}">
                  <a14:compatExt spid="_x0000_s6388738"/>
                </a:ext>
                <a:ext uri="{FF2B5EF4-FFF2-40B4-BE49-F238E27FC236}">
                  <a16:creationId xmlns:a16="http://schemas.microsoft.com/office/drawing/2014/main" id="{00000000-0008-0000-1800-0000027C6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2</xdr:row>
          <xdr:rowOff>0</xdr:rowOff>
        </xdr:from>
        <xdr:to>
          <xdr:col>0</xdr:col>
          <xdr:colOff>1162050</xdr:colOff>
          <xdr:row>4</xdr:row>
          <xdr:rowOff>142875</xdr:rowOff>
        </xdr:to>
        <xdr:sp macro="" textlink="">
          <xdr:nvSpPr>
            <xdr:cNvPr id="6419457" name="PipingScheduleUVButton" hidden="1">
              <a:extLst>
                <a:ext uri="{63B3BB69-23CF-44E3-9099-C40C66FF867C}">
                  <a14:compatExt spid="_x0000_s6419457"/>
                </a:ext>
                <a:ext uri="{FF2B5EF4-FFF2-40B4-BE49-F238E27FC236}">
                  <a16:creationId xmlns:a16="http://schemas.microsoft.com/office/drawing/2014/main" id="{00000000-0008-0000-1900-000001F46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2</xdr:row>
          <xdr:rowOff>9525</xdr:rowOff>
        </xdr:from>
        <xdr:to>
          <xdr:col>12</xdr:col>
          <xdr:colOff>57150</xdr:colOff>
          <xdr:row>4</xdr:row>
          <xdr:rowOff>152400</xdr:rowOff>
        </xdr:to>
        <xdr:sp macro="" textlink="">
          <xdr:nvSpPr>
            <xdr:cNvPr id="6419458" name="ValveStations" hidden="1">
              <a:extLst>
                <a:ext uri="{63B3BB69-23CF-44E3-9099-C40C66FF867C}">
                  <a14:compatExt spid="_x0000_s6419458"/>
                </a:ext>
                <a:ext uri="{FF2B5EF4-FFF2-40B4-BE49-F238E27FC236}">
                  <a16:creationId xmlns:a16="http://schemas.microsoft.com/office/drawing/2014/main" id="{00000000-0008-0000-1900-000002F46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171450</xdr:colOff>
          <xdr:row>1</xdr:row>
          <xdr:rowOff>95250</xdr:rowOff>
        </xdr:from>
        <xdr:to>
          <xdr:col>0</xdr:col>
          <xdr:colOff>904875</xdr:colOff>
          <xdr:row>2</xdr:row>
          <xdr:rowOff>200025</xdr:rowOff>
        </xdr:to>
        <xdr:sp macro="" textlink="">
          <xdr:nvSpPr>
            <xdr:cNvPr id="6452225" name="Update" hidden="1">
              <a:extLst>
                <a:ext uri="{63B3BB69-23CF-44E3-9099-C40C66FF867C}">
                  <a14:compatExt spid="_x0000_s6452225"/>
                </a:ext>
                <a:ext uri="{FF2B5EF4-FFF2-40B4-BE49-F238E27FC236}">
                  <a16:creationId xmlns:a16="http://schemas.microsoft.com/office/drawing/2014/main" id="{00000000-0008-0000-1B00-00000174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161925</xdr:colOff>
          <xdr:row>1</xdr:row>
          <xdr:rowOff>133350</xdr:rowOff>
        </xdr:from>
        <xdr:to>
          <xdr:col>0</xdr:col>
          <xdr:colOff>828675</xdr:colOff>
          <xdr:row>2</xdr:row>
          <xdr:rowOff>171450</xdr:rowOff>
        </xdr:to>
        <xdr:sp macro="" textlink="">
          <xdr:nvSpPr>
            <xdr:cNvPr id="6464513" name="UpateRestart" hidden="1">
              <a:extLst>
                <a:ext uri="{63B3BB69-23CF-44E3-9099-C40C66FF867C}">
                  <a14:compatExt spid="_x0000_s6464513"/>
                </a:ext>
                <a:ext uri="{FF2B5EF4-FFF2-40B4-BE49-F238E27FC236}">
                  <a16:creationId xmlns:a16="http://schemas.microsoft.com/office/drawing/2014/main" id="{00000000-0008-0000-1C00-000001A46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xdr:from>
      <xdr:col>8</xdr:col>
      <xdr:colOff>381000</xdr:colOff>
      <xdr:row>0</xdr:row>
      <xdr:rowOff>0</xdr:rowOff>
    </xdr:from>
    <xdr:to>
      <xdr:col>10</xdr:col>
      <xdr:colOff>19050</xdr:colOff>
      <xdr:row>0</xdr:row>
      <xdr:rowOff>0</xdr:rowOff>
    </xdr:to>
    <xdr:sp macro="" textlink="">
      <xdr:nvSpPr>
        <xdr:cNvPr id="7331740" name="Line 1">
          <a:extLst>
            <a:ext uri="{FF2B5EF4-FFF2-40B4-BE49-F238E27FC236}">
              <a16:creationId xmlns:a16="http://schemas.microsoft.com/office/drawing/2014/main" id="{4ABC5888-12C0-5279-7DCF-0721E93321F3}"/>
            </a:ext>
          </a:extLst>
        </xdr:cNvPr>
        <xdr:cNvSpPr>
          <a:spLocks noChangeShapeType="1"/>
        </xdr:cNvSpPr>
      </xdr:nvSpPr>
      <xdr:spPr bwMode="auto">
        <a:xfrm>
          <a:off x="4638675" y="0"/>
          <a:ext cx="838200" cy="0"/>
        </a:xfrm>
        <a:prstGeom prst="line">
          <a:avLst/>
        </a:prstGeom>
        <a:noFill/>
        <a:ln w="1905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514350</xdr:colOff>
      <xdr:row>0</xdr:row>
      <xdr:rowOff>0</xdr:rowOff>
    </xdr:from>
    <xdr:to>
      <xdr:col>11</xdr:col>
      <xdr:colOff>0</xdr:colOff>
      <xdr:row>0</xdr:row>
      <xdr:rowOff>0</xdr:rowOff>
    </xdr:to>
    <xdr:sp macro="" textlink="">
      <xdr:nvSpPr>
        <xdr:cNvPr id="7331741" name="Line 2">
          <a:extLst>
            <a:ext uri="{FF2B5EF4-FFF2-40B4-BE49-F238E27FC236}">
              <a16:creationId xmlns:a16="http://schemas.microsoft.com/office/drawing/2014/main" id="{692B1070-7903-1B61-13E9-312F869C5E03}"/>
            </a:ext>
          </a:extLst>
        </xdr:cNvPr>
        <xdr:cNvSpPr>
          <a:spLocks noChangeShapeType="1"/>
        </xdr:cNvSpPr>
      </xdr:nvSpPr>
      <xdr:spPr bwMode="auto">
        <a:xfrm>
          <a:off x="5372100" y="0"/>
          <a:ext cx="685800" cy="0"/>
        </a:xfrm>
        <a:prstGeom prst="line">
          <a:avLst/>
        </a:prstGeom>
        <a:noFill/>
        <a:ln w="1905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12</xdr:col>
      <xdr:colOff>9525</xdr:colOff>
      <xdr:row>0</xdr:row>
      <xdr:rowOff>0</xdr:rowOff>
    </xdr:to>
    <xdr:sp macro="" textlink="">
      <xdr:nvSpPr>
        <xdr:cNvPr id="7331742" name="Line 3">
          <a:extLst>
            <a:ext uri="{FF2B5EF4-FFF2-40B4-BE49-F238E27FC236}">
              <a16:creationId xmlns:a16="http://schemas.microsoft.com/office/drawing/2014/main" id="{43A20827-E580-27A5-F2CE-78DB965945D6}"/>
            </a:ext>
          </a:extLst>
        </xdr:cNvPr>
        <xdr:cNvSpPr>
          <a:spLocks noChangeShapeType="1"/>
        </xdr:cNvSpPr>
      </xdr:nvSpPr>
      <xdr:spPr bwMode="auto">
        <a:xfrm flipV="1">
          <a:off x="6057900" y="0"/>
          <a:ext cx="609600" cy="0"/>
        </a:xfrm>
        <a:prstGeom prst="line">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371475</xdr:colOff>
      <xdr:row>19</xdr:row>
      <xdr:rowOff>19050</xdr:rowOff>
    </xdr:from>
    <xdr:to>
      <xdr:col>15</xdr:col>
      <xdr:colOff>371475</xdr:colOff>
      <xdr:row>21</xdr:row>
      <xdr:rowOff>9525</xdr:rowOff>
    </xdr:to>
    <xdr:sp macro="" textlink="">
      <xdr:nvSpPr>
        <xdr:cNvPr id="7331743" name="Line 5">
          <a:extLst>
            <a:ext uri="{FF2B5EF4-FFF2-40B4-BE49-F238E27FC236}">
              <a16:creationId xmlns:a16="http://schemas.microsoft.com/office/drawing/2014/main" id="{B4B9684E-D3C7-0572-9A2B-6DC21BB04743}"/>
            </a:ext>
          </a:extLst>
        </xdr:cNvPr>
        <xdr:cNvSpPr>
          <a:spLocks noChangeShapeType="1"/>
        </xdr:cNvSpPr>
      </xdr:nvSpPr>
      <xdr:spPr bwMode="auto">
        <a:xfrm flipV="1">
          <a:off x="8829675" y="3105150"/>
          <a:ext cx="0" cy="295275"/>
        </a:xfrm>
        <a:prstGeom prst="line">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371475</xdr:colOff>
      <xdr:row>17</xdr:row>
      <xdr:rowOff>0</xdr:rowOff>
    </xdr:from>
    <xdr:to>
      <xdr:col>15</xdr:col>
      <xdr:colOff>371475</xdr:colOff>
      <xdr:row>17</xdr:row>
      <xdr:rowOff>161925</xdr:rowOff>
    </xdr:to>
    <xdr:sp macro="" textlink="">
      <xdr:nvSpPr>
        <xdr:cNvPr id="7331744" name="Line 6">
          <a:extLst>
            <a:ext uri="{FF2B5EF4-FFF2-40B4-BE49-F238E27FC236}">
              <a16:creationId xmlns:a16="http://schemas.microsoft.com/office/drawing/2014/main" id="{2595D4F4-1F52-BA2A-3903-AABB0A978C50}"/>
            </a:ext>
          </a:extLst>
        </xdr:cNvPr>
        <xdr:cNvSpPr>
          <a:spLocks noChangeShapeType="1"/>
        </xdr:cNvSpPr>
      </xdr:nvSpPr>
      <xdr:spPr bwMode="auto">
        <a:xfrm flipV="1">
          <a:off x="8829675" y="2781300"/>
          <a:ext cx="0" cy="152400"/>
        </a:xfrm>
        <a:prstGeom prst="line">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8</xdr:col>
      <xdr:colOff>352425</xdr:colOff>
      <xdr:row>2</xdr:row>
      <xdr:rowOff>38100</xdr:rowOff>
    </xdr:from>
    <xdr:to>
      <xdr:col>11</xdr:col>
      <xdr:colOff>266700</xdr:colOff>
      <xdr:row>7</xdr:row>
      <xdr:rowOff>47625</xdr:rowOff>
    </xdr:to>
    <xdr:pic>
      <xdr:nvPicPr>
        <xdr:cNvPr id="7331745" name="Picture 8">
          <a:extLst>
            <a:ext uri="{FF2B5EF4-FFF2-40B4-BE49-F238E27FC236}">
              <a16:creationId xmlns:a16="http://schemas.microsoft.com/office/drawing/2014/main" id="{DEBD464A-92C7-7A3F-4F12-CC8950E266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10100" y="285750"/>
          <a:ext cx="1714500"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180975</xdr:colOff>
          <xdr:row>3</xdr:row>
          <xdr:rowOff>47625</xdr:rowOff>
        </xdr:from>
        <xdr:to>
          <xdr:col>16</xdr:col>
          <xdr:colOff>0</xdr:colOff>
          <xdr:row>6</xdr:row>
          <xdr:rowOff>85725</xdr:rowOff>
        </xdr:to>
        <xdr:sp macro="" textlink="">
          <xdr:nvSpPr>
            <xdr:cNvPr id="205828" name="CommandButton1" hidden="1">
              <a:extLst>
                <a:ext uri="{63B3BB69-23CF-44E3-9099-C40C66FF867C}">
                  <a14:compatExt spid="_x0000_s205828"/>
                </a:ext>
                <a:ext uri="{FF2B5EF4-FFF2-40B4-BE49-F238E27FC236}">
                  <a16:creationId xmlns:a16="http://schemas.microsoft.com/office/drawing/2014/main" id="{00000000-0008-0000-1D00-0000042403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3</xdr:row>
          <xdr:rowOff>47625</xdr:rowOff>
        </xdr:from>
        <xdr:to>
          <xdr:col>14</xdr:col>
          <xdr:colOff>0</xdr:colOff>
          <xdr:row>6</xdr:row>
          <xdr:rowOff>85725</xdr:rowOff>
        </xdr:to>
        <xdr:sp macro="" textlink="">
          <xdr:nvSpPr>
            <xdr:cNvPr id="205831" name="CommandButton2" hidden="1">
              <a:extLst>
                <a:ext uri="{63B3BB69-23CF-44E3-9099-C40C66FF867C}">
                  <a14:compatExt spid="_x0000_s205831"/>
                </a:ext>
                <a:ext uri="{FF2B5EF4-FFF2-40B4-BE49-F238E27FC236}">
                  <a16:creationId xmlns:a16="http://schemas.microsoft.com/office/drawing/2014/main" id="{00000000-0008-0000-1D00-0000072403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8</xdr:col>
      <xdr:colOff>381000</xdr:colOff>
      <xdr:row>0</xdr:row>
      <xdr:rowOff>0</xdr:rowOff>
    </xdr:from>
    <xdr:to>
      <xdr:col>10</xdr:col>
      <xdr:colOff>19050</xdr:colOff>
      <xdr:row>0</xdr:row>
      <xdr:rowOff>0</xdr:rowOff>
    </xdr:to>
    <xdr:sp macro="" textlink="">
      <xdr:nvSpPr>
        <xdr:cNvPr id="7332764" name="Line 1">
          <a:extLst>
            <a:ext uri="{FF2B5EF4-FFF2-40B4-BE49-F238E27FC236}">
              <a16:creationId xmlns:a16="http://schemas.microsoft.com/office/drawing/2014/main" id="{8CB7581E-BBA7-6689-26FF-258BA9D2CD12}"/>
            </a:ext>
          </a:extLst>
        </xdr:cNvPr>
        <xdr:cNvSpPr>
          <a:spLocks noChangeShapeType="1"/>
        </xdr:cNvSpPr>
      </xdr:nvSpPr>
      <xdr:spPr bwMode="auto">
        <a:xfrm>
          <a:off x="4638675" y="0"/>
          <a:ext cx="838200" cy="0"/>
        </a:xfrm>
        <a:prstGeom prst="line">
          <a:avLst/>
        </a:prstGeom>
        <a:noFill/>
        <a:ln w="1905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9</xdr:col>
      <xdr:colOff>514350</xdr:colOff>
      <xdr:row>0</xdr:row>
      <xdr:rowOff>0</xdr:rowOff>
    </xdr:from>
    <xdr:to>
      <xdr:col>11</xdr:col>
      <xdr:colOff>0</xdr:colOff>
      <xdr:row>0</xdr:row>
      <xdr:rowOff>0</xdr:rowOff>
    </xdr:to>
    <xdr:sp macro="" textlink="">
      <xdr:nvSpPr>
        <xdr:cNvPr id="7332765" name="Line 2">
          <a:extLst>
            <a:ext uri="{FF2B5EF4-FFF2-40B4-BE49-F238E27FC236}">
              <a16:creationId xmlns:a16="http://schemas.microsoft.com/office/drawing/2014/main" id="{594934C5-7B43-10B2-BA58-756E587B8BB0}"/>
            </a:ext>
          </a:extLst>
        </xdr:cNvPr>
        <xdr:cNvSpPr>
          <a:spLocks noChangeShapeType="1"/>
        </xdr:cNvSpPr>
      </xdr:nvSpPr>
      <xdr:spPr bwMode="auto">
        <a:xfrm>
          <a:off x="5372100" y="0"/>
          <a:ext cx="685800" cy="0"/>
        </a:xfrm>
        <a:prstGeom prst="line">
          <a:avLst/>
        </a:prstGeom>
        <a:noFill/>
        <a:ln w="19050">
          <a:solidFill>
            <a:srgbClr val="FF0000"/>
          </a:solidFill>
          <a:round/>
          <a:headEnd/>
          <a:tailEnd/>
        </a:ln>
        <a:extLst>
          <a:ext uri="{909E8E84-426E-40DD-AFC4-6F175D3DCCD1}">
            <a14:hiddenFill xmlns:a14="http://schemas.microsoft.com/office/drawing/2010/main">
              <a:noFill/>
            </a14:hiddenFill>
          </a:ext>
        </a:extLst>
      </xdr:spPr>
    </xdr:sp>
    <xdr:clientData/>
  </xdr:twoCellAnchor>
  <xdr:twoCellAnchor>
    <xdr:from>
      <xdr:col>11</xdr:col>
      <xdr:colOff>0</xdr:colOff>
      <xdr:row>0</xdr:row>
      <xdr:rowOff>0</xdr:rowOff>
    </xdr:from>
    <xdr:to>
      <xdr:col>12</xdr:col>
      <xdr:colOff>9525</xdr:colOff>
      <xdr:row>0</xdr:row>
      <xdr:rowOff>0</xdr:rowOff>
    </xdr:to>
    <xdr:sp macro="" textlink="">
      <xdr:nvSpPr>
        <xdr:cNvPr id="7332766" name="Line 3">
          <a:extLst>
            <a:ext uri="{FF2B5EF4-FFF2-40B4-BE49-F238E27FC236}">
              <a16:creationId xmlns:a16="http://schemas.microsoft.com/office/drawing/2014/main" id="{6EBEC3ED-C525-5802-96A3-01D2F785CA17}"/>
            </a:ext>
          </a:extLst>
        </xdr:cNvPr>
        <xdr:cNvSpPr>
          <a:spLocks noChangeShapeType="1"/>
        </xdr:cNvSpPr>
      </xdr:nvSpPr>
      <xdr:spPr bwMode="auto">
        <a:xfrm flipV="1">
          <a:off x="6057900" y="0"/>
          <a:ext cx="609600" cy="0"/>
        </a:xfrm>
        <a:prstGeom prst="line">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371475</xdr:colOff>
      <xdr:row>23</xdr:row>
      <xdr:rowOff>19050</xdr:rowOff>
    </xdr:from>
    <xdr:to>
      <xdr:col>15</xdr:col>
      <xdr:colOff>371475</xdr:colOff>
      <xdr:row>25</xdr:row>
      <xdr:rowOff>9525</xdr:rowOff>
    </xdr:to>
    <xdr:sp macro="" textlink="">
      <xdr:nvSpPr>
        <xdr:cNvPr id="7332767" name="Line 5">
          <a:extLst>
            <a:ext uri="{FF2B5EF4-FFF2-40B4-BE49-F238E27FC236}">
              <a16:creationId xmlns:a16="http://schemas.microsoft.com/office/drawing/2014/main" id="{59527C94-840D-6455-45A3-0702A14CDE41}"/>
            </a:ext>
          </a:extLst>
        </xdr:cNvPr>
        <xdr:cNvSpPr>
          <a:spLocks noChangeShapeType="1"/>
        </xdr:cNvSpPr>
      </xdr:nvSpPr>
      <xdr:spPr bwMode="auto">
        <a:xfrm flipV="1">
          <a:off x="8829675" y="3714750"/>
          <a:ext cx="0" cy="295275"/>
        </a:xfrm>
        <a:prstGeom prst="line">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15</xdr:col>
      <xdr:colOff>371475</xdr:colOff>
      <xdr:row>21</xdr:row>
      <xdr:rowOff>0</xdr:rowOff>
    </xdr:from>
    <xdr:to>
      <xdr:col>15</xdr:col>
      <xdr:colOff>371475</xdr:colOff>
      <xdr:row>21</xdr:row>
      <xdr:rowOff>161925</xdr:rowOff>
    </xdr:to>
    <xdr:sp macro="" textlink="">
      <xdr:nvSpPr>
        <xdr:cNvPr id="7332768" name="Line 6">
          <a:extLst>
            <a:ext uri="{FF2B5EF4-FFF2-40B4-BE49-F238E27FC236}">
              <a16:creationId xmlns:a16="http://schemas.microsoft.com/office/drawing/2014/main" id="{890CD48A-526F-8359-E0A0-DE850411637F}"/>
            </a:ext>
          </a:extLst>
        </xdr:cNvPr>
        <xdr:cNvSpPr>
          <a:spLocks noChangeShapeType="1"/>
        </xdr:cNvSpPr>
      </xdr:nvSpPr>
      <xdr:spPr bwMode="auto">
        <a:xfrm flipV="1">
          <a:off x="8829675" y="3390900"/>
          <a:ext cx="0" cy="152400"/>
        </a:xfrm>
        <a:prstGeom prst="line">
          <a:avLst/>
        </a:prstGeom>
        <a:noFill/>
        <a:ln w="1905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editAs="oneCell">
    <xdr:from>
      <xdr:col>8</xdr:col>
      <xdr:colOff>352425</xdr:colOff>
      <xdr:row>2</xdr:row>
      <xdr:rowOff>38100</xdr:rowOff>
    </xdr:from>
    <xdr:to>
      <xdr:col>11</xdr:col>
      <xdr:colOff>266700</xdr:colOff>
      <xdr:row>7</xdr:row>
      <xdr:rowOff>47625</xdr:rowOff>
    </xdr:to>
    <xdr:pic>
      <xdr:nvPicPr>
        <xdr:cNvPr id="7332769" name="Picture 8">
          <a:extLst>
            <a:ext uri="{FF2B5EF4-FFF2-40B4-BE49-F238E27FC236}">
              <a16:creationId xmlns:a16="http://schemas.microsoft.com/office/drawing/2014/main" id="{1C7BCFCB-C4D6-9B76-662B-FE6E978214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610100" y="285750"/>
          <a:ext cx="1714500" cy="714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14</xdr:col>
          <xdr:colOff>180975</xdr:colOff>
          <xdr:row>3</xdr:row>
          <xdr:rowOff>47625</xdr:rowOff>
        </xdr:from>
        <xdr:to>
          <xdr:col>16</xdr:col>
          <xdr:colOff>0</xdr:colOff>
          <xdr:row>6</xdr:row>
          <xdr:rowOff>85725</xdr:rowOff>
        </xdr:to>
        <xdr:sp macro="" textlink="">
          <xdr:nvSpPr>
            <xdr:cNvPr id="206852" name="CommandButton1" hidden="1">
              <a:extLst>
                <a:ext uri="{63B3BB69-23CF-44E3-9099-C40C66FF867C}">
                  <a14:compatExt spid="_x0000_s206852"/>
                </a:ext>
                <a:ext uri="{FF2B5EF4-FFF2-40B4-BE49-F238E27FC236}">
                  <a16:creationId xmlns:a16="http://schemas.microsoft.com/office/drawing/2014/main" id="{00000000-0008-0000-1E00-0000042803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3</xdr:row>
          <xdr:rowOff>47625</xdr:rowOff>
        </xdr:from>
        <xdr:to>
          <xdr:col>14</xdr:col>
          <xdr:colOff>0</xdr:colOff>
          <xdr:row>6</xdr:row>
          <xdr:rowOff>85725</xdr:rowOff>
        </xdr:to>
        <xdr:sp macro="" textlink="">
          <xdr:nvSpPr>
            <xdr:cNvPr id="206855" name="CommandButton2" hidden="1">
              <a:extLst>
                <a:ext uri="{63B3BB69-23CF-44E3-9099-C40C66FF867C}">
                  <a14:compatExt spid="_x0000_s206855"/>
                </a:ext>
                <a:ext uri="{FF2B5EF4-FFF2-40B4-BE49-F238E27FC236}">
                  <a16:creationId xmlns:a16="http://schemas.microsoft.com/office/drawing/2014/main" id="{00000000-0008-0000-1E00-000007280300}"/>
                </a:ext>
              </a:extLst>
            </xdr:cNvPr>
            <xdr:cNvSpPr/>
          </xdr:nvSpPr>
          <xdr:spPr bwMode="auto">
            <a:xfrm>
              <a:off x="0" y="0"/>
              <a:ext cx="0" cy="0"/>
            </a:xfrm>
            <a:prstGeom prst="rect">
              <a:avLst/>
            </a:prstGeom>
            <a:noFill/>
            <a:ln>
              <a:noFill/>
            </a:ln>
            <a:effectLst>
              <a:outerShdw dist="35921" dir="2700000" algn="ctr" rotWithShape="0">
                <a:srgbClr val="000000"/>
              </a:outerShdw>
            </a:effectLst>
            <a:extLst>
              <a:ext uri="{91240B29-F687-4F45-9708-019B960494DF}">
                <a14:hiddenLine w="1">
                  <a:noFill/>
                  <a:miter lim="800000"/>
                  <a:headEnd/>
                  <a:tailEnd/>
                </a14:hiddenLine>
              </a:ext>
              <a:ext uri="{53640926-AAD7-44D8-BBD7-CCE9431645EC}">
                <a14:shadowObscured val="1"/>
              </a:ext>
            </a:extLst>
          </xdr:spPr>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11</xdr:col>
      <xdr:colOff>95250</xdr:colOff>
      <xdr:row>19</xdr:row>
      <xdr:rowOff>57150</xdr:rowOff>
    </xdr:from>
    <xdr:to>
      <xdr:col>15</xdr:col>
      <xdr:colOff>552450</xdr:colOff>
      <xdr:row>27</xdr:row>
      <xdr:rowOff>123825</xdr:rowOff>
    </xdr:to>
    <xdr:pic>
      <xdr:nvPicPr>
        <xdr:cNvPr id="5726874" name="Picture 1">
          <a:extLst>
            <a:ext uri="{FF2B5EF4-FFF2-40B4-BE49-F238E27FC236}">
              <a16:creationId xmlns:a16="http://schemas.microsoft.com/office/drawing/2014/main" id="{85AA0D71-CF08-75E9-1FE0-DC2C3C3811D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724525" y="3286125"/>
          <a:ext cx="2314575" cy="1438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2590800</xdr:colOff>
      <xdr:row>12</xdr:row>
      <xdr:rowOff>38100</xdr:rowOff>
    </xdr:from>
    <xdr:to>
      <xdr:col>1</xdr:col>
      <xdr:colOff>2838450</xdr:colOff>
      <xdr:row>12</xdr:row>
      <xdr:rowOff>285750</xdr:rowOff>
    </xdr:to>
    <xdr:pic>
      <xdr:nvPicPr>
        <xdr:cNvPr id="7335220" name="Picture 2" descr="Button image">
          <a:extLst>
            <a:ext uri="{FF2B5EF4-FFF2-40B4-BE49-F238E27FC236}">
              <a16:creationId xmlns:a16="http://schemas.microsoft.com/office/drawing/2014/main" id="{279263DA-AD57-3693-5980-5B103F4E21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876550" y="2762250"/>
          <a:ext cx="24765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4219575</xdr:colOff>
      <xdr:row>8</xdr:row>
      <xdr:rowOff>47625</xdr:rowOff>
    </xdr:from>
    <xdr:to>
      <xdr:col>1</xdr:col>
      <xdr:colOff>7829550</xdr:colOff>
      <xdr:row>8</xdr:row>
      <xdr:rowOff>409575</xdr:rowOff>
    </xdr:to>
    <xdr:pic>
      <xdr:nvPicPr>
        <xdr:cNvPr id="7335221" name="Picture 6">
          <a:extLst>
            <a:ext uri="{FF2B5EF4-FFF2-40B4-BE49-F238E27FC236}">
              <a16:creationId xmlns:a16="http://schemas.microsoft.com/office/drawing/2014/main" id="{EC5457A4-D277-07C8-BB28-662174E2510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05325" y="1847850"/>
          <a:ext cx="3609975" cy="361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walmart_refrig_master_DB" backgroundRefresh="0" connectionId="3" xr16:uid="{20229762-17B2-41BB-BA93-96682F7DB896}" autoFormatId="16" applyNumberFormats="0" applyBorderFormats="0" applyFontFormats="0" applyPatternFormats="0" applyAlignmentFormats="0" applyWidthHeightFormats="0">
  <queryTableRefresh nextId="27">
    <queryTableFields count="26">
      <queryTableField id="1" name="model" tableColumnId="1"/>
      <queryTableField id="2" name="L_type" tableColumnId="2"/>
      <queryTableField id="3" name="WDS" tableColumnId="3"/>
      <queryTableField id="4" name="te" tableColumnId="4"/>
      <queryTableField id="5" name="ts" tableColumnId="5"/>
      <queryTableField id="6" name="fan_volt" tableColumnId="6"/>
      <queryTableField id="7" name="comments" tableColumnId="7"/>
      <queryTableField id="8" name="drain_pan_volt" tableColumnId="8"/>
      <queryTableField id="9" name="case_temp" tableColumnId="9"/>
      <queryTableField id="10" name="Defrost Type" tableColumnId="10"/>
      <queryTableField id="11" name="Defrost Freq" tableColumnId="11"/>
      <queryTableField id="12" name="Defrost Time" tableColumnId="12"/>
      <queryTableField id="13" name="Term Temp" tableColumnId="13"/>
      <queryTableField id="14" name="Drip Time" tableColumnId="14"/>
      <queryTableField id="15" name="Glycol Defrost Type" tableColumnId="15"/>
      <queryTableField id="16" name="Glycol Defrost Freq" tableColumnId="16"/>
      <queryTableField id="17" name="Glycol Defrost Time" tableColumnId="17"/>
      <queryTableField id="18" name="Glycol Term Temp" tableColumnId="18"/>
      <queryTableField id="19" name="Glycol Drip Time" tableColumnId="19"/>
      <queryTableField id="20" name="CO2 Defrost Type" tableColumnId="20"/>
      <queryTableField id="21" name="CO2 Defrost Freq" tableColumnId="21"/>
      <queryTableField id="22" name="CO2 Defrost Time" tableColumnId="22"/>
      <queryTableField id="23" name="CO2 Term Temp" tableColumnId="23"/>
      <queryTableField id="24" name="CO2 Drip Time" tableColumnId="24"/>
      <queryTableField id="25" name="CO2 PumpOut" tableColumnId="25"/>
      <queryTableField id="26" name="Hyperlink" tableColumnId="2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walmart_refrig_master_DB_1" backgroundRefresh="0" connectionId="4" xr16:uid="{64221EDB-A9BD-44F1-9FA7-81F172AC065E}" autoFormatId="16" applyNumberFormats="0" applyBorderFormats="0" applyFontFormats="0" applyPatternFormats="0" applyAlignmentFormats="0" applyWidthHeightFormats="0">
  <queryTableRefresh nextId="4">
    <queryTableFields count="3">
      <queryTableField id="1" name="model" tableColumnId="1"/>
      <queryTableField id="2" name="MinOfDB_ID" tableColumnId="2"/>
      <queryTableField id="3" name="manufacturer"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walmart_refrig_master_DB" backgroundRefresh="0" connectionId="1" xr16:uid="{B7530C3B-5216-412A-A5BD-A9343AAB0BAB}" autoFormatId="16" applyNumberFormats="0" applyBorderFormats="0" applyFontFormats="0" applyPatternFormats="0" applyAlignmentFormats="0" applyWidthHeightFormats="0">
  <queryTableRefresh nextId="40">
    <queryTableFields count="32">
      <queryTableField id="1" name="Expr1" tableColumnId="1"/>
      <queryTableField id="2" name="DB_ID" tableColumnId="2"/>
      <queryTableField id="3" name="model" tableColumnId="3"/>
      <queryTableField id="4" name="L" tableColumnId="4"/>
      <queryTableField id="5" name="L_type" tableColumnId="5"/>
      <queryTableField id="6" name="total_mbh" tableColumnId="6"/>
      <queryTableField id="38" name="120/1_FANS" tableColumnId="7"/>
      <queryTableField id="8" name="fan_volt" tableColumnId="8"/>
      <queryTableField id="9" name="light" tableColumnId="9"/>
      <queryTableField id="10" name="as" tableColumnId="10"/>
      <queryTableField id="11" name="defrost1_208_1" tableColumnId="11"/>
      <queryTableField id="12" name="defrost1_volt" tableColumnId="12"/>
      <queryTableField id="13" name="defrost2_208_3" tableColumnId="13"/>
      <queryTableField id="14" name="defrost2_volt" tableColumnId="14"/>
      <queryTableField id="15" name="miscellaneous" tableColumnId="15"/>
      <queryTableField id="16" name="drain_pan" tableColumnId="16"/>
      <queryTableField id="17" name="drain_pan_volt" tableColumnId="17"/>
      <queryTableField id="18" name="Blank0" tableColumnId="18"/>
      <queryTableField id="19" name="Glycol Pdrop" tableColumnId="19"/>
      <queryTableField id="20" name="CO2 Circ Rate" tableColumnId="20"/>
      <queryTableField id="21" name="CO2 Charge" tableColumnId="21"/>
      <queryTableField id="22" name="Glycol Charge" tableColumnId="22"/>
      <queryTableField id="24" name="blank1" tableColumnId="24"/>
      <queryTableField id="25" name="blank2" tableColumnId="25"/>
      <queryTableField id="26" name="blank3" tableColumnId="26"/>
      <queryTableField id="27" name="blank4" tableColumnId="27"/>
      <queryTableField id="28" name="blank5" tableColumnId="28"/>
      <queryTableField id="29" name="blank6" tableColumnId="29"/>
      <queryTableField id="34" name="Glycol_30%_20" tableColumnId="34"/>
      <queryTableField id="35" name="Glycol_30%_25" tableColumnId="35"/>
      <queryTableField id="36" name="Glycol_35%_20" tableColumnId="36"/>
      <queryTableField id="37" name="Glycol_35%_25" tableColumnId="37"/>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walmart_refrig_master_DB" connectionId="2" xr16:uid="{60DD3E26-3B73-4D29-AF90-62B2C29BA88A}" autoFormatId="16" applyNumberFormats="0" applyBorderFormats="0" applyFontFormats="0" applyPatternFormats="0" applyAlignmentFormats="0" applyWidthHeightFormats="0">
  <queryTableRefresh nextId="44">
    <queryTableFields count="43">
      <queryTableField id="1" name="model" tableColumnId="1"/>
      <queryTableField id="2" name="capacityl_mbh" tableColumnId="2"/>
      <queryTableField id="3" name="fan1_120_1" tableColumnId="3"/>
      <queryTableField id="4" name="fan1_volt" tableColumnId="4"/>
      <queryTableField id="5" name="fan2_208_1" tableColumnId="5"/>
      <queryTableField id="6" name="fan2_volt" tableColumnId="6"/>
      <queryTableField id="7" name="fan_3_208_3" tableColumnId="7"/>
      <queryTableField id="8" name="fan3_volt" tableColumnId="8"/>
      <queryTableField id="9" name="defrost1_208_1" tableColumnId="9"/>
      <queryTableField id="10" name="defrost1_volt" tableColumnId="10"/>
      <queryTableField id="11" name="defrost2_208_3" tableColumnId="11"/>
      <queryTableField id="12" name="defrost2_volt" tableColumnId="12"/>
      <queryTableField id="13" name="miscellaneous" tableColumnId="13"/>
      <queryTableField id="14" name="mis_volt" tableColumnId="14"/>
      <queryTableField id="15" name="comments" tableColumnId="15"/>
      <queryTableField id="16" name="drain_pan1_120_1" tableColumnId="16"/>
      <queryTableField id="17" name="drain_pan1_volt" tableColumnId="17"/>
      <queryTableField id="18" name="drain_pan2_208_1" tableColumnId="18"/>
      <queryTableField id="19" name="drain_pan2_volt" tableColumnId="19"/>
      <queryTableField id="20" name="drain_pan3_460_1" tableColumnId="20"/>
      <queryTableField id="21" name="drain_pan3_volt" tableColumnId="21"/>
      <queryTableField id="22" name="defrost_type" tableColumnId="22"/>
      <queryTableField id="23" name="manufacturer" tableColumnId="23"/>
      <queryTableField id="24" name="defrost3_460_1" tableColumnId="24"/>
      <queryTableField id="25" name="defrost3_volt" tableColumnId="25"/>
      <queryTableField id="26" name="defrost4_460_3" tableColumnId="26"/>
      <queryTableField id="27" name="defrost4_volt" tableColumnId="27"/>
      <queryTableField id="28" name="Fan_Qty" tableColumnId="28"/>
      <queryTableField id="29" name="HP" tableColumnId="29"/>
      <queryTableField id="30" name="FPI" tableColumnId="30"/>
      <queryTableField id="31" name="Fan1_Watts" tableColumnId="31"/>
      <queryTableField id="32" name="Fan2_Watts" tableColumnId="32"/>
      <queryTableField id="33" name="INLET_OD" tableColumnId="33"/>
      <queryTableField id="34" name="SUCTION_ID" tableColumnId="34"/>
      <queryTableField id="35" name="Equalizer_OD" tableColumnId="35"/>
      <queryTableField id="36" name="Drain_MPT" tableColumnId="36"/>
      <queryTableField id="37" name="Length" tableColumnId="37"/>
      <queryTableField id="38" name="Width" tableColumnId="38"/>
      <queryTableField id="39" name="Height" tableColumnId="39"/>
      <queryTableField id="40" name="Weight" tableColumnId="40"/>
      <queryTableField id="41" name="Design" tableColumnId="41"/>
      <queryTableField id="42" name="HXer" tableColumnId="42"/>
      <queryTableField id="43" name="fan_type" tableColumnId="4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5" xr:uid="{E94345B6-22F6-4A6D-A7A8-8DBBD9572235}" name="Table_walmart_refrig_master_DB" displayName="Table_walmart_refrig_master_DB" ref="B2:AA410" tableType="queryTable" totalsRowShown="0">
  <autoFilter ref="B2:AA410" xr:uid="{1FCA806F-C75E-414A-BFD2-309BE60702FB}"/>
  <tableColumns count="26">
    <tableColumn id="1" xr3:uid="{00000000-0010-0000-0100-000001000000}" uniqueName="1" name="model" queryTableFieldId="1"/>
    <tableColumn id="2" xr3:uid="{00000000-0010-0000-0100-000002000000}" uniqueName="2" name="L_type" queryTableFieldId="2"/>
    <tableColumn id="3" xr3:uid="{00000000-0010-0000-0100-000003000000}" uniqueName="3" name="WDS" queryTableFieldId="3"/>
    <tableColumn id="4" xr3:uid="{00000000-0010-0000-0100-000004000000}" uniqueName="4" name="te" queryTableFieldId="4"/>
    <tableColumn id="5" xr3:uid="{00000000-0010-0000-0100-000005000000}" uniqueName="5" name="ts" queryTableFieldId="5"/>
    <tableColumn id="6" xr3:uid="{00000000-0010-0000-0100-000006000000}" uniqueName="6" name="fan_volt" queryTableFieldId="6"/>
    <tableColumn id="7" xr3:uid="{00000000-0010-0000-0100-000007000000}" uniqueName="7" name="comments" queryTableFieldId="7"/>
    <tableColumn id="8" xr3:uid="{00000000-0010-0000-0100-000008000000}" uniqueName="8" name="drain_pan_volt" queryTableFieldId="8"/>
    <tableColumn id="9" xr3:uid="{00000000-0010-0000-0100-000009000000}" uniqueName="9" name="case_temp" queryTableFieldId="9"/>
    <tableColumn id="10" xr3:uid="{00000000-0010-0000-0100-00000A000000}" uniqueName="10" name="Defrost Type" queryTableFieldId="10"/>
    <tableColumn id="11" xr3:uid="{00000000-0010-0000-0100-00000B000000}" uniqueName="11" name="Defrost Freq" queryTableFieldId="11"/>
    <tableColumn id="12" xr3:uid="{00000000-0010-0000-0100-00000C000000}" uniqueName="12" name="Defrost Time" queryTableFieldId="12"/>
    <tableColumn id="13" xr3:uid="{00000000-0010-0000-0100-00000D000000}" uniqueName="13" name="Term Temp" queryTableFieldId="13"/>
    <tableColumn id="14" xr3:uid="{00000000-0010-0000-0100-00000E000000}" uniqueName="14" name="Drip Time" queryTableFieldId="14"/>
    <tableColumn id="15" xr3:uid="{00000000-0010-0000-0100-00000F000000}" uniqueName="15" name="Glycol Defrost Type" queryTableFieldId="15"/>
    <tableColumn id="16" xr3:uid="{00000000-0010-0000-0100-000010000000}" uniqueName="16" name="Glycol Defrost Freq" queryTableFieldId="16"/>
    <tableColumn id="17" xr3:uid="{00000000-0010-0000-0100-000011000000}" uniqueName="17" name="Glycol Defrost Time" queryTableFieldId="17"/>
    <tableColumn id="18" xr3:uid="{00000000-0010-0000-0100-000012000000}" uniqueName="18" name="Glycol Term Temp" queryTableFieldId="18"/>
    <tableColumn id="19" xr3:uid="{00000000-0010-0000-0100-000013000000}" uniqueName="19" name="Glycol Drip Time" queryTableFieldId="19"/>
    <tableColumn id="20" xr3:uid="{00000000-0010-0000-0100-000014000000}" uniqueName="20" name="CO2 Defrost Type" queryTableFieldId="20"/>
    <tableColumn id="21" xr3:uid="{00000000-0010-0000-0100-000015000000}" uniqueName="21" name="CO2 Defrost Freq" queryTableFieldId="21"/>
    <tableColumn id="22" xr3:uid="{00000000-0010-0000-0100-000016000000}" uniqueName="22" name="CO2 Defrost Time" queryTableFieldId="22"/>
    <tableColumn id="23" xr3:uid="{00000000-0010-0000-0100-000017000000}" uniqueName="23" name="CO2 Term Temp" queryTableFieldId="23"/>
    <tableColumn id="24" xr3:uid="{00000000-0010-0000-0100-000018000000}" uniqueName="24" name="CO2 Drip Time" queryTableFieldId="24"/>
    <tableColumn id="25" xr3:uid="{00000000-0010-0000-0100-000019000000}" uniqueName="25" name="CO2 PumpOut" queryTableFieldId="25"/>
    <tableColumn id="26" xr3:uid="{00000000-0010-0000-0100-00001A000000}" uniqueName="26" name="Hyperlink" queryTableFieldId="26"/>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6" xr:uid="{1A4F60FF-03BE-47AF-8A0D-0F13890BA0CE}" name="Table_walmart_refrig_master_DB_1" displayName="Table_walmart_refrig_master_DB_1" ref="B2:D126" tableType="queryTable" totalsRowShown="0">
  <autoFilter ref="B2:D126" xr:uid="{1B2A038E-FA4E-4623-8EE7-4BF1CA68767F}"/>
  <tableColumns count="3">
    <tableColumn id="1" xr3:uid="{00000000-0010-0000-0300-000001000000}" uniqueName="1" name="model" queryTableFieldId="1"/>
    <tableColumn id="2" xr3:uid="{00000000-0010-0000-0300-000002000000}" uniqueName="2" name="MinOfDB_ID" queryTableFieldId="2"/>
    <tableColumn id="3" xr3:uid="{00000000-0010-0000-0300-000003000000}" uniqueName="3" name="manufacturer" queryTableFieldId="3"/>
  </tableColumns>
  <tableStyleInfo name="TableStyleMedium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7" xr:uid="{C70C08E1-22E9-4204-ACBB-1BE52CF11145}" name="Table_walmart_refrig_master_DB448" displayName="Table_walmart_refrig_master_DB448" ref="B2:AG410" tableType="queryTable" totalsRowShown="0">
  <autoFilter ref="B2:AG410" xr:uid="{B0E1C7A9-9DD9-4A95-9105-A1C1435F222F}"/>
  <tableColumns count="32">
    <tableColumn id="1" xr3:uid="{00000000-0010-0000-0500-000001000000}" uniqueName="1" name="Expr1" queryTableFieldId="1"/>
    <tableColumn id="2" xr3:uid="{00000000-0010-0000-0500-000002000000}" uniqueName="2" name="DB_ID" queryTableFieldId="2"/>
    <tableColumn id="3" xr3:uid="{00000000-0010-0000-0500-000003000000}" uniqueName="3" name="model" queryTableFieldId="3"/>
    <tableColumn id="4" xr3:uid="{00000000-0010-0000-0500-000004000000}" uniqueName="4" name="L" queryTableFieldId="4"/>
    <tableColumn id="5" xr3:uid="{00000000-0010-0000-0500-000005000000}" uniqueName="5" name="L_type" queryTableFieldId="5"/>
    <tableColumn id="6" xr3:uid="{00000000-0010-0000-0500-000006000000}" uniqueName="6" name="total_mbh" queryTableFieldId="6"/>
    <tableColumn id="7" xr3:uid="{DDA44B5E-DF26-460D-83D9-DD97D2DED07A}" uniqueName="7" name="120/1_FANS" queryTableFieldId="38"/>
    <tableColumn id="8" xr3:uid="{00000000-0010-0000-0500-000008000000}" uniqueName="8" name="fan_volt" queryTableFieldId="8"/>
    <tableColumn id="9" xr3:uid="{00000000-0010-0000-0500-000009000000}" uniqueName="9" name="light" queryTableFieldId="9"/>
    <tableColumn id="10" xr3:uid="{00000000-0010-0000-0500-00000A000000}" uniqueName="10" name="as" queryTableFieldId="10"/>
    <tableColumn id="11" xr3:uid="{00000000-0010-0000-0500-00000B000000}" uniqueName="11" name="defrost1_208_1" queryTableFieldId="11"/>
    <tableColumn id="12" xr3:uid="{00000000-0010-0000-0500-00000C000000}" uniqueName="12" name="defrost1_volt" queryTableFieldId="12"/>
    <tableColumn id="13" xr3:uid="{00000000-0010-0000-0500-00000D000000}" uniqueName="13" name="defrost2_208_3" queryTableFieldId="13"/>
    <tableColumn id="14" xr3:uid="{00000000-0010-0000-0500-00000E000000}" uniqueName="14" name="defrost2_volt" queryTableFieldId="14"/>
    <tableColumn id="15" xr3:uid="{00000000-0010-0000-0500-00000F000000}" uniqueName="15" name="miscellaneous" queryTableFieldId="15"/>
    <tableColumn id="16" xr3:uid="{00000000-0010-0000-0500-000010000000}" uniqueName="16" name="drain_pan" queryTableFieldId="16"/>
    <tableColumn id="17" xr3:uid="{00000000-0010-0000-0500-000011000000}" uniqueName="17" name="drain_pan_volt" queryTableFieldId="17"/>
    <tableColumn id="18" xr3:uid="{00000000-0010-0000-0500-000012000000}" uniqueName="18" name="Blank0" queryTableFieldId="18"/>
    <tableColumn id="19" xr3:uid="{00000000-0010-0000-0500-000013000000}" uniqueName="19" name="Glycol Pdrop" queryTableFieldId="19"/>
    <tableColumn id="20" xr3:uid="{00000000-0010-0000-0500-000014000000}" uniqueName="20" name="CO2 Circ Rate" queryTableFieldId="20"/>
    <tableColumn id="21" xr3:uid="{00000000-0010-0000-0500-000015000000}" uniqueName="21" name="CO2 Charge" queryTableFieldId="21"/>
    <tableColumn id="22" xr3:uid="{00000000-0010-0000-0500-000016000000}" uniqueName="22" name="Glycol Charge" queryTableFieldId="22"/>
    <tableColumn id="24" xr3:uid="{00000000-0010-0000-0500-000018000000}" uniqueName="24" name="blank1" queryTableFieldId="24"/>
    <tableColumn id="25" xr3:uid="{00000000-0010-0000-0500-000019000000}" uniqueName="25" name="blank2" queryTableFieldId="25"/>
    <tableColumn id="26" xr3:uid="{00000000-0010-0000-0500-00001A000000}" uniqueName="26" name="blank3" queryTableFieldId="26"/>
    <tableColumn id="27" xr3:uid="{00000000-0010-0000-0500-00001B000000}" uniqueName="27" name="blank4" queryTableFieldId="27"/>
    <tableColumn id="28" xr3:uid="{00000000-0010-0000-0500-00001C000000}" uniqueName="28" name="blank5" queryTableFieldId="28"/>
    <tableColumn id="29" xr3:uid="{00000000-0010-0000-0500-00001D000000}" uniqueName="29" name="blank6" queryTableFieldId="29"/>
    <tableColumn id="34" xr3:uid="{00000000-0010-0000-0500-000022000000}" uniqueName="34" name="Glycol_30%_20" queryTableFieldId="34"/>
    <tableColumn id="35" xr3:uid="{00000000-0010-0000-0500-000023000000}" uniqueName="35" name="Glycol_30%_25" queryTableFieldId="35"/>
    <tableColumn id="36" xr3:uid="{00000000-0010-0000-0500-000024000000}" uniqueName="36" name="Glycol_35%_20" queryTableFieldId="36"/>
    <tableColumn id="37" xr3:uid="{00000000-0010-0000-0500-000025000000}" uniqueName="37" name="Glycol_35%_25" queryTableFieldId="37"/>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F281C40-A9E7-498D-AA6B-10D0EF014733}" name="Table_walmart_refrig_master_DB4" displayName="Table_walmart_refrig_master_DB4" ref="B2:AR4" tableType="queryTable" totalsRowShown="0">
  <autoFilter ref="B2:AR4" xr:uid="{7F281C40-A9E7-498D-AA6B-10D0EF014733}"/>
  <tableColumns count="43">
    <tableColumn id="1" xr3:uid="{F397633B-C28F-4754-8F3A-75E4A8A11EF2}" uniqueName="1" name="model" queryTableFieldId="1"/>
    <tableColumn id="2" xr3:uid="{0F0A5912-C20F-4FCE-AFBF-7A61601F8146}" uniqueName="2" name="capacityl_mbh" queryTableFieldId="2"/>
    <tableColumn id="3" xr3:uid="{ED9D247A-F410-4D6E-A273-8CD030316018}" uniqueName="3" name="fan1_120_1" queryTableFieldId="3"/>
    <tableColumn id="4" xr3:uid="{A1B450F3-8776-4611-B6A1-67BAB94007B5}" uniqueName="4" name="fan1_volt" queryTableFieldId="4"/>
    <tableColumn id="5" xr3:uid="{3398C445-6577-4530-87D7-AC152CB373A6}" uniqueName="5" name="fan2_208_1" queryTableFieldId="5"/>
    <tableColumn id="6" xr3:uid="{5CB9A8EB-5870-4BF4-85AC-F5DB8DF748B9}" uniqueName="6" name="fan2_volt" queryTableFieldId="6"/>
    <tableColumn id="7" xr3:uid="{6AA3F7AF-BC79-473B-9419-2DC500DCDA17}" uniqueName="7" name="fan_3_208_3" queryTableFieldId="7"/>
    <tableColumn id="8" xr3:uid="{EA0FD343-2AAB-4A99-8700-7DDCF4B88A49}" uniqueName="8" name="fan3_volt" queryTableFieldId="8"/>
    <tableColumn id="9" xr3:uid="{1AB294C5-D1D8-4F98-8B01-2EEA8130D30E}" uniqueName="9" name="defrost1_208_1" queryTableFieldId="9"/>
    <tableColumn id="10" xr3:uid="{9FECAFFF-15F6-4305-A432-363A120C11A8}" uniqueName="10" name="defrost1_volt" queryTableFieldId="10"/>
    <tableColumn id="11" xr3:uid="{921CA2C2-8ECE-4A71-967E-4E7082D75757}" uniqueName="11" name="defrost2_208_3" queryTableFieldId="11"/>
    <tableColumn id="12" xr3:uid="{DA841710-138B-46B2-98AD-9A40DAC65225}" uniqueName="12" name="defrost2_volt" queryTableFieldId="12"/>
    <tableColumn id="13" xr3:uid="{C09D15C8-C35A-4CD8-828B-FA9BAAADBCA6}" uniqueName="13" name="miscellaneous" queryTableFieldId="13"/>
    <tableColumn id="14" xr3:uid="{A58926B3-69E3-467D-8FD0-E9D89B28E35D}" uniqueName="14" name="mis_volt" queryTableFieldId="14"/>
    <tableColumn id="15" xr3:uid="{F8180A34-F8D8-4DEF-8528-23A4B9598D08}" uniqueName="15" name="comments" queryTableFieldId="15"/>
    <tableColumn id="16" xr3:uid="{104EB0FE-5A5B-47DB-A23C-BB07F8578398}" uniqueName="16" name="drain_pan1_120_1" queryTableFieldId="16"/>
    <tableColumn id="17" xr3:uid="{269D359F-72E9-425D-9755-B7F3BD1E240E}" uniqueName="17" name="drain_pan1_volt" queryTableFieldId="17"/>
    <tableColumn id="18" xr3:uid="{3E359CD5-4A09-478C-AA02-EAA8296E0DF7}" uniqueName="18" name="drain_pan2_208_1" queryTableFieldId="18"/>
    <tableColumn id="19" xr3:uid="{51798523-103A-41E6-B5E9-4DF76E113D54}" uniqueName="19" name="drain_pan2_volt" queryTableFieldId="19"/>
    <tableColumn id="20" xr3:uid="{A28DA528-D6BA-4385-9A23-00CEFC561159}" uniqueName="20" name="drain_pan3_460_1" queryTableFieldId="20"/>
    <tableColumn id="21" xr3:uid="{DE28288A-0C8D-4ABC-8FB9-72BCE17B530D}" uniqueName="21" name="drain_pan3_volt" queryTableFieldId="21"/>
    <tableColumn id="22" xr3:uid="{0E8EC260-7EF0-4E64-BADD-8B401A666FA3}" uniqueName="22" name="defrost_type" queryTableFieldId="22"/>
    <tableColumn id="23" xr3:uid="{2924E916-0AED-4FFA-A8A2-167E4C3B1E10}" uniqueName="23" name="manufacturer" queryTableFieldId="23"/>
    <tableColumn id="24" xr3:uid="{7FA5F8C8-FA26-4972-AED2-0B454005E902}" uniqueName="24" name="defrost3_460_1" queryTableFieldId="24"/>
    <tableColumn id="25" xr3:uid="{8DA66D58-1BC6-4A9E-B10C-03043E2B0C33}" uniqueName="25" name="defrost3_volt" queryTableFieldId="25"/>
    <tableColumn id="26" xr3:uid="{C0C9F188-6C4C-483F-B2B5-3FB993A2B868}" uniqueName="26" name="defrost4_460_3" queryTableFieldId="26"/>
    <tableColumn id="27" xr3:uid="{778E6149-46BF-4339-9C50-08DE41E90750}" uniqueName="27" name="defrost4_volt" queryTableFieldId="27"/>
    <tableColumn id="28" xr3:uid="{C4878DB1-8433-4768-BD3E-D3DDB565B392}" uniqueName="28" name="Fan_Qty" queryTableFieldId="28"/>
    <tableColumn id="29" xr3:uid="{C3135858-D50B-4470-8D8F-E51CE6A213B2}" uniqueName="29" name="HP" queryTableFieldId="29"/>
    <tableColumn id="30" xr3:uid="{8783AF20-DAB2-4D51-891F-1CD9E74F7072}" uniqueName="30" name="FPI" queryTableFieldId="30"/>
    <tableColumn id="31" xr3:uid="{37FAECA6-F704-4F46-A0AA-22BD6F001BC2}" uniqueName="31" name="Fan1_Watts" queryTableFieldId="31"/>
    <tableColumn id="32" xr3:uid="{C78BD9BF-A986-4359-A410-4901264F4546}" uniqueName="32" name="Fan2_Watts" queryTableFieldId="32"/>
    <tableColumn id="33" xr3:uid="{9D6538B6-5A6D-4B6F-8754-ED6982D6B4AF}" uniqueName="33" name="INLET_OD" queryTableFieldId="33"/>
    <tableColumn id="34" xr3:uid="{B762F137-FF76-4493-ACAF-D6539EFD5A6C}" uniqueName="34" name="SUCTION_ID" queryTableFieldId="34"/>
    <tableColumn id="35" xr3:uid="{2563B58D-6ACD-4699-913A-D6F87457E75F}" uniqueName="35" name="Equalizer_OD" queryTableFieldId="35"/>
    <tableColumn id="36" xr3:uid="{3D997E51-30CA-4E35-8AE0-5C5512A15EC7}" uniqueName="36" name="Drain_MPT" queryTableFieldId="36"/>
    <tableColumn id="37" xr3:uid="{0537DF32-E95D-4B24-9F62-4B14F5CB8E66}" uniqueName="37" name="Length" queryTableFieldId="37"/>
    <tableColumn id="38" xr3:uid="{7561144C-7390-45FB-B22D-C135796EA51D}" uniqueName="38" name="Width" queryTableFieldId="38"/>
    <tableColumn id="39" xr3:uid="{CC5FE2A9-CB72-47F0-BD0C-4A38B805BC84}" uniqueName="39" name="Height" queryTableFieldId="39"/>
    <tableColumn id="40" xr3:uid="{D6D3E0DC-28E6-4AB6-B09D-C562EDAF7CD9}" uniqueName="40" name="Weight" queryTableFieldId="40"/>
    <tableColumn id="41" xr3:uid="{BA75884F-BBE2-482E-AF24-13CA170147DE}" uniqueName="41" name="Design" queryTableFieldId="41"/>
    <tableColumn id="42" xr3:uid="{113A40A4-9F32-4584-8767-0B6C6223C64F}" uniqueName="42" name="HXer" queryTableFieldId="42"/>
    <tableColumn id="43" xr3:uid="{0CF07F39-3F96-4C52-861D-3C5A4633DB9E}" uniqueName="43" name="fan_type" queryTableFieldId="4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9FD470-AF17-413D-BB30-27CC8C6A1167}" name="EnterRefrigTable" displayName="EnterRefrigTable" ref="BB239:BB258" totalsRowShown="0" headerRowDxfId="950" dataDxfId="949">
  <autoFilter ref="BB239:BB258" xr:uid="{AB8A5F59-40E2-4AEF-918D-E2C9AC3BD9D5}"/>
  <tableColumns count="1">
    <tableColumn id="1" xr3:uid="{00000000-0010-0000-0700-000001000000}" name="EnterRefrig" dataDxfId="948"/>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C80A4654-7B24-4F9A-871B-73ED8CF7A403}" name="Table50" displayName="Table50" ref="BD218:BE332" totalsRowShown="0" headerRowDxfId="947" dataDxfId="946">
  <autoFilter ref="BD218:BE332" xr:uid="{D28A0C15-00AC-4216-A9FC-11C95307F9CB}"/>
  <tableColumns count="2">
    <tableColumn id="1" xr3:uid="{00000000-0010-0000-0900-000001000000}" name="Enter Application " dataDxfId="945"/>
    <tableColumn id="2" xr3:uid="{00000000-0010-0000-0900-000002000000}" name="Abbreviation" dataDxfId="944"/>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5FB98E6-DB7A-4B88-8DAF-ED0E4EB82100}" name="RefrigerantTable" displayName="RefrigerantTable" ref="A37:B51" totalsRowShown="0">
  <autoFilter ref="A37:B51" xr:uid="{8EAD68B0-CD53-470D-82DC-E29605E5A0F5}"/>
  <tableColumns count="2">
    <tableColumn id="1" xr3:uid="{00000000-0010-0000-0B00-000001000000}" name="EnterRefrig" dataDxfId="943"/>
    <tableColumn id="2" xr3:uid="{00000000-0010-0000-0B00-000002000000}" name="Filename"/>
  </tableColumns>
  <tableStyleInfo name="TableStyleLight8"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EDA1C3A-532E-49FF-BF81-24F8DBD455C2}" name="EnterRefrigTable5" displayName="EnterRefrigTable5" ref="BB239:BB246" totalsRowShown="0" headerRowDxfId="942" dataDxfId="941">
  <autoFilter ref="BB239:BB246" xr:uid="{AB8A5F59-40E2-4AEF-918D-E2C9AC3BD9D5}"/>
  <tableColumns count="1">
    <tableColumn id="1" xr3:uid="{BD13FDE6-3E7B-4EBC-8ACE-66D1DCB94139}" name="EnterRefrig" dataDxfId="940"/>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EBDFC96-AF43-4465-B1DE-4723F5BFEC1B}" name="Table506" displayName="Table506" ref="BD218:BE340" totalsRowShown="0" headerRowDxfId="939" dataDxfId="938">
  <autoFilter ref="BD218:BE340" xr:uid="{D28A0C15-00AC-4216-A9FC-11C95307F9CB}"/>
  <tableColumns count="2">
    <tableColumn id="1" xr3:uid="{B0A29F8F-4E47-4A8C-9155-8FB26BC22340}" name="Enter Application " dataDxfId="937"/>
    <tableColumn id="2" xr3:uid="{97AE548B-64C5-4A4D-B006-E671008A87CB}" name="Abbreviation" dataDxfId="936"/>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table" Target="../tables/table6.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table" Target="../tables/table5.xml"/></Relationships>
</file>

<file path=xl/worksheets/_rels/sheet6.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vmlDrawing" Target="../drawings/vmlDrawing4.vml"/><Relationship Id="rId7" Type="http://schemas.openxmlformats.org/officeDocument/2006/relationships/image" Target="../media/image15.emf"/><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ntrol" Target="../activeX/activeX15.xml"/><Relationship Id="rId5" Type="http://schemas.openxmlformats.org/officeDocument/2006/relationships/image" Target="../media/image14.emf"/><Relationship Id="rId4" Type="http://schemas.openxmlformats.org/officeDocument/2006/relationships/control" Target="../activeX/activeX1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7.emf"/><Relationship Id="rId2" Type="http://schemas.openxmlformats.org/officeDocument/2006/relationships/drawing" Target="../drawings/drawing4.xml"/><Relationship Id="rId1" Type="http://schemas.openxmlformats.org/officeDocument/2006/relationships/printerSettings" Target="../printerSettings/printerSettings8.bin"/><Relationship Id="rId6" Type="http://schemas.openxmlformats.org/officeDocument/2006/relationships/control" Target="../activeX/activeX17.xml"/><Relationship Id="rId5" Type="http://schemas.openxmlformats.org/officeDocument/2006/relationships/image" Target="../media/image16.emf"/><Relationship Id="rId4" Type="http://schemas.openxmlformats.org/officeDocument/2006/relationships/control" Target="../activeX/activeX16.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image" Target="../media/image19.emf"/><Relationship Id="rId2" Type="http://schemas.openxmlformats.org/officeDocument/2006/relationships/drawing" Target="../drawings/drawing5.xml"/><Relationship Id="rId1" Type="http://schemas.openxmlformats.org/officeDocument/2006/relationships/printerSettings" Target="../printerSettings/printerSettings10.bin"/><Relationship Id="rId6" Type="http://schemas.openxmlformats.org/officeDocument/2006/relationships/control" Target="../activeX/activeX19.xml"/><Relationship Id="rId5" Type="http://schemas.openxmlformats.org/officeDocument/2006/relationships/image" Target="../media/image18.emf"/><Relationship Id="rId4" Type="http://schemas.openxmlformats.org/officeDocument/2006/relationships/control" Target="../activeX/activeX1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8.vml"/><Relationship Id="rId7" Type="http://schemas.openxmlformats.org/officeDocument/2006/relationships/image" Target="../media/image21.emf"/><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ontrol" Target="../activeX/activeX21.xml"/><Relationship Id="rId5" Type="http://schemas.openxmlformats.org/officeDocument/2006/relationships/image" Target="../media/image20.emf"/><Relationship Id="rId4" Type="http://schemas.openxmlformats.org/officeDocument/2006/relationships/control" Target="../activeX/activeX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2.bin"/><Relationship Id="rId5" Type="http://schemas.openxmlformats.org/officeDocument/2006/relationships/image" Target="../media/image22.emf"/><Relationship Id="rId4" Type="http://schemas.openxmlformats.org/officeDocument/2006/relationships/control" Target="../activeX/activeX22.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image" Target="../media/image24.emf"/><Relationship Id="rId2" Type="http://schemas.openxmlformats.org/officeDocument/2006/relationships/drawing" Target="../drawings/drawing8.xml"/><Relationship Id="rId1" Type="http://schemas.openxmlformats.org/officeDocument/2006/relationships/printerSettings" Target="../printerSettings/printerSettings13.bin"/><Relationship Id="rId6" Type="http://schemas.openxmlformats.org/officeDocument/2006/relationships/control" Target="../activeX/activeX24.xml"/><Relationship Id="rId5" Type="http://schemas.openxmlformats.org/officeDocument/2006/relationships/image" Target="../media/image23.emf"/><Relationship Id="rId4" Type="http://schemas.openxmlformats.org/officeDocument/2006/relationships/control" Target="../activeX/activeX23.xml"/></Relationships>
</file>

<file path=xl/worksheets/_rels/sheet23.xml.rels><?xml version="1.0" encoding="UTF-8" standalone="yes"?>
<Relationships xmlns="http://schemas.openxmlformats.org/package/2006/relationships"><Relationship Id="rId8" Type="http://schemas.openxmlformats.org/officeDocument/2006/relationships/control" Target="../activeX/activeX27.xml"/><Relationship Id="rId3" Type="http://schemas.openxmlformats.org/officeDocument/2006/relationships/vmlDrawing" Target="../drawings/vmlDrawing11.vml"/><Relationship Id="rId7" Type="http://schemas.openxmlformats.org/officeDocument/2006/relationships/image" Target="../media/image26.emf"/><Relationship Id="rId2" Type="http://schemas.openxmlformats.org/officeDocument/2006/relationships/drawing" Target="../drawings/drawing9.xml"/><Relationship Id="rId1" Type="http://schemas.openxmlformats.org/officeDocument/2006/relationships/printerSettings" Target="../printerSettings/printerSettings14.bin"/><Relationship Id="rId6" Type="http://schemas.openxmlformats.org/officeDocument/2006/relationships/control" Target="../activeX/activeX26.xml"/><Relationship Id="rId11" Type="http://schemas.openxmlformats.org/officeDocument/2006/relationships/table" Target="../tables/table9.xml"/><Relationship Id="rId5" Type="http://schemas.openxmlformats.org/officeDocument/2006/relationships/image" Target="../media/image25.emf"/><Relationship Id="rId10" Type="http://schemas.openxmlformats.org/officeDocument/2006/relationships/table" Target="../tables/table8.xml"/><Relationship Id="rId4" Type="http://schemas.openxmlformats.org/officeDocument/2006/relationships/control" Target="../activeX/activeX25.xml"/><Relationship Id="rId9" Type="http://schemas.openxmlformats.org/officeDocument/2006/relationships/image" Target="../media/image27.emf"/></Relationships>
</file>

<file path=xl/worksheets/_rels/sheet24.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12.vml"/><Relationship Id="rId7" Type="http://schemas.openxmlformats.org/officeDocument/2006/relationships/image" Target="../media/image29.emf"/><Relationship Id="rId2" Type="http://schemas.openxmlformats.org/officeDocument/2006/relationships/drawing" Target="../drawings/drawing10.xml"/><Relationship Id="rId1" Type="http://schemas.openxmlformats.org/officeDocument/2006/relationships/printerSettings" Target="../printerSettings/printerSettings15.bin"/><Relationship Id="rId6" Type="http://schemas.openxmlformats.org/officeDocument/2006/relationships/control" Target="../activeX/activeX29.xml"/><Relationship Id="rId5" Type="http://schemas.openxmlformats.org/officeDocument/2006/relationships/image" Target="../media/image28.emf"/><Relationship Id="rId4" Type="http://schemas.openxmlformats.org/officeDocument/2006/relationships/control" Target="../activeX/activeX2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image" Target="../media/image31.emf"/><Relationship Id="rId2" Type="http://schemas.openxmlformats.org/officeDocument/2006/relationships/drawing" Target="../drawings/drawing11.xml"/><Relationship Id="rId1" Type="http://schemas.openxmlformats.org/officeDocument/2006/relationships/printerSettings" Target="../printerSettings/printerSettings16.bin"/><Relationship Id="rId6" Type="http://schemas.openxmlformats.org/officeDocument/2006/relationships/control" Target="../activeX/activeX31.xml"/><Relationship Id="rId5" Type="http://schemas.openxmlformats.org/officeDocument/2006/relationships/image" Target="../media/image30.emf"/><Relationship Id="rId4" Type="http://schemas.openxmlformats.org/officeDocument/2006/relationships/control" Target="../activeX/activeX3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image" Target="../media/image33.emf"/><Relationship Id="rId2" Type="http://schemas.openxmlformats.org/officeDocument/2006/relationships/drawing" Target="../drawings/drawing12.xml"/><Relationship Id="rId1" Type="http://schemas.openxmlformats.org/officeDocument/2006/relationships/printerSettings" Target="../printerSettings/printerSettings17.bin"/><Relationship Id="rId6" Type="http://schemas.openxmlformats.org/officeDocument/2006/relationships/control" Target="../activeX/activeX33.xml"/><Relationship Id="rId5" Type="http://schemas.openxmlformats.org/officeDocument/2006/relationships/image" Target="../media/image32.emf"/><Relationship Id="rId4" Type="http://schemas.openxmlformats.org/officeDocument/2006/relationships/control" Target="../activeX/activeX32.xml"/></Relationships>
</file>

<file path=xl/worksheets/_rels/sheet28.xml.rels><?xml version="1.0" encoding="UTF-8" standalone="yes"?>
<Relationships xmlns="http://schemas.openxmlformats.org/package/2006/relationships"><Relationship Id="rId3" Type="http://schemas.openxmlformats.org/officeDocument/2006/relationships/control" Target="../activeX/activeX34.xml"/><Relationship Id="rId2" Type="http://schemas.openxmlformats.org/officeDocument/2006/relationships/vmlDrawing" Target="../drawings/vmlDrawing15.vml"/><Relationship Id="rId1" Type="http://schemas.openxmlformats.org/officeDocument/2006/relationships/drawing" Target="../drawings/drawing13.xml"/><Relationship Id="rId4" Type="http://schemas.openxmlformats.org/officeDocument/2006/relationships/image" Target="../media/image34.emf"/></Relationships>
</file>

<file path=xl/worksheets/_rels/sheet29.xml.rels><?xml version="1.0" encoding="UTF-8" standalone="yes"?>
<Relationships xmlns="http://schemas.openxmlformats.org/package/2006/relationships"><Relationship Id="rId3" Type="http://schemas.openxmlformats.org/officeDocument/2006/relationships/control" Target="../activeX/activeX35.xml"/><Relationship Id="rId2" Type="http://schemas.openxmlformats.org/officeDocument/2006/relationships/vmlDrawing" Target="../drawings/vmlDrawing16.vml"/><Relationship Id="rId1" Type="http://schemas.openxmlformats.org/officeDocument/2006/relationships/drawing" Target="../drawings/drawing14.xml"/><Relationship Id="rId4" Type="http://schemas.openxmlformats.org/officeDocument/2006/relationships/image" Target="../media/image35.emf"/></Relationships>
</file>

<file path=xl/worksheets/_rels/sheet30.xml.rels><?xml version="1.0" encoding="UTF-8" standalone="yes"?>
<Relationships xmlns="http://schemas.openxmlformats.org/package/2006/relationships"><Relationship Id="rId8" Type="http://schemas.openxmlformats.org/officeDocument/2006/relationships/comments" Target="../comments7.xml"/><Relationship Id="rId3" Type="http://schemas.openxmlformats.org/officeDocument/2006/relationships/vmlDrawing" Target="../drawings/vmlDrawing17.vml"/><Relationship Id="rId7" Type="http://schemas.openxmlformats.org/officeDocument/2006/relationships/image" Target="../media/image37.emf"/><Relationship Id="rId2" Type="http://schemas.openxmlformats.org/officeDocument/2006/relationships/drawing" Target="../drawings/drawing15.xml"/><Relationship Id="rId1" Type="http://schemas.openxmlformats.org/officeDocument/2006/relationships/printerSettings" Target="../printerSettings/printerSettings18.bin"/><Relationship Id="rId6" Type="http://schemas.openxmlformats.org/officeDocument/2006/relationships/control" Target="../activeX/activeX37.xml"/><Relationship Id="rId5" Type="http://schemas.openxmlformats.org/officeDocument/2006/relationships/image" Target="../media/image36.emf"/><Relationship Id="rId4" Type="http://schemas.openxmlformats.org/officeDocument/2006/relationships/control" Target="../activeX/activeX36.xml"/></Relationships>
</file>

<file path=xl/worksheets/_rels/sheet31.xml.rels><?xml version="1.0" encoding="UTF-8" standalone="yes"?>
<Relationships xmlns="http://schemas.openxmlformats.org/package/2006/relationships"><Relationship Id="rId8" Type="http://schemas.openxmlformats.org/officeDocument/2006/relationships/comments" Target="../comments8.xml"/><Relationship Id="rId3" Type="http://schemas.openxmlformats.org/officeDocument/2006/relationships/vmlDrawing" Target="../drawings/vmlDrawing18.vml"/><Relationship Id="rId7" Type="http://schemas.openxmlformats.org/officeDocument/2006/relationships/image" Target="../media/image40.emf"/><Relationship Id="rId2" Type="http://schemas.openxmlformats.org/officeDocument/2006/relationships/drawing" Target="../drawings/drawing16.xml"/><Relationship Id="rId1" Type="http://schemas.openxmlformats.org/officeDocument/2006/relationships/printerSettings" Target="../printerSettings/printerSettings19.bin"/><Relationship Id="rId6" Type="http://schemas.openxmlformats.org/officeDocument/2006/relationships/control" Target="../activeX/activeX39.xml"/><Relationship Id="rId5" Type="http://schemas.openxmlformats.org/officeDocument/2006/relationships/image" Target="../media/image39.emf"/><Relationship Id="rId4" Type="http://schemas.openxmlformats.org/officeDocument/2006/relationships/control" Target="../activeX/activeX3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20.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2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C2331-1558-4B8A-BADC-87A8A938F356}">
  <sheetPr codeName="Sheet5"/>
  <dimension ref="B2:AA410"/>
  <sheetViews>
    <sheetView topLeftCell="A373" workbookViewId="0">
      <selection activeCell="B15" sqref="B15"/>
    </sheetView>
  </sheetViews>
  <sheetFormatPr defaultRowHeight="12.75" x14ac:dyDescent="0.2"/>
  <cols>
    <col min="2" max="2" width="49.5703125" bestFit="1" customWidth="1"/>
    <col min="3" max="3" width="9.28515625" bestFit="1" customWidth="1"/>
    <col min="4" max="4" width="31.42578125" bestFit="1" customWidth="1"/>
    <col min="5" max="5" width="5" bestFit="1" customWidth="1"/>
    <col min="6" max="6" width="4.7109375" bestFit="1" customWidth="1"/>
    <col min="7" max="7" width="10.42578125" bestFit="1" customWidth="1"/>
    <col min="8" max="8" width="57" bestFit="1" customWidth="1"/>
    <col min="9" max="9" width="16.85546875" bestFit="1" customWidth="1"/>
    <col min="10" max="10" width="13" bestFit="1" customWidth="1"/>
    <col min="11" max="11" width="14.5703125" bestFit="1" customWidth="1"/>
    <col min="12" max="12" width="14.28515625" bestFit="1" customWidth="1"/>
    <col min="13" max="13" width="14.7109375" bestFit="1" customWidth="1"/>
    <col min="14" max="14" width="13.7109375" bestFit="1" customWidth="1"/>
    <col min="15" max="15" width="12.140625" bestFit="1" customWidth="1"/>
    <col min="16" max="16" width="21.140625" bestFit="1" customWidth="1"/>
    <col min="17" max="17" width="20.85546875" bestFit="1" customWidth="1"/>
    <col min="18" max="18" width="21.28515625" bestFit="1" customWidth="1"/>
    <col min="19" max="19" width="20.28515625" bestFit="1" customWidth="1"/>
    <col min="20" max="20" width="18.5703125" bestFit="1" customWidth="1"/>
    <col min="21" max="21" width="19" bestFit="1" customWidth="1"/>
    <col min="22" max="22" width="18.7109375" bestFit="1" customWidth="1"/>
    <col min="23" max="23" width="19.140625" bestFit="1" customWidth="1"/>
    <col min="24" max="24" width="18.140625" bestFit="1" customWidth="1"/>
    <col min="25" max="25" width="16.5703125" bestFit="1" customWidth="1"/>
    <col min="26" max="26" width="16.140625" bestFit="1" customWidth="1"/>
    <col min="27" max="27" width="11.85546875" bestFit="1" customWidth="1"/>
  </cols>
  <sheetData>
    <row r="2" spans="2:27" x14ac:dyDescent="0.2">
      <c r="B2" t="s">
        <v>110</v>
      </c>
      <c r="C2" t="s">
        <v>111</v>
      </c>
      <c r="D2" t="s">
        <v>116</v>
      </c>
      <c r="E2" t="s">
        <v>1403</v>
      </c>
      <c r="F2" t="s">
        <v>1402</v>
      </c>
      <c r="G2" t="s">
        <v>112</v>
      </c>
      <c r="H2" t="s">
        <v>1411</v>
      </c>
      <c r="I2" t="s">
        <v>118</v>
      </c>
      <c r="J2" t="s">
        <v>1404</v>
      </c>
      <c r="K2" t="s">
        <v>216</v>
      </c>
      <c r="L2" t="s">
        <v>1413</v>
      </c>
      <c r="M2" t="s">
        <v>1414</v>
      </c>
      <c r="N2" t="s">
        <v>1415</v>
      </c>
      <c r="O2" t="s">
        <v>1416</v>
      </c>
      <c r="P2" t="s">
        <v>1419</v>
      </c>
      <c r="Q2" t="s">
        <v>1418</v>
      </c>
      <c r="R2" t="s">
        <v>1420</v>
      </c>
      <c r="S2" t="s">
        <v>1421</v>
      </c>
      <c r="T2" t="s">
        <v>1422</v>
      </c>
      <c r="U2" t="s">
        <v>1424</v>
      </c>
      <c r="V2" t="s">
        <v>1423</v>
      </c>
      <c r="W2" t="s">
        <v>1425</v>
      </c>
      <c r="X2" t="s">
        <v>1427</v>
      </c>
      <c r="Y2" t="s">
        <v>1426</v>
      </c>
      <c r="Z2" t="s">
        <v>1428</v>
      </c>
      <c r="AA2" t="s">
        <v>1429</v>
      </c>
    </row>
    <row r="23" spans="2:15" x14ac:dyDescent="0.2">
      <c r="C23" t="s">
        <v>199</v>
      </c>
      <c r="D23" t="s">
        <v>198</v>
      </c>
      <c r="E23">
        <v>0</v>
      </c>
      <c r="F23">
        <v>0</v>
      </c>
      <c r="G23" t="s">
        <v>123</v>
      </c>
      <c r="H23" t="s">
        <v>666</v>
      </c>
      <c r="I23" t="s">
        <v>616</v>
      </c>
    </row>
    <row r="24" spans="2:15" x14ac:dyDescent="0.2">
      <c r="B24" t="s">
        <v>1977</v>
      </c>
      <c r="C24" t="s">
        <v>199</v>
      </c>
      <c r="D24" t="s">
        <v>1978</v>
      </c>
      <c r="E24">
        <v>30</v>
      </c>
      <c r="F24">
        <v>29</v>
      </c>
      <c r="G24" t="s">
        <v>123</v>
      </c>
      <c r="I24" t="s">
        <v>616</v>
      </c>
      <c r="J24">
        <v>34</v>
      </c>
      <c r="K24" t="s">
        <v>626</v>
      </c>
      <c r="L24">
        <v>6</v>
      </c>
      <c r="M24">
        <v>30</v>
      </c>
      <c r="N24">
        <v>48</v>
      </c>
      <c r="O24">
        <v>0</v>
      </c>
    </row>
    <row r="25" spans="2:15" x14ac:dyDescent="0.2">
      <c r="B25" t="s">
        <v>1977</v>
      </c>
      <c r="C25" t="s">
        <v>199</v>
      </c>
      <c r="D25" t="s">
        <v>1978</v>
      </c>
      <c r="E25">
        <v>30</v>
      </c>
      <c r="F25">
        <v>29</v>
      </c>
      <c r="G25" t="s">
        <v>123</v>
      </c>
      <c r="I25" t="s">
        <v>616</v>
      </c>
      <c r="J25">
        <v>34</v>
      </c>
      <c r="K25" t="s">
        <v>626</v>
      </c>
      <c r="L25">
        <v>6</v>
      </c>
      <c r="M25">
        <v>30</v>
      </c>
      <c r="N25">
        <v>48</v>
      </c>
      <c r="O25">
        <v>0</v>
      </c>
    </row>
    <row r="26" spans="2:15" x14ac:dyDescent="0.2">
      <c r="B26" t="s">
        <v>1977</v>
      </c>
      <c r="C26" t="s">
        <v>199</v>
      </c>
      <c r="D26" t="s">
        <v>1978</v>
      </c>
      <c r="E26">
        <v>30</v>
      </c>
      <c r="F26">
        <v>29</v>
      </c>
      <c r="G26" t="s">
        <v>123</v>
      </c>
      <c r="I26" t="s">
        <v>616</v>
      </c>
      <c r="J26">
        <v>34</v>
      </c>
      <c r="K26" t="s">
        <v>626</v>
      </c>
      <c r="L26">
        <v>6</v>
      </c>
      <c r="M26">
        <v>30</v>
      </c>
      <c r="N26">
        <v>48</v>
      </c>
      <c r="O26">
        <v>0</v>
      </c>
    </row>
    <row r="27" spans="2:15" x14ac:dyDescent="0.2">
      <c r="B27" t="s">
        <v>1977</v>
      </c>
      <c r="C27" t="s">
        <v>199</v>
      </c>
      <c r="D27" t="s">
        <v>1978</v>
      </c>
      <c r="E27">
        <v>30</v>
      </c>
      <c r="F27">
        <v>29</v>
      </c>
      <c r="G27" t="s">
        <v>123</v>
      </c>
      <c r="I27" t="s">
        <v>616</v>
      </c>
      <c r="J27">
        <v>34</v>
      </c>
      <c r="K27" t="s">
        <v>626</v>
      </c>
      <c r="L27">
        <v>6</v>
      </c>
      <c r="M27">
        <v>30</v>
      </c>
      <c r="N27">
        <v>48</v>
      </c>
      <c r="O27">
        <v>0</v>
      </c>
    </row>
    <row r="28" spans="2:15" x14ac:dyDescent="0.2">
      <c r="B28" t="s">
        <v>1979</v>
      </c>
      <c r="C28" t="s">
        <v>199</v>
      </c>
      <c r="D28" t="s">
        <v>1980</v>
      </c>
      <c r="G28" t="s">
        <v>123</v>
      </c>
      <c r="I28" t="s">
        <v>616</v>
      </c>
      <c r="J28">
        <v>34</v>
      </c>
      <c r="K28" t="s">
        <v>626</v>
      </c>
      <c r="L28">
        <v>6</v>
      </c>
      <c r="M28">
        <v>30</v>
      </c>
      <c r="N28">
        <v>48</v>
      </c>
      <c r="O28">
        <v>0</v>
      </c>
    </row>
    <row r="29" spans="2:15" x14ac:dyDescent="0.2">
      <c r="B29" t="s">
        <v>1979</v>
      </c>
      <c r="C29" t="s">
        <v>199</v>
      </c>
      <c r="D29" t="s">
        <v>1980</v>
      </c>
      <c r="G29" t="s">
        <v>123</v>
      </c>
      <c r="I29" t="s">
        <v>616</v>
      </c>
      <c r="J29">
        <v>34</v>
      </c>
      <c r="K29" t="s">
        <v>626</v>
      </c>
      <c r="L29">
        <v>6</v>
      </c>
      <c r="M29">
        <v>30</v>
      </c>
      <c r="N29">
        <v>48</v>
      </c>
      <c r="O29">
        <v>0</v>
      </c>
    </row>
    <row r="30" spans="2:15" x14ac:dyDescent="0.2">
      <c r="B30" t="s">
        <v>1979</v>
      </c>
      <c r="C30" t="s">
        <v>199</v>
      </c>
      <c r="D30" t="s">
        <v>1980</v>
      </c>
      <c r="G30" t="s">
        <v>123</v>
      </c>
      <c r="I30" t="s">
        <v>616</v>
      </c>
      <c r="J30">
        <v>34</v>
      </c>
      <c r="K30" t="s">
        <v>626</v>
      </c>
      <c r="L30">
        <v>6</v>
      </c>
      <c r="M30">
        <v>30</v>
      </c>
      <c r="N30">
        <v>48</v>
      </c>
      <c r="O30">
        <v>0</v>
      </c>
    </row>
    <row r="31" spans="2:15" x14ac:dyDescent="0.2">
      <c r="B31" t="s">
        <v>1979</v>
      </c>
      <c r="C31" t="s">
        <v>199</v>
      </c>
      <c r="D31" t="s">
        <v>1980</v>
      </c>
      <c r="G31" t="s">
        <v>123</v>
      </c>
      <c r="I31" t="s">
        <v>616</v>
      </c>
      <c r="J31">
        <v>34</v>
      </c>
      <c r="K31" t="s">
        <v>626</v>
      </c>
      <c r="L31">
        <v>6</v>
      </c>
      <c r="M31">
        <v>30</v>
      </c>
      <c r="N31">
        <v>48</v>
      </c>
      <c r="O31">
        <v>0</v>
      </c>
    </row>
    <row r="32" spans="2:15" x14ac:dyDescent="0.2">
      <c r="B32" t="s">
        <v>1432</v>
      </c>
      <c r="C32" t="s">
        <v>199</v>
      </c>
      <c r="D32" t="s">
        <v>1433</v>
      </c>
      <c r="E32">
        <v>24</v>
      </c>
      <c r="F32">
        <v>22</v>
      </c>
      <c r="G32" t="s">
        <v>123</v>
      </c>
      <c r="H32" t="s">
        <v>666</v>
      </c>
      <c r="J32">
        <v>30</v>
      </c>
      <c r="K32" t="s">
        <v>626</v>
      </c>
      <c r="L32">
        <v>6</v>
      </c>
      <c r="M32">
        <v>30</v>
      </c>
      <c r="N32">
        <v>45</v>
      </c>
    </row>
    <row r="33" spans="2:15" x14ac:dyDescent="0.2">
      <c r="B33" t="s">
        <v>1432</v>
      </c>
      <c r="C33" t="s">
        <v>199</v>
      </c>
      <c r="D33" t="s">
        <v>1433</v>
      </c>
      <c r="E33">
        <v>24</v>
      </c>
      <c r="F33">
        <v>22</v>
      </c>
      <c r="G33" t="s">
        <v>123</v>
      </c>
      <c r="H33" t="s">
        <v>666</v>
      </c>
      <c r="J33">
        <v>30</v>
      </c>
      <c r="K33" t="s">
        <v>626</v>
      </c>
      <c r="L33">
        <v>6</v>
      </c>
      <c r="M33">
        <v>30</v>
      </c>
      <c r="N33">
        <v>45</v>
      </c>
    </row>
    <row r="34" spans="2:15" x14ac:dyDescent="0.2">
      <c r="B34" t="s">
        <v>1432</v>
      </c>
      <c r="C34" t="s">
        <v>199</v>
      </c>
      <c r="D34" t="s">
        <v>1433</v>
      </c>
      <c r="E34">
        <v>24</v>
      </c>
      <c r="F34">
        <v>22</v>
      </c>
      <c r="G34" t="s">
        <v>123</v>
      </c>
      <c r="H34" t="s">
        <v>666</v>
      </c>
      <c r="J34">
        <v>30</v>
      </c>
      <c r="K34" t="s">
        <v>626</v>
      </c>
      <c r="L34">
        <v>6</v>
      </c>
      <c r="M34">
        <v>30</v>
      </c>
      <c r="N34">
        <v>45</v>
      </c>
    </row>
    <row r="35" spans="2:15" x14ac:dyDescent="0.2">
      <c r="B35" t="s">
        <v>1432</v>
      </c>
      <c r="C35" t="s">
        <v>199</v>
      </c>
      <c r="D35" t="s">
        <v>1433</v>
      </c>
      <c r="E35">
        <v>24</v>
      </c>
      <c r="F35">
        <v>22</v>
      </c>
      <c r="G35" t="s">
        <v>123</v>
      </c>
      <c r="H35" t="s">
        <v>666</v>
      </c>
      <c r="J35">
        <v>30</v>
      </c>
      <c r="K35" t="s">
        <v>626</v>
      </c>
      <c r="L35">
        <v>6</v>
      </c>
      <c r="M35">
        <v>30</v>
      </c>
      <c r="N35">
        <v>45</v>
      </c>
    </row>
    <row r="36" spans="2:15" x14ac:dyDescent="0.2">
      <c r="B36" t="s">
        <v>1434</v>
      </c>
      <c r="C36" t="s">
        <v>199</v>
      </c>
      <c r="D36" t="s">
        <v>1435</v>
      </c>
      <c r="G36" t="s">
        <v>123</v>
      </c>
      <c r="H36" t="s">
        <v>666</v>
      </c>
      <c r="I36" t="s">
        <v>616</v>
      </c>
      <c r="J36">
        <v>29</v>
      </c>
      <c r="K36" t="s">
        <v>626</v>
      </c>
      <c r="L36">
        <v>6</v>
      </c>
      <c r="M36">
        <v>40</v>
      </c>
      <c r="N36">
        <v>45</v>
      </c>
      <c r="O36">
        <v>0</v>
      </c>
    </row>
    <row r="37" spans="2:15" x14ac:dyDescent="0.2">
      <c r="B37" t="s">
        <v>1434</v>
      </c>
      <c r="C37" t="s">
        <v>199</v>
      </c>
      <c r="D37" t="s">
        <v>1435</v>
      </c>
      <c r="G37" t="s">
        <v>123</v>
      </c>
      <c r="H37" t="s">
        <v>666</v>
      </c>
      <c r="I37" t="s">
        <v>616</v>
      </c>
      <c r="J37">
        <v>29</v>
      </c>
      <c r="K37" t="s">
        <v>626</v>
      </c>
      <c r="L37">
        <v>6</v>
      </c>
      <c r="M37">
        <v>40</v>
      </c>
      <c r="N37">
        <v>45</v>
      </c>
      <c r="O37">
        <v>0</v>
      </c>
    </row>
    <row r="38" spans="2:15" x14ac:dyDescent="0.2">
      <c r="B38" t="s">
        <v>1434</v>
      </c>
      <c r="C38" t="s">
        <v>199</v>
      </c>
      <c r="D38" t="s">
        <v>1435</v>
      </c>
      <c r="G38" t="s">
        <v>123</v>
      </c>
      <c r="H38" t="s">
        <v>666</v>
      </c>
      <c r="I38" t="s">
        <v>616</v>
      </c>
      <c r="J38">
        <v>29</v>
      </c>
      <c r="K38" t="s">
        <v>626</v>
      </c>
      <c r="L38">
        <v>6</v>
      </c>
      <c r="M38">
        <v>40</v>
      </c>
      <c r="N38">
        <v>45</v>
      </c>
      <c r="O38">
        <v>0</v>
      </c>
    </row>
    <row r="39" spans="2:15" x14ac:dyDescent="0.2">
      <c r="B39" t="s">
        <v>1434</v>
      </c>
      <c r="C39" t="s">
        <v>199</v>
      </c>
      <c r="D39" t="s">
        <v>1435</v>
      </c>
      <c r="G39" t="s">
        <v>123</v>
      </c>
      <c r="H39" t="s">
        <v>666</v>
      </c>
      <c r="I39" t="s">
        <v>616</v>
      </c>
      <c r="J39">
        <v>29</v>
      </c>
      <c r="K39" t="s">
        <v>626</v>
      </c>
      <c r="L39">
        <v>6</v>
      </c>
      <c r="M39">
        <v>40</v>
      </c>
      <c r="N39">
        <v>45</v>
      </c>
      <c r="O39">
        <v>0</v>
      </c>
    </row>
    <row r="40" spans="2:15" x14ac:dyDescent="0.2">
      <c r="B40" t="s">
        <v>1691</v>
      </c>
      <c r="C40" t="s">
        <v>199</v>
      </c>
      <c r="D40" t="s">
        <v>1692</v>
      </c>
      <c r="E40">
        <v>28</v>
      </c>
      <c r="F40">
        <v>26</v>
      </c>
      <c r="G40" t="s">
        <v>123</v>
      </c>
      <c r="J40">
        <v>32</v>
      </c>
      <c r="K40" t="s">
        <v>626</v>
      </c>
      <c r="L40">
        <v>3</v>
      </c>
      <c r="M40">
        <v>60</v>
      </c>
      <c r="N40">
        <v>47</v>
      </c>
      <c r="O40">
        <v>0</v>
      </c>
    </row>
    <row r="41" spans="2:15" x14ac:dyDescent="0.2">
      <c r="B41" t="s">
        <v>1691</v>
      </c>
      <c r="C41" t="s">
        <v>199</v>
      </c>
      <c r="D41" t="s">
        <v>1692</v>
      </c>
      <c r="E41">
        <v>28</v>
      </c>
      <c r="F41">
        <v>26</v>
      </c>
      <c r="G41" t="s">
        <v>123</v>
      </c>
      <c r="J41">
        <v>32</v>
      </c>
      <c r="K41" t="s">
        <v>626</v>
      </c>
      <c r="L41">
        <v>3</v>
      </c>
      <c r="M41">
        <v>60</v>
      </c>
      <c r="N41">
        <v>47</v>
      </c>
      <c r="O41">
        <v>0</v>
      </c>
    </row>
    <row r="42" spans="2:15" x14ac:dyDescent="0.2">
      <c r="B42" t="s">
        <v>1693</v>
      </c>
      <c r="C42" t="s">
        <v>199</v>
      </c>
      <c r="D42" t="s">
        <v>1694</v>
      </c>
      <c r="E42">
        <v>28</v>
      </c>
      <c r="F42">
        <v>27</v>
      </c>
      <c r="G42" t="s">
        <v>123</v>
      </c>
      <c r="J42">
        <v>32</v>
      </c>
      <c r="K42" t="s">
        <v>626</v>
      </c>
      <c r="L42">
        <v>3</v>
      </c>
      <c r="M42">
        <v>60</v>
      </c>
      <c r="N42">
        <v>47</v>
      </c>
      <c r="O42">
        <v>0</v>
      </c>
    </row>
    <row r="43" spans="2:15" x14ac:dyDescent="0.2">
      <c r="B43" t="s">
        <v>1693</v>
      </c>
      <c r="C43" t="s">
        <v>199</v>
      </c>
      <c r="D43" t="s">
        <v>1694</v>
      </c>
      <c r="E43">
        <v>28</v>
      </c>
      <c r="F43">
        <v>27</v>
      </c>
      <c r="G43" t="s">
        <v>123</v>
      </c>
      <c r="J43">
        <v>32</v>
      </c>
      <c r="K43" t="s">
        <v>626</v>
      </c>
      <c r="L43">
        <v>3</v>
      </c>
      <c r="M43">
        <v>60</v>
      </c>
      <c r="N43">
        <v>47</v>
      </c>
      <c r="O43">
        <v>0</v>
      </c>
    </row>
    <row r="44" spans="2:15" x14ac:dyDescent="0.2">
      <c r="B44" t="s">
        <v>1436</v>
      </c>
      <c r="C44" t="s">
        <v>199</v>
      </c>
      <c r="D44" t="s">
        <v>1437</v>
      </c>
      <c r="G44" t="s">
        <v>123</v>
      </c>
      <c r="H44" t="s">
        <v>666</v>
      </c>
      <c r="I44" t="s">
        <v>616</v>
      </c>
      <c r="J44">
        <v>32</v>
      </c>
      <c r="K44" t="s">
        <v>626</v>
      </c>
      <c r="L44">
        <v>3</v>
      </c>
      <c r="M44">
        <v>60</v>
      </c>
      <c r="N44">
        <v>47</v>
      </c>
      <c r="O44">
        <v>0</v>
      </c>
    </row>
    <row r="45" spans="2:15" x14ac:dyDescent="0.2">
      <c r="B45" t="s">
        <v>1436</v>
      </c>
      <c r="C45" t="s">
        <v>199</v>
      </c>
      <c r="D45" t="s">
        <v>1437</v>
      </c>
      <c r="G45" t="s">
        <v>123</v>
      </c>
      <c r="H45" t="s">
        <v>666</v>
      </c>
      <c r="I45" t="s">
        <v>616</v>
      </c>
      <c r="J45">
        <v>32</v>
      </c>
      <c r="K45" t="s">
        <v>626</v>
      </c>
      <c r="L45">
        <v>3</v>
      </c>
      <c r="M45">
        <v>60</v>
      </c>
      <c r="N45">
        <v>47</v>
      </c>
      <c r="O45">
        <v>0</v>
      </c>
    </row>
    <row r="46" spans="2:15" x14ac:dyDescent="0.2">
      <c r="B46" t="s">
        <v>1438</v>
      </c>
      <c r="C46" t="s">
        <v>199</v>
      </c>
      <c r="D46" t="s">
        <v>1439</v>
      </c>
      <c r="G46" t="s">
        <v>123</v>
      </c>
      <c r="H46" t="s">
        <v>666</v>
      </c>
      <c r="I46" t="s">
        <v>616</v>
      </c>
      <c r="J46">
        <v>34</v>
      </c>
      <c r="K46" t="s">
        <v>626</v>
      </c>
      <c r="L46">
        <v>3</v>
      </c>
      <c r="M46">
        <v>60</v>
      </c>
      <c r="N46">
        <v>47</v>
      </c>
      <c r="O46">
        <v>0</v>
      </c>
    </row>
    <row r="47" spans="2:15" x14ac:dyDescent="0.2">
      <c r="B47" t="s">
        <v>1438</v>
      </c>
      <c r="C47" t="s">
        <v>199</v>
      </c>
      <c r="D47" t="s">
        <v>1439</v>
      </c>
      <c r="G47" t="s">
        <v>123</v>
      </c>
      <c r="H47" t="s">
        <v>666</v>
      </c>
      <c r="I47" t="s">
        <v>616</v>
      </c>
      <c r="J47">
        <v>34</v>
      </c>
      <c r="K47" t="s">
        <v>626</v>
      </c>
      <c r="L47">
        <v>3</v>
      </c>
      <c r="M47">
        <v>60</v>
      </c>
      <c r="N47">
        <v>47</v>
      </c>
      <c r="O47">
        <v>0</v>
      </c>
    </row>
    <row r="48" spans="2:15" x14ac:dyDescent="0.2">
      <c r="B48" t="s">
        <v>1438</v>
      </c>
      <c r="C48" t="s">
        <v>199</v>
      </c>
      <c r="D48" t="s">
        <v>1439</v>
      </c>
      <c r="G48" t="s">
        <v>123</v>
      </c>
      <c r="H48" t="s">
        <v>666</v>
      </c>
      <c r="I48" t="s">
        <v>616</v>
      </c>
      <c r="J48">
        <v>34</v>
      </c>
      <c r="K48" t="s">
        <v>626</v>
      </c>
      <c r="L48">
        <v>3</v>
      </c>
      <c r="M48">
        <v>60</v>
      </c>
      <c r="N48">
        <v>47</v>
      </c>
      <c r="O48">
        <v>0</v>
      </c>
    </row>
    <row r="49" spans="2:15" x14ac:dyDescent="0.2">
      <c r="B49" t="s">
        <v>1438</v>
      </c>
      <c r="C49" t="s">
        <v>199</v>
      </c>
      <c r="D49" t="s">
        <v>1439</v>
      </c>
      <c r="G49" t="s">
        <v>123</v>
      </c>
      <c r="H49" t="s">
        <v>666</v>
      </c>
      <c r="I49" t="s">
        <v>616</v>
      </c>
      <c r="J49">
        <v>34</v>
      </c>
      <c r="K49" t="s">
        <v>626</v>
      </c>
      <c r="L49">
        <v>3</v>
      </c>
      <c r="M49">
        <v>60</v>
      </c>
      <c r="N49">
        <v>47</v>
      </c>
      <c r="O49">
        <v>0</v>
      </c>
    </row>
    <row r="50" spans="2:15" x14ac:dyDescent="0.2">
      <c r="B50" t="s">
        <v>1440</v>
      </c>
      <c r="C50" t="s">
        <v>199</v>
      </c>
      <c r="D50" t="s">
        <v>1441</v>
      </c>
      <c r="G50" t="s">
        <v>123</v>
      </c>
      <c r="H50" t="s">
        <v>666</v>
      </c>
      <c r="I50" t="s">
        <v>616</v>
      </c>
      <c r="J50">
        <v>35</v>
      </c>
      <c r="K50" t="s">
        <v>626</v>
      </c>
      <c r="L50">
        <v>6</v>
      </c>
      <c r="M50">
        <v>25</v>
      </c>
      <c r="N50">
        <v>47</v>
      </c>
      <c r="O50">
        <v>0</v>
      </c>
    </row>
    <row r="51" spans="2:15" x14ac:dyDescent="0.2">
      <c r="B51" t="s">
        <v>1440</v>
      </c>
      <c r="C51" t="s">
        <v>199</v>
      </c>
      <c r="D51" t="s">
        <v>1441</v>
      </c>
      <c r="G51" t="s">
        <v>123</v>
      </c>
      <c r="H51" t="s">
        <v>666</v>
      </c>
      <c r="I51" t="s">
        <v>616</v>
      </c>
      <c r="J51">
        <v>35</v>
      </c>
      <c r="K51" t="s">
        <v>626</v>
      </c>
      <c r="L51">
        <v>6</v>
      </c>
      <c r="M51">
        <v>25</v>
      </c>
      <c r="N51">
        <v>47</v>
      </c>
      <c r="O51">
        <v>0</v>
      </c>
    </row>
    <row r="52" spans="2:15" x14ac:dyDescent="0.2">
      <c r="B52" t="s">
        <v>1440</v>
      </c>
      <c r="C52" t="s">
        <v>199</v>
      </c>
      <c r="D52" t="s">
        <v>1441</v>
      </c>
      <c r="G52" t="s">
        <v>123</v>
      </c>
      <c r="H52" t="s">
        <v>666</v>
      </c>
      <c r="I52" t="s">
        <v>616</v>
      </c>
      <c r="J52">
        <v>35</v>
      </c>
      <c r="K52" t="s">
        <v>626</v>
      </c>
      <c r="L52">
        <v>6</v>
      </c>
      <c r="M52">
        <v>25</v>
      </c>
      <c r="N52">
        <v>47</v>
      </c>
      <c r="O52">
        <v>0</v>
      </c>
    </row>
    <row r="53" spans="2:15" x14ac:dyDescent="0.2">
      <c r="B53" t="s">
        <v>1440</v>
      </c>
      <c r="C53" t="s">
        <v>199</v>
      </c>
      <c r="D53" t="s">
        <v>1441</v>
      </c>
      <c r="G53" t="s">
        <v>123</v>
      </c>
      <c r="H53" t="s">
        <v>666</v>
      </c>
      <c r="I53" t="s">
        <v>616</v>
      </c>
      <c r="J53">
        <v>35</v>
      </c>
      <c r="K53" t="s">
        <v>626</v>
      </c>
      <c r="L53">
        <v>6</v>
      </c>
      <c r="M53">
        <v>25</v>
      </c>
      <c r="N53">
        <v>47</v>
      </c>
      <c r="O53">
        <v>0</v>
      </c>
    </row>
    <row r="54" spans="2:15" x14ac:dyDescent="0.2">
      <c r="B54" t="s">
        <v>1695</v>
      </c>
      <c r="C54" t="s">
        <v>199</v>
      </c>
      <c r="D54" t="s">
        <v>1696</v>
      </c>
      <c r="E54">
        <v>25</v>
      </c>
      <c r="F54">
        <v>23</v>
      </c>
      <c r="G54" t="s">
        <v>123</v>
      </c>
      <c r="J54">
        <v>32</v>
      </c>
      <c r="K54" t="s">
        <v>626</v>
      </c>
      <c r="L54">
        <v>8</v>
      </c>
      <c r="M54">
        <v>25</v>
      </c>
      <c r="N54">
        <v>47</v>
      </c>
      <c r="O54">
        <v>0</v>
      </c>
    </row>
    <row r="55" spans="2:15" x14ac:dyDescent="0.2">
      <c r="B55" t="s">
        <v>1695</v>
      </c>
      <c r="C55" t="s">
        <v>199</v>
      </c>
      <c r="D55" t="s">
        <v>1696</v>
      </c>
      <c r="E55">
        <v>25</v>
      </c>
      <c r="F55">
        <v>23</v>
      </c>
      <c r="G55" t="s">
        <v>123</v>
      </c>
      <c r="J55">
        <v>32</v>
      </c>
      <c r="K55" t="s">
        <v>626</v>
      </c>
      <c r="L55">
        <v>8</v>
      </c>
      <c r="M55">
        <v>25</v>
      </c>
      <c r="N55">
        <v>47</v>
      </c>
      <c r="O55">
        <v>0</v>
      </c>
    </row>
    <row r="56" spans="2:15" x14ac:dyDescent="0.2">
      <c r="B56" t="s">
        <v>1695</v>
      </c>
      <c r="C56" t="s">
        <v>199</v>
      </c>
      <c r="D56" t="s">
        <v>1696</v>
      </c>
      <c r="E56">
        <v>25</v>
      </c>
      <c r="F56">
        <v>23</v>
      </c>
      <c r="G56" t="s">
        <v>123</v>
      </c>
      <c r="J56">
        <v>32</v>
      </c>
      <c r="K56" t="s">
        <v>626</v>
      </c>
      <c r="L56">
        <v>8</v>
      </c>
      <c r="M56">
        <v>25</v>
      </c>
      <c r="N56">
        <v>47</v>
      </c>
      <c r="O56">
        <v>0</v>
      </c>
    </row>
    <row r="57" spans="2:15" x14ac:dyDescent="0.2">
      <c r="B57" t="s">
        <v>1695</v>
      </c>
      <c r="C57" t="s">
        <v>199</v>
      </c>
      <c r="D57" t="s">
        <v>1696</v>
      </c>
      <c r="E57">
        <v>25</v>
      </c>
      <c r="F57">
        <v>23</v>
      </c>
      <c r="G57" t="s">
        <v>123</v>
      </c>
      <c r="J57">
        <v>32</v>
      </c>
      <c r="K57" t="s">
        <v>626</v>
      </c>
      <c r="L57">
        <v>8</v>
      </c>
      <c r="M57">
        <v>25</v>
      </c>
      <c r="N57">
        <v>47</v>
      </c>
      <c r="O57">
        <v>0</v>
      </c>
    </row>
    <row r="58" spans="2:15" x14ac:dyDescent="0.2">
      <c r="B58" t="s">
        <v>1442</v>
      </c>
      <c r="C58" t="s">
        <v>199</v>
      </c>
      <c r="D58" t="s">
        <v>1443</v>
      </c>
      <c r="G58" t="s">
        <v>123</v>
      </c>
      <c r="H58" t="s">
        <v>666</v>
      </c>
      <c r="I58" t="s">
        <v>616</v>
      </c>
      <c r="J58">
        <v>33</v>
      </c>
      <c r="K58" t="s">
        <v>626</v>
      </c>
      <c r="L58">
        <v>6</v>
      </c>
      <c r="M58">
        <v>18</v>
      </c>
      <c r="N58">
        <v>47</v>
      </c>
      <c r="O58">
        <v>0</v>
      </c>
    </row>
    <row r="59" spans="2:15" x14ac:dyDescent="0.2">
      <c r="B59" t="s">
        <v>1442</v>
      </c>
      <c r="C59" t="s">
        <v>199</v>
      </c>
      <c r="D59" t="s">
        <v>1443</v>
      </c>
      <c r="G59" t="s">
        <v>123</v>
      </c>
      <c r="H59" t="s">
        <v>666</v>
      </c>
      <c r="I59" t="s">
        <v>616</v>
      </c>
      <c r="J59">
        <v>33</v>
      </c>
      <c r="K59" t="s">
        <v>626</v>
      </c>
      <c r="L59">
        <v>6</v>
      </c>
      <c r="M59">
        <v>18</v>
      </c>
      <c r="N59">
        <v>47</v>
      </c>
      <c r="O59">
        <v>0</v>
      </c>
    </row>
    <row r="60" spans="2:15" x14ac:dyDescent="0.2">
      <c r="B60" t="s">
        <v>1442</v>
      </c>
      <c r="C60" t="s">
        <v>199</v>
      </c>
      <c r="D60" t="s">
        <v>1443</v>
      </c>
      <c r="G60" t="s">
        <v>123</v>
      </c>
      <c r="H60" t="s">
        <v>666</v>
      </c>
      <c r="I60" t="s">
        <v>616</v>
      </c>
      <c r="J60">
        <v>33</v>
      </c>
      <c r="K60" t="s">
        <v>626</v>
      </c>
      <c r="L60">
        <v>6</v>
      </c>
      <c r="M60">
        <v>18</v>
      </c>
      <c r="N60">
        <v>47</v>
      </c>
      <c r="O60">
        <v>0</v>
      </c>
    </row>
    <row r="61" spans="2:15" x14ac:dyDescent="0.2">
      <c r="B61" t="s">
        <v>1442</v>
      </c>
      <c r="C61" t="s">
        <v>199</v>
      </c>
      <c r="D61" t="s">
        <v>1443</v>
      </c>
      <c r="G61" t="s">
        <v>123</v>
      </c>
      <c r="H61" t="s">
        <v>666</v>
      </c>
      <c r="I61" t="s">
        <v>616</v>
      </c>
      <c r="J61">
        <v>33</v>
      </c>
      <c r="K61" t="s">
        <v>626</v>
      </c>
      <c r="L61">
        <v>6</v>
      </c>
      <c r="M61">
        <v>18</v>
      </c>
      <c r="N61">
        <v>47</v>
      </c>
      <c r="O61">
        <v>0</v>
      </c>
    </row>
    <row r="62" spans="2:15" x14ac:dyDescent="0.2">
      <c r="B62" t="s">
        <v>1981</v>
      </c>
      <c r="C62" t="s">
        <v>199</v>
      </c>
      <c r="D62" t="s">
        <v>1982</v>
      </c>
      <c r="G62" t="s">
        <v>123</v>
      </c>
      <c r="I62" t="s">
        <v>616</v>
      </c>
      <c r="J62">
        <v>35</v>
      </c>
      <c r="K62" t="s">
        <v>626</v>
      </c>
      <c r="L62">
        <v>12</v>
      </c>
      <c r="M62">
        <v>20</v>
      </c>
      <c r="N62">
        <v>55</v>
      </c>
      <c r="O62">
        <v>0</v>
      </c>
    </row>
    <row r="63" spans="2:15" x14ac:dyDescent="0.2">
      <c r="B63" t="s">
        <v>1983</v>
      </c>
      <c r="C63" t="s">
        <v>199</v>
      </c>
      <c r="D63" t="s">
        <v>1984</v>
      </c>
      <c r="G63" t="s">
        <v>123</v>
      </c>
      <c r="I63" t="s">
        <v>616</v>
      </c>
      <c r="J63">
        <v>35</v>
      </c>
      <c r="K63" t="s">
        <v>626</v>
      </c>
      <c r="L63">
        <v>12</v>
      </c>
      <c r="M63">
        <v>20</v>
      </c>
      <c r="N63">
        <v>55</v>
      </c>
      <c r="O63">
        <v>0</v>
      </c>
    </row>
    <row r="64" spans="2:15" x14ac:dyDescent="0.2">
      <c r="B64" t="s">
        <v>1985</v>
      </c>
      <c r="C64" t="s">
        <v>199</v>
      </c>
      <c r="D64" t="s">
        <v>1986</v>
      </c>
      <c r="G64" t="s">
        <v>123</v>
      </c>
      <c r="I64" t="s">
        <v>616</v>
      </c>
      <c r="J64">
        <v>35</v>
      </c>
      <c r="K64" t="s">
        <v>626</v>
      </c>
      <c r="L64">
        <v>12</v>
      </c>
      <c r="M64">
        <v>20</v>
      </c>
      <c r="N64">
        <v>55</v>
      </c>
      <c r="O64">
        <v>0</v>
      </c>
    </row>
    <row r="65" spans="2:15" x14ac:dyDescent="0.2">
      <c r="B65" t="s">
        <v>1987</v>
      </c>
      <c r="C65" t="s">
        <v>199</v>
      </c>
      <c r="D65" t="s">
        <v>1988</v>
      </c>
      <c r="E65">
        <v>-19</v>
      </c>
      <c r="F65">
        <v>-19</v>
      </c>
      <c r="G65" t="s">
        <v>123</v>
      </c>
      <c r="I65" t="s">
        <v>616</v>
      </c>
      <c r="J65">
        <v>-10</v>
      </c>
      <c r="K65" t="s">
        <v>119</v>
      </c>
      <c r="L65">
        <v>1</v>
      </c>
      <c r="M65">
        <v>60</v>
      </c>
      <c r="N65">
        <v>48</v>
      </c>
      <c r="O65">
        <v>0</v>
      </c>
    </row>
    <row r="66" spans="2:15" x14ac:dyDescent="0.2">
      <c r="B66" t="s">
        <v>1697</v>
      </c>
      <c r="C66" t="s">
        <v>199</v>
      </c>
      <c r="D66" t="s">
        <v>1698</v>
      </c>
      <c r="E66">
        <v>-18</v>
      </c>
      <c r="F66">
        <v>-21</v>
      </c>
      <c r="G66" t="s">
        <v>123</v>
      </c>
      <c r="J66">
        <v>-10</v>
      </c>
      <c r="K66" t="s">
        <v>119</v>
      </c>
      <c r="L66">
        <v>1</v>
      </c>
      <c r="M66">
        <v>60</v>
      </c>
      <c r="N66">
        <v>48</v>
      </c>
      <c r="O66">
        <v>0</v>
      </c>
    </row>
    <row r="67" spans="2:15" x14ac:dyDescent="0.2">
      <c r="B67" t="s">
        <v>1697</v>
      </c>
      <c r="C67" t="s">
        <v>199</v>
      </c>
      <c r="D67" t="s">
        <v>1698</v>
      </c>
      <c r="E67">
        <v>-18</v>
      </c>
      <c r="F67">
        <v>-21</v>
      </c>
      <c r="G67" t="s">
        <v>123</v>
      </c>
      <c r="J67">
        <v>-10</v>
      </c>
      <c r="K67" t="s">
        <v>119</v>
      </c>
      <c r="L67">
        <v>1</v>
      </c>
      <c r="M67">
        <v>60</v>
      </c>
      <c r="N67">
        <v>48</v>
      </c>
      <c r="O67">
        <v>0</v>
      </c>
    </row>
    <row r="68" spans="2:15" x14ac:dyDescent="0.2">
      <c r="B68" t="s">
        <v>1989</v>
      </c>
      <c r="C68" t="s">
        <v>199</v>
      </c>
      <c r="D68" t="s">
        <v>1990</v>
      </c>
      <c r="E68">
        <v>-19</v>
      </c>
      <c r="F68">
        <v>-19</v>
      </c>
      <c r="G68" t="s">
        <v>123</v>
      </c>
      <c r="I68" t="s">
        <v>616</v>
      </c>
      <c r="J68">
        <v>-10</v>
      </c>
      <c r="K68" t="s">
        <v>119</v>
      </c>
      <c r="L68">
        <v>1</v>
      </c>
      <c r="M68">
        <v>60</v>
      </c>
      <c r="N68">
        <v>48</v>
      </c>
      <c r="O68">
        <v>0</v>
      </c>
    </row>
    <row r="69" spans="2:15" x14ac:dyDescent="0.2">
      <c r="B69" t="s">
        <v>1989</v>
      </c>
      <c r="C69" t="s">
        <v>199</v>
      </c>
      <c r="D69" t="s">
        <v>1990</v>
      </c>
      <c r="E69">
        <v>-19</v>
      </c>
      <c r="F69">
        <v>-19</v>
      </c>
      <c r="G69" t="s">
        <v>123</v>
      </c>
      <c r="I69" t="s">
        <v>616</v>
      </c>
      <c r="J69">
        <v>-10</v>
      </c>
      <c r="K69" t="s">
        <v>119</v>
      </c>
      <c r="L69">
        <v>1</v>
      </c>
      <c r="M69">
        <v>60</v>
      </c>
      <c r="N69">
        <v>48</v>
      </c>
      <c r="O69">
        <v>0</v>
      </c>
    </row>
    <row r="70" spans="2:15" x14ac:dyDescent="0.2">
      <c r="B70" t="s">
        <v>1989</v>
      </c>
      <c r="C70" t="s">
        <v>199</v>
      </c>
      <c r="D70" t="s">
        <v>1990</v>
      </c>
      <c r="E70">
        <v>-19</v>
      </c>
      <c r="F70">
        <v>-19</v>
      </c>
      <c r="G70" t="s">
        <v>123</v>
      </c>
      <c r="I70" t="s">
        <v>616</v>
      </c>
      <c r="J70">
        <v>-10</v>
      </c>
      <c r="K70" t="s">
        <v>119</v>
      </c>
      <c r="L70">
        <v>1</v>
      </c>
      <c r="M70">
        <v>60</v>
      </c>
      <c r="N70">
        <v>48</v>
      </c>
      <c r="O70">
        <v>0</v>
      </c>
    </row>
    <row r="71" spans="2:15" x14ac:dyDescent="0.2">
      <c r="B71" t="s">
        <v>1699</v>
      </c>
      <c r="C71" t="s">
        <v>199</v>
      </c>
      <c r="D71" t="s">
        <v>1700</v>
      </c>
      <c r="E71">
        <v>20</v>
      </c>
      <c r="F71">
        <v>18</v>
      </c>
      <c r="G71" t="s">
        <v>123</v>
      </c>
      <c r="I71" t="s">
        <v>616</v>
      </c>
      <c r="J71">
        <v>28</v>
      </c>
      <c r="K71" t="s">
        <v>626</v>
      </c>
      <c r="L71">
        <v>6</v>
      </c>
      <c r="M71">
        <v>45</v>
      </c>
      <c r="N71">
        <v>45</v>
      </c>
      <c r="O71">
        <v>0</v>
      </c>
    </row>
    <row r="72" spans="2:15" x14ac:dyDescent="0.2">
      <c r="B72" t="s">
        <v>1699</v>
      </c>
      <c r="C72" t="s">
        <v>199</v>
      </c>
      <c r="D72" t="s">
        <v>1700</v>
      </c>
      <c r="E72">
        <v>20</v>
      </c>
      <c r="F72">
        <v>18</v>
      </c>
      <c r="G72" t="s">
        <v>123</v>
      </c>
      <c r="I72" t="s">
        <v>616</v>
      </c>
      <c r="J72">
        <v>28</v>
      </c>
      <c r="K72" t="s">
        <v>626</v>
      </c>
      <c r="L72">
        <v>6</v>
      </c>
      <c r="M72">
        <v>45</v>
      </c>
      <c r="N72">
        <v>45</v>
      </c>
      <c r="O72">
        <v>0</v>
      </c>
    </row>
    <row r="73" spans="2:15" x14ac:dyDescent="0.2">
      <c r="B73" t="s">
        <v>1699</v>
      </c>
      <c r="C73" t="s">
        <v>199</v>
      </c>
      <c r="D73" t="s">
        <v>1700</v>
      </c>
      <c r="E73">
        <v>20</v>
      </c>
      <c r="F73">
        <v>18</v>
      </c>
      <c r="G73" t="s">
        <v>123</v>
      </c>
      <c r="I73" t="s">
        <v>616</v>
      </c>
      <c r="J73">
        <v>28</v>
      </c>
      <c r="K73" t="s">
        <v>626</v>
      </c>
      <c r="L73">
        <v>6</v>
      </c>
      <c r="M73">
        <v>45</v>
      </c>
      <c r="N73">
        <v>45</v>
      </c>
      <c r="O73">
        <v>0</v>
      </c>
    </row>
    <row r="74" spans="2:15" x14ac:dyDescent="0.2">
      <c r="B74" t="s">
        <v>1699</v>
      </c>
      <c r="C74" t="s">
        <v>199</v>
      </c>
      <c r="D74" t="s">
        <v>1700</v>
      </c>
      <c r="E74">
        <v>20</v>
      </c>
      <c r="F74">
        <v>18</v>
      </c>
      <c r="G74" t="s">
        <v>123</v>
      </c>
      <c r="I74" t="s">
        <v>616</v>
      </c>
      <c r="J74">
        <v>28</v>
      </c>
      <c r="K74" t="s">
        <v>626</v>
      </c>
      <c r="L74">
        <v>6</v>
      </c>
      <c r="M74">
        <v>45</v>
      </c>
      <c r="N74">
        <v>45</v>
      </c>
      <c r="O74">
        <v>0</v>
      </c>
    </row>
    <row r="75" spans="2:15" x14ac:dyDescent="0.2">
      <c r="B75" t="s">
        <v>1701</v>
      </c>
      <c r="C75" t="s">
        <v>199</v>
      </c>
      <c r="D75" t="s">
        <v>1702</v>
      </c>
      <c r="G75" t="s">
        <v>123</v>
      </c>
      <c r="I75" t="s">
        <v>616</v>
      </c>
      <c r="J75">
        <v>28</v>
      </c>
      <c r="K75" t="s">
        <v>626</v>
      </c>
      <c r="L75">
        <v>6</v>
      </c>
      <c r="M75">
        <v>45</v>
      </c>
      <c r="N75">
        <v>45</v>
      </c>
      <c r="O75">
        <v>0</v>
      </c>
    </row>
    <row r="76" spans="2:15" x14ac:dyDescent="0.2">
      <c r="B76" t="s">
        <v>1701</v>
      </c>
      <c r="C76" t="s">
        <v>199</v>
      </c>
      <c r="D76" t="s">
        <v>1702</v>
      </c>
      <c r="G76" t="s">
        <v>123</v>
      </c>
      <c r="I76" t="s">
        <v>616</v>
      </c>
      <c r="J76">
        <v>28</v>
      </c>
      <c r="K76" t="s">
        <v>626</v>
      </c>
      <c r="L76">
        <v>6</v>
      </c>
      <c r="M76">
        <v>45</v>
      </c>
      <c r="N76">
        <v>45</v>
      </c>
      <c r="O76">
        <v>0</v>
      </c>
    </row>
    <row r="77" spans="2:15" x14ac:dyDescent="0.2">
      <c r="B77" t="s">
        <v>1701</v>
      </c>
      <c r="C77" t="s">
        <v>199</v>
      </c>
      <c r="D77" t="s">
        <v>1702</v>
      </c>
      <c r="G77" t="s">
        <v>123</v>
      </c>
      <c r="I77" t="s">
        <v>616</v>
      </c>
      <c r="J77">
        <v>28</v>
      </c>
      <c r="K77" t="s">
        <v>626</v>
      </c>
      <c r="L77">
        <v>6</v>
      </c>
      <c r="M77">
        <v>45</v>
      </c>
      <c r="N77">
        <v>45</v>
      </c>
      <c r="O77">
        <v>0</v>
      </c>
    </row>
    <row r="78" spans="2:15" x14ac:dyDescent="0.2">
      <c r="B78" t="s">
        <v>1701</v>
      </c>
      <c r="C78" t="s">
        <v>199</v>
      </c>
      <c r="D78" t="s">
        <v>1702</v>
      </c>
      <c r="G78" t="s">
        <v>123</v>
      </c>
      <c r="I78" t="s">
        <v>616</v>
      </c>
      <c r="J78">
        <v>28</v>
      </c>
      <c r="K78" t="s">
        <v>626</v>
      </c>
      <c r="L78">
        <v>6</v>
      </c>
      <c r="M78">
        <v>45</v>
      </c>
      <c r="N78">
        <v>45</v>
      </c>
      <c r="O78">
        <v>0</v>
      </c>
    </row>
    <row r="79" spans="2:15" x14ac:dyDescent="0.2">
      <c r="B79" t="s">
        <v>1703</v>
      </c>
      <c r="C79" t="s">
        <v>199</v>
      </c>
      <c r="D79" t="s">
        <v>1704</v>
      </c>
      <c r="G79" t="s">
        <v>123</v>
      </c>
      <c r="I79" t="s">
        <v>616</v>
      </c>
      <c r="J79">
        <v>34</v>
      </c>
      <c r="K79" t="s">
        <v>626</v>
      </c>
      <c r="L79">
        <v>6</v>
      </c>
      <c r="M79">
        <v>20</v>
      </c>
      <c r="N79">
        <v>48</v>
      </c>
      <c r="O79">
        <v>0</v>
      </c>
    </row>
    <row r="80" spans="2:15" x14ac:dyDescent="0.2">
      <c r="B80" t="s">
        <v>1703</v>
      </c>
      <c r="C80" t="s">
        <v>199</v>
      </c>
      <c r="D80" t="s">
        <v>1704</v>
      </c>
      <c r="G80" t="s">
        <v>123</v>
      </c>
      <c r="I80" t="s">
        <v>616</v>
      </c>
      <c r="J80">
        <v>34</v>
      </c>
      <c r="K80" t="s">
        <v>626</v>
      </c>
      <c r="L80">
        <v>6</v>
      </c>
      <c r="M80">
        <v>20</v>
      </c>
      <c r="N80">
        <v>48</v>
      </c>
      <c r="O80">
        <v>0</v>
      </c>
    </row>
    <row r="81" spans="2:15" x14ac:dyDescent="0.2">
      <c r="B81" t="s">
        <v>1703</v>
      </c>
      <c r="C81" t="s">
        <v>199</v>
      </c>
      <c r="D81" t="s">
        <v>1704</v>
      </c>
      <c r="G81" t="s">
        <v>123</v>
      </c>
      <c r="I81" t="s">
        <v>616</v>
      </c>
      <c r="J81">
        <v>34</v>
      </c>
      <c r="K81" t="s">
        <v>626</v>
      </c>
      <c r="L81">
        <v>6</v>
      </c>
      <c r="M81">
        <v>20</v>
      </c>
      <c r="N81">
        <v>48</v>
      </c>
      <c r="O81">
        <v>0</v>
      </c>
    </row>
    <row r="82" spans="2:15" x14ac:dyDescent="0.2">
      <c r="B82" t="s">
        <v>1703</v>
      </c>
      <c r="C82" t="s">
        <v>199</v>
      </c>
      <c r="D82" t="s">
        <v>1704</v>
      </c>
      <c r="G82" t="s">
        <v>123</v>
      </c>
      <c r="I82" t="s">
        <v>616</v>
      </c>
      <c r="J82">
        <v>34</v>
      </c>
      <c r="K82" t="s">
        <v>626</v>
      </c>
      <c r="L82">
        <v>6</v>
      </c>
      <c r="M82">
        <v>20</v>
      </c>
      <c r="N82">
        <v>48</v>
      </c>
      <c r="O82">
        <v>0</v>
      </c>
    </row>
    <row r="83" spans="2:15" x14ac:dyDescent="0.2">
      <c r="B83" t="s">
        <v>1705</v>
      </c>
      <c r="C83" t="s">
        <v>199</v>
      </c>
      <c r="D83" t="s">
        <v>1706</v>
      </c>
      <c r="G83" t="s">
        <v>123</v>
      </c>
      <c r="J83">
        <v>36</v>
      </c>
      <c r="K83" t="s">
        <v>626</v>
      </c>
      <c r="L83">
        <v>1</v>
      </c>
      <c r="M83">
        <v>40</v>
      </c>
      <c r="N83">
        <v>48</v>
      </c>
      <c r="O83">
        <v>0</v>
      </c>
    </row>
    <row r="84" spans="2:15" x14ac:dyDescent="0.2">
      <c r="B84" t="s">
        <v>1705</v>
      </c>
      <c r="C84" t="s">
        <v>199</v>
      </c>
      <c r="D84" t="s">
        <v>1706</v>
      </c>
      <c r="G84" t="s">
        <v>123</v>
      </c>
      <c r="J84">
        <v>36</v>
      </c>
      <c r="K84" t="s">
        <v>626</v>
      </c>
      <c r="L84">
        <v>1</v>
      </c>
      <c r="M84">
        <v>40</v>
      </c>
      <c r="N84">
        <v>48</v>
      </c>
      <c r="O84">
        <v>0</v>
      </c>
    </row>
    <row r="85" spans="2:15" x14ac:dyDescent="0.2">
      <c r="B85" t="s">
        <v>1705</v>
      </c>
      <c r="C85" t="s">
        <v>199</v>
      </c>
      <c r="D85" t="s">
        <v>1706</v>
      </c>
      <c r="G85" t="s">
        <v>123</v>
      </c>
      <c r="J85">
        <v>36</v>
      </c>
      <c r="K85" t="s">
        <v>626</v>
      </c>
      <c r="L85">
        <v>1</v>
      </c>
      <c r="M85">
        <v>40</v>
      </c>
      <c r="N85">
        <v>48</v>
      </c>
      <c r="O85">
        <v>0</v>
      </c>
    </row>
    <row r="86" spans="2:15" x14ac:dyDescent="0.2">
      <c r="B86" t="s">
        <v>1705</v>
      </c>
      <c r="C86" t="s">
        <v>199</v>
      </c>
      <c r="D86" t="s">
        <v>1706</v>
      </c>
      <c r="G86" t="s">
        <v>123</v>
      </c>
      <c r="J86">
        <v>36</v>
      </c>
      <c r="K86" t="s">
        <v>626</v>
      </c>
      <c r="L86">
        <v>1</v>
      </c>
      <c r="M86">
        <v>40</v>
      </c>
      <c r="N86">
        <v>48</v>
      </c>
      <c r="O86">
        <v>0</v>
      </c>
    </row>
    <row r="87" spans="2:15" x14ac:dyDescent="0.2">
      <c r="B87" t="s">
        <v>1707</v>
      </c>
      <c r="C87" t="s">
        <v>199</v>
      </c>
      <c r="D87" t="s">
        <v>1708</v>
      </c>
      <c r="G87" t="s">
        <v>123</v>
      </c>
      <c r="J87">
        <v>36</v>
      </c>
      <c r="K87" t="s">
        <v>626</v>
      </c>
      <c r="L87">
        <v>1</v>
      </c>
      <c r="M87">
        <v>40</v>
      </c>
      <c r="N87">
        <v>48</v>
      </c>
      <c r="O87">
        <v>0</v>
      </c>
    </row>
    <row r="88" spans="2:15" x14ac:dyDescent="0.2">
      <c r="B88" t="s">
        <v>1707</v>
      </c>
      <c r="C88" t="s">
        <v>199</v>
      </c>
      <c r="D88" t="s">
        <v>1708</v>
      </c>
      <c r="G88" t="s">
        <v>123</v>
      </c>
      <c r="J88">
        <v>36</v>
      </c>
      <c r="K88" t="s">
        <v>626</v>
      </c>
      <c r="L88">
        <v>1</v>
      </c>
      <c r="M88">
        <v>40</v>
      </c>
      <c r="N88">
        <v>48</v>
      </c>
      <c r="O88">
        <v>0</v>
      </c>
    </row>
    <row r="89" spans="2:15" x14ac:dyDescent="0.2">
      <c r="B89" t="s">
        <v>1707</v>
      </c>
      <c r="C89" t="s">
        <v>199</v>
      </c>
      <c r="D89" t="s">
        <v>1708</v>
      </c>
      <c r="G89" t="s">
        <v>123</v>
      </c>
      <c r="J89">
        <v>36</v>
      </c>
      <c r="K89" t="s">
        <v>626</v>
      </c>
      <c r="L89">
        <v>1</v>
      </c>
      <c r="M89">
        <v>40</v>
      </c>
      <c r="N89">
        <v>48</v>
      </c>
      <c r="O89">
        <v>0</v>
      </c>
    </row>
    <row r="90" spans="2:15" x14ac:dyDescent="0.2">
      <c r="B90" t="s">
        <v>1707</v>
      </c>
      <c r="C90" t="s">
        <v>199</v>
      </c>
      <c r="D90" t="s">
        <v>1708</v>
      </c>
      <c r="G90" t="s">
        <v>123</v>
      </c>
      <c r="J90">
        <v>36</v>
      </c>
      <c r="K90" t="s">
        <v>626</v>
      </c>
      <c r="L90">
        <v>1</v>
      </c>
      <c r="M90">
        <v>40</v>
      </c>
      <c r="N90">
        <v>48</v>
      </c>
      <c r="O90">
        <v>0</v>
      </c>
    </row>
    <row r="91" spans="2:15" x14ac:dyDescent="0.2">
      <c r="B91" t="s">
        <v>1709</v>
      </c>
      <c r="C91" t="s">
        <v>199</v>
      </c>
      <c r="D91" t="s">
        <v>1710</v>
      </c>
      <c r="G91" t="s">
        <v>123</v>
      </c>
      <c r="J91">
        <v>36</v>
      </c>
      <c r="K91" t="s">
        <v>626</v>
      </c>
      <c r="L91">
        <v>1</v>
      </c>
      <c r="M91">
        <v>40</v>
      </c>
      <c r="N91">
        <v>48</v>
      </c>
      <c r="O91">
        <v>0</v>
      </c>
    </row>
    <row r="92" spans="2:15" x14ac:dyDescent="0.2">
      <c r="B92" t="s">
        <v>1709</v>
      </c>
      <c r="C92" t="s">
        <v>199</v>
      </c>
      <c r="D92" t="s">
        <v>1710</v>
      </c>
      <c r="G92" t="s">
        <v>123</v>
      </c>
      <c r="J92">
        <v>36</v>
      </c>
      <c r="K92" t="s">
        <v>626</v>
      </c>
      <c r="L92">
        <v>1</v>
      </c>
      <c r="M92">
        <v>40</v>
      </c>
      <c r="N92">
        <v>48</v>
      </c>
      <c r="O92">
        <v>0</v>
      </c>
    </row>
    <row r="93" spans="2:15" x14ac:dyDescent="0.2">
      <c r="B93" t="s">
        <v>1709</v>
      </c>
      <c r="C93" t="s">
        <v>199</v>
      </c>
      <c r="D93" t="s">
        <v>1710</v>
      </c>
      <c r="G93" t="s">
        <v>123</v>
      </c>
      <c r="J93">
        <v>36</v>
      </c>
      <c r="K93" t="s">
        <v>626</v>
      </c>
      <c r="L93">
        <v>1</v>
      </c>
      <c r="M93">
        <v>40</v>
      </c>
      <c r="N93">
        <v>48</v>
      </c>
      <c r="O93">
        <v>0</v>
      </c>
    </row>
    <row r="94" spans="2:15" x14ac:dyDescent="0.2">
      <c r="B94" t="s">
        <v>1709</v>
      </c>
      <c r="C94" t="s">
        <v>199</v>
      </c>
      <c r="D94" t="s">
        <v>1710</v>
      </c>
      <c r="G94" t="s">
        <v>123</v>
      </c>
      <c r="J94">
        <v>36</v>
      </c>
      <c r="K94" t="s">
        <v>626</v>
      </c>
      <c r="L94">
        <v>1</v>
      </c>
      <c r="M94">
        <v>40</v>
      </c>
      <c r="N94">
        <v>48</v>
      </c>
      <c r="O94">
        <v>0</v>
      </c>
    </row>
    <row r="95" spans="2:15" x14ac:dyDescent="0.2">
      <c r="B95" t="s">
        <v>1991</v>
      </c>
      <c r="C95" t="s">
        <v>199</v>
      </c>
      <c r="D95" t="s">
        <v>1992</v>
      </c>
      <c r="G95" t="s">
        <v>123</v>
      </c>
      <c r="I95" t="s">
        <v>616</v>
      </c>
      <c r="J95">
        <v>32</v>
      </c>
      <c r="K95" t="s">
        <v>626</v>
      </c>
      <c r="L95">
        <v>6</v>
      </c>
      <c r="M95">
        <v>20</v>
      </c>
      <c r="N95">
        <v>48</v>
      </c>
      <c r="O95">
        <v>0</v>
      </c>
    </row>
    <row r="96" spans="2:15" x14ac:dyDescent="0.2">
      <c r="B96" t="s">
        <v>1991</v>
      </c>
      <c r="C96" t="s">
        <v>199</v>
      </c>
      <c r="D96" t="s">
        <v>1992</v>
      </c>
      <c r="G96" t="s">
        <v>123</v>
      </c>
      <c r="I96" t="s">
        <v>616</v>
      </c>
      <c r="J96">
        <v>32</v>
      </c>
      <c r="K96" t="s">
        <v>626</v>
      </c>
      <c r="L96">
        <v>6</v>
      </c>
      <c r="M96">
        <v>20</v>
      </c>
      <c r="N96">
        <v>48</v>
      </c>
      <c r="O96">
        <v>0</v>
      </c>
    </row>
    <row r="97" spans="2:15" x14ac:dyDescent="0.2">
      <c r="B97" t="s">
        <v>1991</v>
      </c>
      <c r="C97" t="s">
        <v>199</v>
      </c>
      <c r="D97" t="s">
        <v>1992</v>
      </c>
      <c r="G97" t="s">
        <v>123</v>
      </c>
      <c r="I97" t="s">
        <v>616</v>
      </c>
      <c r="J97">
        <v>32</v>
      </c>
      <c r="K97" t="s">
        <v>626</v>
      </c>
      <c r="L97">
        <v>6</v>
      </c>
      <c r="M97">
        <v>20</v>
      </c>
      <c r="N97">
        <v>48</v>
      </c>
      <c r="O97">
        <v>0</v>
      </c>
    </row>
    <row r="98" spans="2:15" x14ac:dyDescent="0.2">
      <c r="B98" t="s">
        <v>1991</v>
      </c>
      <c r="C98" t="s">
        <v>199</v>
      </c>
      <c r="D98" t="s">
        <v>1992</v>
      </c>
      <c r="G98" t="s">
        <v>123</v>
      </c>
      <c r="I98" t="s">
        <v>616</v>
      </c>
      <c r="J98">
        <v>32</v>
      </c>
      <c r="K98" t="s">
        <v>626</v>
      </c>
      <c r="L98">
        <v>6</v>
      </c>
      <c r="M98">
        <v>20</v>
      </c>
      <c r="N98">
        <v>48</v>
      </c>
      <c r="O98">
        <v>0</v>
      </c>
    </row>
    <row r="99" spans="2:15" x14ac:dyDescent="0.2">
      <c r="B99" t="s">
        <v>1993</v>
      </c>
      <c r="C99" t="s">
        <v>199</v>
      </c>
      <c r="D99" t="s">
        <v>1994</v>
      </c>
      <c r="G99" t="s">
        <v>123</v>
      </c>
      <c r="I99" t="s">
        <v>616</v>
      </c>
      <c r="J99">
        <v>32</v>
      </c>
      <c r="K99" t="s">
        <v>626</v>
      </c>
      <c r="L99">
        <v>6</v>
      </c>
      <c r="M99">
        <v>20</v>
      </c>
      <c r="N99">
        <v>48</v>
      </c>
      <c r="O99">
        <v>0</v>
      </c>
    </row>
    <row r="100" spans="2:15" x14ac:dyDescent="0.2">
      <c r="B100" t="s">
        <v>1995</v>
      </c>
      <c r="C100" t="s">
        <v>1730</v>
      </c>
      <c r="D100" t="s">
        <v>1996</v>
      </c>
      <c r="E100">
        <v>-15</v>
      </c>
      <c r="F100">
        <v>-18</v>
      </c>
      <c r="G100" t="s">
        <v>123</v>
      </c>
      <c r="I100" t="s">
        <v>123</v>
      </c>
      <c r="J100">
        <v>-8</v>
      </c>
      <c r="K100" t="s">
        <v>119</v>
      </c>
      <c r="L100">
        <v>1</v>
      </c>
      <c r="M100">
        <v>46</v>
      </c>
      <c r="N100">
        <v>50</v>
      </c>
      <c r="O100">
        <v>0</v>
      </c>
    </row>
    <row r="101" spans="2:15" x14ac:dyDescent="0.2">
      <c r="B101" t="s">
        <v>1995</v>
      </c>
      <c r="C101" t="s">
        <v>1730</v>
      </c>
      <c r="D101" t="s">
        <v>1996</v>
      </c>
      <c r="E101">
        <v>-15</v>
      </c>
      <c r="F101">
        <v>-18</v>
      </c>
      <c r="G101" t="s">
        <v>123</v>
      </c>
      <c r="I101" t="s">
        <v>123</v>
      </c>
      <c r="J101">
        <v>-8</v>
      </c>
      <c r="K101" t="s">
        <v>119</v>
      </c>
      <c r="L101">
        <v>1</v>
      </c>
      <c r="M101">
        <v>46</v>
      </c>
      <c r="N101">
        <v>50</v>
      </c>
      <c r="O101">
        <v>0</v>
      </c>
    </row>
    <row r="102" spans="2:15" x14ac:dyDescent="0.2">
      <c r="B102" t="s">
        <v>1995</v>
      </c>
      <c r="C102" t="s">
        <v>1730</v>
      </c>
      <c r="D102" t="s">
        <v>1996</v>
      </c>
      <c r="E102">
        <v>-15</v>
      </c>
      <c r="F102">
        <v>-18</v>
      </c>
      <c r="G102" t="s">
        <v>123</v>
      </c>
      <c r="I102" t="s">
        <v>123</v>
      </c>
      <c r="J102">
        <v>-8</v>
      </c>
      <c r="K102" t="s">
        <v>119</v>
      </c>
      <c r="L102">
        <v>1</v>
      </c>
      <c r="M102">
        <v>46</v>
      </c>
      <c r="N102">
        <v>50</v>
      </c>
      <c r="O102">
        <v>0</v>
      </c>
    </row>
    <row r="103" spans="2:15" x14ac:dyDescent="0.2">
      <c r="B103" t="s">
        <v>1995</v>
      </c>
      <c r="C103" t="s">
        <v>1730</v>
      </c>
      <c r="D103" t="s">
        <v>1996</v>
      </c>
      <c r="E103">
        <v>-15</v>
      </c>
      <c r="F103">
        <v>-18</v>
      </c>
      <c r="G103" t="s">
        <v>123</v>
      </c>
      <c r="I103" t="s">
        <v>123</v>
      </c>
      <c r="J103">
        <v>-8</v>
      </c>
      <c r="K103" t="s">
        <v>119</v>
      </c>
      <c r="L103">
        <v>1</v>
      </c>
      <c r="M103">
        <v>46</v>
      </c>
      <c r="N103">
        <v>50</v>
      </c>
      <c r="O103">
        <v>0</v>
      </c>
    </row>
    <row r="104" spans="2:15" x14ac:dyDescent="0.2">
      <c r="B104" t="s">
        <v>1997</v>
      </c>
      <c r="C104" t="s">
        <v>1730</v>
      </c>
      <c r="D104" t="s">
        <v>1998</v>
      </c>
      <c r="E104">
        <v>-7</v>
      </c>
      <c r="F104">
        <v>-10</v>
      </c>
      <c r="G104" t="s">
        <v>123</v>
      </c>
      <c r="I104" t="s">
        <v>123</v>
      </c>
      <c r="J104">
        <v>-1</v>
      </c>
      <c r="K104" t="s">
        <v>119</v>
      </c>
      <c r="L104">
        <v>1</v>
      </c>
      <c r="M104">
        <v>46</v>
      </c>
      <c r="N104">
        <v>50</v>
      </c>
      <c r="O104">
        <v>0</v>
      </c>
    </row>
    <row r="105" spans="2:15" x14ac:dyDescent="0.2">
      <c r="B105" t="s">
        <v>1997</v>
      </c>
      <c r="C105" t="s">
        <v>1730</v>
      </c>
      <c r="D105" t="s">
        <v>1998</v>
      </c>
      <c r="E105">
        <v>-7</v>
      </c>
      <c r="F105">
        <v>-10</v>
      </c>
      <c r="G105" t="s">
        <v>123</v>
      </c>
      <c r="I105" t="s">
        <v>123</v>
      </c>
      <c r="J105">
        <v>-1</v>
      </c>
      <c r="K105" t="s">
        <v>119</v>
      </c>
      <c r="L105">
        <v>1</v>
      </c>
      <c r="M105">
        <v>46</v>
      </c>
      <c r="N105">
        <v>50</v>
      </c>
      <c r="O105">
        <v>0</v>
      </c>
    </row>
    <row r="106" spans="2:15" x14ac:dyDescent="0.2">
      <c r="B106" t="s">
        <v>1997</v>
      </c>
      <c r="C106" t="s">
        <v>1730</v>
      </c>
      <c r="D106" t="s">
        <v>1998</v>
      </c>
      <c r="E106">
        <v>-7</v>
      </c>
      <c r="F106">
        <v>-10</v>
      </c>
      <c r="G106" t="s">
        <v>123</v>
      </c>
      <c r="I106" t="s">
        <v>123</v>
      </c>
      <c r="J106">
        <v>-1</v>
      </c>
      <c r="K106" t="s">
        <v>119</v>
      </c>
      <c r="L106">
        <v>1</v>
      </c>
      <c r="M106">
        <v>46</v>
      </c>
      <c r="N106">
        <v>50</v>
      </c>
      <c r="O106">
        <v>0</v>
      </c>
    </row>
    <row r="107" spans="2:15" x14ac:dyDescent="0.2">
      <c r="B107" t="s">
        <v>1997</v>
      </c>
      <c r="C107" t="s">
        <v>1730</v>
      </c>
      <c r="D107" t="s">
        <v>1998</v>
      </c>
      <c r="E107">
        <v>-7</v>
      </c>
      <c r="F107">
        <v>-10</v>
      </c>
      <c r="G107" t="s">
        <v>123</v>
      </c>
      <c r="I107" t="s">
        <v>123</v>
      </c>
      <c r="J107">
        <v>-1</v>
      </c>
      <c r="K107" t="s">
        <v>119</v>
      </c>
      <c r="L107">
        <v>1</v>
      </c>
      <c r="M107">
        <v>46</v>
      </c>
      <c r="N107">
        <v>50</v>
      </c>
      <c r="O107">
        <v>0</v>
      </c>
    </row>
    <row r="108" spans="2:15" x14ac:dyDescent="0.2">
      <c r="B108" t="s">
        <v>1711</v>
      </c>
      <c r="C108" t="s">
        <v>201</v>
      </c>
      <c r="D108" t="s">
        <v>1712</v>
      </c>
      <c r="E108">
        <v>-15</v>
      </c>
      <c r="F108">
        <v>-17</v>
      </c>
      <c r="G108" t="s">
        <v>123</v>
      </c>
      <c r="H108" t="s">
        <v>1459</v>
      </c>
      <c r="J108">
        <v>-8</v>
      </c>
      <c r="K108" t="s">
        <v>119</v>
      </c>
      <c r="L108">
        <v>1</v>
      </c>
      <c r="M108">
        <v>46</v>
      </c>
      <c r="N108">
        <v>50</v>
      </c>
      <c r="O108">
        <v>0</v>
      </c>
    </row>
    <row r="109" spans="2:15" x14ac:dyDescent="0.2">
      <c r="B109" t="s">
        <v>1711</v>
      </c>
      <c r="C109" t="s">
        <v>201</v>
      </c>
      <c r="D109" t="s">
        <v>1712</v>
      </c>
      <c r="E109">
        <v>-15</v>
      </c>
      <c r="F109">
        <v>-17</v>
      </c>
      <c r="G109" t="s">
        <v>123</v>
      </c>
      <c r="H109" t="s">
        <v>1459</v>
      </c>
      <c r="J109">
        <v>-8</v>
      </c>
      <c r="K109" t="s">
        <v>119</v>
      </c>
      <c r="L109">
        <v>1</v>
      </c>
      <c r="M109">
        <v>46</v>
      </c>
      <c r="N109">
        <v>50</v>
      </c>
      <c r="O109">
        <v>0</v>
      </c>
    </row>
    <row r="110" spans="2:15" x14ac:dyDescent="0.2">
      <c r="B110" t="s">
        <v>1711</v>
      </c>
      <c r="C110" t="s">
        <v>201</v>
      </c>
      <c r="D110" t="s">
        <v>1712</v>
      </c>
      <c r="E110">
        <v>-15</v>
      </c>
      <c r="F110">
        <v>-17</v>
      </c>
      <c r="G110" t="s">
        <v>123</v>
      </c>
      <c r="H110" t="s">
        <v>1459</v>
      </c>
      <c r="J110">
        <v>-8</v>
      </c>
      <c r="K110" t="s">
        <v>119</v>
      </c>
      <c r="L110">
        <v>1</v>
      </c>
      <c r="M110">
        <v>46</v>
      </c>
      <c r="N110">
        <v>50</v>
      </c>
      <c r="O110">
        <v>0</v>
      </c>
    </row>
    <row r="111" spans="2:15" x14ac:dyDescent="0.2">
      <c r="B111" t="s">
        <v>1711</v>
      </c>
      <c r="C111" t="s">
        <v>201</v>
      </c>
      <c r="D111" t="s">
        <v>1712</v>
      </c>
      <c r="E111">
        <v>-15</v>
      </c>
      <c r="F111">
        <v>-17</v>
      </c>
      <c r="G111" t="s">
        <v>123</v>
      </c>
      <c r="H111" t="s">
        <v>1459</v>
      </c>
      <c r="J111">
        <v>-8</v>
      </c>
      <c r="K111" t="s">
        <v>119</v>
      </c>
      <c r="L111">
        <v>1</v>
      </c>
      <c r="M111">
        <v>46</v>
      </c>
      <c r="N111">
        <v>50</v>
      </c>
      <c r="O111">
        <v>0</v>
      </c>
    </row>
    <row r="112" spans="2:15" x14ac:dyDescent="0.2">
      <c r="B112" t="s">
        <v>1713</v>
      </c>
      <c r="C112" t="s">
        <v>201</v>
      </c>
      <c r="D112" t="s">
        <v>1714</v>
      </c>
      <c r="E112">
        <v>-7</v>
      </c>
      <c r="F112">
        <v>-9</v>
      </c>
      <c r="G112" t="s">
        <v>123</v>
      </c>
      <c r="H112" t="s">
        <v>1459</v>
      </c>
      <c r="J112">
        <v>-1</v>
      </c>
      <c r="K112" t="s">
        <v>119</v>
      </c>
      <c r="L112">
        <v>1</v>
      </c>
      <c r="M112">
        <v>46</v>
      </c>
      <c r="N112">
        <v>50</v>
      </c>
      <c r="O112">
        <v>0</v>
      </c>
    </row>
    <row r="113" spans="2:15" x14ac:dyDescent="0.2">
      <c r="B113" t="s">
        <v>1713</v>
      </c>
      <c r="C113" t="s">
        <v>201</v>
      </c>
      <c r="D113" t="s">
        <v>1714</v>
      </c>
      <c r="E113">
        <v>-7</v>
      </c>
      <c r="F113">
        <v>-9</v>
      </c>
      <c r="G113" t="s">
        <v>123</v>
      </c>
      <c r="H113" t="s">
        <v>1459</v>
      </c>
      <c r="J113">
        <v>-1</v>
      </c>
      <c r="K113" t="s">
        <v>119</v>
      </c>
      <c r="L113">
        <v>1</v>
      </c>
      <c r="M113">
        <v>46</v>
      </c>
      <c r="N113">
        <v>50</v>
      </c>
      <c r="O113">
        <v>0</v>
      </c>
    </row>
    <row r="114" spans="2:15" x14ac:dyDescent="0.2">
      <c r="B114" t="s">
        <v>1713</v>
      </c>
      <c r="C114" t="s">
        <v>201</v>
      </c>
      <c r="D114" t="s">
        <v>1714</v>
      </c>
      <c r="E114">
        <v>-7</v>
      </c>
      <c r="F114">
        <v>-9</v>
      </c>
      <c r="G114" t="s">
        <v>123</v>
      </c>
      <c r="H114" t="s">
        <v>1459</v>
      </c>
      <c r="J114">
        <v>-1</v>
      </c>
      <c r="K114" t="s">
        <v>119</v>
      </c>
      <c r="L114">
        <v>1</v>
      </c>
      <c r="M114">
        <v>46</v>
      </c>
      <c r="N114">
        <v>50</v>
      </c>
      <c r="O114">
        <v>0</v>
      </c>
    </row>
    <row r="115" spans="2:15" x14ac:dyDescent="0.2">
      <c r="B115" t="s">
        <v>1713</v>
      </c>
      <c r="C115" t="s">
        <v>201</v>
      </c>
      <c r="D115" t="s">
        <v>1714</v>
      </c>
      <c r="E115">
        <v>-7</v>
      </c>
      <c r="F115">
        <v>-9</v>
      </c>
      <c r="G115" t="s">
        <v>123</v>
      </c>
      <c r="H115" t="s">
        <v>1459</v>
      </c>
      <c r="J115">
        <v>-1</v>
      </c>
      <c r="K115" t="s">
        <v>119</v>
      </c>
      <c r="L115">
        <v>1</v>
      </c>
      <c r="M115">
        <v>46</v>
      </c>
      <c r="N115">
        <v>50</v>
      </c>
      <c r="O115">
        <v>0</v>
      </c>
    </row>
    <row r="116" spans="2:15" x14ac:dyDescent="0.2">
      <c r="B116" t="s">
        <v>1715</v>
      </c>
      <c r="C116" t="s">
        <v>201</v>
      </c>
      <c r="D116" t="s">
        <v>1716</v>
      </c>
      <c r="E116">
        <v>-19</v>
      </c>
      <c r="F116">
        <v>-19</v>
      </c>
      <c r="G116" t="s">
        <v>123</v>
      </c>
      <c r="H116" t="s">
        <v>1459</v>
      </c>
      <c r="I116" t="s">
        <v>616</v>
      </c>
      <c r="J116">
        <v>-8</v>
      </c>
      <c r="K116" t="s">
        <v>119</v>
      </c>
      <c r="L116">
        <v>1</v>
      </c>
      <c r="M116">
        <v>46</v>
      </c>
      <c r="N116">
        <v>60</v>
      </c>
      <c r="O116">
        <v>11</v>
      </c>
    </row>
    <row r="117" spans="2:15" x14ac:dyDescent="0.2">
      <c r="B117" t="s">
        <v>1715</v>
      </c>
      <c r="C117" t="s">
        <v>201</v>
      </c>
      <c r="D117" t="s">
        <v>1716</v>
      </c>
      <c r="E117">
        <v>-19</v>
      </c>
      <c r="F117">
        <v>-19</v>
      </c>
      <c r="G117" t="s">
        <v>123</v>
      </c>
      <c r="H117" t="s">
        <v>1459</v>
      </c>
      <c r="I117" t="s">
        <v>616</v>
      </c>
      <c r="J117">
        <v>-8</v>
      </c>
      <c r="K117" t="s">
        <v>119</v>
      </c>
      <c r="L117">
        <v>1</v>
      </c>
      <c r="M117">
        <v>46</v>
      </c>
      <c r="N117">
        <v>60</v>
      </c>
      <c r="O117">
        <v>11</v>
      </c>
    </row>
    <row r="118" spans="2:15" x14ac:dyDescent="0.2">
      <c r="B118" t="s">
        <v>1715</v>
      </c>
      <c r="C118" t="s">
        <v>201</v>
      </c>
      <c r="D118" t="s">
        <v>1716</v>
      </c>
      <c r="E118">
        <v>-19</v>
      </c>
      <c r="F118">
        <v>-19</v>
      </c>
      <c r="G118" t="s">
        <v>123</v>
      </c>
      <c r="H118" t="s">
        <v>1459</v>
      </c>
      <c r="I118" t="s">
        <v>616</v>
      </c>
      <c r="J118">
        <v>-8</v>
      </c>
      <c r="K118" t="s">
        <v>119</v>
      </c>
      <c r="L118">
        <v>1</v>
      </c>
      <c r="M118">
        <v>46</v>
      </c>
      <c r="N118">
        <v>60</v>
      </c>
      <c r="O118">
        <v>11</v>
      </c>
    </row>
    <row r="119" spans="2:15" x14ac:dyDescent="0.2">
      <c r="B119" t="s">
        <v>1715</v>
      </c>
      <c r="C119" t="s">
        <v>201</v>
      </c>
      <c r="D119" t="s">
        <v>1716</v>
      </c>
      <c r="E119">
        <v>-19</v>
      </c>
      <c r="F119">
        <v>-19</v>
      </c>
      <c r="G119" t="s">
        <v>123</v>
      </c>
      <c r="H119" t="s">
        <v>1459</v>
      </c>
      <c r="I119" t="s">
        <v>616</v>
      </c>
      <c r="J119">
        <v>-8</v>
      </c>
      <c r="K119" t="s">
        <v>119</v>
      </c>
      <c r="L119">
        <v>1</v>
      </c>
      <c r="M119">
        <v>46</v>
      </c>
      <c r="N119">
        <v>60</v>
      </c>
      <c r="O119">
        <v>11</v>
      </c>
    </row>
    <row r="120" spans="2:15" x14ac:dyDescent="0.2">
      <c r="B120" t="s">
        <v>1717</v>
      </c>
      <c r="C120" t="s">
        <v>201</v>
      </c>
      <c r="D120" t="s">
        <v>1718</v>
      </c>
      <c r="E120">
        <v>-12</v>
      </c>
      <c r="F120">
        <v>-12</v>
      </c>
      <c r="G120" t="s">
        <v>123</v>
      </c>
      <c r="H120" t="s">
        <v>1459</v>
      </c>
      <c r="I120" t="s">
        <v>616</v>
      </c>
      <c r="J120">
        <v>-1</v>
      </c>
      <c r="K120" t="s">
        <v>119</v>
      </c>
      <c r="L120">
        <v>1</v>
      </c>
      <c r="M120">
        <v>46</v>
      </c>
      <c r="N120">
        <v>60</v>
      </c>
      <c r="O120">
        <v>11</v>
      </c>
    </row>
    <row r="121" spans="2:15" x14ac:dyDescent="0.2">
      <c r="B121" t="s">
        <v>1717</v>
      </c>
      <c r="C121" t="s">
        <v>201</v>
      </c>
      <c r="D121" t="s">
        <v>1718</v>
      </c>
      <c r="E121">
        <v>-12</v>
      </c>
      <c r="F121">
        <v>-12</v>
      </c>
      <c r="G121" t="s">
        <v>123</v>
      </c>
      <c r="H121" t="s">
        <v>1459</v>
      </c>
      <c r="I121" t="s">
        <v>616</v>
      </c>
      <c r="J121">
        <v>-1</v>
      </c>
      <c r="K121" t="s">
        <v>119</v>
      </c>
      <c r="L121">
        <v>1</v>
      </c>
      <c r="M121">
        <v>46</v>
      </c>
      <c r="N121">
        <v>60</v>
      </c>
      <c r="O121">
        <v>11</v>
      </c>
    </row>
    <row r="122" spans="2:15" x14ac:dyDescent="0.2">
      <c r="B122" t="s">
        <v>1717</v>
      </c>
      <c r="C122" t="s">
        <v>201</v>
      </c>
      <c r="D122" t="s">
        <v>1718</v>
      </c>
      <c r="E122">
        <v>-12</v>
      </c>
      <c r="F122">
        <v>-12</v>
      </c>
      <c r="G122" t="s">
        <v>123</v>
      </c>
      <c r="H122" t="s">
        <v>1459</v>
      </c>
      <c r="I122" t="s">
        <v>616</v>
      </c>
      <c r="J122">
        <v>-1</v>
      </c>
      <c r="K122" t="s">
        <v>119</v>
      </c>
      <c r="L122">
        <v>1</v>
      </c>
      <c r="M122">
        <v>46</v>
      </c>
      <c r="N122">
        <v>60</v>
      </c>
      <c r="O122">
        <v>11</v>
      </c>
    </row>
    <row r="123" spans="2:15" x14ac:dyDescent="0.2">
      <c r="B123" t="s">
        <v>1717</v>
      </c>
      <c r="C123" t="s">
        <v>201</v>
      </c>
      <c r="D123" t="s">
        <v>1718</v>
      </c>
      <c r="E123">
        <v>-12</v>
      </c>
      <c r="F123">
        <v>-12</v>
      </c>
      <c r="G123" t="s">
        <v>123</v>
      </c>
      <c r="H123" t="s">
        <v>1459</v>
      </c>
      <c r="I123" t="s">
        <v>616</v>
      </c>
      <c r="J123">
        <v>-1</v>
      </c>
      <c r="K123" t="s">
        <v>119</v>
      </c>
      <c r="L123">
        <v>1</v>
      </c>
      <c r="M123">
        <v>46</v>
      </c>
      <c r="N123">
        <v>60</v>
      </c>
      <c r="O123">
        <v>11</v>
      </c>
    </row>
    <row r="124" spans="2:15" x14ac:dyDescent="0.2">
      <c r="B124" t="s">
        <v>1999</v>
      </c>
      <c r="C124" t="s">
        <v>199</v>
      </c>
      <c r="D124" t="s">
        <v>2000</v>
      </c>
      <c r="E124">
        <v>27</v>
      </c>
      <c r="F124">
        <v>25</v>
      </c>
      <c r="G124" t="s">
        <v>123</v>
      </c>
      <c r="I124" t="s">
        <v>616</v>
      </c>
      <c r="J124">
        <v>33</v>
      </c>
      <c r="K124" t="s">
        <v>626</v>
      </c>
      <c r="L124">
        <v>6</v>
      </c>
      <c r="M124">
        <v>45</v>
      </c>
      <c r="N124">
        <v>48</v>
      </c>
      <c r="O124">
        <v>0</v>
      </c>
    </row>
    <row r="125" spans="2:15" x14ac:dyDescent="0.2">
      <c r="B125" t="s">
        <v>1999</v>
      </c>
      <c r="C125" t="s">
        <v>199</v>
      </c>
      <c r="D125" t="s">
        <v>2000</v>
      </c>
      <c r="E125">
        <v>27</v>
      </c>
      <c r="F125">
        <v>25</v>
      </c>
      <c r="G125" t="s">
        <v>123</v>
      </c>
      <c r="I125" t="s">
        <v>616</v>
      </c>
      <c r="J125">
        <v>33</v>
      </c>
      <c r="K125" t="s">
        <v>626</v>
      </c>
      <c r="L125">
        <v>6</v>
      </c>
      <c r="M125">
        <v>45</v>
      </c>
      <c r="N125">
        <v>48</v>
      </c>
      <c r="O125">
        <v>0</v>
      </c>
    </row>
    <row r="126" spans="2:15" x14ac:dyDescent="0.2">
      <c r="B126" t="s">
        <v>1999</v>
      </c>
      <c r="C126" t="s">
        <v>199</v>
      </c>
      <c r="D126" t="s">
        <v>2000</v>
      </c>
      <c r="E126">
        <v>27</v>
      </c>
      <c r="F126">
        <v>25</v>
      </c>
      <c r="G126" t="s">
        <v>123</v>
      </c>
      <c r="I126" t="s">
        <v>616</v>
      </c>
      <c r="J126">
        <v>33</v>
      </c>
      <c r="K126" t="s">
        <v>626</v>
      </c>
      <c r="L126">
        <v>6</v>
      </c>
      <c r="M126">
        <v>45</v>
      </c>
      <c r="N126">
        <v>48</v>
      </c>
      <c r="O126">
        <v>0</v>
      </c>
    </row>
    <row r="127" spans="2:15" x14ac:dyDescent="0.2">
      <c r="B127" t="s">
        <v>1999</v>
      </c>
      <c r="C127" t="s">
        <v>199</v>
      </c>
      <c r="D127" t="s">
        <v>2000</v>
      </c>
      <c r="E127">
        <v>27</v>
      </c>
      <c r="F127">
        <v>25</v>
      </c>
      <c r="G127" t="s">
        <v>123</v>
      </c>
      <c r="I127" t="s">
        <v>616</v>
      </c>
      <c r="J127">
        <v>33</v>
      </c>
      <c r="K127" t="s">
        <v>626</v>
      </c>
      <c r="L127">
        <v>6</v>
      </c>
      <c r="M127">
        <v>45</v>
      </c>
      <c r="N127">
        <v>48</v>
      </c>
      <c r="O127">
        <v>0</v>
      </c>
    </row>
    <row r="128" spans="2:15" x14ac:dyDescent="0.2">
      <c r="B128" t="s">
        <v>2001</v>
      </c>
      <c r="C128" t="s">
        <v>199</v>
      </c>
      <c r="D128" t="s">
        <v>2002</v>
      </c>
      <c r="E128">
        <v>27</v>
      </c>
      <c r="F128">
        <v>26</v>
      </c>
      <c r="G128" t="s">
        <v>123</v>
      </c>
      <c r="I128" t="s">
        <v>616</v>
      </c>
      <c r="J128">
        <v>33</v>
      </c>
      <c r="K128" t="s">
        <v>626</v>
      </c>
      <c r="L128">
        <v>6</v>
      </c>
      <c r="M128">
        <v>45</v>
      </c>
      <c r="N128">
        <v>48</v>
      </c>
      <c r="O128">
        <v>0</v>
      </c>
    </row>
    <row r="129" spans="2:15" x14ac:dyDescent="0.2">
      <c r="B129" t="s">
        <v>2001</v>
      </c>
      <c r="C129" t="s">
        <v>199</v>
      </c>
      <c r="D129" t="s">
        <v>2002</v>
      </c>
      <c r="E129">
        <v>27</v>
      </c>
      <c r="F129">
        <v>26</v>
      </c>
      <c r="G129" t="s">
        <v>123</v>
      </c>
      <c r="I129" t="s">
        <v>616</v>
      </c>
      <c r="J129">
        <v>33</v>
      </c>
      <c r="K129" t="s">
        <v>626</v>
      </c>
      <c r="L129">
        <v>6</v>
      </c>
      <c r="M129">
        <v>45</v>
      </c>
      <c r="N129">
        <v>48</v>
      </c>
      <c r="O129">
        <v>0</v>
      </c>
    </row>
    <row r="130" spans="2:15" x14ac:dyDescent="0.2">
      <c r="B130" t="s">
        <v>2001</v>
      </c>
      <c r="C130" t="s">
        <v>199</v>
      </c>
      <c r="D130" t="s">
        <v>2002</v>
      </c>
      <c r="E130">
        <v>27</v>
      </c>
      <c r="F130">
        <v>26</v>
      </c>
      <c r="G130" t="s">
        <v>123</v>
      </c>
      <c r="I130" t="s">
        <v>616</v>
      </c>
      <c r="J130">
        <v>33</v>
      </c>
      <c r="K130" t="s">
        <v>626</v>
      </c>
      <c r="L130">
        <v>6</v>
      </c>
      <c r="M130">
        <v>45</v>
      </c>
      <c r="N130">
        <v>48</v>
      </c>
      <c r="O130">
        <v>0</v>
      </c>
    </row>
    <row r="131" spans="2:15" x14ac:dyDescent="0.2">
      <c r="B131" t="s">
        <v>2001</v>
      </c>
      <c r="C131" t="s">
        <v>199</v>
      </c>
      <c r="D131" t="s">
        <v>2002</v>
      </c>
      <c r="E131">
        <v>27</v>
      </c>
      <c r="F131">
        <v>26</v>
      </c>
      <c r="G131" t="s">
        <v>123</v>
      </c>
      <c r="I131" t="s">
        <v>616</v>
      </c>
      <c r="J131">
        <v>33</v>
      </c>
      <c r="K131" t="s">
        <v>626</v>
      </c>
      <c r="L131">
        <v>6</v>
      </c>
      <c r="M131">
        <v>45</v>
      </c>
      <c r="N131">
        <v>48</v>
      </c>
      <c r="O131">
        <v>0</v>
      </c>
    </row>
    <row r="132" spans="2:15" x14ac:dyDescent="0.2">
      <c r="B132" t="s">
        <v>2003</v>
      </c>
      <c r="C132" t="s">
        <v>199</v>
      </c>
      <c r="D132" t="s">
        <v>2004</v>
      </c>
      <c r="G132" t="s">
        <v>123</v>
      </c>
      <c r="I132" t="s">
        <v>616</v>
      </c>
      <c r="J132">
        <v>33</v>
      </c>
      <c r="K132" t="s">
        <v>626</v>
      </c>
      <c r="L132">
        <v>6</v>
      </c>
      <c r="M132">
        <v>45</v>
      </c>
      <c r="N132">
        <v>48</v>
      </c>
      <c r="O132">
        <v>0</v>
      </c>
    </row>
    <row r="133" spans="2:15" x14ac:dyDescent="0.2">
      <c r="B133" t="s">
        <v>2003</v>
      </c>
      <c r="C133" t="s">
        <v>199</v>
      </c>
      <c r="D133" t="s">
        <v>2004</v>
      </c>
      <c r="G133" t="s">
        <v>123</v>
      </c>
      <c r="I133" t="s">
        <v>616</v>
      </c>
      <c r="J133">
        <v>33</v>
      </c>
      <c r="K133" t="s">
        <v>626</v>
      </c>
      <c r="L133">
        <v>6</v>
      </c>
      <c r="M133">
        <v>45</v>
      </c>
      <c r="N133">
        <v>48</v>
      </c>
      <c r="O133">
        <v>0</v>
      </c>
    </row>
    <row r="134" spans="2:15" x14ac:dyDescent="0.2">
      <c r="B134" t="s">
        <v>2003</v>
      </c>
      <c r="C134" t="s">
        <v>199</v>
      </c>
      <c r="D134" t="s">
        <v>2004</v>
      </c>
      <c r="G134" t="s">
        <v>123</v>
      </c>
      <c r="I134" t="s">
        <v>616</v>
      </c>
      <c r="J134">
        <v>33</v>
      </c>
      <c r="K134" t="s">
        <v>626</v>
      </c>
      <c r="L134">
        <v>6</v>
      </c>
      <c r="M134">
        <v>45</v>
      </c>
      <c r="N134">
        <v>48</v>
      </c>
      <c r="O134">
        <v>0</v>
      </c>
    </row>
    <row r="135" spans="2:15" x14ac:dyDescent="0.2">
      <c r="B135" t="s">
        <v>2003</v>
      </c>
      <c r="C135" t="s">
        <v>199</v>
      </c>
      <c r="D135" t="s">
        <v>2004</v>
      </c>
      <c r="G135" t="s">
        <v>123</v>
      </c>
      <c r="I135" t="s">
        <v>616</v>
      </c>
      <c r="J135">
        <v>33</v>
      </c>
      <c r="K135" t="s">
        <v>626</v>
      </c>
      <c r="L135">
        <v>6</v>
      </c>
      <c r="M135">
        <v>45</v>
      </c>
      <c r="N135">
        <v>48</v>
      </c>
      <c r="O135">
        <v>0</v>
      </c>
    </row>
    <row r="136" spans="2:15" x14ac:dyDescent="0.2">
      <c r="B136" t="s">
        <v>1719</v>
      </c>
      <c r="C136" t="s">
        <v>199</v>
      </c>
      <c r="D136" t="s">
        <v>1720</v>
      </c>
      <c r="E136">
        <v>-19</v>
      </c>
      <c r="F136">
        <v>-19</v>
      </c>
      <c r="G136" t="s">
        <v>123</v>
      </c>
      <c r="J136">
        <v>-14</v>
      </c>
      <c r="K136" t="s">
        <v>119</v>
      </c>
      <c r="L136">
        <v>1</v>
      </c>
      <c r="M136">
        <v>50</v>
      </c>
      <c r="N136">
        <v>50</v>
      </c>
      <c r="O136">
        <v>0</v>
      </c>
    </row>
    <row r="137" spans="2:15" x14ac:dyDescent="0.2">
      <c r="B137" t="s">
        <v>1444</v>
      </c>
      <c r="C137" t="s">
        <v>199</v>
      </c>
      <c r="D137" t="s">
        <v>1445</v>
      </c>
      <c r="G137" t="s">
        <v>123</v>
      </c>
      <c r="H137" t="s">
        <v>666</v>
      </c>
      <c r="I137" t="s">
        <v>616</v>
      </c>
      <c r="J137">
        <v>28</v>
      </c>
      <c r="K137" t="s">
        <v>626</v>
      </c>
      <c r="L137">
        <v>6</v>
      </c>
      <c r="M137">
        <v>30</v>
      </c>
      <c r="N137">
        <v>47</v>
      </c>
      <c r="O137">
        <v>0</v>
      </c>
    </row>
    <row r="138" spans="2:15" x14ac:dyDescent="0.2">
      <c r="B138" t="s">
        <v>1444</v>
      </c>
      <c r="C138" t="s">
        <v>199</v>
      </c>
      <c r="D138" t="s">
        <v>1445</v>
      </c>
      <c r="G138" t="s">
        <v>123</v>
      </c>
      <c r="H138" t="s">
        <v>666</v>
      </c>
      <c r="I138" t="s">
        <v>616</v>
      </c>
      <c r="J138">
        <v>28</v>
      </c>
      <c r="K138" t="s">
        <v>626</v>
      </c>
      <c r="L138">
        <v>6</v>
      </c>
      <c r="M138">
        <v>30</v>
      </c>
      <c r="N138">
        <v>47</v>
      </c>
      <c r="O138">
        <v>0</v>
      </c>
    </row>
    <row r="139" spans="2:15" x14ac:dyDescent="0.2">
      <c r="B139" t="s">
        <v>1444</v>
      </c>
      <c r="C139" t="s">
        <v>199</v>
      </c>
      <c r="D139" t="s">
        <v>1445</v>
      </c>
      <c r="G139" t="s">
        <v>123</v>
      </c>
      <c r="H139" t="s">
        <v>666</v>
      </c>
      <c r="I139" t="s">
        <v>616</v>
      </c>
      <c r="J139">
        <v>28</v>
      </c>
      <c r="K139" t="s">
        <v>626</v>
      </c>
      <c r="L139">
        <v>6</v>
      </c>
      <c r="M139">
        <v>30</v>
      </c>
      <c r="N139">
        <v>47</v>
      </c>
      <c r="O139">
        <v>0</v>
      </c>
    </row>
    <row r="140" spans="2:15" x14ac:dyDescent="0.2">
      <c r="B140" t="s">
        <v>1444</v>
      </c>
      <c r="C140" t="s">
        <v>199</v>
      </c>
      <c r="D140" t="s">
        <v>1445</v>
      </c>
      <c r="G140" t="s">
        <v>123</v>
      </c>
      <c r="H140" t="s">
        <v>666</v>
      </c>
      <c r="I140" t="s">
        <v>616</v>
      </c>
      <c r="J140">
        <v>28</v>
      </c>
      <c r="K140" t="s">
        <v>626</v>
      </c>
      <c r="L140">
        <v>6</v>
      </c>
      <c r="M140">
        <v>30</v>
      </c>
      <c r="N140">
        <v>47</v>
      </c>
      <c r="O140">
        <v>0</v>
      </c>
    </row>
    <row r="141" spans="2:15" x14ac:dyDescent="0.2">
      <c r="B141" t="s">
        <v>2005</v>
      </c>
      <c r="C141" t="s">
        <v>199</v>
      </c>
      <c r="D141" t="s">
        <v>2006</v>
      </c>
      <c r="G141" t="s">
        <v>123</v>
      </c>
      <c r="I141" t="s">
        <v>616</v>
      </c>
      <c r="J141">
        <v>31</v>
      </c>
      <c r="K141" t="s">
        <v>626</v>
      </c>
      <c r="L141">
        <v>6</v>
      </c>
      <c r="M141">
        <v>45</v>
      </c>
      <c r="N141">
        <v>42</v>
      </c>
      <c r="O141">
        <v>0</v>
      </c>
    </row>
    <row r="142" spans="2:15" x14ac:dyDescent="0.2">
      <c r="B142" t="s">
        <v>2005</v>
      </c>
      <c r="C142" t="s">
        <v>199</v>
      </c>
      <c r="D142" t="s">
        <v>2006</v>
      </c>
      <c r="G142" t="s">
        <v>123</v>
      </c>
      <c r="I142" t="s">
        <v>616</v>
      </c>
      <c r="J142">
        <v>31</v>
      </c>
      <c r="K142" t="s">
        <v>626</v>
      </c>
      <c r="L142">
        <v>6</v>
      </c>
      <c r="M142">
        <v>45</v>
      </c>
      <c r="N142">
        <v>42</v>
      </c>
      <c r="O142">
        <v>0</v>
      </c>
    </row>
    <row r="143" spans="2:15" x14ac:dyDescent="0.2">
      <c r="B143" t="s">
        <v>2005</v>
      </c>
      <c r="C143" t="s">
        <v>199</v>
      </c>
      <c r="D143" t="s">
        <v>2006</v>
      </c>
      <c r="G143" t="s">
        <v>123</v>
      </c>
      <c r="I143" t="s">
        <v>616</v>
      </c>
      <c r="J143">
        <v>31</v>
      </c>
      <c r="K143" t="s">
        <v>626</v>
      </c>
      <c r="L143">
        <v>6</v>
      </c>
      <c r="M143">
        <v>45</v>
      </c>
      <c r="N143">
        <v>42</v>
      </c>
      <c r="O143">
        <v>0</v>
      </c>
    </row>
    <row r="144" spans="2:15" x14ac:dyDescent="0.2">
      <c r="B144" t="s">
        <v>2005</v>
      </c>
      <c r="C144" t="s">
        <v>199</v>
      </c>
      <c r="D144" t="s">
        <v>2006</v>
      </c>
      <c r="G144" t="s">
        <v>123</v>
      </c>
      <c r="I144" t="s">
        <v>616</v>
      </c>
      <c r="J144">
        <v>31</v>
      </c>
      <c r="K144" t="s">
        <v>626</v>
      </c>
      <c r="L144">
        <v>6</v>
      </c>
      <c r="M144">
        <v>45</v>
      </c>
      <c r="N144">
        <v>42</v>
      </c>
      <c r="O144">
        <v>0</v>
      </c>
    </row>
    <row r="145" spans="2:15" x14ac:dyDescent="0.2">
      <c r="B145" t="s">
        <v>1721</v>
      </c>
      <c r="C145" t="s">
        <v>199</v>
      </c>
      <c r="D145" t="s">
        <v>1722</v>
      </c>
      <c r="E145">
        <v>34</v>
      </c>
      <c r="F145">
        <v>32</v>
      </c>
      <c r="G145" t="s">
        <v>123</v>
      </c>
      <c r="I145" t="s">
        <v>616</v>
      </c>
      <c r="J145">
        <v>37</v>
      </c>
      <c r="K145" t="s">
        <v>626</v>
      </c>
      <c r="L145">
        <v>6</v>
      </c>
      <c r="M145">
        <v>40</v>
      </c>
      <c r="N145">
        <v>47</v>
      </c>
      <c r="O145">
        <v>0</v>
      </c>
    </row>
    <row r="146" spans="2:15" x14ac:dyDescent="0.2">
      <c r="B146" t="s">
        <v>1721</v>
      </c>
      <c r="C146" t="s">
        <v>199</v>
      </c>
      <c r="D146" t="s">
        <v>1722</v>
      </c>
      <c r="E146">
        <v>34</v>
      </c>
      <c r="F146">
        <v>32</v>
      </c>
      <c r="G146" t="s">
        <v>123</v>
      </c>
      <c r="I146" t="s">
        <v>616</v>
      </c>
      <c r="J146">
        <v>37</v>
      </c>
      <c r="K146" t="s">
        <v>626</v>
      </c>
      <c r="L146">
        <v>6</v>
      </c>
      <c r="M146">
        <v>40</v>
      </c>
      <c r="N146">
        <v>47</v>
      </c>
      <c r="O146">
        <v>0</v>
      </c>
    </row>
    <row r="147" spans="2:15" x14ac:dyDescent="0.2">
      <c r="B147" t="s">
        <v>1721</v>
      </c>
      <c r="C147" t="s">
        <v>199</v>
      </c>
      <c r="D147" t="s">
        <v>1722</v>
      </c>
      <c r="E147">
        <v>34</v>
      </c>
      <c r="F147">
        <v>32</v>
      </c>
      <c r="G147" t="s">
        <v>123</v>
      </c>
      <c r="I147" t="s">
        <v>616</v>
      </c>
      <c r="J147">
        <v>37</v>
      </c>
      <c r="K147" t="s">
        <v>626</v>
      </c>
      <c r="L147">
        <v>6</v>
      </c>
      <c r="M147">
        <v>40</v>
      </c>
      <c r="N147">
        <v>47</v>
      </c>
      <c r="O147">
        <v>0</v>
      </c>
    </row>
    <row r="148" spans="2:15" x14ac:dyDescent="0.2">
      <c r="B148" t="s">
        <v>1721</v>
      </c>
      <c r="C148" t="s">
        <v>199</v>
      </c>
      <c r="D148" t="s">
        <v>1722</v>
      </c>
      <c r="E148">
        <v>34</v>
      </c>
      <c r="F148">
        <v>32</v>
      </c>
      <c r="G148" t="s">
        <v>123</v>
      </c>
      <c r="I148" t="s">
        <v>616</v>
      </c>
      <c r="J148">
        <v>37</v>
      </c>
      <c r="K148" t="s">
        <v>626</v>
      </c>
      <c r="L148">
        <v>6</v>
      </c>
      <c r="M148">
        <v>40</v>
      </c>
      <c r="N148">
        <v>47</v>
      </c>
      <c r="O148">
        <v>0</v>
      </c>
    </row>
    <row r="149" spans="2:15" x14ac:dyDescent="0.2">
      <c r="B149" t="s">
        <v>2007</v>
      </c>
      <c r="C149" t="s">
        <v>199</v>
      </c>
      <c r="D149" t="s">
        <v>2008</v>
      </c>
      <c r="E149">
        <v>28</v>
      </c>
      <c r="F149">
        <v>26</v>
      </c>
      <c r="G149" t="s">
        <v>123</v>
      </c>
      <c r="I149" t="s">
        <v>616</v>
      </c>
      <c r="J149">
        <v>31</v>
      </c>
      <c r="K149" t="s">
        <v>626</v>
      </c>
      <c r="L149">
        <v>6</v>
      </c>
      <c r="M149">
        <v>40</v>
      </c>
      <c r="N149">
        <v>42</v>
      </c>
      <c r="O149">
        <v>0</v>
      </c>
    </row>
    <row r="150" spans="2:15" x14ac:dyDescent="0.2">
      <c r="B150" t="s">
        <v>2007</v>
      </c>
      <c r="C150" t="s">
        <v>199</v>
      </c>
      <c r="D150" t="s">
        <v>2008</v>
      </c>
      <c r="E150">
        <v>28</v>
      </c>
      <c r="F150">
        <v>26</v>
      </c>
      <c r="G150" t="s">
        <v>123</v>
      </c>
      <c r="I150" t="s">
        <v>616</v>
      </c>
      <c r="J150">
        <v>31</v>
      </c>
      <c r="K150" t="s">
        <v>626</v>
      </c>
      <c r="L150">
        <v>6</v>
      </c>
      <c r="M150">
        <v>40</v>
      </c>
      <c r="N150">
        <v>42</v>
      </c>
      <c r="O150">
        <v>0</v>
      </c>
    </row>
    <row r="151" spans="2:15" x14ac:dyDescent="0.2">
      <c r="B151" t="s">
        <v>2007</v>
      </c>
      <c r="C151" t="s">
        <v>199</v>
      </c>
      <c r="D151" t="s">
        <v>2008</v>
      </c>
      <c r="E151">
        <v>28</v>
      </c>
      <c r="F151">
        <v>26</v>
      </c>
      <c r="G151" t="s">
        <v>123</v>
      </c>
      <c r="I151" t="s">
        <v>616</v>
      </c>
      <c r="J151">
        <v>31</v>
      </c>
      <c r="K151" t="s">
        <v>626</v>
      </c>
      <c r="L151">
        <v>6</v>
      </c>
      <c r="M151">
        <v>40</v>
      </c>
      <c r="N151">
        <v>42</v>
      </c>
      <c r="O151">
        <v>0</v>
      </c>
    </row>
    <row r="152" spans="2:15" x14ac:dyDescent="0.2">
      <c r="B152" t="s">
        <v>2007</v>
      </c>
      <c r="C152" t="s">
        <v>199</v>
      </c>
      <c r="D152" t="s">
        <v>2008</v>
      </c>
      <c r="E152">
        <v>28</v>
      </c>
      <c r="F152">
        <v>26</v>
      </c>
      <c r="G152" t="s">
        <v>123</v>
      </c>
      <c r="I152" t="s">
        <v>616</v>
      </c>
      <c r="J152">
        <v>31</v>
      </c>
      <c r="K152" t="s">
        <v>626</v>
      </c>
      <c r="L152">
        <v>6</v>
      </c>
      <c r="M152">
        <v>40</v>
      </c>
      <c r="N152">
        <v>42</v>
      </c>
      <c r="O152">
        <v>0</v>
      </c>
    </row>
    <row r="153" spans="2:15" x14ac:dyDescent="0.2">
      <c r="B153" t="s">
        <v>1723</v>
      </c>
      <c r="C153" t="s">
        <v>199</v>
      </c>
      <c r="D153" t="s">
        <v>1724</v>
      </c>
      <c r="E153">
        <v>34</v>
      </c>
      <c r="F153">
        <v>33</v>
      </c>
      <c r="G153" t="s">
        <v>123</v>
      </c>
      <c r="I153" t="s">
        <v>616</v>
      </c>
      <c r="J153">
        <v>37</v>
      </c>
      <c r="K153" t="s">
        <v>626</v>
      </c>
      <c r="L153">
        <v>6</v>
      </c>
      <c r="M153">
        <v>40</v>
      </c>
      <c r="N153">
        <v>47</v>
      </c>
      <c r="O153">
        <v>0</v>
      </c>
    </row>
    <row r="154" spans="2:15" x14ac:dyDescent="0.2">
      <c r="B154" t="s">
        <v>1723</v>
      </c>
      <c r="C154" t="s">
        <v>199</v>
      </c>
      <c r="D154" t="s">
        <v>1724</v>
      </c>
      <c r="E154">
        <v>34</v>
      </c>
      <c r="F154">
        <v>33</v>
      </c>
      <c r="G154" t="s">
        <v>123</v>
      </c>
      <c r="I154" t="s">
        <v>616</v>
      </c>
      <c r="J154">
        <v>37</v>
      </c>
      <c r="K154" t="s">
        <v>626</v>
      </c>
      <c r="L154">
        <v>6</v>
      </c>
      <c r="M154">
        <v>40</v>
      </c>
      <c r="N154">
        <v>47</v>
      </c>
      <c r="O154">
        <v>0</v>
      </c>
    </row>
    <row r="155" spans="2:15" x14ac:dyDescent="0.2">
      <c r="B155" t="s">
        <v>1723</v>
      </c>
      <c r="C155" t="s">
        <v>199</v>
      </c>
      <c r="D155" t="s">
        <v>1724</v>
      </c>
      <c r="E155">
        <v>34</v>
      </c>
      <c r="F155">
        <v>33</v>
      </c>
      <c r="G155" t="s">
        <v>123</v>
      </c>
      <c r="I155" t="s">
        <v>616</v>
      </c>
      <c r="J155">
        <v>37</v>
      </c>
      <c r="K155" t="s">
        <v>626</v>
      </c>
      <c r="L155">
        <v>6</v>
      </c>
      <c r="M155">
        <v>40</v>
      </c>
      <c r="N155">
        <v>47</v>
      </c>
      <c r="O155">
        <v>0</v>
      </c>
    </row>
    <row r="156" spans="2:15" x14ac:dyDescent="0.2">
      <c r="B156" t="s">
        <v>1723</v>
      </c>
      <c r="C156" t="s">
        <v>199</v>
      </c>
      <c r="D156" t="s">
        <v>1724</v>
      </c>
      <c r="E156">
        <v>34</v>
      </c>
      <c r="F156">
        <v>33</v>
      </c>
      <c r="G156" t="s">
        <v>123</v>
      </c>
      <c r="I156" t="s">
        <v>616</v>
      </c>
      <c r="J156">
        <v>37</v>
      </c>
      <c r="K156" t="s">
        <v>626</v>
      </c>
      <c r="L156">
        <v>6</v>
      </c>
      <c r="M156">
        <v>40</v>
      </c>
      <c r="N156">
        <v>47</v>
      </c>
      <c r="O156">
        <v>0</v>
      </c>
    </row>
    <row r="157" spans="2:15" x14ac:dyDescent="0.2">
      <c r="B157" t="s">
        <v>2009</v>
      </c>
      <c r="C157" t="s">
        <v>199</v>
      </c>
      <c r="D157" t="s">
        <v>2010</v>
      </c>
      <c r="E157">
        <v>28</v>
      </c>
      <c r="F157">
        <v>27</v>
      </c>
      <c r="G157" t="s">
        <v>123</v>
      </c>
      <c r="I157" t="s">
        <v>616</v>
      </c>
      <c r="J157">
        <v>31</v>
      </c>
      <c r="K157" t="s">
        <v>626</v>
      </c>
      <c r="L157">
        <v>6</v>
      </c>
      <c r="M157">
        <v>40</v>
      </c>
      <c r="N157">
        <v>42</v>
      </c>
      <c r="O157">
        <v>0</v>
      </c>
    </row>
    <row r="158" spans="2:15" x14ac:dyDescent="0.2">
      <c r="B158" t="s">
        <v>2009</v>
      </c>
      <c r="C158" t="s">
        <v>199</v>
      </c>
      <c r="D158" t="s">
        <v>2010</v>
      </c>
      <c r="E158">
        <v>28</v>
      </c>
      <c r="F158">
        <v>27</v>
      </c>
      <c r="G158" t="s">
        <v>123</v>
      </c>
      <c r="I158" t="s">
        <v>616</v>
      </c>
      <c r="J158">
        <v>31</v>
      </c>
      <c r="K158" t="s">
        <v>626</v>
      </c>
      <c r="L158">
        <v>6</v>
      </c>
      <c r="M158">
        <v>40</v>
      </c>
      <c r="N158">
        <v>42</v>
      </c>
      <c r="O158">
        <v>0</v>
      </c>
    </row>
    <row r="159" spans="2:15" x14ac:dyDescent="0.2">
      <c r="B159" t="s">
        <v>2009</v>
      </c>
      <c r="C159" t="s">
        <v>199</v>
      </c>
      <c r="D159" t="s">
        <v>2010</v>
      </c>
      <c r="E159">
        <v>28</v>
      </c>
      <c r="F159">
        <v>27</v>
      </c>
      <c r="G159" t="s">
        <v>123</v>
      </c>
      <c r="I159" t="s">
        <v>616</v>
      </c>
      <c r="J159">
        <v>31</v>
      </c>
      <c r="K159" t="s">
        <v>626</v>
      </c>
      <c r="L159">
        <v>6</v>
      </c>
      <c r="M159">
        <v>40</v>
      </c>
      <c r="N159">
        <v>42</v>
      </c>
      <c r="O159">
        <v>0</v>
      </c>
    </row>
    <row r="160" spans="2:15" x14ac:dyDescent="0.2">
      <c r="B160" t="s">
        <v>2009</v>
      </c>
      <c r="C160" t="s">
        <v>199</v>
      </c>
      <c r="D160" t="s">
        <v>2010</v>
      </c>
      <c r="E160">
        <v>28</v>
      </c>
      <c r="F160">
        <v>27</v>
      </c>
      <c r="G160" t="s">
        <v>123</v>
      </c>
      <c r="I160" t="s">
        <v>616</v>
      </c>
      <c r="J160">
        <v>31</v>
      </c>
      <c r="K160" t="s">
        <v>626</v>
      </c>
      <c r="L160">
        <v>6</v>
      </c>
      <c r="M160">
        <v>40</v>
      </c>
      <c r="N160">
        <v>42</v>
      </c>
      <c r="O160">
        <v>0</v>
      </c>
    </row>
    <row r="161" spans="2:15" x14ac:dyDescent="0.2">
      <c r="B161" t="s">
        <v>2011</v>
      </c>
      <c r="C161" t="s">
        <v>199</v>
      </c>
      <c r="D161" t="s">
        <v>2012</v>
      </c>
      <c r="G161" t="s">
        <v>123</v>
      </c>
      <c r="I161" t="s">
        <v>616</v>
      </c>
      <c r="J161">
        <v>31</v>
      </c>
      <c r="K161" t="s">
        <v>626</v>
      </c>
      <c r="L161">
        <v>6</v>
      </c>
      <c r="M161">
        <v>60</v>
      </c>
      <c r="N161">
        <v>47</v>
      </c>
      <c r="O161">
        <v>0</v>
      </c>
    </row>
    <row r="162" spans="2:15" x14ac:dyDescent="0.2">
      <c r="B162" t="s">
        <v>2011</v>
      </c>
      <c r="C162" t="s">
        <v>199</v>
      </c>
      <c r="D162" t="s">
        <v>2012</v>
      </c>
      <c r="G162" t="s">
        <v>123</v>
      </c>
      <c r="I162" t="s">
        <v>616</v>
      </c>
      <c r="J162">
        <v>31</v>
      </c>
      <c r="K162" t="s">
        <v>626</v>
      </c>
      <c r="L162">
        <v>6</v>
      </c>
      <c r="M162">
        <v>60</v>
      </c>
      <c r="N162">
        <v>47</v>
      </c>
      <c r="O162">
        <v>0</v>
      </c>
    </row>
    <row r="163" spans="2:15" x14ac:dyDescent="0.2">
      <c r="B163" t="s">
        <v>2011</v>
      </c>
      <c r="C163" t="s">
        <v>199</v>
      </c>
      <c r="D163" t="s">
        <v>2012</v>
      </c>
      <c r="G163" t="s">
        <v>123</v>
      </c>
      <c r="I163" t="s">
        <v>616</v>
      </c>
      <c r="J163">
        <v>31</v>
      </c>
      <c r="K163" t="s">
        <v>626</v>
      </c>
      <c r="L163">
        <v>6</v>
      </c>
      <c r="M163">
        <v>60</v>
      </c>
      <c r="N163">
        <v>47</v>
      </c>
      <c r="O163">
        <v>0</v>
      </c>
    </row>
    <row r="164" spans="2:15" x14ac:dyDescent="0.2">
      <c r="B164" t="s">
        <v>2011</v>
      </c>
      <c r="C164" t="s">
        <v>199</v>
      </c>
      <c r="D164" t="s">
        <v>2012</v>
      </c>
      <c r="G164" t="s">
        <v>123</v>
      </c>
      <c r="I164" t="s">
        <v>616</v>
      </c>
      <c r="J164">
        <v>31</v>
      </c>
      <c r="K164" t="s">
        <v>626</v>
      </c>
      <c r="L164">
        <v>6</v>
      </c>
      <c r="M164">
        <v>60</v>
      </c>
      <c r="N164">
        <v>47</v>
      </c>
      <c r="O164">
        <v>0</v>
      </c>
    </row>
    <row r="165" spans="2:15" x14ac:dyDescent="0.2">
      <c r="B165" t="s">
        <v>1725</v>
      </c>
      <c r="C165" t="s">
        <v>199</v>
      </c>
      <c r="D165" t="s">
        <v>1726</v>
      </c>
      <c r="G165" t="s">
        <v>123</v>
      </c>
      <c r="I165" t="s">
        <v>616</v>
      </c>
      <c r="J165">
        <v>31</v>
      </c>
      <c r="K165" t="s">
        <v>626</v>
      </c>
      <c r="L165">
        <v>6</v>
      </c>
      <c r="M165">
        <v>60</v>
      </c>
      <c r="N165">
        <v>47</v>
      </c>
      <c r="O165">
        <v>0</v>
      </c>
    </row>
    <row r="166" spans="2:15" x14ac:dyDescent="0.2">
      <c r="B166" t="s">
        <v>1725</v>
      </c>
      <c r="C166" t="s">
        <v>199</v>
      </c>
      <c r="D166" t="s">
        <v>1726</v>
      </c>
      <c r="G166" t="s">
        <v>123</v>
      </c>
      <c r="I166" t="s">
        <v>616</v>
      </c>
      <c r="J166">
        <v>31</v>
      </c>
      <c r="K166" t="s">
        <v>626</v>
      </c>
      <c r="L166">
        <v>6</v>
      </c>
      <c r="M166">
        <v>60</v>
      </c>
      <c r="N166">
        <v>47</v>
      </c>
      <c r="O166">
        <v>0</v>
      </c>
    </row>
    <row r="167" spans="2:15" x14ac:dyDescent="0.2">
      <c r="B167" t="s">
        <v>1725</v>
      </c>
      <c r="C167" t="s">
        <v>199</v>
      </c>
      <c r="D167" t="s">
        <v>1726</v>
      </c>
      <c r="G167" t="s">
        <v>123</v>
      </c>
      <c r="I167" t="s">
        <v>616</v>
      </c>
      <c r="J167">
        <v>31</v>
      </c>
      <c r="K167" t="s">
        <v>626</v>
      </c>
      <c r="L167">
        <v>6</v>
      </c>
      <c r="M167">
        <v>60</v>
      </c>
      <c r="N167">
        <v>47</v>
      </c>
      <c r="O167">
        <v>0</v>
      </c>
    </row>
    <row r="168" spans="2:15" x14ac:dyDescent="0.2">
      <c r="B168" t="s">
        <v>1725</v>
      </c>
      <c r="C168" t="s">
        <v>199</v>
      </c>
      <c r="D168" t="s">
        <v>1726</v>
      </c>
      <c r="G168" t="s">
        <v>123</v>
      </c>
      <c r="I168" t="s">
        <v>616</v>
      </c>
      <c r="J168">
        <v>31</v>
      </c>
      <c r="K168" t="s">
        <v>626</v>
      </c>
      <c r="L168">
        <v>6</v>
      </c>
      <c r="M168">
        <v>60</v>
      </c>
      <c r="N168">
        <v>47</v>
      </c>
      <c r="O168">
        <v>0</v>
      </c>
    </row>
    <row r="169" spans="2:15" x14ac:dyDescent="0.2">
      <c r="B169" t="s">
        <v>2013</v>
      </c>
      <c r="C169" t="s">
        <v>199</v>
      </c>
      <c r="D169" t="s">
        <v>2014</v>
      </c>
      <c r="E169">
        <v>28</v>
      </c>
      <c r="F169">
        <v>26</v>
      </c>
      <c r="G169" t="s">
        <v>123</v>
      </c>
      <c r="I169" t="s">
        <v>616</v>
      </c>
      <c r="J169">
        <v>32</v>
      </c>
      <c r="K169" t="s">
        <v>626</v>
      </c>
      <c r="L169">
        <v>6</v>
      </c>
      <c r="M169">
        <v>40</v>
      </c>
      <c r="N169">
        <v>47</v>
      </c>
      <c r="O169">
        <v>0</v>
      </c>
    </row>
    <row r="170" spans="2:15" x14ac:dyDescent="0.2">
      <c r="B170" t="s">
        <v>2013</v>
      </c>
      <c r="C170" t="s">
        <v>199</v>
      </c>
      <c r="D170" t="s">
        <v>2014</v>
      </c>
      <c r="E170">
        <v>28</v>
      </c>
      <c r="F170">
        <v>26</v>
      </c>
      <c r="G170" t="s">
        <v>123</v>
      </c>
      <c r="I170" t="s">
        <v>616</v>
      </c>
      <c r="J170">
        <v>32</v>
      </c>
      <c r="K170" t="s">
        <v>626</v>
      </c>
      <c r="L170">
        <v>6</v>
      </c>
      <c r="M170">
        <v>40</v>
      </c>
      <c r="N170">
        <v>47</v>
      </c>
      <c r="O170">
        <v>0</v>
      </c>
    </row>
    <row r="171" spans="2:15" x14ac:dyDescent="0.2">
      <c r="B171" t="s">
        <v>2015</v>
      </c>
      <c r="C171" t="s">
        <v>199</v>
      </c>
      <c r="D171" t="s">
        <v>2016</v>
      </c>
      <c r="G171" t="s">
        <v>123</v>
      </c>
      <c r="I171" t="s">
        <v>616</v>
      </c>
      <c r="J171">
        <v>32</v>
      </c>
      <c r="K171" t="s">
        <v>626</v>
      </c>
      <c r="L171">
        <v>6</v>
      </c>
      <c r="M171">
        <v>60</v>
      </c>
      <c r="N171">
        <v>47</v>
      </c>
      <c r="O171">
        <v>0</v>
      </c>
    </row>
    <row r="172" spans="2:15" x14ac:dyDescent="0.2">
      <c r="B172" t="s">
        <v>2015</v>
      </c>
      <c r="C172" t="s">
        <v>199</v>
      </c>
      <c r="D172" t="s">
        <v>2016</v>
      </c>
      <c r="G172" t="s">
        <v>123</v>
      </c>
      <c r="I172" t="s">
        <v>616</v>
      </c>
      <c r="J172">
        <v>32</v>
      </c>
      <c r="K172" t="s">
        <v>626</v>
      </c>
      <c r="L172">
        <v>6</v>
      </c>
      <c r="M172">
        <v>60</v>
      </c>
      <c r="N172">
        <v>47</v>
      </c>
      <c r="O172">
        <v>0</v>
      </c>
    </row>
    <row r="173" spans="2:15" x14ac:dyDescent="0.2">
      <c r="B173" t="s">
        <v>1727</v>
      </c>
      <c r="C173" t="s">
        <v>199</v>
      </c>
      <c r="D173" t="s">
        <v>1728</v>
      </c>
      <c r="G173" t="s">
        <v>123</v>
      </c>
      <c r="I173" t="s">
        <v>616</v>
      </c>
      <c r="J173">
        <v>30</v>
      </c>
      <c r="K173" t="s">
        <v>626</v>
      </c>
      <c r="L173">
        <v>6</v>
      </c>
      <c r="M173">
        <v>60</v>
      </c>
      <c r="N173">
        <v>47</v>
      </c>
      <c r="O173">
        <v>0</v>
      </c>
    </row>
    <row r="174" spans="2:15" x14ac:dyDescent="0.2">
      <c r="B174" t="s">
        <v>1727</v>
      </c>
      <c r="C174" t="s">
        <v>199</v>
      </c>
      <c r="D174" t="s">
        <v>1728</v>
      </c>
      <c r="G174" t="s">
        <v>123</v>
      </c>
      <c r="I174" t="s">
        <v>616</v>
      </c>
      <c r="J174">
        <v>30</v>
      </c>
      <c r="K174" t="s">
        <v>626</v>
      </c>
      <c r="L174">
        <v>6</v>
      </c>
      <c r="M174">
        <v>60</v>
      </c>
      <c r="N174">
        <v>47</v>
      </c>
      <c r="O174">
        <v>0</v>
      </c>
    </row>
    <row r="175" spans="2:15" x14ac:dyDescent="0.2">
      <c r="B175" t="s">
        <v>1727</v>
      </c>
      <c r="C175" t="s">
        <v>199</v>
      </c>
      <c r="D175" t="s">
        <v>1728</v>
      </c>
      <c r="G175" t="s">
        <v>123</v>
      </c>
      <c r="I175" t="s">
        <v>616</v>
      </c>
      <c r="J175">
        <v>30</v>
      </c>
      <c r="K175" t="s">
        <v>626</v>
      </c>
      <c r="L175">
        <v>6</v>
      </c>
      <c r="M175">
        <v>60</v>
      </c>
      <c r="N175">
        <v>47</v>
      </c>
      <c r="O175">
        <v>0</v>
      </c>
    </row>
    <row r="176" spans="2:15" x14ac:dyDescent="0.2">
      <c r="B176" t="s">
        <v>1727</v>
      </c>
      <c r="C176" t="s">
        <v>199</v>
      </c>
      <c r="D176" t="s">
        <v>1728</v>
      </c>
      <c r="G176" t="s">
        <v>123</v>
      </c>
      <c r="I176" t="s">
        <v>616</v>
      </c>
      <c r="J176">
        <v>30</v>
      </c>
      <c r="K176" t="s">
        <v>626</v>
      </c>
      <c r="L176">
        <v>6</v>
      </c>
      <c r="M176">
        <v>60</v>
      </c>
      <c r="N176">
        <v>47</v>
      </c>
      <c r="O176">
        <v>0</v>
      </c>
    </row>
    <row r="177" spans="2:27" x14ac:dyDescent="0.2">
      <c r="B177" t="s">
        <v>1446</v>
      </c>
      <c r="C177" t="s">
        <v>199</v>
      </c>
      <c r="D177" t="s">
        <v>1447</v>
      </c>
      <c r="E177">
        <v>28</v>
      </c>
      <c r="F177">
        <v>26</v>
      </c>
      <c r="G177" t="s">
        <v>123</v>
      </c>
      <c r="H177" t="s">
        <v>666</v>
      </c>
      <c r="J177">
        <v>31</v>
      </c>
      <c r="K177" t="s">
        <v>626</v>
      </c>
      <c r="L177">
        <v>6</v>
      </c>
      <c r="M177">
        <v>40</v>
      </c>
      <c r="N177">
        <v>47</v>
      </c>
    </row>
    <row r="178" spans="2:27" x14ac:dyDescent="0.2">
      <c r="B178" t="s">
        <v>1446</v>
      </c>
      <c r="C178" t="s">
        <v>199</v>
      </c>
      <c r="D178" t="s">
        <v>1447</v>
      </c>
      <c r="E178">
        <v>28</v>
      </c>
      <c r="F178">
        <v>26</v>
      </c>
      <c r="G178" t="s">
        <v>123</v>
      </c>
      <c r="H178" t="s">
        <v>666</v>
      </c>
      <c r="J178">
        <v>31</v>
      </c>
      <c r="K178" t="s">
        <v>626</v>
      </c>
      <c r="L178">
        <v>6</v>
      </c>
      <c r="M178">
        <v>40</v>
      </c>
      <c r="N178">
        <v>47</v>
      </c>
      <c r="P178" t="s">
        <v>1059</v>
      </c>
      <c r="U178" t="s">
        <v>1059</v>
      </c>
      <c r="AA178" t="s">
        <v>1059</v>
      </c>
    </row>
    <row r="179" spans="2:27" x14ac:dyDescent="0.2">
      <c r="B179" t="s">
        <v>1446</v>
      </c>
      <c r="C179" t="s">
        <v>199</v>
      </c>
      <c r="D179" t="s">
        <v>1447</v>
      </c>
      <c r="E179">
        <v>28</v>
      </c>
      <c r="F179">
        <v>26</v>
      </c>
      <c r="G179" t="s">
        <v>123</v>
      </c>
      <c r="H179" t="s">
        <v>666</v>
      </c>
      <c r="J179">
        <v>31</v>
      </c>
      <c r="K179" t="s">
        <v>626</v>
      </c>
      <c r="L179">
        <v>6</v>
      </c>
      <c r="M179">
        <v>40</v>
      </c>
      <c r="N179">
        <v>47</v>
      </c>
    </row>
    <row r="180" spans="2:27" x14ac:dyDescent="0.2">
      <c r="B180" t="s">
        <v>1446</v>
      </c>
      <c r="C180" t="s">
        <v>199</v>
      </c>
      <c r="D180" t="s">
        <v>1447</v>
      </c>
      <c r="E180">
        <v>28</v>
      </c>
      <c r="F180">
        <v>26</v>
      </c>
      <c r="G180" t="s">
        <v>123</v>
      </c>
      <c r="H180" t="s">
        <v>666</v>
      </c>
      <c r="J180">
        <v>31</v>
      </c>
      <c r="K180" t="s">
        <v>626</v>
      </c>
      <c r="L180">
        <v>6</v>
      </c>
      <c r="M180">
        <v>40</v>
      </c>
      <c r="N180">
        <v>47</v>
      </c>
    </row>
    <row r="181" spans="2:27" x14ac:dyDescent="0.2">
      <c r="B181" t="s">
        <v>1729</v>
      </c>
      <c r="C181" t="s">
        <v>201</v>
      </c>
      <c r="D181" t="s">
        <v>1731</v>
      </c>
      <c r="E181">
        <v>-19</v>
      </c>
      <c r="F181">
        <v>-19</v>
      </c>
      <c r="G181" t="s">
        <v>123</v>
      </c>
      <c r="H181" t="s">
        <v>1459</v>
      </c>
      <c r="I181" t="s">
        <v>123</v>
      </c>
      <c r="J181">
        <v>-8</v>
      </c>
      <c r="K181" t="s">
        <v>119</v>
      </c>
      <c r="L181">
        <v>1</v>
      </c>
      <c r="M181">
        <v>46</v>
      </c>
      <c r="N181">
        <v>60</v>
      </c>
      <c r="O181">
        <v>11</v>
      </c>
    </row>
    <row r="182" spans="2:27" x14ac:dyDescent="0.2">
      <c r="B182" t="s">
        <v>1729</v>
      </c>
      <c r="C182" t="s">
        <v>201</v>
      </c>
      <c r="D182" t="s">
        <v>1731</v>
      </c>
      <c r="E182">
        <v>-19</v>
      </c>
      <c r="F182">
        <v>-19</v>
      </c>
      <c r="G182" t="s">
        <v>123</v>
      </c>
      <c r="H182" t="s">
        <v>1459</v>
      </c>
      <c r="I182" t="s">
        <v>123</v>
      </c>
      <c r="J182">
        <v>-8</v>
      </c>
      <c r="K182" t="s">
        <v>119</v>
      </c>
      <c r="L182">
        <v>1</v>
      </c>
      <c r="M182">
        <v>46</v>
      </c>
      <c r="N182">
        <v>60</v>
      </c>
      <c r="O182">
        <v>11</v>
      </c>
    </row>
    <row r="183" spans="2:27" x14ac:dyDescent="0.2">
      <c r="B183" t="s">
        <v>1729</v>
      </c>
      <c r="C183" t="s">
        <v>1730</v>
      </c>
      <c r="D183" t="s">
        <v>1731</v>
      </c>
      <c r="E183">
        <v>-19</v>
      </c>
      <c r="F183">
        <v>-19</v>
      </c>
      <c r="G183" t="s">
        <v>123</v>
      </c>
      <c r="I183" t="s">
        <v>123</v>
      </c>
      <c r="J183">
        <v>-8</v>
      </c>
      <c r="K183" t="s">
        <v>119</v>
      </c>
      <c r="L183">
        <v>1</v>
      </c>
      <c r="M183">
        <v>46</v>
      </c>
      <c r="N183">
        <v>60</v>
      </c>
      <c r="O183">
        <v>11</v>
      </c>
    </row>
    <row r="184" spans="2:27" x14ac:dyDescent="0.2">
      <c r="B184" t="s">
        <v>1729</v>
      </c>
      <c r="C184" t="s">
        <v>201</v>
      </c>
      <c r="D184" t="s">
        <v>1731</v>
      </c>
      <c r="E184">
        <v>-19</v>
      </c>
      <c r="F184">
        <v>-19</v>
      </c>
      <c r="G184" t="s">
        <v>123</v>
      </c>
      <c r="H184" t="s">
        <v>1459</v>
      </c>
      <c r="I184" t="s">
        <v>123</v>
      </c>
      <c r="J184">
        <v>-8</v>
      </c>
      <c r="K184" t="s">
        <v>119</v>
      </c>
      <c r="L184">
        <v>1</v>
      </c>
      <c r="M184">
        <v>46</v>
      </c>
      <c r="N184">
        <v>60</v>
      </c>
      <c r="O184">
        <v>11</v>
      </c>
    </row>
    <row r="185" spans="2:27" x14ac:dyDescent="0.2">
      <c r="B185" t="s">
        <v>1729</v>
      </c>
      <c r="C185" t="s">
        <v>1730</v>
      </c>
      <c r="D185" t="s">
        <v>1731</v>
      </c>
      <c r="E185">
        <v>-19</v>
      </c>
      <c r="F185">
        <v>-19</v>
      </c>
      <c r="G185" t="s">
        <v>123</v>
      </c>
      <c r="I185" t="s">
        <v>123</v>
      </c>
      <c r="J185">
        <v>-8</v>
      </c>
      <c r="K185" t="s">
        <v>119</v>
      </c>
      <c r="L185">
        <v>1</v>
      </c>
      <c r="M185">
        <v>46</v>
      </c>
      <c r="N185">
        <v>60</v>
      </c>
      <c r="O185">
        <v>11</v>
      </c>
    </row>
    <row r="186" spans="2:27" x14ac:dyDescent="0.2">
      <c r="B186" t="s">
        <v>1729</v>
      </c>
      <c r="C186" t="s">
        <v>1730</v>
      </c>
      <c r="D186" t="s">
        <v>1731</v>
      </c>
      <c r="E186">
        <v>-19</v>
      </c>
      <c r="F186">
        <v>-19</v>
      </c>
      <c r="G186" t="s">
        <v>123</v>
      </c>
      <c r="I186" t="s">
        <v>123</v>
      </c>
      <c r="J186">
        <v>-8</v>
      </c>
      <c r="K186" t="s">
        <v>119</v>
      </c>
      <c r="L186">
        <v>1</v>
      </c>
      <c r="M186">
        <v>46</v>
      </c>
      <c r="N186">
        <v>60</v>
      </c>
      <c r="O186">
        <v>11</v>
      </c>
    </row>
    <row r="187" spans="2:27" x14ac:dyDescent="0.2">
      <c r="B187" t="s">
        <v>1729</v>
      </c>
      <c r="C187" t="s">
        <v>1730</v>
      </c>
      <c r="D187" t="s">
        <v>1731</v>
      </c>
      <c r="E187">
        <v>-19</v>
      </c>
      <c r="F187">
        <v>-19</v>
      </c>
      <c r="G187" t="s">
        <v>123</v>
      </c>
      <c r="I187" t="s">
        <v>123</v>
      </c>
      <c r="J187">
        <v>-8</v>
      </c>
      <c r="K187" t="s">
        <v>119</v>
      </c>
      <c r="L187">
        <v>1</v>
      </c>
      <c r="M187">
        <v>46</v>
      </c>
      <c r="N187">
        <v>60</v>
      </c>
      <c r="O187">
        <v>11</v>
      </c>
    </row>
    <row r="188" spans="2:27" x14ac:dyDescent="0.2">
      <c r="B188" t="s">
        <v>1729</v>
      </c>
      <c r="C188" t="s">
        <v>201</v>
      </c>
      <c r="D188" t="s">
        <v>1731</v>
      </c>
      <c r="E188">
        <v>-19</v>
      </c>
      <c r="F188">
        <v>-19</v>
      </c>
      <c r="G188" t="s">
        <v>123</v>
      </c>
      <c r="H188" t="s">
        <v>1459</v>
      </c>
      <c r="I188" t="s">
        <v>123</v>
      </c>
      <c r="J188">
        <v>-8</v>
      </c>
      <c r="K188" t="s">
        <v>119</v>
      </c>
      <c r="L188">
        <v>1</v>
      </c>
      <c r="M188">
        <v>46</v>
      </c>
      <c r="N188">
        <v>60</v>
      </c>
      <c r="O188">
        <v>11</v>
      </c>
    </row>
    <row r="189" spans="2:27" x14ac:dyDescent="0.2">
      <c r="B189" t="s">
        <v>1732</v>
      </c>
      <c r="C189" t="s">
        <v>201</v>
      </c>
      <c r="D189" t="s">
        <v>1733</v>
      </c>
      <c r="E189">
        <v>-11</v>
      </c>
      <c r="F189">
        <v>-11</v>
      </c>
      <c r="G189" t="s">
        <v>123</v>
      </c>
      <c r="H189" t="s">
        <v>1459</v>
      </c>
      <c r="I189" t="s">
        <v>123</v>
      </c>
      <c r="J189">
        <v>-1</v>
      </c>
      <c r="K189" t="s">
        <v>119</v>
      </c>
      <c r="L189">
        <v>1</v>
      </c>
      <c r="M189">
        <v>46</v>
      </c>
      <c r="N189">
        <v>60</v>
      </c>
      <c r="O189">
        <v>11</v>
      </c>
    </row>
    <row r="190" spans="2:27" x14ac:dyDescent="0.2">
      <c r="B190" t="s">
        <v>1732</v>
      </c>
      <c r="C190" t="s">
        <v>1730</v>
      </c>
      <c r="D190" t="s">
        <v>1733</v>
      </c>
      <c r="E190">
        <v>-12</v>
      </c>
      <c r="F190">
        <v>-12</v>
      </c>
      <c r="G190" t="s">
        <v>123</v>
      </c>
      <c r="I190" t="s">
        <v>123</v>
      </c>
      <c r="J190">
        <v>-1</v>
      </c>
      <c r="K190" t="s">
        <v>119</v>
      </c>
      <c r="L190">
        <v>1</v>
      </c>
      <c r="M190">
        <v>46</v>
      </c>
      <c r="N190">
        <v>60</v>
      </c>
      <c r="O190">
        <v>11</v>
      </c>
    </row>
    <row r="191" spans="2:27" x14ac:dyDescent="0.2">
      <c r="B191" t="s">
        <v>1732</v>
      </c>
      <c r="C191" t="s">
        <v>201</v>
      </c>
      <c r="D191" t="s">
        <v>1733</v>
      </c>
      <c r="E191">
        <v>-11</v>
      </c>
      <c r="F191">
        <v>-11</v>
      </c>
      <c r="G191" t="s">
        <v>123</v>
      </c>
      <c r="H191" t="s">
        <v>1459</v>
      </c>
      <c r="I191" t="s">
        <v>123</v>
      </c>
      <c r="J191">
        <v>-1</v>
      </c>
      <c r="K191" t="s">
        <v>119</v>
      </c>
      <c r="L191">
        <v>1</v>
      </c>
      <c r="M191">
        <v>46</v>
      </c>
      <c r="N191">
        <v>60</v>
      </c>
      <c r="O191">
        <v>11</v>
      </c>
    </row>
    <row r="192" spans="2:27" x14ac:dyDescent="0.2">
      <c r="B192" t="s">
        <v>1732</v>
      </c>
      <c r="C192" t="s">
        <v>201</v>
      </c>
      <c r="D192" t="s">
        <v>1733</v>
      </c>
      <c r="E192">
        <v>-11</v>
      </c>
      <c r="F192">
        <v>-11</v>
      </c>
      <c r="G192" t="s">
        <v>123</v>
      </c>
      <c r="H192" t="s">
        <v>1459</v>
      </c>
      <c r="I192" t="s">
        <v>123</v>
      </c>
      <c r="J192">
        <v>-1</v>
      </c>
      <c r="K192" t="s">
        <v>119</v>
      </c>
      <c r="L192">
        <v>1</v>
      </c>
      <c r="M192">
        <v>46</v>
      </c>
      <c r="N192">
        <v>60</v>
      </c>
      <c r="O192">
        <v>11</v>
      </c>
    </row>
    <row r="193" spans="2:15" x14ac:dyDescent="0.2">
      <c r="B193" t="s">
        <v>1732</v>
      </c>
      <c r="C193" t="s">
        <v>1730</v>
      </c>
      <c r="D193" t="s">
        <v>1733</v>
      </c>
      <c r="E193">
        <v>-12</v>
      </c>
      <c r="F193">
        <v>-12</v>
      </c>
      <c r="G193" t="s">
        <v>123</v>
      </c>
      <c r="I193" t="s">
        <v>123</v>
      </c>
      <c r="J193">
        <v>-1</v>
      </c>
      <c r="K193" t="s">
        <v>119</v>
      </c>
      <c r="L193">
        <v>1</v>
      </c>
      <c r="M193">
        <v>46</v>
      </c>
      <c r="N193">
        <v>60</v>
      </c>
      <c r="O193">
        <v>11</v>
      </c>
    </row>
    <row r="194" spans="2:15" x14ac:dyDescent="0.2">
      <c r="B194" t="s">
        <v>1732</v>
      </c>
      <c r="C194" t="s">
        <v>1730</v>
      </c>
      <c r="D194" t="s">
        <v>1733</v>
      </c>
      <c r="E194">
        <v>-12</v>
      </c>
      <c r="F194">
        <v>-12</v>
      </c>
      <c r="G194" t="s">
        <v>123</v>
      </c>
      <c r="I194" t="s">
        <v>123</v>
      </c>
      <c r="J194">
        <v>-1</v>
      </c>
      <c r="K194" t="s">
        <v>119</v>
      </c>
      <c r="L194">
        <v>1</v>
      </c>
      <c r="M194">
        <v>46</v>
      </c>
      <c r="N194">
        <v>60</v>
      </c>
      <c r="O194">
        <v>11</v>
      </c>
    </row>
    <row r="195" spans="2:15" x14ac:dyDescent="0.2">
      <c r="B195" t="s">
        <v>1732</v>
      </c>
      <c r="C195" t="s">
        <v>201</v>
      </c>
      <c r="D195" t="s">
        <v>1733</v>
      </c>
      <c r="E195">
        <v>-11</v>
      </c>
      <c r="F195">
        <v>-11</v>
      </c>
      <c r="G195" t="s">
        <v>123</v>
      </c>
      <c r="H195" t="s">
        <v>1459</v>
      </c>
      <c r="I195" t="s">
        <v>123</v>
      </c>
      <c r="J195">
        <v>-1</v>
      </c>
      <c r="K195" t="s">
        <v>119</v>
      </c>
      <c r="L195">
        <v>1</v>
      </c>
      <c r="M195">
        <v>46</v>
      </c>
      <c r="N195">
        <v>60</v>
      </c>
      <c r="O195">
        <v>11</v>
      </c>
    </row>
    <row r="196" spans="2:15" x14ac:dyDescent="0.2">
      <c r="B196" t="s">
        <v>1732</v>
      </c>
      <c r="C196" t="s">
        <v>1730</v>
      </c>
      <c r="D196" t="s">
        <v>1733</v>
      </c>
      <c r="E196">
        <v>-12</v>
      </c>
      <c r="F196">
        <v>-12</v>
      </c>
      <c r="G196" t="s">
        <v>123</v>
      </c>
      <c r="I196" t="s">
        <v>123</v>
      </c>
      <c r="J196">
        <v>-1</v>
      </c>
      <c r="K196" t="s">
        <v>119</v>
      </c>
      <c r="L196">
        <v>1</v>
      </c>
      <c r="M196">
        <v>46</v>
      </c>
      <c r="N196">
        <v>60</v>
      </c>
      <c r="O196">
        <v>11</v>
      </c>
    </row>
    <row r="197" spans="2:15" x14ac:dyDescent="0.2">
      <c r="B197" t="s">
        <v>1734</v>
      </c>
      <c r="C197" t="s">
        <v>201</v>
      </c>
      <c r="D197" t="s">
        <v>1735</v>
      </c>
      <c r="E197">
        <v>-19</v>
      </c>
      <c r="F197">
        <v>-19</v>
      </c>
      <c r="G197" t="s">
        <v>123</v>
      </c>
      <c r="H197" t="s">
        <v>1459</v>
      </c>
      <c r="I197" t="s">
        <v>123</v>
      </c>
      <c r="J197">
        <v>-8</v>
      </c>
      <c r="K197" t="s">
        <v>119</v>
      </c>
      <c r="L197">
        <v>1</v>
      </c>
      <c r="M197">
        <v>46</v>
      </c>
      <c r="N197">
        <v>60</v>
      </c>
      <c r="O197">
        <v>11</v>
      </c>
    </row>
    <row r="198" spans="2:15" x14ac:dyDescent="0.2">
      <c r="B198" t="s">
        <v>1734</v>
      </c>
      <c r="C198" t="s">
        <v>201</v>
      </c>
      <c r="D198" t="s">
        <v>1735</v>
      </c>
      <c r="E198">
        <v>-19</v>
      </c>
      <c r="F198">
        <v>-19</v>
      </c>
      <c r="G198" t="s">
        <v>123</v>
      </c>
      <c r="H198" t="s">
        <v>1459</v>
      </c>
      <c r="I198" t="s">
        <v>123</v>
      </c>
      <c r="J198">
        <v>-8</v>
      </c>
      <c r="K198" t="s">
        <v>119</v>
      </c>
      <c r="L198">
        <v>1</v>
      </c>
      <c r="M198">
        <v>46</v>
      </c>
      <c r="N198">
        <v>60</v>
      </c>
      <c r="O198">
        <v>11</v>
      </c>
    </row>
    <row r="199" spans="2:15" x14ac:dyDescent="0.2">
      <c r="B199" t="s">
        <v>1734</v>
      </c>
      <c r="C199" t="s">
        <v>201</v>
      </c>
      <c r="D199" t="s">
        <v>1735</v>
      </c>
      <c r="E199">
        <v>-19</v>
      </c>
      <c r="F199">
        <v>-19</v>
      </c>
      <c r="G199" t="s">
        <v>123</v>
      </c>
      <c r="H199" t="s">
        <v>1459</v>
      </c>
      <c r="I199" t="s">
        <v>123</v>
      </c>
      <c r="J199">
        <v>-8</v>
      </c>
      <c r="K199" t="s">
        <v>119</v>
      </c>
      <c r="L199">
        <v>1</v>
      </c>
      <c r="M199">
        <v>46</v>
      </c>
      <c r="N199">
        <v>60</v>
      </c>
      <c r="O199">
        <v>11</v>
      </c>
    </row>
    <row r="200" spans="2:15" x14ac:dyDescent="0.2">
      <c r="B200" t="s">
        <v>1734</v>
      </c>
      <c r="C200" t="s">
        <v>201</v>
      </c>
      <c r="D200" t="s">
        <v>1735</v>
      </c>
      <c r="E200">
        <v>-19</v>
      </c>
      <c r="F200">
        <v>-19</v>
      </c>
      <c r="G200" t="s">
        <v>123</v>
      </c>
      <c r="H200" t="s">
        <v>1459</v>
      </c>
      <c r="I200" t="s">
        <v>123</v>
      </c>
      <c r="J200">
        <v>-8</v>
      </c>
      <c r="K200" t="s">
        <v>119</v>
      </c>
      <c r="L200">
        <v>1</v>
      </c>
      <c r="M200">
        <v>46</v>
      </c>
      <c r="N200">
        <v>60</v>
      </c>
      <c r="O200">
        <v>11</v>
      </c>
    </row>
    <row r="201" spans="2:15" x14ac:dyDescent="0.2">
      <c r="B201" t="s">
        <v>1736</v>
      </c>
      <c r="C201" t="s">
        <v>201</v>
      </c>
      <c r="D201" t="s">
        <v>1737</v>
      </c>
      <c r="E201">
        <v>-12</v>
      </c>
      <c r="F201">
        <v>-12</v>
      </c>
      <c r="G201" t="s">
        <v>123</v>
      </c>
      <c r="H201" t="s">
        <v>1459</v>
      </c>
      <c r="I201" t="s">
        <v>123</v>
      </c>
      <c r="J201">
        <v>-1</v>
      </c>
      <c r="K201" t="s">
        <v>119</v>
      </c>
      <c r="L201">
        <v>1</v>
      </c>
      <c r="M201">
        <v>46</v>
      </c>
      <c r="N201">
        <v>60</v>
      </c>
      <c r="O201">
        <v>11</v>
      </c>
    </row>
    <row r="202" spans="2:15" x14ac:dyDescent="0.2">
      <c r="B202" t="s">
        <v>1736</v>
      </c>
      <c r="C202" t="s">
        <v>201</v>
      </c>
      <c r="D202" t="s">
        <v>1737</v>
      </c>
      <c r="E202">
        <v>-12</v>
      </c>
      <c r="F202">
        <v>-12</v>
      </c>
      <c r="G202" t="s">
        <v>123</v>
      </c>
      <c r="H202" t="s">
        <v>1459</v>
      </c>
      <c r="I202" t="s">
        <v>123</v>
      </c>
      <c r="J202">
        <v>-1</v>
      </c>
      <c r="K202" t="s">
        <v>119</v>
      </c>
      <c r="L202">
        <v>1</v>
      </c>
      <c r="M202">
        <v>46</v>
      </c>
      <c r="N202">
        <v>60</v>
      </c>
      <c r="O202">
        <v>11</v>
      </c>
    </row>
    <row r="203" spans="2:15" x14ac:dyDescent="0.2">
      <c r="B203" t="s">
        <v>1736</v>
      </c>
      <c r="C203" t="s">
        <v>201</v>
      </c>
      <c r="D203" t="s">
        <v>1737</v>
      </c>
      <c r="E203">
        <v>-12</v>
      </c>
      <c r="F203">
        <v>-12</v>
      </c>
      <c r="G203" t="s">
        <v>123</v>
      </c>
      <c r="H203" t="s">
        <v>1459</v>
      </c>
      <c r="I203" t="s">
        <v>123</v>
      </c>
      <c r="J203">
        <v>-1</v>
      </c>
      <c r="K203" t="s">
        <v>119</v>
      </c>
      <c r="L203">
        <v>1</v>
      </c>
      <c r="M203">
        <v>46</v>
      </c>
      <c r="N203">
        <v>60</v>
      </c>
      <c r="O203">
        <v>11</v>
      </c>
    </row>
    <row r="204" spans="2:15" x14ac:dyDescent="0.2">
      <c r="B204" t="s">
        <v>1736</v>
      </c>
      <c r="C204" t="s">
        <v>201</v>
      </c>
      <c r="D204" t="s">
        <v>1737</v>
      </c>
      <c r="E204">
        <v>-12</v>
      </c>
      <c r="F204">
        <v>-12</v>
      </c>
      <c r="G204" t="s">
        <v>123</v>
      </c>
      <c r="H204" t="s">
        <v>1459</v>
      </c>
      <c r="I204" t="s">
        <v>123</v>
      </c>
      <c r="J204">
        <v>-1</v>
      </c>
      <c r="K204" t="s">
        <v>119</v>
      </c>
      <c r="L204">
        <v>1</v>
      </c>
      <c r="M204">
        <v>46</v>
      </c>
      <c r="N204">
        <v>60</v>
      </c>
      <c r="O204">
        <v>11</v>
      </c>
    </row>
    <row r="205" spans="2:15" x14ac:dyDescent="0.2">
      <c r="B205" t="s">
        <v>1738</v>
      </c>
      <c r="C205" t="s">
        <v>201</v>
      </c>
      <c r="D205" t="s">
        <v>1739</v>
      </c>
      <c r="E205">
        <v>-19</v>
      </c>
      <c r="F205">
        <v>-19</v>
      </c>
      <c r="G205" t="s">
        <v>123</v>
      </c>
      <c r="H205" t="s">
        <v>1459</v>
      </c>
      <c r="I205" t="s">
        <v>123</v>
      </c>
      <c r="J205">
        <v>-8</v>
      </c>
      <c r="K205" t="s">
        <v>119</v>
      </c>
      <c r="L205">
        <v>1</v>
      </c>
      <c r="M205">
        <v>46</v>
      </c>
      <c r="N205">
        <v>60</v>
      </c>
      <c r="O205">
        <v>11</v>
      </c>
    </row>
    <row r="206" spans="2:15" x14ac:dyDescent="0.2">
      <c r="B206" t="s">
        <v>1738</v>
      </c>
      <c r="C206" t="s">
        <v>201</v>
      </c>
      <c r="D206" t="s">
        <v>1739</v>
      </c>
      <c r="E206">
        <v>-19</v>
      </c>
      <c r="F206">
        <v>-19</v>
      </c>
      <c r="G206" t="s">
        <v>123</v>
      </c>
      <c r="H206" t="s">
        <v>1459</v>
      </c>
      <c r="I206" t="s">
        <v>123</v>
      </c>
      <c r="J206">
        <v>-8</v>
      </c>
      <c r="K206" t="s">
        <v>119</v>
      </c>
      <c r="L206">
        <v>1</v>
      </c>
      <c r="M206">
        <v>46</v>
      </c>
      <c r="N206">
        <v>60</v>
      </c>
      <c r="O206">
        <v>11</v>
      </c>
    </row>
    <row r="207" spans="2:15" x14ac:dyDescent="0.2">
      <c r="B207" t="s">
        <v>1738</v>
      </c>
      <c r="C207" t="s">
        <v>201</v>
      </c>
      <c r="D207" t="s">
        <v>1739</v>
      </c>
      <c r="E207">
        <v>-19</v>
      </c>
      <c r="F207">
        <v>-19</v>
      </c>
      <c r="G207" t="s">
        <v>123</v>
      </c>
      <c r="H207" t="s">
        <v>1459</v>
      </c>
      <c r="I207" t="s">
        <v>123</v>
      </c>
      <c r="J207">
        <v>-8</v>
      </c>
      <c r="K207" t="s">
        <v>119</v>
      </c>
      <c r="L207">
        <v>1</v>
      </c>
      <c r="M207">
        <v>46</v>
      </c>
      <c r="N207">
        <v>60</v>
      </c>
      <c r="O207">
        <v>11</v>
      </c>
    </row>
    <row r="208" spans="2:15" x14ac:dyDescent="0.2">
      <c r="B208" t="s">
        <v>1738</v>
      </c>
      <c r="C208" t="s">
        <v>201</v>
      </c>
      <c r="D208" t="s">
        <v>1739</v>
      </c>
      <c r="E208">
        <v>-19</v>
      </c>
      <c r="F208">
        <v>-19</v>
      </c>
      <c r="G208" t="s">
        <v>123</v>
      </c>
      <c r="H208" t="s">
        <v>1459</v>
      </c>
      <c r="I208" t="s">
        <v>123</v>
      </c>
      <c r="J208">
        <v>-8</v>
      </c>
      <c r="K208" t="s">
        <v>119</v>
      </c>
      <c r="L208">
        <v>1</v>
      </c>
      <c r="M208">
        <v>46</v>
      </c>
      <c r="N208">
        <v>60</v>
      </c>
      <c r="O208">
        <v>11</v>
      </c>
    </row>
    <row r="209" spans="2:15" x14ac:dyDescent="0.2">
      <c r="B209" t="s">
        <v>1740</v>
      </c>
      <c r="C209" t="s">
        <v>201</v>
      </c>
      <c r="D209" t="s">
        <v>1741</v>
      </c>
      <c r="E209">
        <v>-11</v>
      </c>
      <c r="F209">
        <v>-11</v>
      </c>
      <c r="G209" t="s">
        <v>123</v>
      </c>
      <c r="H209" t="s">
        <v>1459</v>
      </c>
      <c r="I209" t="s">
        <v>123</v>
      </c>
      <c r="J209">
        <v>-1</v>
      </c>
      <c r="K209" t="s">
        <v>119</v>
      </c>
      <c r="L209">
        <v>1</v>
      </c>
      <c r="M209">
        <v>46</v>
      </c>
      <c r="N209">
        <v>60</v>
      </c>
      <c r="O209">
        <v>11</v>
      </c>
    </row>
    <row r="210" spans="2:15" x14ac:dyDescent="0.2">
      <c r="B210" t="s">
        <v>1740</v>
      </c>
      <c r="C210" t="s">
        <v>201</v>
      </c>
      <c r="D210" t="s">
        <v>1741</v>
      </c>
      <c r="E210">
        <v>-11</v>
      </c>
      <c r="F210">
        <v>-11</v>
      </c>
      <c r="G210" t="s">
        <v>123</v>
      </c>
      <c r="H210" t="s">
        <v>1459</v>
      </c>
      <c r="I210" t="s">
        <v>123</v>
      </c>
      <c r="J210">
        <v>-1</v>
      </c>
      <c r="K210" t="s">
        <v>119</v>
      </c>
      <c r="L210">
        <v>1</v>
      </c>
      <c r="M210">
        <v>46</v>
      </c>
      <c r="N210">
        <v>60</v>
      </c>
      <c r="O210">
        <v>11</v>
      </c>
    </row>
    <row r="211" spans="2:15" x14ac:dyDescent="0.2">
      <c r="B211" t="s">
        <v>1740</v>
      </c>
      <c r="C211" t="s">
        <v>201</v>
      </c>
      <c r="D211" t="s">
        <v>1741</v>
      </c>
      <c r="E211">
        <v>-11</v>
      </c>
      <c r="F211">
        <v>-11</v>
      </c>
      <c r="G211" t="s">
        <v>123</v>
      </c>
      <c r="H211" t="s">
        <v>1459</v>
      </c>
      <c r="I211" t="s">
        <v>123</v>
      </c>
      <c r="J211">
        <v>-1</v>
      </c>
      <c r="K211" t="s">
        <v>119</v>
      </c>
      <c r="L211">
        <v>1</v>
      </c>
      <c r="M211">
        <v>46</v>
      </c>
      <c r="N211">
        <v>60</v>
      </c>
      <c r="O211">
        <v>11</v>
      </c>
    </row>
    <row r="212" spans="2:15" x14ac:dyDescent="0.2">
      <c r="B212" t="s">
        <v>1740</v>
      </c>
      <c r="C212" t="s">
        <v>201</v>
      </c>
      <c r="D212" t="s">
        <v>1741</v>
      </c>
      <c r="E212">
        <v>-11</v>
      </c>
      <c r="F212">
        <v>-11</v>
      </c>
      <c r="G212" t="s">
        <v>123</v>
      </c>
      <c r="H212" t="s">
        <v>1459</v>
      </c>
      <c r="I212" t="s">
        <v>123</v>
      </c>
      <c r="J212">
        <v>-1</v>
      </c>
      <c r="K212" t="s">
        <v>119</v>
      </c>
      <c r="L212">
        <v>1</v>
      </c>
      <c r="M212">
        <v>46</v>
      </c>
      <c r="N212">
        <v>60</v>
      </c>
      <c r="O212">
        <v>11</v>
      </c>
    </row>
    <row r="213" spans="2:15" x14ac:dyDescent="0.2">
      <c r="B213" t="s">
        <v>1742</v>
      </c>
      <c r="C213" t="s">
        <v>199</v>
      </c>
      <c r="D213" t="s">
        <v>1743</v>
      </c>
      <c r="E213">
        <v>30</v>
      </c>
      <c r="F213">
        <v>29</v>
      </c>
      <c r="G213" t="s">
        <v>123</v>
      </c>
      <c r="J213">
        <v>36</v>
      </c>
      <c r="K213" t="s">
        <v>626</v>
      </c>
      <c r="L213">
        <v>4</v>
      </c>
      <c r="M213">
        <v>30</v>
      </c>
      <c r="N213">
        <v>47</v>
      </c>
      <c r="O213">
        <v>0</v>
      </c>
    </row>
    <row r="214" spans="2:15" x14ac:dyDescent="0.2">
      <c r="B214" t="s">
        <v>1742</v>
      </c>
      <c r="C214" t="s">
        <v>199</v>
      </c>
      <c r="D214" t="s">
        <v>1743</v>
      </c>
      <c r="E214">
        <v>30</v>
      </c>
      <c r="F214">
        <v>29</v>
      </c>
      <c r="G214" t="s">
        <v>123</v>
      </c>
      <c r="J214">
        <v>36</v>
      </c>
      <c r="K214" t="s">
        <v>626</v>
      </c>
      <c r="L214">
        <v>4</v>
      </c>
      <c r="M214">
        <v>30</v>
      </c>
      <c r="N214">
        <v>47</v>
      </c>
      <c r="O214">
        <v>0</v>
      </c>
    </row>
    <row r="215" spans="2:15" x14ac:dyDescent="0.2">
      <c r="B215" t="s">
        <v>1742</v>
      </c>
      <c r="C215" t="s">
        <v>199</v>
      </c>
      <c r="D215" t="s">
        <v>1743</v>
      </c>
      <c r="E215">
        <v>30</v>
      </c>
      <c r="F215">
        <v>29</v>
      </c>
      <c r="G215" t="s">
        <v>123</v>
      </c>
      <c r="J215">
        <v>36</v>
      </c>
      <c r="K215" t="s">
        <v>626</v>
      </c>
      <c r="L215">
        <v>4</v>
      </c>
      <c r="M215">
        <v>30</v>
      </c>
      <c r="N215">
        <v>47</v>
      </c>
      <c r="O215">
        <v>0</v>
      </c>
    </row>
    <row r="216" spans="2:15" x14ac:dyDescent="0.2">
      <c r="B216" t="s">
        <v>1742</v>
      </c>
      <c r="C216" t="s">
        <v>199</v>
      </c>
      <c r="D216" t="s">
        <v>1743</v>
      </c>
      <c r="E216">
        <v>30</v>
      </c>
      <c r="F216">
        <v>29</v>
      </c>
      <c r="G216" t="s">
        <v>123</v>
      </c>
      <c r="J216">
        <v>36</v>
      </c>
      <c r="K216" t="s">
        <v>626</v>
      </c>
      <c r="L216">
        <v>4</v>
      </c>
      <c r="M216">
        <v>30</v>
      </c>
      <c r="N216">
        <v>47</v>
      </c>
      <c r="O216">
        <v>0</v>
      </c>
    </row>
    <row r="217" spans="2:15" x14ac:dyDescent="0.2">
      <c r="B217" t="s">
        <v>1744</v>
      </c>
      <c r="C217" t="s">
        <v>199</v>
      </c>
      <c r="D217" t="s">
        <v>1745</v>
      </c>
      <c r="E217">
        <v>30</v>
      </c>
      <c r="F217">
        <v>29</v>
      </c>
      <c r="G217" t="s">
        <v>123</v>
      </c>
      <c r="J217">
        <v>36</v>
      </c>
      <c r="K217" t="s">
        <v>626</v>
      </c>
      <c r="L217">
        <v>4</v>
      </c>
      <c r="M217">
        <v>30</v>
      </c>
      <c r="N217">
        <v>47</v>
      </c>
      <c r="O217">
        <v>0</v>
      </c>
    </row>
    <row r="218" spans="2:15" x14ac:dyDescent="0.2">
      <c r="B218" t="s">
        <v>1744</v>
      </c>
      <c r="C218" t="s">
        <v>199</v>
      </c>
      <c r="D218" t="s">
        <v>1745</v>
      </c>
      <c r="E218">
        <v>30</v>
      </c>
      <c r="F218">
        <v>29</v>
      </c>
      <c r="G218" t="s">
        <v>123</v>
      </c>
      <c r="J218">
        <v>36</v>
      </c>
      <c r="K218" t="s">
        <v>626</v>
      </c>
      <c r="L218">
        <v>4</v>
      </c>
      <c r="M218">
        <v>30</v>
      </c>
      <c r="N218">
        <v>47</v>
      </c>
      <c r="O218">
        <v>0</v>
      </c>
    </row>
    <row r="219" spans="2:15" x14ac:dyDescent="0.2">
      <c r="B219" t="s">
        <v>1744</v>
      </c>
      <c r="C219" t="s">
        <v>199</v>
      </c>
      <c r="D219" t="s">
        <v>1745</v>
      </c>
      <c r="E219">
        <v>30</v>
      </c>
      <c r="F219">
        <v>29</v>
      </c>
      <c r="G219" t="s">
        <v>123</v>
      </c>
      <c r="J219">
        <v>36</v>
      </c>
      <c r="K219" t="s">
        <v>626</v>
      </c>
      <c r="L219">
        <v>4</v>
      </c>
      <c r="M219">
        <v>30</v>
      </c>
      <c r="N219">
        <v>47</v>
      </c>
      <c r="O219">
        <v>0</v>
      </c>
    </row>
    <row r="220" spans="2:15" x14ac:dyDescent="0.2">
      <c r="B220" t="s">
        <v>1744</v>
      </c>
      <c r="C220" t="s">
        <v>199</v>
      </c>
      <c r="D220" t="s">
        <v>1745</v>
      </c>
      <c r="E220">
        <v>30</v>
      </c>
      <c r="F220">
        <v>29</v>
      </c>
      <c r="G220" t="s">
        <v>123</v>
      </c>
      <c r="J220">
        <v>36</v>
      </c>
      <c r="K220" t="s">
        <v>626</v>
      </c>
      <c r="L220">
        <v>4</v>
      </c>
      <c r="M220">
        <v>30</v>
      </c>
      <c r="N220">
        <v>47</v>
      </c>
      <c r="O220">
        <v>0</v>
      </c>
    </row>
    <row r="221" spans="2:15" x14ac:dyDescent="0.2">
      <c r="B221" t="s">
        <v>2017</v>
      </c>
      <c r="C221" t="s">
        <v>199</v>
      </c>
      <c r="D221" t="s">
        <v>2018</v>
      </c>
      <c r="G221" t="s">
        <v>123</v>
      </c>
      <c r="I221" t="s">
        <v>616</v>
      </c>
      <c r="J221">
        <v>36</v>
      </c>
      <c r="K221" t="s">
        <v>626</v>
      </c>
      <c r="L221">
        <v>4</v>
      </c>
      <c r="M221">
        <v>30</v>
      </c>
      <c r="N221">
        <v>47</v>
      </c>
      <c r="O221">
        <v>0</v>
      </c>
    </row>
    <row r="222" spans="2:15" x14ac:dyDescent="0.2">
      <c r="B222" t="s">
        <v>2017</v>
      </c>
      <c r="C222" t="s">
        <v>199</v>
      </c>
      <c r="D222" t="s">
        <v>2018</v>
      </c>
      <c r="G222" t="s">
        <v>123</v>
      </c>
      <c r="I222" t="s">
        <v>616</v>
      </c>
      <c r="J222">
        <v>36</v>
      </c>
      <c r="K222" t="s">
        <v>626</v>
      </c>
      <c r="L222">
        <v>4</v>
      </c>
      <c r="M222">
        <v>30</v>
      </c>
      <c r="N222">
        <v>47</v>
      </c>
      <c r="O222">
        <v>0</v>
      </c>
    </row>
    <row r="223" spans="2:15" x14ac:dyDescent="0.2">
      <c r="B223" t="s">
        <v>2017</v>
      </c>
      <c r="C223" t="s">
        <v>199</v>
      </c>
      <c r="D223" t="s">
        <v>2018</v>
      </c>
      <c r="G223" t="s">
        <v>123</v>
      </c>
      <c r="I223" t="s">
        <v>616</v>
      </c>
      <c r="J223">
        <v>36</v>
      </c>
      <c r="K223" t="s">
        <v>626</v>
      </c>
      <c r="L223">
        <v>4</v>
      </c>
      <c r="M223">
        <v>30</v>
      </c>
      <c r="N223">
        <v>47</v>
      </c>
      <c r="O223">
        <v>0</v>
      </c>
    </row>
    <row r="224" spans="2:15" x14ac:dyDescent="0.2">
      <c r="B224" t="s">
        <v>2017</v>
      </c>
      <c r="C224" t="s">
        <v>199</v>
      </c>
      <c r="D224" t="s">
        <v>2018</v>
      </c>
      <c r="G224" t="s">
        <v>123</v>
      </c>
      <c r="I224" t="s">
        <v>616</v>
      </c>
      <c r="J224">
        <v>36</v>
      </c>
      <c r="K224" t="s">
        <v>626</v>
      </c>
      <c r="L224">
        <v>4</v>
      </c>
      <c r="M224">
        <v>30</v>
      </c>
      <c r="N224">
        <v>47</v>
      </c>
      <c r="O224">
        <v>0</v>
      </c>
    </row>
    <row r="225" spans="2:15" x14ac:dyDescent="0.2">
      <c r="B225" t="s">
        <v>2017</v>
      </c>
      <c r="C225" t="s">
        <v>199</v>
      </c>
      <c r="D225" t="s">
        <v>2018</v>
      </c>
      <c r="G225" t="s">
        <v>123</v>
      </c>
      <c r="I225" t="s">
        <v>616</v>
      </c>
      <c r="J225">
        <v>36</v>
      </c>
      <c r="K225" t="s">
        <v>626</v>
      </c>
      <c r="L225">
        <v>4</v>
      </c>
      <c r="M225">
        <v>30</v>
      </c>
      <c r="N225">
        <v>47</v>
      </c>
      <c r="O225">
        <v>0</v>
      </c>
    </row>
    <row r="226" spans="2:15" x14ac:dyDescent="0.2">
      <c r="B226" t="s">
        <v>2017</v>
      </c>
      <c r="C226" t="s">
        <v>199</v>
      </c>
      <c r="D226" t="s">
        <v>2018</v>
      </c>
      <c r="G226" t="s">
        <v>123</v>
      </c>
      <c r="I226" t="s">
        <v>616</v>
      </c>
      <c r="J226">
        <v>36</v>
      </c>
      <c r="K226" t="s">
        <v>626</v>
      </c>
      <c r="L226">
        <v>4</v>
      </c>
      <c r="M226">
        <v>30</v>
      </c>
      <c r="N226">
        <v>47</v>
      </c>
      <c r="O226">
        <v>0</v>
      </c>
    </row>
    <row r="227" spans="2:15" x14ac:dyDescent="0.2">
      <c r="B227" t="s">
        <v>2017</v>
      </c>
      <c r="C227" t="s">
        <v>199</v>
      </c>
      <c r="D227" t="s">
        <v>2018</v>
      </c>
      <c r="G227" t="s">
        <v>123</v>
      </c>
      <c r="I227" t="s">
        <v>616</v>
      </c>
      <c r="J227">
        <v>36</v>
      </c>
      <c r="K227" t="s">
        <v>626</v>
      </c>
      <c r="L227">
        <v>4</v>
      </c>
      <c r="M227">
        <v>30</v>
      </c>
      <c r="N227">
        <v>47</v>
      </c>
      <c r="O227">
        <v>0</v>
      </c>
    </row>
    <row r="228" spans="2:15" x14ac:dyDescent="0.2">
      <c r="B228" t="s">
        <v>2017</v>
      </c>
      <c r="C228" t="s">
        <v>199</v>
      </c>
      <c r="D228" t="s">
        <v>2018</v>
      </c>
      <c r="G228" t="s">
        <v>123</v>
      </c>
      <c r="I228" t="s">
        <v>616</v>
      </c>
      <c r="J228">
        <v>36</v>
      </c>
      <c r="K228" t="s">
        <v>626</v>
      </c>
      <c r="L228">
        <v>4</v>
      </c>
      <c r="M228">
        <v>30</v>
      </c>
      <c r="N228">
        <v>47</v>
      </c>
      <c r="O228">
        <v>0</v>
      </c>
    </row>
    <row r="229" spans="2:15" x14ac:dyDescent="0.2">
      <c r="B229" t="s">
        <v>1746</v>
      </c>
      <c r="C229" t="s">
        <v>199</v>
      </c>
      <c r="D229" t="s">
        <v>1747</v>
      </c>
      <c r="E229">
        <v>-12</v>
      </c>
      <c r="F229">
        <v>-14</v>
      </c>
      <c r="G229" t="s">
        <v>123</v>
      </c>
      <c r="I229" t="s">
        <v>123</v>
      </c>
      <c r="J229">
        <v>-6</v>
      </c>
      <c r="K229" t="s">
        <v>119</v>
      </c>
      <c r="L229">
        <v>1</v>
      </c>
      <c r="M229">
        <v>60</v>
      </c>
      <c r="N229">
        <v>49</v>
      </c>
      <c r="O229">
        <v>5</v>
      </c>
    </row>
    <row r="230" spans="2:15" x14ac:dyDescent="0.2">
      <c r="B230" t="s">
        <v>1748</v>
      </c>
      <c r="C230" t="s">
        <v>199</v>
      </c>
      <c r="D230" t="s">
        <v>1749</v>
      </c>
      <c r="E230">
        <v>-19</v>
      </c>
      <c r="F230">
        <v>-19</v>
      </c>
      <c r="G230" t="s">
        <v>123</v>
      </c>
      <c r="I230" t="s">
        <v>123</v>
      </c>
      <c r="J230">
        <v>-6</v>
      </c>
      <c r="K230" t="s">
        <v>119</v>
      </c>
      <c r="L230">
        <v>1</v>
      </c>
      <c r="M230">
        <v>60</v>
      </c>
      <c r="N230">
        <v>49</v>
      </c>
      <c r="O230">
        <v>5</v>
      </c>
    </row>
    <row r="231" spans="2:15" x14ac:dyDescent="0.2">
      <c r="B231" t="s">
        <v>1750</v>
      </c>
      <c r="C231" t="s">
        <v>199</v>
      </c>
      <c r="D231" t="s">
        <v>1751</v>
      </c>
      <c r="E231">
        <v>-12</v>
      </c>
      <c r="F231">
        <v>-14</v>
      </c>
      <c r="G231" t="s">
        <v>123</v>
      </c>
      <c r="I231" t="s">
        <v>123</v>
      </c>
      <c r="J231">
        <v>-6</v>
      </c>
      <c r="K231" t="s">
        <v>119</v>
      </c>
      <c r="L231">
        <v>1</v>
      </c>
      <c r="M231">
        <v>60</v>
      </c>
      <c r="N231">
        <v>49</v>
      </c>
      <c r="O231">
        <v>5</v>
      </c>
    </row>
    <row r="232" spans="2:15" x14ac:dyDescent="0.2">
      <c r="B232" t="s">
        <v>1750</v>
      </c>
      <c r="C232" t="s">
        <v>199</v>
      </c>
      <c r="D232" t="s">
        <v>1751</v>
      </c>
      <c r="E232">
        <v>-12</v>
      </c>
      <c r="F232">
        <v>-14</v>
      </c>
      <c r="G232" t="s">
        <v>123</v>
      </c>
      <c r="I232" t="s">
        <v>123</v>
      </c>
      <c r="J232">
        <v>-6</v>
      </c>
      <c r="K232" t="s">
        <v>119</v>
      </c>
      <c r="L232">
        <v>1</v>
      </c>
      <c r="M232">
        <v>60</v>
      </c>
      <c r="N232">
        <v>49</v>
      </c>
      <c r="O232">
        <v>5</v>
      </c>
    </row>
    <row r="233" spans="2:15" x14ac:dyDescent="0.2">
      <c r="B233" t="s">
        <v>1750</v>
      </c>
      <c r="C233" t="s">
        <v>199</v>
      </c>
      <c r="D233" t="s">
        <v>1751</v>
      </c>
      <c r="E233">
        <v>-12</v>
      </c>
      <c r="F233">
        <v>-14</v>
      </c>
      <c r="G233" t="s">
        <v>123</v>
      </c>
      <c r="I233" t="s">
        <v>123</v>
      </c>
      <c r="J233">
        <v>-6</v>
      </c>
      <c r="K233" t="s">
        <v>119</v>
      </c>
      <c r="L233">
        <v>1</v>
      </c>
      <c r="M233">
        <v>60</v>
      </c>
      <c r="N233">
        <v>49</v>
      </c>
      <c r="O233">
        <v>5</v>
      </c>
    </row>
    <row r="234" spans="2:15" x14ac:dyDescent="0.2">
      <c r="B234" t="s">
        <v>1750</v>
      </c>
      <c r="C234" t="s">
        <v>199</v>
      </c>
      <c r="D234" t="s">
        <v>1751</v>
      </c>
      <c r="E234">
        <v>-12</v>
      </c>
      <c r="F234">
        <v>-14</v>
      </c>
      <c r="G234" t="s">
        <v>123</v>
      </c>
      <c r="I234" t="s">
        <v>123</v>
      </c>
      <c r="J234">
        <v>-6</v>
      </c>
      <c r="K234" t="s">
        <v>119</v>
      </c>
      <c r="L234">
        <v>1</v>
      </c>
      <c r="M234">
        <v>60</v>
      </c>
      <c r="N234">
        <v>49</v>
      </c>
      <c r="O234">
        <v>5</v>
      </c>
    </row>
    <row r="235" spans="2:15" x14ac:dyDescent="0.2">
      <c r="B235" t="s">
        <v>1750</v>
      </c>
      <c r="C235" t="s">
        <v>199</v>
      </c>
      <c r="D235" t="s">
        <v>1751</v>
      </c>
      <c r="E235">
        <v>-12</v>
      </c>
      <c r="F235">
        <v>-14</v>
      </c>
      <c r="G235" t="s">
        <v>123</v>
      </c>
      <c r="I235" t="s">
        <v>123</v>
      </c>
      <c r="J235">
        <v>-6</v>
      </c>
      <c r="K235" t="s">
        <v>119</v>
      </c>
      <c r="L235">
        <v>1</v>
      </c>
      <c r="M235">
        <v>60</v>
      </c>
      <c r="N235">
        <v>49</v>
      </c>
      <c r="O235">
        <v>5</v>
      </c>
    </row>
    <row r="236" spans="2:15" x14ac:dyDescent="0.2">
      <c r="B236" t="s">
        <v>1752</v>
      </c>
      <c r="C236" t="s">
        <v>199</v>
      </c>
      <c r="D236" t="s">
        <v>1753</v>
      </c>
      <c r="E236">
        <v>-19</v>
      </c>
      <c r="F236">
        <v>-19</v>
      </c>
      <c r="G236" t="s">
        <v>123</v>
      </c>
      <c r="I236" t="s">
        <v>123</v>
      </c>
      <c r="J236">
        <v>-10</v>
      </c>
      <c r="K236" t="s">
        <v>119</v>
      </c>
      <c r="L236">
        <v>1</v>
      </c>
      <c r="M236">
        <v>60</v>
      </c>
      <c r="N236">
        <v>49</v>
      </c>
      <c r="O236">
        <v>5</v>
      </c>
    </row>
    <row r="237" spans="2:15" x14ac:dyDescent="0.2">
      <c r="B237" t="s">
        <v>1752</v>
      </c>
      <c r="C237" t="s">
        <v>199</v>
      </c>
      <c r="D237" t="s">
        <v>1753</v>
      </c>
      <c r="E237">
        <v>-19</v>
      </c>
      <c r="F237">
        <v>-19</v>
      </c>
      <c r="G237" t="s">
        <v>123</v>
      </c>
      <c r="I237" t="s">
        <v>123</v>
      </c>
      <c r="J237">
        <v>-10</v>
      </c>
      <c r="K237" t="s">
        <v>119</v>
      </c>
      <c r="L237">
        <v>1</v>
      </c>
      <c r="M237">
        <v>60</v>
      </c>
      <c r="N237">
        <v>49</v>
      </c>
      <c r="O237">
        <v>5</v>
      </c>
    </row>
    <row r="238" spans="2:15" x14ac:dyDescent="0.2">
      <c r="B238" t="s">
        <v>1752</v>
      </c>
      <c r="C238" t="s">
        <v>199</v>
      </c>
      <c r="D238" t="s">
        <v>1753</v>
      </c>
      <c r="E238">
        <v>-19</v>
      </c>
      <c r="F238">
        <v>-19</v>
      </c>
      <c r="G238" t="s">
        <v>123</v>
      </c>
      <c r="I238" t="s">
        <v>123</v>
      </c>
      <c r="J238">
        <v>-10</v>
      </c>
      <c r="K238" t="s">
        <v>119</v>
      </c>
      <c r="L238">
        <v>1</v>
      </c>
      <c r="M238">
        <v>60</v>
      </c>
      <c r="N238">
        <v>49</v>
      </c>
      <c r="O238">
        <v>5</v>
      </c>
    </row>
    <row r="239" spans="2:15" x14ac:dyDescent="0.2">
      <c r="B239" t="s">
        <v>1752</v>
      </c>
      <c r="C239" t="s">
        <v>199</v>
      </c>
      <c r="D239" t="s">
        <v>1753</v>
      </c>
      <c r="E239">
        <v>-19</v>
      </c>
      <c r="F239">
        <v>-19</v>
      </c>
      <c r="G239" t="s">
        <v>123</v>
      </c>
      <c r="I239" t="s">
        <v>123</v>
      </c>
      <c r="J239">
        <v>-10</v>
      </c>
      <c r="K239" t="s">
        <v>119</v>
      </c>
      <c r="L239">
        <v>1</v>
      </c>
      <c r="M239">
        <v>60</v>
      </c>
      <c r="N239">
        <v>49</v>
      </c>
      <c r="O239">
        <v>5</v>
      </c>
    </row>
    <row r="240" spans="2:15" x14ac:dyDescent="0.2">
      <c r="B240" t="s">
        <v>1752</v>
      </c>
      <c r="C240" t="s">
        <v>199</v>
      </c>
      <c r="D240" t="s">
        <v>1753</v>
      </c>
      <c r="E240">
        <v>-19</v>
      </c>
      <c r="F240">
        <v>-19</v>
      </c>
      <c r="G240" t="s">
        <v>123</v>
      </c>
      <c r="I240" t="s">
        <v>123</v>
      </c>
      <c r="J240">
        <v>-10</v>
      </c>
      <c r="K240" t="s">
        <v>119</v>
      </c>
      <c r="L240">
        <v>1</v>
      </c>
      <c r="M240">
        <v>60</v>
      </c>
      <c r="N240">
        <v>49</v>
      </c>
      <c r="O240">
        <v>5</v>
      </c>
    </row>
    <row r="241" spans="2:15" x14ac:dyDescent="0.2">
      <c r="B241" t="s">
        <v>1448</v>
      </c>
      <c r="C241" t="s">
        <v>199</v>
      </c>
      <c r="D241" t="s">
        <v>1449</v>
      </c>
      <c r="E241">
        <v>24</v>
      </c>
      <c r="F241">
        <v>22</v>
      </c>
      <c r="G241" t="s">
        <v>123</v>
      </c>
      <c r="H241" t="s">
        <v>666</v>
      </c>
      <c r="J241">
        <v>29</v>
      </c>
      <c r="K241" t="s">
        <v>626</v>
      </c>
      <c r="L241">
        <v>6</v>
      </c>
      <c r="M241">
        <v>36</v>
      </c>
      <c r="N241">
        <v>45</v>
      </c>
    </row>
    <row r="242" spans="2:15" x14ac:dyDescent="0.2">
      <c r="B242" t="s">
        <v>1448</v>
      </c>
      <c r="C242" t="s">
        <v>199</v>
      </c>
      <c r="D242" t="s">
        <v>1449</v>
      </c>
      <c r="E242">
        <v>24</v>
      </c>
      <c r="F242">
        <v>22</v>
      </c>
      <c r="G242" t="s">
        <v>123</v>
      </c>
      <c r="H242" t="s">
        <v>666</v>
      </c>
      <c r="J242">
        <v>29</v>
      </c>
      <c r="K242" t="s">
        <v>626</v>
      </c>
      <c r="L242">
        <v>6</v>
      </c>
      <c r="M242">
        <v>36</v>
      </c>
      <c r="N242">
        <v>45</v>
      </c>
    </row>
    <row r="243" spans="2:15" x14ac:dyDescent="0.2">
      <c r="B243" t="s">
        <v>1448</v>
      </c>
      <c r="C243" t="s">
        <v>199</v>
      </c>
      <c r="D243" t="s">
        <v>1449</v>
      </c>
      <c r="E243">
        <v>24</v>
      </c>
      <c r="F243">
        <v>22</v>
      </c>
      <c r="G243" t="s">
        <v>123</v>
      </c>
      <c r="H243" t="s">
        <v>666</v>
      </c>
      <c r="J243">
        <v>29</v>
      </c>
      <c r="K243" t="s">
        <v>626</v>
      </c>
      <c r="L243">
        <v>6</v>
      </c>
      <c r="M243">
        <v>36</v>
      </c>
      <c r="N243">
        <v>45</v>
      </c>
    </row>
    <row r="244" spans="2:15" x14ac:dyDescent="0.2">
      <c r="B244" t="s">
        <v>1448</v>
      </c>
      <c r="C244" t="s">
        <v>199</v>
      </c>
      <c r="D244" t="s">
        <v>1449</v>
      </c>
      <c r="E244">
        <v>24</v>
      </c>
      <c r="F244">
        <v>22</v>
      </c>
      <c r="G244" t="s">
        <v>123</v>
      </c>
      <c r="H244" t="s">
        <v>666</v>
      </c>
      <c r="J244">
        <v>29</v>
      </c>
      <c r="K244" t="s">
        <v>626</v>
      </c>
      <c r="L244">
        <v>6</v>
      </c>
      <c r="M244">
        <v>36</v>
      </c>
      <c r="N244">
        <v>45</v>
      </c>
    </row>
    <row r="245" spans="2:15" x14ac:dyDescent="0.2">
      <c r="B245" t="s">
        <v>1448</v>
      </c>
      <c r="C245" t="s">
        <v>199</v>
      </c>
      <c r="D245" t="s">
        <v>1449</v>
      </c>
      <c r="E245">
        <v>24</v>
      </c>
      <c r="F245">
        <v>22</v>
      </c>
      <c r="G245" t="s">
        <v>123</v>
      </c>
      <c r="H245" t="s">
        <v>666</v>
      </c>
      <c r="J245">
        <v>29</v>
      </c>
      <c r="K245" t="s">
        <v>626</v>
      </c>
      <c r="L245">
        <v>6</v>
      </c>
      <c r="M245">
        <v>36</v>
      </c>
      <c r="N245">
        <v>45</v>
      </c>
    </row>
    <row r="246" spans="2:15" x14ac:dyDescent="0.2">
      <c r="B246" t="s">
        <v>1450</v>
      </c>
      <c r="C246" t="s">
        <v>199</v>
      </c>
      <c r="D246" t="s">
        <v>1451</v>
      </c>
      <c r="G246" t="s">
        <v>123</v>
      </c>
      <c r="I246" t="s">
        <v>616</v>
      </c>
      <c r="J246">
        <v>32</v>
      </c>
      <c r="K246" t="s">
        <v>626</v>
      </c>
      <c r="L246">
        <v>6</v>
      </c>
      <c r="M246">
        <v>30</v>
      </c>
      <c r="N246">
        <v>45</v>
      </c>
      <c r="O246">
        <v>0</v>
      </c>
    </row>
    <row r="247" spans="2:15" x14ac:dyDescent="0.2">
      <c r="B247" t="s">
        <v>1450</v>
      </c>
      <c r="C247" t="s">
        <v>199</v>
      </c>
      <c r="D247" t="s">
        <v>1451</v>
      </c>
      <c r="G247" t="s">
        <v>123</v>
      </c>
      <c r="H247" t="s">
        <v>666</v>
      </c>
      <c r="I247" t="s">
        <v>616</v>
      </c>
      <c r="J247">
        <v>32</v>
      </c>
      <c r="K247" t="s">
        <v>626</v>
      </c>
      <c r="L247">
        <v>6</v>
      </c>
      <c r="M247">
        <v>30</v>
      </c>
      <c r="N247">
        <v>45</v>
      </c>
      <c r="O247">
        <v>0</v>
      </c>
    </row>
    <row r="248" spans="2:15" x14ac:dyDescent="0.2">
      <c r="B248" t="s">
        <v>1450</v>
      </c>
      <c r="C248" t="s">
        <v>199</v>
      </c>
      <c r="D248" t="s">
        <v>1451</v>
      </c>
      <c r="G248" t="s">
        <v>123</v>
      </c>
      <c r="H248" t="s">
        <v>666</v>
      </c>
      <c r="I248" t="s">
        <v>616</v>
      </c>
      <c r="J248">
        <v>32</v>
      </c>
      <c r="K248" t="s">
        <v>626</v>
      </c>
      <c r="L248">
        <v>6</v>
      </c>
      <c r="M248">
        <v>30</v>
      </c>
      <c r="N248">
        <v>45</v>
      </c>
      <c r="O248">
        <v>0</v>
      </c>
    </row>
    <row r="249" spans="2:15" x14ac:dyDescent="0.2">
      <c r="B249" t="s">
        <v>1450</v>
      </c>
      <c r="C249" t="s">
        <v>199</v>
      </c>
      <c r="D249" t="s">
        <v>1451</v>
      </c>
      <c r="G249" t="s">
        <v>123</v>
      </c>
      <c r="H249" t="s">
        <v>666</v>
      </c>
      <c r="I249" t="s">
        <v>616</v>
      </c>
      <c r="J249">
        <v>32</v>
      </c>
      <c r="K249" t="s">
        <v>626</v>
      </c>
      <c r="L249">
        <v>6</v>
      </c>
      <c r="M249">
        <v>30</v>
      </c>
      <c r="N249">
        <v>45</v>
      </c>
      <c r="O249">
        <v>0</v>
      </c>
    </row>
    <row r="250" spans="2:15" x14ac:dyDescent="0.2">
      <c r="B250" t="s">
        <v>1450</v>
      </c>
      <c r="C250" t="s">
        <v>199</v>
      </c>
      <c r="D250" t="s">
        <v>1451</v>
      </c>
      <c r="G250" t="s">
        <v>123</v>
      </c>
      <c r="H250" t="s">
        <v>666</v>
      </c>
      <c r="I250" t="s">
        <v>616</v>
      </c>
      <c r="J250">
        <v>32</v>
      </c>
      <c r="K250" t="s">
        <v>626</v>
      </c>
      <c r="L250">
        <v>6</v>
      </c>
      <c r="M250">
        <v>30</v>
      </c>
      <c r="N250">
        <v>45</v>
      </c>
      <c r="O250">
        <v>0</v>
      </c>
    </row>
    <row r="251" spans="2:15" x14ac:dyDescent="0.2">
      <c r="B251" t="s">
        <v>1754</v>
      </c>
      <c r="C251" t="s">
        <v>199</v>
      </c>
      <c r="D251" t="s">
        <v>1755</v>
      </c>
      <c r="E251">
        <v>24</v>
      </c>
      <c r="F251">
        <v>23</v>
      </c>
      <c r="G251" t="s">
        <v>123</v>
      </c>
      <c r="J251">
        <v>28</v>
      </c>
      <c r="K251" t="s">
        <v>626</v>
      </c>
      <c r="L251">
        <v>6</v>
      </c>
      <c r="M251">
        <v>30</v>
      </c>
      <c r="N251">
        <v>42</v>
      </c>
      <c r="O251">
        <v>0</v>
      </c>
    </row>
    <row r="252" spans="2:15" x14ac:dyDescent="0.2">
      <c r="B252" t="s">
        <v>1756</v>
      </c>
      <c r="C252" t="s">
        <v>199</v>
      </c>
      <c r="D252" t="s">
        <v>1757</v>
      </c>
      <c r="E252">
        <v>20</v>
      </c>
      <c r="F252">
        <v>18</v>
      </c>
      <c r="G252" t="s">
        <v>123</v>
      </c>
      <c r="J252">
        <v>28</v>
      </c>
      <c r="K252" t="s">
        <v>626</v>
      </c>
      <c r="L252">
        <v>3</v>
      </c>
      <c r="M252">
        <v>40</v>
      </c>
      <c r="N252">
        <v>45</v>
      </c>
      <c r="O252">
        <v>0</v>
      </c>
    </row>
    <row r="253" spans="2:15" x14ac:dyDescent="0.2">
      <c r="B253" t="s">
        <v>1756</v>
      </c>
      <c r="C253" t="s">
        <v>199</v>
      </c>
      <c r="D253" t="s">
        <v>1757</v>
      </c>
      <c r="E253">
        <v>20</v>
      </c>
      <c r="F253">
        <v>18</v>
      </c>
      <c r="G253" t="s">
        <v>123</v>
      </c>
      <c r="J253">
        <v>28</v>
      </c>
      <c r="K253" t="s">
        <v>626</v>
      </c>
      <c r="L253">
        <v>3</v>
      </c>
      <c r="M253">
        <v>40</v>
      </c>
      <c r="N253">
        <v>45</v>
      </c>
      <c r="O253">
        <v>0</v>
      </c>
    </row>
    <row r="254" spans="2:15" x14ac:dyDescent="0.2">
      <c r="B254" t="s">
        <v>1756</v>
      </c>
      <c r="C254" t="s">
        <v>199</v>
      </c>
      <c r="D254" t="s">
        <v>1757</v>
      </c>
      <c r="E254">
        <v>20</v>
      </c>
      <c r="F254">
        <v>18</v>
      </c>
      <c r="G254" t="s">
        <v>123</v>
      </c>
      <c r="J254">
        <v>28</v>
      </c>
      <c r="K254" t="s">
        <v>626</v>
      </c>
      <c r="L254">
        <v>3</v>
      </c>
      <c r="M254">
        <v>40</v>
      </c>
      <c r="N254">
        <v>45</v>
      </c>
      <c r="O254">
        <v>0</v>
      </c>
    </row>
    <row r="255" spans="2:15" x14ac:dyDescent="0.2">
      <c r="B255" t="s">
        <v>1756</v>
      </c>
      <c r="C255" t="s">
        <v>199</v>
      </c>
      <c r="D255" t="s">
        <v>1757</v>
      </c>
      <c r="E255">
        <v>20</v>
      </c>
      <c r="F255">
        <v>18</v>
      </c>
      <c r="G255" t="s">
        <v>123</v>
      </c>
      <c r="J255">
        <v>28</v>
      </c>
      <c r="K255" t="s">
        <v>626</v>
      </c>
      <c r="L255">
        <v>3</v>
      </c>
      <c r="M255">
        <v>40</v>
      </c>
      <c r="N255">
        <v>45</v>
      </c>
      <c r="O255">
        <v>0</v>
      </c>
    </row>
    <row r="256" spans="2:15" x14ac:dyDescent="0.2">
      <c r="B256" t="s">
        <v>1756</v>
      </c>
      <c r="C256" t="s">
        <v>199</v>
      </c>
      <c r="D256" t="s">
        <v>1757</v>
      </c>
      <c r="E256">
        <v>20</v>
      </c>
      <c r="F256">
        <v>18</v>
      </c>
      <c r="G256" t="s">
        <v>123</v>
      </c>
      <c r="J256">
        <v>28</v>
      </c>
      <c r="K256" t="s">
        <v>626</v>
      </c>
      <c r="L256">
        <v>3</v>
      </c>
      <c r="M256">
        <v>40</v>
      </c>
      <c r="N256">
        <v>45</v>
      </c>
      <c r="O256">
        <v>0</v>
      </c>
    </row>
    <row r="257" spans="2:15" x14ac:dyDescent="0.2">
      <c r="B257" t="s">
        <v>1758</v>
      </c>
      <c r="C257" t="s">
        <v>199</v>
      </c>
      <c r="D257" t="s">
        <v>1759</v>
      </c>
      <c r="E257">
        <v>20</v>
      </c>
      <c r="F257">
        <v>18</v>
      </c>
      <c r="G257" t="s">
        <v>123</v>
      </c>
      <c r="I257" t="s">
        <v>616</v>
      </c>
      <c r="J257">
        <v>28</v>
      </c>
      <c r="K257" t="s">
        <v>626</v>
      </c>
      <c r="L257">
        <v>3</v>
      </c>
      <c r="M257">
        <v>40</v>
      </c>
      <c r="N257">
        <v>45</v>
      </c>
      <c r="O257">
        <v>0</v>
      </c>
    </row>
    <row r="258" spans="2:15" x14ac:dyDescent="0.2">
      <c r="B258" t="s">
        <v>1758</v>
      </c>
      <c r="C258" t="s">
        <v>199</v>
      </c>
      <c r="D258" t="s">
        <v>1759</v>
      </c>
      <c r="E258">
        <v>20</v>
      </c>
      <c r="F258">
        <v>18</v>
      </c>
      <c r="G258" t="s">
        <v>123</v>
      </c>
      <c r="I258" t="s">
        <v>616</v>
      </c>
      <c r="J258">
        <v>28</v>
      </c>
      <c r="K258" t="s">
        <v>626</v>
      </c>
      <c r="L258">
        <v>3</v>
      </c>
      <c r="M258">
        <v>40</v>
      </c>
      <c r="N258">
        <v>45</v>
      </c>
      <c r="O258">
        <v>0</v>
      </c>
    </row>
    <row r="259" spans="2:15" x14ac:dyDescent="0.2">
      <c r="B259" t="s">
        <v>1758</v>
      </c>
      <c r="C259" t="s">
        <v>199</v>
      </c>
      <c r="D259" t="s">
        <v>1759</v>
      </c>
      <c r="E259">
        <v>20</v>
      </c>
      <c r="F259">
        <v>18</v>
      </c>
      <c r="G259" t="s">
        <v>123</v>
      </c>
      <c r="I259" t="s">
        <v>616</v>
      </c>
      <c r="J259">
        <v>28</v>
      </c>
      <c r="K259" t="s">
        <v>626</v>
      </c>
      <c r="L259">
        <v>3</v>
      </c>
      <c r="M259">
        <v>40</v>
      </c>
      <c r="N259">
        <v>45</v>
      </c>
      <c r="O259">
        <v>0</v>
      </c>
    </row>
    <row r="260" spans="2:15" x14ac:dyDescent="0.2">
      <c r="B260" t="s">
        <v>1758</v>
      </c>
      <c r="C260" t="s">
        <v>199</v>
      </c>
      <c r="D260" t="s">
        <v>1759</v>
      </c>
      <c r="E260">
        <v>20</v>
      </c>
      <c r="F260">
        <v>18</v>
      </c>
      <c r="G260" t="s">
        <v>123</v>
      </c>
      <c r="I260" t="s">
        <v>616</v>
      </c>
      <c r="J260">
        <v>28</v>
      </c>
      <c r="K260" t="s">
        <v>626</v>
      </c>
      <c r="L260">
        <v>3</v>
      </c>
      <c r="M260">
        <v>40</v>
      </c>
      <c r="N260">
        <v>45</v>
      </c>
      <c r="O260">
        <v>0</v>
      </c>
    </row>
    <row r="261" spans="2:15" x14ac:dyDescent="0.2">
      <c r="B261" t="s">
        <v>1758</v>
      </c>
      <c r="C261" t="s">
        <v>199</v>
      </c>
      <c r="D261" t="s">
        <v>1759</v>
      </c>
      <c r="E261">
        <v>20</v>
      </c>
      <c r="F261">
        <v>18</v>
      </c>
      <c r="G261" t="s">
        <v>123</v>
      </c>
      <c r="I261" t="s">
        <v>616</v>
      </c>
      <c r="J261">
        <v>28</v>
      </c>
      <c r="K261" t="s">
        <v>626</v>
      </c>
      <c r="L261">
        <v>3</v>
      </c>
      <c r="M261">
        <v>40</v>
      </c>
      <c r="N261">
        <v>45</v>
      </c>
      <c r="O261">
        <v>0</v>
      </c>
    </row>
    <row r="262" spans="2:15" x14ac:dyDescent="0.2">
      <c r="B262" t="s">
        <v>2019</v>
      </c>
      <c r="C262" t="s">
        <v>199</v>
      </c>
      <c r="D262" t="s">
        <v>2020</v>
      </c>
      <c r="E262">
        <v>24</v>
      </c>
      <c r="F262">
        <v>23</v>
      </c>
      <c r="G262" t="s">
        <v>123</v>
      </c>
      <c r="I262" t="s">
        <v>616</v>
      </c>
      <c r="J262">
        <v>32</v>
      </c>
      <c r="K262" t="s">
        <v>626</v>
      </c>
      <c r="L262">
        <v>6</v>
      </c>
      <c r="M262">
        <v>30</v>
      </c>
      <c r="N262">
        <v>45</v>
      </c>
      <c r="O262">
        <v>0</v>
      </c>
    </row>
    <row r="263" spans="2:15" x14ac:dyDescent="0.2">
      <c r="B263" t="s">
        <v>2021</v>
      </c>
      <c r="C263" t="s">
        <v>199</v>
      </c>
      <c r="D263" t="s">
        <v>1760</v>
      </c>
      <c r="G263" t="s">
        <v>123</v>
      </c>
      <c r="J263">
        <v>30</v>
      </c>
      <c r="K263" t="s">
        <v>626</v>
      </c>
      <c r="L263">
        <v>6</v>
      </c>
      <c r="M263">
        <v>30</v>
      </c>
      <c r="N263">
        <v>45</v>
      </c>
      <c r="O263">
        <v>0</v>
      </c>
    </row>
    <row r="264" spans="2:15" x14ac:dyDescent="0.2">
      <c r="B264" t="s">
        <v>2022</v>
      </c>
      <c r="C264" t="s">
        <v>199</v>
      </c>
      <c r="D264" t="s">
        <v>1761</v>
      </c>
      <c r="G264" t="s">
        <v>123</v>
      </c>
      <c r="J264">
        <v>32</v>
      </c>
      <c r="K264" t="s">
        <v>626</v>
      </c>
      <c r="L264">
        <v>6</v>
      </c>
      <c r="M264">
        <v>30</v>
      </c>
      <c r="N264">
        <v>45</v>
      </c>
      <c r="O264">
        <v>0</v>
      </c>
    </row>
    <row r="265" spans="2:15" x14ac:dyDescent="0.2">
      <c r="B265" t="s">
        <v>2023</v>
      </c>
      <c r="C265" t="s">
        <v>199</v>
      </c>
      <c r="D265" t="s">
        <v>1762</v>
      </c>
      <c r="G265" t="s">
        <v>123</v>
      </c>
      <c r="J265">
        <v>32</v>
      </c>
      <c r="K265" t="s">
        <v>626</v>
      </c>
      <c r="L265">
        <v>6</v>
      </c>
      <c r="M265">
        <v>30</v>
      </c>
      <c r="N265">
        <v>45</v>
      </c>
      <c r="O265">
        <v>0</v>
      </c>
    </row>
    <row r="266" spans="2:15" x14ac:dyDescent="0.2">
      <c r="B266" t="s">
        <v>2023</v>
      </c>
      <c r="C266" t="s">
        <v>199</v>
      </c>
      <c r="D266" t="s">
        <v>1762</v>
      </c>
      <c r="G266" t="s">
        <v>123</v>
      </c>
      <c r="J266">
        <v>32</v>
      </c>
      <c r="K266" t="s">
        <v>626</v>
      </c>
      <c r="L266">
        <v>6</v>
      </c>
      <c r="M266">
        <v>30</v>
      </c>
      <c r="N266">
        <v>45</v>
      </c>
      <c r="O266">
        <v>0</v>
      </c>
    </row>
    <row r="267" spans="2:15" x14ac:dyDescent="0.2">
      <c r="B267" t="s">
        <v>2024</v>
      </c>
      <c r="C267" t="s">
        <v>199</v>
      </c>
      <c r="D267" t="s">
        <v>1762</v>
      </c>
      <c r="G267" t="s">
        <v>123</v>
      </c>
      <c r="J267">
        <v>32</v>
      </c>
      <c r="K267" t="s">
        <v>626</v>
      </c>
      <c r="L267">
        <v>6</v>
      </c>
      <c r="M267">
        <v>30</v>
      </c>
      <c r="N267">
        <v>45</v>
      </c>
      <c r="O267">
        <v>0</v>
      </c>
    </row>
    <row r="268" spans="2:15" x14ac:dyDescent="0.2">
      <c r="B268" t="s">
        <v>2025</v>
      </c>
      <c r="C268" t="s">
        <v>199</v>
      </c>
      <c r="D268" t="s">
        <v>2026</v>
      </c>
      <c r="E268">
        <v>24</v>
      </c>
      <c r="F268">
        <v>23</v>
      </c>
      <c r="G268" t="s">
        <v>123</v>
      </c>
      <c r="I268" t="s">
        <v>616</v>
      </c>
      <c r="J268">
        <v>32</v>
      </c>
      <c r="K268" t="s">
        <v>626</v>
      </c>
      <c r="L268">
        <v>6</v>
      </c>
      <c r="M268">
        <v>30</v>
      </c>
      <c r="N268">
        <v>45</v>
      </c>
      <c r="O268">
        <v>0</v>
      </c>
    </row>
    <row r="269" spans="2:15" x14ac:dyDescent="0.2">
      <c r="B269" t="s">
        <v>2025</v>
      </c>
      <c r="C269" t="s">
        <v>199</v>
      </c>
      <c r="D269" t="s">
        <v>2026</v>
      </c>
      <c r="E269">
        <v>24</v>
      </c>
      <c r="F269">
        <v>23</v>
      </c>
      <c r="G269" t="s">
        <v>123</v>
      </c>
      <c r="I269" t="s">
        <v>616</v>
      </c>
      <c r="J269">
        <v>32</v>
      </c>
      <c r="K269" t="s">
        <v>626</v>
      </c>
      <c r="L269">
        <v>6</v>
      </c>
      <c r="M269">
        <v>30</v>
      </c>
      <c r="N269">
        <v>45</v>
      </c>
      <c r="O269">
        <v>0</v>
      </c>
    </row>
    <row r="270" spans="2:15" x14ac:dyDescent="0.2">
      <c r="B270" t="s">
        <v>2025</v>
      </c>
      <c r="C270" t="s">
        <v>199</v>
      </c>
      <c r="D270" t="s">
        <v>2026</v>
      </c>
      <c r="E270">
        <v>24</v>
      </c>
      <c r="F270">
        <v>23</v>
      </c>
      <c r="G270" t="s">
        <v>123</v>
      </c>
      <c r="I270" t="s">
        <v>616</v>
      </c>
      <c r="J270">
        <v>32</v>
      </c>
      <c r="K270" t="s">
        <v>626</v>
      </c>
      <c r="L270">
        <v>6</v>
      </c>
      <c r="M270">
        <v>30</v>
      </c>
      <c r="N270">
        <v>45</v>
      </c>
      <c r="O270">
        <v>0</v>
      </c>
    </row>
    <row r="271" spans="2:15" x14ac:dyDescent="0.2">
      <c r="B271" t="s">
        <v>2027</v>
      </c>
      <c r="C271" t="s">
        <v>199</v>
      </c>
      <c r="D271" t="s">
        <v>1763</v>
      </c>
      <c r="G271" t="s">
        <v>123</v>
      </c>
      <c r="I271" t="s">
        <v>616</v>
      </c>
      <c r="J271">
        <v>30</v>
      </c>
      <c r="K271" t="s">
        <v>626</v>
      </c>
      <c r="L271">
        <v>6</v>
      </c>
      <c r="M271">
        <v>30</v>
      </c>
      <c r="N271">
        <v>45</v>
      </c>
      <c r="O271">
        <v>0</v>
      </c>
    </row>
    <row r="272" spans="2:15" x14ac:dyDescent="0.2">
      <c r="B272" t="s">
        <v>2027</v>
      </c>
      <c r="C272" t="s">
        <v>199</v>
      </c>
      <c r="D272" t="s">
        <v>1763</v>
      </c>
      <c r="G272" t="s">
        <v>123</v>
      </c>
      <c r="I272" t="s">
        <v>616</v>
      </c>
      <c r="J272">
        <v>30</v>
      </c>
      <c r="K272" t="s">
        <v>626</v>
      </c>
      <c r="L272">
        <v>6</v>
      </c>
      <c r="M272">
        <v>30</v>
      </c>
      <c r="N272">
        <v>45</v>
      </c>
      <c r="O272">
        <v>0</v>
      </c>
    </row>
    <row r="273" spans="2:15" x14ac:dyDescent="0.2">
      <c r="B273" t="s">
        <v>2027</v>
      </c>
      <c r="C273" t="s">
        <v>199</v>
      </c>
      <c r="D273" t="s">
        <v>1763</v>
      </c>
      <c r="G273" t="s">
        <v>123</v>
      </c>
      <c r="I273" t="s">
        <v>616</v>
      </c>
      <c r="J273">
        <v>30</v>
      </c>
      <c r="K273" t="s">
        <v>626</v>
      </c>
      <c r="L273">
        <v>6</v>
      </c>
      <c r="M273">
        <v>30</v>
      </c>
      <c r="N273">
        <v>45</v>
      </c>
      <c r="O273">
        <v>0</v>
      </c>
    </row>
    <row r="274" spans="2:15" x14ac:dyDescent="0.2">
      <c r="B274" t="s">
        <v>1452</v>
      </c>
      <c r="C274" t="s">
        <v>199</v>
      </c>
      <c r="D274" t="s">
        <v>1453</v>
      </c>
      <c r="E274">
        <v>24</v>
      </c>
      <c r="F274">
        <v>22</v>
      </c>
      <c r="G274" t="s">
        <v>123</v>
      </c>
      <c r="H274" t="s">
        <v>666</v>
      </c>
      <c r="J274">
        <v>32</v>
      </c>
      <c r="K274" t="s">
        <v>626</v>
      </c>
      <c r="L274">
        <v>6</v>
      </c>
      <c r="M274">
        <v>30</v>
      </c>
      <c r="N274">
        <v>45</v>
      </c>
      <c r="O274">
        <v>0</v>
      </c>
    </row>
    <row r="275" spans="2:15" x14ac:dyDescent="0.2">
      <c r="B275" t="s">
        <v>2028</v>
      </c>
      <c r="C275" t="s">
        <v>199</v>
      </c>
      <c r="D275" t="s">
        <v>2029</v>
      </c>
      <c r="E275">
        <v>24</v>
      </c>
      <c r="F275">
        <v>23</v>
      </c>
      <c r="G275" t="s">
        <v>123</v>
      </c>
      <c r="I275" t="s">
        <v>616</v>
      </c>
      <c r="J275">
        <v>32</v>
      </c>
      <c r="K275" t="s">
        <v>626</v>
      </c>
      <c r="L275">
        <v>6</v>
      </c>
      <c r="M275">
        <v>30</v>
      </c>
      <c r="N275">
        <v>45</v>
      </c>
      <c r="O275">
        <v>0</v>
      </c>
    </row>
    <row r="276" spans="2:15" x14ac:dyDescent="0.2">
      <c r="B276" t="s">
        <v>2030</v>
      </c>
      <c r="C276" t="s">
        <v>199</v>
      </c>
      <c r="D276" t="s">
        <v>2031</v>
      </c>
      <c r="G276" t="s">
        <v>123</v>
      </c>
      <c r="I276" t="s">
        <v>616</v>
      </c>
      <c r="J276">
        <v>32</v>
      </c>
      <c r="K276" t="s">
        <v>626</v>
      </c>
      <c r="L276">
        <v>6</v>
      </c>
      <c r="M276">
        <v>30</v>
      </c>
      <c r="N276">
        <v>45</v>
      </c>
      <c r="O276">
        <v>0</v>
      </c>
    </row>
    <row r="277" spans="2:15" x14ac:dyDescent="0.2">
      <c r="B277" t="s">
        <v>2032</v>
      </c>
      <c r="C277" t="s">
        <v>199</v>
      </c>
      <c r="D277" t="s">
        <v>1764</v>
      </c>
      <c r="E277">
        <v>22</v>
      </c>
      <c r="F277">
        <v>21</v>
      </c>
      <c r="G277" t="s">
        <v>123</v>
      </c>
      <c r="J277">
        <v>30</v>
      </c>
      <c r="K277" t="s">
        <v>626</v>
      </c>
      <c r="L277">
        <v>6</v>
      </c>
      <c r="M277">
        <v>30</v>
      </c>
      <c r="N277">
        <v>45</v>
      </c>
      <c r="O277">
        <v>0</v>
      </c>
    </row>
    <row r="278" spans="2:15" x14ac:dyDescent="0.2">
      <c r="B278" t="s">
        <v>2033</v>
      </c>
      <c r="C278" t="s">
        <v>199</v>
      </c>
      <c r="D278" t="s">
        <v>1765</v>
      </c>
      <c r="E278">
        <v>24</v>
      </c>
      <c r="F278">
        <v>23</v>
      </c>
      <c r="G278" t="s">
        <v>123</v>
      </c>
      <c r="J278">
        <v>32</v>
      </c>
      <c r="K278" t="s">
        <v>626</v>
      </c>
      <c r="L278">
        <v>6</v>
      </c>
      <c r="M278">
        <v>30</v>
      </c>
      <c r="N278">
        <v>45</v>
      </c>
      <c r="O278">
        <v>0</v>
      </c>
    </row>
    <row r="279" spans="2:15" x14ac:dyDescent="0.2">
      <c r="B279" t="s">
        <v>2034</v>
      </c>
      <c r="C279" t="s">
        <v>199</v>
      </c>
      <c r="D279" t="s">
        <v>2035</v>
      </c>
      <c r="E279">
        <v>24</v>
      </c>
      <c r="F279">
        <v>23</v>
      </c>
      <c r="G279" t="s">
        <v>123</v>
      </c>
      <c r="I279" t="s">
        <v>616</v>
      </c>
      <c r="J279">
        <v>32</v>
      </c>
      <c r="K279" t="s">
        <v>626</v>
      </c>
      <c r="L279">
        <v>6</v>
      </c>
      <c r="M279">
        <v>30</v>
      </c>
      <c r="N279">
        <v>45</v>
      </c>
      <c r="O279">
        <v>0</v>
      </c>
    </row>
    <row r="280" spans="2:15" x14ac:dyDescent="0.2">
      <c r="B280" t="s">
        <v>2036</v>
      </c>
      <c r="C280" t="s">
        <v>199</v>
      </c>
      <c r="D280" t="s">
        <v>1766</v>
      </c>
      <c r="G280" t="s">
        <v>123</v>
      </c>
      <c r="J280">
        <v>30</v>
      </c>
      <c r="K280" t="s">
        <v>626</v>
      </c>
      <c r="L280">
        <v>6</v>
      </c>
      <c r="M280">
        <v>30</v>
      </c>
      <c r="N280">
        <v>45</v>
      </c>
      <c r="O280">
        <v>0</v>
      </c>
    </row>
    <row r="281" spans="2:15" x14ac:dyDescent="0.2">
      <c r="B281" t="s">
        <v>2037</v>
      </c>
      <c r="C281" t="s">
        <v>199</v>
      </c>
      <c r="D281" t="s">
        <v>1767</v>
      </c>
      <c r="G281" t="s">
        <v>123</v>
      </c>
      <c r="J281">
        <v>30</v>
      </c>
      <c r="K281" t="s">
        <v>626</v>
      </c>
      <c r="L281">
        <v>6</v>
      </c>
      <c r="M281">
        <v>30</v>
      </c>
      <c r="N281">
        <v>45</v>
      </c>
      <c r="O281">
        <v>0</v>
      </c>
    </row>
    <row r="282" spans="2:15" x14ac:dyDescent="0.2">
      <c r="B282" t="s">
        <v>2038</v>
      </c>
      <c r="C282" t="s">
        <v>199</v>
      </c>
      <c r="D282" t="s">
        <v>1768</v>
      </c>
      <c r="G282" t="s">
        <v>123</v>
      </c>
      <c r="J282">
        <v>32</v>
      </c>
      <c r="K282" t="s">
        <v>626</v>
      </c>
      <c r="L282">
        <v>6</v>
      </c>
      <c r="M282">
        <v>30</v>
      </c>
      <c r="N282">
        <v>45</v>
      </c>
      <c r="O282">
        <v>0</v>
      </c>
    </row>
    <row r="283" spans="2:15" x14ac:dyDescent="0.2">
      <c r="B283" t="s">
        <v>2039</v>
      </c>
      <c r="C283" t="s">
        <v>199</v>
      </c>
      <c r="D283" t="s">
        <v>1769</v>
      </c>
      <c r="E283">
        <v>22</v>
      </c>
      <c r="F283">
        <v>21</v>
      </c>
      <c r="G283" t="s">
        <v>123</v>
      </c>
      <c r="J283">
        <v>30</v>
      </c>
      <c r="K283" t="s">
        <v>626</v>
      </c>
      <c r="L283">
        <v>6</v>
      </c>
      <c r="M283">
        <v>30</v>
      </c>
      <c r="N283">
        <v>45</v>
      </c>
      <c r="O283">
        <v>0</v>
      </c>
    </row>
    <row r="284" spans="2:15" x14ac:dyDescent="0.2">
      <c r="B284" t="s">
        <v>2039</v>
      </c>
      <c r="C284" t="s">
        <v>199</v>
      </c>
      <c r="D284" t="s">
        <v>1769</v>
      </c>
      <c r="E284">
        <v>22</v>
      </c>
      <c r="F284">
        <v>21</v>
      </c>
      <c r="G284" t="s">
        <v>123</v>
      </c>
      <c r="J284">
        <v>30</v>
      </c>
      <c r="K284" t="s">
        <v>626</v>
      </c>
      <c r="L284">
        <v>6</v>
      </c>
      <c r="M284">
        <v>30</v>
      </c>
      <c r="N284">
        <v>45</v>
      </c>
      <c r="O284">
        <v>0</v>
      </c>
    </row>
    <row r="285" spans="2:15" x14ac:dyDescent="0.2">
      <c r="B285" t="s">
        <v>2039</v>
      </c>
      <c r="C285" t="s">
        <v>199</v>
      </c>
      <c r="D285" t="s">
        <v>1769</v>
      </c>
      <c r="E285">
        <v>22</v>
      </c>
      <c r="F285">
        <v>21</v>
      </c>
      <c r="G285" t="s">
        <v>123</v>
      </c>
      <c r="J285">
        <v>30</v>
      </c>
      <c r="K285" t="s">
        <v>626</v>
      </c>
      <c r="L285">
        <v>6</v>
      </c>
      <c r="M285">
        <v>30</v>
      </c>
      <c r="N285">
        <v>45</v>
      </c>
      <c r="O285">
        <v>0</v>
      </c>
    </row>
    <row r="286" spans="2:15" x14ac:dyDescent="0.2">
      <c r="B286" t="s">
        <v>2040</v>
      </c>
      <c r="C286" t="s">
        <v>199</v>
      </c>
      <c r="D286" t="s">
        <v>1770</v>
      </c>
      <c r="E286">
        <v>24</v>
      </c>
      <c r="F286">
        <v>23</v>
      </c>
      <c r="G286" t="s">
        <v>123</v>
      </c>
      <c r="J286">
        <v>32</v>
      </c>
      <c r="K286" t="s">
        <v>626</v>
      </c>
      <c r="L286">
        <v>6</v>
      </c>
      <c r="M286">
        <v>30</v>
      </c>
      <c r="N286">
        <v>45</v>
      </c>
      <c r="O286">
        <v>0</v>
      </c>
    </row>
    <row r="287" spans="2:15" x14ac:dyDescent="0.2">
      <c r="B287" t="s">
        <v>2040</v>
      </c>
      <c r="C287" t="s">
        <v>199</v>
      </c>
      <c r="D287" t="s">
        <v>1770</v>
      </c>
      <c r="E287">
        <v>24</v>
      </c>
      <c r="F287">
        <v>23</v>
      </c>
      <c r="G287" t="s">
        <v>123</v>
      </c>
      <c r="J287">
        <v>32</v>
      </c>
      <c r="K287" t="s">
        <v>626</v>
      </c>
      <c r="L287">
        <v>6</v>
      </c>
      <c r="M287">
        <v>30</v>
      </c>
      <c r="N287">
        <v>45</v>
      </c>
      <c r="O287">
        <v>0</v>
      </c>
    </row>
    <row r="288" spans="2:15" x14ac:dyDescent="0.2">
      <c r="B288" t="s">
        <v>2040</v>
      </c>
      <c r="C288" t="s">
        <v>199</v>
      </c>
      <c r="D288" t="s">
        <v>1770</v>
      </c>
      <c r="E288">
        <v>24</v>
      </c>
      <c r="F288">
        <v>23</v>
      </c>
      <c r="G288" t="s">
        <v>123</v>
      </c>
      <c r="J288">
        <v>32</v>
      </c>
      <c r="K288" t="s">
        <v>626</v>
      </c>
      <c r="L288">
        <v>6</v>
      </c>
      <c r="M288">
        <v>30</v>
      </c>
      <c r="N288">
        <v>45</v>
      </c>
      <c r="O288">
        <v>0</v>
      </c>
    </row>
    <row r="289" spans="2:15" x14ac:dyDescent="0.2">
      <c r="B289" t="s">
        <v>2041</v>
      </c>
      <c r="C289" t="s">
        <v>199</v>
      </c>
      <c r="D289" t="s">
        <v>2042</v>
      </c>
      <c r="E289">
        <v>24</v>
      </c>
      <c r="F289">
        <v>23</v>
      </c>
      <c r="G289" t="s">
        <v>123</v>
      </c>
      <c r="I289" t="s">
        <v>616</v>
      </c>
      <c r="J289">
        <v>32</v>
      </c>
      <c r="K289" t="s">
        <v>626</v>
      </c>
      <c r="L289">
        <v>6</v>
      </c>
      <c r="M289">
        <v>30</v>
      </c>
      <c r="N289">
        <v>45</v>
      </c>
      <c r="O289">
        <v>0</v>
      </c>
    </row>
    <row r="290" spans="2:15" x14ac:dyDescent="0.2">
      <c r="B290" t="s">
        <v>2041</v>
      </c>
      <c r="C290" t="s">
        <v>199</v>
      </c>
      <c r="D290" t="s">
        <v>2042</v>
      </c>
      <c r="E290">
        <v>24</v>
      </c>
      <c r="F290">
        <v>23</v>
      </c>
      <c r="G290" t="s">
        <v>123</v>
      </c>
      <c r="I290" t="s">
        <v>616</v>
      </c>
      <c r="J290">
        <v>32</v>
      </c>
      <c r="K290" t="s">
        <v>626</v>
      </c>
      <c r="L290">
        <v>6</v>
      </c>
      <c r="M290">
        <v>30</v>
      </c>
      <c r="N290">
        <v>45</v>
      </c>
      <c r="O290">
        <v>0</v>
      </c>
    </row>
    <row r="291" spans="2:15" x14ac:dyDescent="0.2">
      <c r="B291" t="s">
        <v>2041</v>
      </c>
      <c r="C291" t="s">
        <v>199</v>
      </c>
      <c r="D291" t="s">
        <v>2042</v>
      </c>
      <c r="E291">
        <v>24</v>
      </c>
      <c r="F291">
        <v>23</v>
      </c>
      <c r="G291" t="s">
        <v>123</v>
      </c>
      <c r="I291" t="s">
        <v>616</v>
      </c>
      <c r="J291">
        <v>32</v>
      </c>
      <c r="K291" t="s">
        <v>626</v>
      </c>
      <c r="L291">
        <v>6</v>
      </c>
      <c r="M291">
        <v>30</v>
      </c>
      <c r="N291">
        <v>45</v>
      </c>
      <c r="O291">
        <v>0</v>
      </c>
    </row>
    <row r="292" spans="2:15" x14ac:dyDescent="0.2">
      <c r="B292" t="s">
        <v>1672</v>
      </c>
      <c r="C292" t="s">
        <v>199</v>
      </c>
      <c r="D292" t="s">
        <v>1456</v>
      </c>
      <c r="E292">
        <v>24</v>
      </c>
      <c r="F292">
        <v>22</v>
      </c>
      <c r="G292" t="s">
        <v>123</v>
      </c>
      <c r="H292" t="s">
        <v>666</v>
      </c>
      <c r="J292">
        <v>32</v>
      </c>
      <c r="K292" t="s">
        <v>626</v>
      </c>
      <c r="L292">
        <v>6</v>
      </c>
      <c r="M292">
        <v>30</v>
      </c>
      <c r="N292">
        <v>45</v>
      </c>
      <c r="O292">
        <v>0</v>
      </c>
    </row>
    <row r="293" spans="2:15" x14ac:dyDescent="0.2">
      <c r="B293" t="s">
        <v>1672</v>
      </c>
      <c r="C293" t="s">
        <v>199</v>
      </c>
      <c r="D293" t="s">
        <v>1456</v>
      </c>
      <c r="E293">
        <v>24</v>
      </c>
      <c r="F293">
        <v>22</v>
      </c>
      <c r="G293" t="s">
        <v>123</v>
      </c>
      <c r="H293" t="s">
        <v>666</v>
      </c>
      <c r="J293">
        <v>32</v>
      </c>
      <c r="K293" t="s">
        <v>626</v>
      </c>
      <c r="L293">
        <v>6</v>
      </c>
      <c r="M293">
        <v>30</v>
      </c>
      <c r="N293">
        <v>45</v>
      </c>
      <c r="O293">
        <v>0</v>
      </c>
    </row>
    <row r="294" spans="2:15" x14ac:dyDescent="0.2">
      <c r="B294" t="s">
        <v>2043</v>
      </c>
      <c r="C294" t="s">
        <v>199</v>
      </c>
      <c r="D294" t="s">
        <v>2044</v>
      </c>
      <c r="E294">
        <v>24</v>
      </c>
      <c r="F294">
        <v>23</v>
      </c>
      <c r="G294" t="s">
        <v>123</v>
      </c>
      <c r="I294" t="s">
        <v>616</v>
      </c>
      <c r="J294">
        <v>32</v>
      </c>
      <c r="K294" t="s">
        <v>626</v>
      </c>
      <c r="L294">
        <v>6</v>
      </c>
      <c r="M294">
        <v>30</v>
      </c>
      <c r="N294">
        <v>45</v>
      </c>
      <c r="O294">
        <v>0</v>
      </c>
    </row>
    <row r="295" spans="2:15" x14ac:dyDescent="0.2">
      <c r="B295" t="s">
        <v>2043</v>
      </c>
      <c r="C295" t="s">
        <v>199</v>
      </c>
      <c r="D295" t="s">
        <v>2044</v>
      </c>
      <c r="E295">
        <v>24</v>
      </c>
      <c r="F295">
        <v>23</v>
      </c>
      <c r="G295" t="s">
        <v>123</v>
      </c>
      <c r="I295" t="s">
        <v>616</v>
      </c>
      <c r="J295">
        <v>32</v>
      </c>
      <c r="K295" t="s">
        <v>626</v>
      </c>
      <c r="L295">
        <v>6</v>
      </c>
      <c r="M295">
        <v>30</v>
      </c>
      <c r="N295">
        <v>45</v>
      </c>
      <c r="O295">
        <v>0</v>
      </c>
    </row>
    <row r="296" spans="2:15" x14ac:dyDescent="0.2">
      <c r="B296" t="s">
        <v>1454</v>
      </c>
      <c r="C296" t="s">
        <v>199</v>
      </c>
      <c r="D296" t="s">
        <v>1455</v>
      </c>
      <c r="G296" t="s">
        <v>123</v>
      </c>
      <c r="H296" t="s">
        <v>666</v>
      </c>
      <c r="I296" t="s">
        <v>616</v>
      </c>
      <c r="J296">
        <v>32</v>
      </c>
      <c r="K296" t="s">
        <v>626</v>
      </c>
      <c r="L296">
        <v>6</v>
      </c>
      <c r="M296">
        <v>30</v>
      </c>
      <c r="N296">
        <v>45</v>
      </c>
      <c r="O296">
        <v>0</v>
      </c>
    </row>
    <row r="297" spans="2:15" x14ac:dyDescent="0.2">
      <c r="B297" t="s">
        <v>1454</v>
      </c>
      <c r="C297" t="s">
        <v>199</v>
      </c>
      <c r="D297" t="s">
        <v>1455</v>
      </c>
      <c r="G297" t="s">
        <v>123</v>
      </c>
      <c r="H297" t="s">
        <v>666</v>
      </c>
      <c r="I297" t="s">
        <v>616</v>
      </c>
      <c r="J297">
        <v>32</v>
      </c>
      <c r="K297" t="s">
        <v>626</v>
      </c>
      <c r="L297">
        <v>6</v>
      </c>
      <c r="M297">
        <v>30</v>
      </c>
      <c r="N297">
        <v>45</v>
      </c>
      <c r="O297">
        <v>0</v>
      </c>
    </row>
    <row r="298" spans="2:15" x14ac:dyDescent="0.2">
      <c r="B298" t="s">
        <v>1454</v>
      </c>
      <c r="C298" t="s">
        <v>199</v>
      </c>
      <c r="D298" t="s">
        <v>1455</v>
      </c>
      <c r="G298" t="s">
        <v>123</v>
      </c>
      <c r="J298">
        <v>32</v>
      </c>
      <c r="K298" t="s">
        <v>626</v>
      </c>
      <c r="L298">
        <v>6</v>
      </c>
      <c r="M298">
        <v>30</v>
      </c>
      <c r="N298">
        <v>45</v>
      </c>
      <c r="O298">
        <v>0</v>
      </c>
    </row>
    <row r="299" spans="2:15" x14ac:dyDescent="0.2">
      <c r="B299" t="s">
        <v>1454</v>
      </c>
      <c r="C299" t="s">
        <v>199</v>
      </c>
      <c r="D299" t="s">
        <v>1455</v>
      </c>
      <c r="G299" t="s">
        <v>123</v>
      </c>
      <c r="J299">
        <v>32</v>
      </c>
      <c r="K299" t="s">
        <v>626</v>
      </c>
      <c r="L299">
        <v>6</v>
      </c>
      <c r="M299">
        <v>30</v>
      </c>
      <c r="N299">
        <v>45</v>
      </c>
      <c r="O299">
        <v>0</v>
      </c>
    </row>
    <row r="300" spans="2:15" x14ac:dyDescent="0.2">
      <c r="B300" t="s">
        <v>2045</v>
      </c>
      <c r="C300" t="s">
        <v>199</v>
      </c>
      <c r="D300" t="s">
        <v>2046</v>
      </c>
      <c r="E300">
        <v>24</v>
      </c>
      <c r="F300">
        <v>23</v>
      </c>
      <c r="G300" t="s">
        <v>123</v>
      </c>
      <c r="I300" t="s">
        <v>616</v>
      </c>
      <c r="J300">
        <v>32</v>
      </c>
      <c r="K300" t="s">
        <v>626</v>
      </c>
      <c r="L300">
        <v>6</v>
      </c>
      <c r="M300">
        <v>30</v>
      </c>
      <c r="N300">
        <v>45</v>
      </c>
      <c r="O300">
        <v>0</v>
      </c>
    </row>
    <row r="301" spans="2:15" x14ac:dyDescent="0.2">
      <c r="B301" t="s">
        <v>2045</v>
      </c>
      <c r="C301" t="s">
        <v>199</v>
      </c>
      <c r="D301" t="s">
        <v>2046</v>
      </c>
      <c r="E301">
        <v>24</v>
      </c>
      <c r="F301">
        <v>23</v>
      </c>
      <c r="G301" t="s">
        <v>123</v>
      </c>
      <c r="I301" t="s">
        <v>616</v>
      </c>
      <c r="J301">
        <v>32</v>
      </c>
      <c r="K301" t="s">
        <v>626</v>
      </c>
      <c r="L301">
        <v>6</v>
      </c>
      <c r="M301">
        <v>30</v>
      </c>
      <c r="N301">
        <v>45</v>
      </c>
      <c r="O301">
        <v>0</v>
      </c>
    </row>
    <row r="302" spans="2:15" x14ac:dyDescent="0.2">
      <c r="B302" t="s">
        <v>2047</v>
      </c>
      <c r="C302" t="s">
        <v>199</v>
      </c>
      <c r="D302" t="s">
        <v>2048</v>
      </c>
      <c r="G302" t="s">
        <v>123</v>
      </c>
      <c r="I302" t="s">
        <v>616</v>
      </c>
      <c r="J302">
        <v>32</v>
      </c>
      <c r="K302" t="s">
        <v>626</v>
      </c>
      <c r="L302">
        <v>6</v>
      </c>
      <c r="M302">
        <v>30</v>
      </c>
      <c r="N302">
        <v>45</v>
      </c>
      <c r="O302">
        <v>0</v>
      </c>
    </row>
    <row r="303" spans="2:15" x14ac:dyDescent="0.2">
      <c r="B303" t="s">
        <v>2047</v>
      </c>
      <c r="C303" t="s">
        <v>199</v>
      </c>
      <c r="D303" t="s">
        <v>2048</v>
      </c>
      <c r="G303" t="s">
        <v>123</v>
      </c>
      <c r="I303" t="s">
        <v>616</v>
      </c>
      <c r="J303">
        <v>32</v>
      </c>
      <c r="K303" t="s">
        <v>626</v>
      </c>
      <c r="L303">
        <v>6</v>
      </c>
      <c r="M303">
        <v>30</v>
      </c>
      <c r="N303">
        <v>45</v>
      </c>
      <c r="O303">
        <v>0</v>
      </c>
    </row>
    <row r="304" spans="2:15" x14ac:dyDescent="0.2">
      <c r="B304" t="s">
        <v>2047</v>
      </c>
      <c r="C304" t="s">
        <v>199</v>
      </c>
      <c r="D304" t="s">
        <v>2048</v>
      </c>
      <c r="G304" t="s">
        <v>123</v>
      </c>
      <c r="I304" t="s">
        <v>616</v>
      </c>
      <c r="J304">
        <v>32</v>
      </c>
      <c r="K304" t="s">
        <v>626</v>
      </c>
      <c r="L304">
        <v>6</v>
      </c>
      <c r="M304">
        <v>30</v>
      </c>
      <c r="N304">
        <v>45</v>
      </c>
      <c r="O304">
        <v>0</v>
      </c>
    </row>
    <row r="305" spans="2:15" x14ac:dyDescent="0.2">
      <c r="B305" t="s">
        <v>2049</v>
      </c>
      <c r="C305" t="s">
        <v>199</v>
      </c>
      <c r="D305" t="s">
        <v>2050</v>
      </c>
      <c r="E305">
        <v>24</v>
      </c>
      <c r="F305">
        <v>23</v>
      </c>
      <c r="G305" t="s">
        <v>123</v>
      </c>
      <c r="I305" t="s">
        <v>616</v>
      </c>
      <c r="J305">
        <v>32</v>
      </c>
      <c r="K305" t="s">
        <v>626</v>
      </c>
      <c r="L305">
        <v>6</v>
      </c>
      <c r="M305">
        <v>30</v>
      </c>
      <c r="N305">
        <v>45</v>
      </c>
      <c r="O305">
        <v>0</v>
      </c>
    </row>
    <row r="306" spans="2:15" x14ac:dyDescent="0.2">
      <c r="B306" t="s">
        <v>2049</v>
      </c>
      <c r="C306" t="s">
        <v>199</v>
      </c>
      <c r="D306" t="s">
        <v>2050</v>
      </c>
      <c r="E306">
        <v>24</v>
      </c>
      <c r="F306">
        <v>23</v>
      </c>
      <c r="G306" t="s">
        <v>123</v>
      </c>
      <c r="I306" t="s">
        <v>616</v>
      </c>
      <c r="J306">
        <v>32</v>
      </c>
      <c r="K306" t="s">
        <v>626</v>
      </c>
      <c r="L306">
        <v>6</v>
      </c>
      <c r="M306">
        <v>30</v>
      </c>
      <c r="N306">
        <v>45</v>
      </c>
      <c r="O306">
        <v>0</v>
      </c>
    </row>
    <row r="307" spans="2:15" x14ac:dyDescent="0.2">
      <c r="B307" t="s">
        <v>2049</v>
      </c>
      <c r="C307" t="s">
        <v>199</v>
      </c>
      <c r="D307" t="s">
        <v>2050</v>
      </c>
      <c r="E307">
        <v>24</v>
      </c>
      <c r="F307">
        <v>23</v>
      </c>
      <c r="G307" t="s">
        <v>123</v>
      </c>
      <c r="I307" t="s">
        <v>616</v>
      </c>
      <c r="J307">
        <v>32</v>
      </c>
      <c r="K307" t="s">
        <v>626</v>
      </c>
      <c r="L307">
        <v>6</v>
      </c>
      <c r="M307">
        <v>30</v>
      </c>
      <c r="N307">
        <v>45</v>
      </c>
      <c r="O307">
        <v>0</v>
      </c>
    </row>
    <row r="308" spans="2:15" x14ac:dyDescent="0.2">
      <c r="B308" t="s">
        <v>2051</v>
      </c>
      <c r="C308" t="s">
        <v>199</v>
      </c>
      <c r="D308" t="s">
        <v>1771</v>
      </c>
      <c r="E308">
        <v>22</v>
      </c>
      <c r="F308">
        <v>21</v>
      </c>
      <c r="G308" t="s">
        <v>123</v>
      </c>
      <c r="J308">
        <v>30</v>
      </c>
      <c r="K308" t="s">
        <v>626</v>
      </c>
      <c r="L308">
        <v>6</v>
      </c>
      <c r="M308">
        <v>30</v>
      </c>
      <c r="N308">
        <v>45</v>
      </c>
      <c r="O308">
        <v>0</v>
      </c>
    </row>
    <row r="309" spans="2:15" x14ac:dyDescent="0.2">
      <c r="B309" t="s">
        <v>2051</v>
      </c>
      <c r="C309" t="s">
        <v>199</v>
      </c>
      <c r="D309" t="s">
        <v>1771</v>
      </c>
      <c r="E309">
        <v>22</v>
      </c>
      <c r="F309">
        <v>21</v>
      </c>
      <c r="G309" t="s">
        <v>123</v>
      </c>
      <c r="J309">
        <v>30</v>
      </c>
      <c r="K309" t="s">
        <v>626</v>
      </c>
      <c r="L309">
        <v>6</v>
      </c>
      <c r="M309">
        <v>30</v>
      </c>
      <c r="N309">
        <v>45</v>
      </c>
      <c r="O309">
        <v>0</v>
      </c>
    </row>
    <row r="310" spans="2:15" x14ac:dyDescent="0.2">
      <c r="B310" t="s">
        <v>2052</v>
      </c>
      <c r="C310" t="s">
        <v>199</v>
      </c>
      <c r="D310" t="s">
        <v>1772</v>
      </c>
      <c r="E310">
        <v>24</v>
      </c>
      <c r="F310">
        <v>23</v>
      </c>
      <c r="G310" t="s">
        <v>123</v>
      </c>
      <c r="J310">
        <v>32</v>
      </c>
      <c r="K310" t="s">
        <v>626</v>
      </c>
      <c r="L310">
        <v>6</v>
      </c>
      <c r="M310">
        <v>30</v>
      </c>
      <c r="N310">
        <v>45</v>
      </c>
      <c r="O310">
        <v>0</v>
      </c>
    </row>
    <row r="311" spans="2:15" x14ac:dyDescent="0.2">
      <c r="B311" t="s">
        <v>2052</v>
      </c>
      <c r="C311" t="s">
        <v>199</v>
      </c>
      <c r="D311" t="s">
        <v>1772</v>
      </c>
      <c r="E311">
        <v>24</v>
      </c>
      <c r="F311">
        <v>23</v>
      </c>
      <c r="G311" t="s">
        <v>123</v>
      </c>
      <c r="J311">
        <v>32</v>
      </c>
      <c r="K311" t="s">
        <v>626</v>
      </c>
      <c r="L311">
        <v>6</v>
      </c>
      <c r="M311">
        <v>30</v>
      </c>
      <c r="N311">
        <v>45</v>
      </c>
      <c r="O311">
        <v>0</v>
      </c>
    </row>
    <row r="312" spans="2:15" x14ac:dyDescent="0.2">
      <c r="B312" t="s">
        <v>2053</v>
      </c>
      <c r="C312" t="s">
        <v>199</v>
      </c>
      <c r="D312" t="s">
        <v>1773</v>
      </c>
      <c r="E312">
        <v>24</v>
      </c>
      <c r="F312">
        <v>23</v>
      </c>
      <c r="G312" t="s">
        <v>123</v>
      </c>
      <c r="I312" t="s">
        <v>616</v>
      </c>
      <c r="J312">
        <v>32</v>
      </c>
      <c r="K312" t="s">
        <v>626</v>
      </c>
      <c r="L312">
        <v>6</v>
      </c>
      <c r="M312">
        <v>30</v>
      </c>
      <c r="N312">
        <v>45</v>
      </c>
      <c r="O312">
        <v>0</v>
      </c>
    </row>
    <row r="313" spans="2:15" x14ac:dyDescent="0.2">
      <c r="B313" t="s">
        <v>2053</v>
      </c>
      <c r="C313" t="s">
        <v>199</v>
      </c>
      <c r="D313" t="s">
        <v>1773</v>
      </c>
      <c r="E313">
        <v>24</v>
      </c>
      <c r="F313">
        <v>23</v>
      </c>
      <c r="G313" t="s">
        <v>123</v>
      </c>
      <c r="J313">
        <v>32</v>
      </c>
      <c r="K313" t="s">
        <v>626</v>
      </c>
      <c r="L313">
        <v>6</v>
      </c>
      <c r="M313">
        <v>30</v>
      </c>
      <c r="N313">
        <v>45</v>
      </c>
      <c r="O313">
        <v>0</v>
      </c>
    </row>
    <row r="314" spans="2:15" x14ac:dyDescent="0.2">
      <c r="B314" t="s">
        <v>2053</v>
      </c>
      <c r="C314" t="s">
        <v>199</v>
      </c>
      <c r="D314" t="s">
        <v>1773</v>
      </c>
      <c r="E314">
        <v>24</v>
      </c>
      <c r="F314">
        <v>23</v>
      </c>
      <c r="G314" t="s">
        <v>123</v>
      </c>
      <c r="J314">
        <v>32</v>
      </c>
      <c r="K314" t="s">
        <v>626</v>
      </c>
      <c r="L314">
        <v>6</v>
      </c>
      <c r="M314">
        <v>30</v>
      </c>
      <c r="N314">
        <v>45</v>
      </c>
      <c r="O314">
        <v>0</v>
      </c>
    </row>
    <row r="315" spans="2:15" x14ac:dyDescent="0.2">
      <c r="B315" t="s">
        <v>2053</v>
      </c>
      <c r="C315" t="s">
        <v>199</v>
      </c>
      <c r="D315" t="s">
        <v>1773</v>
      </c>
      <c r="E315">
        <v>24</v>
      </c>
      <c r="F315">
        <v>23</v>
      </c>
      <c r="G315" t="s">
        <v>123</v>
      </c>
      <c r="I315" t="s">
        <v>616</v>
      </c>
      <c r="J315">
        <v>32</v>
      </c>
      <c r="K315" t="s">
        <v>626</v>
      </c>
      <c r="L315">
        <v>6</v>
      </c>
      <c r="M315">
        <v>30</v>
      </c>
      <c r="N315">
        <v>45</v>
      </c>
      <c r="O315">
        <v>0</v>
      </c>
    </row>
    <row r="316" spans="2:15" x14ac:dyDescent="0.2">
      <c r="B316" t="s">
        <v>2054</v>
      </c>
      <c r="C316" t="s">
        <v>199</v>
      </c>
      <c r="D316" t="s">
        <v>2055</v>
      </c>
      <c r="E316">
        <v>24</v>
      </c>
      <c r="F316">
        <v>23</v>
      </c>
      <c r="G316" t="s">
        <v>123</v>
      </c>
      <c r="I316" t="s">
        <v>616</v>
      </c>
      <c r="J316">
        <v>32</v>
      </c>
      <c r="K316" t="s">
        <v>626</v>
      </c>
      <c r="L316">
        <v>6</v>
      </c>
      <c r="M316">
        <v>30</v>
      </c>
      <c r="N316">
        <v>45</v>
      </c>
      <c r="O316">
        <v>0</v>
      </c>
    </row>
    <row r="317" spans="2:15" x14ac:dyDescent="0.2">
      <c r="B317" t="s">
        <v>2054</v>
      </c>
      <c r="C317" t="s">
        <v>199</v>
      </c>
      <c r="D317" t="s">
        <v>2055</v>
      </c>
      <c r="E317">
        <v>24</v>
      </c>
      <c r="F317">
        <v>23</v>
      </c>
      <c r="G317" t="s">
        <v>123</v>
      </c>
      <c r="I317" t="s">
        <v>616</v>
      </c>
      <c r="J317">
        <v>32</v>
      </c>
      <c r="K317" t="s">
        <v>626</v>
      </c>
      <c r="L317">
        <v>6</v>
      </c>
      <c r="M317">
        <v>30</v>
      </c>
      <c r="N317">
        <v>45</v>
      </c>
      <c r="O317">
        <v>0</v>
      </c>
    </row>
    <row r="318" spans="2:15" x14ac:dyDescent="0.2">
      <c r="B318" t="s">
        <v>2056</v>
      </c>
      <c r="C318" t="s">
        <v>199</v>
      </c>
      <c r="D318" t="s">
        <v>1774</v>
      </c>
      <c r="G318" t="s">
        <v>123</v>
      </c>
      <c r="J318">
        <v>30</v>
      </c>
      <c r="K318" t="s">
        <v>626</v>
      </c>
      <c r="L318">
        <v>6</v>
      </c>
      <c r="M318">
        <v>30</v>
      </c>
      <c r="N318">
        <v>45</v>
      </c>
      <c r="O318">
        <v>0</v>
      </c>
    </row>
    <row r="319" spans="2:15" x14ac:dyDescent="0.2">
      <c r="B319" t="s">
        <v>2056</v>
      </c>
      <c r="C319" t="s">
        <v>199</v>
      </c>
      <c r="D319" t="s">
        <v>1774</v>
      </c>
      <c r="G319" t="s">
        <v>123</v>
      </c>
      <c r="J319">
        <v>30</v>
      </c>
      <c r="K319" t="s">
        <v>626</v>
      </c>
      <c r="L319">
        <v>6</v>
      </c>
      <c r="M319">
        <v>30</v>
      </c>
      <c r="N319">
        <v>45</v>
      </c>
      <c r="O319">
        <v>0</v>
      </c>
    </row>
    <row r="320" spans="2:15" x14ac:dyDescent="0.2">
      <c r="B320" t="s">
        <v>2057</v>
      </c>
      <c r="C320" t="s">
        <v>199</v>
      </c>
      <c r="D320" t="s">
        <v>1775</v>
      </c>
      <c r="G320" t="s">
        <v>123</v>
      </c>
      <c r="J320">
        <v>32</v>
      </c>
      <c r="K320" t="s">
        <v>626</v>
      </c>
      <c r="L320">
        <v>6</v>
      </c>
      <c r="M320">
        <v>30</v>
      </c>
      <c r="N320">
        <v>45</v>
      </c>
      <c r="O320">
        <v>0</v>
      </c>
    </row>
    <row r="321" spans="2:15" x14ac:dyDescent="0.2">
      <c r="B321" t="s">
        <v>2057</v>
      </c>
      <c r="C321" t="s">
        <v>199</v>
      </c>
      <c r="D321" t="s">
        <v>1775</v>
      </c>
      <c r="G321" t="s">
        <v>123</v>
      </c>
      <c r="J321">
        <v>32</v>
      </c>
      <c r="K321" t="s">
        <v>626</v>
      </c>
      <c r="L321">
        <v>6</v>
      </c>
      <c r="M321">
        <v>30</v>
      </c>
      <c r="N321">
        <v>45</v>
      </c>
      <c r="O321">
        <v>0</v>
      </c>
    </row>
    <row r="322" spans="2:15" x14ac:dyDescent="0.2">
      <c r="B322" t="s">
        <v>2058</v>
      </c>
      <c r="C322" t="s">
        <v>1730</v>
      </c>
      <c r="D322" t="s">
        <v>2059</v>
      </c>
      <c r="E322">
        <v>-19</v>
      </c>
      <c r="F322">
        <v>-20</v>
      </c>
      <c r="G322" t="s">
        <v>123</v>
      </c>
      <c r="I322" t="s">
        <v>123</v>
      </c>
      <c r="J322">
        <v>-12</v>
      </c>
      <c r="K322" t="s">
        <v>119</v>
      </c>
      <c r="L322">
        <v>1</v>
      </c>
      <c r="M322">
        <v>45</v>
      </c>
      <c r="N322">
        <v>48</v>
      </c>
      <c r="O322">
        <v>0</v>
      </c>
    </row>
    <row r="323" spans="2:15" x14ac:dyDescent="0.2">
      <c r="B323" t="s">
        <v>2058</v>
      </c>
      <c r="C323" t="s">
        <v>1730</v>
      </c>
      <c r="D323" t="s">
        <v>2059</v>
      </c>
      <c r="E323">
        <v>-19</v>
      </c>
      <c r="F323">
        <v>-20</v>
      </c>
      <c r="G323" t="s">
        <v>123</v>
      </c>
      <c r="I323" t="s">
        <v>123</v>
      </c>
      <c r="J323">
        <v>-12</v>
      </c>
      <c r="K323" t="s">
        <v>119</v>
      </c>
      <c r="L323">
        <v>1</v>
      </c>
      <c r="M323">
        <v>45</v>
      </c>
      <c r="N323">
        <v>48</v>
      </c>
      <c r="O323">
        <v>0</v>
      </c>
    </row>
    <row r="324" spans="2:15" x14ac:dyDescent="0.2">
      <c r="B324" t="s">
        <v>2058</v>
      </c>
      <c r="C324" t="s">
        <v>1730</v>
      </c>
      <c r="D324" t="s">
        <v>2059</v>
      </c>
      <c r="E324">
        <v>-19</v>
      </c>
      <c r="F324">
        <v>-20</v>
      </c>
      <c r="G324" t="s">
        <v>123</v>
      </c>
      <c r="I324" t="s">
        <v>123</v>
      </c>
      <c r="J324">
        <v>-12</v>
      </c>
      <c r="K324" t="s">
        <v>119</v>
      </c>
      <c r="L324">
        <v>1</v>
      </c>
      <c r="M324">
        <v>45</v>
      </c>
      <c r="N324">
        <v>48</v>
      </c>
      <c r="O324">
        <v>0</v>
      </c>
    </row>
    <row r="325" spans="2:15" x14ac:dyDescent="0.2">
      <c r="B325" t="s">
        <v>2058</v>
      </c>
      <c r="C325" t="s">
        <v>1730</v>
      </c>
      <c r="D325" t="s">
        <v>2059</v>
      </c>
      <c r="E325">
        <v>-19</v>
      </c>
      <c r="F325">
        <v>-20</v>
      </c>
      <c r="G325" t="s">
        <v>123</v>
      </c>
      <c r="I325" t="s">
        <v>123</v>
      </c>
      <c r="J325">
        <v>-12</v>
      </c>
      <c r="K325" t="s">
        <v>119</v>
      </c>
      <c r="L325">
        <v>1</v>
      </c>
      <c r="M325">
        <v>45</v>
      </c>
      <c r="N325">
        <v>48</v>
      </c>
      <c r="O325">
        <v>0</v>
      </c>
    </row>
    <row r="326" spans="2:15" x14ac:dyDescent="0.2">
      <c r="B326" t="s">
        <v>2060</v>
      </c>
      <c r="C326" t="s">
        <v>1730</v>
      </c>
      <c r="D326" t="s">
        <v>2061</v>
      </c>
      <c r="E326">
        <v>-19</v>
      </c>
      <c r="F326">
        <v>-19</v>
      </c>
      <c r="G326" t="s">
        <v>123</v>
      </c>
      <c r="I326" t="s">
        <v>123</v>
      </c>
      <c r="J326">
        <v>-12</v>
      </c>
      <c r="K326" t="s">
        <v>119</v>
      </c>
      <c r="L326">
        <v>1</v>
      </c>
      <c r="M326">
        <v>45</v>
      </c>
      <c r="N326">
        <v>48</v>
      </c>
      <c r="O326">
        <v>0</v>
      </c>
    </row>
    <row r="327" spans="2:15" x14ac:dyDescent="0.2">
      <c r="B327" t="s">
        <v>2060</v>
      </c>
      <c r="C327" t="s">
        <v>1730</v>
      </c>
      <c r="D327" t="s">
        <v>2061</v>
      </c>
      <c r="E327">
        <v>-19</v>
      </c>
      <c r="F327">
        <v>-19</v>
      </c>
      <c r="G327" t="s">
        <v>123</v>
      </c>
      <c r="I327" t="s">
        <v>123</v>
      </c>
      <c r="J327">
        <v>-12</v>
      </c>
      <c r="K327" t="s">
        <v>119</v>
      </c>
      <c r="L327">
        <v>1</v>
      </c>
      <c r="M327">
        <v>45</v>
      </c>
      <c r="N327">
        <v>48</v>
      </c>
      <c r="O327">
        <v>0</v>
      </c>
    </row>
    <row r="328" spans="2:15" x14ac:dyDescent="0.2">
      <c r="B328" t="s">
        <v>2060</v>
      </c>
      <c r="C328" t="s">
        <v>1730</v>
      </c>
      <c r="D328" t="s">
        <v>2062</v>
      </c>
      <c r="E328">
        <v>-11</v>
      </c>
      <c r="F328">
        <v>-11</v>
      </c>
      <c r="G328" t="s">
        <v>123</v>
      </c>
      <c r="I328" t="s">
        <v>123</v>
      </c>
      <c r="J328">
        <v>-5</v>
      </c>
      <c r="K328" t="s">
        <v>119</v>
      </c>
      <c r="L328">
        <v>1</v>
      </c>
      <c r="M328">
        <v>45</v>
      </c>
      <c r="N328">
        <v>48</v>
      </c>
      <c r="O328">
        <v>0</v>
      </c>
    </row>
    <row r="329" spans="2:15" x14ac:dyDescent="0.2">
      <c r="B329" t="s">
        <v>2060</v>
      </c>
      <c r="C329" t="s">
        <v>1730</v>
      </c>
      <c r="D329" t="s">
        <v>2062</v>
      </c>
      <c r="E329">
        <v>-11</v>
      </c>
      <c r="F329">
        <v>-11</v>
      </c>
      <c r="G329" t="s">
        <v>123</v>
      </c>
      <c r="I329" t="s">
        <v>123</v>
      </c>
      <c r="J329">
        <v>-5</v>
      </c>
      <c r="K329" t="s">
        <v>119</v>
      </c>
      <c r="L329">
        <v>1</v>
      </c>
      <c r="M329">
        <v>45</v>
      </c>
      <c r="N329">
        <v>48</v>
      </c>
      <c r="O329">
        <v>0</v>
      </c>
    </row>
    <row r="330" spans="2:15" x14ac:dyDescent="0.2">
      <c r="B330" t="s">
        <v>1457</v>
      </c>
      <c r="C330" t="s">
        <v>201</v>
      </c>
      <c r="D330" t="s">
        <v>1458</v>
      </c>
      <c r="E330">
        <v>-11</v>
      </c>
      <c r="F330">
        <v>-14</v>
      </c>
      <c r="G330" t="s">
        <v>123</v>
      </c>
      <c r="H330" t="s">
        <v>1459</v>
      </c>
      <c r="I330" t="s">
        <v>123</v>
      </c>
      <c r="J330">
        <v>-5</v>
      </c>
      <c r="K330" t="s">
        <v>119</v>
      </c>
      <c r="L330">
        <v>1</v>
      </c>
      <c r="M330">
        <v>45</v>
      </c>
      <c r="N330">
        <v>48</v>
      </c>
      <c r="O330">
        <v>0</v>
      </c>
    </row>
    <row r="331" spans="2:15" x14ac:dyDescent="0.2">
      <c r="B331" t="s">
        <v>1457</v>
      </c>
      <c r="C331" t="s">
        <v>201</v>
      </c>
      <c r="D331" t="s">
        <v>1458</v>
      </c>
      <c r="E331">
        <v>-11</v>
      </c>
      <c r="F331">
        <v>-14</v>
      </c>
      <c r="G331" t="s">
        <v>123</v>
      </c>
      <c r="H331" t="s">
        <v>1459</v>
      </c>
      <c r="I331" t="s">
        <v>123</v>
      </c>
      <c r="J331">
        <v>-5</v>
      </c>
      <c r="K331" t="s">
        <v>119</v>
      </c>
      <c r="L331">
        <v>1</v>
      </c>
      <c r="M331">
        <v>45</v>
      </c>
      <c r="N331">
        <v>48</v>
      </c>
      <c r="O331">
        <v>0</v>
      </c>
    </row>
    <row r="332" spans="2:15" x14ac:dyDescent="0.2">
      <c r="B332" t="s">
        <v>1457</v>
      </c>
      <c r="C332" t="s">
        <v>201</v>
      </c>
      <c r="D332" t="s">
        <v>1458</v>
      </c>
      <c r="E332">
        <v>-11</v>
      </c>
      <c r="F332">
        <v>-14</v>
      </c>
      <c r="G332" t="s">
        <v>123</v>
      </c>
      <c r="H332" t="s">
        <v>1459</v>
      </c>
      <c r="I332" t="s">
        <v>123</v>
      </c>
      <c r="J332">
        <v>-5</v>
      </c>
      <c r="K332" t="s">
        <v>119</v>
      </c>
      <c r="L332">
        <v>1</v>
      </c>
      <c r="M332">
        <v>45</v>
      </c>
      <c r="N332">
        <v>48</v>
      </c>
      <c r="O332">
        <v>0</v>
      </c>
    </row>
    <row r="333" spans="2:15" x14ac:dyDescent="0.2">
      <c r="B333" t="s">
        <v>1457</v>
      </c>
      <c r="C333" t="s">
        <v>201</v>
      </c>
      <c r="D333" t="s">
        <v>1458</v>
      </c>
      <c r="E333">
        <v>-11</v>
      </c>
      <c r="F333">
        <v>-14</v>
      </c>
      <c r="G333" t="s">
        <v>123</v>
      </c>
      <c r="H333" t="s">
        <v>1459</v>
      </c>
      <c r="I333" t="s">
        <v>123</v>
      </c>
      <c r="J333">
        <v>-5</v>
      </c>
      <c r="K333" t="s">
        <v>119</v>
      </c>
      <c r="L333">
        <v>1</v>
      </c>
      <c r="M333">
        <v>45</v>
      </c>
      <c r="N333">
        <v>48</v>
      </c>
      <c r="O333">
        <v>0</v>
      </c>
    </row>
    <row r="334" spans="2:15" x14ac:dyDescent="0.2">
      <c r="B334" t="s">
        <v>1776</v>
      </c>
      <c r="C334" t="s">
        <v>201</v>
      </c>
      <c r="D334" t="s">
        <v>1777</v>
      </c>
      <c r="E334">
        <v>-11</v>
      </c>
      <c r="F334">
        <v>-14</v>
      </c>
      <c r="G334" t="s">
        <v>123</v>
      </c>
      <c r="H334" t="s">
        <v>1459</v>
      </c>
      <c r="I334" t="s">
        <v>123</v>
      </c>
      <c r="J334">
        <v>-5</v>
      </c>
      <c r="K334" t="s">
        <v>119</v>
      </c>
      <c r="L334">
        <v>1</v>
      </c>
      <c r="M334">
        <v>45</v>
      </c>
      <c r="N334">
        <v>48</v>
      </c>
      <c r="O334">
        <v>0</v>
      </c>
    </row>
    <row r="335" spans="2:15" x14ac:dyDescent="0.2">
      <c r="B335" t="s">
        <v>1776</v>
      </c>
      <c r="C335" t="s">
        <v>201</v>
      </c>
      <c r="D335" t="s">
        <v>1777</v>
      </c>
      <c r="E335">
        <v>-11</v>
      </c>
      <c r="F335">
        <v>-14</v>
      </c>
      <c r="G335" t="s">
        <v>123</v>
      </c>
      <c r="H335" t="s">
        <v>1459</v>
      </c>
      <c r="I335" t="s">
        <v>123</v>
      </c>
      <c r="J335">
        <v>-5</v>
      </c>
      <c r="K335" t="s">
        <v>119</v>
      </c>
      <c r="L335">
        <v>1</v>
      </c>
      <c r="M335">
        <v>45</v>
      </c>
      <c r="N335">
        <v>48</v>
      </c>
      <c r="O335">
        <v>0</v>
      </c>
    </row>
    <row r="336" spans="2:15" x14ac:dyDescent="0.2">
      <c r="B336" t="s">
        <v>1776</v>
      </c>
      <c r="C336" t="s">
        <v>201</v>
      </c>
      <c r="D336" t="s">
        <v>1777</v>
      </c>
      <c r="E336">
        <v>-11</v>
      </c>
      <c r="F336">
        <v>-14</v>
      </c>
      <c r="G336" t="s">
        <v>123</v>
      </c>
      <c r="H336" t="s">
        <v>1459</v>
      </c>
      <c r="I336" t="s">
        <v>123</v>
      </c>
      <c r="J336">
        <v>-5</v>
      </c>
      <c r="K336" t="s">
        <v>119</v>
      </c>
      <c r="L336">
        <v>1</v>
      </c>
      <c r="M336">
        <v>45</v>
      </c>
      <c r="N336">
        <v>48</v>
      </c>
      <c r="O336">
        <v>0</v>
      </c>
    </row>
    <row r="337" spans="2:15" x14ac:dyDescent="0.2">
      <c r="B337" t="s">
        <v>1776</v>
      </c>
      <c r="C337" t="s">
        <v>201</v>
      </c>
      <c r="D337" t="s">
        <v>1777</v>
      </c>
      <c r="E337">
        <v>-11</v>
      </c>
      <c r="F337">
        <v>-14</v>
      </c>
      <c r="G337" t="s">
        <v>123</v>
      </c>
      <c r="H337" t="s">
        <v>1459</v>
      </c>
      <c r="I337" t="s">
        <v>123</v>
      </c>
      <c r="J337">
        <v>-5</v>
      </c>
      <c r="K337" t="s">
        <v>119</v>
      </c>
      <c r="L337">
        <v>1</v>
      </c>
      <c r="M337">
        <v>45</v>
      </c>
      <c r="N337">
        <v>48</v>
      </c>
      <c r="O337">
        <v>0</v>
      </c>
    </row>
    <row r="338" spans="2:15" x14ac:dyDescent="0.2">
      <c r="B338" t="s">
        <v>1460</v>
      </c>
      <c r="C338" t="s">
        <v>201</v>
      </c>
      <c r="D338" t="s">
        <v>1461</v>
      </c>
      <c r="E338">
        <v>-11</v>
      </c>
      <c r="F338">
        <v>-14</v>
      </c>
      <c r="G338" t="s">
        <v>123</v>
      </c>
      <c r="H338" t="s">
        <v>1459</v>
      </c>
      <c r="I338" t="s">
        <v>123</v>
      </c>
      <c r="J338">
        <v>-5</v>
      </c>
      <c r="K338" t="s">
        <v>119</v>
      </c>
      <c r="L338">
        <v>1</v>
      </c>
      <c r="M338">
        <v>45</v>
      </c>
      <c r="N338">
        <v>48</v>
      </c>
      <c r="O338">
        <v>0</v>
      </c>
    </row>
    <row r="339" spans="2:15" x14ac:dyDescent="0.2">
      <c r="B339" t="s">
        <v>1460</v>
      </c>
      <c r="C339" t="s">
        <v>201</v>
      </c>
      <c r="D339" t="s">
        <v>1461</v>
      </c>
      <c r="E339">
        <v>-11</v>
      </c>
      <c r="F339">
        <v>-14</v>
      </c>
      <c r="G339" t="s">
        <v>123</v>
      </c>
      <c r="H339" t="s">
        <v>1459</v>
      </c>
      <c r="I339" t="s">
        <v>123</v>
      </c>
      <c r="J339">
        <v>-5</v>
      </c>
      <c r="K339" t="s">
        <v>119</v>
      </c>
      <c r="L339">
        <v>1</v>
      </c>
      <c r="M339">
        <v>45</v>
      </c>
      <c r="N339">
        <v>48</v>
      </c>
      <c r="O339">
        <v>0</v>
      </c>
    </row>
    <row r="340" spans="2:15" x14ac:dyDescent="0.2">
      <c r="B340" t="s">
        <v>1460</v>
      </c>
      <c r="C340" t="s">
        <v>201</v>
      </c>
      <c r="D340" t="s">
        <v>1461</v>
      </c>
      <c r="E340">
        <v>-11</v>
      </c>
      <c r="F340">
        <v>-14</v>
      </c>
      <c r="G340" t="s">
        <v>123</v>
      </c>
      <c r="H340" t="s">
        <v>1459</v>
      </c>
      <c r="I340" t="s">
        <v>123</v>
      </c>
      <c r="J340">
        <v>-5</v>
      </c>
      <c r="K340" t="s">
        <v>119</v>
      </c>
      <c r="L340">
        <v>1</v>
      </c>
      <c r="M340">
        <v>45</v>
      </c>
      <c r="N340">
        <v>48</v>
      </c>
      <c r="O340">
        <v>0</v>
      </c>
    </row>
    <row r="341" spans="2:15" x14ac:dyDescent="0.2">
      <c r="B341" t="s">
        <v>1460</v>
      </c>
      <c r="C341" t="s">
        <v>201</v>
      </c>
      <c r="D341" t="s">
        <v>1461</v>
      </c>
      <c r="E341">
        <v>-11</v>
      </c>
      <c r="F341">
        <v>-14</v>
      </c>
      <c r="G341" t="s">
        <v>123</v>
      </c>
      <c r="H341" t="s">
        <v>1459</v>
      </c>
      <c r="I341" t="s">
        <v>123</v>
      </c>
      <c r="J341">
        <v>-5</v>
      </c>
      <c r="K341" t="s">
        <v>119</v>
      </c>
      <c r="L341">
        <v>1</v>
      </c>
      <c r="M341">
        <v>45</v>
      </c>
      <c r="N341">
        <v>48</v>
      </c>
      <c r="O341">
        <v>0</v>
      </c>
    </row>
    <row r="342" spans="2:15" x14ac:dyDescent="0.2">
      <c r="B342" t="s">
        <v>1778</v>
      </c>
      <c r="C342" t="s">
        <v>201</v>
      </c>
      <c r="D342" t="s">
        <v>1779</v>
      </c>
      <c r="E342">
        <v>-11</v>
      </c>
      <c r="F342">
        <v>-14</v>
      </c>
      <c r="G342" t="s">
        <v>123</v>
      </c>
      <c r="H342" t="s">
        <v>1459</v>
      </c>
      <c r="I342" t="s">
        <v>123</v>
      </c>
      <c r="J342">
        <v>-5</v>
      </c>
      <c r="K342" t="s">
        <v>119</v>
      </c>
      <c r="L342">
        <v>1</v>
      </c>
      <c r="M342">
        <v>45</v>
      </c>
      <c r="N342">
        <v>48</v>
      </c>
      <c r="O342">
        <v>0</v>
      </c>
    </row>
    <row r="343" spans="2:15" x14ac:dyDescent="0.2">
      <c r="B343" t="s">
        <v>1778</v>
      </c>
      <c r="C343" t="s">
        <v>201</v>
      </c>
      <c r="D343" t="s">
        <v>1779</v>
      </c>
      <c r="E343">
        <v>-11</v>
      </c>
      <c r="F343">
        <v>-14</v>
      </c>
      <c r="G343" t="s">
        <v>123</v>
      </c>
      <c r="H343" t="s">
        <v>1459</v>
      </c>
      <c r="I343" t="s">
        <v>123</v>
      </c>
      <c r="J343">
        <v>-5</v>
      </c>
      <c r="K343" t="s">
        <v>119</v>
      </c>
      <c r="L343">
        <v>1</v>
      </c>
      <c r="M343">
        <v>45</v>
      </c>
      <c r="N343">
        <v>48</v>
      </c>
      <c r="O343">
        <v>0</v>
      </c>
    </row>
    <row r="344" spans="2:15" x14ac:dyDescent="0.2">
      <c r="B344" t="s">
        <v>1778</v>
      </c>
      <c r="C344" t="s">
        <v>201</v>
      </c>
      <c r="D344" t="s">
        <v>1779</v>
      </c>
      <c r="E344">
        <v>-11</v>
      </c>
      <c r="F344">
        <v>-14</v>
      </c>
      <c r="G344" t="s">
        <v>123</v>
      </c>
      <c r="H344" t="s">
        <v>1459</v>
      </c>
      <c r="I344" t="s">
        <v>123</v>
      </c>
      <c r="J344">
        <v>-5</v>
      </c>
      <c r="K344" t="s">
        <v>119</v>
      </c>
      <c r="L344">
        <v>1</v>
      </c>
      <c r="M344">
        <v>45</v>
      </c>
      <c r="N344">
        <v>48</v>
      </c>
      <c r="O344">
        <v>0</v>
      </c>
    </row>
    <row r="345" spans="2:15" x14ac:dyDescent="0.2">
      <c r="B345" t="s">
        <v>1778</v>
      </c>
      <c r="C345" t="s">
        <v>201</v>
      </c>
      <c r="D345" t="s">
        <v>1779</v>
      </c>
      <c r="E345">
        <v>-11</v>
      </c>
      <c r="F345">
        <v>-14</v>
      </c>
      <c r="G345" t="s">
        <v>123</v>
      </c>
      <c r="H345" t="s">
        <v>1459</v>
      </c>
      <c r="I345" t="s">
        <v>123</v>
      </c>
      <c r="J345">
        <v>-5</v>
      </c>
      <c r="K345" t="s">
        <v>119</v>
      </c>
      <c r="L345">
        <v>1</v>
      </c>
      <c r="M345">
        <v>45</v>
      </c>
      <c r="N345">
        <v>48</v>
      </c>
      <c r="O345">
        <v>0</v>
      </c>
    </row>
    <row r="346" spans="2:15" x14ac:dyDescent="0.2">
      <c r="B346" t="s">
        <v>1462</v>
      </c>
      <c r="C346" t="s">
        <v>201</v>
      </c>
      <c r="D346" t="s">
        <v>1463</v>
      </c>
      <c r="E346">
        <v>-19</v>
      </c>
      <c r="F346">
        <v>-19</v>
      </c>
      <c r="G346" t="s">
        <v>123</v>
      </c>
      <c r="H346" t="s">
        <v>1459</v>
      </c>
      <c r="I346" t="s">
        <v>123</v>
      </c>
      <c r="J346">
        <v>-12</v>
      </c>
      <c r="K346" t="s">
        <v>119</v>
      </c>
      <c r="L346">
        <v>1</v>
      </c>
      <c r="M346">
        <v>45</v>
      </c>
      <c r="N346">
        <v>48</v>
      </c>
      <c r="O346">
        <v>0</v>
      </c>
    </row>
    <row r="347" spans="2:15" x14ac:dyDescent="0.2">
      <c r="B347" t="s">
        <v>1462</v>
      </c>
      <c r="C347" t="s">
        <v>201</v>
      </c>
      <c r="D347" t="s">
        <v>1463</v>
      </c>
      <c r="E347">
        <v>-19</v>
      </c>
      <c r="F347">
        <v>-19</v>
      </c>
      <c r="G347" t="s">
        <v>123</v>
      </c>
      <c r="H347" t="s">
        <v>1459</v>
      </c>
      <c r="I347" t="s">
        <v>123</v>
      </c>
      <c r="J347">
        <v>-12</v>
      </c>
      <c r="K347" t="s">
        <v>119</v>
      </c>
      <c r="L347">
        <v>1</v>
      </c>
      <c r="M347">
        <v>45</v>
      </c>
      <c r="N347">
        <v>48</v>
      </c>
      <c r="O347">
        <v>0</v>
      </c>
    </row>
    <row r="348" spans="2:15" x14ac:dyDescent="0.2">
      <c r="B348" t="s">
        <v>1462</v>
      </c>
      <c r="C348" t="s">
        <v>201</v>
      </c>
      <c r="D348" t="s">
        <v>1463</v>
      </c>
      <c r="E348">
        <v>-19</v>
      </c>
      <c r="F348">
        <v>-19</v>
      </c>
      <c r="G348" t="s">
        <v>123</v>
      </c>
      <c r="H348" t="s">
        <v>1459</v>
      </c>
      <c r="I348" t="s">
        <v>123</v>
      </c>
      <c r="J348">
        <v>-12</v>
      </c>
      <c r="K348" t="s">
        <v>119</v>
      </c>
      <c r="L348">
        <v>1</v>
      </c>
      <c r="M348">
        <v>45</v>
      </c>
      <c r="N348">
        <v>48</v>
      </c>
      <c r="O348">
        <v>0</v>
      </c>
    </row>
    <row r="349" spans="2:15" x14ac:dyDescent="0.2">
      <c r="B349" t="s">
        <v>1462</v>
      </c>
      <c r="C349" t="s">
        <v>201</v>
      </c>
      <c r="D349" t="s">
        <v>1463</v>
      </c>
      <c r="E349">
        <v>-19</v>
      </c>
      <c r="F349">
        <v>-19</v>
      </c>
      <c r="G349" t="s">
        <v>123</v>
      </c>
      <c r="H349" t="s">
        <v>1459</v>
      </c>
      <c r="I349" t="s">
        <v>123</v>
      </c>
      <c r="J349">
        <v>-12</v>
      </c>
      <c r="K349" t="s">
        <v>119</v>
      </c>
      <c r="L349">
        <v>1</v>
      </c>
      <c r="M349">
        <v>45</v>
      </c>
      <c r="N349">
        <v>48</v>
      </c>
      <c r="O349">
        <v>0</v>
      </c>
    </row>
    <row r="350" spans="2:15" x14ac:dyDescent="0.2">
      <c r="B350" t="s">
        <v>1780</v>
      </c>
      <c r="C350" t="s">
        <v>201</v>
      </c>
      <c r="D350" t="s">
        <v>1781</v>
      </c>
      <c r="E350">
        <v>-19</v>
      </c>
      <c r="F350">
        <v>-19</v>
      </c>
      <c r="G350" t="s">
        <v>123</v>
      </c>
      <c r="H350" t="s">
        <v>1459</v>
      </c>
      <c r="I350" t="s">
        <v>123</v>
      </c>
      <c r="J350">
        <v>-12</v>
      </c>
      <c r="K350" t="s">
        <v>119</v>
      </c>
      <c r="L350">
        <v>1</v>
      </c>
      <c r="M350">
        <v>45</v>
      </c>
      <c r="N350">
        <v>48</v>
      </c>
      <c r="O350">
        <v>0</v>
      </c>
    </row>
    <row r="351" spans="2:15" x14ac:dyDescent="0.2">
      <c r="B351" t="s">
        <v>1780</v>
      </c>
      <c r="C351" t="s">
        <v>201</v>
      </c>
      <c r="D351" t="s">
        <v>1781</v>
      </c>
      <c r="E351">
        <v>-19</v>
      </c>
      <c r="F351">
        <v>-19</v>
      </c>
      <c r="G351" t="s">
        <v>123</v>
      </c>
      <c r="H351" t="s">
        <v>1459</v>
      </c>
      <c r="I351" t="s">
        <v>123</v>
      </c>
      <c r="J351">
        <v>-12</v>
      </c>
      <c r="K351" t="s">
        <v>119</v>
      </c>
      <c r="L351">
        <v>1</v>
      </c>
      <c r="M351">
        <v>45</v>
      </c>
      <c r="N351">
        <v>48</v>
      </c>
      <c r="O351">
        <v>0</v>
      </c>
    </row>
    <row r="352" spans="2:15" x14ac:dyDescent="0.2">
      <c r="B352" t="s">
        <v>1780</v>
      </c>
      <c r="C352" t="s">
        <v>201</v>
      </c>
      <c r="D352" t="s">
        <v>1781</v>
      </c>
      <c r="E352">
        <v>-19</v>
      </c>
      <c r="F352">
        <v>-19</v>
      </c>
      <c r="G352" t="s">
        <v>123</v>
      </c>
      <c r="H352" t="s">
        <v>1459</v>
      </c>
      <c r="I352" t="s">
        <v>123</v>
      </c>
      <c r="J352">
        <v>-12</v>
      </c>
      <c r="K352" t="s">
        <v>119</v>
      </c>
      <c r="L352">
        <v>1</v>
      </c>
      <c r="M352">
        <v>45</v>
      </c>
      <c r="N352">
        <v>48</v>
      </c>
      <c r="O352">
        <v>0</v>
      </c>
    </row>
    <row r="353" spans="2:15" x14ac:dyDescent="0.2">
      <c r="B353" t="s">
        <v>1780</v>
      </c>
      <c r="C353" t="s">
        <v>201</v>
      </c>
      <c r="D353" t="s">
        <v>1781</v>
      </c>
      <c r="E353">
        <v>-19</v>
      </c>
      <c r="F353">
        <v>-19</v>
      </c>
      <c r="G353" t="s">
        <v>123</v>
      </c>
      <c r="H353" t="s">
        <v>1459</v>
      </c>
      <c r="I353" t="s">
        <v>123</v>
      </c>
      <c r="J353">
        <v>-12</v>
      </c>
      <c r="K353" t="s">
        <v>119</v>
      </c>
      <c r="L353">
        <v>1</v>
      </c>
      <c r="M353">
        <v>45</v>
      </c>
      <c r="N353">
        <v>48</v>
      </c>
      <c r="O353">
        <v>0</v>
      </c>
    </row>
    <row r="354" spans="2:15" x14ac:dyDescent="0.2">
      <c r="B354" t="s">
        <v>1464</v>
      </c>
      <c r="C354" t="s">
        <v>201</v>
      </c>
      <c r="D354" t="s">
        <v>1465</v>
      </c>
      <c r="E354">
        <v>-19</v>
      </c>
      <c r="F354">
        <v>-19</v>
      </c>
      <c r="G354" t="s">
        <v>123</v>
      </c>
      <c r="H354" t="s">
        <v>1459</v>
      </c>
      <c r="I354" t="s">
        <v>123</v>
      </c>
      <c r="J354">
        <v>-12</v>
      </c>
      <c r="K354" t="s">
        <v>119</v>
      </c>
      <c r="L354">
        <v>1</v>
      </c>
      <c r="M354">
        <v>45</v>
      </c>
      <c r="N354">
        <v>48</v>
      </c>
      <c r="O354">
        <v>0</v>
      </c>
    </row>
    <row r="355" spans="2:15" x14ac:dyDescent="0.2">
      <c r="B355" t="s">
        <v>1464</v>
      </c>
      <c r="C355" t="s">
        <v>201</v>
      </c>
      <c r="D355" t="s">
        <v>1465</v>
      </c>
      <c r="E355">
        <v>-19</v>
      </c>
      <c r="F355">
        <v>-19</v>
      </c>
      <c r="G355" t="s">
        <v>123</v>
      </c>
      <c r="H355" t="s">
        <v>1459</v>
      </c>
      <c r="I355" t="s">
        <v>123</v>
      </c>
      <c r="J355">
        <v>-12</v>
      </c>
      <c r="K355" t="s">
        <v>119</v>
      </c>
      <c r="L355">
        <v>1</v>
      </c>
      <c r="M355">
        <v>45</v>
      </c>
      <c r="N355">
        <v>48</v>
      </c>
      <c r="O355">
        <v>0</v>
      </c>
    </row>
    <row r="356" spans="2:15" x14ac:dyDescent="0.2">
      <c r="B356" t="s">
        <v>1464</v>
      </c>
      <c r="C356" t="s">
        <v>201</v>
      </c>
      <c r="D356" t="s">
        <v>1465</v>
      </c>
      <c r="E356">
        <v>-19</v>
      </c>
      <c r="F356">
        <v>-19</v>
      </c>
      <c r="G356" t="s">
        <v>123</v>
      </c>
      <c r="H356" t="s">
        <v>1459</v>
      </c>
      <c r="I356" t="s">
        <v>123</v>
      </c>
      <c r="J356">
        <v>-12</v>
      </c>
      <c r="K356" t="s">
        <v>119</v>
      </c>
      <c r="L356">
        <v>1</v>
      </c>
      <c r="M356">
        <v>45</v>
      </c>
      <c r="N356">
        <v>48</v>
      </c>
      <c r="O356">
        <v>0</v>
      </c>
    </row>
    <row r="357" spans="2:15" x14ac:dyDescent="0.2">
      <c r="B357" t="s">
        <v>1464</v>
      </c>
      <c r="C357" t="s">
        <v>201</v>
      </c>
      <c r="D357" t="s">
        <v>1465</v>
      </c>
      <c r="E357">
        <v>-19</v>
      </c>
      <c r="F357">
        <v>-19</v>
      </c>
      <c r="G357" t="s">
        <v>123</v>
      </c>
      <c r="H357" t="s">
        <v>1459</v>
      </c>
      <c r="I357" t="s">
        <v>123</v>
      </c>
      <c r="J357">
        <v>-12</v>
      </c>
      <c r="K357" t="s">
        <v>119</v>
      </c>
      <c r="L357">
        <v>1</v>
      </c>
      <c r="M357">
        <v>45</v>
      </c>
      <c r="N357">
        <v>48</v>
      </c>
      <c r="O357">
        <v>0</v>
      </c>
    </row>
    <row r="358" spans="2:15" x14ac:dyDescent="0.2">
      <c r="B358" t="s">
        <v>1782</v>
      </c>
      <c r="C358" t="s">
        <v>201</v>
      </c>
      <c r="D358" t="s">
        <v>1783</v>
      </c>
      <c r="E358">
        <v>-19</v>
      </c>
      <c r="F358">
        <v>-19</v>
      </c>
      <c r="G358" t="s">
        <v>123</v>
      </c>
      <c r="H358" t="s">
        <v>1459</v>
      </c>
      <c r="I358" t="s">
        <v>123</v>
      </c>
      <c r="J358">
        <v>-12</v>
      </c>
      <c r="K358" t="s">
        <v>119</v>
      </c>
      <c r="L358">
        <v>1</v>
      </c>
      <c r="M358">
        <v>45</v>
      </c>
      <c r="N358">
        <v>48</v>
      </c>
      <c r="O358">
        <v>0</v>
      </c>
    </row>
    <row r="359" spans="2:15" x14ac:dyDescent="0.2">
      <c r="B359" t="s">
        <v>1782</v>
      </c>
      <c r="C359" t="s">
        <v>201</v>
      </c>
      <c r="D359" t="s">
        <v>1783</v>
      </c>
      <c r="E359">
        <v>-19</v>
      </c>
      <c r="F359">
        <v>-19</v>
      </c>
      <c r="G359" t="s">
        <v>123</v>
      </c>
      <c r="H359" t="s">
        <v>1459</v>
      </c>
      <c r="I359" t="s">
        <v>123</v>
      </c>
      <c r="J359">
        <v>-12</v>
      </c>
      <c r="K359" t="s">
        <v>119</v>
      </c>
      <c r="L359">
        <v>1</v>
      </c>
      <c r="M359">
        <v>45</v>
      </c>
      <c r="N359">
        <v>48</v>
      </c>
      <c r="O359">
        <v>0</v>
      </c>
    </row>
    <row r="360" spans="2:15" x14ac:dyDescent="0.2">
      <c r="B360" t="s">
        <v>1782</v>
      </c>
      <c r="C360" t="s">
        <v>201</v>
      </c>
      <c r="D360" t="s">
        <v>1783</v>
      </c>
      <c r="E360">
        <v>-19</v>
      </c>
      <c r="F360">
        <v>-19</v>
      </c>
      <c r="G360" t="s">
        <v>123</v>
      </c>
      <c r="H360" t="s">
        <v>1459</v>
      </c>
      <c r="I360" t="s">
        <v>123</v>
      </c>
      <c r="J360">
        <v>-12</v>
      </c>
      <c r="K360" t="s">
        <v>119</v>
      </c>
      <c r="L360">
        <v>1</v>
      </c>
      <c r="M360">
        <v>45</v>
      </c>
      <c r="N360">
        <v>48</v>
      </c>
      <c r="O360">
        <v>0</v>
      </c>
    </row>
    <row r="361" spans="2:15" x14ac:dyDescent="0.2">
      <c r="B361" t="s">
        <v>1782</v>
      </c>
      <c r="C361" t="s">
        <v>201</v>
      </c>
      <c r="D361" t="s">
        <v>1783</v>
      </c>
      <c r="E361">
        <v>-19</v>
      </c>
      <c r="F361">
        <v>-19</v>
      </c>
      <c r="G361" t="s">
        <v>123</v>
      </c>
      <c r="H361" t="s">
        <v>1459</v>
      </c>
      <c r="I361" t="s">
        <v>123</v>
      </c>
      <c r="J361">
        <v>-12</v>
      </c>
      <c r="K361" t="s">
        <v>119</v>
      </c>
      <c r="L361">
        <v>1</v>
      </c>
      <c r="M361">
        <v>45</v>
      </c>
      <c r="N361">
        <v>48</v>
      </c>
      <c r="O361">
        <v>0</v>
      </c>
    </row>
    <row r="362" spans="2:15" x14ac:dyDescent="0.2">
      <c r="B362" t="s">
        <v>1466</v>
      </c>
      <c r="C362" t="s">
        <v>201</v>
      </c>
      <c r="D362" t="s">
        <v>1467</v>
      </c>
      <c r="E362">
        <v>-11</v>
      </c>
      <c r="F362">
        <v>-14</v>
      </c>
      <c r="G362" t="s">
        <v>123</v>
      </c>
      <c r="H362" t="s">
        <v>1459</v>
      </c>
      <c r="I362" t="s">
        <v>123</v>
      </c>
      <c r="J362">
        <v>-5</v>
      </c>
      <c r="K362" t="s">
        <v>119</v>
      </c>
      <c r="L362">
        <v>1</v>
      </c>
      <c r="M362">
        <v>45</v>
      </c>
      <c r="N362">
        <v>48</v>
      </c>
      <c r="O362">
        <v>0</v>
      </c>
    </row>
    <row r="363" spans="2:15" x14ac:dyDescent="0.2">
      <c r="B363" t="s">
        <v>1466</v>
      </c>
      <c r="C363" t="s">
        <v>201</v>
      </c>
      <c r="D363" t="s">
        <v>1467</v>
      </c>
      <c r="E363">
        <v>-11</v>
      </c>
      <c r="F363">
        <v>-14</v>
      </c>
      <c r="G363" t="s">
        <v>123</v>
      </c>
      <c r="H363" t="s">
        <v>1459</v>
      </c>
      <c r="I363" t="s">
        <v>123</v>
      </c>
      <c r="J363">
        <v>-5</v>
      </c>
      <c r="K363" t="s">
        <v>119</v>
      </c>
      <c r="L363">
        <v>1</v>
      </c>
      <c r="M363">
        <v>45</v>
      </c>
      <c r="N363">
        <v>48</v>
      </c>
      <c r="O363">
        <v>0</v>
      </c>
    </row>
    <row r="364" spans="2:15" x14ac:dyDescent="0.2">
      <c r="B364" t="s">
        <v>1466</v>
      </c>
      <c r="C364" t="s">
        <v>201</v>
      </c>
      <c r="D364" t="s">
        <v>1467</v>
      </c>
      <c r="E364">
        <v>-11</v>
      </c>
      <c r="F364">
        <v>-14</v>
      </c>
      <c r="G364" t="s">
        <v>123</v>
      </c>
      <c r="H364" t="s">
        <v>1459</v>
      </c>
      <c r="I364" t="s">
        <v>123</v>
      </c>
      <c r="J364">
        <v>-5</v>
      </c>
      <c r="K364" t="s">
        <v>119</v>
      </c>
      <c r="L364">
        <v>1</v>
      </c>
      <c r="M364">
        <v>45</v>
      </c>
      <c r="N364">
        <v>48</v>
      </c>
      <c r="O364">
        <v>0</v>
      </c>
    </row>
    <row r="365" spans="2:15" x14ac:dyDescent="0.2">
      <c r="B365" t="s">
        <v>1466</v>
      </c>
      <c r="C365" t="s">
        <v>201</v>
      </c>
      <c r="D365" t="s">
        <v>1467</v>
      </c>
      <c r="E365">
        <v>-11</v>
      </c>
      <c r="F365">
        <v>-14</v>
      </c>
      <c r="G365" t="s">
        <v>123</v>
      </c>
      <c r="H365" t="s">
        <v>1459</v>
      </c>
      <c r="I365" t="s">
        <v>123</v>
      </c>
      <c r="J365">
        <v>-5</v>
      </c>
      <c r="K365" t="s">
        <v>119</v>
      </c>
      <c r="L365">
        <v>1</v>
      </c>
      <c r="M365">
        <v>45</v>
      </c>
      <c r="N365">
        <v>48</v>
      </c>
      <c r="O365">
        <v>0</v>
      </c>
    </row>
    <row r="366" spans="2:15" x14ac:dyDescent="0.2">
      <c r="B366" t="s">
        <v>1784</v>
      </c>
      <c r="C366" t="s">
        <v>201</v>
      </c>
      <c r="D366" t="s">
        <v>1785</v>
      </c>
      <c r="E366">
        <v>-11</v>
      </c>
      <c r="F366">
        <v>-14</v>
      </c>
      <c r="G366" t="s">
        <v>123</v>
      </c>
      <c r="H366" t="s">
        <v>1459</v>
      </c>
      <c r="I366" t="s">
        <v>123</v>
      </c>
      <c r="J366">
        <v>-5</v>
      </c>
      <c r="K366" t="s">
        <v>119</v>
      </c>
      <c r="L366">
        <v>1</v>
      </c>
      <c r="M366">
        <v>45</v>
      </c>
      <c r="N366">
        <v>48</v>
      </c>
      <c r="O366">
        <v>0</v>
      </c>
    </row>
    <row r="367" spans="2:15" x14ac:dyDescent="0.2">
      <c r="B367" t="s">
        <v>1784</v>
      </c>
      <c r="C367" t="s">
        <v>201</v>
      </c>
      <c r="D367" t="s">
        <v>1785</v>
      </c>
      <c r="E367">
        <v>-11</v>
      </c>
      <c r="F367">
        <v>-14</v>
      </c>
      <c r="G367" t="s">
        <v>123</v>
      </c>
      <c r="H367" t="s">
        <v>1459</v>
      </c>
      <c r="I367" t="s">
        <v>123</v>
      </c>
      <c r="J367">
        <v>-5</v>
      </c>
      <c r="K367" t="s">
        <v>119</v>
      </c>
      <c r="L367">
        <v>1</v>
      </c>
      <c r="M367">
        <v>45</v>
      </c>
      <c r="N367">
        <v>48</v>
      </c>
      <c r="O367">
        <v>0</v>
      </c>
    </row>
    <row r="368" spans="2:15" x14ac:dyDescent="0.2">
      <c r="B368" t="s">
        <v>1784</v>
      </c>
      <c r="C368" t="s">
        <v>201</v>
      </c>
      <c r="D368" t="s">
        <v>1785</v>
      </c>
      <c r="E368">
        <v>-11</v>
      </c>
      <c r="F368">
        <v>-14</v>
      </c>
      <c r="G368" t="s">
        <v>123</v>
      </c>
      <c r="H368" t="s">
        <v>1459</v>
      </c>
      <c r="I368" t="s">
        <v>123</v>
      </c>
      <c r="J368">
        <v>-5</v>
      </c>
      <c r="K368" t="s">
        <v>119</v>
      </c>
      <c r="L368">
        <v>1</v>
      </c>
      <c r="M368">
        <v>45</v>
      </c>
      <c r="N368">
        <v>48</v>
      </c>
      <c r="O368">
        <v>0</v>
      </c>
    </row>
    <row r="369" spans="2:15" x14ac:dyDescent="0.2">
      <c r="B369" t="s">
        <v>1784</v>
      </c>
      <c r="C369" t="s">
        <v>201</v>
      </c>
      <c r="D369" t="s">
        <v>1785</v>
      </c>
      <c r="E369">
        <v>-11</v>
      </c>
      <c r="F369">
        <v>-14</v>
      </c>
      <c r="G369" t="s">
        <v>123</v>
      </c>
      <c r="H369" t="s">
        <v>1459</v>
      </c>
      <c r="I369" t="s">
        <v>123</v>
      </c>
      <c r="J369">
        <v>-5</v>
      </c>
      <c r="K369" t="s">
        <v>119</v>
      </c>
      <c r="L369">
        <v>1</v>
      </c>
      <c r="M369">
        <v>45</v>
      </c>
      <c r="N369">
        <v>48</v>
      </c>
      <c r="O369">
        <v>0</v>
      </c>
    </row>
    <row r="370" spans="2:15" x14ac:dyDescent="0.2">
      <c r="B370" t="s">
        <v>1468</v>
      </c>
      <c r="C370" t="s">
        <v>201</v>
      </c>
      <c r="D370" t="s">
        <v>1469</v>
      </c>
      <c r="E370">
        <v>-19</v>
      </c>
      <c r="F370">
        <v>-19</v>
      </c>
      <c r="G370" t="s">
        <v>123</v>
      </c>
      <c r="H370" t="s">
        <v>1459</v>
      </c>
      <c r="I370" t="s">
        <v>123</v>
      </c>
      <c r="J370">
        <v>-12</v>
      </c>
      <c r="K370" t="s">
        <v>119</v>
      </c>
      <c r="L370">
        <v>1</v>
      </c>
      <c r="M370">
        <v>45</v>
      </c>
      <c r="N370">
        <v>48</v>
      </c>
      <c r="O370">
        <v>0</v>
      </c>
    </row>
    <row r="371" spans="2:15" x14ac:dyDescent="0.2">
      <c r="B371" t="s">
        <v>1468</v>
      </c>
      <c r="C371" t="s">
        <v>201</v>
      </c>
      <c r="D371" t="s">
        <v>1469</v>
      </c>
      <c r="E371">
        <v>-19</v>
      </c>
      <c r="F371">
        <v>-19</v>
      </c>
      <c r="G371" t="s">
        <v>123</v>
      </c>
      <c r="H371" t="s">
        <v>1459</v>
      </c>
      <c r="I371" t="s">
        <v>123</v>
      </c>
      <c r="J371">
        <v>-12</v>
      </c>
      <c r="K371" t="s">
        <v>119</v>
      </c>
      <c r="L371">
        <v>1</v>
      </c>
      <c r="M371">
        <v>45</v>
      </c>
      <c r="N371">
        <v>48</v>
      </c>
      <c r="O371">
        <v>0</v>
      </c>
    </row>
    <row r="372" spans="2:15" x14ac:dyDescent="0.2">
      <c r="B372" t="s">
        <v>1468</v>
      </c>
      <c r="C372" t="s">
        <v>201</v>
      </c>
      <c r="D372" t="s">
        <v>1469</v>
      </c>
      <c r="E372">
        <v>-19</v>
      </c>
      <c r="F372">
        <v>-19</v>
      </c>
      <c r="G372" t="s">
        <v>123</v>
      </c>
      <c r="H372" t="s">
        <v>1459</v>
      </c>
      <c r="I372" t="s">
        <v>123</v>
      </c>
      <c r="J372">
        <v>-12</v>
      </c>
      <c r="K372" t="s">
        <v>119</v>
      </c>
      <c r="L372">
        <v>1</v>
      </c>
      <c r="M372">
        <v>45</v>
      </c>
      <c r="N372">
        <v>48</v>
      </c>
      <c r="O372">
        <v>0</v>
      </c>
    </row>
    <row r="373" spans="2:15" x14ac:dyDescent="0.2">
      <c r="B373" t="s">
        <v>1468</v>
      </c>
      <c r="C373" t="s">
        <v>201</v>
      </c>
      <c r="D373" t="s">
        <v>1469</v>
      </c>
      <c r="E373">
        <v>-19</v>
      </c>
      <c r="F373">
        <v>-19</v>
      </c>
      <c r="G373" t="s">
        <v>123</v>
      </c>
      <c r="H373" t="s">
        <v>1459</v>
      </c>
      <c r="I373" t="s">
        <v>123</v>
      </c>
      <c r="J373">
        <v>-12</v>
      </c>
      <c r="K373" t="s">
        <v>119</v>
      </c>
      <c r="L373">
        <v>1</v>
      </c>
      <c r="M373">
        <v>45</v>
      </c>
      <c r="N373">
        <v>48</v>
      </c>
      <c r="O373">
        <v>0</v>
      </c>
    </row>
    <row r="374" spans="2:15" x14ac:dyDescent="0.2">
      <c r="B374" t="s">
        <v>1786</v>
      </c>
      <c r="C374" t="s">
        <v>201</v>
      </c>
      <c r="D374" t="s">
        <v>1787</v>
      </c>
      <c r="E374">
        <v>-19</v>
      </c>
      <c r="F374">
        <v>-19</v>
      </c>
      <c r="G374" t="s">
        <v>123</v>
      </c>
      <c r="H374" t="s">
        <v>1459</v>
      </c>
      <c r="I374" t="s">
        <v>123</v>
      </c>
      <c r="J374">
        <v>-12</v>
      </c>
      <c r="K374" t="s">
        <v>119</v>
      </c>
      <c r="L374">
        <v>1</v>
      </c>
      <c r="M374">
        <v>45</v>
      </c>
      <c r="N374">
        <v>48</v>
      </c>
      <c r="O374">
        <v>0</v>
      </c>
    </row>
    <row r="375" spans="2:15" x14ac:dyDescent="0.2">
      <c r="B375" t="s">
        <v>1786</v>
      </c>
      <c r="C375" t="s">
        <v>201</v>
      </c>
      <c r="D375" t="s">
        <v>1787</v>
      </c>
      <c r="E375">
        <v>-19</v>
      </c>
      <c r="F375">
        <v>-19</v>
      </c>
      <c r="G375" t="s">
        <v>123</v>
      </c>
      <c r="H375" t="s">
        <v>1459</v>
      </c>
      <c r="I375" t="s">
        <v>123</v>
      </c>
      <c r="J375">
        <v>-12</v>
      </c>
      <c r="K375" t="s">
        <v>119</v>
      </c>
      <c r="L375">
        <v>1</v>
      </c>
      <c r="M375">
        <v>45</v>
      </c>
      <c r="N375">
        <v>48</v>
      </c>
      <c r="O375">
        <v>0</v>
      </c>
    </row>
    <row r="376" spans="2:15" x14ac:dyDescent="0.2">
      <c r="B376" t="s">
        <v>1786</v>
      </c>
      <c r="C376" t="s">
        <v>201</v>
      </c>
      <c r="D376" t="s">
        <v>1787</v>
      </c>
      <c r="E376">
        <v>-19</v>
      </c>
      <c r="F376">
        <v>-19</v>
      </c>
      <c r="G376" t="s">
        <v>123</v>
      </c>
      <c r="H376" t="s">
        <v>1459</v>
      </c>
      <c r="I376" t="s">
        <v>123</v>
      </c>
      <c r="J376">
        <v>-12</v>
      </c>
      <c r="K376" t="s">
        <v>119</v>
      </c>
      <c r="L376">
        <v>1</v>
      </c>
      <c r="M376">
        <v>45</v>
      </c>
      <c r="N376">
        <v>48</v>
      </c>
      <c r="O376">
        <v>0</v>
      </c>
    </row>
    <row r="377" spans="2:15" x14ac:dyDescent="0.2">
      <c r="B377" t="s">
        <v>1786</v>
      </c>
      <c r="C377" t="s">
        <v>201</v>
      </c>
      <c r="D377" t="s">
        <v>1787</v>
      </c>
      <c r="E377">
        <v>-19</v>
      </c>
      <c r="F377">
        <v>-19</v>
      </c>
      <c r="G377" t="s">
        <v>123</v>
      </c>
      <c r="H377" t="s">
        <v>1459</v>
      </c>
      <c r="I377" t="s">
        <v>123</v>
      </c>
      <c r="J377">
        <v>-12</v>
      </c>
      <c r="K377" t="s">
        <v>119</v>
      </c>
      <c r="L377">
        <v>1</v>
      </c>
      <c r="M377">
        <v>45</v>
      </c>
      <c r="N377">
        <v>48</v>
      </c>
      <c r="O377">
        <v>0</v>
      </c>
    </row>
    <row r="378" spans="2:15" x14ac:dyDescent="0.2">
      <c r="B378" t="s">
        <v>1788</v>
      </c>
      <c r="C378" t="s">
        <v>201</v>
      </c>
      <c r="D378" t="s">
        <v>1789</v>
      </c>
      <c r="E378">
        <v>27</v>
      </c>
      <c r="F378">
        <v>25</v>
      </c>
      <c r="G378" t="s">
        <v>123</v>
      </c>
      <c r="I378" t="s">
        <v>616</v>
      </c>
      <c r="J378">
        <v>32</v>
      </c>
      <c r="K378" t="s">
        <v>626</v>
      </c>
      <c r="L378">
        <v>1</v>
      </c>
      <c r="M378">
        <v>60</v>
      </c>
      <c r="N378">
        <v>0</v>
      </c>
      <c r="O378">
        <v>0</v>
      </c>
    </row>
    <row r="379" spans="2:15" x14ac:dyDescent="0.2">
      <c r="B379" t="s">
        <v>1788</v>
      </c>
      <c r="C379" t="s">
        <v>201</v>
      </c>
      <c r="D379" t="s">
        <v>1789</v>
      </c>
      <c r="E379">
        <v>27</v>
      </c>
      <c r="F379">
        <v>25</v>
      </c>
      <c r="G379" t="s">
        <v>123</v>
      </c>
      <c r="I379" t="s">
        <v>616</v>
      </c>
      <c r="J379">
        <v>32</v>
      </c>
      <c r="K379" t="s">
        <v>626</v>
      </c>
      <c r="L379">
        <v>1</v>
      </c>
      <c r="M379">
        <v>60</v>
      </c>
      <c r="N379">
        <v>0</v>
      </c>
      <c r="O379">
        <v>0</v>
      </c>
    </row>
    <row r="380" spans="2:15" x14ac:dyDescent="0.2">
      <c r="B380" t="s">
        <v>1788</v>
      </c>
      <c r="C380" t="s">
        <v>201</v>
      </c>
      <c r="D380" t="s">
        <v>1789</v>
      </c>
      <c r="E380">
        <v>27</v>
      </c>
      <c r="F380">
        <v>25</v>
      </c>
      <c r="G380" t="s">
        <v>123</v>
      </c>
      <c r="I380" t="s">
        <v>616</v>
      </c>
      <c r="J380">
        <v>32</v>
      </c>
      <c r="K380" t="s">
        <v>626</v>
      </c>
      <c r="L380">
        <v>1</v>
      </c>
      <c r="M380">
        <v>60</v>
      </c>
      <c r="N380">
        <v>0</v>
      </c>
      <c r="O380">
        <v>0</v>
      </c>
    </row>
    <row r="381" spans="2:15" x14ac:dyDescent="0.2">
      <c r="B381" t="s">
        <v>1788</v>
      </c>
      <c r="C381" t="s">
        <v>201</v>
      </c>
      <c r="D381" t="s">
        <v>1789</v>
      </c>
      <c r="E381">
        <v>27</v>
      </c>
      <c r="F381">
        <v>25</v>
      </c>
      <c r="G381" t="s">
        <v>123</v>
      </c>
      <c r="I381" t="s">
        <v>616</v>
      </c>
      <c r="J381">
        <v>32</v>
      </c>
      <c r="K381" t="s">
        <v>626</v>
      </c>
      <c r="L381">
        <v>1</v>
      </c>
      <c r="M381">
        <v>60</v>
      </c>
      <c r="N381">
        <v>0</v>
      </c>
      <c r="O381">
        <v>0</v>
      </c>
    </row>
    <row r="382" spans="2:15" x14ac:dyDescent="0.2">
      <c r="B382" t="s">
        <v>1790</v>
      </c>
      <c r="C382" t="s">
        <v>199</v>
      </c>
      <c r="D382" t="s">
        <v>1791</v>
      </c>
      <c r="G382" t="s">
        <v>1194</v>
      </c>
      <c r="I382" t="s">
        <v>616</v>
      </c>
      <c r="J382">
        <v>32</v>
      </c>
      <c r="K382" t="s">
        <v>626</v>
      </c>
      <c r="L382">
        <v>4</v>
      </c>
      <c r="M382">
        <v>30</v>
      </c>
      <c r="N382">
        <v>45</v>
      </c>
      <c r="O382">
        <v>0</v>
      </c>
    </row>
    <row r="383" spans="2:15" x14ac:dyDescent="0.2">
      <c r="B383" t="s">
        <v>1790</v>
      </c>
      <c r="C383" t="s">
        <v>199</v>
      </c>
      <c r="D383" t="s">
        <v>1791</v>
      </c>
      <c r="G383" t="s">
        <v>1194</v>
      </c>
      <c r="I383" t="s">
        <v>616</v>
      </c>
      <c r="J383">
        <v>32</v>
      </c>
      <c r="K383" t="s">
        <v>626</v>
      </c>
      <c r="L383">
        <v>4</v>
      </c>
      <c r="M383">
        <v>30</v>
      </c>
      <c r="N383">
        <v>45</v>
      </c>
      <c r="O383">
        <v>0</v>
      </c>
    </row>
    <row r="384" spans="2:15" x14ac:dyDescent="0.2">
      <c r="B384" t="s">
        <v>1790</v>
      </c>
      <c r="C384" t="s">
        <v>199</v>
      </c>
      <c r="D384" t="s">
        <v>1791</v>
      </c>
      <c r="G384" t="s">
        <v>1194</v>
      </c>
      <c r="I384" t="s">
        <v>616</v>
      </c>
      <c r="J384">
        <v>32</v>
      </c>
      <c r="K384" t="s">
        <v>626</v>
      </c>
      <c r="L384">
        <v>4</v>
      </c>
      <c r="M384">
        <v>30</v>
      </c>
      <c r="N384">
        <v>45</v>
      </c>
      <c r="O384">
        <v>0</v>
      </c>
    </row>
    <row r="385" spans="2:15" x14ac:dyDescent="0.2">
      <c r="B385" t="s">
        <v>1790</v>
      </c>
      <c r="C385" t="s">
        <v>199</v>
      </c>
      <c r="D385" t="s">
        <v>1791</v>
      </c>
      <c r="G385" t="s">
        <v>1194</v>
      </c>
      <c r="I385" t="s">
        <v>616</v>
      </c>
      <c r="J385">
        <v>32</v>
      </c>
      <c r="K385" t="s">
        <v>626</v>
      </c>
      <c r="L385">
        <v>4</v>
      </c>
      <c r="M385">
        <v>30</v>
      </c>
      <c r="N385">
        <v>45</v>
      </c>
      <c r="O385">
        <v>0</v>
      </c>
    </row>
    <row r="386" spans="2:15" x14ac:dyDescent="0.2">
      <c r="B386" t="s">
        <v>1790</v>
      </c>
      <c r="C386" t="s">
        <v>199</v>
      </c>
      <c r="D386" t="s">
        <v>1791</v>
      </c>
      <c r="G386" t="s">
        <v>1194</v>
      </c>
      <c r="I386" t="s">
        <v>616</v>
      </c>
      <c r="J386">
        <v>32</v>
      </c>
      <c r="K386" t="s">
        <v>626</v>
      </c>
      <c r="L386">
        <v>4</v>
      </c>
      <c r="M386">
        <v>30</v>
      </c>
      <c r="N386">
        <v>45</v>
      </c>
      <c r="O386">
        <v>0</v>
      </c>
    </row>
    <row r="387" spans="2:15" x14ac:dyDescent="0.2">
      <c r="B387" t="s">
        <v>2063</v>
      </c>
      <c r="C387" t="s">
        <v>199</v>
      </c>
      <c r="D387" t="s">
        <v>2064</v>
      </c>
      <c r="E387">
        <v>20</v>
      </c>
      <c r="F387">
        <v>19</v>
      </c>
      <c r="G387" t="s">
        <v>123</v>
      </c>
      <c r="I387" t="s">
        <v>616</v>
      </c>
      <c r="J387">
        <v>32</v>
      </c>
      <c r="K387" t="s">
        <v>626</v>
      </c>
      <c r="L387">
        <v>4</v>
      </c>
      <c r="M387">
        <v>30</v>
      </c>
      <c r="N387">
        <v>45</v>
      </c>
      <c r="O387">
        <v>0</v>
      </c>
    </row>
    <row r="388" spans="2:15" x14ac:dyDescent="0.2">
      <c r="B388" t="s">
        <v>2063</v>
      </c>
      <c r="C388" t="s">
        <v>199</v>
      </c>
      <c r="D388" t="s">
        <v>2064</v>
      </c>
      <c r="E388">
        <v>20</v>
      </c>
      <c r="F388">
        <v>19</v>
      </c>
      <c r="G388" t="s">
        <v>123</v>
      </c>
      <c r="I388" t="s">
        <v>616</v>
      </c>
      <c r="J388">
        <v>32</v>
      </c>
      <c r="K388" t="s">
        <v>626</v>
      </c>
      <c r="L388">
        <v>4</v>
      </c>
      <c r="M388">
        <v>30</v>
      </c>
      <c r="N388">
        <v>45</v>
      </c>
      <c r="O388">
        <v>0</v>
      </c>
    </row>
    <row r="389" spans="2:15" x14ac:dyDescent="0.2">
      <c r="B389" t="s">
        <v>2063</v>
      </c>
      <c r="C389" t="s">
        <v>199</v>
      </c>
      <c r="D389" t="s">
        <v>2064</v>
      </c>
      <c r="E389">
        <v>20</v>
      </c>
      <c r="F389">
        <v>19</v>
      </c>
      <c r="G389" t="s">
        <v>123</v>
      </c>
      <c r="I389" t="s">
        <v>616</v>
      </c>
      <c r="J389">
        <v>32</v>
      </c>
      <c r="K389" t="s">
        <v>626</v>
      </c>
      <c r="L389">
        <v>4</v>
      </c>
      <c r="M389">
        <v>30</v>
      </c>
      <c r="N389">
        <v>45</v>
      </c>
      <c r="O389">
        <v>0</v>
      </c>
    </row>
    <row r="390" spans="2:15" x14ac:dyDescent="0.2">
      <c r="B390" t="s">
        <v>2063</v>
      </c>
      <c r="C390" t="s">
        <v>199</v>
      </c>
      <c r="D390" t="s">
        <v>2064</v>
      </c>
      <c r="E390">
        <v>20</v>
      </c>
      <c r="F390">
        <v>19</v>
      </c>
      <c r="G390" t="s">
        <v>123</v>
      </c>
      <c r="I390" t="s">
        <v>616</v>
      </c>
      <c r="J390">
        <v>32</v>
      </c>
      <c r="K390" t="s">
        <v>626</v>
      </c>
      <c r="L390">
        <v>4</v>
      </c>
      <c r="M390">
        <v>30</v>
      </c>
      <c r="N390">
        <v>45</v>
      </c>
      <c r="O390">
        <v>0</v>
      </c>
    </row>
    <row r="391" spans="2:15" x14ac:dyDescent="0.2">
      <c r="B391" t="s">
        <v>2063</v>
      </c>
      <c r="C391" t="s">
        <v>199</v>
      </c>
      <c r="D391" t="s">
        <v>2064</v>
      </c>
      <c r="E391">
        <v>20</v>
      </c>
      <c r="F391">
        <v>19</v>
      </c>
      <c r="G391" t="s">
        <v>123</v>
      </c>
      <c r="I391" t="s">
        <v>616</v>
      </c>
      <c r="J391">
        <v>32</v>
      </c>
      <c r="K391" t="s">
        <v>626</v>
      </c>
      <c r="L391">
        <v>4</v>
      </c>
      <c r="M391">
        <v>30</v>
      </c>
      <c r="N391">
        <v>45</v>
      </c>
      <c r="O391">
        <v>0</v>
      </c>
    </row>
    <row r="392" spans="2:15" x14ac:dyDescent="0.2">
      <c r="B392" t="s">
        <v>1470</v>
      </c>
      <c r="C392" t="s">
        <v>199</v>
      </c>
      <c r="D392" t="s">
        <v>1471</v>
      </c>
      <c r="G392" t="s">
        <v>123</v>
      </c>
      <c r="H392" t="s">
        <v>666</v>
      </c>
      <c r="I392" t="s">
        <v>616</v>
      </c>
      <c r="J392">
        <v>30</v>
      </c>
      <c r="K392" t="s">
        <v>119</v>
      </c>
      <c r="L392">
        <v>1</v>
      </c>
      <c r="M392">
        <v>35</v>
      </c>
      <c r="N392">
        <v>50</v>
      </c>
      <c r="O392">
        <v>0</v>
      </c>
    </row>
    <row r="393" spans="2:15" x14ac:dyDescent="0.2">
      <c r="B393" t="s">
        <v>1792</v>
      </c>
      <c r="C393" t="s">
        <v>199</v>
      </c>
      <c r="D393" t="s">
        <v>1793</v>
      </c>
      <c r="E393">
        <v>-19</v>
      </c>
      <c r="F393">
        <v>-19</v>
      </c>
      <c r="G393" t="s">
        <v>123</v>
      </c>
      <c r="I393" t="s">
        <v>616</v>
      </c>
      <c r="J393">
        <v>-12</v>
      </c>
      <c r="K393" t="s">
        <v>119</v>
      </c>
      <c r="L393">
        <v>1</v>
      </c>
      <c r="M393">
        <v>35</v>
      </c>
      <c r="N393">
        <v>50</v>
      </c>
      <c r="O393">
        <v>0</v>
      </c>
    </row>
    <row r="394" spans="2:15" x14ac:dyDescent="0.2">
      <c r="B394" t="s">
        <v>1792</v>
      </c>
      <c r="C394" t="s">
        <v>199</v>
      </c>
      <c r="D394" t="s">
        <v>1793</v>
      </c>
      <c r="E394">
        <v>-19</v>
      </c>
      <c r="F394">
        <v>-19</v>
      </c>
      <c r="G394" t="s">
        <v>123</v>
      </c>
      <c r="I394" t="s">
        <v>616</v>
      </c>
      <c r="J394">
        <v>-12</v>
      </c>
      <c r="K394" t="s">
        <v>119</v>
      </c>
      <c r="L394">
        <v>1</v>
      </c>
      <c r="M394">
        <v>35</v>
      </c>
      <c r="N394">
        <v>50</v>
      </c>
      <c r="O394">
        <v>0</v>
      </c>
    </row>
    <row r="395" spans="2:15" x14ac:dyDescent="0.2">
      <c r="B395" t="s">
        <v>1792</v>
      </c>
      <c r="C395" t="s">
        <v>199</v>
      </c>
      <c r="D395" t="s">
        <v>1793</v>
      </c>
      <c r="E395">
        <v>-19</v>
      </c>
      <c r="F395">
        <v>-19</v>
      </c>
      <c r="G395" t="s">
        <v>123</v>
      </c>
      <c r="I395" t="s">
        <v>616</v>
      </c>
      <c r="J395">
        <v>-12</v>
      </c>
      <c r="K395" t="s">
        <v>119</v>
      </c>
      <c r="L395">
        <v>1</v>
      </c>
      <c r="M395">
        <v>35</v>
      </c>
      <c r="N395">
        <v>50</v>
      </c>
      <c r="O395">
        <v>0</v>
      </c>
    </row>
    <row r="396" spans="2:15" x14ac:dyDescent="0.2">
      <c r="B396" t="s">
        <v>1472</v>
      </c>
      <c r="C396" t="s">
        <v>199</v>
      </c>
      <c r="D396" t="s">
        <v>1473</v>
      </c>
      <c r="E396">
        <v>-19</v>
      </c>
      <c r="F396">
        <v>-19</v>
      </c>
      <c r="G396" t="s">
        <v>123</v>
      </c>
      <c r="H396" t="s">
        <v>666</v>
      </c>
      <c r="I396" t="s">
        <v>616</v>
      </c>
      <c r="J396">
        <v>-12</v>
      </c>
      <c r="K396" t="s">
        <v>119</v>
      </c>
      <c r="L396">
        <v>1</v>
      </c>
      <c r="M396">
        <v>35</v>
      </c>
      <c r="N396">
        <v>50</v>
      </c>
      <c r="O396">
        <v>0</v>
      </c>
    </row>
    <row r="397" spans="2:15" x14ac:dyDescent="0.2">
      <c r="B397" t="s">
        <v>1474</v>
      </c>
      <c r="C397" t="s">
        <v>199</v>
      </c>
      <c r="D397" t="s">
        <v>1475</v>
      </c>
      <c r="G397" t="s">
        <v>123</v>
      </c>
      <c r="H397" t="s">
        <v>666</v>
      </c>
      <c r="I397" t="s">
        <v>616</v>
      </c>
      <c r="J397">
        <v>30</v>
      </c>
      <c r="K397" t="s">
        <v>119</v>
      </c>
      <c r="L397">
        <v>1</v>
      </c>
      <c r="M397">
        <v>35</v>
      </c>
      <c r="N397">
        <v>50</v>
      </c>
      <c r="O397">
        <v>0</v>
      </c>
    </row>
    <row r="398" spans="2:15" x14ac:dyDescent="0.2">
      <c r="B398" t="s">
        <v>1474</v>
      </c>
      <c r="C398" t="s">
        <v>199</v>
      </c>
      <c r="D398" t="s">
        <v>1475</v>
      </c>
      <c r="G398" t="s">
        <v>123</v>
      </c>
      <c r="H398" t="s">
        <v>666</v>
      </c>
      <c r="I398" t="s">
        <v>616</v>
      </c>
      <c r="J398">
        <v>30</v>
      </c>
      <c r="K398" t="s">
        <v>119</v>
      </c>
      <c r="L398">
        <v>1</v>
      </c>
      <c r="M398">
        <v>35</v>
      </c>
      <c r="N398">
        <v>50</v>
      </c>
      <c r="O398">
        <v>0</v>
      </c>
    </row>
    <row r="399" spans="2:15" x14ac:dyDescent="0.2">
      <c r="B399" t="s">
        <v>1474</v>
      </c>
      <c r="C399" t="s">
        <v>199</v>
      </c>
      <c r="D399" t="s">
        <v>1475</v>
      </c>
      <c r="G399" t="s">
        <v>123</v>
      </c>
      <c r="H399" t="s">
        <v>666</v>
      </c>
      <c r="I399" t="s">
        <v>616</v>
      </c>
      <c r="J399">
        <v>30</v>
      </c>
      <c r="K399" t="s">
        <v>119</v>
      </c>
      <c r="L399">
        <v>1</v>
      </c>
      <c r="M399">
        <v>35</v>
      </c>
      <c r="N399">
        <v>50</v>
      </c>
      <c r="O399">
        <v>0</v>
      </c>
    </row>
    <row r="400" spans="2:15" x14ac:dyDescent="0.2">
      <c r="B400" t="s">
        <v>1476</v>
      </c>
      <c r="C400" t="s">
        <v>199</v>
      </c>
      <c r="D400" t="s">
        <v>1477</v>
      </c>
      <c r="E400">
        <v>-19</v>
      </c>
      <c r="F400">
        <v>-19</v>
      </c>
      <c r="G400" t="s">
        <v>123</v>
      </c>
      <c r="H400" t="s">
        <v>666</v>
      </c>
      <c r="I400" t="s">
        <v>616</v>
      </c>
      <c r="J400">
        <v>-12</v>
      </c>
      <c r="K400" t="s">
        <v>119</v>
      </c>
      <c r="L400">
        <v>1</v>
      </c>
      <c r="M400">
        <v>35</v>
      </c>
      <c r="N400">
        <v>50</v>
      </c>
      <c r="O400">
        <v>0</v>
      </c>
    </row>
    <row r="401" spans="2:15" x14ac:dyDescent="0.2">
      <c r="B401" t="s">
        <v>1476</v>
      </c>
      <c r="C401" t="s">
        <v>199</v>
      </c>
      <c r="D401" t="s">
        <v>1477</v>
      </c>
      <c r="E401">
        <v>-19</v>
      </c>
      <c r="F401">
        <v>-19</v>
      </c>
      <c r="G401" t="s">
        <v>123</v>
      </c>
      <c r="H401" t="s">
        <v>666</v>
      </c>
      <c r="I401" t="s">
        <v>616</v>
      </c>
      <c r="J401">
        <v>-12</v>
      </c>
      <c r="K401" t="s">
        <v>119</v>
      </c>
      <c r="L401">
        <v>1</v>
      </c>
      <c r="M401">
        <v>35</v>
      </c>
      <c r="N401">
        <v>50</v>
      </c>
      <c r="O401">
        <v>0</v>
      </c>
    </row>
    <row r="402" spans="2:15" x14ac:dyDescent="0.2">
      <c r="B402" t="s">
        <v>1476</v>
      </c>
      <c r="C402" t="s">
        <v>199</v>
      </c>
      <c r="D402" t="s">
        <v>1477</v>
      </c>
      <c r="E402">
        <v>-19</v>
      </c>
      <c r="F402">
        <v>-19</v>
      </c>
      <c r="G402" t="s">
        <v>123</v>
      </c>
      <c r="H402" t="s">
        <v>666</v>
      </c>
      <c r="I402" t="s">
        <v>616</v>
      </c>
      <c r="J402">
        <v>-12</v>
      </c>
      <c r="K402" t="s">
        <v>119</v>
      </c>
      <c r="L402">
        <v>1</v>
      </c>
      <c r="M402">
        <v>35</v>
      </c>
      <c r="N402">
        <v>50</v>
      </c>
      <c r="O402">
        <v>0</v>
      </c>
    </row>
    <row r="403" spans="2:15" x14ac:dyDescent="0.2">
      <c r="B403" t="s">
        <v>2065</v>
      </c>
      <c r="C403" t="s">
        <v>199</v>
      </c>
      <c r="D403" t="s">
        <v>2066</v>
      </c>
      <c r="E403">
        <v>26</v>
      </c>
      <c r="F403">
        <v>24</v>
      </c>
      <c r="G403" t="s">
        <v>123</v>
      </c>
      <c r="I403" t="s">
        <v>616</v>
      </c>
      <c r="J403">
        <v>30</v>
      </c>
      <c r="K403" t="s">
        <v>626</v>
      </c>
      <c r="L403">
        <v>12</v>
      </c>
      <c r="M403">
        <v>16</v>
      </c>
      <c r="N403">
        <v>54</v>
      </c>
      <c r="O403">
        <v>0</v>
      </c>
    </row>
    <row r="404" spans="2:15" x14ac:dyDescent="0.2">
      <c r="B404" t="s">
        <v>2065</v>
      </c>
      <c r="C404" t="s">
        <v>199</v>
      </c>
      <c r="D404" t="s">
        <v>2066</v>
      </c>
      <c r="E404">
        <v>26</v>
      </c>
      <c r="F404">
        <v>24</v>
      </c>
      <c r="G404" t="s">
        <v>123</v>
      </c>
      <c r="I404" t="s">
        <v>616</v>
      </c>
      <c r="J404">
        <v>30</v>
      </c>
      <c r="K404" t="s">
        <v>626</v>
      </c>
      <c r="L404">
        <v>12</v>
      </c>
      <c r="M404">
        <v>16</v>
      </c>
      <c r="N404">
        <v>54</v>
      </c>
      <c r="O404">
        <v>0</v>
      </c>
    </row>
    <row r="405" spans="2:15" x14ac:dyDescent="0.2">
      <c r="B405" t="s">
        <v>2065</v>
      </c>
      <c r="C405" t="s">
        <v>199</v>
      </c>
      <c r="D405" t="s">
        <v>2066</v>
      </c>
      <c r="E405">
        <v>26</v>
      </c>
      <c r="F405">
        <v>24</v>
      </c>
      <c r="G405" t="s">
        <v>123</v>
      </c>
      <c r="I405" t="s">
        <v>616</v>
      </c>
      <c r="J405">
        <v>30</v>
      </c>
      <c r="K405" t="s">
        <v>626</v>
      </c>
      <c r="L405">
        <v>12</v>
      </c>
      <c r="M405">
        <v>16</v>
      </c>
      <c r="N405">
        <v>54</v>
      </c>
      <c r="O405">
        <v>0</v>
      </c>
    </row>
    <row r="406" spans="2:15" x14ac:dyDescent="0.2">
      <c r="B406" t="s">
        <v>2065</v>
      </c>
      <c r="C406" t="s">
        <v>199</v>
      </c>
      <c r="D406" t="s">
        <v>2066</v>
      </c>
      <c r="E406">
        <v>26</v>
      </c>
      <c r="F406">
        <v>24</v>
      </c>
      <c r="G406" t="s">
        <v>123</v>
      </c>
      <c r="I406" t="s">
        <v>616</v>
      </c>
      <c r="J406">
        <v>30</v>
      </c>
      <c r="K406" t="s">
        <v>626</v>
      </c>
      <c r="L406">
        <v>12</v>
      </c>
      <c r="M406">
        <v>16</v>
      </c>
      <c r="N406">
        <v>54</v>
      </c>
      <c r="O406">
        <v>0</v>
      </c>
    </row>
    <row r="407" spans="2:15" x14ac:dyDescent="0.2">
      <c r="B407" t="s">
        <v>1673</v>
      </c>
      <c r="C407" t="s">
        <v>199</v>
      </c>
      <c r="D407" t="s">
        <v>1674</v>
      </c>
      <c r="G407" t="s">
        <v>123</v>
      </c>
      <c r="H407" t="s">
        <v>666</v>
      </c>
      <c r="I407" t="s">
        <v>616</v>
      </c>
      <c r="J407">
        <v>32</v>
      </c>
      <c r="K407" t="s">
        <v>626</v>
      </c>
      <c r="L407">
        <v>12</v>
      </c>
      <c r="M407">
        <v>16</v>
      </c>
      <c r="N407">
        <v>48</v>
      </c>
      <c r="O407">
        <v>0</v>
      </c>
    </row>
    <row r="408" spans="2:15" x14ac:dyDescent="0.2">
      <c r="B408" t="s">
        <v>2067</v>
      </c>
      <c r="C408" t="s">
        <v>199</v>
      </c>
      <c r="D408" t="s">
        <v>2068</v>
      </c>
      <c r="E408">
        <v>20</v>
      </c>
      <c r="F408">
        <v>19</v>
      </c>
      <c r="G408" t="s">
        <v>123</v>
      </c>
      <c r="I408" t="s">
        <v>616</v>
      </c>
      <c r="J408">
        <v>31</v>
      </c>
      <c r="K408" t="s">
        <v>626</v>
      </c>
      <c r="L408">
        <v>12</v>
      </c>
      <c r="M408">
        <v>20</v>
      </c>
      <c r="N408">
        <v>50</v>
      </c>
      <c r="O408">
        <v>0</v>
      </c>
    </row>
    <row r="409" spans="2:15" x14ac:dyDescent="0.2">
      <c r="B409" t="s">
        <v>2067</v>
      </c>
      <c r="C409" t="s">
        <v>199</v>
      </c>
      <c r="D409" t="s">
        <v>2068</v>
      </c>
      <c r="E409">
        <v>20</v>
      </c>
      <c r="F409">
        <v>19</v>
      </c>
      <c r="G409" t="s">
        <v>123</v>
      </c>
      <c r="I409" t="s">
        <v>616</v>
      </c>
      <c r="J409">
        <v>31</v>
      </c>
      <c r="K409" t="s">
        <v>626</v>
      </c>
      <c r="L409">
        <v>12</v>
      </c>
      <c r="M409">
        <v>20</v>
      </c>
      <c r="N409">
        <v>50</v>
      </c>
      <c r="O409">
        <v>0</v>
      </c>
    </row>
    <row r="410" spans="2:15" x14ac:dyDescent="0.2">
      <c r="B410" t="s">
        <v>2067</v>
      </c>
      <c r="C410" t="s">
        <v>199</v>
      </c>
      <c r="D410" t="s">
        <v>2068</v>
      </c>
      <c r="E410">
        <v>20</v>
      </c>
      <c r="F410">
        <v>19</v>
      </c>
      <c r="G410" t="s">
        <v>123</v>
      </c>
      <c r="I410" t="s">
        <v>616</v>
      </c>
      <c r="J410">
        <v>31</v>
      </c>
      <c r="K410" t="s">
        <v>626</v>
      </c>
      <c r="L410">
        <v>12</v>
      </c>
      <c r="M410">
        <v>20</v>
      </c>
      <c r="N410">
        <v>50</v>
      </c>
      <c r="O410">
        <v>0</v>
      </c>
    </row>
  </sheetData>
  <sheetProtection sheet="1" objects="1" scenarios="1"/>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B0E6CE-3EF4-4D77-BA61-9F91DD725038}">
  <sheetPr codeName="Sheet6"/>
  <dimension ref="B2:D126"/>
  <sheetViews>
    <sheetView workbookViewId="0">
      <selection activeCell="I26" sqref="I26"/>
    </sheetView>
  </sheetViews>
  <sheetFormatPr defaultRowHeight="12.75" x14ac:dyDescent="0.2"/>
  <cols>
    <col min="2" max="2" width="49.5703125" bestFit="1" customWidth="1"/>
    <col min="3" max="3" width="14" bestFit="1" customWidth="1"/>
    <col min="4" max="4" width="24.140625" bestFit="1" customWidth="1"/>
  </cols>
  <sheetData>
    <row r="2" spans="2:4" x14ac:dyDescent="0.2">
      <c r="B2" t="s">
        <v>110</v>
      </c>
      <c r="C2" t="s">
        <v>1430</v>
      </c>
      <c r="D2" t="s">
        <v>1400</v>
      </c>
    </row>
    <row r="4" spans="2:4" x14ac:dyDescent="0.2">
      <c r="C4">
        <v>0</v>
      </c>
      <c r="D4" t="s">
        <v>198</v>
      </c>
    </row>
    <row r="5" spans="2:4" x14ac:dyDescent="0.2">
      <c r="B5" t="s">
        <v>1977</v>
      </c>
      <c r="C5">
        <v>1334</v>
      </c>
      <c r="D5" t="s">
        <v>1479</v>
      </c>
    </row>
    <row r="6" spans="2:4" x14ac:dyDescent="0.2">
      <c r="B6" t="s">
        <v>1979</v>
      </c>
      <c r="C6">
        <v>1330</v>
      </c>
      <c r="D6" t="s">
        <v>1479</v>
      </c>
    </row>
    <row r="7" spans="2:4" x14ac:dyDescent="0.2">
      <c r="B7" t="s">
        <v>1432</v>
      </c>
      <c r="C7">
        <v>974</v>
      </c>
      <c r="D7" t="s">
        <v>1001</v>
      </c>
    </row>
    <row r="8" spans="2:4" x14ac:dyDescent="0.2">
      <c r="B8" t="s">
        <v>1434</v>
      </c>
      <c r="C8">
        <v>1034</v>
      </c>
      <c r="D8" t="s">
        <v>1001</v>
      </c>
    </row>
    <row r="9" spans="2:4" x14ac:dyDescent="0.2">
      <c r="B9" t="s">
        <v>1691</v>
      </c>
      <c r="C9">
        <v>1166</v>
      </c>
      <c r="D9" t="s">
        <v>1478</v>
      </c>
    </row>
    <row r="10" spans="2:4" x14ac:dyDescent="0.2">
      <c r="B10" t="s">
        <v>1693</v>
      </c>
      <c r="C10">
        <v>1168</v>
      </c>
      <c r="D10" t="s">
        <v>1478</v>
      </c>
    </row>
    <row r="11" spans="2:4" x14ac:dyDescent="0.2">
      <c r="B11" t="s">
        <v>1436</v>
      </c>
      <c r="C11">
        <v>1026</v>
      </c>
      <c r="D11" t="s">
        <v>1478</v>
      </c>
    </row>
    <row r="12" spans="2:4" x14ac:dyDescent="0.2">
      <c r="B12" t="s">
        <v>1438</v>
      </c>
      <c r="C12">
        <v>1022</v>
      </c>
      <c r="D12" t="s">
        <v>1478</v>
      </c>
    </row>
    <row r="13" spans="2:4" x14ac:dyDescent="0.2">
      <c r="B13" t="s">
        <v>1440</v>
      </c>
      <c r="C13">
        <v>1018</v>
      </c>
      <c r="D13" t="s">
        <v>1478</v>
      </c>
    </row>
    <row r="14" spans="2:4" x14ac:dyDescent="0.2">
      <c r="B14" t="s">
        <v>1695</v>
      </c>
      <c r="C14">
        <v>1170</v>
      </c>
      <c r="D14" t="s">
        <v>1478</v>
      </c>
    </row>
    <row r="15" spans="2:4" x14ac:dyDescent="0.2">
      <c r="B15" t="s">
        <v>1442</v>
      </c>
      <c r="C15">
        <v>1038</v>
      </c>
      <c r="D15" t="s">
        <v>1478</v>
      </c>
    </row>
    <row r="16" spans="2:4" x14ac:dyDescent="0.2">
      <c r="B16" t="s">
        <v>1981</v>
      </c>
      <c r="C16">
        <v>1309</v>
      </c>
      <c r="D16" t="s">
        <v>2069</v>
      </c>
    </row>
    <row r="17" spans="2:4" x14ac:dyDescent="0.2">
      <c r="B17" t="s">
        <v>1983</v>
      </c>
      <c r="C17">
        <v>1310</v>
      </c>
      <c r="D17" t="s">
        <v>2069</v>
      </c>
    </row>
    <row r="18" spans="2:4" x14ac:dyDescent="0.2">
      <c r="B18" t="s">
        <v>1985</v>
      </c>
      <c r="C18">
        <v>1311</v>
      </c>
      <c r="D18" t="s">
        <v>2069</v>
      </c>
    </row>
    <row r="19" spans="2:4" x14ac:dyDescent="0.2">
      <c r="B19" t="s">
        <v>1987</v>
      </c>
      <c r="C19">
        <v>1260</v>
      </c>
      <c r="D19" t="s">
        <v>1000</v>
      </c>
    </row>
    <row r="20" spans="2:4" x14ac:dyDescent="0.2">
      <c r="B20" t="s">
        <v>1697</v>
      </c>
      <c r="C20">
        <v>1121</v>
      </c>
      <c r="D20" t="s">
        <v>1794</v>
      </c>
    </row>
    <row r="21" spans="2:4" x14ac:dyDescent="0.2">
      <c r="B21" t="s">
        <v>1697</v>
      </c>
      <c r="C21">
        <v>1120</v>
      </c>
      <c r="D21" t="s">
        <v>1000</v>
      </c>
    </row>
    <row r="22" spans="2:4" x14ac:dyDescent="0.2">
      <c r="B22" t="s">
        <v>1989</v>
      </c>
      <c r="C22">
        <v>1261</v>
      </c>
      <c r="D22" t="s">
        <v>1000</v>
      </c>
    </row>
    <row r="23" spans="2:4" x14ac:dyDescent="0.2">
      <c r="B23" t="s">
        <v>1699</v>
      </c>
      <c r="C23">
        <v>1079</v>
      </c>
      <c r="D23" t="s">
        <v>1795</v>
      </c>
    </row>
    <row r="24" spans="2:4" x14ac:dyDescent="0.2">
      <c r="B24" t="s">
        <v>1701</v>
      </c>
      <c r="C24">
        <v>1083</v>
      </c>
      <c r="D24" t="s">
        <v>1795</v>
      </c>
    </row>
    <row r="25" spans="2:4" x14ac:dyDescent="0.2">
      <c r="B25" t="s">
        <v>1703</v>
      </c>
      <c r="C25">
        <v>1224</v>
      </c>
      <c r="D25" t="s">
        <v>1000</v>
      </c>
    </row>
    <row r="26" spans="2:4" x14ac:dyDescent="0.2">
      <c r="B26" t="s">
        <v>1705</v>
      </c>
      <c r="C26">
        <v>1148</v>
      </c>
      <c r="D26" t="s">
        <v>1000</v>
      </c>
    </row>
    <row r="27" spans="2:4" x14ac:dyDescent="0.2">
      <c r="B27" t="s">
        <v>1707</v>
      </c>
      <c r="C27">
        <v>1156</v>
      </c>
      <c r="D27" t="s">
        <v>1000</v>
      </c>
    </row>
    <row r="28" spans="2:4" x14ac:dyDescent="0.2">
      <c r="B28" t="s">
        <v>1709</v>
      </c>
      <c r="C28">
        <v>1152</v>
      </c>
      <c r="D28" t="s">
        <v>1000</v>
      </c>
    </row>
    <row r="29" spans="2:4" x14ac:dyDescent="0.2">
      <c r="B29" t="s">
        <v>1991</v>
      </c>
      <c r="C29">
        <v>1252</v>
      </c>
      <c r="D29" t="s">
        <v>1000</v>
      </c>
    </row>
    <row r="30" spans="2:4" x14ac:dyDescent="0.2">
      <c r="B30" t="s">
        <v>1993</v>
      </c>
      <c r="C30">
        <v>1296</v>
      </c>
      <c r="D30" t="s">
        <v>1000</v>
      </c>
    </row>
    <row r="31" spans="2:4" x14ac:dyDescent="0.2">
      <c r="B31" t="s">
        <v>1995</v>
      </c>
      <c r="C31">
        <v>1301</v>
      </c>
      <c r="D31" t="s">
        <v>1001</v>
      </c>
    </row>
    <row r="32" spans="2:4" x14ac:dyDescent="0.2">
      <c r="B32" t="s">
        <v>1997</v>
      </c>
      <c r="C32">
        <v>1305</v>
      </c>
      <c r="D32" t="s">
        <v>1001</v>
      </c>
    </row>
    <row r="33" spans="2:4" x14ac:dyDescent="0.2">
      <c r="B33" t="s">
        <v>1711</v>
      </c>
      <c r="C33">
        <v>1109</v>
      </c>
      <c r="D33" t="s">
        <v>1001</v>
      </c>
    </row>
    <row r="34" spans="2:4" x14ac:dyDescent="0.2">
      <c r="B34" t="s">
        <v>1713</v>
      </c>
      <c r="C34">
        <v>1113</v>
      </c>
      <c r="D34" t="s">
        <v>1001</v>
      </c>
    </row>
    <row r="35" spans="2:4" x14ac:dyDescent="0.2">
      <c r="B35" t="s">
        <v>1715</v>
      </c>
      <c r="C35">
        <v>1071</v>
      </c>
      <c r="D35" t="s">
        <v>1001</v>
      </c>
    </row>
    <row r="36" spans="2:4" x14ac:dyDescent="0.2">
      <c r="B36" t="s">
        <v>1717</v>
      </c>
      <c r="C36">
        <v>1075</v>
      </c>
      <c r="D36" t="s">
        <v>1001</v>
      </c>
    </row>
    <row r="37" spans="2:4" x14ac:dyDescent="0.2">
      <c r="B37" t="s">
        <v>1999</v>
      </c>
      <c r="C37">
        <v>1276</v>
      </c>
      <c r="D37" t="s">
        <v>1479</v>
      </c>
    </row>
    <row r="38" spans="2:4" x14ac:dyDescent="0.2">
      <c r="B38" t="s">
        <v>2001</v>
      </c>
      <c r="C38">
        <v>1284</v>
      </c>
      <c r="D38" t="s">
        <v>1479</v>
      </c>
    </row>
    <row r="39" spans="2:4" x14ac:dyDescent="0.2">
      <c r="B39" t="s">
        <v>2003</v>
      </c>
      <c r="C39">
        <v>1280</v>
      </c>
      <c r="D39" t="s">
        <v>1479</v>
      </c>
    </row>
    <row r="40" spans="2:4" x14ac:dyDescent="0.2">
      <c r="B40" t="s">
        <v>1719</v>
      </c>
      <c r="C40">
        <v>1160</v>
      </c>
      <c r="D40" t="s">
        <v>1479</v>
      </c>
    </row>
    <row r="41" spans="2:4" x14ac:dyDescent="0.2">
      <c r="B41" t="s">
        <v>1444</v>
      </c>
      <c r="C41">
        <v>1014</v>
      </c>
      <c r="D41" t="s">
        <v>1478</v>
      </c>
    </row>
    <row r="42" spans="2:4" x14ac:dyDescent="0.2">
      <c r="B42" t="s">
        <v>2005</v>
      </c>
      <c r="C42">
        <v>1266</v>
      </c>
      <c r="D42" t="s">
        <v>1001</v>
      </c>
    </row>
    <row r="43" spans="2:4" x14ac:dyDescent="0.2">
      <c r="B43" t="s">
        <v>1721</v>
      </c>
      <c r="C43">
        <v>1236</v>
      </c>
      <c r="D43" t="s">
        <v>1001</v>
      </c>
    </row>
    <row r="44" spans="2:4" x14ac:dyDescent="0.2">
      <c r="B44" t="s">
        <v>2007</v>
      </c>
      <c r="C44">
        <v>1248</v>
      </c>
      <c r="D44" t="s">
        <v>1001</v>
      </c>
    </row>
    <row r="45" spans="2:4" x14ac:dyDescent="0.2">
      <c r="B45" t="s">
        <v>1723</v>
      </c>
      <c r="C45">
        <v>1228</v>
      </c>
      <c r="D45" t="s">
        <v>1001</v>
      </c>
    </row>
    <row r="46" spans="2:4" x14ac:dyDescent="0.2">
      <c r="B46" t="s">
        <v>2009</v>
      </c>
      <c r="C46">
        <v>1244</v>
      </c>
      <c r="D46" t="s">
        <v>1001</v>
      </c>
    </row>
    <row r="47" spans="2:4" x14ac:dyDescent="0.2">
      <c r="B47" t="s">
        <v>2011</v>
      </c>
      <c r="C47">
        <v>1288</v>
      </c>
      <c r="D47" t="s">
        <v>1001</v>
      </c>
    </row>
    <row r="48" spans="2:4" x14ac:dyDescent="0.2">
      <c r="B48" t="s">
        <v>1725</v>
      </c>
      <c r="C48">
        <v>1240</v>
      </c>
      <c r="D48" t="s">
        <v>1001</v>
      </c>
    </row>
    <row r="49" spans="2:4" x14ac:dyDescent="0.2">
      <c r="B49" t="s">
        <v>2013</v>
      </c>
      <c r="C49">
        <v>1274</v>
      </c>
      <c r="D49" t="s">
        <v>1001</v>
      </c>
    </row>
    <row r="50" spans="2:4" x14ac:dyDescent="0.2">
      <c r="B50" t="s">
        <v>2015</v>
      </c>
      <c r="C50">
        <v>1264</v>
      </c>
      <c r="D50" t="s">
        <v>1001</v>
      </c>
    </row>
    <row r="51" spans="2:4" x14ac:dyDescent="0.2">
      <c r="B51" t="s">
        <v>1727</v>
      </c>
      <c r="C51">
        <v>1232</v>
      </c>
      <c r="D51" t="s">
        <v>1001</v>
      </c>
    </row>
    <row r="52" spans="2:4" x14ac:dyDescent="0.2">
      <c r="B52" t="s">
        <v>1446</v>
      </c>
      <c r="C52">
        <v>970</v>
      </c>
      <c r="D52" t="s">
        <v>1001</v>
      </c>
    </row>
    <row r="53" spans="2:4" x14ac:dyDescent="0.2">
      <c r="B53" t="s">
        <v>1729</v>
      </c>
      <c r="C53">
        <v>1186</v>
      </c>
      <c r="D53" t="s">
        <v>1001</v>
      </c>
    </row>
    <row r="54" spans="2:4" x14ac:dyDescent="0.2">
      <c r="B54" t="s">
        <v>1732</v>
      </c>
      <c r="C54">
        <v>1182</v>
      </c>
      <c r="D54" t="s">
        <v>1001</v>
      </c>
    </row>
    <row r="55" spans="2:4" x14ac:dyDescent="0.2">
      <c r="B55" t="s">
        <v>1734</v>
      </c>
      <c r="C55">
        <v>1174</v>
      </c>
      <c r="D55" t="s">
        <v>1001</v>
      </c>
    </row>
    <row r="56" spans="2:4" x14ac:dyDescent="0.2">
      <c r="B56" t="s">
        <v>1736</v>
      </c>
      <c r="C56">
        <v>1178</v>
      </c>
      <c r="D56" t="s">
        <v>1001</v>
      </c>
    </row>
    <row r="57" spans="2:4" x14ac:dyDescent="0.2">
      <c r="B57" t="s">
        <v>1738</v>
      </c>
      <c r="C57">
        <v>1194</v>
      </c>
      <c r="D57" t="s">
        <v>1001</v>
      </c>
    </row>
    <row r="58" spans="2:4" x14ac:dyDescent="0.2">
      <c r="B58" t="s">
        <v>1740</v>
      </c>
      <c r="C58">
        <v>1190</v>
      </c>
      <c r="D58" t="s">
        <v>1001</v>
      </c>
    </row>
    <row r="59" spans="2:4" x14ac:dyDescent="0.2">
      <c r="B59" t="s">
        <v>1742</v>
      </c>
      <c r="C59">
        <v>1101</v>
      </c>
      <c r="D59" t="s">
        <v>1001</v>
      </c>
    </row>
    <row r="60" spans="2:4" x14ac:dyDescent="0.2">
      <c r="B60" t="s">
        <v>1744</v>
      </c>
      <c r="C60">
        <v>1105</v>
      </c>
      <c r="D60" t="s">
        <v>1001</v>
      </c>
    </row>
    <row r="61" spans="2:4" x14ac:dyDescent="0.2">
      <c r="B61" t="s">
        <v>2017</v>
      </c>
      <c r="C61">
        <v>1256</v>
      </c>
      <c r="D61" t="s">
        <v>1001</v>
      </c>
    </row>
    <row r="62" spans="2:4" x14ac:dyDescent="0.2">
      <c r="B62" t="s">
        <v>1746</v>
      </c>
      <c r="C62">
        <v>1206</v>
      </c>
      <c r="D62" t="s">
        <v>1001</v>
      </c>
    </row>
    <row r="63" spans="2:4" x14ac:dyDescent="0.2">
      <c r="B63" t="s">
        <v>1748</v>
      </c>
      <c r="C63">
        <v>1207</v>
      </c>
      <c r="D63" t="s">
        <v>1796</v>
      </c>
    </row>
    <row r="64" spans="2:4" x14ac:dyDescent="0.2">
      <c r="B64" t="s">
        <v>1750</v>
      </c>
      <c r="C64">
        <v>1201</v>
      </c>
      <c r="D64" t="s">
        <v>1001</v>
      </c>
    </row>
    <row r="65" spans="2:4" x14ac:dyDescent="0.2">
      <c r="B65" t="s">
        <v>1752</v>
      </c>
      <c r="C65">
        <v>1161</v>
      </c>
      <c r="D65" t="s">
        <v>1001</v>
      </c>
    </row>
    <row r="66" spans="2:4" x14ac:dyDescent="0.2">
      <c r="B66" t="s">
        <v>1448</v>
      </c>
      <c r="C66">
        <v>978</v>
      </c>
      <c r="D66" t="s">
        <v>1001</v>
      </c>
    </row>
    <row r="67" spans="2:4" x14ac:dyDescent="0.2">
      <c r="B67" t="s">
        <v>1450</v>
      </c>
      <c r="C67">
        <v>1042</v>
      </c>
      <c r="D67" t="s">
        <v>1001</v>
      </c>
    </row>
    <row r="68" spans="2:4" x14ac:dyDescent="0.2">
      <c r="B68" t="s">
        <v>1754</v>
      </c>
      <c r="C68">
        <v>1130</v>
      </c>
      <c r="D68" t="s">
        <v>1001</v>
      </c>
    </row>
    <row r="69" spans="2:4" x14ac:dyDescent="0.2">
      <c r="B69" t="s">
        <v>1756</v>
      </c>
      <c r="C69">
        <v>1096</v>
      </c>
      <c r="D69" t="s">
        <v>1000</v>
      </c>
    </row>
    <row r="70" spans="2:4" x14ac:dyDescent="0.2">
      <c r="B70" t="s">
        <v>1758</v>
      </c>
      <c r="C70">
        <v>1091</v>
      </c>
      <c r="D70" t="s">
        <v>1000</v>
      </c>
    </row>
    <row r="71" spans="2:4" x14ac:dyDescent="0.2">
      <c r="B71" t="s">
        <v>2019</v>
      </c>
      <c r="C71">
        <v>1352</v>
      </c>
      <c r="D71" t="s">
        <v>1001</v>
      </c>
    </row>
    <row r="72" spans="2:4" x14ac:dyDescent="0.2">
      <c r="B72" t="s">
        <v>2021</v>
      </c>
      <c r="C72">
        <v>1117</v>
      </c>
      <c r="D72" t="s">
        <v>1001</v>
      </c>
    </row>
    <row r="73" spans="2:4" x14ac:dyDescent="0.2">
      <c r="B73" t="s">
        <v>2022</v>
      </c>
      <c r="C73">
        <v>1137</v>
      </c>
      <c r="D73" t="s">
        <v>1001</v>
      </c>
    </row>
    <row r="74" spans="2:4" x14ac:dyDescent="0.2">
      <c r="B74" t="s">
        <v>2023</v>
      </c>
      <c r="C74">
        <v>1138</v>
      </c>
      <c r="D74" t="s">
        <v>1001</v>
      </c>
    </row>
    <row r="75" spans="2:4" x14ac:dyDescent="0.2">
      <c r="B75" t="s">
        <v>2024</v>
      </c>
      <c r="C75">
        <v>1140</v>
      </c>
      <c r="D75" t="s">
        <v>1001</v>
      </c>
    </row>
    <row r="76" spans="2:4" x14ac:dyDescent="0.2">
      <c r="B76" t="s">
        <v>2025</v>
      </c>
      <c r="C76">
        <v>1355</v>
      </c>
      <c r="D76" t="s">
        <v>1796</v>
      </c>
    </row>
    <row r="77" spans="2:4" x14ac:dyDescent="0.2">
      <c r="B77" t="s">
        <v>2027</v>
      </c>
      <c r="C77">
        <v>1213</v>
      </c>
      <c r="D77" t="s">
        <v>1001</v>
      </c>
    </row>
    <row r="78" spans="2:4" x14ac:dyDescent="0.2">
      <c r="B78" t="s">
        <v>1452</v>
      </c>
      <c r="C78">
        <v>983</v>
      </c>
      <c r="D78" t="s">
        <v>1001</v>
      </c>
    </row>
    <row r="79" spans="2:4" x14ac:dyDescent="0.2">
      <c r="B79" t="s">
        <v>2028</v>
      </c>
      <c r="C79">
        <v>1325</v>
      </c>
      <c r="D79" t="s">
        <v>1001</v>
      </c>
    </row>
    <row r="80" spans="2:4" x14ac:dyDescent="0.2">
      <c r="B80" t="s">
        <v>2030</v>
      </c>
      <c r="C80">
        <v>1329</v>
      </c>
      <c r="D80" t="s">
        <v>1001</v>
      </c>
    </row>
    <row r="81" spans="2:4" x14ac:dyDescent="0.2">
      <c r="B81" t="s">
        <v>2032</v>
      </c>
      <c r="C81">
        <v>1133</v>
      </c>
      <c r="D81" t="s">
        <v>1001</v>
      </c>
    </row>
    <row r="82" spans="2:4" x14ac:dyDescent="0.2">
      <c r="B82" t="s">
        <v>2033</v>
      </c>
      <c r="C82">
        <v>1126</v>
      </c>
      <c r="D82" t="s">
        <v>1001</v>
      </c>
    </row>
    <row r="83" spans="2:4" x14ac:dyDescent="0.2">
      <c r="B83" t="s">
        <v>2034</v>
      </c>
      <c r="C83">
        <v>1319</v>
      </c>
      <c r="D83" t="s">
        <v>1001</v>
      </c>
    </row>
    <row r="84" spans="2:4" x14ac:dyDescent="0.2">
      <c r="B84" t="s">
        <v>2036</v>
      </c>
      <c r="C84">
        <v>1145</v>
      </c>
      <c r="D84" t="s">
        <v>1001</v>
      </c>
    </row>
    <row r="85" spans="2:4" x14ac:dyDescent="0.2">
      <c r="B85" t="s">
        <v>2037</v>
      </c>
      <c r="C85">
        <v>1146</v>
      </c>
      <c r="D85" t="s">
        <v>1001</v>
      </c>
    </row>
    <row r="86" spans="2:4" x14ac:dyDescent="0.2">
      <c r="B86" t="s">
        <v>2038</v>
      </c>
      <c r="C86">
        <v>1147</v>
      </c>
      <c r="D86" t="s">
        <v>1001</v>
      </c>
    </row>
    <row r="87" spans="2:4" x14ac:dyDescent="0.2">
      <c r="B87" t="s">
        <v>2039</v>
      </c>
      <c r="C87">
        <v>1134</v>
      </c>
      <c r="D87" t="s">
        <v>1001</v>
      </c>
    </row>
    <row r="88" spans="2:4" x14ac:dyDescent="0.2">
      <c r="B88" t="s">
        <v>2040</v>
      </c>
      <c r="C88">
        <v>1127</v>
      </c>
      <c r="D88" t="s">
        <v>1001</v>
      </c>
    </row>
    <row r="89" spans="2:4" x14ac:dyDescent="0.2">
      <c r="B89" t="s">
        <v>2041</v>
      </c>
      <c r="C89">
        <v>1320</v>
      </c>
      <c r="D89" t="s">
        <v>1001</v>
      </c>
    </row>
    <row r="90" spans="2:4" x14ac:dyDescent="0.2">
      <c r="B90" t="s">
        <v>1672</v>
      </c>
      <c r="C90">
        <v>984</v>
      </c>
      <c r="D90" t="s">
        <v>1001</v>
      </c>
    </row>
    <row r="91" spans="2:4" x14ac:dyDescent="0.2">
      <c r="B91" t="s">
        <v>2043</v>
      </c>
      <c r="C91">
        <v>1315</v>
      </c>
      <c r="D91" t="s">
        <v>1001</v>
      </c>
    </row>
    <row r="92" spans="2:4" x14ac:dyDescent="0.2">
      <c r="B92" t="s">
        <v>1454</v>
      </c>
      <c r="C92">
        <v>1032</v>
      </c>
      <c r="D92" t="s">
        <v>1001</v>
      </c>
    </row>
    <row r="93" spans="2:4" x14ac:dyDescent="0.2">
      <c r="B93" t="s">
        <v>2045</v>
      </c>
      <c r="C93">
        <v>1323</v>
      </c>
      <c r="D93" t="s">
        <v>1001</v>
      </c>
    </row>
    <row r="94" spans="2:4" x14ac:dyDescent="0.2">
      <c r="B94" t="s">
        <v>2047</v>
      </c>
      <c r="C94">
        <v>1349</v>
      </c>
      <c r="D94" t="s">
        <v>1001</v>
      </c>
    </row>
    <row r="95" spans="2:4" x14ac:dyDescent="0.2">
      <c r="B95" t="s">
        <v>2049</v>
      </c>
      <c r="C95">
        <v>1326</v>
      </c>
      <c r="D95" t="s">
        <v>1001</v>
      </c>
    </row>
    <row r="96" spans="2:4" x14ac:dyDescent="0.2">
      <c r="B96" t="s">
        <v>2051</v>
      </c>
      <c r="C96">
        <v>1131</v>
      </c>
      <c r="D96" t="s">
        <v>1001</v>
      </c>
    </row>
    <row r="97" spans="2:4" x14ac:dyDescent="0.2">
      <c r="B97" t="s">
        <v>2052</v>
      </c>
      <c r="C97">
        <v>1124</v>
      </c>
      <c r="D97" t="s">
        <v>1001</v>
      </c>
    </row>
    <row r="98" spans="2:4" x14ac:dyDescent="0.2">
      <c r="B98" t="s">
        <v>2053</v>
      </c>
      <c r="C98">
        <v>1122</v>
      </c>
      <c r="D98" t="s">
        <v>1001</v>
      </c>
    </row>
    <row r="99" spans="2:4" x14ac:dyDescent="0.2">
      <c r="B99" t="s">
        <v>2054</v>
      </c>
      <c r="C99">
        <v>1353</v>
      </c>
      <c r="D99" t="s">
        <v>1001</v>
      </c>
    </row>
    <row r="100" spans="2:4" x14ac:dyDescent="0.2">
      <c r="B100" t="s">
        <v>2056</v>
      </c>
      <c r="C100">
        <v>1118</v>
      </c>
      <c r="D100" t="s">
        <v>1001</v>
      </c>
    </row>
    <row r="101" spans="2:4" x14ac:dyDescent="0.2">
      <c r="B101" t="s">
        <v>2057</v>
      </c>
      <c r="C101">
        <v>1143</v>
      </c>
      <c r="D101" t="s">
        <v>1001</v>
      </c>
    </row>
    <row r="102" spans="2:4" x14ac:dyDescent="0.2">
      <c r="B102" t="s">
        <v>2058</v>
      </c>
      <c r="C102">
        <v>1297</v>
      </c>
      <c r="D102" t="s">
        <v>1000</v>
      </c>
    </row>
    <row r="103" spans="2:4" x14ac:dyDescent="0.2">
      <c r="B103" t="s">
        <v>2060</v>
      </c>
      <c r="C103">
        <v>1292</v>
      </c>
      <c r="D103" t="s">
        <v>1000</v>
      </c>
    </row>
    <row r="104" spans="2:4" x14ac:dyDescent="0.2">
      <c r="B104" t="s">
        <v>1457</v>
      </c>
      <c r="C104">
        <v>994</v>
      </c>
      <c r="D104" t="s">
        <v>1000</v>
      </c>
    </row>
    <row r="105" spans="2:4" x14ac:dyDescent="0.2">
      <c r="B105" t="s">
        <v>1776</v>
      </c>
      <c r="C105">
        <v>1055</v>
      </c>
      <c r="D105" t="s">
        <v>1000</v>
      </c>
    </row>
    <row r="106" spans="2:4" x14ac:dyDescent="0.2">
      <c r="B106" t="s">
        <v>1460</v>
      </c>
      <c r="C106">
        <v>1006</v>
      </c>
      <c r="D106" t="s">
        <v>1000</v>
      </c>
    </row>
    <row r="107" spans="2:4" x14ac:dyDescent="0.2">
      <c r="B107" t="s">
        <v>1778</v>
      </c>
      <c r="C107">
        <v>1067</v>
      </c>
      <c r="D107" t="s">
        <v>1000</v>
      </c>
    </row>
    <row r="108" spans="2:4" x14ac:dyDescent="0.2">
      <c r="B108" t="s">
        <v>1462</v>
      </c>
      <c r="C108">
        <v>986</v>
      </c>
      <c r="D108" t="s">
        <v>1000</v>
      </c>
    </row>
    <row r="109" spans="2:4" x14ac:dyDescent="0.2">
      <c r="B109" t="s">
        <v>1780</v>
      </c>
      <c r="C109">
        <v>1047</v>
      </c>
      <c r="D109" t="s">
        <v>1000</v>
      </c>
    </row>
    <row r="110" spans="2:4" x14ac:dyDescent="0.2">
      <c r="B110" t="s">
        <v>1464</v>
      </c>
      <c r="C110">
        <v>1002</v>
      </c>
      <c r="D110" t="s">
        <v>1000</v>
      </c>
    </row>
    <row r="111" spans="2:4" x14ac:dyDescent="0.2">
      <c r="B111" t="s">
        <v>1782</v>
      </c>
      <c r="C111">
        <v>1063</v>
      </c>
      <c r="D111" t="s">
        <v>1000</v>
      </c>
    </row>
    <row r="112" spans="2:4" x14ac:dyDescent="0.2">
      <c r="B112" t="s">
        <v>1466</v>
      </c>
      <c r="C112">
        <v>998</v>
      </c>
      <c r="D112" t="s">
        <v>1000</v>
      </c>
    </row>
    <row r="113" spans="2:4" x14ac:dyDescent="0.2">
      <c r="B113" t="s">
        <v>1784</v>
      </c>
      <c r="C113">
        <v>1059</v>
      </c>
      <c r="D113" t="s">
        <v>1000</v>
      </c>
    </row>
    <row r="114" spans="2:4" x14ac:dyDescent="0.2">
      <c r="B114" t="s">
        <v>1468</v>
      </c>
      <c r="C114">
        <v>990</v>
      </c>
      <c r="D114" t="s">
        <v>1000</v>
      </c>
    </row>
    <row r="115" spans="2:4" x14ac:dyDescent="0.2">
      <c r="B115" t="s">
        <v>1786</v>
      </c>
      <c r="C115">
        <v>1051</v>
      </c>
      <c r="D115" t="s">
        <v>1000</v>
      </c>
    </row>
    <row r="116" spans="2:4" x14ac:dyDescent="0.2">
      <c r="B116" t="s">
        <v>1788</v>
      </c>
      <c r="C116">
        <v>1087</v>
      </c>
      <c r="D116" t="s">
        <v>1000</v>
      </c>
    </row>
    <row r="117" spans="2:4" x14ac:dyDescent="0.2">
      <c r="B117" t="s">
        <v>1790</v>
      </c>
      <c r="C117">
        <v>1208</v>
      </c>
      <c r="D117" t="s">
        <v>1000</v>
      </c>
    </row>
    <row r="118" spans="2:4" x14ac:dyDescent="0.2">
      <c r="B118" t="s">
        <v>2063</v>
      </c>
      <c r="C118">
        <v>1339</v>
      </c>
      <c r="D118" t="s">
        <v>1000</v>
      </c>
    </row>
    <row r="119" spans="2:4" x14ac:dyDescent="0.2">
      <c r="B119" t="s">
        <v>1470</v>
      </c>
      <c r="C119">
        <v>1031</v>
      </c>
      <c r="D119" t="s">
        <v>1479</v>
      </c>
    </row>
    <row r="120" spans="2:4" x14ac:dyDescent="0.2">
      <c r="B120" t="s">
        <v>1792</v>
      </c>
      <c r="C120">
        <v>1198</v>
      </c>
      <c r="D120" t="s">
        <v>1479</v>
      </c>
    </row>
    <row r="121" spans="2:4" x14ac:dyDescent="0.2">
      <c r="B121" t="s">
        <v>1472</v>
      </c>
      <c r="C121">
        <v>1013</v>
      </c>
      <c r="D121" t="s">
        <v>1479</v>
      </c>
    </row>
    <row r="122" spans="2:4" x14ac:dyDescent="0.2">
      <c r="B122" t="s">
        <v>1474</v>
      </c>
      <c r="C122">
        <v>1028</v>
      </c>
      <c r="D122" t="s">
        <v>1479</v>
      </c>
    </row>
    <row r="123" spans="2:4" x14ac:dyDescent="0.2">
      <c r="B123" t="s">
        <v>1476</v>
      </c>
      <c r="C123">
        <v>1010</v>
      </c>
      <c r="D123" t="s">
        <v>1479</v>
      </c>
    </row>
    <row r="124" spans="2:4" x14ac:dyDescent="0.2">
      <c r="B124" t="s">
        <v>2065</v>
      </c>
      <c r="C124">
        <v>1344</v>
      </c>
      <c r="D124" t="s">
        <v>1000</v>
      </c>
    </row>
    <row r="125" spans="2:4" x14ac:dyDescent="0.2">
      <c r="B125" t="s">
        <v>1673</v>
      </c>
      <c r="C125">
        <v>1046</v>
      </c>
      <c r="D125" t="s">
        <v>1000</v>
      </c>
    </row>
    <row r="126" spans="2:4" x14ac:dyDescent="0.2">
      <c r="B126" t="s">
        <v>2067</v>
      </c>
      <c r="C126">
        <v>1312</v>
      </c>
      <c r="D126" t="s">
        <v>1000</v>
      </c>
    </row>
  </sheetData>
  <sheetProtection sheet="1" objects="1" scenarios="1"/>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D2819-9D08-41CC-AB50-26FBE55C7910}">
  <sheetPr codeName="Sheet7"/>
  <dimension ref="B1:AM410"/>
  <sheetViews>
    <sheetView workbookViewId="0">
      <selection activeCell="I32" sqref="I32"/>
    </sheetView>
  </sheetViews>
  <sheetFormatPr defaultRowHeight="12.75" x14ac:dyDescent="0.2"/>
  <cols>
    <col min="2" max="2" width="51.7109375" bestFit="1" customWidth="1"/>
    <col min="3" max="3" width="8.7109375" bestFit="1" customWidth="1"/>
    <col min="4" max="4" width="49.5703125" bestFit="1" customWidth="1"/>
    <col min="5" max="5" width="4.42578125" bestFit="1" customWidth="1"/>
    <col min="6" max="6" width="9.28515625" bestFit="1" customWidth="1"/>
    <col min="7" max="7" width="12.28515625" bestFit="1" customWidth="1"/>
    <col min="8" max="8" width="13.85546875" bestFit="1" customWidth="1"/>
    <col min="9" max="9" width="10.42578125" bestFit="1" customWidth="1"/>
    <col min="10" max="10" width="7.28515625" bestFit="1" customWidth="1"/>
    <col min="11" max="11" width="6" bestFit="1" customWidth="1"/>
    <col min="12" max="12" width="16.5703125" bestFit="1" customWidth="1"/>
    <col min="13" max="13" width="14.7109375" bestFit="1" customWidth="1"/>
    <col min="14" max="14" width="16.5703125" bestFit="1" customWidth="1"/>
    <col min="15" max="15" width="14.7109375" bestFit="1" customWidth="1"/>
    <col min="16" max="16" width="16.42578125" bestFit="1" customWidth="1"/>
    <col min="17" max="17" width="12.42578125" bestFit="1" customWidth="1"/>
    <col min="18" max="18" width="16.85546875" bestFit="1" customWidth="1"/>
    <col min="19" max="19" width="9.42578125" bestFit="1" customWidth="1"/>
    <col min="20" max="20" width="15" bestFit="1" customWidth="1"/>
    <col min="21" max="21" width="16" bestFit="1" customWidth="1"/>
    <col min="22" max="22" width="14.140625" bestFit="1" customWidth="1"/>
    <col min="23" max="23" width="16.28515625" bestFit="1" customWidth="1"/>
    <col min="24" max="29" width="9.28515625" bestFit="1" customWidth="1"/>
    <col min="30" max="34" width="16.5703125" bestFit="1" customWidth="1"/>
    <col min="36" max="36" width="16.5703125" bestFit="1" customWidth="1"/>
    <col min="37" max="40" width="23.140625" bestFit="1" customWidth="1"/>
  </cols>
  <sheetData>
    <row r="1" spans="2:39" x14ac:dyDescent="0.2">
      <c r="H1" s="1024"/>
      <c r="AD1" s="1024" t="s">
        <v>1554</v>
      </c>
      <c r="AE1" s="1024" t="s">
        <v>1554</v>
      </c>
      <c r="AF1" s="1024" t="s">
        <v>1554</v>
      </c>
      <c r="AG1" s="1024" t="s">
        <v>1554</v>
      </c>
      <c r="AH1" s="1024"/>
      <c r="AI1" s="1024"/>
      <c r="AJ1" s="1024"/>
      <c r="AK1" s="1024"/>
      <c r="AL1" s="1024"/>
      <c r="AM1" s="1024"/>
    </row>
    <row r="2" spans="2:39" x14ac:dyDescent="0.2">
      <c r="B2" t="s">
        <v>1431</v>
      </c>
      <c r="C2" t="s">
        <v>1399</v>
      </c>
      <c r="D2" t="s">
        <v>110</v>
      </c>
      <c r="E2" t="s">
        <v>576</v>
      </c>
      <c r="F2" t="s">
        <v>111</v>
      </c>
      <c r="G2" t="s">
        <v>1401</v>
      </c>
      <c r="H2" t="s">
        <v>1589</v>
      </c>
      <c r="I2" t="s">
        <v>112</v>
      </c>
      <c r="J2" t="s">
        <v>113</v>
      </c>
      <c r="K2" t="s">
        <v>1405</v>
      </c>
      <c r="L2" t="s">
        <v>1406</v>
      </c>
      <c r="M2" t="s">
        <v>1407</v>
      </c>
      <c r="N2" t="s">
        <v>1408</v>
      </c>
      <c r="O2" t="s">
        <v>1409</v>
      </c>
      <c r="P2" t="s">
        <v>1410</v>
      </c>
      <c r="Q2" t="s">
        <v>1412</v>
      </c>
      <c r="R2" t="s">
        <v>118</v>
      </c>
      <c r="S2" t="s">
        <v>1150</v>
      </c>
      <c r="T2" t="s">
        <v>1125</v>
      </c>
      <c r="U2" t="s">
        <v>1151</v>
      </c>
      <c r="V2" t="s">
        <v>1417</v>
      </c>
      <c r="W2" t="s">
        <v>1152</v>
      </c>
      <c r="X2" t="s">
        <v>1153</v>
      </c>
      <c r="Y2" t="s">
        <v>1154</v>
      </c>
      <c r="Z2" t="s">
        <v>1155</v>
      </c>
      <c r="AA2" t="s">
        <v>1156</v>
      </c>
      <c r="AB2" t="s">
        <v>1157</v>
      </c>
      <c r="AC2" t="s">
        <v>1158</v>
      </c>
      <c r="AD2" t="s">
        <v>1555</v>
      </c>
      <c r="AE2" t="s">
        <v>1556</v>
      </c>
      <c r="AF2" t="s">
        <v>1557</v>
      </c>
      <c r="AG2" t="s">
        <v>1558</v>
      </c>
    </row>
    <row r="3" spans="2:39" x14ac:dyDescent="0.2">
      <c r="N3">
        <v>0</v>
      </c>
      <c r="P3">
        <v>0</v>
      </c>
      <c r="S3">
        <v>0</v>
      </c>
    </row>
    <row r="4" spans="2:39" x14ac:dyDescent="0.2">
      <c r="N4">
        <v>0</v>
      </c>
      <c r="P4">
        <v>0</v>
      </c>
      <c r="Q4">
        <v>0</v>
      </c>
      <c r="S4">
        <v>0</v>
      </c>
    </row>
    <row r="5" spans="2:39" x14ac:dyDescent="0.2">
      <c r="N5">
        <v>0</v>
      </c>
      <c r="P5">
        <v>0</v>
      </c>
      <c r="Q5">
        <v>0</v>
      </c>
      <c r="S5">
        <v>0</v>
      </c>
    </row>
    <row r="6" spans="2:39" x14ac:dyDescent="0.2">
      <c r="N6">
        <v>0</v>
      </c>
      <c r="P6">
        <v>0</v>
      </c>
      <c r="Q6">
        <v>0</v>
      </c>
      <c r="S6">
        <v>0</v>
      </c>
    </row>
    <row r="7" spans="2:39" x14ac:dyDescent="0.2">
      <c r="N7">
        <v>0</v>
      </c>
      <c r="P7">
        <v>0</v>
      </c>
      <c r="Q7">
        <v>0</v>
      </c>
      <c r="S7">
        <v>0</v>
      </c>
    </row>
    <row r="8" spans="2:39" x14ac:dyDescent="0.2">
      <c r="N8">
        <v>0</v>
      </c>
      <c r="P8">
        <v>0</v>
      </c>
      <c r="S8">
        <v>0</v>
      </c>
    </row>
    <row r="9" spans="2:39" x14ac:dyDescent="0.2">
      <c r="N9">
        <v>0</v>
      </c>
      <c r="P9">
        <v>0</v>
      </c>
      <c r="S9">
        <v>0</v>
      </c>
    </row>
    <row r="10" spans="2:39" x14ac:dyDescent="0.2">
      <c r="N10">
        <v>0</v>
      </c>
      <c r="P10">
        <v>0</v>
      </c>
      <c r="S10">
        <v>0</v>
      </c>
    </row>
    <row r="11" spans="2:39" x14ac:dyDescent="0.2">
      <c r="N11">
        <v>0</v>
      </c>
      <c r="P11">
        <v>0</v>
      </c>
      <c r="S11">
        <v>0</v>
      </c>
    </row>
    <row r="12" spans="2:39" x14ac:dyDescent="0.2">
      <c r="N12">
        <v>0</v>
      </c>
      <c r="P12">
        <v>0</v>
      </c>
      <c r="S12">
        <v>0</v>
      </c>
    </row>
    <row r="13" spans="2:39" x14ac:dyDescent="0.2">
      <c r="N13">
        <v>0</v>
      </c>
      <c r="P13">
        <v>0</v>
      </c>
      <c r="S13">
        <v>0</v>
      </c>
    </row>
    <row r="14" spans="2:39" x14ac:dyDescent="0.2">
      <c r="N14">
        <v>0</v>
      </c>
      <c r="P14">
        <v>0</v>
      </c>
      <c r="Q14">
        <v>0</v>
      </c>
      <c r="S14">
        <v>0</v>
      </c>
    </row>
    <row r="15" spans="2:39" x14ac:dyDescent="0.2">
      <c r="N15">
        <v>0</v>
      </c>
      <c r="P15">
        <v>0</v>
      </c>
      <c r="S15">
        <v>0</v>
      </c>
    </row>
    <row r="16" spans="2:39" x14ac:dyDescent="0.2">
      <c r="N16">
        <v>0</v>
      </c>
      <c r="P16">
        <v>0</v>
      </c>
      <c r="Q16">
        <v>0</v>
      </c>
      <c r="S16">
        <v>0</v>
      </c>
    </row>
    <row r="17" spans="2:29" x14ac:dyDescent="0.2">
      <c r="N17">
        <v>0</v>
      </c>
      <c r="P17">
        <v>0</v>
      </c>
      <c r="S17">
        <v>0</v>
      </c>
    </row>
    <row r="18" spans="2:29" x14ac:dyDescent="0.2">
      <c r="N18">
        <v>0</v>
      </c>
      <c r="S18">
        <v>0</v>
      </c>
    </row>
    <row r="19" spans="2:29" x14ac:dyDescent="0.2">
      <c r="N19">
        <v>0</v>
      </c>
      <c r="P19">
        <v>0</v>
      </c>
      <c r="S19">
        <v>0</v>
      </c>
    </row>
    <row r="20" spans="2:29" x14ac:dyDescent="0.2">
      <c r="N20">
        <v>0</v>
      </c>
      <c r="P20">
        <v>0</v>
      </c>
      <c r="S20">
        <v>0</v>
      </c>
    </row>
    <row r="21" spans="2:29" x14ac:dyDescent="0.2">
      <c r="N21">
        <v>0</v>
      </c>
      <c r="P21">
        <v>0</v>
      </c>
      <c r="S21">
        <v>0</v>
      </c>
    </row>
    <row r="22" spans="2:29" x14ac:dyDescent="0.2">
      <c r="N22">
        <v>0</v>
      </c>
      <c r="P22">
        <v>0</v>
      </c>
      <c r="S22">
        <v>0</v>
      </c>
    </row>
    <row r="23" spans="2:29" x14ac:dyDescent="0.2">
      <c r="B23" t="s">
        <v>198</v>
      </c>
      <c r="C23">
        <v>0</v>
      </c>
      <c r="E23">
        <v>0</v>
      </c>
      <c r="F23" t="s">
        <v>199</v>
      </c>
      <c r="G23">
        <v>0</v>
      </c>
      <c r="H23">
        <v>0</v>
      </c>
      <c r="I23" t="s">
        <v>123</v>
      </c>
      <c r="J23">
        <v>0</v>
      </c>
      <c r="K23">
        <v>0</v>
      </c>
      <c r="L23">
        <v>0</v>
      </c>
      <c r="M23" t="s">
        <v>616</v>
      </c>
      <c r="N23">
        <v>0</v>
      </c>
      <c r="O23" t="s">
        <v>616</v>
      </c>
      <c r="P23">
        <v>0</v>
      </c>
      <c r="Q23">
        <v>0</v>
      </c>
      <c r="R23" t="s">
        <v>616</v>
      </c>
      <c r="U23">
        <v>2</v>
      </c>
    </row>
    <row r="24" spans="2:29" x14ac:dyDescent="0.2">
      <c r="B24" t="s">
        <v>1480</v>
      </c>
      <c r="C24">
        <v>970</v>
      </c>
      <c r="D24" t="s">
        <v>1446</v>
      </c>
      <c r="E24">
        <v>4</v>
      </c>
      <c r="F24" t="s">
        <v>199</v>
      </c>
      <c r="G24">
        <v>4.8</v>
      </c>
      <c r="H24">
        <v>0.23</v>
      </c>
      <c r="I24" t="s">
        <v>123</v>
      </c>
      <c r="J24">
        <v>0.05</v>
      </c>
      <c r="K24">
        <v>0</v>
      </c>
      <c r="L24">
        <v>0</v>
      </c>
      <c r="M24" t="s">
        <v>616</v>
      </c>
      <c r="N24">
        <v>0</v>
      </c>
      <c r="O24" t="s">
        <v>616</v>
      </c>
      <c r="Q24">
        <v>0</v>
      </c>
      <c r="S24">
        <v>0</v>
      </c>
      <c r="X24" t="s">
        <v>1059</v>
      </c>
      <c r="Y24" t="s">
        <v>1059</v>
      </c>
      <c r="Z24" t="s">
        <v>1059</v>
      </c>
      <c r="AA24" t="s">
        <v>1059</v>
      </c>
      <c r="AB24" t="s">
        <v>1059</v>
      </c>
      <c r="AC24" t="s">
        <v>1059</v>
      </c>
    </row>
    <row r="25" spans="2:29" x14ac:dyDescent="0.2">
      <c r="B25" t="s">
        <v>1481</v>
      </c>
      <c r="C25">
        <v>971</v>
      </c>
      <c r="D25" t="s">
        <v>1446</v>
      </c>
      <c r="E25">
        <v>6</v>
      </c>
      <c r="F25" t="s">
        <v>199</v>
      </c>
      <c r="G25">
        <v>8</v>
      </c>
      <c r="H25">
        <v>0.47</v>
      </c>
      <c r="I25" t="s">
        <v>123</v>
      </c>
      <c r="J25">
        <v>0.08</v>
      </c>
      <c r="K25">
        <v>0</v>
      </c>
      <c r="L25">
        <v>0</v>
      </c>
      <c r="M25" t="s">
        <v>616</v>
      </c>
      <c r="N25">
        <v>0</v>
      </c>
      <c r="O25" t="s">
        <v>616</v>
      </c>
      <c r="Q25">
        <v>0</v>
      </c>
      <c r="S25">
        <v>0</v>
      </c>
    </row>
    <row r="26" spans="2:29" x14ac:dyDescent="0.2">
      <c r="B26" t="s">
        <v>1482</v>
      </c>
      <c r="C26">
        <v>972</v>
      </c>
      <c r="D26" t="s">
        <v>1446</v>
      </c>
      <c r="E26">
        <v>8</v>
      </c>
      <c r="F26" t="s">
        <v>199</v>
      </c>
      <c r="G26">
        <v>9.6</v>
      </c>
      <c r="H26">
        <v>0.47</v>
      </c>
      <c r="I26" t="s">
        <v>123</v>
      </c>
      <c r="J26">
        <v>0.1</v>
      </c>
      <c r="K26">
        <v>0</v>
      </c>
      <c r="L26">
        <v>0</v>
      </c>
      <c r="M26" t="s">
        <v>616</v>
      </c>
      <c r="N26">
        <v>0</v>
      </c>
      <c r="O26" t="s">
        <v>616</v>
      </c>
      <c r="Q26">
        <v>0</v>
      </c>
      <c r="S26">
        <v>0</v>
      </c>
    </row>
    <row r="27" spans="2:29" x14ac:dyDescent="0.2">
      <c r="B27" t="s">
        <v>1483</v>
      </c>
      <c r="C27">
        <v>973</v>
      </c>
      <c r="D27" t="s">
        <v>1446</v>
      </c>
      <c r="E27">
        <v>12</v>
      </c>
      <c r="F27" t="s">
        <v>199</v>
      </c>
      <c r="G27">
        <v>14.4</v>
      </c>
      <c r="H27">
        <v>0.7</v>
      </c>
      <c r="I27" t="s">
        <v>123</v>
      </c>
      <c r="J27">
        <v>0.15</v>
      </c>
      <c r="K27">
        <v>0</v>
      </c>
      <c r="L27">
        <v>0</v>
      </c>
      <c r="M27" t="s">
        <v>616</v>
      </c>
      <c r="N27">
        <v>0</v>
      </c>
      <c r="O27" t="s">
        <v>616</v>
      </c>
      <c r="Q27">
        <v>0</v>
      </c>
      <c r="S27">
        <v>0</v>
      </c>
    </row>
    <row r="28" spans="2:29" x14ac:dyDescent="0.2">
      <c r="B28" t="s">
        <v>1484</v>
      </c>
      <c r="C28">
        <v>974</v>
      </c>
      <c r="D28" t="s">
        <v>1432</v>
      </c>
      <c r="E28">
        <v>4</v>
      </c>
      <c r="F28" t="s">
        <v>199</v>
      </c>
      <c r="G28">
        <v>2.7879999999999998</v>
      </c>
      <c r="H28">
        <v>0.6</v>
      </c>
      <c r="I28" t="s">
        <v>123</v>
      </c>
      <c r="J28">
        <v>0.34</v>
      </c>
      <c r="K28">
        <v>0</v>
      </c>
      <c r="L28">
        <v>0</v>
      </c>
      <c r="M28" t="s">
        <v>616</v>
      </c>
      <c r="N28">
        <v>0</v>
      </c>
      <c r="O28" t="s">
        <v>616</v>
      </c>
      <c r="Q28">
        <v>0</v>
      </c>
      <c r="S28">
        <v>0</v>
      </c>
    </row>
    <row r="29" spans="2:29" x14ac:dyDescent="0.2">
      <c r="B29" t="s">
        <v>1485</v>
      </c>
      <c r="C29">
        <v>975</v>
      </c>
      <c r="D29" t="s">
        <v>1432</v>
      </c>
      <c r="E29">
        <v>6</v>
      </c>
      <c r="F29" t="s">
        <v>199</v>
      </c>
      <c r="G29">
        <v>4.1820000000000004</v>
      </c>
      <c r="H29">
        <v>0.9</v>
      </c>
      <c r="I29" t="s">
        <v>123</v>
      </c>
      <c r="J29">
        <v>0.56000000000000005</v>
      </c>
      <c r="K29">
        <v>0</v>
      </c>
      <c r="L29">
        <v>0</v>
      </c>
      <c r="M29" t="s">
        <v>616</v>
      </c>
      <c r="N29">
        <v>0</v>
      </c>
      <c r="O29" t="s">
        <v>616</v>
      </c>
      <c r="Q29">
        <v>0</v>
      </c>
      <c r="S29">
        <v>0</v>
      </c>
    </row>
    <row r="30" spans="2:29" x14ac:dyDescent="0.2">
      <c r="B30" t="s">
        <v>1486</v>
      </c>
      <c r="C30">
        <v>976</v>
      </c>
      <c r="D30" t="s">
        <v>1432</v>
      </c>
      <c r="E30">
        <v>8</v>
      </c>
      <c r="F30" t="s">
        <v>199</v>
      </c>
      <c r="G30">
        <v>5.5759999999999996</v>
      </c>
      <c r="H30">
        <v>1.2</v>
      </c>
      <c r="I30" t="s">
        <v>123</v>
      </c>
      <c r="J30">
        <v>0.68</v>
      </c>
      <c r="K30">
        <v>0</v>
      </c>
      <c r="L30">
        <v>0</v>
      </c>
      <c r="M30" t="s">
        <v>616</v>
      </c>
      <c r="N30">
        <v>0</v>
      </c>
      <c r="O30" t="s">
        <v>616</v>
      </c>
      <c r="Q30">
        <v>0</v>
      </c>
      <c r="S30">
        <v>0</v>
      </c>
    </row>
    <row r="31" spans="2:29" x14ac:dyDescent="0.2">
      <c r="B31" t="s">
        <v>1487</v>
      </c>
      <c r="C31">
        <v>977</v>
      </c>
      <c r="D31" t="s">
        <v>1432</v>
      </c>
      <c r="E31">
        <v>12</v>
      </c>
      <c r="F31" t="s">
        <v>199</v>
      </c>
      <c r="G31">
        <v>8.3640000000000008</v>
      </c>
      <c r="H31">
        <v>1.8</v>
      </c>
      <c r="I31" t="s">
        <v>123</v>
      </c>
      <c r="J31">
        <v>1.02</v>
      </c>
      <c r="K31">
        <v>0</v>
      </c>
      <c r="L31">
        <v>0</v>
      </c>
      <c r="M31" t="s">
        <v>616</v>
      </c>
      <c r="N31">
        <v>0</v>
      </c>
      <c r="O31" t="s">
        <v>616</v>
      </c>
      <c r="Q31">
        <v>0</v>
      </c>
      <c r="S31">
        <v>0</v>
      </c>
    </row>
    <row r="32" spans="2:29" x14ac:dyDescent="0.2">
      <c r="B32" t="s">
        <v>1488</v>
      </c>
      <c r="C32">
        <v>978</v>
      </c>
      <c r="D32" t="s">
        <v>1448</v>
      </c>
      <c r="E32">
        <v>4</v>
      </c>
      <c r="F32" t="s">
        <v>199</v>
      </c>
      <c r="G32">
        <v>3.6960000000000002</v>
      </c>
      <c r="H32">
        <v>0.6</v>
      </c>
      <c r="I32" t="s">
        <v>123</v>
      </c>
      <c r="J32">
        <v>0.22</v>
      </c>
      <c r="K32">
        <v>0</v>
      </c>
      <c r="L32">
        <v>0</v>
      </c>
      <c r="M32" t="s">
        <v>616</v>
      </c>
      <c r="N32">
        <v>0</v>
      </c>
      <c r="O32" t="s">
        <v>616</v>
      </c>
      <c r="Q32">
        <v>0</v>
      </c>
      <c r="S32">
        <v>0</v>
      </c>
    </row>
    <row r="33" spans="2:22" x14ac:dyDescent="0.2">
      <c r="B33" t="s">
        <v>1489</v>
      </c>
      <c r="C33">
        <v>979</v>
      </c>
      <c r="D33" t="s">
        <v>1448</v>
      </c>
      <c r="E33">
        <v>6</v>
      </c>
      <c r="F33" t="s">
        <v>199</v>
      </c>
      <c r="G33">
        <v>5.5439999999999996</v>
      </c>
      <c r="H33">
        <v>0.9</v>
      </c>
      <c r="I33" t="s">
        <v>123</v>
      </c>
      <c r="J33">
        <v>0.36</v>
      </c>
      <c r="K33">
        <v>0</v>
      </c>
      <c r="L33">
        <v>0</v>
      </c>
      <c r="M33" t="s">
        <v>616</v>
      </c>
      <c r="N33">
        <v>0</v>
      </c>
      <c r="O33" t="s">
        <v>616</v>
      </c>
      <c r="Q33">
        <v>0</v>
      </c>
      <c r="S33">
        <v>0</v>
      </c>
    </row>
    <row r="34" spans="2:22" x14ac:dyDescent="0.2">
      <c r="B34" t="s">
        <v>1490</v>
      </c>
      <c r="C34">
        <v>980</v>
      </c>
      <c r="D34" t="s">
        <v>1448</v>
      </c>
      <c r="E34">
        <v>8</v>
      </c>
      <c r="F34" t="s">
        <v>199</v>
      </c>
      <c r="G34">
        <v>7.3920000000000003</v>
      </c>
      <c r="H34">
        <v>0.9</v>
      </c>
      <c r="I34" t="s">
        <v>123</v>
      </c>
      <c r="J34">
        <v>0.44</v>
      </c>
      <c r="K34">
        <v>0</v>
      </c>
      <c r="L34">
        <v>0</v>
      </c>
      <c r="M34" t="s">
        <v>616</v>
      </c>
      <c r="N34">
        <v>0</v>
      </c>
      <c r="O34" t="s">
        <v>616</v>
      </c>
      <c r="Q34">
        <v>0</v>
      </c>
      <c r="S34">
        <v>0</v>
      </c>
    </row>
    <row r="35" spans="2:22" x14ac:dyDescent="0.2">
      <c r="B35" t="s">
        <v>1491</v>
      </c>
      <c r="C35">
        <v>981</v>
      </c>
      <c r="D35" t="s">
        <v>1448</v>
      </c>
      <c r="E35">
        <v>10</v>
      </c>
      <c r="F35" t="s">
        <v>199</v>
      </c>
      <c r="G35">
        <v>9.24</v>
      </c>
      <c r="H35">
        <v>1.2</v>
      </c>
      <c r="I35" t="s">
        <v>123</v>
      </c>
      <c r="J35">
        <v>0.56999999999999995</v>
      </c>
      <c r="K35">
        <v>0</v>
      </c>
      <c r="L35">
        <v>0</v>
      </c>
      <c r="M35" t="s">
        <v>616</v>
      </c>
      <c r="N35">
        <v>0</v>
      </c>
      <c r="O35" t="s">
        <v>616</v>
      </c>
      <c r="Q35">
        <v>0</v>
      </c>
      <c r="S35">
        <v>0</v>
      </c>
    </row>
    <row r="36" spans="2:22" x14ac:dyDescent="0.2">
      <c r="B36" t="s">
        <v>1492</v>
      </c>
      <c r="C36">
        <v>982</v>
      </c>
      <c r="D36" t="s">
        <v>1448</v>
      </c>
      <c r="E36">
        <v>12</v>
      </c>
      <c r="F36" t="s">
        <v>199</v>
      </c>
      <c r="G36">
        <v>11.087999999999999</v>
      </c>
      <c r="H36">
        <v>1.2</v>
      </c>
      <c r="I36" t="s">
        <v>123</v>
      </c>
      <c r="J36">
        <v>0.66</v>
      </c>
      <c r="K36">
        <v>0</v>
      </c>
      <c r="L36">
        <v>0</v>
      </c>
      <c r="M36" t="s">
        <v>616</v>
      </c>
      <c r="N36">
        <v>0</v>
      </c>
      <c r="O36" t="s">
        <v>616</v>
      </c>
      <c r="Q36">
        <v>0</v>
      </c>
      <c r="S36">
        <v>0</v>
      </c>
    </row>
    <row r="37" spans="2:22" x14ac:dyDescent="0.2">
      <c r="B37" t="s">
        <v>1493</v>
      </c>
      <c r="C37">
        <v>983</v>
      </c>
      <c r="D37" t="s">
        <v>1452</v>
      </c>
      <c r="E37">
        <v>6</v>
      </c>
      <c r="F37" t="s">
        <v>199</v>
      </c>
      <c r="G37">
        <v>6.532</v>
      </c>
      <c r="H37">
        <v>0.84</v>
      </c>
      <c r="I37" t="s">
        <v>123</v>
      </c>
      <c r="J37">
        <v>0.52</v>
      </c>
      <c r="K37">
        <v>0</v>
      </c>
      <c r="L37">
        <v>0</v>
      </c>
      <c r="M37" t="s">
        <v>616</v>
      </c>
      <c r="N37">
        <v>0</v>
      </c>
      <c r="O37" t="s">
        <v>616</v>
      </c>
      <c r="Q37">
        <v>0</v>
      </c>
      <c r="S37">
        <v>0</v>
      </c>
    </row>
    <row r="38" spans="2:22" x14ac:dyDescent="0.2">
      <c r="B38" t="s">
        <v>1675</v>
      </c>
      <c r="C38">
        <v>984</v>
      </c>
      <c r="D38" t="s">
        <v>1672</v>
      </c>
      <c r="E38">
        <v>8</v>
      </c>
      <c r="F38" t="s">
        <v>199</v>
      </c>
      <c r="G38">
        <v>9.3040000000000003</v>
      </c>
      <c r="H38">
        <v>0.84</v>
      </c>
      <c r="I38" t="s">
        <v>123</v>
      </c>
      <c r="J38">
        <v>0.64</v>
      </c>
      <c r="K38">
        <v>0</v>
      </c>
      <c r="L38">
        <v>0</v>
      </c>
      <c r="M38" t="s">
        <v>616</v>
      </c>
      <c r="N38">
        <v>0</v>
      </c>
      <c r="O38" t="s">
        <v>616</v>
      </c>
      <c r="Q38">
        <v>0</v>
      </c>
      <c r="S38">
        <v>0</v>
      </c>
    </row>
    <row r="39" spans="2:22" x14ac:dyDescent="0.2">
      <c r="B39" t="s">
        <v>1676</v>
      </c>
      <c r="C39">
        <v>985</v>
      </c>
      <c r="D39" t="s">
        <v>1672</v>
      </c>
      <c r="E39">
        <v>12</v>
      </c>
      <c r="F39" t="s">
        <v>199</v>
      </c>
      <c r="G39">
        <v>13.57</v>
      </c>
      <c r="H39">
        <v>1.26</v>
      </c>
      <c r="I39" t="s">
        <v>123</v>
      </c>
      <c r="J39">
        <v>0.96</v>
      </c>
      <c r="K39">
        <v>0</v>
      </c>
      <c r="L39">
        <v>0</v>
      </c>
      <c r="M39" t="s">
        <v>616</v>
      </c>
      <c r="N39">
        <v>0</v>
      </c>
      <c r="O39" t="s">
        <v>616</v>
      </c>
      <c r="Q39">
        <v>0</v>
      </c>
      <c r="S39">
        <v>0</v>
      </c>
    </row>
    <row r="40" spans="2:22" x14ac:dyDescent="0.2">
      <c r="B40" t="s">
        <v>1494</v>
      </c>
      <c r="C40">
        <v>986</v>
      </c>
      <c r="D40" t="s">
        <v>1462</v>
      </c>
      <c r="E40">
        <v>2</v>
      </c>
      <c r="F40" t="s">
        <v>201</v>
      </c>
      <c r="G40">
        <v>2.13</v>
      </c>
      <c r="H40">
        <v>0.6</v>
      </c>
      <c r="I40" t="s">
        <v>123</v>
      </c>
      <c r="J40">
        <v>0.2</v>
      </c>
      <c r="K40">
        <v>2.2799999999999998</v>
      </c>
      <c r="L40">
        <v>6.72</v>
      </c>
      <c r="M40" t="s">
        <v>124</v>
      </c>
      <c r="N40">
        <v>0</v>
      </c>
      <c r="O40" t="s">
        <v>616</v>
      </c>
      <c r="Q40">
        <v>0.63</v>
      </c>
      <c r="R40" t="s">
        <v>123</v>
      </c>
      <c r="S40">
        <v>0</v>
      </c>
      <c r="U40">
        <v>2</v>
      </c>
      <c r="V40">
        <v>7.24</v>
      </c>
    </row>
    <row r="41" spans="2:22" x14ac:dyDescent="0.2">
      <c r="B41" t="s">
        <v>1495</v>
      </c>
      <c r="C41">
        <v>987</v>
      </c>
      <c r="D41" t="s">
        <v>1462</v>
      </c>
      <c r="E41">
        <v>3</v>
      </c>
      <c r="F41" t="s">
        <v>201</v>
      </c>
      <c r="G41">
        <v>3.2</v>
      </c>
      <c r="H41">
        <v>0.9</v>
      </c>
      <c r="I41" t="s">
        <v>123</v>
      </c>
      <c r="J41">
        <v>0.3</v>
      </c>
      <c r="K41">
        <v>3.48</v>
      </c>
      <c r="L41">
        <v>10.08</v>
      </c>
      <c r="M41" t="s">
        <v>124</v>
      </c>
      <c r="N41">
        <v>0</v>
      </c>
      <c r="O41" t="s">
        <v>616</v>
      </c>
      <c r="Q41">
        <v>1.25</v>
      </c>
      <c r="R41" t="s">
        <v>123</v>
      </c>
      <c r="S41">
        <v>0</v>
      </c>
      <c r="U41">
        <v>2</v>
      </c>
      <c r="V41">
        <v>11.16</v>
      </c>
    </row>
    <row r="42" spans="2:22" x14ac:dyDescent="0.2">
      <c r="B42" t="s">
        <v>1496</v>
      </c>
      <c r="C42">
        <v>988</v>
      </c>
      <c r="D42" t="s">
        <v>1462</v>
      </c>
      <c r="E42">
        <v>4</v>
      </c>
      <c r="F42" t="s">
        <v>201</v>
      </c>
      <c r="G42">
        <v>4.26</v>
      </c>
      <c r="H42">
        <v>1.2</v>
      </c>
      <c r="I42" t="s">
        <v>123</v>
      </c>
      <c r="J42">
        <v>0.39</v>
      </c>
      <c r="K42">
        <v>4.57</v>
      </c>
      <c r="L42">
        <v>13.46</v>
      </c>
      <c r="M42" t="s">
        <v>124</v>
      </c>
      <c r="N42">
        <v>0</v>
      </c>
      <c r="O42" t="s">
        <v>616</v>
      </c>
      <c r="Q42">
        <v>2</v>
      </c>
      <c r="R42" t="s">
        <v>123</v>
      </c>
      <c r="S42">
        <v>0</v>
      </c>
      <c r="U42">
        <v>2</v>
      </c>
      <c r="V42">
        <v>15.2</v>
      </c>
    </row>
    <row r="43" spans="2:22" x14ac:dyDescent="0.2">
      <c r="B43" t="s">
        <v>1497</v>
      </c>
      <c r="C43">
        <v>989</v>
      </c>
      <c r="D43" t="s">
        <v>1462</v>
      </c>
      <c r="E43">
        <v>5</v>
      </c>
      <c r="F43" t="s">
        <v>201</v>
      </c>
      <c r="G43">
        <v>5.23</v>
      </c>
      <c r="H43">
        <v>1.5</v>
      </c>
      <c r="I43" t="s">
        <v>123</v>
      </c>
      <c r="J43">
        <v>0.49</v>
      </c>
      <c r="K43">
        <v>5.77</v>
      </c>
      <c r="L43">
        <v>16.82</v>
      </c>
      <c r="M43" t="s">
        <v>124</v>
      </c>
      <c r="N43">
        <v>0</v>
      </c>
      <c r="O43" t="s">
        <v>616</v>
      </c>
      <c r="Q43">
        <v>2.57</v>
      </c>
      <c r="R43" t="s">
        <v>123</v>
      </c>
      <c r="S43">
        <v>0</v>
      </c>
      <c r="U43">
        <v>2</v>
      </c>
      <c r="V43">
        <v>19.09</v>
      </c>
    </row>
    <row r="44" spans="2:22" x14ac:dyDescent="0.2">
      <c r="B44" t="s">
        <v>1498</v>
      </c>
      <c r="C44">
        <v>990</v>
      </c>
      <c r="D44" t="s">
        <v>1468</v>
      </c>
      <c r="E44">
        <v>2</v>
      </c>
      <c r="F44" t="s">
        <v>201</v>
      </c>
      <c r="G44">
        <v>2.13</v>
      </c>
      <c r="H44">
        <v>0.6</v>
      </c>
      <c r="I44" t="s">
        <v>123</v>
      </c>
      <c r="J44">
        <v>0.2</v>
      </c>
      <c r="K44">
        <v>2.2799999999999998</v>
      </c>
      <c r="L44">
        <v>6.72</v>
      </c>
      <c r="M44" t="s">
        <v>124</v>
      </c>
      <c r="N44">
        <v>0</v>
      </c>
      <c r="O44" t="s">
        <v>616</v>
      </c>
      <c r="Q44">
        <v>0.63</v>
      </c>
      <c r="R44" t="s">
        <v>123</v>
      </c>
      <c r="S44">
        <v>0</v>
      </c>
      <c r="U44">
        <v>2</v>
      </c>
      <c r="V44">
        <v>7.24</v>
      </c>
    </row>
    <row r="45" spans="2:22" x14ac:dyDescent="0.2">
      <c r="B45" t="s">
        <v>1499</v>
      </c>
      <c r="C45">
        <v>991</v>
      </c>
      <c r="D45" t="s">
        <v>1468</v>
      </c>
      <c r="E45">
        <v>3</v>
      </c>
      <c r="F45" t="s">
        <v>201</v>
      </c>
      <c r="G45">
        <v>3.2</v>
      </c>
      <c r="H45">
        <v>0.9</v>
      </c>
      <c r="I45" t="s">
        <v>123</v>
      </c>
      <c r="J45">
        <v>0.3</v>
      </c>
      <c r="K45">
        <v>3.48</v>
      </c>
      <c r="L45">
        <v>10.08</v>
      </c>
      <c r="M45" t="s">
        <v>124</v>
      </c>
      <c r="N45">
        <v>0</v>
      </c>
      <c r="O45" t="s">
        <v>616</v>
      </c>
      <c r="Q45">
        <v>1.25</v>
      </c>
      <c r="R45" t="s">
        <v>123</v>
      </c>
      <c r="S45">
        <v>0</v>
      </c>
      <c r="U45">
        <v>2</v>
      </c>
      <c r="V45">
        <v>11.16</v>
      </c>
    </row>
    <row r="46" spans="2:22" x14ac:dyDescent="0.2">
      <c r="B46" t="s">
        <v>1500</v>
      </c>
      <c r="C46">
        <v>992</v>
      </c>
      <c r="D46" t="s">
        <v>1468</v>
      </c>
      <c r="E46">
        <v>4</v>
      </c>
      <c r="F46" t="s">
        <v>201</v>
      </c>
      <c r="G46">
        <v>4.26</v>
      </c>
      <c r="H46">
        <v>1.2</v>
      </c>
      <c r="I46" t="s">
        <v>123</v>
      </c>
      <c r="J46">
        <v>0.39</v>
      </c>
      <c r="K46">
        <v>4.57</v>
      </c>
      <c r="L46">
        <v>13.46</v>
      </c>
      <c r="M46" t="s">
        <v>124</v>
      </c>
      <c r="N46">
        <v>0</v>
      </c>
      <c r="O46" t="s">
        <v>616</v>
      </c>
      <c r="Q46">
        <v>2</v>
      </c>
      <c r="R46" t="s">
        <v>123</v>
      </c>
      <c r="S46">
        <v>0</v>
      </c>
      <c r="U46">
        <v>2</v>
      </c>
      <c r="V46">
        <v>15.2</v>
      </c>
    </row>
    <row r="47" spans="2:22" x14ac:dyDescent="0.2">
      <c r="B47" t="s">
        <v>1501</v>
      </c>
      <c r="C47">
        <v>993</v>
      </c>
      <c r="D47" t="s">
        <v>1468</v>
      </c>
      <c r="E47">
        <v>5</v>
      </c>
      <c r="F47" t="s">
        <v>201</v>
      </c>
      <c r="G47">
        <v>5.23</v>
      </c>
      <c r="H47">
        <v>1.5</v>
      </c>
      <c r="I47" t="s">
        <v>123</v>
      </c>
      <c r="J47">
        <v>0.49</v>
      </c>
      <c r="K47">
        <v>5.77</v>
      </c>
      <c r="L47">
        <v>16.82</v>
      </c>
      <c r="M47" t="s">
        <v>124</v>
      </c>
      <c r="N47">
        <v>0</v>
      </c>
      <c r="O47" t="s">
        <v>616</v>
      </c>
      <c r="Q47">
        <v>2.57</v>
      </c>
      <c r="R47" t="s">
        <v>123</v>
      </c>
      <c r="S47">
        <v>0</v>
      </c>
      <c r="U47">
        <v>2</v>
      </c>
      <c r="V47">
        <v>19.09</v>
      </c>
    </row>
    <row r="48" spans="2:22" x14ac:dyDescent="0.2">
      <c r="B48" t="s">
        <v>1502</v>
      </c>
      <c r="C48">
        <v>994</v>
      </c>
      <c r="D48" t="s">
        <v>1457</v>
      </c>
      <c r="E48">
        <v>2</v>
      </c>
      <c r="F48" t="s">
        <v>201</v>
      </c>
      <c r="G48">
        <v>1.91</v>
      </c>
      <c r="H48">
        <v>0.6</v>
      </c>
      <c r="I48" t="s">
        <v>123</v>
      </c>
      <c r="J48">
        <v>0.2</v>
      </c>
      <c r="K48">
        <v>2.2799999999999998</v>
      </c>
      <c r="L48">
        <v>6.72</v>
      </c>
      <c r="M48" t="s">
        <v>124</v>
      </c>
      <c r="N48">
        <v>0</v>
      </c>
      <c r="O48" t="s">
        <v>616</v>
      </c>
      <c r="Q48">
        <v>0.63</v>
      </c>
      <c r="R48" t="s">
        <v>123</v>
      </c>
      <c r="S48">
        <v>0</v>
      </c>
      <c r="U48">
        <v>2</v>
      </c>
      <c r="V48">
        <v>7.24</v>
      </c>
    </row>
    <row r="49" spans="2:22" x14ac:dyDescent="0.2">
      <c r="B49" t="s">
        <v>1503</v>
      </c>
      <c r="C49">
        <v>995</v>
      </c>
      <c r="D49" t="s">
        <v>1457</v>
      </c>
      <c r="E49">
        <v>3</v>
      </c>
      <c r="F49" t="s">
        <v>201</v>
      </c>
      <c r="G49">
        <v>2.87</v>
      </c>
      <c r="H49">
        <v>0.9</v>
      </c>
      <c r="I49" t="s">
        <v>123</v>
      </c>
      <c r="J49">
        <v>0.3</v>
      </c>
      <c r="K49">
        <v>3.48</v>
      </c>
      <c r="L49">
        <v>10.08</v>
      </c>
      <c r="M49" t="s">
        <v>124</v>
      </c>
      <c r="N49">
        <v>0</v>
      </c>
      <c r="O49" t="s">
        <v>616</v>
      </c>
      <c r="Q49">
        <v>1.25</v>
      </c>
      <c r="R49" t="s">
        <v>123</v>
      </c>
      <c r="S49">
        <v>0</v>
      </c>
      <c r="U49">
        <v>2</v>
      </c>
      <c r="V49">
        <v>11.16</v>
      </c>
    </row>
    <row r="50" spans="2:22" x14ac:dyDescent="0.2">
      <c r="B50" t="s">
        <v>1504</v>
      </c>
      <c r="C50">
        <v>996</v>
      </c>
      <c r="D50" t="s">
        <v>1457</v>
      </c>
      <c r="E50">
        <v>4</v>
      </c>
      <c r="F50" t="s">
        <v>201</v>
      </c>
      <c r="G50">
        <v>3.82</v>
      </c>
      <c r="H50">
        <v>1.2</v>
      </c>
      <c r="I50" t="s">
        <v>123</v>
      </c>
      <c r="J50">
        <v>0.39</v>
      </c>
      <c r="K50">
        <v>4.57</v>
      </c>
      <c r="L50">
        <v>13.46</v>
      </c>
      <c r="M50" t="s">
        <v>124</v>
      </c>
      <c r="N50">
        <v>0</v>
      </c>
      <c r="O50" t="s">
        <v>616</v>
      </c>
      <c r="Q50">
        <v>2</v>
      </c>
      <c r="R50" t="s">
        <v>123</v>
      </c>
      <c r="S50">
        <v>0</v>
      </c>
      <c r="U50">
        <v>2</v>
      </c>
      <c r="V50">
        <v>15.2</v>
      </c>
    </row>
    <row r="51" spans="2:22" x14ac:dyDescent="0.2">
      <c r="B51" t="s">
        <v>1505</v>
      </c>
      <c r="C51">
        <v>997</v>
      </c>
      <c r="D51" t="s">
        <v>1457</v>
      </c>
      <c r="E51">
        <v>5</v>
      </c>
      <c r="F51" t="s">
        <v>201</v>
      </c>
      <c r="G51">
        <v>4.78</v>
      </c>
      <c r="H51">
        <v>1.5</v>
      </c>
      <c r="I51" t="s">
        <v>123</v>
      </c>
      <c r="J51">
        <v>0.49</v>
      </c>
      <c r="K51">
        <v>5.77</v>
      </c>
      <c r="L51">
        <v>16.82</v>
      </c>
      <c r="M51" t="s">
        <v>124</v>
      </c>
      <c r="N51">
        <v>0</v>
      </c>
      <c r="O51" t="s">
        <v>616</v>
      </c>
      <c r="Q51">
        <v>2.57</v>
      </c>
      <c r="R51" t="s">
        <v>123</v>
      </c>
      <c r="S51">
        <v>0</v>
      </c>
      <c r="U51">
        <v>2</v>
      </c>
      <c r="V51">
        <v>19.09</v>
      </c>
    </row>
    <row r="52" spans="2:22" x14ac:dyDescent="0.2">
      <c r="B52" t="s">
        <v>1506</v>
      </c>
      <c r="C52">
        <v>998</v>
      </c>
      <c r="D52" t="s">
        <v>1466</v>
      </c>
      <c r="E52">
        <v>2</v>
      </c>
      <c r="F52" t="s">
        <v>201</v>
      </c>
      <c r="G52">
        <v>1.91</v>
      </c>
      <c r="H52">
        <v>0.6</v>
      </c>
      <c r="I52" t="s">
        <v>123</v>
      </c>
      <c r="J52">
        <v>0.2</v>
      </c>
      <c r="K52">
        <v>2.2799999999999998</v>
      </c>
      <c r="L52">
        <v>6.72</v>
      </c>
      <c r="M52" t="s">
        <v>124</v>
      </c>
      <c r="N52">
        <v>0</v>
      </c>
      <c r="O52" t="s">
        <v>616</v>
      </c>
      <c r="Q52">
        <v>0.63</v>
      </c>
      <c r="R52" t="s">
        <v>123</v>
      </c>
      <c r="S52">
        <v>0</v>
      </c>
      <c r="U52">
        <v>2</v>
      </c>
      <c r="V52">
        <v>7.24</v>
      </c>
    </row>
    <row r="53" spans="2:22" x14ac:dyDescent="0.2">
      <c r="B53" t="s">
        <v>1507</v>
      </c>
      <c r="C53">
        <v>999</v>
      </c>
      <c r="D53" t="s">
        <v>1466</v>
      </c>
      <c r="E53">
        <v>3</v>
      </c>
      <c r="F53" t="s">
        <v>201</v>
      </c>
      <c r="G53">
        <v>2.87</v>
      </c>
      <c r="H53">
        <v>0.9</v>
      </c>
      <c r="I53" t="s">
        <v>123</v>
      </c>
      <c r="J53">
        <v>0.3</v>
      </c>
      <c r="K53">
        <v>3.48</v>
      </c>
      <c r="L53">
        <v>10.08</v>
      </c>
      <c r="M53" t="s">
        <v>124</v>
      </c>
      <c r="N53">
        <v>0</v>
      </c>
      <c r="O53" t="s">
        <v>616</v>
      </c>
      <c r="Q53">
        <v>1.25</v>
      </c>
      <c r="R53" t="s">
        <v>123</v>
      </c>
      <c r="S53">
        <v>0</v>
      </c>
      <c r="U53">
        <v>2</v>
      </c>
      <c r="V53">
        <v>11.16</v>
      </c>
    </row>
    <row r="54" spans="2:22" x14ac:dyDescent="0.2">
      <c r="B54" t="s">
        <v>1508</v>
      </c>
      <c r="C54">
        <v>1000</v>
      </c>
      <c r="D54" t="s">
        <v>1466</v>
      </c>
      <c r="E54">
        <v>4</v>
      </c>
      <c r="F54" t="s">
        <v>201</v>
      </c>
      <c r="G54">
        <v>3.82</v>
      </c>
      <c r="H54">
        <v>1.2</v>
      </c>
      <c r="I54" t="s">
        <v>123</v>
      </c>
      <c r="J54">
        <v>0.39</v>
      </c>
      <c r="K54">
        <v>4.57</v>
      </c>
      <c r="L54">
        <v>13.46</v>
      </c>
      <c r="M54" t="s">
        <v>124</v>
      </c>
      <c r="N54">
        <v>0</v>
      </c>
      <c r="O54" t="s">
        <v>616</v>
      </c>
      <c r="Q54">
        <v>2</v>
      </c>
      <c r="R54" t="s">
        <v>123</v>
      </c>
      <c r="S54">
        <v>0</v>
      </c>
      <c r="U54">
        <v>2</v>
      </c>
      <c r="V54">
        <v>15.2</v>
      </c>
    </row>
    <row r="55" spans="2:22" x14ac:dyDescent="0.2">
      <c r="B55" t="s">
        <v>1509</v>
      </c>
      <c r="C55">
        <v>1001</v>
      </c>
      <c r="D55" t="s">
        <v>1466</v>
      </c>
      <c r="E55">
        <v>5</v>
      </c>
      <c r="F55" t="s">
        <v>201</v>
      </c>
      <c r="G55">
        <v>4.78</v>
      </c>
      <c r="H55">
        <v>1.5</v>
      </c>
      <c r="I55" t="s">
        <v>123</v>
      </c>
      <c r="J55">
        <v>0.49</v>
      </c>
      <c r="K55">
        <v>5.77</v>
      </c>
      <c r="L55">
        <v>16.82</v>
      </c>
      <c r="M55" t="s">
        <v>124</v>
      </c>
      <c r="N55">
        <v>0</v>
      </c>
      <c r="O55" t="s">
        <v>616</v>
      </c>
      <c r="Q55">
        <v>2.57</v>
      </c>
      <c r="R55" t="s">
        <v>123</v>
      </c>
      <c r="S55">
        <v>0</v>
      </c>
      <c r="U55">
        <v>2</v>
      </c>
      <c r="V55">
        <v>19.09</v>
      </c>
    </row>
    <row r="56" spans="2:22" x14ac:dyDescent="0.2">
      <c r="B56" t="s">
        <v>1510</v>
      </c>
      <c r="C56">
        <v>1002</v>
      </c>
      <c r="D56" t="s">
        <v>1464</v>
      </c>
      <c r="E56">
        <v>2</v>
      </c>
      <c r="F56" t="s">
        <v>201</v>
      </c>
      <c r="G56">
        <v>2.13</v>
      </c>
      <c r="H56">
        <v>0.6</v>
      </c>
      <c r="I56" t="s">
        <v>123</v>
      </c>
      <c r="J56">
        <v>0.2</v>
      </c>
      <c r="K56">
        <v>2.2799999999999998</v>
      </c>
      <c r="L56">
        <v>6.72</v>
      </c>
      <c r="M56" t="s">
        <v>124</v>
      </c>
      <c r="N56">
        <v>0</v>
      </c>
      <c r="O56" t="s">
        <v>616</v>
      </c>
      <c r="Q56">
        <v>0.63</v>
      </c>
      <c r="R56" t="s">
        <v>123</v>
      </c>
      <c r="S56">
        <v>0</v>
      </c>
      <c r="U56">
        <v>2</v>
      </c>
      <c r="V56">
        <v>7.24</v>
      </c>
    </row>
    <row r="57" spans="2:22" x14ac:dyDescent="0.2">
      <c r="B57" t="s">
        <v>1511</v>
      </c>
      <c r="C57">
        <v>1003</v>
      </c>
      <c r="D57" t="s">
        <v>1464</v>
      </c>
      <c r="E57">
        <v>3</v>
      </c>
      <c r="F57" t="s">
        <v>201</v>
      </c>
      <c r="G57">
        <v>3.2</v>
      </c>
      <c r="H57">
        <v>0.9</v>
      </c>
      <c r="I57" t="s">
        <v>123</v>
      </c>
      <c r="J57">
        <v>0.3</v>
      </c>
      <c r="K57">
        <v>3.48</v>
      </c>
      <c r="L57">
        <v>10.08</v>
      </c>
      <c r="M57" t="s">
        <v>124</v>
      </c>
      <c r="N57">
        <v>0</v>
      </c>
      <c r="O57" t="s">
        <v>616</v>
      </c>
      <c r="Q57">
        <v>1.25</v>
      </c>
      <c r="R57" t="s">
        <v>123</v>
      </c>
      <c r="S57">
        <v>0</v>
      </c>
      <c r="U57">
        <v>2</v>
      </c>
      <c r="V57">
        <v>11.16</v>
      </c>
    </row>
    <row r="58" spans="2:22" x14ac:dyDescent="0.2">
      <c r="B58" t="s">
        <v>1512</v>
      </c>
      <c r="C58">
        <v>1004</v>
      </c>
      <c r="D58" t="s">
        <v>1464</v>
      </c>
      <c r="E58">
        <v>4</v>
      </c>
      <c r="F58" t="s">
        <v>201</v>
      </c>
      <c r="G58">
        <v>4.26</v>
      </c>
      <c r="H58">
        <v>1.2</v>
      </c>
      <c r="I58" t="s">
        <v>123</v>
      </c>
      <c r="J58">
        <v>0.39</v>
      </c>
      <c r="K58">
        <v>4.57</v>
      </c>
      <c r="L58">
        <v>13.46</v>
      </c>
      <c r="M58" t="s">
        <v>124</v>
      </c>
      <c r="N58">
        <v>0</v>
      </c>
      <c r="O58" t="s">
        <v>616</v>
      </c>
      <c r="Q58">
        <v>2</v>
      </c>
      <c r="R58" t="s">
        <v>123</v>
      </c>
      <c r="S58">
        <v>0</v>
      </c>
      <c r="U58">
        <v>2</v>
      </c>
      <c r="V58">
        <v>15.2</v>
      </c>
    </row>
    <row r="59" spans="2:22" x14ac:dyDescent="0.2">
      <c r="B59" t="s">
        <v>1513</v>
      </c>
      <c r="C59">
        <v>1005</v>
      </c>
      <c r="D59" t="s">
        <v>1464</v>
      </c>
      <c r="E59">
        <v>5</v>
      </c>
      <c r="F59" t="s">
        <v>201</v>
      </c>
      <c r="G59">
        <v>5.23</v>
      </c>
      <c r="H59">
        <v>1.5</v>
      </c>
      <c r="I59" t="s">
        <v>123</v>
      </c>
      <c r="J59">
        <v>0.49</v>
      </c>
      <c r="K59">
        <v>5.77</v>
      </c>
      <c r="L59">
        <v>16.82</v>
      </c>
      <c r="M59" t="s">
        <v>124</v>
      </c>
      <c r="N59">
        <v>0</v>
      </c>
      <c r="O59" t="s">
        <v>616</v>
      </c>
      <c r="Q59">
        <v>2.57</v>
      </c>
      <c r="R59" t="s">
        <v>123</v>
      </c>
      <c r="S59">
        <v>0</v>
      </c>
      <c r="U59">
        <v>2</v>
      </c>
      <c r="V59">
        <v>19.09</v>
      </c>
    </row>
    <row r="60" spans="2:22" x14ac:dyDescent="0.2">
      <c r="B60" t="s">
        <v>1514</v>
      </c>
      <c r="C60">
        <v>1006</v>
      </c>
      <c r="D60" t="s">
        <v>1460</v>
      </c>
      <c r="E60">
        <v>2</v>
      </c>
      <c r="F60" t="s">
        <v>201</v>
      </c>
      <c r="G60">
        <v>1.91</v>
      </c>
      <c r="H60">
        <v>0.6</v>
      </c>
      <c r="I60" t="s">
        <v>123</v>
      </c>
      <c r="J60">
        <v>0.2</v>
      </c>
      <c r="K60">
        <v>2.2799999999999998</v>
      </c>
      <c r="L60">
        <v>6.72</v>
      </c>
      <c r="M60" t="s">
        <v>124</v>
      </c>
      <c r="N60">
        <v>0</v>
      </c>
      <c r="O60" t="s">
        <v>616</v>
      </c>
      <c r="Q60">
        <v>0.63</v>
      </c>
      <c r="R60" t="s">
        <v>123</v>
      </c>
      <c r="S60">
        <v>0</v>
      </c>
      <c r="U60">
        <v>2</v>
      </c>
      <c r="V60">
        <v>7.24</v>
      </c>
    </row>
    <row r="61" spans="2:22" x14ac:dyDescent="0.2">
      <c r="B61" t="s">
        <v>1515</v>
      </c>
      <c r="C61">
        <v>1007</v>
      </c>
      <c r="D61" t="s">
        <v>1460</v>
      </c>
      <c r="E61">
        <v>3</v>
      </c>
      <c r="F61" t="s">
        <v>201</v>
      </c>
      <c r="G61">
        <v>2.87</v>
      </c>
      <c r="H61">
        <v>0.9</v>
      </c>
      <c r="I61" t="s">
        <v>123</v>
      </c>
      <c r="J61">
        <v>0.3</v>
      </c>
      <c r="K61">
        <v>3.48</v>
      </c>
      <c r="L61">
        <v>10.08</v>
      </c>
      <c r="M61" t="s">
        <v>124</v>
      </c>
      <c r="N61">
        <v>0</v>
      </c>
      <c r="O61" t="s">
        <v>616</v>
      </c>
      <c r="Q61">
        <v>1.25</v>
      </c>
      <c r="R61" t="s">
        <v>123</v>
      </c>
      <c r="S61">
        <v>0</v>
      </c>
      <c r="U61">
        <v>2</v>
      </c>
      <c r="V61">
        <v>11.16</v>
      </c>
    </row>
    <row r="62" spans="2:22" x14ac:dyDescent="0.2">
      <c r="B62" t="s">
        <v>1516</v>
      </c>
      <c r="C62">
        <v>1008</v>
      </c>
      <c r="D62" t="s">
        <v>1460</v>
      </c>
      <c r="E62">
        <v>4</v>
      </c>
      <c r="F62" t="s">
        <v>201</v>
      </c>
      <c r="G62">
        <v>3.82</v>
      </c>
      <c r="H62">
        <v>1.2</v>
      </c>
      <c r="I62" t="s">
        <v>123</v>
      </c>
      <c r="J62">
        <v>0.39</v>
      </c>
      <c r="K62">
        <v>4.57</v>
      </c>
      <c r="L62">
        <v>13.46</v>
      </c>
      <c r="M62" t="s">
        <v>124</v>
      </c>
      <c r="N62">
        <v>0</v>
      </c>
      <c r="O62" t="s">
        <v>616</v>
      </c>
      <c r="Q62">
        <v>2</v>
      </c>
      <c r="R62" t="s">
        <v>123</v>
      </c>
      <c r="S62">
        <v>0</v>
      </c>
      <c r="U62">
        <v>2</v>
      </c>
      <c r="V62">
        <v>15.2</v>
      </c>
    </row>
    <row r="63" spans="2:22" x14ac:dyDescent="0.2">
      <c r="B63" t="s">
        <v>1517</v>
      </c>
      <c r="C63">
        <v>1009</v>
      </c>
      <c r="D63" t="s">
        <v>1460</v>
      </c>
      <c r="E63">
        <v>5</v>
      </c>
      <c r="F63" t="s">
        <v>201</v>
      </c>
      <c r="G63">
        <v>4.78</v>
      </c>
      <c r="H63">
        <v>1.5</v>
      </c>
      <c r="I63" t="s">
        <v>123</v>
      </c>
      <c r="J63">
        <v>0.49</v>
      </c>
      <c r="K63">
        <v>5.77</v>
      </c>
      <c r="L63">
        <v>16.82</v>
      </c>
      <c r="M63" t="s">
        <v>124</v>
      </c>
      <c r="N63">
        <v>0</v>
      </c>
      <c r="O63" t="s">
        <v>616</v>
      </c>
      <c r="Q63">
        <v>2.57</v>
      </c>
      <c r="R63" t="s">
        <v>123</v>
      </c>
      <c r="S63">
        <v>0</v>
      </c>
      <c r="U63">
        <v>2</v>
      </c>
      <c r="V63">
        <v>19.09</v>
      </c>
    </row>
    <row r="64" spans="2:22" x14ac:dyDescent="0.2">
      <c r="B64" t="s">
        <v>1518</v>
      </c>
      <c r="C64">
        <v>1010</v>
      </c>
      <c r="D64" t="s">
        <v>1476</v>
      </c>
      <c r="E64">
        <v>6</v>
      </c>
      <c r="F64" t="s">
        <v>199</v>
      </c>
      <c r="G64">
        <v>2.37</v>
      </c>
      <c r="H64">
        <v>1.2</v>
      </c>
      <c r="I64" t="s">
        <v>123</v>
      </c>
      <c r="J64">
        <v>0.52</v>
      </c>
      <c r="K64">
        <v>2.2200000000000002</v>
      </c>
      <c r="L64">
        <v>11.22</v>
      </c>
      <c r="M64" t="s">
        <v>124</v>
      </c>
      <c r="N64">
        <v>0</v>
      </c>
      <c r="O64" t="s">
        <v>616</v>
      </c>
      <c r="Q64">
        <v>0</v>
      </c>
      <c r="R64" t="s">
        <v>616</v>
      </c>
      <c r="S64">
        <v>0</v>
      </c>
      <c r="U64">
        <v>2</v>
      </c>
      <c r="V64">
        <v>1.9</v>
      </c>
    </row>
    <row r="65" spans="2:32" x14ac:dyDescent="0.2">
      <c r="B65" t="s">
        <v>1519</v>
      </c>
      <c r="C65">
        <v>1011</v>
      </c>
      <c r="D65" t="s">
        <v>1476</v>
      </c>
      <c r="E65">
        <v>8</v>
      </c>
      <c r="F65" t="s">
        <v>199</v>
      </c>
      <c r="G65">
        <v>3.16</v>
      </c>
      <c r="H65">
        <v>1.2</v>
      </c>
      <c r="I65" t="s">
        <v>123</v>
      </c>
      <c r="J65">
        <v>0.66</v>
      </c>
      <c r="K65">
        <v>2.92</v>
      </c>
      <c r="L65">
        <v>15.38</v>
      </c>
      <c r="M65" t="s">
        <v>124</v>
      </c>
      <c r="N65">
        <v>0</v>
      </c>
      <c r="O65" t="s">
        <v>616</v>
      </c>
      <c r="Q65">
        <v>0</v>
      </c>
      <c r="R65" t="s">
        <v>616</v>
      </c>
      <c r="S65">
        <v>0</v>
      </c>
      <c r="U65">
        <v>2</v>
      </c>
      <c r="V65">
        <v>2.5</v>
      </c>
    </row>
    <row r="66" spans="2:32" x14ac:dyDescent="0.2">
      <c r="B66" t="s">
        <v>1520</v>
      </c>
      <c r="C66">
        <v>1012</v>
      </c>
      <c r="D66" t="s">
        <v>1476</v>
      </c>
      <c r="E66">
        <v>12</v>
      </c>
      <c r="F66" t="s">
        <v>199</v>
      </c>
      <c r="G66">
        <v>4.74</v>
      </c>
      <c r="H66">
        <v>1.8</v>
      </c>
      <c r="I66" t="s">
        <v>123</v>
      </c>
      <c r="J66">
        <v>1</v>
      </c>
      <c r="K66">
        <v>4.3</v>
      </c>
      <c r="L66">
        <v>23.58</v>
      </c>
      <c r="M66" t="s">
        <v>124</v>
      </c>
      <c r="N66">
        <v>0</v>
      </c>
      <c r="O66" t="s">
        <v>616</v>
      </c>
      <c r="Q66">
        <v>0</v>
      </c>
      <c r="R66" t="s">
        <v>616</v>
      </c>
      <c r="S66">
        <v>0</v>
      </c>
      <c r="U66">
        <v>2</v>
      </c>
      <c r="V66">
        <v>3.7</v>
      </c>
    </row>
    <row r="67" spans="2:32" x14ac:dyDescent="0.2">
      <c r="B67" t="s">
        <v>1521</v>
      </c>
      <c r="C67">
        <v>1013</v>
      </c>
      <c r="D67" t="s">
        <v>1472</v>
      </c>
      <c r="E67">
        <v>6</v>
      </c>
      <c r="F67" t="s">
        <v>199</v>
      </c>
      <c r="G67">
        <v>1.41</v>
      </c>
      <c r="H67">
        <v>0.6</v>
      </c>
      <c r="I67" t="s">
        <v>123</v>
      </c>
      <c r="J67">
        <v>0.26</v>
      </c>
      <c r="K67">
        <v>1.68</v>
      </c>
      <c r="L67">
        <v>5.61</v>
      </c>
      <c r="M67" t="s">
        <v>124</v>
      </c>
      <c r="N67">
        <v>0</v>
      </c>
      <c r="O67" t="s">
        <v>616</v>
      </c>
      <c r="Q67">
        <v>0</v>
      </c>
      <c r="R67" t="s">
        <v>616</v>
      </c>
      <c r="S67">
        <v>0</v>
      </c>
      <c r="U67">
        <v>2</v>
      </c>
      <c r="V67">
        <v>1.5</v>
      </c>
    </row>
    <row r="68" spans="2:32" x14ac:dyDescent="0.2">
      <c r="B68" t="s">
        <v>1522</v>
      </c>
      <c r="C68">
        <v>1014</v>
      </c>
      <c r="D68" t="s">
        <v>1444</v>
      </c>
      <c r="E68">
        <v>4</v>
      </c>
      <c r="F68" t="s">
        <v>199</v>
      </c>
      <c r="G68">
        <v>5.88</v>
      </c>
      <c r="H68">
        <v>0.38</v>
      </c>
      <c r="I68" t="s">
        <v>123</v>
      </c>
      <c r="J68">
        <v>0.54</v>
      </c>
      <c r="K68">
        <v>0</v>
      </c>
      <c r="L68">
        <v>0</v>
      </c>
      <c r="M68" t="s">
        <v>616</v>
      </c>
      <c r="N68">
        <v>0</v>
      </c>
      <c r="O68" t="s">
        <v>616</v>
      </c>
      <c r="Q68">
        <v>0</v>
      </c>
      <c r="R68" t="s">
        <v>616</v>
      </c>
      <c r="S68">
        <v>0</v>
      </c>
      <c r="W68">
        <v>9.5000000000000001E-2</v>
      </c>
      <c r="AF68">
        <v>2.11</v>
      </c>
    </row>
    <row r="69" spans="2:32" x14ac:dyDescent="0.2">
      <c r="B69" t="s">
        <v>1523</v>
      </c>
      <c r="C69">
        <v>1015</v>
      </c>
      <c r="D69" t="s">
        <v>1444</v>
      </c>
      <c r="E69">
        <v>6</v>
      </c>
      <c r="F69" t="s">
        <v>199</v>
      </c>
      <c r="G69">
        <v>8.82</v>
      </c>
      <c r="H69">
        <v>0.75</v>
      </c>
      <c r="I69" t="s">
        <v>123</v>
      </c>
      <c r="J69">
        <v>0.8</v>
      </c>
      <c r="K69">
        <v>0</v>
      </c>
      <c r="L69">
        <v>0</v>
      </c>
      <c r="M69" t="s">
        <v>616</v>
      </c>
      <c r="N69">
        <v>0</v>
      </c>
      <c r="O69" t="s">
        <v>616</v>
      </c>
      <c r="Q69">
        <v>0</v>
      </c>
      <c r="R69" t="s">
        <v>616</v>
      </c>
      <c r="S69">
        <v>0</v>
      </c>
      <c r="W69">
        <v>0.14199999999999999</v>
      </c>
      <c r="AF69">
        <v>3.17</v>
      </c>
    </row>
    <row r="70" spans="2:32" x14ac:dyDescent="0.2">
      <c r="B70" t="s">
        <v>1524</v>
      </c>
      <c r="C70">
        <v>1016</v>
      </c>
      <c r="D70" t="s">
        <v>1444</v>
      </c>
      <c r="E70">
        <v>8</v>
      </c>
      <c r="F70" t="s">
        <v>199</v>
      </c>
      <c r="G70">
        <v>11.76</v>
      </c>
      <c r="H70">
        <v>0.75</v>
      </c>
      <c r="I70" t="s">
        <v>123</v>
      </c>
      <c r="J70">
        <v>1.08</v>
      </c>
      <c r="K70">
        <v>0</v>
      </c>
      <c r="L70">
        <v>0</v>
      </c>
      <c r="M70" t="s">
        <v>616</v>
      </c>
      <c r="N70">
        <v>0</v>
      </c>
      <c r="O70" t="s">
        <v>616</v>
      </c>
      <c r="Q70">
        <v>0</v>
      </c>
      <c r="R70" t="s">
        <v>616</v>
      </c>
      <c r="S70">
        <v>0</v>
      </c>
      <c r="W70">
        <v>0.191</v>
      </c>
      <c r="AF70">
        <v>4.2300000000000004</v>
      </c>
    </row>
    <row r="71" spans="2:32" x14ac:dyDescent="0.2">
      <c r="B71" t="s">
        <v>1525</v>
      </c>
      <c r="C71">
        <v>1017</v>
      </c>
      <c r="D71" t="s">
        <v>1444</v>
      </c>
      <c r="E71">
        <v>12</v>
      </c>
      <c r="F71" t="s">
        <v>199</v>
      </c>
      <c r="G71">
        <v>17.64</v>
      </c>
      <c r="H71">
        <v>1.5</v>
      </c>
      <c r="I71" t="s">
        <v>123</v>
      </c>
      <c r="J71">
        <v>1.62</v>
      </c>
      <c r="K71">
        <v>0</v>
      </c>
      <c r="L71">
        <v>0</v>
      </c>
      <c r="M71" t="s">
        <v>616</v>
      </c>
      <c r="N71">
        <v>0</v>
      </c>
      <c r="O71" t="s">
        <v>616</v>
      </c>
      <c r="Q71">
        <v>0</v>
      </c>
      <c r="R71" t="s">
        <v>616</v>
      </c>
      <c r="S71">
        <v>0</v>
      </c>
      <c r="W71">
        <v>0.28399999999999997</v>
      </c>
      <c r="AF71">
        <v>6.34</v>
      </c>
    </row>
    <row r="72" spans="2:32" x14ac:dyDescent="0.2">
      <c r="B72" t="s">
        <v>1526</v>
      </c>
      <c r="C72">
        <v>1018</v>
      </c>
      <c r="D72" t="s">
        <v>1440</v>
      </c>
      <c r="E72">
        <v>4</v>
      </c>
      <c r="F72" t="s">
        <v>199</v>
      </c>
      <c r="G72">
        <v>4.782</v>
      </c>
      <c r="H72">
        <v>0.33</v>
      </c>
      <c r="I72" t="s">
        <v>123</v>
      </c>
      <c r="J72">
        <v>0.26</v>
      </c>
      <c r="K72">
        <v>0</v>
      </c>
      <c r="L72">
        <v>0</v>
      </c>
      <c r="M72" t="s">
        <v>616</v>
      </c>
      <c r="N72">
        <v>0</v>
      </c>
      <c r="O72" t="s">
        <v>616</v>
      </c>
      <c r="Q72">
        <v>0</v>
      </c>
      <c r="R72" t="s">
        <v>616</v>
      </c>
      <c r="S72">
        <v>0</v>
      </c>
      <c r="W72">
        <v>1.3</v>
      </c>
      <c r="AF72">
        <v>0.94</v>
      </c>
    </row>
    <row r="73" spans="2:32" x14ac:dyDescent="0.2">
      <c r="B73" t="s">
        <v>1527</v>
      </c>
      <c r="C73">
        <v>1019</v>
      </c>
      <c r="D73" t="s">
        <v>1440</v>
      </c>
      <c r="E73">
        <v>6</v>
      </c>
      <c r="F73" t="s">
        <v>199</v>
      </c>
      <c r="G73">
        <v>7.173</v>
      </c>
      <c r="H73">
        <v>0.67</v>
      </c>
      <c r="I73" t="s">
        <v>123</v>
      </c>
      <c r="J73">
        <v>0.38</v>
      </c>
      <c r="K73">
        <v>0</v>
      </c>
      <c r="L73">
        <v>0</v>
      </c>
      <c r="M73" t="s">
        <v>616</v>
      </c>
      <c r="N73">
        <v>0</v>
      </c>
      <c r="O73" t="s">
        <v>616</v>
      </c>
      <c r="Q73">
        <v>0</v>
      </c>
      <c r="R73" t="s">
        <v>616</v>
      </c>
      <c r="S73">
        <v>0</v>
      </c>
      <c r="W73">
        <v>1.93</v>
      </c>
      <c r="AF73">
        <v>1.41</v>
      </c>
    </row>
    <row r="74" spans="2:32" x14ac:dyDescent="0.2">
      <c r="B74" t="s">
        <v>1528</v>
      </c>
      <c r="C74">
        <v>1020</v>
      </c>
      <c r="D74" t="s">
        <v>1440</v>
      </c>
      <c r="E74">
        <v>8</v>
      </c>
      <c r="F74" t="s">
        <v>199</v>
      </c>
      <c r="G74">
        <v>9.5640000000000001</v>
      </c>
      <c r="H74">
        <v>0.67</v>
      </c>
      <c r="I74" t="s">
        <v>123</v>
      </c>
      <c r="J74">
        <v>0.52</v>
      </c>
      <c r="K74">
        <v>0</v>
      </c>
      <c r="L74">
        <v>0</v>
      </c>
      <c r="M74" t="s">
        <v>616</v>
      </c>
      <c r="N74">
        <v>0</v>
      </c>
      <c r="O74" t="s">
        <v>616</v>
      </c>
      <c r="Q74">
        <v>0</v>
      </c>
      <c r="R74" t="s">
        <v>616</v>
      </c>
      <c r="S74">
        <v>0</v>
      </c>
      <c r="W74">
        <v>2.6</v>
      </c>
      <c r="AF74">
        <v>1.87</v>
      </c>
    </row>
    <row r="75" spans="2:32" x14ac:dyDescent="0.2">
      <c r="B75" t="s">
        <v>1529</v>
      </c>
      <c r="C75">
        <v>1021</v>
      </c>
      <c r="D75" t="s">
        <v>1440</v>
      </c>
      <c r="E75">
        <v>12</v>
      </c>
      <c r="F75" t="s">
        <v>199</v>
      </c>
      <c r="G75">
        <v>14.346</v>
      </c>
      <c r="H75">
        <v>1.34</v>
      </c>
      <c r="I75" t="s">
        <v>123</v>
      </c>
      <c r="J75">
        <v>0.78</v>
      </c>
      <c r="K75">
        <v>0</v>
      </c>
      <c r="L75">
        <v>0</v>
      </c>
      <c r="M75" t="s">
        <v>616</v>
      </c>
      <c r="N75">
        <v>0</v>
      </c>
      <c r="O75" t="s">
        <v>616</v>
      </c>
      <c r="Q75">
        <v>0</v>
      </c>
      <c r="R75" t="s">
        <v>616</v>
      </c>
      <c r="S75">
        <v>0</v>
      </c>
      <c r="W75">
        <v>3.86</v>
      </c>
      <c r="AF75">
        <v>2.81</v>
      </c>
    </row>
    <row r="76" spans="2:32" x14ac:dyDescent="0.2">
      <c r="B76" t="s">
        <v>1530</v>
      </c>
      <c r="C76">
        <v>1022</v>
      </c>
      <c r="D76" t="s">
        <v>1438</v>
      </c>
      <c r="E76">
        <v>4</v>
      </c>
      <c r="F76" t="s">
        <v>199</v>
      </c>
      <c r="G76">
        <v>1.24</v>
      </c>
      <c r="H76">
        <v>0.14000000000000001</v>
      </c>
      <c r="I76" t="s">
        <v>123</v>
      </c>
      <c r="J76">
        <v>0.26</v>
      </c>
      <c r="K76">
        <v>0</v>
      </c>
      <c r="L76">
        <v>0</v>
      </c>
      <c r="M76" t="s">
        <v>616</v>
      </c>
      <c r="N76">
        <v>0</v>
      </c>
      <c r="O76" t="s">
        <v>616</v>
      </c>
      <c r="Q76">
        <v>0</v>
      </c>
      <c r="R76" t="s">
        <v>616</v>
      </c>
      <c r="S76">
        <v>0</v>
      </c>
      <c r="W76">
        <v>1.3</v>
      </c>
      <c r="AF76">
        <v>0.217</v>
      </c>
    </row>
    <row r="77" spans="2:32" x14ac:dyDescent="0.2">
      <c r="B77" t="s">
        <v>1531</v>
      </c>
      <c r="C77">
        <v>1023</v>
      </c>
      <c r="D77" t="s">
        <v>1438</v>
      </c>
      <c r="E77">
        <v>6</v>
      </c>
      <c r="F77" t="s">
        <v>199</v>
      </c>
      <c r="G77">
        <v>1.86</v>
      </c>
      <c r="H77">
        <v>0.28000000000000003</v>
      </c>
      <c r="I77" t="s">
        <v>123</v>
      </c>
      <c r="J77">
        <v>0.47</v>
      </c>
      <c r="K77">
        <v>0</v>
      </c>
      <c r="L77">
        <v>0</v>
      </c>
      <c r="M77" t="s">
        <v>616</v>
      </c>
      <c r="N77">
        <v>0</v>
      </c>
      <c r="O77" t="s">
        <v>616</v>
      </c>
      <c r="Q77">
        <v>0</v>
      </c>
      <c r="R77" t="s">
        <v>616</v>
      </c>
      <c r="S77">
        <v>0</v>
      </c>
      <c r="W77">
        <v>1.93</v>
      </c>
      <c r="AF77">
        <v>0.32500000000000001</v>
      </c>
    </row>
    <row r="78" spans="2:32" x14ac:dyDescent="0.2">
      <c r="B78" t="s">
        <v>1532</v>
      </c>
      <c r="C78">
        <v>1024</v>
      </c>
      <c r="D78" t="s">
        <v>1438</v>
      </c>
      <c r="E78">
        <v>8</v>
      </c>
      <c r="F78" t="s">
        <v>199</v>
      </c>
      <c r="G78">
        <v>2.48</v>
      </c>
      <c r="H78">
        <v>0.28000000000000003</v>
      </c>
      <c r="I78" t="s">
        <v>123</v>
      </c>
      <c r="J78">
        <v>0.47</v>
      </c>
      <c r="K78">
        <v>0</v>
      </c>
      <c r="L78">
        <v>0</v>
      </c>
      <c r="M78" t="s">
        <v>616</v>
      </c>
      <c r="N78">
        <v>0</v>
      </c>
      <c r="O78" t="s">
        <v>616</v>
      </c>
      <c r="Q78">
        <v>0</v>
      </c>
      <c r="R78" t="s">
        <v>616</v>
      </c>
      <c r="S78">
        <v>0</v>
      </c>
      <c r="W78">
        <v>2.6</v>
      </c>
      <c r="AF78">
        <v>0.434</v>
      </c>
    </row>
    <row r="79" spans="2:32" x14ac:dyDescent="0.2">
      <c r="B79" t="s">
        <v>1533</v>
      </c>
      <c r="C79">
        <v>1025</v>
      </c>
      <c r="D79" t="s">
        <v>1438</v>
      </c>
      <c r="E79">
        <v>12</v>
      </c>
      <c r="F79" t="s">
        <v>199</v>
      </c>
      <c r="G79">
        <v>3.72</v>
      </c>
      <c r="H79">
        <v>0.56000000000000005</v>
      </c>
      <c r="I79" t="s">
        <v>123</v>
      </c>
      <c r="J79">
        <v>0.68</v>
      </c>
      <c r="K79">
        <v>0</v>
      </c>
      <c r="L79">
        <v>0</v>
      </c>
      <c r="M79" t="s">
        <v>616</v>
      </c>
      <c r="N79">
        <v>0</v>
      </c>
      <c r="O79" t="s">
        <v>616</v>
      </c>
      <c r="Q79">
        <v>0</v>
      </c>
      <c r="R79" t="s">
        <v>616</v>
      </c>
      <c r="S79">
        <v>0</v>
      </c>
      <c r="W79">
        <v>3.86</v>
      </c>
      <c r="AF79">
        <v>0.65</v>
      </c>
    </row>
    <row r="80" spans="2:32" x14ac:dyDescent="0.2">
      <c r="B80" t="s">
        <v>1534</v>
      </c>
      <c r="C80">
        <v>1026</v>
      </c>
      <c r="D80" t="s">
        <v>1436</v>
      </c>
      <c r="E80">
        <v>8</v>
      </c>
      <c r="F80" t="s">
        <v>199</v>
      </c>
      <c r="G80">
        <v>1.556</v>
      </c>
      <c r="H80">
        <v>0.3</v>
      </c>
      <c r="I80" t="s">
        <v>123</v>
      </c>
      <c r="J80">
        <v>0.4</v>
      </c>
      <c r="K80">
        <v>0</v>
      </c>
      <c r="L80">
        <v>0</v>
      </c>
      <c r="M80" t="s">
        <v>616</v>
      </c>
      <c r="N80">
        <v>0</v>
      </c>
      <c r="O80" t="s">
        <v>616</v>
      </c>
      <c r="Q80">
        <v>0</v>
      </c>
      <c r="R80" t="s">
        <v>616</v>
      </c>
      <c r="S80">
        <v>0</v>
      </c>
      <c r="W80">
        <v>2.6</v>
      </c>
      <c r="AF80">
        <v>0.33500000000000002</v>
      </c>
    </row>
    <row r="81" spans="2:32" x14ac:dyDescent="0.2">
      <c r="B81" t="s">
        <v>1535</v>
      </c>
      <c r="C81">
        <v>1027</v>
      </c>
      <c r="D81" t="s">
        <v>1436</v>
      </c>
      <c r="E81">
        <v>12</v>
      </c>
      <c r="F81" t="s">
        <v>199</v>
      </c>
      <c r="G81">
        <v>2.3340000000000001</v>
      </c>
      <c r="H81">
        <v>0.61</v>
      </c>
      <c r="I81" t="s">
        <v>123</v>
      </c>
      <c r="J81">
        <v>0.57999999999999996</v>
      </c>
      <c r="K81">
        <v>0</v>
      </c>
      <c r="L81">
        <v>0</v>
      </c>
      <c r="M81" t="s">
        <v>616</v>
      </c>
      <c r="N81">
        <v>0</v>
      </c>
      <c r="O81" t="s">
        <v>616</v>
      </c>
      <c r="Q81">
        <v>0</v>
      </c>
      <c r="R81" t="s">
        <v>616</v>
      </c>
      <c r="S81">
        <v>0</v>
      </c>
      <c r="W81">
        <v>3.86</v>
      </c>
      <c r="AF81">
        <v>0.5</v>
      </c>
    </row>
    <row r="82" spans="2:32" x14ac:dyDescent="0.2">
      <c r="B82" t="s">
        <v>1536</v>
      </c>
      <c r="C82">
        <v>1028</v>
      </c>
      <c r="D82" t="s">
        <v>1474</v>
      </c>
      <c r="E82">
        <v>6</v>
      </c>
      <c r="F82" t="s">
        <v>199</v>
      </c>
      <c r="G82">
        <v>1.26</v>
      </c>
      <c r="H82">
        <v>1.2</v>
      </c>
      <c r="I82" t="s">
        <v>123</v>
      </c>
      <c r="J82">
        <v>0.52</v>
      </c>
      <c r="K82">
        <v>2.2200000000000002</v>
      </c>
      <c r="L82">
        <v>3.74</v>
      </c>
      <c r="M82" t="s">
        <v>124</v>
      </c>
      <c r="N82">
        <v>0</v>
      </c>
      <c r="O82" t="s">
        <v>616</v>
      </c>
      <c r="Q82">
        <v>0</v>
      </c>
      <c r="R82" t="s">
        <v>616</v>
      </c>
      <c r="S82">
        <v>0</v>
      </c>
      <c r="W82">
        <v>0.75</v>
      </c>
      <c r="AF82">
        <v>0.91</v>
      </c>
    </row>
    <row r="83" spans="2:32" x14ac:dyDescent="0.2">
      <c r="B83" t="s">
        <v>1537</v>
      </c>
      <c r="C83">
        <v>1029</v>
      </c>
      <c r="D83" t="s">
        <v>1474</v>
      </c>
      <c r="E83">
        <v>8</v>
      </c>
      <c r="F83" t="s">
        <v>199</v>
      </c>
      <c r="G83">
        <v>1.68</v>
      </c>
      <c r="H83">
        <v>1.2</v>
      </c>
      <c r="I83" t="s">
        <v>123</v>
      </c>
      <c r="J83">
        <v>0.66</v>
      </c>
      <c r="K83">
        <v>2.92</v>
      </c>
      <c r="L83">
        <v>5.13</v>
      </c>
      <c r="M83" t="s">
        <v>124</v>
      </c>
      <c r="N83">
        <v>0</v>
      </c>
      <c r="O83" t="s">
        <v>616</v>
      </c>
      <c r="Q83">
        <v>0</v>
      </c>
      <c r="R83" t="s">
        <v>616</v>
      </c>
      <c r="S83">
        <v>0</v>
      </c>
      <c r="W83">
        <v>1</v>
      </c>
      <c r="AF83">
        <v>1.21</v>
      </c>
    </row>
    <row r="84" spans="2:32" x14ac:dyDescent="0.2">
      <c r="B84" t="s">
        <v>1538</v>
      </c>
      <c r="C84">
        <v>1030</v>
      </c>
      <c r="D84" t="s">
        <v>1474</v>
      </c>
      <c r="E84">
        <v>12</v>
      </c>
      <c r="F84" t="s">
        <v>199</v>
      </c>
      <c r="G84">
        <v>2.52</v>
      </c>
      <c r="H84">
        <v>1.8</v>
      </c>
      <c r="I84" t="s">
        <v>123</v>
      </c>
      <c r="J84">
        <v>1</v>
      </c>
      <c r="K84">
        <v>4.3</v>
      </c>
      <c r="L84">
        <v>7.86</v>
      </c>
      <c r="M84" t="s">
        <v>124</v>
      </c>
      <c r="N84">
        <v>0</v>
      </c>
      <c r="O84" t="s">
        <v>616</v>
      </c>
      <c r="Q84">
        <v>0</v>
      </c>
      <c r="R84" t="s">
        <v>616</v>
      </c>
      <c r="S84">
        <v>0</v>
      </c>
      <c r="W84">
        <v>1.5</v>
      </c>
      <c r="AF84">
        <v>1.81</v>
      </c>
    </row>
    <row r="85" spans="2:32" x14ac:dyDescent="0.2">
      <c r="B85" t="s">
        <v>1539</v>
      </c>
      <c r="C85">
        <v>1031</v>
      </c>
      <c r="D85" t="s">
        <v>1470</v>
      </c>
      <c r="E85">
        <v>6</v>
      </c>
      <c r="F85" t="s">
        <v>199</v>
      </c>
      <c r="G85">
        <v>0.91</v>
      </c>
      <c r="H85">
        <v>0.6</v>
      </c>
      <c r="I85" t="s">
        <v>123</v>
      </c>
      <c r="J85">
        <v>0.26</v>
      </c>
      <c r="K85">
        <v>1.65</v>
      </c>
      <c r="L85">
        <v>1.87</v>
      </c>
      <c r="M85" t="s">
        <v>124</v>
      </c>
      <c r="N85">
        <v>0</v>
      </c>
      <c r="O85" t="s">
        <v>616</v>
      </c>
      <c r="Q85">
        <v>0</v>
      </c>
      <c r="R85" t="s">
        <v>616</v>
      </c>
      <c r="S85">
        <v>0</v>
      </c>
      <c r="W85">
        <v>0.4</v>
      </c>
      <c r="AF85">
        <v>0.65</v>
      </c>
    </row>
    <row r="86" spans="2:32" x14ac:dyDescent="0.2">
      <c r="B86" t="s">
        <v>1540</v>
      </c>
      <c r="C86">
        <v>1032</v>
      </c>
      <c r="D86" t="s">
        <v>1454</v>
      </c>
      <c r="E86">
        <v>8</v>
      </c>
      <c r="F86" t="s">
        <v>199</v>
      </c>
      <c r="G86">
        <v>10.055999999999999</v>
      </c>
      <c r="H86">
        <v>1.2</v>
      </c>
      <c r="I86" t="s">
        <v>123</v>
      </c>
      <c r="J86">
        <v>0.64</v>
      </c>
      <c r="K86">
        <v>0</v>
      </c>
      <c r="L86">
        <v>0</v>
      </c>
      <c r="M86" t="s">
        <v>616</v>
      </c>
      <c r="N86">
        <v>0</v>
      </c>
      <c r="O86" t="s">
        <v>616</v>
      </c>
      <c r="Q86">
        <v>0</v>
      </c>
      <c r="R86" t="s">
        <v>616</v>
      </c>
      <c r="S86">
        <v>0</v>
      </c>
      <c r="W86">
        <v>3.81</v>
      </c>
      <c r="AF86">
        <v>6</v>
      </c>
    </row>
    <row r="87" spans="2:32" x14ac:dyDescent="0.2">
      <c r="B87" t="s">
        <v>1541</v>
      </c>
      <c r="C87">
        <v>1033</v>
      </c>
      <c r="D87" t="s">
        <v>1454</v>
      </c>
      <c r="E87">
        <v>12</v>
      </c>
      <c r="F87" t="s">
        <v>199</v>
      </c>
      <c r="G87">
        <v>15.084</v>
      </c>
      <c r="H87">
        <v>1.8</v>
      </c>
      <c r="I87" t="s">
        <v>123</v>
      </c>
      <c r="J87">
        <v>0.96</v>
      </c>
      <c r="K87">
        <v>0</v>
      </c>
      <c r="L87">
        <v>0</v>
      </c>
      <c r="M87" t="s">
        <v>616</v>
      </c>
      <c r="N87">
        <v>0</v>
      </c>
      <c r="O87" t="s">
        <v>616</v>
      </c>
      <c r="Q87">
        <v>0</v>
      </c>
      <c r="R87" t="s">
        <v>616</v>
      </c>
      <c r="S87">
        <v>0</v>
      </c>
      <c r="W87">
        <v>4.66</v>
      </c>
      <c r="AF87">
        <v>9</v>
      </c>
    </row>
    <row r="88" spans="2:32" x14ac:dyDescent="0.2">
      <c r="B88" t="s">
        <v>1542</v>
      </c>
      <c r="C88">
        <v>1034</v>
      </c>
      <c r="D88" t="s">
        <v>1434</v>
      </c>
      <c r="E88">
        <v>4</v>
      </c>
      <c r="F88" t="s">
        <v>199</v>
      </c>
      <c r="G88">
        <v>2.8359999999999999</v>
      </c>
      <c r="H88">
        <v>0.6</v>
      </c>
      <c r="I88" t="s">
        <v>123</v>
      </c>
      <c r="J88">
        <v>0.34</v>
      </c>
      <c r="K88">
        <v>0</v>
      </c>
      <c r="L88">
        <v>0</v>
      </c>
      <c r="M88" t="s">
        <v>616</v>
      </c>
      <c r="N88">
        <v>0</v>
      </c>
      <c r="O88" t="s">
        <v>616</v>
      </c>
      <c r="Q88">
        <v>0</v>
      </c>
      <c r="R88" t="s">
        <v>616</v>
      </c>
      <c r="S88">
        <v>0</v>
      </c>
      <c r="W88">
        <v>1.44</v>
      </c>
      <c r="AF88">
        <v>1.4</v>
      </c>
    </row>
    <row r="89" spans="2:32" x14ac:dyDescent="0.2">
      <c r="B89" t="s">
        <v>1543</v>
      </c>
      <c r="C89">
        <v>1035</v>
      </c>
      <c r="D89" t="s">
        <v>1434</v>
      </c>
      <c r="E89">
        <v>6</v>
      </c>
      <c r="F89" t="s">
        <v>199</v>
      </c>
      <c r="G89">
        <v>4.2539999999999996</v>
      </c>
      <c r="H89">
        <v>1.2</v>
      </c>
      <c r="I89" t="s">
        <v>123</v>
      </c>
      <c r="J89">
        <v>0.56000000000000005</v>
      </c>
      <c r="K89">
        <v>0</v>
      </c>
      <c r="L89">
        <v>0</v>
      </c>
      <c r="M89" t="s">
        <v>616</v>
      </c>
      <c r="N89">
        <v>0</v>
      </c>
      <c r="O89" t="s">
        <v>616</v>
      </c>
      <c r="Q89">
        <v>0</v>
      </c>
      <c r="R89" t="s">
        <v>616</v>
      </c>
      <c r="S89">
        <v>0</v>
      </c>
      <c r="W89">
        <v>2.16</v>
      </c>
      <c r="AF89">
        <v>2.1</v>
      </c>
    </row>
    <row r="90" spans="2:32" x14ac:dyDescent="0.2">
      <c r="B90" t="s">
        <v>1544</v>
      </c>
      <c r="C90">
        <v>1036</v>
      </c>
      <c r="D90" t="s">
        <v>1434</v>
      </c>
      <c r="E90">
        <v>8</v>
      </c>
      <c r="F90" t="s">
        <v>199</v>
      </c>
      <c r="G90">
        <v>5.6719999999999997</v>
      </c>
      <c r="H90">
        <v>1.2</v>
      </c>
      <c r="I90" t="s">
        <v>123</v>
      </c>
      <c r="J90">
        <v>0.68</v>
      </c>
      <c r="K90">
        <v>0</v>
      </c>
      <c r="L90">
        <v>0</v>
      </c>
      <c r="M90" t="s">
        <v>616</v>
      </c>
      <c r="N90">
        <v>0</v>
      </c>
      <c r="O90" t="s">
        <v>616</v>
      </c>
      <c r="Q90">
        <v>0</v>
      </c>
      <c r="R90" t="s">
        <v>616</v>
      </c>
      <c r="S90">
        <v>0</v>
      </c>
      <c r="W90">
        <v>2.88</v>
      </c>
      <c r="AF90">
        <v>2.8</v>
      </c>
    </row>
    <row r="91" spans="2:32" x14ac:dyDescent="0.2">
      <c r="B91" t="s">
        <v>1545</v>
      </c>
      <c r="C91">
        <v>1037</v>
      </c>
      <c r="D91" t="s">
        <v>1434</v>
      </c>
      <c r="E91">
        <v>12</v>
      </c>
      <c r="F91" t="s">
        <v>199</v>
      </c>
      <c r="G91">
        <v>8.5079999999999991</v>
      </c>
      <c r="H91">
        <v>1.8</v>
      </c>
      <c r="I91" t="s">
        <v>123</v>
      </c>
      <c r="J91">
        <v>1.02</v>
      </c>
      <c r="K91">
        <v>0</v>
      </c>
      <c r="L91">
        <v>0</v>
      </c>
      <c r="M91" t="s">
        <v>616</v>
      </c>
      <c r="N91">
        <v>0</v>
      </c>
      <c r="O91" t="s">
        <v>616</v>
      </c>
      <c r="Q91">
        <v>0</v>
      </c>
      <c r="R91" t="s">
        <v>616</v>
      </c>
      <c r="S91">
        <v>0</v>
      </c>
      <c r="W91">
        <v>4.32</v>
      </c>
      <c r="AF91">
        <v>4.2</v>
      </c>
    </row>
    <row r="92" spans="2:32" x14ac:dyDescent="0.2">
      <c r="B92" t="s">
        <v>1546</v>
      </c>
      <c r="C92">
        <v>1038</v>
      </c>
      <c r="D92" t="s">
        <v>1442</v>
      </c>
      <c r="E92">
        <v>4</v>
      </c>
      <c r="F92" t="s">
        <v>199</v>
      </c>
      <c r="G92">
        <v>4.7329999999999997</v>
      </c>
      <c r="H92">
        <v>0.33</v>
      </c>
      <c r="I92" t="s">
        <v>123</v>
      </c>
      <c r="J92">
        <v>0.26</v>
      </c>
      <c r="K92">
        <v>0</v>
      </c>
      <c r="L92">
        <v>0</v>
      </c>
      <c r="M92" t="s">
        <v>616</v>
      </c>
      <c r="N92">
        <v>0</v>
      </c>
      <c r="O92" t="s">
        <v>616</v>
      </c>
      <c r="Q92">
        <v>0</v>
      </c>
      <c r="R92" t="s">
        <v>616</v>
      </c>
      <c r="S92">
        <v>0</v>
      </c>
      <c r="W92">
        <v>2.6</v>
      </c>
      <c r="AF92">
        <v>0.92800000000000005</v>
      </c>
    </row>
    <row r="93" spans="2:32" x14ac:dyDescent="0.2">
      <c r="B93" t="s">
        <v>1547</v>
      </c>
      <c r="C93">
        <v>1039</v>
      </c>
      <c r="D93" t="s">
        <v>1442</v>
      </c>
      <c r="E93">
        <v>6</v>
      </c>
      <c r="F93" t="s">
        <v>199</v>
      </c>
      <c r="G93">
        <v>7.1</v>
      </c>
      <c r="H93">
        <v>0.66</v>
      </c>
      <c r="I93" t="s">
        <v>123</v>
      </c>
      <c r="J93">
        <v>0.38</v>
      </c>
      <c r="K93">
        <v>0</v>
      </c>
      <c r="L93">
        <v>0</v>
      </c>
      <c r="M93" t="s">
        <v>616</v>
      </c>
      <c r="N93">
        <v>0</v>
      </c>
      <c r="O93" t="s">
        <v>616</v>
      </c>
      <c r="Q93">
        <v>0</v>
      </c>
      <c r="R93" t="s">
        <v>616</v>
      </c>
      <c r="S93">
        <v>0</v>
      </c>
      <c r="W93">
        <v>3.86</v>
      </c>
      <c r="AF93">
        <v>1.39</v>
      </c>
    </row>
    <row r="94" spans="2:32" x14ac:dyDescent="0.2">
      <c r="B94" t="s">
        <v>1548</v>
      </c>
      <c r="C94">
        <v>1040</v>
      </c>
      <c r="D94" t="s">
        <v>1442</v>
      </c>
      <c r="E94">
        <v>8</v>
      </c>
      <c r="F94" t="s">
        <v>199</v>
      </c>
      <c r="G94">
        <v>9.4670000000000005</v>
      </c>
      <c r="H94">
        <v>0.66</v>
      </c>
      <c r="I94" t="s">
        <v>123</v>
      </c>
      <c r="J94">
        <v>0.52</v>
      </c>
      <c r="K94">
        <v>0</v>
      </c>
      <c r="L94">
        <v>0</v>
      </c>
      <c r="M94" t="s">
        <v>616</v>
      </c>
      <c r="N94">
        <v>0</v>
      </c>
      <c r="O94" t="s">
        <v>616</v>
      </c>
      <c r="Q94">
        <v>0</v>
      </c>
      <c r="R94" t="s">
        <v>616</v>
      </c>
      <c r="S94">
        <v>0</v>
      </c>
      <c r="W94">
        <v>5.2</v>
      </c>
      <c r="AF94">
        <v>1.857</v>
      </c>
    </row>
    <row r="95" spans="2:32" x14ac:dyDescent="0.2">
      <c r="B95" t="s">
        <v>1549</v>
      </c>
      <c r="C95">
        <v>1041</v>
      </c>
      <c r="D95" t="s">
        <v>1442</v>
      </c>
      <c r="E95">
        <v>12</v>
      </c>
      <c r="F95" t="s">
        <v>199</v>
      </c>
      <c r="G95">
        <v>14.2</v>
      </c>
      <c r="H95">
        <v>1.32</v>
      </c>
      <c r="I95" t="s">
        <v>123</v>
      </c>
      <c r="J95">
        <v>0.78</v>
      </c>
      <c r="K95">
        <v>0</v>
      </c>
      <c r="L95">
        <v>0</v>
      </c>
      <c r="M95" t="s">
        <v>616</v>
      </c>
      <c r="N95">
        <v>0</v>
      </c>
      <c r="O95" t="s">
        <v>616</v>
      </c>
      <c r="Q95">
        <v>0</v>
      </c>
      <c r="R95" t="s">
        <v>616</v>
      </c>
      <c r="S95">
        <v>0</v>
      </c>
      <c r="W95">
        <v>7.72</v>
      </c>
      <c r="AF95">
        <v>2.7850000000000001</v>
      </c>
    </row>
    <row r="96" spans="2:32" x14ac:dyDescent="0.2">
      <c r="B96" t="s">
        <v>1550</v>
      </c>
      <c r="C96">
        <v>1042</v>
      </c>
      <c r="D96" t="s">
        <v>1450</v>
      </c>
      <c r="E96">
        <v>4</v>
      </c>
      <c r="F96" t="s">
        <v>199</v>
      </c>
      <c r="G96">
        <v>3.6960000000000002</v>
      </c>
      <c r="H96">
        <v>0.6</v>
      </c>
      <c r="I96" t="s">
        <v>123</v>
      </c>
      <c r="J96">
        <v>0.17</v>
      </c>
      <c r="K96">
        <v>0</v>
      </c>
      <c r="L96">
        <v>0</v>
      </c>
      <c r="M96" t="s">
        <v>616</v>
      </c>
      <c r="N96">
        <v>0</v>
      </c>
      <c r="O96" t="s">
        <v>616</v>
      </c>
      <c r="Q96">
        <v>0</v>
      </c>
      <c r="R96" t="s">
        <v>616</v>
      </c>
      <c r="S96">
        <v>0</v>
      </c>
      <c r="W96">
        <v>1.44</v>
      </c>
      <c r="AF96">
        <v>2.12</v>
      </c>
    </row>
    <row r="97" spans="2:32" x14ac:dyDescent="0.2">
      <c r="B97" t="s">
        <v>1551</v>
      </c>
      <c r="C97">
        <v>1043</v>
      </c>
      <c r="D97" t="s">
        <v>1450</v>
      </c>
      <c r="E97">
        <v>6</v>
      </c>
      <c r="F97" t="s">
        <v>199</v>
      </c>
      <c r="G97">
        <v>5.5439999999999996</v>
      </c>
      <c r="H97">
        <v>0.9</v>
      </c>
      <c r="I97" t="s">
        <v>123</v>
      </c>
      <c r="J97">
        <v>0.28000000000000003</v>
      </c>
      <c r="K97">
        <v>0</v>
      </c>
      <c r="L97">
        <v>0</v>
      </c>
      <c r="M97" t="s">
        <v>616</v>
      </c>
      <c r="N97">
        <v>0</v>
      </c>
      <c r="O97" t="s">
        <v>616</v>
      </c>
      <c r="Q97">
        <v>0</v>
      </c>
      <c r="R97" t="s">
        <v>616</v>
      </c>
      <c r="S97">
        <v>0</v>
      </c>
      <c r="W97">
        <v>2.16</v>
      </c>
      <c r="AF97">
        <v>3.18</v>
      </c>
    </row>
    <row r="98" spans="2:32" x14ac:dyDescent="0.2">
      <c r="B98" t="s">
        <v>1552</v>
      </c>
      <c r="C98">
        <v>1044</v>
      </c>
      <c r="D98" t="s">
        <v>1450</v>
      </c>
      <c r="E98">
        <v>8</v>
      </c>
      <c r="F98" t="s">
        <v>199</v>
      </c>
      <c r="G98">
        <v>7.3920000000000003</v>
      </c>
      <c r="H98">
        <v>0.9</v>
      </c>
      <c r="I98" t="s">
        <v>123</v>
      </c>
      <c r="J98">
        <v>0.34</v>
      </c>
      <c r="K98">
        <v>0</v>
      </c>
      <c r="L98">
        <v>0</v>
      </c>
      <c r="M98" t="s">
        <v>616</v>
      </c>
      <c r="N98">
        <v>0</v>
      </c>
      <c r="O98" t="s">
        <v>616</v>
      </c>
      <c r="Q98">
        <v>0</v>
      </c>
      <c r="R98" t="s">
        <v>616</v>
      </c>
      <c r="S98">
        <v>0</v>
      </c>
      <c r="W98">
        <v>2.88</v>
      </c>
      <c r="AF98">
        <v>4.24</v>
      </c>
    </row>
    <row r="99" spans="2:32" x14ac:dyDescent="0.2">
      <c r="B99" t="s">
        <v>1553</v>
      </c>
      <c r="C99">
        <v>1045</v>
      </c>
      <c r="D99" t="s">
        <v>1450</v>
      </c>
      <c r="E99">
        <v>12</v>
      </c>
      <c r="F99" t="s">
        <v>199</v>
      </c>
      <c r="G99">
        <v>11.087999999999999</v>
      </c>
      <c r="H99">
        <v>1.2</v>
      </c>
      <c r="I99" t="s">
        <v>123</v>
      </c>
      <c r="J99">
        <v>0.51</v>
      </c>
      <c r="K99">
        <v>0</v>
      </c>
      <c r="L99">
        <v>0</v>
      </c>
      <c r="M99" t="s">
        <v>616</v>
      </c>
      <c r="N99">
        <v>0</v>
      </c>
      <c r="O99" t="s">
        <v>616</v>
      </c>
      <c r="Q99">
        <v>0</v>
      </c>
      <c r="R99" t="s">
        <v>616</v>
      </c>
      <c r="S99">
        <v>0</v>
      </c>
      <c r="W99">
        <v>4.32</v>
      </c>
      <c r="AF99">
        <v>6.36</v>
      </c>
    </row>
    <row r="100" spans="2:32" x14ac:dyDescent="0.2">
      <c r="B100" t="s">
        <v>1677</v>
      </c>
      <c r="C100">
        <v>1046</v>
      </c>
      <c r="D100" t="s">
        <v>1673</v>
      </c>
      <c r="E100">
        <v>6</v>
      </c>
      <c r="F100" t="s">
        <v>199</v>
      </c>
      <c r="G100">
        <v>10.6</v>
      </c>
      <c r="H100">
        <v>1.8</v>
      </c>
      <c r="I100" t="s">
        <v>123</v>
      </c>
      <c r="J100">
        <v>0.94</v>
      </c>
      <c r="K100">
        <v>0</v>
      </c>
      <c r="L100">
        <v>0</v>
      </c>
      <c r="M100" t="s">
        <v>616</v>
      </c>
      <c r="N100">
        <v>0</v>
      </c>
      <c r="O100" t="s">
        <v>616</v>
      </c>
      <c r="Q100">
        <v>0</v>
      </c>
      <c r="R100" t="s">
        <v>616</v>
      </c>
      <c r="S100">
        <v>0</v>
      </c>
      <c r="W100">
        <v>2.2000000000000002</v>
      </c>
      <c r="AF100">
        <v>3.8</v>
      </c>
    </row>
    <row r="101" spans="2:32" x14ac:dyDescent="0.2">
      <c r="B101" t="s">
        <v>1797</v>
      </c>
      <c r="C101">
        <v>1047</v>
      </c>
      <c r="D101" t="s">
        <v>1780</v>
      </c>
      <c r="E101">
        <v>2</v>
      </c>
      <c r="F101" t="s">
        <v>201</v>
      </c>
      <c r="G101">
        <v>2.17</v>
      </c>
      <c r="H101">
        <v>0.6</v>
      </c>
      <c r="I101" t="s">
        <v>123</v>
      </c>
      <c r="J101">
        <v>0.3</v>
      </c>
      <c r="K101">
        <v>2.3199999999999998</v>
      </c>
      <c r="L101">
        <v>6.72</v>
      </c>
      <c r="M101" t="s">
        <v>124</v>
      </c>
      <c r="N101">
        <v>0</v>
      </c>
      <c r="O101" t="s">
        <v>616</v>
      </c>
      <c r="Q101">
        <v>0.63</v>
      </c>
      <c r="R101" t="s">
        <v>123</v>
      </c>
      <c r="S101">
        <v>0</v>
      </c>
      <c r="U101">
        <v>2</v>
      </c>
      <c r="V101">
        <v>5.8</v>
      </c>
    </row>
    <row r="102" spans="2:32" x14ac:dyDescent="0.2">
      <c r="B102" t="s">
        <v>1798</v>
      </c>
      <c r="C102">
        <v>1048</v>
      </c>
      <c r="D102" t="s">
        <v>1780</v>
      </c>
      <c r="E102">
        <v>3</v>
      </c>
      <c r="F102" t="s">
        <v>201</v>
      </c>
      <c r="G102">
        <v>3.26</v>
      </c>
      <c r="H102">
        <v>0.9</v>
      </c>
      <c r="I102" t="s">
        <v>123</v>
      </c>
      <c r="J102">
        <v>0.45</v>
      </c>
      <c r="K102">
        <v>3.49</v>
      </c>
      <c r="L102">
        <v>10.08</v>
      </c>
      <c r="M102" t="s">
        <v>124</v>
      </c>
      <c r="N102">
        <v>0</v>
      </c>
      <c r="O102" t="s">
        <v>616</v>
      </c>
      <c r="Q102">
        <v>1.25</v>
      </c>
      <c r="R102" t="s">
        <v>123</v>
      </c>
      <c r="S102">
        <v>0</v>
      </c>
      <c r="U102">
        <v>2</v>
      </c>
      <c r="V102">
        <v>8.6999999999999993</v>
      </c>
    </row>
    <row r="103" spans="2:32" x14ac:dyDescent="0.2">
      <c r="B103" t="s">
        <v>1799</v>
      </c>
      <c r="C103">
        <v>1049</v>
      </c>
      <c r="D103" t="s">
        <v>1780</v>
      </c>
      <c r="E103">
        <v>4</v>
      </c>
      <c r="F103" t="s">
        <v>201</v>
      </c>
      <c r="G103">
        <v>4.34</v>
      </c>
      <c r="H103">
        <v>1.2</v>
      </c>
      <c r="I103" t="s">
        <v>123</v>
      </c>
      <c r="J103">
        <v>0.6</v>
      </c>
      <c r="K103">
        <v>4.6500000000000004</v>
      </c>
      <c r="L103">
        <v>13.46</v>
      </c>
      <c r="M103" t="s">
        <v>124</v>
      </c>
      <c r="N103">
        <v>0</v>
      </c>
      <c r="O103" t="s">
        <v>616</v>
      </c>
      <c r="Q103">
        <v>2</v>
      </c>
      <c r="R103" t="s">
        <v>123</v>
      </c>
      <c r="S103">
        <v>0</v>
      </c>
      <c r="U103">
        <v>2</v>
      </c>
      <c r="V103">
        <v>11.6</v>
      </c>
    </row>
    <row r="104" spans="2:32" x14ac:dyDescent="0.2">
      <c r="B104" t="s">
        <v>1800</v>
      </c>
      <c r="C104">
        <v>1050</v>
      </c>
      <c r="D104" t="s">
        <v>1780</v>
      </c>
      <c r="E104">
        <v>5</v>
      </c>
      <c r="F104" t="s">
        <v>201</v>
      </c>
      <c r="G104">
        <v>5.43</v>
      </c>
      <c r="H104">
        <v>1.5</v>
      </c>
      <c r="I104" t="s">
        <v>123</v>
      </c>
      <c r="J104">
        <v>0.75</v>
      </c>
      <c r="K104">
        <v>5.83</v>
      </c>
      <c r="L104">
        <v>16.82</v>
      </c>
      <c r="M104" t="s">
        <v>124</v>
      </c>
      <c r="N104">
        <v>0</v>
      </c>
      <c r="O104" t="s">
        <v>616</v>
      </c>
      <c r="Q104">
        <v>2.57</v>
      </c>
      <c r="R104" t="s">
        <v>123</v>
      </c>
      <c r="S104">
        <v>0</v>
      </c>
      <c r="U104">
        <v>2</v>
      </c>
      <c r="V104">
        <v>14.5</v>
      </c>
    </row>
    <row r="105" spans="2:32" x14ac:dyDescent="0.2">
      <c r="B105" t="s">
        <v>1801</v>
      </c>
      <c r="C105">
        <v>1051</v>
      </c>
      <c r="D105" t="s">
        <v>1786</v>
      </c>
      <c r="E105">
        <v>2</v>
      </c>
      <c r="F105" t="s">
        <v>201</v>
      </c>
      <c r="G105">
        <v>2.17</v>
      </c>
      <c r="H105">
        <v>0.6</v>
      </c>
      <c r="I105" t="s">
        <v>123</v>
      </c>
      <c r="J105">
        <v>0.3</v>
      </c>
      <c r="K105">
        <v>2.3199999999999998</v>
      </c>
      <c r="L105">
        <v>6.72</v>
      </c>
      <c r="M105" t="s">
        <v>124</v>
      </c>
      <c r="N105">
        <v>0</v>
      </c>
      <c r="O105" t="s">
        <v>616</v>
      </c>
      <c r="Q105">
        <v>0.63</v>
      </c>
      <c r="R105" t="s">
        <v>123</v>
      </c>
      <c r="S105">
        <v>0</v>
      </c>
      <c r="U105">
        <v>2</v>
      </c>
      <c r="V105">
        <v>5.8</v>
      </c>
    </row>
    <row r="106" spans="2:32" x14ac:dyDescent="0.2">
      <c r="B106" t="s">
        <v>1802</v>
      </c>
      <c r="C106">
        <v>1052</v>
      </c>
      <c r="D106" t="s">
        <v>1786</v>
      </c>
      <c r="E106">
        <v>3</v>
      </c>
      <c r="F106" t="s">
        <v>201</v>
      </c>
      <c r="G106">
        <v>3.26</v>
      </c>
      <c r="H106">
        <v>0.9</v>
      </c>
      <c r="I106" t="s">
        <v>123</v>
      </c>
      <c r="J106">
        <v>0.45</v>
      </c>
      <c r="K106">
        <v>3.49</v>
      </c>
      <c r="L106">
        <v>10.08</v>
      </c>
      <c r="M106" t="s">
        <v>124</v>
      </c>
      <c r="N106">
        <v>0</v>
      </c>
      <c r="O106" t="s">
        <v>616</v>
      </c>
      <c r="Q106">
        <v>1.25</v>
      </c>
      <c r="R106" t="s">
        <v>123</v>
      </c>
      <c r="S106">
        <v>0</v>
      </c>
      <c r="U106">
        <v>2</v>
      </c>
      <c r="V106">
        <v>8.6999999999999993</v>
      </c>
    </row>
    <row r="107" spans="2:32" x14ac:dyDescent="0.2">
      <c r="B107" t="s">
        <v>1803</v>
      </c>
      <c r="C107">
        <v>1053</v>
      </c>
      <c r="D107" t="s">
        <v>1786</v>
      </c>
      <c r="E107">
        <v>4</v>
      </c>
      <c r="F107" t="s">
        <v>201</v>
      </c>
      <c r="G107">
        <v>4.34</v>
      </c>
      <c r="H107">
        <v>1.2</v>
      </c>
      <c r="I107" t="s">
        <v>123</v>
      </c>
      <c r="J107">
        <v>0.6</v>
      </c>
      <c r="K107">
        <v>4.6500000000000004</v>
      </c>
      <c r="L107">
        <v>13.46</v>
      </c>
      <c r="M107" t="s">
        <v>124</v>
      </c>
      <c r="N107">
        <v>0</v>
      </c>
      <c r="O107" t="s">
        <v>616</v>
      </c>
      <c r="Q107">
        <v>2</v>
      </c>
      <c r="R107" t="s">
        <v>123</v>
      </c>
      <c r="S107">
        <v>0</v>
      </c>
      <c r="U107">
        <v>2</v>
      </c>
      <c r="V107">
        <v>11.6</v>
      </c>
    </row>
    <row r="108" spans="2:32" x14ac:dyDescent="0.2">
      <c r="B108" t="s">
        <v>1804</v>
      </c>
      <c r="C108">
        <v>1054</v>
      </c>
      <c r="D108" t="s">
        <v>1786</v>
      </c>
      <c r="E108">
        <v>5</v>
      </c>
      <c r="F108" t="s">
        <v>201</v>
      </c>
      <c r="G108">
        <v>5.43</v>
      </c>
      <c r="H108">
        <v>1.5</v>
      </c>
      <c r="I108" t="s">
        <v>123</v>
      </c>
      <c r="J108">
        <v>0.75</v>
      </c>
      <c r="K108">
        <v>5.83</v>
      </c>
      <c r="L108">
        <v>16.82</v>
      </c>
      <c r="M108" t="s">
        <v>124</v>
      </c>
      <c r="N108">
        <v>0</v>
      </c>
      <c r="O108" t="s">
        <v>616</v>
      </c>
      <c r="Q108">
        <v>2.57</v>
      </c>
      <c r="R108" t="s">
        <v>123</v>
      </c>
      <c r="S108">
        <v>0</v>
      </c>
      <c r="U108">
        <v>2</v>
      </c>
      <c r="V108">
        <v>14.5</v>
      </c>
    </row>
    <row r="109" spans="2:32" x14ac:dyDescent="0.2">
      <c r="B109" t="s">
        <v>1805</v>
      </c>
      <c r="C109">
        <v>1055</v>
      </c>
      <c r="D109" t="s">
        <v>1776</v>
      </c>
      <c r="E109">
        <v>2</v>
      </c>
      <c r="F109" t="s">
        <v>201</v>
      </c>
      <c r="G109">
        <v>1.95</v>
      </c>
      <c r="H109">
        <v>0.6</v>
      </c>
      <c r="I109" t="s">
        <v>123</v>
      </c>
      <c r="J109">
        <v>0.3</v>
      </c>
      <c r="K109">
        <v>2.3199999999999998</v>
      </c>
      <c r="L109">
        <v>6.72</v>
      </c>
      <c r="M109" t="s">
        <v>124</v>
      </c>
      <c r="N109">
        <v>0</v>
      </c>
      <c r="O109" t="s">
        <v>616</v>
      </c>
      <c r="Q109">
        <v>0.63</v>
      </c>
      <c r="R109" t="s">
        <v>123</v>
      </c>
      <c r="S109">
        <v>0</v>
      </c>
      <c r="U109">
        <v>2</v>
      </c>
      <c r="V109">
        <v>5.8</v>
      </c>
    </row>
    <row r="110" spans="2:32" x14ac:dyDescent="0.2">
      <c r="B110" t="s">
        <v>1806</v>
      </c>
      <c r="C110">
        <v>1056</v>
      </c>
      <c r="D110" t="s">
        <v>1776</v>
      </c>
      <c r="E110">
        <v>3</v>
      </c>
      <c r="F110" t="s">
        <v>201</v>
      </c>
      <c r="G110">
        <v>2.93</v>
      </c>
      <c r="H110">
        <v>0.9</v>
      </c>
      <c r="I110" t="s">
        <v>123</v>
      </c>
      <c r="J110">
        <v>0.45</v>
      </c>
      <c r="K110">
        <v>3.49</v>
      </c>
      <c r="L110">
        <v>10.08</v>
      </c>
      <c r="M110" t="s">
        <v>124</v>
      </c>
      <c r="N110">
        <v>0</v>
      </c>
      <c r="O110" t="s">
        <v>616</v>
      </c>
      <c r="Q110">
        <v>1.25</v>
      </c>
      <c r="R110" t="s">
        <v>123</v>
      </c>
      <c r="S110">
        <v>0</v>
      </c>
      <c r="U110">
        <v>2</v>
      </c>
      <c r="V110">
        <v>8.6999999999999993</v>
      </c>
    </row>
    <row r="111" spans="2:32" x14ac:dyDescent="0.2">
      <c r="B111" t="s">
        <v>1807</v>
      </c>
      <c r="C111">
        <v>1057</v>
      </c>
      <c r="D111" t="s">
        <v>1776</v>
      </c>
      <c r="E111">
        <v>4</v>
      </c>
      <c r="F111" t="s">
        <v>201</v>
      </c>
      <c r="G111">
        <v>3.9</v>
      </c>
      <c r="H111">
        <v>1.2</v>
      </c>
      <c r="I111" t="s">
        <v>123</v>
      </c>
      <c r="J111">
        <v>0.6</v>
      </c>
      <c r="K111">
        <v>4.6500000000000004</v>
      </c>
      <c r="L111">
        <v>13.46</v>
      </c>
      <c r="M111" t="s">
        <v>124</v>
      </c>
      <c r="N111">
        <v>0</v>
      </c>
      <c r="O111" t="s">
        <v>616</v>
      </c>
      <c r="Q111">
        <v>2</v>
      </c>
      <c r="R111" t="s">
        <v>123</v>
      </c>
      <c r="S111">
        <v>0</v>
      </c>
      <c r="U111">
        <v>2</v>
      </c>
      <c r="V111">
        <v>11.6</v>
      </c>
    </row>
    <row r="112" spans="2:32" x14ac:dyDescent="0.2">
      <c r="B112" t="s">
        <v>1808</v>
      </c>
      <c r="C112">
        <v>1058</v>
      </c>
      <c r="D112" t="s">
        <v>1776</v>
      </c>
      <c r="E112">
        <v>5</v>
      </c>
      <c r="F112" t="s">
        <v>201</v>
      </c>
      <c r="G112">
        <v>4.88</v>
      </c>
      <c r="H112">
        <v>1.5</v>
      </c>
      <c r="I112" t="s">
        <v>123</v>
      </c>
      <c r="J112">
        <v>0.75</v>
      </c>
      <c r="K112">
        <v>5.83</v>
      </c>
      <c r="L112">
        <v>16.82</v>
      </c>
      <c r="M112" t="s">
        <v>124</v>
      </c>
      <c r="N112">
        <v>0</v>
      </c>
      <c r="O112" t="s">
        <v>616</v>
      </c>
      <c r="Q112">
        <v>2.57</v>
      </c>
      <c r="R112" t="s">
        <v>123</v>
      </c>
      <c r="S112">
        <v>0</v>
      </c>
      <c r="U112">
        <v>2</v>
      </c>
      <c r="V112">
        <v>14.5</v>
      </c>
    </row>
    <row r="113" spans="2:22" x14ac:dyDescent="0.2">
      <c r="B113" t="s">
        <v>1809</v>
      </c>
      <c r="C113">
        <v>1059</v>
      </c>
      <c r="D113" t="s">
        <v>1784</v>
      </c>
      <c r="E113">
        <v>2</v>
      </c>
      <c r="F113" t="s">
        <v>201</v>
      </c>
      <c r="G113">
        <v>1.95</v>
      </c>
      <c r="H113">
        <v>0.6</v>
      </c>
      <c r="I113" t="s">
        <v>123</v>
      </c>
      <c r="J113">
        <v>0.3</v>
      </c>
      <c r="K113">
        <v>2.3199999999999998</v>
      </c>
      <c r="L113">
        <v>6.72</v>
      </c>
      <c r="M113" t="s">
        <v>124</v>
      </c>
      <c r="N113">
        <v>0</v>
      </c>
      <c r="O113" t="s">
        <v>616</v>
      </c>
      <c r="Q113">
        <v>0.63</v>
      </c>
      <c r="R113" t="s">
        <v>123</v>
      </c>
      <c r="S113">
        <v>0</v>
      </c>
      <c r="U113">
        <v>2</v>
      </c>
      <c r="V113">
        <v>5.8</v>
      </c>
    </row>
    <row r="114" spans="2:22" x14ac:dyDescent="0.2">
      <c r="B114" t="s">
        <v>1810</v>
      </c>
      <c r="C114">
        <v>1060</v>
      </c>
      <c r="D114" t="s">
        <v>1784</v>
      </c>
      <c r="E114">
        <v>3</v>
      </c>
      <c r="F114" t="s">
        <v>201</v>
      </c>
      <c r="G114">
        <v>2.93</v>
      </c>
      <c r="H114">
        <v>0.9</v>
      </c>
      <c r="I114" t="s">
        <v>123</v>
      </c>
      <c r="J114">
        <v>0.45</v>
      </c>
      <c r="K114">
        <v>3.49</v>
      </c>
      <c r="L114">
        <v>10.08</v>
      </c>
      <c r="M114" t="s">
        <v>124</v>
      </c>
      <c r="N114">
        <v>0</v>
      </c>
      <c r="O114" t="s">
        <v>616</v>
      </c>
      <c r="Q114">
        <v>1.25</v>
      </c>
      <c r="R114" t="s">
        <v>123</v>
      </c>
      <c r="S114">
        <v>0</v>
      </c>
      <c r="U114">
        <v>2</v>
      </c>
      <c r="V114">
        <v>8.6999999999999993</v>
      </c>
    </row>
    <row r="115" spans="2:22" x14ac:dyDescent="0.2">
      <c r="B115" t="s">
        <v>1811</v>
      </c>
      <c r="C115">
        <v>1061</v>
      </c>
      <c r="D115" t="s">
        <v>1784</v>
      </c>
      <c r="E115">
        <v>4</v>
      </c>
      <c r="F115" t="s">
        <v>201</v>
      </c>
      <c r="G115">
        <v>3.9</v>
      </c>
      <c r="H115">
        <v>1.2</v>
      </c>
      <c r="I115" t="s">
        <v>123</v>
      </c>
      <c r="J115">
        <v>0.6</v>
      </c>
      <c r="K115">
        <v>4.6500000000000004</v>
      </c>
      <c r="L115">
        <v>13.46</v>
      </c>
      <c r="M115" t="s">
        <v>124</v>
      </c>
      <c r="N115">
        <v>0</v>
      </c>
      <c r="O115" t="s">
        <v>616</v>
      </c>
      <c r="Q115">
        <v>2</v>
      </c>
      <c r="R115" t="s">
        <v>123</v>
      </c>
      <c r="S115">
        <v>0</v>
      </c>
      <c r="U115">
        <v>2</v>
      </c>
      <c r="V115">
        <v>11.6</v>
      </c>
    </row>
    <row r="116" spans="2:22" x14ac:dyDescent="0.2">
      <c r="B116" t="s">
        <v>1812</v>
      </c>
      <c r="C116">
        <v>1062</v>
      </c>
      <c r="D116" t="s">
        <v>1784</v>
      </c>
      <c r="E116">
        <v>5</v>
      </c>
      <c r="F116" t="s">
        <v>201</v>
      </c>
      <c r="G116">
        <v>4.88</v>
      </c>
      <c r="H116">
        <v>1.5</v>
      </c>
      <c r="I116" t="s">
        <v>123</v>
      </c>
      <c r="J116">
        <v>0.75</v>
      </c>
      <c r="K116">
        <v>5.83</v>
      </c>
      <c r="L116">
        <v>16.82</v>
      </c>
      <c r="M116" t="s">
        <v>124</v>
      </c>
      <c r="N116">
        <v>0</v>
      </c>
      <c r="O116" t="s">
        <v>616</v>
      </c>
      <c r="Q116">
        <v>2.57</v>
      </c>
      <c r="R116" t="s">
        <v>123</v>
      </c>
      <c r="S116">
        <v>0</v>
      </c>
      <c r="U116">
        <v>2</v>
      </c>
      <c r="V116">
        <v>14.5</v>
      </c>
    </row>
    <row r="117" spans="2:22" x14ac:dyDescent="0.2">
      <c r="B117" t="s">
        <v>1813</v>
      </c>
      <c r="C117">
        <v>1063</v>
      </c>
      <c r="D117" t="s">
        <v>1782</v>
      </c>
      <c r="E117">
        <v>2</v>
      </c>
      <c r="F117" t="s">
        <v>201</v>
      </c>
      <c r="G117">
        <v>2.17</v>
      </c>
      <c r="H117">
        <v>0.6</v>
      </c>
      <c r="I117" t="s">
        <v>123</v>
      </c>
      <c r="J117">
        <v>0.3</v>
      </c>
      <c r="K117">
        <v>2.3199999999999998</v>
      </c>
      <c r="L117">
        <v>6.72</v>
      </c>
      <c r="M117" t="s">
        <v>124</v>
      </c>
      <c r="N117">
        <v>0</v>
      </c>
      <c r="O117" t="s">
        <v>616</v>
      </c>
      <c r="Q117">
        <v>0.63</v>
      </c>
      <c r="R117" t="s">
        <v>123</v>
      </c>
      <c r="S117">
        <v>0</v>
      </c>
      <c r="U117">
        <v>2</v>
      </c>
      <c r="V117">
        <v>5.8</v>
      </c>
    </row>
    <row r="118" spans="2:22" x14ac:dyDescent="0.2">
      <c r="B118" t="s">
        <v>1814</v>
      </c>
      <c r="C118">
        <v>1064</v>
      </c>
      <c r="D118" t="s">
        <v>1782</v>
      </c>
      <c r="E118">
        <v>3</v>
      </c>
      <c r="F118" t="s">
        <v>201</v>
      </c>
      <c r="G118">
        <v>3.26</v>
      </c>
      <c r="H118">
        <v>0.9</v>
      </c>
      <c r="I118" t="s">
        <v>123</v>
      </c>
      <c r="J118">
        <v>0.45</v>
      </c>
      <c r="K118">
        <v>3.49</v>
      </c>
      <c r="L118">
        <v>10.08</v>
      </c>
      <c r="M118" t="s">
        <v>124</v>
      </c>
      <c r="N118">
        <v>0</v>
      </c>
      <c r="O118" t="s">
        <v>616</v>
      </c>
      <c r="Q118">
        <v>1.25</v>
      </c>
      <c r="R118" t="s">
        <v>123</v>
      </c>
      <c r="S118">
        <v>0</v>
      </c>
      <c r="U118">
        <v>2</v>
      </c>
      <c r="V118">
        <v>8.6999999999999993</v>
      </c>
    </row>
    <row r="119" spans="2:22" x14ac:dyDescent="0.2">
      <c r="B119" t="s">
        <v>1815</v>
      </c>
      <c r="C119">
        <v>1065</v>
      </c>
      <c r="D119" t="s">
        <v>1782</v>
      </c>
      <c r="E119">
        <v>4</v>
      </c>
      <c r="F119" t="s">
        <v>201</v>
      </c>
      <c r="G119">
        <v>4.34</v>
      </c>
      <c r="H119">
        <v>1.2</v>
      </c>
      <c r="I119" t="s">
        <v>123</v>
      </c>
      <c r="J119">
        <v>0.6</v>
      </c>
      <c r="K119">
        <v>4.6500000000000004</v>
      </c>
      <c r="L119">
        <v>13.46</v>
      </c>
      <c r="M119" t="s">
        <v>124</v>
      </c>
      <c r="N119">
        <v>0</v>
      </c>
      <c r="O119" t="s">
        <v>616</v>
      </c>
      <c r="Q119">
        <v>2</v>
      </c>
      <c r="R119" t="s">
        <v>123</v>
      </c>
      <c r="S119">
        <v>0</v>
      </c>
      <c r="U119">
        <v>2</v>
      </c>
      <c r="V119">
        <v>11.6</v>
      </c>
    </row>
    <row r="120" spans="2:22" x14ac:dyDescent="0.2">
      <c r="B120" t="s">
        <v>1816</v>
      </c>
      <c r="C120">
        <v>1066</v>
      </c>
      <c r="D120" t="s">
        <v>1782</v>
      </c>
      <c r="E120">
        <v>5</v>
      </c>
      <c r="F120" t="s">
        <v>201</v>
      </c>
      <c r="G120">
        <v>5.43</v>
      </c>
      <c r="H120">
        <v>1.5</v>
      </c>
      <c r="I120" t="s">
        <v>123</v>
      </c>
      <c r="J120">
        <v>0.75</v>
      </c>
      <c r="K120">
        <v>5.83</v>
      </c>
      <c r="L120">
        <v>16.82</v>
      </c>
      <c r="M120" t="s">
        <v>124</v>
      </c>
      <c r="N120">
        <v>0</v>
      </c>
      <c r="O120" t="s">
        <v>616</v>
      </c>
      <c r="Q120">
        <v>2.57</v>
      </c>
      <c r="R120" t="s">
        <v>123</v>
      </c>
      <c r="S120">
        <v>0</v>
      </c>
      <c r="U120">
        <v>2</v>
      </c>
      <c r="V120">
        <v>14.5</v>
      </c>
    </row>
    <row r="121" spans="2:22" x14ac:dyDescent="0.2">
      <c r="B121" t="s">
        <v>1817</v>
      </c>
      <c r="C121">
        <v>1067</v>
      </c>
      <c r="D121" t="s">
        <v>1778</v>
      </c>
      <c r="E121">
        <v>2</v>
      </c>
      <c r="F121" t="s">
        <v>201</v>
      </c>
      <c r="G121">
        <v>1.95</v>
      </c>
      <c r="H121">
        <v>0.6</v>
      </c>
      <c r="I121" t="s">
        <v>123</v>
      </c>
      <c r="J121">
        <v>0.3</v>
      </c>
      <c r="K121">
        <v>2.3199999999999998</v>
      </c>
      <c r="L121">
        <v>6.72</v>
      </c>
      <c r="M121" t="s">
        <v>124</v>
      </c>
      <c r="N121">
        <v>0</v>
      </c>
      <c r="O121" t="s">
        <v>616</v>
      </c>
      <c r="Q121">
        <v>0.63</v>
      </c>
      <c r="R121" t="s">
        <v>123</v>
      </c>
      <c r="S121">
        <v>0</v>
      </c>
      <c r="U121">
        <v>2</v>
      </c>
      <c r="V121">
        <v>5.8</v>
      </c>
    </row>
    <row r="122" spans="2:22" x14ac:dyDescent="0.2">
      <c r="B122" t="s">
        <v>1818</v>
      </c>
      <c r="C122">
        <v>1068</v>
      </c>
      <c r="D122" t="s">
        <v>1778</v>
      </c>
      <c r="E122">
        <v>3</v>
      </c>
      <c r="F122" t="s">
        <v>201</v>
      </c>
      <c r="G122">
        <v>2.93</v>
      </c>
      <c r="H122">
        <v>0.9</v>
      </c>
      <c r="I122" t="s">
        <v>123</v>
      </c>
      <c r="J122">
        <v>0.45</v>
      </c>
      <c r="K122">
        <v>3.49</v>
      </c>
      <c r="L122">
        <v>10.08</v>
      </c>
      <c r="M122" t="s">
        <v>124</v>
      </c>
      <c r="N122">
        <v>0</v>
      </c>
      <c r="O122" t="s">
        <v>616</v>
      </c>
      <c r="Q122">
        <v>1.25</v>
      </c>
      <c r="R122" t="s">
        <v>123</v>
      </c>
      <c r="S122">
        <v>0</v>
      </c>
      <c r="U122">
        <v>2</v>
      </c>
      <c r="V122">
        <v>8.6999999999999993</v>
      </c>
    </row>
    <row r="123" spans="2:22" x14ac:dyDescent="0.2">
      <c r="B123" t="s">
        <v>1819</v>
      </c>
      <c r="C123">
        <v>1069</v>
      </c>
      <c r="D123" t="s">
        <v>1778</v>
      </c>
      <c r="E123">
        <v>4</v>
      </c>
      <c r="F123" t="s">
        <v>201</v>
      </c>
      <c r="G123">
        <v>3.9</v>
      </c>
      <c r="H123">
        <v>1.2</v>
      </c>
      <c r="I123" t="s">
        <v>123</v>
      </c>
      <c r="J123">
        <v>0.6</v>
      </c>
      <c r="K123">
        <v>4.6500000000000004</v>
      </c>
      <c r="L123">
        <v>13.46</v>
      </c>
      <c r="M123" t="s">
        <v>124</v>
      </c>
      <c r="N123">
        <v>0</v>
      </c>
      <c r="O123" t="s">
        <v>616</v>
      </c>
      <c r="Q123">
        <v>2</v>
      </c>
      <c r="R123" t="s">
        <v>123</v>
      </c>
      <c r="S123">
        <v>0</v>
      </c>
      <c r="U123">
        <v>2</v>
      </c>
      <c r="V123">
        <v>11.6</v>
      </c>
    </row>
    <row r="124" spans="2:22" x14ac:dyDescent="0.2">
      <c r="B124" t="s">
        <v>1820</v>
      </c>
      <c r="C124">
        <v>1070</v>
      </c>
      <c r="D124" t="s">
        <v>1778</v>
      </c>
      <c r="E124">
        <v>5</v>
      </c>
      <c r="F124" t="s">
        <v>201</v>
      </c>
      <c r="G124">
        <v>4.88</v>
      </c>
      <c r="H124">
        <v>1.5</v>
      </c>
      <c r="I124" t="s">
        <v>123</v>
      </c>
      <c r="J124">
        <v>0.75</v>
      </c>
      <c r="K124">
        <v>5.83</v>
      </c>
      <c r="L124">
        <v>16.82</v>
      </c>
      <c r="M124" t="s">
        <v>124</v>
      </c>
      <c r="N124">
        <v>0</v>
      </c>
      <c r="O124" t="s">
        <v>616</v>
      </c>
      <c r="Q124">
        <v>2.57</v>
      </c>
      <c r="R124" t="s">
        <v>123</v>
      </c>
      <c r="S124">
        <v>0</v>
      </c>
      <c r="U124">
        <v>2</v>
      </c>
      <c r="V124">
        <v>14.5</v>
      </c>
    </row>
    <row r="125" spans="2:22" x14ac:dyDescent="0.2">
      <c r="B125" t="s">
        <v>1821</v>
      </c>
      <c r="C125">
        <v>1071</v>
      </c>
      <c r="D125" t="s">
        <v>1715</v>
      </c>
      <c r="E125">
        <v>2</v>
      </c>
      <c r="F125" t="s">
        <v>201</v>
      </c>
      <c r="G125">
        <v>2.036</v>
      </c>
      <c r="H125">
        <v>0.6</v>
      </c>
      <c r="I125" t="s">
        <v>123</v>
      </c>
      <c r="J125">
        <v>0.28000000000000003</v>
      </c>
      <c r="K125">
        <v>1.64</v>
      </c>
      <c r="L125">
        <v>7.5</v>
      </c>
      <c r="M125" t="s">
        <v>124</v>
      </c>
      <c r="N125">
        <v>0</v>
      </c>
      <c r="O125" t="s">
        <v>616</v>
      </c>
      <c r="Q125">
        <v>0</v>
      </c>
      <c r="R125" t="s">
        <v>616</v>
      </c>
      <c r="S125">
        <v>0</v>
      </c>
      <c r="U125">
        <v>2</v>
      </c>
      <c r="V125">
        <v>1.4</v>
      </c>
    </row>
    <row r="126" spans="2:22" x14ac:dyDescent="0.2">
      <c r="B126" t="s">
        <v>1822</v>
      </c>
      <c r="C126">
        <v>1072</v>
      </c>
      <c r="D126" t="s">
        <v>1715</v>
      </c>
      <c r="E126">
        <v>3</v>
      </c>
      <c r="F126" t="s">
        <v>201</v>
      </c>
      <c r="G126">
        <v>3.0539999999999998</v>
      </c>
      <c r="H126">
        <v>1</v>
      </c>
      <c r="I126" t="s">
        <v>123</v>
      </c>
      <c r="J126">
        <v>0.41</v>
      </c>
      <c r="K126">
        <v>2.33</v>
      </c>
      <c r="L126">
        <v>10.9</v>
      </c>
      <c r="M126" t="s">
        <v>124</v>
      </c>
      <c r="N126">
        <v>0</v>
      </c>
      <c r="O126" t="s">
        <v>616</v>
      </c>
      <c r="Q126">
        <v>0</v>
      </c>
      <c r="R126" t="s">
        <v>616</v>
      </c>
      <c r="S126">
        <v>0</v>
      </c>
      <c r="U126">
        <v>2</v>
      </c>
      <c r="V126">
        <v>2.2999999999999998</v>
      </c>
    </row>
    <row r="127" spans="2:22" x14ac:dyDescent="0.2">
      <c r="B127" t="s">
        <v>1823</v>
      </c>
      <c r="C127">
        <v>1073</v>
      </c>
      <c r="D127" t="s">
        <v>1715</v>
      </c>
      <c r="E127">
        <v>4</v>
      </c>
      <c r="F127" t="s">
        <v>201</v>
      </c>
      <c r="G127">
        <v>4.0720000000000001</v>
      </c>
      <c r="H127">
        <v>1.3</v>
      </c>
      <c r="I127" t="s">
        <v>123</v>
      </c>
      <c r="J127">
        <v>0.55000000000000004</v>
      </c>
      <c r="K127">
        <v>3.05</v>
      </c>
      <c r="L127">
        <v>14.3</v>
      </c>
      <c r="M127" t="s">
        <v>124</v>
      </c>
      <c r="N127">
        <v>0</v>
      </c>
      <c r="O127" t="s">
        <v>616</v>
      </c>
      <c r="Q127">
        <v>0</v>
      </c>
      <c r="R127" t="s">
        <v>616</v>
      </c>
      <c r="S127">
        <v>0</v>
      </c>
      <c r="U127">
        <v>2</v>
      </c>
      <c r="V127">
        <v>3.2</v>
      </c>
    </row>
    <row r="128" spans="2:22" x14ac:dyDescent="0.2">
      <c r="B128" t="s">
        <v>1824</v>
      </c>
      <c r="C128">
        <v>1074</v>
      </c>
      <c r="D128" t="s">
        <v>1715</v>
      </c>
      <c r="E128">
        <v>5</v>
      </c>
      <c r="F128" t="s">
        <v>201</v>
      </c>
      <c r="G128">
        <v>5.09</v>
      </c>
      <c r="H128">
        <v>1.6</v>
      </c>
      <c r="I128" t="s">
        <v>123</v>
      </c>
      <c r="J128">
        <v>0.68</v>
      </c>
      <c r="K128">
        <v>3.73</v>
      </c>
      <c r="L128">
        <v>17.5</v>
      </c>
      <c r="M128" t="s">
        <v>124</v>
      </c>
      <c r="N128">
        <v>0</v>
      </c>
      <c r="O128" t="s">
        <v>616</v>
      </c>
      <c r="Q128">
        <v>0</v>
      </c>
      <c r="R128" t="s">
        <v>616</v>
      </c>
      <c r="S128">
        <v>0</v>
      </c>
      <c r="U128">
        <v>2</v>
      </c>
      <c r="V128">
        <v>4.2</v>
      </c>
    </row>
    <row r="129" spans="2:32" x14ac:dyDescent="0.2">
      <c r="B129" t="s">
        <v>1825</v>
      </c>
      <c r="C129">
        <v>1075</v>
      </c>
      <c r="D129" t="s">
        <v>1717</v>
      </c>
      <c r="E129">
        <v>2</v>
      </c>
      <c r="F129" t="s">
        <v>201</v>
      </c>
      <c r="G129">
        <v>1.9079999999999999</v>
      </c>
      <c r="H129">
        <v>0.6</v>
      </c>
      <c r="I129" t="s">
        <v>123</v>
      </c>
      <c r="J129">
        <v>0.28000000000000003</v>
      </c>
      <c r="K129">
        <v>1.64</v>
      </c>
      <c r="L129">
        <v>7.5</v>
      </c>
      <c r="M129" t="s">
        <v>124</v>
      </c>
      <c r="N129">
        <v>0</v>
      </c>
      <c r="O129" t="s">
        <v>616</v>
      </c>
      <c r="Q129">
        <v>0</v>
      </c>
      <c r="R129" t="s">
        <v>616</v>
      </c>
      <c r="S129">
        <v>0</v>
      </c>
      <c r="U129">
        <v>2</v>
      </c>
      <c r="V129">
        <v>1.4</v>
      </c>
    </row>
    <row r="130" spans="2:32" x14ac:dyDescent="0.2">
      <c r="B130" t="s">
        <v>1826</v>
      </c>
      <c r="C130">
        <v>1076</v>
      </c>
      <c r="D130" t="s">
        <v>1717</v>
      </c>
      <c r="E130">
        <v>3</v>
      </c>
      <c r="F130" t="s">
        <v>201</v>
      </c>
      <c r="G130">
        <v>2.8620000000000001</v>
      </c>
      <c r="H130">
        <v>1</v>
      </c>
      <c r="I130" t="s">
        <v>123</v>
      </c>
      <c r="J130">
        <v>0.41</v>
      </c>
      <c r="K130">
        <v>2.33</v>
      </c>
      <c r="L130">
        <v>10.9</v>
      </c>
      <c r="M130" t="s">
        <v>124</v>
      </c>
      <c r="N130">
        <v>0</v>
      </c>
      <c r="O130" t="s">
        <v>616</v>
      </c>
      <c r="Q130">
        <v>0</v>
      </c>
      <c r="R130" t="s">
        <v>616</v>
      </c>
      <c r="S130">
        <v>0</v>
      </c>
      <c r="U130">
        <v>2</v>
      </c>
      <c r="V130">
        <v>2.2999999999999998</v>
      </c>
    </row>
    <row r="131" spans="2:32" x14ac:dyDescent="0.2">
      <c r="B131" t="s">
        <v>1827</v>
      </c>
      <c r="C131">
        <v>1077</v>
      </c>
      <c r="D131" t="s">
        <v>1717</v>
      </c>
      <c r="E131">
        <v>4</v>
      </c>
      <c r="F131" t="s">
        <v>201</v>
      </c>
      <c r="G131">
        <v>3.8159999999999998</v>
      </c>
      <c r="H131">
        <v>1.3</v>
      </c>
      <c r="I131" t="s">
        <v>123</v>
      </c>
      <c r="J131">
        <v>0.55000000000000004</v>
      </c>
      <c r="K131">
        <v>3.05</v>
      </c>
      <c r="L131">
        <v>14.3</v>
      </c>
      <c r="M131" t="s">
        <v>124</v>
      </c>
      <c r="N131">
        <v>0</v>
      </c>
      <c r="O131" t="s">
        <v>616</v>
      </c>
      <c r="Q131">
        <v>0</v>
      </c>
      <c r="R131" t="s">
        <v>616</v>
      </c>
      <c r="S131">
        <v>0</v>
      </c>
      <c r="U131">
        <v>2</v>
      </c>
      <c r="V131">
        <v>3.2</v>
      </c>
    </row>
    <row r="132" spans="2:32" x14ac:dyDescent="0.2">
      <c r="B132" t="s">
        <v>1828</v>
      </c>
      <c r="C132">
        <v>1078</v>
      </c>
      <c r="D132" t="s">
        <v>1717</v>
      </c>
      <c r="E132">
        <v>5</v>
      </c>
      <c r="F132" t="s">
        <v>201</v>
      </c>
      <c r="G132">
        <v>4.7699999999999996</v>
      </c>
      <c r="H132">
        <v>1.6</v>
      </c>
      <c r="I132" t="s">
        <v>123</v>
      </c>
      <c r="J132">
        <v>0.68</v>
      </c>
      <c r="K132">
        <v>3.73</v>
      </c>
      <c r="L132">
        <v>17.5</v>
      </c>
      <c r="M132" t="s">
        <v>124</v>
      </c>
      <c r="N132">
        <v>0</v>
      </c>
      <c r="O132" t="s">
        <v>616</v>
      </c>
      <c r="Q132">
        <v>0</v>
      </c>
      <c r="R132" t="s">
        <v>616</v>
      </c>
      <c r="S132">
        <v>0</v>
      </c>
      <c r="U132">
        <v>2</v>
      </c>
      <c r="V132">
        <v>4.2</v>
      </c>
    </row>
    <row r="133" spans="2:32" x14ac:dyDescent="0.2">
      <c r="B133" t="s">
        <v>1829</v>
      </c>
      <c r="C133">
        <v>1079</v>
      </c>
      <c r="D133" t="s">
        <v>1699</v>
      </c>
      <c r="E133">
        <v>4</v>
      </c>
      <c r="F133" t="s">
        <v>199</v>
      </c>
      <c r="G133">
        <v>4</v>
      </c>
      <c r="H133">
        <v>0.9</v>
      </c>
      <c r="I133" t="s">
        <v>123</v>
      </c>
      <c r="J133">
        <v>0.7</v>
      </c>
      <c r="K133">
        <v>0.18</v>
      </c>
      <c r="L133">
        <v>0</v>
      </c>
      <c r="M133" t="s">
        <v>616</v>
      </c>
      <c r="N133">
        <v>0</v>
      </c>
      <c r="O133" t="s">
        <v>616</v>
      </c>
      <c r="Q133">
        <v>0</v>
      </c>
      <c r="R133" t="s">
        <v>616</v>
      </c>
      <c r="S133">
        <v>0</v>
      </c>
    </row>
    <row r="134" spans="2:32" x14ac:dyDescent="0.2">
      <c r="B134" t="s">
        <v>1830</v>
      </c>
      <c r="C134">
        <v>1080</v>
      </c>
      <c r="D134" t="s">
        <v>1699</v>
      </c>
      <c r="E134">
        <v>6</v>
      </c>
      <c r="F134" t="s">
        <v>199</v>
      </c>
      <c r="G134">
        <v>6</v>
      </c>
      <c r="H134">
        <v>1.35</v>
      </c>
      <c r="I134" t="s">
        <v>123</v>
      </c>
      <c r="J134">
        <v>1.4</v>
      </c>
      <c r="K134">
        <v>0.28999999999999998</v>
      </c>
      <c r="L134">
        <v>0</v>
      </c>
      <c r="M134" t="s">
        <v>616</v>
      </c>
      <c r="N134">
        <v>0</v>
      </c>
      <c r="O134" t="s">
        <v>616</v>
      </c>
      <c r="Q134">
        <v>0</v>
      </c>
      <c r="R134" t="s">
        <v>616</v>
      </c>
      <c r="S134">
        <v>0</v>
      </c>
    </row>
    <row r="135" spans="2:32" x14ac:dyDescent="0.2">
      <c r="B135" t="s">
        <v>1831</v>
      </c>
      <c r="C135">
        <v>1081</v>
      </c>
      <c r="D135" t="s">
        <v>1699</v>
      </c>
      <c r="E135">
        <v>8</v>
      </c>
      <c r="F135" t="s">
        <v>199</v>
      </c>
      <c r="G135">
        <v>8</v>
      </c>
      <c r="H135">
        <v>1.8</v>
      </c>
      <c r="I135" t="s">
        <v>123</v>
      </c>
      <c r="J135">
        <v>1.4</v>
      </c>
      <c r="K135">
        <v>0.36</v>
      </c>
      <c r="L135">
        <v>0</v>
      </c>
      <c r="M135" t="s">
        <v>616</v>
      </c>
      <c r="N135">
        <v>0</v>
      </c>
      <c r="O135" t="s">
        <v>616</v>
      </c>
      <c r="Q135">
        <v>0</v>
      </c>
      <c r="R135" t="s">
        <v>616</v>
      </c>
      <c r="S135">
        <v>0</v>
      </c>
    </row>
    <row r="136" spans="2:32" x14ac:dyDescent="0.2">
      <c r="B136" t="s">
        <v>1832</v>
      </c>
      <c r="C136">
        <v>1082</v>
      </c>
      <c r="D136" t="s">
        <v>1699</v>
      </c>
      <c r="E136">
        <v>12</v>
      </c>
      <c r="F136" t="s">
        <v>199</v>
      </c>
      <c r="G136">
        <v>12</v>
      </c>
      <c r="H136">
        <v>2.7</v>
      </c>
      <c r="I136" t="s">
        <v>123</v>
      </c>
      <c r="J136">
        <v>2.1</v>
      </c>
      <c r="K136">
        <v>0.55000000000000004</v>
      </c>
      <c r="L136">
        <v>0</v>
      </c>
      <c r="M136" t="s">
        <v>616</v>
      </c>
      <c r="N136">
        <v>0</v>
      </c>
      <c r="O136" t="s">
        <v>616</v>
      </c>
      <c r="Q136">
        <v>0</v>
      </c>
      <c r="R136" t="s">
        <v>616</v>
      </c>
      <c r="S136">
        <v>0</v>
      </c>
    </row>
    <row r="137" spans="2:32" x14ac:dyDescent="0.2">
      <c r="B137" t="s">
        <v>1833</v>
      </c>
      <c r="C137">
        <v>1083</v>
      </c>
      <c r="D137" t="s">
        <v>1701</v>
      </c>
      <c r="E137">
        <v>4</v>
      </c>
      <c r="F137" t="s">
        <v>199</v>
      </c>
      <c r="G137">
        <v>4</v>
      </c>
      <c r="H137">
        <v>0.9</v>
      </c>
      <c r="I137" t="s">
        <v>123</v>
      </c>
      <c r="J137">
        <v>0.7</v>
      </c>
      <c r="K137">
        <v>0.18</v>
      </c>
      <c r="L137">
        <v>0</v>
      </c>
      <c r="M137" t="s">
        <v>616</v>
      </c>
      <c r="N137">
        <v>0</v>
      </c>
      <c r="O137" t="s">
        <v>616</v>
      </c>
      <c r="Q137">
        <v>0</v>
      </c>
      <c r="R137" t="s">
        <v>616</v>
      </c>
      <c r="S137">
        <v>0</v>
      </c>
      <c r="W137">
        <v>1</v>
      </c>
      <c r="AF137">
        <v>1.5</v>
      </c>
    </row>
    <row r="138" spans="2:32" x14ac:dyDescent="0.2">
      <c r="B138" t="s">
        <v>1834</v>
      </c>
      <c r="C138">
        <v>1084</v>
      </c>
      <c r="D138" t="s">
        <v>1701</v>
      </c>
      <c r="E138">
        <v>6</v>
      </c>
      <c r="F138" t="s">
        <v>199</v>
      </c>
      <c r="G138">
        <v>6</v>
      </c>
      <c r="H138">
        <v>1.35</v>
      </c>
      <c r="I138" t="s">
        <v>123</v>
      </c>
      <c r="J138">
        <v>1.4</v>
      </c>
      <c r="K138">
        <v>0.28999999999999998</v>
      </c>
      <c r="L138">
        <v>0</v>
      </c>
      <c r="M138" t="s">
        <v>616</v>
      </c>
      <c r="N138">
        <v>0</v>
      </c>
      <c r="O138" t="s">
        <v>616</v>
      </c>
      <c r="Q138">
        <v>0</v>
      </c>
      <c r="R138" t="s">
        <v>616</v>
      </c>
      <c r="S138">
        <v>0</v>
      </c>
      <c r="W138">
        <v>1.6</v>
      </c>
      <c r="AF138">
        <v>2.2999999999999998</v>
      </c>
    </row>
    <row r="139" spans="2:32" x14ac:dyDescent="0.2">
      <c r="B139" t="s">
        <v>1835</v>
      </c>
      <c r="C139">
        <v>1085</v>
      </c>
      <c r="D139" t="s">
        <v>1701</v>
      </c>
      <c r="E139">
        <v>8</v>
      </c>
      <c r="F139" t="s">
        <v>199</v>
      </c>
      <c r="G139">
        <v>8</v>
      </c>
      <c r="H139">
        <v>1.8</v>
      </c>
      <c r="I139" t="s">
        <v>123</v>
      </c>
      <c r="J139">
        <v>1.4</v>
      </c>
      <c r="K139">
        <v>0.36</v>
      </c>
      <c r="L139">
        <v>0</v>
      </c>
      <c r="M139" t="s">
        <v>616</v>
      </c>
      <c r="N139">
        <v>0</v>
      </c>
      <c r="O139" t="s">
        <v>616</v>
      </c>
      <c r="Q139">
        <v>0</v>
      </c>
      <c r="R139" t="s">
        <v>616</v>
      </c>
      <c r="S139">
        <v>0</v>
      </c>
      <c r="W139">
        <v>1.9</v>
      </c>
      <c r="AF139">
        <v>3</v>
      </c>
    </row>
    <row r="140" spans="2:32" x14ac:dyDescent="0.2">
      <c r="B140" t="s">
        <v>1836</v>
      </c>
      <c r="C140">
        <v>1086</v>
      </c>
      <c r="D140" t="s">
        <v>1701</v>
      </c>
      <c r="E140">
        <v>12</v>
      </c>
      <c r="F140" t="s">
        <v>199</v>
      </c>
      <c r="G140">
        <v>12</v>
      </c>
      <c r="H140">
        <v>2.7</v>
      </c>
      <c r="I140" t="s">
        <v>123</v>
      </c>
      <c r="J140">
        <v>2.1</v>
      </c>
      <c r="K140">
        <v>0.55000000000000004</v>
      </c>
      <c r="L140">
        <v>0</v>
      </c>
      <c r="M140" t="s">
        <v>616</v>
      </c>
      <c r="N140">
        <v>0</v>
      </c>
      <c r="O140" t="s">
        <v>616</v>
      </c>
      <c r="Q140">
        <v>0</v>
      </c>
      <c r="R140" t="s">
        <v>616</v>
      </c>
      <c r="S140">
        <v>0</v>
      </c>
      <c r="W140">
        <v>2.9</v>
      </c>
      <c r="AF140">
        <v>4.5</v>
      </c>
    </row>
    <row r="141" spans="2:32" x14ac:dyDescent="0.2">
      <c r="B141" t="s">
        <v>1837</v>
      </c>
      <c r="C141">
        <v>1087</v>
      </c>
      <c r="D141" t="s">
        <v>1788</v>
      </c>
      <c r="E141">
        <v>2</v>
      </c>
      <c r="F141" t="s">
        <v>201</v>
      </c>
      <c r="G141">
        <v>1</v>
      </c>
      <c r="H141">
        <v>0.6</v>
      </c>
      <c r="I141" t="s">
        <v>123</v>
      </c>
      <c r="J141">
        <v>0.3</v>
      </c>
      <c r="K141">
        <v>0.4</v>
      </c>
      <c r="L141">
        <v>0</v>
      </c>
      <c r="M141" t="s">
        <v>616</v>
      </c>
      <c r="N141">
        <v>0</v>
      </c>
      <c r="O141" t="s">
        <v>616</v>
      </c>
      <c r="Q141">
        <v>0</v>
      </c>
      <c r="R141" t="s">
        <v>616</v>
      </c>
      <c r="S141">
        <v>0</v>
      </c>
    </row>
    <row r="142" spans="2:32" x14ac:dyDescent="0.2">
      <c r="B142" t="s">
        <v>1838</v>
      </c>
      <c r="C142">
        <v>1088</v>
      </c>
      <c r="D142" t="s">
        <v>1788</v>
      </c>
      <c r="E142">
        <v>3</v>
      </c>
      <c r="F142" t="s">
        <v>201</v>
      </c>
      <c r="G142">
        <v>1.5</v>
      </c>
      <c r="H142">
        <v>0.9</v>
      </c>
      <c r="I142" t="s">
        <v>123</v>
      </c>
      <c r="J142">
        <v>0.45</v>
      </c>
      <c r="K142">
        <v>0.6</v>
      </c>
      <c r="L142">
        <v>0</v>
      </c>
      <c r="M142" t="s">
        <v>616</v>
      </c>
      <c r="N142">
        <v>0</v>
      </c>
      <c r="O142" t="s">
        <v>616</v>
      </c>
      <c r="Q142">
        <v>0</v>
      </c>
      <c r="R142" t="s">
        <v>616</v>
      </c>
      <c r="S142">
        <v>0</v>
      </c>
    </row>
    <row r="143" spans="2:32" x14ac:dyDescent="0.2">
      <c r="B143" t="s">
        <v>1839</v>
      </c>
      <c r="C143">
        <v>1089</v>
      </c>
      <c r="D143" t="s">
        <v>1788</v>
      </c>
      <c r="E143">
        <v>4</v>
      </c>
      <c r="F143" t="s">
        <v>201</v>
      </c>
      <c r="G143">
        <v>2</v>
      </c>
      <c r="H143">
        <v>1.2</v>
      </c>
      <c r="I143" t="s">
        <v>123</v>
      </c>
      <c r="J143">
        <v>0.6</v>
      </c>
      <c r="K143">
        <v>0.8</v>
      </c>
      <c r="L143">
        <v>0</v>
      </c>
      <c r="M143" t="s">
        <v>616</v>
      </c>
      <c r="N143">
        <v>0</v>
      </c>
      <c r="O143" t="s">
        <v>616</v>
      </c>
      <c r="Q143">
        <v>0</v>
      </c>
      <c r="R143" t="s">
        <v>616</v>
      </c>
      <c r="S143">
        <v>0</v>
      </c>
    </row>
    <row r="144" spans="2:32" x14ac:dyDescent="0.2">
      <c r="B144" t="s">
        <v>1840</v>
      </c>
      <c r="C144">
        <v>1090</v>
      </c>
      <c r="D144" t="s">
        <v>1788</v>
      </c>
      <c r="E144">
        <v>5</v>
      </c>
      <c r="F144" t="s">
        <v>201</v>
      </c>
      <c r="G144">
        <v>2.5</v>
      </c>
      <c r="H144">
        <v>1.5</v>
      </c>
      <c r="I144" t="s">
        <v>123</v>
      </c>
      <c r="J144">
        <v>0.75</v>
      </c>
      <c r="K144">
        <v>1</v>
      </c>
      <c r="L144">
        <v>0</v>
      </c>
      <c r="M144" t="s">
        <v>616</v>
      </c>
      <c r="N144">
        <v>0</v>
      </c>
      <c r="O144" t="s">
        <v>616</v>
      </c>
      <c r="Q144">
        <v>0</v>
      </c>
      <c r="R144" t="s">
        <v>616</v>
      </c>
      <c r="S144">
        <v>0</v>
      </c>
    </row>
    <row r="145" spans="2:22" x14ac:dyDescent="0.2">
      <c r="B145" t="s">
        <v>1841</v>
      </c>
      <c r="C145">
        <v>1091</v>
      </c>
      <c r="D145" t="s">
        <v>1758</v>
      </c>
      <c r="E145">
        <v>4</v>
      </c>
      <c r="F145" t="s">
        <v>199</v>
      </c>
      <c r="G145">
        <v>1.6</v>
      </c>
      <c r="H145">
        <v>0.44</v>
      </c>
      <c r="I145" t="s">
        <v>123</v>
      </c>
      <c r="J145">
        <v>0.42</v>
      </c>
      <c r="K145">
        <v>1.25</v>
      </c>
      <c r="L145">
        <v>0</v>
      </c>
      <c r="M145" t="s">
        <v>616</v>
      </c>
      <c r="N145">
        <v>0</v>
      </c>
      <c r="O145" t="s">
        <v>616</v>
      </c>
      <c r="Q145">
        <v>0</v>
      </c>
      <c r="R145" t="s">
        <v>616</v>
      </c>
      <c r="S145">
        <v>0</v>
      </c>
    </row>
    <row r="146" spans="2:22" x14ac:dyDescent="0.2">
      <c r="B146" t="s">
        <v>1842</v>
      </c>
      <c r="C146">
        <v>1092</v>
      </c>
      <c r="D146" t="s">
        <v>1758</v>
      </c>
      <c r="E146">
        <v>6</v>
      </c>
      <c r="F146" t="s">
        <v>199</v>
      </c>
      <c r="G146">
        <v>2.4</v>
      </c>
      <c r="H146">
        <v>0.88</v>
      </c>
      <c r="I146" t="s">
        <v>123</v>
      </c>
      <c r="J146">
        <v>0.62</v>
      </c>
      <c r="K146">
        <v>1.88</v>
      </c>
      <c r="L146">
        <v>0</v>
      </c>
      <c r="M146" t="s">
        <v>616</v>
      </c>
      <c r="N146">
        <v>0</v>
      </c>
      <c r="O146" t="s">
        <v>616</v>
      </c>
      <c r="Q146">
        <v>0</v>
      </c>
      <c r="R146" t="s">
        <v>616</v>
      </c>
      <c r="S146">
        <v>0</v>
      </c>
    </row>
    <row r="147" spans="2:22" x14ac:dyDescent="0.2">
      <c r="B147" t="s">
        <v>1843</v>
      </c>
      <c r="C147">
        <v>1093</v>
      </c>
      <c r="D147" t="s">
        <v>1758</v>
      </c>
      <c r="E147">
        <v>8</v>
      </c>
      <c r="F147" t="s">
        <v>199</v>
      </c>
      <c r="G147">
        <v>3.2</v>
      </c>
      <c r="H147">
        <v>0.88</v>
      </c>
      <c r="I147" t="s">
        <v>123</v>
      </c>
      <c r="J147">
        <v>0.83</v>
      </c>
      <c r="K147">
        <v>2</v>
      </c>
      <c r="L147">
        <v>0</v>
      </c>
      <c r="M147" t="s">
        <v>616</v>
      </c>
      <c r="N147">
        <v>0</v>
      </c>
      <c r="O147" t="s">
        <v>616</v>
      </c>
      <c r="Q147">
        <v>0</v>
      </c>
      <c r="R147" t="s">
        <v>616</v>
      </c>
      <c r="S147">
        <v>0</v>
      </c>
    </row>
    <row r="148" spans="2:22" x14ac:dyDescent="0.2">
      <c r="B148" t="s">
        <v>1844</v>
      </c>
      <c r="C148">
        <v>1094</v>
      </c>
      <c r="D148" t="s">
        <v>1758</v>
      </c>
      <c r="E148">
        <v>10</v>
      </c>
      <c r="F148" t="s">
        <v>199</v>
      </c>
      <c r="G148">
        <v>4</v>
      </c>
      <c r="H148">
        <v>0.88</v>
      </c>
      <c r="I148" t="s">
        <v>123</v>
      </c>
      <c r="J148">
        <v>1.04</v>
      </c>
      <c r="K148">
        <v>3.13</v>
      </c>
      <c r="L148">
        <v>0</v>
      </c>
      <c r="M148" t="s">
        <v>616</v>
      </c>
      <c r="N148">
        <v>0</v>
      </c>
      <c r="O148" t="s">
        <v>616</v>
      </c>
      <c r="Q148">
        <v>0</v>
      </c>
      <c r="R148" t="s">
        <v>616</v>
      </c>
      <c r="S148">
        <v>0</v>
      </c>
    </row>
    <row r="149" spans="2:22" x14ac:dyDescent="0.2">
      <c r="B149" t="s">
        <v>1845</v>
      </c>
      <c r="C149">
        <v>1095</v>
      </c>
      <c r="D149" t="s">
        <v>1758</v>
      </c>
      <c r="E149">
        <v>12</v>
      </c>
      <c r="F149" t="s">
        <v>199</v>
      </c>
      <c r="G149">
        <v>4.8</v>
      </c>
      <c r="H149">
        <v>0.96</v>
      </c>
      <c r="I149" t="s">
        <v>123</v>
      </c>
      <c r="J149">
        <v>1.26</v>
      </c>
      <c r="K149">
        <v>3.75</v>
      </c>
      <c r="L149">
        <v>0</v>
      </c>
      <c r="M149" t="s">
        <v>616</v>
      </c>
      <c r="N149">
        <v>0</v>
      </c>
      <c r="O149" t="s">
        <v>616</v>
      </c>
      <c r="Q149">
        <v>0</v>
      </c>
      <c r="R149" t="s">
        <v>616</v>
      </c>
      <c r="S149">
        <v>0</v>
      </c>
    </row>
    <row r="150" spans="2:22" x14ac:dyDescent="0.2">
      <c r="B150" t="s">
        <v>1846</v>
      </c>
      <c r="C150">
        <v>1096</v>
      </c>
      <c r="D150" t="s">
        <v>1756</v>
      </c>
      <c r="E150">
        <v>4</v>
      </c>
      <c r="F150" t="s">
        <v>199</v>
      </c>
      <c r="G150">
        <v>1.6</v>
      </c>
      <c r="H150">
        <v>0.44</v>
      </c>
      <c r="I150" t="s">
        <v>123</v>
      </c>
      <c r="J150">
        <v>0.42</v>
      </c>
      <c r="K150">
        <v>1.25</v>
      </c>
      <c r="L150">
        <v>0</v>
      </c>
      <c r="M150" t="s">
        <v>616</v>
      </c>
      <c r="N150">
        <v>0</v>
      </c>
      <c r="O150" t="s">
        <v>616</v>
      </c>
      <c r="Q150">
        <v>0</v>
      </c>
      <c r="S150">
        <v>0</v>
      </c>
    </row>
    <row r="151" spans="2:22" x14ac:dyDescent="0.2">
      <c r="B151" t="s">
        <v>1847</v>
      </c>
      <c r="C151">
        <v>1097</v>
      </c>
      <c r="D151" t="s">
        <v>1756</v>
      </c>
      <c r="E151">
        <v>6</v>
      </c>
      <c r="F151" t="s">
        <v>199</v>
      </c>
      <c r="G151">
        <v>2.4</v>
      </c>
      <c r="H151">
        <v>0.88</v>
      </c>
      <c r="I151" t="s">
        <v>123</v>
      </c>
      <c r="J151">
        <v>0.62</v>
      </c>
      <c r="K151">
        <v>1.88</v>
      </c>
      <c r="L151">
        <v>0</v>
      </c>
      <c r="M151" t="s">
        <v>616</v>
      </c>
      <c r="N151">
        <v>0</v>
      </c>
      <c r="O151" t="s">
        <v>616</v>
      </c>
      <c r="Q151">
        <v>0</v>
      </c>
      <c r="S151">
        <v>0</v>
      </c>
    </row>
    <row r="152" spans="2:22" x14ac:dyDescent="0.2">
      <c r="B152" t="s">
        <v>1848</v>
      </c>
      <c r="C152">
        <v>1098</v>
      </c>
      <c r="D152" t="s">
        <v>1756</v>
      </c>
      <c r="E152">
        <v>8</v>
      </c>
      <c r="F152" t="s">
        <v>199</v>
      </c>
      <c r="G152">
        <v>3.2</v>
      </c>
      <c r="H152">
        <v>0.88</v>
      </c>
      <c r="I152" t="s">
        <v>123</v>
      </c>
      <c r="J152">
        <v>0.83</v>
      </c>
      <c r="K152">
        <v>2</v>
      </c>
      <c r="L152">
        <v>0</v>
      </c>
      <c r="M152" t="s">
        <v>616</v>
      </c>
      <c r="N152">
        <v>0</v>
      </c>
      <c r="O152" t="s">
        <v>616</v>
      </c>
      <c r="Q152">
        <v>0</v>
      </c>
      <c r="S152">
        <v>0</v>
      </c>
    </row>
    <row r="153" spans="2:22" x14ac:dyDescent="0.2">
      <c r="B153" t="s">
        <v>1849</v>
      </c>
      <c r="C153">
        <v>1099</v>
      </c>
      <c r="D153" t="s">
        <v>1756</v>
      </c>
      <c r="E153">
        <v>10</v>
      </c>
      <c r="F153" t="s">
        <v>199</v>
      </c>
      <c r="G153">
        <v>4</v>
      </c>
      <c r="H153">
        <v>0.88</v>
      </c>
      <c r="I153" t="s">
        <v>123</v>
      </c>
      <c r="J153">
        <v>1.04</v>
      </c>
      <c r="K153">
        <v>3.13</v>
      </c>
      <c r="L153">
        <v>0</v>
      </c>
      <c r="M153" t="s">
        <v>616</v>
      </c>
      <c r="N153">
        <v>0</v>
      </c>
      <c r="O153" t="s">
        <v>616</v>
      </c>
      <c r="Q153">
        <v>0</v>
      </c>
      <c r="S153">
        <v>0</v>
      </c>
    </row>
    <row r="154" spans="2:22" x14ac:dyDescent="0.2">
      <c r="B154" t="s">
        <v>1850</v>
      </c>
      <c r="C154">
        <v>1100</v>
      </c>
      <c r="D154" t="s">
        <v>1756</v>
      </c>
      <c r="E154">
        <v>12</v>
      </c>
      <c r="F154" t="s">
        <v>199</v>
      </c>
      <c r="G154">
        <v>4.8</v>
      </c>
      <c r="H154">
        <v>0.96</v>
      </c>
      <c r="I154" t="s">
        <v>123</v>
      </c>
      <c r="J154">
        <v>1.26</v>
      </c>
      <c r="K154">
        <v>3.75</v>
      </c>
      <c r="L154">
        <v>0</v>
      </c>
      <c r="M154" t="s">
        <v>616</v>
      </c>
      <c r="N154">
        <v>0</v>
      </c>
      <c r="O154" t="s">
        <v>616</v>
      </c>
      <c r="Q154">
        <v>0</v>
      </c>
      <c r="S154">
        <v>0</v>
      </c>
    </row>
    <row r="155" spans="2:22" x14ac:dyDescent="0.2">
      <c r="B155" t="s">
        <v>1851</v>
      </c>
      <c r="C155">
        <v>1101</v>
      </c>
      <c r="D155" t="s">
        <v>1742</v>
      </c>
      <c r="E155">
        <v>4</v>
      </c>
      <c r="F155" t="s">
        <v>199</v>
      </c>
      <c r="G155">
        <v>1.62</v>
      </c>
      <c r="H155">
        <v>0.22</v>
      </c>
      <c r="I155" t="s">
        <v>123</v>
      </c>
      <c r="J155">
        <v>0.23</v>
      </c>
      <c r="K155">
        <v>0.18</v>
      </c>
      <c r="L155">
        <v>0</v>
      </c>
      <c r="M155" t="s">
        <v>616</v>
      </c>
      <c r="N155">
        <v>0</v>
      </c>
      <c r="O155" t="s">
        <v>616</v>
      </c>
      <c r="Q155">
        <v>0</v>
      </c>
      <c r="S155">
        <v>0</v>
      </c>
      <c r="V155">
        <v>1</v>
      </c>
    </row>
    <row r="156" spans="2:22" x14ac:dyDescent="0.2">
      <c r="B156" t="s">
        <v>1852</v>
      </c>
      <c r="C156">
        <v>1102</v>
      </c>
      <c r="D156" t="s">
        <v>1742</v>
      </c>
      <c r="E156">
        <v>6</v>
      </c>
      <c r="F156" t="s">
        <v>199</v>
      </c>
      <c r="G156">
        <v>2.4300000000000002</v>
      </c>
      <c r="H156">
        <v>0.44</v>
      </c>
      <c r="I156" t="s">
        <v>123</v>
      </c>
      <c r="J156">
        <v>0.44</v>
      </c>
      <c r="K156">
        <v>0.35</v>
      </c>
      <c r="L156">
        <v>0</v>
      </c>
      <c r="M156" t="s">
        <v>616</v>
      </c>
      <c r="N156">
        <v>0</v>
      </c>
      <c r="O156" t="s">
        <v>616</v>
      </c>
      <c r="Q156">
        <v>0</v>
      </c>
      <c r="S156">
        <v>0</v>
      </c>
      <c r="V156">
        <v>1.5</v>
      </c>
    </row>
    <row r="157" spans="2:22" x14ac:dyDescent="0.2">
      <c r="B157" t="s">
        <v>1853</v>
      </c>
      <c r="C157">
        <v>1103</v>
      </c>
      <c r="D157" t="s">
        <v>1742</v>
      </c>
      <c r="E157">
        <v>8</v>
      </c>
      <c r="F157" t="s">
        <v>199</v>
      </c>
      <c r="G157">
        <v>3.24</v>
      </c>
      <c r="H157">
        <v>0.44</v>
      </c>
      <c r="I157" t="s">
        <v>123</v>
      </c>
      <c r="J157">
        <v>0.44</v>
      </c>
      <c r="K157">
        <v>0.39</v>
      </c>
      <c r="L157">
        <v>0</v>
      </c>
      <c r="M157" t="s">
        <v>616</v>
      </c>
      <c r="N157">
        <v>0</v>
      </c>
      <c r="O157" t="s">
        <v>616</v>
      </c>
      <c r="Q157">
        <v>0</v>
      </c>
      <c r="S157">
        <v>0</v>
      </c>
      <c r="V157">
        <v>2</v>
      </c>
    </row>
    <row r="158" spans="2:22" x14ac:dyDescent="0.2">
      <c r="B158" t="s">
        <v>1854</v>
      </c>
      <c r="C158">
        <v>1104</v>
      </c>
      <c r="D158" t="s">
        <v>1742</v>
      </c>
      <c r="E158">
        <v>12</v>
      </c>
      <c r="F158" t="s">
        <v>199</v>
      </c>
      <c r="G158">
        <v>4.8600000000000003</v>
      </c>
      <c r="H158">
        <v>0.66</v>
      </c>
      <c r="I158" t="s">
        <v>123</v>
      </c>
      <c r="J158">
        <v>0.64</v>
      </c>
      <c r="K158">
        <v>0.63</v>
      </c>
      <c r="L158">
        <v>0</v>
      </c>
      <c r="M158" t="s">
        <v>616</v>
      </c>
      <c r="N158">
        <v>0</v>
      </c>
      <c r="O158" t="s">
        <v>616</v>
      </c>
      <c r="Q158">
        <v>0</v>
      </c>
      <c r="S158">
        <v>0</v>
      </c>
      <c r="V158">
        <v>3</v>
      </c>
    </row>
    <row r="159" spans="2:22" x14ac:dyDescent="0.2">
      <c r="B159" t="s">
        <v>1855</v>
      </c>
      <c r="C159">
        <v>1105</v>
      </c>
      <c r="D159" t="s">
        <v>1744</v>
      </c>
      <c r="E159">
        <v>4</v>
      </c>
      <c r="F159" t="s">
        <v>199</v>
      </c>
      <c r="G159">
        <v>1.62</v>
      </c>
      <c r="H159">
        <v>0.22</v>
      </c>
      <c r="I159" t="s">
        <v>123</v>
      </c>
      <c r="J159">
        <v>0.23</v>
      </c>
      <c r="K159">
        <v>0.18</v>
      </c>
      <c r="L159">
        <v>0</v>
      </c>
      <c r="M159" t="s">
        <v>616</v>
      </c>
      <c r="N159">
        <v>0</v>
      </c>
      <c r="O159" t="s">
        <v>616</v>
      </c>
      <c r="Q159">
        <v>0</v>
      </c>
      <c r="S159">
        <v>0</v>
      </c>
      <c r="V159">
        <v>1</v>
      </c>
    </row>
    <row r="160" spans="2:22" x14ac:dyDescent="0.2">
      <c r="B160" t="s">
        <v>1856</v>
      </c>
      <c r="C160">
        <v>1106</v>
      </c>
      <c r="D160" t="s">
        <v>1744</v>
      </c>
      <c r="E160">
        <v>6</v>
      </c>
      <c r="F160" t="s">
        <v>199</v>
      </c>
      <c r="G160">
        <v>2.4300000000000002</v>
      </c>
      <c r="H160">
        <v>0.44</v>
      </c>
      <c r="I160" t="s">
        <v>123</v>
      </c>
      <c r="J160">
        <v>0.44</v>
      </c>
      <c r="K160">
        <v>0.35</v>
      </c>
      <c r="L160">
        <v>0</v>
      </c>
      <c r="M160" t="s">
        <v>616</v>
      </c>
      <c r="N160">
        <v>0</v>
      </c>
      <c r="O160" t="s">
        <v>616</v>
      </c>
      <c r="Q160">
        <v>0</v>
      </c>
      <c r="S160">
        <v>0</v>
      </c>
      <c r="V160">
        <v>1.5</v>
      </c>
    </row>
    <row r="161" spans="2:32" x14ac:dyDescent="0.2">
      <c r="B161" t="s">
        <v>1857</v>
      </c>
      <c r="C161">
        <v>1107</v>
      </c>
      <c r="D161" t="s">
        <v>1744</v>
      </c>
      <c r="E161">
        <v>8</v>
      </c>
      <c r="F161" t="s">
        <v>199</v>
      </c>
      <c r="G161">
        <v>3.24</v>
      </c>
      <c r="H161">
        <v>0.44</v>
      </c>
      <c r="I161" t="s">
        <v>123</v>
      </c>
      <c r="J161">
        <v>0.44</v>
      </c>
      <c r="K161">
        <v>0.39</v>
      </c>
      <c r="L161">
        <v>0</v>
      </c>
      <c r="M161" t="s">
        <v>616</v>
      </c>
      <c r="N161">
        <v>0</v>
      </c>
      <c r="O161" t="s">
        <v>616</v>
      </c>
      <c r="Q161">
        <v>0</v>
      </c>
      <c r="S161">
        <v>0</v>
      </c>
      <c r="V161">
        <v>2</v>
      </c>
    </row>
    <row r="162" spans="2:32" x14ac:dyDescent="0.2">
      <c r="B162" t="s">
        <v>1858</v>
      </c>
      <c r="C162">
        <v>1108</v>
      </c>
      <c r="D162" t="s">
        <v>1744</v>
      </c>
      <c r="E162">
        <v>12</v>
      </c>
      <c r="F162" t="s">
        <v>199</v>
      </c>
      <c r="G162">
        <v>4.8600000000000003</v>
      </c>
      <c r="H162">
        <v>0.66</v>
      </c>
      <c r="I162" t="s">
        <v>123</v>
      </c>
      <c r="J162">
        <v>0.64</v>
      </c>
      <c r="K162">
        <v>0.63</v>
      </c>
      <c r="L162">
        <v>0</v>
      </c>
      <c r="M162" t="s">
        <v>616</v>
      </c>
      <c r="N162">
        <v>0</v>
      </c>
      <c r="O162" t="s">
        <v>616</v>
      </c>
      <c r="Q162">
        <v>0</v>
      </c>
      <c r="S162">
        <v>0</v>
      </c>
      <c r="V162">
        <v>3</v>
      </c>
    </row>
    <row r="163" spans="2:32" x14ac:dyDescent="0.2">
      <c r="B163" t="s">
        <v>1859</v>
      </c>
      <c r="C163">
        <v>1109</v>
      </c>
      <c r="D163" t="s">
        <v>1711</v>
      </c>
      <c r="E163">
        <v>2</v>
      </c>
      <c r="F163" t="s">
        <v>201</v>
      </c>
      <c r="G163">
        <v>2.036</v>
      </c>
      <c r="H163">
        <v>0.6</v>
      </c>
      <c r="I163" t="s">
        <v>123</v>
      </c>
      <c r="J163">
        <v>0.28000000000000003</v>
      </c>
      <c r="K163">
        <v>1.64</v>
      </c>
      <c r="L163">
        <v>7.5</v>
      </c>
      <c r="M163" t="s">
        <v>124</v>
      </c>
      <c r="N163">
        <v>0</v>
      </c>
      <c r="O163" t="s">
        <v>616</v>
      </c>
      <c r="Q163">
        <v>0</v>
      </c>
      <c r="S163">
        <v>0</v>
      </c>
      <c r="V163">
        <v>0.7</v>
      </c>
    </row>
    <row r="164" spans="2:32" x14ac:dyDescent="0.2">
      <c r="B164" t="s">
        <v>1860</v>
      </c>
      <c r="C164">
        <v>1110</v>
      </c>
      <c r="D164" t="s">
        <v>1711</v>
      </c>
      <c r="E164">
        <v>3</v>
      </c>
      <c r="F164" t="s">
        <v>201</v>
      </c>
      <c r="G164">
        <v>3.0539999999999998</v>
      </c>
      <c r="H164">
        <v>1</v>
      </c>
      <c r="I164" t="s">
        <v>123</v>
      </c>
      <c r="J164">
        <v>0.41</v>
      </c>
      <c r="K164">
        <v>2.33</v>
      </c>
      <c r="L164">
        <v>10.9</v>
      </c>
      <c r="M164" t="s">
        <v>124</v>
      </c>
      <c r="N164">
        <v>0</v>
      </c>
      <c r="O164" t="s">
        <v>616</v>
      </c>
      <c r="Q164">
        <v>0</v>
      </c>
      <c r="S164">
        <v>0</v>
      </c>
      <c r="V164">
        <v>1.1000000000000001</v>
      </c>
    </row>
    <row r="165" spans="2:32" x14ac:dyDescent="0.2">
      <c r="B165" t="s">
        <v>1861</v>
      </c>
      <c r="C165">
        <v>1111</v>
      </c>
      <c r="D165" t="s">
        <v>1711</v>
      </c>
      <c r="E165">
        <v>4</v>
      </c>
      <c r="F165" t="s">
        <v>201</v>
      </c>
      <c r="G165">
        <v>4.0720000000000001</v>
      </c>
      <c r="H165">
        <v>1.3</v>
      </c>
      <c r="I165" t="s">
        <v>123</v>
      </c>
      <c r="J165">
        <v>0.55000000000000004</v>
      </c>
      <c r="K165">
        <v>3.05</v>
      </c>
      <c r="L165">
        <v>14.3</v>
      </c>
      <c r="M165" t="s">
        <v>124</v>
      </c>
      <c r="N165">
        <v>0</v>
      </c>
      <c r="O165" t="s">
        <v>616</v>
      </c>
      <c r="Q165">
        <v>0</v>
      </c>
      <c r="S165">
        <v>0</v>
      </c>
      <c r="V165">
        <v>1.5</v>
      </c>
    </row>
    <row r="166" spans="2:32" x14ac:dyDescent="0.2">
      <c r="B166" t="s">
        <v>1862</v>
      </c>
      <c r="C166">
        <v>1112</v>
      </c>
      <c r="D166" t="s">
        <v>1711</v>
      </c>
      <c r="E166">
        <v>5</v>
      </c>
      <c r="F166" t="s">
        <v>201</v>
      </c>
      <c r="G166">
        <v>5.09</v>
      </c>
      <c r="H166">
        <v>1.6</v>
      </c>
      <c r="I166" t="s">
        <v>123</v>
      </c>
      <c r="J166">
        <v>0.68</v>
      </c>
      <c r="K166">
        <v>3.73</v>
      </c>
      <c r="L166">
        <v>17.5</v>
      </c>
      <c r="M166" t="s">
        <v>124</v>
      </c>
      <c r="N166">
        <v>0</v>
      </c>
      <c r="O166" t="s">
        <v>616</v>
      </c>
      <c r="Q166">
        <v>0</v>
      </c>
      <c r="S166">
        <v>0</v>
      </c>
      <c r="V166">
        <v>1.8</v>
      </c>
    </row>
    <row r="167" spans="2:32" x14ac:dyDescent="0.2">
      <c r="B167" t="s">
        <v>1863</v>
      </c>
      <c r="C167">
        <v>1113</v>
      </c>
      <c r="D167" t="s">
        <v>1713</v>
      </c>
      <c r="E167">
        <v>2</v>
      </c>
      <c r="F167" t="s">
        <v>201</v>
      </c>
      <c r="G167">
        <v>1.9079999999999999</v>
      </c>
      <c r="H167">
        <v>0.6</v>
      </c>
      <c r="I167" t="s">
        <v>123</v>
      </c>
      <c r="J167">
        <v>0.28000000000000003</v>
      </c>
      <c r="K167">
        <v>1.64</v>
      </c>
      <c r="L167">
        <v>7.5</v>
      </c>
      <c r="M167" t="s">
        <v>124</v>
      </c>
      <c r="N167">
        <v>0</v>
      </c>
      <c r="O167" t="s">
        <v>616</v>
      </c>
      <c r="Q167">
        <v>0</v>
      </c>
      <c r="S167">
        <v>0</v>
      </c>
      <c r="V167">
        <v>0.7</v>
      </c>
    </row>
    <row r="168" spans="2:32" x14ac:dyDescent="0.2">
      <c r="B168" t="s">
        <v>1864</v>
      </c>
      <c r="C168">
        <v>1114</v>
      </c>
      <c r="D168" t="s">
        <v>1713</v>
      </c>
      <c r="E168">
        <v>3</v>
      </c>
      <c r="F168" t="s">
        <v>201</v>
      </c>
      <c r="G168">
        <v>2.8620000000000001</v>
      </c>
      <c r="H168">
        <v>1</v>
      </c>
      <c r="I168" t="s">
        <v>123</v>
      </c>
      <c r="J168">
        <v>0.41</v>
      </c>
      <c r="K168">
        <v>2.33</v>
      </c>
      <c r="L168">
        <v>10.9</v>
      </c>
      <c r="M168" t="s">
        <v>124</v>
      </c>
      <c r="N168">
        <v>0</v>
      </c>
      <c r="O168" t="s">
        <v>616</v>
      </c>
      <c r="Q168">
        <v>0</v>
      </c>
      <c r="S168">
        <v>0</v>
      </c>
      <c r="V168">
        <v>1.1000000000000001</v>
      </c>
    </row>
    <row r="169" spans="2:32" x14ac:dyDescent="0.2">
      <c r="B169" t="s">
        <v>1865</v>
      </c>
      <c r="C169">
        <v>1115</v>
      </c>
      <c r="D169" t="s">
        <v>1713</v>
      </c>
      <c r="E169">
        <v>4</v>
      </c>
      <c r="F169" t="s">
        <v>201</v>
      </c>
      <c r="G169">
        <v>3.8159999999999998</v>
      </c>
      <c r="H169">
        <v>1.3</v>
      </c>
      <c r="I169" t="s">
        <v>123</v>
      </c>
      <c r="J169">
        <v>0.55000000000000004</v>
      </c>
      <c r="K169">
        <v>3.0550000000000002</v>
      </c>
      <c r="L169">
        <v>14.3</v>
      </c>
      <c r="M169" t="s">
        <v>124</v>
      </c>
      <c r="N169">
        <v>0</v>
      </c>
      <c r="O169" t="s">
        <v>616</v>
      </c>
      <c r="Q169">
        <v>0</v>
      </c>
      <c r="S169">
        <v>0</v>
      </c>
      <c r="V169">
        <v>1.5</v>
      </c>
    </row>
    <row r="170" spans="2:32" x14ac:dyDescent="0.2">
      <c r="B170" t="s">
        <v>1866</v>
      </c>
      <c r="C170">
        <v>1116</v>
      </c>
      <c r="D170" t="s">
        <v>1713</v>
      </c>
      <c r="E170">
        <v>5</v>
      </c>
      <c r="F170" t="s">
        <v>201</v>
      </c>
      <c r="G170">
        <v>4.7699999999999996</v>
      </c>
      <c r="H170">
        <v>1.6</v>
      </c>
      <c r="I170" t="s">
        <v>123</v>
      </c>
      <c r="J170">
        <v>0.68</v>
      </c>
      <c r="K170">
        <v>3.73</v>
      </c>
      <c r="L170">
        <v>17.5</v>
      </c>
      <c r="M170" t="s">
        <v>124</v>
      </c>
      <c r="N170">
        <v>0</v>
      </c>
      <c r="O170" t="s">
        <v>616</v>
      </c>
      <c r="Q170">
        <v>0</v>
      </c>
      <c r="S170">
        <v>0</v>
      </c>
      <c r="V170">
        <v>1.8</v>
      </c>
    </row>
    <row r="171" spans="2:32" x14ac:dyDescent="0.2">
      <c r="B171" t="s">
        <v>2070</v>
      </c>
      <c r="C171">
        <v>1117</v>
      </c>
      <c r="D171" t="s">
        <v>2021</v>
      </c>
      <c r="E171">
        <v>6</v>
      </c>
      <c r="F171" t="s">
        <v>199</v>
      </c>
      <c r="G171">
        <v>8.5259999999999998</v>
      </c>
      <c r="H171">
        <v>0.84</v>
      </c>
      <c r="I171" t="s">
        <v>123</v>
      </c>
      <c r="J171">
        <v>0.52</v>
      </c>
      <c r="K171">
        <v>0</v>
      </c>
      <c r="L171">
        <v>0</v>
      </c>
      <c r="M171" t="s">
        <v>616</v>
      </c>
      <c r="N171">
        <v>0</v>
      </c>
      <c r="O171" t="s">
        <v>616</v>
      </c>
      <c r="Q171">
        <v>0</v>
      </c>
      <c r="S171">
        <v>0</v>
      </c>
      <c r="W171">
        <v>2.02</v>
      </c>
      <c r="AF171">
        <v>2.2999999999999998</v>
      </c>
    </row>
    <row r="172" spans="2:32" x14ac:dyDescent="0.2">
      <c r="B172" t="s">
        <v>2071</v>
      </c>
      <c r="C172">
        <v>1118</v>
      </c>
      <c r="D172" t="s">
        <v>2056</v>
      </c>
      <c r="E172">
        <v>8</v>
      </c>
      <c r="F172" t="s">
        <v>199</v>
      </c>
      <c r="G172">
        <v>11.368</v>
      </c>
      <c r="H172">
        <v>1.2</v>
      </c>
      <c r="I172" t="s">
        <v>123</v>
      </c>
      <c r="J172">
        <v>0.64</v>
      </c>
      <c r="K172">
        <v>0</v>
      </c>
      <c r="L172">
        <v>0</v>
      </c>
      <c r="M172" t="s">
        <v>616</v>
      </c>
      <c r="N172">
        <v>0</v>
      </c>
      <c r="O172" t="s">
        <v>616</v>
      </c>
      <c r="Q172">
        <v>0</v>
      </c>
      <c r="S172">
        <v>0</v>
      </c>
      <c r="W172">
        <v>2.69</v>
      </c>
      <c r="AF172">
        <v>3.1</v>
      </c>
    </row>
    <row r="173" spans="2:32" x14ac:dyDescent="0.2">
      <c r="B173" t="s">
        <v>2072</v>
      </c>
      <c r="C173">
        <v>1119</v>
      </c>
      <c r="D173" t="s">
        <v>2056</v>
      </c>
      <c r="E173">
        <v>12</v>
      </c>
      <c r="F173" t="s">
        <v>199</v>
      </c>
      <c r="G173">
        <v>17.052</v>
      </c>
      <c r="H173">
        <v>1.8</v>
      </c>
      <c r="I173" t="s">
        <v>123</v>
      </c>
      <c r="J173">
        <v>0.96</v>
      </c>
      <c r="K173">
        <v>0</v>
      </c>
      <c r="L173">
        <v>0</v>
      </c>
      <c r="M173" t="s">
        <v>616</v>
      </c>
      <c r="N173">
        <v>0</v>
      </c>
      <c r="O173" t="s">
        <v>616</v>
      </c>
      <c r="Q173">
        <v>0</v>
      </c>
      <c r="S173">
        <v>0</v>
      </c>
      <c r="W173">
        <v>4.34</v>
      </c>
      <c r="AF173">
        <v>4.5999999999999996</v>
      </c>
    </row>
    <row r="174" spans="2:32" x14ac:dyDescent="0.2">
      <c r="B174" t="s">
        <v>1867</v>
      </c>
      <c r="C174">
        <v>1120</v>
      </c>
      <c r="D174" t="s">
        <v>1697</v>
      </c>
      <c r="E174">
        <v>8</v>
      </c>
      <c r="F174" t="s">
        <v>199</v>
      </c>
      <c r="G174">
        <v>2.4</v>
      </c>
      <c r="H174">
        <v>0.48</v>
      </c>
      <c r="I174" t="s">
        <v>123</v>
      </c>
      <c r="J174">
        <v>0.7</v>
      </c>
      <c r="K174">
        <v>1.4</v>
      </c>
      <c r="L174">
        <v>15.38</v>
      </c>
      <c r="M174" t="s">
        <v>124</v>
      </c>
      <c r="N174">
        <v>0</v>
      </c>
      <c r="O174" t="s">
        <v>616</v>
      </c>
      <c r="Q174">
        <v>0</v>
      </c>
      <c r="S174">
        <v>0</v>
      </c>
    </row>
    <row r="175" spans="2:32" x14ac:dyDescent="0.2">
      <c r="B175" t="s">
        <v>1868</v>
      </c>
      <c r="C175">
        <v>1121</v>
      </c>
      <c r="D175" t="s">
        <v>1697</v>
      </c>
      <c r="E175">
        <v>12</v>
      </c>
      <c r="F175" t="s">
        <v>199</v>
      </c>
      <c r="G175">
        <v>3.72</v>
      </c>
      <c r="H175">
        <v>0.48</v>
      </c>
      <c r="I175" t="s">
        <v>123</v>
      </c>
      <c r="J175">
        <v>0.98</v>
      </c>
      <c r="K175">
        <v>2.08</v>
      </c>
      <c r="L175">
        <v>23.07</v>
      </c>
      <c r="M175" t="s">
        <v>124</v>
      </c>
      <c r="N175">
        <v>0</v>
      </c>
      <c r="O175" t="s">
        <v>616</v>
      </c>
      <c r="Q175">
        <v>0</v>
      </c>
      <c r="S175">
        <v>0</v>
      </c>
    </row>
    <row r="176" spans="2:32" x14ac:dyDescent="0.2">
      <c r="B176" t="s">
        <v>2073</v>
      </c>
      <c r="C176">
        <v>1122</v>
      </c>
      <c r="D176" t="s">
        <v>2053</v>
      </c>
      <c r="E176">
        <v>8</v>
      </c>
      <c r="F176" t="s">
        <v>199</v>
      </c>
      <c r="G176">
        <v>8.16</v>
      </c>
      <c r="H176">
        <v>0.84</v>
      </c>
      <c r="I176" t="s">
        <v>123</v>
      </c>
      <c r="J176">
        <v>0.54</v>
      </c>
      <c r="K176">
        <v>0</v>
      </c>
      <c r="L176">
        <v>0</v>
      </c>
      <c r="M176" t="s">
        <v>616</v>
      </c>
      <c r="N176">
        <v>0</v>
      </c>
      <c r="O176" t="s">
        <v>616</v>
      </c>
      <c r="Q176">
        <v>0</v>
      </c>
      <c r="S176">
        <v>0</v>
      </c>
      <c r="V176">
        <v>1.1000000000000001</v>
      </c>
    </row>
    <row r="177" spans="2:32" x14ac:dyDescent="0.2">
      <c r="B177" t="s">
        <v>2074</v>
      </c>
      <c r="C177">
        <v>1123</v>
      </c>
      <c r="D177" t="s">
        <v>2053</v>
      </c>
      <c r="E177">
        <v>12</v>
      </c>
      <c r="F177" t="s">
        <v>199</v>
      </c>
      <c r="G177">
        <v>12.24</v>
      </c>
      <c r="H177">
        <v>1.26</v>
      </c>
      <c r="I177" t="s">
        <v>123</v>
      </c>
      <c r="J177">
        <v>0.81</v>
      </c>
      <c r="K177">
        <v>0</v>
      </c>
      <c r="L177">
        <v>0</v>
      </c>
      <c r="M177" t="s">
        <v>616</v>
      </c>
      <c r="N177">
        <v>0</v>
      </c>
      <c r="O177" t="s">
        <v>616</v>
      </c>
      <c r="Q177">
        <v>0</v>
      </c>
      <c r="S177">
        <v>0</v>
      </c>
      <c r="V177">
        <v>1.66</v>
      </c>
    </row>
    <row r="178" spans="2:32" x14ac:dyDescent="0.2">
      <c r="B178" t="s">
        <v>2075</v>
      </c>
      <c r="C178">
        <v>1124</v>
      </c>
      <c r="D178" t="s">
        <v>2052</v>
      </c>
      <c r="E178">
        <v>8</v>
      </c>
      <c r="F178" t="s">
        <v>199</v>
      </c>
      <c r="G178">
        <v>8.16</v>
      </c>
      <c r="H178">
        <v>0.84</v>
      </c>
      <c r="I178" t="s">
        <v>123</v>
      </c>
      <c r="J178">
        <v>0.54</v>
      </c>
      <c r="K178">
        <v>0</v>
      </c>
      <c r="L178">
        <v>0</v>
      </c>
      <c r="M178" t="s">
        <v>616</v>
      </c>
      <c r="N178">
        <v>0</v>
      </c>
      <c r="O178" t="s">
        <v>616</v>
      </c>
      <c r="Q178">
        <v>0</v>
      </c>
      <c r="S178">
        <v>0</v>
      </c>
      <c r="V178">
        <v>1.1000000000000001</v>
      </c>
    </row>
    <row r="179" spans="2:32" x14ac:dyDescent="0.2">
      <c r="B179" t="s">
        <v>2076</v>
      </c>
      <c r="C179">
        <v>1125</v>
      </c>
      <c r="D179" t="s">
        <v>2052</v>
      </c>
      <c r="E179">
        <v>12</v>
      </c>
      <c r="F179" t="s">
        <v>199</v>
      </c>
      <c r="G179">
        <v>12.24</v>
      </c>
      <c r="H179">
        <v>1.26</v>
      </c>
      <c r="I179" t="s">
        <v>123</v>
      </c>
      <c r="J179">
        <v>0.81</v>
      </c>
      <c r="K179">
        <v>0</v>
      </c>
      <c r="L179">
        <v>0</v>
      </c>
      <c r="M179" t="s">
        <v>616</v>
      </c>
      <c r="N179">
        <v>0</v>
      </c>
      <c r="O179" t="s">
        <v>616</v>
      </c>
      <c r="Q179">
        <v>0</v>
      </c>
      <c r="S179">
        <v>0</v>
      </c>
      <c r="V179">
        <v>1.66</v>
      </c>
    </row>
    <row r="180" spans="2:32" x14ac:dyDescent="0.2">
      <c r="B180" t="s">
        <v>2077</v>
      </c>
      <c r="C180">
        <v>1126</v>
      </c>
      <c r="D180" t="s">
        <v>2033</v>
      </c>
      <c r="E180">
        <v>6</v>
      </c>
      <c r="F180" t="s">
        <v>199</v>
      </c>
      <c r="G180">
        <v>6.12</v>
      </c>
      <c r="H180">
        <v>0.84</v>
      </c>
      <c r="I180" t="s">
        <v>123</v>
      </c>
      <c r="J180">
        <v>0.44</v>
      </c>
      <c r="K180">
        <v>0</v>
      </c>
      <c r="L180">
        <v>0</v>
      </c>
      <c r="M180" t="s">
        <v>616</v>
      </c>
      <c r="N180">
        <v>0</v>
      </c>
      <c r="O180" t="s">
        <v>616</v>
      </c>
      <c r="Q180">
        <v>0</v>
      </c>
      <c r="S180">
        <v>0</v>
      </c>
      <c r="V180">
        <v>0.82</v>
      </c>
    </row>
    <row r="181" spans="2:32" x14ac:dyDescent="0.2">
      <c r="B181" t="s">
        <v>2078</v>
      </c>
      <c r="C181">
        <v>1127</v>
      </c>
      <c r="D181" t="s">
        <v>2040</v>
      </c>
      <c r="E181">
        <v>6</v>
      </c>
      <c r="F181" t="s">
        <v>199</v>
      </c>
      <c r="G181">
        <v>6.12</v>
      </c>
      <c r="H181">
        <v>0.84</v>
      </c>
      <c r="I181" t="s">
        <v>123</v>
      </c>
      <c r="J181">
        <v>0.44</v>
      </c>
      <c r="K181">
        <v>0</v>
      </c>
      <c r="L181">
        <v>0</v>
      </c>
      <c r="M181" t="s">
        <v>616</v>
      </c>
      <c r="N181">
        <v>0</v>
      </c>
      <c r="O181" t="s">
        <v>616</v>
      </c>
      <c r="Q181">
        <v>0</v>
      </c>
      <c r="S181">
        <v>0</v>
      </c>
      <c r="V181">
        <v>0.82</v>
      </c>
    </row>
    <row r="182" spans="2:32" x14ac:dyDescent="0.2">
      <c r="B182" t="s">
        <v>2079</v>
      </c>
      <c r="C182">
        <v>1128</v>
      </c>
      <c r="D182" t="s">
        <v>2040</v>
      </c>
      <c r="E182">
        <v>8</v>
      </c>
      <c r="F182" t="s">
        <v>199</v>
      </c>
      <c r="G182">
        <v>8.16</v>
      </c>
      <c r="H182">
        <v>0.84</v>
      </c>
      <c r="I182" t="s">
        <v>123</v>
      </c>
      <c r="J182">
        <v>0.54</v>
      </c>
      <c r="K182">
        <v>0</v>
      </c>
      <c r="L182">
        <v>0</v>
      </c>
      <c r="M182" t="s">
        <v>616</v>
      </c>
      <c r="N182">
        <v>0</v>
      </c>
      <c r="O182" t="s">
        <v>616</v>
      </c>
      <c r="Q182">
        <v>0</v>
      </c>
      <c r="S182">
        <v>0</v>
      </c>
      <c r="V182">
        <v>1.1000000000000001</v>
      </c>
    </row>
    <row r="183" spans="2:32" x14ac:dyDescent="0.2">
      <c r="B183" t="s">
        <v>2080</v>
      </c>
      <c r="C183">
        <v>1129</v>
      </c>
      <c r="D183" t="s">
        <v>2040</v>
      </c>
      <c r="E183">
        <v>12</v>
      </c>
      <c r="F183" t="s">
        <v>199</v>
      </c>
      <c r="G183">
        <v>12.24</v>
      </c>
      <c r="H183">
        <v>1.26</v>
      </c>
      <c r="I183" t="s">
        <v>123</v>
      </c>
      <c r="J183">
        <v>0.81</v>
      </c>
      <c r="K183">
        <v>0</v>
      </c>
      <c r="L183">
        <v>0</v>
      </c>
      <c r="M183" t="s">
        <v>616</v>
      </c>
      <c r="N183">
        <v>0</v>
      </c>
      <c r="O183" t="s">
        <v>616</v>
      </c>
      <c r="Q183">
        <v>0</v>
      </c>
      <c r="S183">
        <v>0</v>
      </c>
      <c r="V183">
        <v>1.66</v>
      </c>
    </row>
    <row r="184" spans="2:32" x14ac:dyDescent="0.2">
      <c r="B184" t="s">
        <v>1869</v>
      </c>
      <c r="C184">
        <v>1130</v>
      </c>
      <c r="D184" t="s">
        <v>1754</v>
      </c>
      <c r="E184">
        <v>6</v>
      </c>
      <c r="F184" t="s">
        <v>199</v>
      </c>
      <c r="G184">
        <v>4.4450000000000003</v>
      </c>
      <c r="H184">
        <v>0.9</v>
      </c>
      <c r="I184" t="s">
        <v>123</v>
      </c>
      <c r="J184">
        <v>0.62</v>
      </c>
      <c r="K184">
        <v>0</v>
      </c>
      <c r="L184">
        <v>0</v>
      </c>
      <c r="M184" t="s">
        <v>616</v>
      </c>
      <c r="N184">
        <v>0</v>
      </c>
      <c r="O184" t="s">
        <v>616</v>
      </c>
      <c r="Q184">
        <v>0</v>
      </c>
      <c r="S184">
        <v>0</v>
      </c>
      <c r="V184">
        <v>2.8</v>
      </c>
    </row>
    <row r="185" spans="2:32" x14ac:dyDescent="0.2">
      <c r="B185" t="s">
        <v>2081</v>
      </c>
      <c r="C185">
        <v>1131</v>
      </c>
      <c r="D185" t="s">
        <v>2051</v>
      </c>
      <c r="E185">
        <v>8</v>
      </c>
      <c r="F185" t="s">
        <v>199</v>
      </c>
      <c r="G185">
        <v>9.2550000000000008</v>
      </c>
      <c r="H185">
        <v>0.84</v>
      </c>
      <c r="I185" t="s">
        <v>123</v>
      </c>
      <c r="J185">
        <v>0.54</v>
      </c>
      <c r="K185">
        <v>0</v>
      </c>
      <c r="L185">
        <v>0</v>
      </c>
      <c r="M185" t="s">
        <v>616</v>
      </c>
      <c r="N185">
        <v>0</v>
      </c>
      <c r="O185" t="s">
        <v>616</v>
      </c>
      <c r="Q185">
        <v>0</v>
      </c>
      <c r="S185">
        <v>0</v>
      </c>
      <c r="V185">
        <v>1.1000000000000001</v>
      </c>
    </row>
    <row r="186" spans="2:32" x14ac:dyDescent="0.2">
      <c r="B186" t="s">
        <v>2082</v>
      </c>
      <c r="C186">
        <v>1132</v>
      </c>
      <c r="D186" t="s">
        <v>2051</v>
      </c>
      <c r="E186">
        <v>12</v>
      </c>
      <c r="F186" t="s">
        <v>199</v>
      </c>
      <c r="G186">
        <v>13.888</v>
      </c>
      <c r="H186">
        <v>1.26</v>
      </c>
      <c r="I186" t="s">
        <v>123</v>
      </c>
      <c r="J186">
        <v>0.81</v>
      </c>
      <c r="K186">
        <v>0</v>
      </c>
      <c r="L186">
        <v>0</v>
      </c>
      <c r="M186" t="s">
        <v>616</v>
      </c>
      <c r="N186">
        <v>0</v>
      </c>
      <c r="O186" t="s">
        <v>616</v>
      </c>
      <c r="Q186">
        <v>0</v>
      </c>
      <c r="S186">
        <v>0</v>
      </c>
      <c r="V186">
        <v>1.66</v>
      </c>
    </row>
    <row r="187" spans="2:32" x14ac:dyDescent="0.2">
      <c r="B187" t="s">
        <v>2083</v>
      </c>
      <c r="C187">
        <v>1133</v>
      </c>
      <c r="D187" t="s">
        <v>2032</v>
      </c>
      <c r="E187">
        <v>6</v>
      </c>
      <c r="F187" t="s">
        <v>199</v>
      </c>
      <c r="G187">
        <v>6.9420000000000002</v>
      </c>
      <c r="H187">
        <v>0.84</v>
      </c>
      <c r="I187" t="s">
        <v>123</v>
      </c>
      <c r="J187">
        <v>0.44</v>
      </c>
      <c r="K187">
        <v>0</v>
      </c>
      <c r="L187">
        <v>0</v>
      </c>
      <c r="M187" t="s">
        <v>616</v>
      </c>
      <c r="N187">
        <v>0</v>
      </c>
      <c r="O187" t="s">
        <v>616</v>
      </c>
      <c r="Q187">
        <v>0</v>
      </c>
      <c r="S187">
        <v>0</v>
      </c>
      <c r="V187">
        <v>0.82</v>
      </c>
    </row>
    <row r="188" spans="2:32" x14ac:dyDescent="0.2">
      <c r="B188" t="s">
        <v>2084</v>
      </c>
      <c r="C188">
        <v>1134</v>
      </c>
      <c r="D188" t="s">
        <v>2039</v>
      </c>
      <c r="E188">
        <v>6</v>
      </c>
      <c r="F188" t="s">
        <v>199</v>
      </c>
      <c r="G188">
        <v>6.9420000000000002</v>
      </c>
      <c r="H188">
        <v>0.84</v>
      </c>
      <c r="I188" t="s">
        <v>123</v>
      </c>
      <c r="J188">
        <v>0.44</v>
      </c>
      <c r="K188">
        <v>0</v>
      </c>
      <c r="L188">
        <v>0</v>
      </c>
      <c r="M188" t="s">
        <v>616</v>
      </c>
      <c r="N188">
        <v>0</v>
      </c>
      <c r="O188" t="s">
        <v>616</v>
      </c>
      <c r="Q188">
        <v>0</v>
      </c>
      <c r="S188">
        <v>0</v>
      </c>
      <c r="V188">
        <v>0.82</v>
      </c>
    </row>
    <row r="189" spans="2:32" x14ac:dyDescent="0.2">
      <c r="B189" t="s">
        <v>2085</v>
      </c>
      <c r="C189">
        <v>1135</v>
      </c>
      <c r="D189" t="s">
        <v>2039</v>
      </c>
      <c r="E189">
        <v>8</v>
      </c>
      <c r="F189" t="s">
        <v>199</v>
      </c>
      <c r="G189">
        <v>9.2550000000000008</v>
      </c>
      <c r="H189">
        <v>0.84</v>
      </c>
      <c r="I189" t="s">
        <v>123</v>
      </c>
      <c r="J189">
        <v>0.54</v>
      </c>
      <c r="K189">
        <v>0</v>
      </c>
      <c r="L189">
        <v>0</v>
      </c>
      <c r="M189" t="s">
        <v>616</v>
      </c>
      <c r="N189">
        <v>0</v>
      </c>
      <c r="O189" t="s">
        <v>616</v>
      </c>
      <c r="Q189">
        <v>0</v>
      </c>
      <c r="S189">
        <v>0</v>
      </c>
      <c r="V189">
        <v>1.1000000000000001</v>
      </c>
    </row>
    <row r="190" spans="2:32" x14ac:dyDescent="0.2">
      <c r="B190" t="s">
        <v>2086</v>
      </c>
      <c r="C190">
        <v>1136</v>
      </c>
      <c r="D190" t="s">
        <v>2039</v>
      </c>
      <c r="E190">
        <v>12</v>
      </c>
      <c r="F190" t="s">
        <v>199</v>
      </c>
      <c r="G190">
        <v>13.888</v>
      </c>
      <c r="H190">
        <v>1.26</v>
      </c>
      <c r="I190" t="s">
        <v>123</v>
      </c>
      <c r="J190">
        <v>0.81</v>
      </c>
      <c r="K190">
        <v>0</v>
      </c>
      <c r="L190">
        <v>0</v>
      </c>
      <c r="M190" t="s">
        <v>616</v>
      </c>
      <c r="N190">
        <v>0</v>
      </c>
      <c r="O190" t="s">
        <v>616</v>
      </c>
      <c r="Q190">
        <v>0</v>
      </c>
      <c r="S190">
        <v>0</v>
      </c>
      <c r="V190">
        <v>1.66</v>
      </c>
    </row>
    <row r="191" spans="2:32" x14ac:dyDescent="0.2">
      <c r="B191" t="s">
        <v>2087</v>
      </c>
      <c r="C191">
        <v>1137</v>
      </c>
      <c r="D191" t="s">
        <v>2022</v>
      </c>
      <c r="E191">
        <v>6</v>
      </c>
      <c r="F191" t="s">
        <v>199</v>
      </c>
      <c r="G191">
        <v>7.5419999999999998</v>
      </c>
      <c r="H191">
        <v>0.84</v>
      </c>
      <c r="I191" t="s">
        <v>123</v>
      </c>
      <c r="J191">
        <v>0.52</v>
      </c>
      <c r="K191">
        <v>0</v>
      </c>
      <c r="L191">
        <v>0</v>
      </c>
      <c r="M191" t="s">
        <v>616</v>
      </c>
      <c r="N191">
        <v>0</v>
      </c>
      <c r="O191" t="s">
        <v>616</v>
      </c>
      <c r="Q191">
        <v>0</v>
      </c>
      <c r="S191">
        <v>0</v>
      </c>
      <c r="W191">
        <v>2.02</v>
      </c>
      <c r="AF191">
        <v>2</v>
      </c>
    </row>
    <row r="192" spans="2:32" x14ac:dyDescent="0.2">
      <c r="B192" t="s">
        <v>2088</v>
      </c>
      <c r="C192">
        <v>1138</v>
      </c>
      <c r="D192" t="s">
        <v>2023</v>
      </c>
      <c r="E192">
        <v>6</v>
      </c>
      <c r="F192" t="s">
        <v>199</v>
      </c>
      <c r="G192">
        <v>7.5419999999999998</v>
      </c>
      <c r="H192">
        <v>0.84</v>
      </c>
      <c r="I192" t="s">
        <v>123</v>
      </c>
      <c r="J192">
        <v>0.52</v>
      </c>
      <c r="K192">
        <v>0</v>
      </c>
      <c r="L192">
        <v>0</v>
      </c>
      <c r="M192" t="s">
        <v>616</v>
      </c>
      <c r="N192">
        <v>0</v>
      </c>
      <c r="O192" t="s">
        <v>616</v>
      </c>
      <c r="Q192">
        <v>0</v>
      </c>
      <c r="S192">
        <v>0</v>
      </c>
      <c r="W192">
        <v>2.02</v>
      </c>
      <c r="AF192">
        <v>2</v>
      </c>
    </row>
    <row r="193" spans="2:32" x14ac:dyDescent="0.2">
      <c r="B193" t="s">
        <v>2089</v>
      </c>
      <c r="C193">
        <v>1139</v>
      </c>
      <c r="D193" t="s">
        <v>2023</v>
      </c>
      <c r="E193">
        <v>8</v>
      </c>
      <c r="F193" t="s">
        <v>199</v>
      </c>
      <c r="G193">
        <v>10.055999999999999</v>
      </c>
      <c r="H193">
        <v>1.2</v>
      </c>
      <c r="I193" t="s">
        <v>123</v>
      </c>
      <c r="J193">
        <v>0.64</v>
      </c>
      <c r="K193">
        <v>0</v>
      </c>
      <c r="L193">
        <v>0</v>
      </c>
      <c r="M193" t="s">
        <v>616</v>
      </c>
      <c r="N193">
        <v>0</v>
      </c>
      <c r="O193" t="s">
        <v>616</v>
      </c>
      <c r="Q193">
        <v>0</v>
      </c>
      <c r="S193">
        <v>0</v>
      </c>
      <c r="W193">
        <v>3.81</v>
      </c>
      <c r="AF193">
        <v>6</v>
      </c>
    </row>
    <row r="194" spans="2:32" x14ac:dyDescent="0.2">
      <c r="B194" t="s">
        <v>2090</v>
      </c>
      <c r="C194">
        <v>1140</v>
      </c>
      <c r="D194" t="s">
        <v>2024</v>
      </c>
      <c r="E194">
        <v>12</v>
      </c>
      <c r="F194" t="s">
        <v>199</v>
      </c>
      <c r="G194">
        <v>15.084</v>
      </c>
      <c r="H194">
        <v>1.8</v>
      </c>
      <c r="I194" t="s">
        <v>123</v>
      </c>
      <c r="J194">
        <v>0.96</v>
      </c>
      <c r="K194">
        <v>0</v>
      </c>
      <c r="L194">
        <v>0</v>
      </c>
      <c r="M194" t="s">
        <v>616</v>
      </c>
      <c r="N194">
        <v>0</v>
      </c>
      <c r="O194" t="s">
        <v>616</v>
      </c>
      <c r="Q194">
        <v>0</v>
      </c>
      <c r="S194">
        <v>0</v>
      </c>
      <c r="W194">
        <v>4.66</v>
      </c>
      <c r="AF194">
        <v>9</v>
      </c>
    </row>
    <row r="195" spans="2:32" x14ac:dyDescent="0.2">
      <c r="B195" t="s">
        <v>1540</v>
      </c>
      <c r="C195">
        <v>1141</v>
      </c>
      <c r="D195" t="s">
        <v>1454</v>
      </c>
      <c r="E195">
        <v>8</v>
      </c>
      <c r="F195" t="s">
        <v>199</v>
      </c>
      <c r="G195">
        <v>10.055999999999999</v>
      </c>
      <c r="H195">
        <v>1.2</v>
      </c>
      <c r="I195" t="s">
        <v>123</v>
      </c>
      <c r="J195">
        <v>0.64</v>
      </c>
      <c r="K195">
        <v>0</v>
      </c>
      <c r="L195">
        <v>0</v>
      </c>
      <c r="M195" t="s">
        <v>616</v>
      </c>
      <c r="N195">
        <v>0</v>
      </c>
      <c r="O195" t="s">
        <v>616</v>
      </c>
      <c r="Q195">
        <v>0</v>
      </c>
      <c r="S195">
        <v>0</v>
      </c>
      <c r="W195">
        <v>3.81</v>
      </c>
      <c r="AF195">
        <v>6</v>
      </c>
    </row>
    <row r="196" spans="2:32" x14ac:dyDescent="0.2">
      <c r="B196" t="s">
        <v>1541</v>
      </c>
      <c r="C196">
        <v>1142</v>
      </c>
      <c r="D196" t="s">
        <v>1454</v>
      </c>
      <c r="E196">
        <v>12</v>
      </c>
      <c r="F196" t="s">
        <v>199</v>
      </c>
      <c r="G196">
        <v>15.084</v>
      </c>
      <c r="H196">
        <v>1.8</v>
      </c>
      <c r="I196" t="s">
        <v>123</v>
      </c>
      <c r="J196">
        <v>0.96</v>
      </c>
      <c r="K196">
        <v>0</v>
      </c>
      <c r="L196">
        <v>0</v>
      </c>
      <c r="M196" t="s">
        <v>616</v>
      </c>
      <c r="N196">
        <v>0</v>
      </c>
      <c r="O196" t="s">
        <v>616</v>
      </c>
      <c r="Q196">
        <v>0</v>
      </c>
      <c r="S196">
        <v>0</v>
      </c>
      <c r="W196">
        <v>4.66</v>
      </c>
      <c r="AF196">
        <v>9</v>
      </c>
    </row>
    <row r="197" spans="2:32" x14ac:dyDescent="0.2">
      <c r="B197" t="s">
        <v>2091</v>
      </c>
      <c r="C197">
        <v>1143</v>
      </c>
      <c r="D197" t="s">
        <v>2057</v>
      </c>
      <c r="E197">
        <v>8</v>
      </c>
      <c r="F197" t="s">
        <v>199</v>
      </c>
      <c r="G197">
        <v>10.055999999999999</v>
      </c>
      <c r="H197">
        <v>1.2</v>
      </c>
      <c r="I197" t="s">
        <v>123</v>
      </c>
      <c r="J197">
        <v>0.64</v>
      </c>
      <c r="K197">
        <v>0</v>
      </c>
      <c r="L197">
        <v>0</v>
      </c>
      <c r="M197" t="s">
        <v>616</v>
      </c>
      <c r="N197">
        <v>0</v>
      </c>
      <c r="O197" t="s">
        <v>616</v>
      </c>
      <c r="Q197">
        <v>0</v>
      </c>
      <c r="S197">
        <v>0</v>
      </c>
      <c r="W197">
        <v>2.69</v>
      </c>
      <c r="AF197">
        <v>3.1</v>
      </c>
    </row>
    <row r="198" spans="2:32" x14ac:dyDescent="0.2">
      <c r="B198" t="s">
        <v>2092</v>
      </c>
      <c r="C198">
        <v>1144</v>
      </c>
      <c r="D198" t="s">
        <v>2057</v>
      </c>
      <c r="E198">
        <v>12</v>
      </c>
      <c r="F198" t="s">
        <v>199</v>
      </c>
      <c r="G198">
        <v>15.084</v>
      </c>
      <c r="H198">
        <v>1.8</v>
      </c>
      <c r="I198" t="s">
        <v>123</v>
      </c>
      <c r="J198">
        <v>0.96</v>
      </c>
      <c r="K198">
        <v>0</v>
      </c>
      <c r="L198">
        <v>0</v>
      </c>
      <c r="M198" t="s">
        <v>616</v>
      </c>
      <c r="N198">
        <v>0</v>
      </c>
      <c r="O198" t="s">
        <v>616</v>
      </c>
      <c r="Q198">
        <v>0</v>
      </c>
      <c r="S198">
        <v>0</v>
      </c>
      <c r="W198">
        <v>4.34</v>
      </c>
      <c r="AF198">
        <v>4.5999999999999996</v>
      </c>
    </row>
    <row r="199" spans="2:32" x14ac:dyDescent="0.2">
      <c r="B199" t="s">
        <v>2093</v>
      </c>
      <c r="C199">
        <v>1145</v>
      </c>
      <c r="D199" t="s">
        <v>2036</v>
      </c>
      <c r="E199">
        <v>6</v>
      </c>
      <c r="F199" t="s">
        <v>199</v>
      </c>
      <c r="G199">
        <v>6.9420000000000002</v>
      </c>
      <c r="H199">
        <v>0.84</v>
      </c>
      <c r="I199" t="s">
        <v>123</v>
      </c>
      <c r="J199">
        <v>0.44</v>
      </c>
      <c r="K199">
        <v>0</v>
      </c>
      <c r="L199">
        <v>0</v>
      </c>
      <c r="M199" t="s">
        <v>616</v>
      </c>
      <c r="N199">
        <v>0</v>
      </c>
      <c r="O199" t="s">
        <v>616</v>
      </c>
      <c r="Q199">
        <v>0</v>
      </c>
      <c r="S199">
        <v>0</v>
      </c>
      <c r="W199">
        <v>2</v>
      </c>
      <c r="AF199">
        <v>1.1000000000000001</v>
      </c>
    </row>
    <row r="200" spans="2:32" x14ac:dyDescent="0.2">
      <c r="B200" t="s">
        <v>2094</v>
      </c>
      <c r="C200">
        <v>1146</v>
      </c>
      <c r="D200" t="s">
        <v>2037</v>
      </c>
      <c r="E200">
        <v>6</v>
      </c>
      <c r="F200" t="s">
        <v>199</v>
      </c>
      <c r="G200">
        <v>6.13</v>
      </c>
      <c r="H200">
        <v>0.84</v>
      </c>
      <c r="I200" t="s">
        <v>123</v>
      </c>
      <c r="J200">
        <v>0.52</v>
      </c>
      <c r="K200">
        <v>0</v>
      </c>
      <c r="L200">
        <v>0</v>
      </c>
      <c r="M200" t="s">
        <v>616</v>
      </c>
      <c r="N200">
        <v>0</v>
      </c>
      <c r="O200" t="s">
        <v>616</v>
      </c>
      <c r="Q200">
        <v>0</v>
      </c>
      <c r="S200">
        <v>0</v>
      </c>
      <c r="W200">
        <v>2</v>
      </c>
      <c r="AF200">
        <v>0.8</v>
      </c>
    </row>
    <row r="201" spans="2:32" x14ac:dyDescent="0.2">
      <c r="B201" t="s">
        <v>2095</v>
      </c>
      <c r="C201">
        <v>1147</v>
      </c>
      <c r="D201" t="s">
        <v>2038</v>
      </c>
      <c r="E201">
        <v>6</v>
      </c>
      <c r="F201" t="s">
        <v>199</v>
      </c>
      <c r="G201">
        <v>6.13</v>
      </c>
      <c r="H201">
        <v>0.84</v>
      </c>
      <c r="I201" t="s">
        <v>123</v>
      </c>
      <c r="J201">
        <v>0.44</v>
      </c>
      <c r="K201">
        <v>0</v>
      </c>
      <c r="L201">
        <v>0</v>
      </c>
      <c r="M201" t="s">
        <v>616</v>
      </c>
      <c r="N201">
        <v>0</v>
      </c>
      <c r="O201" t="s">
        <v>616</v>
      </c>
      <c r="Q201">
        <v>0</v>
      </c>
      <c r="S201">
        <v>0</v>
      </c>
      <c r="W201">
        <v>2</v>
      </c>
      <c r="AF201">
        <v>0.8</v>
      </c>
    </row>
    <row r="202" spans="2:32" x14ac:dyDescent="0.2">
      <c r="B202" t="s">
        <v>1870</v>
      </c>
      <c r="C202">
        <v>1148</v>
      </c>
      <c r="D202" t="s">
        <v>1705</v>
      </c>
      <c r="E202">
        <v>4</v>
      </c>
      <c r="F202" t="s">
        <v>199</v>
      </c>
      <c r="G202">
        <v>0.77600000000000002</v>
      </c>
      <c r="H202">
        <v>0.25</v>
      </c>
      <c r="I202" t="s">
        <v>123</v>
      </c>
      <c r="J202">
        <v>0.22</v>
      </c>
      <c r="K202">
        <v>0</v>
      </c>
      <c r="L202">
        <v>0</v>
      </c>
      <c r="M202" t="s">
        <v>616</v>
      </c>
      <c r="N202">
        <v>0</v>
      </c>
      <c r="O202" t="s">
        <v>616</v>
      </c>
      <c r="Q202">
        <v>0</v>
      </c>
      <c r="S202">
        <v>0</v>
      </c>
      <c r="W202">
        <v>1.3</v>
      </c>
      <c r="AF202">
        <v>6.6000000000000003E-2</v>
      </c>
    </row>
    <row r="203" spans="2:32" x14ac:dyDescent="0.2">
      <c r="B203" t="s">
        <v>1871</v>
      </c>
      <c r="C203">
        <v>1149</v>
      </c>
      <c r="D203" t="s">
        <v>1705</v>
      </c>
      <c r="E203">
        <v>6</v>
      </c>
      <c r="F203" t="s">
        <v>199</v>
      </c>
      <c r="G203">
        <v>1.1639999999999999</v>
      </c>
      <c r="H203">
        <v>0.5</v>
      </c>
      <c r="I203" t="s">
        <v>123</v>
      </c>
      <c r="J203">
        <v>0.39</v>
      </c>
      <c r="K203">
        <v>0</v>
      </c>
      <c r="L203">
        <v>0</v>
      </c>
      <c r="M203" t="s">
        <v>616</v>
      </c>
      <c r="N203">
        <v>0</v>
      </c>
      <c r="O203" t="s">
        <v>616</v>
      </c>
      <c r="Q203">
        <v>0</v>
      </c>
      <c r="S203">
        <v>0</v>
      </c>
      <c r="W203">
        <v>2</v>
      </c>
      <c r="AF203">
        <v>0.1</v>
      </c>
    </row>
    <row r="204" spans="2:32" x14ac:dyDescent="0.2">
      <c r="B204" t="s">
        <v>1872</v>
      </c>
      <c r="C204">
        <v>1150</v>
      </c>
      <c r="D204" t="s">
        <v>1705</v>
      </c>
      <c r="E204">
        <v>8</v>
      </c>
      <c r="F204" t="s">
        <v>199</v>
      </c>
      <c r="G204">
        <v>1.552</v>
      </c>
      <c r="H204">
        <v>0.5</v>
      </c>
      <c r="I204" t="s">
        <v>123</v>
      </c>
      <c r="J204">
        <v>0.39</v>
      </c>
      <c r="K204">
        <v>0</v>
      </c>
      <c r="L204">
        <v>0</v>
      </c>
      <c r="M204" t="s">
        <v>616</v>
      </c>
      <c r="N204">
        <v>0</v>
      </c>
      <c r="O204" t="s">
        <v>616</v>
      </c>
      <c r="Q204">
        <v>0</v>
      </c>
      <c r="S204">
        <v>0</v>
      </c>
      <c r="W204">
        <v>2.8</v>
      </c>
      <c r="AF204">
        <v>0.13300000000000001</v>
      </c>
    </row>
    <row r="205" spans="2:32" x14ac:dyDescent="0.2">
      <c r="B205" t="s">
        <v>1873</v>
      </c>
      <c r="C205">
        <v>1151</v>
      </c>
      <c r="D205" t="s">
        <v>1705</v>
      </c>
      <c r="E205">
        <v>12</v>
      </c>
      <c r="F205" t="s">
        <v>199</v>
      </c>
      <c r="G205">
        <v>2.3279999999999998</v>
      </c>
      <c r="H205">
        <v>0.75</v>
      </c>
      <c r="I205" t="s">
        <v>123</v>
      </c>
      <c r="J205">
        <v>0.56000000000000005</v>
      </c>
      <c r="K205">
        <v>0</v>
      </c>
      <c r="L205">
        <v>0</v>
      </c>
      <c r="M205" t="s">
        <v>616</v>
      </c>
      <c r="N205">
        <v>0</v>
      </c>
      <c r="O205" t="s">
        <v>616</v>
      </c>
      <c r="Q205">
        <v>0</v>
      </c>
      <c r="S205">
        <v>0</v>
      </c>
      <c r="W205">
        <v>4.3</v>
      </c>
      <c r="AF205">
        <v>0.2</v>
      </c>
    </row>
    <row r="206" spans="2:32" x14ac:dyDescent="0.2">
      <c r="B206" t="s">
        <v>1874</v>
      </c>
      <c r="C206">
        <v>1152</v>
      </c>
      <c r="D206" t="s">
        <v>1709</v>
      </c>
      <c r="E206">
        <v>4</v>
      </c>
      <c r="F206" t="s">
        <v>199</v>
      </c>
      <c r="G206">
        <v>1.46</v>
      </c>
      <c r="H206">
        <v>0.4</v>
      </c>
      <c r="I206" t="s">
        <v>123</v>
      </c>
      <c r="J206">
        <v>0.23</v>
      </c>
      <c r="K206">
        <v>0</v>
      </c>
      <c r="L206">
        <v>0</v>
      </c>
      <c r="M206" t="s">
        <v>616</v>
      </c>
      <c r="N206">
        <v>0</v>
      </c>
      <c r="O206" t="s">
        <v>616</v>
      </c>
      <c r="Q206">
        <v>0</v>
      </c>
      <c r="S206">
        <v>0</v>
      </c>
      <c r="W206">
        <v>1</v>
      </c>
      <c r="AF206">
        <v>0.125</v>
      </c>
    </row>
    <row r="207" spans="2:32" x14ac:dyDescent="0.2">
      <c r="B207" t="s">
        <v>1875</v>
      </c>
      <c r="C207">
        <v>1153</v>
      </c>
      <c r="D207" t="s">
        <v>1709</v>
      </c>
      <c r="E207">
        <v>6</v>
      </c>
      <c r="F207" t="s">
        <v>199</v>
      </c>
      <c r="G207">
        <v>2.19</v>
      </c>
      <c r="H207">
        <v>0.8</v>
      </c>
      <c r="I207" t="s">
        <v>123</v>
      </c>
      <c r="J207">
        <v>0.4</v>
      </c>
      <c r="K207">
        <v>0</v>
      </c>
      <c r="L207">
        <v>0</v>
      </c>
      <c r="M207" t="s">
        <v>616</v>
      </c>
      <c r="N207">
        <v>0</v>
      </c>
      <c r="O207" t="s">
        <v>616</v>
      </c>
      <c r="Q207">
        <v>0</v>
      </c>
      <c r="S207">
        <v>0</v>
      </c>
      <c r="W207">
        <v>1.6</v>
      </c>
      <c r="AF207">
        <v>0.187</v>
      </c>
    </row>
    <row r="208" spans="2:32" x14ac:dyDescent="0.2">
      <c r="B208" t="s">
        <v>1876</v>
      </c>
      <c r="C208">
        <v>1154</v>
      </c>
      <c r="D208" t="s">
        <v>1709</v>
      </c>
      <c r="E208">
        <v>8</v>
      </c>
      <c r="F208" t="s">
        <v>199</v>
      </c>
      <c r="G208">
        <v>2.92</v>
      </c>
      <c r="H208">
        <v>0.8</v>
      </c>
      <c r="I208" t="s">
        <v>123</v>
      </c>
      <c r="J208">
        <v>0.4</v>
      </c>
      <c r="K208">
        <v>0</v>
      </c>
      <c r="L208">
        <v>0</v>
      </c>
      <c r="M208" t="s">
        <v>616</v>
      </c>
      <c r="N208">
        <v>0</v>
      </c>
      <c r="O208" t="s">
        <v>616</v>
      </c>
      <c r="Q208">
        <v>0</v>
      </c>
      <c r="S208">
        <v>0</v>
      </c>
      <c r="W208">
        <v>2.2999999999999998</v>
      </c>
      <c r="AF208">
        <v>0.249</v>
      </c>
    </row>
    <row r="209" spans="2:32" x14ac:dyDescent="0.2">
      <c r="B209" t="s">
        <v>1877</v>
      </c>
      <c r="C209">
        <v>1155</v>
      </c>
      <c r="D209" t="s">
        <v>1709</v>
      </c>
      <c r="E209">
        <v>12</v>
      </c>
      <c r="F209" t="s">
        <v>199</v>
      </c>
      <c r="G209">
        <v>4.38</v>
      </c>
      <c r="H209">
        <v>1.2</v>
      </c>
      <c r="I209" t="s">
        <v>123</v>
      </c>
      <c r="J209">
        <v>0.56999999999999995</v>
      </c>
      <c r="K209">
        <v>0</v>
      </c>
      <c r="L209">
        <v>0</v>
      </c>
      <c r="M209" t="s">
        <v>616</v>
      </c>
      <c r="N209">
        <v>0</v>
      </c>
      <c r="O209" t="s">
        <v>616</v>
      </c>
      <c r="Q209">
        <v>0</v>
      </c>
      <c r="S209">
        <v>0</v>
      </c>
      <c r="W209">
        <v>3.5</v>
      </c>
      <c r="AF209">
        <v>0.374</v>
      </c>
    </row>
    <row r="210" spans="2:32" x14ac:dyDescent="0.2">
      <c r="B210" t="s">
        <v>1878</v>
      </c>
      <c r="C210">
        <v>1156</v>
      </c>
      <c r="D210" t="s">
        <v>1707</v>
      </c>
      <c r="E210">
        <v>4</v>
      </c>
      <c r="F210" t="s">
        <v>199</v>
      </c>
      <c r="G210">
        <v>0.77600000000000002</v>
      </c>
      <c r="H210">
        <v>0.25</v>
      </c>
      <c r="I210" t="s">
        <v>123</v>
      </c>
      <c r="J210">
        <v>0.22</v>
      </c>
      <c r="K210">
        <v>0</v>
      </c>
      <c r="L210">
        <v>0</v>
      </c>
      <c r="M210" t="s">
        <v>616</v>
      </c>
      <c r="N210">
        <v>0</v>
      </c>
      <c r="O210" t="s">
        <v>616</v>
      </c>
      <c r="Q210">
        <v>0</v>
      </c>
      <c r="S210">
        <v>0</v>
      </c>
      <c r="W210">
        <v>1.3</v>
      </c>
      <c r="AF210">
        <v>6.6000000000000003E-2</v>
      </c>
    </row>
    <row r="211" spans="2:32" x14ac:dyDescent="0.2">
      <c r="B211" t="s">
        <v>1879</v>
      </c>
      <c r="C211">
        <v>1157</v>
      </c>
      <c r="D211" t="s">
        <v>1707</v>
      </c>
      <c r="E211">
        <v>6</v>
      </c>
      <c r="F211" t="s">
        <v>199</v>
      </c>
      <c r="G211">
        <v>1.1639999999999999</v>
      </c>
      <c r="H211">
        <v>0.5</v>
      </c>
      <c r="I211" t="s">
        <v>123</v>
      </c>
      <c r="J211">
        <v>0.39</v>
      </c>
      <c r="K211">
        <v>0</v>
      </c>
      <c r="L211">
        <v>0</v>
      </c>
      <c r="M211" t="s">
        <v>616</v>
      </c>
      <c r="N211">
        <v>0</v>
      </c>
      <c r="O211" t="s">
        <v>616</v>
      </c>
      <c r="Q211">
        <v>0</v>
      </c>
      <c r="S211">
        <v>0</v>
      </c>
      <c r="W211">
        <v>2</v>
      </c>
      <c r="AF211">
        <v>0.1</v>
      </c>
    </row>
    <row r="212" spans="2:32" x14ac:dyDescent="0.2">
      <c r="B212" t="s">
        <v>1880</v>
      </c>
      <c r="C212">
        <v>1158</v>
      </c>
      <c r="D212" t="s">
        <v>1707</v>
      </c>
      <c r="E212">
        <v>8</v>
      </c>
      <c r="F212" t="s">
        <v>199</v>
      </c>
      <c r="G212">
        <v>1.552</v>
      </c>
      <c r="H212">
        <v>0.5</v>
      </c>
      <c r="I212" t="s">
        <v>123</v>
      </c>
      <c r="J212">
        <v>0.39</v>
      </c>
      <c r="K212">
        <v>0</v>
      </c>
      <c r="L212">
        <v>0</v>
      </c>
      <c r="M212" t="s">
        <v>616</v>
      </c>
      <c r="N212">
        <v>0</v>
      </c>
      <c r="O212" t="s">
        <v>616</v>
      </c>
      <c r="Q212">
        <v>0</v>
      </c>
      <c r="S212">
        <v>0</v>
      </c>
      <c r="W212">
        <v>2.8</v>
      </c>
      <c r="AF212">
        <v>0.13300000000000001</v>
      </c>
    </row>
    <row r="213" spans="2:32" x14ac:dyDescent="0.2">
      <c r="B213" t="s">
        <v>1881</v>
      </c>
      <c r="C213">
        <v>1159</v>
      </c>
      <c r="D213" t="s">
        <v>1707</v>
      </c>
      <c r="E213">
        <v>12</v>
      </c>
      <c r="F213" t="s">
        <v>199</v>
      </c>
      <c r="G213">
        <v>2.3279999999999998</v>
      </c>
      <c r="H213">
        <v>0.75</v>
      </c>
      <c r="I213" t="s">
        <v>123</v>
      </c>
      <c r="J213">
        <v>0.56000000000000005</v>
      </c>
      <c r="K213">
        <v>0</v>
      </c>
      <c r="L213">
        <v>0</v>
      </c>
      <c r="M213" t="s">
        <v>616</v>
      </c>
      <c r="N213">
        <v>0</v>
      </c>
      <c r="O213" t="s">
        <v>616</v>
      </c>
      <c r="Q213">
        <v>0</v>
      </c>
      <c r="S213">
        <v>0</v>
      </c>
      <c r="W213">
        <v>4.3</v>
      </c>
      <c r="AF213">
        <v>0.2</v>
      </c>
    </row>
    <row r="214" spans="2:32" x14ac:dyDescent="0.2">
      <c r="B214" t="s">
        <v>1882</v>
      </c>
      <c r="C214">
        <v>1160</v>
      </c>
      <c r="D214" t="s">
        <v>1719</v>
      </c>
      <c r="E214">
        <v>6</v>
      </c>
      <c r="F214" t="s">
        <v>199</v>
      </c>
      <c r="G214">
        <v>2.58</v>
      </c>
      <c r="H214">
        <v>0.6</v>
      </c>
      <c r="I214" t="s">
        <v>123</v>
      </c>
      <c r="J214">
        <v>0.6</v>
      </c>
      <c r="K214">
        <v>1.66</v>
      </c>
      <c r="L214">
        <v>6.84</v>
      </c>
      <c r="M214" t="s">
        <v>124</v>
      </c>
      <c r="N214">
        <v>0</v>
      </c>
      <c r="O214" t="s">
        <v>616</v>
      </c>
      <c r="Q214">
        <v>0</v>
      </c>
      <c r="S214">
        <v>0</v>
      </c>
      <c r="U214">
        <v>2</v>
      </c>
      <c r="V214">
        <v>1.5</v>
      </c>
    </row>
    <row r="215" spans="2:32" x14ac:dyDescent="0.2">
      <c r="B215" t="s">
        <v>1883</v>
      </c>
      <c r="C215">
        <v>1161</v>
      </c>
      <c r="D215" t="s">
        <v>1752</v>
      </c>
      <c r="E215">
        <v>4</v>
      </c>
      <c r="F215" t="s">
        <v>199</v>
      </c>
      <c r="G215">
        <v>1.35</v>
      </c>
      <c r="H215">
        <v>0.06</v>
      </c>
      <c r="I215" t="s">
        <v>123</v>
      </c>
      <c r="J215">
        <v>0</v>
      </c>
      <c r="K215">
        <v>0.8</v>
      </c>
      <c r="L215">
        <v>5.5</v>
      </c>
      <c r="M215" t="s">
        <v>124</v>
      </c>
      <c r="N215">
        <v>0</v>
      </c>
      <c r="O215" t="s">
        <v>616</v>
      </c>
      <c r="Q215">
        <v>0.13</v>
      </c>
      <c r="R215" t="s">
        <v>123</v>
      </c>
      <c r="S215">
        <v>0</v>
      </c>
      <c r="U215">
        <v>2</v>
      </c>
      <c r="V215">
        <v>1.1000000000000001</v>
      </c>
    </row>
    <row r="216" spans="2:32" x14ac:dyDescent="0.2">
      <c r="B216" t="s">
        <v>1884</v>
      </c>
      <c r="C216">
        <v>1162</v>
      </c>
      <c r="D216" t="s">
        <v>1752</v>
      </c>
      <c r="E216">
        <v>6</v>
      </c>
      <c r="F216" t="s">
        <v>199</v>
      </c>
      <c r="G216">
        <v>2.0499999999999998</v>
      </c>
      <c r="H216">
        <v>0.12</v>
      </c>
      <c r="I216" t="s">
        <v>123</v>
      </c>
      <c r="J216">
        <v>0</v>
      </c>
      <c r="K216">
        <v>1.2</v>
      </c>
      <c r="L216">
        <v>8.25</v>
      </c>
      <c r="M216" t="s">
        <v>124</v>
      </c>
      <c r="N216">
        <v>0</v>
      </c>
      <c r="O216" t="s">
        <v>616</v>
      </c>
      <c r="Q216">
        <v>0.13</v>
      </c>
      <c r="R216" t="s">
        <v>123</v>
      </c>
      <c r="S216">
        <v>0</v>
      </c>
      <c r="U216">
        <v>2</v>
      </c>
      <c r="V216">
        <v>1.4</v>
      </c>
    </row>
    <row r="217" spans="2:32" x14ac:dyDescent="0.2">
      <c r="B217" t="s">
        <v>1885</v>
      </c>
      <c r="C217">
        <v>1163</v>
      </c>
      <c r="D217" t="s">
        <v>1752</v>
      </c>
      <c r="E217">
        <v>8</v>
      </c>
      <c r="F217" t="s">
        <v>199</v>
      </c>
      <c r="G217">
        <v>2.7</v>
      </c>
      <c r="H217">
        <v>0.12</v>
      </c>
      <c r="I217" t="s">
        <v>123</v>
      </c>
      <c r="J217">
        <v>0</v>
      </c>
      <c r="K217">
        <v>1.65</v>
      </c>
      <c r="L217">
        <v>11</v>
      </c>
      <c r="M217" t="s">
        <v>124</v>
      </c>
      <c r="N217">
        <v>0</v>
      </c>
      <c r="O217" t="s">
        <v>616</v>
      </c>
      <c r="Q217">
        <v>0.13</v>
      </c>
      <c r="R217" t="s">
        <v>123</v>
      </c>
      <c r="S217">
        <v>0</v>
      </c>
      <c r="U217">
        <v>2</v>
      </c>
      <c r="V217">
        <v>2</v>
      </c>
    </row>
    <row r="218" spans="2:32" x14ac:dyDescent="0.2">
      <c r="B218" t="s">
        <v>1886</v>
      </c>
      <c r="C218">
        <v>1164</v>
      </c>
      <c r="D218" t="s">
        <v>1752</v>
      </c>
      <c r="E218">
        <v>10</v>
      </c>
      <c r="F218" t="s">
        <v>199</v>
      </c>
      <c r="G218">
        <v>3.4</v>
      </c>
      <c r="H218">
        <v>0.18</v>
      </c>
      <c r="I218" t="s">
        <v>123</v>
      </c>
      <c r="J218">
        <v>0</v>
      </c>
      <c r="K218">
        <v>2.0499999999999998</v>
      </c>
      <c r="L218">
        <v>13.75</v>
      </c>
      <c r="M218" t="s">
        <v>124</v>
      </c>
      <c r="N218">
        <v>0</v>
      </c>
      <c r="O218" t="s">
        <v>616</v>
      </c>
      <c r="Q218">
        <v>0.13</v>
      </c>
      <c r="R218" t="s">
        <v>123</v>
      </c>
      <c r="S218">
        <v>0</v>
      </c>
      <c r="U218">
        <v>2</v>
      </c>
      <c r="V218">
        <v>2.4</v>
      </c>
    </row>
    <row r="219" spans="2:32" x14ac:dyDescent="0.2">
      <c r="B219" t="s">
        <v>1887</v>
      </c>
      <c r="C219">
        <v>1165</v>
      </c>
      <c r="D219" t="s">
        <v>1752</v>
      </c>
      <c r="E219">
        <v>12</v>
      </c>
      <c r="F219" t="s">
        <v>199</v>
      </c>
      <c r="G219">
        <v>4.0999999999999996</v>
      </c>
      <c r="H219">
        <v>0.18</v>
      </c>
      <c r="I219" t="s">
        <v>123</v>
      </c>
      <c r="J219">
        <v>0</v>
      </c>
      <c r="K219">
        <v>2.4500000000000002</v>
      </c>
      <c r="L219">
        <v>16.5</v>
      </c>
      <c r="M219" t="s">
        <v>124</v>
      </c>
      <c r="N219">
        <v>0</v>
      </c>
      <c r="O219" t="s">
        <v>616</v>
      </c>
      <c r="Q219">
        <v>0.13</v>
      </c>
      <c r="R219" t="s">
        <v>123</v>
      </c>
      <c r="S219">
        <v>0</v>
      </c>
      <c r="U219">
        <v>2</v>
      </c>
      <c r="V219">
        <v>2.8</v>
      </c>
    </row>
    <row r="220" spans="2:32" x14ac:dyDescent="0.2">
      <c r="B220" t="s">
        <v>1888</v>
      </c>
      <c r="C220">
        <v>1166</v>
      </c>
      <c r="D220" t="s">
        <v>1691</v>
      </c>
      <c r="E220">
        <v>8</v>
      </c>
      <c r="F220" t="s">
        <v>199</v>
      </c>
      <c r="G220">
        <v>1.4419999999999999</v>
      </c>
      <c r="H220">
        <v>0.3</v>
      </c>
      <c r="I220" t="s">
        <v>123</v>
      </c>
      <c r="J220">
        <v>0.4</v>
      </c>
      <c r="K220">
        <v>0</v>
      </c>
      <c r="L220">
        <v>0</v>
      </c>
      <c r="M220" t="s">
        <v>616</v>
      </c>
      <c r="N220">
        <v>0</v>
      </c>
      <c r="O220" t="s">
        <v>616</v>
      </c>
      <c r="Q220">
        <v>0</v>
      </c>
      <c r="S220">
        <v>0</v>
      </c>
    </row>
    <row r="221" spans="2:32" x14ac:dyDescent="0.2">
      <c r="B221" t="s">
        <v>1889</v>
      </c>
      <c r="C221">
        <v>1167</v>
      </c>
      <c r="D221" t="s">
        <v>1691</v>
      </c>
      <c r="E221">
        <v>12</v>
      </c>
      <c r="F221" t="s">
        <v>199</v>
      </c>
      <c r="G221">
        <v>2.1640000000000001</v>
      </c>
      <c r="H221">
        <v>0.61</v>
      </c>
      <c r="I221" t="s">
        <v>123</v>
      </c>
      <c r="J221">
        <v>0.57999999999999996</v>
      </c>
      <c r="K221">
        <v>0</v>
      </c>
      <c r="L221">
        <v>0</v>
      </c>
      <c r="M221" t="s">
        <v>616</v>
      </c>
      <c r="N221">
        <v>0</v>
      </c>
      <c r="O221" t="s">
        <v>616</v>
      </c>
      <c r="Q221">
        <v>0</v>
      </c>
      <c r="S221">
        <v>0</v>
      </c>
    </row>
    <row r="222" spans="2:32" x14ac:dyDescent="0.2">
      <c r="B222" t="s">
        <v>1890</v>
      </c>
      <c r="C222">
        <v>1168</v>
      </c>
      <c r="D222" t="s">
        <v>1693</v>
      </c>
      <c r="E222">
        <v>8</v>
      </c>
      <c r="F222" t="s">
        <v>199</v>
      </c>
      <c r="G222">
        <v>1.4419999999999999</v>
      </c>
      <c r="H222">
        <v>0.3</v>
      </c>
      <c r="I222" t="s">
        <v>123</v>
      </c>
      <c r="J222">
        <v>0.4</v>
      </c>
      <c r="K222">
        <v>0</v>
      </c>
      <c r="L222">
        <v>0</v>
      </c>
      <c r="M222" t="s">
        <v>616</v>
      </c>
      <c r="N222">
        <v>0</v>
      </c>
      <c r="O222" t="s">
        <v>616</v>
      </c>
      <c r="Q222">
        <v>0</v>
      </c>
      <c r="S222">
        <v>0</v>
      </c>
      <c r="V222">
        <v>2.7</v>
      </c>
    </row>
    <row r="223" spans="2:32" x14ac:dyDescent="0.2">
      <c r="B223" t="s">
        <v>1891</v>
      </c>
      <c r="C223">
        <v>1169</v>
      </c>
      <c r="D223" t="s">
        <v>1693</v>
      </c>
      <c r="E223">
        <v>12</v>
      </c>
      <c r="F223" t="s">
        <v>199</v>
      </c>
      <c r="G223">
        <v>2.1640000000000001</v>
      </c>
      <c r="H223">
        <v>0.61</v>
      </c>
      <c r="I223" t="s">
        <v>123</v>
      </c>
      <c r="J223">
        <v>0.57999999999999996</v>
      </c>
      <c r="K223">
        <v>0</v>
      </c>
      <c r="L223">
        <v>0</v>
      </c>
      <c r="M223" t="s">
        <v>616</v>
      </c>
      <c r="N223">
        <v>0</v>
      </c>
      <c r="O223" t="s">
        <v>616</v>
      </c>
      <c r="Q223">
        <v>0</v>
      </c>
      <c r="S223">
        <v>0</v>
      </c>
      <c r="V223">
        <v>4.05</v>
      </c>
    </row>
    <row r="224" spans="2:32" x14ac:dyDescent="0.2">
      <c r="B224" t="s">
        <v>1892</v>
      </c>
      <c r="C224">
        <v>1170</v>
      </c>
      <c r="D224" t="s">
        <v>1695</v>
      </c>
      <c r="E224">
        <v>4</v>
      </c>
      <c r="F224" t="s">
        <v>199</v>
      </c>
      <c r="G224">
        <v>4.7329999999999997</v>
      </c>
      <c r="H224">
        <v>0.33</v>
      </c>
      <c r="I224" t="s">
        <v>123</v>
      </c>
      <c r="J224">
        <v>0.26</v>
      </c>
      <c r="K224">
        <v>0</v>
      </c>
      <c r="L224">
        <v>0</v>
      </c>
      <c r="M224" t="s">
        <v>616</v>
      </c>
      <c r="N224">
        <v>0</v>
      </c>
      <c r="O224" t="s">
        <v>616</v>
      </c>
      <c r="Q224">
        <v>0</v>
      </c>
      <c r="S224">
        <v>0</v>
      </c>
    </row>
    <row r="225" spans="2:22" x14ac:dyDescent="0.2">
      <c r="B225" t="s">
        <v>1893</v>
      </c>
      <c r="C225">
        <v>1171</v>
      </c>
      <c r="D225" t="s">
        <v>1695</v>
      </c>
      <c r="E225">
        <v>6</v>
      </c>
      <c r="F225" t="s">
        <v>199</v>
      </c>
      <c r="G225">
        <v>7.1</v>
      </c>
      <c r="H225">
        <v>0.67</v>
      </c>
      <c r="I225" t="s">
        <v>123</v>
      </c>
      <c r="J225">
        <v>0.38</v>
      </c>
      <c r="K225">
        <v>0</v>
      </c>
      <c r="L225">
        <v>0</v>
      </c>
      <c r="M225" t="s">
        <v>616</v>
      </c>
      <c r="N225">
        <v>0</v>
      </c>
      <c r="O225" t="s">
        <v>616</v>
      </c>
      <c r="Q225">
        <v>0</v>
      </c>
      <c r="S225">
        <v>0</v>
      </c>
    </row>
    <row r="226" spans="2:22" x14ac:dyDescent="0.2">
      <c r="B226" t="s">
        <v>1894</v>
      </c>
      <c r="C226">
        <v>1172</v>
      </c>
      <c r="D226" t="s">
        <v>1695</v>
      </c>
      <c r="E226">
        <v>8</v>
      </c>
      <c r="F226" t="s">
        <v>199</v>
      </c>
      <c r="G226">
        <v>9.4670000000000005</v>
      </c>
      <c r="H226">
        <v>0.67</v>
      </c>
      <c r="I226" t="s">
        <v>123</v>
      </c>
      <c r="J226">
        <v>0.52</v>
      </c>
      <c r="K226">
        <v>0</v>
      </c>
      <c r="L226">
        <v>0</v>
      </c>
      <c r="M226" t="s">
        <v>616</v>
      </c>
      <c r="N226">
        <v>0</v>
      </c>
      <c r="O226" t="s">
        <v>616</v>
      </c>
      <c r="Q226">
        <v>0</v>
      </c>
      <c r="S226">
        <v>0</v>
      </c>
    </row>
    <row r="227" spans="2:22" x14ac:dyDescent="0.2">
      <c r="B227" t="s">
        <v>1895</v>
      </c>
      <c r="C227">
        <v>1173</v>
      </c>
      <c r="D227" t="s">
        <v>1695</v>
      </c>
      <c r="E227">
        <v>12</v>
      </c>
      <c r="F227" t="s">
        <v>199</v>
      </c>
      <c r="G227">
        <v>14.2</v>
      </c>
      <c r="H227">
        <v>1</v>
      </c>
      <c r="I227" t="s">
        <v>123</v>
      </c>
      <c r="J227">
        <v>0.78</v>
      </c>
      <c r="K227">
        <v>0</v>
      </c>
      <c r="L227">
        <v>0</v>
      </c>
      <c r="M227" t="s">
        <v>616</v>
      </c>
      <c r="N227">
        <v>0</v>
      </c>
      <c r="O227" t="s">
        <v>616</v>
      </c>
      <c r="Q227">
        <v>0</v>
      </c>
      <c r="S227">
        <v>0</v>
      </c>
    </row>
    <row r="228" spans="2:22" x14ac:dyDescent="0.2">
      <c r="B228" t="s">
        <v>1896</v>
      </c>
      <c r="C228">
        <v>1174</v>
      </c>
      <c r="D228" t="s">
        <v>1734</v>
      </c>
      <c r="E228">
        <v>2</v>
      </c>
      <c r="F228" t="s">
        <v>201</v>
      </c>
      <c r="G228">
        <v>2.036</v>
      </c>
      <c r="H228">
        <v>0.6</v>
      </c>
      <c r="I228" t="s">
        <v>123</v>
      </c>
      <c r="J228">
        <v>0.28000000000000003</v>
      </c>
      <c r="K228">
        <v>1.64</v>
      </c>
      <c r="L228">
        <v>7.5</v>
      </c>
      <c r="M228" t="s">
        <v>124</v>
      </c>
      <c r="N228">
        <v>0</v>
      </c>
      <c r="O228" t="s">
        <v>616</v>
      </c>
      <c r="Q228">
        <v>1.5</v>
      </c>
      <c r="R228" t="s">
        <v>123</v>
      </c>
      <c r="S228">
        <v>0</v>
      </c>
      <c r="U228">
        <v>2</v>
      </c>
      <c r="V228">
        <v>1.4</v>
      </c>
    </row>
    <row r="229" spans="2:22" x14ac:dyDescent="0.2">
      <c r="B229" t="s">
        <v>1897</v>
      </c>
      <c r="C229">
        <v>1175</v>
      </c>
      <c r="D229" t="s">
        <v>1734</v>
      </c>
      <c r="E229">
        <v>3</v>
      </c>
      <c r="F229" t="s">
        <v>201</v>
      </c>
      <c r="G229">
        <v>3.0539999999999998</v>
      </c>
      <c r="H229">
        <v>1</v>
      </c>
      <c r="I229" t="s">
        <v>123</v>
      </c>
      <c r="J229">
        <v>0.41</v>
      </c>
      <c r="K229">
        <v>2.33</v>
      </c>
      <c r="L229">
        <v>10.9</v>
      </c>
      <c r="M229" t="s">
        <v>124</v>
      </c>
      <c r="N229">
        <v>0</v>
      </c>
      <c r="O229" t="s">
        <v>616</v>
      </c>
      <c r="Q229">
        <v>1.6</v>
      </c>
      <c r="R229" t="s">
        <v>123</v>
      </c>
      <c r="S229">
        <v>0</v>
      </c>
      <c r="U229">
        <v>2</v>
      </c>
      <c r="V229">
        <v>2.2999999999999998</v>
      </c>
    </row>
    <row r="230" spans="2:22" x14ac:dyDescent="0.2">
      <c r="B230" t="s">
        <v>1898</v>
      </c>
      <c r="C230">
        <v>1176</v>
      </c>
      <c r="D230" t="s">
        <v>1734</v>
      </c>
      <c r="E230">
        <v>4</v>
      </c>
      <c r="F230" t="s">
        <v>201</v>
      </c>
      <c r="G230">
        <v>4.0720000000000001</v>
      </c>
      <c r="H230">
        <v>1.3</v>
      </c>
      <c r="I230" t="s">
        <v>123</v>
      </c>
      <c r="J230">
        <v>0.55000000000000004</v>
      </c>
      <c r="K230">
        <v>3.05</v>
      </c>
      <c r="L230">
        <v>14.3</v>
      </c>
      <c r="M230" t="s">
        <v>124</v>
      </c>
      <c r="N230">
        <v>0</v>
      </c>
      <c r="O230" t="s">
        <v>616</v>
      </c>
      <c r="Q230">
        <v>1.9</v>
      </c>
      <c r="R230" t="s">
        <v>123</v>
      </c>
      <c r="S230">
        <v>0</v>
      </c>
      <c r="U230">
        <v>2</v>
      </c>
      <c r="V230">
        <v>3.2</v>
      </c>
    </row>
    <row r="231" spans="2:22" x14ac:dyDescent="0.2">
      <c r="B231" t="s">
        <v>1899</v>
      </c>
      <c r="C231">
        <v>1177</v>
      </c>
      <c r="D231" t="s">
        <v>1734</v>
      </c>
      <c r="E231">
        <v>5</v>
      </c>
      <c r="F231" t="s">
        <v>201</v>
      </c>
      <c r="G231">
        <v>5.09</v>
      </c>
      <c r="H231">
        <v>1.6</v>
      </c>
      <c r="I231" t="s">
        <v>123</v>
      </c>
      <c r="J231">
        <v>0.68</v>
      </c>
      <c r="K231">
        <v>3.73</v>
      </c>
      <c r="L231">
        <v>17.5</v>
      </c>
      <c r="M231" t="s">
        <v>124</v>
      </c>
      <c r="N231">
        <v>0</v>
      </c>
      <c r="O231" t="s">
        <v>616</v>
      </c>
      <c r="Q231">
        <v>2.2999999999999998</v>
      </c>
      <c r="R231" t="s">
        <v>123</v>
      </c>
      <c r="S231">
        <v>0</v>
      </c>
      <c r="U231">
        <v>2</v>
      </c>
      <c r="V231">
        <v>4.2</v>
      </c>
    </row>
    <row r="232" spans="2:22" x14ac:dyDescent="0.2">
      <c r="B232" t="s">
        <v>1900</v>
      </c>
      <c r="C232">
        <v>1178</v>
      </c>
      <c r="D232" t="s">
        <v>1736</v>
      </c>
      <c r="E232">
        <v>2</v>
      </c>
      <c r="F232" t="s">
        <v>201</v>
      </c>
      <c r="G232">
        <v>1.9079999999999999</v>
      </c>
      <c r="H232">
        <v>0.6</v>
      </c>
      <c r="I232" t="s">
        <v>123</v>
      </c>
      <c r="J232">
        <v>0.28000000000000003</v>
      </c>
      <c r="K232">
        <v>1.64</v>
      </c>
      <c r="L232">
        <v>7.5</v>
      </c>
      <c r="M232" t="s">
        <v>124</v>
      </c>
      <c r="N232">
        <v>0</v>
      </c>
      <c r="O232" t="s">
        <v>616</v>
      </c>
      <c r="Q232">
        <v>1.5</v>
      </c>
      <c r="R232" t="s">
        <v>123</v>
      </c>
      <c r="S232">
        <v>0</v>
      </c>
      <c r="U232">
        <v>2</v>
      </c>
      <c r="V232">
        <v>1.4</v>
      </c>
    </row>
    <row r="233" spans="2:22" x14ac:dyDescent="0.2">
      <c r="B233" t="s">
        <v>1901</v>
      </c>
      <c r="C233">
        <v>1179</v>
      </c>
      <c r="D233" t="s">
        <v>1736</v>
      </c>
      <c r="E233">
        <v>3</v>
      </c>
      <c r="F233" t="s">
        <v>201</v>
      </c>
      <c r="G233">
        <v>2.8620000000000001</v>
      </c>
      <c r="H233">
        <v>1</v>
      </c>
      <c r="I233" t="s">
        <v>123</v>
      </c>
      <c r="J233">
        <v>0.41</v>
      </c>
      <c r="K233">
        <v>2.33</v>
      </c>
      <c r="L233">
        <v>10.9</v>
      </c>
      <c r="M233" t="s">
        <v>124</v>
      </c>
      <c r="N233">
        <v>0</v>
      </c>
      <c r="O233" t="s">
        <v>616</v>
      </c>
      <c r="Q233">
        <v>1.6</v>
      </c>
      <c r="R233" t="s">
        <v>123</v>
      </c>
      <c r="S233">
        <v>0</v>
      </c>
      <c r="U233">
        <v>2</v>
      </c>
      <c r="V233">
        <v>2.2999999999999998</v>
      </c>
    </row>
    <row r="234" spans="2:22" x14ac:dyDescent="0.2">
      <c r="B234" t="s">
        <v>1902</v>
      </c>
      <c r="C234">
        <v>1180</v>
      </c>
      <c r="D234" t="s">
        <v>1736</v>
      </c>
      <c r="E234">
        <v>4</v>
      </c>
      <c r="F234" t="s">
        <v>201</v>
      </c>
      <c r="G234">
        <v>3.8159999999999998</v>
      </c>
      <c r="H234">
        <v>1.3</v>
      </c>
      <c r="I234" t="s">
        <v>123</v>
      </c>
      <c r="J234">
        <v>0.55000000000000004</v>
      </c>
      <c r="K234">
        <v>3.05</v>
      </c>
      <c r="L234">
        <v>14.3</v>
      </c>
      <c r="M234" t="s">
        <v>124</v>
      </c>
      <c r="N234">
        <v>0</v>
      </c>
      <c r="O234" t="s">
        <v>616</v>
      </c>
      <c r="Q234">
        <v>1.9</v>
      </c>
      <c r="R234" t="s">
        <v>123</v>
      </c>
      <c r="S234">
        <v>0</v>
      </c>
      <c r="U234">
        <v>2</v>
      </c>
      <c r="V234">
        <v>3.2</v>
      </c>
    </row>
    <row r="235" spans="2:22" x14ac:dyDescent="0.2">
      <c r="B235" t="s">
        <v>1903</v>
      </c>
      <c r="C235">
        <v>1181</v>
      </c>
      <c r="D235" t="s">
        <v>1736</v>
      </c>
      <c r="E235">
        <v>5</v>
      </c>
      <c r="F235" t="s">
        <v>201</v>
      </c>
      <c r="G235">
        <v>4.7699999999999996</v>
      </c>
      <c r="H235">
        <v>1.6</v>
      </c>
      <c r="I235" t="s">
        <v>123</v>
      </c>
      <c r="J235">
        <v>0.68</v>
      </c>
      <c r="K235">
        <v>3.73</v>
      </c>
      <c r="L235">
        <v>17.5</v>
      </c>
      <c r="M235" t="s">
        <v>124</v>
      </c>
      <c r="N235">
        <v>0</v>
      </c>
      <c r="O235" t="s">
        <v>616</v>
      </c>
      <c r="Q235">
        <v>2.2999999999999998</v>
      </c>
      <c r="R235" t="s">
        <v>123</v>
      </c>
      <c r="S235">
        <v>0</v>
      </c>
      <c r="U235">
        <v>2</v>
      </c>
      <c r="V235">
        <v>4.2</v>
      </c>
    </row>
    <row r="236" spans="2:22" x14ac:dyDescent="0.2">
      <c r="B236" t="s">
        <v>1904</v>
      </c>
      <c r="C236">
        <v>1182</v>
      </c>
      <c r="D236" t="s">
        <v>1732</v>
      </c>
      <c r="E236">
        <v>2</v>
      </c>
      <c r="F236" t="s">
        <v>201</v>
      </c>
      <c r="G236">
        <v>1.8320000000000001</v>
      </c>
      <c r="H236">
        <v>0.6</v>
      </c>
      <c r="I236" t="s">
        <v>123</v>
      </c>
      <c r="J236">
        <v>0.27500000000000002</v>
      </c>
      <c r="K236">
        <v>1.64</v>
      </c>
      <c r="L236">
        <v>7.5</v>
      </c>
      <c r="M236" t="s">
        <v>124</v>
      </c>
      <c r="N236">
        <v>0</v>
      </c>
      <c r="O236" t="s">
        <v>616</v>
      </c>
      <c r="Q236">
        <v>1.3</v>
      </c>
      <c r="R236" t="s">
        <v>123</v>
      </c>
      <c r="S236">
        <v>0</v>
      </c>
      <c r="U236">
        <v>2</v>
      </c>
      <c r="V236">
        <v>1.4</v>
      </c>
    </row>
    <row r="237" spans="2:22" x14ac:dyDescent="0.2">
      <c r="B237" t="s">
        <v>1905</v>
      </c>
      <c r="C237">
        <v>1183</v>
      </c>
      <c r="D237" t="s">
        <v>1732</v>
      </c>
      <c r="E237">
        <v>3</v>
      </c>
      <c r="F237" t="s">
        <v>201</v>
      </c>
      <c r="G237">
        <v>2.7480000000000002</v>
      </c>
      <c r="H237">
        <v>1</v>
      </c>
      <c r="I237" t="s">
        <v>123</v>
      </c>
      <c r="J237">
        <v>0.41</v>
      </c>
      <c r="K237">
        <v>2.33</v>
      </c>
      <c r="L237">
        <v>10.9</v>
      </c>
      <c r="M237" t="s">
        <v>124</v>
      </c>
      <c r="N237">
        <v>0</v>
      </c>
      <c r="O237" t="s">
        <v>616</v>
      </c>
      <c r="Q237">
        <v>1.5</v>
      </c>
      <c r="R237" t="s">
        <v>123</v>
      </c>
      <c r="S237">
        <v>0</v>
      </c>
      <c r="U237">
        <v>2</v>
      </c>
      <c r="V237">
        <v>2.2999999999999998</v>
      </c>
    </row>
    <row r="238" spans="2:22" x14ac:dyDescent="0.2">
      <c r="B238" t="s">
        <v>1906</v>
      </c>
      <c r="C238">
        <v>1184</v>
      </c>
      <c r="D238" t="s">
        <v>1732</v>
      </c>
      <c r="E238">
        <v>4</v>
      </c>
      <c r="F238" t="s">
        <v>201</v>
      </c>
      <c r="G238">
        <v>3.6619999999999999</v>
      </c>
      <c r="H238">
        <v>1.3</v>
      </c>
      <c r="I238" t="s">
        <v>123</v>
      </c>
      <c r="J238">
        <v>0.54500000000000004</v>
      </c>
      <c r="K238">
        <v>3.05</v>
      </c>
      <c r="L238">
        <v>14.3</v>
      </c>
      <c r="M238" t="s">
        <v>124</v>
      </c>
      <c r="N238">
        <v>0</v>
      </c>
      <c r="O238" t="s">
        <v>616</v>
      </c>
      <c r="Q238">
        <v>1.9</v>
      </c>
      <c r="R238" t="s">
        <v>123</v>
      </c>
      <c r="S238">
        <v>0</v>
      </c>
      <c r="U238">
        <v>2</v>
      </c>
      <c r="V238">
        <v>3.25</v>
      </c>
    </row>
    <row r="239" spans="2:22" x14ac:dyDescent="0.2">
      <c r="B239" t="s">
        <v>1907</v>
      </c>
      <c r="C239">
        <v>1185</v>
      </c>
      <c r="D239" t="s">
        <v>1732</v>
      </c>
      <c r="E239">
        <v>5</v>
      </c>
      <c r="F239" t="s">
        <v>201</v>
      </c>
      <c r="G239">
        <v>4.58</v>
      </c>
      <c r="H239">
        <v>1.6</v>
      </c>
      <c r="I239" t="s">
        <v>123</v>
      </c>
      <c r="J239">
        <v>0.68</v>
      </c>
      <c r="K239">
        <v>3.73</v>
      </c>
      <c r="L239">
        <v>17.5</v>
      </c>
      <c r="M239" t="s">
        <v>124</v>
      </c>
      <c r="N239">
        <v>0</v>
      </c>
      <c r="O239" t="s">
        <v>616</v>
      </c>
      <c r="Q239">
        <v>2.2999999999999998</v>
      </c>
      <c r="R239" t="s">
        <v>123</v>
      </c>
      <c r="S239">
        <v>0</v>
      </c>
      <c r="U239">
        <v>2</v>
      </c>
      <c r="V239">
        <v>4.1500000000000004</v>
      </c>
    </row>
    <row r="240" spans="2:22" x14ac:dyDescent="0.2">
      <c r="B240" t="s">
        <v>1908</v>
      </c>
      <c r="C240">
        <v>1186</v>
      </c>
      <c r="D240" t="s">
        <v>1729</v>
      </c>
      <c r="E240">
        <v>2</v>
      </c>
      <c r="F240" t="s">
        <v>201</v>
      </c>
      <c r="G240">
        <v>1.8919999999999999</v>
      </c>
      <c r="H240">
        <v>0.6</v>
      </c>
      <c r="I240" t="s">
        <v>123</v>
      </c>
      <c r="J240">
        <v>0.27500000000000002</v>
      </c>
      <c r="K240">
        <v>1.64</v>
      </c>
      <c r="L240">
        <v>7.5</v>
      </c>
      <c r="M240" t="s">
        <v>124</v>
      </c>
      <c r="N240">
        <v>0</v>
      </c>
      <c r="O240" t="s">
        <v>616</v>
      </c>
      <c r="Q240">
        <v>1.3</v>
      </c>
      <c r="R240" t="s">
        <v>123</v>
      </c>
      <c r="S240">
        <v>0</v>
      </c>
      <c r="U240">
        <v>2</v>
      </c>
      <c r="V240">
        <v>1.4</v>
      </c>
    </row>
    <row r="241" spans="2:22" x14ac:dyDescent="0.2">
      <c r="B241" t="s">
        <v>1909</v>
      </c>
      <c r="C241">
        <v>1187</v>
      </c>
      <c r="D241" t="s">
        <v>1729</v>
      </c>
      <c r="E241">
        <v>3</v>
      </c>
      <c r="F241" t="s">
        <v>201</v>
      </c>
      <c r="G241">
        <v>2.8380000000000001</v>
      </c>
      <c r="H241">
        <v>1</v>
      </c>
      <c r="I241" t="s">
        <v>123</v>
      </c>
      <c r="J241">
        <v>0.41</v>
      </c>
      <c r="K241">
        <v>2.33</v>
      </c>
      <c r="L241">
        <v>10.9</v>
      </c>
      <c r="M241" t="s">
        <v>124</v>
      </c>
      <c r="N241">
        <v>0</v>
      </c>
      <c r="O241" t="s">
        <v>616</v>
      </c>
      <c r="Q241">
        <v>1.5</v>
      </c>
      <c r="R241" t="s">
        <v>123</v>
      </c>
      <c r="S241">
        <v>0</v>
      </c>
      <c r="U241">
        <v>2</v>
      </c>
      <c r="V241">
        <v>2.2999999999999998</v>
      </c>
    </row>
    <row r="242" spans="2:22" x14ac:dyDescent="0.2">
      <c r="B242" t="s">
        <v>1910</v>
      </c>
      <c r="C242">
        <v>1188</v>
      </c>
      <c r="D242" t="s">
        <v>1729</v>
      </c>
      <c r="E242">
        <v>4</v>
      </c>
      <c r="F242" t="s">
        <v>201</v>
      </c>
      <c r="G242">
        <v>3.7839999999999998</v>
      </c>
      <c r="H242">
        <v>1.3</v>
      </c>
      <c r="I242" t="s">
        <v>123</v>
      </c>
      <c r="J242">
        <v>0.54500000000000004</v>
      </c>
      <c r="K242">
        <v>3.05</v>
      </c>
      <c r="L242">
        <v>14.3</v>
      </c>
      <c r="M242" t="s">
        <v>124</v>
      </c>
      <c r="N242">
        <v>0</v>
      </c>
      <c r="O242" t="s">
        <v>616</v>
      </c>
      <c r="Q242">
        <v>1.9</v>
      </c>
      <c r="R242" t="s">
        <v>123</v>
      </c>
      <c r="S242">
        <v>0</v>
      </c>
      <c r="U242">
        <v>2</v>
      </c>
      <c r="V242">
        <v>3.25</v>
      </c>
    </row>
    <row r="243" spans="2:22" x14ac:dyDescent="0.2">
      <c r="B243" t="s">
        <v>1911</v>
      </c>
      <c r="C243">
        <v>1189</v>
      </c>
      <c r="D243" t="s">
        <v>1729</v>
      </c>
      <c r="E243">
        <v>5</v>
      </c>
      <c r="F243" t="s">
        <v>201</v>
      </c>
      <c r="G243">
        <v>4.7300000000000004</v>
      </c>
      <c r="H243">
        <v>1.6</v>
      </c>
      <c r="I243" t="s">
        <v>123</v>
      </c>
      <c r="J243">
        <v>0.68</v>
      </c>
      <c r="K243">
        <v>3.73</v>
      </c>
      <c r="L243">
        <v>17.5</v>
      </c>
      <c r="M243" t="s">
        <v>124</v>
      </c>
      <c r="N243">
        <v>0</v>
      </c>
      <c r="O243" t="s">
        <v>616</v>
      </c>
      <c r="Q243">
        <v>2.2999999999999998</v>
      </c>
      <c r="R243" t="s">
        <v>123</v>
      </c>
      <c r="S243">
        <v>0</v>
      </c>
      <c r="U243">
        <v>2</v>
      </c>
      <c r="V243">
        <v>4.1500000000000004</v>
      </c>
    </row>
    <row r="244" spans="2:22" x14ac:dyDescent="0.2">
      <c r="B244" t="s">
        <v>1912</v>
      </c>
      <c r="C244">
        <v>1190</v>
      </c>
      <c r="D244" t="s">
        <v>1740</v>
      </c>
      <c r="E244">
        <v>2</v>
      </c>
      <c r="F244" t="s">
        <v>201</v>
      </c>
      <c r="G244">
        <v>1.9079999999999999</v>
      </c>
      <c r="H244">
        <v>0.6</v>
      </c>
      <c r="I244" t="s">
        <v>123</v>
      </c>
      <c r="J244">
        <v>0.28000000000000003</v>
      </c>
      <c r="K244">
        <v>1.64</v>
      </c>
      <c r="L244">
        <v>7.5</v>
      </c>
      <c r="M244" t="s">
        <v>124</v>
      </c>
      <c r="N244">
        <v>0</v>
      </c>
      <c r="O244" t="s">
        <v>616</v>
      </c>
      <c r="Q244">
        <v>1.5</v>
      </c>
      <c r="R244" t="s">
        <v>123</v>
      </c>
      <c r="S244">
        <v>0</v>
      </c>
      <c r="U244">
        <v>2</v>
      </c>
      <c r="V244">
        <v>1.4</v>
      </c>
    </row>
    <row r="245" spans="2:22" x14ac:dyDescent="0.2">
      <c r="B245" t="s">
        <v>1913</v>
      </c>
      <c r="C245">
        <v>1191</v>
      </c>
      <c r="D245" t="s">
        <v>1740</v>
      </c>
      <c r="E245">
        <v>3</v>
      </c>
      <c r="F245" t="s">
        <v>201</v>
      </c>
      <c r="G245">
        <v>2.7480000000000002</v>
      </c>
      <c r="H245">
        <v>1</v>
      </c>
      <c r="I245" t="s">
        <v>123</v>
      </c>
      <c r="J245">
        <v>0.41</v>
      </c>
      <c r="K245">
        <v>2.33</v>
      </c>
      <c r="L245">
        <v>10.9</v>
      </c>
      <c r="M245" t="s">
        <v>124</v>
      </c>
      <c r="N245">
        <v>0</v>
      </c>
      <c r="O245" t="s">
        <v>616</v>
      </c>
      <c r="Q245">
        <v>1.5</v>
      </c>
      <c r="R245" t="s">
        <v>123</v>
      </c>
      <c r="S245">
        <v>0</v>
      </c>
      <c r="U245">
        <v>2</v>
      </c>
      <c r="V245">
        <v>2.2999999999999998</v>
      </c>
    </row>
    <row r="246" spans="2:22" x14ac:dyDescent="0.2">
      <c r="B246" t="s">
        <v>1914</v>
      </c>
      <c r="C246">
        <v>1192</v>
      </c>
      <c r="D246" t="s">
        <v>1740</v>
      </c>
      <c r="E246">
        <v>4</v>
      </c>
      <c r="F246" t="s">
        <v>201</v>
      </c>
      <c r="G246">
        <v>3.6619999999999999</v>
      </c>
      <c r="H246">
        <v>1.3</v>
      </c>
      <c r="I246" t="s">
        <v>123</v>
      </c>
      <c r="J246">
        <v>0.54500000000000004</v>
      </c>
      <c r="K246">
        <v>3.05</v>
      </c>
      <c r="L246">
        <v>14.3</v>
      </c>
      <c r="M246" t="s">
        <v>124</v>
      </c>
      <c r="N246">
        <v>0</v>
      </c>
      <c r="O246" t="s">
        <v>616</v>
      </c>
      <c r="Q246">
        <v>1.9</v>
      </c>
      <c r="R246" t="s">
        <v>123</v>
      </c>
      <c r="S246">
        <v>0</v>
      </c>
      <c r="U246">
        <v>2</v>
      </c>
      <c r="V246">
        <v>3.25</v>
      </c>
    </row>
    <row r="247" spans="2:22" x14ac:dyDescent="0.2">
      <c r="B247" t="s">
        <v>1915</v>
      </c>
      <c r="C247">
        <v>1193</v>
      </c>
      <c r="D247" t="s">
        <v>1740</v>
      </c>
      <c r="E247">
        <v>5</v>
      </c>
      <c r="F247" t="s">
        <v>201</v>
      </c>
      <c r="G247">
        <v>4.58</v>
      </c>
      <c r="H247">
        <v>1.6</v>
      </c>
      <c r="I247" t="s">
        <v>123</v>
      </c>
      <c r="J247">
        <v>0.68</v>
      </c>
      <c r="K247">
        <v>3.73</v>
      </c>
      <c r="L247">
        <v>17.5</v>
      </c>
      <c r="M247" t="s">
        <v>124</v>
      </c>
      <c r="N247">
        <v>0</v>
      </c>
      <c r="O247" t="s">
        <v>616</v>
      </c>
      <c r="Q247">
        <v>2.2999999999999998</v>
      </c>
      <c r="R247" t="s">
        <v>123</v>
      </c>
      <c r="S247">
        <v>0</v>
      </c>
      <c r="U247">
        <v>2</v>
      </c>
      <c r="V247">
        <v>4.1500000000000004</v>
      </c>
    </row>
    <row r="248" spans="2:22" x14ac:dyDescent="0.2">
      <c r="B248" t="s">
        <v>1916</v>
      </c>
      <c r="C248">
        <v>1194</v>
      </c>
      <c r="D248" t="s">
        <v>1738</v>
      </c>
      <c r="E248">
        <v>2</v>
      </c>
      <c r="F248" t="s">
        <v>201</v>
      </c>
      <c r="G248">
        <v>2.036</v>
      </c>
      <c r="H248">
        <v>0.6</v>
      </c>
      <c r="I248" t="s">
        <v>123</v>
      </c>
      <c r="J248">
        <v>0.28000000000000003</v>
      </c>
      <c r="K248">
        <v>1.64</v>
      </c>
      <c r="L248">
        <v>7.5</v>
      </c>
      <c r="M248" t="s">
        <v>124</v>
      </c>
      <c r="N248">
        <v>0</v>
      </c>
      <c r="O248" t="s">
        <v>616</v>
      </c>
      <c r="Q248">
        <v>1.5</v>
      </c>
      <c r="R248" t="s">
        <v>123</v>
      </c>
      <c r="S248">
        <v>0</v>
      </c>
      <c r="U248">
        <v>2</v>
      </c>
      <c r="V248">
        <v>1.4</v>
      </c>
    </row>
    <row r="249" spans="2:22" x14ac:dyDescent="0.2">
      <c r="B249" t="s">
        <v>1917</v>
      </c>
      <c r="C249">
        <v>1195</v>
      </c>
      <c r="D249" t="s">
        <v>1738</v>
      </c>
      <c r="E249">
        <v>3</v>
      </c>
      <c r="F249" t="s">
        <v>201</v>
      </c>
      <c r="G249">
        <v>2.8380000000000001</v>
      </c>
      <c r="H249">
        <v>1</v>
      </c>
      <c r="I249" t="s">
        <v>123</v>
      </c>
      <c r="J249">
        <v>0.41</v>
      </c>
      <c r="K249">
        <v>2.33</v>
      </c>
      <c r="L249">
        <v>10.9</v>
      </c>
      <c r="M249" t="s">
        <v>124</v>
      </c>
      <c r="N249">
        <v>0</v>
      </c>
      <c r="O249" t="s">
        <v>616</v>
      </c>
      <c r="Q249">
        <v>1.5</v>
      </c>
      <c r="R249" t="s">
        <v>123</v>
      </c>
      <c r="S249">
        <v>0</v>
      </c>
      <c r="U249">
        <v>2</v>
      </c>
      <c r="V249">
        <v>2.2999999999999998</v>
      </c>
    </row>
    <row r="250" spans="2:22" x14ac:dyDescent="0.2">
      <c r="B250" t="s">
        <v>1918</v>
      </c>
      <c r="C250">
        <v>1196</v>
      </c>
      <c r="D250" t="s">
        <v>1738</v>
      </c>
      <c r="E250">
        <v>4</v>
      </c>
      <c r="F250" t="s">
        <v>201</v>
      </c>
      <c r="G250">
        <v>3.7839999999999998</v>
      </c>
      <c r="H250">
        <v>1.3</v>
      </c>
      <c r="I250" t="s">
        <v>123</v>
      </c>
      <c r="J250">
        <v>0.54500000000000004</v>
      </c>
      <c r="K250">
        <v>3.05</v>
      </c>
      <c r="L250">
        <v>14.3</v>
      </c>
      <c r="M250" t="s">
        <v>124</v>
      </c>
      <c r="N250">
        <v>0</v>
      </c>
      <c r="O250" t="s">
        <v>616</v>
      </c>
      <c r="Q250">
        <v>1.9</v>
      </c>
      <c r="R250" t="s">
        <v>123</v>
      </c>
      <c r="S250">
        <v>0</v>
      </c>
      <c r="U250">
        <v>2</v>
      </c>
      <c r="V250">
        <v>3.25</v>
      </c>
    </row>
    <row r="251" spans="2:22" x14ac:dyDescent="0.2">
      <c r="B251" t="s">
        <v>1919</v>
      </c>
      <c r="C251">
        <v>1197</v>
      </c>
      <c r="D251" t="s">
        <v>1738</v>
      </c>
      <c r="E251">
        <v>5</v>
      </c>
      <c r="F251" t="s">
        <v>201</v>
      </c>
      <c r="G251">
        <v>4.7300000000000004</v>
      </c>
      <c r="H251">
        <v>1.6</v>
      </c>
      <c r="I251" t="s">
        <v>123</v>
      </c>
      <c r="J251">
        <v>0.68</v>
      </c>
      <c r="K251">
        <v>3.73</v>
      </c>
      <c r="L251">
        <v>17.5</v>
      </c>
      <c r="M251" t="s">
        <v>124</v>
      </c>
      <c r="N251">
        <v>0</v>
      </c>
      <c r="O251" t="s">
        <v>616</v>
      </c>
      <c r="Q251">
        <v>2.2999999999999998</v>
      </c>
      <c r="R251" t="s">
        <v>123</v>
      </c>
      <c r="S251">
        <v>0</v>
      </c>
      <c r="U251">
        <v>2</v>
      </c>
      <c r="V251">
        <v>4.1500000000000004</v>
      </c>
    </row>
    <row r="252" spans="2:22" x14ac:dyDescent="0.2">
      <c r="B252" t="s">
        <v>1920</v>
      </c>
      <c r="C252">
        <v>1198</v>
      </c>
      <c r="D252" t="s">
        <v>1792</v>
      </c>
      <c r="E252">
        <v>6</v>
      </c>
      <c r="F252" t="s">
        <v>199</v>
      </c>
      <c r="G252">
        <v>1.41</v>
      </c>
      <c r="H252">
        <v>0.6</v>
      </c>
      <c r="I252" t="s">
        <v>123</v>
      </c>
      <c r="J252">
        <v>0.26</v>
      </c>
      <c r="K252">
        <v>1.65</v>
      </c>
      <c r="L252">
        <v>5.61</v>
      </c>
      <c r="M252" t="s">
        <v>124</v>
      </c>
      <c r="N252">
        <v>0</v>
      </c>
      <c r="O252" t="s">
        <v>616</v>
      </c>
      <c r="Q252">
        <v>0</v>
      </c>
      <c r="R252" t="s">
        <v>616</v>
      </c>
      <c r="S252">
        <v>0</v>
      </c>
      <c r="U252">
        <v>2</v>
      </c>
      <c r="V252">
        <v>1.5</v>
      </c>
    </row>
    <row r="253" spans="2:22" x14ac:dyDescent="0.2">
      <c r="B253" t="s">
        <v>1921</v>
      </c>
      <c r="C253">
        <v>1199</v>
      </c>
      <c r="D253" t="s">
        <v>1792</v>
      </c>
      <c r="E253">
        <v>8</v>
      </c>
      <c r="F253" t="s">
        <v>199</v>
      </c>
      <c r="G253">
        <v>1.58</v>
      </c>
      <c r="H253">
        <v>0.6</v>
      </c>
      <c r="I253" t="s">
        <v>123</v>
      </c>
      <c r="J253">
        <v>0.33</v>
      </c>
      <c r="K253">
        <v>1.46</v>
      </c>
      <c r="L253">
        <v>7.69</v>
      </c>
      <c r="M253" t="s">
        <v>124</v>
      </c>
      <c r="N253">
        <v>0</v>
      </c>
      <c r="O253" t="s">
        <v>616</v>
      </c>
      <c r="Q253">
        <v>0</v>
      </c>
      <c r="R253" t="s">
        <v>616</v>
      </c>
      <c r="S253">
        <v>0</v>
      </c>
      <c r="U253">
        <v>2</v>
      </c>
      <c r="V253">
        <v>1.25</v>
      </c>
    </row>
    <row r="254" spans="2:22" x14ac:dyDescent="0.2">
      <c r="B254" t="s">
        <v>1922</v>
      </c>
      <c r="C254">
        <v>1200</v>
      </c>
      <c r="D254" t="s">
        <v>1792</v>
      </c>
      <c r="E254">
        <v>12</v>
      </c>
      <c r="F254" t="s">
        <v>199</v>
      </c>
      <c r="G254">
        <v>2.37</v>
      </c>
      <c r="H254">
        <v>0.9</v>
      </c>
      <c r="I254" t="s">
        <v>123</v>
      </c>
      <c r="J254">
        <v>0.5</v>
      </c>
      <c r="K254">
        <v>2.15</v>
      </c>
      <c r="L254">
        <v>11.79</v>
      </c>
      <c r="M254" t="s">
        <v>124</v>
      </c>
      <c r="N254">
        <v>0</v>
      </c>
      <c r="O254" t="s">
        <v>616</v>
      </c>
      <c r="Q254">
        <v>0</v>
      </c>
      <c r="R254" t="s">
        <v>616</v>
      </c>
      <c r="S254">
        <v>0</v>
      </c>
      <c r="U254">
        <v>2</v>
      </c>
      <c r="V254">
        <v>1.875</v>
      </c>
    </row>
    <row r="255" spans="2:22" x14ac:dyDescent="0.2">
      <c r="B255" t="s">
        <v>1923</v>
      </c>
      <c r="C255">
        <v>1201</v>
      </c>
      <c r="D255" t="s">
        <v>1750</v>
      </c>
      <c r="E255">
        <v>4</v>
      </c>
      <c r="F255" t="s">
        <v>199</v>
      </c>
      <c r="G255">
        <v>1.35</v>
      </c>
      <c r="H255">
        <v>0.6</v>
      </c>
      <c r="I255" t="s">
        <v>123</v>
      </c>
      <c r="J255">
        <v>0</v>
      </c>
      <c r="K255">
        <v>0.8</v>
      </c>
      <c r="L255">
        <v>5.5</v>
      </c>
      <c r="M255" t="s">
        <v>124</v>
      </c>
      <c r="N255">
        <v>0</v>
      </c>
      <c r="O255" t="s">
        <v>616</v>
      </c>
      <c r="Q255">
        <v>0.13</v>
      </c>
      <c r="R255" t="s">
        <v>123</v>
      </c>
      <c r="S255">
        <v>0</v>
      </c>
      <c r="V255">
        <v>1.8</v>
      </c>
    </row>
    <row r="256" spans="2:22" x14ac:dyDescent="0.2">
      <c r="B256" t="s">
        <v>1924</v>
      </c>
      <c r="C256">
        <v>1202</v>
      </c>
      <c r="D256" t="s">
        <v>1750</v>
      </c>
      <c r="E256">
        <v>6</v>
      </c>
      <c r="F256" t="s">
        <v>199</v>
      </c>
      <c r="G256">
        <v>2.0499999999999998</v>
      </c>
      <c r="H256">
        <v>0.12</v>
      </c>
      <c r="I256" t="s">
        <v>123</v>
      </c>
      <c r="J256">
        <v>0</v>
      </c>
      <c r="K256">
        <v>1.2</v>
      </c>
      <c r="L256">
        <v>8.25</v>
      </c>
      <c r="M256" t="s">
        <v>124</v>
      </c>
      <c r="N256">
        <v>0</v>
      </c>
      <c r="O256" t="s">
        <v>616</v>
      </c>
      <c r="Q256">
        <v>0.13</v>
      </c>
      <c r="R256" t="s">
        <v>123</v>
      </c>
      <c r="S256">
        <v>0</v>
      </c>
      <c r="V256">
        <v>2.4</v>
      </c>
    </row>
    <row r="257" spans="2:32" x14ac:dyDescent="0.2">
      <c r="B257" t="s">
        <v>1925</v>
      </c>
      <c r="C257">
        <v>1203</v>
      </c>
      <c r="D257" t="s">
        <v>1750</v>
      </c>
      <c r="E257">
        <v>8</v>
      </c>
      <c r="F257" t="s">
        <v>199</v>
      </c>
      <c r="G257">
        <v>2.7</v>
      </c>
      <c r="H257">
        <v>0.12</v>
      </c>
      <c r="I257" t="s">
        <v>123</v>
      </c>
      <c r="J257">
        <v>0</v>
      </c>
      <c r="K257">
        <v>1.65</v>
      </c>
      <c r="L257">
        <v>11</v>
      </c>
      <c r="M257" t="s">
        <v>124</v>
      </c>
      <c r="N257">
        <v>0</v>
      </c>
      <c r="O257" t="s">
        <v>616</v>
      </c>
      <c r="Q257">
        <v>0.13</v>
      </c>
      <c r="R257" t="s">
        <v>123</v>
      </c>
      <c r="S257">
        <v>0</v>
      </c>
      <c r="V257">
        <v>3</v>
      </c>
    </row>
    <row r="258" spans="2:32" x14ac:dyDescent="0.2">
      <c r="B258" t="s">
        <v>1926</v>
      </c>
      <c r="C258">
        <v>1204</v>
      </c>
      <c r="D258" t="s">
        <v>1750</v>
      </c>
      <c r="E258">
        <v>10</v>
      </c>
      <c r="F258" t="s">
        <v>199</v>
      </c>
      <c r="G258">
        <v>3.4</v>
      </c>
      <c r="H258">
        <v>0.18</v>
      </c>
      <c r="I258" t="s">
        <v>123</v>
      </c>
      <c r="J258">
        <v>0</v>
      </c>
      <c r="K258">
        <v>2.0499999999999998</v>
      </c>
      <c r="L258">
        <v>13.75</v>
      </c>
      <c r="M258" t="s">
        <v>124</v>
      </c>
      <c r="N258">
        <v>0</v>
      </c>
      <c r="O258" t="s">
        <v>616</v>
      </c>
      <c r="Q258">
        <v>0.13</v>
      </c>
      <c r="R258" t="s">
        <v>123</v>
      </c>
      <c r="S258">
        <v>0</v>
      </c>
      <c r="V258">
        <v>3.6</v>
      </c>
    </row>
    <row r="259" spans="2:32" x14ac:dyDescent="0.2">
      <c r="B259" t="s">
        <v>1927</v>
      </c>
      <c r="C259">
        <v>1205</v>
      </c>
      <c r="D259" t="s">
        <v>1750</v>
      </c>
      <c r="E259">
        <v>12</v>
      </c>
      <c r="F259" t="s">
        <v>199</v>
      </c>
      <c r="G259">
        <v>4.0999999999999996</v>
      </c>
      <c r="H259">
        <v>0.18</v>
      </c>
      <c r="I259" t="s">
        <v>123</v>
      </c>
      <c r="J259">
        <v>0</v>
      </c>
      <c r="K259">
        <v>2.4500000000000002</v>
      </c>
      <c r="L259">
        <v>16.5</v>
      </c>
      <c r="M259" t="s">
        <v>124</v>
      </c>
      <c r="N259">
        <v>0</v>
      </c>
      <c r="O259" t="s">
        <v>616</v>
      </c>
      <c r="Q259">
        <v>0.13</v>
      </c>
      <c r="R259" t="s">
        <v>123</v>
      </c>
      <c r="S259">
        <v>0</v>
      </c>
      <c r="V259">
        <v>4.2</v>
      </c>
    </row>
    <row r="260" spans="2:32" x14ac:dyDescent="0.2">
      <c r="B260" t="s">
        <v>1928</v>
      </c>
      <c r="C260">
        <v>1206</v>
      </c>
      <c r="D260" t="s">
        <v>1746</v>
      </c>
      <c r="E260">
        <v>6</v>
      </c>
      <c r="F260" t="s">
        <v>199</v>
      </c>
      <c r="G260">
        <v>2.25</v>
      </c>
      <c r="H260">
        <v>0.06</v>
      </c>
      <c r="I260" t="s">
        <v>123</v>
      </c>
      <c r="J260">
        <v>0</v>
      </c>
      <c r="K260">
        <v>1.4</v>
      </c>
      <c r="L260">
        <v>8.6</v>
      </c>
      <c r="M260" t="s">
        <v>124</v>
      </c>
      <c r="N260">
        <v>0</v>
      </c>
      <c r="O260" t="s">
        <v>616</v>
      </c>
      <c r="Q260">
        <v>0.13</v>
      </c>
      <c r="R260" t="s">
        <v>123</v>
      </c>
      <c r="S260">
        <v>0</v>
      </c>
      <c r="V260">
        <v>2.1</v>
      </c>
    </row>
    <row r="261" spans="2:32" x14ac:dyDescent="0.2">
      <c r="B261" t="s">
        <v>1929</v>
      </c>
      <c r="C261">
        <v>1207</v>
      </c>
      <c r="D261" t="s">
        <v>1748</v>
      </c>
      <c r="E261">
        <v>6</v>
      </c>
      <c r="F261" t="s">
        <v>199</v>
      </c>
      <c r="G261">
        <v>2.25</v>
      </c>
      <c r="H261">
        <v>0.06</v>
      </c>
      <c r="I261" t="s">
        <v>123</v>
      </c>
      <c r="J261">
        <v>0</v>
      </c>
      <c r="K261">
        <v>1.4</v>
      </c>
      <c r="L261">
        <v>8.6</v>
      </c>
      <c r="M261" t="s">
        <v>124</v>
      </c>
      <c r="N261">
        <v>0</v>
      </c>
      <c r="O261" t="s">
        <v>616</v>
      </c>
      <c r="Q261">
        <v>0.13</v>
      </c>
      <c r="R261" t="s">
        <v>123</v>
      </c>
      <c r="S261">
        <v>0</v>
      </c>
      <c r="U261">
        <v>2</v>
      </c>
      <c r="V261">
        <v>1.3</v>
      </c>
    </row>
    <row r="262" spans="2:32" x14ac:dyDescent="0.2">
      <c r="B262" t="s">
        <v>1930</v>
      </c>
      <c r="C262">
        <v>1208</v>
      </c>
      <c r="D262" t="s">
        <v>1790</v>
      </c>
      <c r="E262">
        <v>4</v>
      </c>
      <c r="F262" t="s">
        <v>199</v>
      </c>
      <c r="G262">
        <v>0.4</v>
      </c>
      <c r="H262">
        <v>0.3</v>
      </c>
      <c r="I262" t="s">
        <v>1194</v>
      </c>
      <c r="J262">
        <v>0</v>
      </c>
      <c r="K262">
        <v>0</v>
      </c>
      <c r="L262">
        <v>0</v>
      </c>
      <c r="M262" t="s">
        <v>616</v>
      </c>
      <c r="N262">
        <v>0</v>
      </c>
      <c r="O262" t="s">
        <v>616</v>
      </c>
      <c r="Q262">
        <v>0</v>
      </c>
      <c r="R262" t="s">
        <v>616</v>
      </c>
      <c r="S262">
        <v>0</v>
      </c>
      <c r="W262">
        <v>0.12</v>
      </c>
      <c r="AF262">
        <v>0.14199999999999999</v>
      </c>
    </row>
    <row r="263" spans="2:32" x14ac:dyDescent="0.2">
      <c r="B263" t="s">
        <v>1931</v>
      </c>
      <c r="C263">
        <v>1209</v>
      </c>
      <c r="D263" t="s">
        <v>1790</v>
      </c>
      <c r="E263">
        <v>6</v>
      </c>
      <c r="F263" t="s">
        <v>199</v>
      </c>
      <c r="G263">
        <v>0.6</v>
      </c>
      <c r="H263">
        <v>0.3</v>
      </c>
      <c r="I263" t="s">
        <v>1194</v>
      </c>
      <c r="J263">
        <v>0</v>
      </c>
      <c r="K263">
        <v>0</v>
      </c>
      <c r="L263">
        <v>0</v>
      </c>
      <c r="M263" t="s">
        <v>616</v>
      </c>
      <c r="N263">
        <v>0</v>
      </c>
      <c r="O263" t="s">
        <v>616</v>
      </c>
      <c r="Q263">
        <v>0</v>
      </c>
      <c r="R263" t="s">
        <v>616</v>
      </c>
      <c r="S263">
        <v>0</v>
      </c>
      <c r="W263">
        <v>0.12</v>
      </c>
      <c r="AF263">
        <v>0.21099999999999999</v>
      </c>
    </row>
    <row r="264" spans="2:32" x14ac:dyDescent="0.2">
      <c r="B264" t="s">
        <v>1932</v>
      </c>
      <c r="C264">
        <v>1210</v>
      </c>
      <c r="D264" t="s">
        <v>1790</v>
      </c>
      <c r="E264">
        <v>8</v>
      </c>
      <c r="F264" t="s">
        <v>199</v>
      </c>
      <c r="G264">
        <v>0.8</v>
      </c>
      <c r="H264">
        <v>0.3</v>
      </c>
      <c r="I264" t="s">
        <v>1194</v>
      </c>
      <c r="J264">
        <v>0</v>
      </c>
      <c r="K264">
        <v>0</v>
      </c>
      <c r="L264">
        <v>0</v>
      </c>
      <c r="M264" t="s">
        <v>616</v>
      </c>
      <c r="N264">
        <v>0</v>
      </c>
      <c r="O264" t="s">
        <v>616</v>
      </c>
      <c r="Q264">
        <v>0</v>
      </c>
      <c r="R264" t="s">
        <v>616</v>
      </c>
      <c r="S264">
        <v>0</v>
      </c>
      <c r="W264">
        <v>0.12</v>
      </c>
      <c r="AF264">
        <v>0.28100000000000003</v>
      </c>
    </row>
    <row r="265" spans="2:32" x14ac:dyDescent="0.2">
      <c r="B265" t="s">
        <v>1933</v>
      </c>
      <c r="C265">
        <v>1211</v>
      </c>
      <c r="D265" t="s">
        <v>1790</v>
      </c>
      <c r="E265">
        <v>10</v>
      </c>
      <c r="F265" t="s">
        <v>199</v>
      </c>
      <c r="G265">
        <v>1</v>
      </c>
      <c r="H265">
        <v>0.3</v>
      </c>
      <c r="I265" t="s">
        <v>1194</v>
      </c>
      <c r="J265">
        <v>0</v>
      </c>
      <c r="K265">
        <v>0</v>
      </c>
      <c r="L265">
        <v>0</v>
      </c>
      <c r="M265" t="s">
        <v>616</v>
      </c>
      <c r="N265">
        <v>0</v>
      </c>
      <c r="O265" t="s">
        <v>616</v>
      </c>
      <c r="Q265">
        <v>0</v>
      </c>
      <c r="R265" t="s">
        <v>616</v>
      </c>
      <c r="S265">
        <v>0</v>
      </c>
      <c r="W265">
        <v>0.24</v>
      </c>
      <c r="AF265">
        <v>0.35199999999999998</v>
      </c>
    </row>
    <row r="266" spans="2:32" x14ac:dyDescent="0.2">
      <c r="B266" t="s">
        <v>1934</v>
      </c>
      <c r="C266">
        <v>1212</v>
      </c>
      <c r="D266" t="s">
        <v>1790</v>
      </c>
      <c r="E266">
        <v>12</v>
      </c>
      <c r="F266" t="s">
        <v>199</v>
      </c>
      <c r="G266">
        <v>1.2</v>
      </c>
      <c r="H266">
        <v>0.3</v>
      </c>
      <c r="I266" t="s">
        <v>1194</v>
      </c>
      <c r="J266">
        <v>0</v>
      </c>
      <c r="K266">
        <v>0</v>
      </c>
      <c r="L266">
        <v>0</v>
      </c>
      <c r="M266" t="s">
        <v>616</v>
      </c>
      <c r="N266">
        <v>0</v>
      </c>
      <c r="O266" t="s">
        <v>616</v>
      </c>
      <c r="Q266">
        <v>0</v>
      </c>
      <c r="R266" t="s">
        <v>616</v>
      </c>
      <c r="S266">
        <v>0</v>
      </c>
      <c r="W266">
        <v>0.24</v>
      </c>
      <c r="AF266">
        <v>0.42199999999999999</v>
      </c>
    </row>
    <row r="267" spans="2:32" x14ac:dyDescent="0.2">
      <c r="B267" t="s">
        <v>2096</v>
      </c>
      <c r="C267">
        <v>1213</v>
      </c>
      <c r="D267" t="s">
        <v>2027</v>
      </c>
      <c r="E267">
        <v>6</v>
      </c>
      <c r="F267" t="s">
        <v>199</v>
      </c>
      <c r="G267">
        <v>8.5259999999999998</v>
      </c>
      <c r="H267">
        <v>0.84</v>
      </c>
      <c r="I267" t="s">
        <v>123</v>
      </c>
      <c r="J267">
        <v>0.52</v>
      </c>
      <c r="K267">
        <v>0</v>
      </c>
      <c r="L267">
        <v>0</v>
      </c>
      <c r="M267" t="s">
        <v>616</v>
      </c>
      <c r="N267">
        <v>0</v>
      </c>
      <c r="O267" t="s">
        <v>616</v>
      </c>
      <c r="Q267">
        <v>0</v>
      </c>
      <c r="R267" t="s">
        <v>616</v>
      </c>
      <c r="S267">
        <v>0</v>
      </c>
      <c r="W267">
        <v>2.02</v>
      </c>
      <c r="AF267">
        <v>2.2999999999999998</v>
      </c>
    </row>
    <row r="268" spans="2:32" x14ac:dyDescent="0.2">
      <c r="B268" t="s">
        <v>2097</v>
      </c>
      <c r="C268">
        <v>1214</v>
      </c>
      <c r="D268" t="s">
        <v>2027</v>
      </c>
      <c r="E268">
        <v>8</v>
      </c>
      <c r="F268" t="s">
        <v>199</v>
      </c>
      <c r="G268">
        <v>11.368</v>
      </c>
      <c r="H268">
        <v>1.2</v>
      </c>
      <c r="I268" t="s">
        <v>123</v>
      </c>
      <c r="J268">
        <v>0.64</v>
      </c>
      <c r="K268">
        <v>0</v>
      </c>
      <c r="L268">
        <v>0</v>
      </c>
      <c r="M268" t="s">
        <v>616</v>
      </c>
      <c r="N268">
        <v>0</v>
      </c>
      <c r="O268" t="s">
        <v>616</v>
      </c>
      <c r="Q268">
        <v>0</v>
      </c>
      <c r="R268" t="s">
        <v>616</v>
      </c>
      <c r="S268">
        <v>0</v>
      </c>
      <c r="W268">
        <v>2.69</v>
      </c>
      <c r="AF268">
        <v>3.1</v>
      </c>
    </row>
    <row r="269" spans="2:32" x14ac:dyDescent="0.2">
      <c r="B269" t="s">
        <v>2098</v>
      </c>
      <c r="C269">
        <v>1215</v>
      </c>
      <c r="D269" t="s">
        <v>2027</v>
      </c>
      <c r="E269">
        <v>12</v>
      </c>
      <c r="F269" t="s">
        <v>199</v>
      </c>
      <c r="G269">
        <v>17.052</v>
      </c>
      <c r="H269">
        <v>1.8</v>
      </c>
      <c r="I269" t="s">
        <v>123</v>
      </c>
      <c r="J269">
        <v>0.96</v>
      </c>
      <c r="K269">
        <v>0</v>
      </c>
      <c r="L269">
        <v>0</v>
      </c>
      <c r="M269" t="s">
        <v>616</v>
      </c>
      <c r="N269">
        <v>0</v>
      </c>
      <c r="O269" t="s">
        <v>616</v>
      </c>
      <c r="Q269">
        <v>0</v>
      </c>
      <c r="R269" t="s">
        <v>616</v>
      </c>
      <c r="S269">
        <v>0</v>
      </c>
      <c r="W269">
        <v>4.34</v>
      </c>
      <c r="AF269">
        <v>4.5999999999999996</v>
      </c>
    </row>
    <row r="270" spans="2:32" x14ac:dyDescent="0.2">
      <c r="B270" t="s">
        <v>1908</v>
      </c>
      <c r="C270">
        <v>1216</v>
      </c>
      <c r="D270" t="s">
        <v>1729</v>
      </c>
      <c r="E270">
        <v>2</v>
      </c>
      <c r="F270" t="s">
        <v>1730</v>
      </c>
      <c r="G270">
        <v>1.8919999999999999</v>
      </c>
      <c r="H270">
        <v>0.6</v>
      </c>
      <c r="I270" t="s">
        <v>123</v>
      </c>
      <c r="J270">
        <v>0.27500000000000002</v>
      </c>
      <c r="K270">
        <v>1.64</v>
      </c>
      <c r="L270">
        <v>7.5</v>
      </c>
      <c r="M270" t="s">
        <v>124</v>
      </c>
      <c r="N270">
        <v>0</v>
      </c>
      <c r="O270" t="s">
        <v>616</v>
      </c>
      <c r="Q270">
        <v>1.3</v>
      </c>
      <c r="R270" t="s">
        <v>123</v>
      </c>
      <c r="S270">
        <v>0</v>
      </c>
      <c r="U270">
        <v>2</v>
      </c>
      <c r="V270">
        <v>1.4</v>
      </c>
    </row>
    <row r="271" spans="2:32" x14ac:dyDescent="0.2">
      <c r="B271" t="s">
        <v>1909</v>
      </c>
      <c r="C271">
        <v>1217</v>
      </c>
      <c r="D271" t="s">
        <v>1729</v>
      </c>
      <c r="E271">
        <v>3</v>
      </c>
      <c r="F271" t="s">
        <v>1730</v>
      </c>
      <c r="G271">
        <v>2.8380000000000001</v>
      </c>
      <c r="H271">
        <v>1</v>
      </c>
      <c r="I271" t="s">
        <v>123</v>
      </c>
      <c r="J271">
        <v>0.41</v>
      </c>
      <c r="K271">
        <v>2.33</v>
      </c>
      <c r="L271">
        <v>10.9</v>
      </c>
      <c r="M271" t="s">
        <v>124</v>
      </c>
      <c r="N271">
        <v>0</v>
      </c>
      <c r="O271" t="s">
        <v>616</v>
      </c>
      <c r="Q271">
        <v>1.5</v>
      </c>
      <c r="R271" t="s">
        <v>123</v>
      </c>
      <c r="S271">
        <v>0</v>
      </c>
      <c r="U271">
        <v>2</v>
      </c>
      <c r="V271">
        <v>2.2999999999999998</v>
      </c>
    </row>
    <row r="272" spans="2:32" x14ac:dyDescent="0.2">
      <c r="B272" t="s">
        <v>1910</v>
      </c>
      <c r="C272">
        <v>1218</v>
      </c>
      <c r="D272" t="s">
        <v>1729</v>
      </c>
      <c r="E272">
        <v>4</v>
      </c>
      <c r="F272" t="s">
        <v>1730</v>
      </c>
      <c r="G272">
        <v>3.7839999999999998</v>
      </c>
      <c r="H272">
        <v>1.3</v>
      </c>
      <c r="I272" t="s">
        <v>123</v>
      </c>
      <c r="J272">
        <v>0.54500000000000004</v>
      </c>
      <c r="K272">
        <v>3.05</v>
      </c>
      <c r="L272">
        <v>14.3</v>
      </c>
      <c r="M272" t="s">
        <v>124</v>
      </c>
      <c r="N272">
        <v>0</v>
      </c>
      <c r="O272" t="s">
        <v>616</v>
      </c>
      <c r="Q272">
        <v>1.9</v>
      </c>
      <c r="R272" t="s">
        <v>123</v>
      </c>
      <c r="S272">
        <v>0</v>
      </c>
      <c r="U272">
        <v>2</v>
      </c>
      <c r="V272">
        <v>3.25</v>
      </c>
    </row>
    <row r="273" spans="2:32" x14ac:dyDescent="0.2">
      <c r="B273" t="s">
        <v>1911</v>
      </c>
      <c r="C273">
        <v>1219</v>
      </c>
      <c r="D273" t="s">
        <v>1729</v>
      </c>
      <c r="E273">
        <v>5</v>
      </c>
      <c r="F273" t="s">
        <v>1730</v>
      </c>
      <c r="G273">
        <v>4.7300000000000004</v>
      </c>
      <c r="H273">
        <v>1.6</v>
      </c>
      <c r="I273" t="s">
        <v>123</v>
      </c>
      <c r="J273">
        <v>0.68</v>
      </c>
      <c r="K273">
        <v>3.73</v>
      </c>
      <c r="L273">
        <v>17.5</v>
      </c>
      <c r="M273" t="s">
        <v>124</v>
      </c>
      <c r="N273">
        <v>0</v>
      </c>
      <c r="O273" t="s">
        <v>616</v>
      </c>
      <c r="Q273">
        <v>2.2999999999999998</v>
      </c>
      <c r="R273" t="s">
        <v>123</v>
      </c>
      <c r="S273">
        <v>0</v>
      </c>
      <c r="U273">
        <v>2</v>
      </c>
      <c r="V273">
        <v>4.1500000000000004</v>
      </c>
    </row>
    <row r="274" spans="2:32" x14ac:dyDescent="0.2">
      <c r="B274" t="s">
        <v>1904</v>
      </c>
      <c r="C274">
        <v>1220</v>
      </c>
      <c r="D274" t="s">
        <v>1732</v>
      </c>
      <c r="E274">
        <v>2</v>
      </c>
      <c r="F274" t="s">
        <v>1730</v>
      </c>
      <c r="G274">
        <v>1.8320000000000001</v>
      </c>
      <c r="H274">
        <v>0.6</v>
      </c>
      <c r="I274" t="s">
        <v>123</v>
      </c>
      <c r="J274">
        <v>0.27500000000000002</v>
      </c>
      <c r="K274">
        <v>1.64</v>
      </c>
      <c r="L274">
        <v>7.5</v>
      </c>
      <c r="M274" t="s">
        <v>124</v>
      </c>
      <c r="N274">
        <v>0</v>
      </c>
      <c r="O274" t="s">
        <v>616</v>
      </c>
      <c r="Q274">
        <v>1.3</v>
      </c>
      <c r="R274" t="s">
        <v>123</v>
      </c>
      <c r="S274">
        <v>0</v>
      </c>
      <c r="U274">
        <v>2</v>
      </c>
      <c r="V274">
        <v>1.4</v>
      </c>
    </row>
    <row r="275" spans="2:32" x14ac:dyDescent="0.2">
      <c r="B275" t="s">
        <v>1905</v>
      </c>
      <c r="C275">
        <v>1221</v>
      </c>
      <c r="D275" t="s">
        <v>1732</v>
      </c>
      <c r="E275">
        <v>3</v>
      </c>
      <c r="F275" t="s">
        <v>1730</v>
      </c>
      <c r="G275">
        <v>2.7480000000000002</v>
      </c>
      <c r="H275">
        <v>1</v>
      </c>
      <c r="I275" t="s">
        <v>123</v>
      </c>
      <c r="J275">
        <v>0.41</v>
      </c>
      <c r="K275">
        <v>2.33</v>
      </c>
      <c r="L275">
        <v>10.9</v>
      </c>
      <c r="M275" t="s">
        <v>124</v>
      </c>
      <c r="N275">
        <v>0</v>
      </c>
      <c r="O275" t="s">
        <v>616</v>
      </c>
      <c r="Q275">
        <v>1.5</v>
      </c>
      <c r="R275" t="s">
        <v>123</v>
      </c>
      <c r="S275">
        <v>0</v>
      </c>
      <c r="U275">
        <v>2</v>
      </c>
      <c r="V275">
        <v>2.2999999999999998</v>
      </c>
    </row>
    <row r="276" spans="2:32" x14ac:dyDescent="0.2">
      <c r="B276" t="s">
        <v>1906</v>
      </c>
      <c r="C276">
        <v>1222</v>
      </c>
      <c r="D276" t="s">
        <v>1732</v>
      </c>
      <c r="E276">
        <v>4</v>
      </c>
      <c r="F276" t="s">
        <v>1730</v>
      </c>
      <c r="G276">
        <v>3.6619999999999999</v>
      </c>
      <c r="H276">
        <v>1.3</v>
      </c>
      <c r="I276" t="s">
        <v>123</v>
      </c>
      <c r="J276">
        <v>0.54500000000000004</v>
      </c>
      <c r="K276">
        <v>3.05</v>
      </c>
      <c r="L276">
        <v>14.3</v>
      </c>
      <c r="M276" t="s">
        <v>124</v>
      </c>
      <c r="N276">
        <v>0</v>
      </c>
      <c r="O276" t="s">
        <v>616</v>
      </c>
      <c r="Q276">
        <v>1.9</v>
      </c>
      <c r="R276" t="s">
        <v>123</v>
      </c>
      <c r="S276">
        <v>0</v>
      </c>
      <c r="U276">
        <v>2</v>
      </c>
      <c r="V276">
        <v>3.25</v>
      </c>
    </row>
    <row r="277" spans="2:32" x14ac:dyDescent="0.2">
      <c r="B277" t="s">
        <v>1907</v>
      </c>
      <c r="C277">
        <v>1223</v>
      </c>
      <c r="D277" t="s">
        <v>1732</v>
      </c>
      <c r="E277">
        <v>5</v>
      </c>
      <c r="F277" t="s">
        <v>1730</v>
      </c>
      <c r="G277">
        <v>4.58</v>
      </c>
      <c r="H277">
        <v>1.6</v>
      </c>
      <c r="I277" t="s">
        <v>123</v>
      </c>
      <c r="J277">
        <v>0.68</v>
      </c>
      <c r="K277">
        <v>3.73</v>
      </c>
      <c r="L277">
        <v>17.5</v>
      </c>
      <c r="M277" t="s">
        <v>124</v>
      </c>
      <c r="N277">
        <v>0</v>
      </c>
      <c r="O277" t="s">
        <v>616</v>
      </c>
      <c r="Q277">
        <v>2.2999999999999998</v>
      </c>
      <c r="R277" t="s">
        <v>123</v>
      </c>
      <c r="S277">
        <v>0</v>
      </c>
      <c r="U277">
        <v>2</v>
      </c>
      <c r="V277">
        <v>4.1500000000000004</v>
      </c>
    </row>
    <row r="278" spans="2:32" x14ac:dyDescent="0.2">
      <c r="B278" t="s">
        <v>1935</v>
      </c>
      <c r="C278">
        <v>1224</v>
      </c>
      <c r="D278" t="s">
        <v>1703</v>
      </c>
      <c r="E278">
        <v>4</v>
      </c>
      <c r="F278" t="s">
        <v>199</v>
      </c>
      <c r="G278">
        <v>4.22</v>
      </c>
      <c r="H278">
        <v>0.25</v>
      </c>
      <c r="I278" t="s">
        <v>123</v>
      </c>
      <c r="J278">
        <v>0.22</v>
      </c>
      <c r="K278">
        <v>0</v>
      </c>
      <c r="L278">
        <v>0</v>
      </c>
      <c r="M278" t="s">
        <v>124</v>
      </c>
      <c r="N278">
        <v>0</v>
      </c>
      <c r="O278" t="s">
        <v>616</v>
      </c>
      <c r="Q278">
        <v>0</v>
      </c>
      <c r="R278" t="s">
        <v>616</v>
      </c>
      <c r="S278">
        <v>0</v>
      </c>
      <c r="W278">
        <v>1.48</v>
      </c>
      <c r="AF278">
        <v>0.6</v>
      </c>
    </row>
    <row r="279" spans="2:32" x14ac:dyDescent="0.2">
      <c r="B279" t="s">
        <v>1936</v>
      </c>
      <c r="C279">
        <v>1225</v>
      </c>
      <c r="D279" t="s">
        <v>1703</v>
      </c>
      <c r="E279">
        <v>6</v>
      </c>
      <c r="F279" t="s">
        <v>199</v>
      </c>
      <c r="G279">
        <v>6.33</v>
      </c>
      <c r="H279">
        <v>0.5</v>
      </c>
      <c r="I279" t="s">
        <v>123</v>
      </c>
      <c r="J279">
        <v>0.28999999999999998</v>
      </c>
      <c r="K279">
        <v>0</v>
      </c>
      <c r="L279">
        <v>0</v>
      </c>
      <c r="M279" t="s">
        <v>124</v>
      </c>
      <c r="N279">
        <v>0</v>
      </c>
      <c r="O279" t="s">
        <v>616</v>
      </c>
      <c r="Q279">
        <v>0</v>
      </c>
      <c r="R279" t="s">
        <v>616</v>
      </c>
      <c r="S279">
        <v>0</v>
      </c>
      <c r="W279">
        <v>2.1800000000000002</v>
      </c>
      <c r="AF279">
        <v>1</v>
      </c>
    </row>
    <row r="280" spans="2:32" x14ac:dyDescent="0.2">
      <c r="B280" t="s">
        <v>1937</v>
      </c>
      <c r="C280">
        <v>1226</v>
      </c>
      <c r="D280" t="s">
        <v>1703</v>
      </c>
      <c r="E280">
        <v>8</v>
      </c>
      <c r="F280" t="s">
        <v>199</v>
      </c>
      <c r="G280">
        <v>8.44</v>
      </c>
      <c r="H280">
        <v>0.5</v>
      </c>
      <c r="I280" t="s">
        <v>123</v>
      </c>
      <c r="J280">
        <v>0.42</v>
      </c>
      <c r="K280">
        <v>0</v>
      </c>
      <c r="L280">
        <v>0</v>
      </c>
      <c r="M280" t="s">
        <v>124</v>
      </c>
      <c r="N280">
        <v>0</v>
      </c>
      <c r="O280" t="s">
        <v>616</v>
      </c>
      <c r="Q280">
        <v>0</v>
      </c>
      <c r="R280" t="s">
        <v>616</v>
      </c>
      <c r="S280">
        <v>0</v>
      </c>
      <c r="W280">
        <v>2.96</v>
      </c>
      <c r="AF280">
        <v>1.3</v>
      </c>
    </row>
    <row r="281" spans="2:32" x14ac:dyDescent="0.2">
      <c r="B281" t="s">
        <v>1938</v>
      </c>
      <c r="C281">
        <v>1227</v>
      </c>
      <c r="D281" t="s">
        <v>1703</v>
      </c>
      <c r="E281">
        <v>12</v>
      </c>
      <c r="F281" t="s">
        <v>199</v>
      </c>
      <c r="G281">
        <v>12.66</v>
      </c>
      <c r="H281">
        <v>0.75</v>
      </c>
      <c r="I281" t="s">
        <v>123</v>
      </c>
      <c r="J281">
        <v>0.64</v>
      </c>
      <c r="K281">
        <v>0</v>
      </c>
      <c r="L281">
        <v>0</v>
      </c>
      <c r="M281" t="s">
        <v>124</v>
      </c>
      <c r="N281">
        <v>0</v>
      </c>
      <c r="O281" t="s">
        <v>616</v>
      </c>
      <c r="Q281">
        <v>0</v>
      </c>
      <c r="R281" t="s">
        <v>616</v>
      </c>
      <c r="S281">
        <v>0</v>
      </c>
      <c r="W281">
        <v>4.4400000000000004</v>
      </c>
      <c r="AF281">
        <v>1.9</v>
      </c>
    </row>
    <row r="282" spans="2:32" x14ac:dyDescent="0.2">
      <c r="B282" t="s">
        <v>1939</v>
      </c>
      <c r="C282">
        <v>1228</v>
      </c>
      <c r="D282" t="s">
        <v>1723</v>
      </c>
      <c r="E282">
        <v>4</v>
      </c>
      <c r="F282" t="s">
        <v>199</v>
      </c>
      <c r="G282">
        <v>3.72</v>
      </c>
      <c r="H282">
        <v>0.23</v>
      </c>
      <c r="I282" t="s">
        <v>123</v>
      </c>
      <c r="J282">
        <v>0.05</v>
      </c>
      <c r="K282">
        <v>0</v>
      </c>
      <c r="L282">
        <v>0</v>
      </c>
      <c r="M282" t="s">
        <v>616</v>
      </c>
      <c r="N282">
        <v>0</v>
      </c>
      <c r="O282" t="s">
        <v>616</v>
      </c>
      <c r="Q282">
        <v>0</v>
      </c>
      <c r="R282" t="s">
        <v>616</v>
      </c>
      <c r="S282">
        <v>0</v>
      </c>
      <c r="V282">
        <v>0.8</v>
      </c>
    </row>
    <row r="283" spans="2:32" x14ac:dyDescent="0.2">
      <c r="B283" t="s">
        <v>1940</v>
      </c>
      <c r="C283">
        <v>1229</v>
      </c>
      <c r="D283" t="s">
        <v>1723</v>
      </c>
      <c r="E283">
        <v>6</v>
      </c>
      <c r="F283" t="s">
        <v>199</v>
      </c>
      <c r="G283">
        <v>5.58</v>
      </c>
      <c r="H283">
        <v>0.47</v>
      </c>
      <c r="I283" t="s">
        <v>123</v>
      </c>
      <c r="J283">
        <v>0.08</v>
      </c>
      <c r="K283">
        <v>0</v>
      </c>
      <c r="L283">
        <v>0</v>
      </c>
      <c r="M283" t="s">
        <v>616</v>
      </c>
      <c r="N283">
        <v>0</v>
      </c>
      <c r="O283" t="s">
        <v>616</v>
      </c>
      <c r="Q283">
        <v>0</v>
      </c>
      <c r="R283" t="s">
        <v>616</v>
      </c>
      <c r="S283">
        <v>0</v>
      </c>
      <c r="V283">
        <v>1.3</v>
      </c>
    </row>
    <row r="284" spans="2:32" x14ac:dyDescent="0.2">
      <c r="B284" t="s">
        <v>1941</v>
      </c>
      <c r="C284">
        <v>1230</v>
      </c>
      <c r="D284" t="s">
        <v>1723</v>
      </c>
      <c r="E284">
        <v>8</v>
      </c>
      <c r="F284" t="s">
        <v>199</v>
      </c>
      <c r="G284">
        <v>7.44</v>
      </c>
      <c r="H284">
        <v>0.47</v>
      </c>
      <c r="I284" t="s">
        <v>123</v>
      </c>
      <c r="J284">
        <v>0.1</v>
      </c>
      <c r="K284">
        <v>0</v>
      </c>
      <c r="L284">
        <v>0</v>
      </c>
      <c r="M284" t="s">
        <v>616</v>
      </c>
      <c r="N284">
        <v>0</v>
      </c>
      <c r="O284" t="s">
        <v>616</v>
      </c>
      <c r="Q284">
        <v>0</v>
      </c>
      <c r="R284" t="s">
        <v>616</v>
      </c>
      <c r="S284">
        <v>0</v>
      </c>
      <c r="V284">
        <v>1.8</v>
      </c>
    </row>
    <row r="285" spans="2:32" x14ac:dyDescent="0.2">
      <c r="B285" t="s">
        <v>1942</v>
      </c>
      <c r="C285">
        <v>1231</v>
      </c>
      <c r="D285" t="s">
        <v>1723</v>
      </c>
      <c r="E285">
        <v>12</v>
      </c>
      <c r="F285" t="s">
        <v>199</v>
      </c>
      <c r="G285">
        <v>11.16</v>
      </c>
      <c r="H285">
        <v>0.7</v>
      </c>
      <c r="I285" t="s">
        <v>123</v>
      </c>
      <c r="J285">
        <v>0.15</v>
      </c>
      <c r="K285">
        <v>0</v>
      </c>
      <c r="L285">
        <v>0</v>
      </c>
      <c r="M285" t="s">
        <v>616</v>
      </c>
      <c r="N285">
        <v>0</v>
      </c>
      <c r="O285" t="s">
        <v>616</v>
      </c>
      <c r="Q285">
        <v>0</v>
      </c>
      <c r="R285" t="s">
        <v>616</v>
      </c>
      <c r="S285">
        <v>0</v>
      </c>
      <c r="V285">
        <v>3</v>
      </c>
    </row>
    <row r="286" spans="2:32" x14ac:dyDescent="0.2">
      <c r="B286" t="s">
        <v>1943</v>
      </c>
      <c r="C286">
        <v>1232</v>
      </c>
      <c r="D286" t="s">
        <v>1727</v>
      </c>
      <c r="E286">
        <v>4</v>
      </c>
      <c r="F286" t="s">
        <v>199</v>
      </c>
      <c r="G286">
        <v>5.3</v>
      </c>
      <c r="H286">
        <v>0.46</v>
      </c>
      <c r="I286" t="s">
        <v>123</v>
      </c>
      <c r="J286">
        <v>0.2</v>
      </c>
      <c r="K286">
        <v>0</v>
      </c>
      <c r="L286">
        <v>0</v>
      </c>
      <c r="M286" t="s">
        <v>616</v>
      </c>
      <c r="N286">
        <v>0</v>
      </c>
      <c r="O286" t="s">
        <v>616</v>
      </c>
      <c r="Q286">
        <v>0</v>
      </c>
      <c r="R286" t="s">
        <v>616</v>
      </c>
      <c r="S286">
        <v>0</v>
      </c>
      <c r="W286">
        <v>1.9</v>
      </c>
      <c r="AF286">
        <v>1.55</v>
      </c>
    </row>
    <row r="287" spans="2:32" x14ac:dyDescent="0.2">
      <c r="B287" t="s">
        <v>1944</v>
      </c>
      <c r="C287">
        <v>1233</v>
      </c>
      <c r="D287" t="s">
        <v>1727</v>
      </c>
      <c r="E287">
        <v>6</v>
      </c>
      <c r="F287" t="s">
        <v>199</v>
      </c>
      <c r="G287">
        <v>7.96</v>
      </c>
      <c r="H287">
        <v>0.94</v>
      </c>
      <c r="I287" t="s">
        <v>123</v>
      </c>
      <c r="J287">
        <v>0.32</v>
      </c>
      <c r="K287">
        <v>0</v>
      </c>
      <c r="L287">
        <v>0</v>
      </c>
      <c r="M287" t="s">
        <v>616</v>
      </c>
      <c r="N287">
        <v>0</v>
      </c>
      <c r="O287" t="s">
        <v>616</v>
      </c>
      <c r="Q287">
        <v>0</v>
      </c>
      <c r="R287" t="s">
        <v>616</v>
      </c>
      <c r="S287">
        <v>0</v>
      </c>
      <c r="W287">
        <v>3.2</v>
      </c>
      <c r="AF287">
        <v>2.3199999999999998</v>
      </c>
    </row>
    <row r="288" spans="2:32" x14ac:dyDescent="0.2">
      <c r="B288" t="s">
        <v>1945</v>
      </c>
      <c r="C288">
        <v>1234</v>
      </c>
      <c r="D288" t="s">
        <v>1727</v>
      </c>
      <c r="E288">
        <v>8</v>
      </c>
      <c r="F288" t="s">
        <v>199</v>
      </c>
      <c r="G288">
        <v>10.6</v>
      </c>
      <c r="H288">
        <v>0.94</v>
      </c>
      <c r="I288" t="s">
        <v>123</v>
      </c>
      <c r="J288">
        <v>0.4</v>
      </c>
      <c r="K288">
        <v>0</v>
      </c>
      <c r="L288">
        <v>0</v>
      </c>
      <c r="M288" t="s">
        <v>616</v>
      </c>
      <c r="N288">
        <v>0</v>
      </c>
      <c r="O288" t="s">
        <v>616</v>
      </c>
      <c r="Q288">
        <v>0</v>
      </c>
      <c r="R288" t="s">
        <v>616</v>
      </c>
      <c r="S288">
        <v>0</v>
      </c>
      <c r="W288">
        <v>4.3</v>
      </c>
      <c r="AF288">
        <v>3.1</v>
      </c>
    </row>
    <row r="289" spans="2:32" x14ac:dyDescent="0.2">
      <c r="B289" t="s">
        <v>1946</v>
      </c>
      <c r="C289">
        <v>1235</v>
      </c>
      <c r="D289" t="s">
        <v>1727</v>
      </c>
      <c r="E289">
        <v>12</v>
      </c>
      <c r="F289" t="s">
        <v>199</v>
      </c>
      <c r="G289">
        <v>15.9</v>
      </c>
      <c r="H289">
        <v>1.4</v>
      </c>
      <c r="I289" t="s">
        <v>123</v>
      </c>
      <c r="J289">
        <v>0.6</v>
      </c>
      <c r="K289">
        <v>0</v>
      </c>
      <c r="L289">
        <v>0</v>
      </c>
      <c r="M289" t="s">
        <v>616</v>
      </c>
      <c r="N289">
        <v>0</v>
      </c>
      <c r="O289" t="s">
        <v>616</v>
      </c>
      <c r="Q289">
        <v>0</v>
      </c>
      <c r="R289" t="s">
        <v>616</v>
      </c>
      <c r="S289">
        <v>0</v>
      </c>
      <c r="W289">
        <v>6.5</v>
      </c>
      <c r="AF289">
        <v>4.6399999999999997</v>
      </c>
    </row>
    <row r="290" spans="2:32" x14ac:dyDescent="0.2">
      <c r="B290" t="s">
        <v>1947</v>
      </c>
      <c r="C290">
        <v>1236</v>
      </c>
      <c r="D290" t="s">
        <v>1721</v>
      </c>
      <c r="E290">
        <v>4</v>
      </c>
      <c r="F290" t="s">
        <v>199</v>
      </c>
      <c r="G290">
        <v>3.72</v>
      </c>
      <c r="H290">
        <v>0.23</v>
      </c>
      <c r="I290" t="s">
        <v>123</v>
      </c>
      <c r="J290">
        <v>0.05</v>
      </c>
      <c r="K290">
        <v>0</v>
      </c>
      <c r="L290">
        <v>0</v>
      </c>
      <c r="M290" t="s">
        <v>616</v>
      </c>
      <c r="N290">
        <v>0</v>
      </c>
      <c r="O290" t="s">
        <v>616</v>
      </c>
      <c r="Q290">
        <v>0</v>
      </c>
      <c r="R290" t="s">
        <v>616</v>
      </c>
      <c r="S290">
        <v>0</v>
      </c>
    </row>
    <row r="291" spans="2:32" x14ac:dyDescent="0.2">
      <c r="B291" t="s">
        <v>1948</v>
      </c>
      <c r="C291">
        <v>1237</v>
      </c>
      <c r="D291" t="s">
        <v>1721</v>
      </c>
      <c r="E291">
        <v>6</v>
      </c>
      <c r="F291" t="s">
        <v>199</v>
      </c>
      <c r="G291">
        <v>5.58</v>
      </c>
      <c r="H291">
        <v>0.47</v>
      </c>
      <c r="I291" t="s">
        <v>123</v>
      </c>
      <c r="J291">
        <v>0.08</v>
      </c>
      <c r="K291">
        <v>0</v>
      </c>
      <c r="L291">
        <v>0</v>
      </c>
      <c r="M291" t="s">
        <v>616</v>
      </c>
      <c r="N291">
        <v>0</v>
      </c>
      <c r="O291" t="s">
        <v>616</v>
      </c>
      <c r="Q291">
        <v>0</v>
      </c>
      <c r="R291" t="s">
        <v>616</v>
      </c>
      <c r="S291">
        <v>0</v>
      </c>
    </row>
    <row r="292" spans="2:32" x14ac:dyDescent="0.2">
      <c r="B292" t="s">
        <v>1949</v>
      </c>
      <c r="C292">
        <v>1238</v>
      </c>
      <c r="D292" t="s">
        <v>1721</v>
      </c>
      <c r="E292">
        <v>8</v>
      </c>
      <c r="F292" t="s">
        <v>199</v>
      </c>
      <c r="G292">
        <v>7.44</v>
      </c>
      <c r="H292">
        <v>0.47</v>
      </c>
      <c r="I292" t="s">
        <v>123</v>
      </c>
      <c r="J292">
        <v>0.1</v>
      </c>
      <c r="K292">
        <v>0</v>
      </c>
      <c r="L292">
        <v>0</v>
      </c>
      <c r="M292" t="s">
        <v>616</v>
      </c>
      <c r="N292">
        <v>0</v>
      </c>
      <c r="O292" t="s">
        <v>616</v>
      </c>
      <c r="Q292">
        <v>0</v>
      </c>
      <c r="R292" t="s">
        <v>616</v>
      </c>
      <c r="S292">
        <v>0</v>
      </c>
    </row>
    <row r="293" spans="2:32" x14ac:dyDescent="0.2">
      <c r="B293" t="s">
        <v>1950</v>
      </c>
      <c r="C293">
        <v>1239</v>
      </c>
      <c r="D293" t="s">
        <v>1721</v>
      </c>
      <c r="E293">
        <v>12</v>
      </c>
      <c r="F293" t="s">
        <v>199</v>
      </c>
      <c r="G293">
        <v>11.16</v>
      </c>
      <c r="H293">
        <v>0.7</v>
      </c>
      <c r="I293" t="s">
        <v>123</v>
      </c>
      <c r="J293">
        <v>0.15</v>
      </c>
      <c r="K293">
        <v>0</v>
      </c>
      <c r="L293">
        <v>0</v>
      </c>
      <c r="M293" t="s">
        <v>616</v>
      </c>
      <c r="N293">
        <v>0</v>
      </c>
      <c r="O293" t="s">
        <v>616</v>
      </c>
      <c r="Q293">
        <v>0</v>
      </c>
      <c r="R293" t="s">
        <v>616</v>
      </c>
      <c r="S293">
        <v>0</v>
      </c>
    </row>
    <row r="294" spans="2:32" x14ac:dyDescent="0.2">
      <c r="B294" t="s">
        <v>1951</v>
      </c>
      <c r="C294">
        <v>1240</v>
      </c>
      <c r="D294" t="s">
        <v>1725</v>
      </c>
      <c r="E294">
        <v>4</v>
      </c>
      <c r="F294" t="s">
        <v>199</v>
      </c>
      <c r="G294">
        <v>5.08</v>
      </c>
      <c r="H294">
        <v>0.23</v>
      </c>
      <c r="I294" t="s">
        <v>123</v>
      </c>
      <c r="J294">
        <v>0.05</v>
      </c>
      <c r="K294">
        <v>0</v>
      </c>
      <c r="L294">
        <v>0</v>
      </c>
      <c r="M294" t="s">
        <v>616</v>
      </c>
      <c r="N294">
        <v>0</v>
      </c>
      <c r="O294" t="s">
        <v>616</v>
      </c>
      <c r="Q294">
        <v>0</v>
      </c>
      <c r="R294" t="s">
        <v>616</v>
      </c>
      <c r="S294">
        <v>0</v>
      </c>
      <c r="W294">
        <v>2.2000000000000002</v>
      </c>
      <c r="AF294">
        <v>1.5</v>
      </c>
    </row>
    <row r="295" spans="2:32" x14ac:dyDescent="0.2">
      <c r="B295" t="s">
        <v>1952</v>
      </c>
      <c r="C295">
        <v>1241</v>
      </c>
      <c r="D295" t="s">
        <v>1725</v>
      </c>
      <c r="E295">
        <v>6</v>
      </c>
      <c r="F295" t="s">
        <v>199</v>
      </c>
      <c r="G295">
        <v>7.63</v>
      </c>
      <c r="H295">
        <v>0.47</v>
      </c>
      <c r="I295" t="s">
        <v>123</v>
      </c>
      <c r="J295">
        <v>0.09</v>
      </c>
      <c r="K295">
        <v>0</v>
      </c>
      <c r="L295">
        <v>0</v>
      </c>
      <c r="M295" t="s">
        <v>616</v>
      </c>
      <c r="N295">
        <v>0</v>
      </c>
      <c r="O295" t="s">
        <v>616</v>
      </c>
      <c r="Q295">
        <v>0</v>
      </c>
      <c r="R295" t="s">
        <v>616</v>
      </c>
      <c r="S295">
        <v>0</v>
      </c>
      <c r="W295">
        <v>3.2</v>
      </c>
      <c r="AF295">
        <v>2.2000000000000002</v>
      </c>
    </row>
    <row r="296" spans="2:32" x14ac:dyDescent="0.2">
      <c r="B296" t="s">
        <v>1953</v>
      </c>
      <c r="C296">
        <v>1242</v>
      </c>
      <c r="D296" t="s">
        <v>1725</v>
      </c>
      <c r="E296">
        <v>8</v>
      </c>
      <c r="F296" t="s">
        <v>199</v>
      </c>
      <c r="G296">
        <v>10.18</v>
      </c>
      <c r="H296">
        <v>0.47</v>
      </c>
      <c r="I296" t="s">
        <v>123</v>
      </c>
      <c r="J296">
        <v>0.1</v>
      </c>
      <c r="K296">
        <v>0</v>
      </c>
      <c r="L296">
        <v>0</v>
      </c>
      <c r="M296" t="s">
        <v>616</v>
      </c>
      <c r="N296">
        <v>0</v>
      </c>
      <c r="O296" t="s">
        <v>616</v>
      </c>
      <c r="Q296">
        <v>0</v>
      </c>
      <c r="R296" t="s">
        <v>616</v>
      </c>
      <c r="S296">
        <v>0</v>
      </c>
      <c r="W296">
        <v>4.3</v>
      </c>
      <c r="AF296">
        <v>3</v>
      </c>
    </row>
    <row r="297" spans="2:32" x14ac:dyDescent="0.2">
      <c r="B297" t="s">
        <v>1954</v>
      </c>
      <c r="C297">
        <v>1243</v>
      </c>
      <c r="D297" t="s">
        <v>1725</v>
      </c>
      <c r="E297">
        <v>12</v>
      </c>
      <c r="F297" t="s">
        <v>199</v>
      </c>
      <c r="G297">
        <v>15.26</v>
      </c>
      <c r="H297">
        <v>0.7</v>
      </c>
      <c r="I297" t="s">
        <v>123</v>
      </c>
      <c r="J297">
        <v>0.15</v>
      </c>
      <c r="K297">
        <v>0</v>
      </c>
      <c r="L297">
        <v>0</v>
      </c>
      <c r="M297" t="s">
        <v>616</v>
      </c>
      <c r="N297">
        <v>0</v>
      </c>
      <c r="O297" t="s">
        <v>616</v>
      </c>
      <c r="Q297">
        <v>0</v>
      </c>
      <c r="R297" t="s">
        <v>616</v>
      </c>
      <c r="S297">
        <v>0</v>
      </c>
      <c r="W297">
        <v>6.5</v>
      </c>
      <c r="AF297">
        <v>4.4000000000000004</v>
      </c>
    </row>
    <row r="298" spans="2:32" x14ac:dyDescent="0.2">
      <c r="B298" t="s">
        <v>2099</v>
      </c>
      <c r="C298">
        <v>1244</v>
      </c>
      <c r="D298" t="s">
        <v>2009</v>
      </c>
      <c r="E298">
        <v>4</v>
      </c>
      <c r="F298" t="s">
        <v>199</v>
      </c>
      <c r="G298">
        <v>4.42</v>
      </c>
      <c r="H298">
        <v>0.23</v>
      </c>
      <c r="I298" t="s">
        <v>123</v>
      </c>
      <c r="J298">
        <v>0.05</v>
      </c>
      <c r="K298">
        <v>0</v>
      </c>
      <c r="L298">
        <v>0</v>
      </c>
      <c r="M298" t="s">
        <v>616</v>
      </c>
      <c r="N298">
        <v>0</v>
      </c>
      <c r="O298" t="s">
        <v>616</v>
      </c>
      <c r="Q298">
        <v>0</v>
      </c>
      <c r="R298" t="s">
        <v>616</v>
      </c>
      <c r="S298">
        <v>0</v>
      </c>
      <c r="V298">
        <v>1.2</v>
      </c>
    </row>
    <row r="299" spans="2:32" x14ac:dyDescent="0.2">
      <c r="B299" t="s">
        <v>2100</v>
      </c>
      <c r="C299">
        <v>1245</v>
      </c>
      <c r="D299" t="s">
        <v>2009</v>
      </c>
      <c r="E299">
        <v>6</v>
      </c>
      <c r="F299" t="s">
        <v>199</v>
      </c>
      <c r="G299">
        <v>6.63</v>
      </c>
      <c r="H299">
        <v>0.47</v>
      </c>
      <c r="I299" t="s">
        <v>123</v>
      </c>
      <c r="J299">
        <v>0.08</v>
      </c>
      <c r="K299">
        <v>0</v>
      </c>
      <c r="L299">
        <v>0</v>
      </c>
      <c r="M299" t="s">
        <v>616</v>
      </c>
      <c r="N299">
        <v>0</v>
      </c>
      <c r="O299" t="s">
        <v>616</v>
      </c>
      <c r="Q299">
        <v>0</v>
      </c>
      <c r="R299" t="s">
        <v>616</v>
      </c>
      <c r="S299">
        <v>0</v>
      </c>
      <c r="V299">
        <v>2.1</v>
      </c>
    </row>
    <row r="300" spans="2:32" x14ac:dyDescent="0.2">
      <c r="B300" t="s">
        <v>2101</v>
      </c>
      <c r="C300">
        <v>1246</v>
      </c>
      <c r="D300" t="s">
        <v>2009</v>
      </c>
      <c r="E300">
        <v>8</v>
      </c>
      <c r="F300" t="s">
        <v>199</v>
      </c>
      <c r="G300">
        <v>8.84</v>
      </c>
      <c r="H300">
        <v>0.47</v>
      </c>
      <c r="I300" t="s">
        <v>123</v>
      </c>
      <c r="J300">
        <v>0.1</v>
      </c>
      <c r="K300">
        <v>0</v>
      </c>
      <c r="L300">
        <v>0</v>
      </c>
      <c r="M300" t="s">
        <v>616</v>
      </c>
      <c r="N300">
        <v>0</v>
      </c>
      <c r="O300" t="s">
        <v>616</v>
      </c>
      <c r="Q300">
        <v>0</v>
      </c>
      <c r="R300" t="s">
        <v>616</v>
      </c>
      <c r="S300">
        <v>0</v>
      </c>
      <c r="V300">
        <v>3</v>
      </c>
    </row>
    <row r="301" spans="2:32" x14ac:dyDescent="0.2">
      <c r="B301" t="s">
        <v>2102</v>
      </c>
      <c r="C301">
        <v>1247</v>
      </c>
      <c r="D301" t="s">
        <v>2009</v>
      </c>
      <c r="E301">
        <v>12</v>
      </c>
      <c r="F301" t="s">
        <v>199</v>
      </c>
      <c r="G301">
        <v>13.26</v>
      </c>
      <c r="H301">
        <v>0.7</v>
      </c>
      <c r="I301" t="s">
        <v>123</v>
      </c>
      <c r="J301">
        <v>0.15</v>
      </c>
      <c r="K301">
        <v>0</v>
      </c>
      <c r="L301">
        <v>0</v>
      </c>
      <c r="M301" t="s">
        <v>616</v>
      </c>
      <c r="N301">
        <v>0</v>
      </c>
      <c r="O301" t="s">
        <v>616</v>
      </c>
      <c r="Q301">
        <v>0</v>
      </c>
      <c r="R301" t="s">
        <v>616</v>
      </c>
      <c r="S301">
        <v>0</v>
      </c>
      <c r="V301">
        <v>5.3</v>
      </c>
    </row>
    <row r="302" spans="2:32" x14ac:dyDescent="0.2">
      <c r="B302" t="s">
        <v>2103</v>
      </c>
      <c r="C302">
        <v>1248</v>
      </c>
      <c r="D302" t="s">
        <v>2007</v>
      </c>
      <c r="E302">
        <v>4</v>
      </c>
      <c r="F302" t="s">
        <v>199</v>
      </c>
      <c r="G302">
        <v>4.5599999999999996</v>
      </c>
      <c r="H302">
        <v>0.23</v>
      </c>
      <c r="I302" t="s">
        <v>123</v>
      </c>
      <c r="J302">
        <v>0.05</v>
      </c>
      <c r="K302">
        <v>0</v>
      </c>
      <c r="L302">
        <v>0</v>
      </c>
      <c r="M302" t="s">
        <v>616</v>
      </c>
      <c r="N302">
        <v>0</v>
      </c>
      <c r="O302" t="s">
        <v>616</v>
      </c>
      <c r="Q302">
        <v>0</v>
      </c>
      <c r="R302" t="s">
        <v>616</v>
      </c>
      <c r="S302">
        <v>0</v>
      </c>
    </row>
    <row r="303" spans="2:32" x14ac:dyDescent="0.2">
      <c r="B303" t="s">
        <v>2104</v>
      </c>
      <c r="C303">
        <v>1249</v>
      </c>
      <c r="D303" t="s">
        <v>2007</v>
      </c>
      <c r="E303">
        <v>6</v>
      </c>
      <c r="F303" t="s">
        <v>199</v>
      </c>
      <c r="G303">
        <v>6.84</v>
      </c>
      <c r="H303">
        <v>0.47</v>
      </c>
      <c r="I303" t="s">
        <v>123</v>
      </c>
      <c r="J303">
        <v>0.09</v>
      </c>
      <c r="K303">
        <v>0</v>
      </c>
      <c r="L303">
        <v>0</v>
      </c>
      <c r="M303" t="s">
        <v>616</v>
      </c>
      <c r="N303">
        <v>0</v>
      </c>
      <c r="O303" t="s">
        <v>616</v>
      </c>
      <c r="Q303">
        <v>0</v>
      </c>
      <c r="R303" t="s">
        <v>616</v>
      </c>
      <c r="S303">
        <v>0</v>
      </c>
    </row>
    <row r="304" spans="2:32" x14ac:dyDescent="0.2">
      <c r="B304" t="s">
        <v>2105</v>
      </c>
      <c r="C304">
        <v>1250</v>
      </c>
      <c r="D304" t="s">
        <v>2007</v>
      </c>
      <c r="E304">
        <v>8</v>
      </c>
      <c r="F304" t="s">
        <v>199</v>
      </c>
      <c r="G304">
        <v>9.1199999999999992</v>
      </c>
      <c r="H304">
        <v>0.47</v>
      </c>
      <c r="I304" t="s">
        <v>123</v>
      </c>
      <c r="J304">
        <v>0.1</v>
      </c>
      <c r="K304">
        <v>0</v>
      </c>
      <c r="L304">
        <v>0</v>
      </c>
      <c r="M304" t="s">
        <v>616</v>
      </c>
      <c r="N304">
        <v>0</v>
      </c>
      <c r="O304" t="s">
        <v>616</v>
      </c>
      <c r="Q304">
        <v>0</v>
      </c>
      <c r="R304" t="s">
        <v>616</v>
      </c>
      <c r="S304">
        <v>0</v>
      </c>
    </row>
    <row r="305" spans="2:32" x14ac:dyDescent="0.2">
      <c r="B305" t="s">
        <v>2106</v>
      </c>
      <c r="C305">
        <v>1251</v>
      </c>
      <c r="D305" t="s">
        <v>2007</v>
      </c>
      <c r="E305">
        <v>12</v>
      </c>
      <c r="F305" t="s">
        <v>199</v>
      </c>
      <c r="G305">
        <v>13.68</v>
      </c>
      <c r="H305">
        <v>0.7</v>
      </c>
      <c r="I305" t="s">
        <v>123</v>
      </c>
      <c r="J305">
        <v>0.15</v>
      </c>
      <c r="K305">
        <v>0</v>
      </c>
      <c r="L305">
        <v>0</v>
      </c>
      <c r="M305" t="s">
        <v>616</v>
      </c>
      <c r="N305">
        <v>0</v>
      </c>
      <c r="O305" t="s">
        <v>616</v>
      </c>
      <c r="Q305">
        <v>0</v>
      </c>
      <c r="R305" t="s">
        <v>616</v>
      </c>
      <c r="S305">
        <v>0</v>
      </c>
    </row>
    <row r="306" spans="2:32" x14ac:dyDescent="0.2">
      <c r="B306" t="s">
        <v>2107</v>
      </c>
      <c r="C306">
        <v>1252</v>
      </c>
      <c r="D306" t="s">
        <v>1991</v>
      </c>
      <c r="E306">
        <v>4</v>
      </c>
      <c r="F306" t="s">
        <v>199</v>
      </c>
      <c r="G306">
        <v>3.96</v>
      </c>
      <c r="H306">
        <v>0.2</v>
      </c>
      <c r="I306" t="s">
        <v>123</v>
      </c>
      <c r="J306">
        <v>0.5</v>
      </c>
      <c r="K306">
        <v>0</v>
      </c>
      <c r="L306">
        <v>0</v>
      </c>
      <c r="M306" t="s">
        <v>616</v>
      </c>
      <c r="N306">
        <v>0</v>
      </c>
      <c r="O306" t="s">
        <v>616</v>
      </c>
      <c r="Q306">
        <v>0</v>
      </c>
      <c r="R306" t="s">
        <v>616</v>
      </c>
      <c r="S306">
        <v>0</v>
      </c>
      <c r="W306">
        <v>1.1000000000000001</v>
      </c>
      <c r="AF306">
        <v>1.42</v>
      </c>
    </row>
    <row r="307" spans="2:32" x14ac:dyDescent="0.2">
      <c r="B307" t="s">
        <v>2108</v>
      </c>
      <c r="C307">
        <v>1253</v>
      </c>
      <c r="D307" t="s">
        <v>1991</v>
      </c>
      <c r="E307">
        <v>6</v>
      </c>
      <c r="F307" t="s">
        <v>199</v>
      </c>
      <c r="G307">
        <v>5.94</v>
      </c>
      <c r="H307">
        <v>0.4</v>
      </c>
      <c r="I307" t="s">
        <v>123</v>
      </c>
      <c r="J307">
        <v>0.74</v>
      </c>
      <c r="K307">
        <v>0</v>
      </c>
      <c r="L307">
        <v>0</v>
      </c>
      <c r="M307" t="s">
        <v>616</v>
      </c>
      <c r="N307">
        <v>0</v>
      </c>
      <c r="O307" t="s">
        <v>616</v>
      </c>
      <c r="Q307">
        <v>0</v>
      </c>
      <c r="R307" t="s">
        <v>616</v>
      </c>
      <c r="S307">
        <v>0</v>
      </c>
      <c r="W307">
        <v>1.6</v>
      </c>
      <c r="AF307">
        <v>2.14</v>
      </c>
    </row>
    <row r="308" spans="2:32" x14ac:dyDescent="0.2">
      <c r="B308" t="s">
        <v>2109</v>
      </c>
      <c r="C308">
        <v>1254</v>
      </c>
      <c r="D308" t="s">
        <v>1991</v>
      </c>
      <c r="E308">
        <v>8</v>
      </c>
      <c r="F308" t="s">
        <v>199</v>
      </c>
      <c r="G308">
        <v>7.92</v>
      </c>
      <c r="H308">
        <v>0.4</v>
      </c>
      <c r="I308" t="s">
        <v>123</v>
      </c>
      <c r="J308">
        <v>1.01</v>
      </c>
      <c r="K308">
        <v>0</v>
      </c>
      <c r="L308">
        <v>0</v>
      </c>
      <c r="M308" t="s">
        <v>616</v>
      </c>
      <c r="N308">
        <v>0</v>
      </c>
      <c r="O308" t="s">
        <v>616</v>
      </c>
      <c r="Q308">
        <v>0</v>
      </c>
      <c r="R308" t="s">
        <v>616</v>
      </c>
      <c r="S308">
        <v>0</v>
      </c>
      <c r="W308">
        <v>2.2999999999999998</v>
      </c>
      <c r="AF308">
        <v>2.85</v>
      </c>
    </row>
    <row r="309" spans="2:32" x14ac:dyDescent="0.2">
      <c r="B309" t="s">
        <v>2110</v>
      </c>
      <c r="C309">
        <v>1255</v>
      </c>
      <c r="D309" t="s">
        <v>1991</v>
      </c>
      <c r="E309">
        <v>12</v>
      </c>
      <c r="F309" t="s">
        <v>199</v>
      </c>
      <c r="G309">
        <v>11.88</v>
      </c>
      <c r="H309">
        <v>0.6</v>
      </c>
      <c r="I309" t="s">
        <v>123</v>
      </c>
      <c r="J309">
        <v>1.51</v>
      </c>
      <c r="K309">
        <v>0</v>
      </c>
      <c r="L309">
        <v>0</v>
      </c>
      <c r="M309" t="s">
        <v>616</v>
      </c>
      <c r="N309">
        <v>0</v>
      </c>
      <c r="O309" t="s">
        <v>616</v>
      </c>
      <c r="Q309">
        <v>0</v>
      </c>
      <c r="R309" t="s">
        <v>616</v>
      </c>
      <c r="S309">
        <v>0</v>
      </c>
      <c r="W309">
        <v>3.4</v>
      </c>
      <c r="AF309">
        <v>4.2699999999999996</v>
      </c>
    </row>
    <row r="310" spans="2:32" x14ac:dyDescent="0.2">
      <c r="B310" t="s">
        <v>2111</v>
      </c>
      <c r="C310">
        <v>1256</v>
      </c>
      <c r="D310" t="s">
        <v>2017</v>
      </c>
      <c r="E310">
        <v>4</v>
      </c>
      <c r="F310" t="s">
        <v>199</v>
      </c>
      <c r="G310">
        <v>0.9</v>
      </c>
      <c r="H310">
        <v>0.18</v>
      </c>
      <c r="I310" t="s">
        <v>123</v>
      </c>
      <c r="J310">
        <v>0.23</v>
      </c>
      <c r="K310">
        <v>0.18</v>
      </c>
      <c r="L310">
        <v>0</v>
      </c>
      <c r="M310" t="s">
        <v>616</v>
      </c>
      <c r="N310">
        <v>0</v>
      </c>
      <c r="O310" t="s">
        <v>616</v>
      </c>
      <c r="Q310">
        <v>0</v>
      </c>
      <c r="R310" t="s">
        <v>616</v>
      </c>
      <c r="S310">
        <v>0</v>
      </c>
      <c r="W310">
        <v>1.6</v>
      </c>
      <c r="AF310">
        <v>0.12</v>
      </c>
    </row>
    <row r="311" spans="2:32" x14ac:dyDescent="0.2">
      <c r="B311" t="s">
        <v>2112</v>
      </c>
      <c r="C311">
        <v>1257</v>
      </c>
      <c r="D311" t="s">
        <v>2017</v>
      </c>
      <c r="E311">
        <v>6</v>
      </c>
      <c r="F311" t="s">
        <v>199</v>
      </c>
      <c r="G311">
        <v>1.3</v>
      </c>
      <c r="H311">
        <v>0.35</v>
      </c>
      <c r="I311" t="s">
        <v>123</v>
      </c>
      <c r="J311">
        <v>0.44</v>
      </c>
      <c r="K311">
        <v>0.35</v>
      </c>
      <c r="L311">
        <v>0</v>
      </c>
      <c r="M311" t="s">
        <v>616</v>
      </c>
      <c r="N311">
        <v>0</v>
      </c>
      <c r="O311" t="s">
        <v>616</v>
      </c>
      <c r="Q311">
        <v>0</v>
      </c>
      <c r="R311" t="s">
        <v>616</v>
      </c>
      <c r="S311">
        <v>0</v>
      </c>
      <c r="W311">
        <v>2.4</v>
      </c>
      <c r="AF311">
        <v>0.18</v>
      </c>
    </row>
    <row r="312" spans="2:32" x14ac:dyDescent="0.2">
      <c r="B312" t="s">
        <v>2113</v>
      </c>
      <c r="C312">
        <v>1258</v>
      </c>
      <c r="D312" t="s">
        <v>2017</v>
      </c>
      <c r="E312">
        <v>8</v>
      </c>
      <c r="F312" t="s">
        <v>199</v>
      </c>
      <c r="G312">
        <v>1.8</v>
      </c>
      <c r="H312">
        <v>0.39</v>
      </c>
      <c r="I312" t="s">
        <v>123</v>
      </c>
      <c r="J312">
        <v>0.44</v>
      </c>
      <c r="K312">
        <v>0.39</v>
      </c>
      <c r="L312">
        <v>0</v>
      </c>
      <c r="M312" t="s">
        <v>616</v>
      </c>
      <c r="N312">
        <v>0</v>
      </c>
      <c r="O312" t="s">
        <v>616</v>
      </c>
      <c r="Q312">
        <v>0</v>
      </c>
      <c r="R312" t="s">
        <v>616</v>
      </c>
      <c r="S312">
        <v>0</v>
      </c>
      <c r="W312">
        <v>3.2</v>
      </c>
      <c r="AF312">
        <v>0.24</v>
      </c>
    </row>
    <row r="313" spans="2:32" x14ac:dyDescent="0.2">
      <c r="B313" t="s">
        <v>2114</v>
      </c>
      <c r="C313">
        <v>1259</v>
      </c>
      <c r="D313" t="s">
        <v>2017</v>
      </c>
      <c r="E313">
        <v>12</v>
      </c>
      <c r="F313" t="s">
        <v>199</v>
      </c>
      <c r="G313">
        <v>2.7</v>
      </c>
      <c r="H313">
        <v>0.63</v>
      </c>
      <c r="I313" t="s">
        <v>123</v>
      </c>
      <c r="J313">
        <v>0.64</v>
      </c>
      <c r="K313">
        <v>0.63</v>
      </c>
      <c r="L313">
        <v>0</v>
      </c>
      <c r="M313" t="s">
        <v>616</v>
      </c>
      <c r="N313">
        <v>0</v>
      </c>
      <c r="O313" t="s">
        <v>616</v>
      </c>
      <c r="Q313">
        <v>0</v>
      </c>
      <c r="R313" t="s">
        <v>616</v>
      </c>
      <c r="S313">
        <v>0</v>
      </c>
      <c r="W313">
        <v>4.8</v>
      </c>
      <c r="AF313">
        <v>0.36</v>
      </c>
    </row>
    <row r="314" spans="2:32" x14ac:dyDescent="0.2">
      <c r="B314" t="s">
        <v>2115</v>
      </c>
      <c r="C314">
        <v>1260</v>
      </c>
      <c r="D314" t="s">
        <v>1987</v>
      </c>
      <c r="E314">
        <v>6</v>
      </c>
      <c r="F314" t="s">
        <v>199</v>
      </c>
      <c r="G314">
        <v>1.1399999999999999</v>
      </c>
      <c r="H314">
        <v>6.7000000000000004E-2</v>
      </c>
      <c r="I314" t="s">
        <v>123</v>
      </c>
      <c r="J314">
        <v>0.28000000000000003</v>
      </c>
      <c r="K314">
        <v>0.43</v>
      </c>
      <c r="L314">
        <v>6.54</v>
      </c>
      <c r="M314" t="s">
        <v>124</v>
      </c>
      <c r="N314">
        <v>0</v>
      </c>
      <c r="O314" t="s">
        <v>616</v>
      </c>
      <c r="Q314">
        <v>0</v>
      </c>
      <c r="R314" t="s">
        <v>616</v>
      </c>
      <c r="S314">
        <v>0</v>
      </c>
      <c r="U314">
        <v>2</v>
      </c>
      <c r="V314">
        <v>5.81</v>
      </c>
    </row>
    <row r="315" spans="2:32" x14ac:dyDescent="0.2">
      <c r="B315" t="s">
        <v>2116</v>
      </c>
      <c r="C315">
        <v>1261</v>
      </c>
      <c r="D315" t="s">
        <v>1989</v>
      </c>
      <c r="E315">
        <v>4</v>
      </c>
      <c r="F315" t="s">
        <v>199</v>
      </c>
      <c r="G315">
        <v>1.1599999999999999</v>
      </c>
      <c r="H315">
        <v>0.24</v>
      </c>
      <c r="I315" t="s">
        <v>123</v>
      </c>
      <c r="J315">
        <v>0.35</v>
      </c>
      <c r="K315">
        <v>0.77</v>
      </c>
      <c r="L315">
        <v>4.37</v>
      </c>
      <c r="M315" t="s">
        <v>124</v>
      </c>
      <c r="N315">
        <v>0</v>
      </c>
      <c r="O315" t="s">
        <v>616</v>
      </c>
      <c r="Q315">
        <v>0</v>
      </c>
      <c r="R315" t="s">
        <v>616</v>
      </c>
      <c r="S315">
        <v>0</v>
      </c>
      <c r="U315">
        <v>2</v>
      </c>
      <c r="V315">
        <v>7.9</v>
      </c>
    </row>
    <row r="316" spans="2:32" x14ac:dyDescent="0.2">
      <c r="B316" t="s">
        <v>2117</v>
      </c>
      <c r="C316">
        <v>1262</v>
      </c>
      <c r="D316" t="s">
        <v>1989</v>
      </c>
      <c r="E316">
        <v>8</v>
      </c>
      <c r="F316" t="s">
        <v>199</v>
      </c>
      <c r="G316">
        <v>2.3199999999999998</v>
      </c>
      <c r="H316">
        <v>0.48</v>
      </c>
      <c r="I316" t="s">
        <v>123</v>
      </c>
      <c r="J316">
        <v>0.7</v>
      </c>
      <c r="K316">
        <v>1.4</v>
      </c>
      <c r="L316">
        <v>15.38</v>
      </c>
      <c r="M316" t="s">
        <v>124</v>
      </c>
      <c r="N316">
        <v>0</v>
      </c>
      <c r="O316" t="s">
        <v>616</v>
      </c>
      <c r="Q316">
        <v>0</v>
      </c>
      <c r="R316" t="s">
        <v>616</v>
      </c>
      <c r="S316">
        <v>0</v>
      </c>
      <c r="U316">
        <v>2</v>
      </c>
      <c r="V316">
        <v>15.8</v>
      </c>
    </row>
    <row r="317" spans="2:32" x14ac:dyDescent="0.2">
      <c r="B317" t="s">
        <v>2118</v>
      </c>
      <c r="C317">
        <v>1263</v>
      </c>
      <c r="D317" t="s">
        <v>1989</v>
      </c>
      <c r="E317">
        <v>12</v>
      </c>
      <c r="F317" t="s">
        <v>199</v>
      </c>
      <c r="G317">
        <v>3.48</v>
      </c>
      <c r="H317">
        <v>0.48</v>
      </c>
      <c r="I317" t="s">
        <v>123</v>
      </c>
      <c r="J317">
        <v>0.98</v>
      </c>
      <c r="K317">
        <v>2.08</v>
      </c>
      <c r="L317">
        <v>23.07</v>
      </c>
      <c r="M317" t="s">
        <v>124</v>
      </c>
      <c r="N317">
        <v>0</v>
      </c>
      <c r="O317" t="s">
        <v>616</v>
      </c>
      <c r="Q317">
        <v>0</v>
      </c>
      <c r="R317" t="s">
        <v>616</v>
      </c>
      <c r="S317">
        <v>0</v>
      </c>
      <c r="U317">
        <v>2</v>
      </c>
      <c r="V317">
        <v>24.58</v>
      </c>
    </row>
    <row r="318" spans="2:32" x14ac:dyDescent="0.2">
      <c r="B318" t="s">
        <v>2119</v>
      </c>
      <c r="C318">
        <v>1264</v>
      </c>
      <c r="D318" t="s">
        <v>2015</v>
      </c>
      <c r="E318">
        <v>8</v>
      </c>
      <c r="F318" t="s">
        <v>199</v>
      </c>
      <c r="G318">
        <v>9.52</v>
      </c>
      <c r="H318">
        <v>0.9</v>
      </c>
      <c r="I318" t="s">
        <v>123</v>
      </c>
      <c r="J318">
        <v>0.1</v>
      </c>
      <c r="K318">
        <v>0</v>
      </c>
      <c r="L318">
        <v>0</v>
      </c>
      <c r="M318" t="s">
        <v>616</v>
      </c>
      <c r="N318">
        <v>0</v>
      </c>
      <c r="O318" t="s">
        <v>616</v>
      </c>
      <c r="Q318">
        <v>0</v>
      </c>
      <c r="R318" t="s">
        <v>616</v>
      </c>
      <c r="S318">
        <v>0</v>
      </c>
      <c r="W318">
        <v>4.3</v>
      </c>
      <c r="AF318">
        <v>2.8</v>
      </c>
    </row>
    <row r="319" spans="2:32" x14ac:dyDescent="0.2">
      <c r="B319" t="s">
        <v>2120</v>
      </c>
      <c r="C319">
        <v>1265</v>
      </c>
      <c r="D319" t="s">
        <v>2015</v>
      </c>
      <c r="E319">
        <v>12</v>
      </c>
      <c r="F319" t="s">
        <v>199</v>
      </c>
      <c r="G319">
        <v>14.28</v>
      </c>
      <c r="H319">
        <v>1.35</v>
      </c>
      <c r="I319" t="s">
        <v>123</v>
      </c>
      <c r="J319">
        <v>0.15</v>
      </c>
      <c r="K319">
        <v>0</v>
      </c>
      <c r="L319">
        <v>0</v>
      </c>
      <c r="M319" t="s">
        <v>616</v>
      </c>
      <c r="N319">
        <v>0</v>
      </c>
      <c r="O319" t="s">
        <v>616</v>
      </c>
      <c r="Q319">
        <v>0</v>
      </c>
      <c r="R319" t="s">
        <v>616</v>
      </c>
      <c r="S319">
        <v>0</v>
      </c>
      <c r="W319">
        <v>6.5</v>
      </c>
      <c r="AF319">
        <v>4.2</v>
      </c>
    </row>
    <row r="320" spans="2:32" x14ac:dyDescent="0.2">
      <c r="B320" t="s">
        <v>2121</v>
      </c>
      <c r="C320">
        <v>1266</v>
      </c>
      <c r="D320" t="s">
        <v>2005</v>
      </c>
      <c r="E320">
        <v>4</v>
      </c>
      <c r="F320" t="s">
        <v>199</v>
      </c>
      <c r="G320">
        <v>3.996</v>
      </c>
      <c r="H320">
        <v>0.2</v>
      </c>
      <c r="I320" t="s">
        <v>123</v>
      </c>
      <c r="J320">
        <v>0.92</v>
      </c>
      <c r="K320">
        <v>0</v>
      </c>
      <c r="L320">
        <v>0</v>
      </c>
      <c r="M320" t="s">
        <v>616</v>
      </c>
      <c r="N320">
        <v>0</v>
      </c>
      <c r="O320" t="s">
        <v>616</v>
      </c>
      <c r="Q320">
        <v>0</v>
      </c>
      <c r="R320" t="s">
        <v>616</v>
      </c>
      <c r="S320">
        <v>0</v>
      </c>
      <c r="W320">
        <v>4.3</v>
      </c>
      <c r="AF320">
        <v>1</v>
      </c>
    </row>
    <row r="321" spans="2:32" x14ac:dyDescent="0.2">
      <c r="B321" t="s">
        <v>2122</v>
      </c>
      <c r="C321">
        <v>1267</v>
      </c>
      <c r="D321" t="s">
        <v>2005</v>
      </c>
      <c r="E321">
        <v>6</v>
      </c>
      <c r="F321" t="s">
        <v>199</v>
      </c>
      <c r="G321">
        <v>5.9939999999999998</v>
      </c>
      <c r="H321">
        <v>0.4</v>
      </c>
      <c r="I321" t="s">
        <v>123</v>
      </c>
      <c r="J321">
        <v>1.48</v>
      </c>
      <c r="K321">
        <v>0</v>
      </c>
      <c r="L321">
        <v>0</v>
      </c>
      <c r="M321" t="s">
        <v>616</v>
      </c>
      <c r="N321">
        <v>0</v>
      </c>
      <c r="O321" t="s">
        <v>616</v>
      </c>
      <c r="Q321">
        <v>0</v>
      </c>
      <c r="R321" t="s">
        <v>616</v>
      </c>
      <c r="S321">
        <v>0</v>
      </c>
      <c r="W321">
        <v>6.4</v>
      </c>
      <c r="AF321">
        <v>1.5</v>
      </c>
    </row>
    <row r="322" spans="2:32" x14ac:dyDescent="0.2">
      <c r="B322" t="s">
        <v>2123</v>
      </c>
      <c r="C322">
        <v>1268</v>
      </c>
      <c r="D322" t="s">
        <v>2005</v>
      </c>
      <c r="E322">
        <v>8</v>
      </c>
      <c r="F322" t="s">
        <v>199</v>
      </c>
      <c r="G322">
        <v>7.992</v>
      </c>
      <c r="H322">
        <v>0.4</v>
      </c>
      <c r="I322" t="s">
        <v>123</v>
      </c>
      <c r="J322">
        <v>1.88</v>
      </c>
      <c r="K322">
        <v>0</v>
      </c>
      <c r="L322">
        <v>0</v>
      </c>
      <c r="M322" t="s">
        <v>616</v>
      </c>
      <c r="N322">
        <v>0</v>
      </c>
      <c r="O322" t="s">
        <v>616</v>
      </c>
      <c r="Q322">
        <v>0</v>
      </c>
      <c r="R322" t="s">
        <v>616</v>
      </c>
      <c r="S322">
        <v>0</v>
      </c>
      <c r="W322">
        <v>8.6</v>
      </c>
      <c r="AF322">
        <v>2</v>
      </c>
    </row>
    <row r="323" spans="2:32" x14ac:dyDescent="0.2">
      <c r="B323" t="s">
        <v>2124</v>
      </c>
      <c r="C323">
        <v>1269</v>
      </c>
      <c r="D323" t="s">
        <v>2005</v>
      </c>
      <c r="E323">
        <v>12</v>
      </c>
      <c r="F323" t="s">
        <v>199</v>
      </c>
      <c r="G323">
        <v>11.988</v>
      </c>
      <c r="H323">
        <v>0.6</v>
      </c>
      <c r="I323" t="s">
        <v>123</v>
      </c>
      <c r="J323">
        <v>2.8</v>
      </c>
      <c r="K323">
        <v>0</v>
      </c>
      <c r="L323">
        <v>0</v>
      </c>
      <c r="M323" t="s">
        <v>616</v>
      </c>
      <c r="N323">
        <v>0</v>
      </c>
      <c r="O323" t="s">
        <v>616</v>
      </c>
      <c r="Q323">
        <v>0</v>
      </c>
      <c r="R323" t="s">
        <v>616</v>
      </c>
      <c r="S323">
        <v>0</v>
      </c>
      <c r="W323">
        <v>12.8</v>
      </c>
      <c r="AF323">
        <v>3</v>
      </c>
    </row>
    <row r="324" spans="2:32" x14ac:dyDescent="0.2">
      <c r="B324" t="s">
        <v>2111</v>
      </c>
      <c r="C324">
        <v>1270</v>
      </c>
      <c r="D324" t="s">
        <v>2017</v>
      </c>
      <c r="E324">
        <v>4</v>
      </c>
      <c r="F324" t="s">
        <v>199</v>
      </c>
      <c r="G324">
        <v>0.9</v>
      </c>
      <c r="H324">
        <v>0.22</v>
      </c>
      <c r="I324" t="s">
        <v>123</v>
      </c>
      <c r="J324">
        <v>0.23</v>
      </c>
      <c r="K324">
        <v>0.18</v>
      </c>
      <c r="L324">
        <v>0</v>
      </c>
      <c r="M324" t="s">
        <v>616</v>
      </c>
      <c r="N324">
        <v>0</v>
      </c>
      <c r="O324" t="s">
        <v>616</v>
      </c>
      <c r="Q324">
        <v>0</v>
      </c>
      <c r="R324" t="s">
        <v>616</v>
      </c>
      <c r="S324">
        <v>0</v>
      </c>
      <c r="W324">
        <v>1.6</v>
      </c>
      <c r="AF324">
        <v>0.12</v>
      </c>
    </row>
    <row r="325" spans="2:32" x14ac:dyDescent="0.2">
      <c r="B325" t="s">
        <v>2112</v>
      </c>
      <c r="C325">
        <v>1271</v>
      </c>
      <c r="D325" t="s">
        <v>2017</v>
      </c>
      <c r="E325">
        <v>6</v>
      </c>
      <c r="F325" t="s">
        <v>199</v>
      </c>
      <c r="G325">
        <v>1.3</v>
      </c>
      <c r="H325">
        <v>0.44</v>
      </c>
      <c r="I325" t="s">
        <v>123</v>
      </c>
      <c r="J325">
        <v>0.44</v>
      </c>
      <c r="K325">
        <v>0.35</v>
      </c>
      <c r="L325">
        <v>0</v>
      </c>
      <c r="M325" t="s">
        <v>616</v>
      </c>
      <c r="N325">
        <v>0</v>
      </c>
      <c r="O325" t="s">
        <v>616</v>
      </c>
      <c r="Q325">
        <v>0</v>
      </c>
      <c r="R325" t="s">
        <v>616</v>
      </c>
      <c r="S325">
        <v>0</v>
      </c>
      <c r="W325">
        <v>2.4</v>
      </c>
      <c r="AF325">
        <v>0.18</v>
      </c>
    </row>
    <row r="326" spans="2:32" x14ac:dyDescent="0.2">
      <c r="B326" t="s">
        <v>2113</v>
      </c>
      <c r="C326">
        <v>1272</v>
      </c>
      <c r="D326" t="s">
        <v>2017</v>
      </c>
      <c r="E326">
        <v>8</v>
      </c>
      <c r="F326" t="s">
        <v>199</v>
      </c>
      <c r="G326">
        <v>1.8</v>
      </c>
      <c r="H326">
        <v>0.44</v>
      </c>
      <c r="I326" t="s">
        <v>123</v>
      </c>
      <c r="J326">
        <v>0.44</v>
      </c>
      <c r="K326">
        <v>0.39</v>
      </c>
      <c r="L326">
        <v>0</v>
      </c>
      <c r="M326" t="s">
        <v>616</v>
      </c>
      <c r="N326">
        <v>0</v>
      </c>
      <c r="O326" t="s">
        <v>616</v>
      </c>
      <c r="Q326">
        <v>0</v>
      </c>
      <c r="R326" t="s">
        <v>616</v>
      </c>
      <c r="S326">
        <v>0</v>
      </c>
      <c r="W326">
        <v>3.2</v>
      </c>
      <c r="AF326">
        <v>0.24</v>
      </c>
    </row>
    <row r="327" spans="2:32" x14ac:dyDescent="0.2">
      <c r="B327" t="s">
        <v>2114</v>
      </c>
      <c r="C327">
        <v>1273</v>
      </c>
      <c r="D327" t="s">
        <v>2017</v>
      </c>
      <c r="E327">
        <v>12</v>
      </c>
      <c r="F327" t="s">
        <v>199</v>
      </c>
      <c r="G327">
        <v>2.7</v>
      </c>
      <c r="H327">
        <v>0.6</v>
      </c>
      <c r="I327" t="s">
        <v>123</v>
      </c>
      <c r="J327">
        <v>0.64</v>
      </c>
      <c r="K327">
        <v>0.63</v>
      </c>
      <c r="L327">
        <v>0</v>
      </c>
      <c r="M327" t="s">
        <v>616</v>
      </c>
      <c r="N327">
        <v>0</v>
      </c>
      <c r="O327" t="s">
        <v>616</v>
      </c>
      <c r="Q327">
        <v>0</v>
      </c>
      <c r="R327" t="s">
        <v>616</v>
      </c>
      <c r="S327">
        <v>0</v>
      </c>
      <c r="W327">
        <v>4.8</v>
      </c>
      <c r="AF327">
        <v>0.36</v>
      </c>
    </row>
    <row r="328" spans="2:32" x14ac:dyDescent="0.2">
      <c r="B328" t="s">
        <v>2125</v>
      </c>
      <c r="C328">
        <v>1274</v>
      </c>
      <c r="D328" t="s">
        <v>2013</v>
      </c>
      <c r="E328">
        <v>8</v>
      </c>
      <c r="F328" t="s">
        <v>199</v>
      </c>
      <c r="G328">
        <v>9.5</v>
      </c>
      <c r="H328">
        <v>0.9</v>
      </c>
      <c r="I328" t="s">
        <v>123</v>
      </c>
      <c r="J328">
        <v>0.1</v>
      </c>
      <c r="K328">
        <v>0</v>
      </c>
      <c r="L328">
        <v>0</v>
      </c>
      <c r="M328" t="s">
        <v>616</v>
      </c>
      <c r="N328">
        <v>0</v>
      </c>
      <c r="O328" t="s">
        <v>616</v>
      </c>
      <c r="Q328">
        <v>0</v>
      </c>
      <c r="R328" t="s">
        <v>616</v>
      </c>
      <c r="S328">
        <v>0</v>
      </c>
    </row>
    <row r="329" spans="2:32" x14ac:dyDescent="0.2">
      <c r="B329" t="s">
        <v>2126</v>
      </c>
      <c r="C329">
        <v>1275</v>
      </c>
      <c r="D329" t="s">
        <v>2013</v>
      </c>
      <c r="E329">
        <v>12</v>
      </c>
      <c r="F329" t="s">
        <v>199</v>
      </c>
      <c r="G329">
        <v>14.3</v>
      </c>
      <c r="H329">
        <v>1.35</v>
      </c>
      <c r="I329" t="s">
        <v>123</v>
      </c>
      <c r="J329">
        <v>0.15</v>
      </c>
      <c r="K329">
        <v>0</v>
      </c>
      <c r="L329">
        <v>0</v>
      </c>
      <c r="M329" t="s">
        <v>616</v>
      </c>
      <c r="N329">
        <v>0</v>
      </c>
      <c r="O329" t="s">
        <v>616</v>
      </c>
      <c r="Q329">
        <v>0</v>
      </c>
      <c r="R329" t="s">
        <v>616</v>
      </c>
      <c r="S329">
        <v>0</v>
      </c>
    </row>
    <row r="330" spans="2:32" x14ac:dyDescent="0.2">
      <c r="B330" t="s">
        <v>2127</v>
      </c>
      <c r="C330">
        <v>1276</v>
      </c>
      <c r="D330" t="s">
        <v>1999</v>
      </c>
      <c r="E330">
        <v>4</v>
      </c>
      <c r="F330" t="s">
        <v>199</v>
      </c>
      <c r="G330">
        <v>4.5999999999999996</v>
      </c>
      <c r="H330">
        <v>0.11</v>
      </c>
      <c r="I330" t="s">
        <v>123</v>
      </c>
      <c r="J330">
        <v>0.16</v>
      </c>
      <c r="K330">
        <v>0</v>
      </c>
      <c r="L330">
        <v>0</v>
      </c>
      <c r="M330" t="s">
        <v>616</v>
      </c>
      <c r="N330">
        <v>0</v>
      </c>
      <c r="O330" t="s">
        <v>616</v>
      </c>
      <c r="Q330">
        <v>0</v>
      </c>
      <c r="R330" t="s">
        <v>616</v>
      </c>
      <c r="S330">
        <v>0</v>
      </c>
    </row>
    <row r="331" spans="2:32" x14ac:dyDescent="0.2">
      <c r="B331" t="s">
        <v>2128</v>
      </c>
      <c r="C331">
        <v>1277</v>
      </c>
      <c r="D331" t="s">
        <v>1999</v>
      </c>
      <c r="E331">
        <v>6</v>
      </c>
      <c r="F331" t="s">
        <v>199</v>
      </c>
      <c r="G331">
        <v>6.9</v>
      </c>
      <c r="H331">
        <v>0.22</v>
      </c>
      <c r="I331" t="s">
        <v>123</v>
      </c>
      <c r="J331">
        <v>0.26</v>
      </c>
      <c r="K331">
        <v>0</v>
      </c>
      <c r="L331">
        <v>0</v>
      </c>
      <c r="M331" t="s">
        <v>616</v>
      </c>
      <c r="N331">
        <v>0</v>
      </c>
      <c r="O331" t="s">
        <v>616</v>
      </c>
      <c r="Q331">
        <v>0</v>
      </c>
      <c r="R331" t="s">
        <v>616</v>
      </c>
      <c r="S331">
        <v>0</v>
      </c>
    </row>
    <row r="332" spans="2:32" x14ac:dyDescent="0.2">
      <c r="B332" t="s">
        <v>2129</v>
      </c>
      <c r="C332">
        <v>1278</v>
      </c>
      <c r="D332" t="s">
        <v>1999</v>
      </c>
      <c r="E332">
        <v>8</v>
      </c>
      <c r="F332" t="s">
        <v>199</v>
      </c>
      <c r="G332">
        <v>9.1999999999999993</v>
      </c>
      <c r="H332">
        <v>0.33</v>
      </c>
      <c r="I332" t="s">
        <v>123</v>
      </c>
      <c r="J332">
        <v>0.33</v>
      </c>
      <c r="K332">
        <v>0</v>
      </c>
      <c r="L332">
        <v>0</v>
      </c>
      <c r="M332" t="s">
        <v>616</v>
      </c>
      <c r="N332">
        <v>0</v>
      </c>
      <c r="O332" t="s">
        <v>616</v>
      </c>
      <c r="Q332">
        <v>0</v>
      </c>
      <c r="R332" t="s">
        <v>616</v>
      </c>
      <c r="S332">
        <v>0</v>
      </c>
    </row>
    <row r="333" spans="2:32" x14ac:dyDescent="0.2">
      <c r="B333" t="s">
        <v>2130</v>
      </c>
      <c r="C333">
        <v>1279</v>
      </c>
      <c r="D333" t="s">
        <v>1999</v>
      </c>
      <c r="E333">
        <v>12</v>
      </c>
      <c r="F333" t="s">
        <v>199</v>
      </c>
      <c r="G333">
        <v>13.8</v>
      </c>
      <c r="H333">
        <v>0.44</v>
      </c>
      <c r="I333" t="s">
        <v>123</v>
      </c>
      <c r="J333">
        <v>0.5</v>
      </c>
      <c r="K333">
        <v>0</v>
      </c>
      <c r="L333">
        <v>0</v>
      </c>
      <c r="M333" t="s">
        <v>616</v>
      </c>
      <c r="N333">
        <v>0</v>
      </c>
      <c r="O333" t="s">
        <v>616</v>
      </c>
      <c r="Q333">
        <v>0</v>
      </c>
      <c r="R333" t="s">
        <v>616</v>
      </c>
      <c r="S333">
        <v>0</v>
      </c>
    </row>
    <row r="334" spans="2:32" x14ac:dyDescent="0.2">
      <c r="B334" t="s">
        <v>2131</v>
      </c>
      <c r="C334">
        <v>1280</v>
      </c>
      <c r="D334" t="s">
        <v>2003</v>
      </c>
      <c r="E334">
        <v>4</v>
      </c>
      <c r="F334" t="s">
        <v>199</v>
      </c>
      <c r="G334">
        <v>4.5999999999999996</v>
      </c>
      <c r="H334">
        <v>0.11</v>
      </c>
      <c r="I334" t="s">
        <v>123</v>
      </c>
      <c r="J334">
        <v>0.16</v>
      </c>
      <c r="K334">
        <v>0</v>
      </c>
      <c r="L334">
        <v>0</v>
      </c>
      <c r="M334" t="s">
        <v>616</v>
      </c>
      <c r="N334">
        <v>0</v>
      </c>
      <c r="O334" t="s">
        <v>616</v>
      </c>
      <c r="Q334">
        <v>0</v>
      </c>
      <c r="R334" t="s">
        <v>616</v>
      </c>
      <c r="S334">
        <v>0</v>
      </c>
      <c r="W334">
        <v>1.5</v>
      </c>
      <c r="AF334">
        <v>2</v>
      </c>
    </row>
    <row r="335" spans="2:32" x14ac:dyDescent="0.2">
      <c r="B335" t="s">
        <v>2132</v>
      </c>
      <c r="C335">
        <v>1281</v>
      </c>
      <c r="D335" t="s">
        <v>2003</v>
      </c>
      <c r="E335">
        <v>6</v>
      </c>
      <c r="F335" t="s">
        <v>199</v>
      </c>
      <c r="G335">
        <v>6.9</v>
      </c>
      <c r="H335">
        <v>0.22</v>
      </c>
      <c r="I335" t="s">
        <v>123</v>
      </c>
      <c r="J335">
        <v>0.26</v>
      </c>
      <c r="K335">
        <v>0</v>
      </c>
      <c r="L335">
        <v>0</v>
      </c>
      <c r="M335" t="s">
        <v>616</v>
      </c>
      <c r="N335">
        <v>0</v>
      </c>
      <c r="O335" t="s">
        <v>616</v>
      </c>
      <c r="Q335">
        <v>0</v>
      </c>
      <c r="R335" t="s">
        <v>616</v>
      </c>
      <c r="S335">
        <v>0</v>
      </c>
      <c r="W335">
        <v>2.5</v>
      </c>
      <c r="AF335">
        <v>3</v>
      </c>
    </row>
    <row r="336" spans="2:32" x14ac:dyDescent="0.2">
      <c r="B336" t="s">
        <v>2133</v>
      </c>
      <c r="C336">
        <v>1282</v>
      </c>
      <c r="D336" t="s">
        <v>2003</v>
      </c>
      <c r="E336">
        <v>8</v>
      </c>
      <c r="F336" t="s">
        <v>199</v>
      </c>
      <c r="G336">
        <v>9.1999999999999993</v>
      </c>
      <c r="H336">
        <v>0.33</v>
      </c>
      <c r="I336" t="s">
        <v>123</v>
      </c>
      <c r="J336">
        <v>0.33</v>
      </c>
      <c r="K336">
        <v>0</v>
      </c>
      <c r="L336">
        <v>0</v>
      </c>
      <c r="M336" t="s">
        <v>616</v>
      </c>
      <c r="N336">
        <v>0</v>
      </c>
      <c r="O336" t="s">
        <v>616</v>
      </c>
      <c r="Q336">
        <v>0</v>
      </c>
      <c r="R336" t="s">
        <v>616</v>
      </c>
      <c r="S336">
        <v>0</v>
      </c>
      <c r="W336">
        <v>3.1</v>
      </c>
      <c r="AF336">
        <v>4</v>
      </c>
    </row>
    <row r="337" spans="2:32" x14ac:dyDescent="0.2">
      <c r="B337" t="s">
        <v>2134</v>
      </c>
      <c r="C337">
        <v>1283</v>
      </c>
      <c r="D337" t="s">
        <v>2003</v>
      </c>
      <c r="E337">
        <v>12</v>
      </c>
      <c r="F337" t="s">
        <v>199</v>
      </c>
      <c r="G337">
        <v>13.8</v>
      </c>
      <c r="H337">
        <v>0.44</v>
      </c>
      <c r="I337" t="s">
        <v>123</v>
      </c>
      <c r="J337">
        <v>0.5</v>
      </c>
      <c r="K337">
        <v>0</v>
      </c>
      <c r="L337">
        <v>0</v>
      </c>
      <c r="M337" t="s">
        <v>616</v>
      </c>
      <c r="N337">
        <v>0</v>
      </c>
      <c r="O337" t="s">
        <v>616</v>
      </c>
      <c r="Q337">
        <v>0</v>
      </c>
      <c r="R337" t="s">
        <v>616</v>
      </c>
      <c r="S337">
        <v>0</v>
      </c>
      <c r="W337">
        <v>5.2</v>
      </c>
      <c r="AF337">
        <v>6</v>
      </c>
    </row>
    <row r="338" spans="2:32" x14ac:dyDescent="0.2">
      <c r="B338" t="s">
        <v>2135</v>
      </c>
      <c r="C338">
        <v>1284</v>
      </c>
      <c r="D338" t="s">
        <v>2001</v>
      </c>
      <c r="E338">
        <v>4</v>
      </c>
      <c r="F338" t="s">
        <v>199</v>
      </c>
      <c r="G338">
        <v>4.5999999999999996</v>
      </c>
      <c r="H338">
        <v>0.11</v>
      </c>
      <c r="I338" t="s">
        <v>123</v>
      </c>
      <c r="J338">
        <v>0.16</v>
      </c>
      <c r="K338">
        <v>0</v>
      </c>
      <c r="L338">
        <v>0</v>
      </c>
      <c r="M338" t="s">
        <v>616</v>
      </c>
      <c r="N338">
        <v>0</v>
      </c>
      <c r="O338" t="s">
        <v>616</v>
      </c>
      <c r="Q338">
        <v>0</v>
      </c>
      <c r="R338" t="s">
        <v>616</v>
      </c>
      <c r="S338">
        <v>0</v>
      </c>
      <c r="U338">
        <v>2</v>
      </c>
      <c r="V338">
        <v>1.3</v>
      </c>
    </row>
    <row r="339" spans="2:32" x14ac:dyDescent="0.2">
      <c r="B339" t="s">
        <v>2136</v>
      </c>
      <c r="C339">
        <v>1285</v>
      </c>
      <c r="D339" t="s">
        <v>2001</v>
      </c>
      <c r="E339">
        <v>6</v>
      </c>
      <c r="F339" t="s">
        <v>199</v>
      </c>
      <c r="G339">
        <v>6.9</v>
      </c>
      <c r="H339">
        <v>0.22</v>
      </c>
      <c r="I339" t="s">
        <v>123</v>
      </c>
      <c r="J339">
        <v>0.26</v>
      </c>
      <c r="K339">
        <v>0</v>
      </c>
      <c r="L339">
        <v>0</v>
      </c>
      <c r="M339" t="s">
        <v>616</v>
      </c>
      <c r="N339">
        <v>0</v>
      </c>
      <c r="O339" t="s">
        <v>616</v>
      </c>
      <c r="Q339">
        <v>0</v>
      </c>
      <c r="R339" t="s">
        <v>616</v>
      </c>
      <c r="S339">
        <v>0</v>
      </c>
      <c r="U339">
        <v>2</v>
      </c>
      <c r="V339">
        <v>2</v>
      </c>
    </row>
    <row r="340" spans="2:32" x14ac:dyDescent="0.2">
      <c r="B340" t="s">
        <v>2137</v>
      </c>
      <c r="C340">
        <v>1286</v>
      </c>
      <c r="D340" t="s">
        <v>2001</v>
      </c>
      <c r="E340">
        <v>8</v>
      </c>
      <c r="F340" t="s">
        <v>199</v>
      </c>
      <c r="G340">
        <v>9.1999999999999993</v>
      </c>
      <c r="H340">
        <v>0.33</v>
      </c>
      <c r="I340" t="s">
        <v>123</v>
      </c>
      <c r="J340">
        <v>0.33</v>
      </c>
      <c r="K340">
        <v>0</v>
      </c>
      <c r="L340">
        <v>0</v>
      </c>
      <c r="M340" t="s">
        <v>616</v>
      </c>
      <c r="N340">
        <v>0</v>
      </c>
      <c r="O340" t="s">
        <v>616</v>
      </c>
      <c r="Q340">
        <v>0</v>
      </c>
      <c r="R340" t="s">
        <v>616</v>
      </c>
      <c r="S340">
        <v>0</v>
      </c>
      <c r="U340">
        <v>2</v>
      </c>
      <c r="V340">
        <v>2.6</v>
      </c>
    </row>
    <row r="341" spans="2:32" x14ac:dyDescent="0.2">
      <c r="B341" t="s">
        <v>2138</v>
      </c>
      <c r="C341">
        <v>1287</v>
      </c>
      <c r="D341" t="s">
        <v>2001</v>
      </c>
      <c r="E341">
        <v>12</v>
      </c>
      <c r="F341" t="s">
        <v>199</v>
      </c>
      <c r="G341">
        <v>13.8</v>
      </c>
      <c r="H341">
        <v>0.44</v>
      </c>
      <c r="I341" t="s">
        <v>123</v>
      </c>
      <c r="J341">
        <v>0.5</v>
      </c>
      <c r="K341">
        <v>0</v>
      </c>
      <c r="L341">
        <v>0</v>
      </c>
      <c r="M341" t="s">
        <v>616</v>
      </c>
      <c r="N341">
        <v>0</v>
      </c>
      <c r="O341" t="s">
        <v>616</v>
      </c>
      <c r="Q341">
        <v>0</v>
      </c>
      <c r="R341" t="s">
        <v>616</v>
      </c>
      <c r="S341">
        <v>0</v>
      </c>
      <c r="U341">
        <v>2</v>
      </c>
      <c r="V341">
        <v>4</v>
      </c>
    </row>
    <row r="342" spans="2:32" x14ac:dyDescent="0.2">
      <c r="B342" t="s">
        <v>2139</v>
      </c>
      <c r="C342">
        <v>1288</v>
      </c>
      <c r="D342" t="s">
        <v>2011</v>
      </c>
      <c r="E342">
        <v>4</v>
      </c>
      <c r="F342" t="s">
        <v>199</v>
      </c>
      <c r="G342">
        <v>4.42</v>
      </c>
      <c r="H342">
        <v>0.23</v>
      </c>
      <c r="I342" t="s">
        <v>123</v>
      </c>
      <c r="J342">
        <v>0.05</v>
      </c>
      <c r="K342">
        <v>0</v>
      </c>
      <c r="L342">
        <v>0</v>
      </c>
      <c r="M342" t="s">
        <v>616</v>
      </c>
      <c r="N342">
        <v>0</v>
      </c>
      <c r="O342" t="s">
        <v>616</v>
      </c>
      <c r="Q342">
        <v>0</v>
      </c>
      <c r="R342" t="s">
        <v>616</v>
      </c>
      <c r="S342">
        <v>0</v>
      </c>
      <c r="W342">
        <v>1.9</v>
      </c>
      <c r="AF342">
        <v>1.1000000000000001</v>
      </c>
    </row>
    <row r="343" spans="2:32" x14ac:dyDescent="0.2">
      <c r="B343" t="s">
        <v>2140</v>
      </c>
      <c r="C343">
        <v>1289</v>
      </c>
      <c r="D343" t="s">
        <v>2011</v>
      </c>
      <c r="E343">
        <v>6</v>
      </c>
      <c r="F343" t="s">
        <v>199</v>
      </c>
      <c r="G343">
        <v>6.63</v>
      </c>
      <c r="H343">
        <v>0.47</v>
      </c>
      <c r="I343" t="s">
        <v>123</v>
      </c>
      <c r="J343">
        <v>0.08</v>
      </c>
      <c r="K343">
        <v>0</v>
      </c>
      <c r="L343">
        <v>0</v>
      </c>
      <c r="M343" t="s">
        <v>616</v>
      </c>
      <c r="N343">
        <v>0</v>
      </c>
      <c r="O343" t="s">
        <v>616</v>
      </c>
      <c r="Q343">
        <v>0</v>
      </c>
      <c r="R343" t="s">
        <v>616</v>
      </c>
      <c r="S343">
        <v>0</v>
      </c>
      <c r="W343">
        <v>3.2</v>
      </c>
      <c r="AF343">
        <v>1.6</v>
      </c>
    </row>
    <row r="344" spans="2:32" x14ac:dyDescent="0.2">
      <c r="B344" t="s">
        <v>2141</v>
      </c>
      <c r="C344">
        <v>1290</v>
      </c>
      <c r="D344" t="s">
        <v>2011</v>
      </c>
      <c r="E344">
        <v>8</v>
      </c>
      <c r="F344" t="s">
        <v>199</v>
      </c>
      <c r="G344">
        <v>8.84</v>
      </c>
      <c r="H344">
        <v>0.47</v>
      </c>
      <c r="I344" t="s">
        <v>123</v>
      </c>
      <c r="J344">
        <v>0.1</v>
      </c>
      <c r="K344">
        <v>0</v>
      </c>
      <c r="L344">
        <v>0</v>
      </c>
      <c r="M344" t="s">
        <v>616</v>
      </c>
      <c r="N344">
        <v>0</v>
      </c>
      <c r="O344" t="s">
        <v>616</v>
      </c>
      <c r="Q344">
        <v>0</v>
      </c>
      <c r="R344" t="s">
        <v>616</v>
      </c>
      <c r="S344">
        <v>0</v>
      </c>
      <c r="W344">
        <v>4.3</v>
      </c>
      <c r="AF344">
        <v>2.1</v>
      </c>
    </row>
    <row r="345" spans="2:32" x14ac:dyDescent="0.2">
      <c r="B345" t="s">
        <v>2142</v>
      </c>
      <c r="C345">
        <v>1291</v>
      </c>
      <c r="D345" t="s">
        <v>2011</v>
      </c>
      <c r="E345">
        <v>12</v>
      </c>
      <c r="F345" t="s">
        <v>199</v>
      </c>
      <c r="G345">
        <v>13.26</v>
      </c>
      <c r="H345">
        <v>0.7</v>
      </c>
      <c r="I345" t="s">
        <v>123</v>
      </c>
      <c r="J345">
        <v>0.15</v>
      </c>
      <c r="K345">
        <v>0</v>
      </c>
      <c r="L345">
        <v>0</v>
      </c>
      <c r="M345" t="s">
        <v>616</v>
      </c>
      <c r="N345">
        <v>0</v>
      </c>
      <c r="O345" t="s">
        <v>616</v>
      </c>
      <c r="Q345">
        <v>0</v>
      </c>
      <c r="R345" t="s">
        <v>616</v>
      </c>
      <c r="S345">
        <v>0</v>
      </c>
      <c r="W345">
        <v>6.5</v>
      </c>
      <c r="AF345">
        <v>3.2</v>
      </c>
    </row>
    <row r="346" spans="2:32" x14ac:dyDescent="0.2">
      <c r="B346" t="s">
        <v>2143</v>
      </c>
      <c r="C346">
        <v>1292</v>
      </c>
      <c r="D346" t="s">
        <v>2060</v>
      </c>
      <c r="E346">
        <v>2</v>
      </c>
      <c r="F346" t="s">
        <v>1730</v>
      </c>
      <c r="G346">
        <v>2.13</v>
      </c>
      <c r="H346">
        <v>0.6</v>
      </c>
      <c r="I346" t="s">
        <v>123</v>
      </c>
      <c r="J346">
        <v>0.2</v>
      </c>
      <c r="K346">
        <v>2.2799999999999998</v>
      </c>
      <c r="L346">
        <v>6.72</v>
      </c>
      <c r="M346" t="s">
        <v>124</v>
      </c>
      <c r="N346">
        <v>0</v>
      </c>
      <c r="O346" t="s">
        <v>616</v>
      </c>
      <c r="Q346">
        <v>0.63</v>
      </c>
      <c r="R346" t="s">
        <v>123</v>
      </c>
      <c r="S346">
        <v>0</v>
      </c>
      <c r="U346">
        <v>2</v>
      </c>
      <c r="V346">
        <v>7.24</v>
      </c>
    </row>
    <row r="347" spans="2:32" x14ac:dyDescent="0.2">
      <c r="B347" t="s">
        <v>2144</v>
      </c>
      <c r="C347">
        <v>1293</v>
      </c>
      <c r="D347" t="s">
        <v>2060</v>
      </c>
      <c r="E347">
        <v>3</v>
      </c>
      <c r="F347" t="s">
        <v>1730</v>
      </c>
      <c r="G347">
        <v>3.2</v>
      </c>
      <c r="H347">
        <v>0.9</v>
      </c>
      <c r="I347" t="s">
        <v>123</v>
      </c>
      <c r="J347">
        <v>0.3</v>
      </c>
      <c r="K347">
        <v>3.48</v>
      </c>
      <c r="L347">
        <v>10.08</v>
      </c>
      <c r="M347" t="s">
        <v>124</v>
      </c>
      <c r="N347">
        <v>0</v>
      </c>
      <c r="O347" t="s">
        <v>616</v>
      </c>
      <c r="Q347">
        <v>1.25</v>
      </c>
      <c r="R347" t="s">
        <v>123</v>
      </c>
      <c r="S347">
        <v>0</v>
      </c>
      <c r="U347">
        <v>2</v>
      </c>
      <c r="V347">
        <v>11.16</v>
      </c>
    </row>
    <row r="348" spans="2:32" x14ac:dyDescent="0.2">
      <c r="B348" t="s">
        <v>2143</v>
      </c>
      <c r="C348">
        <v>1294</v>
      </c>
      <c r="D348" t="s">
        <v>2060</v>
      </c>
      <c r="E348">
        <v>2</v>
      </c>
      <c r="F348" t="s">
        <v>1730</v>
      </c>
      <c r="G348">
        <v>1.91</v>
      </c>
      <c r="H348">
        <v>0.6</v>
      </c>
      <c r="I348" t="s">
        <v>123</v>
      </c>
      <c r="J348">
        <v>0.2</v>
      </c>
      <c r="K348">
        <v>2.2799999999999998</v>
      </c>
      <c r="L348">
        <v>6.72</v>
      </c>
      <c r="M348" t="s">
        <v>124</v>
      </c>
      <c r="N348">
        <v>0</v>
      </c>
      <c r="O348" t="s">
        <v>616</v>
      </c>
      <c r="Q348">
        <v>0.63</v>
      </c>
      <c r="R348" t="s">
        <v>123</v>
      </c>
      <c r="S348">
        <v>0</v>
      </c>
      <c r="U348">
        <v>2</v>
      </c>
      <c r="V348">
        <v>7.24</v>
      </c>
    </row>
    <row r="349" spans="2:32" x14ac:dyDescent="0.2">
      <c r="B349" t="s">
        <v>2144</v>
      </c>
      <c r="C349">
        <v>1295</v>
      </c>
      <c r="D349" t="s">
        <v>2060</v>
      </c>
      <c r="E349">
        <v>3</v>
      </c>
      <c r="F349" t="s">
        <v>1730</v>
      </c>
      <c r="G349">
        <v>2.87</v>
      </c>
      <c r="H349">
        <v>0.9</v>
      </c>
      <c r="I349" t="s">
        <v>123</v>
      </c>
      <c r="J349">
        <v>0.3</v>
      </c>
      <c r="K349">
        <v>3.48</v>
      </c>
      <c r="L349">
        <v>10.08</v>
      </c>
      <c r="M349" t="s">
        <v>124</v>
      </c>
      <c r="N349">
        <v>0</v>
      </c>
      <c r="O349" t="s">
        <v>616</v>
      </c>
      <c r="Q349">
        <v>1.25</v>
      </c>
      <c r="R349" t="s">
        <v>123</v>
      </c>
      <c r="S349">
        <v>0</v>
      </c>
      <c r="U349">
        <v>2</v>
      </c>
      <c r="V349">
        <v>11.16</v>
      </c>
    </row>
    <row r="350" spans="2:32" x14ac:dyDescent="0.2">
      <c r="B350" t="s">
        <v>2145</v>
      </c>
      <c r="C350">
        <v>1296</v>
      </c>
      <c r="D350" t="s">
        <v>1993</v>
      </c>
      <c r="E350">
        <v>5</v>
      </c>
      <c r="F350" t="s">
        <v>199</v>
      </c>
      <c r="G350">
        <v>4.95</v>
      </c>
      <c r="H350">
        <v>0.3</v>
      </c>
      <c r="I350" t="s">
        <v>123</v>
      </c>
      <c r="J350">
        <v>0.63</v>
      </c>
      <c r="K350">
        <v>0</v>
      </c>
      <c r="L350">
        <v>0</v>
      </c>
      <c r="M350" t="s">
        <v>616</v>
      </c>
      <c r="N350">
        <v>0</v>
      </c>
      <c r="O350" t="s">
        <v>616</v>
      </c>
      <c r="Q350">
        <v>0</v>
      </c>
      <c r="R350" t="s">
        <v>616</v>
      </c>
      <c r="S350">
        <v>0</v>
      </c>
      <c r="W350">
        <v>1.7</v>
      </c>
      <c r="AF350">
        <v>1.78</v>
      </c>
    </row>
    <row r="351" spans="2:32" x14ac:dyDescent="0.2">
      <c r="B351" t="s">
        <v>2146</v>
      </c>
      <c r="C351">
        <v>1297</v>
      </c>
      <c r="D351" t="s">
        <v>2058</v>
      </c>
      <c r="E351">
        <v>2</v>
      </c>
      <c r="F351" t="s">
        <v>1730</v>
      </c>
      <c r="G351">
        <v>2.17</v>
      </c>
      <c r="H351">
        <v>0.6</v>
      </c>
      <c r="I351" t="s">
        <v>123</v>
      </c>
      <c r="J351">
        <v>0.3</v>
      </c>
      <c r="K351">
        <v>2.2799999999999998</v>
      </c>
      <c r="L351">
        <v>6.72</v>
      </c>
      <c r="M351" t="s">
        <v>124</v>
      </c>
      <c r="N351">
        <v>0</v>
      </c>
      <c r="O351" t="s">
        <v>616</v>
      </c>
      <c r="Q351">
        <v>0.63</v>
      </c>
      <c r="R351" t="s">
        <v>123</v>
      </c>
      <c r="S351">
        <v>0</v>
      </c>
    </row>
    <row r="352" spans="2:32" x14ac:dyDescent="0.2">
      <c r="B352" t="s">
        <v>2147</v>
      </c>
      <c r="C352">
        <v>1298</v>
      </c>
      <c r="D352" t="s">
        <v>2058</v>
      </c>
      <c r="E352">
        <v>3</v>
      </c>
      <c r="F352" t="s">
        <v>1730</v>
      </c>
      <c r="G352">
        <v>3.26</v>
      </c>
      <c r="H352">
        <v>0.9</v>
      </c>
      <c r="I352" t="s">
        <v>123</v>
      </c>
      <c r="J352">
        <v>0.45</v>
      </c>
      <c r="K352">
        <v>3.48</v>
      </c>
      <c r="L352">
        <v>10.08</v>
      </c>
      <c r="M352" t="s">
        <v>124</v>
      </c>
      <c r="N352">
        <v>0</v>
      </c>
      <c r="O352" t="s">
        <v>616</v>
      </c>
      <c r="Q352">
        <v>1.25</v>
      </c>
      <c r="R352" t="s">
        <v>123</v>
      </c>
      <c r="S352">
        <v>0</v>
      </c>
    </row>
    <row r="353" spans="2:32" x14ac:dyDescent="0.2">
      <c r="B353" t="s">
        <v>2148</v>
      </c>
      <c r="C353">
        <v>1299</v>
      </c>
      <c r="D353" t="s">
        <v>2058</v>
      </c>
      <c r="E353">
        <v>4</v>
      </c>
      <c r="F353" t="s">
        <v>1730</v>
      </c>
      <c r="G353">
        <v>4.34</v>
      </c>
      <c r="H353">
        <v>1.2</v>
      </c>
      <c r="I353" t="s">
        <v>123</v>
      </c>
      <c r="J353">
        <v>0.6</v>
      </c>
      <c r="K353">
        <v>4.57</v>
      </c>
      <c r="L353">
        <v>13.46</v>
      </c>
      <c r="M353" t="s">
        <v>124</v>
      </c>
      <c r="N353">
        <v>0</v>
      </c>
      <c r="O353" t="s">
        <v>616</v>
      </c>
      <c r="Q353">
        <v>2</v>
      </c>
      <c r="R353" t="s">
        <v>123</v>
      </c>
      <c r="S353">
        <v>0</v>
      </c>
    </row>
    <row r="354" spans="2:32" x14ac:dyDescent="0.2">
      <c r="B354" t="s">
        <v>2149</v>
      </c>
      <c r="C354">
        <v>1300</v>
      </c>
      <c r="D354" t="s">
        <v>2058</v>
      </c>
      <c r="E354">
        <v>5</v>
      </c>
      <c r="F354" t="s">
        <v>1730</v>
      </c>
      <c r="G354">
        <v>5.43</v>
      </c>
      <c r="H354">
        <v>1.5</v>
      </c>
      <c r="I354" t="s">
        <v>123</v>
      </c>
      <c r="J354">
        <v>0.75</v>
      </c>
      <c r="K354">
        <v>5.77</v>
      </c>
      <c r="L354">
        <v>16.82</v>
      </c>
      <c r="M354" t="s">
        <v>124</v>
      </c>
      <c r="N354">
        <v>0</v>
      </c>
      <c r="O354" t="s">
        <v>616</v>
      </c>
      <c r="Q354">
        <v>2.57</v>
      </c>
      <c r="R354" t="s">
        <v>123</v>
      </c>
      <c r="S354">
        <v>0</v>
      </c>
    </row>
    <row r="355" spans="2:32" x14ac:dyDescent="0.2">
      <c r="B355" t="s">
        <v>2150</v>
      </c>
      <c r="C355">
        <v>1301</v>
      </c>
      <c r="D355" t="s">
        <v>1995</v>
      </c>
      <c r="E355">
        <v>2</v>
      </c>
      <c r="F355" t="s">
        <v>1730</v>
      </c>
      <c r="G355">
        <v>2.036</v>
      </c>
      <c r="H355">
        <v>0.6</v>
      </c>
      <c r="I355" t="s">
        <v>123</v>
      </c>
      <c r="J355">
        <v>0.28000000000000003</v>
      </c>
      <c r="K355">
        <v>1.64</v>
      </c>
      <c r="L355">
        <v>7.5</v>
      </c>
      <c r="M355" t="s">
        <v>124</v>
      </c>
      <c r="N355">
        <v>0</v>
      </c>
      <c r="O355" t="s">
        <v>616</v>
      </c>
      <c r="Q355">
        <v>1.5</v>
      </c>
      <c r="R355" t="s">
        <v>123</v>
      </c>
      <c r="S355">
        <v>0</v>
      </c>
    </row>
    <row r="356" spans="2:32" x14ac:dyDescent="0.2">
      <c r="B356" t="s">
        <v>2151</v>
      </c>
      <c r="C356">
        <v>1302</v>
      </c>
      <c r="D356" t="s">
        <v>1995</v>
      </c>
      <c r="E356">
        <v>3</v>
      </c>
      <c r="F356" t="s">
        <v>1730</v>
      </c>
      <c r="G356">
        <v>3.0539999999999998</v>
      </c>
      <c r="H356">
        <v>1</v>
      </c>
      <c r="I356" t="s">
        <v>123</v>
      </c>
      <c r="J356">
        <v>0.41</v>
      </c>
      <c r="K356">
        <v>2.33</v>
      </c>
      <c r="L356">
        <v>10.9</v>
      </c>
      <c r="M356" t="s">
        <v>124</v>
      </c>
      <c r="N356">
        <v>0</v>
      </c>
      <c r="O356" t="s">
        <v>616</v>
      </c>
      <c r="Q356">
        <v>1.6</v>
      </c>
      <c r="R356" t="s">
        <v>123</v>
      </c>
      <c r="S356">
        <v>0</v>
      </c>
    </row>
    <row r="357" spans="2:32" x14ac:dyDescent="0.2">
      <c r="B357" t="s">
        <v>2152</v>
      </c>
      <c r="C357">
        <v>1303</v>
      </c>
      <c r="D357" t="s">
        <v>1995</v>
      </c>
      <c r="E357">
        <v>4</v>
      </c>
      <c r="F357" t="s">
        <v>1730</v>
      </c>
      <c r="G357">
        <v>4.0720000000000001</v>
      </c>
      <c r="H357">
        <v>1.3</v>
      </c>
      <c r="I357" t="s">
        <v>123</v>
      </c>
      <c r="J357">
        <v>0.55000000000000004</v>
      </c>
      <c r="K357">
        <v>3.05</v>
      </c>
      <c r="L357">
        <v>14.3</v>
      </c>
      <c r="M357" t="s">
        <v>124</v>
      </c>
      <c r="N357">
        <v>0</v>
      </c>
      <c r="O357" t="s">
        <v>616</v>
      </c>
      <c r="Q357">
        <v>1.9</v>
      </c>
      <c r="R357" t="s">
        <v>123</v>
      </c>
      <c r="S357">
        <v>0</v>
      </c>
    </row>
    <row r="358" spans="2:32" x14ac:dyDescent="0.2">
      <c r="B358" t="s">
        <v>2153</v>
      </c>
      <c r="C358">
        <v>1304</v>
      </c>
      <c r="D358" t="s">
        <v>1995</v>
      </c>
      <c r="E358">
        <v>5</v>
      </c>
      <c r="F358" t="s">
        <v>1730</v>
      </c>
      <c r="G358">
        <v>5.09</v>
      </c>
      <c r="H358">
        <v>1.6</v>
      </c>
      <c r="I358" t="s">
        <v>123</v>
      </c>
      <c r="J358">
        <v>0.68</v>
      </c>
      <c r="K358">
        <v>3.73</v>
      </c>
      <c r="L358">
        <v>17.5</v>
      </c>
      <c r="M358" t="s">
        <v>124</v>
      </c>
      <c r="N358">
        <v>0</v>
      </c>
      <c r="O358" t="s">
        <v>616</v>
      </c>
      <c r="Q358">
        <v>2.2999999999999998</v>
      </c>
      <c r="R358" t="s">
        <v>123</v>
      </c>
      <c r="S358">
        <v>0</v>
      </c>
    </row>
    <row r="359" spans="2:32" x14ac:dyDescent="0.2">
      <c r="B359" t="s">
        <v>2154</v>
      </c>
      <c r="C359">
        <v>1305</v>
      </c>
      <c r="D359" t="s">
        <v>1997</v>
      </c>
      <c r="E359">
        <v>2</v>
      </c>
      <c r="F359" t="s">
        <v>1730</v>
      </c>
      <c r="G359">
        <v>1.9079999999999999</v>
      </c>
      <c r="H359">
        <v>0.6</v>
      </c>
      <c r="I359" t="s">
        <v>123</v>
      </c>
      <c r="J359">
        <v>0.28000000000000003</v>
      </c>
      <c r="K359">
        <v>1.64</v>
      </c>
      <c r="L359">
        <v>7.5</v>
      </c>
      <c r="M359" t="s">
        <v>124</v>
      </c>
      <c r="N359">
        <v>0</v>
      </c>
      <c r="O359" t="s">
        <v>616</v>
      </c>
      <c r="Q359">
        <v>1.5</v>
      </c>
      <c r="R359" t="s">
        <v>123</v>
      </c>
      <c r="S359">
        <v>0</v>
      </c>
    </row>
    <row r="360" spans="2:32" x14ac:dyDescent="0.2">
      <c r="B360" t="s">
        <v>2155</v>
      </c>
      <c r="C360">
        <v>1306</v>
      </c>
      <c r="D360" t="s">
        <v>1997</v>
      </c>
      <c r="E360">
        <v>3</v>
      </c>
      <c r="F360" t="s">
        <v>1730</v>
      </c>
      <c r="G360">
        <v>2.8620000000000001</v>
      </c>
      <c r="H360">
        <v>1</v>
      </c>
      <c r="I360" t="s">
        <v>123</v>
      </c>
      <c r="J360">
        <v>0.41</v>
      </c>
      <c r="K360">
        <v>2.33</v>
      </c>
      <c r="L360">
        <v>10.9</v>
      </c>
      <c r="M360" t="s">
        <v>124</v>
      </c>
      <c r="N360">
        <v>0</v>
      </c>
      <c r="O360" t="s">
        <v>616</v>
      </c>
      <c r="Q360">
        <v>1.6</v>
      </c>
      <c r="R360" t="s">
        <v>123</v>
      </c>
      <c r="S360">
        <v>0</v>
      </c>
    </row>
    <row r="361" spans="2:32" x14ac:dyDescent="0.2">
      <c r="B361" t="s">
        <v>2156</v>
      </c>
      <c r="C361">
        <v>1307</v>
      </c>
      <c r="D361" t="s">
        <v>1997</v>
      </c>
      <c r="E361">
        <v>4</v>
      </c>
      <c r="F361" t="s">
        <v>1730</v>
      </c>
      <c r="G361">
        <v>3.8159999999999998</v>
      </c>
      <c r="H361">
        <v>1.3</v>
      </c>
      <c r="I361" t="s">
        <v>123</v>
      </c>
      <c r="J361">
        <v>0.55000000000000004</v>
      </c>
      <c r="K361">
        <v>3.05</v>
      </c>
      <c r="L361">
        <v>14.3</v>
      </c>
      <c r="M361" t="s">
        <v>124</v>
      </c>
      <c r="N361">
        <v>0</v>
      </c>
      <c r="O361" t="s">
        <v>616</v>
      </c>
      <c r="Q361">
        <v>1.9</v>
      </c>
      <c r="R361" t="s">
        <v>123</v>
      </c>
      <c r="S361">
        <v>0</v>
      </c>
    </row>
    <row r="362" spans="2:32" x14ac:dyDescent="0.2">
      <c r="B362" t="s">
        <v>2157</v>
      </c>
      <c r="C362">
        <v>1308</v>
      </c>
      <c r="D362" t="s">
        <v>1997</v>
      </c>
      <c r="E362">
        <v>5</v>
      </c>
      <c r="F362" t="s">
        <v>1730</v>
      </c>
      <c r="G362">
        <v>4.7699999999999996</v>
      </c>
      <c r="H362">
        <v>1.6</v>
      </c>
      <c r="I362" t="s">
        <v>123</v>
      </c>
      <c r="J362">
        <v>0.68</v>
      </c>
      <c r="K362">
        <v>3.73</v>
      </c>
      <c r="L362">
        <v>17.5</v>
      </c>
      <c r="M362" t="s">
        <v>124</v>
      </c>
      <c r="N362">
        <v>0</v>
      </c>
      <c r="O362" t="s">
        <v>616</v>
      </c>
      <c r="Q362">
        <v>2.2999999999999998</v>
      </c>
      <c r="R362" t="s">
        <v>123</v>
      </c>
      <c r="S362">
        <v>0</v>
      </c>
    </row>
    <row r="363" spans="2:32" x14ac:dyDescent="0.2">
      <c r="B363" t="s">
        <v>2158</v>
      </c>
      <c r="C363">
        <v>1309</v>
      </c>
      <c r="D363" t="s">
        <v>1981</v>
      </c>
      <c r="E363">
        <v>8</v>
      </c>
      <c r="F363" t="s">
        <v>199</v>
      </c>
      <c r="G363">
        <v>22.5</v>
      </c>
      <c r="H363">
        <v>1.2</v>
      </c>
      <c r="I363" t="s">
        <v>123</v>
      </c>
      <c r="J363">
        <v>0.3</v>
      </c>
      <c r="K363">
        <v>0</v>
      </c>
      <c r="L363">
        <v>0</v>
      </c>
      <c r="M363" t="s">
        <v>616</v>
      </c>
      <c r="N363">
        <v>0</v>
      </c>
      <c r="O363" t="s">
        <v>616</v>
      </c>
      <c r="Q363">
        <v>0</v>
      </c>
      <c r="R363" t="s">
        <v>616</v>
      </c>
      <c r="S363">
        <v>0</v>
      </c>
      <c r="W363">
        <v>1.91</v>
      </c>
      <c r="AF363">
        <v>4.8</v>
      </c>
    </row>
    <row r="364" spans="2:32" x14ac:dyDescent="0.2">
      <c r="B364" t="s">
        <v>2159</v>
      </c>
      <c r="C364">
        <v>1310</v>
      </c>
      <c r="D364" t="s">
        <v>1983</v>
      </c>
      <c r="E364">
        <v>8</v>
      </c>
      <c r="F364" t="s">
        <v>199</v>
      </c>
      <c r="G364">
        <v>22.5</v>
      </c>
      <c r="H364">
        <v>1.2</v>
      </c>
      <c r="I364" t="s">
        <v>123</v>
      </c>
      <c r="J364">
        <v>0.18</v>
      </c>
      <c r="K364">
        <v>0</v>
      </c>
      <c r="L364">
        <v>0</v>
      </c>
      <c r="M364" t="s">
        <v>616</v>
      </c>
      <c r="N364">
        <v>0</v>
      </c>
      <c r="O364" t="s">
        <v>616</v>
      </c>
      <c r="Q364">
        <v>0</v>
      </c>
      <c r="R364" t="s">
        <v>616</v>
      </c>
      <c r="S364">
        <v>0</v>
      </c>
      <c r="W364">
        <v>1.91</v>
      </c>
      <c r="AF364">
        <v>4.8</v>
      </c>
    </row>
    <row r="365" spans="2:32" x14ac:dyDescent="0.2">
      <c r="B365" t="s">
        <v>2160</v>
      </c>
      <c r="C365">
        <v>1311</v>
      </c>
      <c r="D365" t="s">
        <v>1985</v>
      </c>
      <c r="E365">
        <v>8</v>
      </c>
      <c r="F365" t="s">
        <v>199</v>
      </c>
      <c r="G365">
        <v>22.5</v>
      </c>
      <c r="H365">
        <v>1.2</v>
      </c>
      <c r="I365" t="s">
        <v>123</v>
      </c>
      <c r="J365">
        <v>0.18</v>
      </c>
      <c r="K365">
        <v>0</v>
      </c>
      <c r="L365">
        <v>0</v>
      </c>
      <c r="M365" t="s">
        <v>616</v>
      </c>
      <c r="N365">
        <v>0</v>
      </c>
      <c r="O365" t="s">
        <v>616</v>
      </c>
      <c r="Q365">
        <v>0</v>
      </c>
      <c r="R365" t="s">
        <v>616</v>
      </c>
      <c r="S365">
        <v>0</v>
      </c>
      <c r="W365">
        <v>1.91</v>
      </c>
      <c r="AF365">
        <v>4.8</v>
      </c>
    </row>
    <row r="366" spans="2:32" x14ac:dyDescent="0.2">
      <c r="B366" t="s">
        <v>2161</v>
      </c>
      <c r="C366">
        <v>1312</v>
      </c>
      <c r="D366" t="s">
        <v>2067</v>
      </c>
      <c r="E366">
        <v>8</v>
      </c>
      <c r="F366" t="s">
        <v>199</v>
      </c>
      <c r="G366">
        <v>17.600000000000001</v>
      </c>
      <c r="H366">
        <v>1.8</v>
      </c>
      <c r="I366" t="s">
        <v>123</v>
      </c>
      <c r="J366">
        <v>1.4</v>
      </c>
      <c r="K366">
        <v>0.5</v>
      </c>
      <c r="L366">
        <v>0</v>
      </c>
      <c r="M366" t="s">
        <v>616</v>
      </c>
      <c r="N366">
        <v>0</v>
      </c>
      <c r="O366" t="s">
        <v>616</v>
      </c>
      <c r="Q366">
        <v>0</v>
      </c>
      <c r="R366" t="s">
        <v>616</v>
      </c>
      <c r="S366">
        <v>0</v>
      </c>
      <c r="V366">
        <v>1.1000000000000001</v>
      </c>
    </row>
    <row r="367" spans="2:32" x14ac:dyDescent="0.2">
      <c r="B367" t="s">
        <v>2162</v>
      </c>
      <c r="C367">
        <v>1313</v>
      </c>
      <c r="D367" t="s">
        <v>2067</v>
      </c>
      <c r="E367">
        <v>10</v>
      </c>
      <c r="F367" t="s">
        <v>199</v>
      </c>
      <c r="G367">
        <v>17.600000000000001</v>
      </c>
      <c r="H367">
        <v>2.4</v>
      </c>
      <c r="I367" t="s">
        <v>123</v>
      </c>
      <c r="J367">
        <v>1.8</v>
      </c>
      <c r="K367">
        <v>0.7</v>
      </c>
      <c r="L367">
        <v>0</v>
      </c>
      <c r="M367" t="s">
        <v>616</v>
      </c>
      <c r="N367">
        <v>0</v>
      </c>
      <c r="O367" t="s">
        <v>616</v>
      </c>
      <c r="Q367">
        <v>0</v>
      </c>
      <c r="R367" t="s">
        <v>616</v>
      </c>
      <c r="S367">
        <v>0</v>
      </c>
      <c r="V367">
        <v>1.3</v>
      </c>
    </row>
    <row r="368" spans="2:32" x14ac:dyDescent="0.2">
      <c r="B368" t="s">
        <v>2163</v>
      </c>
      <c r="C368">
        <v>1314</v>
      </c>
      <c r="D368" t="s">
        <v>2067</v>
      </c>
      <c r="E368">
        <v>12</v>
      </c>
      <c r="F368" t="s">
        <v>199</v>
      </c>
      <c r="G368">
        <v>17.600000000000001</v>
      </c>
      <c r="H368">
        <v>3</v>
      </c>
      <c r="I368" t="s">
        <v>123</v>
      </c>
      <c r="J368">
        <v>2.5</v>
      </c>
      <c r="K368">
        <v>0.9</v>
      </c>
      <c r="L368">
        <v>0</v>
      </c>
      <c r="M368" t="s">
        <v>616</v>
      </c>
      <c r="N368">
        <v>0</v>
      </c>
      <c r="O368" t="s">
        <v>616</v>
      </c>
      <c r="Q368">
        <v>0</v>
      </c>
      <c r="R368" t="s">
        <v>616</v>
      </c>
      <c r="S368">
        <v>0</v>
      </c>
      <c r="V368">
        <v>1.8</v>
      </c>
    </row>
    <row r="369" spans="2:32" x14ac:dyDescent="0.2">
      <c r="B369" t="s">
        <v>2164</v>
      </c>
      <c r="C369">
        <v>1315</v>
      </c>
      <c r="D369" t="s">
        <v>2043</v>
      </c>
      <c r="E369">
        <v>8</v>
      </c>
      <c r="F369" t="s">
        <v>199</v>
      </c>
      <c r="G369">
        <v>9.3040000000000003</v>
      </c>
      <c r="H369">
        <v>1.2</v>
      </c>
      <c r="I369" t="s">
        <v>123</v>
      </c>
      <c r="J369">
        <v>0.64</v>
      </c>
      <c r="K369">
        <v>0</v>
      </c>
      <c r="L369">
        <v>0</v>
      </c>
      <c r="M369" t="s">
        <v>616</v>
      </c>
      <c r="N369">
        <v>0</v>
      </c>
      <c r="O369" t="s">
        <v>616</v>
      </c>
      <c r="Q369">
        <v>0</v>
      </c>
      <c r="R369" t="s">
        <v>616</v>
      </c>
      <c r="S369">
        <v>0</v>
      </c>
      <c r="V369">
        <v>1.1000000000000001</v>
      </c>
    </row>
    <row r="370" spans="2:32" x14ac:dyDescent="0.2">
      <c r="B370" t="s">
        <v>2165</v>
      </c>
      <c r="C370">
        <v>1316</v>
      </c>
      <c r="D370" t="s">
        <v>2043</v>
      </c>
      <c r="E370">
        <v>12</v>
      </c>
      <c r="F370" t="s">
        <v>199</v>
      </c>
      <c r="G370">
        <v>13.57</v>
      </c>
      <c r="H370">
        <v>1.8</v>
      </c>
      <c r="I370" t="s">
        <v>123</v>
      </c>
      <c r="J370">
        <v>0.96</v>
      </c>
      <c r="K370">
        <v>0</v>
      </c>
      <c r="L370">
        <v>0</v>
      </c>
      <c r="M370" t="s">
        <v>616</v>
      </c>
      <c r="N370">
        <v>0</v>
      </c>
      <c r="O370" t="s">
        <v>616</v>
      </c>
      <c r="Q370">
        <v>0</v>
      </c>
      <c r="R370" t="s">
        <v>616</v>
      </c>
      <c r="S370">
        <v>0</v>
      </c>
      <c r="V370">
        <v>1.66</v>
      </c>
    </row>
    <row r="371" spans="2:32" x14ac:dyDescent="0.2">
      <c r="B371" t="s">
        <v>2073</v>
      </c>
      <c r="C371">
        <v>1317</v>
      </c>
      <c r="D371" t="s">
        <v>2053</v>
      </c>
      <c r="E371">
        <v>8</v>
      </c>
      <c r="F371" t="s">
        <v>199</v>
      </c>
      <c r="G371">
        <v>8.16</v>
      </c>
      <c r="H371">
        <v>0.84</v>
      </c>
      <c r="I371" t="s">
        <v>123</v>
      </c>
      <c r="J371">
        <v>0.54</v>
      </c>
      <c r="K371">
        <v>0</v>
      </c>
      <c r="L371">
        <v>0</v>
      </c>
      <c r="M371" t="s">
        <v>616</v>
      </c>
      <c r="N371">
        <v>0</v>
      </c>
      <c r="O371" t="s">
        <v>616</v>
      </c>
      <c r="Q371">
        <v>0</v>
      </c>
      <c r="R371" t="s">
        <v>616</v>
      </c>
      <c r="S371">
        <v>0</v>
      </c>
      <c r="V371">
        <v>1.1000000000000001</v>
      </c>
    </row>
    <row r="372" spans="2:32" x14ac:dyDescent="0.2">
      <c r="B372" t="s">
        <v>2074</v>
      </c>
      <c r="C372">
        <v>1318</v>
      </c>
      <c r="D372" t="s">
        <v>2053</v>
      </c>
      <c r="E372">
        <v>12</v>
      </c>
      <c r="F372" t="s">
        <v>199</v>
      </c>
      <c r="G372">
        <v>12.24</v>
      </c>
      <c r="H372">
        <v>1.26</v>
      </c>
      <c r="I372" t="s">
        <v>123</v>
      </c>
      <c r="J372">
        <v>0.81</v>
      </c>
      <c r="K372">
        <v>0</v>
      </c>
      <c r="L372">
        <v>0</v>
      </c>
      <c r="M372" t="s">
        <v>616</v>
      </c>
      <c r="N372">
        <v>0</v>
      </c>
      <c r="O372" t="s">
        <v>616</v>
      </c>
      <c r="Q372">
        <v>0</v>
      </c>
      <c r="R372" t="s">
        <v>616</v>
      </c>
      <c r="S372">
        <v>0</v>
      </c>
      <c r="V372">
        <v>1.66</v>
      </c>
    </row>
    <row r="373" spans="2:32" x14ac:dyDescent="0.2">
      <c r="B373" t="s">
        <v>2166</v>
      </c>
      <c r="C373">
        <v>1319</v>
      </c>
      <c r="D373" t="s">
        <v>2034</v>
      </c>
      <c r="E373">
        <v>6</v>
      </c>
      <c r="F373" t="s">
        <v>199</v>
      </c>
      <c r="G373">
        <v>6.12</v>
      </c>
      <c r="H373">
        <v>0.84</v>
      </c>
      <c r="I373" t="s">
        <v>123</v>
      </c>
      <c r="J373">
        <v>0.44</v>
      </c>
      <c r="K373">
        <v>0</v>
      </c>
      <c r="L373">
        <v>0</v>
      </c>
      <c r="M373" t="s">
        <v>616</v>
      </c>
      <c r="N373">
        <v>0</v>
      </c>
      <c r="O373" t="s">
        <v>616</v>
      </c>
      <c r="Q373">
        <v>0</v>
      </c>
      <c r="R373" t="s">
        <v>616</v>
      </c>
      <c r="S373">
        <v>0</v>
      </c>
      <c r="V373">
        <v>0.82</v>
      </c>
    </row>
    <row r="374" spans="2:32" x14ac:dyDescent="0.2">
      <c r="B374" t="s">
        <v>2167</v>
      </c>
      <c r="C374">
        <v>1320</v>
      </c>
      <c r="D374" t="s">
        <v>2041</v>
      </c>
      <c r="E374">
        <v>6</v>
      </c>
      <c r="F374" t="s">
        <v>199</v>
      </c>
      <c r="G374">
        <v>6.12</v>
      </c>
      <c r="H374">
        <v>0.84</v>
      </c>
      <c r="I374" t="s">
        <v>123</v>
      </c>
      <c r="J374">
        <v>0.44</v>
      </c>
      <c r="K374">
        <v>0</v>
      </c>
      <c r="L374">
        <v>0</v>
      </c>
      <c r="M374" t="s">
        <v>616</v>
      </c>
      <c r="N374">
        <v>0</v>
      </c>
      <c r="O374" t="s">
        <v>616</v>
      </c>
      <c r="Q374">
        <v>0</v>
      </c>
      <c r="R374" t="s">
        <v>616</v>
      </c>
      <c r="S374">
        <v>0</v>
      </c>
      <c r="V374">
        <v>0.82</v>
      </c>
    </row>
    <row r="375" spans="2:32" x14ac:dyDescent="0.2">
      <c r="B375" t="s">
        <v>2168</v>
      </c>
      <c r="C375">
        <v>1321</v>
      </c>
      <c r="D375" t="s">
        <v>2041</v>
      </c>
      <c r="E375">
        <v>8</v>
      </c>
      <c r="F375" t="s">
        <v>199</v>
      </c>
      <c r="G375">
        <v>8.16</v>
      </c>
      <c r="H375">
        <v>0.84</v>
      </c>
      <c r="I375" t="s">
        <v>123</v>
      </c>
      <c r="J375">
        <v>0.54</v>
      </c>
      <c r="K375">
        <v>0</v>
      </c>
      <c r="L375">
        <v>0</v>
      </c>
      <c r="M375" t="s">
        <v>616</v>
      </c>
      <c r="N375">
        <v>0</v>
      </c>
      <c r="O375" t="s">
        <v>616</v>
      </c>
      <c r="Q375">
        <v>0</v>
      </c>
      <c r="R375" t="s">
        <v>616</v>
      </c>
      <c r="S375">
        <v>0</v>
      </c>
      <c r="V375">
        <v>1.1000000000000001</v>
      </c>
    </row>
    <row r="376" spans="2:32" x14ac:dyDescent="0.2">
      <c r="B376" t="s">
        <v>2169</v>
      </c>
      <c r="C376">
        <v>1322</v>
      </c>
      <c r="D376" t="s">
        <v>2041</v>
      </c>
      <c r="E376">
        <v>12</v>
      </c>
      <c r="F376" t="s">
        <v>199</v>
      </c>
      <c r="G376">
        <v>12.24</v>
      </c>
      <c r="H376">
        <v>1.26</v>
      </c>
      <c r="I376" t="s">
        <v>123</v>
      </c>
      <c r="J376">
        <v>0.81</v>
      </c>
      <c r="K376">
        <v>0</v>
      </c>
      <c r="L376">
        <v>0</v>
      </c>
      <c r="M376" t="s">
        <v>616</v>
      </c>
      <c r="N376">
        <v>0</v>
      </c>
      <c r="O376" t="s">
        <v>616</v>
      </c>
      <c r="Q376">
        <v>0</v>
      </c>
      <c r="R376" t="s">
        <v>616</v>
      </c>
      <c r="S376">
        <v>0</v>
      </c>
      <c r="V376">
        <v>1.66</v>
      </c>
    </row>
    <row r="377" spans="2:32" x14ac:dyDescent="0.2">
      <c r="B377" t="s">
        <v>2170</v>
      </c>
      <c r="C377">
        <v>1323</v>
      </c>
      <c r="D377" t="s">
        <v>2045</v>
      </c>
      <c r="E377">
        <v>8</v>
      </c>
      <c r="F377" t="s">
        <v>199</v>
      </c>
      <c r="G377">
        <v>8.16</v>
      </c>
      <c r="H377">
        <v>0.84</v>
      </c>
      <c r="I377" t="s">
        <v>123</v>
      </c>
      <c r="J377">
        <v>0.72</v>
      </c>
      <c r="K377">
        <v>0</v>
      </c>
      <c r="L377">
        <v>0</v>
      </c>
      <c r="M377" t="s">
        <v>616</v>
      </c>
      <c r="N377">
        <v>0</v>
      </c>
      <c r="O377" t="s">
        <v>616</v>
      </c>
      <c r="Q377">
        <v>0</v>
      </c>
      <c r="R377" t="s">
        <v>616</v>
      </c>
      <c r="S377">
        <v>0</v>
      </c>
      <c r="V377">
        <v>1.1000000000000001</v>
      </c>
    </row>
    <row r="378" spans="2:32" x14ac:dyDescent="0.2">
      <c r="B378" t="s">
        <v>2171</v>
      </c>
      <c r="C378">
        <v>1324</v>
      </c>
      <c r="D378" t="s">
        <v>2045</v>
      </c>
      <c r="E378">
        <v>12</v>
      </c>
      <c r="F378" t="s">
        <v>199</v>
      </c>
      <c r="G378">
        <v>12.24</v>
      </c>
      <c r="H378">
        <v>1.26</v>
      </c>
      <c r="I378" t="s">
        <v>123</v>
      </c>
      <c r="J378">
        <v>1.08</v>
      </c>
      <c r="K378">
        <v>0</v>
      </c>
      <c r="L378">
        <v>0</v>
      </c>
      <c r="M378" t="s">
        <v>616</v>
      </c>
      <c r="N378">
        <v>0</v>
      </c>
      <c r="O378" t="s">
        <v>616</v>
      </c>
      <c r="Q378">
        <v>0</v>
      </c>
      <c r="R378" t="s">
        <v>616</v>
      </c>
      <c r="S378">
        <v>0</v>
      </c>
      <c r="V378">
        <v>1.66</v>
      </c>
    </row>
    <row r="379" spans="2:32" x14ac:dyDescent="0.2">
      <c r="B379" t="s">
        <v>2172</v>
      </c>
      <c r="C379">
        <v>1325</v>
      </c>
      <c r="D379" t="s">
        <v>2028</v>
      </c>
      <c r="E379">
        <v>6</v>
      </c>
      <c r="F379" t="s">
        <v>199</v>
      </c>
      <c r="G379">
        <v>6.13</v>
      </c>
      <c r="H379">
        <v>0.84</v>
      </c>
      <c r="I379" t="s">
        <v>123</v>
      </c>
      <c r="J379">
        <v>0.72</v>
      </c>
      <c r="K379">
        <v>0</v>
      </c>
      <c r="L379">
        <v>0</v>
      </c>
      <c r="M379" t="s">
        <v>616</v>
      </c>
      <c r="N379">
        <v>0</v>
      </c>
      <c r="O379" t="s">
        <v>616</v>
      </c>
      <c r="Q379">
        <v>0</v>
      </c>
      <c r="R379" t="s">
        <v>616</v>
      </c>
      <c r="S379">
        <v>0</v>
      </c>
      <c r="V379">
        <v>0.82</v>
      </c>
    </row>
    <row r="380" spans="2:32" x14ac:dyDescent="0.2">
      <c r="B380" t="s">
        <v>2173</v>
      </c>
      <c r="C380">
        <v>1326</v>
      </c>
      <c r="D380" t="s">
        <v>2049</v>
      </c>
      <c r="E380">
        <v>6</v>
      </c>
      <c r="F380" t="s">
        <v>199</v>
      </c>
      <c r="G380">
        <v>6.13</v>
      </c>
      <c r="H380">
        <v>0.84</v>
      </c>
      <c r="I380" t="s">
        <v>123</v>
      </c>
      <c r="J380">
        <v>0.72</v>
      </c>
      <c r="K380">
        <v>0</v>
      </c>
      <c r="L380">
        <v>0</v>
      </c>
      <c r="M380" t="s">
        <v>616</v>
      </c>
      <c r="N380">
        <v>0</v>
      </c>
      <c r="O380" t="s">
        <v>616</v>
      </c>
      <c r="Q380">
        <v>0</v>
      </c>
      <c r="R380" t="s">
        <v>616</v>
      </c>
      <c r="S380">
        <v>0</v>
      </c>
      <c r="V380">
        <v>0.82</v>
      </c>
    </row>
    <row r="381" spans="2:32" x14ac:dyDescent="0.2">
      <c r="B381" t="s">
        <v>2174</v>
      </c>
      <c r="C381">
        <v>1327</v>
      </c>
      <c r="D381" t="s">
        <v>2049</v>
      </c>
      <c r="E381">
        <v>8</v>
      </c>
      <c r="F381" t="s">
        <v>199</v>
      </c>
      <c r="G381">
        <v>8.16</v>
      </c>
      <c r="H381">
        <v>0.84</v>
      </c>
      <c r="I381" t="s">
        <v>123</v>
      </c>
      <c r="J381">
        <v>0.72</v>
      </c>
      <c r="K381">
        <v>0</v>
      </c>
      <c r="L381">
        <v>0</v>
      </c>
      <c r="M381" t="s">
        <v>616</v>
      </c>
      <c r="N381">
        <v>0</v>
      </c>
      <c r="O381" t="s">
        <v>616</v>
      </c>
      <c r="Q381">
        <v>0</v>
      </c>
      <c r="R381" t="s">
        <v>616</v>
      </c>
      <c r="S381">
        <v>0</v>
      </c>
      <c r="V381">
        <v>1.1000000000000001</v>
      </c>
    </row>
    <row r="382" spans="2:32" x14ac:dyDescent="0.2">
      <c r="B382" t="s">
        <v>2175</v>
      </c>
      <c r="C382">
        <v>1328</v>
      </c>
      <c r="D382" t="s">
        <v>2049</v>
      </c>
      <c r="E382">
        <v>12</v>
      </c>
      <c r="F382" t="s">
        <v>199</v>
      </c>
      <c r="G382">
        <v>12.24</v>
      </c>
      <c r="H382">
        <v>1.26</v>
      </c>
      <c r="I382" t="s">
        <v>123</v>
      </c>
      <c r="J382">
        <v>1.08</v>
      </c>
      <c r="K382">
        <v>0</v>
      </c>
      <c r="L382">
        <v>0</v>
      </c>
      <c r="M382" t="s">
        <v>616</v>
      </c>
      <c r="N382">
        <v>0</v>
      </c>
      <c r="O382" t="s">
        <v>616</v>
      </c>
      <c r="Q382">
        <v>0</v>
      </c>
      <c r="R382" t="s">
        <v>616</v>
      </c>
      <c r="S382">
        <v>0</v>
      </c>
      <c r="V382">
        <v>1.66</v>
      </c>
    </row>
    <row r="383" spans="2:32" x14ac:dyDescent="0.2">
      <c r="B383" t="s">
        <v>2176</v>
      </c>
      <c r="C383">
        <v>1329</v>
      </c>
      <c r="D383" t="s">
        <v>2030</v>
      </c>
      <c r="E383">
        <v>6</v>
      </c>
      <c r="F383" t="s">
        <v>199</v>
      </c>
      <c r="G383">
        <v>6.13</v>
      </c>
      <c r="H383">
        <v>0.84</v>
      </c>
      <c r="I383" t="s">
        <v>123</v>
      </c>
      <c r="J383">
        <v>0.72</v>
      </c>
      <c r="K383">
        <v>0</v>
      </c>
      <c r="L383">
        <v>0</v>
      </c>
      <c r="M383" t="s">
        <v>616</v>
      </c>
      <c r="N383">
        <v>0</v>
      </c>
      <c r="O383" t="s">
        <v>616</v>
      </c>
      <c r="Q383">
        <v>0</v>
      </c>
      <c r="R383" t="s">
        <v>616</v>
      </c>
      <c r="S383">
        <v>0</v>
      </c>
      <c r="W383">
        <v>2</v>
      </c>
      <c r="AF383">
        <v>0.8</v>
      </c>
    </row>
    <row r="384" spans="2:32" x14ac:dyDescent="0.2">
      <c r="B384" t="s">
        <v>2177</v>
      </c>
      <c r="C384">
        <v>1330</v>
      </c>
      <c r="D384" t="s">
        <v>1979</v>
      </c>
      <c r="E384">
        <v>4</v>
      </c>
      <c r="F384" t="s">
        <v>199</v>
      </c>
      <c r="G384">
        <v>4.2</v>
      </c>
      <c r="H384">
        <v>0.92</v>
      </c>
      <c r="I384" t="s">
        <v>123</v>
      </c>
      <c r="J384">
        <v>0.24</v>
      </c>
      <c r="K384">
        <v>0</v>
      </c>
      <c r="L384">
        <v>0</v>
      </c>
      <c r="M384" t="s">
        <v>616</v>
      </c>
      <c r="N384">
        <v>0</v>
      </c>
      <c r="O384" t="s">
        <v>616</v>
      </c>
      <c r="Q384">
        <v>0</v>
      </c>
      <c r="R384" t="s">
        <v>616</v>
      </c>
      <c r="S384">
        <v>0</v>
      </c>
      <c r="W384">
        <v>2.0499999999999998</v>
      </c>
      <c r="AF384">
        <v>1.83</v>
      </c>
    </row>
    <row r="385" spans="2:32" x14ac:dyDescent="0.2">
      <c r="B385" t="s">
        <v>2178</v>
      </c>
      <c r="C385">
        <v>1331</v>
      </c>
      <c r="D385" t="s">
        <v>1979</v>
      </c>
      <c r="E385">
        <v>6</v>
      </c>
      <c r="F385" t="s">
        <v>199</v>
      </c>
      <c r="G385">
        <v>6.4</v>
      </c>
      <c r="H385">
        <v>1.38</v>
      </c>
      <c r="I385" t="s">
        <v>123</v>
      </c>
      <c r="J385">
        <v>0.36</v>
      </c>
      <c r="K385">
        <v>0</v>
      </c>
      <c r="L385">
        <v>0</v>
      </c>
      <c r="M385" t="s">
        <v>616</v>
      </c>
      <c r="N385">
        <v>0</v>
      </c>
      <c r="O385" t="s">
        <v>616</v>
      </c>
      <c r="Q385">
        <v>0</v>
      </c>
      <c r="R385" t="s">
        <v>616</v>
      </c>
      <c r="S385">
        <v>0</v>
      </c>
      <c r="W385">
        <v>3.36</v>
      </c>
      <c r="AF385">
        <v>2.75</v>
      </c>
    </row>
    <row r="386" spans="2:32" x14ac:dyDescent="0.2">
      <c r="B386" t="s">
        <v>2179</v>
      </c>
      <c r="C386">
        <v>1332</v>
      </c>
      <c r="D386" t="s">
        <v>1979</v>
      </c>
      <c r="E386">
        <v>8</v>
      </c>
      <c r="F386" t="s">
        <v>199</v>
      </c>
      <c r="G386">
        <v>8.5</v>
      </c>
      <c r="H386">
        <v>1.84</v>
      </c>
      <c r="I386" t="s">
        <v>123</v>
      </c>
      <c r="J386">
        <v>0.49</v>
      </c>
      <c r="K386">
        <v>0</v>
      </c>
      <c r="L386">
        <v>0</v>
      </c>
      <c r="M386" t="s">
        <v>616</v>
      </c>
      <c r="N386">
        <v>0</v>
      </c>
      <c r="O386" t="s">
        <v>616</v>
      </c>
      <c r="Q386">
        <v>0</v>
      </c>
      <c r="R386" t="s">
        <v>616</v>
      </c>
      <c r="S386">
        <v>0</v>
      </c>
      <c r="W386">
        <v>4.6500000000000004</v>
      </c>
      <c r="AF386">
        <v>3.67</v>
      </c>
    </row>
    <row r="387" spans="2:32" x14ac:dyDescent="0.2">
      <c r="B387" t="s">
        <v>2180</v>
      </c>
      <c r="C387">
        <v>1333</v>
      </c>
      <c r="D387" t="s">
        <v>1979</v>
      </c>
      <c r="E387">
        <v>12</v>
      </c>
      <c r="F387" t="s">
        <v>199</v>
      </c>
      <c r="G387">
        <v>12.7</v>
      </c>
      <c r="H387">
        <v>2.76</v>
      </c>
      <c r="I387" t="s">
        <v>123</v>
      </c>
      <c r="J387">
        <v>0.74</v>
      </c>
      <c r="K387">
        <v>0</v>
      </c>
      <c r="L387">
        <v>0</v>
      </c>
      <c r="M387" t="s">
        <v>616</v>
      </c>
      <c r="N387">
        <v>0</v>
      </c>
      <c r="O387" t="s">
        <v>616</v>
      </c>
      <c r="Q387">
        <v>0</v>
      </c>
      <c r="R387" t="s">
        <v>616</v>
      </c>
      <c r="S387">
        <v>0</v>
      </c>
      <c r="W387">
        <v>7.2</v>
      </c>
      <c r="AF387">
        <v>5.5</v>
      </c>
    </row>
    <row r="388" spans="2:32" x14ac:dyDescent="0.2">
      <c r="B388" t="s">
        <v>2181</v>
      </c>
      <c r="C388">
        <v>1334</v>
      </c>
      <c r="D388" t="s">
        <v>1977</v>
      </c>
      <c r="E388">
        <v>4</v>
      </c>
      <c r="F388" t="s">
        <v>199</v>
      </c>
      <c r="G388">
        <v>4.2</v>
      </c>
      <c r="H388">
        <v>0.92</v>
      </c>
      <c r="I388" t="s">
        <v>123</v>
      </c>
      <c r="J388">
        <v>0.24</v>
      </c>
      <c r="K388">
        <v>0</v>
      </c>
      <c r="L388">
        <v>0</v>
      </c>
      <c r="M388" t="s">
        <v>616</v>
      </c>
      <c r="N388">
        <v>0</v>
      </c>
      <c r="O388" t="s">
        <v>616</v>
      </c>
      <c r="Q388">
        <v>0</v>
      </c>
      <c r="R388" t="s">
        <v>616</v>
      </c>
      <c r="S388">
        <v>0</v>
      </c>
      <c r="V388">
        <v>2</v>
      </c>
    </row>
    <row r="389" spans="2:32" x14ac:dyDescent="0.2">
      <c r="B389" t="s">
        <v>2182</v>
      </c>
      <c r="C389">
        <v>1335</v>
      </c>
      <c r="D389" t="s">
        <v>1977</v>
      </c>
      <c r="E389">
        <v>6</v>
      </c>
      <c r="F389" t="s">
        <v>199</v>
      </c>
      <c r="G389">
        <v>6.4</v>
      </c>
      <c r="H389">
        <v>1.38</v>
      </c>
      <c r="I389" t="s">
        <v>123</v>
      </c>
      <c r="J389">
        <v>0.36</v>
      </c>
      <c r="K389">
        <v>0</v>
      </c>
      <c r="L389">
        <v>0</v>
      </c>
      <c r="M389" t="s">
        <v>616</v>
      </c>
      <c r="N389">
        <v>0</v>
      </c>
      <c r="O389" t="s">
        <v>616</v>
      </c>
      <c r="Q389">
        <v>0</v>
      </c>
      <c r="R389" t="s">
        <v>616</v>
      </c>
      <c r="S389">
        <v>0</v>
      </c>
      <c r="V389">
        <v>3</v>
      </c>
    </row>
    <row r="390" spans="2:32" x14ac:dyDescent="0.2">
      <c r="B390" t="s">
        <v>2183</v>
      </c>
      <c r="C390">
        <v>1336</v>
      </c>
      <c r="D390" t="s">
        <v>1977</v>
      </c>
      <c r="E390">
        <v>8</v>
      </c>
      <c r="F390" t="s">
        <v>199</v>
      </c>
      <c r="G390">
        <v>8.5</v>
      </c>
      <c r="H390">
        <v>1.84</v>
      </c>
      <c r="I390" t="s">
        <v>123</v>
      </c>
      <c r="J390">
        <v>0.49</v>
      </c>
      <c r="K390">
        <v>0</v>
      </c>
      <c r="L390">
        <v>0</v>
      </c>
      <c r="M390" t="s">
        <v>616</v>
      </c>
      <c r="N390">
        <v>0</v>
      </c>
      <c r="O390" t="s">
        <v>616</v>
      </c>
      <c r="Q390">
        <v>0</v>
      </c>
      <c r="R390" t="s">
        <v>616</v>
      </c>
      <c r="S390">
        <v>0</v>
      </c>
      <c r="V390">
        <v>4</v>
      </c>
    </row>
    <row r="391" spans="2:32" x14ac:dyDescent="0.2">
      <c r="B391" t="s">
        <v>2184</v>
      </c>
      <c r="C391">
        <v>1337</v>
      </c>
      <c r="D391" t="s">
        <v>1977</v>
      </c>
      <c r="E391">
        <v>12</v>
      </c>
      <c r="F391" t="s">
        <v>199</v>
      </c>
      <c r="G391">
        <v>12.7</v>
      </c>
      <c r="H391">
        <v>2.76</v>
      </c>
      <c r="I391" t="s">
        <v>123</v>
      </c>
      <c r="J391">
        <v>0.74</v>
      </c>
      <c r="K391">
        <v>0</v>
      </c>
      <c r="L391">
        <v>0</v>
      </c>
      <c r="M391" t="s">
        <v>616</v>
      </c>
      <c r="N391">
        <v>0</v>
      </c>
      <c r="O391" t="s">
        <v>616</v>
      </c>
      <c r="Q391">
        <v>0</v>
      </c>
      <c r="R391" t="s">
        <v>616</v>
      </c>
      <c r="S391">
        <v>0</v>
      </c>
      <c r="V391">
        <v>6</v>
      </c>
    </row>
    <row r="392" spans="2:32" x14ac:dyDescent="0.2">
      <c r="B392" t="s">
        <v>2185</v>
      </c>
      <c r="C392">
        <v>1338</v>
      </c>
      <c r="D392" t="s">
        <v>1450</v>
      </c>
      <c r="E392">
        <v>10</v>
      </c>
      <c r="F392" t="s">
        <v>199</v>
      </c>
      <c r="G392">
        <v>9.24</v>
      </c>
      <c r="H392">
        <v>1.2</v>
      </c>
      <c r="I392" t="s">
        <v>123</v>
      </c>
      <c r="J392">
        <v>0.44</v>
      </c>
      <c r="K392">
        <v>0</v>
      </c>
      <c r="L392">
        <v>0</v>
      </c>
      <c r="M392" t="s">
        <v>616</v>
      </c>
      <c r="N392">
        <v>0</v>
      </c>
      <c r="O392" t="s">
        <v>616</v>
      </c>
      <c r="Q392">
        <v>0</v>
      </c>
      <c r="R392" t="s">
        <v>616</v>
      </c>
      <c r="S392">
        <v>0</v>
      </c>
      <c r="W392">
        <v>3.6</v>
      </c>
      <c r="AF392">
        <v>5.3</v>
      </c>
    </row>
    <row r="393" spans="2:32" x14ac:dyDescent="0.2">
      <c r="B393" t="s">
        <v>2186</v>
      </c>
      <c r="C393">
        <v>1339</v>
      </c>
      <c r="D393" t="s">
        <v>2063</v>
      </c>
      <c r="E393">
        <v>4</v>
      </c>
      <c r="F393" t="s">
        <v>199</v>
      </c>
      <c r="G393">
        <v>0.4</v>
      </c>
      <c r="H393">
        <v>0.3</v>
      </c>
      <c r="I393" t="s">
        <v>123</v>
      </c>
      <c r="J393">
        <v>0</v>
      </c>
      <c r="K393">
        <v>0</v>
      </c>
      <c r="L393">
        <v>0</v>
      </c>
      <c r="M393" t="s">
        <v>616</v>
      </c>
      <c r="N393">
        <v>0</v>
      </c>
      <c r="O393" t="s">
        <v>616</v>
      </c>
      <c r="Q393">
        <v>0</v>
      </c>
      <c r="R393" t="s">
        <v>616</v>
      </c>
      <c r="S393">
        <v>0</v>
      </c>
      <c r="V393">
        <v>0.3</v>
      </c>
    </row>
    <row r="394" spans="2:32" x14ac:dyDescent="0.2">
      <c r="B394" t="s">
        <v>2187</v>
      </c>
      <c r="C394">
        <v>1340</v>
      </c>
      <c r="D394" t="s">
        <v>2063</v>
      </c>
      <c r="E394">
        <v>6</v>
      </c>
      <c r="F394" t="s">
        <v>199</v>
      </c>
      <c r="G394">
        <v>0.6</v>
      </c>
      <c r="H394">
        <v>0.3</v>
      </c>
      <c r="I394" t="s">
        <v>123</v>
      </c>
      <c r="J394">
        <v>0</v>
      </c>
      <c r="K394">
        <v>0</v>
      </c>
      <c r="L394">
        <v>0</v>
      </c>
      <c r="M394" t="s">
        <v>616</v>
      </c>
      <c r="N394">
        <v>0</v>
      </c>
      <c r="O394" t="s">
        <v>616</v>
      </c>
      <c r="Q394">
        <v>0</v>
      </c>
      <c r="R394" t="s">
        <v>616</v>
      </c>
      <c r="S394">
        <v>0</v>
      </c>
      <c r="V394">
        <v>0.3</v>
      </c>
    </row>
    <row r="395" spans="2:32" x14ac:dyDescent="0.2">
      <c r="B395" t="s">
        <v>2188</v>
      </c>
      <c r="C395">
        <v>1341</v>
      </c>
      <c r="D395" t="s">
        <v>2063</v>
      </c>
      <c r="E395">
        <v>8</v>
      </c>
      <c r="F395" t="s">
        <v>199</v>
      </c>
      <c r="G395">
        <v>0.8</v>
      </c>
      <c r="H395">
        <v>0.3</v>
      </c>
      <c r="I395" t="s">
        <v>123</v>
      </c>
      <c r="J395">
        <v>0</v>
      </c>
      <c r="K395">
        <v>0</v>
      </c>
      <c r="L395">
        <v>0</v>
      </c>
      <c r="M395" t="s">
        <v>616</v>
      </c>
      <c r="N395">
        <v>0</v>
      </c>
      <c r="O395" t="s">
        <v>616</v>
      </c>
      <c r="Q395">
        <v>0</v>
      </c>
      <c r="R395" t="s">
        <v>616</v>
      </c>
      <c r="S395">
        <v>0</v>
      </c>
      <c r="V395">
        <v>0.3</v>
      </c>
    </row>
    <row r="396" spans="2:32" x14ac:dyDescent="0.2">
      <c r="B396" t="s">
        <v>2189</v>
      </c>
      <c r="C396">
        <v>1342</v>
      </c>
      <c r="D396" t="s">
        <v>2063</v>
      </c>
      <c r="E396">
        <v>10</v>
      </c>
      <c r="F396" t="s">
        <v>199</v>
      </c>
      <c r="G396">
        <v>1</v>
      </c>
      <c r="H396">
        <v>0.3</v>
      </c>
      <c r="I396" t="s">
        <v>123</v>
      </c>
      <c r="J396">
        <v>0</v>
      </c>
      <c r="K396">
        <v>0</v>
      </c>
      <c r="L396">
        <v>0</v>
      </c>
      <c r="M396" t="s">
        <v>616</v>
      </c>
      <c r="N396">
        <v>0</v>
      </c>
      <c r="O396" t="s">
        <v>616</v>
      </c>
      <c r="Q396">
        <v>0</v>
      </c>
      <c r="R396" t="s">
        <v>616</v>
      </c>
      <c r="S396">
        <v>0</v>
      </c>
      <c r="V396">
        <v>0.3</v>
      </c>
    </row>
    <row r="397" spans="2:32" x14ac:dyDescent="0.2">
      <c r="B397" t="s">
        <v>2190</v>
      </c>
      <c r="C397">
        <v>1343</v>
      </c>
      <c r="D397" t="s">
        <v>2063</v>
      </c>
      <c r="E397">
        <v>12</v>
      </c>
      <c r="F397" t="s">
        <v>199</v>
      </c>
      <c r="G397">
        <v>1.2</v>
      </c>
      <c r="H397">
        <v>0.3</v>
      </c>
      <c r="I397" t="s">
        <v>123</v>
      </c>
      <c r="J397">
        <v>0</v>
      </c>
      <c r="K397">
        <v>0</v>
      </c>
      <c r="L397">
        <v>0</v>
      </c>
      <c r="M397" t="s">
        <v>616</v>
      </c>
      <c r="N397">
        <v>0</v>
      </c>
      <c r="O397" t="s">
        <v>616</v>
      </c>
      <c r="Q397">
        <v>0</v>
      </c>
      <c r="R397" t="s">
        <v>616</v>
      </c>
      <c r="S397">
        <v>0</v>
      </c>
      <c r="V397">
        <v>0.3</v>
      </c>
    </row>
    <row r="398" spans="2:32" x14ac:dyDescent="0.2">
      <c r="B398" t="s">
        <v>2191</v>
      </c>
      <c r="C398">
        <v>1344</v>
      </c>
      <c r="D398" t="s">
        <v>2065</v>
      </c>
      <c r="E398">
        <v>7</v>
      </c>
      <c r="F398" t="s">
        <v>199</v>
      </c>
      <c r="G398">
        <v>10.77</v>
      </c>
      <c r="H398">
        <v>1.2</v>
      </c>
      <c r="I398" t="s">
        <v>123</v>
      </c>
      <c r="J398">
        <v>0.36</v>
      </c>
      <c r="K398">
        <v>0.66</v>
      </c>
      <c r="L398">
        <v>0</v>
      </c>
      <c r="M398" t="s">
        <v>616</v>
      </c>
      <c r="N398">
        <v>0</v>
      </c>
      <c r="O398" t="s">
        <v>616</v>
      </c>
      <c r="Q398">
        <v>0</v>
      </c>
      <c r="R398" t="s">
        <v>616</v>
      </c>
      <c r="S398">
        <v>0</v>
      </c>
    </row>
    <row r="399" spans="2:32" x14ac:dyDescent="0.2">
      <c r="B399" t="s">
        <v>2192</v>
      </c>
      <c r="C399">
        <v>1345</v>
      </c>
      <c r="D399" t="s">
        <v>2065</v>
      </c>
      <c r="E399">
        <v>9</v>
      </c>
      <c r="F399" t="s">
        <v>199</v>
      </c>
      <c r="G399">
        <v>13.79</v>
      </c>
      <c r="H399">
        <v>1.8</v>
      </c>
      <c r="I399" t="s">
        <v>123</v>
      </c>
      <c r="J399">
        <v>0.67</v>
      </c>
      <c r="K399">
        <v>0.74</v>
      </c>
      <c r="L399">
        <v>0</v>
      </c>
      <c r="M399" t="s">
        <v>616</v>
      </c>
      <c r="N399">
        <v>0</v>
      </c>
      <c r="O399" t="s">
        <v>616</v>
      </c>
      <c r="Q399">
        <v>0</v>
      </c>
      <c r="R399" t="s">
        <v>616</v>
      </c>
      <c r="S399">
        <v>0</v>
      </c>
    </row>
    <row r="400" spans="2:32" x14ac:dyDescent="0.2">
      <c r="B400" t="s">
        <v>2193</v>
      </c>
      <c r="C400">
        <v>1346</v>
      </c>
      <c r="D400" t="s">
        <v>2065</v>
      </c>
      <c r="E400">
        <v>11</v>
      </c>
      <c r="F400" t="s">
        <v>199</v>
      </c>
      <c r="G400">
        <v>16.809999999999999</v>
      </c>
      <c r="H400">
        <v>2.4</v>
      </c>
      <c r="I400" t="s">
        <v>123</v>
      </c>
      <c r="J400">
        <v>0.9</v>
      </c>
      <c r="K400">
        <v>0.83</v>
      </c>
      <c r="L400">
        <v>0</v>
      </c>
      <c r="M400" t="s">
        <v>616</v>
      </c>
      <c r="N400">
        <v>0</v>
      </c>
      <c r="O400" t="s">
        <v>616</v>
      </c>
      <c r="Q400">
        <v>0</v>
      </c>
      <c r="R400" t="s">
        <v>616</v>
      </c>
      <c r="S400">
        <v>0</v>
      </c>
    </row>
    <row r="401" spans="2:32" x14ac:dyDescent="0.2">
      <c r="B401" t="s">
        <v>2194</v>
      </c>
      <c r="C401">
        <v>1348</v>
      </c>
      <c r="D401" t="s">
        <v>2065</v>
      </c>
      <c r="E401">
        <v>15</v>
      </c>
      <c r="F401" t="s">
        <v>199</v>
      </c>
      <c r="G401">
        <v>22.85</v>
      </c>
      <c r="H401">
        <v>3.6</v>
      </c>
      <c r="I401" t="s">
        <v>123</v>
      </c>
      <c r="J401">
        <v>1.41</v>
      </c>
      <c r="K401">
        <v>1.1100000000000001</v>
      </c>
      <c r="L401">
        <v>0</v>
      </c>
      <c r="M401" t="s">
        <v>616</v>
      </c>
      <c r="N401">
        <v>0</v>
      </c>
      <c r="O401" t="s">
        <v>616</v>
      </c>
      <c r="Q401">
        <v>0</v>
      </c>
      <c r="R401" t="s">
        <v>616</v>
      </c>
      <c r="S401">
        <v>0</v>
      </c>
    </row>
    <row r="402" spans="2:32" x14ac:dyDescent="0.2">
      <c r="B402" t="s">
        <v>2195</v>
      </c>
      <c r="C402">
        <v>1349</v>
      </c>
      <c r="D402" t="s">
        <v>2047</v>
      </c>
      <c r="E402">
        <v>6</v>
      </c>
      <c r="F402" t="s">
        <v>199</v>
      </c>
      <c r="G402">
        <v>6.13</v>
      </c>
      <c r="H402">
        <v>0.84</v>
      </c>
      <c r="I402" t="s">
        <v>123</v>
      </c>
      <c r="J402">
        <v>0.72</v>
      </c>
      <c r="K402">
        <v>0</v>
      </c>
      <c r="L402">
        <v>0</v>
      </c>
      <c r="M402" t="s">
        <v>616</v>
      </c>
      <c r="N402">
        <v>0</v>
      </c>
      <c r="O402" t="s">
        <v>616</v>
      </c>
      <c r="Q402">
        <v>0</v>
      </c>
      <c r="R402" t="s">
        <v>616</v>
      </c>
      <c r="S402">
        <v>0</v>
      </c>
      <c r="W402">
        <v>2</v>
      </c>
      <c r="AF402">
        <v>0.8</v>
      </c>
    </row>
    <row r="403" spans="2:32" x14ac:dyDescent="0.2">
      <c r="B403" t="s">
        <v>2196</v>
      </c>
      <c r="C403">
        <v>1350</v>
      </c>
      <c r="D403" t="s">
        <v>2047</v>
      </c>
      <c r="E403">
        <v>8</v>
      </c>
      <c r="F403" t="s">
        <v>199</v>
      </c>
      <c r="G403">
        <v>8.6839999999999993</v>
      </c>
      <c r="H403">
        <v>0.84</v>
      </c>
      <c r="I403" t="s">
        <v>123</v>
      </c>
      <c r="J403">
        <v>0.72</v>
      </c>
      <c r="K403">
        <v>0</v>
      </c>
      <c r="L403">
        <v>0</v>
      </c>
      <c r="M403" t="s">
        <v>616</v>
      </c>
      <c r="N403">
        <v>0</v>
      </c>
      <c r="O403" t="s">
        <v>616</v>
      </c>
      <c r="Q403">
        <v>0</v>
      </c>
      <c r="R403" t="s">
        <v>616</v>
      </c>
      <c r="S403">
        <v>0</v>
      </c>
      <c r="W403">
        <v>2.6</v>
      </c>
      <c r="AF403">
        <v>1.2</v>
      </c>
    </row>
    <row r="404" spans="2:32" x14ac:dyDescent="0.2">
      <c r="B404" t="s">
        <v>2197</v>
      </c>
      <c r="C404">
        <v>1351</v>
      </c>
      <c r="D404" t="s">
        <v>2047</v>
      </c>
      <c r="E404">
        <v>12</v>
      </c>
      <c r="F404" t="s">
        <v>199</v>
      </c>
      <c r="G404">
        <v>13.026999999999999</v>
      </c>
      <c r="H404">
        <v>1.26</v>
      </c>
      <c r="I404" t="s">
        <v>123</v>
      </c>
      <c r="J404">
        <v>1.08</v>
      </c>
      <c r="K404">
        <v>0</v>
      </c>
      <c r="L404">
        <v>0</v>
      </c>
      <c r="M404" t="s">
        <v>616</v>
      </c>
      <c r="N404">
        <v>0</v>
      </c>
      <c r="O404" t="s">
        <v>616</v>
      </c>
      <c r="Q404">
        <v>0</v>
      </c>
      <c r="R404" t="s">
        <v>616</v>
      </c>
      <c r="S404">
        <v>0</v>
      </c>
      <c r="W404">
        <v>4.0999999999999996</v>
      </c>
      <c r="AF404">
        <v>1.8</v>
      </c>
    </row>
    <row r="405" spans="2:32" x14ac:dyDescent="0.2">
      <c r="B405" t="s">
        <v>2198</v>
      </c>
      <c r="C405">
        <v>1352</v>
      </c>
      <c r="D405" t="s">
        <v>2019</v>
      </c>
      <c r="E405">
        <v>6</v>
      </c>
      <c r="F405" t="s">
        <v>199</v>
      </c>
      <c r="G405">
        <v>6.532</v>
      </c>
      <c r="H405">
        <v>0.84</v>
      </c>
      <c r="I405" t="s">
        <v>123</v>
      </c>
      <c r="J405">
        <v>0.51</v>
      </c>
      <c r="K405">
        <v>0</v>
      </c>
      <c r="L405">
        <v>0</v>
      </c>
      <c r="M405" t="s">
        <v>616</v>
      </c>
      <c r="N405">
        <v>0</v>
      </c>
      <c r="O405" t="s">
        <v>616</v>
      </c>
      <c r="Q405">
        <v>0</v>
      </c>
      <c r="R405" t="s">
        <v>616</v>
      </c>
      <c r="S405">
        <v>0</v>
      </c>
      <c r="V405">
        <v>0</v>
      </c>
    </row>
    <row r="406" spans="2:32" x14ac:dyDescent="0.2">
      <c r="B406" t="s">
        <v>2199</v>
      </c>
      <c r="C406">
        <v>1353</v>
      </c>
      <c r="D406" t="s">
        <v>2054</v>
      </c>
      <c r="E406">
        <v>8</v>
      </c>
      <c r="F406" t="s">
        <v>199</v>
      </c>
      <c r="G406">
        <v>8.6839999999999993</v>
      </c>
      <c r="H406">
        <v>1.2</v>
      </c>
      <c r="I406" t="s">
        <v>123</v>
      </c>
      <c r="J406">
        <v>0.64</v>
      </c>
      <c r="K406">
        <v>0</v>
      </c>
      <c r="L406">
        <v>0</v>
      </c>
      <c r="M406" t="s">
        <v>616</v>
      </c>
      <c r="N406">
        <v>0</v>
      </c>
      <c r="O406" t="s">
        <v>616</v>
      </c>
      <c r="Q406">
        <v>0</v>
      </c>
      <c r="R406" t="s">
        <v>616</v>
      </c>
      <c r="S406">
        <v>0</v>
      </c>
      <c r="V406">
        <v>1.1000000000000001</v>
      </c>
    </row>
    <row r="407" spans="2:32" x14ac:dyDescent="0.2">
      <c r="B407" t="s">
        <v>2200</v>
      </c>
      <c r="C407">
        <v>1354</v>
      </c>
      <c r="D407" t="s">
        <v>2054</v>
      </c>
      <c r="E407">
        <v>12</v>
      </c>
      <c r="F407" t="s">
        <v>199</v>
      </c>
      <c r="G407">
        <v>13.026999999999999</v>
      </c>
      <c r="H407">
        <v>1.8</v>
      </c>
      <c r="I407" t="s">
        <v>123</v>
      </c>
      <c r="J407">
        <v>0.96</v>
      </c>
      <c r="K407">
        <v>0</v>
      </c>
      <c r="L407">
        <v>0</v>
      </c>
      <c r="M407" t="s">
        <v>616</v>
      </c>
      <c r="N407">
        <v>0</v>
      </c>
      <c r="O407" t="s">
        <v>616</v>
      </c>
      <c r="Q407">
        <v>0</v>
      </c>
      <c r="R407" t="s">
        <v>616</v>
      </c>
      <c r="S407">
        <v>0</v>
      </c>
      <c r="V407">
        <v>1.66</v>
      </c>
    </row>
    <row r="408" spans="2:32" x14ac:dyDescent="0.2">
      <c r="B408" t="s">
        <v>2201</v>
      </c>
      <c r="C408">
        <v>1355</v>
      </c>
      <c r="D408" t="s">
        <v>2025</v>
      </c>
      <c r="E408">
        <v>6</v>
      </c>
      <c r="F408" t="s">
        <v>199</v>
      </c>
      <c r="G408">
        <v>6.532</v>
      </c>
      <c r="H408">
        <v>0.84</v>
      </c>
      <c r="I408" t="s">
        <v>123</v>
      </c>
      <c r="J408">
        <v>0.51</v>
      </c>
      <c r="K408">
        <v>0</v>
      </c>
      <c r="L408">
        <v>0</v>
      </c>
      <c r="M408" t="s">
        <v>616</v>
      </c>
      <c r="N408">
        <v>0</v>
      </c>
      <c r="O408" t="s">
        <v>616</v>
      </c>
      <c r="Q408">
        <v>0</v>
      </c>
      <c r="R408" t="s">
        <v>616</v>
      </c>
      <c r="S408">
        <v>0</v>
      </c>
      <c r="V408">
        <v>0</v>
      </c>
    </row>
    <row r="409" spans="2:32" x14ac:dyDescent="0.2">
      <c r="B409" t="s">
        <v>2202</v>
      </c>
      <c r="C409">
        <v>1356</v>
      </c>
      <c r="D409" t="s">
        <v>2025</v>
      </c>
      <c r="E409">
        <v>8</v>
      </c>
      <c r="F409" t="s">
        <v>199</v>
      </c>
      <c r="G409">
        <v>8.6839999999999993</v>
      </c>
      <c r="H409">
        <v>1.2</v>
      </c>
      <c r="I409" t="s">
        <v>123</v>
      </c>
      <c r="J409">
        <v>0.64</v>
      </c>
      <c r="K409">
        <v>0</v>
      </c>
      <c r="L409">
        <v>0</v>
      </c>
      <c r="M409" t="s">
        <v>616</v>
      </c>
      <c r="N409">
        <v>0</v>
      </c>
      <c r="O409" t="s">
        <v>616</v>
      </c>
      <c r="Q409">
        <v>0</v>
      </c>
      <c r="R409" t="s">
        <v>616</v>
      </c>
      <c r="S409">
        <v>0</v>
      </c>
      <c r="V409">
        <v>1.1000000000000001</v>
      </c>
    </row>
    <row r="410" spans="2:32" x14ac:dyDescent="0.2">
      <c r="B410" t="s">
        <v>2203</v>
      </c>
      <c r="C410">
        <v>1357</v>
      </c>
      <c r="D410" t="s">
        <v>2025</v>
      </c>
      <c r="E410">
        <v>12</v>
      </c>
      <c r="F410" t="s">
        <v>199</v>
      </c>
      <c r="G410">
        <v>13.026999999999999</v>
      </c>
      <c r="H410">
        <v>1.8</v>
      </c>
      <c r="I410" t="s">
        <v>123</v>
      </c>
      <c r="J410">
        <v>0.96</v>
      </c>
      <c r="K410">
        <v>0</v>
      </c>
      <c r="L410">
        <v>0</v>
      </c>
      <c r="M410" t="s">
        <v>616</v>
      </c>
      <c r="N410">
        <v>0</v>
      </c>
      <c r="O410" t="s">
        <v>616</v>
      </c>
      <c r="Q410">
        <v>0</v>
      </c>
      <c r="R410" t="s">
        <v>616</v>
      </c>
      <c r="S410">
        <v>0</v>
      </c>
      <c r="V410">
        <v>1.66</v>
      </c>
    </row>
  </sheetData>
  <sheetProtection sheet="1" objects="1" scenarios="1"/>
  <phoneticPr fontId="87"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F51DD2-A9CB-4D5C-8278-5B4BD4568170}">
  <sheetPr codeName="Sheet15"/>
  <dimension ref="B2:AR4"/>
  <sheetViews>
    <sheetView workbookViewId="0">
      <selection sqref="A1:XFD4"/>
    </sheetView>
  </sheetViews>
  <sheetFormatPr defaultRowHeight="12.75" x14ac:dyDescent="0.2"/>
  <cols>
    <col min="2" max="2" width="9" bestFit="1" customWidth="1"/>
    <col min="3" max="3" width="16.5703125" bestFit="1" customWidth="1"/>
    <col min="4" max="4" width="13.140625" bestFit="1" customWidth="1"/>
    <col min="5" max="5" width="11.42578125" bestFit="1" customWidth="1"/>
    <col min="6" max="6" width="13.140625" bestFit="1" customWidth="1"/>
    <col min="7" max="7" width="11.42578125" bestFit="1" customWidth="1"/>
    <col min="8" max="8" width="14.140625" bestFit="1" customWidth="1"/>
    <col min="9" max="9" width="11.42578125" bestFit="1" customWidth="1"/>
    <col min="10" max="10" width="16.5703125" bestFit="1" customWidth="1"/>
    <col min="11" max="11" width="14.7109375" bestFit="1" customWidth="1"/>
    <col min="12" max="12" width="16.5703125" bestFit="1" customWidth="1"/>
    <col min="13" max="13" width="14.7109375" bestFit="1" customWidth="1"/>
    <col min="14" max="14" width="16.42578125" bestFit="1" customWidth="1"/>
    <col min="15" max="15" width="10.7109375" bestFit="1" customWidth="1"/>
    <col min="16" max="16" width="12.5703125" bestFit="1" customWidth="1"/>
    <col min="17" max="17" width="19.7109375" bestFit="1" customWidth="1"/>
    <col min="18" max="18" width="17.85546875" bestFit="1" customWidth="1"/>
    <col min="19" max="19" width="19.7109375" bestFit="1" customWidth="1"/>
    <col min="20" max="20" width="17.85546875" bestFit="1" customWidth="1"/>
    <col min="21" max="21" width="19.7109375" bestFit="1" customWidth="1"/>
    <col min="22" max="22" width="17.85546875" bestFit="1" customWidth="1"/>
    <col min="23" max="23" width="14.28515625" bestFit="1" customWidth="1"/>
    <col min="24" max="24" width="15.5703125" bestFit="1" customWidth="1"/>
    <col min="25" max="25" width="16.5703125" bestFit="1" customWidth="1"/>
    <col min="26" max="26" width="14.7109375" bestFit="1" customWidth="1"/>
    <col min="27" max="27" width="16.5703125" bestFit="1" customWidth="1"/>
    <col min="28" max="28" width="14.7109375" bestFit="1" customWidth="1"/>
    <col min="29" max="29" width="10.7109375" bestFit="1" customWidth="1"/>
    <col min="30" max="30" width="5.85546875" bestFit="1" customWidth="1"/>
    <col min="31" max="31" width="6.28515625" bestFit="1" customWidth="1"/>
    <col min="32" max="33" width="13.7109375" bestFit="1" customWidth="1"/>
    <col min="34" max="34" width="12.28515625" bestFit="1" customWidth="1"/>
    <col min="35" max="35" width="14.42578125" bestFit="1" customWidth="1"/>
    <col min="36" max="36" width="15.7109375" bestFit="1" customWidth="1"/>
    <col min="37" max="37" width="13.140625" bestFit="1" customWidth="1"/>
    <col min="38" max="38" width="9.5703125" bestFit="1" customWidth="1"/>
    <col min="39" max="39" width="8.5703125" bestFit="1" customWidth="1"/>
    <col min="41" max="41" width="9.7109375" bestFit="1" customWidth="1"/>
    <col min="42" max="42" width="10" bestFit="1" customWidth="1"/>
    <col min="43" max="43" width="7.7109375" bestFit="1" customWidth="1"/>
    <col min="44" max="44" width="11" bestFit="1" customWidth="1"/>
  </cols>
  <sheetData>
    <row r="2" spans="2:44" x14ac:dyDescent="0.2">
      <c r="B2" t="s">
        <v>110</v>
      </c>
      <c r="C2" t="s">
        <v>1559</v>
      </c>
      <c r="D2" t="s">
        <v>1560</v>
      </c>
      <c r="E2" t="s">
        <v>120</v>
      </c>
      <c r="F2" t="s">
        <v>1561</v>
      </c>
      <c r="G2" t="s">
        <v>121</v>
      </c>
      <c r="H2" t="s">
        <v>1562</v>
      </c>
      <c r="I2" t="s">
        <v>122</v>
      </c>
      <c r="J2" t="s">
        <v>1406</v>
      </c>
      <c r="K2" t="s">
        <v>1407</v>
      </c>
      <c r="L2" t="s">
        <v>1408</v>
      </c>
      <c r="M2" t="s">
        <v>1409</v>
      </c>
      <c r="N2" t="s">
        <v>1410</v>
      </c>
      <c r="O2" t="s">
        <v>1563</v>
      </c>
      <c r="P2" t="s">
        <v>1411</v>
      </c>
      <c r="Q2" t="s">
        <v>1564</v>
      </c>
      <c r="R2" t="s">
        <v>1565</v>
      </c>
      <c r="S2" t="s">
        <v>1566</v>
      </c>
      <c r="T2" t="s">
        <v>1567</v>
      </c>
      <c r="U2" t="s">
        <v>1568</v>
      </c>
      <c r="V2" t="s">
        <v>1569</v>
      </c>
      <c r="W2" t="s">
        <v>215</v>
      </c>
      <c r="X2" t="s">
        <v>1400</v>
      </c>
      <c r="Y2" t="s">
        <v>1570</v>
      </c>
      <c r="Z2" t="s">
        <v>1571</v>
      </c>
      <c r="AA2" t="s">
        <v>1572</v>
      </c>
      <c r="AB2" t="s">
        <v>1573</v>
      </c>
      <c r="AC2" t="s">
        <v>1574</v>
      </c>
      <c r="AD2" t="s">
        <v>1575</v>
      </c>
      <c r="AE2" t="s">
        <v>1576</v>
      </c>
      <c r="AF2" t="s">
        <v>1577</v>
      </c>
      <c r="AG2" t="s">
        <v>1578</v>
      </c>
      <c r="AH2" t="s">
        <v>1579</v>
      </c>
      <c r="AI2" t="s">
        <v>1580</v>
      </c>
      <c r="AJ2" t="s">
        <v>1581</v>
      </c>
      <c r="AK2" t="s">
        <v>1582</v>
      </c>
      <c r="AL2" t="s">
        <v>1583</v>
      </c>
      <c r="AM2" t="s">
        <v>1584</v>
      </c>
      <c r="AN2" t="s">
        <v>1585</v>
      </c>
      <c r="AO2" t="s">
        <v>1586</v>
      </c>
      <c r="AP2" t="s">
        <v>935</v>
      </c>
      <c r="AQ2" t="s">
        <v>1587</v>
      </c>
      <c r="AR2" t="s">
        <v>1588</v>
      </c>
    </row>
    <row r="3" spans="2:44" x14ac:dyDescent="0.2">
      <c r="C3">
        <v>0</v>
      </c>
      <c r="D3">
        <v>0</v>
      </c>
      <c r="E3" t="s">
        <v>134</v>
      </c>
      <c r="J3">
        <v>0</v>
      </c>
      <c r="K3" t="s">
        <v>134</v>
      </c>
      <c r="N3">
        <v>0</v>
      </c>
      <c r="O3" t="s">
        <v>134</v>
      </c>
      <c r="P3" t="s">
        <v>198</v>
      </c>
      <c r="R3" t="s">
        <v>134</v>
      </c>
      <c r="X3" t="s">
        <v>198</v>
      </c>
    </row>
    <row r="4" spans="2:44" x14ac:dyDescent="0.2">
      <c r="B4" t="s">
        <v>636</v>
      </c>
      <c r="C4">
        <v>0.41</v>
      </c>
      <c r="D4">
        <v>0</v>
      </c>
      <c r="E4" t="s">
        <v>616</v>
      </c>
      <c r="F4">
        <v>0.5</v>
      </c>
      <c r="G4" t="s">
        <v>124</v>
      </c>
      <c r="H4">
        <v>0</v>
      </c>
      <c r="I4" t="s">
        <v>616</v>
      </c>
      <c r="J4">
        <v>3.9</v>
      </c>
      <c r="K4" t="s">
        <v>124</v>
      </c>
      <c r="L4">
        <v>2.2999999999999998</v>
      </c>
      <c r="M4" t="s">
        <v>125</v>
      </c>
      <c r="N4">
        <v>0</v>
      </c>
      <c r="O4" t="s">
        <v>134</v>
      </c>
      <c r="Q4">
        <v>0</v>
      </c>
      <c r="R4" t="s">
        <v>616</v>
      </c>
      <c r="S4">
        <v>0</v>
      </c>
      <c r="T4" t="s">
        <v>616</v>
      </c>
      <c r="U4">
        <v>0</v>
      </c>
      <c r="V4" t="s">
        <v>616</v>
      </c>
      <c r="W4" t="s">
        <v>119</v>
      </c>
      <c r="X4" t="s">
        <v>1034</v>
      </c>
      <c r="Y4">
        <v>0</v>
      </c>
      <c r="Z4" t="s">
        <v>138</v>
      </c>
      <c r="AA4">
        <v>0</v>
      </c>
      <c r="AB4" t="s">
        <v>354</v>
      </c>
      <c r="AC4">
        <v>1</v>
      </c>
      <c r="AD4" t="s">
        <v>1185</v>
      </c>
      <c r="AE4">
        <v>4</v>
      </c>
      <c r="AG4">
        <v>59</v>
      </c>
      <c r="AH4" t="s">
        <v>1186</v>
      </c>
      <c r="AI4" t="s">
        <v>1181</v>
      </c>
      <c r="AJ4" t="s">
        <v>1187</v>
      </c>
      <c r="AK4" t="s">
        <v>1188</v>
      </c>
      <c r="AL4" t="s">
        <v>1189</v>
      </c>
      <c r="AM4" t="s">
        <v>1190</v>
      </c>
      <c r="AN4" t="s">
        <v>1191</v>
      </c>
      <c r="AO4">
        <v>28</v>
      </c>
      <c r="AP4" t="s">
        <v>1192</v>
      </c>
      <c r="AQ4" t="s">
        <v>27</v>
      </c>
      <c r="AR4" t="s">
        <v>1193</v>
      </c>
    </row>
  </sheetData>
  <sheetProtection sheet="1" objects="1" scenarios="1"/>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FED9CB-B464-4A7E-941B-05FE4EF612F0}">
  <sheetPr codeName="Sheet21">
    <pageSetUpPr fitToPage="1"/>
  </sheetPr>
  <dimension ref="A1:IS646"/>
  <sheetViews>
    <sheetView showGridLines="0" zoomScale="130" zoomScaleNormal="130" zoomScaleSheetLayoutView="50" workbookViewId="0">
      <pane xSplit="8" topLeftCell="I1" activePane="topRight" state="frozen"/>
      <selection pane="topRight"/>
    </sheetView>
  </sheetViews>
  <sheetFormatPr defaultColWidth="0" defaultRowHeight="12" customHeight="1" x14ac:dyDescent="0.2"/>
  <cols>
    <col min="1" max="1" width="6.28515625" style="29" customWidth="1"/>
    <col min="2" max="2" width="7.7109375" style="29" customWidth="1"/>
    <col min="3" max="3" width="6.140625" style="29" customWidth="1"/>
    <col min="4" max="4" width="12.28515625" style="29" hidden="1" customWidth="1"/>
    <col min="5" max="5" width="2.140625" style="167" customWidth="1"/>
    <col min="6" max="6" width="13.28515625" style="29" bestFit="1" customWidth="1"/>
    <col min="7" max="7" width="3.5703125" style="294" customWidth="1"/>
    <col min="8" max="8" width="7.5703125" style="29" customWidth="1"/>
    <col min="9" max="9" width="3.42578125" style="29" customWidth="1"/>
    <col min="10" max="10" width="4.140625" style="29" customWidth="1"/>
    <col min="11" max="14" width="5.28515625" style="29" customWidth="1"/>
    <col min="15" max="16" width="3.7109375" style="29" customWidth="1"/>
    <col min="17" max="17" width="4.140625" style="29" customWidth="1"/>
    <col min="18" max="18" width="11.7109375" style="29" customWidth="1"/>
    <col min="19" max="19" width="11.42578125" style="29" customWidth="1"/>
    <col min="20" max="20" width="11" style="29" customWidth="1"/>
    <col min="21" max="21" width="9.42578125" style="29" customWidth="1"/>
    <col min="22" max="22" width="10" style="29" customWidth="1"/>
    <col min="23" max="23" width="12" style="29" bestFit="1" customWidth="1"/>
    <col min="24" max="24" width="9.28515625" style="29" customWidth="1"/>
    <col min="25" max="25" width="12.42578125" style="29" customWidth="1"/>
    <col min="26" max="27" width="9.28515625" style="29" customWidth="1"/>
    <col min="28" max="28" width="7.140625" style="29" customWidth="1"/>
    <col min="29" max="29" width="8" style="29" customWidth="1"/>
    <col min="30" max="30" width="5.7109375" style="29" customWidth="1"/>
    <col min="31" max="33" width="8.28515625" style="29" customWidth="1"/>
    <col min="34" max="34" width="9.85546875" style="29" customWidth="1"/>
    <col min="35" max="35" width="7" style="29" bestFit="1" customWidth="1"/>
    <col min="36" max="36" width="6.7109375" style="29" customWidth="1"/>
    <col min="37" max="38" width="3" style="29" customWidth="1"/>
    <col min="39" max="39" width="5.42578125" style="29" customWidth="1"/>
    <col min="40" max="41" width="6.140625" style="29" customWidth="1"/>
    <col min="42" max="42" width="9" style="29" customWidth="1"/>
    <col min="43" max="43" width="8.28515625" style="29" bestFit="1" customWidth="1"/>
    <col min="44" max="44" width="4.7109375" style="29" customWidth="1"/>
    <col min="45" max="45" width="20.7109375" style="29" customWidth="1"/>
    <col min="46" max="46" width="24.5703125" style="29" customWidth="1"/>
    <col min="47" max="47" width="3.7109375" style="893" customWidth="1"/>
    <col min="48" max="50" width="3.7109375" style="29" customWidth="1"/>
    <col min="51" max="51" width="3.85546875" style="29" customWidth="1"/>
    <col min="52" max="52" width="20.7109375" style="29" hidden="1" customWidth="1"/>
    <col min="53" max="53" width="3.7109375" style="29" hidden="1" customWidth="1"/>
    <col min="54" max="54" width="20.7109375" style="29" hidden="1" customWidth="1"/>
    <col min="55" max="55" width="20.5703125" style="29" hidden="1" customWidth="1"/>
    <col min="56" max="56" width="20.7109375" style="29" hidden="1" customWidth="1"/>
    <col min="57" max="57" width="16.42578125" style="29" hidden="1" customWidth="1"/>
    <col min="58" max="58" width="20.42578125" style="29" hidden="1" customWidth="1"/>
    <col min="59" max="59" width="3.7109375" style="29" customWidth="1"/>
    <col min="60" max="77" width="4.7109375" style="29" customWidth="1"/>
    <col min="78" max="112" width="5.28515625" style="29" hidden="1" customWidth="1"/>
    <col min="113" max="113" width="5.7109375" style="29" hidden="1" customWidth="1"/>
    <col min="114" max="117" width="5.28515625" style="29" hidden="1" customWidth="1"/>
    <col min="118" max="118" width="4.7109375" style="29" hidden="1" customWidth="1"/>
    <col min="119" max="119" width="6.7109375" style="29" hidden="1" customWidth="1"/>
    <col min="120" max="120" width="5.7109375" style="29" hidden="1" customWidth="1"/>
    <col min="121" max="121" width="6.7109375" style="29" hidden="1" customWidth="1"/>
    <col min="122" max="122" width="5.7109375" style="29" hidden="1" customWidth="1"/>
    <col min="123" max="123" width="6.7109375" style="29" hidden="1" customWidth="1"/>
    <col min="124" max="124" width="5.7109375" style="29" hidden="1" customWidth="1"/>
    <col min="125" max="125" width="11.7109375" style="29" hidden="1" customWidth="1"/>
    <col min="126" max="126" width="9.7109375" style="29" hidden="1" customWidth="1"/>
    <col min="127" max="127" width="8.85546875" style="29" hidden="1" customWidth="1"/>
    <col min="128" max="128" width="6.85546875" style="29" hidden="1" customWidth="1"/>
    <col min="129" max="131" width="4.7109375" style="29" hidden="1" customWidth="1"/>
    <col min="132" max="150" width="9.140625" style="29" hidden="1" customWidth="1"/>
    <col min="151" max="253" width="9.140625" style="29" customWidth="1"/>
    <col min="254" max="16384" width="4.7109375" style="29" hidden="1"/>
  </cols>
  <sheetData>
    <row r="1" spans="1:150" s="30" customFormat="1" ht="37.5" customHeight="1" thickBot="1" x14ac:dyDescent="0.25">
      <c r="A1" s="29"/>
      <c r="B1" s="29"/>
      <c r="C1" s="29"/>
      <c r="D1" s="29"/>
      <c r="E1" s="167"/>
      <c r="F1" s="29"/>
      <c r="G1" s="293"/>
      <c r="H1" s="517" t="s">
        <v>791</v>
      </c>
      <c r="I1" s="518"/>
      <c r="J1" s="518"/>
      <c r="K1" s="518"/>
      <c r="L1" s="519"/>
      <c r="M1" s="442" t="s">
        <v>1668</v>
      </c>
      <c r="N1" s="443"/>
      <c r="O1" s="1798"/>
      <c r="P1" s="1799"/>
      <c r="Q1" s="1800"/>
      <c r="R1" s="520" t="s">
        <v>579</v>
      </c>
      <c r="S1" s="521"/>
      <c r="T1" s="515" t="str">
        <f>IF(LEFT($U$1,1)="G","Secondary Refrigerant:",IF(LEFT($U$1,1)="C","Liquid Overfeed:","Refrigerant:"))</f>
        <v>Refrigerant:</v>
      </c>
      <c r="U1" s="1227"/>
      <c r="V1" s="515" t="str">
        <f>IF(U1="R744","Gas Cooler Type","Condenser Type")</f>
        <v>Condenser Type</v>
      </c>
      <c r="W1" s="524" t="s">
        <v>603</v>
      </c>
      <c r="X1" s="515" t="str">
        <f>IF(OR(LEFT($U$1,1)="G",LEFT($U$1,1)="C"),"Primary Refrig. Liquid Temp","SG1 Liquid Temp")</f>
        <v>SG1 Liquid Temp</v>
      </c>
      <c r="Y1" s="527"/>
      <c r="Z1" s="515" t="s">
        <v>903</v>
      </c>
      <c r="AA1" s="527"/>
      <c r="AB1" s="515" t="s">
        <v>895</v>
      </c>
      <c r="AC1" s="522" t="s">
        <v>896</v>
      </c>
      <c r="AD1" s="1700" t="str">
        <f>IF(OR($W$1="Fluid",$W$1="Water",$W$1="Evap Fluid"),"COND. SUPPLY TEMP :","EXTERIOR DRY BULB (DB)  :")</f>
        <v>EXTERIOR DRY BULB (DB)  :</v>
      </c>
      <c r="AE1" s="1701"/>
      <c r="AF1" s="1586"/>
      <c r="AG1" s="1692" t="s">
        <v>1204</v>
      </c>
      <c r="AH1" s="1734"/>
      <c r="AI1" s="1585" t="s">
        <v>1669</v>
      </c>
      <c r="AJ1" s="1692" t="s">
        <v>904</v>
      </c>
      <c r="AK1" s="1693"/>
      <c r="AL1" s="1694"/>
      <c r="AM1" s="1715"/>
      <c r="AN1" s="1716"/>
      <c r="AO1" s="1716"/>
      <c r="AP1" s="1717"/>
      <c r="AQ1" s="1692" t="str">
        <f>IF(LEFT($U$1,1)="g","FLUID GROUP #1  GLYCOL TEMPERATURE",IF(LEFT($U$1,1)="c","FLUID GROUP #1 CO2 TEMPERATURE",""))</f>
        <v/>
      </c>
      <c r="AR1" s="1693"/>
      <c r="AS1" s="1694"/>
      <c r="AT1" s="1512"/>
      <c r="AU1" s="1487"/>
      <c r="AV1" s="1488"/>
      <c r="AW1" s="1488"/>
      <c r="AZ1" s="1286"/>
      <c r="BA1" s="1286"/>
      <c r="BB1" s="1286"/>
      <c r="BC1" s="1286"/>
      <c r="BD1" s="1286"/>
      <c r="BE1" s="1286"/>
      <c r="BF1" s="1286"/>
      <c r="BZ1" s="1286"/>
      <c r="CA1" s="1286"/>
      <c r="CB1" s="1750" t="s">
        <v>115</v>
      </c>
      <c r="CC1" s="1750"/>
      <c r="CD1" s="1750"/>
      <c r="CE1" s="1750"/>
      <c r="CF1" s="1750"/>
      <c r="CG1" s="1750"/>
      <c r="CH1" s="1750"/>
      <c r="CI1" s="1750"/>
      <c r="CJ1" s="1750"/>
      <c r="CK1" s="1750"/>
      <c r="CL1" s="1750"/>
      <c r="CM1" s="1750"/>
      <c r="CN1" s="1750"/>
      <c r="CO1" s="1750"/>
      <c r="CP1" s="1750"/>
      <c r="CQ1" s="1750"/>
      <c r="CR1" s="1750"/>
      <c r="CS1" s="1750"/>
      <c r="CT1" s="1750"/>
      <c r="CU1" s="1750"/>
      <c r="CV1" s="1750"/>
      <c r="CW1" s="1750"/>
      <c r="CX1" s="1750"/>
      <c r="CY1" s="1750"/>
      <c r="CZ1" s="1750"/>
      <c r="DA1" s="1750"/>
      <c r="DB1" s="1750"/>
      <c r="DC1" s="1750"/>
      <c r="DD1" s="1750"/>
      <c r="DE1" s="1750"/>
      <c r="DF1" s="1750"/>
      <c r="DG1" s="1750"/>
      <c r="DH1" s="1750"/>
      <c r="DI1" s="1750"/>
      <c r="DJ1" s="1750"/>
      <c r="DK1" s="1750"/>
      <c r="DL1" s="1750"/>
      <c r="DM1" s="1750"/>
      <c r="DN1" s="1750"/>
      <c r="DO1" s="1750"/>
      <c r="DP1" s="1750"/>
      <c r="DQ1" s="1750"/>
      <c r="DR1" s="1750"/>
      <c r="DS1" s="1750"/>
      <c r="DT1" s="1750"/>
      <c r="DU1" s="1750"/>
      <c r="DV1" s="1750"/>
      <c r="DW1" s="1750"/>
      <c r="DX1" s="1750"/>
      <c r="DY1" s="1750"/>
      <c r="DZ1" s="1750"/>
      <c r="EA1" s="1750"/>
      <c r="EB1" s="1286"/>
      <c r="EC1" s="1286"/>
      <c r="ED1" s="1286"/>
      <c r="EE1" s="1286"/>
      <c r="EF1" s="1286"/>
      <c r="EG1" s="1286"/>
      <c r="EH1" s="1286"/>
      <c r="EI1" s="1286"/>
      <c r="EJ1" s="1286"/>
      <c r="EK1" s="1286"/>
      <c r="EL1" s="1286"/>
      <c r="EM1" s="1286"/>
      <c r="EN1" s="1286"/>
      <c r="EO1" s="1286"/>
      <c r="EP1" s="1286"/>
      <c r="EQ1" s="1286"/>
      <c r="ER1" s="1286"/>
      <c r="ES1" s="1286"/>
      <c r="ET1" s="1286"/>
    </row>
    <row r="2" spans="1:150" ht="38.25" customHeight="1" thickBot="1" x14ac:dyDescent="0.25">
      <c r="B2" s="893">
        <v>0</v>
      </c>
      <c r="D2" s="1301" t="s">
        <v>1178</v>
      </c>
      <c r="H2" s="1697"/>
      <c r="I2" s="1698"/>
      <c r="J2" s="1698"/>
      <c r="K2" s="1698"/>
      <c r="L2" s="1699"/>
      <c r="M2" s="442" t="s">
        <v>587</v>
      </c>
      <c r="N2" s="443"/>
      <c r="O2" s="1798"/>
      <c r="P2" s="1799"/>
      <c r="Q2" s="1800"/>
      <c r="R2" s="1697" t="s">
        <v>1202</v>
      </c>
      <c r="S2" s="1717"/>
      <c r="T2" s="515" t="s">
        <v>1225</v>
      </c>
      <c r="U2" s="524"/>
      <c r="V2" s="525" t="str">
        <f>IF(U1="R744","Flash Tank Sat. Temp","Sat. Cond. Temp")</f>
        <v>Sat. Cond. Temp</v>
      </c>
      <c r="W2" s="527"/>
      <c r="X2" s="515" t="str">
        <f>IF(OR(LEFT($U$1,1)="G",LEFT($U$1,1)="C"),"Primary Refrig. Liquid Temp","SG2 Liquid Temp")</f>
        <v>SG2 Liquid Temp</v>
      </c>
      <c r="Y2" s="527"/>
      <c r="Z2" s="515" t="s">
        <v>901</v>
      </c>
      <c r="AA2" s="527" t="s">
        <v>616</v>
      </c>
      <c r="AB2" s="515" t="s">
        <v>897</v>
      </c>
      <c r="AC2" s="522" t="s">
        <v>918</v>
      </c>
      <c r="AD2" s="1700" t="s">
        <v>117</v>
      </c>
      <c r="AE2" s="1701"/>
      <c r="AF2" s="527"/>
      <c r="AG2" s="1692" t="s">
        <v>1021</v>
      </c>
      <c r="AH2" s="1734"/>
      <c r="AI2" s="1585" t="s">
        <v>1669</v>
      </c>
      <c r="AJ2" s="1692" t="s">
        <v>905</v>
      </c>
      <c r="AK2" s="1693"/>
      <c r="AL2" s="1694"/>
      <c r="AM2" s="1715"/>
      <c r="AN2" s="1716"/>
      <c r="AO2" s="1716"/>
      <c r="AP2" s="1717"/>
      <c r="AQ2" s="1692" t="str">
        <f>IF(LEFT($U$1,1)="g","FLUID GROUP #2  GLYCOL TEMPERATURE",IF(LEFT($U$1,1)="c","FLUID GROUP #2 CO2 TEMPERATURE",""))</f>
        <v/>
      </c>
      <c r="AR2" s="1693"/>
      <c r="AS2" s="1694"/>
      <c r="AT2" s="1512"/>
      <c r="AU2" s="1489"/>
      <c r="AV2" s="1490"/>
      <c r="AW2" s="1490"/>
      <c r="AZ2" s="1287"/>
      <c r="BA2" s="1287"/>
      <c r="BB2" s="1288"/>
      <c r="BC2" s="1288" t="s">
        <v>1169</v>
      </c>
      <c r="BD2" s="1287"/>
      <c r="BE2" s="1287"/>
      <c r="BF2" s="1287"/>
      <c r="BZ2" s="1287"/>
      <c r="CA2" s="1287"/>
      <c r="CB2" s="1750"/>
      <c r="CC2" s="1750"/>
      <c r="CD2" s="1750"/>
      <c r="CE2" s="1750"/>
      <c r="CF2" s="1750"/>
      <c r="CG2" s="1750"/>
      <c r="CH2" s="1750"/>
      <c r="CI2" s="1750"/>
      <c r="CJ2" s="1750"/>
      <c r="CK2" s="1750"/>
      <c r="CL2" s="1750"/>
      <c r="CM2" s="1750"/>
      <c r="CN2" s="1750"/>
      <c r="CO2" s="1750"/>
      <c r="CP2" s="1750"/>
      <c r="CQ2" s="1750"/>
      <c r="CR2" s="1750"/>
      <c r="CS2" s="1750"/>
      <c r="CT2" s="1750"/>
      <c r="CU2" s="1750"/>
      <c r="CV2" s="1750"/>
      <c r="CW2" s="1750"/>
      <c r="CX2" s="1750"/>
      <c r="CY2" s="1750"/>
      <c r="CZ2" s="1750"/>
      <c r="DA2" s="1750"/>
      <c r="DB2" s="1750"/>
      <c r="DC2" s="1750"/>
      <c r="DD2" s="1750"/>
      <c r="DE2" s="1750"/>
      <c r="DF2" s="1750"/>
      <c r="DG2" s="1750"/>
      <c r="DH2" s="1750"/>
      <c r="DI2" s="1750"/>
      <c r="DJ2" s="1750"/>
      <c r="DK2" s="1750"/>
      <c r="DL2" s="1750"/>
      <c r="DM2" s="1750"/>
      <c r="DN2" s="1750"/>
      <c r="DO2" s="1750"/>
      <c r="DP2" s="1750"/>
      <c r="DQ2" s="1750"/>
      <c r="DR2" s="1750"/>
      <c r="DS2" s="1750"/>
      <c r="DT2" s="1750"/>
      <c r="DU2" s="1750"/>
      <c r="DV2" s="1750"/>
      <c r="DW2" s="1750"/>
      <c r="DX2" s="1750"/>
      <c r="DY2" s="1750"/>
      <c r="DZ2" s="1750"/>
      <c r="EA2" s="1750"/>
      <c r="EB2" s="1287"/>
      <c r="EC2" s="1287"/>
      <c r="ED2" s="1287"/>
      <c r="EE2" s="1287"/>
      <c r="EF2" s="1287"/>
      <c r="EG2" s="1287"/>
      <c r="EH2" s="1287"/>
      <c r="EI2" s="1287"/>
      <c r="EJ2" s="1287"/>
      <c r="EK2" s="1287"/>
      <c r="EL2" s="1287"/>
      <c r="EM2" s="1287"/>
      <c r="EN2" s="1287"/>
      <c r="EO2" s="1287"/>
      <c r="EP2" s="1287"/>
      <c r="EQ2" s="1287"/>
      <c r="ER2" s="1287"/>
      <c r="ES2" s="1287"/>
      <c r="ET2" s="1287"/>
    </row>
    <row r="3" spans="1:150" ht="39" customHeight="1" thickBot="1" x14ac:dyDescent="0.25">
      <c r="H3" s="1697" t="s">
        <v>586</v>
      </c>
      <c r="I3" s="1698"/>
      <c r="J3" s="1698"/>
      <c r="K3" s="1698"/>
      <c r="L3" s="1699"/>
      <c r="M3" s="1692" t="s">
        <v>790</v>
      </c>
      <c r="N3" s="1734"/>
      <c r="O3" s="1735" t="str">
        <f>HYPERLINK("http://www.google.com/search?hl=en&amp;q=Elevation+of+" &amp; O2,"Google Elevation")</f>
        <v>Google Elevation</v>
      </c>
      <c r="P3" s="1736"/>
      <c r="Q3" s="1737"/>
      <c r="R3" s="523" t="s">
        <v>601</v>
      </c>
      <c r="S3" s="522" t="s">
        <v>1230</v>
      </c>
      <c r="T3" s="515" t="str">
        <f>IF(OR(LEFT($U$1,1)="G",LEFT($U$1,1)="C"),"Primary Refrigerant SST:","")</f>
        <v/>
      </c>
      <c r="U3" s="1612"/>
      <c r="V3" s="526" t="str">
        <f>IF(U1="R744","Gas Cooler Outlet","Condenser TD")</f>
        <v>Condenser TD</v>
      </c>
      <c r="W3" s="527"/>
      <c r="X3" s="515" t="str">
        <f>IF(OR(LEFT($U$1,1)="G",LEFT($U$1,1)="C"),"Primary Refrig. Liquid Temp","SG3 Liquid Temp")</f>
        <v>SG3 Liquid Temp</v>
      </c>
      <c r="Y3" s="527"/>
      <c r="Z3" s="515" t="s">
        <v>902</v>
      </c>
      <c r="AA3" s="527" t="s">
        <v>616</v>
      </c>
      <c r="AB3" s="515" t="s">
        <v>899</v>
      </c>
      <c r="AC3" s="522" t="s">
        <v>1184</v>
      </c>
      <c r="AD3" s="1700" t="s">
        <v>646</v>
      </c>
      <c r="AE3" s="1701"/>
      <c r="AF3" s="527">
        <v>75</v>
      </c>
      <c r="AG3" s="1723" t="s">
        <v>648</v>
      </c>
      <c r="AH3" s="1724"/>
      <c r="AI3" s="527"/>
      <c r="AJ3" s="1692" t="s">
        <v>906</v>
      </c>
      <c r="AK3" s="1693"/>
      <c r="AL3" s="1694"/>
      <c r="AM3" s="1715"/>
      <c r="AN3" s="1716"/>
      <c r="AO3" s="1716"/>
      <c r="AP3" s="1717"/>
      <c r="AQ3" s="1692" t="str">
        <f>IF(OR(LEFT($U$1,1)="g",LEFT($U$1,1)="c"),"Secondary Pump Skid Model:","")</f>
        <v/>
      </c>
      <c r="AR3" s="1693"/>
      <c r="AS3" s="1694"/>
      <c r="AT3" s="1512"/>
      <c r="AU3" s="1487"/>
      <c r="AV3" s="1488"/>
      <c r="AW3" s="1488"/>
      <c r="AZ3" s="1287"/>
      <c r="BA3" s="1287"/>
      <c r="BB3" s="1287"/>
      <c r="BC3" s="1287"/>
      <c r="BD3" s="1287"/>
      <c r="BE3" s="1287"/>
      <c r="BF3" s="1287"/>
      <c r="BZ3" s="1287"/>
      <c r="CA3" s="1287"/>
      <c r="CB3" s="1750"/>
      <c r="CC3" s="1750"/>
      <c r="CD3" s="1750"/>
      <c r="CE3" s="1750"/>
      <c r="CF3" s="1750"/>
      <c r="CG3" s="1750"/>
      <c r="CH3" s="1750"/>
      <c r="CI3" s="1750"/>
      <c r="CJ3" s="1750"/>
      <c r="CK3" s="1750"/>
      <c r="CL3" s="1750"/>
      <c r="CM3" s="1750"/>
      <c r="CN3" s="1750"/>
      <c r="CO3" s="1750"/>
      <c r="CP3" s="1750"/>
      <c r="CQ3" s="1750"/>
      <c r="CR3" s="1750"/>
      <c r="CS3" s="1750"/>
      <c r="CT3" s="1750"/>
      <c r="CU3" s="1750"/>
      <c r="CV3" s="1750"/>
      <c r="CW3" s="1750"/>
      <c r="CX3" s="1750"/>
      <c r="CY3" s="1750"/>
      <c r="CZ3" s="1750"/>
      <c r="DA3" s="1750"/>
      <c r="DB3" s="1750"/>
      <c r="DC3" s="1750"/>
      <c r="DD3" s="1750"/>
      <c r="DE3" s="1750"/>
      <c r="DF3" s="1750"/>
      <c r="DG3" s="1750"/>
      <c r="DH3" s="1750"/>
      <c r="DI3" s="1750"/>
      <c r="DJ3" s="1750"/>
      <c r="DK3" s="1750"/>
      <c r="DL3" s="1750"/>
      <c r="DM3" s="1750"/>
      <c r="DN3" s="1750"/>
      <c r="DO3" s="1750"/>
      <c r="DP3" s="1750"/>
      <c r="DQ3" s="1750"/>
      <c r="DR3" s="1750"/>
      <c r="DS3" s="1750"/>
      <c r="DT3" s="1750"/>
      <c r="DU3" s="1750"/>
      <c r="DV3" s="1750"/>
      <c r="DW3" s="1750"/>
      <c r="DX3" s="1750"/>
      <c r="DY3" s="1750"/>
      <c r="DZ3" s="1750"/>
      <c r="EA3" s="1750"/>
      <c r="EB3" s="1287"/>
      <c r="EC3" s="1287"/>
      <c r="ED3" s="1287"/>
      <c r="EE3" s="1287"/>
      <c r="EF3" s="1287"/>
      <c r="EG3" s="1287"/>
      <c r="EH3" s="1287"/>
      <c r="EI3" s="1287"/>
      <c r="EJ3" s="1287"/>
      <c r="EK3" s="1287"/>
      <c r="EL3" s="1287"/>
      <c r="EM3" s="1287"/>
      <c r="EN3" s="1287"/>
      <c r="EO3" s="1287"/>
      <c r="EP3" s="1287"/>
      <c r="EQ3" s="1287"/>
      <c r="ER3" s="1287"/>
      <c r="ES3" s="1287"/>
      <c r="ET3" s="1287"/>
    </row>
    <row r="4" spans="1:150" ht="42" customHeight="1" thickBot="1" x14ac:dyDescent="0.25">
      <c r="E4" s="445"/>
      <c r="F4" s="893" t="s">
        <v>908</v>
      </c>
      <c r="G4" s="445"/>
      <c r="H4" s="1787" t="s">
        <v>634</v>
      </c>
      <c r="I4" s="1788"/>
      <c r="J4" s="1714"/>
      <c r="K4" s="1695"/>
      <c r="L4" s="1696"/>
      <c r="M4" s="1692" t="s">
        <v>703</v>
      </c>
      <c r="N4" s="1789"/>
      <c r="O4" s="1794"/>
      <c r="P4" s="1795"/>
      <c r="Q4" s="1796"/>
      <c r="R4" s="523" t="s">
        <v>602</v>
      </c>
      <c r="S4" s="522"/>
      <c r="T4" s="515" t="s">
        <v>1347</v>
      </c>
      <c r="U4" s="1227"/>
      <c r="V4" s="525" t="str">
        <f>IF(OR(LEFT($U$1,1)="G",LEFT($U$1,1)="C"),"Primary Refrigerant","")</f>
        <v/>
      </c>
      <c r="W4" s="1486"/>
      <c r="X4" s="515" t="str">
        <f>IF(LEFT($U$1,1)="g","Chiller TXV Superheat","Evaporator Superheat")</f>
        <v>Evaporator Superheat</v>
      </c>
      <c r="Y4" s="527">
        <v>10</v>
      </c>
      <c r="Z4" s="525" t="str">
        <f>IF(LEFT($U$1,1)="c","System Circulation Rate","")</f>
        <v/>
      </c>
      <c r="AA4" s="1611" t="str">
        <f>IF(LEFT($U$1,1)="c",MAX(LegendSG1SCR),"")</f>
        <v/>
      </c>
      <c r="AB4" s="515" t="str">
        <f>IF(U1="R744","Gas Cooler TD","Condenser Elec")</f>
        <v>Condenser Elec</v>
      </c>
      <c r="AC4" s="522" t="s">
        <v>900</v>
      </c>
      <c r="AD4" s="1700" t="s">
        <v>647</v>
      </c>
      <c r="AE4" s="1701"/>
      <c r="AF4" s="1587">
        <v>0.55000000000000004</v>
      </c>
      <c r="AG4" s="1787" t="s">
        <v>786</v>
      </c>
      <c r="AH4" s="1788"/>
      <c r="AI4" s="527"/>
      <c r="AJ4" s="1692" t="s">
        <v>907</v>
      </c>
      <c r="AK4" s="1693"/>
      <c r="AL4" s="1694"/>
      <c r="AM4" s="1715"/>
      <c r="AN4" s="1716"/>
      <c r="AO4" s="1716"/>
      <c r="AP4" s="1717"/>
      <c r="AQ4" s="1692" t="s">
        <v>1354</v>
      </c>
      <c r="AR4" s="1693"/>
      <c r="AS4" s="1694"/>
      <c r="AT4" s="1588"/>
    </row>
    <row r="5" spans="1:150" ht="21.75" customHeight="1" thickBot="1" x14ac:dyDescent="0.25">
      <c r="B5" s="1605">
        <v>0</v>
      </c>
      <c r="D5" s="167" t="s">
        <v>200</v>
      </c>
      <c r="E5" s="445"/>
      <c r="F5" s="893" t="str">
        <f>"&gt;0"</f>
        <v>&gt;0</v>
      </c>
      <c r="G5" s="445"/>
      <c r="H5" s="1718" t="s">
        <v>18</v>
      </c>
      <c r="I5" s="1719"/>
      <c r="J5" s="1719"/>
      <c r="K5" s="1719"/>
      <c r="L5" s="1719"/>
      <c r="M5" s="1719"/>
      <c r="N5" s="1719"/>
      <c r="O5" s="1719"/>
      <c r="P5" s="1719"/>
      <c r="Q5" s="1719"/>
      <c r="R5" s="1719"/>
      <c r="S5" s="1719"/>
      <c r="T5" s="1719"/>
      <c r="U5" s="1719"/>
      <c r="V5" s="1719"/>
      <c r="W5" s="1719"/>
      <c r="X5" s="1719"/>
      <c r="Y5" s="1719"/>
      <c r="Z5" s="1719"/>
      <c r="AA5" s="1719"/>
      <c r="AB5" s="1719"/>
      <c r="AC5" s="1719"/>
      <c r="AD5" s="1719"/>
      <c r="AE5" s="1719"/>
      <c r="AF5" s="1719"/>
      <c r="AG5" s="1719"/>
      <c r="AH5" s="1778"/>
      <c r="AI5" s="1779"/>
      <c r="AJ5" s="1744" t="s">
        <v>575</v>
      </c>
      <c r="AK5" s="1778"/>
      <c r="AL5" s="1778"/>
      <c r="AM5" s="1778"/>
      <c r="AN5" s="1778"/>
      <c r="AO5" s="1778"/>
      <c r="AP5" s="1779"/>
      <c r="AQ5" s="1744" t="s">
        <v>17</v>
      </c>
      <c r="AR5" s="1745"/>
      <c r="AS5" s="1745"/>
      <c r="AT5" s="1746"/>
    </row>
    <row r="6" spans="1:150" s="33" customFormat="1" ht="12" customHeight="1" thickBot="1" x14ac:dyDescent="0.25">
      <c r="A6" s="1801" t="s">
        <v>93</v>
      </c>
      <c r="B6" s="1803" t="s">
        <v>377</v>
      </c>
      <c r="C6" s="1805" t="s">
        <v>402</v>
      </c>
      <c r="D6" s="1807" t="s">
        <v>256</v>
      </c>
      <c r="E6" s="447"/>
      <c r="F6" s="1679" t="s">
        <v>146</v>
      </c>
      <c r="G6" s="446"/>
      <c r="H6" s="1728" t="s">
        <v>560</v>
      </c>
      <c r="I6" s="1712" t="s">
        <v>1</v>
      </c>
      <c r="J6" s="1790"/>
      <c r="K6" s="1790"/>
      <c r="L6" s="1790"/>
      <c r="M6" s="1790"/>
      <c r="N6" s="1755"/>
      <c r="O6" s="1712" t="s">
        <v>702</v>
      </c>
      <c r="P6" s="1713"/>
      <c r="Q6" s="1714"/>
      <c r="R6" s="1688" t="s">
        <v>89</v>
      </c>
      <c r="S6" s="1688" t="s">
        <v>341</v>
      </c>
      <c r="T6" s="1688" t="s">
        <v>16</v>
      </c>
      <c r="U6" s="1689"/>
      <c r="V6" s="1679" t="s">
        <v>105</v>
      </c>
      <c r="W6" s="1679" t="str">
        <f>IF(LEFT($U$1,1)="G","UNIT COOLER MODEL #","EVAPORATOR MODEL #")</f>
        <v>EVAPORATOR MODEL #</v>
      </c>
      <c r="X6" s="1679" t="s">
        <v>781</v>
      </c>
      <c r="Y6" s="1679" t="str">
        <f>IF(LEFT($U$1,1)="c","System Circulation Rate","Evaporator Coil TXV / Distributer Nozzle")</f>
        <v>Evaporator Coil TXV / Distributer Nozzle</v>
      </c>
      <c r="Z6" s="1679" t="s">
        <v>908</v>
      </c>
      <c r="AA6" s="1679" t="s">
        <v>909</v>
      </c>
      <c r="AB6" s="1679" t="str">
        <f>IF(LEFT($U$1,1)="g","Coil Temp",IF(LEFT($U$1,1)="c","Coil Temp","Evap Temp"))</f>
        <v>Evap Temp</v>
      </c>
      <c r="AC6" s="1679" t="str">
        <f>IF(LEFT($U$1,1)="g","Flow (GPM)",IF(LEFT($U$1,1)="c","Fluid Temp","Suct. Temp"))</f>
        <v>Suct. Temp</v>
      </c>
      <c r="AD6" s="1679" t="s">
        <v>910</v>
      </c>
      <c r="AE6" s="1712" t="s">
        <v>565</v>
      </c>
      <c r="AF6" s="1790"/>
      <c r="AG6" s="1790"/>
      <c r="AH6" s="1755"/>
      <c r="AI6" s="513" t="s">
        <v>566</v>
      </c>
      <c r="AJ6" s="1712" t="s">
        <v>573</v>
      </c>
      <c r="AK6" s="1790"/>
      <c r="AL6" s="1755"/>
      <c r="AM6" s="1712" t="s">
        <v>567</v>
      </c>
      <c r="AN6" s="1755"/>
      <c r="AO6" s="513" t="s">
        <v>568</v>
      </c>
      <c r="AP6" s="513" t="s">
        <v>569</v>
      </c>
      <c r="AQ6" s="513" t="s">
        <v>835</v>
      </c>
      <c r="AR6" s="513"/>
      <c r="AS6" s="528"/>
      <c r="AT6" s="1732" t="s">
        <v>14</v>
      </c>
      <c r="AU6" s="447"/>
      <c r="BZ6" s="1751" t="s">
        <v>107</v>
      </c>
      <c r="CA6" s="1753" t="s">
        <v>108</v>
      </c>
      <c r="CB6" s="1753"/>
      <c r="CC6" s="1753"/>
      <c r="CD6" s="1754"/>
      <c r="CE6" s="1753" t="s">
        <v>206</v>
      </c>
      <c r="CF6" s="1753"/>
      <c r="CG6" s="1753"/>
      <c r="CH6" s="1754"/>
      <c r="CI6" s="1751" t="s">
        <v>109</v>
      </c>
      <c r="CJ6" s="1753"/>
      <c r="CK6" s="1753"/>
      <c r="CL6" s="1754"/>
      <c r="CM6" s="1747" t="s">
        <v>126</v>
      </c>
      <c r="CN6" s="1748"/>
      <c r="CO6" s="1748"/>
      <c r="CP6" s="1748"/>
      <c r="CQ6" s="1749"/>
      <c r="CR6" s="1751" t="s">
        <v>128</v>
      </c>
      <c r="CS6" s="1753"/>
      <c r="CT6" s="1753"/>
      <c r="CU6" s="1754"/>
      <c r="CV6" s="1751" t="s">
        <v>129</v>
      </c>
      <c r="CW6" s="1753"/>
      <c r="CX6" s="1753"/>
      <c r="CY6" s="1753"/>
      <c r="CZ6" s="1747" t="s">
        <v>130</v>
      </c>
      <c r="DA6" s="1748"/>
      <c r="DB6" s="1748"/>
      <c r="DC6" s="1748"/>
      <c r="DD6" s="1749"/>
      <c r="DE6" s="1747" t="s">
        <v>131</v>
      </c>
      <c r="DF6" s="1748"/>
      <c r="DG6" s="1748"/>
      <c r="DH6" s="1748"/>
      <c r="DI6" s="1749"/>
      <c r="DJ6" s="1751" t="s">
        <v>133</v>
      </c>
      <c r="DK6" s="1753"/>
      <c r="DL6" s="1753"/>
      <c r="DM6" s="1754"/>
      <c r="DO6" s="1758" t="s">
        <v>136</v>
      </c>
      <c r="DP6" s="1759"/>
      <c r="DQ6" s="1758" t="s">
        <v>137</v>
      </c>
      <c r="DR6" s="1825"/>
      <c r="DS6" s="1758" t="s">
        <v>139</v>
      </c>
      <c r="DT6" s="1759"/>
      <c r="DU6" s="1756" t="s">
        <v>216</v>
      </c>
      <c r="DV6" s="1756" t="s">
        <v>316</v>
      </c>
      <c r="DW6" s="1780" t="s">
        <v>351</v>
      </c>
      <c r="DX6" s="1781"/>
      <c r="DY6" s="1782"/>
      <c r="EB6" s="1741" t="s">
        <v>1127</v>
      </c>
      <c r="EC6" s="1742"/>
      <c r="ED6" s="1742"/>
      <c r="EE6" s="1743"/>
      <c r="EF6" s="1232"/>
      <c r="EG6" s="1741" t="s">
        <v>1128</v>
      </c>
      <c r="EH6" s="1742"/>
      <c r="EI6" s="1742"/>
      <c r="EJ6" s="1743"/>
      <c r="EK6" s="1232"/>
      <c r="EL6" s="1741" t="s">
        <v>1129</v>
      </c>
      <c r="EM6" s="1742"/>
      <c r="EN6" s="1742"/>
      <c r="EO6" s="1743"/>
      <c r="EQ6" s="1741" t="s">
        <v>1159</v>
      </c>
      <c r="ER6" s="1742"/>
      <c r="ES6" s="1742"/>
      <c r="ET6" s="1743"/>
    </row>
    <row r="7" spans="1:150" s="33" customFormat="1" ht="27" customHeight="1" thickBot="1" x14ac:dyDescent="0.25">
      <c r="A7" s="1802"/>
      <c r="B7" s="1804"/>
      <c r="C7" s="1806"/>
      <c r="D7" s="1808"/>
      <c r="E7" s="447"/>
      <c r="F7" s="1680"/>
      <c r="G7" s="446"/>
      <c r="H7" s="1729"/>
      <c r="I7" s="1019" t="s">
        <v>1032</v>
      </c>
      <c r="J7" s="1020" t="s">
        <v>1033</v>
      </c>
      <c r="K7" s="514" t="s">
        <v>19</v>
      </c>
      <c r="L7" s="514" t="s">
        <v>20</v>
      </c>
      <c r="M7" s="514" t="s">
        <v>22</v>
      </c>
      <c r="N7" s="514" t="s">
        <v>21</v>
      </c>
      <c r="O7" s="529" t="s">
        <v>576</v>
      </c>
      <c r="P7" s="529"/>
      <c r="Q7" s="529" t="s">
        <v>578</v>
      </c>
      <c r="R7" s="1690"/>
      <c r="S7" s="1690"/>
      <c r="T7" s="1690"/>
      <c r="U7" s="1691"/>
      <c r="V7" s="1708"/>
      <c r="W7" s="1687"/>
      <c r="X7" s="1687"/>
      <c r="Y7" s="1687"/>
      <c r="Z7" s="1680"/>
      <c r="AA7" s="1680"/>
      <c r="AB7" s="1687"/>
      <c r="AC7" s="1687"/>
      <c r="AD7" s="1687"/>
      <c r="AE7" s="530" t="str">
        <f>IF(LEFT($U$1,1)="g","ABV",IF(LEFT($U$1,1)="c","","EPR"))</f>
        <v>EPR</v>
      </c>
      <c r="AF7" s="531" t="s">
        <v>348</v>
      </c>
      <c r="AG7" s="532" t="str">
        <f>IF(OR(LEFT($U$1,1)="g",LEFT($U$1,1)="c"),"SLSV","LLSV")</f>
        <v>LLSV</v>
      </c>
      <c r="AH7" s="529" t="s">
        <v>572</v>
      </c>
      <c r="AI7" s="514" t="s">
        <v>563</v>
      </c>
      <c r="AJ7" s="514" t="s">
        <v>570</v>
      </c>
      <c r="AK7" s="1712" t="s">
        <v>571</v>
      </c>
      <c r="AL7" s="1755"/>
      <c r="AM7" s="514" t="s">
        <v>570</v>
      </c>
      <c r="AN7" s="529" t="s">
        <v>571</v>
      </c>
      <c r="AO7" s="514" t="s">
        <v>564</v>
      </c>
      <c r="AP7" s="514" t="s">
        <v>564</v>
      </c>
      <c r="AQ7" s="512" t="s">
        <v>911</v>
      </c>
      <c r="AR7" s="514" t="s">
        <v>771</v>
      </c>
      <c r="AS7" s="533" t="s">
        <v>114</v>
      </c>
      <c r="AT7" s="1797"/>
      <c r="AU7" s="447"/>
      <c r="BZ7" s="1752"/>
      <c r="CA7" s="34" t="s">
        <v>19</v>
      </c>
      <c r="CB7" s="34" t="s">
        <v>20</v>
      </c>
      <c r="CC7" s="34" t="s">
        <v>22</v>
      </c>
      <c r="CD7" s="35" t="s">
        <v>21</v>
      </c>
      <c r="CE7" s="34" t="s">
        <v>19</v>
      </c>
      <c r="CF7" s="34" t="s">
        <v>20</v>
      </c>
      <c r="CG7" s="34" t="s">
        <v>22</v>
      </c>
      <c r="CH7" s="35" t="s">
        <v>21</v>
      </c>
      <c r="CI7" s="36" t="s">
        <v>19</v>
      </c>
      <c r="CJ7" s="34" t="s">
        <v>20</v>
      </c>
      <c r="CK7" s="34" t="s">
        <v>22</v>
      </c>
      <c r="CL7" s="35" t="s">
        <v>21</v>
      </c>
      <c r="CM7" s="36" t="s">
        <v>19</v>
      </c>
      <c r="CN7" s="34" t="s">
        <v>20</v>
      </c>
      <c r="CO7" s="34" t="s">
        <v>22</v>
      </c>
      <c r="CP7" s="34" t="s">
        <v>21</v>
      </c>
      <c r="CQ7" s="37" t="s">
        <v>127</v>
      </c>
      <c r="CR7" s="36" t="s">
        <v>19</v>
      </c>
      <c r="CS7" s="34" t="s">
        <v>20</v>
      </c>
      <c r="CT7" s="34" t="s">
        <v>22</v>
      </c>
      <c r="CU7" s="35" t="s">
        <v>21</v>
      </c>
      <c r="CV7" s="36" t="s">
        <v>19</v>
      </c>
      <c r="CW7" s="34" t="s">
        <v>20</v>
      </c>
      <c r="CX7" s="34" t="s">
        <v>22</v>
      </c>
      <c r="CY7" s="34" t="s">
        <v>21</v>
      </c>
      <c r="CZ7" s="36" t="s">
        <v>19</v>
      </c>
      <c r="DA7" s="34" t="s">
        <v>20</v>
      </c>
      <c r="DB7" s="34" t="s">
        <v>22</v>
      </c>
      <c r="DC7" s="34" t="s">
        <v>21</v>
      </c>
      <c r="DD7" s="38" t="s">
        <v>127</v>
      </c>
      <c r="DE7" s="36" t="s">
        <v>19</v>
      </c>
      <c r="DF7" s="34" t="s">
        <v>20</v>
      </c>
      <c r="DG7" s="34" t="s">
        <v>22</v>
      </c>
      <c r="DH7" s="34" t="s">
        <v>21</v>
      </c>
      <c r="DI7" s="38" t="s">
        <v>132</v>
      </c>
      <c r="DJ7" s="36" t="s">
        <v>19</v>
      </c>
      <c r="DK7" s="34" t="s">
        <v>20</v>
      </c>
      <c r="DL7" s="34" t="s">
        <v>22</v>
      </c>
      <c r="DM7" s="35" t="s">
        <v>21</v>
      </c>
      <c r="DO7" s="39" t="s">
        <v>135</v>
      </c>
      <c r="DP7" s="40" t="s">
        <v>127</v>
      </c>
      <c r="DQ7" s="39" t="s">
        <v>135</v>
      </c>
      <c r="DR7" s="41" t="s">
        <v>127</v>
      </c>
      <c r="DS7" s="39" t="s">
        <v>135</v>
      </c>
      <c r="DT7" s="40" t="s">
        <v>127</v>
      </c>
      <c r="DU7" s="1757"/>
      <c r="DV7" s="1786"/>
      <c r="DW7" s="1783"/>
      <c r="DX7" s="1784"/>
      <c r="DY7" s="1785"/>
      <c r="EB7" s="1233" t="s">
        <v>19</v>
      </c>
      <c r="EC7" s="1234" t="s">
        <v>20</v>
      </c>
      <c r="ED7" s="1234" t="s">
        <v>22</v>
      </c>
      <c r="EE7" s="1235" t="s">
        <v>21</v>
      </c>
      <c r="EF7" s="1232"/>
      <c r="EG7" s="1233" t="s">
        <v>19</v>
      </c>
      <c r="EH7" s="1234" t="s">
        <v>20</v>
      </c>
      <c r="EI7" s="1234" t="s">
        <v>22</v>
      </c>
      <c r="EJ7" s="1235" t="s">
        <v>21</v>
      </c>
      <c r="EK7" s="1232"/>
      <c r="EL7" s="1233" t="s">
        <v>19</v>
      </c>
      <c r="EM7" s="1234" t="s">
        <v>20</v>
      </c>
      <c r="EN7" s="1234" t="s">
        <v>22</v>
      </c>
      <c r="EO7" s="1235" t="s">
        <v>21</v>
      </c>
      <c r="EQ7" s="1233" t="s">
        <v>19</v>
      </c>
      <c r="ER7" s="1234" t="s">
        <v>20</v>
      </c>
      <c r="ES7" s="1234" t="s">
        <v>22</v>
      </c>
      <c r="ET7" s="1235" t="s">
        <v>21</v>
      </c>
    </row>
    <row r="8" spans="1:150" ht="12" customHeight="1" thickBot="1" x14ac:dyDescent="0.25">
      <c r="A8" s="554" t="s">
        <v>1612</v>
      </c>
      <c r="B8" s="555">
        <v>0</v>
      </c>
      <c r="C8" s="556" t="s">
        <v>134</v>
      </c>
      <c r="D8" s="168" t="s">
        <v>374</v>
      </c>
      <c r="E8" s="445"/>
      <c r="F8" s="553" t="s">
        <v>350</v>
      </c>
      <c r="G8" s="445" t="str">
        <f t="shared" ref="G8" si="0">IF(H8="","",H8)</f>
        <v/>
      </c>
      <c r="H8" s="850"/>
      <c r="I8" s="853"/>
      <c r="J8" s="853"/>
      <c r="K8" s="853"/>
      <c r="L8" s="852"/>
      <c r="M8" s="852"/>
      <c r="N8" s="853"/>
      <c r="O8" s="853"/>
      <c r="P8" s="853"/>
      <c r="Q8" s="853"/>
      <c r="R8" s="851"/>
      <c r="S8" s="851"/>
      <c r="T8" s="851"/>
      <c r="U8" s="864"/>
      <c r="V8" s="852"/>
      <c r="W8" s="853"/>
      <c r="X8" s="853"/>
      <c r="Y8" s="853"/>
      <c r="Z8" s="854">
        <v>0</v>
      </c>
      <c r="AA8" s="854">
        <v>0</v>
      </c>
      <c r="AB8" s="862"/>
      <c r="AC8" s="862"/>
      <c r="AD8" s="865"/>
      <c r="AE8" s="859"/>
      <c r="AF8" s="857"/>
      <c r="AG8" s="852"/>
      <c r="AH8" s="858"/>
      <c r="AI8" s="858"/>
      <c r="AJ8" s="857"/>
      <c r="AK8" s="851"/>
      <c r="AL8" s="852"/>
      <c r="AM8" s="857"/>
      <c r="AN8" s="853"/>
      <c r="AO8" s="857"/>
      <c r="AP8" s="857"/>
      <c r="AQ8" s="981"/>
      <c r="AR8" s="981"/>
      <c r="AS8" s="858"/>
      <c r="AT8" s="853"/>
      <c r="AU8" s="893" t="str">
        <f t="shared" ref="AU8" si="1">IF(H8="","",IF(OR(B8=0,B8="SUB-CKT"),IF(ISNA(MATCH(H8,LoopSegs,0)),H8,""),""))</f>
        <v/>
      </c>
      <c r="AV8" s="893" t="s">
        <v>1612</v>
      </c>
      <c r="BZ8" s="45" t="str">
        <f t="shared" ref="BZ8" si="2">IF($B$2&gt;0,"",IF($R8="","FT",IF($R8="Enter Case Model","FT",VLOOKUP($R8,model,2,FALSE))))</f>
        <v>FT</v>
      </c>
      <c r="CA8" s="46">
        <f t="shared" ref="CA8" si="3">IF($B$2&gt;0,"",IF(OR($K8="",$K8=0),0,IF($BZ8="FT",IF(ISNA(VLOOKUP(CONCATENATE($R8,4),master,2,FALSE)=TRUE),"DNE",VLOOKUP(CONCATENATE($R8,4),master,2,FALSE)),IF(ISNA(VLOOKUP(CONCATENATE($R8,2),master,2,FALSE)=TRUE),"DNE",VLOOKUP(CONCATENATE($R8,2),master,2,FALSE)))))</f>
        <v>0</v>
      </c>
      <c r="CB8" s="46">
        <f t="shared" ref="CB8" si="4">IF($B$2&gt;0,"",IF(OR($L8="",$L8=0),0,IF($BZ8="FT",IF(ISNA(VLOOKUP(CONCATENATE($R8,6),master,2,FALSE)=TRUE),"DNE",VLOOKUP(CONCATENATE($R8,6),master,2,FALSE)),IF(ISNA(VLOOKUP(CONCATENATE($R8,3),master,2,FALSE)=TRUE),"DNE",VLOOKUP(CONCATENATE($R8,3),master,2,FALSE)))))</f>
        <v>0</v>
      </c>
      <c r="CC8" s="46">
        <f t="shared" ref="CC8" si="5">IF($B$2&gt;0,"",IF(OR($M8="",$M8=0),0,IF($BZ8="FT",IF(ISNA(VLOOKUP(CONCATENATE($R8,8),master,2,FALSE)=TRUE),"DNE",VLOOKUP(CONCATENATE($R8,8),master,2,FALSE)),IF(ISNA(VLOOKUP(CONCATENATE($R8,4),master,2,FALSE)=TRUE),"DNE",VLOOKUP(CONCATENATE($R8,4),master,2,FALSE)))))</f>
        <v>0</v>
      </c>
      <c r="CD8" s="79">
        <f t="shared" ref="CD8" si="6">IF($B$2&gt;0,"",IF(OR($N8="",$N8=0),0,IF($BZ8="FT",IF(ISNA(VLOOKUP(CONCATENATE($R8,12),master,2,FALSE)=TRUE),"DNE",VLOOKUP(CONCATENATE($R8,12),master,2,FALSE)),IF(ISNA(VLOOKUP(CONCATENATE($R8,5),master,2,FALSE)=TRUE),"DNE",VLOOKUP(CONCATENATE($R8,5),master,2,FALSE)))))</f>
        <v>0</v>
      </c>
      <c r="CE8" s="81">
        <f t="shared" ref="CE8" si="7">IF($B$2&gt;0,"",IF(OR($CA8="DNE",$CA8=0),0,1))</f>
        <v>0</v>
      </c>
      <c r="CF8" s="79">
        <f t="shared" ref="CF8" si="8">IF($B$2&gt;0,"",IF(OR($CB8="DNE",$CB8=0),0,1))</f>
        <v>0</v>
      </c>
      <c r="CG8" s="46">
        <f t="shared" ref="CG8" si="9">IF($B$2&gt;0,"",IF(OR($CC8="DNE",$CC8=0),0,1))</f>
        <v>0</v>
      </c>
      <c r="CH8" s="82">
        <f t="shared" ref="CH8" si="10">IF($B$2&gt;0,"",IF(OR($CD8="DNE",$CD8=0),0,1))</f>
        <v>0</v>
      </c>
      <c r="CI8" s="80">
        <f t="shared" ref="CI8" si="11">IF($B$2&gt;0,"",IF(OR($K8="",$K8=0),0,IF($BZ8="FT",IF(ISNA(VLOOKUP(CONCATENATE($R8,4),master,6,FALSE)=TRUE),0,VLOOKUP(CONCATENATE($R8,4),master,6,FALSE)),IF(ISNA(VLOOKUP(CONCATENATE($R8,2),master,6,FALSE)=TRUE),0,VLOOKUP(CONCATENATE($R8,2),master,6,FALSE)))))</f>
        <v>0</v>
      </c>
      <c r="CJ8" s="47">
        <f t="shared" ref="CJ8" si="12">IF($B$2&gt;0,"",IF(OR($L8="",$L8=0),0,IF($BZ8="FT",IF(ISNA(VLOOKUP(CONCATENATE($R8,6),master,6,FALSE)=TRUE),0,VLOOKUP(CONCATENATE($R8,6),master,6,FALSE)),IF(ISNA(VLOOKUP(CONCATENATE($R8,3),master,6,FALSE)=TRUE),0,VLOOKUP(CONCATENATE($R8,3),master,6,FALSE)))))</f>
        <v>0</v>
      </c>
      <c r="CK8" s="47">
        <f t="shared" ref="CK8" si="13">IF($B$2&gt;0,"",IF(OR($M8="",$M8=0),0,IF($BZ8="FT",IF(ISNA(VLOOKUP(CONCATENATE($R8,8),master,6,FALSE)=TRUE),0,VLOOKUP(CONCATENATE($R8,8),master,6,FALSE)),IF(ISNA(VLOOKUP(CONCATENATE($R8,4),master,6,FALSE)=TRUE),0,VLOOKUP(CONCATENATE($R8,4),master,6,FALSE)))))</f>
        <v>0</v>
      </c>
      <c r="CL8" s="48">
        <f t="shared" ref="CL8" si="14">IF($B$2&gt;0,"",IF(OR($N8="",$N8=0),0,IF($BZ8="FT",IF(ISNA(VLOOKUP(CONCATENATE($R8,12),master,6,FALSE)=TRUE),0,VLOOKUP(CONCATENATE($R8,12),master,6,FALSE)),IF(ISNA(VLOOKUP(CONCATENATE($R8,5),master,6,FALSE)=TRUE),0,VLOOKUP(CONCATENATE($R8,5),master,6,FALSE)))))</f>
        <v>0</v>
      </c>
      <c r="CM8" s="49">
        <f t="shared" ref="CM8" si="15">IF($B$2&gt;0,"",IF(OR($K8="",$K8=0),0,IF($BZ8="FT",IF(ISNA(VLOOKUP(CONCATENATE($R8,4),master,MATCH(CONCATENATE($AN8,"_",$AM$6),master_header,0),FALSE)=TRUE),0,VLOOKUP(CONCATENATE($R8,4),master,MATCH(CONCATENATE($AN8,"_",$AM$6),master_header,0),FALSE)),IF(ISNA(VLOOKUP(CONCATENATE($R8,2),master,MATCH(CONCATENATE($AN8,"_",$AM$6),master_header,0),FALSE)=TRUE),0,VLOOKUP(CONCATENATE($R8,2),master,MATCH(CONCATENATE($AN8,"_",$AM$6),master_header,0),FALSE)))))</f>
        <v>0</v>
      </c>
      <c r="CN8" s="50">
        <f t="shared" ref="CN8" si="16">IF($B$2&gt;0,"",IF(OR($L8="",$L8=0),0,IF($BZ8="FT",IF(ISNA(VLOOKUP(CONCATENATE($R8,6),master,MATCH(CONCATENATE($AN8,"_",$AM$6),master_header,0),FALSE)=TRUE),0,VLOOKUP(CONCATENATE($R8,6),master,MATCH(CONCATENATE($AN8,"_",$AM$6),master_header,0),FALSE)),IF(ISNA(VLOOKUP(CONCATENATE($R8,3),master,MATCH(CONCATENATE($AN8,"_",$AM$6),master_header,0),FALSE)=TRUE),0,VLOOKUP(CONCATENATE($R8,3),master,MATCH(CONCATENATE($AN8,"_",$AM$6),master_header,0),FALSE)))))</f>
        <v>0</v>
      </c>
      <c r="CO8" s="50">
        <f t="shared" ref="CO8" si="17">IF($B$2&gt;0,"",IF(OR($M8="",$M8=0),0,IF($BZ8="FT",IF(ISNA(VLOOKUP(CONCATENATE($R8,8),master,MATCH(CONCATENATE($AN8,"_",$AM$6),master_header,0),FALSE)=TRUE),0,VLOOKUP(CONCATENATE($R8,8),master,MATCH(CONCATENATE($AN8,"_",$AM$6),master_header,0),FALSE)),IF(ISNA(VLOOKUP(CONCATENATE($R8,4),master,MATCH(CONCATENATE($AN8,"_",$AM$6),master_header,0),FALSE)=TRUE),0,VLOOKUP(CONCATENATE($R8,4),master,MATCH(CONCATENATE($AN8,"_",$AM$6),master_header,0),FALSE)))))</f>
        <v>0</v>
      </c>
      <c r="CP8" s="50">
        <f t="shared" ref="CP8" si="18">IF($B$2&gt;0,"",IF(OR($N8="",$N8=0),0,IF($BZ8="FT",IF(ISNA(VLOOKUP(CONCATENATE($R8,12),master,MATCH(CONCATENATE($AN8,"_",$AM$6),master_header,0),FALSE)=TRUE),0,VLOOKUP(CONCATENATE($R8,12),master,MATCH(CONCATENATE($AN8,"_",$AM$6),master_header,0),FALSE)),IF(ISNA(VLOOKUP(CONCATENATE($R8,5),master,MATCH(CONCATENATE($AN8,"_",$AM$6),master_header,0),FALSE)=TRUE),0,VLOOKUP(CONCATENATE($R8,5),master,MATCH(CONCATENATE($AN8,"_",$AM$6),master_header,0),FALSE)))))</f>
        <v>0</v>
      </c>
      <c r="CQ8" s="51">
        <f t="shared" ref="CQ8" si="19">IF($B$2&gt;0,"",$K8*$CM8+$L8*$CN8+$M8*$CO8+$N8*$CP8)</f>
        <v>0</v>
      </c>
      <c r="CR8" s="49">
        <f t="shared" ref="CR8" si="20">IF($B$2&gt;0,"",IF(OR($K8="",$K8=0),0,IF($BZ8="FT",IF(ISNA(VLOOKUP(CONCATENATE($R8,4),master,9,FALSE)=TRUE),0,VLOOKUP(CONCATENATE($R8,4),master,9,FALSE)),IF(ISNA(VLOOKUP(CONCATENATE($R8,2),master,9,FALSE)=TRUE),0,VLOOKUP(CONCATENATE($R8,2),master,9,FALSE)))))</f>
        <v>0</v>
      </c>
      <c r="CS8" s="50">
        <f t="shared" ref="CS8" si="21">IF($B$2&gt;0,"",IF(OR($L8="",$L8=0),0,IF($BZ8="FT",IF(ISNA(VLOOKUP(CONCATENATE($R8,6),master,9,FALSE)=TRUE),0,VLOOKUP(CONCATENATE($R8,6),master,9,FALSE)),IF(ISNA(VLOOKUP(CONCATENATE($R8,3),master,9,FALSE)=TRUE),0,VLOOKUP(CONCATENATE($R8,3),master,9,FALSE)))))</f>
        <v>0</v>
      </c>
      <c r="CT8" s="50">
        <f t="shared" ref="CT8" si="22">IF($B$2&gt;0,"",IF(OR($M8="",$M8=0),0,IF($BZ8="FT",IF(ISNA(VLOOKUP(CONCATENATE($R8,8),master,9,FALSE)=TRUE),0,VLOOKUP(CONCATENATE($R8,8),master,9,FALSE)),IF(ISNA(VLOOKUP(CONCATENATE($R8,4),master,9,FALSE)=TRUE),0,VLOOKUP(CONCATENATE($R8,4),master,9,FALSE)))))</f>
        <v>0</v>
      </c>
      <c r="CU8" s="52">
        <f t="shared" ref="CU8" si="23">IF($B$2&gt;0,"",IF(OR($N8="",$N8=0),0,IF($BZ8="FT",IF(ISNA(VLOOKUP(CONCATENATE($R8,12),master,9,FALSE)=TRUE),0,VLOOKUP(CONCATENATE($R8,12),master,9,FALSE)),IF(ISNA(VLOOKUP(CONCATENATE($R8,5),master,9,FALSE)=TRUE),0,VLOOKUP(CONCATENATE($R8,5),master,9,FALSE)))))</f>
        <v>0</v>
      </c>
      <c r="CV8" s="49">
        <f t="shared" ref="CV8" si="24">IF($B$2&gt;0,"",IF(OR($K8="",$K8=0),0,IF($BZ8="FT",IF(ISNA(VLOOKUP(CONCATENATE($R8,4),master,10,FALSE)=TRUE),0,VLOOKUP(CONCATENATE($R8,4),master,10,FALSE)),IF(ISNA(VLOOKUP(CONCATENATE($R8,2),master,10,FALSE)=TRUE),0,VLOOKUP(CONCATENATE($R8,2),master,10,FALSE)))))</f>
        <v>0</v>
      </c>
      <c r="CW8" s="50">
        <f t="shared" ref="CW8" si="25">IF($B$2&gt;0,"",IF(OR($L8="",$L8=0),0,IF($BZ8="FT",IF(ISNA(VLOOKUP(CONCATENATE($R8,6),master,10,FALSE)=TRUE),0,VLOOKUP(CONCATENATE($R8,6),master,10,FALSE)),IF(ISNA(VLOOKUP(CONCATENATE($R8,3),master,10,FALSE)=TRUE),0,VLOOKUP(CONCATENATE($R8,3),master,10,FALSE)))))</f>
        <v>0</v>
      </c>
      <c r="CX8" s="50">
        <f t="shared" ref="CX8" si="26">IF($B$2&gt;0,"",IF(OR($M8="",$M8=0),0,IF($BZ8="FT",IF(ISNA(VLOOKUP(CONCATENATE($R8,8),master,10,FALSE)=TRUE),0,VLOOKUP(CONCATENATE($R8,8),master,10,FALSE)),IF(ISNA(VLOOKUP(CONCATENATE($R8,4),master,10,FALSE)=TRUE),0,VLOOKUP(CONCATENATE($R8,4),master,10,FALSE)))))</f>
        <v>0</v>
      </c>
      <c r="CY8" s="50">
        <f t="shared" ref="CY8" si="27">IF($B$2&gt;0,"",IF(OR($N8="",$N8=0),0,IF($BZ8="FT",IF(ISNA(VLOOKUP(CONCATENATE($R8,12),master,10,FALSE)=TRUE),0,VLOOKUP(CONCATENATE($R8,12),master,10,FALSE)),IF(ISNA(VLOOKUP(CONCATENATE($R8,5),master,10,FALSE)=TRUE),0,VLOOKUP(CONCATENATE($R8,5),master,10,FALSE)))))</f>
        <v>0</v>
      </c>
      <c r="CZ8" s="49">
        <f t="shared" ref="CZ8" si="28">IF($B$2&gt;0,"",IF(OR($K8="",$K8=0),0,IF($BZ8="FT",IF(ISNA(VLOOKUP(CONCATENATE($R8,4),master,MATCH(CONCATENATE($AK8,"_",$AJ$6),master_header,0),FALSE)=TRUE),0,VLOOKUP(CONCATENATE($R8,4),master,MATCH(CONCATENATE($AK8,"_",$AJ$6),master_header,0),FALSE)),IF(ISNA(VLOOKUP(CONCATENATE($R8,2),master,MATCH(CONCATENATE($AK8,"_",$AJ$6),master_header,0),FALSE)=TRUE),0,VLOOKUP(CONCATENATE($R8,2),master,MATCH(CONCATENATE($AK8,"_",$AJ$6),master_header,0),FALSE)))))</f>
        <v>0</v>
      </c>
      <c r="DA8" s="50">
        <f t="shared" ref="DA8" si="29">IF($B$2&gt;0,"",IF(OR($L8="",$L8=0),0,IF($BZ8="FT",IF(ISNA(VLOOKUP(CONCATENATE($R8,6),master,MATCH(CONCATENATE($AK8,"_",$AJ$6),master_header,0),FALSE)=TRUE),0,VLOOKUP(CONCATENATE($R8,6),master,MATCH(CONCATENATE($AK8,"_",$AJ$6),master_header,0),FALSE)),IF(ISNA(VLOOKUP(CONCATENATE($R8,3),master,MATCH(CONCATENATE($AK8,"_",$AJ$6),master_header,0),FALSE)=TRUE),0,VLOOKUP(CONCATENATE($R8,3),master,MATCH(CONCATENATE($AK8,"_",$AJ$6),master_header,0),FALSE)))))</f>
        <v>0</v>
      </c>
      <c r="DB8" s="50">
        <f t="shared" ref="DB8" si="30">IF($B$2&gt;0,"",IF(OR($M8="",$M8=0),0,IF($BZ8="FT",IF(ISNA(VLOOKUP(CONCATENATE($R8,8),master,MATCH(CONCATENATE($AK8,"_",$AJ$6),master_header,0),FALSE)=TRUE),0,VLOOKUP(CONCATENATE($R8,8),master,MATCH(CONCATENATE($AK8,"_",$AJ$6),master_header,0),FALSE)),IF(ISNA(VLOOKUP(CONCATENATE($R8,4),master,MATCH(CONCATENATE($AK8,"_",$AJ$6),master_header,0),FALSE)=TRUE),0,VLOOKUP(CONCATENATE($R8,4),master,MATCH(CONCATENATE($AK8,"_",$AJ$6),master_header,0),FALSE)))))</f>
        <v>0</v>
      </c>
      <c r="DC8" s="50">
        <f t="shared" ref="DC8" si="31">IF($B$2&gt;0,"",IF(OR($N8="",$N8=0),0,IF($BZ8="FT",IF(ISNA(VLOOKUP(CONCATENATE($R8,12),master,MATCH(CONCATENATE($AK8,"_",$AJ$6),master_header,0),FALSE)=TRUE),0,VLOOKUP(CONCATENATE($R8,12),master,MATCH(CONCATENATE($AK8,"_",$AJ$6),master_header,0),FALSE)),IF(ISNA(VLOOKUP(CONCATENATE($R8,5),master,MATCH(CONCATENATE($AK8,"_",$AJ$6),master_header,0),FALSE)=TRUE),0,VLOOKUP(CONCATENATE($R8,5),master,MATCH(CONCATENATE($AK8,"_",$AJ$6),master_header,0),FALSE)))))</f>
        <v>0</v>
      </c>
      <c r="DD8" s="53" t="str">
        <f t="shared" ref="DD8" si="32">IF($B$2&gt;0,"",IF($AI8="EL",$K8*$CZ8+$L8*$DA8+$M8*$DB8+$N8*$DC8,"0.00"))</f>
        <v>0.00</v>
      </c>
      <c r="DE8" s="49">
        <f t="shared" ref="DE8" si="33">IF($B$2&gt;0,"",IF(OR($K8="",$K8=0),0,IF($BZ8="FT",IF(ISNA(VLOOKUP(CONCATENATE($R8,4),master,16,FALSE)=TRUE),0,VLOOKUP(CONCATENATE($R8,4),master,16,FALSE)),IF(ISNA(VLOOKUP(CONCATENATE($R8,2),master,16,FALSE)=TRUE),0,VLOOKUP(CONCATENATE($R8,2),master,16,FALSE)))))</f>
        <v>0</v>
      </c>
      <c r="DF8" s="50">
        <f t="shared" ref="DF8" si="34">IF($B$2&gt;0,"",IF(OR($L8="",$L8=0),0,IF($BZ8="FT",IF(ISNA(VLOOKUP(CONCATENATE($R8,6),master,16,FALSE)=TRUE),0,VLOOKUP(CONCATENATE($R8,6),master,16,FALSE)),IF(ISNA(VLOOKUP(CONCATENATE($R8,3),master,16,FALSE)=TRUE),0,VLOOKUP(CONCATENATE($R8,3),master,16,FALSE)))))</f>
        <v>0</v>
      </c>
      <c r="DG8" s="50">
        <f t="shared" ref="DG8" si="35">IF($B$2&gt;0,"",IF(OR($M8="",$M8=0),0,IF($BZ8="FT",IF(ISNA(VLOOKUP(CONCATENATE($R8,8),master,16,FALSE)=TRUE),0,VLOOKUP(CONCATENATE($R8,8),master,16,FALSE)),IF(ISNA(VLOOKUP(CONCATENATE($R8,4),master,16,FALSE)=TRUE),0,VLOOKUP(CONCATENATE($R8,4),master,16,FALSE)))))</f>
        <v>0</v>
      </c>
      <c r="DH8" s="50">
        <f t="shared" ref="DH8" si="36">IF($B$2&gt;0,"",IF(OR($N8="",$N8=0),0,IF($BZ8="FT",IF(ISNA(VLOOKUP(CONCATENATE($R8,12),master,16,FALSE)=TRUE),0,VLOOKUP(CONCATENATE($R8,12),master,16,FALSE)),IF(ISNA(VLOOKUP(CONCATENATE($R8,5),master,16,FALSE)=TRUE),0,VLOOKUP(CONCATENATE($R8,5),master,16,FALSE)))))</f>
        <v>0</v>
      </c>
      <c r="DI8" s="53">
        <f t="shared" ref="DI8" si="37">IF($B$2&gt;0,"",IF(OR($AI8="HG",$AI8="EL"),$K8*$DE8+$L8*$DF8+$M8*$DG8+$N8*$DH8,0))</f>
        <v>0</v>
      </c>
      <c r="DJ8" s="49">
        <f t="shared" ref="DJ8" si="38">IF($B$2&gt;0,"",IF(OR($K8="",$K8=0),0,IF($BZ8="FT",IF(ISNA(VLOOKUP(CONCATENATE($R8,4),master,15,FALSE)=TRUE),0,VLOOKUP(CONCATENATE($R8,4),master,15,FALSE)),IF(ISNA(VLOOKUP(CONCATENATE($R8,2),master,15,FALSE)=TRUE),0,VLOOKUP(CONCATENATE($R8,2),master,15,FALSE)))))</f>
        <v>0</v>
      </c>
      <c r="DK8" s="50">
        <f t="shared" ref="DK8" si="39">IF($B$2&gt;0,"",IF(OR($L8="",$L8=0),0,IF($BZ8="FT",IF(ISNA(VLOOKUP(CONCATENATE($R8,6),master,15,FALSE)=TRUE),0,VLOOKUP(CONCATENATE($R8,6),master,15,FALSE)),IF(ISNA(VLOOKUP(CONCATENATE($R8,3),master,15,FALSE)=TRUE),0,VLOOKUP(CONCATENATE($R8,3),master,15,FALSE)))))</f>
        <v>0</v>
      </c>
      <c r="DL8" s="50">
        <f t="shared" ref="DL8" si="40">IF($B$2&gt;0,"",IF(OR($M8="",$M8=0),0,IF($BZ8="FT",IF(ISNA(VLOOKUP(CONCATENATE($R8,8),master,15,FALSE)=TRUE),0,VLOOKUP(CONCATENATE($R8,8),master,15,FALSE)),IF(ISNA(VLOOKUP(CONCATENATE($R8,4),master,15,FALSE)=TRUE),0,VLOOKUP(CONCATENATE($R8,4),master,15,FALSE)))))</f>
        <v>0</v>
      </c>
      <c r="DM8" s="52">
        <f t="shared" ref="DM8" si="41">IF($B$2&gt;0,"",IF(OR($N8="",$N8=0),0,IF($BZ8="FT",IF(ISNA(VLOOKUP(CONCATENATE($R8,12),master,15,FALSE)=TRUE),0,VLOOKUP(CONCATENATE($R8,12),master,15,FALSE)),IF(ISNA(VLOOKUP(CONCATENATE($R8,5),master,15,FALSE)=TRUE),0,VLOOKUP(CONCATENATE($R8,5),master,15,FALSE)))))</f>
        <v>0</v>
      </c>
      <c r="DO8" s="49">
        <f t="shared" ref="DO8" si="42">IF($B$2&gt;0,"",IF(OR($V8="",$V8=0),0,IF(ISNA(VLOOKUP($W8,evapdx,MATCH(CONCATENATE($AK8,"_",$AJ$6),evapdx_header,0),FALSE)=TRUE),0,VLOOKUP($W8,evapdx,MATCH(CONCATENATE($AK8,"_",$AJ$6),evapdx_header,0),FALSE))))</f>
        <v>0</v>
      </c>
      <c r="DP8" s="54">
        <f t="shared" ref="DP8" si="43">IF($B$2&gt;0,"",$DO8*$V8)</f>
        <v>0</v>
      </c>
      <c r="DQ8" s="49">
        <f t="shared" ref="DQ8" si="44">IF($B$2&gt;0,"",IF(OR($V8="",$V8=0),0,IF(ISNA(VLOOKUP($W8,evapdx,MATCH(CONCATENATE($AK8,"_pan"),evapdx_header,0),FALSE)=TRUE),0,VLOOKUP($W8,evapdx,MATCH(CONCATENATE($AK8,"_pan"),evapdx_header,0),FALSE))))</f>
        <v>0</v>
      </c>
      <c r="DR8" s="52">
        <f t="shared" ref="DR8" si="45">IF($B$2&gt;0,"",$DQ8*$V8)</f>
        <v>0</v>
      </c>
      <c r="DS8" s="49">
        <f t="shared" ref="DS8" si="46">IF($B$2&gt;0,"",IF(OR($V8="",$V8=0),0,IF(ISNA(VLOOKUP($W8,evapdx,MATCH(CONCATENATE($AN8,"_",$AM$6),evapdx_header,0),FALSE)=TRUE),0,VLOOKUP($W8,evapdx,MATCH(CONCATENATE($AN8,"_",$AM$6),evapdx_header,0),FALSE))))</f>
        <v>0</v>
      </c>
      <c r="DT8" s="54">
        <f t="shared" ref="DT8" si="47">IF($B$2&gt;0,"",$DS8*$V8)</f>
        <v>0</v>
      </c>
      <c r="DU8" s="125" t="str">
        <f t="shared" ref="DU8" si="48">IF($B$2&gt;0,"",IF(OR($V8="",$V8=0),"Enter Def.",VLOOKUP($W8,evapdx,MATCH("defrost_type",evapdx_header,1),FALSE)))</f>
        <v>Enter Def.</v>
      </c>
      <c r="DV8" s="126" t="e">
        <f>IF($B$2&gt;0,"",VLOOKUP($H8,'Walk-in Load Calc'!$F$5:$Q$37,11,FALSE))</f>
        <v>#N/A</v>
      </c>
      <c r="DW8" s="135" t="s">
        <v>352</v>
      </c>
      <c r="DX8" s="136" t="s">
        <v>144</v>
      </c>
      <c r="DY8" s="137" t="str">
        <f>IF($B$2&gt;0,"",IF(OR($W8="Enter Evap. Model",$W8=""), "-",VLOOKUP($W8,'HEAT-X'!$U$9:$V$77,2,FALSE)))</f>
        <v>-</v>
      </c>
      <c r="EB8" s="49">
        <f t="shared" ref="EB8" si="49">IF($B$2&gt;0,"",IF(OR($K8="",$K8=0),0,IF($BZ8="FT",IF(ISNA(VLOOKUP(CONCATENATE($R8,4),master,21,FALSE)=TRUE),0,VLOOKUP(CONCATENATE($R8,4),master,21,FALSE)),IF(ISNA(VLOOKUP(CONCATENATE($R8,2),master,21,FALSE)=TRUE),0,VLOOKUP(CONCATENATE($R8,2),master,21,FALSE)))))</f>
        <v>0</v>
      </c>
      <c r="EC8" s="50">
        <f t="shared" ref="EC8" si="50">IF($B$2&gt;0,"",IF(OR($L8="",$L8=0),0,IF($BZ8="FT",IF(ISNA(VLOOKUP(CONCATENATE($R8,6),master,21,FALSE)=TRUE),0,VLOOKUP(CONCATENATE($R8,6),master,21,FALSE)),IF(ISNA(VLOOKUP(CONCATENATE($R8,3),master,21,FALSE)=TRUE),0,VLOOKUP(CONCATENATE($R8,3),master,21,FALSE)))))</f>
        <v>0</v>
      </c>
      <c r="ED8" s="50">
        <f t="shared" ref="ED8" si="51">IF($B$2&gt;0,"",IF(OR($M8="",$M8=0),0,IF($BZ8="FT",IF(ISNA(VLOOKUP(CONCATENATE($R8,8),master,21,FALSE)=TRUE),0,VLOOKUP(CONCATENATE($R8,8),master,21,FALSE)),IF(ISNA(VLOOKUP(CONCATENATE($R8,4),master,21,FALSE)=TRUE),0,VLOOKUP(CONCATENATE($R8,4),master,21,FALSE)))))</f>
        <v>0</v>
      </c>
      <c r="EE8" s="52">
        <f t="shared" ref="EE8" si="52">IF($B$2&gt;0,"",IF(OR($N8="",$N8=0),0,IF($BZ8="FT",IF(ISNA(VLOOKUP(CONCATENATE($R8,12),master,21,FALSE)=TRUE),0,VLOOKUP(CONCATENATE($R8,12),master,21,FALSE)),IF(ISNA(VLOOKUP(CONCATENATE($R8,5),master,21,FALSE)=TRUE),0,VLOOKUP(CONCATENATE($R8,5),master,21,FALSE)))))</f>
        <v>0</v>
      </c>
      <c r="EG8" s="49">
        <f t="shared" ref="EG8" si="53">IF($B$2&gt;0,"",IF(OR($K8="",$K8=0),0,IF($BZ8="FT",IF(ISNA(VLOOKUP(CONCATENATE($R8,4),master,22,FALSE)=TRUE),0,VLOOKUP(CONCATENATE($R8,4),master,22,FALSE)),IF(ISNA(VLOOKUP(CONCATENATE($R8,2),master,22,FALSE)=TRUE),0,VLOOKUP(CONCATENATE($R8,2),master,22,FALSE)))))</f>
        <v>0</v>
      </c>
      <c r="EH8" s="50">
        <f t="shared" ref="EH8" si="54">IF($B$2&gt;0,"",IF(OR($L8="",$L8=0),0,IF($BZ8="FT",IF(ISNA(VLOOKUP(CONCATENATE($R8,6),master,22,FALSE)=TRUE),0,VLOOKUP(CONCATENATE($R8,6),master,22,FALSE)),IF(ISNA(VLOOKUP(CONCATENATE($R8,3),master,22,FALSE)=TRUE),0,VLOOKUP(CONCATENATE($R8,3),master,22,FALSE)))))</f>
        <v>0</v>
      </c>
      <c r="EI8" s="50">
        <f t="shared" ref="EI8" si="55">IF($B$2&gt;0,"",IF(OR($M8="",$M8=0),0,IF($BZ8="FT",IF(ISNA(VLOOKUP(CONCATENATE($R8,8),master,22,FALSE)=TRUE),0,VLOOKUP(CONCATENATE($R8,8),master,22,FALSE)),IF(ISNA(VLOOKUP(CONCATENATE($R8,4),master,22,FALSE)=TRUE),0,VLOOKUP(CONCATENATE($R8,4),master,22,FALSE)))))</f>
        <v>0</v>
      </c>
      <c r="EJ8" s="52">
        <f t="shared" ref="EJ8" si="56">IF($B$2&gt;0,"",IF(OR($N8="",$N8=0),0,IF($BZ8="FT",IF(ISNA(VLOOKUP(CONCATENATE($R8,12),master,22,FALSE)=TRUE),0,VLOOKUP(CONCATENATE($R8,12),master,22,FALSE)),IF(ISNA(VLOOKUP(CONCATENATE($R8,5),master,22,FALSE)=TRUE),0,VLOOKUP(CONCATENATE($R8,5),master,22,FALSE)))))</f>
        <v>0</v>
      </c>
      <c r="EL8" s="49">
        <f t="shared" ref="EL8" si="57">IF($B$2&gt;0,"",IF(OR($K8="",$K8=0),0,IF($BZ8="FT",IF(ISNA(VLOOKUP(CONCATENATE($R8,4),master,23,FALSE)=TRUE),0,VLOOKUP(CONCATENATE($R8,4),master,23,FALSE)),IF(ISNA(VLOOKUP(CONCATENATE($R8,2),master,23,FALSE)=TRUE),0,VLOOKUP(CONCATENATE($R8,2),master,23,FALSE)))))</f>
        <v>0</v>
      </c>
      <c r="EM8" s="50">
        <f t="shared" ref="EM8" si="58">IF($B$2&gt;0,"",IF(OR($L8="",$L8=0),0,IF($BZ8="FT",IF(ISNA(VLOOKUP(CONCATENATE($R8,6),master,23,FALSE)=TRUE),0,VLOOKUP(CONCATENATE($R8,6),master,23,FALSE)),IF(ISNA(VLOOKUP(CONCATENATE($R8,3),master,23,FALSE)=TRUE),0,VLOOKUP(CONCATENATE($R8,3),master,23,FALSE)))))</f>
        <v>0</v>
      </c>
      <c r="EN8" s="50">
        <f t="shared" ref="EN8" si="59">IF($B$2&gt;0,"",IF(OR($M8="",$M8=0),0,IF($BZ8="FT",IF(ISNA(VLOOKUP(CONCATENATE($R8,8),master,23,FALSE)=TRUE),0,VLOOKUP(CONCATENATE($R8,8),master,23,FALSE)),IF(ISNA(VLOOKUP(CONCATENATE($R8,4),master,23,FALSE)=TRUE),0,VLOOKUP(CONCATENATE($R8,4),master,23,FALSE)))))</f>
        <v>0</v>
      </c>
      <c r="EO8" s="52">
        <f t="shared" ref="EO8" si="60">IF($B$2&gt;0,"",IF(OR($N8="",$N8=0),0,IF($BZ8="FT",IF(ISNA(VLOOKUP(CONCATENATE($R8,12),master,23,FALSE)=TRUE),0,VLOOKUP(CONCATENATE($R8,12),master,23,FALSE)),IF(ISNA(VLOOKUP(CONCATENATE($R8,5),master,23,FALSE)=TRUE),0,VLOOKUP(CONCATENATE($R8,5),master,23,FALSE)))))</f>
        <v>0</v>
      </c>
      <c r="EQ8" s="49">
        <f t="shared" ref="EQ8" si="61">IF($B$2&gt;0,"",IF(OR($K8="",$K8=0),0,IF($BZ8="FT",IF(ISNA(VLOOKUP(CONCATENATE($R8,4),master,6,FALSE)=TRUE),0,INDEX(master,MATCH((CONCATENATE($R8,4)),master_CONC,0),MATCH(CONCATENATE($U$1,"_",$AT$1),master_header,0))),IF(ISNA(VLOOKUP(CONCATENATE($R8,2),master,6,FALSE)=TRUE),0,INDEX(master,MATCH((CONCATENATE($R8,2)),master,0),MATCH(CONCATENATE($U$1,"_",$AT$1),master_header,0))))))</f>
        <v>0</v>
      </c>
      <c r="ER8" s="50">
        <f t="shared" ref="ER8" si="62">IF($B$2&gt;0,"",IF(OR($L8="",$L8=0),0,IF($BZ8="FT",IF(ISNA(VLOOKUP(CONCATENATE($R8,6),master,6,FALSE)=TRUE),0,INDEX(master,MATCH((CONCATENATE($R8,6)),master_CONC,0),MATCH(CONCATENATE($U$1,"_",$AT$1),master_header,0))),IF(ISNA(VLOOKUP(CONCATENATE($R8,3),master,6,FALSE)=TRUE),0,INDEX(master,MATCH((CONCATENATE($R8,3)),master,0),MATCH(CONCATENATE($U$1,"_",$AT$1),master_header,0))))))</f>
        <v>0</v>
      </c>
      <c r="ES8" s="50">
        <f t="shared" ref="ES8" si="63">IF($B$2&gt;0,"",IF(OR($M8="",$M8=0),0,IF($BZ8="FT",IF(ISNA(VLOOKUP(CONCATENATE($R8,8),master,6,FALSE)=TRUE),0,INDEX(master,MATCH((CONCATENATE($R8,8)),master_CONC,0),MATCH(CONCATENATE($U$1,"_",$AT$1),master_header,0))),IF(ISNA(VLOOKUP(CONCATENATE($R8,4),master,6,FALSE)=TRUE),0,INDEX(master,MATCH((CONCATENATE($R8,4)),master,0),MATCH(CONCATENATE($U$1,"_",$AT$1),master_header,0))))))</f>
        <v>0</v>
      </c>
      <c r="ET8" s="52">
        <f t="shared" ref="ET8" si="64">IF($B$2&gt;0,"",IF(OR($N8="",$N8=0),0,IF($BZ8="FT",IF(ISNA(VLOOKUP(CONCATENATE($R8,12),master,6,FALSE)=TRUE),0,INDEX(master,MATCH((CONCATENATE($R8,12)),master_CONC,0),MATCH(CONCATENATE($U$1,"_",$AT$1),master_header,0))),IF(ISNA(VLOOKUP(CONCATENATE($R8,5),master,6,FALSE)=TRUE),0,INDEX(master,MATCH((CONCATENATE($R8,5)),master,0),MATCH(CONCATENATE($U$1,"_",$AT$1),master_header,0))))))</f>
        <v>0</v>
      </c>
    </row>
    <row r="9" spans="1:150" ht="12" hidden="1" customHeight="1" thickBot="1" x14ac:dyDescent="0.25">
      <c r="A9" s="169"/>
      <c r="B9" s="184"/>
      <c r="C9" s="172"/>
      <c r="D9" s="171"/>
      <c r="E9" s="445"/>
      <c r="F9" s="171"/>
      <c r="G9" s="445" t="str">
        <f t="shared" ref="G9:G16" si="65">IF(H9="","",H9)</f>
        <v/>
      </c>
      <c r="H9" s="170"/>
      <c r="I9"/>
      <c r="J9"/>
      <c r="K9"/>
      <c r="L9"/>
      <c r="M9"/>
      <c r="N9"/>
      <c r="O9"/>
      <c r="P9"/>
      <c r="Q9"/>
      <c r="R9"/>
      <c r="S9"/>
      <c r="T9"/>
      <c r="U9"/>
      <c r="V9"/>
      <c r="W9"/>
      <c r="X9"/>
      <c r="Y9"/>
      <c r="Z9" s="326"/>
      <c r="AA9"/>
      <c r="AB9"/>
      <c r="AC9" s="534"/>
      <c r="AD9"/>
      <c r="AE9"/>
      <c r="AF9"/>
      <c r="AG9"/>
      <c r="AH9"/>
      <c r="AI9"/>
      <c r="AJ9"/>
      <c r="AK9"/>
      <c r="AL9"/>
      <c r="AM9"/>
      <c r="AN9"/>
      <c r="AO9"/>
      <c r="AP9"/>
      <c r="AQ9"/>
      <c r="AR9"/>
      <c r="AS9"/>
      <c r="AT9" s="183"/>
      <c r="AU9" s="893" t="str">
        <f t="shared" ref="AU9:AU16" si="66">IF(H9="","",IF(OR(B9=0,B9="SUB-CKT"),IF(ISNA(MATCH(H9,LoopSegs,0)),H9,""),""))</f>
        <v/>
      </c>
    </row>
    <row r="10" spans="1:150" ht="12" customHeight="1" thickBot="1" x14ac:dyDescent="0.25">
      <c r="A10" s="516"/>
      <c r="B10" s="535" t="s">
        <v>403</v>
      </c>
      <c r="C10" s="536"/>
      <c r="D10" s="537"/>
      <c r="E10" s="445"/>
      <c r="F10" s="538"/>
      <c r="G10" s="445" t="str">
        <f t="shared" si="65"/>
        <v/>
      </c>
      <c r="H10" s="539"/>
      <c r="I10" s="540"/>
      <c r="J10" s="540"/>
      <c r="K10" s="540"/>
      <c r="L10" s="540"/>
      <c r="M10" s="540"/>
      <c r="N10" s="540"/>
      <c r="O10" s="540"/>
      <c r="P10" s="540"/>
      <c r="Q10" s="540"/>
      <c r="R10" s="540"/>
      <c r="S10" s="540"/>
      <c r="T10" s="540"/>
      <c r="U10" s="540"/>
      <c r="V10" s="541" t="str">
        <f>IF(LEFT($U$1,1)="g","FLUID GROUP #1  REQUIRED CAPACITY =    ","SUCTION GROUP #1  REQUIRED CAPACITY =    ")</f>
        <v xml:space="preserve">SUCTION GROUP #1  REQUIRED CAPACITY =    </v>
      </c>
      <c r="W10" s="540"/>
      <c r="X10" s="540"/>
      <c r="Y10" s="542"/>
      <c r="Z10" s="1438"/>
      <c r="AA10" s="1439">
        <f>SUM(AA8:AA9)</f>
        <v>0</v>
      </c>
      <c r="AB10" s="55" t="s">
        <v>106</v>
      </c>
      <c r="AC10" s="132">
        <f>IF(LEFT($U$1,1)="g",SUM(AC8:AC9)-DSUM(Z6:AC9,AC6,$F$4:$F$5),MIN(AC8:AC9))</f>
        <v>0</v>
      </c>
      <c r="AD10" s="543" t="str">
        <f>IF(LEFT($U$1,1)="g","(GPM) Flow",IF(LEFT($U$1,1)="c","(°F) Fluid Temperature", "(°F) Suction Temperature"))</f>
        <v>(°F) Suction Temperature</v>
      </c>
      <c r="AE10" s="544"/>
      <c r="AF10" s="545"/>
      <c r="AG10" s="546"/>
      <c r="AH10" s="547"/>
      <c r="AI10" s="546"/>
      <c r="AJ10" s="548"/>
      <c r="AK10" s="546"/>
      <c r="AL10" s="546"/>
      <c r="AM10" s="548"/>
      <c r="AN10" s="546"/>
      <c r="AO10" s="548"/>
      <c r="AP10" s="548"/>
      <c r="AQ10" s="546"/>
      <c r="AR10" s="546"/>
      <c r="AS10" s="546"/>
      <c r="AT10" s="549"/>
      <c r="AU10" s="893" t="str">
        <f t="shared" si="66"/>
        <v/>
      </c>
    </row>
    <row r="11" spans="1:150" ht="12" hidden="1" customHeight="1" thickBot="1" x14ac:dyDescent="0.25">
      <c r="A11" s="554"/>
      <c r="B11" s="555">
        <v>0</v>
      </c>
      <c r="C11" s="556" t="s">
        <v>134</v>
      </c>
      <c r="D11" s="867" t="s">
        <v>374</v>
      </c>
      <c r="E11" s="445">
        <v>2</v>
      </c>
      <c r="F11" s="553" t="s">
        <v>350</v>
      </c>
      <c r="G11" s="445" t="str">
        <f>IF(H11="","",H11)</f>
        <v/>
      </c>
      <c r="H11" s="850"/>
      <c r="I11" s="853"/>
      <c r="J11" s="853"/>
      <c r="K11" s="853"/>
      <c r="L11" s="852"/>
      <c r="M11" s="852"/>
      <c r="N11" s="853"/>
      <c r="O11" s="853"/>
      <c r="P11" s="853"/>
      <c r="Q11" s="853"/>
      <c r="R11" s="851"/>
      <c r="S11" s="851"/>
      <c r="T11" s="851"/>
      <c r="U11" s="864"/>
      <c r="V11" s="852"/>
      <c r="W11" s="853"/>
      <c r="X11" s="853"/>
      <c r="Y11" s="853"/>
      <c r="Z11" s="854">
        <v>0</v>
      </c>
      <c r="AA11" s="854">
        <v>0</v>
      </c>
      <c r="AB11" s="862"/>
      <c r="AC11" s="862"/>
      <c r="AD11" s="865"/>
      <c r="AE11" s="859"/>
      <c r="AF11" s="857"/>
      <c r="AG11" s="852"/>
      <c r="AH11" s="858"/>
      <c r="AI11" s="858"/>
      <c r="AJ11" s="857"/>
      <c r="AK11" s="851"/>
      <c r="AL11" s="852"/>
      <c r="AM11" s="857"/>
      <c r="AN11" s="853"/>
      <c r="AO11" s="857"/>
      <c r="AP11" s="857"/>
      <c r="AQ11" s="981"/>
      <c r="AR11" s="981"/>
      <c r="AS11" s="858"/>
      <c r="AT11" s="853"/>
      <c r="AU11" s="893" t="str">
        <f>IF(H11="","",IF(OR(B11=0,B11="SUB-CKT"),IF(ISNA(MATCH(H11,LoopSegs,0)),H11,""),""))</f>
        <v/>
      </c>
      <c r="AV11" s="893"/>
      <c r="BZ11" s="45" t="str">
        <f>IF($B$2&gt;0,"",IF($R11="","FT",IF($R11="Enter Case Model","FT",VLOOKUP($R11,model,2,FALSE))))</f>
        <v>FT</v>
      </c>
      <c r="CA11" s="46">
        <f>IF($B$2&gt;0,"",IF(OR($K11="",$K11=0),0,IF($BZ11="FT",IF(ISNA(VLOOKUP(CONCATENATE($R11,4),master,2,FALSE)=TRUE),"DNE",VLOOKUP(CONCATENATE($R11,4),master,2,FALSE)),IF(ISNA(VLOOKUP(CONCATENATE($R11,2),master,2,FALSE)=TRUE),"DNE",VLOOKUP(CONCATENATE($R11,2),master,2,FALSE)))))</f>
        <v>0</v>
      </c>
      <c r="CB11" s="46">
        <f>IF($B$2&gt;0,"",IF(OR($L11="",$L11=0),0,IF($BZ11="FT",IF(ISNA(VLOOKUP(CONCATENATE($R11,6),master,2,FALSE)=TRUE),"DNE",VLOOKUP(CONCATENATE($R11,6),master,2,FALSE)),IF(ISNA(VLOOKUP(CONCATENATE($R11,3),master,2,FALSE)=TRUE),"DNE",VLOOKUP(CONCATENATE($R11,3),master,2,FALSE)))))</f>
        <v>0</v>
      </c>
      <c r="CC11" s="46">
        <f>IF($B$2&gt;0,"",IF(OR($M11="",$M11=0),0,IF($BZ11="FT",IF(ISNA(VLOOKUP(CONCATENATE($R11,8),master,2,FALSE)=TRUE),"DNE",VLOOKUP(CONCATENATE($R11,8),master,2,FALSE)),IF(ISNA(VLOOKUP(CONCATENATE($R11,4),master,2,FALSE)=TRUE),"DNE",VLOOKUP(CONCATENATE($R11,4),master,2,FALSE)))))</f>
        <v>0</v>
      </c>
      <c r="CD11" s="79">
        <f>IF($B$2&gt;0,"",IF(OR($N11="",$N11=0),0,IF($BZ11="FT",IF(ISNA(VLOOKUP(CONCATENATE($R11,12),master,2,FALSE)=TRUE),"DNE",VLOOKUP(CONCATENATE($R11,12),master,2,FALSE)),IF(ISNA(VLOOKUP(CONCATENATE($R11,5),master,2,FALSE)=TRUE),"DNE",VLOOKUP(CONCATENATE($R11,5),master,2,FALSE)))))</f>
        <v>0</v>
      </c>
      <c r="CE11" s="81">
        <f>IF($B$2&gt;0,"",IF(OR($CA11="DNE",$CA11=0),0,1))</f>
        <v>0</v>
      </c>
      <c r="CF11" s="79">
        <f>IF($B$2&gt;0,"",IF(OR($CB11="DNE",$CB11=0),0,1))</f>
        <v>0</v>
      </c>
      <c r="CG11" s="46">
        <f>IF($B$2&gt;0,"",IF(OR($CC11="DNE",$CC11=0),0,1))</f>
        <v>0</v>
      </c>
      <c r="CH11" s="82">
        <f>IF($B$2&gt;0,"",IF(OR($CD11="DNE",$CD11=0),0,1))</f>
        <v>0</v>
      </c>
      <c r="CI11" s="80">
        <f>IF($B$2&gt;0,"",IF(OR($K11="",$K11=0),0,IF($BZ11="FT",IF(ISNA(VLOOKUP(CONCATENATE($R11,4),master,6,FALSE)=TRUE),0,VLOOKUP(CONCATENATE($R11,4),master,6,FALSE)),IF(ISNA(VLOOKUP(CONCATENATE($R11,2),master,6,FALSE)=TRUE),0,VLOOKUP(CONCATENATE($R11,2),master,6,FALSE)))))</f>
        <v>0</v>
      </c>
      <c r="CJ11" s="47">
        <f>IF($B$2&gt;0,"",IF(OR($L11="",$L11=0),0,IF($BZ11="FT",IF(ISNA(VLOOKUP(CONCATENATE($R11,6),master,6,FALSE)=TRUE),0,VLOOKUP(CONCATENATE($R11,6),master,6,FALSE)),IF(ISNA(VLOOKUP(CONCATENATE($R11,3),master,6,FALSE)=TRUE),0,VLOOKUP(CONCATENATE($R11,3),master,6,FALSE)))))</f>
        <v>0</v>
      </c>
      <c r="CK11" s="47">
        <f>IF($B$2&gt;0,"",IF(OR($M11="",$M11=0),0,IF($BZ11="FT",IF(ISNA(VLOOKUP(CONCATENATE($R11,8),master,6,FALSE)=TRUE),0,VLOOKUP(CONCATENATE($R11,8),master,6,FALSE)),IF(ISNA(VLOOKUP(CONCATENATE($R11,4),master,6,FALSE)=TRUE),0,VLOOKUP(CONCATENATE($R11,4),master,6,FALSE)))))</f>
        <v>0</v>
      </c>
      <c r="CL11" s="48">
        <f>IF($B$2&gt;0,"",IF(OR($N11="",$N11=0),0,IF($BZ11="FT",IF(ISNA(VLOOKUP(CONCATENATE($R11,12),master,6,FALSE)=TRUE),0,VLOOKUP(CONCATENATE($R11,12),master,6,FALSE)),IF(ISNA(VLOOKUP(CONCATENATE($R11,5),master,6,FALSE)=TRUE),0,VLOOKUP(CONCATENATE($R11,5),master,6,FALSE)))))</f>
        <v>0</v>
      </c>
      <c r="CM11" s="49">
        <f>IF($B$2&gt;0,"",IF(OR($K11="",$K11=0),0,IF($BZ11="FT",IF(ISNA(VLOOKUP(CONCATENATE($R11,4),master,MATCH(CONCATENATE($AN11,"_",$AM$6),master_header,0),FALSE)=TRUE),0,VLOOKUP(CONCATENATE($R11,4),master,MATCH(CONCATENATE($AN11,"_",$AM$6),master_header,0),FALSE)),IF(ISNA(VLOOKUP(CONCATENATE($R11,2),master,MATCH(CONCATENATE($AN11,"_",$AM$6),master_header,0),FALSE)=TRUE),0,VLOOKUP(CONCATENATE($R11,2),master,MATCH(CONCATENATE($AN11,"_",$AM$6),master_header,0),FALSE)))))</f>
        <v>0</v>
      </c>
      <c r="CN11" s="50">
        <f>IF($B$2&gt;0,"",IF(OR($L11="",$L11=0),0,IF($BZ11="FT",IF(ISNA(VLOOKUP(CONCATENATE($R11,6),master,MATCH(CONCATENATE($AN11,"_",$AM$6),master_header,0),FALSE)=TRUE),0,VLOOKUP(CONCATENATE($R11,6),master,MATCH(CONCATENATE($AN11,"_",$AM$6),master_header,0),FALSE)),IF(ISNA(VLOOKUP(CONCATENATE($R11,3),master,MATCH(CONCATENATE($AN11,"_",$AM$6),master_header,0),FALSE)=TRUE),0,VLOOKUP(CONCATENATE($R11,3),master,MATCH(CONCATENATE($AN11,"_",$AM$6),master_header,0),FALSE)))))</f>
        <v>0</v>
      </c>
      <c r="CO11" s="50">
        <f>IF($B$2&gt;0,"",IF(OR($M11="",$M11=0),0,IF($BZ11="FT",IF(ISNA(VLOOKUP(CONCATENATE($R11,8),master,MATCH(CONCATENATE($AN11,"_",$AM$6),master_header,0),FALSE)=TRUE),0,VLOOKUP(CONCATENATE($R11,8),master,MATCH(CONCATENATE($AN11,"_",$AM$6),master_header,0),FALSE)),IF(ISNA(VLOOKUP(CONCATENATE($R11,4),master,MATCH(CONCATENATE($AN11,"_",$AM$6),master_header,0),FALSE)=TRUE),0,VLOOKUP(CONCATENATE($R11,4),master,MATCH(CONCATENATE($AN11,"_",$AM$6),master_header,0),FALSE)))))</f>
        <v>0</v>
      </c>
      <c r="CP11" s="50">
        <f>IF($B$2&gt;0,"",IF(OR($N11="",$N11=0),0,IF($BZ11="FT",IF(ISNA(VLOOKUP(CONCATENATE($R11,12),master,MATCH(CONCATENATE($AN11,"_",$AM$6),master_header,0),FALSE)=TRUE),0,VLOOKUP(CONCATENATE($R11,12),master,MATCH(CONCATENATE($AN11,"_",$AM$6),master_header,0),FALSE)),IF(ISNA(VLOOKUP(CONCATENATE($R11,5),master,MATCH(CONCATENATE($AN11,"_",$AM$6),master_header,0),FALSE)=TRUE),0,VLOOKUP(CONCATENATE($R11,5),master,MATCH(CONCATENATE($AN11,"_",$AM$6),master_header,0),FALSE)))))</f>
        <v>0</v>
      </c>
      <c r="CQ11" s="51">
        <f>IF($B$2&gt;0,"",$K11*$CM11+$L11*$CN11+$M11*$CO11+$N11*$CP11)</f>
        <v>0</v>
      </c>
      <c r="CR11" s="49">
        <f>IF($B$2&gt;0,"",IF(OR($K11="",$K11=0),0,IF($BZ11="FT",IF(ISNA(VLOOKUP(CONCATENATE($R11,4),master,9,FALSE)=TRUE),0,VLOOKUP(CONCATENATE($R11,4),master,9,FALSE)),IF(ISNA(VLOOKUP(CONCATENATE($R11,2),master,9,FALSE)=TRUE),0,VLOOKUP(CONCATENATE($R11,2),master,9,FALSE)))))</f>
        <v>0</v>
      </c>
      <c r="CS11" s="50">
        <f>IF($B$2&gt;0,"",IF(OR($L11="",$L11=0),0,IF($BZ11="FT",IF(ISNA(VLOOKUP(CONCATENATE($R11,6),master,9,FALSE)=TRUE),0,VLOOKUP(CONCATENATE($R11,6),master,9,FALSE)),IF(ISNA(VLOOKUP(CONCATENATE($R11,3),master,9,FALSE)=TRUE),0,VLOOKUP(CONCATENATE($R11,3),master,9,FALSE)))))</f>
        <v>0</v>
      </c>
      <c r="CT11" s="50">
        <f>IF($B$2&gt;0,"",IF(OR($M11="",$M11=0),0,IF($BZ11="FT",IF(ISNA(VLOOKUP(CONCATENATE($R11,8),master,9,FALSE)=TRUE),0,VLOOKUP(CONCATENATE($R11,8),master,9,FALSE)),IF(ISNA(VLOOKUP(CONCATENATE($R11,4),master,9,FALSE)=TRUE),0,VLOOKUP(CONCATENATE($R11,4),master,9,FALSE)))))</f>
        <v>0</v>
      </c>
      <c r="CU11" s="52">
        <f>IF($B$2&gt;0,"",IF(OR($N11="",$N11=0),0,IF($BZ11="FT",IF(ISNA(VLOOKUP(CONCATENATE($R11,12),master,9,FALSE)=TRUE),0,VLOOKUP(CONCATENATE($R11,12),master,9,FALSE)),IF(ISNA(VLOOKUP(CONCATENATE($R11,5),master,9,FALSE)=TRUE),0,VLOOKUP(CONCATENATE($R11,5),master,9,FALSE)))))</f>
        <v>0</v>
      </c>
      <c r="CV11" s="49">
        <f>IF($B$2&gt;0,"",IF(OR($K11="",$K11=0),0,IF($BZ11="FT",IF(ISNA(VLOOKUP(CONCATENATE($R11,4),master,10,FALSE)=TRUE),0,VLOOKUP(CONCATENATE($R11,4),master,10,FALSE)),IF(ISNA(VLOOKUP(CONCATENATE($R11,2),master,10,FALSE)=TRUE),0,VLOOKUP(CONCATENATE($R11,2),master,10,FALSE)))))</f>
        <v>0</v>
      </c>
      <c r="CW11" s="50">
        <f>IF($B$2&gt;0,"",IF(OR($L11="",$L11=0),0,IF($BZ11="FT",IF(ISNA(VLOOKUP(CONCATENATE($R11,6),master,10,FALSE)=TRUE),0,VLOOKUP(CONCATENATE($R11,6),master,10,FALSE)),IF(ISNA(VLOOKUP(CONCATENATE($R11,3),master,10,FALSE)=TRUE),0,VLOOKUP(CONCATENATE($R11,3),master,10,FALSE)))))</f>
        <v>0</v>
      </c>
      <c r="CX11" s="50">
        <f>IF($B$2&gt;0,"",IF(OR($M11="",$M11=0),0,IF($BZ11="FT",IF(ISNA(VLOOKUP(CONCATENATE($R11,8),master,10,FALSE)=TRUE),0,VLOOKUP(CONCATENATE($R11,8),master,10,FALSE)),IF(ISNA(VLOOKUP(CONCATENATE($R11,4),master,10,FALSE)=TRUE),0,VLOOKUP(CONCATENATE($R11,4),master,10,FALSE)))))</f>
        <v>0</v>
      </c>
      <c r="CY11" s="50">
        <f>IF($B$2&gt;0,"",IF(OR($N11="",$N11=0),0,IF($BZ11="FT",IF(ISNA(VLOOKUP(CONCATENATE($R11,12),master,10,FALSE)=TRUE),0,VLOOKUP(CONCATENATE($R11,12),master,10,FALSE)),IF(ISNA(VLOOKUP(CONCATENATE($R11,5),master,10,FALSE)=TRUE),0,VLOOKUP(CONCATENATE($R11,5),master,10,FALSE)))))</f>
        <v>0</v>
      </c>
      <c r="CZ11" s="49">
        <f>IF($B$2&gt;0,"",IF(OR($K11="",$K11=0),0,IF($BZ11="FT",IF(ISNA(VLOOKUP(CONCATENATE($R11,4),master,MATCH(CONCATENATE($AK11,"_",$AJ$6),master_header,0),FALSE)=TRUE),0,VLOOKUP(CONCATENATE($R11,4),master,MATCH(CONCATENATE($AK11,"_",$AJ$6),master_header,0),FALSE)),IF(ISNA(VLOOKUP(CONCATENATE($R11,2),master,MATCH(CONCATENATE($AK11,"_",$AJ$6),master_header,0),FALSE)=TRUE),0,VLOOKUP(CONCATENATE($R11,2),master,MATCH(CONCATENATE($AK11,"_",$AJ$6),master_header,0),FALSE)))))</f>
        <v>0</v>
      </c>
      <c r="DA11" s="50">
        <f>IF($B$2&gt;0,"",IF(OR($L11="",$L11=0),0,IF($BZ11="FT",IF(ISNA(VLOOKUP(CONCATENATE($R11,6),master,MATCH(CONCATENATE($AK11,"_",$AJ$6),master_header,0),FALSE)=TRUE),0,VLOOKUP(CONCATENATE($R11,6),master,MATCH(CONCATENATE($AK11,"_",$AJ$6),master_header,0),FALSE)),IF(ISNA(VLOOKUP(CONCATENATE($R11,3),master,MATCH(CONCATENATE($AK11,"_",$AJ$6),master_header,0),FALSE)=TRUE),0,VLOOKUP(CONCATENATE($R11,3),master,MATCH(CONCATENATE($AK11,"_",$AJ$6),master_header,0),FALSE)))))</f>
        <v>0</v>
      </c>
      <c r="DB11" s="50">
        <f>IF($B$2&gt;0,"",IF(OR($M11="",$M11=0),0,IF($BZ11="FT",IF(ISNA(VLOOKUP(CONCATENATE($R11,8),master,MATCH(CONCATENATE($AK11,"_",$AJ$6),master_header,0),FALSE)=TRUE),0,VLOOKUP(CONCATENATE($R11,8),master,MATCH(CONCATENATE($AK11,"_",$AJ$6),master_header,0),FALSE)),IF(ISNA(VLOOKUP(CONCATENATE($R11,4),master,MATCH(CONCATENATE($AK11,"_",$AJ$6),master_header,0),FALSE)=TRUE),0,VLOOKUP(CONCATENATE($R11,4),master,MATCH(CONCATENATE($AK11,"_",$AJ$6),master_header,0),FALSE)))))</f>
        <v>0</v>
      </c>
      <c r="DC11" s="50">
        <f>IF($B$2&gt;0,"",IF(OR($N11="",$N11=0),0,IF($BZ11="FT",IF(ISNA(VLOOKUP(CONCATENATE($R11,12),master,MATCH(CONCATENATE($AK11,"_",$AJ$6),master_header,0),FALSE)=TRUE),0,VLOOKUP(CONCATENATE($R11,12),master,MATCH(CONCATENATE($AK11,"_",$AJ$6),master_header,0),FALSE)),IF(ISNA(VLOOKUP(CONCATENATE($R11,5),master,MATCH(CONCATENATE($AK11,"_",$AJ$6),master_header,0),FALSE)=TRUE),0,VLOOKUP(CONCATENATE($R11,5),master,MATCH(CONCATENATE($AK11,"_",$AJ$6),master_header,0),FALSE)))))</f>
        <v>0</v>
      </c>
      <c r="DD11" s="53">
        <f>IF($B$2&gt;0,"",IF($AI11="EL",$K11*$CZ11+$L11*$DA11+$M11*$DB11+$N11*$DC11,0))</f>
        <v>0</v>
      </c>
      <c r="DE11" s="49">
        <f>IF($B$2&gt;0,"",IF(OR($K11="",$K11=0),0,IF($BZ11="FT",IF(ISNA(VLOOKUP(CONCATENATE($R11,4),master,16,FALSE)=TRUE),0,VLOOKUP(CONCATENATE($R11,4),master,16,FALSE)),IF(ISNA(VLOOKUP(CONCATENATE($R11,2),master,16,FALSE)=TRUE),0,VLOOKUP(CONCATENATE($R11,2),master,16,FALSE)))))</f>
        <v>0</v>
      </c>
      <c r="DF11" s="50">
        <f>IF($B$2&gt;0,"",IF(OR($L11="",$L11=0),0,IF($BZ11="FT",IF(ISNA(VLOOKUP(CONCATENATE($R11,6),master,16,FALSE)=TRUE),0,VLOOKUP(CONCATENATE($R11,6),master,16,FALSE)),IF(ISNA(VLOOKUP(CONCATENATE($R11,3),master,16,FALSE)=TRUE),0,VLOOKUP(CONCATENATE($R11,3),master,16,FALSE)))))</f>
        <v>0</v>
      </c>
      <c r="DG11" s="50">
        <f>IF($B$2&gt;0,"",IF(OR($M11="",$M11=0),0,IF($BZ11="FT",IF(ISNA(VLOOKUP(CONCATENATE($R11,8),master,16,FALSE)=TRUE),0,VLOOKUP(CONCATENATE($R11,8),master,16,FALSE)),IF(ISNA(VLOOKUP(CONCATENATE($R11,4),master,16,FALSE)=TRUE),0,VLOOKUP(CONCATENATE($R11,4),master,16,FALSE)))))</f>
        <v>0</v>
      </c>
      <c r="DH11" s="50">
        <f>IF($B$2&gt;0,"",IF(OR($N11="",$N11=0),0,IF($BZ11="FT",IF(ISNA(VLOOKUP(CONCATENATE($R11,12),master,16,FALSE)=TRUE),0,VLOOKUP(CONCATENATE($R11,12),master,16,FALSE)),IF(ISNA(VLOOKUP(CONCATENATE($R11,5),master,16,FALSE)=TRUE),0,VLOOKUP(CONCATENATE($R11,5),master,16,FALSE)))))</f>
        <v>0</v>
      </c>
      <c r="DI11" s="53" t="str">
        <f>IF($B$2&gt;0,"",IF($AI11="HG",$K11*$DE11+$L11*$DF11+$M11*$DG11+$N11*$DH11,"0.00"))</f>
        <v>0.00</v>
      </c>
      <c r="DJ11" s="49">
        <f>IF($B$2&gt;0,"",IF(OR($K11="",$K11=0),0,IF($BZ11="FT",IF(ISNA(VLOOKUP(CONCATENATE($R11,4),master,15,FALSE)=TRUE),0,VLOOKUP(CONCATENATE($R11,4),master,15,FALSE)),IF(ISNA(VLOOKUP(CONCATENATE($R11,2),master,15,FALSE)=TRUE),0,VLOOKUP(CONCATENATE($R11,2),master,15,FALSE)))))</f>
        <v>0</v>
      </c>
      <c r="DK11" s="50">
        <f>IF($B$2&gt;0,"",IF(OR($L11="",$L11=0),0,IF($BZ11="FT",IF(ISNA(VLOOKUP(CONCATENATE($R11,6),master,15,FALSE)=TRUE),0,VLOOKUP(CONCATENATE($R11,6),master,15,FALSE)),IF(ISNA(VLOOKUP(CONCATENATE($R11,3),master,15,FALSE)=TRUE),0,VLOOKUP(CONCATENATE($R11,3),master,15,FALSE)))))</f>
        <v>0</v>
      </c>
      <c r="DL11" s="50">
        <f>IF($B$2&gt;0,"",IF(OR($M11="",$M11=0),0,IF($BZ11="FT",IF(ISNA(VLOOKUP(CONCATENATE($R11,8),master,15,FALSE)=TRUE),0,VLOOKUP(CONCATENATE($R11,8),master,15,FALSE)),IF(ISNA(VLOOKUP(CONCATENATE($R11,4),master,15,FALSE)=TRUE),0,VLOOKUP(CONCATENATE($R11,4),master,15,FALSE)))))</f>
        <v>0</v>
      </c>
      <c r="DM11" s="52">
        <f>IF($B$2&gt;0,"",IF(OR($N11="",$N11=0),0,IF($BZ11="FT",IF(ISNA(VLOOKUP(CONCATENATE($R11,12),master,15,FALSE)=TRUE),0,VLOOKUP(CONCATENATE($R11,12),master,15,FALSE)),IF(ISNA(VLOOKUP(CONCATENATE($R11,5),master,15,FALSE)=TRUE),0,VLOOKUP(CONCATENATE($R11,5),master,15,FALSE)))))</f>
        <v>0</v>
      </c>
      <c r="DO11" s="49">
        <f>IF($B$2&gt;0,"",IF(OR($V11="",$V11=0),0,IF(ISNA(VLOOKUP($W11,evapdx,MATCH(CONCATENATE($AK11,"_",$AJ$6),evapdx_header,0),FALSE)=TRUE),0,VLOOKUP($W11,evapdx,MATCH(CONCATENATE($AK11,"_",$AJ$6),evapdx_header,0),FALSE))))</f>
        <v>0</v>
      </c>
      <c r="DP11" s="54">
        <f>IF($B$2&gt;0,"",$DO11*$V11)</f>
        <v>0</v>
      </c>
      <c r="DQ11" s="49">
        <f>IF($B$2&gt;0,"",IF(OR($V11="",$V11=0),0,IF(ISNA(VLOOKUP($W11,evapdx,MATCH(CONCATENATE($AK11,"_pan"),evapdx_header,0),FALSE)=TRUE),0,VLOOKUP($W11,evapdx,MATCH(CONCATENATE($AK11,"_pan"),evapdx_header,0),FALSE))))</f>
        <v>0</v>
      </c>
      <c r="DR11" s="52">
        <f>IF($B$2&gt;0,"",$DQ11*$V11)</f>
        <v>0</v>
      </c>
      <c r="DS11" s="49">
        <f>IF($B$2&gt;0,"",IF(OR($V11="",$V11=0),0,IF(ISNA(VLOOKUP($W11,evapdx,MATCH(CONCATENATE($AN11,"_",$AM$6),evapdx_header,0),FALSE)=TRUE),0,VLOOKUP($W11,evapdx,MATCH(CONCATENATE($AN11,"_",$AM$6),evapdx_header,0),FALSE))))</f>
        <v>0</v>
      </c>
      <c r="DT11" s="54">
        <f>IF($B$2&gt;0,"",$DS11*$V11)</f>
        <v>0</v>
      </c>
      <c r="DU11" s="125" t="str">
        <f>IF($B$2&gt;0,"",IF(OR($V11="",$V11=0),"Enter Def.",VLOOKUP($W11,evapdx,MATCH("defrost_type",evapdx_header,1),FALSE)))</f>
        <v>Enter Def.</v>
      </c>
      <c r="DV11" s="126" t="e">
        <f>IF($B$2&gt;0,"",VLOOKUP($H11,'Walk-in Load Calc'!$F$5:$Q$37,11,FALSE))</f>
        <v>#N/A</v>
      </c>
      <c r="DW11" s="135" t="s">
        <v>352</v>
      </c>
      <c r="DX11" s="136" t="s">
        <v>144</v>
      </c>
      <c r="DY11" s="137" t="str">
        <f>IF($B$2&gt;0,"",IF(OR($W11="Enter Evap. Model",$W11=""), "-",VLOOKUP($W11,'HEAT-X'!$U$9:$V$77,2,FALSE)))</f>
        <v>-</v>
      </c>
      <c r="EB11" s="49">
        <f>IF($B$2&gt;0,"",IF(OR($K11="",$K11=0),0,IF($BZ11="FT",IF(ISNA(VLOOKUP(CONCATENATE($R11,4),master,21,FALSE)=TRUE),0,VLOOKUP(CONCATENATE($R11,4),master,21,FALSE)),IF(ISNA(VLOOKUP(CONCATENATE($R11,2),master,21,FALSE)=TRUE),0,VLOOKUP(CONCATENATE($R11,2),master,21,FALSE)))))</f>
        <v>0</v>
      </c>
      <c r="EC11" s="50">
        <f>IF($B$2&gt;0,"",IF(OR($L11="",$L11=0),0,IF($BZ11="FT",IF(ISNA(VLOOKUP(CONCATENATE($R11,6),master,21,FALSE)=TRUE),0,VLOOKUP(CONCATENATE($R11,6),master,21,FALSE)),IF(ISNA(VLOOKUP(CONCATENATE($R11,3),master,21,FALSE)=TRUE),0,VLOOKUP(CONCATENATE($R11,3),master,21,FALSE)))))</f>
        <v>0</v>
      </c>
      <c r="ED11" s="50">
        <f>IF($B$2&gt;0,"",IF(OR($M11="",$M11=0),0,IF($BZ11="FT",IF(ISNA(VLOOKUP(CONCATENATE($R11,8),master,21,FALSE)=TRUE),0,VLOOKUP(CONCATENATE($R11,8),master,21,FALSE)),IF(ISNA(VLOOKUP(CONCATENATE($R11,4),master,21,FALSE)=TRUE),0,VLOOKUP(CONCATENATE($R11,4),master,21,FALSE)))))</f>
        <v>0</v>
      </c>
      <c r="EE11" s="52">
        <f>IF($B$2&gt;0,"",IF(OR($N11="",$N11=0),0,IF($BZ11="FT",IF(ISNA(VLOOKUP(CONCATENATE($R11,12),master,21,FALSE)=TRUE),0,VLOOKUP(CONCATENATE($R11,12),master,21,FALSE)),IF(ISNA(VLOOKUP(CONCATENATE($R11,5),master,21,FALSE)=TRUE),0,VLOOKUP(CONCATENATE($R11,5),master,21,FALSE)))))</f>
        <v>0</v>
      </c>
      <c r="EG11" s="49">
        <f>IF($B$2&gt;0,"",IF(OR($K11="",$K11=0),0,IF($BZ11="FT",IF(ISNA(VLOOKUP(CONCATENATE($R11,4),master,22,FALSE)=TRUE),0,VLOOKUP(CONCATENATE($R11,4),master,22,FALSE)),IF(ISNA(VLOOKUP(CONCATENATE($R11,2),master,22,FALSE)=TRUE),0,VLOOKUP(CONCATENATE($R11,2),master,22,FALSE)))))</f>
        <v>0</v>
      </c>
      <c r="EH11" s="50">
        <f>IF($B$2&gt;0,"",IF(OR($L11="",$L11=0),0,IF($BZ11="FT",IF(ISNA(VLOOKUP(CONCATENATE($R11,6),master,22,FALSE)=TRUE),0,VLOOKUP(CONCATENATE($R11,6),master,22,FALSE)),IF(ISNA(VLOOKUP(CONCATENATE($R11,3),master,22,FALSE)=TRUE),0,VLOOKUP(CONCATENATE($R11,3),master,22,FALSE)))))</f>
        <v>0</v>
      </c>
      <c r="EI11" s="50">
        <f>IF($B$2&gt;0,"",IF(OR($M11="",$M11=0),0,IF($BZ11="FT",IF(ISNA(VLOOKUP(CONCATENATE($R11,8),master,22,FALSE)=TRUE),0,VLOOKUP(CONCATENATE($R11,8),master,22,FALSE)),IF(ISNA(VLOOKUP(CONCATENATE($R11,4),master,22,FALSE)=TRUE),0,VLOOKUP(CONCATENATE($R11,4),master,22,FALSE)))))</f>
        <v>0</v>
      </c>
      <c r="EJ11" s="52">
        <f>IF($B$2&gt;0,"",IF(OR($N11="",$N11=0),0,IF($BZ11="FT",IF(ISNA(VLOOKUP(CONCATENATE($R11,12),master,22,FALSE)=TRUE),0,VLOOKUP(CONCATENATE($R11,12),master,22,FALSE)),IF(ISNA(VLOOKUP(CONCATENATE($R11,5),master,22,FALSE)=TRUE),0,VLOOKUP(CONCATENATE($R11,5),master,22,FALSE)))))</f>
        <v>0</v>
      </c>
      <c r="EL11" s="49">
        <f>IF($B$2&gt;0,"",IF(OR($K11="",$K11=0),0,IF($BZ11="FT",IF(ISNA(VLOOKUP(CONCATENATE($R11,4),master,23,FALSE)=TRUE),0,VLOOKUP(CONCATENATE($R11,4),master,23,FALSE)),IF(ISNA(VLOOKUP(CONCATENATE($R11,2),master,23,FALSE)=TRUE),0,VLOOKUP(CONCATENATE($R11,2),master,23,FALSE)))))</f>
        <v>0</v>
      </c>
      <c r="EM11" s="50">
        <f>IF($B$2&gt;0,"",IF(OR($L11="",$L11=0),0,IF($BZ11="FT",IF(ISNA(VLOOKUP(CONCATENATE($R11,6),master,23,FALSE)=TRUE),0,VLOOKUP(CONCATENATE($R11,6),master,23,FALSE)),IF(ISNA(VLOOKUP(CONCATENATE($R11,3),master,23,FALSE)=TRUE),0,VLOOKUP(CONCATENATE($R11,3),master,23,FALSE)))))</f>
        <v>0</v>
      </c>
      <c r="EN11" s="50">
        <f>IF($B$2&gt;0,"",IF(OR($M11="",$M11=0),0,IF($BZ11="FT",IF(ISNA(VLOOKUP(CONCATENATE($R11,8),master,23,FALSE)=TRUE),0,VLOOKUP(CONCATENATE($R11,8),master,23,FALSE)),IF(ISNA(VLOOKUP(CONCATENATE($R11,4),master,23,FALSE)=TRUE),0,VLOOKUP(CONCATENATE($R11,4),master,23,FALSE)))))</f>
        <v>0</v>
      </c>
      <c r="EO11" s="52">
        <f>IF($B$2&gt;0,"",IF(OR($N11="",$N11=0),0,IF($BZ11="FT",IF(ISNA(VLOOKUP(CONCATENATE($R11,12),master,23,FALSE)=TRUE),0,VLOOKUP(CONCATENATE($R11,12),master,23,FALSE)),IF(ISNA(VLOOKUP(CONCATENATE($R11,5),master,23,FALSE)=TRUE),0,VLOOKUP(CONCATENATE($R11,5),master,23,FALSE)))))</f>
        <v>0</v>
      </c>
      <c r="EQ11" s="49">
        <f>IF($B$2&gt;0,"",IF(OR($K11="",$K11=0),0,IF($BZ11="FT",IF(ISNA(VLOOKUP(CONCATENATE($R11,4),master,6,FALSE)=TRUE),0,INDEX(master,MATCH((CONCATENATE($R11,4)),master_CONC,0),MATCH(CONCATENATE($U$1,"_",$AT$1),master_header,0))),IF(ISNA(VLOOKUP(CONCATENATE($R11,2),master,6,FALSE)=TRUE),0,INDEX(master,MATCH((CONCATENATE($R11,2)),master,0),MATCH(CONCATENATE($U$1,"_",$AT$1),master_header,0))))))</f>
        <v>0</v>
      </c>
      <c r="ER11" s="50">
        <f>IF($B$2&gt;0,"",IF(OR($L11="",$L11=0),0,IF($BZ11="FT",IF(ISNA(VLOOKUP(CONCATENATE($R11,6),master,6,FALSE)=TRUE),0,INDEX(master,MATCH((CONCATENATE($R11,6)),master_CONC,0),MATCH(CONCATENATE($U$1,"_",$AT$1),master_header,0))),IF(ISNA(VLOOKUP(CONCATENATE($R11,3),master,6,FALSE)=TRUE),0,INDEX(master,MATCH((CONCATENATE($R11,3)),master,0),MATCH(CONCATENATE($U$1,"_",$AT$1),master_header,0))))))</f>
        <v>0</v>
      </c>
      <c r="ES11" s="50">
        <f>IF($B$2&gt;0,"",IF(OR($M11="",$M11=0),0,IF($BZ11="FT",IF(ISNA(VLOOKUP(CONCATENATE($R11,8),master,6,FALSE)=TRUE),0,INDEX(master,MATCH((CONCATENATE($R11,8)),master_CONC,0),MATCH(CONCATENATE($U$1,"_",$AT$1),master_header,0))),IF(ISNA(VLOOKUP(CONCATENATE($R11,4),master,6,FALSE)=TRUE),0,INDEX(master,MATCH((CONCATENATE($R11,4)),master,0),MATCH(CONCATENATE($U$1,"_",$AT$1),master_header,0))))))</f>
        <v>0</v>
      </c>
      <c r="ET11" s="52">
        <f>IF($B$2&gt;0,"",IF(OR($N11="",$N11=0),0,IF($BZ11="FT",IF(ISNA(VLOOKUP(CONCATENATE($R11,12),master,6,FALSE)=TRUE),0,INDEX(master,MATCH((CONCATENATE($R11,12)),master_CONC,0),MATCH(CONCATENATE($U$1,"_",$AT$1),master_header,0))),IF(ISNA(VLOOKUP(CONCATENATE($R11,5),master,6,FALSE)=TRUE),0,INDEX(master,MATCH((CONCATENATE($R11,5)),master,0),MATCH(CONCATENATE($U$1,"_",$AT$1),master_header,0))))))</f>
        <v>0</v>
      </c>
    </row>
    <row r="12" spans="1:150" ht="12" hidden="1" customHeight="1" thickBot="1" x14ac:dyDescent="0.25">
      <c r="A12" s="169"/>
      <c r="B12" s="184"/>
      <c r="C12" s="172"/>
      <c r="D12" s="171"/>
      <c r="E12" s="445"/>
      <c r="F12" s="171"/>
      <c r="G12" s="445" t="str">
        <f t="shared" si="65"/>
        <v/>
      </c>
      <c r="H12" s="170"/>
      <c r="I12"/>
      <c r="J12"/>
      <c r="K12"/>
      <c r="L12"/>
      <c r="M12"/>
      <c r="N12"/>
      <c r="O12"/>
      <c r="P12"/>
      <c r="Q12"/>
      <c r="R12"/>
      <c r="S12"/>
      <c r="T12"/>
      <c r="U12"/>
      <c r="V12"/>
      <c r="W12"/>
      <c r="X12"/>
      <c r="Y12"/>
      <c r="Z12"/>
      <c r="AA12"/>
      <c r="AB12"/>
      <c r="AC12" s="534"/>
      <c r="AD12"/>
      <c r="AE12"/>
      <c r="AF12"/>
      <c r="AG12"/>
      <c r="AH12"/>
      <c r="AI12"/>
      <c r="AJ12"/>
      <c r="AK12"/>
      <c r="AL12"/>
      <c r="AM12"/>
      <c r="AN12"/>
      <c r="AO12"/>
      <c r="AP12"/>
      <c r="AQ12"/>
      <c r="AR12"/>
      <c r="AS12"/>
      <c r="AT12" s="183"/>
      <c r="AU12" s="893" t="str">
        <f t="shared" si="66"/>
        <v/>
      </c>
    </row>
    <row r="13" spans="1:150" ht="12" hidden="1" customHeight="1" thickBot="1" x14ac:dyDescent="0.25">
      <c r="A13" s="552"/>
      <c r="B13" s="535" t="s">
        <v>403</v>
      </c>
      <c r="C13" s="550" t="s">
        <v>1179</v>
      </c>
      <c r="D13" s="551"/>
      <c r="E13" s="445">
        <v>2</v>
      </c>
      <c r="F13" s="538"/>
      <c r="G13" s="445" t="str">
        <f t="shared" si="65"/>
        <v/>
      </c>
      <c r="H13" s="539"/>
      <c r="I13" s="540"/>
      <c r="J13" s="540"/>
      <c r="K13" s="540"/>
      <c r="L13" s="540"/>
      <c r="M13" s="540"/>
      <c r="N13" s="540"/>
      <c r="O13" s="540"/>
      <c r="P13" s="540"/>
      <c r="Q13" s="540"/>
      <c r="R13" s="540"/>
      <c r="S13" s="540"/>
      <c r="T13" s="540"/>
      <c r="U13" s="540"/>
      <c r="V13" s="541" t="str">
        <f>IF(LEFT($U$1,1)="g","FLUID GROUP #2  REQUIRED CAPACITY =    ","SUCTION GROUP #2  REQUIRED CAPACITY =    ")</f>
        <v xml:space="preserve">SUCTION GROUP #2  REQUIRED CAPACITY =    </v>
      </c>
      <c r="W13" s="540"/>
      <c r="X13" s="540"/>
      <c r="Y13" s="542"/>
      <c r="Z13" s="1438"/>
      <c r="AA13" s="1439">
        <f>SUM(AA11:AA12)</f>
        <v>0</v>
      </c>
      <c r="AB13" s="55" t="s">
        <v>106</v>
      </c>
      <c r="AC13" s="132">
        <f>IF(LEFT($U$1,1)="g",SUM(AC11:AC12)-DSUM(Z9:AC12,AC9,$F$4:$F$5)+LegendSG1RSST,MIN(AC11:AC12))</f>
        <v>0</v>
      </c>
      <c r="AD13" s="543" t="str">
        <f>IF(LEFT($U$1,1)="g","(GPM) Flow",IF(LEFT($U$1,1)="c","(°F) Fluid Temperature", "(°F) Suction Temperature"))</f>
        <v>(°F) Suction Temperature</v>
      </c>
      <c r="AE13" s="544"/>
      <c r="AF13" s="545"/>
      <c r="AG13" s="546"/>
      <c r="AH13" s="547"/>
      <c r="AI13" s="546"/>
      <c r="AJ13" s="548"/>
      <c r="AK13" s="546"/>
      <c r="AL13" s="546"/>
      <c r="AM13" s="548"/>
      <c r="AN13" s="546"/>
      <c r="AO13" s="548"/>
      <c r="AP13" s="548"/>
      <c r="AQ13" s="546"/>
      <c r="AR13" s="546"/>
      <c r="AS13" s="546"/>
      <c r="AT13" s="549"/>
      <c r="AU13" s="893" t="str">
        <f t="shared" si="66"/>
        <v/>
      </c>
    </row>
    <row r="14" spans="1:150" ht="12" hidden="1" customHeight="1" x14ac:dyDescent="0.2">
      <c r="A14" s="554"/>
      <c r="B14" s="555">
        <v>0</v>
      </c>
      <c r="C14" s="556" t="s">
        <v>134</v>
      </c>
      <c r="D14" s="867" t="s">
        <v>374</v>
      </c>
      <c r="E14" s="445">
        <v>3</v>
      </c>
      <c r="F14" s="553" t="s">
        <v>350</v>
      </c>
      <c r="G14" s="445" t="str">
        <f>IF(H14="","",H14)</f>
        <v/>
      </c>
      <c r="H14" s="850"/>
      <c r="I14" s="853"/>
      <c r="J14" s="853"/>
      <c r="K14" s="853"/>
      <c r="L14" s="852"/>
      <c r="M14" s="852"/>
      <c r="N14" s="853"/>
      <c r="O14" s="853"/>
      <c r="P14" s="853"/>
      <c r="Q14" s="853"/>
      <c r="R14" s="851"/>
      <c r="S14" s="851"/>
      <c r="T14" s="851"/>
      <c r="U14" s="864"/>
      <c r="V14" s="852"/>
      <c r="W14" s="853"/>
      <c r="X14" s="853"/>
      <c r="Y14" s="853"/>
      <c r="Z14" s="854">
        <v>0</v>
      </c>
      <c r="AA14" s="854">
        <v>0</v>
      </c>
      <c r="AB14" s="862"/>
      <c r="AC14" s="862"/>
      <c r="AD14" s="865"/>
      <c r="AE14" s="859"/>
      <c r="AF14" s="857"/>
      <c r="AG14" s="852"/>
      <c r="AH14" s="858"/>
      <c r="AI14" s="858"/>
      <c r="AJ14" s="857"/>
      <c r="AK14" s="851"/>
      <c r="AL14" s="852"/>
      <c r="AM14" s="857"/>
      <c r="AN14" s="853"/>
      <c r="AO14" s="857"/>
      <c r="AP14" s="857"/>
      <c r="AQ14" s="981"/>
      <c r="AR14" s="981"/>
      <c r="AS14" s="858"/>
      <c r="AT14" s="853"/>
      <c r="AU14" s="893" t="str">
        <f>IF(H14="","",IF(OR(B14=0,B14="SUB-CKT"),IF(ISNA(MATCH(H14,LoopSegs,0)),H14,""),""))</f>
        <v/>
      </c>
      <c r="AV14" s="893"/>
      <c r="BZ14" s="45" t="str">
        <f>IF($B$2&gt;0,"",IF($R14="","FT",IF($R14="Enter Case Model","FT",VLOOKUP($R14,model,2,FALSE))))</f>
        <v>FT</v>
      </c>
      <c r="CA14" s="46">
        <f>IF($B$2&gt;0,"",IF(OR($K14="",$K14=0),0,IF($BZ14="FT",IF(ISNA(VLOOKUP(CONCATENATE($R14,4),master,2,FALSE)=TRUE),"DNE",VLOOKUP(CONCATENATE($R14,4),master,2,FALSE)),IF(ISNA(VLOOKUP(CONCATENATE($R14,2),master,2,FALSE)=TRUE),"DNE",VLOOKUP(CONCATENATE($R14,2),master,2,FALSE)))))</f>
        <v>0</v>
      </c>
      <c r="CB14" s="46">
        <f>IF($B$2&gt;0,"",IF(OR($L14="",$L14=0),0,IF($BZ14="FT",IF(ISNA(VLOOKUP(CONCATENATE($R14,6),master,2,FALSE)=TRUE),"DNE",VLOOKUP(CONCATENATE($R14,6),master,2,FALSE)),IF(ISNA(VLOOKUP(CONCATENATE($R14,3),master,2,FALSE)=TRUE),"DNE",VLOOKUP(CONCATENATE($R14,3),master,2,FALSE)))))</f>
        <v>0</v>
      </c>
      <c r="CC14" s="46">
        <f>IF($B$2&gt;0,"",IF(OR($M14="",$M14=0),0,IF($BZ14="FT",IF(ISNA(VLOOKUP(CONCATENATE($R14,8),master,2,FALSE)=TRUE),"DNE",VLOOKUP(CONCATENATE($R14,8),master,2,FALSE)),IF(ISNA(VLOOKUP(CONCATENATE($R14,4),master,2,FALSE)=TRUE),"DNE",VLOOKUP(CONCATENATE($R14,4),master,2,FALSE)))))</f>
        <v>0</v>
      </c>
      <c r="CD14" s="79">
        <f>IF($B$2&gt;0,"",IF(OR($N14="",$N14=0),0,IF($BZ14="FT",IF(ISNA(VLOOKUP(CONCATENATE($R14,12),master,2,FALSE)=TRUE),"DNE",VLOOKUP(CONCATENATE($R14,12),master,2,FALSE)),IF(ISNA(VLOOKUP(CONCATENATE($R14,5),master,2,FALSE)=TRUE),"DNE",VLOOKUP(CONCATENATE($R14,5),master,2,FALSE)))))</f>
        <v>0</v>
      </c>
      <c r="CE14" s="81">
        <f>IF($B$2&gt;0,"",IF(OR($CA14="DNE",$CA14=0),0,1))</f>
        <v>0</v>
      </c>
      <c r="CF14" s="79">
        <f>IF($B$2&gt;0,"",IF(OR($CB14="DNE",$CB14=0),0,1))</f>
        <v>0</v>
      </c>
      <c r="CG14" s="46">
        <f>IF($B$2&gt;0,"",IF(OR($CC14="DNE",$CC14=0),0,1))</f>
        <v>0</v>
      </c>
      <c r="CH14" s="82">
        <f>IF($B$2&gt;0,"",IF(OR($CD14="DNE",$CD14=0),0,1))</f>
        <v>0</v>
      </c>
      <c r="CI14" s="80">
        <f>IF($B$2&gt;0,"",IF(OR($K14="",$K14=0),0,IF($BZ14="FT",IF(ISNA(VLOOKUP(CONCATENATE($R14,4),master,6,FALSE)=TRUE),0,VLOOKUP(CONCATENATE($R14,4),master,6,FALSE)),IF(ISNA(VLOOKUP(CONCATENATE($R14,2),master,6,FALSE)=TRUE),0,VLOOKUP(CONCATENATE($R14,2),master,6,FALSE)))))</f>
        <v>0</v>
      </c>
      <c r="CJ14" s="47">
        <f>IF($B$2&gt;0,"",IF(OR($L14="",$L14=0),0,IF($BZ14="FT",IF(ISNA(VLOOKUP(CONCATENATE($R14,6),master,6,FALSE)=TRUE),0,VLOOKUP(CONCATENATE($R14,6),master,6,FALSE)),IF(ISNA(VLOOKUP(CONCATENATE($R14,3),master,6,FALSE)=TRUE),0,VLOOKUP(CONCATENATE($R14,3),master,6,FALSE)))))</f>
        <v>0</v>
      </c>
      <c r="CK14" s="47">
        <f>IF($B$2&gt;0,"",IF(OR($M14="",$M14=0),0,IF($BZ14="FT",IF(ISNA(VLOOKUP(CONCATENATE($R14,8),master,6,FALSE)=TRUE),0,VLOOKUP(CONCATENATE($R14,8),master,6,FALSE)),IF(ISNA(VLOOKUP(CONCATENATE($R14,4),master,6,FALSE)=TRUE),0,VLOOKUP(CONCATENATE($R14,4),master,6,FALSE)))))</f>
        <v>0</v>
      </c>
      <c r="CL14" s="48">
        <f>IF($B$2&gt;0,"",IF(OR($N14="",$N14=0),0,IF($BZ14="FT",IF(ISNA(VLOOKUP(CONCATENATE($R14,12),master,6,FALSE)=TRUE),0,VLOOKUP(CONCATENATE($R14,12),master,6,FALSE)),IF(ISNA(VLOOKUP(CONCATENATE($R14,5),master,6,FALSE)=TRUE),0,VLOOKUP(CONCATENATE($R14,5),master,6,FALSE)))))</f>
        <v>0</v>
      </c>
      <c r="CM14" s="49">
        <f>IF($B$2&gt;0,"",IF(OR($K14="",$K14=0),0,IF($BZ14="FT",IF(ISNA(VLOOKUP(CONCATENATE($R14,4),master,MATCH(CONCATENATE($AN14,"_",$AM$6),master_header,0),FALSE)=TRUE),0,VLOOKUP(CONCATENATE($R14,4),master,MATCH(CONCATENATE($AN14,"_",$AM$6),master_header,0),FALSE)),IF(ISNA(VLOOKUP(CONCATENATE($R14,2),master,MATCH(CONCATENATE($AN14,"_",$AM$6),master_header,0),FALSE)=TRUE),0,VLOOKUP(CONCATENATE($R14,2),master,MATCH(CONCATENATE($AN14,"_",$AM$6),master_header,0),FALSE)))))</f>
        <v>0</v>
      </c>
      <c r="CN14" s="50">
        <f>IF($B$2&gt;0,"",IF(OR($L14="",$L14=0),0,IF($BZ14="FT",IF(ISNA(VLOOKUP(CONCATENATE($R14,6),master,MATCH(CONCATENATE($AN14,"_",$AM$6),master_header,0),FALSE)=TRUE),0,VLOOKUP(CONCATENATE($R14,6),master,MATCH(CONCATENATE($AN14,"_",$AM$6),master_header,0),FALSE)),IF(ISNA(VLOOKUP(CONCATENATE($R14,3),master,MATCH(CONCATENATE($AN14,"_",$AM$6),master_header,0),FALSE)=TRUE),0,VLOOKUP(CONCATENATE($R14,3),master,MATCH(CONCATENATE($AN14,"_",$AM$6),master_header,0),FALSE)))))</f>
        <v>0</v>
      </c>
      <c r="CO14" s="50">
        <f>IF($B$2&gt;0,"",IF(OR($M14="",$M14=0),0,IF($BZ14="FT",IF(ISNA(VLOOKUP(CONCATENATE($R14,8),master,MATCH(CONCATENATE($AN14,"_",$AM$6),master_header,0),FALSE)=TRUE),0,VLOOKUP(CONCATENATE($R14,8),master,MATCH(CONCATENATE($AN14,"_",$AM$6),master_header,0),FALSE)),IF(ISNA(VLOOKUP(CONCATENATE($R14,4),master,MATCH(CONCATENATE($AN14,"_",$AM$6),master_header,0),FALSE)=TRUE),0,VLOOKUP(CONCATENATE($R14,4),master,MATCH(CONCATENATE($AN14,"_",$AM$6),master_header,0),FALSE)))))</f>
        <v>0</v>
      </c>
      <c r="CP14" s="50">
        <f>IF($B$2&gt;0,"",IF(OR($N14="",$N14=0),0,IF($BZ14="FT",IF(ISNA(VLOOKUP(CONCATENATE($R14,12),master,MATCH(CONCATENATE($AN14,"_",$AM$6),master_header,0),FALSE)=TRUE),0,VLOOKUP(CONCATENATE($R14,12),master,MATCH(CONCATENATE($AN14,"_",$AM$6),master_header,0),FALSE)),IF(ISNA(VLOOKUP(CONCATENATE($R14,5),master,MATCH(CONCATENATE($AN14,"_",$AM$6),master_header,0),FALSE)=TRUE),0,VLOOKUP(CONCATENATE($R14,5),master,MATCH(CONCATENATE($AN14,"_",$AM$6),master_header,0),FALSE)))))</f>
        <v>0</v>
      </c>
      <c r="CQ14" s="51">
        <f>IF($B$2&gt;0,"",$K14*$CM14+$L14*$CN14+$M14*$CO14+$N14*$CP14)</f>
        <v>0</v>
      </c>
      <c r="CR14" s="49">
        <f>IF($B$2&gt;0,"",IF(OR($K14="",$K14=0),0,IF($BZ14="FT",IF(ISNA(VLOOKUP(CONCATENATE($R14,4),master,9,FALSE)=TRUE),0,VLOOKUP(CONCATENATE($R14,4),master,9,FALSE)),IF(ISNA(VLOOKUP(CONCATENATE($R14,2),master,9,FALSE)=TRUE),0,VLOOKUP(CONCATENATE($R14,2),master,9,FALSE)))))</f>
        <v>0</v>
      </c>
      <c r="CS14" s="50">
        <f>IF($B$2&gt;0,"",IF(OR($L14="",$L14=0),0,IF($BZ14="FT",IF(ISNA(VLOOKUP(CONCATENATE($R14,6),master,9,FALSE)=TRUE),0,VLOOKUP(CONCATENATE($R14,6),master,9,FALSE)),IF(ISNA(VLOOKUP(CONCATENATE($R14,3),master,9,FALSE)=TRUE),0,VLOOKUP(CONCATENATE($R14,3),master,9,FALSE)))))</f>
        <v>0</v>
      </c>
      <c r="CT14" s="50">
        <f>IF($B$2&gt;0,"",IF(OR($M14="",$M14=0),0,IF($BZ14="FT",IF(ISNA(VLOOKUP(CONCATENATE($R14,8),master,9,FALSE)=TRUE),0,VLOOKUP(CONCATENATE($R14,8),master,9,FALSE)),IF(ISNA(VLOOKUP(CONCATENATE($R14,4),master,9,FALSE)=TRUE),0,VLOOKUP(CONCATENATE($R14,4),master,9,FALSE)))))</f>
        <v>0</v>
      </c>
      <c r="CU14" s="52">
        <f>IF($B$2&gt;0,"",IF(OR($N14="",$N14=0),0,IF($BZ14="FT",IF(ISNA(VLOOKUP(CONCATENATE($R14,12),master,9,FALSE)=TRUE),0,VLOOKUP(CONCATENATE($R14,12),master,9,FALSE)),IF(ISNA(VLOOKUP(CONCATENATE($R14,5),master,9,FALSE)=TRUE),0,VLOOKUP(CONCATENATE($R14,5),master,9,FALSE)))))</f>
        <v>0</v>
      </c>
      <c r="CV14" s="49">
        <f>IF($B$2&gt;0,"",IF(OR($K14="",$K14=0),0,IF($BZ14="FT",IF(ISNA(VLOOKUP(CONCATENATE($R14,4),master,10,FALSE)=TRUE),0,VLOOKUP(CONCATENATE($R14,4),master,10,FALSE)),IF(ISNA(VLOOKUP(CONCATENATE($R14,2),master,10,FALSE)=TRUE),0,VLOOKUP(CONCATENATE($R14,2),master,10,FALSE)))))</f>
        <v>0</v>
      </c>
      <c r="CW14" s="50">
        <f>IF($B$2&gt;0,"",IF(OR($L14="",$L14=0),0,IF($BZ14="FT",IF(ISNA(VLOOKUP(CONCATENATE($R14,6),master,10,FALSE)=TRUE),0,VLOOKUP(CONCATENATE($R14,6),master,10,FALSE)),IF(ISNA(VLOOKUP(CONCATENATE($R14,3),master,10,FALSE)=TRUE),0,VLOOKUP(CONCATENATE($R14,3),master,10,FALSE)))))</f>
        <v>0</v>
      </c>
      <c r="CX14" s="50">
        <f>IF($B$2&gt;0,"",IF(OR($M14="",$M14=0),0,IF($BZ14="FT",IF(ISNA(VLOOKUP(CONCATENATE($R14,8),master,10,FALSE)=TRUE),0,VLOOKUP(CONCATENATE($R14,8),master,10,FALSE)),IF(ISNA(VLOOKUP(CONCATENATE($R14,4),master,10,FALSE)=TRUE),0,VLOOKUP(CONCATENATE($R14,4),master,10,FALSE)))))</f>
        <v>0</v>
      </c>
      <c r="CY14" s="50">
        <f>IF($B$2&gt;0,"",IF(OR($N14="",$N14=0),0,IF($BZ14="FT",IF(ISNA(VLOOKUP(CONCATENATE($R14,12),master,10,FALSE)=TRUE),0,VLOOKUP(CONCATENATE($R14,12),master,10,FALSE)),IF(ISNA(VLOOKUP(CONCATENATE($R14,5),master,10,FALSE)=TRUE),0,VLOOKUP(CONCATENATE($R14,5),master,10,FALSE)))))</f>
        <v>0</v>
      </c>
      <c r="CZ14" s="49">
        <f>IF($B$2&gt;0,"",IF(OR($K14="",$K14=0),0,IF($BZ14="FT",IF(ISNA(VLOOKUP(CONCATENATE($R14,4),master,MATCH(CONCATENATE($AK14,"_",$AJ$6),master_header,0),FALSE)=TRUE),0,VLOOKUP(CONCATENATE($R14,4),master,MATCH(CONCATENATE($AK14,"_",$AJ$6),master_header,0),FALSE)),IF(ISNA(VLOOKUP(CONCATENATE($R14,2),master,MATCH(CONCATENATE($AK14,"_",$AJ$6),master_header,0),FALSE)=TRUE),0,VLOOKUP(CONCATENATE($R14,2),master,MATCH(CONCATENATE($AK14,"_",$AJ$6),master_header,0),FALSE)))))</f>
        <v>0</v>
      </c>
      <c r="DA14" s="50">
        <f>IF($B$2&gt;0,"",IF(OR($L14="",$L14=0),0,IF($BZ14="FT",IF(ISNA(VLOOKUP(CONCATENATE($R14,6),master,MATCH(CONCATENATE($AK14,"_",$AJ$6),master_header,0),FALSE)=TRUE),0,VLOOKUP(CONCATENATE($R14,6),master,MATCH(CONCATENATE($AK14,"_",$AJ$6),master_header,0),FALSE)),IF(ISNA(VLOOKUP(CONCATENATE($R14,3),master,MATCH(CONCATENATE($AK14,"_",$AJ$6),master_header,0),FALSE)=TRUE),0,VLOOKUP(CONCATENATE($R14,3),master,MATCH(CONCATENATE($AK14,"_",$AJ$6),master_header,0),FALSE)))))</f>
        <v>0</v>
      </c>
      <c r="DB14" s="50">
        <f>IF($B$2&gt;0,"",IF(OR($M14="",$M14=0),0,IF($BZ14="FT",IF(ISNA(VLOOKUP(CONCATENATE($R14,8),master,MATCH(CONCATENATE($AK14,"_",$AJ$6),master_header,0),FALSE)=TRUE),0,VLOOKUP(CONCATENATE($R14,8),master,MATCH(CONCATENATE($AK14,"_",$AJ$6),master_header,0),FALSE)),IF(ISNA(VLOOKUP(CONCATENATE($R14,4),master,MATCH(CONCATENATE($AK14,"_",$AJ$6),master_header,0),FALSE)=TRUE),0,VLOOKUP(CONCATENATE($R14,4),master,MATCH(CONCATENATE($AK14,"_",$AJ$6),master_header,0),FALSE)))))</f>
        <v>0</v>
      </c>
      <c r="DC14" s="50">
        <f>IF($B$2&gt;0,"",IF(OR($N14="",$N14=0),0,IF($BZ14="FT",IF(ISNA(VLOOKUP(CONCATENATE($R14,12),master,MATCH(CONCATENATE($AK14,"_",$AJ$6),master_header,0),FALSE)=TRUE),0,VLOOKUP(CONCATENATE($R14,12),master,MATCH(CONCATENATE($AK14,"_",$AJ$6),master_header,0),FALSE)),IF(ISNA(VLOOKUP(CONCATENATE($R14,5),master,MATCH(CONCATENATE($AK14,"_",$AJ$6),master_header,0),FALSE)=TRUE),0,VLOOKUP(CONCATENATE($R14,5),master,MATCH(CONCATENATE($AK14,"_",$AJ$6),master_header,0),FALSE)))))</f>
        <v>0</v>
      </c>
      <c r="DD14" s="53" t="str">
        <f>IF($B$2&gt;0,"",IF($AI14="EL",$K14*$CZ14+$L14*$DA14+$M14*$DB14+$N14*$DC14,"0.00"))</f>
        <v>0.00</v>
      </c>
      <c r="DE14" s="49">
        <f>IF($B$2&gt;0,"",IF(OR($K14="",$K14=0),0,IF($BZ14="FT",IF(ISNA(VLOOKUP(CONCATENATE($R14,4),master,16,FALSE)=TRUE),0,VLOOKUP(CONCATENATE($R14,4),master,16,FALSE)),IF(ISNA(VLOOKUP(CONCATENATE($R14,2),master,16,FALSE)=TRUE),0,VLOOKUP(CONCATENATE($R14,2),master,16,FALSE)))))</f>
        <v>0</v>
      </c>
      <c r="DF14" s="50">
        <f>IF($B$2&gt;0,"",IF(OR($L14="",$L14=0),0,IF($BZ14="FT",IF(ISNA(VLOOKUP(CONCATENATE($R14,6),master,16,FALSE)=TRUE),0,VLOOKUP(CONCATENATE($R14,6),master,16,FALSE)),IF(ISNA(VLOOKUP(CONCATENATE($R14,3),master,16,FALSE)=TRUE),0,VLOOKUP(CONCATENATE($R14,3),master,16,FALSE)))))</f>
        <v>0</v>
      </c>
      <c r="DG14" s="50">
        <f>IF($B$2&gt;0,"",IF(OR($M14="",$M14=0),0,IF($BZ14="FT",IF(ISNA(VLOOKUP(CONCATENATE($R14,8),master,16,FALSE)=TRUE),0,VLOOKUP(CONCATENATE($R14,8),master,16,FALSE)),IF(ISNA(VLOOKUP(CONCATENATE($R14,4),master,16,FALSE)=TRUE),0,VLOOKUP(CONCATENATE($R14,4),master,16,FALSE)))))</f>
        <v>0</v>
      </c>
      <c r="DH14" s="50">
        <f>IF($B$2&gt;0,"",IF(OR($N14="",$N14=0),0,IF($BZ14="FT",IF(ISNA(VLOOKUP(CONCATENATE($R14,12),master,16,FALSE)=TRUE),0,VLOOKUP(CONCATENATE($R14,12),master,16,FALSE)),IF(ISNA(VLOOKUP(CONCATENATE($R14,5),master,16,FALSE)=TRUE),0,VLOOKUP(CONCATENATE($R14,5),master,16,FALSE)))))</f>
        <v>0</v>
      </c>
      <c r="DI14" s="53" t="str">
        <f>IF($B$2&gt;0,"",IF($AI14="HG",$K14*$DE14+$L14*$DF14+$M14*$DG14+$N14*$DH14,"0.00"))</f>
        <v>0.00</v>
      </c>
      <c r="DJ14" s="49">
        <f>IF($B$2&gt;0,"",IF(OR($K14="",$K14=0),0,IF($BZ14="FT",IF(ISNA(VLOOKUP(CONCATENATE($R14,4),master,15,FALSE)=TRUE),0,VLOOKUP(CONCATENATE($R14,4),master,15,FALSE)),IF(ISNA(VLOOKUP(CONCATENATE($R14,2),master,15,FALSE)=TRUE),0,VLOOKUP(CONCATENATE($R14,2),master,15,FALSE)))))</f>
        <v>0</v>
      </c>
      <c r="DK14" s="50">
        <f>IF($B$2&gt;0,"",IF(OR($L14="",$L14=0),0,IF($BZ14="FT",IF(ISNA(VLOOKUP(CONCATENATE($R14,6),master,15,FALSE)=TRUE),0,VLOOKUP(CONCATENATE($R14,6),master,15,FALSE)),IF(ISNA(VLOOKUP(CONCATENATE($R14,3),master,15,FALSE)=TRUE),0,VLOOKUP(CONCATENATE($R14,3),master,15,FALSE)))))</f>
        <v>0</v>
      </c>
      <c r="DL14" s="50">
        <f>IF($B$2&gt;0,"",IF(OR($M14="",$M14=0),0,IF($BZ14="FT",IF(ISNA(VLOOKUP(CONCATENATE($R14,8),master,15,FALSE)=TRUE),0,VLOOKUP(CONCATENATE($R14,8),master,15,FALSE)),IF(ISNA(VLOOKUP(CONCATENATE($R14,4),master,15,FALSE)=TRUE),0,VLOOKUP(CONCATENATE($R14,4),master,15,FALSE)))))</f>
        <v>0</v>
      </c>
      <c r="DM14" s="52">
        <f>IF($B$2&gt;0,"",IF(OR($N14="",$N14=0),0,IF($BZ14="FT",IF(ISNA(VLOOKUP(CONCATENATE($R14,12),master,15,FALSE)=TRUE),0,VLOOKUP(CONCATENATE($R14,12),master,15,FALSE)),IF(ISNA(VLOOKUP(CONCATENATE($R14,5),master,15,FALSE)=TRUE),0,VLOOKUP(CONCATENATE($R14,5),master,15,FALSE)))))</f>
        <v>0</v>
      </c>
      <c r="DO14" s="49">
        <f>IF($B$2&gt;0,"",IF(OR($V14="",$V14=0),0,IF(ISNA(VLOOKUP($W14,evapdx,MATCH(CONCATENATE($AK14,"_",$AJ$6),evapdx_header,0),FALSE)=TRUE),0,VLOOKUP($W14,evapdx,MATCH(CONCATENATE($AK14,"_",$AJ$6),evapdx_header,0),FALSE))))</f>
        <v>0</v>
      </c>
      <c r="DP14" s="54">
        <f>IF($B$2&gt;0,"",$DO14*$V14)</f>
        <v>0</v>
      </c>
      <c r="DQ14" s="49">
        <f>IF($B$2&gt;0,"",IF(OR($V14="",$V14=0),0,IF(ISNA(VLOOKUP($W14,evapdx,MATCH(CONCATENATE($AK14,"_pan"),evapdx_header,0),FALSE)=TRUE),0,VLOOKUP($W14,evapdx,MATCH(CONCATENATE($AK14,"_pan"),evapdx_header,0),FALSE))))</f>
        <v>0</v>
      </c>
      <c r="DR14" s="52">
        <f>IF($B$2&gt;0,"",$DQ14*$V14)</f>
        <v>0</v>
      </c>
      <c r="DS14" s="49">
        <f>IF($B$2&gt;0,"",IF(OR($V14="",$V14=0),0,IF(ISNA(VLOOKUP($W14,evapdx,MATCH(CONCATENATE($AN14,"_",$AM$6),evapdx_header,0),FALSE)=TRUE),0,VLOOKUP($W14,evapdx,MATCH(CONCATENATE($AN14,"_",$AM$6),evapdx_header,0),FALSE))))</f>
        <v>0</v>
      </c>
      <c r="DT14" s="54">
        <f>IF($B$2&gt;0,"",$DS14*$V14)</f>
        <v>0</v>
      </c>
      <c r="DU14" s="125" t="str">
        <f>IF($B$2&gt;0,"",IF(OR($V14="",$V14=0),"Enter Def.",VLOOKUP($W14,evapdx,MATCH("defrost_type",evapdx_header,1),FALSE)))</f>
        <v>Enter Def.</v>
      </c>
      <c r="DV14" s="126" t="e">
        <f>IF($B$2&gt;0,"",VLOOKUP($H14,'Walk-in Load Calc'!$F$5:$Q$37,11,FALSE))</f>
        <v>#N/A</v>
      </c>
      <c r="DW14" s="135" t="s">
        <v>352</v>
      </c>
      <c r="DX14" s="136" t="s">
        <v>144</v>
      </c>
      <c r="DY14" s="137" t="str">
        <f>IF($B$2&gt;0,"",IF(OR($W14="Enter Evap. Model",$W14=""), "-",VLOOKUP($W14,'HEAT-X'!$U$9:$V$77,2,FALSE)))</f>
        <v>-</v>
      </c>
      <c r="EB14" s="49">
        <f>IF($B$2&gt;0,"",IF(OR($K14="",$K14=0),0,IF($BZ14="FT",IF(ISNA(VLOOKUP(CONCATENATE($R14,4),master,21,FALSE)=TRUE),0,VLOOKUP(CONCATENATE($R14,4),master,21,FALSE)),IF(ISNA(VLOOKUP(CONCATENATE($R14,2),master,21,FALSE)=TRUE),0,VLOOKUP(CONCATENATE($R14,2),master,21,FALSE)))))</f>
        <v>0</v>
      </c>
      <c r="EC14" s="50">
        <f>IF($B$2&gt;0,"",IF(OR($L14="",$L14=0),0,IF($BZ14="FT",IF(ISNA(VLOOKUP(CONCATENATE($R14,6),master,21,FALSE)=TRUE),0,VLOOKUP(CONCATENATE($R14,6),master,21,FALSE)),IF(ISNA(VLOOKUP(CONCATENATE($R14,3),master,21,FALSE)=TRUE),0,VLOOKUP(CONCATENATE($R14,3),master,21,FALSE)))))</f>
        <v>0</v>
      </c>
      <c r="ED14" s="50">
        <f>IF($B$2&gt;0,"",IF(OR($M14="",$M14=0),0,IF($BZ14="FT",IF(ISNA(VLOOKUP(CONCATENATE($R14,8),master,21,FALSE)=TRUE),0,VLOOKUP(CONCATENATE($R14,8),master,21,FALSE)),IF(ISNA(VLOOKUP(CONCATENATE($R14,4),master,21,FALSE)=TRUE),0,VLOOKUP(CONCATENATE($R14,4),master,21,FALSE)))))</f>
        <v>0</v>
      </c>
      <c r="EE14" s="52">
        <f>IF($B$2&gt;0,"",IF(OR($N14="",$N14=0),0,IF($BZ14="FT",IF(ISNA(VLOOKUP(CONCATENATE($R14,12),master,21,FALSE)=TRUE),0,VLOOKUP(CONCATENATE($R14,12),master,21,FALSE)),IF(ISNA(VLOOKUP(CONCATENATE($R14,5),master,21,FALSE)=TRUE),0,VLOOKUP(CONCATENATE($R14,5),master,21,FALSE)))))</f>
        <v>0</v>
      </c>
      <c r="EG14" s="49">
        <f>IF($B$2&gt;0,"",IF(OR($K14="",$K14=0),0,IF($BZ14="FT",IF(ISNA(VLOOKUP(CONCATENATE($R14,4),master,22,FALSE)=TRUE),0,VLOOKUP(CONCATENATE($R14,4),master,22,FALSE)),IF(ISNA(VLOOKUP(CONCATENATE($R14,2),master,22,FALSE)=TRUE),0,VLOOKUP(CONCATENATE($R14,2),master,22,FALSE)))))</f>
        <v>0</v>
      </c>
      <c r="EH14" s="50">
        <f>IF($B$2&gt;0,"",IF(OR($L14="",$L14=0),0,IF($BZ14="FT",IF(ISNA(VLOOKUP(CONCATENATE($R14,6),master,22,FALSE)=TRUE),0,VLOOKUP(CONCATENATE($R14,6),master,22,FALSE)),IF(ISNA(VLOOKUP(CONCATENATE($R14,3),master,22,FALSE)=TRUE),0,VLOOKUP(CONCATENATE($R14,3),master,22,FALSE)))))</f>
        <v>0</v>
      </c>
      <c r="EI14" s="50">
        <f>IF($B$2&gt;0,"",IF(OR($M14="",$M14=0),0,IF($BZ14="FT",IF(ISNA(VLOOKUP(CONCATENATE($R14,8),master,22,FALSE)=TRUE),0,VLOOKUP(CONCATENATE($R14,8),master,22,FALSE)),IF(ISNA(VLOOKUP(CONCATENATE($R14,4),master,22,FALSE)=TRUE),0,VLOOKUP(CONCATENATE($R14,4),master,22,FALSE)))))</f>
        <v>0</v>
      </c>
      <c r="EJ14" s="52">
        <f>IF($B$2&gt;0,"",IF(OR($N14="",$N14=0),0,IF($BZ14="FT",IF(ISNA(VLOOKUP(CONCATENATE($R14,12),master,22,FALSE)=TRUE),0,VLOOKUP(CONCATENATE($R14,12),master,22,FALSE)),IF(ISNA(VLOOKUP(CONCATENATE($R14,5),master,22,FALSE)=TRUE),0,VLOOKUP(CONCATENATE($R14,5),master,22,FALSE)))))</f>
        <v>0</v>
      </c>
      <c r="EL14" s="49">
        <f>IF($B$2&gt;0,"",IF(OR($K14="",$K14=0),0,IF($BZ14="FT",IF(ISNA(VLOOKUP(CONCATENATE($R14,4),master,23,FALSE)=TRUE),0,VLOOKUP(CONCATENATE($R14,4),master,23,FALSE)),IF(ISNA(VLOOKUP(CONCATENATE($R14,2),master,23,FALSE)=TRUE),0,VLOOKUP(CONCATENATE($R14,2),master,23,FALSE)))))</f>
        <v>0</v>
      </c>
      <c r="EM14" s="50">
        <f>IF($B$2&gt;0,"",IF(OR($L14="",$L14=0),0,IF($BZ14="FT",IF(ISNA(VLOOKUP(CONCATENATE($R14,6),master,23,FALSE)=TRUE),0,VLOOKUP(CONCATENATE($R14,6),master,23,FALSE)),IF(ISNA(VLOOKUP(CONCATENATE($R14,3),master,23,FALSE)=TRUE),0,VLOOKUP(CONCATENATE($R14,3),master,23,FALSE)))))</f>
        <v>0</v>
      </c>
      <c r="EN14" s="50">
        <f>IF($B$2&gt;0,"",IF(OR($M14="",$M14=0),0,IF($BZ14="FT",IF(ISNA(VLOOKUP(CONCATENATE($R14,8),master,23,FALSE)=TRUE),0,VLOOKUP(CONCATENATE($R14,8),master,23,FALSE)),IF(ISNA(VLOOKUP(CONCATENATE($R14,4),master,23,FALSE)=TRUE),0,VLOOKUP(CONCATENATE($R14,4),master,23,FALSE)))))</f>
        <v>0</v>
      </c>
      <c r="EO14" s="52">
        <f>IF($B$2&gt;0,"",IF(OR($N14="",$N14=0),0,IF($BZ14="FT",IF(ISNA(VLOOKUP(CONCATENATE($R14,12),master,23,FALSE)=TRUE),0,VLOOKUP(CONCATENATE($R14,12),master,23,FALSE)),IF(ISNA(VLOOKUP(CONCATENATE($R14,5),master,23,FALSE)=TRUE),0,VLOOKUP(CONCATENATE($R14,5),master,23,FALSE)))))</f>
        <v>0</v>
      </c>
      <c r="EQ14" s="49">
        <f>IF($B$2&gt;0,"",IF(OR($K14="",$K14=0),0,IF($BZ14="FT",IF(ISNA(VLOOKUP(CONCATENATE($R14,4),master,6,FALSE)=TRUE),0,INDEX(master,MATCH((CONCATENATE($R14,4)),master_CONC,0),MATCH(CONCATENATE($U$1,"_",$AT$1),master_header,0))),IF(ISNA(VLOOKUP(CONCATENATE($R14,2),master,6,FALSE)=TRUE),0,INDEX(master,MATCH((CONCATENATE($R14,2)),master,0),MATCH(CONCATENATE($U$1,"_",$AT$1),master_header,0))))))</f>
        <v>0</v>
      </c>
      <c r="ER14" s="50">
        <f>IF($B$2&gt;0,"",IF(OR($L14="",$L14=0),0,IF($BZ14="FT",IF(ISNA(VLOOKUP(CONCATENATE($R14,6),master,6,FALSE)=TRUE),0,INDEX(master,MATCH((CONCATENATE($R14,6)),master_CONC,0),MATCH(CONCATENATE($U$1,"_",$AT$1),master_header,0))),IF(ISNA(VLOOKUP(CONCATENATE($R14,3),master,6,FALSE)=TRUE),0,INDEX(master,MATCH((CONCATENATE($R14,3)),master,0),MATCH(CONCATENATE($U$1,"_",$AT$1),master_header,0))))))</f>
        <v>0</v>
      </c>
      <c r="ES14" s="50">
        <f>IF($B$2&gt;0,"",IF(OR($M14="",$M14=0),0,IF($BZ14="FT",IF(ISNA(VLOOKUP(CONCATENATE($R14,8),master,6,FALSE)=TRUE),0,INDEX(master,MATCH((CONCATENATE($R14,8)),master_CONC,0),MATCH(CONCATENATE($U$1,"_",$AT$1),master_header,0))),IF(ISNA(VLOOKUP(CONCATENATE($R14,4),master,6,FALSE)=TRUE),0,INDEX(master,MATCH((CONCATENATE($R14,4)),master,0),MATCH(CONCATENATE($U$1,"_",$AT$1),master_header,0))))))</f>
        <v>0</v>
      </c>
      <c r="ET14" s="52">
        <f>IF($B$2&gt;0,"",IF(OR($N14="",$N14=0),0,IF($BZ14="FT",IF(ISNA(VLOOKUP(CONCATENATE($R14,12),master,6,FALSE)=TRUE),0,INDEX(master,MATCH((CONCATENATE($R14,12)),master_CONC,0),MATCH(CONCATENATE($U$1,"_",$AT$1),master_header,0))),IF(ISNA(VLOOKUP(CONCATENATE($R14,5),master,6,FALSE)=TRUE),0,INDEX(master,MATCH((CONCATENATE($R14,5)),master,0),MATCH(CONCATENATE($U$1,"_",$AT$1),master_header,0))))))</f>
        <v>0</v>
      </c>
    </row>
    <row r="15" spans="1:150" ht="12" hidden="1" customHeight="1" thickBot="1" x14ac:dyDescent="0.25">
      <c r="A15" s="169"/>
      <c r="B15" s="184"/>
      <c r="C15" s="172"/>
      <c r="D15" s="171"/>
      <c r="E15" s="445"/>
      <c r="F15" s="171"/>
      <c r="G15" s="445" t="str">
        <f t="shared" si="65"/>
        <v/>
      </c>
      <c r="H15" s="170"/>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s="183"/>
      <c r="AU15" s="893" t="str">
        <f t="shared" si="66"/>
        <v/>
      </c>
    </row>
    <row r="16" spans="1:150" ht="12" hidden="1" customHeight="1" thickBot="1" x14ac:dyDescent="0.25">
      <c r="A16" s="552"/>
      <c r="B16" s="535" t="s">
        <v>200</v>
      </c>
      <c r="C16" s="536"/>
      <c r="D16" s="551"/>
      <c r="E16" s="445">
        <v>3</v>
      </c>
      <c r="F16" s="538"/>
      <c r="G16" s="445" t="str">
        <f t="shared" si="65"/>
        <v/>
      </c>
      <c r="H16" s="539"/>
      <c r="I16" s="540"/>
      <c r="J16" s="540"/>
      <c r="K16" s="540"/>
      <c r="L16" s="540"/>
      <c r="M16" s="540"/>
      <c r="N16" s="540"/>
      <c r="O16" s="540"/>
      <c r="P16" s="540"/>
      <c r="Q16" s="540"/>
      <c r="R16" s="540"/>
      <c r="S16" s="540"/>
      <c r="T16" s="540"/>
      <c r="U16" s="540"/>
      <c r="V16" s="541" t="str">
        <f>IF(LEFT($U$1,1)="g","FLUID GROUP #3  REQUIRED CAPACITY =    ","SUCTION GROUP #3  REQUIRED CAPACITY =    ")</f>
        <v xml:space="preserve">SUCTION GROUP #3  REQUIRED CAPACITY =    </v>
      </c>
      <c r="W16" s="540"/>
      <c r="X16" s="540"/>
      <c r="Y16" s="542"/>
      <c r="Z16" s="1438"/>
      <c r="AA16" s="1439">
        <f>SUM(AA14:AA15)</f>
        <v>0</v>
      </c>
      <c r="AB16" s="55" t="s">
        <v>106</v>
      </c>
      <c r="AC16" s="132">
        <f>IF(LEFT($U$1,1)="g",SUM(AC14:AC15)-DSUM(Z12:AC15,AC12,$F$4:$F$5)+LegendSG2RSST,MIN(AC14:AC15))</f>
        <v>0</v>
      </c>
      <c r="AD16" s="543" t="str">
        <f>IF(LEFT($U$1,1)="g","(GPM) Flow",IF(LEFT($U$1,1)="c","(°F) Fluid Temperature", "(°F) Suction Temperature"))</f>
        <v>(°F) Suction Temperature</v>
      </c>
      <c r="AE16" s="544"/>
      <c r="AF16" s="545"/>
      <c r="AG16" s="546"/>
      <c r="AH16" s="547"/>
      <c r="AI16" s="546"/>
      <c r="AJ16" s="548"/>
      <c r="AK16" s="546"/>
      <c r="AL16" s="546"/>
      <c r="AM16" s="548"/>
      <c r="AN16" s="546"/>
      <c r="AO16" s="548"/>
      <c r="AP16" s="548"/>
      <c r="AQ16" s="546"/>
      <c r="AR16" s="546"/>
      <c r="AS16" s="546"/>
      <c r="AT16" s="549"/>
      <c r="AU16" s="893" t="str">
        <f t="shared" si="66"/>
        <v/>
      </c>
    </row>
    <row r="17" spans="2:46" ht="12" customHeight="1" thickBot="1" x14ac:dyDescent="0.25">
      <c r="E17" s="445"/>
      <c r="F17" s="31"/>
      <c r="G17" s="445"/>
      <c r="H17" s="1738"/>
      <c r="I17" s="1739"/>
      <c r="J17" s="1739"/>
      <c r="K17" s="1739"/>
      <c r="L17" s="1739"/>
      <c r="M17" s="1739"/>
      <c r="N17" s="1739"/>
      <c r="O17" s="1739"/>
      <c r="P17" s="1739"/>
      <c r="Q17" s="1739"/>
      <c r="R17" s="1739"/>
      <c r="S17" s="1739"/>
      <c r="T17" s="1739"/>
      <c r="U17" s="1739"/>
      <c r="V17" s="1739"/>
      <c r="W17" s="1739"/>
      <c r="X17" s="1739"/>
      <c r="Y17" s="1739"/>
      <c r="Z17" s="1739"/>
      <c r="AA17" s="1739"/>
      <c r="AB17" s="1739"/>
      <c r="AC17" s="1739"/>
      <c r="AD17" s="1739"/>
      <c r="AE17" s="1739"/>
      <c r="AF17" s="1739"/>
      <c r="AG17" s="1739"/>
      <c r="AH17" s="1739"/>
      <c r="AI17" s="1739"/>
      <c r="AJ17" s="1739"/>
      <c r="AK17" s="1739"/>
      <c r="AL17" s="1739"/>
      <c r="AM17" s="1739"/>
      <c r="AN17" s="1739"/>
      <c r="AO17" s="1739"/>
      <c r="AP17" s="1739"/>
      <c r="AQ17" s="1739"/>
      <c r="AR17" s="1739"/>
      <c r="AS17" s="1739"/>
      <c r="AT17" s="1740"/>
    </row>
    <row r="18" spans="2:46" ht="12" hidden="1" customHeight="1" thickBot="1" x14ac:dyDescent="0.25">
      <c r="E18" s="445"/>
      <c r="G18" s="445"/>
      <c r="H18" s="1718" t="s">
        <v>574</v>
      </c>
      <c r="I18" s="1719"/>
      <c r="J18" s="1719"/>
      <c r="K18" s="1719"/>
      <c r="L18" s="1719"/>
      <c r="M18" s="1719"/>
      <c r="N18" s="1719"/>
      <c r="O18" s="1719"/>
      <c r="P18" s="1719"/>
      <c r="Q18" s="1719"/>
      <c r="R18" s="1719"/>
      <c r="S18" s="1719"/>
      <c r="T18" s="1719"/>
      <c r="U18" s="1719"/>
      <c r="V18" s="1719"/>
      <c r="W18" s="1719"/>
      <c r="X18" s="1719"/>
      <c r="Y18" s="1719"/>
      <c r="Z18" s="1719"/>
      <c r="AA18" s="1719"/>
      <c r="AB18" s="1719"/>
      <c r="AC18" s="1719"/>
      <c r="AD18" s="1719"/>
      <c r="AE18" s="1719"/>
      <c r="AF18" s="1719"/>
      <c r="AG18" s="1719"/>
      <c r="AH18" s="1719"/>
      <c r="AI18" s="1719"/>
      <c r="AJ18" s="1720"/>
      <c r="AK18" s="1718"/>
      <c r="AL18" s="1719"/>
      <c r="AM18" s="1719"/>
      <c r="AN18" s="1719"/>
      <c r="AO18" s="1719"/>
      <c r="AP18" s="1719"/>
      <c r="AQ18" s="1719"/>
      <c r="AR18" s="1719"/>
      <c r="AS18" s="1719"/>
      <c r="AT18" s="1720"/>
    </row>
    <row r="19" spans="2:46" ht="12" hidden="1" customHeight="1" x14ac:dyDescent="0.2">
      <c r="E19" s="445"/>
      <c r="H19" s="1728" t="s">
        <v>342</v>
      </c>
      <c r="I19" s="1702" t="s">
        <v>0</v>
      </c>
      <c r="J19" s="1809"/>
      <c r="K19" s="1809"/>
      <c r="L19" s="1809"/>
      <c r="M19" s="1809"/>
      <c r="N19" s="1809"/>
      <c r="O19" s="1809"/>
      <c r="P19" s="1809"/>
      <c r="Q19" s="1810"/>
      <c r="R19" s="1688" t="s">
        <v>358</v>
      </c>
      <c r="S19" s="1679" t="s">
        <v>912</v>
      </c>
      <c r="T19" s="1679" t="s">
        <v>913</v>
      </c>
      <c r="U19" s="1679" t="s">
        <v>359</v>
      </c>
      <c r="V19" s="1679" t="s">
        <v>360</v>
      </c>
      <c r="W19" s="1679" t="s">
        <v>361</v>
      </c>
      <c r="X19" s="1688" t="s">
        <v>975</v>
      </c>
      <c r="Y19" s="1732"/>
      <c r="Z19" s="1688" t="s">
        <v>362</v>
      </c>
      <c r="AA19" s="1732"/>
      <c r="AB19" s="1702" t="s">
        <v>562</v>
      </c>
      <c r="AC19" s="1702" t="s">
        <v>561</v>
      </c>
      <c r="AD19" s="1688" t="s">
        <v>356</v>
      </c>
      <c r="AE19" s="1688" t="s">
        <v>357</v>
      </c>
      <c r="AF19" s="1679" t="s">
        <v>372</v>
      </c>
      <c r="AG19" s="1679" t="s">
        <v>373</v>
      </c>
      <c r="AH19" s="1721" t="s">
        <v>212</v>
      </c>
      <c r="AI19" s="1728" t="s">
        <v>631</v>
      </c>
      <c r="AJ19" s="1726" t="s">
        <v>363</v>
      </c>
      <c r="AK19" s="1688"/>
      <c r="AL19" s="1730"/>
      <c r="AM19" s="1688"/>
      <c r="AN19" s="1730"/>
      <c r="AO19" s="1688"/>
      <c r="AP19" s="1732"/>
      <c r="AQ19" s="1732"/>
      <c r="AR19" s="1679"/>
      <c r="AS19" s="1679"/>
      <c r="AT19" s="1732"/>
    </row>
    <row r="20" spans="2:46" ht="27" hidden="1" customHeight="1" thickBot="1" x14ac:dyDescent="0.25">
      <c r="H20" s="1729"/>
      <c r="I20" s="1703"/>
      <c r="J20" s="1811"/>
      <c r="K20" s="1811"/>
      <c r="L20" s="1811"/>
      <c r="M20" s="1811"/>
      <c r="N20" s="1811"/>
      <c r="O20" s="1811"/>
      <c r="P20" s="1811"/>
      <c r="Q20" s="1812"/>
      <c r="R20" s="1725"/>
      <c r="S20" s="1680"/>
      <c r="T20" s="1680"/>
      <c r="U20" s="1680"/>
      <c r="V20" s="1680"/>
      <c r="W20" s="1680"/>
      <c r="X20" s="1725"/>
      <c r="Y20" s="1733"/>
      <c r="Z20" s="1725"/>
      <c r="AA20" s="1733"/>
      <c r="AB20" s="1703"/>
      <c r="AC20" s="1703"/>
      <c r="AD20" s="1725"/>
      <c r="AE20" s="1725"/>
      <c r="AF20" s="1680"/>
      <c r="AG20" s="1680"/>
      <c r="AH20" s="1722"/>
      <c r="AI20" s="1729"/>
      <c r="AJ20" s="1727"/>
      <c r="AK20" s="1725"/>
      <c r="AL20" s="1731"/>
      <c r="AM20" s="1725"/>
      <c r="AN20" s="1731"/>
      <c r="AO20" s="1725"/>
      <c r="AP20" s="1733"/>
      <c r="AQ20" s="1733"/>
      <c r="AR20" s="1680"/>
      <c r="AS20" s="1680"/>
      <c r="AT20" s="1733"/>
    </row>
    <row r="21" spans="2:46" ht="12" hidden="1" customHeight="1" thickBot="1" x14ac:dyDescent="0.25">
      <c r="H21" s="562"/>
      <c r="I21" s="1791"/>
      <c r="J21" s="1792"/>
      <c r="K21" s="1792"/>
      <c r="L21" s="1792"/>
      <c r="M21" s="1792"/>
      <c r="N21" s="1792"/>
      <c r="O21" s="1792"/>
      <c r="P21" s="1792"/>
      <c r="Q21" s="1793"/>
      <c r="R21" s="1663"/>
      <c r="S21" s="564"/>
      <c r="T21" s="892"/>
      <c r="U21" s="59" t="str">
        <f t="shared" ref="U21:U28" si="67">IF($I21="","",IF(LEFT($U$1,1)="g",$AT$1-$W$4,LegendSG1RSST-$W$4))</f>
        <v/>
      </c>
      <c r="V21" s="43" t="str">
        <f>IF($I21="","",$W$2)</f>
        <v/>
      </c>
      <c r="W21" s="42" t="str">
        <f>IF(OR($T21="",$AB21=""),"",$AB21*3.413+$T21)</f>
        <v/>
      </c>
      <c r="X21" s="1668" t="s">
        <v>370</v>
      </c>
      <c r="Y21" s="1669"/>
      <c r="Z21" s="1670"/>
      <c r="AA21" s="1671"/>
      <c r="AB21" s="567"/>
      <c r="AC21" s="568"/>
      <c r="AD21" s="569"/>
      <c r="AE21" s="570"/>
      <c r="AF21" s="43" t="str">
        <f>IF(H21="","",$AA$1)</f>
        <v/>
      </c>
      <c r="AG21" s="43" t="str">
        <f>IF(H21="","",$Y$1)</f>
        <v/>
      </c>
      <c r="AH21" s="574"/>
      <c r="AI21" s="57" t="str">
        <f t="shared" ref="AI21:AI28" si="68">IF($S$29&lt;&gt;0,$S21/$S$29,"")</f>
        <v/>
      </c>
      <c r="AJ21" s="58"/>
      <c r="AK21" s="1760"/>
      <c r="AL21" s="1761"/>
      <c r="AM21" s="1769"/>
      <c r="AN21" s="1769"/>
      <c r="AO21" s="1772"/>
      <c r="AP21" s="1773"/>
      <c r="AQ21" s="1766"/>
      <c r="AR21" s="1769"/>
      <c r="AS21" s="1766"/>
      <c r="AT21" s="1769"/>
    </row>
    <row r="22" spans="2:46" ht="12" hidden="1" customHeight="1" x14ac:dyDescent="0.2">
      <c r="B22" s="878" t="s">
        <v>973</v>
      </c>
      <c r="C22" s="879"/>
      <c r="D22" s="879"/>
      <c r="E22" s="880"/>
      <c r="H22" s="563"/>
      <c r="I22" s="1656"/>
      <c r="J22" s="1657"/>
      <c r="K22" s="1657"/>
      <c r="L22" s="1657"/>
      <c r="M22" s="1657"/>
      <c r="N22" s="1657"/>
      <c r="O22" s="1657"/>
      <c r="P22" s="1657"/>
      <c r="Q22" s="1658"/>
      <c r="R22" s="1664"/>
      <c r="S22" s="559"/>
      <c r="T22" s="559"/>
      <c r="U22" s="59" t="str">
        <f t="shared" si="67"/>
        <v/>
      </c>
      <c r="V22" s="43" t="str">
        <f t="shared" ref="V22:V28" si="69">IF($I22="","",$W$2)</f>
        <v/>
      </c>
      <c r="W22" s="42" t="str">
        <f t="shared" ref="W22:W28" si="70">IF(OR($T22="",$AB22=""),"",$AB22*3.413+$T22)</f>
        <v/>
      </c>
      <c r="X22" s="1659" t="s">
        <v>370</v>
      </c>
      <c r="Y22" s="1660"/>
      <c r="Z22" s="1661"/>
      <c r="AA22" s="1662"/>
      <c r="AB22" s="571"/>
      <c r="AC22" s="572"/>
      <c r="AD22" s="571"/>
      <c r="AE22" s="572"/>
      <c r="AF22" s="43" t="str">
        <f t="shared" ref="AF22:AF28" si="71">IF(H22="","",$AA$1)</f>
        <v/>
      </c>
      <c r="AG22" s="43" t="str">
        <f t="shared" ref="AG22:AG28" si="72">IF(H22="","",$Y$1)</f>
        <v/>
      </c>
      <c r="AH22" s="559"/>
      <c r="AI22" s="60" t="str">
        <f t="shared" si="68"/>
        <v/>
      </c>
      <c r="AJ22" s="58"/>
      <c r="AK22" s="1762"/>
      <c r="AL22" s="1763"/>
      <c r="AM22" s="1770"/>
      <c r="AN22" s="1770"/>
      <c r="AO22" s="1774"/>
      <c r="AP22" s="1775"/>
      <c r="AQ22" s="1767"/>
      <c r="AR22" s="1770"/>
      <c r="AS22" s="1767"/>
      <c r="AT22" s="1770"/>
    </row>
    <row r="23" spans="2:46" ht="12" hidden="1" customHeight="1" x14ac:dyDescent="0.2">
      <c r="B23" s="875" t="s">
        <v>976</v>
      </c>
      <c r="C23" s="874"/>
      <c r="D23" s="874"/>
      <c r="E23" s="873"/>
      <c r="H23" s="563"/>
      <c r="I23" s="1656"/>
      <c r="J23" s="1657"/>
      <c r="K23" s="1657"/>
      <c r="L23" s="1657"/>
      <c r="M23" s="1657"/>
      <c r="N23" s="1657"/>
      <c r="O23" s="1657"/>
      <c r="P23" s="1657"/>
      <c r="Q23" s="1658"/>
      <c r="R23" s="1664"/>
      <c r="S23" s="559"/>
      <c r="T23" s="559"/>
      <c r="U23" s="59" t="str">
        <f t="shared" si="67"/>
        <v/>
      </c>
      <c r="V23" s="43" t="str">
        <f t="shared" si="69"/>
        <v/>
      </c>
      <c r="W23" s="42" t="str">
        <f t="shared" si="70"/>
        <v/>
      </c>
      <c r="X23" s="1659" t="s">
        <v>370</v>
      </c>
      <c r="Y23" s="1660"/>
      <c r="Z23" s="1661"/>
      <c r="AA23" s="1662"/>
      <c r="AB23" s="571"/>
      <c r="AC23" s="572"/>
      <c r="AD23" s="571"/>
      <c r="AE23" s="572"/>
      <c r="AF23" s="43" t="str">
        <f t="shared" si="71"/>
        <v/>
      </c>
      <c r="AG23" s="43" t="str">
        <f t="shared" si="72"/>
        <v/>
      </c>
      <c r="AH23" s="559"/>
      <c r="AI23" s="60" t="str">
        <f t="shared" si="68"/>
        <v/>
      </c>
      <c r="AJ23" s="58"/>
      <c r="AK23" s="1762"/>
      <c r="AL23" s="1763"/>
      <c r="AM23" s="1770"/>
      <c r="AN23" s="1770"/>
      <c r="AO23" s="1774"/>
      <c r="AP23" s="1775"/>
      <c r="AQ23" s="1767"/>
      <c r="AR23" s="1770"/>
      <c r="AS23" s="1767"/>
      <c r="AT23" s="1770"/>
    </row>
    <row r="24" spans="2:46" ht="12" hidden="1" customHeight="1" x14ac:dyDescent="0.2">
      <c r="B24" s="872" t="s">
        <v>977</v>
      </c>
      <c r="C24" s="871"/>
      <c r="D24" s="871"/>
      <c r="E24" s="870"/>
      <c r="H24" s="563"/>
      <c r="I24" s="1656"/>
      <c r="J24" s="1657"/>
      <c r="K24" s="1657"/>
      <c r="L24" s="1657"/>
      <c r="M24" s="1657"/>
      <c r="N24" s="1657"/>
      <c r="O24" s="1657"/>
      <c r="P24" s="1657"/>
      <c r="Q24" s="1658"/>
      <c r="R24" s="1664"/>
      <c r="S24" s="559"/>
      <c r="T24" s="559"/>
      <c r="U24" s="59" t="str">
        <f t="shared" si="67"/>
        <v/>
      </c>
      <c r="V24" s="43" t="str">
        <f t="shared" si="69"/>
        <v/>
      </c>
      <c r="W24" s="42" t="str">
        <f t="shared" si="70"/>
        <v/>
      </c>
      <c r="X24" s="1659" t="s">
        <v>370</v>
      </c>
      <c r="Y24" s="1660"/>
      <c r="Z24" s="1661"/>
      <c r="AA24" s="1662"/>
      <c r="AB24" s="571"/>
      <c r="AC24" s="572"/>
      <c r="AD24" s="571"/>
      <c r="AE24" s="572"/>
      <c r="AF24" s="43" t="str">
        <f t="shared" si="71"/>
        <v/>
      </c>
      <c r="AG24" s="43" t="str">
        <f t="shared" si="72"/>
        <v/>
      </c>
      <c r="AH24" s="559"/>
      <c r="AI24" s="60" t="str">
        <f t="shared" si="68"/>
        <v/>
      </c>
      <c r="AJ24" s="58"/>
      <c r="AK24" s="1762"/>
      <c r="AL24" s="1763"/>
      <c r="AM24" s="1770"/>
      <c r="AN24" s="1770"/>
      <c r="AO24" s="1774"/>
      <c r="AP24" s="1775"/>
      <c r="AQ24" s="1767"/>
      <c r="AR24" s="1770"/>
      <c r="AS24" s="1767"/>
      <c r="AT24" s="1770"/>
    </row>
    <row r="25" spans="2:46" ht="12" hidden="1" customHeight="1" x14ac:dyDescent="0.2">
      <c r="B25" s="881" t="s">
        <v>412</v>
      </c>
      <c r="C25" s="882"/>
      <c r="D25" s="882"/>
      <c r="E25" s="883"/>
      <c r="H25" s="563"/>
      <c r="I25" s="1656"/>
      <c r="J25" s="1657"/>
      <c r="K25" s="1657"/>
      <c r="L25" s="1657"/>
      <c r="M25" s="1657"/>
      <c r="N25" s="1657"/>
      <c r="O25" s="1657"/>
      <c r="P25" s="1657"/>
      <c r="Q25" s="1658"/>
      <c r="R25" s="1664"/>
      <c r="S25" s="559"/>
      <c r="T25" s="559"/>
      <c r="U25" s="59" t="str">
        <f t="shared" si="67"/>
        <v/>
      </c>
      <c r="V25" s="43" t="str">
        <f t="shared" si="69"/>
        <v/>
      </c>
      <c r="W25" s="42" t="str">
        <f t="shared" si="70"/>
        <v/>
      </c>
      <c r="X25" s="1659" t="s">
        <v>370</v>
      </c>
      <c r="Y25" s="1660"/>
      <c r="Z25" s="1661"/>
      <c r="AA25" s="1662"/>
      <c r="AB25" s="571"/>
      <c r="AC25" s="572"/>
      <c r="AD25" s="571"/>
      <c r="AE25" s="572"/>
      <c r="AF25" s="43" t="str">
        <f t="shared" si="71"/>
        <v/>
      </c>
      <c r="AG25" s="43" t="str">
        <f t="shared" si="72"/>
        <v/>
      </c>
      <c r="AH25" s="559"/>
      <c r="AI25" s="60" t="str">
        <f t="shared" si="68"/>
        <v/>
      </c>
      <c r="AJ25" s="58"/>
      <c r="AK25" s="1762"/>
      <c r="AL25" s="1763"/>
      <c r="AM25" s="1770"/>
      <c r="AN25" s="1770"/>
      <c r="AO25" s="1774"/>
      <c r="AP25" s="1775"/>
      <c r="AQ25" s="1767"/>
      <c r="AR25" s="1770"/>
      <c r="AS25" s="1767"/>
      <c r="AT25" s="1770"/>
    </row>
    <row r="26" spans="2:46" ht="12" hidden="1" customHeight="1" x14ac:dyDescent="0.2">
      <c r="B26" s="884" t="s">
        <v>550</v>
      </c>
      <c r="C26" s="885"/>
      <c r="D26" s="885"/>
      <c r="E26" s="886"/>
      <c r="H26" s="563"/>
      <c r="I26" s="1656"/>
      <c r="J26" s="1657"/>
      <c r="K26" s="1657"/>
      <c r="L26" s="1657"/>
      <c r="M26" s="1657"/>
      <c r="N26" s="1657"/>
      <c r="O26" s="1657"/>
      <c r="P26" s="1657"/>
      <c r="Q26" s="1658"/>
      <c r="R26" s="1664"/>
      <c r="S26" s="559"/>
      <c r="T26" s="559"/>
      <c r="U26" s="59" t="str">
        <f t="shared" si="67"/>
        <v/>
      </c>
      <c r="V26" s="43" t="str">
        <f t="shared" si="69"/>
        <v/>
      </c>
      <c r="W26" s="42" t="str">
        <f t="shared" si="70"/>
        <v/>
      </c>
      <c r="X26" s="1659" t="s">
        <v>370</v>
      </c>
      <c r="Y26" s="1660"/>
      <c r="Z26" s="1661"/>
      <c r="AA26" s="1662"/>
      <c r="AB26" s="571"/>
      <c r="AC26" s="572"/>
      <c r="AD26" s="571"/>
      <c r="AE26" s="572"/>
      <c r="AF26" s="43" t="str">
        <f t="shared" si="71"/>
        <v/>
      </c>
      <c r="AG26" s="43" t="str">
        <f t="shared" si="72"/>
        <v/>
      </c>
      <c r="AH26" s="559"/>
      <c r="AI26" s="60" t="str">
        <f t="shared" si="68"/>
        <v/>
      </c>
      <c r="AJ26" s="58"/>
      <c r="AK26" s="1762"/>
      <c r="AL26" s="1763"/>
      <c r="AM26" s="1770"/>
      <c r="AN26" s="1770"/>
      <c r="AO26" s="1774"/>
      <c r="AP26" s="1775"/>
      <c r="AQ26" s="1767"/>
      <c r="AR26" s="1770"/>
      <c r="AS26" s="1767"/>
      <c r="AT26" s="1770"/>
    </row>
    <row r="27" spans="2:46" ht="12" hidden="1" customHeight="1" thickBot="1" x14ac:dyDescent="0.25">
      <c r="B27" s="887" t="s">
        <v>413</v>
      </c>
      <c r="C27" s="888"/>
      <c r="D27" s="888"/>
      <c r="E27" s="889"/>
      <c r="H27" s="563"/>
      <c r="I27" s="1656"/>
      <c r="J27" s="1657"/>
      <c r="K27" s="1657"/>
      <c r="L27" s="1657"/>
      <c r="M27" s="1657"/>
      <c r="N27" s="1657"/>
      <c r="O27" s="1657"/>
      <c r="P27" s="1657"/>
      <c r="Q27" s="1658"/>
      <c r="R27" s="1664"/>
      <c r="S27" s="559"/>
      <c r="T27" s="559"/>
      <c r="U27" s="59" t="str">
        <f t="shared" si="67"/>
        <v/>
      </c>
      <c r="V27" s="43" t="str">
        <f t="shared" si="69"/>
        <v/>
      </c>
      <c r="W27" s="42" t="str">
        <f t="shared" si="70"/>
        <v/>
      </c>
      <c r="X27" s="1659" t="s">
        <v>370</v>
      </c>
      <c r="Y27" s="1660"/>
      <c r="Z27" s="1661"/>
      <c r="AA27" s="1662"/>
      <c r="AB27" s="571"/>
      <c r="AC27" s="572"/>
      <c r="AD27" s="571"/>
      <c r="AE27" s="572"/>
      <c r="AF27" s="43" t="str">
        <f t="shared" si="71"/>
        <v/>
      </c>
      <c r="AG27" s="43" t="str">
        <f t="shared" si="72"/>
        <v/>
      </c>
      <c r="AH27" s="559"/>
      <c r="AI27" s="60" t="str">
        <f t="shared" si="68"/>
        <v/>
      </c>
      <c r="AJ27" s="58"/>
      <c r="AK27" s="1762"/>
      <c r="AL27" s="1763"/>
      <c r="AM27" s="1770"/>
      <c r="AN27" s="1770"/>
      <c r="AO27" s="1774"/>
      <c r="AP27" s="1775"/>
      <c r="AQ27" s="1767"/>
      <c r="AR27" s="1770"/>
      <c r="AS27" s="1767"/>
      <c r="AT27" s="1770"/>
    </row>
    <row r="28" spans="2:46" ht="12" hidden="1" customHeight="1" thickBot="1" x14ac:dyDescent="0.25">
      <c r="E28" s="29"/>
      <c r="H28" s="563"/>
      <c r="I28" s="1656"/>
      <c r="J28" s="1657"/>
      <c r="K28" s="1657"/>
      <c r="L28" s="1657"/>
      <c r="M28" s="1657"/>
      <c r="N28" s="1657"/>
      <c r="O28" s="1657"/>
      <c r="P28" s="1657"/>
      <c r="Q28" s="1658"/>
      <c r="R28" s="1665"/>
      <c r="S28" s="559"/>
      <c r="T28" s="559"/>
      <c r="U28" s="59" t="str">
        <f t="shared" si="67"/>
        <v/>
      </c>
      <c r="V28" s="43" t="str">
        <f t="shared" si="69"/>
        <v/>
      </c>
      <c r="W28" s="42" t="str">
        <f t="shared" si="70"/>
        <v/>
      </c>
      <c r="X28" s="1659" t="s">
        <v>370</v>
      </c>
      <c r="Y28" s="1660"/>
      <c r="Z28" s="1661"/>
      <c r="AA28" s="1662"/>
      <c r="AB28" s="571"/>
      <c r="AC28" s="572"/>
      <c r="AD28" s="571"/>
      <c r="AE28" s="572"/>
      <c r="AF28" s="43" t="str">
        <f t="shared" si="71"/>
        <v/>
      </c>
      <c r="AG28" s="43" t="str">
        <f t="shared" si="72"/>
        <v/>
      </c>
      <c r="AH28" s="559"/>
      <c r="AI28" s="60" t="str">
        <f t="shared" si="68"/>
        <v/>
      </c>
      <c r="AJ28" s="58"/>
      <c r="AK28" s="1762"/>
      <c r="AL28" s="1763"/>
      <c r="AM28" s="1770"/>
      <c r="AN28" s="1770"/>
      <c r="AO28" s="1774"/>
      <c r="AP28" s="1775"/>
      <c r="AQ28" s="1767"/>
      <c r="AR28" s="1770"/>
      <c r="AS28" s="1767"/>
      <c r="AT28" s="1770"/>
    </row>
    <row r="29" spans="2:46" ht="17.25" hidden="1" customHeight="1" thickBot="1" x14ac:dyDescent="0.25">
      <c r="E29" s="29"/>
      <c r="F29" s="173"/>
      <c r="H29" s="175"/>
      <c r="I29" s="176"/>
      <c r="J29" s="176"/>
      <c r="K29" s="176"/>
      <c r="L29" s="176"/>
      <c r="M29" s="178" t="s">
        <v>407</v>
      </c>
      <c r="N29" s="176"/>
      <c r="O29" s="176"/>
      <c r="P29" s="176"/>
      <c r="Q29" s="177"/>
      <c r="R29" s="139">
        <f>Z10</f>
        <v>0</v>
      </c>
      <c r="S29" s="61">
        <f>IF(I21="",0,SUM(S21:S28))</f>
        <v>0</v>
      </c>
      <c r="T29" s="61">
        <f>IF(I21="",0,SUM(T21:T28))</f>
        <v>0</v>
      </c>
      <c r="U29" s="62" t="str">
        <f>IF($I21="","",IF(LEFT($U$1,1)="g",$AT$1-$W$4,LegendSG1RSST-$W$4))</f>
        <v/>
      </c>
      <c r="V29" s="63" t="str">
        <f>IF(OR($I21="",$W$2=""),"",$W$2)</f>
        <v/>
      </c>
      <c r="W29" s="64">
        <f>IF(OR(W21="",I21=""),0,SUM(W21:W28))</f>
        <v>0</v>
      </c>
      <c r="X29" s="1683" t="s">
        <v>15</v>
      </c>
      <c r="Y29" s="1684"/>
      <c r="Z29" s="1681">
        <f>IF($I21="",0,SUM(Z21:Z28))</f>
        <v>0</v>
      </c>
      <c r="AA29" s="1682"/>
      <c r="AB29" s="138">
        <f>IF($I21="",0,SUM(AB21:AB28))</f>
        <v>0</v>
      </c>
      <c r="AC29" s="138">
        <f>IF($I21="",0,SUM(AC21:AC28))</f>
        <v>0</v>
      </c>
      <c r="AD29" s="140">
        <f>IF(I21="",0,SUM(AD21:AD28))</f>
        <v>0</v>
      </c>
      <c r="AE29" s="138">
        <f>IF(AD29=0,AE21,(SUMPRODUCT(AD21:AD28,AE21:AE28))/AD29)</f>
        <v>0</v>
      </c>
      <c r="AF29" s="134" t="str">
        <f>IF(AA1="","",AA1)</f>
        <v/>
      </c>
      <c r="AG29" s="131" t="str">
        <f>IF(Y1="","",Y1)</f>
        <v/>
      </c>
      <c r="AH29" s="133" t="str">
        <f>IF(I21="","",MAX(AH21:AH28))</f>
        <v/>
      </c>
      <c r="AI29" s="84" t="s">
        <v>15</v>
      </c>
      <c r="AJ29" s="66" t="str">
        <f>IF(R29=0,"",IF(T29&lt;&gt;0,T29/R29-1,S29/R29-1))</f>
        <v/>
      </c>
      <c r="AK29" s="1764"/>
      <c r="AL29" s="1765"/>
      <c r="AM29" s="1771"/>
      <c r="AN29" s="1771"/>
      <c r="AO29" s="1776"/>
      <c r="AP29" s="1777"/>
      <c r="AQ29" s="1768"/>
      <c r="AR29" s="1771"/>
      <c r="AS29" s="1768"/>
      <c r="AT29" s="1771"/>
    </row>
    <row r="30" spans="2:46" ht="12" hidden="1" customHeight="1" x14ac:dyDescent="0.2">
      <c r="E30" s="167">
        <v>2</v>
      </c>
      <c r="F30" s="173"/>
      <c r="H30" s="562"/>
      <c r="I30" s="1791"/>
      <c r="J30" s="1792"/>
      <c r="K30" s="1792"/>
      <c r="L30" s="1792"/>
      <c r="M30" s="1792"/>
      <c r="N30" s="1792"/>
      <c r="O30" s="1792"/>
      <c r="P30" s="1792"/>
      <c r="Q30" s="1793"/>
      <c r="R30" s="1663"/>
      <c r="S30" s="564"/>
      <c r="T30" s="892"/>
      <c r="U30" s="973" t="str">
        <f t="shared" ref="U30:U37" si="73">IF($I30="","",IF(LEFT($U$1,1)="g",$AT$2-$W$4,LegendSG2RSST-$W$4))</f>
        <v/>
      </c>
      <c r="V30" s="973" t="str">
        <f>IF($I30="","",$W$2)</f>
        <v/>
      </c>
      <c r="W30" s="974" t="str">
        <f>IF(OR($T30="",$AB30=""),"",$AB30*3.413+$T30)</f>
        <v/>
      </c>
      <c r="X30" s="1668" t="s">
        <v>370</v>
      </c>
      <c r="Y30" s="1669"/>
      <c r="Z30" s="1670"/>
      <c r="AA30" s="1671"/>
      <c r="AB30" s="567"/>
      <c r="AC30" s="568"/>
      <c r="AD30" s="569"/>
      <c r="AE30" s="570"/>
      <c r="AF30" s="973" t="str">
        <f>IF(H30="","",$AA$2)</f>
        <v/>
      </c>
      <c r="AG30" s="973" t="str">
        <f>IF(H30="","",$Y$2)</f>
        <v/>
      </c>
      <c r="AH30" s="574"/>
      <c r="AI30" s="57" t="str">
        <f t="shared" ref="AI30:AI37" si="74">IF($S$29&lt;&gt;0,$S30/$S$38,"")</f>
        <v/>
      </c>
      <c r="AJ30" s="174"/>
      <c r="AK30" s="1814"/>
      <c r="AL30" s="1815"/>
      <c r="AM30" s="1815"/>
      <c r="AN30" s="1815"/>
      <c r="AO30" s="1815"/>
      <c r="AP30" s="1815"/>
      <c r="AQ30" s="1815"/>
      <c r="AR30" s="1815"/>
      <c r="AS30" s="1815"/>
      <c r="AT30" s="1816"/>
    </row>
    <row r="31" spans="2:46" ht="12" hidden="1" customHeight="1" x14ac:dyDescent="0.2">
      <c r="E31" s="167">
        <v>2</v>
      </c>
      <c r="F31" s="173"/>
      <c r="H31" s="563"/>
      <c r="I31" s="1656"/>
      <c r="J31" s="1657"/>
      <c r="K31" s="1657"/>
      <c r="L31" s="1657"/>
      <c r="M31" s="1657"/>
      <c r="N31" s="1657"/>
      <c r="O31" s="1657"/>
      <c r="P31" s="1657"/>
      <c r="Q31" s="1658"/>
      <c r="R31" s="1664"/>
      <c r="S31" s="559"/>
      <c r="T31" s="559"/>
      <c r="U31" s="59" t="str">
        <f t="shared" si="73"/>
        <v/>
      </c>
      <c r="V31" s="43" t="str">
        <f t="shared" ref="V31:V37" si="75">IF($I31="","",$W$2)</f>
        <v/>
      </c>
      <c r="W31" s="42" t="str">
        <f t="shared" ref="W31:W37" si="76">IF(OR($T31="",$AB31=""),"",$AB31*3.413+$T31)</f>
        <v/>
      </c>
      <c r="X31" s="1659" t="s">
        <v>370</v>
      </c>
      <c r="Y31" s="1660"/>
      <c r="Z31" s="1661"/>
      <c r="AA31" s="1662"/>
      <c r="AB31" s="571"/>
      <c r="AC31" s="572"/>
      <c r="AD31" s="571"/>
      <c r="AE31" s="572"/>
      <c r="AF31" s="43" t="str">
        <f t="shared" ref="AF31:AF37" si="77">IF(H31="","",$AA$2)</f>
        <v/>
      </c>
      <c r="AG31" s="43" t="str">
        <f t="shared" ref="AG31:AG37" si="78">IF(H31="","",$Y$2)</f>
        <v/>
      </c>
      <c r="AH31" s="559"/>
      <c r="AI31" s="60" t="str">
        <f t="shared" si="74"/>
        <v/>
      </c>
      <c r="AJ31" s="58"/>
      <c r="AK31" s="1817"/>
      <c r="AL31" s="1818"/>
      <c r="AM31" s="1818"/>
      <c r="AN31" s="1818"/>
      <c r="AO31" s="1818"/>
      <c r="AP31" s="1818"/>
      <c r="AQ31" s="1818"/>
      <c r="AR31" s="1818"/>
      <c r="AS31" s="1818"/>
      <c r="AT31" s="1819"/>
    </row>
    <row r="32" spans="2:46" ht="12" hidden="1" customHeight="1" x14ac:dyDescent="0.2">
      <c r="E32" s="167">
        <v>2</v>
      </c>
      <c r="F32" s="173"/>
      <c r="H32" s="563"/>
      <c r="I32" s="1656"/>
      <c r="J32" s="1657"/>
      <c r="K32" s="1657"/>
      <c r="L32" s="1657"/>
      <c r="M32" s="1657"/>
      <c r="N32" s="1657"/>
      <c r="O32" s="1657"/>
      <c r="P32" s="1657"/>
      <c r="Q32" s="1658"/>
      <c r="R32" s="1664"/>
      <c r="S32" s="559"/>
      <c r="T32" s="559"/>
      <c r="U32" s="59" t="str">
        <f t="shared" si="73"/>
        <v/>
      </c>
      <c r="V32" s="43" t="str">
        <f t="shared" si="75"/>
        <v/>
      </c>
      <c r="W32" s="42" t="str">
        <f t="shared" si="76"/>
        <v/>
      </c>
      <c r="X32" s="1659" t="s">
        <v>370</v>
      </c>
      <c r="Y32" s="1660"/>
      <c r="Z32" s="1661"/>
      <c r="AA32" s="1662"/>
      <c r="AB32" s="571"/>
      <c r="AC32" s="572"/>
      <c r="AD32" s="571"/>
      <c r="AE32" s="572"/>
      <c r="AF32" s="43" t="str">
        <f t="shared" si="77"/>
        <v/>
      </c>
      <c r="AG32" s="43" t="str">
        <f t="shared" si="78"/>
        <v/>
      </c>
      <c r="AH32" s="559"/>
      <c r="AI32" s="60" t="str">
        <f t="shared" si="74"/>
        <v/>
      </c>
      <c r="AJ32" s="58"/>
      <c r="AK32" s="1817"/>
      <c r="AL32" s="1818"/>
      <c r="AM32" s="1818"/>
      <c r="AN32" s="1818"/>
      <c r="AO32" s="1818"/>
      <c r="AP32" s="1818"/>
      <c r="AQ32" s="1818"/>
      <c r="AR32" s="1818"/>
      <c r="AS32" s="1818"/>
      <c r="AT32" s="1819"/>
    </row>
    <row r="33" spans="5:46" ht="12" hidden="1" customHeight="1" x14ac:dyDescent="0.2">
      <c r="E33" s="167">
        <v>2</v>
      </c>
      <c r="F33" s="173"/>
      <c r="H33" s="563"/>
      <c r="I33" s="1656"/>
      <c r="J33" s="1657"/>
      <c r="K33" s="1657"/>
      <c r="L33" s="1657"/>
      <c r="M33" s="1657"/>
      <c r="N33" s="1657"/>
      <c r="O33" s="1657"/>
      <c r="P33" s="1657"/>
      <c r="Q33" s="1658"/>
      <c r="R33" s="1664"/>
      <c r="S33" s="559"/>
      <c r="T33" s="559"/>
      <c r="U33" s="59" t="str">
        <f t="shared" si="73"/>
        <v/>
      </c>
      <c r="V33" s="43" t="str">
        <f t="shared" si="75"/>
        <v/>
      </c>
      <c r="W33" s="42" t="str">
        <f t="shared" si="76"/>
        <v/>
      </c>
      <c r="X33" s="1659" t="s">
        <v>370</v>
      </c>
      <c r="Y33" s="1660"/>
      <c r="Z33" s="1661"/>
      <c r="AA33" s="1662"/>
      <c r="AB33" s="571"/>
      <c r="AC33" s="572"/>
      <c r="AD33" s="571"/>
      <c r="AE33" s="572"/>
      <c r="AF33" s="43" t="str">
        <f t="shared" si="77"/>
        <v/>
      </c>
      <c r="AG33" s="43" t="str">
        <f t="shared" si="78"/>
        <v/>
      </c>
      <c r="AH33" s="559"/>
      <c r="AI33" s="60" t="str">
        <f t="shared" si="74"/>
        <v/>
      </c>
      <c r="AJ33" s="58"/>
      <c r="AK33" s="1817"/>
      <c r="AL33" s="1818"/>
      <c r="AM33" s="1818"/>
      <c r="AN33" s="1818"/>
      <c r="AO33" s="1818"/>
      <c r="AP33" s="1818"/>
      <c r="AQ33" s="1818"/>
      <c r="AR33" s="1818"/>
      <c r="AS33" s="1818"/>
      <c r="AT33" s="1819"/>
    </row>
    <row r="34" spans="5:46" ht="12" hidden="1" customHeight="1" x14ac:dyDescent="0.2">
      <c r="E34" s="167">
        <v>2</v>
      </c>
      <c r="F34" s="173"/>
      <c r="H34" s="563"/>
      <c r="I34" s="1656"/>
      <c r="J34" s="1657"/>
      <c r="K34" s="1657"/>
      <c r="L34" s="1657"/>
      <c r="M34" s="1657"/>
      <c r="N34" s="1657"/>
      <c r="O34" s="1657"/>
      <c r="P34" s="1657"/>
      <c r="Q34" s="1658"/>
      <c r="R34" s="1664"/>
      <c r="S34" s="559"/>
      <c r="T34" s="559"/>
      <c r="U34" s="59" t="str">
        <f t="shared" si="73"/>
        <v/>
      </c>
      <c r="V34" s="43" t="str">
        <f t="shared" si="75"/>
        <v/>
      </c>
      <c r="W34" s="42" t="str">
        <f t="shared" si="76"/>
        <v/>
      </c>
      <c r="X34" s="1659" t="s">
        <v>370</v>
      </c>
      <c r="Y34" s="1660"/>
      <c r="Z34" s="1661"/>
      <c r="AA34" s="1662"/>
      <c r="AB34" s="571"/>
      <c r="AC34" s="572"/>
      <c r="AD34" s="571"/>
      <c r="AE34" s="572"/>
      <c r="AF34" s="43" t="str">
        <f t="shared" si="77"/>
        <v/>
      </c>
      <c r="AG34" s="43" t="str">
        <f t="shared" si="78"/>
        <v/>
      </c>
      <c r="AH34" s="559"/>
      <c r="AI34" s="60" t="str">
        <f t="shared" si="74"/>
        <v/>
      </c>
      <c r="AJ34" s="58"/>
      <c r="AK34" s="1817"/>
      <c r="AL34" s="1818"/>
      <c r="AM34" s="1818"/>
      <c r="AN34" s="1818"/>
      <c r="AO34" s="1818"/>
      <c r="AP34" s="1818"/>
      <c r="AQ34" s="1818"/>
      <c r="AR34" s="1818"/>
      <c r="AS34" s="1818"/>
      <c r="AT34" s="1819"/>
    </row>
    <row r="35" spans="5:46" ht="12" hidden="1" customHeight="1" x14ac:dyDescent="0.2">
      <c r="E35" s="167">
        <v>2</v>
      </c>
      <c r="F35" s="173"/>
      <c r="H35" s="563"/>
      <c r="I35" s="1656"/>
      <c r="J35" s="1657"/>
      <c r="K35" s="1657"/>
      <c r="L35" s="1657"/>
      <c r="M35" s="1657"/>
      <c r="N35" s="1657"/>
      <c r="O35" s="1657"/>
      <c r="P35" s="1657"/>
      <c r="Q35" s="1658"/>
      <c r="R35" s="1664"/>
      <c r="S35" s="559"/>
      <c r="T35" s="559"/>
      <c r="U35" s="59" t="str">
        <f t="shared" si="73"/>
        <v/>
      </c>
      <c r="V35" s="43" t="str">
        <f t="shared" si="75"/>
        <v/>
      </c>
      <c r="W35" s="42" t="str">
        <f t="shared" si="76"/>
        <v/>
      </c>
      <c r="X35" s="1659" t="s">
        <v>370</v>
      </c>
      <c r="Y35" s="1660"/>
      <c r="Z35" s="1661"/>
      <c r="AA35" s="1662"/>
      <c r="AB35" s="571"/>
      <c r="AC35" s="572"/>
      <c r="AD35" s="571"/>
      <c r="AE35" s="572"/>
      <c r="AF35" s="43" t="str">
        <f t="shared" si="77"/>
        <v/>
      </c>
      <c r="AG35" s="43" t="str">
        <f t="shared" si="78"/>
        <v/>
      </c>
      <c r="AH35" s="559"/>
      <c r="AI35" s="60" t="str">
        <f t="shared" si="74"/>
        <v/>
      </c>
      <c r="AJ35" s="58"/>
      <c r="AK35" s="1817"/>
      <c r="AL35" s="1818"/>
      <c r="AM35" s="1818"/>
      <c r="AN35" s="1818"/>
      <c r="AO35" s="1818"/>
      <c r="AP35" s="1818"/>
      <c r="AQ35" s="1818"/>
      <c r="AR35" s="1818"/>
      <c r="AS35" s="1818"/>
      <c r="AT35" s="1819"/>
    </row>
    <row r="36" spans="5:46" ht="12" hidden="1" customHeight="1" x14ac:dyDescent="0.2">
      <c r="E36" s="167">
        <v>2</v>
      </c>
      <c r="F36" s="173"/>
      <c r="H36" s="563"/>
      <c r="I36" s="1656"/>
      <c r="J36" s="1657"/>
      <c r="K36" s="1657"/>
      <c r="L36" s="1657"/>
      <c r="M36" s="1657"/>
      <c r="N36" s="1657"/>
      <c r="O36" s="1657"/>
      <c r="P36" s="1657"/>
      <c r="Q36" s="1658"/>
      <c r="R36" s="1664"/>
      <c r="S36" s="559"/>
      <c r="T36" s="559"/>
      <c r="U36" s="59" t="str">
        <f t="shared" si="73"/>
        <v/>
      </c>
      <c r="V36" s="43" t="str">
        <f t="shared" si="75"/>
        <v/>
      </c>
      <c r="W36" s="42" t="str">
        <f t="shared" si="76"/>
        <v/>
      </c>
      <c r="X36" s="1659" t="s">
        <v>370</v>
      </c>
      <c r="Y36" s="1660"/>
      <c r="Z36" s="1661"/>
      <c r="AA36" s="1662"/>
      <c r="AB36" s="571"/>
      <c r="AC36" s="572"/>
      <c r="AD36" s="571"/>
      <c r="AE36" s="572"/>
      <c r="AF36" s="43" t="str">
        <f t="shared" si="77"/>
        <v/>
      </c>
      <c r="AG36" s="43" t="str">
        <f t="shared" si="78"/>
        <v/>
      </c>
      <c r="AH36" s="559"/>
      <c r="AI36" s="60" t="str">
        <f t="shared" si="74"/>
        <v/>
      </c>
      <c r="AJ36" s="58"/>
      <c r="AK36" s="1817"/>
      <c r="AL36" s="1818"/>
      <c r="AM36" s="1818"/>
      <c r="AN36" s="1818"/>
      <c r="AO36" s="1818"/>
      <c r="AP36" s="1818"/>
      <c r="AQ36" s="1818"/>
      <c r="AR36" s="1818"/>
      <c r="AS36" s="1818"/>
      <c r="AT36" s="1819"/>
    </row>
    <row r="37" spans="5:46" ht="12" hidden="1" customHeight="1" thickBot="1" x14ac:dyDescent="0.25">
      <c r="E37" s="167">
        <v>2</v>
      </c>
      <c r="F37" s="173"/>
      <c r="H37" s="565"/>
      <c r="I37" s="1709"/>
      <c r="J37" s="1710"/>
      <c r="K37" s="1710"/>
      <c r="L37" s="1710"/>
      <c r="M37" s="1710"/>
      <c r="N37" s="1710"/>
      <c r="O37" s="1710"/>
      <c r="P37" s="1710"/>
      <c r="Q37" s="1711"/>
      <c r="R37" s="1665"/>
      <c r="S37" s="566"/>
      <c r="T37" s="566"/>
      <c r="U37" s="975" t="str">
        <f t="shared" si="73"/>
        <v/>
      </c>
      <c r="V37" s="976" t="str">
        <f t="shared" si="75"/>
        <v/>
      </c>
      <c r="W37" s="977" t="str">
        <f t="shared" si="76"/>
        <v/>
      </c>
      <c r="X37" s="1666" t="s">
        <v>370</v>
      </c>
      <c r="Y37" s="1667"/>
      <c r="Z37" s="1685"/>
      <c r="AA37" s="1686"/>
      <c r="AB37" s="1295"/>
      <c r="AC37" s="573"/>
      <c r="AD37" s="1295"/>
      <c r="AE37" s="573"/>
      <c r="AF37" s="976" t="str">
        <f t="shared" si="77"/>
        <v/>
      </c>
      <c r="AG37" s="976" t="str">
        <f t="shared" si="78"/>
        <v/>
      </c>
      <c r="AH37" s="566"/>
      <c r="AI37" s="372" t="str">
        <f t="shared" si="74"/>
        <v/>
      </c>
      <c r="AJ37" s="373"/>
      <c r="AK37" s="1817"/>
      <c r="AL37" s="1818"/>
      <c r="AM37" s="1818"/>
      <c r="AN37" s="1818"/>
      <c r="AO37" s="1818"/>
      <c r="AP37" s="1818"/>
      <c r="AQ37" s="1818"/>
      <c r="AR37" s="1818"/>
      <c r="AS37" s="1818"/>
      <c r="AT37" s="1819"/>
    </row>
    <row r="38" spans="5:46" ht="12" hidden="1" customHeight="1" thickBot="1" x14ac:dyDescent="0.25">
      <c r="E38" s="167">
        <v>2</v>
      </c>
      <c r="F38" s="173"/>
      <c r="H38" s="175"/>
      <c r="I38" s="176"/>
      <c r="J38" s="176"/>
      <c r="K38" s="176"/>
      <c r="L38" s="176"/>
      <c r="M38" s="178" t="s">
        <v>408</v>
      </c>
      <c r="N38" s="176"/>
      <c r="O38" s="176"/>
      <c r="P38" s="176"/>
      <c r="Q38" s="177"/>
      <c r="R38" s="139">
        <f>Z13</f>
        <v>0</v>
      </c>
      <c r="S38" s="61">
        <f>IF(I30="",0,SUM(S30:S37))</f>
        <v>0</v>
      </c>
      <c r="T38" s="61">
        <f>IF(I30="",0,SUM(T30:T37))</f>
        <v>0</v>
      </c>
      <c r="U38" s="62" t="str">
        <f>IF($I30="","",IF(LEFT($U$1,1)="g",$AT$2-$W$4,LegendSG2RSST-$W$4))</f>
        <v/>
      </c>
      <c r="V38" s="63" t="str">
        <f>IF(OR($I30="",$W$2=""),"",$W$2)</f>
        <v/>
      </c>
      <c r="W38" s="64">
        <f>IF(OR(W30="",I30=""),0,SUM(W30:W37))</f>
        <v>0</v>
      </c>
      <c r="X38" s="1683" t="s">
        <v>15</v>
      </c>
      <c r="Y38" s="1684"/>
      <c r="Z38" s="1681">
        <f>IF($I30="",0,SUM(Z30:Z37))</f>
        <v>0</v>
      </c>
      <c r="AA38" s="1682"/>
      <c r="AB38" s="138">
        <f>IF($I30="",0,SUM(AB30:AB37))</f>
        <v>0</v>
      </c>
      <c r="AC38" s="138">
        <f>IF($I30="",0,SUM(AC30:AC37))</f>
        <v>0</v>
      </c>
      <c r="AD38" s="140">
        <f>IF(I30="",0,SUM(AD30:AD37))</f>
        <v>0</v>
      </c>
      <c r="AE38" s="138">
        <f>IF(AD38=0,AE30,(SUMPRODUCT(AD30:AD37,AE30:AE37))/AD38)</f>
        <v>0</v>
      </c>
      <c r="AF38" s="134" t="str">
        <f>IF(AA2="","",AA2)</f>
        <v>N/A</v>
      </c>
      <c r="AG38" s="131" t="str">
        <f>IF(Y2="","",Y2)</f>
        <v/>
      </c>
      <c r="AH38" s="133" t="str">
        <f>IF(I30="","",MAX(AH30:AH37))</f>
        <v/>
      </c>
      <c r="AI38" s="84" t="s">
        <v>15</v>
      </c>
      <c r="AJ38" s="66" t="str">
        <f>IF(R38=0,"",IF(T38&lt;&gt;0,T38/R38-1,S38/R38-1))</f>
        <v/>
      </c>
      <c r="AK38" s="1817"/>
      <c r="AL38" s="1818"/>
      <c r="AM38" s="1818"/>
      <c r="AN38" s="1818"/>
      <c r="AO38" s="1818"/>
      <c r="AP38" s="1818"/>
      <c r="AQ38" s="1818"/>
      <c r="AR38" s="1818"/>
      <c r="AS38" s="1818"/>
      <c r="AT38" s="1819"/>
    </row>
    <row r="39" spans="5:46" ht="12" hidden="1" customHeight="1" x14ac:dyDescent="0.2">
      <c r="E39" s="167">
        <v>3</v>
      </c>
      <c r="F39" s="173"/>
      <c r="H39" s="562"/>
      <c r="I39" s="1791"/>
      <c r="J39" s="1792"/>
      <c r="K39" s="1792"/>
      <c r="L39" s="1792"/>
      <c r="M39" s="1792"/>
      <c r="N39" s="1792"/>
      <c r="O39" s="1792"/>
      <c r="P39" s="1792"/>
      <c r="Q39" s="1793"/>
      <c r="R39" s="1663"/>
      <c r="S39" s="564"/>
      <c r="T39" s="892"/>
      <c r="U39" s="973" t="str">
        <f t="shared" ref="U39:U46" si="79">IF($I39="","",IF(LEFT($U$1,1)="g",$AT$3-$W$4,LegendSG3RSST-$W$4))</f>
        <v/>
      </c>
      <c r="V39" s="973" t="str">
        <f>IF($I39="","",$W$2)</f>
        <v/>
      </c>
      <c r="W39" s="974" t="str">
        <f>IF(OR($T39="",$AB39=""),"",$AB39*3.413+$T39)</f>
        <v/>
      </c>
      <c r="X39" s="1668" t="s">
        <v>370</v>
      </c>
      <c r="Y39" s="1669"/>
      <c r="Z39" s="1670"/>
      <c r="AA39" s="1671"/>
      <c r="AB39" s="567"/>
      <c r="AC39" s="568"/>
      <c r="AD39" s="569"/>
      <c r="AE39" s="570"/>
      <c r="AF39" s="973" t="str">
        <f>IF(H39="","",$AA$3)</f>
        <v/>
      </c>
      <c r="AG39" s="973" t="str">
        <f>IF(H39="","",$Y$3)</f>
        <v/>
      </c>
      <c r="AH39" s="574"/>
      <c r="AI39" s="57" t="str">
        <f t="shared" ref="AI39:AI46" si="80">IF($S$38&lt;&gt;0,$S39/$S$47,"")</f>
        <v/>
      </c>
      <c r="AJ39" s="174"/>
      <c r="AK39" s="1817"/>
      <c r="AL39" s="1818"/>
      <c r="AM39" s="1818"/>
      <c r="AN39" s="1818"/>
      <c r="AO39" s="1818"/>
      <c r="AP39" s="1818"/>
      <c r="AQ39" s="1818"/>
      <c r="AR39" s="1818"/>
      <c r="AS39" s="1818"/>
      <c r="AT39" s="1819"/>
    </row>
    <row r="40" spans="5:46" ht="12" hidden="1" customHeight="1" x14ac:dyDescent="0.2">
      <c r="E40" s="167">
        <v>3</v>
      </c>
      <c r="F40" s="173"/>
      <c r="H40" s="563"/>
      <c r="I40" s="1656"/>
      <c r="J40" s="1657"/>
      <c r="K40" s="1657"/>
      <c r="L40" s="1657"/>
      <c r="M40" s="1657"/>
      <c r="N40" s="1657"/>
      <c r="O40" s="1657"/>
      <c r="P40" s="1657"/>
      <c r="Q40" s="1658"/>
      <c r="R40" s="1664"/>
      <c r="S40" s="559"/>
      <c r="T40" s="559"/>
      <c r="U40" s="59" t="str">
        <f t="shared" si="79"/>
        <v/>
      </c>
      <c r="V40" s="43" t="str">
        <f t="shared" ref="V40:V46" si="81">IF($I40="","",$W$2)</f>
        <v/>
      </c>
      <c r="W40" s="42" t="str">
        <f t="shared" ref="W40:W46" si="82">IF(OR($T40="",$AB40=""),"",$AB40*3.413+$T40)</f>
        <v/>
      </c>
      <c r="X40" s="1659" t="s">
        <v>370</v>
      </c>
      <c r="Y40" s="1660"/>
      <c r="Z40" s="1661"/>
      <c r="AA40" s="1662"/>
      <c r="AB40" s="571"/>
      <c r="AC40" s="572"/>
      <c r="AD40" s="571"/>
      <c r="AE40" s="572"/>
      <c r="AF40" s="43" t="str">
        <f t="shared" ref="AF40:AF46" si="83">IF(H40="","",$AA$3)</f>
        <v/>
      </c>
      <c r="AG40" s="43" t="str">
        <f t="shared" ref="AG40:AG46" si="84">IF(H40="","",$Y$3)</f>
        <v/>
      </c>
      <c r="AH40" s="559"/>
      <c r="AI40" s="60" t="str">
        <f t="shared" si="80"/>
        <v/>
      </c>
      <c r="AJ40" s="58"/>
      <c r="AK40" s="1817"/>
      <c r="AL40" s="1818"/>
      <c r="AM40" s="1818"/>
      <c r="AN40" s="1818"/>
      <c r="AO40" s="1818"/>
      <c r="AP40" s="1818"/>
      <c r="AQ40" s="1818"/>
      <c r="AR40" s="1818"/>
      <c r="AS40" s="1818"/>
      <c r="AT40" s="1819"/>
    </row>
    <row r="41" spans="5:46" ht="12" hidden="1" customHeight="1" x14ac:dyDescent="0.2">
      <c r="E41" s="167">
        <v>3</v>
      </c>
      <c r="F41" s="173"/>
      <c r="H41" s="563"/>
      <c r="I41" s="1656"/>
      <c r="J41" s="1657"/>
      <c r="K41" s="1657"/>
      <c r="L41" s="1657"/>
      <c r="M41" s="1657"/>
      <c r="N41" s="1657"/>
      <c r="O41" s="1657"/>
      <c r="P41" s="1657"/>
      <c r="Q41" s="1658"/>
      <c r="R41" s="1664"/>
      <c r="S41" s="559"/>
      <c r="T41" s="559"/>
      <c r="U41" s="59" t="str">
        <f t="shared" si="79"/>
        <v/>
      </c>
      <c r="V41" s="43" t="str">
        <f t="shared" si="81"/>
        <v/>
      </c>
      <c r="W41" s="42" t="str">
        <f t="shared" si="82"/>
        <v/>
      </c>
      <c r="X41" s="1659" t="s">
        <v>370</v>
      </c>
      <c r="Y41" s="1660"/>
      <c r="Z41" s="1661"/>
      <c r="AA41" s="1662"/>
      <c r="AB41" s="571"/>
      <c r="AC41" s="572"/>
      <c r="AD41" s="571"/>
      <c r="AE41" s="572"/>
      <c r="AF41" s="43" t="str">
        <f t="shared" si="83"/>
        <v/>
      </c>
      <c r="AG41" s="43" t="str">
        <f t="shared" si="84"/>
        <v/>
      </c>
      <c r="AH41" s="559"/>
      <c r="AI41" s="60" t="str">
        <f t="shared" si="80"/>
        <v/>
      </c>
      <c r="AJ41" s="58"/>
      <c r="AK41" s="1817"/>
      <c r="AL41" s="1818"/>
      <c r="AM41" s="1818"/>
      <c r="AN41" s="1818"/>
      <c r="AO41" s="1818"/>
      <c r="AP41" s="1818"/>
      <c r="AQ41" s="1818"/>
      <c r="AR41" s="1818"/>
      <c r="AS41" s="1818"/>
      <c r="AT41" s="1819"/>
    </row>
    <row r="42" spans="5:46" ht="12" hidden="1" customHeight="1" x14ac:dyDescent="0.2">
      <c r="E42" s="167">
        <v>3</v>
      </c>
      <c r="F42" s="173"/>
      <c r="H42" s="563"/>
      <c r="I42" s="1656"/>
      <c r="J42" s="1657"/>
      <c r="K42" s="1657"/>
      <c r="L42" s="1657"/>
      <c r="M42" s="1657"/>
      <c r="N42" s="1657"/>
      <c r="O42" s="1657"/>
      <c r="P42" s="1657"/>
      <c r="Q42" s="1658"/>
      <c r="R42" s="1664"/>
      <c r="S42" s="559"/>
      <c r="T42" s="559"/>
      <c r="U42" s="59" t="str">
        <f t="shared" si="79"/>
        <v/>
      </c>
      <c r="V42" s="43" t="str">
        <f t="shared" si="81"/>
        <v/>
      </c>
      <c r="W42" s="42" t="str">
        <f t="shared" si="82"/>
        <v/>
      </c>
      <c r="X42" s="1659" t="s">
        <v>370</v>
      </c>
      <c r="Y42" s="1660"/>
      <c r="Z42" s="1661"/>
      <c r="AA42" s="1662"/>
      <c r="AB42" s="571"/>
      <c r="AC42" s="572"/>
      <c r="AD42" s="571"/>
      <c r="AE42" s="572"/>
      <c r="AF42" s="43" t="str">
        <f t="shared" si="83"/>
        <v/>
      </c>
      <c r="AG42" s="43" t="str">
        <f t="shared" si="84"/>
        <v/>
      </c>
      <c r="AH42" s="559"/>
      <c r="AI42" s="60" t="str">
        <f t="shared" si="80"/>
        <v/>
      </c>
      <c r="AJ42" s="58"/>
      <c r="AK42" s="1817"/>
      <c r="AL42" s="1818"/>
      <c r="AM42" s="1818"/>
      <c r="AN42" s="1818"/>
      <c r="AO42" s="1818"/>
      <c r="AP42" s="1818"/>
      <c r="AQ42" s="1818"/>
      <c r="AR42" s="1818"/>
      <c r="AS42" s="1818"/>
      <c r="AT42" s="1819"/>
    </row>
    <row r="43" spans="5:46" ht="12" hidden="1" customHeight="1" x14ac:dyDescent="0.2">
      <c r="E43" s="167">
        <v>3</v>
      </c>
      <c r="F43" s="173"/>
      <c r="H43" s="563"/>
      <c r="I43" s="1656"/>
      <c r="J43" s="1657"/>
      <c r="K43" s="1657"/>
      <c r="L43" s="1657"/>
      <c r="M43" s="1657"/>
      <c r="N43" s="1657"/>
      <c r="O43" s="1657"/>
      <c r="P43" s="1657"/>
      <c r="Q43" s="1658"/>
      <c r="R43" s="1664"/>
      <c r="S43" s="559"/>
      <c r="T43" s="559"/>
      <c r="U43" s="59" t="str">
        <f t="shared" si="79"/>
        <v/>
      </c>
      <c r="V43" s="43" t="str">
        <f t="shared" si="81"/>
        <v/>
      </c>
      <c r="W43" s="42" t="str">
        <f t="shared" si="82"/>
        <v/>
      </c>
      <c r="X43" s="1659" t="s">
        <v>370</v>
      </c>
      <c r="Y43" s="1660"/>
      <c r="Z43" s="1661"/>
      <c r="AA43" s="1662"/>
      <c r="AB43" s="571"/>
      <c r="AC43" s="572"/>
      <c r="AD43" s="571"/>
      <c r="AE43" s="572"/>
      <c r="AF43" s="43" t="str">
        <f t="shared" si="83"/>
        <v/>
      </c>
      <c r="AG43" s="43" t="str">
        <f t="shared" si="84"/>
        <v/>
      </c>
      <c r="AH43" s="559"/>
      <c r="AI43" s="60" t="str">
        <f t="shared" si="80"/>
        <v/>
      </c>
      <c r="AJ43" s="58"/>
      <c r="AK43" s="1817"/>
      <c r="AL43" s="1818"/>
      <c r="AM43" s="1818"/>
      <c r="AN43" s="1818"/>
      <c r="AO43" s="1818"/>
      <c r="AP43" s="1818"/>
      <c r="AQ43" s="1818"/>
      <c r="AR43" s="1818"/>
      <c r="AS43" s="1818"/>
      <c r="AT43" s="1819"/>
    </row>
    <row r="44" spans="5:46" ht="12" hidden="1" customHeight="1" x14ac:dyDescent="0.2">
      <c r="E44" s="167">
        <v>3</v>
      </c>
      <c r="F44" s="173"/>
      <c r="H44" s="563"/>
      <c r="I44" s="1656"/>
      <c r="J44" s="1657"/>
      <c r="K44" s="1657"/>
      <c r="L44" s="1657"/>
      <c r="M44" s="1657"/>
      <c r="N44" s="1657"/>
      <c r="O44" s="1657"/>
      <c r="P44" s="1657"/>
      <c r="Q44" s="1658"/>
      <c r="R44" s="1664"/>
      <c r="S44" s="559"/>
      <c r="T44" s="559"/>
      <c r="U44" s="59" t="str">
        <f t="shared" si="79"/>
        <v/>
      </c>
      <c r="V44" s="43" t="str">
        <f t="shared" si="81"/>
        <v/>
      </c>
      <c r="W44" s="42" t="str">
        <f t="shared" si="82"/>
        <v/>
      </c>
      <c r="X44" s="1659" t="s">
        <v>370</v>
      </c>
      <c r="Y44" s="1660"/>
      <c r="Z44" s="1661"/>
      <c r="AA44" s="1662"/>
      <c r="AB44" s="571"/>
      <c r="AC44" s="572"/>
      <c r="AD44" s="571"/>
      <c r="AE44" s="572"/>
      <c r="AF44" s="43" t="str">
        <f t="shared" si="83"/>
        <v/>
      </c>
      <c r="AG44" s="43" t="str">
        <f t="shared" si="84"/>
        <v/>
      </c>
      <c r="AH44" s="559"/>
      <c r="AI44" s="60" t="str">
        <f t="shared" si="80"/>
        <v/>
      </c>
      <c r="AJ44" s="58"/>
      <c r="AK44" s="1817"/>
      <c r="AL44" s="1818"/>
      <c r="AM44" s="1818"/>
      <c r="AN44" s="1818"/>
      <c r="AO44" s="1818"/>
      <c r="AP44" s="1818"/>
      <c r="AQ44" s="1818"/>
      <c r="AR44" s="1818"/>
      <c r="AS44" s="1818"/>
      <c r="AT44" s="1819"/>
    </row>
    <row r="45" spans="5:46" ht="12" hidden="1" customHeight="1" x14ac:dyDescent="0.2">
      <c r="E45" s="167">
        <v>3</v>
      </c>
      <c r="F45" s="173"/>
      <c r="H45" s="563"/>
      <c r="I45" s="1656"/>
      <c r="J45" s="1657"/>
      <c r="K45" s="1657"/>
      <c r="L45" s="1657"/>
      <c r="M45" s="1657"/>
      <c r="N45" s="1657"/>
      <c r="O45" s="1657"/>
      <c r="P45" s="1657"/>
      <c r="Q45" s="1658"/>
      <c r="R45" s="1664"/>
      <c r="S45" s="559"/>
      <c r="T45" s="559"/>
      <c r="U45" s="59" t="str">
        <f t="shared" si="79"/>
        <v/>
      </c>
      <c r="V45" s="43" t="str">
        <f t="shared" si="81"/>
        <v/>
      </c>
      <c r="W45" s="42" t="str">
        <f t="shared" si="82"/>
        <v/>
      </c>
      <c r="X45" s="1659" t="s">
        <v>370</v>
      </c>
      <c r="Y45" s="1660"/>
      <c r="Z45" s="1661"/>
      <c r="AA45" s="1662"/>
      <c r="AB45" s="571"/>
      <c r="AC45" s="572"/>
      <c r="AD45" s="571"/>
      <c r="AE45" s="572"/>
      <c r="AF45" s="43" t="str">
        <f t="shared" si="83"/>
        <v/>
      </c>
      <c r="AG45" s="43" t="str">
        <f t="shared" si="84"/>
        <v/>
      </c>
      <c r="AH45" s="559"/>
      <c r="AI45" s="60" t="str">
        <f t="shared" si="80"/>
        <v/>
      </c>
      <c r="AJ45" s="58"/>
      <c r="AK45" s="1817"/>
      <c r="AL45" s="1818"/>
      <c r="AM45" s="1818"/>
      <c r="AN45" s="1818"/>
      <c r="AO45" s="1818"/>
      <c r="AP45" s="1818"/>
      <c r="AQ45" s="1818"/>
      <c r="AR45" s="1818"/>
      <c r="AS45" s="1818"/>
      <c r="AT45" s="1819"/>
    </row>
    <row r="46" spans="5:46" ht="12" hidden="1" customHeight="1" thickBot="1" x14ac:dyDescent="0.25">
      <c r="E46" s="167">
        <v>3</v>
      </c>
      <c r="F46" s="173"/>
      <c r="H46" s="565"/>
      <c r="I46" s="1709"/>
      <c r="J46" s="1710"/>
      <c r="K46" s="1710"/>
      <c r="L46" s="1710"/>
      <c r="M46" s="1710"/>
      <c r="N46" s="1710"/>
      <c r="O46" s="1710"/>
      <c r="P46" s="1710"/>
      <c r="Q46" s="1711"/>
      <c r="R46" s="1665"/>
      <c r="S46" s="566"/>
      <c r="T46" s="566"/>
      <c r="U46" s="975" t="str">
        <f t="shared" si="79"/>
        <v/>
      </c>
      <c r="V46" s="976" t="str">
        <f t="shared" si="81"/>
        <v/>
      </c>
      <c r="W46" s="977" t="str">
        <f t="shared" si="82"/>
        <v/>
      </c>
      <c r="X46" s="1666" t="s">
        <v>370</v>
      </c>
      <c r="Y46" s="1667"/>
      <c r="Z46" s="1685"/>
      <c r="AA46" s="1686"/>
      <c r="AB46" s="1295"/>
      <c r="AC46" s="573"/>
      <c r="AD46" s="1295"/>
      <c r="AE46" s="573"/>
      <c r="AF46" s="976" t="str">
        <f t="shared" si="83"/>
        <v/>
      </c>
      <c r="AG46" s="976" t="str">
        <f t="shared" si="84"/>
        <v/>
      </c>
      <c r="AH46" s="566"/>
      <c r="AI46" s="372" t="str">
        <f t="shared" si="80"/>
        <v/>
      </c>
      <c r="AJ46" s="373"/>
      <c r="AK46" s="1817"/>
      <c r="AL46" s="1818"/>
      <c r="AM46" s="1818"/>
      <c r="AN46" s="1818"/>
      <c r="AO46" s="1818"/>
      <c r="AP46" s="1818"/>
      <c r="AQ46" s="1818"/>
      <c r="AR46" s="1818"/>
      <c r="AS46" s="1818"/>
      <c r="AT46" s="1819"/>
    </row>
    <row r="47" spans="5:46" ht="12" hidden="1" customHeight="1" thickBot="1" x14ac:dyDescent="0.25">
      <c r="E47" s="167">
        <v>3</v>
      </c>
      <c r="F47" s="173"/>
      <c r="H47" s="175"/>
      <c r="I47" s="176"/>
      <c r="J47" s="176"/>
      <c r="K47" s="176"/>
      <c r="L47" s="176"/>
      <c r="M47" s="178" t="s">
        <v>409</v>
      </c>
      <c r="N47" s="176"/>
      <c r="O47" s="176"/>
      <c r="P47" s="176"/>
      <c r="Q47" s="177"/>
      <c r="R47" s="139">
        <f>Z16</f>
        <v>0</v>
      </c>
      <c r="S47" s="61">
        <f>IF(I39="",0,SUM(S39:S46))</f>
        <v>0</v>
      </c>
      <c r="T47" s="61">
        <f>IF(I39="",0,SUM(T39:T46))</f>
        <v>0</v>
      </c>
      <c r="U47" s="62" t="str">
        <f>IF($I39="","",IF(LEFT($U$1,1)="g",$AT$3-$W$4,LegendSG3RSST-$W$4))</f>
        <v/>
      </c>
      <c r="V47" s="63" t="str">
        <f>IF(OR($I39="",$W$2=""),"",$W$2)</f>
        <v/>
      </c>
      <c r="W47" s="64">
        <f>IF(OR(W39="",I39=""),0,SUM(W39:W46))</f>
        <v>0</v>
      </c>
      <c r="X47" s="1683" t="s">
        <v>15</v>
      </c>
      <c r="Y47" s="1684"/>
      <c r="Z47" s="1681">
        <f>IF($I39="",0,SUM(Z39:Z46))</f>
        <v>0</v>
      </c>
      <c r="AA47" s="1682"/>
      <c r="AB47" s="138">
        <f>IF($I39="",0,SUM(AB39:AB46))</f>
        <v>0</v>
      </c>
      <c r="AC47" s="138">
        <f>IF($I39="",0,SUM(AC39:AC46))</f>
        <v>0</v>
      </c>
      <c r="AD47" s="140">
        <f>IF(I39="",0,SUM(AD39:AD46))</f>
        <v>0</v>
      </c>
      <c r="AE47" s="138">
        <f>IF(AD47=0,AE39,(SUMPRODUCT(AD39:AD46,AE39:AE46))/AD47)</f>
        <v>0</v>
      </c>
      <c r="AF47" s="134" t="str">
        <f>IF(AA3="","",AA3)</f>
        <v>N/A</v>
      </c>
      <c r="AG47" s="131" t="str">
        <f>IF(Y3="","",Y3)</f>
        <v/>
      </c>
      <c r="AH47" s="133" t="str">
        <f>IF(I39="","",MAX(AH39:AH46))</f>
        <v/>
      </c>
      <c r="AI47" s="84" t="s">
        <v>15</v>
      </c>
      <c r="AJ47" s="66" t="str">
        <f>IF(R47=0,"",IF(T47&lt;&gt;0,T47/R47-1,S47/R47-1))</f>
        <v/>
      </c>
      <c r="AK47" s="1817"/>
      <c r="AL47" s="1818"/>
      <c r="AM47" s="1818"/>
      <c r="AN47" s="1818"/>
      <c r="AO47" s="1818"/>
      <c r="AP47" s="1818"/>
      <c r="AQ47" s="1818"/>
      <c r="AR47" s="1818"/>
      <c r="AS47" s="1818"/>
      <c r="AT47" s="1819"/>
    </row>
    <row r="48" spans="5:46" ht="12" hidden="1" customHeight="1" thickBot="1" x14ac:dyDescent="0.25">
      <c r="E48" s="167">
        <v>23</v>
      </c>
      <c r="F48" s="173"/>
      <c r="H48" s="1704"/>
      <c r="I48" s="1705"/>
      <c r="J48" s="1705"/>
      <c r="K48" s="1705"/>
      <c r="L48" s="1705"/>
      <c r="M48" s="1705"/>
      <c r="N48" s="1705"/>
      <c r="O48" s="1705"/>
      <c r="P48" s="1705"/>
      <c r="Q48" s="1705"/>
      <c r="R48" s="1705"/>
      <c r="S48" s="1705"/>
      <c r="T48" s="1705"/>
      <c r="U48" s="1706" t="s">
        <v>630</v>
      </c>
      <c r="V48" s="1707"/>
      <c r="W48" s="61">
        <f>W29+W38+W47</f>
        <v>0</v>
      </c>
      <c r="X48" s="1683" t="s">
        <v>15</v>
      </c>
      <c r="Y48" s="1684"/>
      <c r="Z48" s="1681">
        <f>+SUM(Z29+Z38+Z47)</f>
        <v>0</v>
      </c>
      <c r="AA48" s="1682"/>
      <c r="AB48" s="138">
        <f>+SUM(AB29+AB38+AB47)</f>
        <v>0</v>
      </c>
      <c r="AC48" s="138">
        <f>+SUM(AC29+AC38+AC47)</f>
        <v>0</v>
      </c>
      <c r="AD48" s="140">
        <f>+SUM(AD29+AD38+AD47)</f>
        <v>0</v>
      </c>
      <c r="AE48" s="65" t="s">
        <v>15</v>
      </c>
      <c r="AF48" s="1683" t="s">
        <v>15</v>
      </c>
      <c r="AG48" s="1813"/>
      <c r="AH48" s="1813"/>
      <c r="AI48" s="1684"/>
      <c r="AJ48" s="141" t="s">
        <v>15</v>
      </c>
      <c r="AK48" s="1820"/>
      <c r="AL48" s="1821"/>
      <c r="AM48" s="1821"/>
      <c r="AN48" s="1821"/>
      <c r="AO48" s="1821"/>
      <c r="AP48" s="1821"/>
      <c r="AQ48" s="1821"/>
      <c r="AR48" s="1821"/>
      <c r="AS48" s="1821"/>
      <c r="AT48" s="1822"/>
    </row>
    <row r="49" spans="2:46" ht="12" customHeight="1" x14ac:dyDescent="0.2">
      <c r="F49" s="173"/>
      <c r="H49" s="294"/>
      <c r="I49" s="294"/>
      <c r="J49" s="294"/>
      <c r="K49" s="294"/>
      <c r="L49" s="294"/>
      <c r="M49" s="294"/>
      <c r="N49" s="294"/>
      <c r="O49" s="294"/>
      <c r="P49" s="294"/>
      <c r="Q49" s="294"/>
      <c r="R49" s="294"/>
      <c r="S49" s="294"/>
      <c r="T49" s="294"/>
      <c r="U49" s="294"/>
      <c r="V49" s="294"/>
      <c r="W49" s="294"/>
      <c r="X49" s="294"/>
      <c r="Y49" s="294"/>
      <c r="Z49" s="294"/>
      <c r="AA49" s="294"/>
      <c r="AB49" s="294"/>
      <c r="AC49" s="294"/>
      <c r="AD49" s="294"/>
      <c r="AE49" s="294"/>
      <c r="AF49" s="294"/>
      <c r="AG49" s="294"/>
      <c r="AH49" s="294"/>
      <c r="AI49" s="294"/>
      <c r="AJ49" s="294"/>
      <c r="AK49" s="294"/>
      <c r="AL49" s="294"/>
      <c r="AM49" s="294"/>
      <c r="AN49" s="294"/>
      <c r="AO49" s="294"/>
      <c r="AP49" s="294"/>
      <c r="AQ49" s="294"/>
      <c r="AR49" s="294"/>
      <c r="AS49" s="294"/>
      <c r="AT49" s="294"/>
    </row>
    <row r="50" spans="2:46" ht="12" customHeight="1" x14ac:dyDescent="0.2">
      <c r="F50" s="173"/>
      <c r="H50" s="294"/>
      <c r="I50" s="294"/>
      <c r="J50" s="294"/>
      <c r="K50" s="294"/>
      <c r="L50" s="294"/>
      <c r="M50" s="294"/>
      <c r="N50" s="294"/>
      <c r="O50" s="294"/>
      <c r="P50" s="294"/>
      <c r="Q50" s="294"/>
      <c r="R50" s="294"/>
      <c r="S50" s="1446"/>
      <c r="T50" s="1446"/>
      <c r="U50" s="1447" t="str">
        <f>IF($I50="","",IF(LEFT($U$1,1)="g",$AT$2-$W$4,LegendSG2RSST-$W$4))</f>
        <v/>
      </c>
      <c r="V50" s="1447" t="str">
        <f>IF($I50="","",$W$2)</f>
        <v/>
      </c>
      <c r="W50" s="1448" t="str">
        <f>IF(OR($T50="",$AB50=""),"",$AB50*3.413+$T50)</f>
        <v/>
      </c>
      <c r="X50" s="294"/>
      <c r="Y50" s="294"/>
      <c r="Z50" s="445"/>
      <c r="AA50" s="445"/>
      <c r="AB50" s="294"/>
      <c r="AC50" s="294"/>
      <c r="AD50" s="294"/>
      <c r="AE50" s="294"/>
      <c r="AF50" s="294"/>
      <c r="AG50" s="294"/>
      <c r="AH50" s="294"/>
      <c r="AI50" s="294"/>
      <c r="AJ50" s="294"/>
      <c r="AK50" s="294"/>
      <c r="AL50" s="294"/>
      <c r="AM50" s="294"/>
      <c r="AN50" s="294"/>
      <c r="AO50" s="294"/>
      <c r="AP50" s="294"/>
      <c r="AQ50" s="294"/>
      <c r="AR50" s="294"/>
      <c r="AS50" s="294"/>
      <c r="AT50" s="294"/>
    </row>
    <row r="51" spans="2:46" ht="12" customHeight="1" x14ac:dyDescent="0.2">
      <c r="F51" s="173"/>
      <c r="H51" s="294"/>
      <c r="I51" s="294"/>
      <c r="J51" s="294"/>
      <c r="K51" s="294"/>
      <c r="L51" s="294"/>
      <c r="M51" s="294"/>
      <c r="N51" s="294"/>
      <c r="O51" s="294"/>
      <c r="P51" s="294"/>
      <c r="Q51" s="294"/>
      <c r="R51" s="294"/>
      <c r="S51" s="1446"/>
      <c r="T51" s="1446"/>
      <c r="U51" s="1447" t="str">
        <f>IF($I51="","",IF(LEFT($U$1,1)="g",$AT$2-$W$4,LegendSG2RSST-$W$4))</f>
        <v/>
      </c>
      <c r="V51" s="1447" t="str">
        <f>IF($I51="","",$W$2)</f>
        <v/>
      </c>
      <c r="W51" s="1448" t="str">
        <f>IF(OR($T51="",$AB51=""),"",$AB51*3.413+$T51)</f>
        <v/>
      </c>
      <c r="X51" s="294"/>
      <c r="Y51" s="294"/>
      <c r="Z51" s="445"/>
      <c r="AA51" s="445"/>
      <c r="AB51" s="294"/>
      <c r="AC51" s="294"/>
      <c r="AD51" s="294"/>
      <c r="AE51" s="294"/>
      <c r="AF51" s="294"/>
      <c r="AG51" s="294"/>
      <c r="AH51" s="294"/>
      <c r="AI51" s="294"/>
      <c r="AJ51" s="294"/>
      <c r="AK51" s="294"/>
      <c r="AL51" s="294"/>
      <c r="AM51" s="294"/>
      <c r="AN51" s="294"/>
      <c r="AO51" s="294"/>
      <c r="AP51" s="294"/>
      <c r="AQ51" s="294"/>
      <c r="AR51" s="294"/>
      <c r="AS51" s="294"/>
      <c r="AT51" s="294"/>
    </row>
    <row r="52" spans="2:46" ht="12" customHeight="1" x14ac:dyDescent="0.2">
      <c r="F52" s="173"/>
      <c r="H52" s="294"/>
      <c r="I52" s="294"/>
      <c r="J52" s="294"/>
      <c r="K52" s="294"/>
      <c r="L52" s="294"/>
      <c r="M52" s="294"/>
      <c r="N52" s="294"/>
      <c r="O52" s="294"/>
      <c r="P52" s="294"/>
      <c r="Q52" s="294"/>
      <c r="R52" s="294"/>
      <c r="S52" s="294"/>
      <c r="T52" s="294"/>
      <c r="U52" s="294"/>
      <c r="V52" s="294"/>
      <c r="W52" s="294"/>
      <c r="X52" s="294"/>
      <c r="Y52" s="294"/>
      <c r="Z52" s="294"/>
      <c r="AA52" s="294"/>
      <c r="AB52" s="294"/>
      <c r="AC52" s="294"/>
      <c r="AD52" s="294"/>
      <c r="AE52" s="294"/>
      <c r="AF52" s="294"/>
      <c r="AG52" s="294"/>
      <c r="AH52" s="294"/>
      <c r="AI52" s="294"/>
      <c r="AJ52" s="294"/>
      <c r="AK52" s="294"/>
      <c r="AL52" s="294"/>
      <c r="AM52" s="294"/>
      <c r="AN52" s="294"/>
      <c r="AO52" s="294"/>
      <c r="AP52" s="294"/>
      <c r="AQ52" s="294"/>
      <c r="AR52" s="294"/>
      <c r="AS52" s="294"/>
      <c r="AT52" s="294"/>
    </row>
    <row r="53" spans="2:46" ht="12" customHeight="1" thickBot="1" x14ac:dyDescent="0.25">
      <c r="F53" s="173"/>
      <c r="H53" s="294"/>
      <c r="I53" s="294"/>
      <c r="J53" s="294"/>
      <c r="K53" s="294"/>
      <c r="L53" s="294"/>
      <c r="M53" s="294"/>
      <c r="N53" s="294"/>
      <c r="O53" s="294"/>
      <c r="P53" s="294"/>
      <c r="Q53" s="294"/>
      <c r="R53" s="294"/>
      <c r="S53" s="294"/>
      <c r="T53" s="294"/>
      <c r="U53" s="294"/>
      <c r="V53" s="294"/>
      <c r="W53" s="294"/>
      <c r="X53" s="294"/>
      <c r="Y53" s="294"/>
      <c r="Z53" s="294"/>
      <c r="AA53" s="294"/>
      <c r="AB53" s="294"/>
      <c r="AC53" s="294"/>
      <c r="AD53" s="294"/>
      <c r="AE53" s="294"/>
      <c r="AF53" s="294"/>
      <c r="AG53" s="294"/>
      <c r="AH53" s="294"/>
      <c r="AI53" s="294"/>
      <c r="AJ53" s="294"/>
      <c r="AK53" s="294"/>
      <c r="AL53" s="294"/>
      <c r="AM53" s="294"/>
      <c r="AN53" s="294"/>
      <c r="AO53" s="294"/>
      <c r="AP53" s="294"/>
      <c r="AQ53" s="294"/>
      <c r="AR53" s="294"/>
      <c r="AS53" s="294"/>
      <c r="AT53" s="294"/>
    </row>
    <row r="54" spans="2:46" ht="12" customHeight="1" x14ac:dyDescent="0.2">
      <c r="B54" s="878" t="s">
        <v>973</v>
      </c>
      <c r="C54" s="879"/>
      <c r="D54" s="879"/>
      <c r="E54" s="880"/>
      <c r="F54" s="173"/>
      <c r="H54" s="294"/>
      <c r="I54" s="294"/>
      <c r="J54" s="294"/>
      <c r="K54" s="294"/>
      <c r="L54" s="294"/>
      <c r="M54" s="294"/>
      <c r="N54" s="294"/>
      <c r="O54" s="294"/>
      <c r="P54" s="294"/>
      <c r="Q54" s="294"/>
      <c r="R54" s="294"/>
      <c r="S54" s="294"/>
      <c r="T54" s="294"/>
      <c r="U54" s="294"/>
      <c r="V54" s="294"/>
      <c r="W54" s="294"/>
      <c r="X54" s="294"/>
      <c r="Y54" s="294"/>
      <c r="Z54" s="294"/>
      <c r="AA54" s="294"/>
      <c r="AB54" s="294"/>
      <c r="AC54" s="294"/>
      <c r="AD54" s="294"/>
      <c r="AE54" s="294"/>
      <c r="AF54" s="294"/>
      <c r="AG54" s="294"/>
      <c r="AH54" s="294"/>
      <c r="AI54" s="294"/>
      <c r="AJ54" s="294"/>
      <c r="AK54" s="294"/>
      <c r="AL54" s="294"/>
      <c r="AM54" s="294"/>
      <c r="AN54" s="294"/>
      <c r="AO54" s="294"/>
      <c r="AP54" s="294"/>
      <c r="AQ54" s="294"/>
      <c r="AR54" s="294"/>
      <c r="AS54" s="294"/>
      <c r="AT54" s="294"/>
    </row>
    <row r="55" spans="2:46" ht="12" customHeight="1" x14ac:dyDescent="0.2">
      <c r="B55" s="875" t="s">
        <v>976</v>
      </c>
      <c r="C55" s="874"/>
      <c r="D55" s="874"/>
      <c r="E55" s="873"/>
      <c r="F55" s="173"/>
      <c r="H55" s="294"/>
      <c r="I55" s="294"/>
      <c r="J55" s="294"/>
      <c r="K55" s="294"/>
      <c r="L55" s="294"/>
      <c r="M55" s="294"/>
      <c r="N55" s="294"/>
      <c r="O55" s="294"/>
      <c r="P55" s="294"/>
      <c r="Q55" s="294"/>
      <c r="R55" s="294"/>
      <c r="S55" s="294"/>
      <c r="T55" s="294"/>
      <c r="U55" s="294"/>
      <c r="V55" s="294"/>
      <c r="W55" s="294"/>
      <c r="X55" s="294"/>
      <c r="Y55" s="294"/>
      <c r="Z55" s="294"/>
      <c r="AA55" s="294"/>
      <c r="AB55" s="294"/>
      <c r="AC55" s="294"/>
      <c r="AD55" s="294"/>
      <c r="AE55" s="294"/>
      <c r="AF55" s="294"/>
      <c r="AG55" s="294"/>
      <c r="AH55" s="294"/>
      <c r="AI55" s="294"/>
      <c r="AJ55" s="294"/>
      <c r="AK55" s="294"/>
      <c r="AL55" s="294"/>
      <c r="AM55" s="294"/>
      <c r="AN55" s="294"/>
      <c r="AO55" s="294"/>
      <c r="AP55" s="294"/>
      <c r="AQ55" s="294"/>
      <c r="AR55" s="294"/>
      <c r="AS55" s="294"/>
      <c r="AT55" s="294"/>
    </row>
    <row r="56" spans="2:46" ht="12" customHeight="1" x14ac:dyDescent="0.2">
      <c r="B56" s="872" t="s">
        <v>977</v>
      </c>
      <c r="C56" s="871"/>
      <c r="D56" s="871"/>
      <c r="E56" s="870"/>
      <c r="F56" s="1655"/>
      <c r="H56" s="294"/>
      <c r="I56" s="294"/>
      <c r="J56" s="294"/>
      <c r="K56" s="294"/>
      <c r="L56" s="294"/>
      <c r="M56" s="294"/>
      <c r="N56" s="294"/>
      <c r="O56" s="294"/>
      <c r="P56" s="294"/>
      <c r="Q56" s="294"/>
      <c r="R56" s="294"/>
      <c r="S56" s="294"/>
      <c r="T56" s="294"/>
      <c r="U56" s="294"/>
      <c r="V56" s="294"/>
      <c r="W56" s="294"/>
      <c r="X56" s="294"/>
      <c r="Y56" s="294"/>
      <c r="Z56" s="294"/>
      <c r="AA56" s="294"/>
      <c r="AB56" s="294"/>
      <c r="AC56" s="294"/>
      <c r="AD56" s="294"/>
      <c r="AE56" s="294"/>
      <c r="AF56" s="294"/>
      <c r="AG56" s="294"/>
      <c r="AH56" s="294"/>
      <c r="AI56" s="294"/>
      <c r="AJ56" s="294"/>
      <c r="AK56" s="294"/>
      <c r="AL56" s="294"/>
      <c r="AM56" s="294"/>
      <c r="AN56" s="294"/>
      <c r="AO56" s="294"/>
      <c r="AP56" s="294"/>
      <c r="AQ56" s="294"/>
      <c r="AR56" s="294"/>
      <c r="AS56" s="294"/>
      <c r="AT56" s="294"/>
    </row>
    <row r="57" spans="2:46" ht="12" customHeight="1" x14ac:dyDescent="0.2">
      <c r="B57" s="881" t="s">
        <v>412</v>
      </c>
      <c r="C57" s="882"/>
      <c r="D57" s="882"/>
      <c r="E57" s="883"/>
      <c r="F57" s="1655"/>
      <c r="H57" s="294"/>
      <c r="I57" s="294"/>
      <c r="J57" s="294"/>
      <c r="K57" s="294"/>
      <c r="L57" s="294"/>
      <c r="M57" s="294"/>
      <c r="N57" s="294"/>
      <c r="O57" s="294"/>
      <c r="P57" s="294"/>
      <c r="Q57" s="294"/>
      <c r="R57" s="294"/>
      <c r="S57" s="294"/>
      <c r="T57" s="294"/>
      <c r="U57" s="294"/>
      <c r="V57" s="294"/>
      <c r="W57" s="294"/>
      <c r="X57" s="294"/>
      <c r="Y57" s="294"/>
      <c r="Z57" s="294"/>
      <c r="AA57" s="294"/>
      <c r="AB57" s="294"/>
      <c r="AC57" s="294"/>
      <c r="AD57" s="294"/>
      <c r="AE57" s="294"/>
      <c r="AF57" s="294"/>
      <c r="AG57" s="294"/>
      <c r="AH57" s="294"/>
      <c r="AI57" s="294"/>
      <c r="AJ57" s="294"/>
      <c r="AK57" s="294"/>
      <c r="AL57" s="294"/>
      <c r="AM57" s="294"/>
      <c r="AN57" s="294"/>
      <c r="AO57" s="294"/>
      <c r="AP57" s="294"/>
      <c r="AQ57" s="294"/>
      <c r="AR57" s="294"/>
      <c r="AS57" s="294"/>
      <c r="AT57" s="294"/>
    </row>
    <row r="58" spans="2:46" ht="12" customHeight="1" x14ac:dyDescent="0.2">
      <c r="B58" s="884" t="s">
        <v>550</v>
      </c>
      <c r="C58" s="885"/>
      <c r="D58" s="885"/>
      <c r="E58" s="886"/>
      <c r="H58" s="294"/>
      <c r="I58" s="294"/>
      <c r="J58" s="294"/>
      <c r="K58" s="294"/>
      <c r="L58" s="294"/>
      <c r="M58" s="294"/>
      <c r="N58" s="294"/>
      <c r="O58" s="294"/>
      <c r="P58" s="294"/>
      <c r="Q58" s="294"/>
      <c r="R58" s="294"/>
      <c r="S58" s="294"/>
      <c r="T58" s="294"/>
      <c r="U58" s="294"/>
      <c r="V58" s="294"/>
      <c r="W58" s="294"/>
      <c r="X58" s="294"/>
      <c r="Y58" s="294"/>
      <c r="Z58" s="294"/>
      <c r="AA58" s="294"/>
      <c r="AB58" s="294"/>
      <c r="AC58" s="294"/>
      <c r="AD58" s="294"/>
      <c r="AE58" s="294"/>
      <c r="AF58" s="294"/>
      <c r="AG58" s="294"/>
      <c r="AH58" s="294"/>
      <c r="AI58" s="294"/>
      <c r="AJ58" s="294"/>
      <c r="AK58" s="294"/>
      <c r="AL58" s="294"/>
      <c r="AM58" s="294"/>
      <c r="AN58" s="294"/>
      <c r="AO58" s="294"/>
      <c r="AP58" s="294"/>
      <c r="AQ58" s="294"/>
      <c r="AR58" s="294"/>
      <c r="AS58" s="294"/>
      <c r="AT58" s="294"/>
    </row>
    <row r="59" spans="2:46" ht="12" customHeight="1" thickBot="1" x14ac:dyDescent="0.25">
      <c r="B59" s="887" t="s">
        <v>413</v>
      </c>
      <c r="C59" s="888"/>
      <c r="D59" s="888"/>
      <c r="E59" s="889"/>
      <c r="H59" s="294"/>
      <c r="I59" s="294"/>
      <c r="J59" s="294"/>
      <c r="K59" s="294"/>
      <c r="L59" s="294"/>
      <c r="M59" s="294"/>
      <c r="N59" s="294"/>
      <c r="O59" s="294"/>
      <c r="P59" s="294"/>
      <c r="Q59" s="294"/>
      <c r="R59" s="294"/>
      <c r="S59" s="294"/>
      <c r="T59" s="294"/>
      <c r="U59" s="294"/>
      <c r="V59" s="294"/>
      <c r="W59" s="294"/>
      <c r="X59" s="294"/>
      <c r="Y59" s="294"/>
      <c r="Z59" s="294"/>
      <c r="AA59" s="294"/>
      <c r="AB59" s="294"/>
      <c r="AC59" s="294"/>
      <c r="AD59" s="294"/>
      <c r="AE59" s="294"/>
      <c r="AF59" s="294"/>
      <c r="AG59" s="294"/>
      <c r="AH59" s="294"/>
      <c r="AI59" s="294"/>
      <c r="AJ59" s="294"/>
      <c r="AK59" s="294"/>
      <c r="AL59" s="294"/>
      <c r="AM59" s="294"/>
      <c r="AN59" s="294"/>
      <c r="AO59" s="294"/>
      <c r="AP59" s="294"/>
      <c r="AQ59" s="294"/>
      <c r="AR59" s="294"/>
      <c r="AS59" s="294"/>
      <c r="AT59" s="294"/>
    </row>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spans="52:58" ht="12.75" x14ac:dyDescent="0.2"/>
    <row r="162" spans="52:58" ht="12.75" x14ac:dyDescent="0.2"/>
    <row r="163" spans="52:58" ht="12.75" x14ac:dyDescent="0.2"/>
    <row r="164" spans="52:58" ht="12.75" x14ac:dyDescent="0.2"/>
    <row r="165" spans="52:58" ht="12.75" x14ac:dyDescent="0.2"/>
    <row r="166" spans="52:58" ht="12.75" x14ac:dyDescent="0.2"/>
    <row r="167" spans="52:58" ht="12.75" x14ac:dyDescent="0.2"/>
    <row r="168" spans="52:58" ht="12.75" x14ac:dyDescent="0.2"/>
    <row r="169" spans="52:58" ht="12.75" x14ac:dyDescent="0.2"/>
    <row r="170" spans="52:58" ht="12.75" x14ac:dyDescent="0.2"/>
    <row r="171" spans="52:58" ht="12.75" x14ac:dyDescent="0.2"/>
    <row r="172" spans="52:58" ht="12.75" x14ac:dyDescent="0.2"/>
    <row r="173" spans="52:58" ht="12.75" x14ac:dyDescent="0.2"/>
    <row r="174" spans="52:58" ht="12.75" x14ac:dyDescent="0.2"/>
    <row r="175" spans="52:58" ht="12.75" x14ac:dyDescent="0.2"/>
    <row r="176" spans="52:58" ht="12.75" x14ac:dyDescent="0.2">
      <c r="AZ176" s="32" t="s">
        <v>1360</v>
      </c>
      <c r="BB176" s="32" t="s">
        <v>1359</v>
      </c>
      <c r="BC176" s="32" t="s">
        <v>1357</v>
      </c>
      <c r="BD176" s="32" t="s">
        <v>1358</v>
      </c>
      <c r="BE176" s="32" t="s">
        <v>1608</v>
      </c>
      <c r="BF176" s="32" t="s">
        <v>1609</v>
      </c>
    </row>
    <row r="177" spans="52:61" ht="12" customHeight="1" x14ac:dyDescent="0.2">
      <c r="AZ177" s="29" t="s">
        <v>1356</v>
      </c>
      <c r="BB177" s="31">
        <v>6</v>
      </c>
      <c r="BC177" s="31">
        <v>1</v>
      </c>
      <c r="BD177" s="31">
        <v>10</v>
      </c>
      <c r="BE177" s="31">
        <v>45</v>
      </c>
      <c r="BF177" s="31">
        <v>750</v>
      </c>
    </row>
    <row r="178" spans="52:61" ht="12" customHeight="1" x14ac:dyDescent="0.2">
      <c r="AZ178" s="29" t="s">
        <v>1361</v>
      </c>
      <c r="BB178" s="31">
        <v>6</v>
      </c>
      <c r="BC178" s="31">
        <v>1</v>
      </c>
      <c r="BD178" s="31">
        <v>10</v>
      </c>
      <c r="BE178" s="31">
        <v>45</v>
      </c>
      <c r="BF178" s="31">
        <v>750</v>
      </c>
    </row>
    <row r="179" spans="52:61" ht="12" customHeight="1" x14ac:dyDescent="0.2">
      <c r="AZ179" s="29" t="s">
        <v>1362</v>
      </c>
      <c r="BB179" s="31">
        <v>3</v>
      </c>
      <c r="BC179" s="31">
        <v>20</v>
      </c>
      <c r="BD179" s="31">
        <v>95</v>
      </c>
      <c r="BE179" s="31">
        <v>10</v>
      </c>
      <c r="BF179" s="31">
        <v>35</v>
      </c>
    </row>
    <row r="180" spans="52:61" ht="12" customHeight="1" x14ac:dyDescent="0.2">
      <c r="AZ180" s="29" t="s">
        <v>1363</v>
      </c>
      <c r="BB180" s="31">
        <v>3</v>
      </c>
      <c r="BC180" s="31">
        <v>20</v>
      </c>
      <c r="BD180" s="31">
        <v>95</v>
      </c>
      <c r="BE180" s="31">
        <v>10</v>
      </c>
      <c r="BF180" s="31">
        <v>35</v>
      </c>
    </row>
    <row r="181" spans="52:61" ht="12" customHeight="1" x14ac:dyDescent="0.2">
      <c r="AZ181" s="29" t="s">
        <v>1364</v>
      </c>
      <c r="BB181" s="31">
        <v>3</v>
      </c>
      <c r="BC181" s="31">
        <v>32</v>
      </c>
      <c r="BD181" s="31">
        <v>160</v>
      </c>
      <c r="BE181" s="31">
        <v>21</v>
      </c>
      <c r="BF181" s="31">
        <v>40</v>
      </c>
    </row>
    <row r="182" spans="52:61" ht="12" customHeight="1" x14ac:dyDescent="0.2">
      <c r="AZ182" s="29" t="s">
        <v>1365</v>
      </c>
      <c r="BB182" s="31">
        <v>3</v>
      </c>
      <c r="BC182" s="31">
        <v>32</v>
      </c>
      <c r="BD182" s="31">
        <v>160</v>
      </c>
      <c r="BE182" s="31">
        <v>21</v>
      </c>
      <c r="BF182" s="31">
        <v>40</v>
      </c>
    </row>
    <row r="187" spans="52:61" ht="12" customHeight="1" x14ac:dyDescent="0.2">
      <c r="BB187" s="31"/>
      <c r="BC187" s="31"/>
      <c r="BD187" s="31"/>
    </row>
    <row r="188" spans="52:61" ht="12" customHeight="1" x14ac:dyDescent="0.2">
      <c r="BB188" s="31"/>
      <c r="BC188" s="31"/>
      <c r="BD188" s="31"/>
    </row>
    <row r="191" spans="52:61" ht="12" customHeight="1" x14ac:dyDescent="0.2">
      <c r="AZ191" s="32" t="s">
        <v>581</v>
      </c>
    </row>
    <row r="192" spans="52:61" ht="12" customHeight="1" x14ac:dyDescent="0.2">
      <c r="AZ192" s="33" t="s">
        <v>582</v>
      </c>
      <c r="BA192" s="33"/>
      <c r="BB192" s="33"/>
      <c r="BC192" s="33"/>
      <c r="BD192" s="33"/>
      <c r="BE192" s="33"/>
      <c r="BF192" s="33"/>
      <c r="BG192" s="33"/>
      <c r="BI192" s="71"/>
    </row>
    <row r="193" spans="52:59" ht="12.75" x14ac:dyDescent="0.2">
      <c r="AZ193" s="33" t="s">
        <v>583</v>
      </c>
      <c r="BA193" s="33"/>
      <c r="BB193" s="33"/>
      <c r="BC193" s="33"/>
      <c r="BD193" s="33"/>
      <c r="BE193" s="33"/>
      <c r="BF193" s="33"/>
      <c r="BG193" s="33"/>
    </row>
    <row r="194" spans="52:59" ht="12.75" x14ac:dyDescent="0.2">
      <c r="AZ194" s="44" t="s">
        <v>584</v>
      </c>
    </row>
    <row r="195" spans="52:59" ht="12.75" x14ac:dyDescent="0.2">
      <c r="AZ195" s="44" t="s">
        <v>353</v>
      </c>
    </row>
    <row r="196" spans="52:59" ht="12.75" x14ac:dyDescent="0.2"/>
    <row r="197" spans="52:59" ht="12.75" x14ac:dyDescent="0.2">
      <c r="AZ197" s="32" t="s">
        <v>596</v>
      </c>
      <c r="BD197" s="32" t="s">
        <v>1005</v>
      </c>
    </row>
    <row r="198" spans="52:59" ht="12.75" x14ac:dyDescent="0.2">
      <c r="AZ198" s="33" t="s">
        <v>1174</v>
      </c>
      <c r="BD198" s="44" t="s">
        <v>1182</v>
      </c>
    </row>
    <row r="199" spans="52:59" ht="12.75" x14ac:dyDescent="0.2">
      <c r="AZ199" s="33" t="s">
        <v>588</v>
      </c>
      <c r="BD199" s="44" t="s">
        <v>896</v>
      </c>
    </row>
    <row r="200" spans="52:59" ht="12.75" x14ac:dyDescent="0.2">
      <c r="AZ200" s="33" t="s">
        <v>1175</v>
      </c>
      <c r="BD200" s="44" t="s">
        <v>914</v>
      </c>
    </row>
    <row r="201" spans="52:59" ht="12.75" x14ac:dyDescent="0.2">
      <c r="AZ201" s="33" t="s">
        <v>589</v>
      </c>
      <c r="BD201" s="44" t="s">
        <v>915</v>
      </c>
    </row>
    <row r="202" spans="52:59" ht="12.75" x14ac:dyDescent="0.2">
      <c r="AZ202" s="44" t="s">
        <v>590</v>
      </c>
    </row>
    <row r="203" spans="52:59" ht="12.75" x14ac:dyDescent="0.2">
      <c r="AZ203" s="44" t="s">
        <v>1176</v>
      </c>
    </row>
    <row r="204" spans="52:59" ht="12.75" x14ac:dyDescent="0.2">
      <c r="AZ204" s="44" t="s">
        <v>591</v>
      </c>
    </row>
    <row r="205" spans="52:59" ht="12.75" x14ac:dyDescent="0.2">
      <c r="AZ205" s="44" t="s">
        <v>592</v>
      </c>
    </row>
    <row r="206" spans="52:59" ht="12.75" x14ac:dyDescent="0.2">
      <c r="AZ206" s="44" t="s">
        <v>987</v>
      </c>
      <c r="BD206" s="32" t="s">
        <v>140</v>
      </c>
    </row>
    <row r="207" spans="52:59" ht="12.75" x14ac:dyDescent="0.2">
      <c r="AZ207" s="44" t="s">
        <v>593</v>
      </c>
      <c r="BD207" s="71" t="s">
        <v>350</v>
      </c>
    </row>
    <row r="208" spans="52:59" ht="12.75" x14ac:dyDescent="0.2">
      <c r="AZ208" s="44" t="s">
        <v>594</v>
      </c>
      <c r="BD208" s="71" t="s">
        <v>141</v>
      </c>
    </row>
    <row r="209" spans="52:57" ht="12.75" x14ac:dyDescent="0.2">
      <c r="AZ209" s="44" t="s">
        <v>988</v>
      </c>
      <c r="BD209" s="71" t="s">
        <v>209</v>
      </c>
    </row>
    <row r="210" spans="52:57" ht="12.75" x14ac:dyDescent="0.2">
      <c r="AZ210" s="44" t="s">
        <v>595</v>
      </c>
      <c r="BD210" s="71" t="s">
        <v>210</v>
      </c>
    </row>
    <row r="211" spans="52:57" ht="12.75" x14ac:dyDescent="0.2">
      <c r="AZ211" s="44" t="s">
        <v>1020</v>
      </c>
      <c r="BD211" s="71" t="s">
        <v>211</v>
      </c>
    </row>
    <row r="212" spans="52:57" ht="12.75" x14ac:dyDescent="0.2">
      <c r="AZ212" s="44" t="s">
        <v>585</v>
      </c>
      <c r="BD212" s="71" t="s">
        <v>404</v>
      </c>
    </row>
    <row r="213" spans="52:57" ht="12.75" x14ac:dyDescent="0.2">
      <c r="AZ213" s="44" t="s">
        <v>586</v>
      </c>
      <c r="BD213" s="71" t="str">
        <f>IF(LEFT($U$1,1)="r","WALK-IN AUTO","")</f>
        <v/>
      </c>
    </row>
    <row r="214" spans="52:57" ht="12.75" x14ac:dyDescent="0.2">
      <c r="BD214" s="71"/>
    </row>
    <row r="215" spans="52:57" ht="12.75" x14ac:dyDescent="0.2"/>
    <row r="216" spans="52:57" ht="12.75" x14ac:dyDescent="0.2">
      <c r="AZ216" s="32" t="s">
        <v>597</v>
      </c>
    </row>
    <row r="217" spans="52:57" ht="12.75" x14ac:dyDescent="0.2">
      <c r="AZ217" s="44" t="s">
        <v>598</v>
      </c>
    </row>
    <row r="218" spans="52:57" ht="12.75" x14ac:dyDescent="0.2">
      <c r="AZ218" s="44" t="s">
        <v>599</v>
      </c>
      <c r="BC218" s="56"/>
      <c r="BD218" s="32" t="s">
        <v>90</v>
      </c>
      <c r="BE218" s="32" t="s">
        <v>1273</v>
      </c>
    </row>
    <row r="219" spans="52:57" ht="12.75" x14ac:dyDescent="0.2">
      <c r="AZ219" s="44" t="s">
        <v>600</v>
      </c>
      <c r="BD219" s="44" t="s">
        <v>1203</v>
      </c>
      <c r="BE219" s="44"/>
    </row>
    <row r="220" spans="52:57" ht="12.75" x14ac:dyDescent="0.2">
      <c r="AZ220" s="44" t="s">
        <v>916</v>
      </c>
      <c r="BD220" s="44" t="s">
        <v>1249</v>
      </c>
      <c r="BE220" s="44" t="s">
        <v>1274</v>
      </c>
    </row>
    <row r="221" spans="52:57" ht="12.75" x14ac:dyDescent="0.2">
      <c r="AZ221" s="44" t="s">
        <v>1202</v>
      </c>
      <c r="BD221" s="44" t="s">
        <v>1007</v>
      </c>
      <c r="BE221" s="44"/>
    </row>
    <row r="222" spans="52:57" ht="12.75" x14ac:dyDescent="0.2">
      <c r="AZ222" s="44" t="s">
        <v>1160</v>
      </c>
      <c r="BD222" s="44" t="s">
        <v>43</v>
      </c>
      <c r="BE222" s="44"/>
    </row>
    <row r="223" spans="52:57" ht="12.75" x14ac:dyDescent="0.2">
      <c r="AZ223" s="44" t="s">
        <v>1264</v>
      </c>
      <c r="BD223" s="44" t="s">
        <v>1240</v>
      </c>
      <c r="BE223" s="44"/>
    </row>
    <row r="224" spans="52:57" ht="12.75" x14ac:dyDescent="0.2">
      <c r="AZ224" s="44" t="s">
        <v>1161</v>
      </c>
      <c r="BD224" s="44" t="s">
        <v>44</v>
      </c>
      <c r="BE224" s="44"/>
    </row>
    <row r="225" spans="52:57" ht="12.75" x14ac:dyDescent="0.2">
      <c r="AZ225" s="44" t="s">
        <v>1201</v>
      </c>
      <c r="BD225" s="44" t="s">
        <v>1272</v>
      </c>
      <c r="BE225" s="44"/>
    </row>
    <row r="226" spans="52:57" ht="12.75" x14ac:dyDescent="0.2">
      <c r="BA226" s="44"/>
      <c r="BD226" s="44" t="s">
        <v>371</v>
      </c>
      <c r="BE226" s="44"/>
    </row>
    <row r="227" spans="52:57" ht="12.75" x14ac:dyDescent="0.2">
      <c r="AZ227" s="32" t="s">
        <v>1002</v>
      </c>
      <c r="BD227" s="44" t="s">
        <v>45</v>
      </c>
      <c r="BE227" s="44" t="s">
        <v>1275</v>
      </c>
    </row>
    <row r="228" spans="52:57" ht="12.75" x14ac:dyDescent="0.2">
      <c r="AZ228" s="44" t="s">
        <v>917</v>
      </c>
      <c r="BD228" s="44" t="s">
        <v>1029</v>
      </c>
      <c r="BE228" s="44"/>
    </row>
    <row r="229" spans="52:57" ht="12.75" x14ac:dyDescent="0.2">
      <c r="AZ229" s="44" t="s">
        <v>918</v>
      </c>
      <c r="BD229" s="44" t="s">
        <v>66</v>
      </c>
      <c r="BE229" s="44"/>
    </row>
    <row r="230" spans="52:57" ht="12.75" x14ac:dyDescent="0.2">
      <c r="AZ230" s="44" t="s">
        <v>898</v>
      </c>
      <c r="BD230" s="44" t="s">
        <v>1244</v>
      </c>
      <c r="BE230" s="44" t="s">
        <v>1276</v>
      </c>
    </row>
    <row r="231" spans="52:57" ht="12.75" x14ac:dyDescent="0.2">
      <c r="AZ231" s="44" t="s">
        <v>919</v>
      </c>
      <c r="BD231" s="44" t="s">
        <v>64</v>
      </c>
      <c r="BE231" s="44" t="s">
        <v>1277</v>
      </c>
    </row>
    <row r="232" spans="52:57" ht="12.75" x14ac:dyDescent="0.2">
      <c r="AZ232" s="44" t="s">
        <v>920</v>
      </c>
      <c r="BD232" s="44" t="s">
        <v>39</v>
      </c>
      <c r="BE232" s="44" t="s">
        <v>1307</v>
      </c>
    </row>
    <row r="233" spans="52:57" ht="12.75" x14ac:dyDescent="0.2">
      <c r="AZ233" s="44" t="s">
        <v>921</v>
      </c>
      <c r="BD233" s="44" t="s">
        <v>67</v>
      </c>
      <c r="BE233" s="44"/>
    </row>
    <row r="234" spans="52:57" ht="12.75" x14ac:dyDescent="0.2">
      <c r="AZ234" s="44" t="s">
        <v>922</v>
      </c>
      <c r="BD234" s="44" t="s">
        <v>59</v>
      </c>
      <c r="BE234" s="44" t="s">
        <v>1308</v>
      </c>
    </row>
    <row r="235" spans="52:57" ht="12.75" x14ac:dyDescent="0.2">
      <c r="BD235" s="44" t="s">
        <v>41</v>
      </c>
      <c r="BE235" s="44" t="s">
        <v>1278</v>
      </c>
    </row>
    <row r="236" spans="52:57" ht="12.75" x14ac:dyDescent="0.2">
      <c r="AZ236" s="32" t="s">
        <v>1003</v>
      </c>
      <c r="BD236" s="44" t="s">
        <v>47</v>
      </c>
      <c r="BE236" s="44" t="s">
        <v>1279</v>
      </c>
    </row>
    <row r="237" spans="52:57" ht="12.75" x14ac:dyDescent="0.2">
      <c r="AZ237" s="44" t="s">
        <v>923</v>
      </c>
      <c r="BD237" s="44" t="s">
        <v>35</v>
      </c>
      <c r="BE237" s="44" t="s">
        <v>1280</v>
      </c>
    </row>
    <row r="238" spans="52:57" ht="12.75" x14ac:dyDescent="0.2">
      <c r="AZ238" s="44" t="s">
        <v>900</v>
      </c>
      <c r="BD238" s="44" t="s">
        <v>38</v>
      </c>
      <c r="BE238" s="44"/>
    </row>
    <row r="239" spans="52:57" ht="12.75" x14ac:dyDescent="0.2">
      <c r="BB239" s="32" t="s">
        <v>609</v>
      </c>
      <c r="BD239" s="44" t="s">
        <v>1014</v>
      </c>
      <c r="BE239" s="44" t="s">
        <v>1309</v>
      </c>
    </row>
    <row r="240" spans="52:57" ht="12.75" x14ac:dyDescent="0.2">
      <c r="AZ240" s="32" t="s">
        <v>606</v>
      </c>
      <c r="BB240" s="44" t="s">
        <v>707</v>
      </c>
      <c r="BD240" s="44" t="s">
        <v>36</v>
      </c>
      <c r="BE240" s="44" t="s">
        <v>1281</v>
      </c>
    </row>
    <row r="241" spans="52:57" ht="12.75" x14ac:dyDescent="0.2">
      <c r="AZ241" s="44" t="s">
        <v>603</v>
      </c>
      <c r="BB241" s="44" t="s">
        <v>202</v>
      </c>
      <c r="BD241" s="44" t="s">
        <v>40</v>
      </c>
      <c r="BE241" s="44" t="s">
        <v>1282</v>
      </c>
    </row>
    <row r="242" spans="52:57" ht="12.75" x14ac:dyDescent="0.2">
      <c r="AZ242" s="44" t="s">
        <v>604</v>
      </c>
      <c r="BB242" s="44" t="s">
        <v>344</v>
      </c>
      <c r="BD242" s="44" t="s">
        <v>1238</v>
      </c>
      <c r="BE242" s="44"/>
    </row>
    <row r="243" spans="52:57" ht="12.75" x14ac:dyDescent="0.2">
      <c r="AZ243" s="44" t="s">
        <v>605</v>
      </c>
      <c r="BB243" s="44" t="s">
        <v>709</v>
      </c>
      <c r="BD243" s="44" t="s">
        <v>37</v>
      </c>
      <c r="BE243" s="44" t="s">
        <v>1283</v>
      </c>
    </row>
    <row r="244" spans="52:57" ht="12.75" x14ac:dyDescent="0.2">
      <c r="AZ244" s="44" t="s">
        <v>1263</v>
      </c>
      <c r="BB244" s="44" t="s">
        <v>710</v>
      </c>
      <c r="BD244" s="44" t="s">
        <v>1015</v>
      </c>
      <c r="BE244" s="44" t="s">
        <v>1310</v>
      </c>
    </row>
    <row r="245" spans="52:57" ht="12.75" x14ac:dyDescent="0.2">
      <c r="AZ245" s="44" t="s">
        <v>607</v>
      </c>
      <c r="BB245" s="44" t="s">
        <v>345</v>
      </c>
      <c r="BD245" s="44" t="s">
        <v>86</v>
      </c>
      <c r="BE245" s="44" t="s">
        <v>1283</v>
      </c>
    </row>
    <row r="246" spans="52:57" ht="12.75" x14ac:dyDescent="0.2">
      <c r="AZ246" s="44" t="s">
        <v>608</v>
      </c>
      <c r="BB246" s="44" t="s">
        <v>346</v>
      </c>
      <c r="BD246" s="44" t="s">
        <v>1031</v>
      </c>
      <c r="BE246" s="44" t="s">
        <v>1284</v>
      </c>
    </row>
    <row r="247" spans="52:57" ht="12.75" x14ac:dyDescent="0.2">
      <c r="BB247" s="44" t="s">
        <v>1232</v>
      </c>
      <c r="BD247" s="44" t="s">
        <v>1199</v>
      </c>
      <c r="BE247" s="44" t="s">
        <v>1285</v>
      </c>
    </row>
    <row r="248" spans="52:57" ht="12.75" x14ac:dyDescent="0.2">
      <c r="BB248" s="44" t="s">
        <v>1265</v>
      </c>
      <c r="BD248" s="44" t="s">
        <v>1248</v>
      </c>
      <c r="BE248" s="44" t="s">
        <v>1286</v>
      </c>
    </row>
    <row r="249" spans="52:57" ht="12.75" x14ac:dyDescent="0.2">
      <c r="BB249" s="44" t="s">
        <v>307</v>
      </c>
      <c r="BD249" s="44" t="s">
        <v>1028</v>
      </c>
      <c r="BE249" s="44" t="s">
        <v>1287</v>
      </c>
    </row>
    <row r="250" spans="52:57" ht="12.75" x14ac:dyDescent="0.2">
      <c r="BB250" s="44" t="s">
        <v>1267</v>
      </c>
      <c r="BD250" s="44" t="s">
        <v>1198</v>
      </c>
      <c r="BE250" s="44" t="s">
        <v>1288</v>
      </c>
    </row>
    <row r="251" spans="52:57" ht="12.75" x14ac:dyDescent="0.2">
      <c r="BB251" s="44" t="s">
        <v>1262</v>
      </c>
      <c r="BD251" s="44" t="s">
        <v>1250</v>
      </c>
      <c r="BE251" s="44" t="s">
        <v>1289</v>
      </c>
    </row>
    <row r="252" spans="52:57" ht="12.75" x14ac:dyDescent="0.2">
      <c r="BB252" s="44" t="s">
        <v>1095</v>
      </c>
      <c r="BD252" s="44" t="s">
        <v>1239</v>
      </c>
      <c r="BE252" s="44"/>
    </row>
    <row r="253" spans="52:57" ht="12.75" x14ac:dyDescent="0.2">
      <c r="BB253" s="44" t="s">
        <v>1096</v>
      </c>
      <c r="BD253" s="44" t="s">
        <v>1243</v>
      </c>
      <c r="BE253" s="44" t="s">
        <v>1290</v>
      </c>
    </row>
    <row r="254" spans="52:57" ht="12.75" x14ac:dyDescent="0.2">
      <c r="BB254" s="44" t="s">
        <v>1097</v>
      </c>
      <c r="BD254" s="44" t="s">
        <v>48</v>
      </c>
      <c r="BE254" s="44" t="s">
        <v>1291</v>
      </c>
    </row>
    <row r="255" spans="52:57" ht="12.75" x14ac:dyDescent="0.2">
      <c r="AZ255" s="32" t="s">
        <v>610</v>
      </c>
      <c r="BB255" s="44" t="s">
        <v>1098</v>
      </c>
      <c r="BD255" s="44" t="s">
        <v>49</v>
      </c>
      <c r="BE255" s="44" t="s">
        <v>1292</v>
      </c>
    </row>
    <row r="256" spans="52:57" ht="12.75" x14ac:dyDescent="0.2">
      <c r="AZ256" s="44" t="s">
        <v>611</v>
      </c>
      <c r="BB256" s="44" t="s">
        <v>1099</v>
      </c>
      <c r="BD256" s="44" t="s">
        <v>1251</v>
      </c>
      <c r="BE256" s="44" t="s">
        <v>1284</v>
      </c>
    </row>
    <row r="257" spans="52:57" ht="12.75" x14ac:dyDescent="0.2">
      <c r="AZ257" s="44" t="s">
        <v>612</v>
      </c>
      <c r="BB257" s="44" t="s">
        <v>1126</v>
      </c>
      <c r="BD257" s="44" t="s">
        <v>65</v>
      </c>
      <c r="BE257" s="44" t="s">
        <v>1293</v>
      </c>
    </row>
    <row r="258" spans="52:57" ht="12.75" x14ac:dyDescent="0.2">
      <c r="BB258" s="44" t="s">
        <v>1101</v>
      </c>
      <c r="BD258" s="44" t="s">
        <v>1006</v>
      </c>
      <c r="BE258" s="44" t="s">
        <v>1294</v>
      </c>
    </row>
    <row r="259" spans="52:57" ht="12.75" x14ac:dyDescent="0.2">
      <c r="AZ259" s="32" t="s">
        <v>613</v>
      </c>
      <c r="BD259" s="44" t="s">
        <v>42</v>
      </c>
      <c r="BE259" s="44" t="s">
        <v>1295</v>
      </c>
    </row>
    <row r="260" spans="52:57" ht="12.75" x14ac:dyDescent="0.2">
      <c r="AZ260" s="44" t="s">
        <v>616</v>
      </c>
      <c r="BD260" s="44" t="s">
        <v>1242</v>
      </c>
      <c r="BE260" s="44"/>
    </row>
    <row r="261" spans="52:57" ht="12.75" x14ac:dyDescent="0.2">
      <c r="AZ261" s="44" t="s">
        <v>614</v>
      </c>
      <c r="BD261" s="44" t="s">
        <v>1030</v>
      </c>
      <c r="BE261" s="44"/>
    </row>
    <row r="262" spans="52:57" ht="12.75" x14ac:dyDescent="0.2">
      <c r="AZ262" s="44" t="s">
        <v>615</v>
      </c>
      <c r="BD262" s="44" t="s">
        <v>399</v>
      </c>
      <c r="BE262" s="44"/>
    </row>
    <row r="263" spans="52:57" ht="12.75" x14ac:dyDescent="0.2">
      <c r="AZ263" s="32" t="s">
        <v>617</v>
      </c>
      <c r="BD263" s="44" t="s">
        <v>401</v>
      </c>
      <c r="BE263" s="44"/>
    </row>
    <row r="264" spans="52:57" ht="12.75" x14ac:dyDescent="0.2">
      <c r="AZ264" s="44" t="s">
        <v>603</v>
      </c>
      <c r="BD264" s="44" t="s">
        <v>46</v>
      </c>
      <c r="BE264" s="44" t="s">
        <v>1296</v>
      </c>
    </row>
    <row r="265" spans="52:57" ht="12.75" x14ac:dyDescent="0.2">
      <c r="AZ265" s="44" t="s">
        <v>618</v>
      </c>
      <c r="BD265" s="44" t="s">
        <v>80</v>
      </c>
      <c r="BE265" s="44" t="s">
        <v>1297</v>
      </c>
    </row>
    <row r="266" spans="52:57" ht="12.75" x14ac:dyDescent="0.2">
      <c r="AZ266" s="44" t="s">
        <v>619</v>
      </c>
      <c r="BD266" s="44" t="s">
        <v>70</v>
      </c>
      <c r="BE266" s="44" t="s">
        <v>1298</v>
      </c>
    </row>
    <row r="267" spans="52:57" ht="12.75" x14ac:dyDescent="0.2">
      <c r="AZ267" s="44" t="s">
        <v>238</v>
      </c>
      <c r="BD267" s="44" t="s">
        <v>72</v>
      </c>
      <c r="BE267" s="44" t="s">
        <v>1299</v>
      </c>
    </row>
    <row r="268" spans="52:57" ht="12.75" x14ac:dyDescent="0.2">
      <c r="AZ268" s="44" t="s">
        <v>616</v>
      </c>
      <c r="BD268" s="44" t="s">
        <v>71</v>
      </c>
      <c r="BE268" s="44"/>
    </row>
    <row r="269" spans="52:57" ht="12.75" x14ac:dyDescent="0.2">
      <c r="AZ269" s="32" t="s">
        <v>621</v>
      </c>
      <c r="BD269" s="44" t="s">
        <v>73</v>
      </c>
      <c r="BE269" s="44"/>
    </row>
    <row r="270" spans="52:57" ht="12.75" x14ac:dyDescent="0.2">
      <c r="AZ270" s="44" t="s">
        <v>620</v>
      </c>
      <c r="BD270" s="44" t="s">
        <v>1234</v>
      </c>
      <c r="BE270" s="44" t="s">
        <v>1300</v>
      </c>
    </row>
    <row r="271" spans="52:57" ht="12.75" x14ac:dyDescent="0.2">
      <c r="AZ271" s="44" t="s">
        <v>1366</v>
      </c>
      <c r="BD271" s="44" t="s">
        <v>1235</v>
      </c>
      <c r="BE271" s="44" t="s">
        <v>1300</v>
      </c>
    </row>
    <row r="272" spans="52:57" ht="12.75" x14ac:dyDescent="0.2">
      <c r="AZ272" s="44"/>
      <c r="BD272" s="44" t="s">
        <v>68</v>
      </c>
      <c r="BE272" s="44" t="s">
        <v>1300</v>
      </c>
    </row>
    <row r="273" spans="52:57" ht="12.75" x14ac:dyDescent="0.2">
      <c r="AZ273" s="44" t="s">
        <v>616</v>
      </c>
      <c r="BD273" s="44" t="s">
        <v>83</v>
      </c>
      <c r="BE273" s="44" t="s">
        <v>1300</v>
      </c>
    </row>
    <row r="274" spans="52:57" ht="12.75" x14ac:dyDescent="0.2">
      <c r="AZ274" s="32" t="s">
        <v>622</v>
      </c>
      <c r="BD274" s="44" t="s">
        <v>84</v>
      </c>
      <c r="BE274" s="44" t="s">
        <v>1300</v>
      </c>
    </row>
    <row r="275" spans="52:57" ht="12.75" x14ac:dyDescent="0.2">
      <c r="AZ275" s="69" t="s">
        <v>623</v>
      </c>
      <c r="BD275" s="44" t="s">
        <v>1252</v>
      </c>
      <c r="BE275" s="44"/>
    </row>
    <row r="276" spans="52:57" ht="12.75" x14ac:dyDescent="0.2">
      <c r="AZ276" s="69" t="s">
        <v>624</v>
      </c>
      <c r="BD276" s="44" t="s">
        <v>69</v>
      </c>
      <c r="BE276" s="44" t="s">
        <v>1301</v>
      </c>
    </row>
    <row r="277" spans="52:57" ht="12.75" x14ac:dyDescent="0.2">
      <c r="AZ277" s="69" t="s">
        <v>711</v>
      </c>
      <c r="BD277" s="44" t="s">
        <v>81</v>
      </c>
      <c r="BE277" s="44"/>
    </row>
    <row r="278" spans="52:57" ht="12.75" x14ac:dyDescent="0.2">
      <c r="AZ278" s="44" t="s">
        <v>410</v>
      </c>
      <c r="BD278" s="44" t="s">
        <v>79</v>
      </c>
      <c r="BE278" s="44"/>
    </row>
    <row r="279" spans="52:57" ht="12.75" x14ac:dyDescent="0.2">
      <c r="BB279" s="32" t="s">
        <v>628</v>
      </c>
      <c r="BD279" s="44" t="s">
        <v>74</v>
      </c>
      <c r="BE279" s="44" t="s">
        <v>1302</v>
      </c>
    </row>
    <row r="280" spans="52:57" ht="12.75" x14ac:dyDescent="0.2">
      <c r="AZ280" s="32" t="s">
        <v>627</v>
      </c>
      <c r="BB280" s="70" t="s">
        <v>134</v>
      </c>
      <c r="BD280" s="44" t="s">
        <v>1009</v>
      </c>
      <c r="BE280" s="44" t="s">
        <v>1302</v>
      </c>
    </row>
    <row r="281" spans="52:57" ht="12.75" x14ac:dyDescent="0.2">
      <c r="AZ281" s="44" t="s">
        <v>625</v>
      </c>
      <c r="BB281" s="44" t="s">
        <v>124</v>
      </c>
      <c r="BD281" s="44" t="s">
        <v>1010</v>
      </c>
      <c r="BE281" s="44" t="s">
        <v>1302</v>
      </c>
    </row>
    <row r="282" spans="52:57" ht="12.75" x14ac:dyDescent="0.2">
      <c r="AZ282" s="44" t="s">
        <v>119</v>
      </c>
      <c r="BB282" s="44" t="s">
        <v>125</v>
      </c>
      <c r="BD282" s="44" t="s">
        <v>287</v>
      </c>
      <c r="BE282" s="44"/>
    </row>
    <row r="283" spans="52:57" ht="12" customHeight="1" x14ac:dyDescent="0.2">
      <c r="AZ283" s="44" t="s">
        <v>626</v>
      </c>
      <c r="BB283" s="44" t="s">
        <v>138</v>
      </c>
      <c r="BD283" s="44" t="s">
        <v>50</v>
      </c>
      <c r="BE283" s="44" t="s">
        <v>1303</v>
      </c>
    </row>
    <row r="284" spans="52:57" ht="12" customHeight="1" x14ac:dyDescent="0.2">
      <c r="AZ284" s="44"/>
      <c r="BB284" s="44" t="s">
        <v>354</v>
      </c>
      <c r="BD284" s="44" t="s">
        <v>75</v>
      </c>
      <c r="BE284" s="44"/>
    </row>
    <row r="285" spans="52:57" ht="12" customHeight="1" x14ac:dyDescent="0.2">
      <c r="BD285" s="44" t="s">
        <v>77</v>
      </c>
      <c r="BE285" s="44" t="s">
        <v>1304</v>
      </c>
    </row>
    <row r="286" spans="52:57" ht="12" customHeight="1" x14ac:dyDescent="0.2">
      <c r="BD286" s="44" t="s">
        <v>1245</v>
      </c>
      <c r="BE286" s="44" t="s">
        <v>1305</v>
      </c>
    </row>
    <row r="287" spans="52:57" ht="12" customHeight="1" x14ac:dyDescent="0.2">
      <c r="BD287" s="44" t="s">
        <v>1246</v>
      </c>
      <c r="BE287" s="44" t="s">
        <v>1305</v>
      </c>
    </row>
    <row r="288" spans="52:57" ht="12" customHeight="1" x14ac:dyDescent="0.2">
      <c r="AZ288" s="32" t="s">
        <v>628</v>
      </c>
      <c r="BD288" s="44" t="s">
        <v>76</v>
      </c>
      <c r="BE288" s="44" t="s">
        <v>1305</v>
      </c>
    </row>
    <row r="289" spans="52:57" ht="12" customHeight="1" x14ac:dyDescent="0.2">
      <c r="AZ289" s="70" t="s">
        <v>134</v>
      </c>
      <c r="BD289" s="44" t="s">
        <v>51</v>
      </c>
      <c r="BE289" s="44" t="s">
        <v>1306</v>
      </c>
    </row>
    <row r="290" spans="52:57" ht="12" customHeight="1" x14ac:dyDescent="0.2">
      <c r="AZ290" s="44" t="s">
        <v>1194</v>
      </c>
      <c r="BD290" s="44" t="s">
        <v>1236</v>
      </c>
      <c r="BE290" s="44" t="s">
        <v>1311</v>
      </c>
    </row>
    <row r="291" spans="52:57" ht="12" customHeight="1" x14ac:dyDescent="0.2">
      <c r="AZ291" s="44" t="s">
        <v>123</v>
      </c>
      <c r="BD291" s="44" t="s">
        <v>78</v>
      </c>
      <c r="BE291" s="44" t="s">
        <v>1312</v>
      </c>
    </row>
    <row r="292" spans="52:57" ht="12" customHeight="1" x14ac:dyDescent="0.2">
      <c r="AZ292" s="44" t="s">
        <v>124</v>
      </c>
      <c r="BD292" s="44" t="s">
        <v>52</v>
      </c>
      <c r="BE292" s="44" t="s">
        <v>1313</v>
      </c>
    </row>
    <row r="293" spans="52:57" ht="12" customHeight="1" x14ac:dyDescent="0.2">
      <c r="AZ293" s="44" t="s">
        <v>138</v>
      </c>
      <c r="BB293" s="32" t="s">
        <v>370</v>
      </c>
      <c r="BD293" s="44" t="s">
        <v>82</v>
      </c>
      <c r="BE293" s="44"/>
    </row>
    <row r="294" spans="52:57" ht="12" customHeight="1" x14ac:dyDescent="0.2">
      <c r="AZ294" s="32" t="s">
        <v>1004</v>
      </c>
      <c r="BB294" s="31" t="s">
        <v>367</v>
      </c>
      <c r="BD294" s="44" t="s">
        <v>1011</v>
      </c>
      <c r="BE294" s="44"/>
    </row>
    <row r="295" spans="52:57" ht="12" customHeight="1" x14ac:dyDescent="0.2">
      <c r="AZ295" s="44" t="s">
        <v>1183</v>
      </c>
      <c r="BB295" s="31" t="s">
        <v>368</v>
      </c>
      <c r="BD295" s="44" t="s">
        <v>1012</v>
      </c>
      <c r="BE295" s="44"/>
    </row>
    <row r="296" spans="52:57" ht="12" customHeight="1" x14ac:dyDescent="0.2">
      <c r="AZ296" s="44" t="s">
        <v>1184</v>
      </c>
      <c r="BB296" s="31" t="s">
        <v>32</v>
      </c>
      <c r="BD296" s="44" t="s">
        <v>1013</v>
      </c>
      <c r="BE296" s="44"/>
    </row>
    <row r="297" spans="52:57" ht="12" customHeight="1" x14ac:dyDescent="0.2">
      <c r="BB297" s="31" t="s">
        <v>197</v>
      </c>
      <c r="BD297" s="44" t="s">
        <v>1270</v>
      </c>
      <c r="BE297" s="44"/>
    </row>
    <row r="298" spans="52:57" ht="12" customHeight="1" x14ac:dyDescent="0.2">
      <c r="BB298" s="31" t="s">
        <v>369</v>
      </c>
      <c r="BD298" s="44" t="s">
        <v>1271</v>
      </c>
      <c r="BE298" s="44"/>
    </row>
    <row r="299" spans="52:57" ht="12" customHeight="1" x14ac:dyDescent="0.2">
      <c r="AZ299" s="32" t="s">
        <v>632</v>
      </c>
      <c r="BD299" s="44" t="s">
        <v>1670</v>
      </c>
      <c r="BE299" s="44"/>
    </row>
    <row r="300" spans="52:57" ht="12" customHeight="1" x14ac:dyDescent="0.2">
      <c r="AZ300" s="31" t="s">
        <v>364</v>
      </c>
      <c r="BB300" s="32" t="s">
        <v>33</v>
      </c>
      <c r="BD300" s="44" t="s">
        <v>1671</v>
      </c>
      <c r="BE300" s="44"/>
    </row>
    <row r="301" spans="52:57" ht="12" customHeight="1" x14ac:dyDescent="0.2">
      <c r="AZ301" s="31" t="s">
        <v>365</v>
      </c>
      <c r="BB301" s="31" t="s">
        <v>144</v>
      </c>
      <c r="BD301" s="44" t="s">
        <v>53</v>
      </c>
      <c r="BE301" s="44"/>
    </row>
    <row r="302" spans="52:57" ht="12" customHeight="1" x14ac:dyDescent="0.2">
      <c r="AZ302" s="31" t="s">
        <v>704</v>
      </c>
      <c r="BB302" s="31" t="s">
        <v>143</v>
      </c>
      <c r="BD302" s="44" t="s">
        <v>1256</v>
      </c>
      <c r="BE302" s="44"/>
    </row>
    <row r="303" spans="52:57" ht="12" customHeight="1" x14ac:dyDescent="0.2">
      <c r="BB303" s="31" t="s">
        <v>27</v>
      </c>
      <c r="BD303" s="68" t="s">
        <v>87</v>
      </c>
      <c r="BE303" s="44"/>
    </row>
    <row r="304" spans="52:57" ht="12" customHeight="1" x14ac:dyDescent="0.2">
      <c r="AZ304" s="32" t="s">
        <v>633</v>
      </c>
      <c r="BB304" s="31" t="s">
        <v>23</v>
      </c>
      <c r="BD304" s="44" t="s">
        <v>62</v>
      </c>
      <c r="BE304" s="44" t="s">
        <v>1314</v>
      </c>
    </row>
    <row r="305" spans="52:57" ht="12" customHeight="1" x14ac:dyDescent="0.2">
      <c r="AZ305" s="31" t="s">
        <v>616</v>
      </c>
      <c r="BB305" s="31" t="s">
        <v>28</v>
      </c>
      <c r="BD305" s="44" t="s">
        <v>56</v>
      </c>
      <c r="BE305" s="44" t="s">
        <v>1315</v>
      </c>
    </row>
    <row r="306" spans="52:57" ht="12" customHeight="1" x14ac:dyDescent="0.2">
      <c r="AZ306" s="31">
        <v>-5</v>
      </c>
      <c r="BB306" s="31" t="s">
        <v>24</v>
      </c>
      <c r="BD306" s="44" t="s">
        <v>85</v>
      </c>
      <c r="BE306" s="44" t="s">
        <v>1327</v>
      </c>
    </row>
    <row r="307" spans="52:57" ht="12" customHeight="1" x14ac:dyDescent="0.2">
      <c r="AZ307" s="31">
        <v>-4</v>
      </c>
      <c r="BB307" s="31" t="s">
        <v>25</v>
      </c>
      <c r="BD307" s="44" t="s">
        <v>57</v>
      </c>
      <c r="BE307" s="44" t="s">
        <v>1316</v>
      </c>
    </row>
    <row r="308" spans="52:57" ht="12" customHeight="1" x14ac:dyDescent="0.2">
      <c r="AZ308" s="31">
        <v>-3</v>
      </c>
      <c r="BB308" s="31" t="s">
        <v>26</v>
      </c>
      <c r="BD308" s="44" t="s">
        <v>1027</v>
      </c>
      <c r="BE308" s="44"/>
    </row>
    <row r="309" spans="52:57" ht="12" customHeight="1" x14ac:dyDescent="0.2">
      <c r="AZ309" s="31">
        <v>-2</v>
      </c>
      <c r="BB309" s="31" t="s">
        <v>29</v>
      </c>
      <c r="BD309" s="44" t="s">
        <v>1177</v>
      </c>
      <c r="BE309" s="44"/>
    </row>
    <row r="310" spans="52:57" ht="12" customHeight="1" x14ac:dyDescent="0.2">
      <c r="AZ310" s="31">
        <v>-1</v>
      </c>
      <c r="BB310" s="31" t="s">
        <v>30</v>
      </c>
      <c r="BD310" s="44" t="s">
        <v>54</v>
      </c>
      <c r="BE310" s="44"/>
    </row>
    <row r="311" spans="52:57" ht="12" customHeight="1" x14ac:dyDescent="0.2">
      <c r="AZ311" s="31">
        <v>0</v>
      </c>
      <c r="BB311" s="31" t="s">
        <v>31</v>
      </c>
      <c r="BD311" s="44" t="s">
        <v>1241</v>
      </c>
      <c r="BE311" s="44" t="s">
        <v>1314</v>
      </c>
    </row>
    <row r="312" spans="52:57" ht="12" customHeight="1" x14ac:dyDescent="0.2">
      <c r="AZ312" s="31">
        <v>1</v>
      </c>
      <c r="BD312" s="44" t="s">
        <v>1255</v>
      </c>
      <c r="BE312" s="44" t="s">
        <v>1317</v>
      </c>
    </row>
    <row r="313" spans="52:57" ht="12" customHeight="1" x14ac:dyDescent="0.2">
      <c r="AZ313" s="31">
        <v>2</v>
      </c>
      <c r="BB313" s="74" t="s">
        <v>203</v>
      </c>
      <c r="BD313" s="44" t="s">
        <v>61</v>
      </c>
      <c r="BE313" s="44" t="s">
        <v>1318</v>
      </c>
    </row>
    <row r="314" spans="52:57" ht="12" customHeight="1" x14ac:dyDescent="0.2">
      <c r="AZ314" s="31">
        <v>3</v>
      </c>
      <c r="BB314" s="75" t="s">
        <v>205</v>
      </c>
      <c r="BD314" s="44" t="s">
        <v>1025</v>
      </c>
      <c r="BE314" s="44"/>
    </row>
    <row r="315" spans="52:57" ht="12" customHeight="1" x14ac:dyDescent="0.2">
      <c r="AZ315" s="31">
        <v>4</v>
      </c>
      <c r="BB315" s="75" t="s">
        <v>1233</v>
      </c>
      <c r="BD315" s="44" t="s">
        <v>1008</v>
      </c>
      <c r="BE315" s="44" t="s">
        <v>1319</v>
      </c>
    </row>
    <row r="316" spans="52:57" ht="12" customHeight="1" x14ac:dyDescent="0.2">
      <c r="AZ316" s="31">
        <v>5</v>
      </c>
      <c r="BB316" s="75" t="s">
        <v>1206</v>
      </c>
      <c r="BD316" s="44" t="s">
        <v>58</v>
      </c>
      <c r="BE316" s="44" t="s">
        <v>1319</v>
      </c>
    </row>
    <row r="317" spans="52:57" ht="12" customHeight="1" x14ac:dyDescent="0.2">
      <c r="AZ317" s="31">
        <v>6</v>
      </c>
      <c r="BB317" s="75" t="s">
        <v>1196</v>
      </c>
      <c r="BD317" s="44" t="s">
        <v>1022</v>
      </c>
      <c r="BE317" s="44" t="s">
        <v>1320</v>
      </c>
    </row>
    <row r="318" spans="52:57" ht="12" customHeight="1" x14ac:dyDescent="0.2">
      <c r="AZ318" s="31">
        <v>7</v>
      </c>
      <c r="BB318" s="75" t="s">
        <v>355</v>
      </c>
      <c r="BD318" s="44" t="s">
        <v>1026</v>
      </c>
      <c r="BE318" s="44" t="s">
        <v>1320</v>
      </c>
    </row>
    <row r="319" spans="52:57" ht="12" customHeight="1" x14ac:dyDescent="0.2">
      <c r="AZ319" s="31">
        <v>8</v>
      </c>
      <c r="BB319" s="75" t="s">
        <v>204</v>
      </c>
      <c r="BD319" s="44" t="s">
        <v>1247</v>
      </c>
      <c r="BE319" s="44" t="s">
        <v>1317</v>
      </c>
    </row>
    <row r="320" spans="52:57" ht="12" customHeight="1" x14ac:dyDescent="0.2">
      <c r="AZ320" s="31">
        <v>9</v>
      </c>
      <c r="BB320" s="76"/>
      <c r="BD320" s="44" t="s">
        <v>1023</v>
      </c>
      <c r="BE320" s="44" t="s">
        <v>1321</v>
      </c>
    </row>
    <row r="321" spans="52:57" ht="12" customHeight="1" x14ac:dyDescent="0.2">
      <c r="AZ321" s="31">
        <v>10</v>
      </c>
      <c r="BB321" s="77"/>
      <c r="BD321" s="44" t="s">
        <v>60</v>
      </c>
      <c r="BE321" s="44" t="s">
        <v>1322</v>
      </c>
    </row>
    <row r="322" spans="52:57" ht="12" customHeight="1" x14ac:dyDescent="0.2">
      <c r="AZ322" s="31">
        <v>11</v>
      </c>
      <c r="BD322" s="44" t="s">
        <v>1024</v>
      </c>
      <c r="BE322" s="44" t="s">
        <v>1323</v>
      </c>
    </row>
    <row r="323" spans="52:57" ht="12" customHeight="1" x14ac:dyDescent="0.2">
      <c r="AZ323" s="31">
        <v>12</v>
      </c>
      <c r="BD323" s="44" t="s">
        <v>400</v>
      </c>
      <c r="BE323" s="44" t="s">
        <v>1324</v>
      </c>
    </row>
    <row r="324" spans="52:57" ht="12" customHeight="1" x14ac:dyDescent="0.2">
      <c r="AZ324" s="31">
        <v>13</v>
      </c>
      <c r="BD324" s="44" t="s">
        <v>282</v>
      </c>
      <c r="BE324" s="44" t="s">
        <v>1325</v>
      </c>
    </row>
    <row r="325" spans="52:57" ht="12" customHeight="1" x14ac:dyDescent="0.2">
      <c r="AZ325" s="31">
        <v>14</v>
      </c>
      <c r="BD325" s="44" t="s">
        <v>63</v>
      </c>
      <c r="BE325" s="44"/>
    </row>
    <row r="326" spans="52:57" ht="12" customHeight="1" x14ac:dyDescent="0.2">
      <c r="AZ326" s="31">
        <v>15</v>
      </c>
      <c r="BD326" s="44" t="s">
        <v>1237</v>
      </c>
      <c r="BE326" s="44" t="s">
        <v>1326</v>
      </c>
    </row>
    <row r="327" spans="52:57" ht="12" customHeight="1" x14ac:dyDescent="0.2">
      <c r="AZ327" s="31">
        <v>16</v>
      </c>
      <c r="BD327" s="44" t="s">
        <v>53</v>
      </c>
      <c r="BE327" s="44"/>
    </row>
    <row r="328" spans="52:57" ht="12" customHeight="1" x14ac:dyDescent="0.2">
      <c r="AZ328" s="31">
        <v>17</v>
      </c>
      <c r="BD328" s="68" t="s">
        <v>87</v>
      </c>
      <c r="BE328" s="44"/>
    </row>
    <row r="329" spans="52:57" ht="12" customHeight="1" x14ac:dyDescent="0.2">
      <c r="AZ329" s="31">
        <v>18</v>
      </c>
      <c r="BD329" s="44">
        <f>AM1</f>
        <v>0</v>
      </c>
      <c r="BE329" s="44"/>
    </row>
    <row r="330" spans="52:57" ht="12" customHeight="1" x14ac:dyDescent="0.2">
      <c r="AZ330" s="31">
        <v>19</v>
      </c>
      <c r="BD330" s="44">
        <f>AM2</f>
        <v>0</v>
      </c>
      <c r="BE330" s="44"/>
    </row>
    <row r="331" spans="52:57" ht="12" customHeight="1" x14ac:dyDescent="0.2">
      <c r="AZ331" s="31">
        <v>20</v>
      </c>
      <c r="BD331" s="44">
        <f>AM3</f>
        <v>0</v>
      </c>
      <c r="BE331" s="44"/>
    </row>
    <row r="332" spans="52:57" ht="12" customHeight="1" x14ac:dyDescent="0.2">
      <c r="AZ332" s="31">
        <v>21</v>
      </c>
      <c r="BD332" s="44">
        <f>AM4</f>
        <v>0</v>
      </c>
      <c r="BE332" s="44"/>
    </row>
    <row r="333" spans="52:57" ht="12" customHeight="1" x14ac:dyDescent="0.2">
      <c r="AZ333" s="31">
        <v>22</v>
      </c>
    </row>
    <row r="334" spans="52:57" ht="12" customHeight="1" x14ac:dyDescent="0.2">
      <c r="AZ334" s="31">
        <v>23</v>
      </c>
    </row>
    <row r="335" spans="52:57" ht="12" customHeight="1" x14ac:dyDescent="0.2">
      <c r="AZ335" s="31">
        <v>24</v>
      </c>
    </row>
    <row r="336" spans="52:57" ht="12" customHeight="1" x14ac:dyDescent="0.2">
      <c r="AZ336" s="31">
        <v>25</v>
      </c>
      <c r="BB336" s="74" t="s">
        <v>1348</v>
      </c>
    </row>
    <row r="337" spans="52:54" ht="12" customHeight="1" x14ac:dyDescent="0.2">
      <c r="AZ337" s="31">
        <v>26</v>
      </c>
      <c r="BB337" s="31" t="s">
        <v>1349</v>
      </c>
    </row>
    <row r="338" spans="52:54" ht="12" customHeight="1" x14ac:dyDescent="0.2">
      <c r="AZ338" s="31">
        <v>27</v>
      </c>
      <c r="BB338" s="31" t="s">
        <v>1350</v>
      </c>
    </row>
    <row r="339" spans="52:54" ht="12" customHeight="1" x14ac:dyDescent="0.2">
      <c r="AZ339" s="31">
        <v>28</v>
      </c>
      <c r="BB339" s="31" t="s">
        <v>1351</v>
      </c>
    </row>
    <row r="340" spans="52:54" ht="12" customHeight="1" x14ac:dyDescent="0.2">
      <c r="AZ340" s="31">
        <v>29</v>
      </c>
      <c r="BB340" s="31" t="s">
        <v>1352</v>
      </c>
    </row>
    <row r="341" spans="52:54" ht="12" customHeight="1" x14ac:dyDescent="0.2">
      <c r="AZ341" s="31">
        <v>30</v>
      </c>
      <c r="BB341" s="31" t="s">
        <v>1353</v>
      </c>
    </row>
    <row r="342" spans="52:54" ht="12" customHeight="1" x14ac:dyDescent="0.2">
      <c r="AZ342" s="31">
        <v>31</v>
      </c>
      <c r="BB342" s="31" t="s">
        <v>1355</v>
      </c>
    </row>
    <row r="343" spans="52:54" ht="12" customHeight="1" x14ac:dyDescent="0.2">
      <c r="AZ343" s="31">
        <v>32</v>
      </c>
    </row>
    <row r="344" spans="52:54" ht="12" customHeight="1" x14ac:dyDescent="0.2">
      <c r="AZ344" s="31">
        <v>33</v>
      </c>
    </row>
    <row r="345" spans="52:54" ht="12" customHeight="1" x14ac:dyDescent="0.2">
      <c r="AZ345" s="31">
        <v>34</v>
      </c>
    </row>
    <row r="346" spans="52:54" ht="12" customHeight="1" x14ac:dyDescent="0.2">
      <c r="AZ346" s="31">
        <v>35</v>
      </c>
    </row>
    <row r="347" spans="52:54" ht="12" customHeight="1" x14ac:dyDescent="0.2">
      <c r="AZ347" s="31">
        <v>36</v>
      </c>
    </row>
    <row r="348" spans="52:54" ht="12" customHeight="1" x14ac:dyDescent="0.2">
      <c r="AZ348" s="31">
        <v>37</v>
      </c>
    </row>
    <row r="349" spans="52:54" ht="12" customHeight="1" x14ac:dyDescent="0.2">
      <c r="AZ349" s="31">
        <v>38</v>
      </c>
    </row>
    <row r="350" spans="52:54" ht="12" customHeight="1" x14ac:dyDescent="0.2">
      <c r="AZ350" s="31">
        <v>39</v>
      </c>
    </row>
    <row r="351" spans="52:54" ht="12" customHeight="1" x14ac:dyDescent="0.2">
      <c r="AZ351" s="31">
        <v>40</v>
      </c>
    </row>
    <row r="352" spans="52:54" ht="12" customHeight="1" x14ac:dyDescent="0.2">
      <c r="AZ352" s="31">
        <v>41</v>
      </c>
    </row>
    <row r="353" spans="52:56" ht="12" customHeight="1" x14ac:dyDescent="0.2">
      <c r="AZ353" s="31">
        <v>42</v>
      </c>
    </row>
    <row r="354" spans="52:56" ht="12" customHeight="1" x14ac:dyDescent="0.2">
      <c r="AZ354" s="31">
        <v>43</v>
      </c>
    </row>
    <row r="355" spans="52:56" ht="12" customHeight="1" x14ac:dyDescent="0.2">
      <c r="AZ355" s="31">
        <v>44</v>
      </c>
    </row>
    <row r="356" spans="52:56" ht="12" customHeight="1" x14ac:dyDescent="0.2">
      <c r="AZ356" s="31">
        <v>45</v>
      </c>
    </row>
    <row r="357" spans="52:56" ht="12" customHeight="1" x14ac:dyDescent="0.2">
      <c r="AZ357" s="31">
        <v>46</v>
      </c>
    </row>
    <row r="358" spans="52:56" ht="12" customHeight="1" x14ac:dyDescent="0.2">
      <c r="AZ358" s="31">
        <v>47</v>
      </c>
    </row>
    <row r="359" spans="52:56" ht="12" customHeight="1" x14ac:dyDescent="0.2">
      <c r="AZ359" s="31">
        <v>48</v>
      </c>
    </row>
    <row r="360" spans="52:56" ht="12" customHeight="1" x14ac:dyDescent="0.2">
      <c r="AZ360" s="31">
        <v>49</v>
      </c>
    </row>
    <row r="361" spans="52:56" ht="12" customHeight="1" x14ac:dyDescent="0.2">
      <c r="AZ361" s="31">
        <v>50</v>
      </c>
    </row>
    <row r="362" spans="52:56" ht="12" customHeight="1" x14ac:dyDescent="0.2">
      <c r="AZ362" s="31">
        <v>51</v>
      </c>
    </row>
    <row r="363" spans="52:56" ht="12" customHeight="1" x14ac:dyDescent="0.2">
      <c r="AZ363" s="31">
        <v>52</v>
      </c>
    </row>
    <row r="364" spans="52:56" ht="12" customHeight="1" x14ac:dyDescent="0.2">
      <c r="AZ364" s="31">
        <v>53</v>
      </c>
    </row>
    <row r="365" spans="52:56" ht="12" customHeight="1" x14ac:dyDescent="0.2">
      <c r="AZ365" s="31">
        <v>54</v>
      </c>
    </row>
    <row r="366" spans="52:56" ht="12" customHeight="1" x14ac:dyDescent="0.2">
      <c r="AZ366" s="31">
        <v>55</v>
      </c>
    </row>
    <row r="367" spans="52:56" ht="12" customHeight="1" x14ac:dyDescent="0.2">
      <c r="AZ367" s="31">
        <v>56</v>
      </c>
      <c r="BD367" s="32" t="s">
        <v>317</v>
      </c>
    </row>
    <row r="368" spans="52:56" ht="12" customHeight="1" x14ac:dyDescent="0.2">
      <c r="AZ368" s="31">
        <v>57</v>
      </c>
      <c r="BD368" s="31" t="s">
        <v>340</v>
      </c>
    </row>
    <row r="369" spans="52:56" ht="12" customHeight="1" x14ac:dyDescent="0.2">
      <c r="AZ369" s="31">
        <v>58</v>
      </c>
      <c r="BD369" s="31" t="s">
        <v>318</v>
      </c>
    </row>
    <row r="370" spans="52:56" ht="12" customHeight="1" x14ac:dyDescent="0.2">
      <c r="AZ370" s="31">
        <v>59</v>
      </c>
      <c r="BD370" s="31" t="s">
        <v>319</v>
      </c>
    </row>
    <row r="371" spans="52:56" ht="12" customHeight="1" x14ac:dyDescent="0.2">
      <c r="AZ371" s="31">
        <v>60</v>
      </c>
      <c r="BD371" s="31" t="s">
        <v>320</v>
      </c>
    </row>
    <row r="372" spans="52:56" ht="12" customHeight="1" x14ac:dyDescent="0.2">
      <c r="AZ372" s="31">
        <v>61</v>
      </c>
      <c r="BD372" s="31" t="s">
        <v>323</v>
      </c>
    </row>
    <row r="373" spans="52:56" ht="12" customHeight="1" x14ac:dyDescent="0.2">
      <c r="AZ373" s="31">
        <v>62</v>
      </c>
      <c r="BD373" s="31" t="s">
        <v>321</v>
      </c>
    </row>
    <row r="374" spans="52:56" ht="12" customHeight="1" x14ac:dyDescent="0.2">
      <c r="AZ374" s="31">
        <v>63</v>
      </c>
      <c r="BD374" s="31" t="s">
        <v>322</v>
      </c>
    </row>
    <row r="375" spans="52:56" ht="12" customHeight="1" x14ac:dyDescent="0.2">
      <c r="AZ375" s="31">
        <v>64</v>
      </c>
      <c r="BD375" s="31" t="s">
        <v>324</v>
      </c>
    </row>
    <row r="376" spans="52:56" ht="12" customHeight="1" x14ac:dyDescent="0.2">
      <c r="AZ376" s="31">
        <v>65</v>
      </c>
      <c r="BD376" s="31" t="s">
        <v>325</v>
      </c>
    </row>
    <row r="377" spans="52:56" ht="12" customHeight="1" x14ac:dyDescent="0.2">
      <c r="AZ377" s="31"/>
      <c r="BD377" s="31" t="s">
        <v>326</v>
      </c>
    </row>
    <row r="378" spans="52:56" ht="12" customHeight="1" x14ac:dyDescent="0.2">
      <c r="BD378" s="31" t="s">
        <v>327</v>
      </c>
    </row>
    <row r="379" spans="52:56" ht="12" customHeight="1" x14ac:dyDescent="0.2">
      <c r="BD379" s="31" t="s">
        <v>328</v>
      </c>
    </row>
    <row r="380" spans="52:56" ht="12" customHeight="1" x14ac:dyDescent="0.2">
      <c r="BD380" s="31" t="s">
        <v>329</v>
      </c>
    </row>
    <row r="381" spans="52:56" ht="12" customHeight="1" x14ac:dyDescent="0.2">
      <c r="BD381" s="31" t="s">
        <v>330</v>
      </c>
    </row>
    <row r="382" spans="52:56" ht="12" customHeight="1" x14ac:dyDescent="0.2">
      <c r="BD382" s="31" t="s">
        <v>331</v>
      </c>
    </row>
    <row r="383" spans="52:56" ht="12" customHeight="1" x14ac:dyDescent="0.2">
      <c r="BD383" s="31" t="s">
        <v>332</v>
      </c>
    </row>
    <row r="384" spans="52:56" ht="12" customHeight="1" x14ac:dyDescent="0.2">
      <c r="BD384" s="31" t="s">
        <v>334</v>
      </c>
    </row>
    <row r="385" spans="56:56" ht="12" customHeight="1" x14ac:dyDescent="0.2">
      <c r="BD385" s="31" t="s">
        <v>333</v>
      </c>
    </row>
    <row r="386" spans="56:56" ht="12" customHeight="1" x14ac:dyDescent="0.2">
      <c r="BD386" s="31" t="s">
        <v>335</v>
      </c>
    </row>
    <row r="387" spans="56:56" ht="12" customHeight="1" x14ac:dyDescent="0.2">
      <c r="BD387" s="31" t="s">
        <v>336</v>
      </c>
    </row>
    <row r="388" spans="56:56" ht="12" customHeight="1" x14ac:dyDescent="0.2">
      <c r="BD388" s="31" t="s">
        <v>337</v>
      </c>
    </row>
    <row r="389" spans="56:56" ht="12" customHeight="1" x14ac:dyDescent="0.2">
      <c r="BD389" s="31" t="s">
        <v>338</v>
      </c>
    </row>
    <row r="390" spans="56:56" ht="12" customHeight="1" x14ac:dyDescent="0.2">
      <c r="BD390" s="31" t="s">
        <v>339</v>
      </c>
    </row>
    <row r="577" spans="1:150" ht="12" customHeight="1" x14ac:dyDescent="0.25">
      <c r="X577" s="1414"/>
    </row>
    <row r="578" spans="1:150" ht="12" customHeight="1" x14ac:dyDescent="0.25">
      <c r="X578" s="1414"/>
    </row>
    <row r="579" spans="1:150" ht="12" customHeight="1" x14ac:dyDescent="0.25">
      <c r="X579" s="1414"/>
    </row>
    <row r="580" spans="1:150" ht="12" customHeight="1" x14ac:dyDescent="0.25">
      <c r="X580" s="1414"/>
    </row>
    <row r="582" spans="1:150" ht="12" customHeight="1" x14ac:dyDescent="0.2">
      <c r="A582" s="153" t="s">
        <v>1172</v>
      </c>
    </row>
    <row r="583" spans="1:150" ht="12" customHeight="1" x14ac:dyDescent="0.2">
      <c r="A583" s="1287"/>
    </row>
    <row r="584" spans="1:150" ht="12" customHeight="1" x14ac:dyDescent="0.2">
      <c r="A584" s="1287"/>
    </row>
    <row r="585" spans="1:150" ht="12" customHeight="1" thickBot="1" x14ac:dyDescent="0.25">
      <c r="A585" s="1287"/>
    </row>
    <row r="586" spans="1:150" s="33" customFormat="1" ht="12" customHeight="1" thickBot="1" x14ac:dyDescent="0.25">
      <c r="A586" s="1801" t="s">
        <v>93</v>
      </c>
      <c r="B586" s="1803" t="s">
        <v>377</v>
      </c>
      <c r="C586" s="1805" t="s">
        <v>402</v>
      </c>
      <c r="D586" s="1807" t="s">
        <v>256</v>
      </c>
      <c r="E586" s="447"/>
      <c r="F586" s="1679" t="s">
        <v>146</v>
      </c>
      <c r="G586" s="446"/>
      <c r="H586" s="1728" t="s">
        <v>560</v>
      </c>
      <c r="I586" s="1712" t="s">
        <v>1</v>
      </c>
      <c r="J586" s="1790"/>
      <c r="K586" s="1790"/>
      <c r="L586" s="1790"/>
      <c r="M586" s="1790"/>
      <c r="N586" s="1755"/>
      <c r="O586" s="1712" t="s">
        <v>702</v>
      </c>
      <c r="P586" s="1713"/>
      <c r="Q586" s="1714"/>
      <c r="R586" s="1688" t="s">
        <v>89</v>
      </c>
      <c r="S586" s="1688" t="s">
        <v>341</v>
      </c>
      <c r="T586" s="1688" t="s">
        <v>16</v>
      </c>
      <c r="U586" s="1689"/>
      <c r="V586" s="1679" t="s">
        <v>105</v>
      </c>
      <c r="W586" s="1679" t="s">
        <v>366</v>
      </c>
      <c r="X586" s="1679" t="s">
        <v>781</v>
      </c>
      <c r="Y586" s="1679" t="s">
        <v>792</v>
      </c>
      <c r="Z586" s="1679" t="s">
        <v>908</v>
      </c>
      <c r="AA586" s="1679" t="s">
        <v>909</v>
      </c>
      <c r="AB586" s="1679" t="s">
        <v>104</v>
      </c>
      <c r="AC586" s="1679" t="s">
        <v>103</v>
      </c>
      <c r="AD586" s="1679" t="s">
        <v>910</v>
      </c>
      <c r="AE586" s="1712" t="s">
        <v>565</v>
      </c>
      <c r="AF586" s="1790"/>
      <c r="AG586" s="1790"/>
      <c r="AH586" s="1755"/>
      <c r="AI586" s="513" t="s">
        <v>566</v>
      </c>
      <c r="AJ586" s="1712" t="s">
        <v>573</v>
      </c>
      <c r="AK586" s="1790"/>
      <c r="AL586" s="1755"/>
      <c r="AM586" s="1712" t="s">
        <v>567</v>
      </c>
      <c r="AN586" s="1755"/>
      <c r="AO586" s="513" t="s">
        <v>568</v>
      </c>
      <c r="AP586" s="513" t="s">
        <v>569</v>
      </c>
      <c r="AQ586" s="513" t="s">
        <v>835</v>
      </c>
      <c r="AR586" s="513"/>
      <c r="AS586" s="528"/>
      <c r="AT586" s="1732" t="s">
        <v>14</v>
      </c>
      <c r="AU586" s="447"/>
      <c r="AZ586" s="29"/>
      <c r="BB586" s="29"/>
      <c r="BD586" s="29"/>
      <c r="BE586" s="29"/>
      <c r="BZ586" s="1751" t="s">
        <v>107</v>
      </c>
      <c r="CA586" s="1753" t="s">
        <v>108</v>
      </c>
      <c r="CB586" s="1753"/>
      <c r="CC586" s="1753"/>
      <c r="CD586" s="1754"/>
      <c r="CE586" s="1753" t="s">
        <v>206</v>
      </c>
      <c r="CF586" s="1753"/>
      <c r="CG586" s="1753"/>
      <c r="CH586" s="1754"/>
      <c r="CI586" s="1751" t="s">
        <v>109</v>
      </c>
      <c r="CJ586" s="1753"/>
      <c r="CK586" s="1753"/>
      <c r="CL586" s="1754"/>
      <c r="CM586" s="1747" t="s">
        <v>126</v>
      </c>
      <c r="CN586" s="1748"/>
      <c r="CO586" s="1748"/>
      <c r="CP586" s="1748"/>
      <c r="CQ586" s="1749"/>
      <c r="CR586" s="1751" t="s">
        <v>128</v>
      </c>
      <c r="CS586" s="1753"/>
      <c r="CT586" s="1753"/>
      <c r="CU586" s="1754"/>
      <c r="CV586" s="1751" t="s">
        <v>129</v>
      </c>
      <c r="CW586" s="1753"/>
      <c r="CX586" s="1753"/>
      <c r="CY586" s="1753"/>
      <c r="CZ586" s="1747" t="s">
        <v>130</v>
      </c>
      <c r="DA586" s="1748"/>
      <c r="DB586" s="1748"/>
      <c r="DC586" s="1748"/>
      <c r="DD586" s="1749"/>
      <c r="DE586" s="1747" t="s">
        <v>131</v>
      </c>
      <c r="DF586" s="1748"/>
      <c r="DG586" s="1748"/>
      <c r="DH586" s="1748"/>
      <c r="DI586" s="1749"/>
      <c r="DJ586" s="1751" t="s">
        <v>133</v>
      </c>
      <c r="DK586" s="1753"/>
      <c r="DL586" s="1753"/>
      <c r="DM586" s="1754"/>
      <c r="DO586" s="1758" t="s">
        <v>136</v>
      </c>
      <c r="DP586" s="1759"/>
      <c r="DQ586" s="1758" t="s">
        <v>137</v>
      </c>
      <c r="DR586" s="1825"/>
      <c r="DS586" s="1758" t="s">
        <v>139</v>
      </c>
      <c r="DT586" s="1759"/>
      <c r="DU586" s="1756" t="s">
        <v>216</v>
      </c>
      <c r="DV586" s="1756" t="s">
        <v>316</v>
      </c>
      <c r="DW586" s="1780" t="s">
        <v>351</v>
      </c>
      <c r="DX586" s="1781"/>
      <c r="DY586" s="1782"/>
      <c r="EB586" s="1741" t="s">
        <v>1127</v>
      </c>
      <c r="EC586" s="1742"/>
      <c r="ED586" s="1742"/>
      <c r="EE586" s="1743"/>
      <c r="EF586" s="1232"/>
      <c r="EG586" s="1741" t="s">
        <v>1128</v>
      </c>
      <c r="EH586" s="1742"/>
      <c r="EI586" s="1742"/>
      <c r="EJ586" s="1743"/>
      <c r="EK586" s="1232"/>
      <c r="EL586" s="1741" t="s">
        <v>1129</v>
      </c>
      <c r="EM586" s="1742"/>
      <c r="EN586" s="1742"/>
      <c r="EO586" s="1743"/>
      <c r="EQ586" s="1741" t="s">
        <v>1159</v>
      </c>
      <c r="ER586" s="1742"/>
      <c r="ES586" s="1742"/>
      <c r="ET586" s="1743"/>
    </row>
    <row r="587" spans="1:150" s="33" customFormat="1" ht="27" customHeight="1" thickBot="1" x14ac:dyDescent="0.25">
      <c r="A587" s="1802"/>
      <c r="B587" s="1804"/>
      <c r="C587" s="1806"/>
      <c r="D587" s="1808"/>
      <c r="E587" s="447"/>
      <c r="F587" s="1680"/>
      <c r="G587" s="446"/>
      <c r="H587" s="1729"/>
      <c r="I587" s="1019" t="s">
        <v>1032</v>
      </c>
      <c r="J587" s="1020" t="s">
        <v>1033</v>
      </c>
      <c r="K587" s="514" t="s">
        <v>19</v>
      </c>
      <c r="L587" s="514" t="s">
        <v>20</v>
      </c>
      <c r="M587" s="514" t="s">
        <v>22</v>
      </c>
      <c r="N587" s="514" t="s">
        <v>21</v>
      </c>
      <c r="O587" s="529" t="s">
        <v>576</v>
      </c>
      <c r="P587" s="529" t="s">
        <v>577</v>
      </c>
      <c r="Q587" s="529" t="s">
        <v>578</v>
      </c>
      <c r="R587" s="1690"/>
      <c r="S587" s="1690"/>
      <c r="T587" s="1690"/>
      <c r="U587" s="1691"/>
      <c r="V587" s="1708"/>
      <c r="W587" s="1687"/>
      <c r="X587" s="1687"/>
      <c r="Y587" s="1687"/>
      <c r="Z587" s="1680"/>
      <c r="AA587" s="1680"/>
      <c r="AB587" s="1687"/>
      <c r="AC587" s="1687"/>
      <c r="AD587" s="1687"/>
      <c r="AE587" s="530" t="s">
        <v>347</v>
      </c>
      <c r="AF587" s="531" t="s">
        <v>348</v>
      </c>
      <c r="AG587" s="532" t="s">
        <v>349</v>
      </c>
      <c r="AH587" s="529" t="s">
        <v>572</v>
      </c>
      <c r="AI587" s="514" t="s">
        <v>563</v>
      </c>
      <c r="AJ587" s="514" t="s">
        <v>570</v>
      </c>
      <c r="AK587" s="1712" t="s">
        <v>571</v>
      </c>
      <c r="AL587" s="1755"/>
      <c r="AM587" s="514" t="s">
        <v>570</v>
      </c>
      <c r="AN587" s="529" t="s">
        <v>571</v>
      </c>
      <c r="AO587" s="514" t="s">
        <v>564</v>
      </c>
      <c r="AP587" s="514" t="s">
        <v>564</v>
      </c>
      <c r="AQ587" s="512" t="s">
        <v>911</v>
      </c>
      <c r="AR587" s="514" t="s">
        <v>771</v>
      </c>
      <c r="AS587" s="533" t="s">
        <v>114</v>
      </c>
      <c r="AT587" s="1797"/>
      <c r="AU587" s="447"/>
      <c r="AZ587" s="29"/>
      <c r="BB587" s="29"/>
      <c r="BD587" s="29"/>
      <c r="BE587" s="29"/>
      <c r="BZ587" s="1752"/>
      <c r="CA587" s="34" t="s">
        <v>19</v>
      </c>
      <c r="CB587" s="34" t="s">
        <v>20</v>
      </c>
      <c r="CC587" s="34" t="s">
        <v>22</v>
      </c>
      <c r="CD587" s="35" t="s">
        <v>21</v>
      </c>
      <c r="CE587" s="34" t="s">
        <v>19</v>
      </c>
      <c r="CF587" s="34" t="s">
        <v>20</v>
      </c>
      <c r="CG587" s="34" t="s">
        <v>22</v>
      </c>
      <c r="CH587" s="35" t="s">
        <v>21</v>
      </c>
      <c r="CI587" s="36" t="s">
        <v>19</v>
      </c>
      <c r="CJ587" s="34" t="s">
        <v>20</v>
      </c>
      <c r="CK587" s="34" t="s">
        <v>22</v>
      </c>
      <c r="CL587" s="35" t="s">
        <v>21</v>
      </c>
      <c r="CM587" s="36" t="s">
        <v>19</v>
      </c>
      <c r="CN587" s="34" t="s">
        <v>20</v>
      </c>
      <c r="CO587" s="34" t="s">
        <v>22</v>
      </c>
      <c r="CP587" s="34" t="s">
        <v>21</v>
      </c>
      <c r="CQ587" s="37" t="s">
        <v>127</v>
      </c>
      <c r="CR587" s="36" t="s">
        <v>19</v>
      </c>
      <c r="CS587" s="34" t="s">
        <v>20</v>
      </c>
      <c r="CT587" s="34" t="s">
        <v>22</v>
      </c>
      <c r="CU587" s="35" t="s">
        <v>21</v>
      </c>
      <c r="CV587" s="36" t="s">
        <v>19</v>
      </c>
      <c r="CW587" s="34" t="s">
        <v>20</v>
      </c>
      <c r="CX587" s="34" t="s">
        <v>22</v>
      </c>
      <c r="CY587" s="34" t="s">
        <v>21</v>
      </c>
      <c r="CZ587" s="36" t="s">
        <v>19</v>
      </c>
      <c r="DA587" s="34" t="s">
        <v>20</v>
      </c>
      <c r="DB587" s="34" t="s">
        <v>22</v>
      </c>
      <c r="DC587" s="34" t="s">
        <v>21</v>
      </c>
      <c r="DD587" s="38" t="s">
        <v>127</v>
      </c>
      <c r="DE587" s="36" t="s">
        <v>19</v>
      </c>
      <c r="DF587" s="34" t="s">
        <v>20</v>
      </c>
      <c r="DG587" s="34" t="s">
        <v>22</v>
      </c>
      <c r="DH587" s="34" t="s">
        <v>21</v>
      </c>
      <c r="DI587" s="38" t="s">
        <v>132</v>
      </c>
      <c r="DJ587" s="36" t="s">
        <v>19</v>
      </c>
      <c r="DK587" s="34" t="s">
        <v>20</v>
      </c>
      <c r="DL587" s="34" t="s">
        <v>22</v>
      </c>
      <c r="DM587" s="35" t="s">
        <v>21</v>
      </c>
      <c r="DO587" s="39" t="s">
        <v>135</v>
      </c>
      <c r="DP587" s="40" t="s">
        <v>127</v>
      </c>
      <c r="DQ587" s="39" t="s">
        <v>135</v>
      </c>
      <c r="DR587" s="41" t="s">
        <v>127</v>
      </c>
      <c r="DS587" s="39" t="s">
        <v>135</v>
      </c>
      <c r="DT587" s="40" t="s">
        <v>127</v>
      </c>
      <c r="DU587" s="1757"/>
      <c r="DV587" s="1786"/>
      <c r="DW587" s="1783"/>
      <c r="DX587" s="1784"/>
      <c r="DY587" s="1785"/>
      <c r="EB587" s="1233" t="s">
        <v>19</v>
      </c>
      <c r="EC587" s="1234" t="s">
        <v>20</v>
      </c>
      <c r="ED587" s="1234" t="s">
        <v>22</v>
      </c>
      <c r="EE587" s="1235" t="s">
        <v>21</v>
      </c>
      <c r="EF587" s="1232"/>
      <c r="EG587" s="1233" t="s">
        <v>19</v>
      </c>
      <c r="EH587" s="1234" t="s">
        <v>20</v>
      </c>
      <c r="EI587" s="1234" t="s">
        <v>22</v>
      </c>
      <c r="EJ587" s="1235" t="s">
        <v>21</v>
      </c>
      <c r="EK587" s="1232"/>
      <c r="EL587" s="1233" t="s">
        <v>19</v>
      </c>
      <c r="EM587" s="1234" t="s">
        <v>20</v>
      </c>
      <c r="EN587" s="1234" t="s">
        <v>22</v>
      </c>
      <c r="EO587" s="1235" t="s">
        <v>21</v>
      </c>
      <c r="EQ587" s="1233" t="s">
        <v>19</v>
      </c>
      <c r="ER587" s="1234" t="s">
        <v>20</v>
      </c>
      <c r="ES587" s="1234" t="s">
        <v>22</v>
      </c>
      <c r="ET587" s="1235" t="s">
        <v>21</v>
      </c>
    </row>
    <row r="588" spans="1:150" ht="12" customHeight="1" x14ac:dyDescent="0.2">
      <c r="E588" s="445"/>
      <c r="G588" s="445"/>
      <c r="Z588" s="849"/>
      <c r="AA588" s="849"/>
      <c r="BE588" s="33"/>
    </row>
    <row r="589" spans="1:150" ht="12" customHeight="1" x14ac:dyDescent="0.2">
      <c r="A589" s="166"/>
      <c r="D589" s="72" t="s">
        <v>405</v>
      </c>
      <c r="E589" s="445"/>
      <c r="F589" s="553" t="s">
        <v>350</v>
      </c>
      <c r="G589" s="445" t="str">
        <f>IF(H589="","",H589)</f>
        <v/>
      </c>
      <c r="H589" s="850" t="str">
        <f>IF(OR(A589="",A589="CHILD FIXTURE"),"",A589)</f>
        <v/>
      </c>
      <c r="I589" s="853"/>
      <c r="J589" s="853"/>
      <c r="K589" s="853"/>
      <c r="L589" s="852"/>
      <c r="M589" s="852"/>
      <c r="N589" s="853"/>
      <c r="O589" s="853"/>
      <c r="P589" s="853"/>
      <c r="Q589" s="853"/>
      <c r="R589" s="851"/>
      <c r="S589" s="851"/>
      <c r="T589" s="1672" t="s">
        <v>404</v>
      </c>
      <c r="U589" s="1673"/>
      <c r="V589" s="852"/>
      <c r="W589" s="853"/>
      <c r="X589" s="853"/>
      <c r="Y589" s="853"/>
      <c r="Z589" s="854">
        <v>0</v>
      </c>
      <c r="AA589" s="854">
        <v>0</v>
      </c>
      <c r="AB589" s="855" t="s">
        <v>134</v>
      </c>
      <c r="AC589" s="560"/>
      <c r="AD589" s="856"/>
      <c r="AE589" s="845"/>
      <c r="AF589" s="857"/>
      <c r="AG589" s="844"/>
      <c r="AH589" s="858"/>
      <c r="AI589" s="858"/>
      <c r="AJ589" s="857"/>
      <c r="AK589" s="851"/>
      <c r="AL589" s="852"/>
      <c r="AM589" s="857"/>
      <c r="AN589" s="853"/>
      <c r="AO589" s="857"/>
      <c r="AP589" s="857"/>
      <c r="AQ589" s="1656" t="s">
        <v>406</v>
      </c>
      <c r="AR589" s="1657"/>
      <c r="AS589" s="1658"/>
      <c r="AT589" s="853"/>
      <c r="AU589" s="893" t="str">
        <f>IF(H589="","",IF(OR(B589=0,B589="SUB-CKT"),IF(ISNA(MATCH(H589,LoopSegs,0)),H589,""),""))</f>
        <v/>
      </c>
      <c r="AV589" s="893"/>
      <c r="BE589" s="33"/>
    </row>
    <row r="590" spans="1:150" ht="12" customHeight="1" x14ac:dyDescent="0.2">
      <c r="E590" s="445"/>
      <c r="G590" s="445"/>
      <c r="J590" s="78"/>
      <c r="Z590" s="849"/>
      <c r="AA590" s="849"/>
      <c r="AD590" s="67"/>
      <c r="AV590" s="893"/>
      <c r="BB590" s="33"/>
    </row>
    <row r="591" spans="1:150" ht="12" customHeight="1" x14ac:dyDescent="0.2">
      <c r="A591" s="166"/>
      <c r="D591" s="72" t="s">
        <v>145</v>
      </c>
      <c r="E591" s="445"/>
      <c r="F591" s="553" t="s">
        <v>350</v>
      </c>
      <c r="G591" s="445" t="str">
        <f>IF(H591="","",H591)</f>
        <v/>
      </c>
      <c r="H591" s="850" t="str">
        <f>IF(OR(A591="",A591="CHILD FIXTURE"),"",A591)</f>
        <v/>
      </c>
      <c r="I591" s="555" t="str">
        <f>IF(OR($R591="Enter Case Model",$R591=""),"",IF($BZ591="FT",$K591*4*$CE591+$L591*6*$CF591+$M591*8*$CG591+$N591*12*$CH591,$K591*2*$CE591+$L591*3*$CF591+$M591*4*$CG591+$N591*5*$CH591))</f>
        <v/>
      </c>
      <c r="J591" s="555" t="str">
        <f>IF(I591&lt;&gt;"",BZ591,"")</f>
        <v/>
      </c>
      <c r="K591" s="558"/>
      <c r="L591" s="844"/>
      <c r="M591" s="844"/>
      <c r="N591" s="558"/>
      <c r="O591" s="853"/>
      <c r="P591" s="853"/>
      <c r="Q591" s="853"/>
      <c r="R591" s="558" t="s">
        <v>147</v>
      </c>
      <c r="S591" s="851" t="str">
        <f>IF($R591="Enter Case Model","",VLOOKUP($R591,model1,3,FALSE))</f>
        <v/>
      </c>
      <c r="T591" s="1677" t="s">
        <v>90</v>
      </c>
      <c r="U591" s="1678"/>
      <c r="V591" s="860"/>
      <c r="W591" s="861"/>
      <c r="X591" s="861" t="s">
        <v>134</v>
      </c>
      <c r="Y591" s="861" t="str">
        <f>IF(OR($I591="",$I591=0),"",IF(LEFT($U$1,1)="c",VLOOKUP($R591,CIRC_RATE,18,FALSE),"-"))</f>
        <v/>
      </c>
      <c r="Z591" s="854">
        <v>0</v>
      </c>
      <c r="AA591" s="854">
        <f>IF(OR($I591="",$I591=0),0,$K591*$CI591+$L591*$CJ591+$M591*$CK591+$N591*$CL591)</f>
        <v>0</v>
      </c>
      <c r="AB591" s="862" t="str">
        <f>IF(OR($I591="",$I591=0),"",IF(OR(LEFT($U$1,1)="g",(LEFT($U$1,1)="c")),$AT$1,VLOOKUP($R591,model,4,FALSE)))</f>
        <v/>
      </c>
      <c r="AC591" s="862" t="str">
        <f>IF(OR($I591="",$I591=0),"",IF(LEFT($U$1,1)="g",$K591*$EQ591+$L591*$ER591+$M591*$ES591+$N591*$ET591,IF(LEFT($U$1,1)="c",$AT$1,VLOOKUP($R591,model,5,FALSE))))</f>
        <v/>
      </c>
      <c r="AD591" s="983" t="str">
        <f>IF(OR($I591="",$I591=0),"",VLOOKUP($R591,model,9,FALSE))</f>
        <v/>
      </c>
      <c r="AE591" s="845"/>
      <c r="AF591" s="559"/>
      <c r="AG591" s="844"/>
      <c r="AH591" s="561" t="s">
        <v>622</v>
      </c>
      <c r="AI591" s="561" t="s">
        <v>627</v>
      </c>
      <c r="AJ591" s="877" t="str">
        <f>IF(OR($R591="",$AK591="-",$I591="",$I591=0),"",IF(AND($R591&lt;&gt;"",$AI591="EL"),$DD591,IF(AND($R591&lt;&gt;"",$AI591="HG"),$DI591,0)))</f>
        <v/>
      </c>
      <c r="AK591" s="1677" t="s">
        <v>134</v>
      </c>
      <c r="AL591" s="1823"/>
      <c r="AM591" s="857" t="str">
        <f>IF(OR($I591="",$I591=0,$AN591="-"),"",IF($R591&lt;&gt;"",IF($CQ591&lt;$DI591,$DI591,$CQ591),0))</f>
        <v/>
      </c>
      <c r="AN591" s="558" t="s">
        <v>123</v>
      </c>
      <c r="AO591" s="857" t="str">
        <f>IF(OR($I591="",$I591=0),"",$K591*$CR591+$L591*$CS591+$M591*$CT591+$N591*$CU591)</f>
        <v/>
      </c>
      <c r="AP591" s="857" t="str">
        <f>IF(OR($J591="",$J591=0),"",$K591*$CV591+$L591*$CW591+$M591*$CX591+$N591*$CY591)</f>
        <v/>
      </c>
      <c r="AQ591" s="979">
        <f>IF(OR($I591="",$I591=0),0,IF(LEFT($U$1,1)="c",$K591*$EB591+$L591*$EC591+$M591*$ED591+$N591*$EE591,IF(LEFT($U$1,1)="g",$K591*$EG591+$L591*$EH591+$M591*$EI591+$N591*$EJ591,$K591*$EL591+$L591*$EM591+$M591*$EN591+$N591*$EO591)))</f>
        <v>0</v>
      </c>
      <c r="AR591" s="979" t="str">
        <f>IF(OR($J591="",$J591=0),"",$K591*DJ591+$L591*DK591+$M591*DL591+$N591*DM591)</f>
        <v/>
      </c>
      <c r="AS591" s="1471" t="str">
        <f>IF(OR($J591="",$J591=0),"---",VLOOKUP($R591,model,7,FALSE))</f>
        <v>---</v>
      </c>
      <c r="AT591" s="853" t="str">
        <f>IF($R591="Enter Case Model","",IF($R591="","",VLOOKUP($R591,model,3,FALSE)))</f>
        <v/>
      </c>
      <c r="AU591" s="893" t="str">
        <f>IF(H591="","",IF(OR(B591=0,B591="SUB-CKT"),IF(ISNA(MATCH(H591,LoopSegs,0)),H591,""),""))</f>
        <v/>
      </c>
      <c r="AV591" s="893"/>
      <c r="BB591" s="33"/>
    </row>
    <row r="592" spans="1:150" ht="12" customHeight="1" x14ac:dyDescent="0.2">
      <c r="E592" s="445"/>
      <c r="G592" s="445"/>
      <c r="Z592" s="849"/>
      <c r="AA592" s="849"/>
      <c r="AD592" s="67"/>
      <c r="AQ592" s="980"/>
      <c r="AR592" s="980"/>
      <c r="AS592" s="982"/>
      <c r="AV592" s="893"/>
    </row>
    <row r="593" spans="1:150" ht="12" customHeight="1" x14ac:dyDescent="0.2">
      <c r="A593" s="166"/>
      <c r="D593" s="72" t="s">
        <v>142</v>
      </c>
      <c r="E593" s="445"/>
      <c r="F593" s="553" t="s">
        <v>350</v>
      </c>
      <c r="G593" s="445" t="str">
        <f>IF(H593="","",H593)</f>
        <v/>
      </c>
      <c r="H593" s="850" t="str">
        <f>IF(OR(A593="",A593="CHILD FIXTURE"),"",A593)</f>
        <v/>
      </c>
      <c r="I593" s="1672"/>
      <c r="J593" s="1673"/>
      <c r="K593" s="853"/>
      <c r="L593" s="852"/>
      <c r="M593" s="852"/>
      <c r="N593" s="853"/>
      <c r="O593" s="999" t="e">
        <f>IF(ISNA($DV593)=TRUE,"",IF($DV593="-----","",VLOOKUP($H593,'Walk-in Load Calc'!$F$5:$Q$37,8,FALSE)))</f>
        <v>#N/A</v>
      </c>
      <c r="P593" s="999" t="e">
        <f>IF(ISNA($DV593)=TRUE,"",IF($DV593="-----","",VLOOKUP($H593,'Walk-in Load Calc'!$F$5:$Q$37,9,FALSE)))</f>
        <v>#N/A</v>
      </c>
      <c r="Q593" s="999" t="e">
        <f>IF(ISNA($DV593)=TRUE,"",IF($DV593="-----","",VLOOKUP($H593,'Walk-in Load Calc'!$F$5:$Q$37,10,FALSE)))</f>
        <v>#N/A</v>
      </c>
      <c r="R593" s="851"/>
      <c r="S593" s="851" t="str">
        <f>IF($W593="Enter Evap. Model","",VLOOKUP($W593,evapdx,23))</f>
        <v/>
      </c>
      <c r="T593" s="1672" t="str">
        <f>IF($H593="","",IF(ISNA($DV593)=TRUE,"Go to W/I Box Load Calculator",VLOOKUP($H593,'Walk-in Load Calc'!$F$5:$Q$37,2,FALSE)))</f>
        <v/>
      </c>
      <c r="U593" s="1824"/>
      <c r="V593" s="852">
        <v>1</v>
      </c>
      <c r="W593" s="558" t="s">
        <v>148</v>
      </c>
      <c r="X593" s="558" t="s">
        <v>352</v>
      </c>
      <c r="Y593" s="845"/>
      <c r="Z593" s="854">
        <v>0</v>
      </c>
      <c r="AA593" s="846" t="e">
        <f>IF(ISNA($DV593)=TRUE,0,IF($DV593="-----",0,VLOOKUP($H593,'Walk-in Load Calc'!$F$5:$Q$37,12,FALSE)))</f>
        <v>#N/A</v>
      </c>
      <c r="AB593" s="59" t="e">
        <f>IF(ISNA($DV593)=TRUE,"",IF($DV593="-----","",VLOOKUP($H593,'Walk-in Load Calc'!$F$5:$Q$37,3,FALSE)))</f>
        <v>#N/A</v>
      </c>
      <c r="AC593" s="59" t="e">
        <f>IF(ISNA($DV593)=TRUE,"",IF($DV593="-----","",VLOOKUP($H593,'Walk-in Load Calc'!$F$5:$Q$37,5,FALSE)))</f>
        <v>#N/A</v>
      </c>
      <c r="AD593" s="59" t="e">
        <f>IF(ISNA($DV593)=TRUE,"-",IF($DV593="-----","-",VLOOKUP($H593,'Walk-in Load Calc'!$F$5:$Q$37,4,FALSE)))</f>
        <v>#N/A</v>
      </c>
      <c r="AE593" s="845"/>
      <c r="AF593" s="559"/>
      <c r="AG593" s="844"/>
      <c r="AH593" s="561" t="s">
        <v>622</v>
      </c>
      <c r="AI593" s="561" t="s">
        <v>627</v>
      </c>
      <c r="AJ593" s="877" t="str">
        <f>IF(OR($W593="",$AK593="-"),"",IF(AND($W593&lt;&gt;"",$AI593="EL"),$DP593,IF(AND($W593&lt;&gt;"",$AI593="HG"),$DR593,0)))</f>
        <v/>
      </c>
      <c r="AK593" s="1677" t="s">
        <v>134</v>
      </c>
      <c r="AL593" s="1823"/>
      <c r="AM593" s="857" t="str">
        <f>IF(OR($W593="",$AN593="-"),"",IF($W593&lt;&gt;"",$DT593,0))</f>
        <v/>
      </c>
      <c r="AN593" s="558" t="s">
        <v>134</v>
      </c>
      <c r="AO593" s="857"/>
      <c r="AP593" s="857"/>
      <c r="AQ593" s="572"/>
      <c r="AR593" s="572"/>
      <c r="AS593" s="561"/>
      <c r="AT593" s="853"/>
      <c r="AU593" s="893" t="str">
        <f>IF(H593="","",IF(OR(B593=0,B593="SUB-CKT"),IF(ISNA(MATCH(H593,LoopSegs,0)),H593,""),""))</f>
        <v/>
      </c>
      <c r="AV593" s="893"/>
    </row>
    <row r="594" spans="1:150" ht="12" customHeight="1" x14ac:dyDescent="0.2">
      <c r="E594" s="445"/>
      <c r="G594" s="445"/>
      <c r="Z594" s="849"/>
      <c r="AA594" s="849"/>
      <c r="AD594" s="67"/>
      <c r="AQ594" s="980"/>
      <c r="AR594" s="980"/>
      <c r="AS594" s="982"/>
      <c r="AV594" s="893"/>
      <c r="AZ594" s="33"/>
    </row>
    <row r="595" spans="1:150" ht="12" customHeight="1" x14ac:dyDescent="0.2">
      <c r="A595" s="166"/>
      <c r="D595" s="72" t="s">
        <v>207</v>
      </c>
      <c r="E595" s="445"/>
      <c r="F595" s="553" t="s">
        <v>350</v>
      </c>
      <c r="G595" s="445" t="str">
        <f>IF(H595="","",H595)</f>
        <v/>
      </c>
      <c r="H595" s="850" t="str">
        <f>IF(OR(A595="",A595="CHILD FIXTURE"),"",A595)</f>
        <v/>
      </c>
      <c r="I595" s="558"/>
      <c r="J595" s="558"/>
      <c r="K595" s="558"/>
      <c r="L595" s="844"/>
      <c r="M595" s="844"/>
      <c r="N595" s="558"/>
      <c r="O595" s="853"/>
      <c r="P595" s="853"/>
      <c r="Q595" s="853"/>
      <c r="R595" s="848"/>
      <c r="S595" s="848"/>
      <c r="T595" s="1677" t="s">
        <v>90</v>
      </c>
      <c r="U595" s="1678"/>
      <c r="V595" s="860"/>
      <c r="W595" s="861"/>
      <c r="X595" s="861" t="s">
        <v>134</v>
      </c>
      <c r="Y595" s="983" t="str">
        <f>IF(OR($I595="",$I595=0),"",IF(LEFT($U$1,1)="c",VLOOKUP($R595,CIRC_RATE,18,FALSE),"-"))</f>
        <v/>
      </c>
      <c r="Z595" s="854">
        <v>0</v>
      </c>
      <c r="AA595" s="847"/>
      <c r="AB595" s="560"/>
      <c r="AC595" s="560"/>
      <c r="AD595" s="876"/>
      <c r="AE595" s="845"/>
      <c r="AF595" s="559"/>
      <c r="AG595" s="844"/>
      <c r="AH595" s="561" t="s">
        <v>622</v>
      </c>
      <c r="AI595" s="561" t="s">
        <v>627</v>
      </c>
      <c r="AJ595" s="559"/>
      <c r="AK595" s="1677" t="s">
        <v>134</v>
      </c>
      <c r="AL595" s="1823"/>
      <c r="AM595" s="559"/>
      <c r="AN595" s="558" t="s">
        <v>134</v>
      </c>
      <c r="AO595" s="559"/>
      <c r="AP595" s="559"/>
      <c r="AQ595" s="572"/>
      <c r="AR595" s="572"/>
      <c r="AS595" s="561"/>
      <c r="AT595" s="558"/>
      <c r="AU595" s="893" t="str">
        <f>IF(H595="","",IF(OR(B595=0,B595="SUB-CKT"),IF(ISNA(MATCH(H595,LoopSegs,0)),H595,""),""))</f>
        <v/>
      </c>
      <c r="AV595" s="893"/>
      <c r="AZ595" s="33"/>
    </row>
    <row r="596" spans="1:150" ht="12" customHeight="1" x14ac:dyDescent="0.2">
      <c r="E596" s="445"/>
      <c r="G596" s="445"/>
      <c r="Z596" s="849"/>
      <c r="AA596" s="849"/>
      <c r="AD596" s="67"/>
      <c r="AQ596" s="980"/>
      <c r="AR596" s="980"/>
      <c r="AS596" s="982"/>
      <c r="AV596" s="893"/>
    </row>
    <row r="597" spans="1:150" ht="12" customHeight="1" x14ac:dyDescent="0.2">
      <c r="A597" s="166"/>
      <c r="D597" s="72" t="s">
        <v>208</v>
      </c>
      <c r="E597" s="445"/>
      <c r="F597" s="553" t="s">
        <v>350</v>
      </c>
      <c r="G597" s="445" t="str">
        <f>IF(H597="","",H597)</f>
        <v/>
      </c>
      <c r="H597" s="850" t="str">
        <f>IF(OR(A597="",A597="CHILD FIXTURE"),"",A597)</f>
        <v/>
      </c>
      <c r="I597" s="1672"/>
      <c r="J597" s="1673"/>
      <c r="K597" s="853"/>
      <c r="L597" s="852"/>
      <c r="M597" s="852"/>
      <c r="N597" s="853"/>
      <c r="O597" s="558"/>
      <c r="P597" s="558"/>
      <c r="Q597" s="558"/>
      <c r="R597" s="851"/>
      <c r="S597" s="558"/>
      <c r="T597" s="1677" t="s">
        <v>90</v>
      </c>
      <c r="U597" s="1678"/>
      <c r="V597" s="852">
        <v>1</v>
      </c>
      <c r="W597" s="558"/>
      <c r="X597" s="558"/>
      <c r="Y597" s="845"/>
      <c r="Z597" s="854">
        <v>0</v>
      </c>
      <c r="AA597" s="847"/>
      <c r="AB597" s="560"/>
      <c r="AC597" s="560"/>
      <c r="AD597" s="863"/>
      <c r="AE597" s="845"/>
      <c r="AF597" s="559"/>
      <c r="AG597" s="844"/>
      <c r="AH597" s="561" t="s">
        <v>622</v>
      </c>
      <c r="AI597" s="561" t="s">
        <v>627</v>
      </c>
      <c r="AJ597" s="559"/>
      <c r="AK597" s="1677" t="s">
        <v>134</v>
      </c>
      <c r="AL597" s="1823"/>
      <c r="AM597" s="559"/>
      <c r="AN597" s="558" t="s">
        <v>134</v>
      </c>
      <c r="AO597" s="857"/>
      <c r="AP597" s="857"/>
      <c r="AQ597" s="572"/>
      <c r="AR597" s="572"/>
      <c r="AS597" s="561"/>
      <c r="AT597" s="558"/>
      <c r="AU597" s="893" t="str">
        <f>IF(H597="","",IF(OR(B597=0,B597="SUB-CKT"),IF(ISNA(MATCH(H597,LoopSegs,0)),H597,""),""))</f>
        <v/>
      </c>
      <c r="AV597" s="893"/>
    </row>
    <row r="598" spans="1:150" ht="12" customHeight="1" x14ac:dyDescent="0.2">
      <c r="E598" s="445"/>
      <c r="G598" s="445"/>
      <c r="Z598" s="849"/>
      <c r="AA598" s="849"/>
      <c r="AD598" s="67"/>
      <c r="AQ598" s="980"/>
      <c r="AR598" s="980"/>
      <c r="AS598" s="982"/>
      <c r="AV598" s="893"/>
    </row>
    <row r="599" spans="1:150" ht="12" customHeight="1" x14ac:dyDescent="0.2">
      <c r="A599" s="166"/>
      <c r="D599" s="72" t="s">
        <v>211</v>
      </c>
      <c r="E599" s="445"/>
      <c r="F599" s="553" t="s">
        <v>350</v>
      </c>
      <c r="G599" s="445" t="str">
        <f>IF(H599="","",H599)</f>
        <v/>
      </c>
      <c r="H599" s="850" t="str">
        <f>IF(OR(A599="",A599="CHILD FIXTURE"),"",A599)</f>
        <v/>
      </c>
      <c r="I599" s="558"/>
      <c r="J599" s="558"/>
      <c r="K599" s="558"/>
      <c r="L599" s="844"/>
      <c r="M599" s="844"/>
      <c r="N599" s="558"/>
      <c r="O599" s="558"/>
      <c r="P599" s="558"/>
      <c r="Q599" s="558"/>
      <c r="R599" s="848"/>
      <c r="S599" s="848"/>
      <c r="T599" s="1677" t="s">
        <v>90</v>
      </c>
      <c r="U599" s="1678"/>
      <c r="V599" s="844"/>
      <c r="W599" s="558"/>
      <c r="X599" s="558"/>
      <c r="Y599" s="845"/>
      <c r="Z599" s="854">
        <v>0</v>
      </c>
      <c r="AA599" s="847"/>
      <c r="AB599" s="560"/>
      <c r="AC599" s="560"/>
      <c r="AD599" s="863"/>
      <c r="AE599" s="845"/>
      <c r="AF599" s="559"/>
      <c r="AG599" s="844"/>
      <c r="AH599" s="561" t="s">
        <v>622</v>
      </c>
      <c r="AI599" s="561" t="s">
        <v>627</v>
      </c>
      <c r="AJ599" s="559"/>
      <c r="AK599" s="1677" t="s">
        <v>134</v>
      </c>
      <c r="AL599" s="1823"/>
      <c r="AM599" s="559"/>
      <c r="AN599" s="558" t="s">
        <v>134</v>
      </c>
      <c r="AO599" s="559"/>
      <c r="AP599" s="559"/>
      <c r="AQ599" s="572"/>
      <c r="AR599" s="572"/>
      <c r="AS599" s="561"/>
      <c r="AT599" s="558"/>
      <c r="AU599" s="893" t="str">
        <f>IF(H599="","",IF(OR(B599=0,B599="SUB-CKT"),IF(ISNA(MATCH(H599,LoopSegs,0)),H599,""),""))</f>
        <v/>
      </c>
      <c r="AV599" s="893"/>
    </row>
    <row r="600" spans="1:150" ht="12" customHeight="1" x14ac:dyDescent="0.2">
      <c r="E600" s="445"/>
      <c r="G600" s="445"/>
      <c r="Z600" s="849"/>
      <c r="AA600" s="849"/>
      <c r="AD600" s="67"/>
      <c r="AQ600" s="980"/>
      <c r="AR600" s="980"/>
      <c r="AS600" s="982"/>
      <c r="AV600" s="893"/>
    </row>
    <row r="601" spans="1:150" ht="12" customHeight="1" x14ac:dyDescent="0.2">
      <c r="A601" s="166"/>
      <c r="D601" s="72" t="s">
        <v>350</v>
      </c>
      <c r="E601" s="445"/>
      <c r="F601" s="553" t="s">
        <v>350</v>
      </c>
      <c r="G601" s="445" t="str">
        <f>IF(H601="","",H601)</f>
        <v/>
      </c>
      <c r="H601" s="850"/>
      <c r="I601" s="853"/>
      <c r="J601" s="853"/>
      <c r="K601" s="853"/>
      <c r="L601" s="852"/>
      <c r="M601" s="852"/>
      <c r="N601" s="853"/>
      <c r="O601" s="853"/>
      <c r="P601" s="853"/>
      <c r="Q601" s="853"/>
      <c r="R601" s="851"/>
      <c r="S601" s="851"/>
      <c r="T601" s="851"/>
      <c r="U601" s="864"/>
      <c r="V601" s="852"/>
      <c r="W601" s="853"/>
      <c r="X601" s="853"/>
      <c r="Y601" s="853"/>
      <c r="Z601" s="854">
        <v>0</v>
      </c>
      <c r="AA601" s="854">
        <v>0</v>
      </c>
      <c r="AB601" s="862"/>
      <c r="AC601" s="862"/>
      <c r="AD601" s="865"/>
      <c r="AE601" s="859"/>
      <c r="AF601" s="857"/>
      <c r="AG601" s="852"/>
      <c r="AH601" s="858"/>
      <c r="AI601" s="858"/>
      <c r="AJ601" s="857"/>
      <c r="AK601" s="851"/>
      <c r="AL601" s="852"/>
      <c r="AM601" s="857"/>
      <c r="AN601" s="853"/>
      <c r="AO601" s="857"/>
      <c r="AP601" s="857"/>
      <c r="AQ601" s="981"/>
      <c r="AR601" s="981"/>
      <c r="AS601" s="858"/>
      <c r="AT601" s="853"/>
      <c r="AU601" s="893" t="str">
        <f>IF(H601="","",IF(OR(B601=0,B601="SUB-CKT"),IF(ISNA(MATCH(H601,LoopSegs,0)),H601,""),""))</f>
        <v/>
      </c>
      <c r="AV601" s="893"/>
    </row>
    <row r="602" spans="1:150" ht="12" customHeight="1" x14ac:dyDescent="0.2">
      <c r="E602" s="445"/>
      <c r="G602" s="445"/>
      <c r="Z602" s="849"/>
      <c r="AA602" s="849"/>
      <c r="AD602" s="67"/>
      <c r="AQ602" s="980"/>
      <c r="AR602" s="980"/>
      <c r="AS602" s="982"/>
      <c r="AV602" s="893"/>
    </row>
    <row r="603" spans="1:150" ht="12" customHeight="1" x14ac:dyDescent="0.2">
      <c r="A603" s="554"/>
      <c r="B603" s="555">
        <v>0</v>
      </c>
      <c r="C603" s="556" t="s">
        <v>134</v>
      </c>
      <c r="D603" s="867" t="s">
        <v>374</v>
      </c>
      <c r="E603" s="445"/>
      <c r="F603" s="553" t="s">
        <v>350</v>
      </c>
      <c r="G603" s="445" t="str">
        <f>IF(H603="","",H603)</f>
        <v/>
      </c>
      <c r="H603" s="850"/>
      <c r="I603" s="853"/>
      <c r="J603" s="853"/>
      <c r="K603" s="853"/>
      <c r="L603" s="852"/>
      <c r="M603" s="852"/>
      <c r="N603" s="853"/>
      <c r="O603" s="853"/>
      <c r="P603" s="853"/>
      <c r="Q603" s="853"/>
      <c r="R603" s="851"/>
      <c r="S603" s="851"/>
      <c r="T603" s="851"/>
      <c r="U603" s="864"/>
      <c r="V603" s="852"/>
      <c r="W603" s="853"/>
      <c r="X603" s="853"/>
      <c r="Y603" s="853"/>
      <c r="Z603" s="854">
        <v>0</v>
      </c>
      <c r="AA603" s="854">
        <v>0</v>
      </c>
      <c r="AB603" s="862"/>
      <c r="AC603" s="862"/>
      <c r="AD603" s="865"/>
      <c r="AE603" s="859"/>
      <c r="AF603" s="857"/>
      <c r="AG603" s="852"/>
      <c r="AH603" s="858"/>
      <c r="AI603" s="858"/>
      <c r="AJ603" s="857"/>
      <c r="AK603" s="851"/>
      <c r="AL603" s="852"/>
      <c r="AM603" s="857"/>
      <c r="AN603" s="853"/>
      <c r="AO603" s="857"/>
      <c r="AP603" s="857"/>
      <c r="AQ603" s="981"/>
      <c r="AR603" s="981"/>
      <c r="AS603" s="858"/>
      <c r="AT603" s="853"/>
      <c r="AU603" s="893" t="str">
        <f>IF(H603="","",IF(OR(B603=0,B603="SUB-CKT"),IF(ISNA(MATCH(H603,LoopSegs,0)),H603,""),""))</f>
        <v/>
      </c>
      <c r="AV603" s="893"/>
      <c r="BZ603" s="45" t="str">
        <f>IF($B$2&gt;0,"",IF($R603="","FT",IF($R603="Enter Case Model","FT",VLOOKUP($R603,model,2,FALSE))))</f>
        <v>FT</v>
      </c>
      <c r="CA603" s="46">
        <f>IF($B$2&gt;0,"",IF(OR($K603="",$K603=0),0,IF($BZ603="FT",IF(ISNA(VLOOKUP(CONCATENATE($R603,4),master,2,FALSE)=TRUE),"DNE",VLOOKUP(CONCATENATE($R603,4),master,2,FALSE)),IF(ISNA(VLOOKUP(CONCATENATE($R603,2),master,2,FALSE)=TRUE),"DNE",VLOOKUP(CONCATENATE($R603,2),master,2,FALSE)))))</f>
        <v>0</v>
      </c>
      <c r="CB603" s="46">
        <f>IF($B$2&gt;0,"",IF(OR($L603="",$L603=0),0,IF($BZ603="FT",IF(ISNA(VLOOKUP(CONCATENATE($R603,6),master,2,FALSE)=TRUE),"DNE",VLOOKUP(CONCATENATE($R603,6),master,2,FALSE)),IF(ISNA(VLOOKUP(CONCATENATE($R603,3),master,2,FALSE)=TRUE),"DNE",VLOOKUP(CONCATENATE($R603,3),master,2,FALSE)))))</f>
        <v>0</v>
      </c>
      <c r="CC603" s="46">
        <f>IF($B$2&gt;0,"",IF(OR($M603="",$M603=0),0,IF($BZ603="FT",IF(ISNA(VLOOKUP(CONCATENATE($R603,8),master,2,FALSE)=TRUE),"DNE",VLOOKUP(CONCATENATE($R603,8),master,2,FALSE)),IF(ISNA(VLOOKUP(CONCATENATE($R603,4),master,2,FALSE)=TRUE),"DNE",VLOOKUP(CONCATENATE($R603,4),master,2,FALSE)))))</f>
        <v>0</v>
      </c>
      <c r="CD603" s="79">
        <f>IF($B$2&gt;0,"",IF(OR($N603="",$N603=0),0,IF($BZ603="FT",IF(ISNA(VLOOKUP(CONCATENATE($R603,12),master,2,FALSE)=TRUE),"DNE",VLOOKUP(CONCATENATE($R603,12),master,2,FALSE)),IF(ISNA(VLOOKUP(CONCATENATE($R603,5),master,2,FALSE)=TRUE),"DNE",VLOOKUP(CONCATENATE($R603,5),master,2,FALSE)))))</f>
        <v>0</v>
      </c>
      <c r="CE603" s="81">
        <f>IF($B$2&gt;0,"",IF(OR($CA603="DNE",$CA603=0),0,1))</f>
        <v>0</v>
      </c>
      <c r="CF603" s="79">
        <f>IF($B$2&gt;0,"",IF(OR($CB603="DNE",$CB603=0),0,1))</f>
        <v>0</v>
      </c>
      <c r="CG603" s="46">
        <f>IF($B$2&gt;0,"",IF(OR($CC603="DNE",$CC603=0),0,1))</f>
        <v>0</v>
      </c>
      <c r="CH603" s="82">
        <f>IF($B$2&gt;0,"",IF(OR($CD603="DNE",$CD603=0),0,1))</f>
        <v>0</v>
      </c>
      <c r="CI603" s="80">
        <f>IF($B$2&gt;0,"",IF(OR($K603="",$K603=0),0,IF($BZ603="FT",IF(ISNA(VLOOKUP(CONCATENATE($R603,4),master,6,FALSE)=TRUE),0,VLOOKUP(CONCATENATE($R603,4),master,6,FALSE)),IF(ISNA(VLOOKUP(CONCATENATE($R603,2),master,6,FALSE)=TRUE),0,VLOOKUP(CONCATENATE($R603,2),master,6,FALSE)))))</f>
        <v>0</v>
      </c>
      <c r="CJ603" s="47">
        <f>IF($B$2&gt;0,"",IF(OR($L603="",$L603=0),0,IF($BZ603="FT",IF(ISNA(VLOOKUP(CONCATENATE($R603,6),master,6,FALSE)=TRUE),0,VLOOKUP(CONCATENATE($R603,6),master,6,FALSE)),IF(ISNA(VLOOKUP(CONCATENATE($R603,3),master,6,FALSE)=TRUE),0,VLOOKUP(CONCATENATE($R603,3),master,6,FALSE)))))</f>
        <v>0</v>
      </c>
      <c r="CK603" s="47">
        <f>IF($B$2&gt;0,"",IF(OR($M603="",$M603=0),0,IF($BZ603="FT",IF(ISNA(VLOOKUP(CONCATENATE($R603,8),master,6,FALSE)=TRUE),0,VLOOKUP(CONCATENATE($R603,8),master,6,FALSE)),IF(ISNA(VLOOKUP(CONCATENATE($R603,4),master,6,FALSE)=TRUE),0,VLOOKUP(CONCATENATE($R603,4),master,6,FALSE)))))</f>
        <v>0</v>
      </c>
      <c r="CL603" s="48">
        <f>IF($B$2&gt;0,"",IF(OR($N603="",$N603=0),0,IF($BZ603="FT",IF(ISNA(VLOOKUP(CONCATENATE($R603,12),master,6,FALSE)=TRUE),0,VLOOKUP(CONCATENATE($R603,12),master,6,FALSE)),IF(ISNA(VLOOKUP(CONCATENATE($R603,5),master,6,FALSE)=TRUE),0,VLOOKUP(CONCATENATE($R603,5),master,6,FALSE)))))</f>
        <v>0</v>
      </c>
      <c r="CM603" s="49">
        <f>IF($B$2&gt;0,"",IF(OR($K603="",$K603=0),0,IF($BZ603="FT",IF(ISNA(VLOOKUP(CONCATENATE($R603,4),master,MATCH(CONCATENATE($AN603,"_",$AM$6),master_header,0),FALSE)=TRUE),0,VLOOKUP(CONCATENATE($R603,4),master,MATCH(CONCATENATE($AN603,"_",$AM$6),master_header,0),FALSE)),IF(ISNA(VLOOKUP(CONCATENATE($R603,2),master,MATCH(CONCATENATE($AN603,"_",$AM$6),master_header,0),FALSE)=TRUE),0,VLOOKUP(CONCATENATE($R603,2),master,MATCH(CONCATENATE($AN603,"_",$AM$6),master_header,0),FALSE)))))</f>
        <v>0</v>
      </c>
      <c r="CN603" s="50">
        <f>IF($B$2&gt;0,"",IF(OR($L603="",$L603=0),0,IF($BZ603="FT",IF(ISNA(VLOOKUP(CONCATENATE($R603,6),master,MATCH(CONCATENATE($AN603,"_",$AM$6),master_header,0),FALSE)=TRUE),0,VLOOKUP(CONCATENATE($R603,6),master,MATCH(CONCATENATE($AN603,"_",$AM$6),master_header,0),FALSE)),IF(ISNA(VLOOKUP(CONCATENATE($R603,3),master,MATCH(CONCATENATE($AN603,"_",$AM$6),master_header,0),FALSE)=TRUE),0,VLOOKUP(CONCATENATE($R603,3),master,MATCH(CONCATENATE($AN603,"_",$AM$6),master_header,0),FALSE)))))</f>
        <v>0</v>
      </c>
      <c r="CO603" s="50">
        <f>IF($B$2&gt;0,"",IF(OR($M603="",$M603=0),0,IF($BZ603="FT",IF(ISNA(VLOOKUP(CONCATENATE($R603,8),master,MATCH(CONCATENATE($AN603,"_",$AM$6),master_header,0),FALSE)=TRUE),0,VLOOKUP(CONCATENATE($R603,8),master,MATCH(CONCATENATE($AN603,"_",$AM$6),master_header,0),FALSE)),IF(ISNA(VLOOKUP(CONCATENATE($R603,4),master,MATCH(CONCATENATE($AN603,"_",$AM$6),master_header,0),FALSE)=TRUE),0,VLOOKUP(CONCATENATE($R603,4),master,MATCH(CONCATENATE($AN603,"_",$AM$6),master_header,0),FALSE)))))</f>
        <v>0</v>
      </c>
      <c r="CP603" s="50">
        <f>IF($B$2&gt;0,"",IF(OR($N603="",$N603=0),0,IF($BZ603="FT",IF(ISNA(VLOOKUP(CONCATENATE($R603,12),master,MATCH(CONCATENATE($AN603,"_",$AM$6),master_header,0),FALSE)=TRUE),0,VLOOKUP(CONCATENATE($R603,12),master,MATCH(CONCATENATE($AN603,"_",$AM$6),master_header,0),FALSE)),IF(ISNA(VLOOKUP(CONCATENATE($R603,5),master,MATCH(CONCATENATE($AN603,"_",$AM$6),master_header,0),FALSE)=TRUE),0,VLOOKUP(CONCATENATE($R603,5),master,MATCH(CONCATENATE($AN603,"_",$AM$6),master_header,0),FALSE)))))</f>
        <v>0</v>
      </c>
      <c r="CQ603" s="51">
        <f>IF($B$2&gt;0,"",$K603*$CM603+$L603*$CN603+$M603*$CO603+$N603*$CP603)</f>
        <v>0</v>
      </c>
      <c r="CR603" s="49">
        <f>IF($B$2&gt;0,"",IF(OR($K603="",$K603=0),0,IF($BZ603="FT",IF(ISNA(VLOOKUP(CONCATENATE($R603,4),master,9,FALSE)=TRUE),0,VLOOKUP(CONCATENATE($R603,4),master,9,FALSE)),IF(ISNA(VLOOKUP(CONCATENATE($R603,2),master,9,FALSE)=TRUE),0,VLOOKUP(CONCATENATE($R603,2),master,9,FALSE)))))</f>
        <v>0</v>
      </c>
      <c r="CS603" s="50">
        <f>IF($B$2&gt;0,"",IF(OR($L603="",$L603=0),0,IF($BZ603="FT",IF(ISNA(VLOOKUP(CONCATENATE($R603,6),master,9,FALSE)=TRUE),0,VLOOKUP(CONCATENATE($R603,6),master,9,FALSE)),IF(ISNA(VLOOKUP(CONCATENATE($R603,3),master,9,FALSE)=TRUE),0,VLOOKUP(CONCATENATE($R603,3),master,9,FALSE)))))</f>
        <v>0</v>
      </c>
      <c r="CT603" s="50">
        <f>IF($B$2&gt;0,"",IF(OR($M603="",$M603=0),0,IF($BZ603="FT",IF(ISNA(VLOOKUP(CONCATENATE($R603,8),master,9,FALSE)=TRUE),0,VLOOKUP(CONCATENATE($R603,8),master,9,FALSE)),IF(ISNA(VLOOKUP(CONCATENATE($R603,4),master,9,FALSE)=TRUE),0,VLOOKUP(CONCATENATE($R603,4),master,9,FALSE)))))</f>
        <v>0</v>
      </c>
      <c r="CU603" s="52">
        <f>IF($B$2&gt;0,"",IF(OR($N603="",$N603=0),0,IF($BZ603="FT",IF(ISNA(VLOOKUP(CONCATENATE($R603,12),master,9,FALSE)=TRUE),0,VLOOKUP(CONCATENATE($R603,12),master,9,FALSE)),IF(ISNA(VLOOKUP(CONCATENATE($R603,5),master,9,FALSE)=TRUE),0,VLOOKUP(CONCATENATE($R603,5),master,9,FALSE)))))</f>
        <v>0</v>
      </c>
      <c r="CV603" s="49">
        <f>IF($B$2&gt;0,"",IF(OR($K603="",$K603=0),0,IF($BZ603="FT",IF(ISNA(VLOOKUP(CONCATENATE($R603,4),master,10,FALSE)=TRUE),0,VLOOKUP(CONCATENATE($R603,4),master,10,FALSE)),IF(ISNA(VLOOKUP(CONCATENATE($R603,2),master,10,FALSE)=TRUE),0,VLOOKUP(CONCATENATE($R603,2),master,10,FALSE)))))</f>
        <v>0</v>
      </c>
      <c r="CW603" s="50">
        <f>IF($B$2&gt;0,"",IF(OR($L603="",$L603=0),0,IF($BZ603="FT",IF(ISNA(VLOOKUP(CONCATENATE($R603,6),master,10,FALSE)=TRUE),0,VLOOKUP(CONCATENATE($R603,6),master,10,FALSE)),IF(ISNA(VLOOKUP(CONCATENATE($R603,3),master,10,FALSE)=TRUE),0,VLOOKUP(CONCATENATE($R603,3),master,10,FALSE)))))</f>
        <v>0</v>
      </c>
      <c r="CX603" s="50">
        <f>IF($B$2&gt;0,"",IF(OR($M603="",$M603=0),0,IF($BZ603="FT",IF(ISNA(VLOOKUP(CONCATENATE($R603,8),master,10,FALSE)=TRUE),0,VLOOKUP(CONCATENATE($R603,8),master,10,FALSE)),IF(ISNA(VLOOKUP(CONCATENATE($R603,4),master,10,FALSE)=TRUE),0,VLOOKUP(CONCATENATE($R603,4),master,10,FALSE)))))</f>
        <v>0</v>
      </c>
      <c r="CY603" s="50">
        <f>IF($B$2&gt;0,"",IF(OR($N603="",$N603=0),0,IF($BZ603="FT",IF(ISNA(VLOOKUP(CONCATENATE($R603,12),master,10,FALSE)=TRUE),0,VLOOKUP(CONCATENATE($R603,12),master,10,FALSE)),IF(ISNA(VLOOKUP(CONCATENATE($R603,5),master,10,FALSE)=TRUE),0,VLOOKUP(CONCATENATE($R603,5),master,10,FALSE)))))</f>
        <v>0</v>
      </c>
      <c r="CZ603" s="49">
        <f>IF($B$2&gt;0,"",IF(OR($K603="",$K603=0),0,IF($BZ603="FT",IF(ISNA(VLOOKUP(CONCATENATE($R603,4),master,MATCH(CONCATENATE($AK603,"_",$AJ$6),master_header,0),FALSE)=TRUE),0,VLOOKUP(CONCATENATE($R603,4),master,MATCH(CONCATENATE($AK603,"_",$AJ$6),master_header,0),FALSE)),IF(ISNA(VLOOKUP(CONCATENATE($R603,2),master,MATCH(CONCATENATE($AK603,"_",$AJ$6),master_header,0),FALSE)=TRUE),0,VLOOKUP(CONCATENATE($R603,2),master,MATCH(CONCATENATE($AK603,"_",$AJ$6),master_header,0),FALSE)))))</f>
        <v>0</v>
      </c>
      <c r="DA603" s="50">
        <f>IF($B$2&gt;0,"",IF(OR($L603="",$L603=0),0,IF($BZ603="FT",IF(ISNA(VLOOKUP(CONCATENATE($R603,6),master,MATCH(CONCATENATE($AK603,"_",$AJ$6),master_header,0),FALSE)=TRUE),0,VLOOKUP(CONCATENATE($R603,6),master,MATCH(CONCATENATE($AK603,"_",$AJ$6),master_header,0),FALSE)),IF(ISNA(VLOOKUP(CONCATENATE($R603,3),master,MATCH(CONCATENATE($AK603,"_",$AJ$6),master_header,0),FALSE)=TRUE),0,VLOOKUP(CONCATENATE($R603,3),master,MATCH(CONCATENATE($AK603,"_",$AJ$6),master_header,0),FALSE)))))</f>
        <v>0</v>
      </c>
      <c r="DB603" s="50">
        <f>IF($B$2&gt;0,"",IF(OR($M603="",$M603=0),0,IF($BZ603="FT",IF(ISNA(VLOOKUP(CONCATENATE($R603,8),master,MATCH(CONCATENATE($AK603,"_",$AJ$6),master_header,0),FALSE)=TRUE),0,VLOOKUP(CONCATENATE($R603,8),master,MATCH(CONCATENATE($AK603,"_",$AJ$6),master_header,0),FALSE)),IF(ISNA(VLOOKUP(CONCATENATE($R603,4),master,MATCH(CONCATENATE($AK603,"_",$AJ$6),master_header,0),FALSE)=TRUE),0,VLOOKUP(CONCATENATE($R603,4),master,MATCH(CONCATENATE($AK603,"_",$AJ$6),master_header,0),FALSE)))))</f>
        <v>0</v>
      </c>
      <c r="DC603" s="50">
        <f>IF($B$2&gt;0,"",IF(OR($N603="",$N603=0),0,IF($BZ603="FT",IF(ISNA(VLOOKUP(CONCATENATE($R603,12),master,MATCH(CONCATENATE($AK603,"_",$AJ$6),master_header,0),FALSE)=TRUE),0,VLOOKUP(CONCATENATE($R603,12),master,MATCH(CONCATENATE($AK603,"_",$AJ$6),master_header,0),FALSE)),IF(ISNA(VLOOKUP(CONCATENATE($R603,5),master,MATCH(CONCATENATE($AK603,"_",$AJ$6),master_header,0),FALSE)=TRUE),0,VLOOKUP(CONCATENATE($R603,5),master,MATCH(CONCATENATE($AK603,"_",$AJ$6),master_header,0),FALSE)))))</f>
        <v>0</v>
      </c>
      <c r="DD603" s="53" t="str">
        <f>IF($B$2&gt;0,"",IF($AI603="EL",$K603*$CZ603+$L603*$DA603+$M603*$DB603+$N603*$DC603,"0.00"))</f>
        <v>0.00</v>
      </c>
      <c r="DE603" s="49">
        <f>IF($B$2&gt;0,"",IF(OR($K603="",$K603=0),0,IF($BZ603="FT",IF(ISNA(VLOOKUP(CONCATENATE($R603,4),master,16,FALSE)=TRUE),0,VLOOKUP(CONCATENATE($R603,4),master,16,FALSE)),IF(ISNA(VLOOKUP(CONCATENATE($R603,2),master,16,FALSE)=TRUE),0,VLOOKUP(CONCATENATE($R603,2),master,16,FALSE)))))</f>
        <v>0</v>
      </c>
      <c r="DF603" s="50">
        <f>IF($B$2&gt;0,"",IF(OR($L603="",$L603=0),0,IF($BZ603="FT",IF(ISNA(VLOOKUP(CONCATENATE($R603,6),master,16,FALSE)=TRUE),0,VLOOKUP(CONCATENATE($R603,6),master,16,FALSE)),IF(ISNA(VLOOKUP(CONCATENATE($R603,3),master,16,FALSE)=TRUE),0,VLOOKUP(CONCATENATE($R603,3),master,16,FALSE)))))</f>
        <v>0</v>
      </c>
      <c r="DG603" s="50">
        <f>IF($B$2&gt;0,"",IF(OR($M603="",$M603=0),0,IF($BZ603="FT",IF(ISNA(VLOOKUP(CONCATENATE($R603,8),master,16,FALSE)=TRUE),0,VLOOKUP(CONCATENATE($R603,8),master,16,FALSE)),IF(ISNA(VLOOKUP(CONCATENATE($R603,4),master,16,FALSE)=TRUE),0,VLOOKUP(CONCATENATE($R603,4),master,16,FALSE)))))</f>
        <v>0</v>
      </c>
      <c r="DH603" s="50">
        <f>IF($B$2&gt;0,"",IF(OR($N603="",$N603=0),0,IF($BZ603="FT",IF(ISNA(VLOOKUP(CONCATENATE($R603,12),master,16,FALSE)=TRUE),0,VLOOKUP(CONCATENATE($R603,12),master,16,FALSE)),IF(ISNA(VLOOKUP(CONCATENATE($R603,5),master,16,FALSE)=TRUE),0,VLOOKUP(CONCATENATE($R603,5),master,16,FALSE)))))</f>
        <v>0</v>
      </c>
      <c r="DI603" s="53">
        <f>IF($B$2&gt;0,"",IF(OR($AI603="HG",$AI603="EL"),$K603*$DE603+$L603*$DF603+$M603*$DG603+$N603*$DH603,0))</f>
        <v>0</v>
      </c>
      <c r="DJ603" s="49">
        <f>IF($B$2&gt;0,"",IF(OR($K603="",$K603=0),0,IF($BZ603="FT",IF(ISNA(VLOOKUP(CONCATENATE($R603,4),master,15,FALSE)=TRUE),0,VLOOKUP(CONCATENATE($R603,4),master,15,FALSE)),IF(ISNA(VLOOKUP(CONCATENATE($R603,2),master,15,FALSE)=TRUE),0,VLOOKUP(CONCATENATE($R603,2),master,15,FALSE)))))</f>
        <v>0</v>
      </c>
      <c r="DK603" s="50">
        <f>IF($B$2&gt;0,"",IF(OR($L603="",$L603=0),0,IF($BZ603="FT",IF(ISNA(VLOOKUP(CONCATENATE($R603,6),master,15,FALSE)=TRUE),0,VLOOKUP(CONCATENATE($R603,6),master,15,FALSE)),IF(ISNA(VLOOKUP(CONCATENATE($R603,3),master,15,FALSE)=TRUE),0,VLOOKUP(CONCATENATE($R603,3),master,15,FALSE)))))</f>
        <v>0</v>
      </c>
      <c r="DL603" s="50">
        <f>IF($B$2&gt;0,"",IF(OR($M603="",$M603=0),0,IF($BZ603="FT",IF(ISNA(VLOOKUP(CONCATENATE($R603,8),master,15,FALSE)=TRUE),0,VLOOKUP(CONCATENATE($R603,8),master,15,FALSE)),IF(ISNA(VLOOKUP(CONCATENATE($R603,4),master,15,FALSE)=TRUE),0,VLOOKUP(CONCATENATE($R603,4),master,15,FALSE)))))</f>
        <v>0</v>
      </c>
      <c r="DM603" s="52">
        <f>IF($B$2&gt;0,"",IF(OR($N603="",$N603=0),0,IF($BZ603="FT",IF(ISNA(VLOOKUP(CONCATENATE($R603,12),master,15,FALSE)=TRUE),0,VLOOKUP(CONCATENATE($R603,12),master,15,FALSE)),IF(ISNA(VLOOKUP(CONCATENATE($R603,5),master,15,FALSE)=TRUE),0,VLOOKUP(CONCATENATE($R603,5),master,15,FALSE)))))</f>
        <v>0</v>
      </c>
      <c r="DO603" s="49">
        <f>IF($B$2&gt;0,"",IF(OR($V603="",$V603=0),0,IF(ISNA(VLOOKUP($W603,evapdx,MATCH(CONCATENATE($AK603,"_",$AJ$6),evapdx_header,0),FALSE)=TRUE),0,VLOOKUP($W603,evapdx,MATCH(CONCATENATE($AK603,"_",$AJ$6),evapdx_header,0),FALSE))))</f>
        <v>0</v>
      </c>
      <c r="DP603" s="54">
        <f>IF($B$2&gt;0,"",$DO603*$V603)</f>
        <v>0</v>
      </c>
      <c r="DQ603" s="49">
        <f>IF($B$2&gt;0,"",IF(OR($V603="",$V603=0),0,IF(ISNA(VLOOKUP($W603,evapdx,MATCH(CONCATENATE($AK603,"_pan"),evapdx_header,0),FALSE)=TRUE),0,VLOOKUP($W603,evapdx,MATCH(CONCATENATE($AK603,"_pan"),evapdx_header,0),FALSE))))</f>
        <v>0</v>
      </c>
      <c r="DR603" s="52">
        <f>IF($B$2&gt;0,"",$DQ603*$V603)</f>
        <v>0</v>
      </c>
      <c r="DS603" s="49">
        <f>IF($B$2&gt;0,"",IF(OR($V603="",$V603=0),0,IF(ISNA(VLOOKUP($W603,evapdx,MATCH(CONCATENATE($AN603,"_",$AM$6),evapdx_header,0),FALSE)=TRUE),0,VLOOKUP($W603,evapdx,MATCH(CONCATENATE($AN603,"_",$AM$6),evapdx_header,0),FALSE))))</f>
        <v>0</v>
      </c>
      <c r="DT603" s="54">
        <f>IF($B$2&gt;0,"",$DS603*$V603)</f>
        <v>0</v>
      </c>
      <c r="DU603" s="125" t="str">
        <f>IF($B$2&gt;0,"",IF(OR($V603="",$V603=0),"Enter Def.",VLOOKUP($W603,evapdx,MATCH("defrost_type",evapdx_header,1),FALSE)))</f>
        <v>Enter Def.</v>
      </c>
      <c r="DV603" s="126" t="e">
        <f>IF($B$2&gt;0,"",VLOOKUP($H603,'Walk-in Load Calc'!$F$5:$Q$37,11,FALSE))</f>
        <v>#N/A</v>
      </c>
      <c r="DW603" s="135" t="s">
        <v>352</v>
      </c>
      <c r="DX603" s="136" t="s">
        <v>144</v>
      </c>
      <c r="DY603" s="137" t="str">
        <f>IF($B$2&gt;0,"",IF(OR($W603="Enter Evap. Model",$W603=""), "-",VLOOKUP($W603,'HEAT-X'!$U$9:$V$77,2,FALSE)))</f>
        <v>-</v>
      </c>
      <c r="EB603" s="49">
        <f>IF($B$2&gt;0,"",IF(OR($K603="",$K603=0),0,IF($BZ603="FT",IF(ISNA(VLOOKUP(CONCATENATE($R603,4),master,21,FALSE)=TRUE),0,VLOOKUP(CONCATENATE($R603,4),master,21,FALSE)),IF(ISNA(VLOOKUP(CONCATENATE($R603,2),master,21,FALSE)=TRUE),0,VLOOKUP(CONCATENATE($R603,2),master,21,FALSE)))))</f>
        <v>0</v>
      </c>
      <c r="EC603" s="50">
        <f>IF($B$2&gt;0,"",IF(OR($L603="",$L603=0),0,IF($BZ603="FT",IF(ISNA(VLOOKUP(CONCATENATE($R603,6),master,21,FALSE)=TRUE),0,VLOOKUP(CONCATENATE($R603,6),master,21,FALSE)),IF(ISNA(VLOOKUP(CONCATENATE($R603,3),master,21,FALSE)=TRUE),0,VLOOKUP(CONCATENATE($R603,3),master,21,FALSE)))))</f>
        <v>0</v>
      </c>
      <c r="ED603" s="50">
        <f>IF($B$2&gt;0,"",IF(OR($M603="",$M603=0),0,IF($BZ603="FT",IF(ISNA(VLOOKUP(CONCATENATE($R603,8),master,21,FALSE)=TRUE),0,VLOOKUP(CONCATENATE($R603,8),master,21,FALSE)),IF(ISNA(VLOOKUP(CONCATENATE($R603,4),master,21,FALSE)=TRUE),0,VLOOKUP(CONCATENATE($R603,4),master,21,FALSE)))))</f>
        <v>0</v>
      </c>
      <c r="EE603" s="52">
        <f>IF($B$2&gt;0,"",IF(OR($N603="",$N603=0),0,IF($BZ603="FT",IF(ISNA(VLOOKUP(CONCATENATE($R603,12),master,21,FALSE)=TRUE),0,VLOOKUP(CONCATENATE($R603,12),master,21,FALSE)),IF(ISNA(VLOOKUP(CONCATENATE($R603,5),master,21,FALSE)=TRUE),0,VLOOKUP(CONCATENATE($R603,5),master,21,FALSE)))))</f>
        <v>0</v>
      </c>
      <c r="EG603" s="49">
        <f>IF($B$2&gt;0,"",IF(OR($K603="",$K603=0),0,IF($BZ603="FT",IF(ISNA(VLOOKUP(CONCATENATE($R603,4),master,22,FALSE)=TRUE),0,VLOOKUP(CONCATENATE($R603,4),master,22,FALSE)),IF(ISNA(VLOOKUP(CONCATENATE($R603,2),master,22,FALSE)=TRUE),0,VLOOKUP(CONCATENATE($R603,2),master,22,FALSE)))))</f>
        <v>0</v>
      </c>
      <c r="EH603" s="50">
        <f>IF($B$2&gt;0,"",IF(OR($L603="",$L603=0),0,IF($BZ603="FT",IF(ISNA(VLOOKUP(CONCATENATE($R603,6),master,22,FALSE)=TRUE),0,VLOOKUP(CONCATENATE($R603,6),master,22,FALSE)),IF(ISNA(VLOOKUP(CONCATENATE($R603,3),master,22,FALSE)=TRUE),0,VLOOKUP(CONCATENATE($R603,3),master,22,FALSE)))))</f>
        <v>0</v>
      </c>
      <c r="EI603" s="50">
        <f>IF($B$2&gt;0,"",IF(OR($M603="",$M603=0),0,IF($BZ603="FT",IF(ISNA(VLOOKUP(CONCATENATE($R603,8),master,22,FALSE)=TRUE),0,VLOOKUP(CONCATENATE($R603,8),master,22,FALSE)),IF(ISNA(VLOOKUP(CONCATENATE($R603,4),master,22,FALSE)=TRUE),0,VLOOKUP(CONCATENATE($R603,4),master,22,FALSE)))))</f>
        <v>0</v>
      </c>
      <c r="EJ603" s="52">
        <f>IF($B$2&gt;0,"",IF(OR($N603="",$N603=0),0,IF($BZ603="FT",IF(ISNA(VLOOKUP(CONCATENATE($R603,12),master,22,FALSE)=TRUE),0,VLOOKUP(CONCATENATE($R603,12),master,22,FALSE)),IF(ISNA(VLOOKUP(CONCATENATE($R603,5),master,22,FALSE)=TRUE),0,VLOOKUP(CONCATENATE($R603,5),master,22,FALSE)))))</f>
        <v>0</v>
      </c>
      <c r="EL603" s="49">
        <f>IF($B$2&gt;0,"",IF(OR($K603="",$K603=0),0,IF($BZ603="FT",IF(ISNA(VLOOKUP(CONCATENATE($R603,4),master,23,FALSE)=TRUE),0,VLOOKUP(CONCATENATE($R603,4),master,23,FALSE)),IF(ISNA(VLOOKUP(CONCATENATE($R603,2),master,23,FALSE)=TRUE),0,VLOOKUP(CONCATENATE($R603,2),master,23,FALSE)))))</f>
        <v>0</v>
      </c>
      <c r="EM603" s="50">
        <f>IF($B$2&gt;0,"",IF(OR($L603="",$L603=0),0,IF($BZ603="FT",IF(ISNA(VLOOKUP(CONCATENATE($R603,6),master,23,FALSE)=TRUE),0,VLOOKUP(CONCATENATE($R603,6),master,23,FALSE)),IF(ISNA(VLOOKUP(CONCATENATE($R603,3),master,23,FALSE)=TRUE),0,VLOOKUP(CONCATENATE($R603,3),master,23,FALSE)))))</f>
        <v>0</v>
      </c>
      <c r="EN603" s="50">
        <f>IF($B$2&gt;0,"",IF(OR($M603="",$M603=0),0,IF($BZ603="FT",IF(ISNA(VLOOKUP(CONCATENATE($R603,8),master,23,FALSE)=TRUE),0,VLOOKUP(CONCATENATE($R603,8),master,23,FALSE)),IF(ISNA(VLOOKUP(CONCATENATE($R603,4),master,23,FALSE)=TRUE),0,VLOOKUP(CONCATENATE($R603,4),master,23,FALSE)))))</f>
        <v>0</v>
      </c>
      <c r="EO603" s="52">
        <f>IF($B$2&gt;0,"",IF(OR($N603="",$N603=0),0,IF($BZ603="FT",IF(ISNA(VLOOKUP(CONCATENATE($R603,12),master,23,FALSE)=TRUE),0,VLOOKUP(CONCATENATE($R603,12),master,23,FALSE)),IF(ISNA(VLOOKUP(CONCATENATE($R603,5),master,23,FALSE)=TRUE),0,VLOOKUP(CONCATENATE($R603,5),master,23,FALSE)))))</f>
        <v>0</v>
      </c>
      <c r="EQ603" s="49">
        <f>IF($B$2&gt;0,"",IF(OR($K603="",$K603=0),0,IF($BZ603="FT",IF(ISNA(VLOOKUP(CONCATENATE($R603,4),master,6,FALSE)=TRUE),0,INDEX(master,MATCH((CONCATENATE($R603,4)),master_CONC,0),MATCH(CONCATENATE($U$1,"_",$AT$1),master_header,0))),IF(ISNA(VLOOKUP(CONCATENATE($R603,2),master,6,FALSE)=TRUE),0,INDEX(master,MATCH((CONCATENATE($R603,2)),master,0),MATCH(CONCATENATE($U$1,"_",$AT$1),master_header,0))))))</f>
        <v>0</v>
      </c>
      <c r="ER603" s="50">
        <f>IF($B$2&gt;0,"",IF(OR($L603="",$L603=0),0,IF($BZ603="FT",IF(ISNA(VLOOKUP(CONCATENATE($R603,6),master,6,FALSE)=TRUE),0,INDEX(master,MATCH((CONCATENATE($R603,6)),master_CONC,0),MATCH(CONCATENATE($U$1,"_",$AT$1),master_header,0))),IF(ISNA(VLOOKUP(CONCATENATE($R603,3),master,6,FALSE)=TRUE),0,INDEX(master,MATCH((CONCATENATE($R603,3)),master,0),MATCH(CONCATENATE($U$1,"_",$AT$1),master_header,0))))))</f>
        <v>0</v>
      </c>
      <c r="ES603" s="50">
        <f>IF($B$2&gt;0,"",IF(OR($M603="",$M603=0),0,IF($BZ603="FT",IF(ISNA(VLOOKUP(CONCATENATE($R603,8),master,6,FALSE)=TRUE),0,INDEX(master,MATCH((CONCATENATE($R603,8)),master_CONC,0),MATCH(CONCATENATE($U$1,"_",$AT$1),master_header,0))),IF(ISNA(VLOOKUP(CONCATENATE($R603,4),master,6,FALSE)=TRUE),0,INDEX(master,MATCH((CONCATENATE($R603,4)),master,0),MATCH(CONCATENATE($U$1,"_",$AT$1),master_header,0))))))</f>
        <v>0</v>
      </c>
      <c r="ET603" s="52">
        <f>IF($B$2&gt;0,"",IF(OR($N603="",$N603=0),0,IF($BZ603="FT",IF(ISNA(VLOOKUP(CONCATENATE($R603,12),master,6,FALSE)=TRUE),0,INDEX(master,MATCH((CONCATENATE($R603,12)),master_CONC,0),MATCH(CONCATENATE($U$1,"_",$AT$1),master_header,0))),IF(ISNA(VLOOKUP(CONCATENATE($R603,5),master,6,FALSE)=TRUE),0,INDEX(master,MATCH((CONCATENATE($R603,5)),master,0),MATCH(CONCATENATE($U$1,"_",$AT$1),master_header,0))))))</f>
        <v>0</v>
      </c>
    </row>
    <row r="604" spans="1:150" ht="12" customHeight="1" x14ac:dyDescent="0.2">
      <c r="E604" s="445"/>
      <c r="G604" s="445"/>
      <c r="Z604" s="849"/>
      <c r="AA604" s="849"/>
      <c r="AD604" s="67"/>
      <c r="AQ604" s="980"/>
      <c r="AR604" s="980"/>
      <c r="AS604" s="982"/>
      <c r="AV604" s="893"/>
    </row>
    <row r="605" spans="1:150" ht="12" customHeight="1" x14ac:dyDescent="0.2">
      <c r="A605" s="866" t="s">
        <v>134</v>
      </c>
      <c r="B605" s="555" t="s">
        <v>375</v>
      </c>
      <c r="C605" s="557"/>
      <c r="D605" s="867" t="s">
        <v>376</v>
      </c>
      <c r="E605" s="445"/>
      <c r="F605" s="553" t="s">
        <v>350</v>
      </c>
      <c r="G605" s="445" t="str">
        <f>IF(H605="","",H605)</f>
        <v/>
      </c>
      <c r="H605" s="850"/>
      <c r="I605" s="853"/>
      <c r="J605" s="853"/>
      <c r="K605" s="853"/>
      <c r="L605" s="852"/>
      <c r="M605" s="852"/>
      <c r="N605" s="853"/>
      <c r="O605" s="853"/>
      <c r="P605" s="853"/>
      <c r="Q605" s="853"/>
      <c r="R605" s="851"/>
      <c r="S605" s="851"/>
      <c r="T605" s="851"/>
      <c r="U605" s="864"/>
      <c r="V605" s="852"/>
      <c r="W605" s="853"/>
      <c r="X605" s="853"/>
      <c r="Y605" s="853"/>
      <c r="Z605" s="1017">
        <v>0</v>
      </c>
      <c r="AA605" s="854">
        <v>0</v>
      </c>
      <c r="AB605" s="862"/>
      <c r="AC605" s="862"/>
      <c r="AD605" s="865"/>
      <c r="AE605" s="859"/>
      <c r="AF605" s="857"/>
      <c r="AG605" s="852"/>
      <c r="AH605" s="858"/>
      <c r="AI605" s="858"/>
      <c r="AJ605" s="857"/>
      <c r="AK605" s="851"/>
      <c r="AL605" s="852"/>
      <c r="AM605" s="857"/>
      <c r="AN605" s="853"/>
      <c r="AO605" s="857"/>
      <c r="AP605" s="857"/>
      <c r="AQ605" s="981"/>
      <c r="AR605" s="981"/>
      <c r="AS605" s="858"/>
      <c r="AT605" s="853"/>
      <c r="AU605" s="893" t="str">
        <f>IF(H605="","",IF(OR(B605=0,B605="SUB-CKT"),IF(ISNA(MATCH(H605,LoopSegs,0)),H605,""),""))</f>
        <v/>
      </c>
      <c r="AV605" s="893"/>
      <c r="BZ605" s="45" t="str">
        <f>IF($B$2&gt;0,"",IF($R605="","FT",IF($R605="Enter Case Model","FT",VLOOKUP($R605,model,2,FALSE))))</f>
        <v>FT</v>
      </c>
      <c r="CA605" s="46">
        <f>IF($B$2&gt;0,"",IF(OR($K605="",$K605=0),0,IF($BZ605="FT",IF(ISNA(VLOOKUP(CONCATENATE($R605,4),master,2,FALSE)=TRUE),"DNE",VLOOKUP(CONCATENATE($R605,4),master,2,FALSE)),IF(ISNA(VLOOKUP(CONCATENATE($R605,2),master,2,FALSE)=TRUE),"DNE",VLOOKUP(CONCATENATE($R605,2),master,2,FALSE)))))</f>
        <v>0</v>
      </c>
      <c r="CB605" s="46">
        <f>IF($B$2&gt;0,"",IF(OR($L605="",$L605=0),0,IF($BZ605="FT",IF(ISNA(VLOOKUP(CONCATENATE($R605,6),master,2,FALSE)=TRUE),"DNE",VLOOKUP(CONCATENATE($R605,6),master,2,FALSE)),IF(ISNA(VLOOKUP(CONCATENATE($R605,3),master,2,FALSE)=TRUE),"DNE",VLOOKUP(CONCATENATE($R605,3),master,2,FALSE)))))</f>
        <v>0</v>
      </c>
      <c r="CC605" s="46">
        <f>IF($B$2&gt;0,"",IF(OR($M605="",$M605=0),0,IF($BZ605="FT",IF(ISNA(VLOOKUP(CONCATENATE($R605,8),master,2,FALSE)=TRUE),"DNE",VLOOKUP(CONCATENATE($R605,8),master,2,FALSE)),IF(ISNA(VLOOKUP(CONCATENATE($R605,4),master,2,FALSE)=TRUE),"DNE",VLOOKUP(CONCATENATE($R605,4),master,2,FALSE)))))</f>
        <v>0</v>
      </c>
      <c r="CD605" s="79">
        <f>IF($B$2&gt;0,"",IF(OR($N605="",$N605=0),0,IF($BZ605="FT",IF(ISNA(VLOOKUP(CONCATENATE($R605,12),master,2,FALSE)=TRUE),"DNE",VLOOKUP(CONCATENATE($R605,12),master,2,FALSE)),IF(ISNA(VLOOKUP(CONCATENATE($R605,5),master,2,FALSE)=TRUE),"DNE",VLOOKUP(CONCATENATE($R605,5),master,2,FALSE)))))</f>
        <v>0</v>
      </c>
      <c r="CE605" s="81">
        <f>IF($B$2&gt;0,"",IF(OR($CA605="DNE",$CA605=0),0,1))</f>
        <v>0</v>
      </c>
      <c r="CF605" s="79">
        <f>IF($B$2&gt;0,"",IF(OR($CB605="DNE",$CB605=0),0,1))</f>
        <v>0</v>
      </c>
      <c r="CG605" s="46">
        <f>IF($B$2&gt;0,"",IF(OR($CC605="DNE",$CC605=0),0,1))</f>
        <v>0</v>
      </c>
      <c r="CH605" s="82">
        <f>IF($B$2&gt;0,"",IF(OR($CD605="DNE",$CD605=0),0,1))</f>
        <v>0</v>
      </c>
      <c r="CI605" s="80">
        <f>IF($B$2&gt;0,"",IF(OR($K605="",$K605=0),0,IF($BZ605="FT",IF(ISNA(VLOOKUP(CONCATENATE($R605,4),master,6,FALSE)=TRUE),0,VLOOKUP(CONCATENATE($R605,4),master,6,FALSE)),IF(ISNA(VLOOKUP(CONCATENATE($R605,2),master,6,FALSE)=TRUE),0,VLOOKUP(CONCATENATE($R605,2),master,6,FALSE)))))</f>
        <v>0</v>
      </c>
      <c r="CJ605" s="47">
        <f>IF($B$2&gt;0,"",IF(OR($L605="",$L605=0),0,IF($BZ605="FT",IF(ISNA(VLOOKUP(CONCATENATE($R605,6),master,6,FALSE)=TRUE),0,VLOOKUP(CONCATENATE($R605,6),master,6,FALSE)),IF(ISNA(VLOOKUP(CONCATENATE($R605,3),master,6,FALSE)=TRUE),0,VLOOKUP(CONCATENATE($R605,3),master,6,FALSE)))))</f>
        <v>0</v>
      </c>
      <c r="CK605" s="47">
        <f>IF($B$2&gt;0,"",IF(OR($M605="",$M605=0),0,IF($BZ605="FT",IF(ISNA(VLOOKUP(CONCATENATE($R605,8),master,6,FALSE)=TRUE),0,VLOOKUP(CONCATENATE($R605,8),master,6,FALSE)),IF(ISNA(VLOOKUP(CONCATENATE($R605,4),master,6,FALSE)=TRUE),0,VLOOKUP(CONCATENATE($R605,4),master,6,FALSE)))))</f>
        <v>0</v>
      </c>
      <c r="CL605" s="48">
        <f>IF($B$2&gt;0,"",IF(OR($N605="",$N605=0),0,IF($BZ605="FT",IF(ISNA(VLOOKUP(CONCATENATE($R605,12),master,6,FALSE)=TRUE),0,VLOOKUP(CONCATENATE($R605,12),master,6,FALSE)),IF(ISNA(VLOOKUP(CONCATENATE($R605,5),master,6,FALSE)=TRUE),0,VLOOKUP(CONCATENATE($R605,5),master,6,FALSE)))))</f>
        <v>0</v>
      </c>
      <c r="CM605" s="49">
        <f>IF($B$2&gt;0,"",IF(OR($K605="",$K605=0),0,IF($BZ605="FT",IF(ISNA(VLOOKUP(CONCATENATE($R605,4),master,MATCH(CONCATENATE($AN605,"_",$AM$6),master_header,0),FALSE)=TRUE),0,VLOOKUP(CONCATENATE($R605,4),master,MATCH(CONCATENATE($AN605,"_",$AM$6),master_header,0),FALSE)),IF(ISNA(VLOOKUP(CONCATENATE($R605,2),master,MATCH(CONCATENATE($AN605,"_",$AM$6),master_header,0),FALSE)=TRUE),0,VLOOKUP(CONCATENATE($R605,2),master,MATCH(CONCATENATE($AN605,"_",$AM$6),master_header,0),FALSE)))))</f>
        <v>0</v>
      </c>
      <c r="CN605" s="50">
        <f>IF($B$2&gt;0,"",IF(OR($L605="",$L605=0),0,IF($BZ605="FT",IF(ISNA(VLOOKUP(CONCATENATE($R605,6),master,MATCH(CONCATENATE($AN605,"_",$AM$6),master_header,0),FALSE)=TRUE),0,VLOOKUP(CONCATENATE($R605,6),master,MATCH(CONCATENATE($AN605,"_",$AM$6),master_header,0),FALSE)),IF(ISNA(VLOOKUP(CONCATENATE($R605,3),master,MATCH(CONCATENATE($AN605,"_",$AM$6),master_header,0),FALSE)=TRUE),0,VLOOKUP(CONCATENATE($R605,3),master,MATCH(CONCATENATE($AN605,"_",$AM$6),master_header,0),FALSE)))))</f>
        <v>0</v>
      </c>
      <c r="CO605" s="50">
        <f>IF($B$2&gt;0,"",IF(OR($M605="",$M605=0),0,IF($BZ605="FT",IF(ISNA(VLOOKUP(CONCATENATE($R605,8),master,MATCH(CONCATENATE($AN605,"_",$AM$6),master_header,0),FALSE)=TRUE),0,VLOOKUP(CONCATENATE($R605,8),master,MATCH(CONCATENATE($AN605,"_",$AM$6),master_header,0),FALSE)),IF(ISNA(VLOOKUP(CONCATENATE($R605,4),master,MATCH(CONCATENATE($AN605,"_",$AM$6),master_header,0),FALSE)=TRUE),0,VLOOKUP(CONCATENATE($R605,4),master,MATCH(CONCATENATE($AN605,"_",$AM$6),master_header,0),FALSE)))))</f>
        <v>0</v>
      </c>
      <c r="CP605" s="50">
        <f>IF($B$2&gt;0,"",IF(OR($N605="",$N605=0),0,IF($BZ605="FT",IF(ISNA(VLOOKUP(CONCATENATE($R605,12),master,MATCH(CONCATENATE($AN605,"_",$AM$6),master_header,0),FALSE)=TRUE),0,VLOOKUP(CONCATENATE($R605,12),master,MATCH(CONCATENATE($AN605,"_",$AM$6),master_header,0),FALSE)),IF(ISNA(VLOOKUP(CONCATENATE($R605,5),master,MATCH(CONCATENATE($AN605,"_",$AM$6),master_header,0),FALSE)=TRUE),0,VLOOKUP(CONCATENATE($R605,5),master,MATCH(CONCATENATE($AN605,"_",$AM$6),master_header,0),FALSE)))))</f>
        <v>0</v>
      </c>
      <c r="CQ605" s="51">
        <f>IF($B$2&gt;0,"",$K605*$CM605+$L605*$CN605+$M605*$CO605+$N605*$CP605)</f>
        <v>0</v>
      </c>
      <c r="CR605" s="49">
        <f>IF($B$2&gt;0,"",IF(OR($K605="",$K605=0),0,IF($BZ605="FT",IF(ISNA(VLOOKUP(CONCATENATE($R605,4),master,9,FALSE)=TRUE),0,VLOOKUP(CONCATENATE($R605,4),master,9,FALSE)),IF(ISNA(VLOOKUP(CONCATENATE($R605,2),master,9,FALSE)=TRUE),0,VLOOKUP(CONCATENATE($R605,2),master,9,FALSE)))))</f>
        <v>0</v>
      </c>
      <c r="CS605" s="50">
        <f>IF($B$2&gt;0,"",IF(OR($L605="",$L605=0),0,IF($BZ605="FT",IF(ISNA(VLOOKUP(CONCATENATE($R605,6),master,9,FALSE)=TRUE),0,VLOOKUP(CONCATENATE($R605,6),master,9,FALSE)),IF(ISNA(VLOOKUP(CONCATENATE($R605,3),master,9,FALSE)=TRUE),0,VLOOKUP(CONCATENATE($R605,3),master,9,FALSE)))))</f>
        <v>0</v>
      </c>
      <c r="CT605" s="50">
        <f>IF($B$2&gt;0,"",IF(OR($M605="",$M605=0),0,IF($BZ605="FT",IF(ISNA(VLOOKUP(CONCATENATE($R605,8),master,9,FALSE)=TRUE),0,VLOOKUP(CONCATENATE($R605,8),master,9,FALSE)),IF(ISNA(VLOOKUP(CONCATENATE($R605,4),master,9,FALSE)=TRUE),0,VLOOKUP(CONCATENATE($R605,4),master,9,FALSE)))))</f>
        <v>0</v>
      </c>
      <c r="CU605" s="52">
        <f>IF($B$2&gt;0,"",IF(OR($N605="",$N605=0),0,IF($BZ605="FT",IF(ISNA(VLOOKUP(CONCATENATE($R605,12),master,9,FALSE)=TRUE),0,VLOOKUP(CONCATENATE($R605,12),master,9,FALSE)),IF(ISNA(VLOOKUP(CONCATENATE($R605,5),master,9,FALSE)=TRUE),0,VLOOKUP(CONCATENATE($R605,5),master,9,FALSE)))))</f>
        <v>0</v>
      </c>
      <c r="CV605" s="49">
        <f>IF($B$2&gt;0,"",IF(OR($K605="",$K605=0),0,IF($BZ605="FT",IF(ISNA(VLOOKUP(CONCATENATE($R605,4),master,10,FALSE)=TRUE),0,VLOOKUP(CONCATENATE($R605,4),master,10,FALSE)),IF(ISNA(VLOOKUP(CONCATENATE($R605,2),master,10,FALSE)=TRUE),0,VLOOKUP(CONCATENATE($R605,2),master,10,FALSE)))))</f>
        <v>0</v>
      </c>
      <c r="CW605" s="50">
        <f>IF($B$2&gt;0,"",IF(OR($L605="",$L605=0),0,IF($BZ605="FT",IF(ISNA(VLOOKUP(CONCATENATE($R605,6),master,10,FALSE)=TRUE),0,VLOOKUP(CONCATENATE($R605,6),master,10,FALSE)),IF(ISNA(VLOOKUP(CONCATENATE($R605,3),master,10,FALSE)=TRUE),0,VLOOKUP(CONCATENATE($R605,3),master,10,FALSE)))))</f>
        <v>0</v>
      </c>
      <c r="CX605" s="50">
        <f>IF($B$2&gt;0,"",IF(OR($M605="",$M605=0),0,IF($BZ605="FT",IF(ISNA(VLOOKUP(CONCATENATE($R605,8),master,10,FALSE)=TRUE),0,VLOOKUP(CONCATENATE($R605,8),master,10,FALSE)),IF(ISNA(VLOOKUP(CONCATENATE($R605,4),master,10,FALSE)=TRUE),0,VLOOKUP(CONCATENATE($R605,4),master,10,FALSE)))))</f>
        <v>0</v>
      </c>
      <c r="CY605" s="50">
        <f>IF($B$2&gt;0,"",IF(OR($N605="",$N605=0),0,IF($BZ605="FT",IF(ISNA(VLOOKUP(CONCATENATE($R605,12),master,10,FALSE)=TRUE),0,VLOOKUP(CONCATENATE($R605,12),master,10,FALSE)),IF(ISNA(VLOOKUP(CONCATENATE($R605,5),master,10,FALSE)=TRUE),0,VLOOKUP(CONCATENATE($R605,5),master,10,FALSE)))))</f>
        <v>0</v>
      </c>
      <c r="CZ605" s="49">
        <f>IF($B$2&gt;0,"",IF(OR($K605="",$K605=0),0,IF($BZ605="FT",IF(ISNA(VLOOKUP(CONCATENATE($R605,4),master,MATCH(CONCATENATE($AK605,"_",$AJ$6),master_header,0),FALSE)=TRUE),0,VLOOKUP(CONCATENATE($R605,4),master,MATCH(CONCATENATE($AK605,"_",$AJ$6),master_header,0),FALSE)),IF(ISNA(VLOOKUP(CONCATENATE($R605,2),master,MATCH(CONCATENATE($AK605,"_",$AJ$6),master_header,0),FALSE)=TRUE),0,VLOOKUP(CONCATENATE($R605,2),master,MATCH(CONCATENATE($AK605,"_",$AJ$6),master_header,0),FALSE)))))</f>
        <v>0</v>
      </c>
      <c r="DA605" s="50">
        <f>IF($B$2&gt;0,"",IF(OR($L605="",$L605=0),0,IF($BZ605="FT",IF(ISNA(VLOOKUP(CONCATENATE($R605,6),master,MATCH(CONCATENATE($AK605,"_",$AJ$6),master_header,0),FALSE)=TRUE),0,VLOOKUP(CONCATENATE($R605,6),master,MATCH(CONCATENATE($AK605,"_",$AJ$6),master_header,0),FALSE)),IF(ISNA(VLOOKUP(CONCATENATE($R605,3),master,MATCH(CONCATENATE($AK605,"_",$AJ$6),master_header,0),FALSE)=TRUE),0,VLOOKUP(CONCATENATE($R605,3),master,MATCH(CONCATENATE($AK605,"_",$AJ$6),master_header,0),FALSE)))))</f>
        <v>0</v>
      </c>
      <c r="DB605" s="50">
        <f>IF($B$2&gt;0,"",IF(OR($M605="",$M605=0),0,IF($BZ605="FT",IF(ISNA(VLOOKUP(CONCATENATE($R605,8),master,MATCH(CONCATENATE($AK605,"_",$AJ$6),master_header,0),FALSE)=TRUE),0,VLOOKUP(CONCATENATE($R605,8),master,MATCH(CONCATENATE($AK605,"_",$AJ$6),master_header,0),FALSE)),IF(ISNA(VLOOKUP(CONCATENATE($R605,4),master,MATCH(CONCATENATE($AK605,"_",$AJ$6),master_header,0),FALSE)=TRUE),0,VLOOKUP(CONCATENATE($R605,4),master,MATCH(CONCATENATE($AK605,"_",$AJ$6),master_header,0),FALSE)))))</f>
        <v>0</v>
      </c>
      <c r="DC605" s="50">
        <f>IF($B$2&gt;0,"",IF(OR($N605="",$N605=0),0,IF($BZ605="FT",IF(ISNA(VLOOKUP(CONCATENATE($R605,12),master,MATCH(CONCATENATE($AK605,"_",$AJ$6),master_header,0),FALSE)=TRUE),0,VLOOKUP(CONCATENATE($R605,12),master,MATCH(CONCATENATE($AK605,"_",$AJ$6),master_header,0),FALSE)),IF(ISNA(VLOOKUP(CONCATENATE($R605,5),master,MATCH(CONCATENATE($AK605,"_",$AJ$6),master_header,0),FALSE)=TRUE),0,VLOOKUP(CONCATENATE($R605,5),master,MATCH(CONCATENATE($AK605,"_",$AJ$6),master_header,0),FALSE)))))</f>
        <v>0</v>
      </c>
      <c r="DD605" s="53" t="str">
        <f>IF($B$2&gt;0,"",IF($AI605="EL",$K605*$CZ605+$L605*$DA605+$M605*$DB605+$N605*$DC605,"0.00"))</f>
        <v>0.00</v>
      </c>
      <c r="DE605" s="49">
        <f>IF($B$2&gt;0,"",IF(OR($K605="",$K605=0),0,IF($BZ605="FT",IF(ISNA(VLOOKUP(CONCATENATE($R605,4),master,16,FALSE)=TRUE),0,VLOOKUP(CONCATENATE($R605,4),master,16,FALSE)),IF(ISNA(VLOOKUP(CONCATENATE($R605,2),master,16,FALSE)=TRUE),0,VLOOKUP(CONCATENATE($R605,2),master,16,FALSE)))))</f>
        <v>0</v>
      </c>
      <c r="DF605" s="50">
        <f>IF($B$2&gt;0,"",IF(OR($L605="",$L605=0),0,IF($BZ605="FT",IF(ISNA(VLOOKUP(CONCATENATE($R605,6),master,16,FALSE)=TRUE),0,VLOOKUP(CONCATENATE($R605,6),master,16,FALSE)),IF(ISNA(VLOOKUP(CONCATENATE($R605,3),master,16,FALSE)=TRUE),0,VLOOKUP(CONCATENATE($R605,3),master,16,FALSE)))))</f>
        <v>0</v>
      </c>
      <c r="DG605" s="50">
        <f>IF($B$2&gt;0,"",IF(OR($M605="",$M605=0),0,IF($BZ605="FT",IF(ISNA(VLOOKUP(CONCATENATE($R605,8),master,16,FALSE)=TRUE),0,VLOOKUP(CONCATENATE($R605,8),master,16,FALSE)),IF(ISNA(VLOOKUP(CONCATENATE($R605,4),master,16,FALSE)=TRUE),0,VLOOKUP(CONCATENATE($R605,4),master,16,FALSE)))))</f>
        <v>0</v>
      </c>
      <c r="DH605" s="50">
        <f>IF($B$2&gt;0,"",IF(OR($N605="",$N605=0),0,IF($BZ605="FT",IF(ISNA(VLOOKUP(CONCATENATE($R605,12),master,16,FALSE)=TRUE),0,VLOOKUP(CONCATENATE($R605,12),master,16,FALSE)),IF(ISNA(VLOOKUP(CONCATENATE($R605,5),master,16,FALSE)=TRUE),0,VLOOKUP(CONCATENATE($R605,5),master,16,FALSE)))))</f>
        <v>0</v>
      </c>
      <c r="DI605" s="53">
        <f>IF($B$2&gt;0,"",IF(OR($AI605="HG",$AI605="EL"),$K605*$DE605+$L605*$DF605+$M605*$DG605+$N605*$DH605,0))</f>
        <v>0</v>
      </c>
      <c r="DJ605" s="49">
        <f>IF($B$2&gt;0,"",IF(OR($K605="",$K605=0),0,IF($BZ605="FT",IF(ISNA(VLOOKUP(CONCATENATE($R605,4),master,15,FALSE)=TRUE),0,VLOOKUP(CONCATENATE($R605,4),master,15,FALSE)),IF(ISNA(VLOOKUP(CONCATENATE($R605,2),master,15,FALSE)=TRUE),0,VLOOKUP(CONCATENATE($R605,2),master,15,FALSE)))))</f>
        <v>0</v>
      </c>
      <c r="DK605" s="50">
        <f>IF($B$2&gt;0,"",IF(OR($L605="",$L605=0),0,IF($BZ605="FT",IF(ISNA(VLOOKUP(CONCATENATE($R605,6),master,15,FALSE)=TRUE),0,VLOOKUP(CONCATENATE($R605,6),master,15,FALSE)),IF(ISNA(VLOOKUP(CONCATENATE($R605,3),master,15,FALSE)=TRUE),0,VLOOKUP(CONCATENATE($R605,3),master,15,FALSE)))))</f>
        <v>0</v>
      </c>
      <c r="DL605" s="50">
        <f>IF($B$2&gt;0,"",IF(OR($M605="",$M605=0),0,IF($BZ605="FT",IF(ISNA(VLOOKUP(CONCATENATE($R605,8),master,15,FALSE)=TRUE),0,VLOOKUP(CONCATENATE($R605,8),master,15,FALSE)),IF(ISNA(VLOOKUP(CONCATENATE($R605,4),master,15,FALSE)=TRUE),0,VLOOKUP(CONCATENATE($R605,4),master,15,FALSE)))))</f>
        <v>0</v>
      </c>
      <c r="DM605" s="52">
        <f>IF($B$2&gt;0,"",IF(OR($N605="",$N605=0),0,IF($BZ605="FT",IF(ISNA(VLOOKUP(CONCATENATE($R605,12),master,15,FALSE)=TRUE),0,VLOOKUP(CONCATENATE($R605,12),master,15,FALSE)),IF(ISNA(VLOOKUP(CONCATENATE($R605,5),master,15,FALSE)=TRUE),0,VLOOKUP(CONCATENATE($R605,5),master,15,FALSE)))))</f>
        <v>0</v>
      </c>
      <c r="DO605" s="49">
        <f>IF($B$2&gt;0,"",IF(OR($V605="",$V605=0),0,IF(ISNA(VLOOKUP($W605,evapdx,MATCH(CONCATENATE($AK605,"_",$AJ$6),evapdx_header,0),FALSE)=TRUE),0,VLOOKUP($W605,evapdx,MATCH(CONCATENATE($AK605,"_",$AJ$6),evapdx_header,0),FALSE))))</f>
        <v>0</v>
      </c>
      <c r="DP605" s="54">
        <f>IF($B$2&gt;0,"",$DO605*$V605)</f>
        <v>0</v>
      </c>
      <c r="DQ605" s="49">
        <f>IF($B$2&gt;0,"",IF(OR($V605="",$V605=0),0,IF(ISNA(VLOOKUP($W605,evapdx,MATCH(CONCATENATE($AK605,"_pan"),evapdx_header,0),FALSE)=TRUE),0,VLOOKUP($W605,evapdx,MATCH(CONCATENATE($AK605,"_pan"),evapdx_header,0),FALSE))))</f>
        <v>0</v>
      </c>
      <c r="DR605" s="52">
        <f>IF($B$2&gt;0,"",$DQ605*$V605)</f>
        <v>0</v>
      </c>
      <c r="DS605" s="49">
        <f>IF($B$2&gt;0,"",IF(OR($V605="",$V605=0),0,IF(ISNA(VLOOKUP($W605,evapdx,MATCH(CONCATENATE($AN605,"_",$AM$6),evapdx_header,0),FALSE)=TRUE),0,VLOOKUP($W605,evapdx,MATCH(CONCATENATE($AN605,"_",$AM$6),evapdx_header,0),FALSE))))</f>
        <v>0</v>
      </c>
      <c r="DT605" s="54">
        <f>IF($B$2&gt;0,"",$DS605*$V605)</f>
        <v>0</v>
      </c>
      <c r="DU605" s="125" t="str">
        <f>IF($B$2&gt;0,"",IF(OR($V605="",$V605=0),"Enter Def.",VLOOKUP($W605,evapdx,MATCH("defrost_type",evapdx_header,1),FALSE)))</f>
        <v>Enter Def.</v>
      </c>
      <c r="DV605" s="126" t="e">
        <f>IF($B$2&gt;0,"",VLOOKUP($H605,'Walk-in Load Calc'!$F$5:$Q$37,11,FALSE))</f>
        <v>#N/A</v>
      </c>
      <c r="DW605" s="135" t="s">
        <v>352</v>
      </c>
      <c r="DX605" s="136" t="s">
        <v>144</v>
      </c>
      <c r="DY605" s="137" t="str">
        <f>IF($B$2&gt;0,"",IF(OR($W605="Enter Evap. Model",$W605=""), "-",VLOOKUP($W605,'HEAT-X'!$U$9:$V$77,2,FALSE)))</f>
        <v>-</v>
      </c>
      <c r="EB605" s="49">
        <f>IF($B$2&gt;0,"",IF(OR($K605="",$K605=0),0,IF($BZ605="FT",IF(ISNA(VLOOKUP(CONCATENATE($R605,4),master,21,FALSE)=TRUE),0,VLOOKUP(CONCATENATE($R605,4),master,21,FALSE)),IF(ISNA(VLOOKUP(CONCATENATE($R605,2),master,21,FALSE)=TRUE),0,VLOOKUP(CONCATENATE($R605,2),master,21,FALSE)))))</f>
        <v>0</v>
      </c>
      <c r="EC605" s="50">
        <f>IF($B$2&gt;0,"",IF(OR($L605="",$L605=0),0,IF($BZ605="FT",IF(ISNA(VLOOKUP(CONCATENATE($R605,6),master,21,FALSE)=TRUE),0,VLOOKUP(CONCATENATE($R605,6),master,21,FALSE)),IF(ISNA(VLOOKUP(CONCATENATE($R605,3),master,21,FALSE)=TRUE),0,VLOOKUP(CONCATENATE($R605,3),master,21,FALSE)))))</f>
        <v>0</v>
      </c>
      <c r="ED605" s="50">
        <f>IF($B$2&gt;0,"",IF(OR($M605="",$M605=0),0,IF($BZ605="FT",IF(ISNA(VLOOKUP(CONCATENATE($R605,8),master,21,FALSE)=TRUE),0,VLOOKUP(CONCATENATE($R605,8),master,21,FALSE)),IF(ISNA(VLOOKUP(CONCATENATE($R605,4),master,21,FALSE)=TRUE),0,VLOOKUP(CONCATENATE($R605,4),master,21,FALSE)))))</f>
        <v>0</v>
      </c>
      <c r="EE605" s="52">
        <f>IF($B$2&gt;0,"",IF(OR($N605="",$N605=0),0,IF($BZ605="FT",IF(ISNA(VLOOKUP(CONCATENATE($R605,12),master,21,FALSE)=TRUE),0,VLOOKUP(CONCATENATE($R605,12),master,21,FALSE)),IF(ISNA(VLOOKUP(CONCATENATE($R605,5),master,21,FALSE)=TRUE),0,VLOOKUP(CONCATENATE($R605,5),master,21,FALSE)))))</f>
        <v>0</v>
      </c>
      <c r="EG605" s="49">
        <f>IF($B$2&gt;0,"",IF(OR($K605="",$K605=0),0,IF($BZ605="FT",IF(ISNA(VLOOKUP(CONCATENATE($R605,4),master,22,FALSE)=TRUE),0,VLOOKUP(CONCATENATE($R605,4),master,22,FALSE)),IF(ISNA(VLOOKUP(CONCATENATE($R605,2),master,22,FALSE)=TRUE),0,VLOOKUP(CONCATENATE($R605,2),master,22,FALSE)))))</f>
        <v>0</v>
      </c>
      <c r="EH605" s="50">
        <f>IF($B$2&gt;0,"",IF(OR($L605="",$L605=0),0,IF($BZ605="FT",IF(ISNA(VLOOKUP(CONCATENATE($R605,6),master,22,FALSE)=TRUE),0,VLOOKUP(CONCATENATE($R605,6),master,22,FALSE)),IF(ISNA(VLOOKUP(CONCATENATE($R605,3),master,22,FALSE)=TRUE),0,VLOOKUP(CONCATENATE($R605,3),master,22,FALSE)))))</f>
        <v>0</v>
      </c>
      <c r="EI605" s="50">
        <f>IF($B$2&gt;0,"",IF(OR($M605="",$M605=0),0,IF($BZ605="FT",IF(ISNA(VLOOKUP(CONCATENATE($R605,8),master,22,FALSE)=TRUE),0,VLOOKUP(CONCATENATE($R605,8),master,22,FALSE)),IF(ISNA(VLOOKUP(CONCATENATE($R605,4),master,22,FALSE)=TRUE),0,VLOOKUP(CONCATENATE($R605,4),master,22,FALSE)))))</f>
        <v>0</v>
      </c>
      <c r="EJ605" s="52">
        <f>IF($B$2&gt;0,"",IF(OR($N605="",$N605=0),0,IF($BZ605="FT",IF(ISNA(VLOOKUP(CONCATENATE($R605,12),master,22,FALSE)=TRUE),0,VLOOKUP(CONCATENATE($R605,12),master,22,FALSE)),IF(ISNA(VLOOKUP(CONCATENATE($R605,5),master,22,FALSE)=TRUE),0,VLOOKUP(CONCATENATE($R605,5),master,22,FALSE)))))</f>
        <v>0</v>
      </c>
      <c r="EL605" s="49">
        <f>IF($B$2&gt;0,"",IF(OR($K605="",$K605=0),0,IF($BZ605="FT",IF(ISNA(VLOOKUP(CONCATENATE($R605,4),master,23,FALSE)=TRUE),0,VLOOKUP(CONCATENATE($R605,4),master,23,FALSE)),IF(ISNA(VLOOKUP(CONCATENATE($R605,2),master,23,FALSE)=TRUE),0,VLOOKUP(CONCATENATE($R605,2),master,23,FALSE)))))</f>
        <v>0</v>
      </c>
      <c r="EM605" s="50">
        <f>IF($B$2&gt;0,"",IF(OR($L605="",$L605=0),0,IF($BZ605="FT",IF(ISNA(VLOOKUP(CONCATENATE($R605,6),master,23,FALSE)=TRUE),0,VLOOKUP(CONCATENATE($R605,6),master,23,FALSE)),IF(ISNA(VLOOKUP(CONCATENATE($R605,3),master,23,FALSE)=TRUE),0,VLOOKUP(CONCATENATE($R605,3),master,23,FALSE)))))</f>
        <v>0</v>
      </c>
      <c r="EN605" s="50">
        <f>IF($B$2&gt;0,"",IF(OR($M605="",$M605=0),0,IF($BZ605="FT",IF(ISNA(VLOOKUP(CONCATENATE($R605,8),master,23,FALSE)=TRUE),0,VLOOKUP(CONCATENATE($R605,8),master,23,FALSE)),IF(ISNA(VLOOKUP(CONCATENATE($R605,4),master,23,FALSE)=TRUE),0,VLOOKUP(CONCATENATE($R605,4),master,23,FALSE)))))</f>
        <v>0</v>
      </c>
      <c r="EO605" s="52">
        <f>IF($B$2&gt;0,"",IF(OR($N605="",$N605=0),0,IF($BZ605="FT",IF(ISNA(VLOOKUP(CONCATENATE($R605,12),master,23,FALSE)=TRUE),0,VLOOKUP(CONCATENATE($R605,12),master,23,FALSE)),IF(ISNA(VLOOKUP(CONCATENATE($R605,5),master,23,FALSE)=TRUE),0,VLOOKUP(CONCATENATE($R605,5),master,23,FALSE)))))</f>
        <v>0</v>
      </c>
      <c r="EQ605" s="49">
        <f>IF($B$2&gt;0,"",IF(OR($K605="",$K605=0),0,IF($BZ605="FT",IF(ISNA(VLOOKUP(CONCATENATE($R605,4),master,6,FALSE)=TRUE),0,INDEX(master,MATCH((CONCATENATE($R605,4)),master_CONC,0),MATCH(CONCATENATE($U$1,"_",$AT$1),master_header,0))),IF(ISNA(VLOOKUP(CONCATENATE($R605,2),master,6,FALSE)=TRUE),0,INDEX(master,MATCH((CONCATENATE($R605,2)),master,0),MATCH(CONCATENATE($U$1,"_",$AT$1),master_header,0))))))</f>
        <v>0</v>
      </c>
      <c r="ER605" s="50">
        <f>IF($B$2&gt;0,"",IF(OR($L605="",$L605=0),0,IF($BZ605="FT",IF(ISNA(VLOOKUP(CONCATENATE($R605,6),master,6,FALSE)=TRUE),0,INDEX(master,MATCH((CONCATENATE($R605,6)),master_CONC,0),MATCH(CONCATENATE($U$1,"_",$AT$1),master_header,0))),IF(ISNA(VLOOKUP(CONCATENATE($R605,3),master,6,FALSE)=TRUE),0,INDEX(master,MATCH((CONCATENATE($R605,3)),master,0),MATCH(CONCATENATE($U$1,"_",$AT$1),master_header,0))))))</f>
        <v>0</v>
      </c>
      <c r="ES605" s="50">
        <f>IF($B$2&gt;0,"",IF(OR($M605="",$M605=0),0,IF($BZ605="FT",IF(ISNA(VLOOKUP(CONCATENATE($R605,8),master,6,FALSE)=TRUE),0,INDEX(master,MATCH((CONCATENATE($R605,8)),master_CONC,0),MATCH(CONCATENATE($U$1,"_",$AT$1),master_header,0))),IF(ISNA(VLOOKUP(CONCATENATE($R605,4),master,6,FALSE)=TRUE),0,INDEX(master,MATCH((CONCATENATE($R605,4)),master,0),MATCH(CONCATENATE($U$1,"_",$AT$1),master_header,0))))))</f>
        <v>0</v>
      </c>
      <c r="ET605" s="52">
        <f>IF($B$2&gt;0,"",IF(OR($N605="",$N605=0),0,IF($BZ605="FT",IF(ISNA(VLOOKUP(CONCATENATE($R605,12),master,6,FALSE)=TRUE),0,INDEX(master,MATCH((CONCATENATE($R605,12)),master_CONC,0),MATCH(CONCATENATE($U$1,"_",$AT$1),master_header,0))),IF(ISNA(VLOOKUP(CONCATENATE($R605,5),master,6,FALSE)=TRUE),0,INDEX(master,MATCH((CONCATENATE($R605,5)),master,0),MATCH(CONCATENATE($U$1,"_",$AT$1),master_header,0))))))</f>
        <v>0</v>
      </c>
    </row>
    <row r="606" spans="1:150" ht="12" customHeight="1" x14ac:dyDescent="0.2">
      <c r="E606" s="445"/>
      <c r="G606" s="445"/>
      <c r="Z606" s="849"/>
      <c r="AA606" s="849"/>
      <c r="AD606" s="67"/>
      <c r="AS606" s="982"/>
      <c r="AV606" s="893"/>
    </row>
    <row r="607" spans="1:150" ht="12" customHeight="1" x14ac:dyDescent="0.2">
      <c r="A607" s="166"/>
      <c r="D607" s="72" t="s">
        <v>378</v>
      </c>
      <c r="E607" s="445"/>
      <c r="F607" s="868" t="s">
        <v>15</v>
      </c>
      <c r="G607" s="445" t="str">
        <f>IF(H607="","",H607)</f>
        <v/>
      </c>
      <c r="H607" s="850" t="str">
        <f>IF(OR(A607="",A607="CHILD FIXTURE"),"",A607)</f>
        <v/>
      </c>
      <c r="I607" s="1674" t="s">
        <v>990</v>
      </c>
      <c r="J607" s="1675"/>
      <c r="K607" s="1675"/>
      <c r="L607" s="1675"/>
      <c r="M607" s="1675"/>
      <c r="N607" s="1676"/>
      <c r="O607" s="558"/>
      <c r="P607" s="558"/>
      <c r="Q607" s="558"/>
      <c r="R607" s="995"/>
      <c r="S607" s="995"/>
      <c r="T607" s="1677" t="s">
        <v>90</v>
      </c>
      <c r="U607" s="1678"/>
      <c r="V607" s="860"/>
      <c r="W607" s="861"/>
      <c r="X607" s="852"/>
      <c r="Y607" s="1672" t="s">
        <v>379</v>
      </c>
      <c r="Z607" s="1673"/>
      <c r="AA607" s="854">
        <v>0</v>
      </c>
      <c r="AB607" s="862"/>
      <c r="AC607" s="862"/>
      <c r="AD607" s="876"/>
      <c r="AE607" s="845"/>
      <c r="AF607" s="559"/>
      <c r="AG607" s="844"/>
      <c r="AH607" s="561" t="s">
        <v>622</v>
      </c>
      <c r="AI607" s="555"/>
      <c r="AJ607" s="997"/>
      <c r="AK607" s="1826"/>
      <c r="AL607" s="1827"/>
      <c r="AM607" s="997"/>
      <c r="AN607" s="555"/>
      <c r="AO607" s="997"/>
      <c r="AP607" s="997"/>
      <c r="AQ607" s="996"/>
      <c r="AR607" s="998" t="s">
        <v>414</v>
      </c>
      <c r="AS607" s="561" t="s">
        <v>991</v>
      </c>
      <c r="AT607" s="858" t="s">
        <v>414</v>
      </c>
      <c r="AU607" s="893" t="str">
        <f>IF(H607="","",IF(OR(B607=0,B607="SUB-CKT"),IF(ISNA(MATCH(H607,LoopSegs,0)),H607,""),""))</f>
        <v/>
      </c>
      <c r="AV607" s="893"/>
    </row>
    <row r="608" spans="1:150" ht="12" customHeight="1" x14ac:dyDescent="0.2">
      <c r="E608" s="445"/>
      <c r="G608" s="445"/>
      <c r="Z608" s="849"/>
      <c r="AA608" s="849"/>
      <c r="AV608" s="893"/>
    </row>
    <row r="609" spans="1:48" ht="12" customHeight="1" x14ac:dyDescent="0.2">
      <c r="E609" s="445"/>
      <c r="G609" s="445"/>
      <c r="Z609" s="849"/>
      <c r="AA609" s="849"/>
      <c r="AV609" s="893"/>
    </row>
    <row r="610" spans="1:48" ht="12" customHeight="1" x14ac:dyDescent="0.2">
      <c r="E610" s="445"/>
      <c r="G610" s="445"/>
      <c r="Z610" s="849"/>
      <c r="AA610" s="854">
        <v>0</v>
      </c>
      <c r="AV610" s="893"/>
    </row>
    <row r="611" spans="1:48" ht="12" customHeight="1" x14ac:dyDescent="0.2">
      <c r="E611" s="445"/>
      <c r="G611" s="445"/>
      <c r="Z611" s="849"/>
      <c r="AA611" s="849"/>
      <c r="AV611" s="893"/>
    </row>
    <row r="612" spans="1:48" ht="12" customHeight="1" x14ac:dyDescent="0.2">
      <c r="A612" s="554"/>
      <c r="B612" s="555">
        <v>0</v>
      </c>
      <c r="C612" s="556" t="s">
        <v>134</v>
      </c>
      <c r="D612" s="867" t="s">
        <v>374</v>
      </c>
      <c r="E612" s="445">
        <v>2</v>
      </c>
      <c r="F612" s="553" t="s">
        <v>350</v>
      </c>
      <c r="G612" s="445" t="str">
        <f>IF(H612="","",H612)</f>
        <v/>
      </c>
      <c r="H612" s="850"/>
      <c r="I612" s="853"/>
      <c r="J612" s="853"/>
      <c r="K612" s="853"/>
      <c r="L612" s="852"/>
      <c r="M612" s="852"/>
      <c r="N612" s="853"/>
      <c r="O612" s="853"/>
      <c r="P612" s="853"/>
      <c r="Q612" s="853"/>
      <c r="R612" s="851"/>
      <c r="S612" s="851"/>
      <c r="T612" s="851"/>
      <c r="U612" s="864"/>
      <c r="V612" s="852"/>
      <c r="W612" s="853"/>
      <c r="X612" s="853"/>
      <c r="Y612" s="853"/>
      <c r="Z612" s="854">
        <v>0</v>
      </c>
      <c r="AA612" s="854">
        <v>0</v>
      </c>
      <c r="AB612" s="862"/>
      <c r="AC612" s="862"/>
      <c r="AD612" s="865"/>
      <c r="AE612" s="859"/>
      <c r="AF612" s="857"/>
      <c r="AG612" s="852"/>
      <c r="AH612" s="858"/>
      <c r="AI612" s="858"/>
      <c r="AJ612" s="857"/>
      <c r="AK612" s="851"/>
      <c r="AL612" s="852"/>
      <c r="AM612" s="857"/>
      <c r="AN612" s="853"/>
      <c r="AO612" s="857"/>
      <c r="AP612" s="857"/>
      <c r="AQ612" s="981"/>
      <c r="AR612" s="981"/>
      <c r="AS612" s="858"/>
      <c r="AT612" s="853"/>
      <c r="AU612" s="893" t="str">
        <f>IF(H612="","",IF(OR(B612=0,B612="SUB-CKT"),IF(ISNA(MATCH(H612,LoopSegs,0)),H612,""),""))</f>
        <v/>
      </c>
      <c r="AV612" s="893"/>
    </row>
    <row r="613" spans="1:48" ht="12" customHeight="1" x14ac:dyDescent="0.2">
      <c r="E613" s="445"/>
      <c r="G613" s="445"/>
      <c r="Z613" s="849"/>
      <c r="AA613" s="849"/>
      <c r="AD613" s="67"/>
      <c r="AQ613" s="980"/>
      <c r="AR613" s="980"/>
      <c r="AS613" s="982"/>
      <c r="AV613" s="893"/>
    </row>
    <row r="614" spans="1:48" ht="12" customHeight="1" x14ac:dyDescent="0.2">
      <c r="A614" s="554"/>
      <c r="B614" s="555">
        <v>0</v>
      </c>
      <c r="C614" s="556" t="s">
        <v>134</v>
      </c>
      <c r="D614" s="867" t="s">
        <v>374</v>
      </c>
      <c r="E614" s="445">
        <v>3</v>
      </c>
      <c r="F614" s="553" t="s">
        <v>350</v>
      </c>
      <c r="G614" s="445" t="str">
        <f>IF(H614="","",H614)</f>
        <v/>
      </c>
      <c r="H614" s="850"/>
      <c r="I614" s="853"/>
      <c r="J614" s="853"/>
      <c r="K614" s="853"/>
      <c r="L614" s="852"/>
      <c r="M614" s="852"/>
      <c r="N614" s="853"/>
      <c r="O614" s="853"/>
      <c r="P614" s="853"/>
      <c r="Q614" s="853"/>
      <c r="R614" s="851"/>
      <c r="S614" s="851"/>
      <c r="T614" s="851"/>
      <c r="U614" s="864"/>
      <c r="V614" s="852"/>
      <c r="W614" s="853"/>
      <c r="X614" s="853"/>
      <c r="Y614" s="853"/>
      <c r="Z614" s="854">
        <v>0</v>
      </c>
      <c r="AA614" s="854">
        <v>0</v>
      </c>
      <c r="AB614" s="862"/>
      <c r="AC614" s="862"/>
      <c r="AD614" s="865"/>
      <c r="AE614" s="859"/>
      <c r="AF614" s="857"/>
      <c r="AG614" s="852"/>
      <c r="AH614" s="858"/>
      <c r="AI614" s="858"/>
      <c r="AJ614" s="857"/>
      <c r="AK614" s="851"/>
      <c r="AL614" s="852"/>
      <c r="AM614" s="857"/>
      <c r="AN614" s="853"/>
      <c r="AO614" s="857"/>
      <c r="AP614" s="857"/>
      <c r="AQ614" s="981"/>
      <c r="AR614" s="981"/>
      <c r="AS614" s="858"/>
      <c r="AT614" s="853"/>
      <c r="AU614" s="893" t="str">
        <f>IF(H614="","",IF(OR(B614=0,B614="SUB-CKT"),IF(ISNA(MATCH(H614,LoopSegs,0)),H614,""),""))</f>
        <v/>
      </c>
      <c r="AV614" s="893"/>
    </row>
    <row r="615" spans="1:48" ht="12" customHeight="1" x14ac:dyDescent="0.2">
      <c r="E615" s="445"/>
      <c r="G615" s="445"/>
      <c r="Z615" s="849"/>
      <c r="AA615" s="849"/>
    </row>
    <row r="616" spans="1:48" ht="12" customHeight="1" thickBot="1" x14ac:dyDescent="0.25">
      <c r="E616" s="445"/>
      <c r="G616" s="445"/>
      <c r="Z616" s="849"/>
      <c r="AA616" s="849"/>
    </row>
    <row r="617" spans="1:48" ht="12" customHeight="1" x14ac:dyDescent="0.2">
      <c r="G617" s="445"/>
      <c r="H617" s="562"/>
      <c r="I617" s="1791"/>
      <c r="J617" s="1792"/>
      <c r="K617" s="1792"/>
      <c r="L617" s="1792"/>
      <c r="M617" s="1792"/>
      <c r="N617" s="1792"/>
      <c r="O617" s="1792"/>
      <c r="P617" s="1792"/>
      <c r="Q617" s="1793"/>
      <c r="R617" s="1663"/>
      <c r="S617" s="564"/>
      <c r="T617" s="892"/>
      <c r="U617" s="973" t="str">
        <f t="shared" ref="U617:U624" si="85">IF($I617="","",IF(LEFT($U$1,1)="g",$AT$1-$W$4,LegendSG1RSST-$W$4))</f>
        <v/>
      </c>
      <c r="V617" s="973" t="str">
        <f>IF($I617="","",$W$2)</f>
        <v/>
      </c>
      <c r="W617" s="974" t="str">
        <f>IF(OR($T617="",$AB617=""),"",$AB617*3.413+$T617)</f>
        <v/>
      </c>
      <c r="X617" s="1668" t="s">
        <v>370</v>
      </c>
      <c r="Y617" s="1669"/>
      <c r="Z617" s="1670"/>
      <c r="AA617" s="1671"/>
      <c r="AB617" s="567"/>
      <c r="AC617" s="568"/>
      <c r="AD617" s="569"/>
      <c r="AE617" s="570"/>
      <c r="AF617" s="973" t="str">
        <f>IF(H617="","",$AA$1)</f>
        <v/>
      </c>
      <c r="AG617" s="973" t="str">
        <f>IF(H617="","",$Y$1)</f>
        <v/>
      </c>
      <c r="AH617" s="574"/>
      <c r="AI617" s="57" t="str">
        <f t="shared" ref="AI617:AI624" si="86">IF($S$29&lt;&gt;0,$S617/$S$29,"")</f>
        <v/>
      </c>
      <c r="AJ617" s="174"/>
    </row>
    <row r="618" spans="1:48" ht="12" customHeight="1" x14ac:dyDescent="0.2">
      <c r="H618" s="563"/>
      <c r="I618" s="1656"/>
      <c r="J618" s="1657"/>
      <c r="K618" s="1657"/>
      <c r="L618" s="1657"/>
      <c r="M618" s="1657"/>
      <c r="N618" s="1657"/>
      <c r="O618" s="1657"/>
      <c r="P618" s="1657"/>
      <c r="Q618" s="1658"/>
      <c r="R618" s="1664"/>
      <c r="S618" s="559"/>
      <c r="T618" s="559"/>
      <c r="U618" s="59" t="str">
        <f t="shared" si="85"/>
        <v/>
      </c>
      <c r="V618" s="43" t="str">
        <f t="shared" ref="V618:V624" si="87">IF($I618="","",$W$2)</f>
        <v/>
      </c>
      <c r="W618" s="42" t="str">
        <f t="shared" ref="W618:W624" si="88">IF(OR($T618="",$AB618=""),"",$AB618*3.413+$T618)</f>
        <v/>
      </c>
      <c r="X618" s="1659" t="s">
        <v>370</v>
      </c>
      <c r="Y618" s="1660"/>
      <c r="Z618" s="1661"/>
      <c r="AA618" s="1662"/>
      <c r="AB618" s="571"/>
      <c r="AC618" s="572"/>
      <c r="AD618" s="571"/>
      <c r="AE618" s="572"/>
      <c r="AF618" s="43" t="str">
        <f t="shared" ref="AF618:AF624" si="89">IF(H618="","",$AA$1)</f>
        <v/>
      </c>
      <c r="AG618" s="43" t="str">
        <f t="shared" ref="AG618:AG624" si="90">IF(H618="","",$Y$1)</f>
        <v/>
      </c>
      <c r="AH618" s="559"/>
      <c r="AI618" s="60" t="str">
        <f t="shared" si="86"/>
        <v/>
      </c>
      <c r="AJ618" s="58"/>
    </row>
    <row r="619" spans="1:48" ht="12" customHeight="1" x14ac:dyDescent="0.2">
      <c r="H619" s="563"/>
      <c r="I619" s="1656"/>
      <c r="J619" s="1657"/>
      <c r="K619" s="1657"/>
      <c r="L619" s="1657"/>
      <c r="M619" s="1657"/>
      <c r="N619" s="1657"/>
      <c r="O619" s="1657"/>
      <c r="P619" s="1657"/>
      <c r="Q619" s="1658"/>
      <c r="R619" s="1664"/>
      <c r="S619" s="559"/>
      <c r="T619" s="559"/>
      <c r="U619" s="59" t="str">
        <f t="shared" si="85"/>
        <v/>
      </c>
      <c r="V619" s="43" t="str">
        <f t="shared" si="87"/>
        <v/>
      </c>
      <c r="W619" s="42" t="str">
        <f t="shared" si="88"/>
        <v/>
      </c>
      <c r="X619" s="1659" t="s">
        <v>370</v>
      </c>
      <c r="Y619" s="1660"/>
      <c r="Z619" s="1661"/>
      <c r="AA619" s="1662"/>
      <c r="AB619" s="571"/>
      <c r="AC619" s="572"/>
      <c r="AD619" s="571"/>
      <c r="AE619" s="572"/>
      <c r="AF619" s="43" t="str">
        <f t="shared" si="89"/>
        <v/>
      </c>
      <c r="AG619" s="43" t="str">
        <f t="shared" si="90"/>
        <v/>
      </c>
      <c r="AH619" s="559"/>
      <c r="AI619" s="60" t="str">
        <f t="shared" si="86"/>
        <v/>
      </c>
      <c r="AJ619" s="58"/>
    </row>
    <row r="620" spans="1:48" ht="12" customHeight="1" x14ac:dyDescent="0.2">
      <c r="H620" s="563"/>
      <c r="I620" s="1656"/>
      <c r="J620" s="1657"/>
      <c r="K620" s="1657"/>
      <c r="L620" s="1657"/>
      <c r="M620" s="1657"/>
      <c r="N620" s="1657"/>
      <c r="O620" s="1657"/>
      <c r="P620" s="1657"/>
      <c r="Q620" s="1658"/>
      <c r="R620" s="1664"/>
      <c r="S620" s="559"/>
      <c r="T620" s="559"/>
      <c r="U620" s="59" t="str">
        <f t="shared" si="85"/>
        <v/>
      </c>
      <c r="V620" s="43" t="str">
        <f t="shared" si="87"/>
        <v/>
      </c>
      <c r="W620" s="42" t="str">
        <f t="shared" si="88"/>
        <v/>
      </c>
      <c r="X620" s="1659" t="s">
        <v>370</v>
      </c>
      <c r="Y620" s="1660"/>
      <c r="Z620" s="1661"/>
      <c r="AA620" s="1662"/>
      <c r="AB620" s="571"/>
      <c r="AC620" s="572"/>
      <c r="AD620" s="571"/>
      <c r="AE620" s="572"/>
      <c r="AF620" s="43" t="str">
        <f t="shared" si="89"/>
        <v/>
      </c>
      <c r="AG620" s="43" t="str">
        <f t="shared" si="90"/>
        <v/>
      </c>
      <c r="AH620" s="559"/>
      <c r="AI620" s="60" t="str">
        <f t="shared" si="86"/>
        <v/>
      </c>
      <c r="AJ620" s="58"/>
    </row>
    <row r="621" spans="1:48" ht="12" customHeight="1" x14ac:dyDescent="0.2">
      <c r="H621" s="563"/>
      <c r="I621" s="1656"/>
      <c r="J621" s="1657"/>
      <c r="K621" s="1657"/>
      <c r="L621" s="1657"/>
      <c r="M621" s="1657"/>
      <c r="N621" s="1657"/>
      <c r="O621" s="1657"/>
      <c r="P621" s="1657"/>
      <c r="Q621" s="1658"/>
      <c r="R621" s="1664"/>
      <c r="S621" s="559"/>
      <c r="T621" s="559"/>
      <c r="U621" s="59" t="str">
        <f t="shared" si="85"/>
        <v/>
      </c>
      <c r="V621" s="43" t="str">
        <f t="shared" si="87"/>
        <v/>
      </c>
      <c r="W621" s="42" t="str">
        <f t="shared" si="88"/>
        <v/>
      </c>
      <c r="X621" s="1659" t="s">
        <v>370</v>
      </c>
      <c r="Y621" s="1660"/>
      <c r="Z621" s="1661"/>
      <c r="AA621" s="1662"/>
      <c r="AB621" s="571"/>
      <c r="AC621" s="572"/>
      <c r="AD621" s="571"/>
      <c r="AE621" s="572"/>
      <c r="AF621" s="43" t="str">
        <f t="shared" si="89"/>
        <v/>
      </c>
      <c r="AG621" s="43" t="str">
        <f t="shared" si="90"/>
        <v/>
      </c>
      <c r="AH621" s="559"/>
      <c r="AI621" s="60" t="str">
        <f t="shared" si="86"/>
        <v/>
      </c>
      <c r="AJ621" s="58"/>
    </row>
    <row r="622" spans="1:48" ht="12" customHeight="1" x14ac:dyDescent="0.2">
      <c r="H622" s="563"/>
      <c r="I622" s="1656"/>
      <c r="J622" s="1657"/>
      <c r="K622" s="1657"/>
      <c r="L622" s="1657"/>
      <c r="M622" s="1657"/>
      <c r="N622" s="1657"/>
      <c r="O622" s="1657"/>
      <c r="P622" s="1657"/>
      <c r="Q622" s="1658"/>
      <c r="R622" s="1664"/>
      <c r="S622" s="559"/>
      <c r="T622" s="559"/>
      <c r="U622" s="59" t="str">
        <f t="shared" si="85"/>
        <v/>
      </c>
      <c r="V622" s="43" t="str">
        <f t="shared" si="87"/>
        <v/>
      </c>
      <c r="W622" s="42" t="str">
        <f t="shared" si="88"/>
        <v/>
      </c>
      <c r="X622" s="1659" t="s">
        <v>370</v>
      </c>
      <c r="Y622" s="1660"/>
      <c r="Z622" s="1661"/>
      <c r="AA622" s="1662"/>
      <c r="AB622" s="571"/>
      <c r="AC622" s="572"/>
      <c r="AD622" s="571"/>
      <c r="AE622" s="572"/>
      <c r="AF622" s="43" t="str">
        <f t="shared" si="89"/>
        <v/>
      </c>
      <c r="AG622" s="43" t="str">
        <f t="shared" si="90"/>
        <v/>
      </c>
      <c r="AH622" s="559"/>
      <c r="AI622" s="60" t="str">
        <f t="shared" si="86"/>
        <v/>
      </c>
      <c r="AJ622" s="58"/>
    </row>
    <row r="623" spans="1:48" ht="12" customHeight="1" x14ac:dyDescent="0.2">
      <c r="H623" s="563"/>
      <c r="I623" s="1656"/>
      <c r="J623" s="1657"/>
      <c r="K623" s="1657"/>
      <c r="L623" s="1657"/>
      <c r="M623" s="1657"/>
      <c r="N623" s="1657"/>
      <c r="O623" s="1657"/>
      <c r="P623" s="1657"/>
      <c r="Q623" s="1658"/>
      <c r="R623" s="1664"/>
      <c r="S623" s="559"/>
      <c r="T623" s="559"/>
      <c r="U623" s="59" t="str">
        <f t="shared" si="85"/>
        <v/>
      </c>
      <c r="V623" s="43" t="str">
        <f t="shared" si="87"/>
        <v/>
      </c>
      <c r="W623" s="42" t="str">
        <f t="shared" si="88"/>
        <v/>
      </c>
      <c r="X623" s="1659" t="s">
        <v>370</v>
      </c>
      <c r="Y623" s="1660"/>
      <c r="Z623" s="1661"/>
      <c r="AA623" s="1662"/>
      <c r="AB623" s="571"/>
      <c r="AC623" s="572"/>
      <c r="AD623" s="571"/>
      <c r="AE623" s="572"/>
      <c r="AF623" s="43" t="str">
        <f t="shared" si="89"/>
        <v/>
      </c>
      <c r="AG623" s="43" t="str">
        <f t="shared" si="90"/>
        <v/>
      </c>
      <c r="AH623" s="559"/>
      <c r="AI623" s="60" t="str">
        <f t="shared" si="86"/>
        <v/>
      </c>
      <c r="AJ623" s="58"/>
    </row>
    <row r="624" spans="1:48" ht="12" customHeight="1" thickBot="1" x14ac:dyDescent="0.25">
      <c r="H624" s="565"/>
      <c r="I624" s="1709"/>
      <c r="J624" s="1710"/>
      <c r="K624" s="1710"/>
      <c r="L624" s="1710"/>
      <c r="M624" s="1710"/>
      <c r="N624" s="1710"/>
      <c r="O624" s="1710"/>
      <c r="P624" s="1710"/>
      <c r="Q624" s="1711"/>
      <c r="R624" s="1665"/>
      <c r="S624" s="566"/>
      <c r="T624" s="566"/>
      <c r="U624" s="975" t="str">
        <f t="shared" si="85"/>
        <v/>
      </c>
      <c r="V624" s="976" t="str">
        <f t="shared" si="87"/>
        <v/>
      </c>
      <c r="W624" s="977" t="str">
        <f t="shared" si="88"/>
        <v/>
      </c>
      <c r="X624" s="1666" t="s">
        <v>370</v>
      </c>
      <c r="Y624" s="1667"/>
      <c r="Z624" s="1685"/>
      <c r="AA624" s="1686"/>
      <c r="AB624" s="1295"/>
      <c r="AC624" s="573"/>
      <c r="AD624" s="1295"/>
      <c r="AE624" s="573"/>
      <c r="AF624" s="976" t="str">
        <f t="shared" si="89"/>
        <v/>
      </c>
      <c r="AG624" s="976" t="str">
        <f t="shared" si="90"/>
        <v/>
      </c>
      <c r="AH624" s="566"/>
      <c r="AI624" s="372" t="str">
        <f t="shared" si="86"/>
        <v/>
      </c>
      <c r="AJ624" s="373"/>
    </row>
    <row r="625" spans="7:56" ht="12" customHeight="1" thickBot="1" x14ac:dyDescent="0.25"/>
    <row r="626" spans="7:56" ht="12" customHeight="1" x14ac:dyDescent="0.2">
      <c r="G626" s="445"/>
      <c r="H626" s="562"/>
      <c r="I626" s="1791"/>
      <c r="J626" s="1792"/>
      <c r="K626" s="1792"/>
      <c r="L626" s="1792"/>
      <c r="M626" s="1792"/>
      <c r="N626" s="1792"/>
      <c r="O626" s="1792"/>
      <c r="P626" s="1792"/>
      <c r="Q626" s="1793"/>
      <c r="R626" s="1663"/>
      <c r="S626" s="564"/>
      <c r="T626" s="892"/>
      <c r="U626" s="973" t="str">
        <f t="shared" ref="U626:U633" si="91">IF($I626="","",IF(LEFT($U$1,1)="g",$AT$2-$W$4,LegendSG2RSST-$W$4))</f>
        <v/>
      </c>
      <c r="V626" s="973" t="str">
        <f>IF($I626="","",$W$2)</f>
        <v/>
      </c>
      <c r="W626" s="974" t="str">
        <f>IF(OR($T626="",$AB626=""),"",$AB626*3.413+$T626)</f>
        <v/>
      </c>
      <c r="X626" s="1668" t="s">
        <v>370</v>
      </c>
      <c r="Y626" s="1669"/>
      <c r="Z626" s="1670"/>
      <c r="AA626" s="1671"/>
      <c r="AB626" s="567"/>
      <c r="AC626" s="568"/>
      <c r="AD626" s="569"/>
      <c r="AE626" s="570"/>
      <c r="AF626" s="973" t="str">
        <f>IF(H626="","",$AA$2)</f>
        <v/>
      </c>
      <c r="AG626" s="973" t="str">
        <f>IF(H626="","",$Y$2)</f>
        <v/>
      </c>
      <c r="AH626" s="574"/>
      <c r="AI626" s="57" t="str">
        <f t="shared" ref="AI626:AI633" si="92">IF($S$29&lt;&gt;0,$S626/$S$38,"")</f>
        <v/>
      </c>
      <c r="AJ626" s="174"/>
    </row>
    <row r="627" spans="7:56" ht="12" customHeight="1" x14ac:dyDescent="0.2">
      <c r="H627" s="563"/>
      <c r="I627" s="1656"/>
      <c r="J627" s="1657"/>
      <c r="K627" s="1657"/>
      <c r="L627" s="1657"/>
      <c r="M627" s="1657"/>
      <c r="N627" s="1657"/>
      <c r="O627" s="1657"/>
      <c r="P627" s="1657"/>
      <c r="Q627" s="1658"/>
      <c r="R627" s="1664"/>
      <c r="S627" s="559"/>
      <c r="T627" s="559"/>
      <c r="U627" s="59" t="str">
        <f t="shared" si="91"/>
        <v/>
      </c>
      <c r="V627" s="43" t="str">
        <f t="shared" ref="V627:V633" si="93">IF($I627="","",$W$2)</f>
        <v/>
      </c>
      <c r="W627" s="42" t="str">
        <f t="shared" ref="W627:W633" si="94">IF(OR($T627="",$AB627=""),"",$AB627*3.413+$T627)</f>
        <v/>
      </c>
      <c r="X627" s="1659" t="s">
        <v>370</v>
      </c>
      <c r="Y627" s="1660"/>
      <c r="Z627" s="1661"/>
      <c r="AA627" s="1662"/>
      <c r="AB627" s="571"/>
      <c r="AC627" s="572"/>
      <c r="AD627" s="571"/>
      <c r="AE627" s="572"/>
      <c r="AF627" s="43" t="str">
        <f t="shared" ref="AF627:AF633" si="95">IF(H627="","",$AA$2)</f>
        <v/>
      </c>
      <c r="AG627" s="43" t="str">
        <f t="shared" ref="AG627:AG633" si="96">IF(H627="","",$Y$2)</f>
        <v/>
      </c>
      <c r="AH627" s="559"/>
      <c r="AI627" s="60" t="str">
        <f t="shared" si="92"/>
        <v/>
      </c>
      <c r="AJ627" s="58"/>
    </row>
    <row r="628" spans="7:56" ht="12" customHeight="1" x14ac:dyDescent="0.2">
      <c r="H628" s="563"/>
      <c r="I628" s="1656"/>
      <c r="J628" s="1657"/>
      <c r="K628" s="1657"/>
      <c r="L628" s="1657"/>
      <c r="M628" s="1657"/>
      <c r="N628" s="1657"/>
      <c r="O628" s="1657"/>
      <c r="P628" s="1657"/>
      <c r="Q628" s="1658"/>
      <c r="R628" s="1664"/>
      <c r="S628" s="559"/>
      <c r="T628" s="559"/>
      <c r="U628" s="59" t="str">
        <f t="shared" si="91"/>
        <v/>
      </c>
      <c r="V628" s="43" t="str">
        <f t="shared" si="93"/>
        <v/>
      </c>
      <c r="W628" s="42" t="str">
        <f t="shared" si="94"/>
        <v/>
      </c>
      <c r="X628" s="1659" t="s">
        <v>370</v>
      </c>
      <c r="Y628" s="1660"/>
      <c r="Z628" s="1661"/>
      <c r="AA628" s="1662"/>
      <c r="AB628" s="571"/>
      <c r="AC628" s="572"/>
      <c r="AD628" s="571"/>
      <c r="AE628" s="572"/>
      <c r="AF628" s="43" t="str">
        <f t="shared" si="95"/>
        <v/>
      </c>
      <c r="AG628" s="43" t="str">
        <f t="shared" si="96"/>
        <v/>
      </c>
      <c r="AH628" s="559"/>
      <c r="AI628" s="60" t="str">
        <f t="shared" si="92"/>
        <v/>
      </c>
      <c r="AJ628" s="58"/>
    </row>
    <row r="629" spans="7:56" ht="12" customHeight="1" x14ac:dyDescent="0.2">
      <c r="H629" s="563"/>
      <c r="I629" s="1656"/>
      <c r="J629" s="1657"/>
      <c r="K629" s="1657"/>
      <c r="L629" s="1657"/>
      <c r="M629" s="1657"/>
      <c r="N629" s="1657"/>
      <c r="O629" s="1657"/>
      <c r="P629" s="1657"/>
      <c r="Q629" s="1658"/>
      <c r="R629" s="1664"/>
      <c r="S629" s="559"/>
      <c r="T629" s="559"/>
      <c r="U629" s="59" t="str">
        <f t="shared" si="91"/>
        <v/>
      </c>
      <c r="V629" s="43" t="str">
        <f t="shared" si="93"/>
        <v/>
      </c>
      <c r="W629" s="42" t="str">
        <f t="shared" si="94"/>
        <v/>
      </c>
      <c r="X629" s="1659" t="s">
        <v>370</v>
      </c>
      <c r="Y629" s="1660"/>
      <c r="Z629" s="1661"/>
      <c r="AA629" s="1662"/>
      <c r="AB629" s="571"/>
      <c r="AC629" s="572"/>
      <c r="AD629" s="571"/>
      <c r="AE629" s="572"/>
      <c r="AF629" s="43" t="str">
        <f t="shared" si="95"/>
        <v/>
      </c>
      <c r="AG629" s="43" t="str">
        <f t="shared" si="96"/>
        <v/>
      </c>
      <c r="AH629" s="559"/>
      <c r="AI629" s="60" t="str">
        <f t="shared" si="92"/>
        <v/>
      </c>
      <c r="AJ629" s="58"/>
    </row>
    <row r="630" spans="7:56" ht="12" customHeight="1" x14ac:dyDescent="0.2">
      <c r="H630" s="563"/>
      <c r="I630" s="1656"/>
      <c r="J630" s="1657"/>
      <c r="K630" s="1657"/>
      <c r="L630" s="1657"/>
      <c r="M630" s="1657"/>
      <c r="N630" s="1657"/>
      <c r="O630" s="1657"/>
      <c r="P630" s="1657"/>
      <c r="Q630" s="1658"/>
      <c r="R630" s="1664"/>
      <c r="S630" s="559"/>
      <c r="T630" s="559"/>
      <c r="U630" s="59" t="str">
        <f t="shared" si="91"/>
        <v/>
      </c>
      <c r="V630" s="43" t="str">
        <f t="shared" si="93"/>
        <v/>
      </c>
      <c r="W630" s="42" t="str">
        <f t="shared" si="94"/>
        <v/>
      </c>
      <c r="X630" s="1659" t="s">
        <v>370</v>
      </c>
      <c r="Y630" s="1660"/>
      <c r="Z630" s="1661"/>
      <c r="AA630" s="1662"/>
      <c r="AB630" s="571"/>
      <c r="AC630" s="572"/>
      <c r="AD630" s="571"/>
      <c r="AE630" s="572"/>
      <c r="AF630" s="43" t="str">
        <f t="shared" si="95"/>
        <v/>
      </c>
      <c r="AG630" s="43" t="str">
        <f t="shared" si="96"/>
        <v/>
      </c>
      <c r="AH630" s="559"/>
      <c r="AI630" s="60" t="str">
        <f t="shared" si="92"/>
        <v/>
      </c>
      <c r="AJ630" s="58"/>
      <c r="BD630" s="33"/>
    </row>
    <row r="631" spans="7:56" ht="12" customHeight="1" x14ac:dyDescent="0.2">
      <c r="H631" s="563"/>
      <c r="I631" s="1656"/>
      <c r="J631" s="1657"/>
      <c r="K631" s="1657"/>
      <c r="L631" s="1657"/>
      <c r="M631" s="1657"/>
      <c r="N631" s="1657"/>
      <c r="O631" s="1657"/>
      <c r="P631" s="1657"/>
      <c r="Q631" s="1658"/>
      <c r="R631" s="1664"/>
      <c r="S631" s="559"/>
      <c r="T631" s="559"/>
      <c r="U631" s="59" t="str">
        <f t="shared" si="91"/>
        <v/>
      </c>
      <c r="V631" s="43" t="str">
        <f t="shared" si="93"/>
        <v/>
      </c>
      <c r="W631" s="42" t="str">
        <f t="shared" si="94"/>
        <v/>
      </c>
      <c r="X631" s="1659" t="s">
        <v>370</v>
      </c>
      <c r="Y631" s="1660"/>
      <c r="Z631" s="1661"/>
      <c r="AA631" s="1662"/>
      <c r="AB631" s="571"/>
      <c r="AC631" s="572"/>
      <c r="AD631" s="571"/>
      <c r="AE631" s="572"/>
      <c r="AF631" s="43" t="str">
        <f t="shared" si="95"/>
        <v/>
      </c>
      <c r="AG631" s="43" t="str">
        <f t="shared" si="96"/>
        <v/>
      </c>
      <c r="AH631" s="559"/>
      <c r="AI631" s="60" t="str">
        <f t="shared" si="92"/>
        <v/>
      </c>
      <c r="AJ631" s="58"/>
      <c r="BD631" s="33"/>
    </row>
    <row r="632" spans="7:56" ht="12" customHeight="1" x14ac:dyDescent="0.2">
      <c r="H632" s="563"/>
      <c r="I632" s="1656"/>
      <c r="J632" s="1657"/>
      <c r="K632" s="1657"/>
      <c r="L632" s="1657"/>
      <c r="M632" s="1657"/>
      <c r="N632" s="1657"/>
      <c r="O632" s="1657"/>
      <c r="P632" s="1657"/>
      <c r="Q632" s="1658"/>
      <c r="R632" s="1664"/>
      <c r="S632" s="559"/>
      <c r="T632" s="559"/>
      <c r="U632" s="59" t="str">
        <f t="shared" si="91"/>
        <v/>
      </c>
      <c r="V632" s="43" t="str">
        <f t="shared" si="93"/>
        <v/>
      </c>
      <c r="W632" s="42" t="str">
        <f t="shared" si="94"/>
        <v/>
      </c>
      <c r="X632" s="1659" t="s">
        <v>370</v>
      </c>
      <c r="Y632" s="1660"/>
      <c r="Z632" s="1661"/>
      <c r="AA632" s="1662"/>
      <c r="AB632" s="571"/>
      <c r="AC632" s="572"/>
      <c r="AD632" s="571"/>
      <c r="AE632" s="572"/>
      <c r="AF632" s="43" t="str">
        <f t="shared" si="95"/>
        <v/>
      </c>
      <c r="AG632" s="43" t="str">
        <f t="shared" si="96"/>
        <v/>
      </c>
      <c r="AH632" s="559"/>
      <c r="AI632" s="60" t="str">
        <f t="shared" si="92"/>
        <v/>
      </c>
      <c r="AJ632" s="58"/>
    </row>
    <row r="633" spans="7:56" ht="12" customHeight="1" thickBot="1" x14ac:dyDescent="0.25">
      <c r="H633" s="565"/>
      <c r="I633" s="1709"/>
      <c r="J633" s="1710"/>
      <c r="K633" s="1710"/>
      <c r="L633" s="1710"/>
      <c r="M633" s="1710"/>
      <c r="N633" s="1710"/>
      <c r="O633" s="1710"/>
      <c r="P633" s="1710"/>
      <c r="Q633" s="1711"/>
      <c r="R633" s="1665"/>
      <c r="S633" s="566"/>
      <c r="T633" s="566"/>
      <c r="U633" s="975" t="str">
        <f t="shared" si="91"/>
        <v/>
      </c>
      <c r="V633" s="976" t="str">
        <f t="shared" si="93"/>
        <v/>
      </c>
      <c r="W633" s="977" t="str">
        <f t="shared" si="94"/>
        <v/>
      </c>
      <c r="X633" s="1666" t="s">
        <v>370</v>
      </c>
      <c r="Y633" s="1667"/>
      <c r="Z633" s="1685"/>
      <c r="AA633" s="1686"/>
      <c r="AB633" s="1295"/>
      <c r="AC633" s="573"/>
      <c r="AD633" s="1295"/>
      <c r="AE633" s="573"/>
      <c r="AF633" s="976" t="str">
        <f t="shared" si="95"/>
        <v/>
      </c>
      <c r="AG633" s="976" t="str">
        <f t="shared" si="96"/>
        <v/>
      </c>
      <c r="AH633" s="566"/>
      <c r="AI633" s="372" t="str">
        <f t="shared" si="92"/>
        <v/>
      </c>
      <c r="AJ633" s="373"/>
    </row>
    <row r="634" spans="7:56" ht="12" customHeight="1" thickBot="1" x14ac:dyDescent="0.25"/>
    <row r="635" spans="7:56" ht="12" customHeight="1" x14ac:dyDescent="0.2">
      <c r="G635" s="445"/>
      <c r="H635" s="562"/>
      <c r="I635" s="1791"/>
      <c r="J635" s="1792"/>
      <c r="K635" s="1792"/>
      <c r="L635" s="1792"/>
      <c r="M635" s="1792"/>
      <c r="N635" s="1792"/>
      <c r="O635" s="1792"/>
      <c r="P635" s="1792"/>
      <c r="Q635" s="1793"/>
      <c r="R635" s="1663"/>
      <c r="S635" s="564"/>
      <c r="T635" s="892"/>
      <c r="U635" s="973" t="str">
        <f t="shared" ref="U635:U642" si="97">IF($I635="","",IF(LEFT($U$1,1)="g",$AT$3-$W$4,LegendSG3RSST-$W$4))</f>
        <v/>
      </c>
      <c r="V635" s="973" t="str">
        <f>IF($I635="","",$W$2)</f>
        <v/>
      </c>
      <c r="W635" s="974" t="str">
        <f>IF(OR($T635="",$AB635=""),"",$AB635*3.413+$T635)</f>
        <v/>
      </c>
      <c r="X635" s="1668" t="s">
        <v>370</v>
      </c>
      <c r="Y635" s="1669"/>
      <c r="Z635" s="1670"/>
      <c r="AA635" s="1671"/>
      <c r="AB635" s="567"/>
      <c r="AC635" s="568"/>
      <c r="AD635" s="569"/>
      <c r="AE635" s="570"/>
      <c r="AF635" s="973" t="str">
        <f>IF(H635="","",$AA$3)</f>
        <v/>
      </c>
      <c r="AG635" s="973" t="str">
        <f>IF(H635="","",$Y$3)</f>
        <v/>
      </c>
      <c r="AH635" s="574"/>
      <c r="AI635" s="57" t="str">
        <f t="shared" ref="AI635:AI642" si="98">IF($S$38&lt;&gt;0,$S635/$S$47,"")</f>
        <v/>
      </c>
      <c r="AJ635" s="174"/>
    </row>
    <row r="636" spans="7:56" ht="12" customHeight="1" x14ac:dyDescent="0.2">
      <c r="H636" s="563"/>
      <c r="I636" s="1656"/>
      <c r="J636" s="1657"/>
      <c r="K636" s="1657"/>
      <c r="L636" s="1657"/>
      <c r="M636" s="1657"/>
      <c r="N636" s="1657"/>
      <c r="O636" s="1657"/>
      <c r="P636" s="1657"/>
      <c r="Q636" s="1658"/>
      <c r="R636" s="1664"/>
      <c r="S636" s="559"/>
      <c r="T636" s="559"/>
      <c r="U636" s="59" t="str">
        <f t="shared" si="97"/>
        <v/>
      </c>
      <c r="V636" s="43" t="str">
        <f t="shared" ref="V636:V642" si="99">IF($I636="","",$W$2)</f>
        <v/>
      </c>
      <c r="W636" s="42" t="str">
        <f t="shared" ref="W636:W642" si="100">IF(OR($T636="",$AB636=""),"",$AB636*3.413+$T636)</f>
        <v/>
      </c>
      <c r="X636" s="1659" t="s">
        <v>370</v>
      </c>
      <c r="Y636" s="1660"/>
      <c r="Z636" s="1661"/>
      <c r="AA636" s="1662"/>
      <c r="AB636" s="571"/>
      <c r="AC636" s="572"/>
      <c r="AD636" s="571"/>
      <c r="AE636" s="572"/>
      <c r="AF636" s="43" t="str">
        <f t="shared" ref="AF636:AF642" si="101">IF(H636="","",$AA$3)</f>
        <v/>
      </c>
      <c r="AG636" s="43" t="str">
        <f t="shared" ref="AG636:AG642" si="102">IF(H636="","",$Y$3)</f>
        <v/>
      </c>
      <c r="AH636" s="559"/>
      <c r="AI636" s="60" t="str">
        <f t="shared" si="98"/>
        <v/>
      </c>
      <c r="AJ636" s="58"/>
    </row>
    <row r="637" spans="7:56" ht="12" customHeight="1" x14ac:dyDescent="0.2">
      <c r="H637" s="563"/>
      <c r="I637" s="1656"/>
      <c r="J637" s="1657"/>
      <c r="K637" s="1657"/>
      <c r="L637" s="1657"/>
      <c r="M637" s="1657"/>
      <c r="N637" s="1657"/>
      <c r="O637" s="1657"/>
      <c r="P637" s="1657"/>
      <c r="Q637" s="1658"/>
      <c r="R637" s="1664"/>
      <c r="S637" s="559"/>
      <c r="T637" s="559"/>
      <c r="U637" s="59" t="str">
        <f t="shared" si="97"/>
        <v/>
      </c>
      <c r="V637" s="43" t="str">
        <f t="shared" si="99"/>
        <v/>
      </c>
      <c r="W637" s="42" t="str">
        <f t="shared" si="100"/>
        <v/>
      </c>
      <c r="X637" s="1659" t="s">
        <v>370</v>
      </c>
      <c r="Y637" s="1660"/>
      <c r="Z637" s="1661"/>
      <c r="AA637" s="1662"/>
      <c r="AB637" s="571"/>
      <c r="AC637" s="572"/>
      <c r="AD637" s="571"/>
      <c r="AE637" s="572"/>
      <c r="AF637" s="43" t="str">
        <f t="shared" si="101"/>
        <v/>
      </c>
      <c r="AG637" s="43" t="str">
        <f t="shared" si="102"/>
        <v/>
      </c>
      <c r="AH637" s="559"/>
      <c r="AI637" s="60" t="str">
        <f t="shared" si="98"/>
        <v/>
      </c>
      <c r="AJ637" s="58"/>
    </row>
    <row r="638" spans="7:56" ht="12" customHeight="1" x14ac:dyDescent="0.2">
      <c r="H638" s="563"/>
      <c r="I638" s="1656"/>
      <c r="J638" s="1657"/>
      <c r="K638" s="1657"/>
      <c r="L638" s="1657"/>
      <c r="M638" s="1657"/>
      <c r="N638" s="1657"/>
      <c r="O638" s="1657"/>
      <c r="P638" s="1657"/>
      <c r="Q638" s="1658"/>
      <c r="R638" s="1664"/>
      <c r="S638" s="559"/>
      <c r="T638" s="559"/>
      <c r="U638" s="59" t="str">
        <f t="shared" si="97"/>
        <v/>
      </c>
      <c r="V638" s="43" t="str">
        <f t="shared" si="99"/>
        <v/>
      </c>
      <c r="W638" s="42" t="str">
        <f t="shared" si="100"/>
        <v/>
      </c>
      <c r="X638" s="1659" t="s">
        <v>370</v>
      </c>
      <c r="Y638" s="1660"/>
      <c r="Z638" s="1661"/>
      <c r="AA638" s="1662"/>
      <c r="AB638" s="571"/>
      <c r="AC638" s="572"/>
      <c r="AD638" s="571"/>
      <c r="AE638" s="572"/>
      <c r="AF638" s="43" t="str">
        <f t="shared" si="101"/>
        <v/>
      </c>
      <c r="AG638" s="43" t="str">
        <f t="shared" si="102"/>
        <v/>
      </c>
      <c r="AH638" s="559"/>
      <c r="AI638" s="60" t="str">
        <f t="shared" si="98"/>
        <v/>
      </c>
      <c r="AJ638" s="58"/>
    </row>
    <row r="639" spans="7:56" ht="12" customHeight="1" x14ac:dyDescent="0.2">
      <c r="H639" s="563"/>
      <c r="I639" s="1656"/>
      <c r="J639" s="1657"/>
      <c r="K639" s="1657"/>
      <c r="L639" s="1657"/>
      <c r="M639" s="1657"/>
      <c r="N639" s="1657"/>
      <c r="O639" s="1657"/>
      <c r="P639" s="1657"/>
      <c r="Q639" s="1658"/>
      <c r="R639" s="1664"/>
      <c r="S639" s="559"/>
      <c r="T639" s="559"/>
      <c r="U639" s="59" t="str">
        <f t="shared" si="97"/>
        <v/>
      </c>
      <c r="V639" s="43" t="str">
        <f t="shared" si="99"/>
        <v/>
      </c>
      <c r="W639" s="42" t="str">
        <f t="shared" si="100"/>
        <v/>
      </c>
      <c r="X639" s="1659" t="s">
        <v>370</v>
      </c>
      <c r="Y639" s="1660"/>
      <c r="Z639" s="1661"/>
      <c r="AA639" s="1662"/>
      <c r="AB639" s="571"/>
      <c r="AC639" s="572"/>
      <c r="AD639" s="571"/>
      <c r="AE639" s="572"/>
      <c r="AF639" s="43" t="str">
        <f t="shared" si="101"/>
        <v/>
      </c>
      <c r="AG639" s="43" t="str">
        <f t="shared" si="102"/>
        <v/>
      </c>
      <c r="AH639" s="559"/>
      <c r="AI639" s="60" t="str">
        <f t="shared" si="98"/>
        <v/>
      </c>
      <c r="AJ639" s="58"/>
    </row>
    <row r="640" spans="7:56" ht="12" customHeight="1" x14ac:dyDescent="0.2">
      <c r="H640" s="563"/>
      <c r="I640" s="1656"/>
      <c r="J640" s="1657"/>
      <c r="K640" s="1657"/>
      <c r="L640" s="1657"/>
      <c r="M640" s="1657"/>
      <c r="N640" s="1657"/>
      <c r="O640" s="1657"/>
      <c r="P640" s="1657"/>
      <c r="Q640" s="1658"/>
      <c r="R640" s="1664"/>
      <c r="S640" s="559"/>
      <c r="T640" s="559"/>
      <c r="U640" s="59" t="str">
        <f t="shared" si="97"/>
        <v/>
      </c>
      <c r="V640" s="43" t="str">
        <f t="shared" si="99"/>
        <v/>
      </c>
      <c r="W640" s="42" t="str">
        <f t="shared" si="100"/>
        <v/>
      </c>
      <c r="X640" s="1659" t="s">
        <v>370</v>
      </c>
      <c r="Y640" s="1660"/>
      <c r="Z640" s="1661"/>
      <c r="AA640" s="1662"/>
      <c r="AB640" s="571"/>
      <c r="AC640" s="572"/>
      <c r="AD640" s="571"/>
      <c r="AE640" s="572"/>
      <c r="AF640" s="43" t="str">
        <f t="shared" si="101"/>
        <v/>
      </c>
      <c r="AG640" s="43" t="str">
        <f t="shared" si="102"/>
        <v/>
      </c>
      <c r="AH640" s="559"/>
      <c r="AI640" s="60" t="str">
        <f t="shared" si="98"/>
        <v/>
      </c>
      <c r="AJ640" s="58"/>
    </row>
    <row r="641" spans="1:36" ht="12" customHeight="1" x14ac:dyDescent="0.2">
      <c r="H641" s="563"/>
      <c r="I641" s="1656"/>
      <c r="J641" s="1657"/>
      <c r="K641" s="1657"/>
      <c r="L641" s="1657"/>
      <c r="M641" s="1657"/>
      <c r="N641" s="1657"/>
      <c r="O641" s="1657"/>
      <c r="P641" s="1657"/>
      <c r="Q641" s="1658"/>
      <c r="R641" s="1664"/>
      <c r="S641" s="559"/>
      <c r="T641" s="559"/>
      <c r="U641" s="59" t="str">
        <f t="shared" si="97"/>
        <v/>
      </c>
      <c r="V641" s="43" t="str">
        <f t="shared" si="99"/>
        <v/>
      </c>
      <c r="W641" s="42" t="str">
        <f t="shared" si="100"/>
        <v/>
      </c>
      <c r="X641" s="1659" t="s">
        <v>370</v>
      </c>
      <c r="Y641" s="1660"/>
      <c r="Z641" s="1661"/>
      <c r="AA641" s="1662"/>
      <c r="AB641" s="571"/>
      <c r="AC641" s="572"/>
      <c r="AD641" s="571"/>
      <c r="AE641" s="572"/>
      <c r="AF641" s="43" t="str">
        <f t="shared" si="101"/>
        <v/>
      </c>
      <c r="AG641" s="43" t="str">
        <f t="shared" si="102"/>
        <v/>
      </c>
      <c r="AH641" s="559"/>
      <c r="AI641" s="60" t="str">
        <f t="shared" si="98"/>
        <v/>
      </c>
      <c r="AJ641" s="58"/>
    </row>
    <row r="642" spans="1:36" ht="12" customHeight="1" thickBot="1" x14ac:dyDescent="0.25">
      <c r="H642" s="565"/>
      <c r="I642" s="1709"/>
      <c r="J642" s="1710"/>
      <c r="K642" s="1710"/>
      <c r="L642" s="1710"/>
      <c r="M642" s="1710"/>
      <c r="N642" s="1710"/>
      <c r="O642" s="1710"/>
      <c r="P642" s="1710"/>
      <c r="Q642" s="1711"/>
      <c r="R642" s="1665"/>
      <c r="S642" s="566"/>
      <c r="T642" s="566"/>
      <c r="U642" s="975" t="str">
        <f t="shared" si="97"/>
        <v/>
      </c>
      <c r="V642" s="976" t="str">
        <f t="shared" si="99"/>
        <v/>
      </c>
      <c r="W642" s="977" t="str">
        <f t="shared" si="100"/>
        <v/>
      </c>
      <c r="X642" s="1666" t="s">
        <v>370</v>
      </c>
      <c r="Y642" s="1667"/>
      <c r="Z642" s="1685"/>
      <c r="AA642" s="1686"/>
      <c r="AB642" s="1295"/>
      <c r="AC642" s="573"/>
      <c r="AD642" s="1295"/>
      <c r="AE642" s="573"/>
      <c r="AF642" s="976" t="str">
        <f t="shared" si="101"/>
        <v/>
      </c>
      <c r="AG642" s="976" t="str">
        <f t="shared" si="102"/>
        <v/>
      </c>
      <c r="AH642" s="566"/>
      <c r="AI642" s="372" t="str">
        <f t="shared" si="98"/>
        <v/>
      </c>
      <c r="AJ642" s="373"/>
    </row>
    <row r="643" spans="1:36" ht="12" customHeight="1" x14ac:dyDescent="0.2">
      <c r="A643" s="1287"/>
    </row>
    <row r="644" spans="1:36" ht="12" customHeight="1" x14ac:dyDescent="0.2">
      <c r="A644" s="1287"/>
    </row>
    <row r="645" spans="1:36" ht="12" customHeight="1" x14ac:dyDescent="0.2">
      <c r="A645" s="1287"/>
    </row>
    <row r="646" spans="1:36" ht="12" customHeight="1" x14ac:dyDescent="0.2">
      <c r="A646" s="153" t="s">
        <v>1173</v>
      </c>
    </row>
  </sheetData>
  <mergeCells count="342">
    <mergeCell ref="AK593:AL593"/>
    <mergeCell ref="AA586:AA587"/>
    <mergeCell ref="X635:Y635"/>
    <mergeCell ref="Z635:AA635"/>
    <mergeCell ref="Z632:AA632"/>
    <mergeCell ref="AB586:AB587"/>
    <mergeCell ref="AC586:AC587"/>
    <mergeCell ref="AD586:AD587"/>
    <mergeCell ref="X624:Y624"/>
    <mergeCell ref="X622:Y622"/>
    <mergeCell ref="AK595:AL595"/>
    <mergeCell ref="Z628:AA628"/>
    <mergeCell ref="X621:Y621"/>
    <mergeCell ref="Z620:AA620"/>
    <mergeCell ref="Z619:AA619"/>
    <mergeCell ref="X618:Y618"/>
    <mergeCell ref="Z624:AA624"/>
    <mergeCell ref="Z623:AA623"/>
    <mergeCell ref="X623:Y623"/>
    <mergeCell ref="Z621:AA621"/>
    <mergeCell ref="Z622:AA622"/>
    <mergeCell ref="X620:Y620"/>
    <mergeCell ref="X619:Y619"/>
    <mergeCell ref="AK607:AL607"/>
    <mergeCell ref="CA586:CD586"/>
    <mergeCell ref="AK591:AL591"/>
    <mergeCell ref="AE586:AH586"/>
    <mergeCell ref="EQ6:ET6"/>
    <mergeCell ref="EQ586:ET586"/>
    <mergeCell ref="DW586:DY587"/>
    <mergeCell ref="AK587:AL587"/>
    <mergeCell ref="CV586:CY586"/>
    <mergeCell ref="AQ589:AS589"/>
    <mergeCell ref="CR586:CU586"/>
    <mergeCell ref="EL586:EO586"/>
    <mergeCell ref="EL6:EO6"/>
    <mergeCell ref="EG586:EJ586"/>
    <mergeCell ref="EB6:EE6"/>
    <mergeCell ref="EG6:EJ6"/>
    <mergeCell ref="DV586:DV587"/>
    <mergeCell ref="CV6:CY6"/>
    <mergeCell ref="DE6:DI6"/>
    <mergeCell ref="BZ586:BZ587"/>
    <mergeCell ref="DS586:DT586"/>
    <mergeCell ref="DU586:DU587"/>
    <mergeCell ref="DQ586:DR586"/>
    <mergeCell ref="CI6:CL6"/>
    <mergeCell ref="DQ6:DR6"/>
    <mergeCell ref="Z633:AA633"/>
    <mergeCell ref="I635:Q635"/>
    <mergeCell ref="X639:Y639"/>
    <mergeCell ref="AK597:AL597"/>
    <mergeCell ref="X638:Y638"/>
    <mergeCell ref="X636:Y636"/>
    <mergeCell ref="Z636:AA636"/>
    <mergeCell ref="Z629:AA629"/>
    <mergeCell ref="I630:Q630"/>
    <mergeCell ref="X630:Y630"/>
    <mergeCell ref="Z630:AA630"/>
    <mergeCell ref="I631:Q631"/>
    <mergeCell ref="X631:Y631"/>
    <mergeCell ref="Z631:AA631"/>
    <mergeCell ref="I632:Q632"/>
    <mergeCell ref="X632:Y632"/>
    <mergeCell ref="X627:Y627"/>
    <mergeCell ref="Z627:AA627"/>
    <mergeCell ref="I628:Q628"/>
    <mergeCell ref="X628:Y628"/>
    <mergeCell ref="I629:Q629"/>
    <mergeCell ref="X629:Y629"/>
    <mergeCell ref="I626:Q626"/>
    <mergeCell ref="R626:R633"/>
    <mergeCell ref="I641:Q641"/>
    <mergeCell ref="X641:Y641"/>
    <mergeCell ref="Z641:AA641"/>
    <mergeCell ref="Z638:AA638"/>
    <mergeCell ref="I639:Q639"/>
    <mergeCell ref="I636:Q636"/>
    <mergeCell ref="I642:Q642"/>
    <mergeCell ref="X642:Y642"/>
    <mergeCell ref="Z642:AA642"/>
    <mergeCell ref="X640:Y640"/>
    <mergeCell ref="Z640:AA640"/>
    <mergeCell ref="I637:Q637"/>
    <mergeCell ref="Z637:AA637"/>
    <mergeCell ref="I638:Q638"/>
    <mergeCell ref="X637:Y637"/>
    <mergeCell ref="R635:R642"/>
    <mergeCell ref="Z639:AA639"/>
    <mergeCell ref="I640:Q640"/>
    <mergeCell ref="X626:Y626"/>
    <mergeCell ref="Z626:AA626"/>
    <mergeCell ref="I627:Q627"/>
    <mergeCell ref="AK599:AL599"/>
    <mergeCell ref="T593:U593"/>
    <mergeCell ref="DJ586:DM586"/>
    <mergeCell ref="DO586:DP586"/>
    <mergeCell ref="CE586:CH586"/>
    <mergeCell ref="CI586:CL586"/>
    <mergeCell ref="CM586:CQ586"/>
    <mergeCell ref="CZ586:DD586"/>
    <mergeCell ref="DE586:DI586"/>
    <mergeCell ref="W586:W587"/>
    <mergeCell ref="R617:R624"/>
    <mergeCell ref="I618:Q618"/>
    <mergeCell ref="Z618:AA618"/>
    <mergeCell ref="AM586:AN586"/>
    <mergeCell ref="T595:U595"/>
    <mergeCell ref="Y607:Z607"/>
    <mergeCell ref="T599:U599"/>
    <mergeCell ref="AJ586:AL586"/>
    <mergeCell ref="I624:Q624"/>
    <mergeCell ref="I617:Q617"/>
    <mergeCell ref="I621:Q621"/>
    <mergeCell ref="I633:Q633"/>
    <mergeCell ref="X633:Y633"/>
    <mergeCell ref="A586:A587"/>
    <mergeCell ref="B586:B587"/>
    <mergeCell ref="C586:C587"/>
    <mergeCell ref="D586:D587"/>
    <mergeCell ref="F586:F587"/>
    <mergeCell ref="H586:H587"/>
    <mergeCell ref="I24:Q24"/>
    <mergeCell ref="I25:Q25"/>
    <mergeCell ref="I27:Q27"/>
    <mergeCell ref="I26:Q26"/>
    <mergeCell ref="I37:Q37"/>
    <mergeCell ref="I39:Q39"/>
    <mergeCell ref="T591:U591"/>
    <mergeCell ref="T589:U589"/>
    <mergeCell ref="I586:N586"/>
    <mergeCell ref="I30:Q30"/>
    <mergeCell ref="I43:Q43"/>
    <mergeCell ref="I44:Q44"/>
    <mergeCell ref="I42:Q42"/>
    <mergeCell ref="I31:Q31"/>
    <mergeCell ref="I41:Q41"/>
    <mergeCell ref="I35:Q35"/>
    <mergeCell ref="AT586:AT587"/>
    <mergeCell ref="Z28:AA28"/>
    <mergeCell ref="Z37:AA37"/>
    <mergeCell ref="Z36:AA36"/>
    <mergeCell ref="X29:Y29"/>
    <mergeCell ref="Z34:AA34"/>
    <mergeCell ref="Z38:AA38"/>
    <mergeCell ref="Z32:AA32"/>
    <mergeCell ref="X32:Y32"/>
    <mergeCell ref="X31:Y31"/>
    <mergeCell ref="AF48:AI48"/>
    <mergeCell ref="Z29:AA29"/>
    <mergeCell ref="Z40:AA40"/>
    <mergeCell ref="X38:Y38"/>
    <mergeCell ref="Z39:AA39"/>
    <mergeCell ref="Z41:AA41"/>
    <mergeCell ref="X40:Y40"/>
    <mergeCell ref="X34:Y34"/>
    <mergeCell ref="X36:Y36"/>
    <mergeCell ref="Z35:AA35"/>
    <mergeCell ref="AK30:AT48"/>
    <mergeCell ref="A6:A7"/>
    <mergeCell ref="B6:B7"/>
    <mergeCell ref="C6:C7"/>
    <mergeCell ref="D6:D7"/>
    <mergeCell ref="H19:H20"/>
    <mergeCell ref="I23:Q23"/>
    <mergeCell ref="F6:F7"/>
    <mergeCell ref="I6:N6"/>
    <mergeCell ref="H6:H7"/>
    <mergeCell ref="I22:Q22"/>
    <mergeCell ref="I19:Q20"/>
    <mergeCell ref="AR19:AR20"/>
    <mergeCell ref="AS19:AS20"/>
    <mergeCell ref="AT19:AT20"/>
    <mergeCell ref="AK19:AL20"/>
    <mergeCell ref="AQ19:AQ20"/>
    <mergeCell ref="I28:Q28"/>
    <mergeCell ref="R21:R28"/>
    <mergeCell ref="X23:Y23"/>
    <mergeCell ref="X27:Y27"/>
    <mergeCell ref="X24:Y24"/>
    <mergeCell ref="Z24:AA24"/>
    <mergeCell ref="Z21:AA21"/>
    <mergeCell ref="Z22:AA22"/>
    <mergeCell ref="X21:Y21"/>
    <mergeCell ref="X28:Y28"/>
    <mergeCell ref="X22:Y22"/>
    <mergeCell ref="Z27:AA27"/>
    <mergeCell ref="Z25:AA25"/>
    <mergeCell ref="X25:Y25"/>
    <mergeCell ref="Z26:AA26"/>
    <mergeCell ref="X26:Y26"/>
    <mergeCell ref="X19:Y20"/>
    <mergeCell ref="T19:T20"/>
    <mergeCell ref="O1:Q1"/>
    <mergeCell ref="O2:Q2"/>
    <mergeCell ref="R2:S2"/>
    <mergeCell ref="AG4:AH4"/>
    <mergeCell ref="AJ4:AL4"/>
    <mergeCell ref="AG1:AH1"/>
    <mergeCell ref="AG2:AH2"/>
    <mergeCell ref="AD4:AE4"/>
    <mergeCell ref="S6:S7"/>
    <mergeCell ref="R6:R7"/>
    <mergeCell ref="O6:Q6"/>
    <mergeCell ref="AA6:AA7"/>
    <mergeCell ref="AB6:AB7"/>
    <mergeCell ref="W6:W7"/>
    <mergeCell ref="T6:U7"/>
    <mergeCell ref="DV6:DV7"/>
    <mergeCell ref="H4:J4"/>
    <mergeCell ref="M4:N4"/>
    <mergeCell ref="AD6:AD7"/>
    <mergeCell ref="Y6:Y7"/>
    <mergeCell ref="AJ6:AL6"/>
    <mergeCell ref="I21:Q21"/>
    <mergeCell ref="O4:Q4"/>
    <mergeCell ref="Z6:Z7"/>
    <mergeCell ref="H5:AI5"/>
    <mergeCell ref="X6:X7"/>
    <mergeCell ref="AK18:AT18"/>
    <mergeCell ref="AT21:AT29"/>
    <mergeCell ref="DO6:DP6"/>
    <mergeCell ref="DJ6:DM6"/>
    <mergeCell ref="CZ6:DD6"/>
    <mergeCell ref="V6:V7"/>
    <mergeCell ref="AC6:AC7"/>
    <mergeCell ref="CR6:CU6"/>
    <mergeCell ref="AT6:AT7"/>
    <mergeCell ref="AE6:AH6"/>
    <mergeCell ref="AK7:AL7"/>
    <mergeCell ref="CE6:CH6"/>
    <mergeCell ref="Z23:AA23"/>
    <mergeCell ref="EB586:EE586"/>
    <mergeCell ref="AQ5:AT5"/>
    <mergeCell ref="CM6:CQ6"/>
    <mergeCell ref="CB1:EA3"/>
    <mergeCell ref="BZ6:BZ7"/>
    <mergeCell ref="CA6:CD6"/>
    <mergeCell ref="AJ3:AL3"/>
    <mergeCell ref="AQ1:AS1"/>
    <mergeCell ref="AM6:AN6"/>
    <mergeCell ref="AJ2:AL2"/>
    <mergeCell ref="AM2:AP2"/>
    <mergeCell ref="AQ2:AS2"/>
    <mergeCell ref="AJ1:AL1"/>
    <mergeCell ref="AM1:AP1"/>
    <mergeCell ref="DU6:DU7"/>
    <mergeCell ref="DS6:DT6"/>
    <mergeCell ref="AK21:AL29"/>
    <mergeCell ref="AS21:AS29"/>
    <mergeCell ref="AM21:AN29"/>
    <mergeCell ref="AQ21:AQ29"/>
    <mergeCell ref="AO21:AP29"/>
    <mergeCell ref="AR21:AR29"/>
    <mergeCell ref="AJ5:AP5"/>
    <mergeCell ref="DW6:DY7"/>
    <mergeCell ref="AM3:AP3"/>
    <mergeCell ref="AM4:AP4"/>
    <mergeCell ref="H18:AJ18"/>
    <mergeCell ref="AH19:AH20"/>
    <mergeCell ref="AG3:AH3"/>
    <mergeCell ref="AD19:AD20"/>
    <mergeCell ref="AG19:AG20"/>
    <mergeCell ref="AJ19:AJ20"/>
    <mergeCell ref="AI19:AI20"/>
    <mergeCell ref="AM19:AN20"/>
    <mergeCell ref="AO19:AP20"/>
    <mergeCell ref="AC19:AC20"/>
    <mergeCell ref="Z19:AA20"/>
    <mergeCell ref="AE19:AE20"/>
    <mergeCell ref="AD3:AE3"/>
    <mergeCell ref="H3:L3"/>
    <mergeCell ref="M3:N3"/>
    <mergeCell ref="O3:Q3"/>
    <mergeCell ref="R19:R20"/>
    <mergeCell ref="H17:AT17"/>
    <mergeCell ref="V19:V20"/>
    <mergeCell ref="S19:S20"/>
    <mergeCell ref="U19:U20"/>
    <mergeCell ref="W19:W20"/>
    <mergeCell ref="AQ3:AS3"/>
    <mergeCell ref="AQ4:AS4"/>
    <mergeCell ref="K4:L4"/>
    <mergeCell ref="H2:L2"/>
    <mergeCell ref="AD1:AE1"/>
    <mergeCell ref="AD2:AE2"/>
    <mergeCell ref="AB19:AB20"/>
    <mergeCell ref="AF19:AF20"/>
    <mergeCell ref="I593:J593"/>
    <mergeCell ref="I45:Q45"/>
    <mergeCell ref="H48:T48"/>
    <mergeCell ref="R39:R46"/>
    <mergeCell ref="I40:Q40"/>
    <mergeCell ref="U48:V48"/>
    <mergeCell ref="S586:S587"/>
    <mergeCell ref="V586:V587"/>
    <mergeCell ref="X46:Y46"/>
    <mergeCell ref="X39:Y39"/>
    <mergeCell ref="X47:Y47"/>
    <mergeCell ref="X43:Y43"/>
    <mergeCell ref="I46:Q46"/>
    <mergeCell ref="X41:Y41"/>
    <mergeCell ref="O586:Q586"/>
    <mergeCell ref="R586:R587"/>
    <mergeCell ref="I622:Q622"/>
    <mergeCell ref="I597:J597"/>
    <mergeCell ref="I620:Q620"/>
    <mergeCell ref="I607:N607"/>
    <mergeCell ref="I619:Q619"/>
    <mergeCell ref="I623:Q623"/>
    <mergeCell ref="T607:U607"/>
    <mergeCell ref="Z617:AA617"/>
    <mergeCell ref="Z42:AA42"/>
    <mergeCell ref="Z586:Z587"/>
    <mergeCell ref="Z48:AA48"/>
    <mergeCell ref="X45:Y45"/>
    <mergeCell ref="X48:Y48"/>
    <mergeCell ref="Z46:AA46"/>
    <mergeCell ref="Y586:Y587"/>
    <mergeCell ref="X586:X587"/>
    <mergeCell ref="X617:Y617"/>
    <mergeCell ref="Z44:AA44"/>
    <mergeCell ref="X42:Y42"/>
    <mergeCell ref="Z47:AA47"/>
    <mergeCell ref="Z45:AA45"/>
    <mergeCell ref="T597:U597"/>
    <mergeCell ref="Z43:AA43"/>
    <mergeCell ref="T586:U587"/>
    <mergeCell ref="F56:F57"/>
    <mergeCell ref="I36:Q36"/>
    <mergeCell ref="X35:Y35"/>
    <mergeCell ref="X33:Y33"/>
    <mergeCell ref="Z33:AA33"/>
    <mergeCell ref="I33:Q33"/>
    <mergeCell ref="R30:R37"/>
    <mergeCell ref="X37:Y37"/>
    <mergeCell ref="X44:Y44"/>
    <mergeCell ref="X30:Y30"/>
    <mergeCell ref="Z31:AA31"/>
    <mergeCell ref="Z30:AA30"/>
    <mergeCell ref="I34:Q34"/>
    <mergeCell ref="I32:Q32"/>
  </mergeCells>
  <phoneticPr fontId="3" type="noConversion"/>
  <conditionalFormatting sqref="L591">
    <cfRule type="cellIs" dxfId="935" priority="54156" stopIfTrue="1" operator="equal">
      <formula>0</formula>
    </cfRule>
    <cfRule type="expression" dxfId="934" priority="54157" stopIfTrue="1">
      <formula>IF($CB591="DNE",TRUE,FALSE)</formula>
    </cfRule>
  </conditionalFormatting>
  <conditionalFormatting sqref="M591">
    <cfRule type="cellIs" dxfId="933" priority="54158" stopIfTrue="1" operator="equal">
      <formula>0</formula>
    </cfRule>
    <cfRule type="expression" dxfId="932" priority="54159" stopIfTrue="1">
      <formula>IF($CC591="DNE",TRUE,FALSE)</formula>
    </cfRule>
  </conditionalFormatting>
  <conditionalFormatting sqref="K591">
    <cfRule type="cellIs" dxfId="931" priority="54160" stopIfTrue="1" operator="equal">
      <formula>0</formula>
    </cfRule>
    <cfRule type="expression" dxfId="930" priority="54161" stopIfTrue="1">
      <formula>IF($CA591="DNE",TRUE,FALSE)</formula>
    </cfRule>
  </conditionalFormatting>
  <conditionalFormatting sqref="N591">
    <cfRule type="cellIs" dxfId="929" priority="54162" stopIfTrue="1" operator="equal">
      <formula>0</formula>
    </cfRule>
    <cfRule type="expression" dxfId="928" priority="54163" stopIfTrue="1">
      <formula>IF($CD591="DNE",TRUE,FALSE)</formula>
    </cfRule>
  </conditionalFormatting>
  <conditionalFormatting sqref="L597 L593 L595 L599 L601 L603 L605 L589 L612 L614">
    <cfRule type="cellIs" dxfId="927" priority="54164" stopIfTrue="1" operator="equal">
      <formula>0</formula>
    </cfRule>
    <cfRule type="expression" dxfId="926" priority="54165" stopIfTrue="1">
      <formula>IF($CB588="DNE",TRUE,FALSE)</formula>
    </cfRule>
  </conditionalFormatting>
  <conditionalFormatting sqref="M597 M593 M595 M599 M601 M603 M605 M589 M612 M614">
    <cfRule type="cellIs" dxfId="925" priority="54166" stopIfTrue="1" operator="equal">
      <formula>0</formula>
    </cfRule>
    <cfRule type="expression" dxfId="924" priority="54167" stopIfTrue="1">
      <formula>IF($CC588="DNE",TRUE,FALSE)</formula>
    </cfRule>
  </conditionalFormatting>
  <conditionalFormatting sqref="K597 K593 K595 K599 K601 K603 K605 K589 K612 K614">
    <cfRule type="cellIs" dxfId="923" priority="54168" stopIfTrue="1" operator="equal">
      <formula>0</formula>
    </cfRule>
    <cfRule type="expression" dxfId="922" priority="54169" stopIfTrue="1">
      <formula>IF($CA588="DNE",TRUE,FALSE)</formula>
    </cfRule>
  </conditionalFormatting>
  <conditionalFormatting sqref="N597 N593 N595 N599 N601 N603 N605 N589 N612 N614">
    <cfRule type="cellIs" dxfId="921" priority="54170" stopIfTrue="1" operator="equal">
      <formula>0</formula>
    </cfRule>
    <cfRule type="expression" dxfId="920" priority="54171" stopIfTrue="1">
      <formula>IF($CD588="DNE",TRUE,FALSE)</formula>
    </cfRule>
  </conditionalFormatting>
  <conditionalFormatting sqref="AB21:AE28 AH21:AH28 Z21:Z28 S21:S28">
    <cfRule type="expression" dxfId="919" priority="54174" stopIfTrue="1">
      <formula>IF($I21="",TRUE, FALSE)</formula>
    </cfRule>
  </conditionalFormatting>
  <conditionalFormatting sqref="X21:Y28">
    <cfRule type="expression" dxfId="918" priority="54175" stopIfTrue="1">
      <formula>IF($I21="",TRUE, FALSE)</formula>
    </cfRule>
  </conditionalFormatting>
  <conditionalFormatting sqref="W21:W28">
    <cfRule type="expression" dxfId="917" priority="54176" stopIfTrue="1">
      <formula>IF($I21="",TRUE, FALSE)</formula>
    </cfRule>
  </conditionalFormatting>
  <conditionalFormatting sqref="AI21:AI28">
    <cfRule type="cellIs" dxfId="916" priority="54177" stopIfTrue="1" operator="equal">
      <formula>0</formula>
    </cfRule>
    <cfRule type="expression" dxfId="915" priority="54178" stopIfTrue="1">
      <formula>IF($I21="",TRUE, FALSE)</formula>
    </cfRule>
  </conditionalFormatting>
  <conditionalFormatting sqref="AT593 AT591">
    <cfRule type="cellIs" dxfId="914" priority="54191" stopIfTrue="1" operator="equal">
      <formula>"0"</formula>
    </cfRule>
  </conditionalFormatting>
  <conditionalFormatting sqref="AN601 AN614 AN612 AN603 AN605 AN589">
    <cfRule type="cellIs" dxfId="913" priority="54192" stopIfTrue="1" operator="equal">
      <formula>"0"</formula>
    </cfRule>
  </conditionalFormatting>
  <conditionalFormatting sqref="AK21:AL29 AO21:AT29">
    <cfRule type="cellIs" dxfId="912" priority="54258" stopIfTrue="1" operator="equal">
      <formula>0</formula>
    </cfRule>
  </conditionalFormatting>
  <conditionalFormatting sqref="AM21:AN29">
    <cfRule type="cellIs" dxfId="911" priority="54259" stopIfTrue="1" operator="equal">
      <formula>"ENTER MANUFACTURER"</formula>
    </cfRule>
  </conditionalFormatting>
  <conditionalFormatting sqref="AJ591 AD591 AQ591:AS591 AJ593 O593:Q593 Y595">
    <cfRule type="expression" dxfId="910" priority="53457" stopIfTrue="1">
      <formula>NOT( _xludf.isformula(O591))</formula>
    </cfRule>
  </conditionalFormatting>
  <conditionalFormatting sqref="Z626:Z633 S626:S633 AB626:AE633 AH626:AH633">
    <cfRule type="expression" dxfId="909" priority="53203" stopIfTrue="1">
      <formula>IF($I626="",TRUE, FALSE)</formula>
    </cfRule>
  </conditionalFormatting>
  <conditionalFormatting sqref="X626:Y633">
    <cfRule type="expression" dxfId="908" priority="53202" stopIfTrue="1">
      <formula>IF($I626="",TRUE, FALSE)</formula>
    </cfRule>
  </conditionalFormatting>
  <conditionalFormatting sqref="W626:W633">
    <cfRule type="expression" dxfId="907" priority="53201" stopIfTrue="1">
      <formula>IF($I626="",TRUE, FALSE)</formula>
    </cfRule>
  </conditionalFormatting>
  <conditionalFormatting sqref="AI626:AI633">
    <cfRule type="cellIs" dxfId="906" priority="53199" stopIfTrue="1" operator="equal">
      <formula>0</formula>
    </cfRule>
    <cfRule type="expression" dxfId="905" priority="53200" stopIfTrue="1">
      <formula>IF($I626="",TRUE, FALSE)</formula>
    </cfRule>
  </conditionalFormatting>
  <conditionalFormatting sqref="AB617:AE624 AH617:AH624 Z617:Z624 S617:S624">
    <cfRule type="expression" dxfId="904" priority="53196" stopIfTrue="1">
      <formula>IF($I617="",TRUE, FALSE)</formula>
    </cfRule>
  </conditionalFormatting>
  <conditionalFormatting sqref="X617:Y624">
    <cfRule type="expression" dxfId="903" priority="53195" stopIfTrue="1">
      <formula>IF($I617="",TRUE, FALSE)</formula>
    </cfRule>
  </conditionalFormatting>
  <conditionalFormatting sqref="W617:W624">
    <cfRule type="expression" dxfId="902" priority="53194" stopIfTrue="1">
      <formula>IF($I617="",TRUE, FALSE)</formula>
    </cfRule>
  </conditionalFormatting>
  <conditionalFormatting sqref="AI617:AI624">
    <cfRule type="cellIs" dxfId="901" priority="53192" stopIfTrue="1" operator="equal">
      <formula>0</formula>
    </cfRule>
    <cfRule type="expression" dxfId="900" priority="53193" stopIfTrue="1">
      <formula>IF($I617="",TRUE, FALSE)</formula>
    </cfRule>
  </conditionalFormatting>
  <conditionalFormatting sqref="Z635:Z642 S635:S642 AB635:AE642 AH635:AH642">
    <cfRule type="expression" dxfId="899" priority="53189" stopIfTrue="1">
      <formula>IF($I635="",TRUE, FALSE)</formula>
    </cfRule>
  </conditionalFormatting>
  <conditionalFormatting sqref="X635:Y642">
    <cfRule type="expression" dxfId="898" priority="53188" stopIfTrue="1">
      <formula>IF($I635="",TRUE, FALSE)</formula>
    </cfRule>
  </conditionalFormatting>
  <conditionalFormatting sqref="W635:W642">
    <cfRule type="expression" dxfId="897" priority="53187" stopIfTrue="1">
      <formula>IF($I635="",TRUE, FALSE)</formula>
    </cfRule>
  </conditionalFormatting>
  <conditionalFormatting sqref="AI635:AI642">
    <cfRule type="cellIs" dxfId="896" priority="53185" stopIfTrue="1" operator="equal">
      <formula>0</formula>
    </cfRule>
    <cfRule type="expression" dxfId="895" priority="53186" stopIfTrue="1">
      <formula>IF($I635="",TRUE, FALSE)</formula>
    </cfRule>
  </conditionalFormatting>
  <conditionalFormatting sqref="AN607">
    <cfRule type="cellIs" dxfId="894" priority="53174" stopIfTrue="1" operator="equal">
      <formula>0</formula>
    </cfRule>
    <cfRule type="cellIs" dxfId="893" priority="53177" stopIfTrue="1" operator="equal">
      <formula>"0"</formula>
    </cfRule>
  </conditionalFormatting>
  <conditionalFormatting sqref="AI607 AK607:AL607">
    <cfRule type="cellIs" dxfId="892" priority="53176" stopIfTrue="1" operator="equal">
      <formula>0</formula>
    </cfRule>
  </conditionalFormatting>
  <conditionalFormatting sqref="AA3">
    <cfRule type="expression" dxfId="891" priority="50756" stopIfTrue="1">
      <formula>MIN(AB14:AB15)&gt;AA3</formula>
    </cfRule>
  </conditionalFormatting>
  <conditionalFormatting sqref="AF21:AF29 AF617:AF624">
    <cfRule type="cellIs" dxfId="890" priority="54598" stopIfTrue="1" operator="equal">
      <formula>0</formula>
    </cfRule>
    <cfRule type="expression" dxfId="889" priority="54599" stopIfTrue="1">
      <formula>IF($AA$1="R.G TEMP?",TRUE,FALSE)</formula>
    </cfRule>
  </conditionalFormatting>
  <conditionalFormatting sqref="AF626:AF633 AF30:AF38">
    <cfRule type="cellIs" dxfId="888" priority="50746" stopIfTrue="1" operator="equal">
      <formula>0</formula>
    </cfRule>
    <cfRule type="expression" dxfId="887" priority="50747" stopIfTrue="1">
      <formula>IF($AA$2="R.G TEMP?",TRUE,FALSE)</formula>
    </cfRule>
  </conditionalFormatting>
  <conditionalFormatting sqref="AF635:AF642 AF39:AF47">
    <cfRule type="cellIs" dxfId="886" priority="50744" stopIfTrue="1" operator="equal">
      <formula>0</formula>
    </cfRule>
    <cfRule type="expression" dxfId="885" priority="50745" stopIfTrue="1">
      <formula>IF($AA$3="R.G TEMP?",TRUE,FALSE)</formula>
    </cfRule>
  </conditionalFormatting>
  <conditionalFormatting sqref="AB617:AE624 AH617:AH624 Z617:Z624 S617:S624">
    <cfRule type="expression" dxfId="884" priority="50739" stopIfTrue="1">
      <formula>IF($I617="",TRUE, FALSE)</formula>
    </cfRule>
  </conditionalFormatting>
  <conditionalFormatting sqref="X617:Y624">
    <cfRule type="expression" dxfId="883" priority="50738" stopIfTrue="1">
      <formula>IF($I617="",TRUE, FALSE)</formula>
    </cfRule>
  </conditionalFormatting>
  <conditionalFormatting sqref="W617:W624">
    <cfRule type="expression" dxfId="882" priority="50737" stopIfTrue="1">
      <formula>IF($I617="",TRUE, FALSE)</formula>
    </cfRule>
  </conditionalFormatting>
  <conditionalFormatting sqref="AI617:AI624">
    <cfRule type="cellIs" dxfId="881" priority="50735" stopIfTrue="1" operator="equal">
      <formula>0</formula>
    </cfRule>
    <cfRule type="expression" dxfId="880" priority="50736" stopIfTrue="1">
      <formula>IF($I617="",TRUE, FALSE)</formula>
    </cfRule>
  </conditionalFormatting>
  <conditionalFormatting sqref="Z626:Z633 S626:S633 AB626:AE633 AH626:AH633">
    <cfRule type="expression" dxfId="879" priority="50732" stopIfTrue="1">
      <formula>IF($I626="",TRUE, FALSE)</formula>
    </cfRule>
  </conditionalFormatting>
  <conditionalFormatting sqref="X626:Y633">
    <cfRule type="expression" dxfId="878" priority="50731" stopIfTrue="1">
      <formula>IF($I626="",TRUE, FALSE)</formula>
    </cfRule>
  </conditionalFormatting>
  <conditionalFormatting sqref="W626:W633">
    <cfRule type="expression" dxfId="877" priority="50730" stopIfTrue="1">
      <formula>IF($I626="",TRUE, FALSE)</formula>
    </cfRule>
  </conditionalFormatting>
  <conditionalFormatting sqref="AI626:AI633">
    <cfRule type="cellIs" dxfId="876" priority="50728" stopIfTrue="1" operator="equal">
      <formula>0</formula>
    </cfRule>
    <cfRule type="expression" dxfId="875" priority="50729" stopIfTrue="1">
      <formula>IF($I626="",TRUE, FALSE)</formula>
    </cfRule>
  </conditionalFormatting>
  <conditionalFormatting sqref="Z635:Z642 S635:S642 AB635:AE642 AH635:AH642">
    <cfRule type="expression" dxfId="874" priority="50725" stopIfTrue="1">
      <formula>IF($I635="",TRUE, FALSE)</formula>
    </cfRule>
  </conditionalFormatting>
  <conditionalFormatting sqref="X635:Y642">
    <cfRule type="expression" dxfId="873" priority="50724" stopIfTrue="1">
      <formula>IF($I635="",TRUE, FALSE)</formula>
    </cfRule>
  </conditionalFormatting>
  <conditionalFormatting sqref="W635:W642">
    <cfRule type="expression" dxfId="872" priority="50723" stopIfTrue="1">
      <formula>IF($I635="",TRUE, FALSE)</formula>
    </cfRule>
  </conditionalFormatting>
  <conditionalFormatting sqref="AI635:AI642">
    <cfRule type="cellIs" dxfId="871" priority="50721" stopIfTrue="1" operator="equal">
      <formula>0</formula>
    </cfRule>
    <cfRule type="expression" dxfId="870" priority="50722" stopIfTrue="1">
      <formula>IF($I635="",TRUE, FALSE)</formula>
    </cfRule>
  </conditionalFormatting>
  <conditionalFormatting sqref="O3">
    <cfRule type="expression" dxfId="869" priority="44041" stopIfTrue="1">
      <formula>ISNUMBER($O$3)</formula>
    </cfRule>
  </conditionalFormatting>
  <conditionalFormatting sqref="AA2">
    <cfRule type="expression" dxfId="868" priority="57051" stopIfTrue="1">
      <formula>MIN(AB11:AB12)&gt;AA2</formula>
    </cfRule>
  </conditionalFormatting>
  <conditionalFormatting sqref="S50">
    <cfRule type="expression" dxfId="867" priority="18329" stopIfTrue="1">
      <formula>IF($I50="",TRUE, FALSE)</formula>
    </cfRule>
  </conditionalFormatting>
  <conditionalFormatting sqref="W50">
    <cfRule type="expression" dxfId="866" priority="18328" stopIfTrue="1">
      <formula>IF($I50="",TRUE, FALSE)</formula>
    </cfRule>
  </conditionalFormatting>
  <conditionalFormatting sqref="S50">
    <cfRule type="expression" dxfId="865" priority="18327" stopIfTrue="1">
      <formula>IF($I50="",TRUE, FALSE)</formula>
    </cfRule>
  </conditionalFormatting>
  <conditionalFormatting sqref="W50">
    <cfRule type="expression" dxfId="864" priority="18326" stopIfTrue="1">
      <formula>IF($I50="",TRUE, FALSE)</formula>
    </cfRule>
  </conditionalFormatting>
  <conditionalFormatting sqref="S51">
    <cfRule type="expression" dxfId="863" priority="18325" stopIfTrue="1">
      <formula>IF($I51="",TRUE, FALSE)</formula>
    </cfRule>
  </conditionalFormatting>
  <conditionalFormatting sqref="W51">
    <cfRule type="expression" dxfId="862" priority="18324" stopIfTrue="1">
      <formula>IF($I51="",TRUE, FALSE)</formula>
    </cfRule>
  </conditionalFormatting>
  <conditionalFormatting sqref="S51">
    <cfRule type="expression" dxfId="861" priority="18323" stopIfTrue="1">
      <formula>IF($I51="",TRUE, FALSE)</formula>
    </cfRule>
  </conditionalFormatting>
  <conditionalFormatting sqref="W51">
    <cfRule type="expression" dxfId="860" priority="18322" stopIfTrue="1">
      <formula>IF($I51="",TRUE, FALSE)</formula>
    </cfRule>
  </conditionalFormatting>
  <conditionalFormatting sqref="AT1 AT2 AT3 W4">
    <cfRule type="expression" dxfId="859" priority="4208" stopIfTrue="1">
      <formula>LEFT($U$1,1)="C"</formula>
    </cfRule>
  </conditionalFormatting>
  <conditionalFormatting sqref="AT1:AT3 W4">
    <cfRule type="expression" dxfId="858" priority="4207" stopIfTrue="1">
      <formula>LEFT($U$1,1)="G"</formula>
    </cfRule>
  </conditionalFormatting>
  <conditionalFormatting sqref="AA2:AA3 AC2:AC4 AT2 W3 W1 Y2:Y4">
    <cfRule type="expression" dxfId="857" priority="4205" stopIfTrue="1">
      <formula>LEFT($U$1,1)="C"</formula>
    </cfRule>
  </conditionalFormatting>
  <conditionalFormatting sqref="AA2:AA3 AC2:AC4 W1 W3 Y2:Y4">
    <cfRule type="expression" dxfId="856" priority="4206" stopIfTrue="1">
      <formula>LEFT($U$1,1)="G"</formula>
    </cfRule>
  </conditionalFormatting>
  <conditionalFormatting sqref="L11">
    <cfRule type="cellIs" dxfId="855" priority="1977" stopIfTrue="1" operator="equal">
      <formula>0</formula>
    </cfRule>
    <cfRule type="expression" dxfId="854" priority="1978" stopIfTrue="1">
      <formula>IF($CB10="DNE",TRUE,FALSE)</formula>
    </cfRule>
  </conditionalFormatting>
  <conditionalFormatting sqref="M11">
    <cfRule type="cellIs" dxfId="853" priority="1979" stopIfTrue="1" operator="equal">
      <formula>0</formula>
    </cfRule>
    <cfRule type="expression" dxfId="852" priority="1980" stopIfTrue="1">
      <formula>IF($CC10="DNE",TRUE,FALSE)</formula>
    </cfRule>
  </conditionalFormatting>
  <conditionalFormatting sqref="K11">
    <cfRule type="cellIs" dxfId="851" priority="1981" stopIfTrue="1" operator="equal">
      <formula>0</formula>
    </cfRule>
    <cfRule type="expression" dxfId="850" priority="1982" stopIfTrue="1">
      <formula>IF($CA10="DNE",TRUE,FALSE)</formula>
    </cfRule>
  </conditionalFormatting>
  <conditionalFormatting sqref="N11">
    <cfRule type="cellIs" dxfId="849" priority="1983" stopIfTrue="1" operator="equal">
      <formula>0</formula>
    </cfRule>
    <cfRule type="expression" dxfId="848" priority="1984" stopIfTrue="1">
      <formula>IF($CD10="DNE",TRUE,FALSE)</formula>
    </cfRule>
  </conditionalFormatting>
  <conditionalFormatting sqref="AN11">
    <cfRule type="cellIs" dxfId="847" priority="1985" stopIfTrue="1" operator="equal">
      <formula>"0"</formula>
    </cfRule>
  </conditionalFormatting>
  <conditionalFormatting sqref="L14">
    <cfRule type="cellIs" dxfId="846" priority="1908" stopIfTrue="1" operator="equal">
      <formula>0</formula>
    </cfRule>
    <cfRule type="expression" dxfId="845" priority="1909" stopIfTrue="1">
      <formula>IF($CB13="DNE",TRUE,FALSE)</formula>
    </cfRule>
  </conditionalFormatting>
  <conditionalFormatting sqref="M14">
    <cfRule type="cellIs" dxfId="844" priority="1910" stopIfTrue="1" operator="equal">
      <formula>0</formula>
    </cfRule>
    <cfRule type="expression" dxfId="843" priority="1911" stopIfTrue="1">
      <formula>IF($CC13="DNE",TRUE,FALSE)</formula>
    </cfRule>
  </conditionalFormatting>
  <conditionalFormatting sqref="K14">
    <cfRule type="cellIs" dxfId="842" priority="1912" stopIfTrue="1" operator="equal">
      <formula>0</formula>
    </cfRule>
    <cfRule type="expression" dxfId="841" priority="1913" stopIfTrue="1">
      <formula>IF($CA13="DNE",TRUE,FALSE)</formula>
    </cfRule>
  </conditionalFormatting>
  <conditionalFormatting sqref="N14">
    <cfRule type="cellIs" dxfId="840" priority="1914" stopIfTrue="1" operator="equal">
      <formula>0</formula>
    </cfRule>
    <cfRule type="expression" dxfId="839" priority="1915" stopIfTrue="1">
      <formula>IF($CD13="DNE",TRUE,FALSE)</formula>
    </cfRule>
  </conditionalFormatting>
  <conditionalFormatting sqref="AN14">
    <cfRule type="cellIs" dxfId="838" priority="1916" stopIfTrue="1" operator="equal">
      <formula>"0"</formula>
    </cfRule>
  </conditionalFormatting>
  <conditionalFormatting sqref="Z30:Z37 S30:S37 AB30:AE37 AH30:AH37">
    <cfRule type="expression" dxfId="837" priority="187" stopIfTrue="1">
      <formula>IF($I30="",TRUE, FALSE)</formula>
    </cfRule>
  </conditionalFormatting>
  <conditionalFormatting sqref="X30:Y37">
    <cfRule type="expression" dxfId="836" priority="186" stopIfTrue="1">
      <formula>IF($I30="",TRUE, FALSE)</formula>
    </cfRule>
  </conditionalFormatting>
  <conditionalFormatting sqref="W30:W37">
    <cfRule type="expression" dxfId="835" priority="185" stopIfTrue="1">
      <formula>IF($I30="",TRUE, FALSE)</formula>
    </cfRule>
  </conditionalFormatting>
  <conditionalFormatting sqref="AI30:AI37">
    <cfRule type="cellIs" dxfId="834" priority="183" stopIfTrue="1" operator="equal">
      <formula>0</formula>
    </cfRule>
    <cfRule type="expression" dxfId="833" priority="184" stopIfTrue="1">
      <formula>IF($I30="",TRUE, FALSE)</formula>
    </cfRule>
  </conditionalFormatting>
  <conditionalFormatting sqref="Z30:Z37 S30:S37 AB30:AE37 AH30:AH37">
    <cfRule type="expression" dxfId="832" priority="182" stopIfTrue="1">
      <formula>IF($I30="",TRUE, FALSE)</formula>
    </cfRule>
  </conditionalFormatting>
  <conditionalFormatting sqref="X30:Y37">
    <cfRule type="expression" dxfId="831" priority="181" stopIfTrue="1">
      <formula>IF($I30="",TRUE, FALSE)</formula>
    </cfRule>
  </conditionalFormatting>
  <conditionalFormatting sqref="W30:W37">
    <cfRule type="expression" dxfId="830" priority="180" stopIfTrue="1">
      <formula>IF($I30="",TRUE, FALSE)</formula>
    </cfRule>
  </conditionalFormatting>
  <conditionalFormatting sqref="AI30:AI37">
    <cfRule type="cellIs" dxfId="829" priority="178" stopIfTrue="1" operator="equal">
      <formula>0</formula>
    </cfRule>
    <cfRule type="expression" dxfId="828" priority="179" stopIfTrue="1">
      <formula>IF($I30="",TRUE, FALSE)</formula>
    </cfRule>
  </conditionalFormatting>
  <conditionalFormatting sqref="Z39:Z46 S39:S46 AB39:AE46 AH39:AH46">
    <cfRule type="expression" dxfId="827" priority="177" stopIfTrue="1">
      <formula>IF($I39="",TRUE, FALSE)</formula>
    </cfRule>
  </conditionalFormatting>
  <conditionalFormatting sqref="X39:Y46">
    <cfRule type="expression" dxfId="826" priority="176" stopIfTrue="1">
      <formula>IF($I39="",TRUE, FALSE)</formula>
    </cfRule>
  </conditionalFormatting>
  <conditionalFormatting sqref="W39:W46">
    <cfRule type="expression" dxfId="825" priority="175" stopIfTrue="1">
      <formula>IF($I39="",TRUE, FALSE)</formula>
    </cfRule>
  </conditionalFormatting>
  <conditionalFormatting sqref="AI39:AI46">
    <cfRule type="cellIs" dxfId="824" priority="173" stopIfTrue="1" operator="equal">
      <formula>0</formula>
    </cfRule>
    <cfRule type="expression" dxfId="823" priority="174" stopIfTrue="1">
      <formula>IF($I39="",TRUE, FALSE)</formula>
    </cfRule>
  </conditionalFormatting>
  <conditionalFormatting sqref="Z39:Z46 S39:S46 AB39:AE46 AH39:AH46">
    <cfRule type="expression" dxfId="822" priority="172" stopIfTrue="1">
      <formula>IF($I39="",TRUE, FALSE)</formula>
    </cfRule>
  </conditionalFormatting>
  <conditionalFormatting sqref="X39:Y46">
    <cfRule type="expression" dxfId="821" priority="171" stopIfTrue="1">
      <formula>IF($I39="",TRUE, FALSE)</formula>
    </cfRule>
  </conditionalFormatting>
  <conditionalFormatting sqref="W39:W46">
    <cfRule type="expression" dxfId="820" priority="170" stopIfTrue="1">
      <formula>IF($I39="",TRUE, FALSE)</formula>
    </cfRule>
  </conditionalFormatting>
  <conditionalFormatting sqref="AI39:AI46">
    <cfRule type="cellIs" dxfId="819" priority="168" stopIfTrue="1" operator="equal">
      <formula>0</formula>
    </cfRule>
    <cfRule type="expression" dxfId="818" priority="169" stopIfTrue="1">
      <formula>IF($I39="",TRUE, FALSE)</formula>
    </cfRule>
  </conditionalFormatting>
  <conditionalFormatting sqref="AA4">
    <cfRule type="expression" dxfId="817" priority="121">
      <formula>LEFT($U$1,1)="c"</formula>
    </cfRule>
  </conditionalFormatting>
  <conditionalFormatting sqref="U3">
    <cfRule type="expression" dxfId="816" priority="120">
      <formula>OR(LEFT($U$1,1)="G",LEFT($U$1,1)="C")</formula>
    </cfRule>
  </conditionalFormatting>
  <conditionalFormatting sqref="AA1">
    <cfRule type="expression" dxfId="815" priority="57867" stopIfTrue="1">
      <formula>MIN(AB8:AB9)&gt;AA1</formula>
    </cfRule>
  </conditionalFormatting>
  <conditionalFormatting sqref="L8">
    <cfRule type="cellIs" dxfId="814" priority="1" stopIfTrue="1" operator="equal">
      <formula>0</formula>
    </cfRule>
    <cfRule type="expression" dxfId="813" priority="2" stopIfTrue="1">
      <formula>IF($CB7="DNE",TRUE,FALSE)</formula>
    </cfRule>
  </conditionalFormatting>
  <conditionalFormatting sqref="M8">
    <cfRule type="cellIs" dxfId="812" priority="3" stopIfTrue="1" operator="equal">
      <formula>0</formula>
    </cfRule>
    <cfRule type="expression" dxfId="811" priority="4" stopIfTrue="1">
      <formula>IF($CC7="DNE",TRUE,FALSE)</formula>
    </cfRule>
  </conditionalFormatting>
  <conditionalFormatting sqref="K8">
    <cfRule type="cellIs" dxfId="810" priority="5" stopIfTrue="1" operator="equal">
      <formula>0</formula>
    </cfRule>
    <cfRule type="expression" dxfId="809" priority="6" stopIfTrue="1">
      <formula>IF($CA7="DNE",TRUE,FALSE)</formula>
    </cfRule>
  </conditionalFormatting>
  <conditionalFormatting sqref="N8">
    <cfRule type="cellIs" dxfId="808" priority="7" stopIfTrue="1" operator="equal">
      <formula>0</formula>
    </cfRule>
    <cfRule type="expression" dxfId="807" priority="8" stopIfTrue="1">
      <formula>IF($CD7="DNE",TRUE,FALSE)</formula>
    </cfRule>
  </conditionalFormatting>
  <conditionalFormatting sqref="AN8">
    <cfRule type="cellIs" dxfId="806" priority="9" stopIfTrue="1" operator="equal">
      <formula>"0"</formula>
    </cfRule>
  </conditionalFormatting>
  <dataValidations count="31">
    <dataValidation type="list" allowBlank="1" showInputMessage="1" showErrorMessage="1" sqref="X593" xr:uid="{907730E3-6429-4A81-B56E-E788685F30AF}">
      <formula1>$DW593:$DY593</formula1>
    </dataValidation>
    <dataValidation type="list" allowBlank="1" showInputMessage="1" showErrorMessage="1" sqref="AI591 AI599 AI597 AI593 AI595" xr:uid="{1A38D71C-A194-44CD-BBFD-E71FB879699D}">
      <formula1>$AZ$280:$AZ$284</formula1>
    </dataValidation>
    <dataValidation type="list" allowBlank="1" showInputMessage="1" showErrorMessage="1" sqref="AN591 AN599 AN597 AN593 AN595" xr:uid="{EEC5A5BD-1988-4CDC-89A7-C4A9EE975A18}">
      <formula1>$AZ$289:$AZ$292</formula1>
    </dataValidation>
    <dataValidation type="list" allowBlank="1" showInputMessage="1" showErrorMessage="1" sqref="AK591:AL591 AK597:AL597 AK595:AL595 AK593:AL593 AK599:AL599" xr:uid="{FB20CEA1-938B-4B2D-A691-FA4EA06159DD}">
      <formula1>$BB$280:$BB$284</formula1>
    </dataValidation>
    <dataValidation type="whole" operator="greaterThanOrEqual" allowBlank="1" showInputMessage="1" showErrorMessage="1" errorTitle="INVALID ENTRY" error="CASE QUANTITY HAS TO BE A WHOLE NUMBER GREATER THAN, OR EQUAL TO ZERO (0)." sqref="K597:N597 K612:N612 K614:N614 K603:N603 K605:N605 K591:N591 K593:N593 K595:N595 K599:N599 K601:N601 K589:N589 K11:N11 K14:N14 K8:N8" xr:uid="{D4311A4D-6064-44F0-AD88-134C6E2EA6F7}">
      <formula1>0</formula1>
    </dataValidation>
    <dataValidation type="list" allowBlank="1" showInputMessage="1" showErrorMessage="1" sqref="F593" xr:uid="{2B62A621-A89D-4894-B307-9C0124FE3451}">
      <formula1>$BD$207:$BD$213</formula1>
    </dataValidation>
    <dataValidation type="custom" allowBlank="1" showInputMessage="1" showErrorMessage="1" errorTitle="INVALID ACTION" error="You can not change the content of this cell." sqref="A605" xr:uid="{0C4A2DFB-F414-4A44-AB48-D4426ADC00AA}">
      <formula1>IF(A605&lt;&gt;"-",TRUE,FALSE)</formula1>
    </dataValidation>
    <dataValidation type="list" allowBlank="1" showInputMessage="1" showErrorMessage="1" sqref="F603 F614 F589 F591 F595 F597 F599 F601 F605 F612 F11 F14 F8" xr:uid="{85ED6375-AE78-4B8B-AD91-F358723F5797}">
      <formula1>$BD$207:$BD$212</formula1>
    </dataValidation>
    <dataValidation type="list" allowBlank="1" showInputMessage="1" showErrorMessage="1" sqref="AH591 AH607 AH595 AH593 AH599 AH597" xr:uid="{E95BFD71-CB30-4BCB-82CE-FE2BDAC6FCCA}">
      <formula1>$AZ$274:$AZ$279</formula1>
    </dataValidation>
    <dataValidation type="list" allowBlank="1" showInputMessage="1" showErrorMessage="1" sqref="X21:Y28 X30:Y37 X617:Y624 X626:Y633 X635:Y642 X39:Y46" xr:uid="{1BE72605-49FA-4829-B6C3-CD0055FCCD5F}">
      <formula1>$BB$293:$BB$299</formula1>
    </dataValidation>
    <dataValidation type="list" allowBlank="1" showInputMessage="1" showErrorMessage="1" sqref="W593" xr:uid="{E2CD1A9F-900A-47D8-8818-356E6069F2EE}">
      <formula1>evapdx_1C</formula1>
    </dataValidation>
    <dataValidation type="list" allowBlank="1" showInputMessage="1" showErrorMessage="1" sqref="R591" xr:uid="{EF6EAE96-5933-46A7-B65E-407388D213BC}">
      <formula1>model1_1C</formula1>
    </dataValidation>
    <dataValidation type="list" allowBlank="1" showInputMessage="1" showErrorMessage="1" sqref="U2" xr:uid="{6EA09C86-E388-4576-8312-5AE97B5E555B}">
      <formula1>$AZ$269:$AZ$272</formula1>
    </dataValidation>
    <dataValidation type="list" allowBlank="1" showInputMessage="1" showErrorMessage="1" sqref="U1" xr:uid="{118913DC-02AD-4DF6-A14B-68D15B36463A}">
      <formula1>INDIRECT("EnterRefrigTable")</formula1>
    </dataValidation>
    <dataValidation type="list" allowBlank="1" showInputMessage="1" showErrorMessage="1" sqref="AC4" xr:uid="{1A698BC0-257E-49FD-A47B-08944FE66AAB}">
      <formula1>$AZ$236:$AZ$238</formula1>
    </dataValidation>
    <dataValidation type="list" allowBlank="1" showInputMessage="1" showErrorMessage="1" sqref="AC3" xr:uid="{1462A9F6-7098-4413-A1B7-A5BFBFEEA9C2}">
      <formula1>$AZ$294:$AZ$296</formula1>
    </dataValidation>
    <dataValidation type="list" allowBlank="1" showInputMessage="1" showErrorMessage="1" sqref="AC2" xr:uid="{1537B0E7-166D-46BE-93E2-6DF8A6C0C9A7}">
      <formula1>$AZ$227:$AZ$234</formula1>
    </dataValidation>
    <dataValidation type="list" allowBlank="1" showInputMessage="1" showErrorMessage="1" sqref="AC1" xr:uid="{7254D6E5-DA45-4424-8002-4C5039E0E003}">
      <formula1>$BD$197:$BD$201</formula1>
    </dataValidation>
    <dataValidation type="list" allowBlank="1" showInputMessage="1" showErrorMessage="1" sqref="AA1:AA3" xr:uid="{A7B0A782-571B-4712-916A-21977206BD86}">
      <formula1>$AZ$304:$AZ$377</formula1>
    </dataValidation>
    <dataValidation type="list" allowBlank="1" showInputMessage="1" showErrorMessage="1" sqref="W574" xr:uid="{A11F50F2-913A-416C-B70B-BC8F21B2674D}">
      <formula1>$S$577:$S$579</formula1>
    </dataValidation>
    <dataValidation type="list" allowBlank="1" showInputMessage="1" showErrorMessage="1" sqref="U578" xr:uid="{F42E0917-27E4-4481-A2BF-3CA01157E308}">
      <formula1>$S$576:$S$579</formula1>
    </dataValidation>
    <dataValidation type="list" allowBlank="1" showInputMessage="1" showErrorMessage="1" sqref="W1" xr:uid="{4D35979E-2878-4881-9FBD-3508A4221DF2}">
      <formula1>$AZ$240:$AZ$246</formula1>
    </dataValidation>
    <dataValidation type="list" allowBlank="1" showInputMessage="1" showErrorMessage="1" sqref="BA226" xr:uid="{C54EE6AB-E5C3-4CEA-8C07-4FA677F90462}">
      <formula1>$AZ$216:$AZ$224</formula1>
    </dataValidation>
    <dataValidation type="list" allowBlank="1" showInputMessage="1" showErrorMessage="1" sqref="R2:S2" xr:uid="{1731B8CD-DEE6-4E32-9F01-765639FFBB4E}">
      <formula1>$AZ$216:$AZ$225</formula1>
    </dataValidation>
    <dataValidation type="list" allowBlank="1" showInputMessage="1" showErrorMessage="1" sqref="BA348" xr:uid="{62408144-5D2B-4C43-AE13-ECBDCA45D728}">
      <formula1>$BA$346:$BC$346</formula1>
    </dataValidation>
    <dataValidation type="list" allowBlank="1" showInputMessage="1" showErrorMessage="1" sqref="U4" xr:uid="{67F6655E-CE22-48FA-A363-61B5A48E4CD7}">
      <formula1>$BB$337:$BB$342</formula1>
    </dataValidation>
    <dataValidation type="list" allowBlank="1" showInputMessage="1" showErrorMessage="1" sqref="W4" xr:uid="{117E33E1-7845-47A4-9294-9A5F12D65F30}">
      <formula1>$BB$240:$BB$259</formula1>
    </dataValidation>
    <dataValidation type="list" allowBlank="1" showInputMessage="1" showErrorMessage="1" sqref="AT3" xr:uid="{67A85101-1DC8-4DBC-AF95-0F35FC153561}">
      <formula1>$AZ$177:$AZ$182</formula1>
    </dataValidation>
    <dataValidation type="list" allowBlank="1" showInputMessage="1" showErrorMessage="1" sqref="H3:L3" xr:uid="{7C1B1504-6139-42A0-95FD-12D216A05AC8}">
      <formula1>$AZ$197:$AZ$213</formula1>
    </dataValidation>
    <dataValidation type="list" allowBlank="1" showInputMessage="1" showErrorMessage="1" sqref="H2:L2" xr:uid="{B831B31D-A2D2-4334-926A-08615FD2C9B2}">
      <formula1>$AZ$191:$AZ$195</formula1>
    </dataValidation>
    <dataValidation type="list" allowBlank="1" showInputMessage="1" showErrorMessage="1" sqref="T595:U595 T597:U597 T591:U591 T607:U607 T599:U599" xr:uid="{FAB6ABDF-CFF7-457B-9BEC-FB6E65EB663A}">
      <formula1>$BD$218:$BD$332</formula1>
    </dataValidation>
  </dataValidations>
  <printOptions horizontalCentered="1" verticalCentered="1"/>
  <pageMargins left="0.5" right="0.5" top="0.45" bottom="0.45" header="0.5" footer="0.5"/>
  <pageSetup paperSize="3" scale="70" orientation="landscape" horizontalDpi="300" verticalDpi="300" r:id="rId1"/>
  <headerFooter alignWithMargins="0"/>
  <colBreaks count="1" manualBreakCount="1">
    <brk id="46" max="60" man="1"/>
  </colBreaks>
  <drawing r:id="rId2"/>
  <legacyDrawing r:id="rId3"/>
  <controls>
    <mc:AlternateContent xmlns:mc="http://schemas.openxmlformats.org/markup-compatibility/2006">
      <mc:Choice Requires="x14">
        <control shapeId="6299907" r:id="rId4" name="SetPrintAreas">
          <controlPr defaultSize="0" autoLine="0" r:id="rId5">
            <anchor moveWithCells="1">
              <from>
                <xdr:col>0</xdr:col>
                <xdr:colOff>180975</xdr:colOff>
                <xdr:row>1</xdr:row>
                <xdr:rowOff>57150</xdr:rowOff>
              </from>
              <to>
                <xdr:col>2</xdr:col>
                <xdr:colOff>238125</xdr:colOff>
                <xdr:row>1</xdr:row>
                <xdr:rowOff>304800</xdr:rowOff>
              </to>
            </anchor>
          </controlPr>
        </control>
      </mc:Choice>
      <mc:Fallback>
        <control shapeId="6299907" r:id="rId4" name="SetPrintAreas"/>
      </mc:Fallback>
    </mc:AlternateContent>
    <mc:AlternateContent xmlns:mc="http://schemas.openxmlformats.org/markup-compatibility/2006">
      <mc:Choice Requires="x14">
        <control shapeId="6299896" r:id="rId6" name="SG2BulkAdd">
          <controlPr defaultSize="0" print="0" autoLine="0" r:id="rId7">
            <anchor moveWithCells="1">
              <from>
                <xdr:col>4</xdr:col>
                <xdr:colOff>57150</xdr:colOff>
                <xdr:row>1</xdr:row>
                <xdr:rowOff>371475</xdr:rowOff>
              </from>
              <to>
                <xdr:col>6</xdr:col>
                <xdr:colOff>0</xdr:colOff>
                <xdr:row>2</xdr:row>
                <xdr:rowOff>257175</xdr:rowOff>
              </to>
            </anchor>
          </controlPr>
        </control>
      </mc:Choice>
      <mc:Fallback>
        <control shapeId="6299896" r:id="rId6" name="SG2BulkAdd"/>
      </mc:Fallback>
    </mc:AlternateContent>
    <mc:AlternateContent xmlns:mc="http://schemas.openxmlformats.org/markup-compatibility/2006">
      <mc:Choice Requires="x14">
        <control shapeId="5904058" r:id="rId8" name="BulkAdd">
          <controlPr defaultSize="0" print="0" autoLine="0" r:id="rId9">
            <anchor moveWithCells="1">
              <from>
                <xdr:col>0</xdr:col>
                <xdr:colOff>171450</xdr:colOff>
                <xdr:row>1</xdr:row>
                <xdr:rowOff>371475</xdr:rowOff>
              </from>
              <to>
                <xdr:col>2</xdr:col>
                <xdr:colOff>228600</xdr:colOff>
                <xdr:row>2</xdr:row>
                <xdr:rowOff>257175</xdr:rowOff>
              </to>
            </anchor>
          </controlPr>
        </control>
      </mc:Choice>
      <mc:Fallback>
        <control shapeId="5904058" r:id="rId8" name="BulkAdd"/>
      </mc:Fallback>
    </mc:AlternateContent>
    <mc:AlternateContent xmlns:mc="http://schemas.openxmlformats.org/markup-compatibility/2006">
      <mc:Choice Requires="x14">
        <control shapeId="1626" r:id="rId10" name="CommandButton7">
          <controlPr defaultSize="0" print="0" autoFill="0" autoLine="0" r:id="rId11">
            <anchor moveWithCells="1">
              <from>
                <xdr:col>5</xdr:col>
                <xdr:colOff>95250</xdr:colOff>
                <xdr:row>48</xdr:row>
                <xdr:rowOff>0</xdr:rowOff>
              </from>
              <to>
                <xdr:col>5</xdr:col>
                <xdr:colOff>790575</xdr:colOff>
                <xdr:row>51</xdr:row>
                <xdr:rowOff>114300</xdr:rowOff>
              </to>
            </anchor>
          </controlPr>
        </control>
      </mc:Choice>
      <mc:Fallback>
        <control shapeId="1626" r:id="rId10" name="CommandButton7"/>
      </mc:Fallback>
    </mc:AlternateContent>
    <mc:AlternateContent xmlns:mc="http://schemas.openxmlformats.org/markup-compatibility/2006">
      <mc:Choice Requires="x14">
        <control shapeId="1599" r:id="rId12" name="CommandButton6">
          <controlPr defaultSize="0" print="0" autoFill="0" autoLine="0" r:id="rId13">
            <anchor moveWithCells="1">
              <from>
                <xdr:col>1</xdr:col>
                <xdr:colOff>400050</xdr:colOff>
                <xdr:row>48</xdr:row>
                <xdr:rowOff>0</xdr:rowOff>
              </from>
              <to>
                <xdr:col>5</xdr:col>
                <xdr:colOff>28575</xdr:colOff>
                <xdr:row>51</xdr:row>
                <xdr:rowOff>114300</xdr:rowOff>
              </to>
            </anchor>
          </controlPr>
        </control>
      </mc:Choice>
      <mc:Fallback>
        <control shapeId="1599" r:id="rId12" name="CommandButton6"/>
      </mc:Fallback>
    </mc:AlternateContent>
    <mc:AlternateContent xmlns:mc="http://schemas.openxmlformats.org/markup-compatibility/2006">
      <mc:Choice Requires="x14">
        <control shapeId="1598" r:id="rId14" name="CommandButton5">
          <controlPr defaultSize="0" print="0" autoLine="0" autoPict="0" r:id="rId15">
            <anchor moveWithCells="1">
              <from>
                <xdr:col>0</xdr:col>
                <xdr:colOff>57150</xdr:colOff>
                <xdr:row>17</xdr:row>
                <xdr:rowOff>0</xdr:rowOff>
              </from>
              <to>
                <xdr:col>1</xdr:col>
                <xdr:colOff>333375</xdr:colOff>
                <xdr:row>51</xdr:row>
                <xdr:rowOff>114300</xdr:rowOff>
              </to>
            </anchor>
          </controlPr>
        </control>
      </mc:Choice>
      <mc:Fallback>
        <control shapeId="1598" r:id="rId14" name="CommandButton5"/>
      </mc:Fallback>
    </mc:AlternateContent>
    <mc:AlternateContent xmlns:mc="http://schemas.openxmlformats.org/markup-compatibility/2006">
      <mc:Choice Requires="x14">
        <control shapeId="1469" r:id="rId16" name="CommandButton4">
          <controlPr defaultSize="0" print="0" autoLine="0" r:id="rId17">
            <anchor moveWithCells="1">
              <from>
                <xdr:col>0</xdr:col>
                <xdr:colOff>171450</xdr:colOff>
                <xdr:row>3</xdr:row>
                <xdr:rowOff>171450</xdr:rowOff>
              </from>
              <to>
                <xdr:col>2</xdr:col>
                <xdr:colOff>228600</xdr:colOff>
                <xdr:row>3</xdr:row>
                <xdr:rowOff>419100</xdr:rowOff>
              </to>
            </anchor>
          </controlPr>
        </control>
      </mc:Choice>
      <mc:Fallback>
        <control shapeId="1469" r:id="rId16" name="CommandButton4"/>
      </mc:Fallback>
    </mc:AlternateContent>
    <mc:AlternateContent xmlns:mc="http://schemas.openxmlformats.org/markup-compatibility/2006">
      <mc:Choice Requires="x14">
        <control shapeId="1468" r:id="rId18" name="CommandButton3">
          <controlPr defaultSize="0" print="0" autoLine="0" r:id="rId19">
            <anchor moveWithCells="1">
              <from>
                <xdr:col>4</xdr:col>
                <xdr:colOff>47625</xdr:colOff>
                <xdr:row>3</xdr:row>
                <xdr:rowOff>171450</xdr:rowOff>
              </from>
              <to>
                <xdr:col>6</xdr:col>
                <xdr:colOff>9525</xdr:colOff>
                <xdr:row>3</xdr:row>
                <xdr:rowOff>419100</xdr:rowOff>
              </to>
            </anchor>
          </controlPr>
        </control>
      </mc:Choice>
      <mc:Fallback>
        <control shapeId="1468" r:id="rId18" name="CommandButton3"/>
      </mc:Fallback>
    </mc:AlternateContent>
    <mc:AlternateContent xmlns:mc="http://schemas.openxmlformats.org/markup-compatibility/2006">
      <mc:Choice Requires="x14">
        <control shapeId="1467" r:id="rId20" name="CommandButton2">
          <controlPr defaultSize="0" print="0" autoLine="0" r:id="rId21">
            <anchor moveWithCells="1">
              <from>
                <xdr:col>4</xdr:col>
                <xdr:colOff>47625</xdr:colOff>
                <xdr:row>2</xdr:row>
                <xdr:rowOff>333375</xdr:rowOff>
              </from>
              <to>
                <xdr:col>6</xdr:col>
                <xdr:colOff>9525</xdr:colOff>
                <xdr:row>3</xdr:row>
                <xdr:rowOff>85725</xdr:rowOff>
              </to>
            </anchor>
          </controlPr>
        </control>
      </mc:Choice>
      <mc:Fallback>
        <control shapeId="1467" r:id="rId20" name="CommandButton2"/>
      </mc:Fallback>
    </mc:AlternateContent>
    <mc:AlternateContent xmlns:mc="http://schemas.openxmlformats.org/markup-compatibility/2006">
      <mc:Choice Requires="x14">
        <control shapeId="1466" r:id="rId22" name="CommandButton1">
          <controlPr defaultSize="0" print="0" autoLine="0" r:id="rId23">
            <anchor moveWithCells="1">
              <from>
                <xdr:col>0</xdr:col>
                <xdr:colOff>171450</xdr:colOff>
                <xdr:row>2</xdr:row>
                <xdr:rowOff>333375</xdr:rowOff>
              </from>
              <to>
                <xdr:col>2</xdr:col>
                <xdr:colOff>228600</xdr:colOff>
                <xdr:row>3</xdr:row>
                <xdr:rowOff>85725</xdr:rowOff>
              </to>
            </anchor>
          </controlPr>
        </control>
      </mc:Choice>
      <mc:Fallback>
        <control shapeId="1466" r:id="rId22" name="CommandButton1"/>
      </mc:Fallback>
    </mc:AlternateContent>
    <mc:AlternateContent xmlns:mc="http://schemas.openxmlformats.org/markup-compatibility/2006">
      <mc:Choice Requires="x14">
        <control shapeId="6299900" r:id="rId24" name="CommandButton8">
          <controlPr defaultSize="0" print="0" autoLine="0" r:id="rId25">
            <anchor moveWithCells="1">
              <from>
                <xdr:col>0</xdr:col>
                <xdr:colOff>180975</xdr:colOff>
                <xdr:row>0</xdr:row>
                <xdr:rowOff>95250</xdr:rowOff>
              </from>
              <to>
                <xdr:col>2</xdr:col>
                <xdr:colOff>238125</xdr:colOff>
                <xdr:row>0</xdr:row>
                <xdr:rowOff>466725</xdr:rowOff>
              </to>
            </anchor>
          </controlPr>
        </control>
      </mc:Choice>
      <mc:Fallback>
        <control shapeId="6299900" r:id="rId24" name="CommandButton8"/>
      </mc:Fallback>
    </mc:AlternateContent>
    <mc:AlternateContent xmlns:mc="http://schemas.openxmlformats.org/markup-compatibility/2006">
      <mc:Choice Requires="x14">
        <control shapeId="6299905" r:id="rId26" name="Toggle_Skid">
          <controlPr defaultSize="0" print="0" autoLine="0" autoPict="0" r:id="rId27">
            <anchor moveWithCells="1">
              <from>
                <xdr:col>4</xdr:col>
                <xdr:colOff>57150</xdr:colOff>
                <xdr:row>0</xdr:row>
                <xdr:rowOff>95250</xdr:rowOff>
              </from>
              <to>
                <xdr:col>6</xdr:col>
                <xdr:colOff>0</xdr:colOff>
                <xdr:row>0</xdr:row>
                <xdr:rowOff>466725</xdr:rowOff>
              </to>
            </anchor>
          </controlPr>
        </control>
      </mc:Choice>
      <mc:Fallback>
        <control shapeId="6299905" r:id="rId26" name="Toggle_Skid"/>
      </mc:Fallback>
    </mc:AlternateContent>
    <mc:AlternateContent xmlns:mc="http://schemas.openxmlformats.org/markup-compatibility/2006">
      <mc:Choice Requires="x14">
        <control shapeId="6299906" r:id="rId28" name="CreateExport">
          <controlPr defaultSize="0" autoLine="0" autoPict="0" r:id="rId29">
            <anchor moveWithCells="1">
              <from>
                <xdr:col>4</xdr:col>
                <xdr:colOff>57150</xdr:colOff>
                <xdr:row>1</xdr:row>
                <xdr:rowOff>57150</xdr:rowOff>
              </from>
              <to>
                <xdr:col>6</xdr:col>
                <xdr:colOff>0</xdr:colOff>
                <xdr:row>1</xdr:row>
                <xdr:rowOff>304800</xdr:rowOff>
              </to>
            </anchor>
          </controlPr>
        </control>
      </mc:Choice>
      <mc:Fallback>
        <control shapeId="6299906" r:id="rId28" name="CreateExport"/>
      </mc:Fallback>
    </mc:AlternateContent>
  </controls>
  <tableParts count="2">
    <tablePart r:id="rId30"/>
    <tablePart r:id="rId3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BBD54B-F58B-443C-A292-53B981353054}">
  <sheetPr codeName="Sheet32"/>
  <dimension ref="A4:X51"/>
  <sheetViews>
    <sheetView workbookViewId="0">
      <selection activeCell="D31" sqref="D31"/>
    </sheetView>
  </sheetViews>
  <sheetFormatPr defaultRowHeight="12.75" x14ac:dyDescent="0.2"/>
  <cols>
    <col min="1" max="1" width="12.7109375" bestFit="1" customWidth="1"/>
    <col min="2" max="2" width="10.7109375" customWidth="1"/>
    <col min="5" max="5" width="6.85546875" bestFit="1" customWidth="1"/>
    <col min="11" max="11" width="12" customWidth="1"/>
    <col min="15" max="16" width="12" bestFit="1" customWidth="1"/>
    <col min="17" max="17" width="10.7109375" customWidth="1"/>
    <col min="18" max="18" width="12.28515625" bestFit="1" customWidth="1"/>
    <col min="19" max="19" width="10.140625" customWidth="1"/>
    <col min="20" max="20" width="10.28515625" customWidth="1"/>
    <col min="22" max="23" width="12" bestFit="1" customWidth="1"/>
    <col min="24" max="24" width="11.42578125" customWidth="1"/>
    <col min="26" max="26" width="12.5703125" bestFit="1" customWidth="1"/>
  </cols>
  <sheetData>
    <row r="4" spans="1:24" ht="13.5" thickBot="1" x14ac:dyDescent="0.25"/>
    <row r="5" spans="1:24" x14ac:dyDescent="0.2">
      <c r="A5" t="s">
        <v>453</v>
      </c>
      <c r="B5" t="s">
        <v>446</v>
      </c>
      <c r="C5" t="s">
        <v>446</v>
      </c>
      <c r="D5" t="s">
        <v>442</v>
      </c>
      <c r="J5" s="186"/>
      <c r="K5" s="212" t="s">
        <v>452</v>
      </c>
      <c r="M5" s="1828" t="s">
        <v>451</v>
      </c>
      <c r="N5" s="1829"/>
      <c r="O5" s="1829"/>
      <c r="P5" s="1829"/>
      <c r="Q5" s="1829"/>
      <c r="R5" s="1829"/>
      <c r="S5" s="1829"/>
      <c r="T5" s="1829"/>
      <c r="U5" s="1829"/>
    </row>
    <row r="6" spans="1:24" ht="63.75" x14ac:dyDescent="0.2">
      <c r="A6" t="s">
        <v>450</v>
      </c>
      <c r="B6" t="s">
        <v>450</v>
      </c>
      <c r="C6" t="s">
        <v>449</v>
      </c>
      <c r="D6" t="s">
        <v>448</v>
      </c>
      <c r="E6" t="s">
        <v>447</v>
      </c>
      <c r="F6" s="208" t="s">
        <v>443</v>
      </c>
      <c r="G6" s="208" t="s">
        <v>446</v>
      </c>
      <c r="H6" s="208" t="s">
        <v>445</v>
      </c>
      <c r="I6" s="208" t="s">
        <v>444</v>
      </c>
      <c r="J6" s="211" t="s">
        <v>443</v>
      </c>
      <c r="K6" s="209" t="s">
        <v>442</v>
      </c>
      <c r="L6" s="210" t="s">
        <v>441</v>
      </c>
      <c r="M6" s="210" t="s">
        <v>440</v>
      </c>
      <c r="N6" s="210" t="s">
        <v>439</v>
      </c>
      <c r="O6" s="210" t="s">
        <v>438</v>
      </c>
      <c r="P6" s="210" t="s">
        <v>437</v>
      </c>
      <c r="Q6" s="210" t="s">
        <v>436</v>
      </c>
      <c r="R6" s="210" t="s">
        <v>435</v>
      </c>
      <c r="S6" s="210" t="s">
        <v>434</v>
      </c>
      <c r="T6" s="209" t="s">
        <v>433</v>
      </c>
      <c r="U6" s="180"/>
      <c r="V6" s="208" t="s">
        <v>432</v>
      </c>
      <c r="W6" s="208" t="s">
        <v>431</v>
      </c>
      <c r="X6" s="208" t="s">
        <v>430</v>
      </c>
    </row>
    <row r="7" spans="1:24" x14ac:dyDescent="0.2">
      <c r="A7" s="195">
        <v>0.375</v>
      </c>
      <c r="B7">
        <v>0.315</v>
      </c>
      <c r="C7" s="202">
        <v>2.6249999999999999E-2</v>
      </c>
      <c r="D7" s="193">
        <v>5.4118842196605418E-4</v>
      </c>
      <c r="E7" t="s">
        <v>576</v>
      </c>
      <c r="F7" s="181">
        <v>0.375</v>
      </c>
      <c r="G7">
        <v>0.315</v>
      </c>
      <c r="H7" s="185">
        <v>7.793113276311181E-2</v>
      </c>
      <c r="I7" s="193">
        <v>5.4118842196605428E-4</v>
      </c>
      <c r="J7" s="204">
        <v>0.375</v>
      </c>
      <c r="K7" s="203">
        <v>7.793113276311181E-2</v>
      </c>
      <c r="L7" s="184"/>
      <c r="M7" s="184"/>
      <c r="N7" s="184"/>
      <c r="O7" s="184"/>
      <c r="T7" s="183"/>
      <c r="X7" s="197">
        <v>1.9047619047619051E-4</v>
      </c>
    </row>
    <row r="8" spans="1:24" x14ac:dyDescent="0.2">
      <c r="A8" s="195">
        <v>0.5</v>
      </c>
      <c r="B8">
        <v>0.43</v>
      </c>
      <c r="C8" s="202">
        <v>3.5833333333333335E-2</v>
      </c>
      <c r="D8" s="193">
        <v>1.0084730584179735E-3</v>
      </c>
      <c r="E8" t="s">
        <v>576</v>
      </c>
      <c r="F8" s="181">
        <v>0.5</v>
      </c>
      <c r="G8" s="202">
        <v>0.43</v>
      </c>
      <c r="H8" s="185">
        <v>0.14522012041218818</v>
      </c>
      <c r="I8" s="193">
        <v>1.0084730584179735E-3</v>
      </c>
      <c r="J8" s="204">
        <v>0.5</v>
      </c>
      <c r="K8" s="203">
        <v>0.14522012041218818</v>
      </c>
      <c r="L8" s="179"/>
      <c r="M8" s="184"/>
      <c r="N8" s="179"/>
      <c r="O8" s="184"/>
      <c r="T8" s="183"/>
      <c r="X8" s="197">
        <v>1.3953488372093022E-4</v>
      </c>
    </row>
    <row r="9" spans="1:24" x14ac:dyDescent="0.2">
      <c r="A9" s="195">
        <v>0.625</v>
      </c>
      <c r="B9">
        <v>0.54500000000000004</v>
      </c>
      <c r="C9" s="202">
        <v>4.5416666666666668E-2</v>
      </c>
      <c r="D9" s="193">
        <v>1.6200200658550491E-3</v>
      </c>
      <c r="E9" t="s">
        <v>576</v>
      </c>
      <c r="F9" s="181">
        <v>0.625</v>
      </c>
      <c r="G9">
        <v>0.54500000000000004</v>
      </c>
      <c r="H9" s="185">
        <v>0.23328288948312711</v>
      </c>
      <c r="I9" s="193">
        <v>1.6200200658550495E-3</v>
      </c>
      <c r="J9" s="204">
        <v>0.625</v>
      </c>
      <c r="K9" s="203">
        <v>0.23328288948312711</v>
      </c>
      <c r="L9" s="179">
        <v>0.5</v>
      </c>
      <c r="M9" s="185">
        <v>0.14522012041218818</v>
      </c>
      <c r="N9" s="179">
        <v>0.5</v>
      </c>
      <c r="O9" s="185">
        <v>0.14522012041218818</v>
      </c>
      <c r="P9" s="185">
        <v>0.29044024082437636</v>
      </c>
      <c r="Q9" s="185">
        <v>0.60811183182043083</v>
      </c>
      <c r="R9" s="199">
        <v>8.2221718742621813E-6</v>
      </c>
      <c r="S9" s="185">
        <v>5.7157351341249246E-2</v>
      </c>
      <c r="T9" s="198">
        <v>0.24501304603989538</v>
      </c>
      <c r="V9" s="193">
        <v>0.29044024082437636</v>
      </c>
      <c r="W9" s="193">
        <v>2.0169461168359471E-3</v>
      </c>
      <c r="X9" s="197">
        <v>1.1009174311926606E-4</v>
      </c>
    </row>
    <row r="10" spans="1:24" x14ac:dyDescent="0.2">
      <c r="A10" s="195">
        <v>0.875</v>
      </c>
      <c r="B10">
        <v>0.78500000000000003</v>
      </c>
      <c r="C10" s="202">
        <v>6.5416666666666665E-2</v>
      </c>
      <c r="D10" s="193">
        <v>3.3609859947193927E-3</v>
      </c>
      <c r="E10" t="s">
        <v>576</v>
      </c>
      <c r="F10" s="181">
        <v>0.875</v>
      </c>
      <c r="G10">
        <v>0.78500000000000003</v>
      </c>
      <c r="H10" s="185">
        <v>0.48398198323959257</v>
      </c>
      <c r="I10" s="193">
        <v>3.3609859947193927E-3</v>
      </c>
      <c r="J10" s="204">
        <v>0.875</v>
      </c>
      <c r="K10" s="203">
        <v>0.48398198323959257</v>
      </c>
      <c r="L10" s="179">
        <v>0.625</v>
      </c>
      <c r="M10" s="185">
        <v>0.23328288948312711</v>
      </c>
      <c r="N10" s="179">
        <v>0.625</v>
      </c>
      <c r="O10" s="185">
        <v>0.23328288948312711</v>
      </c>
      <c r="P10" s="185">
        <v>0.46656577896625423</v>
      </c>
      <c r="Q10" s="185">
        <v>0.7707463914933369</v>
      </c>
      <c r="R10" s="199">
        <v>6.4872181760233715E-6</v>
      </c>
      <c r="S10" s="185">
        <v>-1.7416204273338343E-2</v>
      </c>
      <c r="T10" s="198">
        <v>-3.5985232666639444E-2</v>
      </c>
      <c r="V10" s="193">
        <v>0.46656577896625429</v>
      </c>
      <c r="W10" s="193">
        <v>3.240040131710099E-3</v>
      </c>
      <c r="X10" s="197">
        <v>7.6433121019108287E-5</v>
      </c>
    </row>
    <row r="11" spans="1:24" x14ac:dyDescent="0.2">
      <c r="A11" s="195">
        <v>1.125</v>
      </c>
      <c r="B11">
        <v>1.0249999999999999</v>
      </c>
      <c r="C11" s="202">
        <v>8.5416666666666655E-2</v>
      </c>
      <c r="D11" s="193">
        <v>5.7302704543016935E-3</v>
      </c>
      <c r="E11" t="s">
        <v>576</v>
      </c>
      <c r="F11" s="207">
        <v>1.125</v>
      </c>
      <c r="G11">
        <v>1.0249999999999999</v>
      </c>
      <c r="H11" s="185">
        <v>0.82515894541944401</v>
      </c>
      <c r="I11" s="193">
        <v>5.7302704543016943E-3</v>
      </c>
      <c r="J11" s="206">
        <v>1.125</v>
      </c>
      <c r="K11" s="203">
        <v>0.82515894541944401</v>
      </c>
      <c r="L11" s="179">
        <v>0.625</v>
      </c>
      <c r="M11" s="185">
        <v>0.23328288948312711</v>
      </c>
      <c r="N11" s="179">
        <v>0.875</v>
      </c>
      <c r="O11" s="185">
        <v>0.48398198323959257</v>
      </c>
      <c r="P11" s="185">
        <v>0.71726487272271966</v>
      </c>
      <c r="Q11" s="185">
        <v>0.95564114603756989</v>
      </c>
      <c r="R11" s="199">
        <v>5.2320894937726255E-6</v>
      </c>
      <c r="S11" s="185">
        <v>-0.10789407269672435</v>
      </c>
      <c r="T11" s="198">
        <v>-0.13075550267697789</v>
      </c>
      <c r="V11" s="193">
        <v>0.71726487272271966</v>
      </c>
      <c r="W11" s="193">
        <v>4.9810060605744418E-3</v>
      </c>
      <c r="X11" s="197">
        <v>5.8536585365853673E-5</v>
      </c>
    </row>
    <row r="12" spans="1:24" x14ac:dyDescent="0.2">
      <c r="A12" s="195">
        <v>1.125</v>
      </c>
      <c r="B12">
        <v>1.0249999999999999</v>
      </c>
      <c r="C12" s="202">
        <v>8.5416666666666655E-2</v>
      </c>
      <c r="D12" s="193">
        <v>5.7302704543016935E-3</v>
      </c>
      <c r="E12" t="s">
        <v>576</v>
      </c>
      <c r="F12" s="207">
        <v>1.125</v>
      </c>
      <c r="G12">
        <v>1.0249999999999999</v>
      </c>
      <c r="H12" s="185">
        <v>0.82515894541944401</v>
      </c>
      <c r="I12" s="193">
        <v>5.7302704543016943E-3</v>
      </c>
      <c r="J12" s="206">
        <v>1.125</v>
      </c>
      <c r="K12" s="203">
        <v>0.82515894541944401</v>
      </c>
      <c r="L12" s="179">
        <v>0.875</v>
      </c>
      <c r="M12" s="185">
        <v>0.48398198323959257</v>
      </c>
      <c r="N12" s="179">
        <v>0.875</v>
      </c>
      <c r="O12" s="185">
        <v>0.48398198323959257</v>
      </c>
      <c r="P12" s="185">
        <v>0.96796396647918514</v>
      </c>
      <c r="Q12" s="185">
        <v>1.1101576464628797</v>
      </c>
      <c r="R12" s="199">
        <v>4.5038648483219587E-6</v>
      </c>
      <c r="S12" s="185">
        <v>0.14280502105974113</v>
      </c>
      <c r="T12" s="198">
        <v>0.17306365258774559</v>
      </c>
      <c r="V12" s="193">
        <v>0.96796396647918537</v>
      </c>
      <c r="W12" s="193">
        <v>6.7219719894387872E-3</v>
      </c>
      <c r="X12" s="197">
        <v>5.8536585365853673E-5</v>
      </c>
    </row>
    <row r="13" spans="1:24" x14ac:dyDescent="0.2">
      <c r="A13" s="195">
        <v>1.375</v>
      </c>
      <c r="B13">
        <v>1.2649999999999999</v>
      </c>
      <c r="C13" s="202">
        <v>0.10541666666666666</v>
      </c>
      <c r="D13" s="193">
        <v>8.7278734446019548E-3</v>
      </c>
      <c r="E13" t="s">
        <v>576</v>
      </c>
      <c r="F13" s="181">
        <v>1.375</v>
      </c>
      <c r="G13">
        <v>1.2649999999999999</v>
      </c>
      <c r="H13" s="185">
        <v>1.2568137760226814</v>
      </c>
      <c r="I13" s="193">
        <v>8.7278734446019548E-3</v>
      </c>
      <c r="J13" s="204">
        <v>1.375</v>
      </c>
      <c r="K13" s="203">
        <v>1.2568137760226814</v>
      </c>
      <c r="L13" s="179">
        <v>0.875</v>
      </c>
      <c r="M13" s="185">
        <v>0.48398198323959257</v>
      </c>
      <c r="N13" s="205">
        <v>1.125</v>
      </c>
      <c r="O13" s="185">
        <v>0.82515894541944401</v>
      </c>
      <c r="P13" s="185">
        <v>1.3091409286590365</v>
      </c>
      <c r="Q13" s="185">
        <v>1.2910654514779643</v>
      </c>
      <c r="R13" s="199">
        <v>3.8727703496954271E-6</v>
      </c>
      <c r="S13" s="185">
        <v>5.2327152636355123E-2</v>
      </c>
      <c r="T13" s="198">
        <v>4.1634770110453356E-2</v>
      </c>
      <c r="V13" s="193">
        <v>1.3091409286590365</v>
      </c>
      <c r="W13" s="193">
        <v>9.0912564490210866E-3</v>
      </c>
      <c r="X13" s="197">
        <v>4.7430830039525697E-5</v>
      </c>
    </row>
    <row r="14" spans="1:24" x14ac:dyDescent="0.2">
      <c r="A14" s="195">
        <v>1.625</v>
      </c>
      <c r="B14">
        <v>1.5049999999999999</v>
      </c>
      <c r="C14" s="202">
        <v>0.12541666666666665</v>
      </c>
      <c r="D14" s="193">
        <v>1.2353794965620174E-2</v>
      </c>
      <c r="E14" t="s">
        <v>576</v>
      </c>
      <c r="F14" s="181">
        <v>1.625</v>
      </c>
      <c r="G14">
        <v>1.5049999999999999</v>
      </c>
      <c r="H14" s="185">
        <v>1.7789464750493049</v>
      </c>
      <c r="I14" s="193">
        <v>1.2353794965620174E-2</v>
      </c>
      <c r="J14" s="204">
        <v>1.625</v>
      </c>
      <c r="K14" s="203">
        <v>1.7789464750493049</v>
      </c>
      <c r="L14" s="179">
        <v>0.875</v>
      </c>
      <c r="M14" s="185">
        <v>0.48398198323959257</v>
      </c>
      <c r="N14" s="179">
        <v>1.375</v>
      </c>
      <c r="O14" s="185">
        <v>1.2568137760226814</v>
      </c>
      <c r="P14" s="185">
        <v>1.740795759262274</v>
      </c>
      <c r="Q14" s="185">
        <v>1.4887746639434725</v>
      </c>
      <c r="R14" s="199">
        <v>3.3584666108946132E-6</v>
      </c>
      <c r="S14" s="185">
        <v>-3.8150715787030887E-2</v>
      </c>
      <c r="T14" s="198">
        <v>-2.1445679407511964E-2</v>
      </c>
      <c r="V14" s="193">
        <v>1.7407957592622738</v>
      </c>
      <c r="W14" s="193">
        <v>1.2088859439321345E-2</v>
      </c>
      <c r="X14" s="197">
        <v>3.9867109634551501E-5</v>
      </c>
    </row>
    <row r="15" spans="1:24" x14ac:dyDescent="0.2">
      <c r="A15" s="195">
        <v>2.125</v>
      </c>
      <c r="B15">
        <v>1.9590000000000001</v>
      </c>
      <c r="C15" s="202">
        <v>0.16325000000000001</v>
      </c>
      <c r="D15" s="193">
        <v>2.0931302841008911E-2</v>
      </c>
      <c r="E15" t="s">
        <v>429</v>
      </c>
      <c r="F15" s="181">
        <v>2.125</v>
      </c>
      <c r="G15">
        <v>1.9590000000000001</v>
      </c>
      <c r="H15" s="185">
        <v>3.0141076091052832</v>
      </c>
      <c r="I15" s="193">
        <v>2.0931302841008911E-2</v>
      </c>
      <c r="J15" s="204">
        <v>2.125</v>
      </c>
      <c r="K15" s="203">
        <v>3.0141076091052832</v>
      </c>
      <c r="L15" s="179">
        <v>1.375</v>
      </c>
      <c r="M15" s="185">
        <v>1.2568137760226814</v>
      </c>
      <c r="N15" s="179">
        <v>1.625</v>
      </c>
      <c r="O15" s="185">
        <v>1.7789464750493049</v>
      </c>
      <c r="P15" s="185">
        <v>3.0357602510719861</v>
      </c>
      <c r="Q15" s="185">
        <v>1.9660239062636036</v>
      </c>
      <c r="R15" s="199">
        <v>2.5432040699354563E-6</v>
      </c>
      <c r="S15" s="185">
        <v>2.1652641966702912E-2</v>
      </c>
      <c r="T15" s="198">
        <v>7.1837654041591037E-3</v>
      </c>
      <c r="V15" s="193">
        <v>3.0357602510719861</v>
      </c>
      <c r="W15" s="193">
        <v>2.1081668410222125E-2</v>
      </c>
      <c r="X15" s="197">
        <v>3.0627871362940275E-5</v>
      </c>
    </row>
    <row r="16" spans="1:24" x14ac:dyDescent="0.2">
      <c r="A16" s="195">
        <v>2.625</v>
      </c>
      <c r="B16">
        <v>2.4350000000000001</v>
      </c>
      <c r="C16" s="202">
        <v>0.20291666666666666</v>
      </c>
      <c r="D16" s="193">
        <v>3.2338905731737741E-2</v>
      </c>
      <c r="E16" t="s">
        <v>429</v>
      </c>
      <c r="F16" s="181">
        <v>2.625</v>
      </c>
      <c r="G16">
        <v>2.4350000000000001</v>
      </c>
      <c r="H16" s="185">
        <v>4.6568024253702358</v>
      </c>
      <c r="I16" s="193">
        <v>3.2338905731737748E-2</v>
      </c>
      <c r="J16" s="204">
        <v>2.625</v>
      </c>
      <c r="K16" s="203">
        <v>4.6568024253702358</v>
      </c>
      <c r="L16" s="179">
        <v>1.625</v>
      </c>
      <c r="M16" s="185">
        <v>1.7789464750493049</v>
      </c>
      <c r="N16" s="179">
        <v>2.125</v>
      </c>
      <c r="O16" s="185">
        <v>3.0141076091052832</v>
      </c>
      <c r="P16" s="185">
        <v>4.7930540841545879</v>
      </c>
      <c r="Q16" s="185">
        <v>2.4703655599930952</v>
      </c>
      <c r="R16" s="199">
        <v>2.0239919471731849E-6</v>
      </c>
      <c r="S16" s="185">
        <v>0.13625165878435208</v>
      </c>
      <c r="T16" s="198">
        <v>2.9258629922122914E-2</v>
      </c>
      <c r="V16" s="193">
        <v>4.793054084154587</v>
      </c>
      <c r="W16" s="193">
        <v>3.3285097806629076E-2</v>
      </c>
      <c r="X16" s="197">
        <v>2.4640657084188914E-5</v>
      </c>
    </row>
    <row r="17" spans="1:24" x14ac:dyDescent="0.2">
      <c r="A17" s="194">
        <v>3.125</v>
      </c>
      <c r="B17">
        <v>2.907</v>
      </c>
      <c r="C17" s="202">
        <v>0.24224999999999999</v>
      </c>
      <c r="D17" s="193">
        <v>4.6091140306364464E-2</v>
      </c>
      <c r="E17" t="s">
        <v>429</v>
      </c>
      <c r="F17" s="181">
        <v>3.125</v>
      </c>
      <c r="G17">
        <v>2.907</v>
      </c>
      <c r="H17" s="185">
        <v>6.6371242041164829</v>
      </c>
      <c r="I17" s="193">
        <v>4.6091140306364464E-2</v>
      </c>
      <c r="J17" s="204">
        <v>3.125</v>
      </c>
      <c r="K17" s="203">
        <v>6.6371242041164829</v>
      </c>
      <c r="L17" s="179">
        <v>1.625</v>
      </c>
      <c r="M17" s="185">
        <v>1.7789464750493049</v>
      </c>
      <c r="N17" s="179">
        <v>2.625</v>
      </c>
      <c r="O17" s="185">
        <v>4.6568024253702358</v>
      </c>
      <c r="P17" s="185">
        <v>6.435748900419541</v>
      </c>
      <c r="Q17" s="185">
        <v>2.8625600430383988</v>
      </c>
      <c r="R17" s="199">
        <v>1.7466882527616312E-6</v>
      </c>
      <c r="S17" s="185">
        <v>-0.2013753036969419</v>
      </c>
      <c r="T17" s="198">
        <v>-3.0340746610112324E-2</v>
      </c>
      <c r="V17" s="193">
        <v>6.435748900419541</v>
      </c>
      <c r="W17" s="193">
        <v>4.4692700697357923E-2</v>
      </c>
      <c r="X17" s="197">
        <v>2.0639834881320951E-5</v>
      </c>
    </row>
    <row r="18" spans="1:24" x14ac:dyDescent="0.2">
      <c r="A18" s="194">
        <v>3.625</v>
      </c>
      <c r="B18">
        <v>3.3849999999999998</v>
      </c>
      <c r="C18" s="202">
        <v>0.2820833333333333</v>
      </c>
      <c r="D18" s="193">
        <v>6.2494922713852256E-2</v>
      </c>
      <c r="E18" t="s">
        <v>429</v>
      </c>
      <c r="F18" s="181">
        <v>3.625</v>
      </c>
      <c r="G18">
        <v>3.3849999999999998</v>
      </c>
      <c r="H18" s="185">
        <v>8.9992688707947259</v>
      </c>
      <c r="I18" s="193">
        <v>6.2494922713852263E-2</v>
      </c>
      <c r="J18" s="204">
        <v>3.625</v>
      </c>
      <c r="K18" s="203">
        <v>8.9992688707947259</v>
      </c>
      <c r="L18" s="179">
        <v>2.125</v>
      </c>
      <c r="M18" s="185">
        <v>3.0141076091052832</v>
      </c>
      <c r="N18" s="179">
        <v>3.125</v>
      </c>
      <c r="O18" s="185">
        <v>6.6371242041164829</v>
      </c>
      <c r="P18" s="185">
        <v>9.6512318132217665</v>
      </c>
      <c r="Q18" s="185">
        <v>3.5054714376243323</v>
      </c>
      <c r="R18" s="199">
        <v>1.4263416744278236E-6</v>
      </c>
      <c r="S18" s="185">
        <v>0.65196294242704056</v>
      </c>
      <c r="T18" s="198">
        <v>7.244621221873393E-2</v>
      </c>
      <c r="V18" s="193">
        <v>9.6512318132217683</v>
      </c>
      <c r="W18" s="193">
        <v>6.7022443147373392E-2</v>
      </c>
      <c r="X18" s="197">
        <v>1.7725258493353032E-5</v>
      </c>
    </row>
    <row r="19" spans="1:24" ht="13.5" thickBot="1" x14ac:dyDescent="0.25">
      <c r="A19" s="194">
        <v>4.125</v>
      </c>
      <c r="B19">
        <v>3.8570000000000002</v>
      </c>
      <c r="C19" s="202">
        <v>0.32141666666666668</v>
      </c>
      <c r="D19" s="193">
        <v>8.1138442517193113E-2</v>
      </c>
      <c r="E19" t="s">
        <v>429</v>
      </c>
      <c r="F19" s="181">
        <v>4.125</v>
      </c>
      <c r="G19">
        <v>3.8570000000000002</v>
      </c>
      <c r="H19" s="185">
        <v>11.683935722475807</v>
      </c>
      <c r="I19" s="193">
        <v>8.1138442517193099E-2</v>
      </c>
      <c r="J19" s="201">
        <v>4.125</v>
      </c>
      <c r="K19" s="200">
        <v>11.683935722475807</v>
      </c>
      <c r="L19" s="179">
        <v>2.625</v>
      </c>
      <c r="M19" s="185">
        <v>4.6568024253702358</v>
      </c>
      <c r="N19" s="179">
        <v>3.125</v>
      </c>
      <c r="O19" s="185">
        <v>6.6371242041164829</v>
      </c>
      <c r="P19" s="185">
        <v>11.293917089915</v>
      </c>
      <c r="Q19" s="185">
        <v>3.7920788301194439</v>
      </c>
      <c r="R19" s="199">
        <v>1.3185379903725549E-6</v>
      </c>
      <c r="S19" s="185">
        <v>-0.39000876356250025</v>
      </c>
      <c r="T19" s="198">
        <v>-3.3379941678286285E-2</v>
      </c>
      <c r="V19" s="193">
        <v>11.293917089915002</v>
      </c>
      <c r="W19" s="193">
        <v>7.842997979107641E-2</v>
      </c>
      <c r="X19" s="197">
        <v>1.55561317085818E-5</v>
      </c>
    </row>
    <row r="20" spans="1:24" x14ac:dyDescent="0.2">
      <c r="Q20" s="184"/>
      <c r="R20" s="184"/>
      <c r="S20" s="184"/>
      <c r="T20" s="184"/>
      <c r="U20" s="184"/>
      <c r="V20" s="184"/>
    </row>
    <row r="21" spans="1:24" x14ac:dyDescent="0.2">
      <c r="Q21" s="184"/>
      <c r="R21" s="184"/>
      <c r="S21" s="184"/>
      <c r="T21" s="184"/>
      <c r="U21" s="184"/>
      <c r="V21" s="184"/>
    </row>
    <row r="22" spans="1:24" x14ac:dyDescent="0.2">
      <c r="A22" s="1546" t="s">
        <v>1058</v>
      </c>
      <c r="Q22" s="184"/>
      <c r="R22" s="184"/>
      <c r="S22" s="184"/>
      <c r="T22" s="184"/>
      <c r="U22" s="184"/>
      <c r="V22" s="184"/>
    </row>
    <row r="23" spans="1:24" x14ac:dyDescent="0.2">
      <c r="A23" s="195">
        <v>0.375</v>
      </c>
      <c r="Q23" s="184"/>
      <c r="R23" s="184"/>
      <c r="S23" s="184"/>
      <c r="T23" s="184"/>
      <c r="U23" s="184"/>
      <c r="V23" s="184"/>
    </row>
    <row r="24" spans="1:24" x14ac:dyDescent="0.2">
      <c r="A24" s="195">
        <v>0.5</v>
      </c>
      <c r="Q24" s="184"/>
      <c r="R24" s="184"/>
      <c r="S24" s="184"/>
      <c r="T24" s="184"/>
      <c r="U24" s="184"/>
      <c r="V24" s="184"/>
    </row>
    <row r="25" spans="1:24" x14ac:dyDescent="0.2">
      <c r="A25" s="195">
        <v>0.625</v>
      </c>
      <c r="F25" s="181"/>
    </row>
    <row r="26" spans="1:24" x14ac:dyDescent="0.2">
      <c r="A26" s="195">
        <v>0.875</v>
      </c>
      <c r="F26" s="181"/>
    </row>
    <row r="27" spans="1:24" x14ac:dyDescent="0.2">
      <c r="A27" s="195">
        <v>1.125</v>
      </c>
      <c r="E27" s="196"/>
      <c r="F27" s="181"/>
    </row>
    <row r="28" spans="1:24" x14ac:dyDescent="0.2">
      <c r="A28" s="195">
        <v>1.375</v>
      </c>
      <c r="E28" s="196"/>
      <c r="F28" s="181"/>
    </row>
    <row r="29" spans="1:24" x14ac:dyDescent="0.2">
      <c r="A29" s="195">
        <v>1.625</v>
      </c>
      <c r="E29" s="196"/>
      <c r="F29" s="181"/>
    </row>
    <row r="30" spans="1:24" x14ac:dyDescent="0.2">
      <c r="A30" s="195">
        <v>2.125</v>
      </c>
    </row>
    <row r="31" spans="1:24" x14ac:dyDescent="0.2">
      <c r="A31" s="195">
        <v>2.625</v>
      </c>
      <c r="I31" s="193"/>
    </row>
    <row r="32" spans="1:24" x14ac:dyDescent="0.2">
      <c r="A32" s="194">
        <v>3.125</v>
      </c>
      <c r="I32" s="193"/>
    </row>
    <row r="33" spans="1:9" x14ac:dyDescent="0.2">
      <c r="A33" s="194">
        <v>3.625</v>
      </c>
      <c r="I33" s="193"/>
    </row>
    <row r="34" spans="1:9" x14ac:dyDescent="0.2">
      <c r="A34" s="194">
        <v>4.125</v>
      </c>
      <c r="I34" s="193"/>
    </row>
    <row r="35" spans="1:9" x14ac:dyDescent="0.2">
      <c r="I35" s="193"/>
    </row>
    <row r="36" spans="1:9" x14ac:dyDescent="0.2">
      <c r="I36" s="193"/>
    </row>
    <row r="37" spans="1:9" x14ac:dyDescent="0.2">
      <c r="A37" t="s">
        <v>609</v>
      </c>
      <c r="B37" s="326" t="s">
        <v>191</v>
      </c>
    </row>
    <row r="38" spans="1:9" x14ac:dyDescent="0.2">
      <c r="A38" t="s">
        <v>707</v>
      </c>
      <c r="B38" t="s">
        <v>707</v>
      </c>
    </row>
    <row r="39" spans="1:9" x14ac:dyDescent="0.2">
      <c r="A39" t="s">
        <v>202</v>
      </c>
      <c r="B39" t="s">
        <v>202</v>
      </c>
    </row>
    <row r="40" spans="1:9" x14ac:dyDescent="0.2">
      <c r="A40" s="326" t="s">
        <v>344</v>
      </c>
      <c r="B40" t="s">
        <v>192</v>
      </c>
    </row>
    <row r="41" spans="1:9" x14ac:dyDescent="0.2">
      <c r="A41" s="326" t="s">
        <v>709</v>
      </c>
      <c r="B41" t="s">
        <v>705</v>
      </c>
    </row>
    <row r="42" spans="1:9" x14ac:dyDescent="0.2">
      <c r="A42" s="326" t="s">
        <v>710</v>
      </c>
      <c r="B42" t="s">
        <v>706</v>
      </c>
    </row>
    <row r="43" spans="1:9" x14ac:dyDescent="0.2">
      <c r="A43" s="326" t="s">
        <v>345</v>
      </c>
      <c r="B43" t="s">
        <v>193</v>
      </c>
    </row>
    <row r="44" spans="1:9" x14ac:dyDescent="0.2">
      <c r="A44" s="326" t="s">
        <v>1232</v>
      </c>
      <c r="B44" t="s">
        <v>1231</v>
      </c>
    </row>
    <row r="45" spans="1:9" x14ac:dyDescent="0.2">
      <c r="A45" s="326" t="s">
        <v>1265</v>
      </c>
      <c r="B45" t="s">
        <v>1266</v>
      </c>
    </row>
    <row r="46" spans="1:9" x14ac:dyDescent="0.2">
      <c r="A46" s="326" t="s">
        <v>346</v>
      </c>
      <c r="B46" t="s">
        <v>194</v>
      </c>
    </row>
    <row r="47" spans="1:9" x14ac:dyDescent="0.2">
      <c r="A47" s="326" t="s">
        <v>1267</v>
      </c>
      <c r="B47" t="s">
        <v>1268</v>
      </c>
    </row>
    <row r="48" spans="1:9" x14ac:dyDescent="0.2">
      <c r="A48" s="326" t="s">
        <v>307</v>
      </c>
      <c r="B48" t="s">
        <v>708</v>
      </c>
    </row>
    <row r="49" spans="1:2" x14ac:dyDescent="0.2">
      <c r="A49" s="326" t="s">
        <v>1262</v>
      </c>
      <c r="B49" t="s">
        <v>1262</v>
      </c>
    </row>
    <row r="50" spans="1:2" x14ac:dyDescent="0.2">
      <c r="A50" s="326" t="s">
        <v>1126</v>
      </c>
      <c r="B50" s="326" t="s">
        <v>1126</v>
      </c>
    </row>
    <row r="51" spans="1:2" x14ac:dyDescent="0.2">
      <c r="A51" s="326" t="s">
        <v>1101</v>
      </c>
      <c r="B51" s="326" t="s">
        <v>1101</v>
      </c>
    </row>
  </sheetData>
  <sheetProtection sheet="1" objects="1" scenarios="1"/>
  <mergeCells count="1">
    <mergeCell ref="M5:U5"/>
  </mergeCells>
  <phoneticPr fontId="0" type="noConversion"/>
  <pageMargins left="0.75" right="0.75" top="1" bottom="1" header="0.5" footer="0.5"/>
  <pageSetup orientation="portrait" r:id="rId1"/>
  <headerFooter alignWithMargins="0"/>
  <tableParts count="1">
    <tablePart r:id="rId2"/>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3048A3-3AF8-433A-AAEF-1A102FEE21DC}">
  <sheetPr codeName="Sheet10">
    <pageSetUpPr fitToPage="1"/>
  </sheetPr>
  <dimension ref="A1:DH1276"/>
  <sheetViews>
    <sheetView showGridLines="0" topLeftCell="D1" zoomScaleNormal="100" workbookViewId="0">
      <selection activeCell="E5" sqref="E5"/>
    </sheetView>
  </sheetViews>
  <sheetFormatPr defaultRowHeight="15" customHeight="1" x14ac:dyDescent="0.2"/>
  <cols>
    <col min="1" max="2" width="6" style="4" hidden="1" customWidth="1"/>
    <col min="3" max="3" width="7" style="4" hidden="1" customWidth="1"/>
    <col min="4" max="4" width="0.85546875" style="7" customWidth="1"/>
    <col min="5" max="6" width="8.28515625" style="7" customWidth="1"/>
    <col min="7" max="7" width="21.7109375" style="7" customWidth="1"/>
    <col min="8" max="8" width="9.140625" style="7" bestFit="1"/>
    <col min="9" max="9" width="6.42578125" style="7" customWidth="1"/>
    <col min="10" max="11" width="7.7109375" style="7" customWidth="1"/>
    <col min="12" max="12" width="6.42578125" style="7" bestFit="1" customWidth="1"/>
    <col min="13" max="13" width="9.7109375" style="7" bestFit="1" customWidth="1"/>
    <col min="14" max="14" width="9.7109375" style="24" customWidth="1"/>
    <col min="15" max="16" width="9.7109375" style="7" customWidth="1"/>
    <col min="17" max="17" width="10.28515625" style="7" customWidth="1"/>
    <col min="18" max="18" width="0.85546875" style="7" customWidth="1"/>
    <col min="19" max="19" width="17.85546875" style="7" customWidth="1"/>
    <col min="20" max="20" width="3.7109375" style="7" customWidth="1"/>
    <col min="21" max="21" width="9.140625" style="8" hidden="1" customWidth="1"/>
    <col min="22" max="23" width="9.140625" style="7" hidden="1" customWidth="1"/>
    <col min="24" max="25" width="9.7109375" style="7" hidden="1" customWidth="1"/>
    <col min="26" max="26" width="21.7109375" style="92" hidden="1" customWidth="1"/>
    <col min="27" max="28" width="9.140625" style="24" hidden="1" customWidth="1"/>
    <col min="29" max="29" width="7.7109375" style="24" hidden="1" customWidth="1"/>
    <col min="30" max="30" width="21.7109375" style="7" hidden="1" customWidth="1"/>
    <col min="31" max="32" width="9.140625" style="24" hidden="1" customWidth="1"/>
    <col min="33" max="33" width="7.7109375" style="24" hidden="1" customWidth="1"/>
    <col min="34" max="34" width="21.7109375" style="7" hidden="1" customWidth="1"/>
    <col min="35" max="36" width="9.140625" style="7" hidden="1" customWidth="1"/>
    <col min="37" max="37" width="7.7109375" style="7" hidden="1" customWidth="1"/>
    <col min="38" max="38" width="9.140625" style="7" hidden="1" customWidth="1"/>
    <col min="39" max="39" width="16.140625" style="7" hidden="1" customWidth="1"/>
    <col min="40" max="42" width="9.140625" style="7" hidden="1" customWidth="1"/>
    <col min="43" max="43" width="25.42578125" style="7" hidden="1" customWidth="1"/>
    <col min="44" max="52" width="9.140625" style="7" hidden="1" customWidth="1"/>
    <col min="53" max="53" width="9.140625" style="86" hidden="1" customWidth="1"/>
    <col min="54" max="111" width="4.85546875" style="153" hidden="1" customWidth="1"/>
    <col min="112" max="112" width="9.140625" style="7" hidden="1" customWidth="1"/>
    <col min="113" max="16384" width="9.140625" style="7"/>
  </cols>
  <sheetData>
    <row r="1" spans="1:112" ht="6" customHeight="1" thickBot="1" x14ac:dyDescent="0.25">
      <c r="D1" s="5"/>
      <c r="E1" s="5"/>
      <c r="F1" s="5"/>
      <c r="G1" s="5"/>
      <c r="H1" s="5"/>
      <c r="I1" s="5"/>
      <c r="J1" s="5"/>
      <c r="K1" s="5"/>
      <c r="L1" s="5"/>
      <c r="M1" s="5"/>
      <c r="N1" s="5"/>
      <c r="O1" s="5"/>
      <c r="P1" s="5"/>
      <c r="Q1" s="5"/>
      <c r="R1" s="5"/>
      <c r="S1" s="5"/>
      <c r="T1" s="5"/>
      <c r="U1" s="5"/>
      <c r="V1" s="5"/>
      <c r="W1" s="5"/>
      <c r="X1" s="5"/>
      <c r="Y1" s="5"/>
      <c r="Z1" s="85"/>
      <c r="AA1" s="6"/>
      <c r="AB1" s="6"/>
      <c r="AC1" s="6"/>
      <c r="AD1" s="5"/>
      <c r="AE1" s="6"/>
      <c r="AF1" s="6"/>
      <c r="AG1" s="6"/>
      <c r="AH1" s="5"/>
      <c r="AI1" s="5"/>
      <c r="AJ1" s="5"/>
      <c r="AK1" s="5"/>
      <c r="AL1" s="5"/>
    </row>
    <row r="2" spans="1:112" ht="15" customHeight="1" thickBot="1" x14ac:dyDescent="0.25">
      <c r="D2" s="5"/>
      <c r="E2" s="5"/>
      <c r="F2" s="5"/>
      <c r="G2" s="5"/>
      <c r="H2" s="5"/>
      <c r="I2" s="5"/>
      <c r="J2" s="5"/>
      <c r="K2" s="5"/>
      <c r="L2" s="5"/>
      <c r="M2" s="5"/>
      <c r="N2" s="5"/>
      <c r="O2" s="5"/>
      <c r="P2" s="5"/>
      <c r="Q2" s="5"/>
      <c r="R2" s="5"/>
      <c r="S2" s="1834" t="s">
        <v>239</v>
      </c>
      <c r="T2" s="1835"/>
      <c r="U2" s="1297" t="s">
        <v>1169</v>
      </c>
      <c r="V2" s="1297"/>
      <c r="W2" s="1297"/>
      <c r="X2" s="1297"/>
      <c r="Y2" s="1297"/>
      <c r="Z2" s="1298"/>
      <c r="AA2" s="1299"/>
      <c r="AB2" s="1299"/>
      <c r="AC2" s="1299"/>
      <c r="AD2" s="1297"/>
      <c r="AE2" s="1299"/>
      <c r="AF2" s="1299"/>
      <c r="AG2" s="1299"/>
      <c r="AH2" s="1297"/>
      <c r="AI2" s="1297"/>
      <c r="AJ2" s="1297"/>
      <c r="AK2" s="1297"/>
      <c r="AL2" s="1297"/>
      <c r="AM2" s="1297"/>
      <c r="AN2" s="1297"/>
      <c r="AO2" s="1297"/>
      <c r="AP2" s="1297"/>
      <c r="AQ2" s="1297"/>
      <c r="AR2" s="1297"/>
      <c r="AS2" s="1297"/>
      <c r="AT2" s="1297"/>
      <c r="AU2" s="1297"/>
      <c r="AV2" s="1297"/>
      <c r="AW2" s="1297"/>
      <c r="AX2" s="1297"/>
      <c r="AY2" s="1297"/>
      <c r="AZ2" s="1297"/>
      <c r="BA2" s="1297"/>
      <c r="BB2" s="1300"/>
      <c r="BC2" s="1300"/>
      <c r="BD2" s="1300"/>
      <c r="BE2" s="1300"/>
      <c r="BF2" s="1300"/>
      <c r="BG2" s="1300"/>
      <c r="BH2" s="1300"/>
      <c r="BI2" s="1300"/>
      <c r="BJ2" s="1300"/>
      <c r="BK2" s="1300"/>
      <c r="BL2" s="1300"/>
      <c r="BM2" s="1300"/>
      <c r="BN2" s="1300"/>
      <c r="BO2" s="1300"/>
      <c r="BP2" s="1300"/>
      <c r="BQ2" s="1300"/>
      <c r="BR2" s="1300"/>
      <c r="BS2" s="1300"/>
      <c r="BT2" s="1300"/>
      <c r="BU2" s="1300"/>
      <c r="BV2" s="1300"/>
      <c r="BW2" s="1300"/>
      <c r="BX2" s="1300"/>
      <c r="BY2" s="1300"/>
      <c r="BZ2" s="1300"/>
      <c r="CA2" s="1300"/>
      <c r="CB2" s="1300"/>
      <c r="CC2" s="1300"/>
      <c r="CD2" s="1300"/>
      <c r="CE2" s="1300"/>
      <c r="CF2" s="1300"/>
      <c r="CG2" s="1300"/>
      <c r="CH2" s="1300"/>
      <c r="CI2" s="1300"/>
      <c r="CJ2" s="1300"/>
      <c r="CK2" s="1300"/>
      <c r="CL2" s="1300"/>
      <c r="CM2" s="1300"/>
      <c r="CN2" s="1300"/>
      <c r="CO2" s="1300"/>
      <c r="CP2" s="1300"/>
      <c r="CQ2" s="1300"/>
      <c r="CR2" s="1300"/>
      <c r="CS2" s="1300"/>
      <c r="CT2" s="1300"/>
      <c r="CU2" s="1300"/>
      <c r="CV2" s="1300"/>
      <c r="CW2" s="1300"/>
      <c r="CX2" s="1300"/>
      <c r="CY2" s="1300"/>
      <c r="CZ2" s="1300"/>
      <c r="DA2" s="1300"/>
      <c r="DB2" s="1300"/>
      <c r="DC2" s="1300"/>
      <c r="DD2" s="1300"/>
      <c r="DE2" s="1300"/>
      <c r="DF2" s="1300"/>
      <c r="DG2" s="1300"/>
      <c r="DH2" s="1297"/>
    </row>
    <row r="3" spans="1:112" ht="15" customHeight="1" thickBot="1" x14ac:dyDescent="0.25">
      <c r="D3" s="5"/>
      <c r="E3" s="1838" t="s">
        <v>91</v>
      </c>
      <c r="F3" s="1839"/>
      <c r="G3" s="1839"/>
      <c r="H3" s="1839"/>
      <c r="I3" s="1839"/>
      <c r="J3" s="1839"/>
      <c r="K3" s="1839"/>
      <c r="L3" s="1839"/>
      <c r="M3" s="1839"/>
      <c r="N3" s="1839"/>
      <c r="O3" s="1839"/>
      <c r="P3" s="1839"/>
      <c r="Q3" s="1840"/>
      <c r="R3" s="5"/>
      <c r="S3" s="1836"/>
      <c r="T3" s="1837"/>
      <c r="V3" s="5"/>
      <c r="W3" s="5"/>
      <c r="X3" s="5"/>
      <c r="Y3" s="5"/>
      <c r="Z3" s="85"/>
      <c r="AA3" s="6"/>
      <c r="AB3" s="6"/>
      <c r="AC3" s="6"/>
      <c r="AD3" s="5"/>
      <c r="AE3" s="6"/>
      <c r="AF3" s="6"/>
      <c r="AG3" s="6"/>
      <c r="AH3" s="5"/>
      <c r="AI3" s="5"/>
      <c r="AJ3" s="5"/>
      <c r="AK3" s="5"/>
      <c r="AL3" s="5"/>
    </row>
    <row r="4" spans="1:112" s="14" customFormat="1" ht="36" customHeight="1" thickBot="1" x14ac:dyDescent="0.25">
      <c r="A4" s="10"/>
      <c r="B4" s="10"/>
      <c r="C4" s="10"/>
      <c r="D4" s="11"/>
      <c r="E4" s="910" t="s">
        <v>240</v>
      </c>
      <c r="F4" s="529" t="s">
        <v>560</v>
      </c>
      <c r="G4" s="911" t="s">
        <v>241</v>
      </c>
      <c r="H4" s="910" t="s">
        <v>242</v>
      </c>
      <c r="I4" s="910" t="s">
        <v>95</v>
      </c>
      <c r="J4" s="910" t="s">
        <v>96</v>
      </c>
      <c r="K4" s="910" t="s">
        <v>243</v>
      </c>
      <c r="L4" s="910" t="s">
        <v>97</v>
      </c>
      <c r="M4" s="911" t="s">
        <v>98</v>
      </c>
      <c r="N4" s="911" t="s">
        <v>244</v>
      </c>
      <c r="O4" s="911" t="s">
        <v>99</v>
      </c>
      <c r="P4" s="891" t="s">
        <v>986</v>
      </c>
      <c r="Q4" s="891" t="s">
        <v>100</v>
      </c>
      <c r="R4" s="11"/>
      <c r="S4" s="12"/>
      <c r="T4" s="11"/>
      <c r="U4" s="13"/>
      <c r="V4" s="11"/>
      <c r="W4" s="11"/>
      <c r="X4" s="11"/>
      <c r="Y4" s="11"/>
      <c r="Z4" s="88"/>
      <c r="AA4" s="87"/>
      <c r="AB4" s="87"/>
      <c r="AC4" s="87"/>
      <c r="AD4" s="11"/>
      <c r="AE4" s="87"/>
      <c r="AF4" s="87"/>
      <c r="AG4" s="87"/>
      <c r="AH4" s="11"/>
      <c r="AI4" s="11"/>
      <c r="AJ4" s="11"/>
      <c r="AK4" s="11"/>
      <c r="AL4" s="11"/>
      <c r="BA4" s="89"/>
      <c r="BB4" s="154"/>
      <c r="BC4" s="154"/>
      <c r="BD4" s="154"/>
      <c r="BE4" s="154"/>
      <c r="BF4" s="155"/>
      <c r="BG4" s="154"/>
      <c r="BH4" s="154"/>
      <c r="BI4" s="154"/>
      <c r="BJ4" s="154"/>
      <c r="BK4" s="154"/>
      <c r="BL4" s="154"/>
      <c r="BM4" s="154"/>
      <c r="BN4" s="154"/>
      <c r="BO4" s="154"/>
      <c r="BP4" s="154"/>
      <c r="BQ4" s="154"/>
      <c r="BR4" s="154"/>
      <c r="BS4" s="154"/>
      <c r="BT4" s="154"/>
      <c r="BU4" s="154"/>
      <c r="BV4" s="154"/>
      <c r="BW4" s="154"/>
      <c r="BX4" s="154"/>
      <c r="BY4" s="154"/>
      <c r="BZ4" s="154"/>
      <c r="CA4" s="154"/>
      <c r="CB4" s="154"/>
      <c r="CC4" s="154"/>
      <c r="CD4" s="154"/>
      <c r="CE4" s="154"/>
      <c r="CF4" s="154"/>
      <c r="CG4" s="154"/>
      <c r="CH4" s="154"/>
      <c r="CI4" s="154"/>
      <c r="CJ4" s="154"/>
      <c r="CK4" s="154"/>
      <c r="CL4" s="154"/>
      <c r="CM4" s="154"/>
      <c r="CN4" s="154"/>
      <c r="CO4" s="154"/>
      <c r="CP4" s="154"/>
      <c r="CQ4" s="154"/>
      <c r="CR4" s="154"/>
      <c r="CS4" s="154"/>
      <c r="CT4" s="154"/>
      <c r="CU4" s="154"/>
      <c r="CV4" s="154"/>
      <c r="CW4" s="154"/>
      <c r="CX4" s="154"/>
      <c r="CY4" s="154"/>
      <c r="CZ4" s="154"/>
      <c r="DA4" s="154"/>
      <c r="DB4" s="154"/>
      <c r="DC4" s="154"/>
      <c r="DD4" s="154"/>
      <c r="DE4" s="154"/>
      <c r="DF4" s="154"/>
      <c r="DG4" s="154"/>
    </row>
    <row r="5" spans="1:112" ht="12" customHeight="1" thickBot="1" x14ac:dyDescent="0.25">
      <c r="A5" s="15">
        <f t="shared" ref="A5:A27" si="0">IF($E5="LT",VLOOKUP($G5,$Z$46:$AC$68,3, FALSE),VLOOKUP($G5,$AD$46:$AG$85,3,FALSE))</f>
        <v>1</v>
      </c>
      <c r="B5" s="15">
        <f t="shared" ref="B5:B27" si="1">IF(OR(A5=0,M5="enter length",N5="enter width"),0,A5)</f>
        <v>1</v>
      </c>
      <c r="C5" s="15" t="str">
        <f>IF($E5="-----","",IF(OR(O5=11,O5=9),CONCATENATE(E5,O5-1,ABS(I5)),IF(O5=16,CONCATENATE(E5,O5-4,ABS(I5)),CONCATENATE(E5,O5,ABS(I5)))))</f>
        <v>LT102</v>
      </c>
      <c r="D5" s="5"/>
      <c r="E5" s="894" t="s">
        <v>254</v>
      </c>
      <c r="F5" s="906" t="s">
        <v>1180</v>
      </c>
      <c r="G5" s="897" t="s">
        <v>57</v>
      </c>
      <c r="H5" s="902">
        <v>-10</v>
      </c>
      <c r="I5" s="1296">
        <f t="shared" ref="I5:I27" si="2">IF($G5="-------------------------------","-----",IF($E5="LT",VLOOKUP($G5,$Z$46:$AC$68,2,FALSE),VLOOKUP($G5,$AD$46:$AG$85,2,FALSE)))</f>
        <v>-2</v>
      </c>
      <c r="J5" s="1296">
        <f>IF(OR($H5="ENTER TEMP.",$I5="",$H5=""),"-----",$H5-2)</f>
        <v>-12</v>
      </c>
      <c r="K5" s="929">
        <f t="shared" ref="K5:K27" si="3">IF($G5="-------------------------------","-----",IF($E5="LT",VLOOKUP($G5,$Z$46:$AC$68,4,FALSE),VLOOKUP($G5,$AD$46:$AG$85,4,FALSE)))</f>
        <v>8</v>
      </c>
      <c r="L5" s="929">
        <f t="shared" ref="L5:L27" si="4">IF(OR($H5="ENTER TEMP.",$H5=""),"-----",$I5-$H5)</f>
        <v>8</v>
      </c>
      <c r="M5" s="905">
        <v>10</v>
      </c>
      <c r="N5" s="906">
        <v>13</v>
      </c>
      <c r="O5" s="907">
        <v>10</v>
      </c>
      <c r="P5" s="907">
        <v>1</v>
      </c>
      <c r="Q5" s="917" t="str">
        <f t="shared" ref="Q5:Q27" ca="1" si="5">IFERROR(IF(OR($H5="",$H5="Enter Temp.",$M5="Enter Length",$N5="Enter Width"),"-----",INDEX(INDIRECT($C5),$M5-2,$N5-2)+U5)*X5*IF(P5="",1,P5),"")</f>
        <v/>
      </c>
      <c r="R5" s="5"/>
      <c r="S5" s="16" t="str">
        <f t="shared" ref="S5:S27" si="6">IF(G5="Dairy Cooler W.I. w / Bossy","ENTER FT. OF BOSSY:",IF(OR(G5="Dairy Cooler W.I. w / drs.",G5="1/4  Freezer W.I. w / drs."),"ENTER # OF DOORS:",""))</f>
        <v/>
      </c>
      <c r="T5" s="17">
        <v>0</v>
      </c>
      <c r="U5" s="20">
        <f>IF(G5="Dairy Cooler W.I. w / Bossy",T5*0.8,IF(OR(G5="Dairy Cooler W.I. w / drs.",G5="1/4  Freezer W.I. w / drs."),T5*1.2,0))</f>
        <v>0</v>
      </c>
      <c r="W5" s="24"/>
      <c r="X5" s="6">
        <f>IF(OR(O5=8,O5=10,O5=12),1,IF(O5=9,1.05,IF(O5=11,1.05,IF(O5=16,1.2,))))</f>
        <v>1</v>
      </c>
      <c r="Y5" s="5"/>
      <c r="Z5" s="85"/>
      <c r="AA5" s="6"/>
      <c r="AB5" s="6"/>
      <c r="AC5" s="6"/>
      <c r="AD5" s="5"/>
      <c r="AE5" s="6"/>
      <c r="AF5" s="6"/>
      <c r="AG5" s="6"/>
      <c r="AH5" s="5"/>
      <c r="AI5" s="5"/>
      <c r="AJ5" s="5"/>
      <c r="AK5" s="5"/>
      <c r="AL5" s="5"/>
      <c r="AM5"/>
    </row>
    <row r="6" spans="1:112" ht="12" customHeight="1" thickBot="1" x14ac:dyDescent="0.25">
      <c r="A6" s="15" t="e">
        <f t="shared" si="0"/>
        <v>#N/A</v>
      </c>
      <c r="B6" s="15" t="e">
        <f t="shared" si="1"/>
        <v>#N/A</v>
      </c>
      <c r="C6" s="15" t="str">
        <f t="shared" ref="C6:C27" si="7">IF($E6="-----","",IF(OR(O6=11,O6=9),CONCATENATE(E6,O6-1,ABS(I6)),IF(O6=16,CONCATENATE(E6,O6-4,ABS(I6)),CONCATENATE(E6,O6,ABS(I6)))))</f>
        <v>100</v>
      </c>
      <c r="D6" s="5"/>
      <c r="E6" s="895"/>
      <c r="F6" s="903" t="s">
        <v>245</v>
      </c>
      <c r="G6" s="899" t="s">
        <v>92</v>
      </c>
      <c r="H6" s="903" t="s">
        <v>246</v>
      </c>
      <c r="I6" s="1296"/>
      <c r="J6" s="1296"/>
      <c r="K6" s="930"/>
      <c r="L6" s="930"/>
      <c r="M6" s="908" t="s">
        <v>247</v>
      </c>
      <c r="N6" s="903" t="s">
        <v>248</v>
      </c>
      <c r="O6" s="908">
        <v>10</v>
      </c>
      <c r="P6" s="908"/>
      <c r="Q6" s="935" t="str">
        <f t="shared" ca="1" si="5"/>
        <v/>
      </c>
      <c r="R6" s="5"/>
      <c r="S6" s="16" t="str">
        <f t="shared" si="6"/>
        <v/>
      </c>
      <c r="T6" s="17">
        <v>0</v>
      </c>
      <c r="U6" s="20">
        <f t="shared" ref="U6:U27" si="8">IF(G6="Dairy Cooler W.I. w / Bossy",T6*0.8,IF(OR(G6="Dairy Cooler W.I. w / drs.",G6="1/4  Freezer W.I. w / drs."),T6*1.2,0))</f>
        <v>0</v>
      </c>
      <c r="W6" s="24"/>
      <c r="X6" s="6">
        <f t="shared" ref="X6:X27" si="9">IF(OR(O6=8,O6=10,O6=12),1,IF(O6=9,1.05,IF(O6=11,1.05,IF(O6=16,1.2,))))</f>
        <v>1</v>
      </c>
      <c r="Y6" s="5"/>
      <c r="Z6" s="85"/>
      <c r="AA6" s="6"/>
      <c r="AB6" s="6"/>
      <c r="AC6" s="6"/>
      <c r="AD6" s="5"/>
      <c r="AE6" s="6"/>
      <c r="AF6" s="6"/>
      <c r="AG6" s="6"/>
      <c r="AH6" s="5"/>
      <c r="AI6" s="5"/>
      <c r="AJ6" s="5"/>
      <c r="AK6" s="5"/>
      <c r="AL6" s="5"/>
      <c r="AQ6" s="90"/>
    </row>
    <row r="7" spans="1:112" ht="12" customHeight="1" thickBot="1" x14ac:dyDescent="0.25">
      <c r="A7" s="15" t="e">
        <f t="shared" si="0"/>
        <v>#N/A</v>
      </c>
      <c r="B7" s="15" t="e">
        <f t="shared" si="1"/>
        <v>#N/A</v>
      </c>
      <c r="C7" s="15" t="str">
        <f t="shared" si="7"/>
        <v/>
      </c>
      <c r="D7" s="5"/>
      <c r="E7" s="895" t="s">
        <v>15</v>
      </c>
      <c r="F7" s="898" t="s">
        <v>245</v>
      </c>
      <c r="G7" s="899" t="s">
        <v>92</v>
      </c>
      <c r="H7" s="903" t="s">
        <v>246</v>
      </c>
      <c r="I7" s="1296" t="str">
        <f t="shared" si="2"/>
        <v>-----</v>
      </c>
      <c r="J7" s="1296" t="str">
        <f t="shared" ref="J7:J27" si="10">IF(OR($H7="ENTER TEMP.",$I7="",$H7=""),"-----",$H7-2)</f>
        <v>-----</v>
      </c>
      <c r="K7" s="930" t="str">
        <f t="shared" si="3"/>
        <v>-----</v>
      </c>
      <c r="L7" s="930" t="str">
        <f t="shared" si="4"/>
        <v>-----</v>
      </c>
      <c r="M7" s="908" t="s">
        <v>247</v>
      </c>
      <c r="N7" s="903" t="s">
        <v>248</v>
      </c>
      <c r="O7" s="908">
        <v>10</v>
      </c>
      <c r="P7" s="908">
        <v>1</v>
      </c>
      <c r="Q7" s="918" t="str">
        <f t="shared" ca="1" si="5"/>
        <v/>
      </c>
      <c r="R7" s="5"/>
      <c r="S7" s="16" t="str">
        <f t="shared" si="6"/>
        <v/>
      </c>
      <c r="T7" s="17">
        <v>0</v>
      </c>
      <c r="U7" s="20">
        <f t="shared" si="8"/>
        <v>0</v>
      </c>
      <c r="W7" s="24"/>
      <c r="X7" s="6">
        <f t="shared" si="9"/>
        <v>1</v>
      </c>
      <c r="Y7" s="5"/>
      <c r="Z7" s="85"/>
      <c r="AA7" s="6"/>
      <c r="AB7" s="6"/>
      <c r="AC7" s="6"/>
      <c r="AD7" s="5"/>
      <c r="AE7" s="6"/>
      <c r="AF7" s="6"/>
      <c r="AG7" s="6"/>
      <c r="AH7" s="5"/>
      <c r="AI7" s="5"/>
      <c r="AJ7" s="5"/>
      <c r="AK7" s="5"/>
      <c r="AL7" s="5"/>
      <c r="AQ7" s="90"/>
    </row>
    <row r="8" spans="1:112" ht="12" customHeight="1" thickBot="1" x14ac:dyDescent="0.25">
      <c r="A8" s="15" t="e">
        <f t="shared" si="0"/>
        <v>#N/A</v>
      </c>
      <c r="B8" s="15" t="e">
        <f t="shared" si="1"/>
        <v>#N/A</v>
      </c>
      <c r="C8" s="15" t="str">
        <f t="shared" si="7"/>
        <v/>
      </c>
      <c r="D8" s="5"/>
      <c r="E8" s="895" t="s">
        <v>15</v>
      </c>
      <c r="F8" s="898" t="s">
        <v>245</v>
      </c>
      <c r="G8" s="899" t="s">
        <v>92</v>
      </c>
      <c r="H8" s="903" t="s">
        <v>246</v>
      </c>
      <c r="I8" s="1296" t="str">
        <f t="shared" si="2"/>
        <v>-----</v>
      </c>
      <c r="J8" s="1296" t="str">
        <f t="shared" si="10"/>
        <v>-----</v>
      </c>
      <c r="K8" s="930" t="str">
        <f t="shared" si="3"/>
        <v>-----</v>
      </c>
      <c r="L8" s="930" t="str">
        <f t="shared" si="4"/>
        <v>-----</v>
      </c>
      <c r="M8" s="908" t="s">
        <v>247</v>
      </c>
      <c r="N8" s="903" t="s">
        <v>248</v>
      </c>
      <c r="O8" s="908">
        <v>10</v>
      </c>
      <c r="P8" s="908">
        <v>1</v>
      </c>
      <c r="Q8" s="918" t="str">
        <f t="shared" ca="1" si="5"/>
        <v/>
      </c>
      <c r="R8" s="5"/>
      <c r="S8" s="16" t="str">
        <f t="shared" si="6"/>
        <v/>
      </c>
      <c r="T8" s="17">
        <v>0</v>
      </c>
      <c r="U8" s="20">
        <f t="shared" si="8"/>
        <v>0</v>
      </c>
      <c r="W8" s="24"/>
      <c r="X8" s="6">
        <f t="shared" si="9"/>
        <v>1</v>
      </c>
      <c r="Y8" s="5"/>
      <c r="Z8" s="85"/>
      <c r="AA8" s="6"/>
      <c r="AB8" s="6"/>
      <c r="AC8" s="6"/>
      <c r="AD8" s="5"/>
      <c r="AE8" s="6"/>
      <c r="AF8" s="6"/>
      <c r="AG8" s="6"/>
      <c r="AH8" s="5"/>
      <c r="AI8" s="5"/>
      <c r="AJ8" s="5"/>
      <c r="AK8" s="5"/>
      <c r="AL8" s="5"/>
      <c r="AQ8" s="90"/>
    </row>
    <row r="9" spans="1:112" ht="12" customHeight="1" thickBot="1" x14ac:dyDescent="0.25">
      <c r="A9" s="15" t="e">
        <f t="shared" si="0"/>
        <v>#N/A</v>
      </c>
      <c r="B9" s="15" t="e">
        <f t="shared" si="1"/>
        <v>#N/A</v>
      </c>
      <c r="C9" s="15" t="str">
        <f t="shared" si="7"/>
        <v/>
      </c>
      <c r="D9" s="5"/>
      <c r="E9" s="895" t="s">
        <v>15</v>
      </c>
      <c r="F9" s="898" t="s">
        <v>245</v>
      </c>
      <c r="G9" s="899" t="s">
        <v>92</v>
      </c>
      <c r="H9" s="903" t="s">
        <v>246</v>
      </c>
      <c r="I9" s="1296" t="str">
        <f t="shared" si="2"/>
        <v>-----</v>
      </c>
      <c r="J9" s="1296" t="str">
        <f t="shared" si="10"/>
        <v>-----</v>
      </c>
      <c r="K9" s="930" t="str">
        <f t="shared" si="3"/>
        <v>-----</v>
      </c>
      <c r="L9" s="930" t="str">
        <f t="shared" si="4"/>
        <v>-----</v>
      </c>
      <c r="M9" s="908" t="s">
        <v>247</v>
      </c>
      <c r="N9" s="903" t="s">
        <v>248</v>
      </c>
      <c r="O9" s="908">
        <v>10</v>
      </c>
      <c r="P9" s="908">
        <v>1</v>
      </c>
      <c r="Q9" s="918" t="str">
        <f t="shared" ca="1" si="5"/>
        <v/>
      </c>
      <c r="R9" s="5"/>
      <c r="S9" s="16" t="str">
        <f t="shared" si="6"/>
        <v/>
      </c>
      <c r="T9" s="17">
        <v>0</v>
      </c>
      <c r="U9" s="20">
        <f t="shared" si="8"/>
        <v>0</v>
      </c>
      <c r="W9" s="24"/>
      <c r="X9" s="6">
        <f t="shared" si="9"/>
        <v>1</v>
      </c>
      <c r="Y9" s="5"/>
      <c r="Z9" s="85"/>
      <c r="AA9" s="6"/>
      <c r="AB9" s="6"/>
      <c r="AC9" s="6"/>
      <c r="AD9" s="5"/>
      <c r="AE9" s="6"/>
      <c r="AF9" s="6"/>
      <c r="AG9" s="6"/>
      <c r="AH9" s="5"/>
      <c r="AI9" s="5"/>
      <c r="AJ9" s="5"/>
      <c r="AK9" s="5"/>
      <c r="AL9" s="5"/>
      <c r="AQ9" s="90"/>
    </row>
    <row r="10" spans="1:112" ht="12" customHeight="1" thickBot="1" x14ac:dyDescent="0.25">
      <c r="A10" s="15" t="e">
        <f t="shared" si="0"/>
        <v>#N/A</v>
      </c>
      <c r="B10" s="15" t="e">
        <f t="shared" si="1"/>
        <v>#N/A</v>
      </c>
      <c r="C10" s="15" t="str">
        <f t="shared" si="7"/>
        <v/>
      </c>
      <c r="D10" s="5"/>
      <c r="E10" s="895" t="s">
        <v>15</v>
      </c>
      <c r="F10" s="898" t="s">
        <v>245</v>
      </c>
      <c r="G10" s="899" t="s">
        <v>92</v>
      </c>
      <c r="H10" s="903" t="s">
        <v>246</v>
      </c>
      <c r="I10" s="1296" t="str">
        <f t="shared" si="2"/>
        <v>-----</v>
      </c>
      <c r="J10" s="1296" t="str">
        <f t="shared" si="10"/>
        <v>-----</v>
      </c>
      <c r="K10" s="930" t="str">
        <f t="shared" si="3"/>
        <v>-----</v>
      </c>
      <c r="L10" s="930" t="str">
        <f t="shared" si="4"/>
        <v>-----</v>
      </c>
      <c r="M10" s="908" t="s">
        <v>247</v>
      </c>
      <c r="N10" s="903" t="s">
        <v>248</v>
      </c>
      <c r="O10" s="908">
        <v>10</v>
      </c>
      <c r="P10" s="908">
        <v>1</v>
      </c>
      <c r="Q10" s="918" t="str">
        <f t="shared" ca="1" si="5"/>
        <v/>
      </c>
      <c r="R10" s="5"/>
      <c r="S10" s="16" t="str">
        <f t="shared" si="6"/>
        <v/>
      </c>
      <c r="T10" s="17">
        <v>0</v>
      </c>
      <c r="U10" s="20">
        <f t="shared" si="8"/>
        <v>0</v>
      </c>
      <c r="W10" s="24"/>
      <c r="X10" s="6">
        <f t="shared" si="9"/>
        <v>1</v>
      </c>
      <c r="Y10" s="5"/>
      <c r="Z10" s="85"/>
      <c r="AA10" s="6"/>
      <c r="AB10" s="6"/>
      <c r="AC10" s="6"/>
      <c r="AD10" s="5"/>
      <c r="AE10" s="6"/>
      <c r="AF10" s="6"/>
      <c r="AG10" s="6"/>
      <c r="AH10" s="5"/>
      <c r="AI10" s="5"/>
      <c r="AJ10" s="5"/>
      <c r="AK10" s="5"/>
      <c r="AL10" s="5"/>
      <c r="AQ10" s="90"/>
    </row>
    <row r="11" spans="1:112" ht="12" customHeight="1" thickBot="1" x14ac:dyDescent="0.25">
      <c r="A11" s="15" t="e">
        <f t="shared" si="0"/>
        <v>#N/A</v>
      </c>
      <c r="B11" s="15" t="e">
        <f t="shared" si="1"/>
        <v>#N/A</v>
      </c>
      <c r="C11" s="15" t="str">
        <f t="shared" si="7"/>
        <v/>
      </c>
      <c r="D11" s="5"/>
      <c r="E11" s="895" t="s">
        <v>15</v>
      </c>
      <c r="F11" s="898" t="s">
        <v>245</v>
      </c>
      <c r="G11" s="899" t="s">
        <v>92</v>
      </c>
      <c r="H11" s="903" t="s">
        <v>246</v>
      </c>
      <c r="I11" s="1296" t="str">
        <f t="shared" si="2"/>
        <v>-----</v>
      </c>
      <c r="J11" s="1296" t="str">
        <f t="shared" si="10"/>
        <v>-----</v>
      </c>
      <c r="K11" s="930" t="str">
        <f t="shared" si="3"/>
        <v>-----</v>
      </c>
      <c r="L11" s="930" t="str">
        <f t="shared" si="4"/>
        <v>-----</v>
      </c>
      <c r="M11" s="908" t="s">
        <v>247</v>
      </c>
      <c r="N11" s="903" t="s">
        <v>248</v>
      </c>
      <c r="O11" s="908">
        <v>10</v>
      </c>
      <c r="P11" s="908">
        <v>1</v>
      </c>
      <c r="Q11" s="918" t="str">
        <f t="shared" ca="1" si="5"/>
        <v/>
      </c>
      <c r="R11" s="5"/>
      <c r="S11" s="16" t="str">
        <f t="shared" si="6"/>
        <v/>
      </c>
      <c r="T11" s="17">
        <v>0</v>
      </c>
      <c r="U11" s="20">
        <f t="shared" si="8"/>
        <v>0</v>
      </c>
      <c r="W11" s="24"/>
      <c r="X11" s="6">
        <f t="shared" si="9"/>
        <v>1</v>
      </c>
      <c r="Y11" s="5"/>
      <c r="Z11" s="85"/>
      <c r="AA11" s="6"/>
      <c r="AB11" s="6"/>
      <c r="AC11" s="6"/>
      <c r="AD11" s="5"/>
      <c r="AE11" s="6"/>
      <c r="AF11" s="6"/>
      <c r="AG11" s="6"/>
      <c r="AH11" s="5"/>
      <c r="AI11" s="5"/>
      <c r="AJ11" s="5"/>
      <c r="AK11" s="5"/>
      <c r="AL11" s="5"/>
      <c r="AQ11" s="90"/>
    </row>
    <row r="12" spans="1:112" ht="12" customHeight="1" thickBot="1" x14ac:dyDescent="0.25">
      <c r="A12" s="15" t="e">
        <f t="shared" si="0"/>
        <v>#N/A</v>
      </c>
      <c r="B12" s="15" t="e">
        <f t="shared" si="1"/>
        <v>#N/A</v>
      </c>
      <c r="C12" s="15" t="str">
        <f t="shared" si="7"/>
        <v/>
      </c>
      <c r="D12" s="5"/>
      <c r="E12" s="895" t="s">
        <v>15</v>
      </c>
      <c r="F12" s="898" t="s">
        <v>245</v>
      </c>
      <c r="G12" s="899" t="s">
        <v>92</v>
      </c>
      <c r="H12" s="903" t="s">
        <v>246</v>
      </c>
      <c r="I12" s="1296" t="str">
        <f t="shared" si="2"/>
        <v>-----</v>
      </c>
      <c r="J12" s="1296" t="str">
        <f t="shared" si="10"/>
        <v>-----</v>
      </c>
      <c r="K12" s="930" t="str">
        <f t="shared" si="3"/>
        <v>-----</v>
      </c>
      <c r="L12" s="930" t="str">
        <f t="shared" si="4"/>
        <v>-----</v>
      </c>
      <c r="M12" s="908" t="s">
        <v>247</v>
      </c>
      <c r="N12" s="903" t="s">
        <v>248</v>
      </c>
      <c r="O12" s="908">
        <v>10</v>
      </c>
      <c r="P12" s="908">
        <v>1</v>
      </c>
      <c r="Q12" s="918" t="str">
        <f t="shared" ca="1" si="5"/>
        <v/>
      </c>
      <c r="R12" s="5"/>
      <c r="S12" s="16" t="str">
        <f t="shared" si="6"/>
        <v/>
      </c>
      <c r="T12" s="17">
        <v>0</v>
      </c>
      <c r="U12" s="20">
        <f t="shared" si="8"/>
        <v>0</v>
      </c>
      <c r="W12" s="24"/>
      <c r="X12" s="6">
        <f t="shared" si="9"/>
        <v>1</v>
      </c>
      <c r="Y12" s="5"/>
      <c r="Z12" s="85"/>
      <c r="AA12" s="6"/>
      <c r="AB12" s="6"/>
      <c r="AC12" s="6"/>
      <c r="AD12" s="5"/>
      <c r="AE12" s="6"/>
      <c r="AF12" s="6"/>
      <c r="AG12" s="6"/>
      <c r="AH12" s="5"/>
      <c r="AI12" s="5"/>
      <c r="AJ12" s="5"/>
      <c r="AK12" s="5"/>
      <c r="AL12" s="5"/>
      <c r="AQ12" s="90"/>
    </row>
    <row r="13" spans="1:112" ht="12" customHeight="1" thickBot="1" x14ac:dyDescent="0.25">
      <c r="A13" s="15" t="e">
        <f t="shared" si="0"/>
        <v>#N/A</v>
      </c>
      <c r="B13" s="15" t="e">
        <f t="shared" si="1"/>
        <v>#N/A</v>
      </c>
      <c r="C13" s="15" t="str">
        <f t="shared" si="7"/>
        <v/>
      </c>
      <c r="D13" s="5"/>
      <c r="E13" s="895" t="s">
        <v>15</v>
      </c>
      <c r="F13" s="898" t="s">
        <v>245</v>
      </c>
      <c r="G13" s="899" t="s">
        <v>92</v>
      </c>
      <c r="H13" s="903" t="s">
        <v>246</v>
      </c>
      <c r="I13" s="1296" t="str">
        <f t="shared" si="2"/>
        <v>-----</v>
      </c>
      <c r="J13" s="1296" t="str">
        <f t="shared" si="10"/>
        <v>-----</v>
      </c>
      <c r="K13" s="930" t="str">
        <f t="shared" si="3"/>
        <v>-----</v>
      </c>
      <c r="L13" s="930" t="str">
        <f t="shared" si="4"/>
        <v>-----</v>
      </c>
      <c r="M13" s="908" t="s">
        <v>247</v>
      </c>
      <c r="N13" s="903" t="s">
        <v>248</v>
      </c>
      <c r="O13" s="908">
        <v>10</v>
      </c>
      <c r="P13" s="908">
        <v>1</v>
      </c>
      <c r="Q13" s="918" t="str">
        <f t="shared" ca="1" si="5"/>
        <v/>
      </c>
      <c r="R13" s="5"/>
      <c r="S13" s="16" t="str">
        <f t="shared" si="6"/>
        <v/>
      </c>
      <c r="T13" s="17">
        <v>0</v>
      </c>
      <c r="U13" s="20">
        <f t="shared" si="8"/>
        <v>0</v>
      </c>
      <c r="W13" s="24"/>
      <c r="X13" s="6">
        <f t="shared" si="9"/>
        <v>1</v>
      </c>
      <c r="Y13" s="5"/>
      <c r="Z13" s="85"/>
      <c r="AA13" s="6"/>
      <c r="AB13" s="6"/>
      <c r="AC13" s="6"/>
      <c r="AD13" s="5"/>
      <c r="AE13" s="6"/>
      <c r="AF13" s="6"/>
      <c r="AG13" s="6"/>
      <c r="AH13" s="5"/>
      <c r="AI13" s="5"/>
      <c r="AJ13" s="5"/>
      <c r="AK13" s="5"/>
      <c r="AL13" s="5"/>
      <c r="AQ13" s="90"/>
    </row>
    <row r="14" spans="1:112" ht="12" customHeight="1" thickBot="1" x14ac:dyDescent="0.25">
      <c r="A14" s="15" t="e">
        <f t="shared" si="0"/>
        <v>#N/A</v>
      </c>
      <c r="B14" s="15" t="e">
        <f t="shared" si="1"/>
        <v>#N/A</v>
      </c>
      <c r="C14" s="15" t="str">
        <f t="shared" si="7"/>
        <v/>
      </c>
      <c r="D14" s="5"/>
      <c r="E14" s="895" t="s">
        <v>15</v>
      </c>
      <c r="F14" s="898" t="s">
        <v>245</v>
      </c>
      <c r="G14" s="899" t="s">
        <v>92</v>
      </c>
      <c r="H14" s="903" t="s">
        <v>246</v>
      </c>
      <c r="I14" s="1296" t="str">
        <f t="shared" si="2"/>
        <v>-----</v>
      </c>
      <c r="J14" s="1296" t="str">
        <f t="shared" si="10"/>
        <v>-----</v>
      </c>
      <c r="K14" s="930" t="str">
        <f t="shared" si="3"/>
        <v>-----</v>
      </c>
      <c r="L14" s="930" t="str">
        <f t="shared" si="4"/>
        <v>-----</v>
      </c>
      <c r="M14" s="908" t="s">
        <v>247</v>
      </c>
      <c r="N14" s="903" t="s">
        <v>248</v>
      </c>
      <c r="O14" s="908">
        <v>10</v>
      </c>
      <c r="P14" s="908">
        <v>1</v>
      </c>
      <c r="Q14" s="918" t="str">
        <f t="shared" ca="1" si="5"/>
        <v/>
      </c>
      <c r="R14" s="5"/>
      <c r="S14" s="16" t="str">
        <f t="shared" si="6"/>
        <v/>
      </c>
      <c r="T14" s="17">
        <v>0</v>
      </c>
      <c r="U14" s="20">
        <f t="shared" si="8"/>
        <v>0</v>
      </c>
      <c r="V14" s="5"/>
      <c r="W14" s="5"/>
      <c r="X14" s="6">
        <f t="shared" si="9"/>
        <v>1</v>
      </c>
      <c r="Y14" s="5"/>
      <c r="Z14" s="85"/>
      <c r="AA14" s="6"/>
      <c r="AB14" s="6"/>
      <c r="AC14" s="6"/>
      <c r="AD14" s="5"/>
      <c r="AE14" s="6"/>
      <c r="AF14" s="6"/>
      <c r="AG14" s="6"/>
      <c r="AH14" s="5"/>
      <c r="AI14" s="5"/>
      <c r="AJ14" s="5"/>
      <c r="AK14" s="5"/>
      <c r="AL14" s="5"/>
      <c r="AQ14" s="90"/>
    </row>
    <row r="15" spans="1:112" ht="12" customHeight="1" thickBot="1" x14ac:dyDescent="0.25">
      <c r="A15" s="15" t="e">
        <f t="shared" si="0"/>
        <v>#N/A</v>
      </c>
      <c r="B15" s="15" t="e">
        <f t="shared" si="1"/>
        <v>#N/A</v>
      </c>
      <c r="C15" s="15" t="str">
        <f t="shared" si="7"/>
        <v/>
      </c>
      <c r="D15" s="5"/>
      <c r="E15" s="895" t="s">
        <v>15</v>
      </c>
      <c r="F15" s="898" t="s">
        <v>245</v>
      </c>
      <c r="G15" s="899" t="s">
        <v>92</v>
      </c>
      <c r="H15" s="903" t="s">
        <v>246</v>
      </c>
      <c r="I15" s="1296" t="str">
        <f t="shared" si="2"/>
        <v>-----</v>
      </c>
      <c r="J15" s="1296" t="str">
        <f t="shared" si="10"/>
        <v>-----</v>
      </c>
      <c r="K15" s="930" t="str">
        <f t="shared" si="3"/>
        <v>-----</v>
      </c>
      <c r="L15" s="930" t="str">
        <f t="shared" si="4"/>
        <v>-----</v>
      </c>
      <c r="M15" s="908" t="s">
        <v>247</v>
      </c>
      <c r="N15" s="903" t="s">
        <v>248</v>
      </c>
      <c r="O15" s="908">
        <v>10</v>
      </c>
      <c r="P15" s="908">
        <v>1</v>
      </c>
      <c r="Q15" s="918" t="str">
        <f t="shared" ca="1" si="5"/>
        <v/>
      </c>
      <c r="R15" s="5"/>
      <c r="S15" s="16" t="str">
        <f t="shared" si="6"/>
        <v/>
      </c>
      <c r="T15" s="17">
        <v>0</v>
      </c>
      <c r="U15" s="20">
        <f t="shared" si="8"/>
        <v>0</v>
      </c>
      <c r="V15" s="5"/>
      <c r="W15" s="5"/>
      <c r="X15" s="6">
        <f t="shared" si="9"/>
        <v>1</v>
      </c>
      <c r="Y15" s="5"/>
      <c r="Z15" s="85"/>
      <c r="AA15" s="6"/>
      <c r="AB15" s="6"/>
      <c r="AC15" s="6"/>
      <c r="AD15" s="5"/>
      <c r="AE15" s="6"/>
      <c r="AF15" s="6"/>
      <c r="AG15" s="6"/>
      <c r="AH15" s="5"/>
      <c r="AI15" s="5"/>
      <c r="AJ15" s="5"/>
      <c r="AK15" s="5"/>
      <c r="AL15" s="5"/>
      <c r="AQ15" s="90"/>
    </row>
    <row r="16" spans="1:112" ht="12" customHeight="1" thickBot="1" x14ac:dyDescent="0.25">
      <c r="A16" s="15" t="e">
        <f t="shared" si="0"/>
        <v>#N/A</v>
      </c>
      <c r="B16" s="15" t="e">
        <f t="shared" si="1"/>
        <v>#N/A</v>
      </c>
      <c r="C16" s="15" t="str">
        <f t="shared" si="7"/>
        <v/>
      </c>
      <c r="D16" s="5"/>
      <c r="E16" s="895" t="s">
        <v>15</v>
      </c>
      <c r="F16" s="898" t="s">
        <v>245</v>
      </c>
      <c r="G16" s="899" t="s">
        <v>92</v>
      </c>
      <c r="H16" s="903" t="s">
        <v>246</v>
      </c>
      <c r="I16" s="1296" t="str">
        <f t="shared" si="2"/>
        <v>-----</v>
      </c>
      <c r="J16" s="1296" t="str">
        <f t="shared" si="10"/>
        <v>-----</v>
      </c>
      <c r="K16" s="930" t="str">
        <f t="shared" si="3"/>
        <v>-----</v>
      </c>
      <c r="L16" s="930" t="str">
        <f t="shared" si="4"/>
        <v>-----</v>
      </c>
      <c r="M16" s="908" t="s">
        <v>247</v>
      </c>
      <c r="N16" s="903" t="s">
        <v>248</v>
      </c>
      <c r="O16" s="908">
        <v>10</v>
      </c>
      <c r="P16" s="908">
        <v>1</v>
      </c>
      <c r="Q16" s="918" t="str">
        <f t="shared" ca="1" si="5"/>
        <v/>
      </c>
      <c r="R16" s="5"/>
      <c r="S16" s="16" t="str">
        <f t="shared" si="6"/>
        <v/>
      </c>
      <c r="T16" s="17">
        <v>0</v>
      </c>
      <c r="U16" s="20">
        <f t="shared" si="8"/>
        <v>0</v>
      </c>
      <c r="V16" s="5"/>
      <c r="W16" s="5"/>
      <c r="X16" s="6">
        <f t="shared" si="9"/>
        <v>1</v>
      </c>
      <c r="Y16" s="5"/>
      <c r="Z16" s="85"/>
      <c r="AA16" s="6"/>
      <c r="AB16" s="6"/>
      <c r="AC16" s="6"/>
      <c r="AD16" s="5"/>
      <c r="AE16" s="6"/>
      <c r="AF16" s="6"/>
      <c r="AG16" s="6"/>
      <c r="AH16" s="5"/>
      <c r="AI16" s="5"/>
      <c r="AJ16" s="5"/>
      <c r="AK16" s="5"/>
      <c r="AL16" s="5"/>
      <c r="AQ16" s="90"/>
    </row>
    <row r="17" spans="1:111" ht="12" customHeight="1" thickBot="1" x14ac:dyDescent="0.25">
      <c r="A17" s="15" t="e">
        <f t="shared" si="0"/>
        <v>#N/A</v>
      </c>
      <c r="B17" s="15" t="e">
        <f t="shared" si="1"/>
        <v>#N/A</v>
      </c>
      <c r="C17" s="15" t="str">
        <f t="shared" si="7"/>
        <v/>
      </c>
      <c r="D17" s="5"/>
      <c r="E17" s="895" t="s">
        <v>15</v>
      </c>
      <c r="F17" s="898" t="s">
        <v>245</v>
      </c>
      <c r="G17" s="899" t="s">
        <v>92</v>
      </c>
      <c r="H17" s="903" t="s">
        <v>246</v>
      </c>
      <c r="I17" s="1296" t="str">
        <f t="shared" si="2"/>
        <v>-----</v>
      </c>
      <c r="J17" s="1296" t="str">
        <f t="shared" si="10"/>
        <v>-----</v>
      </c>
      <c r="K17" s="930" t="str">
        <f t="shared" si="3"/>
        <v>-----</v>
      </c>
      <c r="L17" s="930" t="str">
        <f t="shared" si="4"/>
        <v>-----</v>
      </c>
      <c r="M17" s="908" t="s">
        <v>247</v>
      </c>
      <c r="N17" s="903" t="s">
        <v>248</v>
      </c>
      <c r="O17" s="908">
        <v>10</v>
      </c>
      <c r="P17" s="908">
        <v>1</v>
      </c>
      <c r="Q17" s="918" t="str">
        <f t="shared" ca="1" si="5"/>
        <v/>
      </c>
      <c r="R17" s="5"/>
      <c r="S17" s="16" t="str">
        <f t="shared" si="6"/>
        <v/>
      </c>
      <c r="T17" s="17">
        <v>0</v>
      </c>
      <c r="U17" s="20">
        <f t="shared" si="8"/>
        <v>0</v>
      </c>
      <c r="V17" s="5"/>
      <c r="W17" s="5"/>
      <c r="X17" s="6">
        <f t="shared" si="9"/>
        <v>1</v>
      </c>
      <c r="Y17" s="5"/>
      <c r="Z17" s="85"/>
      <c r="AA17" s="6"/>
      <c r="AB17" s="6"/>
      <c r="AC17" s="6"/>
      <c r="AD17" s="5"/>
      <c r="AE17" s="6"/>
      <c r="AF17" s="6"/>
      <c r="AG17" s="6"/>
      <c r="AH17" s="5"/>
      <c r="AI17" s="5"/>
      <c r="AJ17" s="5"/>
      <c r="AK17" s="5"/>
      <c r="AL17" s="5"/>
      <c r="AQ17" s="90"/>
    </row>
    <row r="18" spans="1:111" ht="12" customHeight="1" thickBot="1" x14ac:dyDescent="0.25">
      <c r="A18" s="15" t="e">
        <f t="shared" si="0"/>
        <v>#N/A</v>
      </c>
      <c r="B18" s="15" t="e">
        <f t="shared" si="1"/>
        <v>#N/A</v>
      </c>
      <c r="C18" s="15" t="str">
        <f t="shared" si="7"/>
        <v/>
      </c>
      <c r="D18" s="5"/>
      <c r="E18" s="895" t="s">
        <v>15</v>
      </c>
      <c r="F18" s="898" t="s">
        <v>245</v>
      </c>
      <c r="G18" s="899" t="s">
        <v>92</v>
      </c>
      <c r="H18" s="903" t="s">
        <v>246</v>
      </c>
      <c r="I18" s="1296" t="str">
        <f t="shared" si="2"/>
        <v>-----</v>
      </c>
      <c r="J18" s="1296" t="str">
        <f t="shared" si="10"/>
        <v>-----</v>
      </c>
      <c r="K18" s="930" t="str">
        <f t="shared" si="3"/>
        <v>-----</v>
      </c>
      <c r="L18" s="930" t="str">
        <f t="shared" si="4"/>
        <v>-----</v>
      </c>
      <c r="M18" s="908" t="s">
        <v>247</v>
      </c>
      <c r="N18" s="903" t="s">
        <v>248</v>
      </c>
      <c r="O18" s="908">
        <v>10</v>
      </c>
      <c r="P18" s="908">
        <v>1</v>
      </c>
      <c r="Q18" s="918" t="str">
        <f t="shared" ca="1" si="5"/>
        <v/>
      </c>
      <c r="R18" s="5"/>
      <c r="S18" s="16" t="str">
        <f t="shared" si="6"/>
        <v/>
      </c>
      <c r="T18" s="17">
        <v>0</v>
      </c>
      <c r="U18" s="20">
        <f t="shared" si="8"/>
        <v>0</v>
      </c>
      <c r="V18" s="5"/>
      <c r="W18" s="5"/>
      <c r="X18" s="6">
        <f t="shared" si="9"/>
        <v>1</v>
      </c>
      <c r="Y18" s="5"/>
      <c r="Z18" s="85"/>
      <c r="AA18" s="6"/>
      <c r="AB18" s="6"/>
      <c r="AC18" s="6"/>
      <c r="AD18" s="5"/>
      <c r="AE18" s="6"/>
      <c r="AF18" s="6"/>
      <c r="AG18" s="6"/>
      <c r="AH18" s="5"/>
      <c r="AI18" s="5"/>
      <c r="AJ18" s="5"/>
      <c r="AK18" s="5"/>
      <c r="AL18" s="5"/>
      <c r="AQ18" s="90"/>
    </row>
    <row r="19" spans="1:111" ht="12" customHeight="1" thickBot="1" x14ac:dyDescent="0.25">
      <c r="A19" s="15" t="e">
        <f t="shared" si="0"/>
        <v>#N/A</v>
      </c>
      <c r="B19" s="15" t="e">
        <f t="shared" si="1"/>
        <v>#N/A</v>
      </c>
      <c r="C19" s="15" t="str">
        <f t="shared" si="7"/>
        <v/>
      </c>
      <c r="D19" s="5"/>
      <c r="E19" s="895" t="s">
        <v>15</v>
      </c>
      <c r="F19" s="898" t="s">
        <v>245</v>
      </c>
      <c r="G19" s="899" t="s">
        <v>92</v>
      </c>
      <c r="H19" s="903" t="s">
        <v>246</v>
      </c>
      <c r="I19" s="1296" t="str">
        <f t="shared" si="2"/>
        <v>-----</v>
      </c>
      <c r="J19" s="1296" t="str">
        <f t="shared" si="10"/>
        <v>-----</v>
      </c>
      <c r="K19" s="930" t="str">
        <f t="shared" si="3"/>
        <v>-----</v>
      </c>
      <c r="L19" s="930" t="str">
        <f t="shared" si="4"/>
        <v>-----</v>
      </c>
      <c r="M19" s="908" t="s">
        <v>247</v>
      </c>
      <c r="N19" s="903" t="s">
        <v>248</v>
      </c>
      <c r="O19" s="908">
        <v>10</v>
      </c>
      <c r="P19" s="908">
        <v>1</v>
      </c>
      <c r="Q19" s="918" t="str">
        <f t="shared" ca="1" si="5"/>
        <v/>
      </c>
      <c r="R19" s="5"/>
      <c r="S19" s="16" t="str">
        <f t="shared" si="6"/>
        <v/>
      </c>
      <c r="T19" s="17">
        <v>0</v>
      </c>
      <c r="U19" s="20">
        <f t="shared" si="8"/>
        <v>0</v>
      </c>
      <c r="V19" s="5"/>
      <c r="W19" s="5"/>
      <c r="X19" s="6">
        <f t="shared" si="9"/>
        <v>1</v>
      </c>
      <c r="Y19" s="5"/>
      <c r="Z19" s="85"/>
      <c r="AA19" s="6"/>
      <c r="AB19" s="6"/>
      <c r="AC19" s="6"/>
      <c r="AD19" s="5"/>
      <c r="AE19" s="6"/>
      <c r="AF19" s="6"/>
      <c r="AG19" s="6"/>
      <c r="AH19" s="5"/>
      <c r="AI19" s="5"/>
      <c r="AJ19" s="5"/>
      <c r="AK19" s="5"/>
      <c r="AL19" s="5"/>
      <c r="AQ19" s="90"/>
    </row>
    <row r="20" spans="1:111" ht="12" customHeight="1" thickBot="1" x14ac:dyDescent="0.25">
      <c r="A20" s="15" t="e">
        <f t="shared" si="0"/>
        <v>#N/A</v>
      </c>
      <c r="B20" s="15" t="e">
        <f t="shared" si="1"/>
        <v>#N/A</v>
      </c>
      <c r="C20" s="15" t="str">
        <f t="shared" si="7"/>
        <v/>
      </c>
      <c r="D20" s="5"/>
      <c r="E20" s="895" t="s">
        <v>15</v>
      </c>
      <c r="F20" s="898" t="s">
        <v>245</v>
      </c>
      <c r="G20" s="899" t="s">
        <v>92</v>
      </c>
      <c r="H20" s="903" t="s">
        <v>246</v>
      </c>
      <c r="I20" s="1296" t="str">
        <f t="shared" si="2"/>
        <v>-----</v>
      </c>
      <c r="J20" s="1296" t="str">
        <f t="shared" si="10"/>
        <v>-----</v>
      </c>
      <c r="K20" s="930" t="str">
        <f t="shared" si="3"/>
        <v>-----</v>
      </c>
      <c r="L20" s="930" t="str">
        <f t="shared" si="4"/>
        <v>-----</v>
      </c>
      <c r="M20" s="908" t="s">
        <v>247</v>
      </c>
      <c r="N20" s="903" t="s">
        <v>248</v>
      </c>
      <c r="O20" s="908">
        <v>10</v>
      </c>
      <c r="P20" s="908">
        <v>1</v>
      </c>
      <c r="Q20" s="918" t="str">
        <f t="shared" ca="1" si="5"/>
        <v/>
      </c>
      <c r="R20" s="5"/>
      <c r="S20" s="16" t="str">
        <f t="shared" si="6"/>
        <v/>
      </c>
      <c r="T20" s="17">
        <v>0</v>
      </c>
      <c r="U20" s="20">
        <f t="shared" si="8"/>
        <v>0</v>
      </c>
      <c r="V20" s="5"/>
      <c r="W20" s="5"/>
      <c r="X20" s="6">
        <f t="shared" si="9"/>
        <v>1</v>
      </c>
      <c r="Y20" s="5"/>
      <c r="Z20" s="85"/>
      <c r="AA20" s="6"/>
      <c r="AB20" s="6"/>
      <c r="AC20" s="6"/>
      <c r="AD20" s="5"/>
      <c r="AE20" s="6"/>
      <c r="AF20" s="6"/>
      <c r="AG20" s="6"/>
      <c r="AH20" s="5"/>
      <c r="AI20" s="5"/>
      <c r="AJ20" s="5"/>
      <c r="AK20" s="5"/>
      <c r="AL20" s="5"/>
      <c r="AQ20" s="90"/>
    </row>
    <row r="21" spans="1:111" ht="12" customHeight="1" thickBot="1" x14ac:dyDescent="0.25">
      <c r="A21" s="15" t="e">
        <f t="shared" si="0"/>
        <v>#N/A</v>
      </c>
      <c r="B21" s="15" t="e">
        <f t="shared" si="1"/>
        <v>#N/A</v>
      </c>
      <c r="C21" s="15" t="str">
        <f t="shared" si="7"/>
        <v/>
      </c>
      <c r="D21" s="5"/>
      <c r="E21" s="895" t="s">
        <v>15</v>
      </c>
      <c r="F21" s="898" t="s">
        <v>245</v>
      </c>
      <c r="G21" s="899" t="s">
        <v>92</v>
      </c>
      <c r="H21" s="903" t="s">
        <v>246</v>
      </c>
      <c r="I21" s="1296" t="str">
        <f t="shared" si="2"/>
        <v>-----</v>
      </c>
      <c r="J21" s="1296" t="str">
        <f t="shared" si="10"/>
        <v>-----</v>
      </c>
      <c r="K21" s="930" t="str">
        <f t="shared" si="3"/>
        <v>-----</v>
      </c>
      <c r="L21" s="930" t="str">
        <f t="shared" si="4"/>
        <v>-----</v>
      </c>
      <c r="M21" s="908" t="s">
        <v>247</v>
      </c>
      <c r="N21" s="903" t="s">
        <v>248</v>
      </c>
      <c r="O21" s="908">
        <v>10</v>
      </c>
      <c r="P21" s="908">
        <v>1</v>
      </c>
      <c r="Q21" s="918" t="str">
        <f t="shared" ca="1" si="5"/>
        <v/>
      </c>
      <c r="R21" s="5"/>
      <c r="S21" s="16" t="str">
        <f t="shared" si="6"/>
        <v/>
      </c>
      <c r="T21" s="17">
        <v>0</v>
      </c>
      <c r="U21" s="20">
        <f t="shared" si="8"/>
        <v>0</v>
      </c>
      <c r="V21" s="5"/>
      <c r="W21" s="5"/>
      <c r="X21" s="6">
        <f t="shared" si="9"/>
        <v>1</v>
      </c>
      <c r="Y21" s="5"/>
      <c r="Z21" s="85"/>
      <c r="AA21" s="6"/>
      <c r="AB21" s="6"/>
      <c r="AC21" s="6"/>
      <c r="AD21" s="5"/>
      <c r="AE21" s="6"/>
      <c r="AF21" s="6"/>
      <c r="AG21" s="6"/>
      <c r="AH21" s="5"/>
      <c r="AI21" s="5"/>
      <c r="AJ21" s="5"/>
      <c r="AK21" s="5"/>
      <c r="AL21" s="5"/>
      <c r="AQ21" s="90"/>
    </row>
    <row r="22" spans="1:111" ht="12" customHeight="1" thickBot="1" x14ac:dyDescent="0.25">
      <c r="A22" s="15" t="e">
        <f t="shared" si="0"/>
        <v>#N/A</v>
      </c>
      <c r="B22" s="15" t="e">
        <f t="shared" si="1"/>
        <v>#N/A</v>
      </c>
      <c r="C22" s="15" t="str">
        <f t="shared" si="7"/>
        <v/>
      </c>
      <c r="D22" s="5"/>
      <c r="E22" s="895" t="s">
        <v>15</v>
      </c>
      <c r="F22" s="898" t="s">
        <v>245</v>
      </c>
      <c r="G22" s="899" t="s">
        <v>92</v>
      </c>
      <c r="H22" s="903" t="s">
        <v>246</v>
      </c>
      <c r="I22" s="1296" t="str">
        <f t="shared" si="2"/>
        <v>-----</v>
      </c>
      <c r="J22" s="1296" t="str">
        <f t="shared" si="10"/>
        <v>-----</v>
      </c>
      <c r="K22" s="930" t="str">
        <f t="shared" si="3"/>
        <v>-----</v>
      </c>
      <c r="L22" s="930" t="str">
        <f t="shared" si="4"/>
        <v>-----</v>
      </c>
      <c r="M22" s="908" t="s">
        <v>247</v>
      </c>
      <c r="N22" s="903" t="s">
        <v>248</v>
      </c>
      <c r="O22" s="908">
        <v>10</v>
      </c>
      <c r="P22" s="908">
        <v>1</v>
      </c>
      <c r="Q22" s="918" t="str">
        <f t="shared" ca="1" si="5"/>
        <v/>
      </c>
      <c r="R22" s="5"/>
      <c r="S22" s="16" t="str">
        <f t="shared" si="6"/>
        <v/>
      </c>
      <c r="T22" s="17">
        <v>0</v>
      </c>
      <c r="U22" s="20">
        <f t="shared" si="8"/>
        <v>0</v>
      </c>
      <c r="V22" s="5"/>
      <c r="W22" s="5"/>
      <c r="X22" s="6">
        <f t="shared" si="9"/>
        <v>1</v>
      </c>
      <c r="Y22" s="5"/>
      <c r="Z22" s="85"/>
      <c r="AA22" s="6"/>
      <c r="AB22" s="6"/>
      <c r="AC22" s="6"/>
      <c r="AD22" s="5"/>
      <c r="AE22" s="6"/>
      <c r="AF22" s="6"/>
      <c r="AG22" s="6"/>
      <c r="AH22" s="5"/>
      <c r="AI22" s="5"/>
      <c r="AJ22" s="5"/>
      <c r="AK22" s="5"/>
      <c r="AL22" s="5"/>
    </row>
    <row r="23" spans="1:111" ht="12" customHeight="1" thickBot="1" x14ac:dyDescent="0.25">
      <c r="A23" s="15" t="e">
        <f t="shared" si="0"/>
        <v>#N/A</v>
      </c>
      <c r="B23" s="15" t="e">
        <f t="shared" si="1"/>
        <v>#N/A</v>
      </c>
      <c r="C23" s="15" t="str">
        <f t="shared" si="7"/>
        <v/>
      </c>
      <c r="D23" s="5"/>
      <c r="E23" s="895" t="s">
        <v>15</v>
      </c>
      <c r="F23" s="898" t="s">
        <v>245</v>
      </c>
      <c r="G23" s="899" t="s">
        <v>92</v>
      </c>
      <c r="H23" s="903" t="s">
        <v>246</v>
      </c>
      <c r="I23" s="1296" t="str">
        <f t="shared" si="2"/>
        <v>-----</v>
      </c>
      <c r="J23" s="1296" t="str">
        <f t="shared" si="10"/>
        <v>-----</v>
      </c>
      <c r="K23" s="930" t="str">
        <f t="shared" si="3"/>
        <v>-----</v>
      </c>
      <c r="L23" s="930" t="str">
        <f t="shared" si="4"/>
        <v>-----</v>
      </c>
      <c r="M23" s="908" t="s">
        <v>247</v>
      </c>
      <c r="N23" s="903" t="s">
        <v>248</v>
      </c>
      <c r="O23" s="908">
        <v>10</v>
      </c>
      <c r="P23" s="908">
        <v>1</v>
      </c>
      <c r="Q23" s="918" t="str">
        <f t="shared" ca="1" si="5"/>
        <v/>
      </c>
      <c r="R23" s="5"/>
      <c r="S23" s="16" t="str">
        <f t="shared" si="6"/>
        <v/>
      </c>
      <c r="T23" s="17">
        <v>0</v>
      </c>
      <c r="U23" s="20">
        <f t="shared" si="8"/>
        <v>0</v>
      </c>
      <c r="V23" s="5"/>
      <c r="W23" s="5"/>
      <c r="X23" s="6">
        <f t="shared" si="9"/>
        <v>1</v>
      </c>
      <c r="Y23" s="5"/>
      <c r="Z23" s="85"/>
      <c r="AA23" s="6"/>
      <c r="AB23" s="6"/>
      <c r="AC23" s="6"/>
      <c r="AD23" s="5"/>
      <c r="AE23" s="6"/>
      <c r="AF23" s="6"/>
      <c r="AG23" s="6"/>
      <c r="AH23" s="5"/>
      <c r="AI23" s="5"/>
      <c r="AJ23" s="5"/>
      <c r="AK23" s="5"/>
      <c r="AL23" s="5"/>
      <c r="AQ23" s="90"/>
    </row>
    <row r="24" spans="1:111" ht="12" customHeight="1" thickBot="1" x14ac:dyDescent="0.25">
      <c r="A24" s="15" t="e">
        <f t="shared" si="0"/>
        <v>#N/A</v>
      </c>
      <c r="B24" s="15" t="e">
        <f t="shared" si="1"/>
        <v>#N/A</v>
      </c>
      <c r="C24" s="15" t="str">
        <f t="shared" si="7"/>
        <v/>
      </c>
      <c r="D24" s="5"/>
      <c r="E24" s="895" t="s">
        <v>15</v>
      </c>
      <c r="F24" s="898" t="s">
        <v>245</v>
      </c>
      <c r="G24" s="899" t="s">
        <v>92</v>
      </c>
      <c r="H24" s="903" t="s">
        <v>246</v>
      </c>
      <c r="I24" s="1296" t="str">
        <f t="shared" si="2"/>
        <v>-----</v>
      </c>
      <c r="J24" s="1296" t="str">
        <f t="shared" si="10"/>
        <v>-----</v>
      </c>
      <c r="K24" s="930" t="str">
        <f t="shared" si="3"/>
        <v>-----</v>
      </c>
      <c r="L24" s="930" t="str">
        <f t="shared" si="4"/>
        <v>-----</v>
      </c>
      <c r="M24" s="908" t="s">
        <v>247</v>
      </c>
      <c r="N24" s="903" t="s">
        <v>248</v>
      </c>
      <c r="O24" s="908">
        <v>10</v>
      </c>
      <c r="P24" s="908">
        <v>1</v>
      </c>
      <c r="Q24" s="918" t="str">
        <f t="shared" ca="1" si="5"/>
        <v/>
      </c>
      <c r="R24" s="5"/>
      <c r="S24" s="16" t="str">
        <f t="shared" si="6"/>
        <v/>
      </c>
      <c r="T24" s="17">
        <v>0</v>
      </c>
      <c r="U24" s="20">
        <f t="shared" si="8"/>
        <v>0</v>
      </c>
      <c r="V24" s="5"/>
      <c r="W24" s="5"/>
      <c r="X24" s="6">
        <f t="shared" si="9"/>
        <v>1</v>
      </c>
      <c r="Y24" s="5"/>
      <c r="Z24" s="85"/>
      <c r="AA24" s="6"/>
      <c r="AB24" s="6"/>
      <c r="AC24" s="6"/>
      <c r="AD24" s="5"/>
      <c r="AE24" s="6"/>
      <c r="AF24" s="6"/>
      <c r="AG24" s="6"/>
      <c r="AH24" s="5"/>
      <c r="AI24" s="5"/>
      <c r="AJ24" s="5"/>
      <c r="AK24" s="5"/>
      <c r="AL24" s="5"/>
      <c r="AQ24" s="90"/>
    </row>
    <row r="25" spans="1:111" ht="12" customHeight="1" thickBot="1" x14ac:dyDescent="0.25">
      <c r="A25" s="15" t="e">
        <f t="shared" si="0"/>
        <v>#N/A</v>
      </c>
      <c r="B25" s="15" t="e">
        <f t="shared" si="1"/>
        <v>#N/A</v>
      </c>
      <c r="C25" s="15" t="str">
        <f t="shared" si="7"/>
        <v/>
      </c>
      <c r="D25" s="5"/>
      <c r="E25" s="895" t="s">
        <v>15</v>
      </c>
      <c r="F25" s="898" t="s">
        <v>245</v>
      </c>
      <c r="G25" s="899" t="s">
        <v>92</v>
      </c>
      <c r="H25" s="903" t="s">
        <v>246</v>
      </c>
      <c r="I25" s="1296" t="str">
        <f t="shared" si="2"/>
        <v>-----</v>
      </c>
      <c r="J25" s="1296" t="str">
        <f t="shared" si="10"/>
        <v>-----</v>
      </c>
      <c r="K25" s="930" t="str">
        <f t="shared" si="3"/>
        <v>-----</v>
      </c>
      <c r="L25" s="930" t="str">
        <f t="shared" si="4"/>
        <v>-----</v>
      </c>
      <c r="M25" s="908" t="s">
        <v>247</v>
      </c>
      <c r="N25" s="903" t="s">
        <v>248</v>
      </c>
      <c r="O25" s="908">
        <v>10</v>
      </c>
      <c r="P25" s="908">
        <v>1</v>
      </c>
      <c r="Q25" s="918" t="str">
        <f t="shared" ca="1" si="5"/>
        <v/>
      </c>
      <c r="R25" s="5"/>
      <c r="S25" s="16" t="str">
        <f t="shared" si="6"/>
        <v/>
      </c>
      <c r="T25" s="17">
        <v>0</v>
      </c>
      <c r="U25" s="20">
        <f t="shared" si="8"/>
        <v>0</v>
      </c>
      <c r="V25" s="5"/>
      <c r="W25" s="5"/>
      <c r="X25" s="6">
        <f t="shared" si="9"/>
        <v>1</v>
      </c>
      <c r="Y25" s="5"/>
      <c r="Z25" s="85"/>
      <c r="AA25" s="6"/>
      <c r="AB25" s="6"/>
      <c r="AC25" s="6"/>
      <c r="AD25" s="5"/>
      <c r="AE25" s="6"/>
      <c r="AF25" s="6"/>
      <c r="AG25" s="6"/>
      <c r="AH25" s="5"/>
      <c r="AI25" s="5"/>
      <c r="AJ25" s="5"/>
      <c r="AK25" s="5"/>
      <c r="AL25" s="5"/>
    </row>
    <row r="26" spans="1:111" ht="12" customHeight="1" thickBot="1" x14ac:dyDescent="0.25">
      <c r="A26" s="15" t="e">
        <f t="shared" si="0"/>
        <v>#N/A</v>
      </c>
      <c r="B26" s="15" t="e">
        <f t="shared" si="1"/>
        <v>#N/A</v>
      </c>
      <c r="C26" s="15" t="str">
        <f t="shared" si="7"/>
        <v/>
      </c>
      <c r="D26" s="5"/>
      <c r="E26" s="895" t="s">
        <v>15</v>
      </c>
      <c r="F26" s="898" t="s">
        <v>245</v>
      </c>
      <c r="G26" s="899" t="s">
        <v>92</v>
      </c>
      <c r="H26" s="903" t="s">
        <v>246</v>
      </c>
      <c r="I26" s="1296" t="str">
        <f t="shared" si="2"/>
        <v>-----</v>
      </c>
      <c r="J26" s="1296" t="str">
        <f t="shared" si="10"/>
        <v>-----</v>
      </c>
      <c r="K26" s="930" t="str">
        <f t="shared" si="3"/>
        <v>-----</v>
      </c>
      <c r="L26" s="930" t="str">
        <f t="shared" si="4"/>
        <v>-----</v>
      </c>
      <c r="M26" s="908" t="s">
        <v>247</v>
      </c>
      <c r="N26" s="903" t="s">
        <v>248</v>
      </c>
      <c r="O26" s="908">
        <v>10</v>
      </c>
      <c r="P26" s="908">
        <v>1</v>
      </c>
      <c r="Q26" s="918" t="str">
        <f t="shared" ca="1" si="5"/>
        <v/>
      </c>
      <c r="R26" s="5"/>
      <c r="S26" s="16" t="str">
        <f t="shared" si="6"/>
        <v/>
      </c>
      <c r="T26" s="17">
        <v>0</v>
      </c>
      <c r="U26" s="20">
        <f t="shared" si="8"/>
        <v>0</v>
      </c>
      <c r="V26" s="5"/>
      <c r="W26" s="5"/>
      <c r="X26" s="6">
        <f t="shared" si="9"/>
        <v>1</v>
      </c>
      <c r="Y26" s="5"/>
      <c r="Z26" s="85"/>
      <c r="AA26" s="6"/>
      <c r="AB26" s="6"/>
      <c r="AC26" s="6"/>
      <c r="AD26" s="5"/>
      <c r="AE26" s="6"/>
      <c r="AF26" s="6"/>
      <c r="AG26" s="6"/>
      <c r="AH26" s="5"/>
      <c r="AI26" s="5"/>
      <c r="AJ26" s="5"/>
      <c r="AK26" s="5"/>
      <c r="AL26" s="5"/>
    </row>
    <row r="27" spans="1:111" ht="12" customHeight="1" thickBot="1" x14ac:dyDescent="0.25">
      <c r="A27" s="15" t="e">
        <f t="shared" si="0"/>
        <v>#N/A</v>
      </c>
      <c r="B27" s="15" t="e">
        <f t="shared" si="1"/>
        <v>#N/A</v>
      </c>
      <c r="C27" s="15" t="str">
        <f t="shared" si="7"/>
        <v/>
      </c>
      <c r="D27" s="5"/>
      <c r="E27" s="896" t="s">
        <v>15</v>
      </c>
      <c r="F27" s="900" t="s">
        <v>245</v>
      </c>
      <c r="G27" s="901" t="s">
        <v>92</v>
      </c>
      <c r="H27" s="904" t="s">
        <v>246</v>
      </c>
      <c r="I27" s="1296" t="str">
        <f t="shared" si="2"/>
        <v>-----</v>
      </c>
      <c r="J27" s="1296" t="str">
        <f t="shared" si="10"/>
        <v>-----</v>
      </c>
      <c r="K27" s="931" t="str">
        <f t="shared" si="3"/>
        <v>-----</v>
      </c>
      <c r="L27" s="931" t="str">
        <f t="shared" si="4"/>
        <v>-----</v>
      </c>
      <c r="M27" s="909" t="s">
        <v>247</v>
      </c>
      <c r="N27" s="904" t="s">
        <v>248</v>
      </c>
      <c r="O27" s="909">
        <v>10</v>
      </c>
      <c r="P27" s="909">
        <v>1</v>
      </c>
      <c r="Q27" s="919" t="str">
        <f t="shared" ca="1" si="5"/>
        <v/>
      </c>
      <c r="R27" s="5"/>
      <c r="S27" s="16" t="str">
        <f t="shared" si="6"/>
        <v/>
      </c>
      <c r="T27" s="17">
        <v>0</v>
      </c>
      <c r="U27" s="20">
        <f t="shared" si="8"/>
        <v>0</v>
      </c>
      <c r="V27" s="5"/>
      <c r="W27" s="5"/>
      <c r="X27" s="6">
        <f t="shared" si="9"/>
        <v>1</v>
      </c>
      <c r="Y27" s="5"/>
      <c r="Z27" s="85"/>
      <c r="AA27" s="6"/>
      <c r="AB27" s="6"/>
      <c r="AC27" s="6"/>
      <c r="AD27" s="5"/>
      <c r="AE27" s="6"/>
      <c r="AF27" s="6"/>
      <c r="AG27" s="6"/>
      <c r="AH27" s="5"/>
      <c r="AI27" s="5"/>
      <c r="AJ27" s="5"/>
      <c r="AK27" s="5"/>
      <c r="AL27" s="5"/>
    </row>
    <row r="28" spans="1:111" ht="6" customHeight="1" thickBot="1" x14ac:dyDescent="0.25">
      <c r="A28" s="15"/>
      <c r="B28" s="15"/>
      <c r="C28" s="15"/>
      <c r="D28" s="5"/>
      <c r="E28" s="19"/>
      <c r="F28" s="19"/>
      <c r="G28" s="19"/>
      <c r="H28" s="19"/>
      <c r="I28" s="19"/>
      <c r="J28" s="19"/>
      <c r="K28" s="19"/>
      <c r="L28" s="19"/>
      <c r="M28" s="19"/>
      <c r="N28" s="19"/>
      <c r="O28" s="19"/>
      <c r="P28" s="19"/>
      <c r="Q28" s="19"/>
      <c r="R28" s="9"/>
      <c r="S28" s="16"/>
      <c r="T28" s="127"/>
      <c r="U28" s="18"/>
      <c r="V28" s="5"/>
      <c r="W28" s="5"/>
      <c r="X28" s="5"/>
      <c r="Y28" s="5"/>
      <c r="Z28" s="85"/>
      <c r="AA28" s="6"/>
      <c r="AB28" s="6"/>
      <c r="AC28" s="6"/>
      <c r="AD28" s="5"/>
      <c r="AE28" s="6"/>
      <c r="AF28" s="6"/>
      <c r="AG28" s="6"/>
      <c r="AH28" s="5"/>
      <c r="AI28" s="5"/>
      <c r="AJ28" s="5"/>
      <c r="AK28" s="5"/>
      <c r="AL28" s="5"/>
    </row>
    <row r="29" spans="1:111" ht="15" customHeight="1" thickBot="1" x14ac:dyDescent="0.25">
      <c r="A29" s="15"/>
      <c r="B29" s="15"/>
      <c r="C29" s="15"/>
      <c r="D29" s="5"/>
      <c r="E29" s="1838" t="s">
        <v>101</v>
      </c>
      <c r="F29" s="1839"/>
      <c r="G29" s="1839"/>
      <c r="H29" s="1839"/>
      <c r="I29" s="1839"/>
      <c r="J29" s="1839"/>
      <c r="K29" s="1839"/>
      <c r="L29" s="1839"/>
      <c r="M29" s="1839"/>
      <c r="N29" s="1839"/>
      <c r="O29" s="1839"/>
      <c r="P29" s="1839"/>
      <c r="Q29" s="1840"/>
      <c r="R29" s="9"/>
      <c r="S29" s="16"/>
      <c r="T29" s="127"/>
      <c r="U29" s="18"/>
      <c r="V29" s="5"/>
      <c r="W29" s="5"/>
      <c r="X29" s="5"/>
      <c r="Y29" s="5"/>
      <c r="Z29" s="85"/>
      <c r="AA29" s="6"/>
      <c r="AB29" s="6"/>
      <c r="AC29" s="6"/>
      <c r="AD29" s="5"/>
      <c r="AE29" s="6"/>
      <c r="AF29" s="6"/>
      <c r="AG29" s="6"/>
      <c r="AH29" s="5"/>
      <c r="AI29" s="5"/>
      <c r="AJ29" s="5"/>
      <c r="AK29" s="5"/>
      <c r="AL29" s="5"/>
    </row>
    <row r="30" spans="1:111" s="14" customFormat="1" ht="36" customHeight="1" thickBot="1" x14ac:dyDescent="0.25">
      <c r="A30" s="20"/>
      <c r="B30" s="20"/>
      <c r="C30" s="20"/>
      <c r="D30" s="21"/>
      <c r="E30" s="912" t="s">
        <v>250</v>
      </c>
      <c r="F30" s="910" t="s">
        <v>93</v>
      </c>
      <c r="G30" s="911" t="s">
        <v>241</v>
      </c>
      <c r="H30" s="910" t="s">
        <v>242</v>
      </c>
      <c r="I30" s="910" t="s">
        <v>95</v>
      </c>
      <c r="J30" s="910" t="s">
        <v>96</v>
      </c>
      <c r="K30" s="910" t="s">
        <v>243</v>
      </c>
      <c r="L30" s="910" t="s">
        <v>97</v>
      </c>
      <c r="M30" s="911" t="s">
        <v>98</v>
      </c>
      <c r="N30" s="911" t="s">
        <v>244</v>
      </c>
      <c r="O30" s="911" t="s">
        <v>99</v>
      </c>
      <c r="P30" s="891" t="s">
        <v>986</v>
      </c>
      <c r="Q30" s="891" t="s">
        <v>102</v>
      </c>
      <c r="R30" s="22"/>
      <c r="S30" s="22"/>
      <c r="T30" s="128"/>
      <c r="U30" s="23"/>
      <c r="V30" s="11"/>
      <c r="W30" s="11"/>
      <c r="X30" s="11"/>
      <c r="Y30" s="11"/>
      <c r="Z30" s="88"/>
      <c r="AA30" s="87"/>
      <c r="AB30" s="87"/>
      <c r="AC30" s="87"/>
      <c r="AD30" s="11"/>
      <c r="AE30" s="87"/>
      <c r="AF30" s="87"/>
      <c r="AG30" s="87"/>
      <c r="AH30" s="11"/>
      <c r="AI30" s="11"/>
      <c r="AJ30" s="11"/>
      <c r="AK30" s="11"/>
      <c r="AL30" s="11"/>
      <c r="BA30" s="89"/>
      <c r="BB30" s="154"/>
      <c r="BC30" s="154"/>
      <c r="BD30" s="154"/>
      <c r="BE30" s="154"/>
      <c r="BF30" s="154"/>
      <c r="BG30" s="154"/>
      <c r="BH30" s="154"/>
      <c r="BI30" s="154"/>
      <c r="BJ30" s="154"/>
      <c r="BK30" s="154"/>
      <c r="BL30" s="154"/>
      <c r="BM30" s="154"/>
      <c r="BN30" s="154"/>
      <c r="BO30" s="154"/>
      <c r="BP30" s="154"/>
      <c r="BQ30" s="154"/>
      <c r="BR30" s="154"/>
      <c r="BS30" s="154"/>
      <c r="BT30" s="154"/>
      <c r="BU30" s="154"/>
      <c r="BV30" s="154"/>
      <c r="BW30" s="154"/>
      <c r="BX30" s="154"/>
      <c r="BY30" s="154"/>
      <c r="BZ30" s="154"/>
      <c r="CA30" s="154"/>
      <c r="CB30" s="154"/>
      <c r="CC30" s="154"/>
      <c r="CD30" s="154"/>
      <c r="CE30" s="154"/>
      <c r="CF30" s="154"/>
      <c r="CG30" s="154"/>
      <c r="CH30" s="154"/>
      <c r="CI30" s="154"/>
      <c r="CJ30" s="154"/>
      <c r="CK30" s="154"/>
      <c r="CL30" s="154"/>
      <c r="CM30" s="154"/>
      <c r="CN30" s="154"/>
      <c r="CO30" s="154"/>
      <c r="CP30" s="154"/>
      <c r="CQ30" s="154"/>
      <c r="CR30" s="154"/>
      <c r="CS30" s="154"/>
      <c r="CT30" s="154"/>
      <c r="CU30" s="154"/>
      <c r="CV30" s="154"/>
      <c r="CW30" s="154"/>
      <c r="CX30" s="154"/>
      <c r="CY30" s="154"/>
      <c r="CZ30" s="154"/>
      <c r="DA30" s="154"/>
      <c r="DB30" s="154"/>
      <c r="DC30" s="154"/>
      <c r="DD30" s="154"/>
      <c r="DE30" s="154"/>
      <c r="DF30" s="154"/>
      <c r="DG30" s="154"/>
    </row>
    <row r="31" spans="1:111" ht="12" customHeight="1" x14ac:dyDescent="0.2">
      <c r="A31" s="15" t="e">
        <f t="shared" ref="A31:A37" si="11">VLOOKUP($G31,$AH$46:$AK$59,3,FALSE)</f>
        <v>#N/A</v>
      </c>
      <c r="B31" s="15"/>
      <c r="C31" s="15"/>
      <c r="D31" s="5"/>
      <c r="E31" s="894" t="s">
        <v>15</v>
      </c>
      <c r="F31" s="913" t="s">
        <v>245</v>
      </c>
      <c r="G31" s="914" t="s">
        <v>92</v>
      </c>
      <c r="H31" s="906" t="s">
        <v>246</v>
      </c>
      <c r="I31" s="932" t="str">
        <f t="shared" ref="I31:I37" si="12">IF($G31="-------------------------------","-----",VLOOKUP($G31,$AH$46:$AK$59,2,FALSE))</f>
        <v>-----</v>
      </c>
      <c r="J31" s="929" t="str">
        <f t="shared" ref="J31:J37" si="13">IF(OR($H31="ENTER TEMP.",$I31="",$H31=""),"-----",$H31-2)</f>
        <v>-----</v>
      </c>
      <c r="K31" s="929" t="str">
        <f t="shared" ref="K31:K37" si="14">IF($G31="-------------------------------","-----",VLOOKUP($G31,$AH$46:$AK$59,4,FALSE))</f>
        <v>-----</v>
      </c>
      <c r="L31" s="929" t="str">
        <f t="shared" ref="L31:L37" si="15">IF(OR($H31="ENTER TEMP.",$H31=""),"-----",$I31-$H31)</f>
        <v>-----</v>
      </c>
      <c r="M31" s="905" t="s">
        <v>247</v>
      </c>
      <c r="N31" s="906" t="s">
        <v>248</v>
      </c>
      <c r="O31" s="920">
        <v>10</v>
      </c>
      <c r="P31" s="906"/>
      <c r="Q31" s="917" t="str">
        <f>IF(OR($H31="",$H31="Enter Temp.",$M31="Enter Length",$N31="Enter Width"),"-----",(0.001*$M31*$N31*$A31+U31)*IF(P31="",1,P31))</f>
        <v>-----</v>
      </c>
      <c r="R31" s="5"/>
      <c r="S31" s="16" t="str">
        <f t="shared" ref="S31:S37" si="16">IF($E31="OPEN","AREA OPENING (sq.ft):","")</f>
        <v/>
      </c>
      <c r="T31" s="17">
        <v>0</v>
      </c>
      <c r="U31" s="18">
        <f t="shared" ref="U31:U37" si="17">T31*0.255</f>
        <v>0</v>
      </c>
      <c r="V31" s="5"/>
      <c r="W31" s="5"/>
      <c r="X31" s="5"/>
      <c r="Y31" s="5"/>
      <c r="Z31" s="85"/>
      <c r="AA31" s="6"/>
      <c r="AB31" s="6"/>
      <c r="AC31" s="6"/>
      <c r="AD31" s="5"/>
      <c r="AE31" s="6"/>
      <c r="AF31" s="6"/>
      <c r="AG31" s="6"/>
      <c r="AH31" s="5"/>
      <c r="AI31" s="5"/>
      <c r="AJ31" s="5"/>
      <c r="AK31" s="5"/>
      <c r="AL31" s="5"/>
      <c r="AQ31" s="90"/>
    </row>
    <row r="32" spans="1:111" ht="12" customHeight="1" x14ac:dyDescent="0.2">
      <c r="A32" s="15" t="e">
        <f t="shared" si="11"/>
        <v>#N/A</v>
      </c>
      <c r="B32" s="15"/>
      <c r="C32" s="15"/>
      <c r="D32" s="5"/>
      <c r="E32" s="895" t="s">
        <v>15</v>
      </c>
      <c r="F32" s="898" t="s">
        <v>245</v>
      </c>
      <c r="G32" s="915" t="s">
        <v>92</v>
      </c>
      <c r="H32" s="903" t="s">
        <v>246</v>
      </c>
      <c r="I32" s="933" t="str">
        <f t="shared" si="12"/>
        <v>-----</v>
      </c>
      <c r="J32" s="930" t="str">
        <f t="shared" si="13"/>
        <v>-----</v>
      </c>
      <c r="K32" s="930" t="str">
        <f t="shared" si="14"/>
        <v>-----</v>
      </c>
      <c r="L32" s="930" t="str">
        <f t="shared" si="15"/>
        <v>-----</v>
      </c>
      <c r="M32" s="908" t="s">
        <v>247</v>
      </c>
      <c r="N32" s="903" t="s">
        <v>248</v>
      </c>
      <c r="O32" s="921">
        <v>10</v>
      </c>
      <c r="P32" s="903"/>
      <c r="Q32" s="918" t="str">
        <f t="shared" ref="Q32:Q37" si="18">IF(OR($H32="",$H32="Enter Temp.",$M32="Enter Length",$N32="Enter Width"),"-----",(0.001*$M32*$N32*$A32+U32)*IF(P32="",1,P32))</f>
        <v>-----</v>
      </c>
      <c r="R32" s="5"/>
      <c r="S32" s="16" t="str">
        <f t="shared" si="16"/>
        <v/>
      </c>
      <c r="T32" s="17">
        <v>0</v>
      </c>
      <c r="U32" s="18">
        <f t="shared" si="17"/>
        <v>0</v>
      </c>
      <c r="V32" s="5"/>
      <c r="W32" s="5"/>
      <c r="X32" s="5"/>
      <c r="Y32" s="5"/>
      <c r="Z32" s="85"/>
      <c r="AA32" s="6"/>
      <c r="AB32" s="6"/>
      <c r="AC32" s="6"/>
      <c r="AD32" s="5"/>
      <c r="AE32" s="6"/>
      <c r="AF32" s="6"/>
      <c r="AG32" s="6"/>
      <c r="AH32" s="5"/>
      <c r="AI32" s="5"/>
      <c r="AJ32" s="5"/>
      <c r="AK32" s="5"/>
      <c r="AL32" s="5"/>
      <c r="AQ32" s="90"/>
    </row>
    <row r="33" spans="1:38" ht="12" customHeight="1" x14ac:dyDescent="0.2">
      <c r="A33" s="15" t="e">
        <f t="shared" si="11"/>
        <v>#N/A</v>
      </c>
      <c r="B33" s="15"/>
      <c r="C33" s="15"/>
      <c r="D33" s="5"/>
      <c r="E33" s="895" t="s">
        <v>15</v>
      </c>
      <c r="F33" s="898" t="s">
        <v>245</v>
      </c>
      <c r="G33" s="915" t="s">
        <v>92</v>
      </c>
      <c r="H33" s="903" t="s">
        <v>246</v>
      </c>
      <c r="I33" s="933" t="str">
        <f t="shared" si="12"/>
        <v>-----</v>
      </c>
      <c r="J33" s="930" t="str">
        <f t="shared" si="13"/>
        <v>-----</v>
      </c>
      <c r="K33" s="930" t="str">
        <f t="shared" si="14"/>
        <v>-----</v>
      </c>
      <c r="L33" s="930" t="str">
        <f t="shared" si="15"/>
        <v>-----</v>
      </c>
      <c r="M33" s="908" t="s">
        <v>247</v>
      </c>
      <c r="N33" s="903" t="s">
        <v>248</v>
      </c>
      <c r="O33" s="921">
        <v>10</v>
      </c>
      <c r="P33" s="903"/>
      <c r="Q33" s="918" t="str">
        <f t="shared" si="18"/>
        <v>-----</v>
      </c>
      <c r="R33" s="5"/>
      <c r="S33" s="16" t="str">
        <f t="shared" si="16"/>
        <v/>
      </c>
      <c r="T33" s="17">
        <v>0</v>
      </c>
      <c r="U33" s="18">
        <f t="shared" si="17"/>
        <v>0</v>
      </c>
      <c r="V33" s="5"/>
      <c r="W33" s="5"/>
      <c r="X33" s="5"/>
      <c r="Y33" s="5"/>
      <c r="Z33" s="85"/>
      <c r="AA33" s="6"/>
      <c r="AB33" s="6"/>
      <c r="AC33" s="6"/>
      <c r="AD33" s="5"/>
      <c r="AE33" s="6"/>
      <c r="AF33" s="6"/>
      <c r="AG33" s="6"/>
      <c r="AH33" s="5"/>
      <c r="AI33" s="5"/>
      <c r="AJ33" s="5"/>
      <c r="AK33" s="5"/>
      <c r="AL33" s="5"/>
    </row>
    <row r="34" spans="1:38" ht="12" customHeight="1" x14ac:dyDescent="0.2">
      <c r="A34" s="15" t="e">
        <f t="shared" si="11"/>
        <v>#N/A</v>
      </c>
      <c r="B34" s="15"/>
      <c r="C34" s="15"/>
      <c r="D34" s="5"/>
      <c r="E34" s="895" t="s">
        <v>15</v>
      </c>
      <c r="F34" s="898" t="s">
        <v>245</v>
      </c>
      <c r="G34" s="915" t="s">
        <v>92</v>
      </c>
      <c r="H34" s="903" t="s">
        <v>246</v>
      </c>
      <c r="I34" s="933" t="str">
        <f t="shared" si="12"/>
        <v>-----</v>
      </c>
      <c r="J34" s="930" t="str">
        <f t="shared" si="13"/>
        <v>-----</v>
      </c>
      <c r="K34" s="930" t="str">
        <f t="shared" si="14"/>
        <v>-----</v>
      </c>
      <c r="L34" s="930" t="str">
        <f t="shared" si="15"/>
        <v>-----</v>
      </c>
      <c r="M34" s="908" t="s">
        <v>247</v>
      </c>
      <c r="N34" s="903" t="s">
        <v>248</v>
      </c>
      <c r="O34" s="921">
        <v>10</v>
      </c>
      <c r="P34" s="903"/>
      <c r="Q34" s="918" t="str">
        <f t="shared" si="18"/>
        <v>-----</v>
      </c>
      <c r="R34" s="5"/>
      <c r="S34" s="16" t="str">
        <f t="shared" si="16"/>
        <v/>
      </c>
      <c r="T34" s="17">
        <v>0</v>
      </c>
      <c r="U34" s="18">
        <f t="shared" si="17"/>
        <v>0</v>
      </c>
      <c r="V34" s="5"/>
      <c r="W34" s="5"/>
      <c r="X34" s="5"/>
      <c r="Y34" s="5"/>
      <c r="Z34" s="85"/>
      <c r="AA34" s="6"/>
      <c r="AB34" s="6"/>
      <c r="AC34" s="6"/>
      <c r="AD34" s="5"/>
      <c r="AE34" s="6"/>
      <c r="AF34" s="6"/>
      <c r="AG34" s="6"/>
      <c r="AH34" s="5"/>
      <c r="AI34" s="5"/>
      <c r="AJ34" s="5"/>
      <c r="AK34" s="5"/>
      <c r="AL34" s="5"/>
    </row>
    <row r="35" spans="1:38" ht="12" customHeight="1" x14ac:dyDescent="0.2">
      <c r="A35" s="15" t="e">
        <f t="shared" si="11"/>
        <v>#N/A</v>
      </c>
      <c r="B35" s="15"/>
      <c r="C35" s="15"/>
      <c r="D35" s="5"/>
      <c r="E35" s="895" t="s">
        <v>15</v>
      </c>
      <c r="F35" s="898" t="s">
        <v>245</v>
      </c>
      <c r="G35" s="915" t="s">
        <v>92</v>
      </c>
      <c r="H35" s="903" t="s">
        <v>246</v>
      </c>
      <c r="I35" s="933" t="str">
        <f t="shared" si="12"/>
        <v>-----</v>
      </c>
      <c r="J35" s="930" t="str">
        <f t="shared" si="13"/>
        <v>-----</v>
      </c>
      <c r="K35" s="930" t="str">
        <f t="shared" si="14"/>
        <v>-----</v>
      </c>
      <c r="L35" s="930" t="str">
        <f t="shared" si="15"/>
        <v>-----</v>
      </c>
      <c r="M35" s="908" t="s">
        <v>247</v>
      </c>
      <c r="N35" s="903" t="s">
        <v>248</v>
      </c>
      <c r="O35" s="921">
        <v>10</v>
      </c>
      <c r="P35" s="903"/>
      <c r="Q35" s="918" t="str">
        <f t="shared" si="18"/>
        <v>-----</v>
      </c>
      <c r="R35" s="5"/>
      <c r="S35" s="16" t="str">
        <f t="shared" si="16"/>
        <v/>
      </c>
      <c r="T35" s="17">
        <v>0</v>
      </c>
      <c r="U35" s="18">
        <f t="shared" si="17"/>
        <v>0</v>
      </c>
      <c r="V35" s="5"/>
      <c r="W35" s="5"/>
      <c r="X35" s="5"/>
      <c r="Y35" s="5"/>
      <c r="Z35" s="85"/>
      <c r="AA35" s="6"/>
      <c r="AB35" s="6"/>
      <c r="AC35" s="6"/>
      <c r="AD35" s="5"/>
      <c r="AE35" s="6"/>
      <c r="AF35" s="6"/>
      <c r="AG35" s="6"/>
      <c r="AH35" s="5"/>
      <c r="AI35" s="5"/>
      <c r="AJ35" s="5"/>
      <c r="AK35" s="5"/>
      <c r="AL35" s="5"/>
    </row>
    <row r="36" spans="1:38" ht="12" customHeight="1" x14ac:dyDescent="0.2">
      <c r="A36" s="15" t="e">
        <f t="shared" si="11"/>
        <v>#N/A</v>
      </c>
      <c r="B36" s="15"/>
      <c r="C36" s="15"/>
      <c r="D36" s="5"/>
      <c r="E36" s="895" t="s">
        <v>15</v>
      </c>
      <c r="F36" s="898" t="s">
        <v>245</v>
      </c>
      <c r="G36" s="915" t="s">
        <v>92</v>
      </c>
      <c r="H36" s="903" t="s">
        <v>246</v>
      </c>
      <c r="I36" s="933" t="str">
        <f t="shared" si="12"/>
        <v>-----</v>
      </c>
      <c r="J36" s="930" t="str">
        <f t="shared" si="13"/>
        <v>-----</v>
      </c>
      <c r="K36" s="930" t="str">
        <f t="shared" si="14"/>
        <v>-----</v>
      </c>
      <c r="L36" s="930" t="str">
        <f t="shared" si="15"/>
        <v>-----</v>
      </c>
      <c r="M36" s="908" t="s">
        <v>247</v>
      </c>
      <c r="N36" s="903" t="s">
        <v>248</v>
      </c>
      <c r="O36" s="921">
        <v>10</v>
      </c>
      <c r="P36" s="903"/>
      <c r="Q36" s="918" t="str">
        <f t="shared" si="18"/>
        <v>-----</v>
      </c>
      <c r="R36" s="5"/>
      <c r="S36" s="16" t="str">
        <f t="shared" si="16"/>
        <v/>
      </c>
      <c r="T36" s="17">
        <v>0</v>
      </c>
      <c r="U36" s="18">
        <f t="shared" si="17"/>
        <v>0</v>
      </c>
      <c r="V36" s="5"/>
      <c r="W36" s="5"/>
      <c r="X36" s="5"/>
      <c r="Y36" s="5"/>
      <c r="Z36" s="85"/>
      <c r="AA36" s="6"/>
      <c r="AB36" s="6"/>
      <c r="AC36" s="6"/>
      <c r="AD36" s="5"/>
      <c r="AE36" s="6"/>
      <c r="AF36" s="6"/>
      <c r="AG36" s="6"/>
      <c r="AH36" s="5"/>
      <c r="AI36" s="5"/>
      <c r="AJ36" s="5"/>
      <c r="AK36" s="5"/>
      <c r="AL36" s="5"/>
    </row>
    <row r="37" spans="1:38" ht="12" customHeight="1" thickBot="1" x14ac:dyDescent="0.25">
      <c r="A37" s="15" t="e">
        <f t="shared" si="11"/>
        <v>#N/A</v>
      </c>
      <c r="B37" s="15"/>
      <c r="C37" s="15"/>
      <c r="D37" s="5"/>
      <c r="E37" s="896" t="s">
        <v>15</v>
      </c>
      <c r="F37" s="900" t="s">
        <v>245</v>
      </c>
      <c r="G37" s="916" t="s">
        <v>92</v>
      </c>
      <c r="H37" s="904" t="s">
        <v>246</v>
      </c>
      <c r="I37" s="934" t="str">
        <f t="shared" si="12"/>
        <v>-----</v>
      </c>
      <c r="J37" s="931" t="str">
        <f t="shared" si="13"/>
        <v>-----</v>
      </c>
      <c r="K37" s="931" t="str">
        <f t="shared" si="14"/>
        <v>-----</v>
      </c>
      <c r="L37" s="931" t="str">
        <f t="shared" si="15"/>
        <v>-----</v>
      </c>
      <c r="M37" s="909" t="s">
        <v>247</v>
      </c>
      <c r="N37" s="904" t="s">
        <v>248</v>
      </c>
      <c r="O37" s="922">
        <v>10</v>
      </c>
      <c r="P37" s="904"/>
      <c r="Q37" s="919" t="str">
        <f t="shared" si="18"/>
        <v>-----</v>
      </c>
      <c r="R37" s="5"/>
      <c r="S37" s="16" t="str">
        <f t="shared" si="16"/>
        <v/>
      </c>
      <c r="T37" s="17">
        <v>0</v>
      </c>
      <c r="U37" s="18">
        <f t="shared" si="17"/>
        <v>0</v>
      </c>
      <c r="V37" s="5"/>
      <c r="W37" s="8"/>
      <c r="X37" s="8"/>
      <c r="Y37" s="8"/>
      <c r="Z37" s="91"/>
      <c r="AA37" s="4"/>
      <c r="AB37" s="4"/>
      <c r="AC37" s="4"/>
      <c r="AD37" s="8"/>
      <c r="AE37" s="4"/>
      <c r="AF37" s="4"/>
      <c r="AG37" s="4"/>
      <c r="AH37" s="8"/>
      <c r="AI37" s="8"/>
      <c r="AJ37" s="8"/>
      <c r="AK37" s="8"/>
      <c r="AL37" s="5"/>
    </row>
    <row r="38" spans="1:38" ht="15" customHeight="1" x14ac:dyDescent="0.2">
      <c r="D38" s="5"/>
      <c r="E38" s="5"/>
      <c r="F38" s="5"/>
      <c r="G38" s="5"/>
      <c r="H38" s="5"/>
      <c r="I38" s="5"/>
      <c r="J38" s="5"/>
      <c r="K38" s="5"/>
      <c r="L38" s="5"/>
      <c r="M38" s="5"/>
      <c r="N38" s="6"/>
      <c r="O38" s="5"/>
      <c r="P38" s="5"/>
      <c r="Q38" s="5"/>
      <c r="R38" s="5"/>
      <c r="S38" s="5"/>
      <c r="T38" s="5"/>
      <c r="V38" s="5"/>
      <c r="W38" s="8"/>
      <c r="X38" s="8"/>
      <c r="Y38" s="8"/>
      <c r="Z38" s="91"/>
      <c r="AA38" s="4"/>
      <c r="AB38" s="4"/>
      <c r="AC38" s="4"/>
      <c r="AD38" s="8"/>
      <c r="AE38" s="4"/>
      <c r="AF38" s="4"/>
      <c r="AG38" s="4"/>
      <c r="AH38" s="8"/>
      <c r="AI38" s="8"/>
      <c r="AJ38" s="8"/>
      <c r="AK38" s="8"/>
      <c r="AL38" s="5"/>
    </row>
    <row r="39" spans="1:38" ht="15" customHeight="1" x14ac:dyDescent="0.2">
      <c r="D39" s="5"/>
      <c r="E39" s="5"/>
      <c r="F39" s="5"/>
      <c r="G39" s="5"/>
      <c r="H39" s="5"/>
      <c r="I39" s="5"/>
      <c r="J39" s="5"/>
      <c r="K39" s="5"/>
      <c r="L39" s="5"/>
      <c r="M39" s="5"/>
      <c r="N39" s="6"/>
      <c r="O39" s="5"/>
      <c r="P39" s="5"/>
      <c r="Q39" s="5"/>
      <c r="R39" s="5"/>
      <c r="S39" s="5"/>
      <c r="T39" s="5"/>
      <c r="V39" s="5"/>
      <c r="W39" s="8"/>
      <c r="X39" s="8"/>
      <c r="Y39" s="8"/>
      <c r="Z39" s="91"/>
      <c r="AA39" s="4"/>
      <c r="AB39" s="4"/>
      <c r="AC39" s="4"/>
      <c r="AD39" s="8"/>
      <c r="AE39" s="4"/>
      <c r="AF39" s="4"/>
      <c r="AG39" s="4"/>
      <c r="AH39" s="8"/>
      <c r="AI39" s="8"/>
      <c r="AJ39" s="8"/>
      <c r="AK39" s="8"/>
      <c r="AL39" s="5"/>
    </row>
    <row r="40" spans="1:38" ht="15" customHeight="1" x14ac:dyDescent="0.2">
      <c r="D40" s="5"/>
      <c r="E40" s="5"/>
      <c r="F40" s="5"/>
      <c r="G40" s="5"/>
      <c r="H40" s="5"/>
      <c r="I40" s="5"/>
      <c r="J40" s="5"/>
      <c r="K40" s="5"/>
      <c r="L40" s="5"/>
      <c r="M40" s="5"/>
      <c r="N40" s="6"/>
      <c r="O40" s="5"/>
      <c r="P40" s="5"/>
      <c r="Q40" s="5"/>
      <c r="R40" s="5"/>
      <c r="S40" s="5"/>
      <c r="T40" s="5"/>
      <c r="V40" s="5"/>
      <c r="W40" s="8"/>
      <c r="X40" s="8"/>
      <c r="Y40" s="8"/>
      <c r="Z40" s="91"/>
      <c r="AA40" s="4"/>
      <c r="AB40" s="4"/>
      <c r="AC40" s="4"/>
      <c r="AD40" s="8"/>
      <c r="AE40" s="4"/>
      <c r="AF40" s="4"/>
      <c r="AG40" s="4"/>
      <c r="AH40" s="8"/>
      <c r="AI40" s="8"/>
      <c r="AJ40" s="8"/>
      <c r="AK40" s="8"/>
      <c r="AL40" s="5"/>
    </row>
    <row r="41" spans="1:38" ht="15" customHeight="1" x14ac:dyDescent="0.2">
      <c r="D41" s="5"/>
      <c r="E41" s="5"/>
      <c r="F41" s="5"/>
      <c r="G41" s="5"/>
      <c r="H41" s="5"/>
      <c r="I41" s="5"/>
      <c r="J41" s="5"/>
      <c r="K41" s="5"/>
      <c r="L41" s="5"/>
      <c r="M41" s="5"/>
      <c r="N41" s="6"/>
      <c r="O41" s="5"/>
      <c r="P41" s="5"/>
      <c r="Q41" s="5"/>
      <c r="R41" s="5"/>
      <c r="S41" s="5"/>
      <c r="T41" s="5"/>
      <c r="V41" s="5"/>
      <c r="W41" s="8"/>
      <c r="X41" s="8"/>
      <c r="Y41" s="8"/>
      <c r="Z41" s="91"/>
      <c r="AA41" s="4"/>
      <c r="AB41" s="4"/>
      <c r="AC41" s="4"/>
      <c r="AD41" s="8"/>
      <c r="AE41" s="4"/>
      <c r="AF41" s="4"/>
      <c r="AG41" s="4"/>
      <c r="AH41" s="8"/>
      <c r="AI41" s="8"/>
      <c r="AJ41" s="8"/>
      <c r="AK41" s="8"/>
      <c r="AL41" s="5"/>
    </row>
    <row r="42" spans="1:38" ht="15" customHeight="1" x14ac:dyDescent="0.2">
      <c r="D42" s="5"/>
      <c r="E42" s="5"/>
      <c r="F42" s="5"/>
      <c r="G42" s="5"/>
      <c r="H42" s="5"/>
      <c r="I42" s="5"/>
      <c r="J42" s="5"/>
      <c r="K42" s="5"/>
      <c r="L42" s="5"/>
      <c r="M42" s="5"/>
      <c r="N42" s="6"/>
      <c r="O42" s="5"/>
      <c r="P42" s="5"/>
      <c r="Q42" s="5"/>
      <c r="R42" s="5"/>
      <c r="S42" s="5"/>
      <c r="T42" s="5"/>
      <c r="V42" s="5"/>
      <c r="W42" s="5"/>
      <c r="X42" s="5"/>
      <c r="Y42" s="5"/>
      <c r="AA42" s="93"/>
      <c r="AB42" s="93"/>
      <c r="AC42" s="93"/>
      <c r="AE42" s="93"/>
      <c r="AF42" s="93"/>
      <c r="AG42" s="93"/>
      <c r="AI42" s="5"/>
      <c r="AJ42" s="5"/>
      <c r="AK42" s="5"/>
      <c r="AL42" s="5"/>
    </row>
    <row r="43" spans="1:38" ht="15" customHeight="1" x14ac:dyDescent="0.2">
      <c r="D43" s="5"/>
      <c r="E43" s="5"/>
      <c r="F43" s="5"/>
      <c r="G43" s="5"/>
      <c r="H43" s="5"/>
      <c r="I43" s="5"/>
      <c r="J43" s="5"/>
      <c r="K43" s="5"/>
      <c r="L43" s="5"/>
      <c r="M43" s="5"/>
      <c r="N43" s="6"/>
      <c r="O43" s="5"/>
      <c r="P43" s="5"/>
      <c r="Q43" s="5"/>
      <c r="R43" s="5"/>
      <c r="S43" s="5"/>
      <c r="T43" s="5"/>
      <c r="V43" s="5"/>
      <c r="W43" s="94" t="s">
        <v>251</v>
      </c>
      <c r="X43" s="94" t="s">
        <v>252</v>
      </c>
      <c r="Y43" s="94" t="s">
        <v>253</v>
      </c>
      <c r="Z43" s="1833" t="s">
        <v>94</v>
      </c>
      <c r="AA43" s="1833"/>
      <c r="AB43" s="1833"/>
      <c r="AC43" s="1833"/>
      <c r="AD43" s="1833"/>
      <c r="AE43" s="1833"/>
      <c r="AF43" s="1833"/>
      <c r="AG43" s="1833"/>
      <c r="AH43" s="1833"/>
      <c r="AI43" s="1833"/>
      <c r="AJ43" s="1833"/>
      <c r="AK43" s="1833"/>
      <c r="AL43" s="5"/>
    </row>
    <row r="44" spans="1:38" ht="15" customHeight="1" x14ac:dyDescent="0.2">
      <c r="D44" s="5"/>
      <c r="E44" s="5"/>
      <c r="F44" s="5"/>
      <c r="G44" s="5"/>
      <c r="H44" s="5"/>
      <c r="I44" s="5"/>
      <c r="J44" s="5"/>
      <c r="K44" s="5"/>
      <c r="L44" s="5"/>
      <c r="M44" s="5"/>
      <c r="N44" s="6"/>
      <c r="O44" s="5"/>
      <c r="P44" s="5"/>
      <c r="Q44" s="5"/>
      <c r="R44" s="5"/>
      <c r="S44" s="5"/>
      <c r="T44" s="5"/>
      <c r="V44" s="5"/>
      <c r="W44" s="73" t="s">
        <v>249</v>
      </c>
      <c r="X44" s="14" t="s">
        <v>247</v>
      </c>
      <c r="Y44" s="14" t="s">
        <v>248</v>
      </c>
      <c r="Z44" s="95" t="s">
        <v>254</v>
      </c>
      <c r="AA44" s="95" t="s">
        <v>255</v>
      </c>
      <c r="AB44" s="95" t="s">
        <v>256</v>
      </c>
      <c r="AC44" s="95" t="s">
        <v>257</v>
      </c>
      <c r="AD44" s="4" t="s">
        <v>258</v>
      </c>
      <c r="AE44" s="4" t="s">
        <v>255</v>
      </c>
      <c r="AF44" s="4" t="s">
        <v>256</v>
      </c>
      <c r="AG44" s="4" t="s">
        <v>257</v>
      </c>
      <c r="AH44" s="96" t="s">
        <v>259</v>
      </c>
      <c r="AI44" s="96" t="s">
        <v>255</v>
      </c>
      <c r="AJ44" s="96" t="s">
        <v>256</v>
      </c>
      <c r="AK44" s="86" t="s">
        <v>257</v>
      </c>
      <c r="AL44" s="5"/>
    </row>
    <row r="45" spans="1:38" ht="15" customHeight="1" thickBot="1" x14ac:dyDescent="0.25">
      <c r="D45" s="5"/>
      <c r="E45" s="5"/>
      <c r="F45" s="5"/>
      <c r="G45" s="5"/>
      <c r="H45" s="5"/>
      <c r="I45" s="5"/>
      <c r="J45" s="5"/>
      <c r="K45" s="5"/>
      <c r="L45" s="5"/>
      <c r="M45" s="5"/>
      <c r="N45" s="6"/>
      <c r="O45" s="5"/>
      <c r="P45" s="5"/>
      <c r="Q45" s="5"/>
      <c r="R45" s="5"/>
      <c r="S45" s="5"/>
      <c r="T45" s="5"/>
      <c r="V45" s="5"/>
      <c r="W45" s="6">
        <v>8</v>
      </c>
      <c r="X45" s="6">
        <v>4</v>
      </c>
      <c r="Y45" s="6">
        <v>4</v>
      </c>
      <c r="Z45" s="97" t="s">
        <v>92</v>
      </c>
      <c r="AA45" s="98" t="s">
        <v>666</v>
      </c>
      <c r="AB45" s="95">
        <v>0</v>
      </c>
      <c r="AC45" s="98" t="s">
        <v>666</v>
      </c>
      <c r="AD45" s="99" t="s">
        <v>92</v>
      </c>
      <c r="AE45" s="100" t="s">
        <v>666</v>
      </c>
      <c r="AF45" s="4">
        <v>0</v>
      </c>
      <c r="AG45" s="100" t="s">
        <v>666</v>
      </c>
      <c r="AH45" s="101" t="s">
        <v>92</v>
      </c>
      <c r="AI45" s="102" t="s">
        <v>666</v>
      </c>
      <c r="AJ45" s="96">
        <v>0</v>
      </c>
      <c r="AK45" s="102" t="s">
        <v>666</v>
      </c>
      <c r="AL45" s="5"/>
    </row>
    <row r="46" spans="1:38" ht="15" customHeight="1" x14ac:dyDescent="0.2">
      <c r="D46" s="5"/>
      <c r="E46" s="5"/>
      <c r="F46" s="5"/>
      <c r="G46" s="5"/>
      <c r="H46" s="5"/>
      <c r="I46" s="5"/>
      <c r="J46" s="5"/>
      <c r="K46" s="5"/>
      <c r="L46" s="5"/>
      <c r="M46" s="5"/>
      <c r="N46" s="6"/>
      <c r="O46" s="5"/>
      <c r="P46" s="5"/>
      <c r="Q46" s="5"/>
      <c r="R46" s="5"/>
      <c r="S46" s="5"/>
      <c r="T46" s="5"/>
      <c r="V46" s="5"/>
      <c r="W46" s="6">
        <v>9</v>
      </c>
      <c r="X46" s="6">
        <v>5</v>
      </c>
      <c r="Y46" s="6">
        <v>5</v>
      </c>
      <c r="Z46" s="103" t="s">
        <v>56</v>
      </c>
      <c r="AA46" s="95">
        <v>-2</v>
      </c>
      <c r="AB46" s="95">
        <v>1</v>
      </c>
      <c r="AC46" s="95">
        <v>8</v>
      </c>
      <c r="AD46" s="104" t="s">
        <v>260</v>
      </c>
      <c r="AE46" s="4">
        <v>35</v>
      </c>
      <c r="AF46" s="4">
        <v>5</v>
      </c>
      <c r="AG46" s="4">
        <v>10</v>
      </c>
      <c r="AH46" s="105" t="s">
        <v>261</v>
      </c>
      <c r="AI46" s="96">
        <v>40</v>
      </c>
      <c r="AJ46" s="96">
        <v>85</v>
      </c>
      <c r="AK46" s="96">
        <v>15</v>
      </c>
      <c r="AL46" s="5"/>
    </row>
    <row r="47" spans="1:38" ht="15" customHeight="1" x14ac:dyDescent="0.2">
      <c r="D47" s="5"/>
      <c r="E47" s="5"/>
      <c r="F47" s="5"/>
      <c r="G47" s="5"/>
      <c r="H47" s="5"/>
      <c r="I47" s="5"/>
      <c r="J47" s="5"/>
      <c r="K47" s="5"/>
      <c r="L47" s="5"/>
      <c r="M47" s="5"/>
      <c r="N47" s="6"/>
      <c r="O47" s="5"/>
      <c r="P47" s="5"/>
      <c r="Q47" s="5"/>
      <c r="R47" s="5"/>
      <c r="S47" s="5"/>
      <c r="T47" s="5"/>
      <c r="V47" s="5"/>
      <c r="W47" s="6">
        <v>10</v>
      </c>
      <c r="X47" s="6">
        <v>6</v>
      </c>
      <c r="Y47" s="6">
        <v>6</v>
      </c>
      <c r="Z47" s="106" t="s">
        <v>85</v>
      </c>
      <c r="AA47" s="95">
        <v>-2</v>
      </c>
      <c r="AB47" s="95">
        <v>1</v>
      </c>
      <c r="AC47" s="95">
        <v>8</v>
      </c>
      <c r="AD47" s="107" t="s">
        <v>70</v>
      </c>
      <c r="AE47" s="4">
        <v>35</v>
      </c>
      <c r="AF47" s="4">
        <v>5</v>
      </c>
      <c r="AG47" s="4">
        <v>10</v>
      </c>
      <c r="AH47" s="108" t="s">
        <v>262</v>
      </c>
      <c r="AI47" s="96">
        <v>40</v>
      </c>
      <c r="AJ47" s="96">
        <v>85</v>
      </c>
      <c r="AK47" s="96">
        <v>15</v>
      </c>
      <c r="AL47" s="5"/>
    </row>
    <row r="48" spans="1:38" ht="15" customHeight="1" x14ac:dyDescent="0.2">
      <c r="D48" s="5"/>
      <c r="E48" s="5"/>
      <c r="F48" s="5"/>
      <c r="G48" s="5"/>
      <c r="H48" s="5"/>
      <c r="I48" s="5"/>
      <c r="J48" s="5"/>
      <c r="K48" s="5"/>
      <c r="L48" s="5"/>
      <c r="M48" s="5"/>
      <c r="N48" s="6"/>
      <c r="O48" s="5"/>
      <c r="P48" s="5"/>
      <c r="Q48" s="5"/>
      <c r="R48" s="5"/>
      <c r="S48" s="5"/>
      <c r="T48" s="5"/>
      <c r="V48" s="5"/>
      <c r="W48" s="6">
        <v>11</v>
      </c>
      <c r="X48" s="6">
        <v>7</v>
      </c>
      <c r="Y48" s="6">
        <v>7</v>
      </c>
      <c r="Z48" s="106" t="s">
        <v>57</v>
      </c>
      <c r="AA48" s="95">
        <v>-2</v>
      </c>
      <c r="AB48" s="95">
        <v>1</v>
      </c>
      <c r="AC48" s="95">
        <v>8</v>
      </c>
      <c r="AD48" s="107" t="s">
        <v>72</v>
      </c>
      <c r="AE48" s="4">
        <v>35</v>
      </c>
      <c r="AF48" s="4">
        <v>5</v>
      </c>
      <c r="AG48" s="4">
        <v>10</v>
      </c>
      <c r="AH48" s="109" t="s">
        <v>263</v>
      </c>
      <c r="AI48" s="96">
        <v>43</v>
      </c>
      <c r="AJ48" s="96">
        <v>85</v>
      </c>
      <c r="AK48" s="96">
        <v>16</v>
      </c>
      <c r="AL48" s="5"/>
    </row>
    <row r="49" spans="4:38" ht="15" customHeight="1" x14ac:dyDescent="0.2">
      <c r="D49" s="5"/>
      <c r="E49" s="5"/>
      <c r="F49" s="5"/>
      <c r="G49" s="5"/>
      <c r="H49" s="5"/>
      <c r="I49" s="5"/>
      <c r="J49" s="5"/>
      <c r="K49" s="5"/>
      <c r="L49" s="5"/>
      <c r="M49" s="5"/>
      <c r="N49" s="6"/>
      <c r="O49" s="5"/>
      <c r="P49" s="5"/>
      <c r="Q49" s="5"/>
      <c r="R49" s="5"/>
      <c r="S49" s="5"/>
      <c r="T49" s="5"/>
      <c r="V49" s="5"/>
      <c r="W49" s="6">
        <v>12</v>
      </c>
      <c r="X49" s="6">
        <v>8</v>
      </c>
      <c r="Y49" s="6">
        <v>8</v>
      </c>
      <c r="Z49" s="106" t="s">
        <v>264</v>
      </c>
      <c r="AA49" s="95">
        <v>-2</v>
      </c>
      <c r="AB49" s="95">
        <v>1</v>
      </c>
      <c r="AC49" s="95">
        <v>8</v>
      </c>
      <c r="AD49" s="107" t="s">
        <v>265</v>
      </c>
      <c r="AE49" s="4">
        <v>35</v>
      </c>
      <c r="AF49" s="4">
        <v>5</v>
      </c>
      <c r="AG49" s="4">
        <v>10</v>
      </c>
      <c r="AH49" s="108" t="s">
        <v>266</v>
      </c>
      <c r="AI49" s="96">
        <v>40</v>
      </c>
      <c r="AJ49" s="96">
        <v>85</v>
      </c>
      <c r="AK49" s="96">
        <v>16</v>
      </c>
      <c r="AL49" s="5"/>
    </row>
    <row r="50" spans="4:38" ht="15" customHeight="1" x14ac:dyDescent="0.2">
      <c r="D50" s="5"/>
      <c r="E50" s="5"/>
      <c r="F50" s="5"/>
      <c r="G50" s="5"/>
      <c r="H50" s="5"/>
      <c r="I50" s="5"/>
      <c r="J50" s="5"/>
      <c r="K50" s="5"/>
      <c r="L50" s="5"/>
      <c r="M50" s="5"/>
      <c r="N50" s="6"/>
      <c r="O50" s="5"/>
      <c r="P50" s="5"/>
      <c r="Q50" s="5"/>
      <c r="R50" s="5"/>
      <c r="S50" s="5"/>
      <c r="T50" s="5"/>
      <c r="V50" s="5"/>
      <c r="W50" s="6">
        <v>16</v>
      </c>
      <c r="X50" s="6">
        <v>9</v>
      </c>
      <c r="Y50" s="6">
        <v>9</v>
      </c>
      <c r="Z50" s="106" t="s">
        <v>267</v>
      </c>
      <c r="AA50" s="95">
        <v>-2</v>
      </c>
      <c r="AB50" s="95">
        <v>1</v>
      </c>
      <c r="AC50" s="95">
        <v>8</v>
      </c>
      <c r="AD50" s="107" t="s">
        <v>73</v>
      </c>
      <c r="AE50" s="4">
        <v>35</v>
      </c>
      <c r="AF50" s="4">
        <v>5</v>
      </c>
      <c r="AG50" s="4">
        <v>10</v>
      </c>
      <c r="AH50" s="108" t="s">
        <v>268</v>
      </c>
      <c r="AI50" s="96">
        <v>40</v>
      </c>
      <c r="AJ50" s="96">
        <v>85</v>
      </c>
      <c r="AK50" s="96">
        <v>16</v>
      </c>
      <c r="AL50" s="5"/>
    </row>
    <row r="51" spans="4:38" ht="15" customHeight="1" x14ac:dyDescent="0.2">
      <c r="D51" s="5"/>
      <c r="E51" s="5"/>
      <c r="F51" s="5"/>
      <c r="G51" s="5"/>
      <c r="H51" s="5"/>
      <c r="I51" s="5"/>
      <c r="J51" s="5"/>
      <c r="K51" s="5"/>
      <c r="L51" s="5"/>
      <c r="M51" s="5"/>
      <c r="N51" s="6"/>
      <c r="O51" s="5"/>
      <c r="P51" s="5"/>
      <c r="Q51" s="5"/>
      <c r="R51" s="5"/>
      <c r="S51" s="5"/>
      <c r="T51" s="5"/>
      <c r="V51" s="5"/>
      <c r="W51" s="5"/>
      <c r="X51" s="6">
        <v>10</v>
      </c>
      <c r="Y51" s="6">
        <v>10</v>
      </c>
      <c r="Z51" s="106" t="s">
        <v>55</v>
      </c>
      <c r="AA51" s="95">
        <v>-10</v>
      </c>
      <c r="AB51" s="95">
        <v>2</v>
      </c>
      <c r="AC51" s="95">
        <v>8</v>
      </c>
      <c r="AD51" s="110" t="s">
        <v>269</v>
      </c>
      <c r="AE51" s="4">
        <v>35</v>
      </c>
      <c r="AF51" s="4">
        <v>5</v>
      </c>
      <c r="AG51" s="4">
        <v>10</v>
      </c>
      <c r="AH51" s="108" t="s">
        <v>51</v>
      </c>
      <c r="AI51" s="96">
        <v>40</v>
      </c>
      <c r="AJ51" s="96">
        <v>70</v>
      </c>
      <c r="AK51" s="96">
        <v>19</v>
      </c>
      <c r="AL51" s="5"/>
    </row>
    <row r="52" spans="4:38" ht="15" customHeight="1" x14ac:dyDescent="0.2">
      <c r="D52" s="5"/>
      <c r="E52" s="5"/>
      <c r="F52" s="5"/>
      <c r="G52" s="5"/>
      <c r="H52" s="5"/>
      <c r="I52" s="5"/>
      <c r="J52" s="5"/>
      <c r="K52" s="5"/>
      <c r="L52" s="5"/>
      <c r="M52" s="5"/>
      <c r="N52" s="6"/>
      <c r="O52" s="5"/>
      <c r="P52" s="5"/>
      <c r="Q52" s="5"/>
      <c r="R52" s="5"/>
      <c r="S52" s="5"/>
      <c r="T52" s="5"/>
      <c r="V52" s="5"/>
      <c r="W52" s="5"/>
      <c r="X52" s="6">
        <v>11</v>
      </c>
      <c r="Y52" s="6">
        <v>11</v>
      </c>
      <c r="Z52" s="106" t="s">
        <v>58</v>
      </c>
      <c r="AA52" s="95">
        <v>-2</v>
      </c>
      <c r="AB52" s="95">
        <v>1</v>
      </c>
      <c r="AC52" s="95">
        <v>8</v>
      </c>
      <c r="AD52" s="107" t="s">
        <v>68</v>
      </c>
      <c r="AE52" s="4">
        <v>35</v>
      </c>
      <c r="AF52" s="4">
        <v>5</v>
      </c>
      <c r="AG52" s="4">
        <v>10</v>
      </c>
      <c r="AH52" s="108" t="s">
        <v>271</v>
      </c>
      <c r="AI52" s="96">
        <v>40</v>
      </c>
      <c r="AJ52" s="96">
        <v>85</v>
      </c>
      <c r="AK52" s="96">
        <v>16</v>
      </c>
      <c r="AL52" s="5"/>
    </row>
    <row r="53" spans="4:38" ht="15" customHeight="1" x14ac:dyDescent="0.2">
      <c r="D53" s="5"/>
      <c r="E53" s="5"/>
      <c r="F53" s="5"/>
      <c r="G53" s="5"/>
      <c r="H53" s="5"/>
      <c r="I53" s="5"/>
      <c r="J53" s="5"/>
      <c r="K53" s="5"/>
      <c r="L53" s="5"/>
      <c r="M53" s="5"/>
      <c r="N53" s="6"/>
      <c r="O53" s="5"/>
      <c r="P53" s="5"/>
      <c r="Q53" s="5"/>
      <c r="R53" s="5"/>
      <c r="S53" s="5"/>
      <c r="T53" s="5"/>
      <c r="V53" s="5"/>
      <c r="W53" s="5"/>
      <c r="X53" s="6">
        <v>12</v>
      </c>
      <c r="Y53" s="6">
        <v>12</v>
      </c>
      <c r="Z53" s="112" t="s">
        <v>272</v>
      </c>
      <c r="AA53" s="95">
        <v>-10</v>
      </c>
      <c r="AB53" s="95">
        <v>2</v>
      </c>
      <c r="AC53" s="95">
        <v>8</v>
      </c>
      <c r="AD53" s="107" t="s">
        <v>273</v>
      </c>
      <c r="AE53" s="4">
        <v>35</v>
      </c>
      <c r="AF53" s="4">
        <v>5</v>
      </c>
      <c r="AG53" s="4">
        <v>10</v>
      </c>
      <c r="AH53" s="113" t="s">
        <v>274</v>
      </c>
      <c r="AI53" s="96">
        <v>40</v>
      </c>
      <c r="AJ53" s="96">
        <v>70</v>
      </c>
      <c r="AK53" s="96">
        <v>19</v>
      </c>
      <c r="AL53" s="5"/>
    </row>
    <row r="54" spans="4:38" ht="15" customHeight="1" x14ac:dyDescent="0.2">
      <c r="D54" s="5"/>
      <c r="E54" s="5"/>
      <c r="F54" s="5"/>
      <c r="G54" s="5"/>
      <c r="H54" s="5"/>
      <c r="I54" s="5"/>
      <c r="J54" s="5"/>
      <c r="K54" s="5"/>
      <c r="L54" s="5"/>
      <c r="M54" s="5"/>
      <c r="N54" s="6"/>
      <c r="O54" s="5"/>
      <c r="P54" s="5"/>
      <c r="Q54" s="5"/>
      <c r="R54" s="5"/>
      <c r="S54" s="5"/>
      <c r="T54" s="5"/>
      <c r="V54" s="5"/>
      <c r="W54" s="5"/>
      <c r="X54" s="6">
        <v>13</v>
      </c>
      <c r="Y54" s="6">
        <v>13</v>
      </c>
      <c r="Z54" s="114" t="s">
        <v>275</v>
      </c>
      <c r="AA54" s="95">
        <v>-2</v>
      </c>
      <c r="AB54" s="95">
        <v>1</v>
      </c>
      <c r="AC54" s="95">
        <v>8</v>
      </c>
      <c r="AD54" s="107" t="s">
        <v>276</v>
      </c>
      <c r="AE54" s="4">
        <v>35</v>
      </c>
      <c r="AF54" s="4">
        <v>5</v>
      </c>
      <c r="AG54" s="4">
        <v>10</v>
      </c>
      <c r="AH54" s="113" t="s">
        <v>277</v>
      </c>
      <c r="AI54" s="96">
        <v>40</v>
      </c>
      <c r="AJ54" s="96">
        <v>65</v>
      </c>
      <c r="AK54" s="96">
        <v>19</v>
      </c>
      <c r="AL54" s="5"/>
    </row>
    <row r="55" spans="4:38" ht="15" customHeight="1" x14ac:dyDescent="0.2">
      <c r="D55" s="5"/>
      <c r="E55" s="5"/>
      <c r="F55" s="5"/>
      <c r="G55" s="5"/>
      <c r="H55" s="5"/>
      <c r="I55" s="5"/>
      <c r="J55" s="5"/>
      <c r="K55" s="5"/>
      <c r="L55" s="5"/>
      <c r="M55" s="5"/>
      <c r="N55" s="6"/>
      <c r="O55" s="5"/>
      <c r="P55" s="5"/>
      <c r="Q55" s="5"/>
      <c r="R55" s="5"/>
      <c r="S55" s="5"/>
      <c r="T55" s="5"/>
      <c r="V55" s="5"/>
      <c r="W55" s="94" t="s">
        <v>270</v>
      </c>
      <c r="X55" s="6">
        <v>14</v>
      </c>
      <c r="Y55" s="6">
        <v>14</v>
      </c>
      <c r="Z55" s="112" t="s">
        <v>278</v>
      </c>
      <c r="AA55" s="95">
        <v>-2</v>
      </c>
      <c r="AB55" s="95">
        <v>1</v>
      </c>
      <c r="AC55" s="95">
        <v>8</v>
      </c>
      <c r="AD55" s="110" t="s">
        <v>279</v>
      </c>
      <c r="AE55" s="4">
        <v>35</v>
      </c>
      <c r="AF55" s="4">
        <v>5</v>
      </c>
      <c r="AG55" s="4">
        <v>10</v>
      </c>
      <c r="AH55" s="113"/>
      <c r="AI55" s="86"/>
      <c r="AJ55" s="86"/>
      <c r="AK55" s="86"/>
      <c r="AL55" s="5"/>
    </row>
    <row r="56" spans="4:38" ht="15" customHeight="1" x14ac:dyDescent="0.2">
      <c r="D56" s="5"/>
      <c r="E56" s="5"/>
      <c r="F56" s="5"/>
      <c r="G56" s="5"/>
      <c r="H56" s="5"/>
      <c r="I56" s="5"/>
      <c r="J56" s="5"/>
      <c r="K56" s="5"/>
      <c r="L56" s="5"/>
      <c r="M56" s="5"/>
      <c r="N56" s="6"/>
      <c r="O56" s="5"/>
      <c r="P56" s="5"/>
      <c r="Q56" s="5"/>
      <c r="R56" s="5"/>
      <c r="S56" s="5"/>
      <c r="T56" s="5"/>
      <c r="V56" s="5"/>
      <c r="W56" s="111" t="s">
        <v>15</v>
      </c>
      <c r="X56" s="6">
        <v>15</v>
      </c>
      <c r="Y56" s="6">
        <v>15</v>
      </c>
      <c r="Z56" s="115" t="s">
        <v>280</v>
      </c>
      <c r="AA56" s="95">
        <v>-2</v>
      </c>
      <c r="AB56" s="95">
        <v>1</v>
      </c>
      <c r="AC56" s="95">
        <v>8</v>
      </c>
      <c r="AD56" s="107" t="s">
        <v>69</v>
      </c>
      <c r="AE56" s="4">
        <v>35</v>
      </c>
      <c r="AF56" s="4">
        <v>5</v>
      </c>
      <c r="AG56" s="4">
        <v>10</v>
      </c>
      <c r="AH56" s="113"/>
      <c r="AI56" s="86"/>
      <c r="AJ56" s="86"/>
      <c r="AK56" s="86"/>
      <c r="AL56" s="5"/>
    </row>
    <row r="57" spans="4:38" ht="15" customHeight="1" x14ac:dyDescent="0.2">
      <c r="D57" s="5"/>
      <c r="E57" s="5"/>
      <c r="F57" s="5"/>
      <c r="G57" s="5"/>
      <c r="H57" s="5"/>
      <c r="I57" s="5"/>
      <c r="J57" s="5"/>
      <c r="K57" s="5"/>
      <c r="L57" s="5"/>
      <c r="M57" s="5"/>
      <c r="N57" s="6"/>
      <c r="O57" s="5"/>
      <c r="P57" s="5"/>
      <c r="Q57" s="5"/>
      <c r="R57" s="5"/>
      <c r="S57" s="5"/>
      <c r="T57" s="5"/>
      <c r="V57" s="5"/>
      <c r="W57" s="6" t="s">
        <v>254</v>
      </c>
      <c r="X57" s="6">
        <v>16</v>
      </c>
      <c r="Y57" s="6">
        <v>16</v>
      </c>
      <c r="Z57" s="112" t="s">
        <v>282</v>
      </c>
      <c r="AA57" s="95">
        <v>-2</v>
      </c>
      <c r="AB57" s="95">
        <v>1</v>
      </c>
      <c r="AC57" s="95">
        <v>8</v>
      </c>
      <c r="AD57" s="107" t="s">
        <v>79</v>
      </c>
      <c r="AE57" s="4">
        <v>36</v>
      </c>
      <c r="AF57" s="4">
        <v>6</v>
      </c>
      <c r="AG57" s="4">
        <v>8</v>
      </c>
      <c r="AH57" s="113"/>
      <c r="AI57" s="86"/>
      <c r="AJ57" s="86"/>
      <c r="AK57" s="86"/>
      <c r="AL57" s="5"/>
    </row>
    <row r="58" spans="4:38" ht="15" customHeight="1" x14ac:dyDescent="0.2">
      <c r="D58" s="5"/>
      <c r="E58" s="5"/>
      <c r="F58" s="5"/>
      <c r="G58" s="5"/>
      <c r="H58" s="5"/>
      <c r="I58" s="5"/>
      <c r="J58" s="5"/>
      <c r="K58" s="5"/>
      <c r="L58" s="5"/>
      <c r="M58" s="5"/>
      <c r="N58" s="6"/>
      <c r="O58" s="5"/>
      <c r="P58" s="5"/>
      <c r="Q58" s="5"/>
      <c r="R58" s="5"/>
      <c r="S58" s="5"/>
      <c r="T58" s="5"/>
      <c r="V58" s="5"/>
      <c r="W58" s="6" t="s">
        <v>258</v>
      </c>
      <c r="X58" s="6">
        <v>17</v>
      </c>
      <c r="Y58" s="6">
        <v>17</v>
      </c>
      <c r="Z58" s="106" t="s">
        <v>88</v>
      </c>
      <c r="AA58" s="95">
        <v>-2</v>
      </c>
      <c r="AB58" s="95">
        <v>1</v>
      </c>
      <c r="AC58" s="95">
        <v>8</v>
      </c>
      <c r="AD58" s="107" t="s">
        <v>284</v>
      </c>
      <c r="AE58" s="4">
        <v>35</v>
      </c>
      <c r="AF58" s="4">
        <v>5</v>
      </c>
      <c r="AG58" s="4">
        <v>10</v>
      </c>
      <c r="AH58" s="113"/>
      <c r="AI58" s="86"/>
      <c r="AJ58" s="86"/>
      <c r="AK58" s="86"/>
      <c r="AL58" s="5"/>
    </row>
    <row r="59" spans="4:38" ht="15" customHeight="1" thickBot="1" x14ac:dyDescent="0.25">
      <c r="D59" s="5"/>
      <c r="E59" s="5"/>
      <c r="F59" s="5"/>
      <c r="G59" s="5"/>
      <c r="H59" s="5"/>
      <c r="I59" s="5"/>
      <c r="J59" s="5"/>
      <c r="K59" s="5"/>
      <c r="L59" s="5"/>
      <c r="M59" s="5"/>
      <c r="N59" s="6"/>
      <c r="O59" s="5"/>
      <c r="P59" s="5"/>
      <c r="Q59" s="5"/>
      <c r="R59" s="5"/>
      <c r="S59" s="5"/>
      <c r="T59" s="5"/>
      <c r="V59" s="5"/>
      <c r="W59" s="111" t="s">
        <v>15</v>
      </c>
      <c r="X59" s="6">
        <v>18</v>
      </c>
      <c r="Y59" s="6">
        <v>18</v>
      </c>
      <c r="Z59" s="114"/>
      <c r="AA59" s="95"/>
      <c r="AB59" s="95"/>
      <c r="AC59" s="95"/>
      <c r="AD59" s="107" t="s">
        <v>285</v>
      </c>
      <c r="AE59" s="4">
        <v>35</v>
      </c>
      <c r="AF59" s="4">
        <v>5</v>
      </c>
      <c r="AG59" s="4">
        <v>10</v>
      </c>
      <c r="AH59" s="116"/>
      <c r="AI59" s="96"/>
      <c r="AJ59" s="86"/>
      <c r="AK59" s="86"/>
      <c r="AL59" s="5"/>
    </row>
    <row r="60" spans="4:38" ht="15" customHeight="1" x14ac:dyDescent="0.2">
      <c r="D60" s="5"/>
      <c r="E60" s="5"/>
      <c r="F60" s="5"/>
      <c r="G60" s="5"/>
      <c r="H60" s="5"/>
      <c r="I60" s="5"/>
      <c r="J60" s="5"/>
      <c r="K60" s="5"/>
      <c r="L60" s="5"/>
      <c r="M60" s="5"/>
      <c r="N60" s="6"/>
      <c r="O60" s="5"/>
      <c r="P60" s="5"/>
      <c r="Q60" s="5"/>
      <c r="R60" s="5"/>
      <c r="S60" s="5"/>
      <c r="T60" s="5"/>
      <c r="V60" s="5"/>
      <c r="W60" s="6" t="s">
        <v>281</v>
      </c>
      <c r="X60" s="6">
        <v>19</v>
      </c>
      <c r="Y60" s="6">
        <v>19</v>
      </c>
      <c r="Z60" s="115"/>
      <c r="AA60" s="95"/>
      <c r="AB60" s="95"/>
      <c r="AC60" s="95"/>
      <c r="AD60" s="107" t="s">
        <v>80</v>
      </c>
      <c r="AE60" s="4">
        <v>35</v>
      </c>
      <c r="AF60" s="4">
        <v>5</v>
      </c>
      <c r="AG60" s="4">
        <v>10</v>
      </c>
      <c r="AH60" s="92"/>
      <c r="AI60" s="24"/>
      <c r="AJ60" s="5"/>
      <c r="AK60" s="5"/>
      <c r="AL60" s="5"/>
    </row>
    <row r="61" spans="4:38" ht="15" customHeight="1" x14ac:dyDescent="0.2">
      <c r="D61" s="5"/>
      <c r="E61" s="5"/>
      <c r="F61" s="5"/>
      <c r="G61" s="5"/>
      <c r="H61" s="5"/>
      <c r="I61" s="5"/>
      <c r="J61" s="5"/>
      <c r="K61" s="5"/>
      <c r="L61" s="5"/>
      <c r="M61" s="5"/>
      <c r="N61" s="6"/>
      <c r="O61" s="5"/>
      <c r="P61" s="5"/>
      <c r="Q61" s="5"/>
      <c r="R61" s="5"/>
      <c r="S61" s="5"/>
      <c r="T61" s="5"/>
      <c r="V61" s="5"/>
      <c r="W61" s="6" t="s">
        <v>283</v>
      </c>
      <c r="X61" s="6">
        <v>20</v>
      </c>
      <c r="Y61" s="6">
        <v>20</v>
      </c>
      <c r="Z61" s="115"/>
      <c r="AA61" s="95"/>
      <c r="AB61" s="95"/>
      <c r="AC61" s="95"/>
      <c r="AD61" s="107" t="s">
        <v>286</v>
      </c>
      <c r="AE61" s="4">
        <v>35</v>
      </c>
      <c r="AF61" s="4">
        <v>5</v>
      </c>
      <c r="AG61" s="4">
        <v>10</v>
      </c>
      <c r="AH61" s="92"/>
      <c r="AI61" s="24"/>
      <c r="AJ61" s="5"/>
      <c r="AK61" s="5"/>
      <c r="AL61" s="5"/>
    </row>
    <row r="62" spans="4:38" ht="15" customHeight="1" x14ac:dyDescent="0.2">
      <c r="W62" s="5"/>
      <c r="X62" s="6">
        <v>21</v>
      </c>
      <c r="Y62" s="6">
        <v>21</v>
      </c>
      <c r="Z62" s="115"/>
      <c r="AA62" s="95"/>
      <c r="AB62" s="95"/>
      <c r="AC62" s="95"/>
      <c r="AD62" s="107" t="s">
        <v>74</v>
      </c>
      <c r="AE62" s="4">
        <v>28</v>
      </c>
      <c r="AF62" s="4">
        <v>4</v>
      </c>
      <c r="AG62" s="4">
        <v>8</v>
      </c>
      <c r="AH62" s="92"/>
      <c r="AI62" s="24"/>
    </row>
    <row r="63" spans="4:38" ht="15" customHeight="1" x14ac:dyDescent="0.2">
      <c r="X63" s="6">
        <v>22</v>
      </c>
      <c r="Y63" s="6">
        <v>22</v>
      </c>
      <c r="Z63" s="115"/>
      <c r="AA63" s="95"/>
      <c r="AB63" s="95"/>
      <c r="AC63" s="95"/>
      <c r="AD63" s="117" t="s">
        <v>287</v>
      </c>
      <c r="AE63" s="4">
        <v>28</v>
      </c>
      <c r="AF63" s="4">
        <v>4</v>
      </c>
      <c r="AG63" s="4">
        <v>8</v>
      </c>
      <c r="AH63" s="92"/>
      <c r="AI63" s="24"/>
    </row>
    <row r="64" spans="4:38" ht="15" customHeight="1" x14ac:dyDescent="0.2">
      <c r="X64" s="6">
        <v>23</v>
      </c>
      <c r="Y64" s="6">
        <v>23</v>
      </c>
      <c r="Z64" s="115"/>
      <c r="AA64" s="95"/>
      <c r="AB64" s="95"/>
      <c r="AC64" s="95"/>
      <c r="AD64" s="107" t="s">
        <v>288</v>
      </c>
      <c r="AE64" s="4">
        <v>28</v>
      </c>
      <c r="AF64" s="4">
        <v>4</v>
      </c>
      <c r="AG64" s="4">
        <v>8</v>
      </c>
      <c r="AH64" s="92"/>
      <c r="AI64" s="24"/>
    </row>
    <row r="65" spans="24:35" ht="15" customHeight="1" x14ac:dyDescent="0.2">
      <c r="X65" s="6">
        <v>24</v>
      </c>
      <c r="Y65" s="6">
        <v>24</v>
      </c>
      <c r="Z65" s="115"/>
      <c r="AA65" s="95"/>
      <c r="AB65" s="95"/>
      <c r="AC65" s="95"/>
      <c r="AD65" s="117" t="s">
        <v>289</v>
      </c>
      <c r="AE65" s="4">
        <v>36</v>
      </c>
      <c r="AF65" s="4">
        <v>6</v>
      </c>
      <c r="AG65" s="4">
        <v>8</v>
      </c>
      <c r="AH65" s="92"/>
      <c r="AI65" s="24"/>
    </row>
    <row r="66" spans="24:35" ht="15" customHeight="1" x14ac:dyDescent="0.2">
      <c r="X66" s="6">
        <v>25</v>
      </c>
      <c r="Y66" s="6">
        <v>25</v>
      </c>
      <c r="Z66" s="115"/>
      <c r="AA66" s="95"/>
      <c r="AB66" s="95"/>
      <c r="AC66" s="95"/>
      <c r="AD66" s="117" t="s">
        <v>290</v>
      </c>
      <c r="AE66" s="4">
        <v>35</v>
      </c>
      <c r="AF66" s="4">
        <v>5</v>
      </c>
      <c r="AG66" s="4">
        <v>10</v>
      </c>
      <c r="AH66" s="92"/>
      <c r="AI66" s="24"/>
    </row>
    <row r="67" spans="24:35" ht="15" customHeight="1" x14ac:dyDescent="0.2">
      <c r="X67" s="6">
        <v>26</v>
      </c>
      <c r="Y67" s="6">
        <v>26</v>
      </c>
      <c r="Z67" s="115"/>
      <c r="AA67" s="95"/>
      <c r="AB67" s="95"/>
      <c r="AC67" s="95"/>
      <c r="AD67" s="107" t="s">
        <v>77</v>
      </c>
      <c r="AE67" s="4">
        <v>28</v>
      </c>
      <c r="AF67" s="4">
        <v>4</v>
      </c>
      <c r="AG67" s="4">
        <v>8</v>
      </c>
      <c r="AH67" s="92"/>
      <c r="AI67" s="24"/>
    </row>
    <row r="68" spans="24:35" ht="15" customHeight="1" thickBot="1" x14ac:dyDescent="0.25">
      <c r="X68" s="6">
        <v>27</v>
      </c>
      <c r="Y68" s="6">
        <v>27</v>
      </c>
      <c r="Z68" s="118"/>
      <c r="AA68" s="95"/>
      <c r="AB68" s="95"/>
      <c r="AC68" s="95"/>
      <c r="AD68" s="110" t="s">
        <v>291</v>
      </c>
      <c r="AE68" s="4">
        <v>35</v>
      </c>
      <c r="AF68" s="4">
        <v>5</v>
      </c>
      <c r="AG68" s="4">
        <v>10</v>
      </c>
      <c r="AH68" s="92"/>
      <c r="AI68" s="24"/>
    </row>
    <row r="69" spans="24:35" ht="15" customHeight="1" x14ac:dyDescent="0.2">
      <c r="X69" s="6">
        <v>28</v>
      </c>
      <c r="Y69" s="6">
        <v>28</v>
      </c>
      <c r="Z69" s="7"/>
      <c r="AD69" s="107" t="s">
        <v>76</v>
      </c>
      <c r="AE69" s="4">
        <v>36</v>
      </c>
      <c r="AF69" s="4">
        <v>6</v>
      </c>
      <c r="AG69" s="4">
        <v>8</v>
      </c>
      <c r="AH69" s="92"/>
      <c r="AI69" s="24"/>
    </row>
    <row r="70" spans="24:35" ht="15" customHeight="1" x14ac:dyDescent="0.2">
      <c r="X70" s="6">
        <v>29</v>
      </c>
      <c r="Y70" s="6">
        <v>29</v>
      </c>
      <c r="Z70" s="7"/>
      <c r="AD70" s="117" t="s">
        <v>292</v>
      </c>
      <c r="AE70" s="4">
        <v>28</v>
      </c>
      <c r="AF70" s="4">
        <v>4</v>
      </c>
      <c r="AG70" s="4">
        <v>8</v>
      </c>
      <c r="AH70" s="92"/>
      <c r="AI70" s="24"/>
    </row>
    <row r="71" spans="24:35" ht="15" customHeight="1" x14ac:dyDescent="0.2">
      <c r="X71" s="6">
        <v>30</v>
      </c>
      <c r="Y71" s="6">
        <v>30</v>
      </c>
      <c r="Z71" s="7"/>
      <c r="AD71" s="107" t="s">
        <v>293</v>
      </c>
      <c r="AE71" s="4">
        <v>33</v>
      </c>
      <c r="AF71" s="4">
        <v>3</v>
      </c>
      <c r="AG71" s="4">
        <v>8</v>
      </c>
    </row>
    <row r="72" spans="24:35" ht="15" customHeight="1" x14ac:dyDescent="0.2">
      <c r="X72" s="6">
        <v>31</v>
      </c>
      <c r="Y72" s="6">
        <v>31</v>
      </c>
      <c r="Z72" s="7"/>
      <c r="AD72" s="107" t="s">
        <v>294</v>
      </c>
      <c r="AE72" s="4">
        <v>33</v>
      </c>
      <c r="AF72" s="4">
        <v>3</v>
      </c>
      <c r="AG72" s="4">
        <v>8</v>
      </c>
    </row>
    <row r="73" spans="24:35" ht="15" customHeight="1" x14ac:dyDescent="0.2">
      <c r="X73" s="6">
        <v>32</v>
      </c>
      <c r="Y73" s="6">
        <v>32</v>
      </c>
      <c r="Z73" s="7"/>
      <c r="AD73" s="107" t="s">
        <v>82</v>
      </c>
      <c r="AE73" s="4">
        <v>35</v>
      </c>
      <c r="AF73" s="4">
        <v>5</v>
      </c>
      <c r="AG73" s="4">
        <v>10</v>
      </c>
    </row>
    <row r="74" spans="24:35" ht="15" customHeight="1" x14ac:dyDescent="0.2">
      <c r="X74" s="6">
        <v>33</v>
      </c>
      <c r="Y74" s="6">
        <v>33</v>
      </c>
      <c r="Z74" s="7"/>
      <c r="AD74" s="117" t="s">
        <v>295</v>
      </c>
      <c r="AE74" s="4">
        <v>35</v>
      </c>
      <c r="AF74" s="4">
        <v>5</v>
      </c>
      <c r="AG74" s="4">
        <v>10</v>
      </c>
    </row>
    <row r="75" spans="24:35" ht="15" customHeight="1" x14ac:dyDescent="0.2">
      <c r="X75" s="6">
        <v>34</v>
      </c>
      <c r="Y75" s="6">
        <v>34</v>
      </c>
      <c r="Z75" s="7"/>
      <c r="AD75" s="110" t="s">
        <v>296</v>
      </c>
      <c r="AE75" s="4">
        <v>28</v>
      </c>
      <c r="AF75" s="4">
        <v>4</v>
      </c>
      <c r="AG75" s="4">
        <v>8</v>
      </c>
    </row>
    <row r="76" spans="24:35" ht="15" customHeight="1" x14ac:dyDescent="0.2">
      <c r="X76" s="6">
        <v>35</v>
      </c>
      <c r="Y76" s="6">
        <v>35</v>
      </c>
      <c r="AD76" s="110"/>
      <c r="AE76" s="4"/>
      <c r="AF76" s="4"/>
      <c r="AG76" s="4"/>
    </row>
    <row r="77" spans="24:35" ht="15" customHeight="1" x14ac:dyDescent="0.2">
      <c r="X77" s="6">
        <v>36</v>
      </c>
      <c r="Y77" s="6">
        <v>36</v>
      </c>
      <c r="AD77" s="110"/>
      <c r="AE77" s="4"/>
      <c r="AF77" s="4"/>
      <c r="AG77" s="4"/>
    </row>
    <row r="78" spans="24:35" ht="15" customHeight="1" x14ac:dyDescent="0.2">
      <c r="X78" s="6">
        <v>37</v>
      </c>
      <c r="Y78" s="6">
        <v>37</v>
      </c>
      <c r="AD78" s="110"/>
      <c r="AE78" s="4"/>
      <c r="AF78" s="4"/>
      <c r="AG78" s="4"/>
    </row>
    <row r="79" spans="24:35" ht="15" customHeight="1" x14ac:dyDescent="0.2">
      <c r="X79" s="6">
        <v>38</v>
      </c>
      <c r="Y79" s="6">
        <v>38</v>
      </c>
      <c r="AD79" s="110"/>
      <c r="AE79" s="4"/>
      <c r="AF79" s="4"/>
      <c r="AG79" s="4"/>
    </row>
    <row r="80" spans="24:35" ht="15" customHeight="1" x14ac:dyDescent="0.2">
      <c r="X80" s="6">
        <v>39</v>
      </c>
      <c r="Y80" s="6">
        <v>39</v>
      </c>
      <c r="AD80" s="110"/>
      <c r="AE80" s="4"/>
      <c r="AF80" s="4"/>
      <c r="AG80" s="4"/>
    </row>
    <row r="81" spans="24:33" ht="15" customHeight="1" x14ac:dyDescent="0.2">
      <c r="X81" s="6">
        <v>40</v>
      </c>
      <c r="Y81" s="6">
        <v>40</v>
      </c>
      <c r="AD81" s="110"/>
      <c r="AE81" s="4"/>
      <c r="AF81" s="4"/>
      <c r="AG81" s="4"/>
    </row>
    <row r="82" spans="24:33" ht="15" customHeight="1" x14ac:dyDescent="0.2">
      <c r="X82" s="6">
        <v>41</v>
      </c>
      <c r="Y82" s="6">
        <v>41</v>
      </c>
      <c r="AD82" s="110"/>
      <c r="AE82" s="4"/>
      <c r="AF82" s="4"/>
      <c r="AG82" s="4"/>
    </row>
    <row r="83" spans="24:33" ht="15" customHeight="1" x14ac:dyDescent="0.2">
      <c r="X83" s="6">
        <v>42</v>
      </c>
      <c r="Y83" s="6">
        <v>42</v>
      </c>
      <c r="AD83" s="110"/>
      <c r="AE83" s="4"/>
      <c r="AF83" s="4"/>
      <c r="AG83" s="4"/>
    </row>
    <row r="84" spans="24:33" ht="15" customHeight="1" x14ac:dyDescent="0.2">
      <c r="X84" s="6">
        <v>43</v>
      </c>
      <c r="Y84" s="6">
        <v>43</v>
      </c>
      <c r="AD84" s="110"/>
      <c r="AE84" s="4"/>
      <c r="AF84" s="4"/>
      <c r="AG84" s="4"/>
    </row>
    <row r="85" spans="24:33" ht="15" customHeight="1" thickBot="1" x14ac:dyDescent="0.25">
      <c r="X85" s="6">
        <v>44</v>
      </c>
      <c r="Y85" s="6">
        <v>44</v>
      </c>
      <c r="AD85" s="119"/>
      <c r="AE85" s="4"/>
      <c r="AF85" s="4"/>
      <c r="AG85" s="4"/>
    </row>
    <row r="86" spans="24:33" ht="15" customHeight="1" x14ac:dyDescent="0.2">
      <c r="X86" s="6">
        <v>45</v>
      </c>
      <c r="Y86" s="6">
        <v>45</v>
      </c>
    </row>
    <row r="87" spans="24:33" ht="15" customHeight="1" x14ac:dyDescent="0.2">
      <c r="X87" s="6">
        <v>46</v>
      </c>
      <c r="Y87" s="6">
        <v>46</v>
      </c>
    </row>
    <row r="88" spans="24:33" ht="15" customHeight="1" x14ac:dyDescent="0.2">
      <c r="X88" s="6">
        <v>47</v>
      </c>
      <c r="Y88" s="6">
        <v>47</v>
      </c>
      <c r="AD88" s="14"/>
      <c r="AE88" s="73"/>
    </row>
    <row r="89" spans="24:33" ht="15" customHeight="1" x14ac:dyDescent="0.2">
      <c r="X89" s="6">
        <v>48</v>
      </c>
      <c r="Y89" s="6">
        <v>48</v>
      </c>
    </row>
    <row r="90" spans="24:33" ht="15" customHeight="1" x14ac:dyDescent="0.2">
      <c r="X90" s="6">
        <v>49</v>
      </c>
      <c r="Y90" s="6">
        <v>49</v>
      </c>
    </row>
    <row r="91" spans="24:33" ht="15" customHeight="1" x14ac:dyDescent="0.2">
      <c r="X91" s="6">
        <v>50</v>
      </c>
      <c r="Y91" s="6">
        <v>50</v>
      </c>
    </row>
    <row r="92" spans="24:33" ht="15" customHeight="1" x14ac:dyDescent="0.2">
      <c r="X92" s="6">
        <v>51</v>
      </c>
      <c r="Y92" s="6">
        <v>51</v>
      </c>
    </row>
    <row r="93" spans="24:33" ht="15" customHeight="1" x14ac:dyDescent="0.2">
      <c r="X93" s="6">
        <v>52</v>
      </c>
      <c r="Y93" s="6">
        <v>52</v>
      </c>
    </row>
    <row r="94" spans="24:33" ht="15" customHeight="1" x14ac:dyDescent="0.2">
      <c r="X94" s="6">
        <v>53</v>
      </c>
      <c r="Y94" s="6">
        <v>53</v>
      </c>
    </row>
    <row r="95" spans="24:33" ht="15" customHeight="1" x14ac:dyDescent="0.2">
      <c r="X95" s="6">
        <v>54</v>
      </c>
      <c r="Y95" s="6">
        <v>54</v>
      </c>
    </row>
    <row r="96" spans="24:33" ht="15" customHeight="1" x14ac:dyDescent="0.2">
      <c r="X96" s="6">
        <v>55</v>
      </c>
      <c r="Y96" s="6">
        <v>55</v>
      </c>
    </row>
    <row r="97" spans="24:25" ht="15" customHeight="1" x14ac:dyDescent="0.2">
      <c r="X97" s="6">
        <v>56</v>
      </c>
      <c r="Y97" s="6">
        <v>56</v>
      </c>
    </row>
    <row r="98" spans="24:25" ht="15" customHeight="1" x14ac:dyDescent="0.2">
      <c r="X98" s="6">
        <v>57</v>
      </c>
      <c r="Y98" s="6">
        <v>57</v>
      </c>
    </row>
    <row r="99" spans="24:25" ht="15" customHeight="1" x14ac:dyDescent="0.2">
      <c r="X99" s="6">
        <v>58</v>
      </c>
      <c r="Y99" s="6">
        <v>58</v>
      </c>
    </row>
    <row r="100" spans="24:25" ht="15" customHeight="1" x14ac:dyDescent="0.2">
      <c r="X100" s="6">
        <v>59</v>
      </c>
      <c r="Y100" s="6">
        <v>59</v>
      </c>
    </row>
    <row r="101" spans="24:25" ht="15" customHeight="1" x14ac:dyDescent="0.2">
      <c r="X101" s="6">
        <v>60</v>
      </c>
      <c r="Y101" s="6">
        <v>60</v>
      </c>
    </row>
    <row r="193" spans="1:111" ht="15" customHeight="1" thickBot="1" x14ac:dyDescent="0.25">
      <c r="A193" s="24"/>
      <c r="B193" s="24"/>
      <c r="C193" s="24"/>
      <c r="U193" s="7"/>
    </row>
    <row r="194" spans="1:111" ht="15" customHeight="1" thickBot="1" x14ac:dyDescent="0.3">
      <c r="BB194" s="1830" t="s">
        <v>297</v>
      </c>
      <c r="BC194" s="1831"/>
      <c r="BD194" s="1831"/>
      <c r="BE194" s="1831"/>
      <c r="BF194" s="1831"/>
      <c r="BG194" s="1831"/>
      <c r="BH194" s="1831"/>
      <c r="BI194" s="1831"/>
      <c r="BJ194" s="1831"/>
      <c r="BK194" s="1831"/>
      <c r="BL194" s="1831"/>
      <c r="BM194" s="1831"/>
      <c r="BN194" s="1831"/>
      <c r="BO194" s="1831"/>
      <c r="BP194" s="1831"/>
      <c r="BQ194" s="1831"/>
      <c r="BR194" s="1831"/>
      <c r="BS194" s="1831"/>
      <c r="BT194" s="1831"/>
      <c r="BU194" s="1831"/>
      <c r="BV194" s="1831"/>
      <c r="BW194" s="1831"/>
      <c r="BX194" s="1831"/>
      <c r="BY194" s="1831"/>
      <c r="BZ194" s="1831"/>
      <c r="CA194" s="1831"/>
      <c r="CB194" s="1831"/>
      <c r="CC194" s="1831"/>
      <c r="CD194" s="1831"/>
      <c r="CE194" s="1831"/>
      <c r="CF194" s="1831"/>
      <c r="CG194" s="1831"/>
      <c r="CH194" s="1831"/>
      <c r="CI194" s="1831"/>
      <c r="CJ194" s="1831"/>
      <c r="CK194" s="1831"/>
      <c r="CL194" s="1831"/>
      <c r="CM194" s="1831"/>
      <c r="CN194" s="1831"/>
      <c r="CO194" s="1831"/>
      <c r="CP194" s="1831"/>
      <c r="CQ194" s="1831"/>
      <c r="CR194" s="1831"/>
      <c r="CS194" s="1831"/>
      <c r="CT194" s="1831"/>
      <c r="CU194" s="1831"/>
      <c r="CV194" s="1831"/>
      <c r="CW194" s="1831"/>
      <c r="CX194" s="1831"/>
      <c r="CY194" s="1831"/>
      <c r="CZ194" s="1831"/>
      <c r="DA194" s="1831"/>
      <c r="DB194" s="1831"/>
      <c r="DC194" s="1831"/>
      <c r="DD194" s="1831"/>
      <c r="DE194" s="1831"/>
      <c r="DF194" s="1831"/>
      <c r="DG194" s="1832"/>
    </row>
    <row r="195" spans="1:111" ht="15" customHeight="1" x14ac:dyDescent="0.2">
      <c r="BB195" s="26"/>
      <c r="BC195" s="27">
        <v>4</v>
      </c>
      <c r="BD195" s="27">
        <v>5</v>
      </c>
      <c r="BE195" s="27">
        <v>6</v>
      </c>
      <c r="BF195" s="27">
        <v>7</v>
      </c>
      <c r="BG195" s="27">
        <v>8</v>
      </c>
      <c r="BH195" s="27">
        <v>9</v>
      </c>
      <c r="BI195" s="27">
        <v>10</v>
      </c>
      <c r="BJ195" s="27">
        <v>11</v>
      </c>
      <c r="BK195" s="27">
        <v>12</v>
      </c>
      <c r="BL195" s="27">
        <v>13</v>
      </c>
      <c r="BM195" s="27">
        <v>14</v>
      </c>
      <c r="BN195" s="27">
        <v>15</v>
      </c>
      <c r="BO195" s="27">
        <v>16</v>
      </c>
      <c r="BP195" s="27">
        <v>17</v>
      </c>
      <c r="BQ195" s="27">
        <v>18</v>
      </c>
      <c r="BR195" s="27">
        <v>19</v>
      </c>
      <c r="BS195" s="27">
        <v>20</v>
      </c>
      <c r="BT195" s="27">
        <v>21</v>
      </c>
      <c r="BU195" s="27">
        <v>22</v>
      </c>
      <c r="BV195" s="27">
        <v>23</v>
      </c>
      <c r="BW195" s="27">
        <v>24</v>
      </c>
      <c r="BX195" s="27">
        <v>25</v>
      </c>
      <c r="BY195" s="27">
        <v>26</v>
      </c>
      <c r="BZ195" s="27">
        <v>27</v>
      </c>
      <c r="CA195" s="27">
        <v>28</v>
      </c>
      <c r="CB195" s="27">
        <v>29</v>
      </c>
      <c r="CC195" s="27">
        <v>30</v>
      </c>
      <c r="CD195" s="27">
        <v>31</v>
      </c>
      <c r="CE195" s="27">
        <v>32</v>
      </c>
      <c r="CF195" s="27">
        <v>33</v>
      </c>
      <c r="CG195" s="27">
        <v>34</v>
      </c>
      <c r="CH195" s="27">
        <v>35</v>
      </c>
      <c r="CI195" s="27">
        <v>36</v>
      </c>
      <c r="CJ195" s="27">
        <v>37</v>
      </c>
      <c r="CK195" s="27">
        <v>38</v>
      </c>
      <c r="CL195" s="27">
        <v>39</v>
      </c>
      <c r="CM195" s="27">
        <v>40</v>
      </c>
      <c r="CN195" s="27">
        <v>41</v>
      </c>
      <c r="CO195" s="27">
        <v>42</v>
      </c>
      <c r="CP195" s="27">
        <v>43</v>
      </c>
      <c r="CQ195" s="27">
        <v>44</v>
      </c>
      <c r="CR195" s="27">
        <v>45</v>
      </c>
      <c r="CS195" s="27">
        <v>46</v>
      </c>
      <c r="CT195" s="27">
        <v>47</v>
      </c>
      <c r="CU195" s="27">
        <v>48</v>
      </c>
      <c r="CV195" s="27">
        <v>49</v>
      </c>
      <c r="CW195" s="27">
        <v>50</v>
      </c>
      <c r="CX195" s="27">
        <v>51</v>
      </c>
      <c r="CY195" s="27">
        <v>52</v>
      </c>
      <c r="CZ195" s="27">
        <v>53</v>
      </c>
      <c r="DA195" s="27">
        <v>54</v>
      </c>
      <c r="DB195" s="27">
        <v>55</v>
      </c>
      <c r="DC195" s="27">
        <v>56</v>
      </c>
      <c r="DD195" s="27">
        <v>57</v>
      </c>
      <c r="DE195" s="27">
        <v>58</v>
      </c>
      <c r="DF195" s="27">
        <v>59</v>
      </c>
      <c r="DG195" s="142">
        <v>60</v>
      </c>
    </row>
    <row r="196" spans="1:111" ht="15" customHeight="1" x14ac:dyDescent="0.2">
      <c r="BB196" s="28">
        <v>4</v>
      </c>
      <c r="BC196" s="156">
        <v>3.024</v>
      </c>
      <c r="BD196" s="120">
        <f>(BE196+BC196)/2</f>
        <v>3.3734999999999999</v>
      </c>
      <c r="BE196" s="156">
        <v>3.7229999999999999</v>
      </c>
      <c r="BF196" s="120">
        <f>(BG196+BE196)/2</f>
        <v>4.05</v>
      </c>
      <c r="BG196" s="156">
        <v>4.3769999999999998</v>
      </c>
      <c r="BH196" s="120">
        <f>(BI196+BG196)/2</f>
        <v>4.7264999999999997</v>
      </c>
      <c r="BI196" s="156">
        <v>5.0759999999999996</v>
      </c>
      <c r="BJ196" s="120">
        <f>(BK196+BI196)/2</f>
        <v>5.3550000000000004</v>
      </c>
      <c r="BK196" s="156">
        <v>5.6340000000000003</v>
      </c>
      <c r="BL196" s="120">
        <f>(BM196+BK196)/2</f>
        <v>5.9250000000000007</v>
      </c>
      <c r="BM196" s="156">
        <v>6.2160000000000002</v>
      </c>
      <c r="BN196" s="120">
        <f>(BO196+BM196)/2</f>
        <v>6.4845000000000006</v>
      </c>
      <c r="BO196" s="156">
        <v>6.7530000000000001</v>
      </c>
      <c r="BP196" s="120">
        <f>(BQ196+BO196)/2</f>
        <v>6.9855</v>
      </c>
      <c r="BQ196" s="156">
        <v>7.218</v>
      </c>
      <c r="BR196" s="120">
        <f>(BS196+BQ196)/2</f>
        <v>7.4965000000000002</v>
      </c>
      <c r="BS196" s="156">
        <v>7.7750000000000004</v>
      </c>
      <c r="BT196" s="120">
        <f>(BU196+BS196)/2</f>
        <v>8.0659999999999989</v>
      </c>
      <c r="BU196" s="156">
        <v>8.3569999999999993</v>
      </c>
      <c r="BV196" s="120">
        <f>(BW196+BU196)/2</f>
        <v>8.5670000000000002</v>
      </c>
      <c r="BW196" s="156">
        <v>8.7769999999999992</v>
      </c>
      <c r="BX196" s="120">
        <f>(BY196+BW196)/2</f>
        <v>9.0090000000000003</v>
      </c>
      <c r="BY196" s="156">
        <v>9.2409999999999997</v>
      </c>
      <c r="BZ196" s="120">
        <f>(CA196+BY196)/2</f>
        <v>9.5195000000000007</v>
      </c>
      <c r="CA196" s="156">
        <v>9.798</v>
      </c>
      <c r="CB196" s="120">
        <f>(CC196+CA196)/2</f>
        <v>10.030999999999999</v>
      </c>
      <c r="CC196" s="156">
        <v>10.263999999999999</v>
      </c>
      <c r="CD196" s="120">
        <f>(CE196+CC196)/2</f>
        <v>10.495999999999999</v>
      </c>
      <c r="CE196" s="156">
        <v>10.728</v>
      </c>
      <c r="CF196" s="120">
        <f>(CG196+CE196)/2</f>
        <v>10.997</v>
      </c>
      <c r="CG196" s="156">
        <v>11.266</v>
      </c>
      <c r="CH196" s="120">
        <f>(CI196+CG196)/2</f>
        <v>11.507999999999999</v>
      </c>
      <c r="CI196" s="156">
        <v>11.75</v>
      </c>
      <c r="CJ196" s="120">
        <f>(CK196+CI196)/2</f>
        <v>11.9605</v>
      </c>
      <c r="CK196" s="156">
        <v>12.170999999999999</v>
      </c>
      <c r="CL196" s="120">
        <f>(CM196+CK196)/2</f>
        <v>12.403499999999999</v>
      </c>
      <c r="CM196" s="156">
        <v>12.635999999999999</v>
      </c>
      <c r="CN196" s="120">
        <f>(CO196+CM196)/2</f>
        <v>12.846</v>
      </c>
      <c r="CO196" s="156">
        <v>13.055999999999999</v>
      </c>
      <c r="CP196" s="120">
        <f>(CQ196+CO196)/2</f>
        <v>13.297999999999998</v>
      </c>
      <c r="CQ196" s="156">
        <v>13.54</v>
      </c>
      <c r="CR196" s="120">
        <f>(CS196+CQ196)/2</f>
        <v>13.750499999999999</v>
      </c>
      <c r="CS196" s="156">
        <v>13.961</v>
      </c>
      <c r="CT196" s="120">
        <f>(CU196+CS196)/2</f>
        <v>14.1935</v>
      </c>
      <c r="CU196" s="156">
        <v>14.426</v>
      </c>
      <c r="CV196" s="120">
        <f>(CW196+CU196)/2</f>
        <v>14.635999999999999</v>
      </c>
      <c r="CW196" s="156">
        <v>14.846</v>
      </c>
      <c r="CX196" s="120">
        <f>(CY196+CW196)/2</f>
        <v>15.0885</v>
      </c>
      <c r="CY196" s="156">
        <v>15.331</v>
      </c>
      <c r="CZ196" s="120">
        <f>(DA196+CY196)/2</f>
        <v>15.541499999999999</v>
      </c>
      <c r="DA196" s="156">
        <v>15.752000000000001</v>
      </c>
      <c r="DB196" s="120">
        <f>(DC196+DA196)/2</f>
        <v>15.984500000000001</v>
      </c>
      <c r="DC196" s="156">
        <v>16.216999999999999</v>
      </c>
      <c r="DD196" s="120">
        <f>(DE196+DC196)/2</f>
        <v>16.427</v>
      </c>
      <c r="DE196" s="156">
        <v>16.637</v>
      </c>
      <c r="DF196" s="120">
        <f>(DG196+DE196)/2</f>
        <v>16.820500000000003</v>
      </c>
      <c r="DG196" s="157">
        <v>17.004000000000001</v>
      </c>
    </row>
    <row r="197" spans="1:111" ht="15" customHeight="1" x14ac:dyDescent="0.2">
      <c r="BB197" s="28">
        <v>5</v>
      </c>
      <c r="BC197" s="121">
        <f t="array" ref="BC197:BC252">TRANSPOSE(BD196:DG196)</f>
        <v>3.3734999999999999</v>
      </c>
      <c r="BD197" s="120">
        <f>(BC197+BE197)/2</f>
        <v>3.7854999999999999</v>
      </c>
      <c r="BE197" s="120">
        <f>(BE196+BE198)/2</f>
        <v>4.1974999999999998</v>
      </c>
      <c r="BF197" s="120">
        <f>(BE197+BG197)/2</f>
        <v>4.556</v>
      </c>
      <c r="BG197" s="120">
        <f>(BG196+BG198)/2</f>
        <v>4.9145000000000003</v>
      </c>
      <c r="BH197" s="120">
        <f>(BG197+BI197)/2</f>
        <v>5.2789999999999999</v>
      </c>
      <c r="BI197" s="120">
        <f>(BI196+BI198)/2</f>
        <v>5.6434999999999995</v>
      </c>
      <c r="BJ197" s="120">
        <f>(BI197+BK197)/2</f>
        <v>5.9437499999999996</v>
      </c>
      <c r="BK197" s="120">
        <f>(BK196+BK198)/2</f>
        <v>6.2439999999999998</v>
      </c>
      <c r="BL197" s="120">
        <f>(BK197+BM197)/2</f>
        <v>6.5842499999999999</v>
      </c>
      <c r="BM197" s="120">
        <f>(BM196+BM198)/2</f>
        <v>6.9245000000000001</v>
      </c>
      <c r="BN197" s="120">
        <f>(BM197+BO197)/2</f>
        <v>7.2082499999999996</v>
      </c>
      <c r="BO197" s="120">
        <f>(BO196+BO198)/2</f>
        <v>7.492</v>
      </c>
      <c r="BP197" s="120">
        <f>(BO197+BQ197)/2</f>
        <v>7.7687500000000007</v>
      </c>
      <c r="BQ197" s="120">
        <f>(BQ196+BQ198)/2</f>
        <v>8.0455000000000005</v>
      </c>
      <c r="BR197" s="120">
        <f>(BQ197+BS197)/2</f>
        <v>8.3502500000000008</v>
      </c>
      <c r="BS197" s="120">
        <f>(BS196+BS198)/2</f>
        <v>8.6550000000000011</v>
      </c>
      <c r="BT197" s="120">
        <f>(BS197+BU197)/2</f>
        <v>8.9612499999999997</v>
      </c>
      <c r="BU197" s="120">
        <f>(BU196+BU198)/2</f>
        <v>9.2675000000000001</v>
      </c>
      <c r="BV197" s="120">
        <f>(BU197+BW197)/2</f>
        <v>9.5377499999999991</v>
      </c>
      <c r="BW197" s="120">
        <f>(BW196+BW198)/2</f>
        <v>9.8079999999999998</v>
      </c>
      <c r="BX197" s="120">
        <f>(BW197+BY197)/2</f>
        <v>10.044499999999999</v>
      </c>
      <c r="BY197" s="120">
        <f>(BY196+BY198)/2</f>
        <v>10.280999999999999</v>
      </c>
      <c r="BZ197" s="120">
        <f>(BY197+CA197)/2</f>
        <v>10.581</v>
      </c>
      <c r="CA197" s="120">
        <f>(CA196+CA198)/2</f>
        <v>10.881</v>
      </c>
      <c r="CB197" s="120">
        <f>(CA197+CC197)/2</f>
        <v>11.1335</v>
      </c>
      <c r="CC197" s="120">
        <f>(CC196+CC198)/2</f>
        <v>11.385999999999999</v>
      </c>
      <c r="CD197" s="120">
        <f>(CC197+CE197)/2</f>
        <v>11.662749999999999</v>
      </c>
      <c r="CE197" s="120">
        <f>(CE196+CE198)/2</f>
        <v>11.939499999999999</v>
      </c>
      <c r="CF197" s="120">
        <f>(CE197+CG197)/2</f>
        <v>12.210249999999998</v>
      </c>
      <c r="CG197" s="120">
        <f>(CG196+CG198)/2</f>
        <v>12.481</v>
      </c>
      <c r="CH197" s="120">
        <f>(CG197+CI197)/2</f>
        <v>12.751750000000001</v>
      </c>
      <c r="CI197" s="120">
        <f>(CI196+CI198)/2</f>
        <v>13.022500000000001</v>
      </c>
      <c r="CJ197" s="120">
        <f>(CI197+CK197)/2</f>
        <v>13.25925</v>
      </c>
      <c r="CK197" s="120">
        <f>(CK196+CK198)/2</f>
        <v>13.495999999999999</v>
      </c>
      <c r="CL197" s="120">
        <f>(CK197+CM197)/2</f>
        <v>13.748249999999999</v>
      </c>
      <c r="CM197" s="120">
        <f>(CM196+CM198)/2</f>
        <v>14.000499999999999</v>
      </c>
      <c r="CN197" s="120">
        <f>(CM197+CO197)/2</f>
        <v>14.266249999999999</v>
      </c>
      <c r="CO197" s="120">
        <f>(CO196+CO198)/2</f>
        <v>14.532</v>
      </c>
      <c r="CP197" s="120">
        <f>(CO197+CQ197)/2</f>
        <v>14.78425</v>
      </c>
      <c r="CQ197" s="120">
        <f>(CQ196+CQ198)/2</f>
        <v>15.0365</v>
      </c>
      <c r="CR197" s="120">
        <f>(CQ197+CS197)/2</f>
        <v>15.266999999999999</v>
      </c>
      <c r="CS197" s="120">
        <f>(CS196+CS198)/2</f>
        <v>15.497499999999999</v>
      </c>
      <c r="CT197" s="120">
        <f>(CS197+CU197)/2</f>
        <v>15.745249999999999</v>
      </c>
      <c r="CU197" s="120">
        <f>(CU196+CU198)/2</f>
        <v>15.992999999999999</v>
      </c>
      <c r="CV197" s="120">
        <f>(CU197+CW197)/2</f>
        <v>16.234249999999999</v>
      </c>
      <c r="CW197" s="120">
        <f>(CW196+CW198)/2</f>
        <v>16.4755</v>
      </c>
      <c r="CX197" s="120">
        <f>(CW197+CY197)/2</f>
        <v>16.7575</v>
      </c>
      <c r="CY197" s="120">
        <f>(CY196+CY198)/2</f>
        <v>17.0395</v>
      </c>
      <c r="CZ197" s="120">
        <f>(CY197+DA197)/2</f>
        <v>17.276</v>
      </c>
      <c r="DA197" s="120">
        <f>(DA196+DA198)/2</f>
        <v>17.512499999999999</v>
      </c>
      <c r="DB197" s="120">
        <f>(DA197+DC197)/2</f>
        <v>17.753999999999998</v>
      </c>
      <c r="DC197" s="120">
        <f>(DC196+DC198)/2</f>
        <v>17.9955</v>
      </c>
      <c r="DD197" s="120">
        <f>(DC197+DE197)/2</f>
        <v>18.231999999999999</v>
      </c>
      <c r="DE197" s="120">
        <f>(DE196+DE198)/2</f>
        <v>18.468499999999999</v>
      </c>
      <c r="DF197" s="120">
        <f>(DE197+DG197)/2</f>
        <v>18.6965</v>
      </c>
      <c r="DG197" s="122">
        <f>(DG196+DG198)/2</f>
        <v>18.924500000000002</v>
      </c>
    </row>
    <row r="198" spans="1:111" ht="15" customHeight="1" x14ac:dyDescent="0.2">
      <c r="BB198" s="28">
        <v>6</v>
      </c>
      <c r="BC198" s="121">
        <v>3.7229999999999999</v>
      </c>
      <c r="BD198" s="121">
        <f t="array" ref="BD198:BD252">TRANSPOSE(BE197:DG197)</f>
        <v>4.1974999999999998</v>
      </c>
      <c r="BE198" s="158">
        <v>4.6719999999999997</v>
      </c>
      <c r="BF198" s="120">
        <f>(BG198+BE198)/2</f>
        <v>5.0619999999999994</v>
      </c>
      <c r="BG198" s="158">
        <v>5.452</v>
      </c>
      <c r="BH198" s="120">
        <f>(BI198+BG198)/2</f>
        <v>5.8315000000000001</v>
      </c>
      <c r="BI198" s="158">
        <v>6.2110000000000003</v>
      </c>
      <c r="BJ198" s="120">
        <f>(BK198+BI198)/2</f>
        <v>6.5325000000000006</v>
      </c>
      <c r="BK198" s="158">
        <v>6.8540000000000001</v>
      </c>
      <c r="BL198" s="120">
        <f>(BM198+BK198)/2</f>
        <v>7.2435</v>
      </c>
      <c r="BM198" s="158">
        <v>7.633</v>
      </c>
      <c r="BN198" s="120">
        <f>(BO198+BM198)/2</f>
        <v>7.9320000000000004</v>
      </c>
      <c r="BO198" s="158">
        <v>8.2309999999999999</v>
      </c>
      <c r="BP198" s="120">
        <f>(BQ198+BO198)/2</f>
        <v>8.5519999999999996</v>
      </c>
      <c r="BQ198" s="158">
        <v>8.8729999999999993</v>
      </c>
      <c r="BR198" s="120">
        <f>(BS198+BQ198)/2</f>
        <v>9.2040000000000006</v>
      </c>
      <c r="BS198" s="158">
        <v>9.5350000000000001</v>
      </c>
      <c r="BT198" s="120">
        <f>(BU198+BS198)/2</f>
        <v>9.8565000000000005</v>
      </c>
      <c r="BU198" s="158">
        <v>10.178000000000001</v>
      </c>
      <c r="BV198" s="120">
        <f>(BW198+BU198)/2</f>
        <v>10.508500000000002</v>
      </c>
      <c r="BW198" s="158">
        <v>10.839</v>
      </c>
      <c r="BX198" s="120">
        <f>(BY198+BW198)/2</f>
        <v>11.08</v>
      </c>
      <c r="BY198" s="158">
        <v>11.321</v>
      </c>
      <c r="BZ198" s="120">
        <f>(CA198+BY198)/2</f>
        <v>11.6425</v>
      </c>
      <c r="CA198" s="158">
        <v>11.964</v>
      </c>
      <c r="CB198" s="120">
        <f>(CC198+CA198)/2</f>
        <v>12.236000000000001</v>
      </c>
      <c r="CC198" s="158">
        <v>12.507999999999999</v>
      </c>
      <c r="CD198" s="120">
        <f>(CE198+CC198)/2</f>
        <v>12.829499999999999</v>
      </c>
      <c r="CE198" s="158">
        <v>13.151</v>
      </c>
      <c r="CF198" s="120">
        <f>(CG198+CE198)/2</f>
        <v>13.423500000000001</v>
      </c>
      <c r="CG198" s="158">
        <v>13.696</v>
      </c>
      <c r="CH198" s="120">
        <f>(CI198+CG198)/2</f>
        <v>13.9955</v>
      </c>
      <c r="CI198" s="158">
        <v>14.295</v>
      </c>
      <c r="CJ198" s="120">
        <f>(CK198+CI198)/2</f>
        <v>14.558</v>
      </c>
      <c r="CK198" s="158">
        <v>14.821</v>
      </c>
      <c r="CL198" s="120">
        <f>(CM198+CK198)/2</f>
        <v>15.093</v>
      </c>
      <c r="CM198" s="158">
        <v>15.365</v>
      </c>
      <c r="CN198" s="120">
        <f>(CO198+CM198)/2</f>
        <v>15.686499999999999</v>
      </c>
      <c r="CO198" s="158">
        <v>16.007999999999999</v>
      </c>
      <c r="CP198" s="120">
        <f>(CQ198+CO198)/2</f>
        <v>16.270499999999998</v>
      </c>
      <c r="CQ198" s="158">
        <v>16.533000000000001</v>
      </c>
      <c r="CR198" s="120">
        <f>(CS198+CQ198)/2</f>
        <v>16.7835</v>
      </c>
      <c r="CS198" s="158">
        <v>17.033999999999999</v>
      </c>
      <c r="CT198" s="120">
        <f>(CU198+CS198)/2</f>
        <v>17.296999999999997</v>
      </c>
      <c r="CU198" s="158">
        <v>17.559999999999999</v>
      </c>
      <c r="CV198" s="120">
        <f>(CW198+CU198)/2</f>
        <v>17.8325</v>
      </c>
      <c r="CW198" s="158">
        <v>18.105</v>
      </c>
      <c r="CX198" s="120">
        <f>(CY198+CW198)/2</f>
        <v>18.426500000000001</v>
      </c>
      <c r="CY198" s="158">
        <v>18.748000000000001</v>
      </c>
      <c r="CZ198" s="120">
        <f>(DA198+CY198)/2</f>
        <v>19.0105</v>
      </c>
      <c r="DA198" s="158">
        <v>19.273</v>
      </c>
      <c r="DB198" s="120">
        <f>(DC198+DA198)/2</f>
        <v>19.523499999999999</v>
      </c>
      <c r="DC198" s="158">
        <v>19.774000000000001</v>
      </c>
      <c r="DD198" s="120">
        <f>(DE198+DC198)/2</f>
        <v>20.036999999999999</v>
      </c>
      <c r="DE198" s="158">
        <v>20.3</v>
      </c>
      <c r="DF198" s="120">
        <f>(DG198+DE198)/2</f>
        <v>20.572499999999998</v>
      </c>
      <c r="DG198" s="159">
        <v>20.844999999999999</v>
      </c>
    </row>
    <row r="199" spans="1:111" ht="15" customHeight="1" x14ac:dyDescent="0.2">
      <c r="BB199" s="28">
        <v>7</v>
      </c>
      <c r="BC199" s="121">
        <v>4.05</v>
      </c>
      <c r="BD199" s="121">
        <v>4.556</v>
      </c>
      <c r="BE199" s="121">
        <f t="array" ref="BE199:BE252">TRANSPOSE(BF198:DG198)</f>
        <v>5.0619999999999994</v>
      </c>
      <c r="BF199" s="120">
        <f>(BE199+BG199)/2</f>
        <v>5.49125</v>
      </c>
      <c r="BG199" s="120">
        <f>(BG198+BG200)/2</f>
        <v>5.9205000000000005</v>
      </c>
      <c r="BH199" s="120">
        <f>(BG199+BI199)/2</f>
        <v>6.3202500000000006</v>
      </c>
      <c r="BI199" s="120">
        <f>(BI198+BI200)/2</f>
        <v>6.7200000000000006</v>
      </c>
      <c r="BJ199" s="120">
        <f>(BI199+BK199)/2</f>
        <v>7.08575</v>
      </c>
      <c r="BK199" s="120">
        <f>(BK198+BK200)/2</f>
        <v>7.4514999999999993</v>
      </c>
      <c r="BL199" s="120">
        <f>(BK199+BM199)/2</f>
        <v>7.8557499999999996</v>
      </c>
      <c r="BM199" s="120">
        <f>(BM198+BM200)/2</f>
        <v>8.26</v>
      </c>
      <c r="BN199" s="120">
        <f>(BM199+BO199)/2</f>
        <v>8.5967500000000001</v>
      </c>
      <c r="BO199" s="120">
        <f>(BO198+BO200)/2</f>
        <v>8.9334999999999987</v>
      </c>
      <c r="BP199" s="120">
        <f>(BO199+BQ199)/2</f>
        <v>9.3037499999999991</v>
      </c>
      <c r="BQ199" s="120">
        <f>(BQ198+BQ200)/2</f>
        <v>9.6739999999999995</v>
      </c>
      <c r="BR199" s="120">
        <f>(BQ199+BS199)/2</f>
        <v>10.015499999999999</v>
      </c>
      <c r="BS199" s="120">
        <f>(BS198+BS200)/2</f>
        <v>10.356999999999999</v>
      </c>
      <c r="BT199" s="120">
        <f>(BS199+BU199)/2</f>
        <v>10.69825</v>
      </c>
      <c r="BU199" s="120">
        <f>(BU198+BU200)/2</f>
        <v>11.0395</v>
      </c>
      <c r="BV199" s="120">
        <f>(BU199+BW199)/2</f>
        <v>11.380750000000001</v>
      </c>
      <c r="BW199" s="120">
        <f>(BW198+BW200)/2</f>
        <v>11.722000000000001</v>
      </c>
      <c r="BX199" s="120">
        <f>(BW199+BY199)/2</f>
        <v>12.023250000000001</v>
      </c>
      <c r="BY199" s="120">
        <f>(BY198+BY200)/2</f>
        <v>12.3245</v>
      </c>
      <c r="BZ199" s="120">
        <f>(BY199+CA199)/2</f>
        <v>12.661000000000001</v>
      </c>
      <c r="CA199" s="120">
        <f>(CA198+CA200)/2</f>
        <v>12.9975</v>
      </c>
      <c r="CB199" s="120">
        <f>(CA199+CC199)/2</f>
        <v>13.285</v>
      </c>
      <c r="CC199" s="120">
        <f>(CC198+CC200)/2</f>
        <v>13.5725</v>
      </c>
      <c r="CD199" s="120">
        <f>(CC199+CE199)/2</f>
        <v>13.908999999999999</v>
      </c>
      <c r="CE199" s="120">
        <f>(CE198+CE200)/2</f>
        <v>14.2455</v>
      </c>
      <c r="CF199" s="120">
        <f>(CE199+CG199)/2</f>
        <v>14.5625</v>
      </c>
      <c r="CG199" s="120">
        <f>(CG198+CG200)/2</f>
        <v>14.8795</v>
      </c>
      <c r="CH199" s="120">
        <f>(CG199+CI199)/2</f>
        <v>15.175750000000001</v>
      </c>
      <c r="CI199" s="120">
        <f>(CI198+CI200)/2</f>
        <v>15.472000000000001</v>
      </c>
      <c r="CJ199" s="120">
        <f>(CI199+CK199)/2</f>
        <v>15.784500000000001</v>
      </c>
      <c r="CK199" s="120">
        <f>(CK198+CK200)/2</f>
        <v>16.097000000000001</v>
      </c>
      <c r="CL199" s="120">
        <f>(CK199+CM199)/2</f>
        <v>16.3795</v>
      </c>
      <c r="CM199" s="120">
        <f>(CM198+CM200)/2</f>
        <v>16.661999999999999</v>
      </c>
      <c r="CN199" s="120">
        <f>(CM199+CO199)/2</f>
        <v>17.003250000000001</v>
      </c>
      <c r="CO199" s="120">
        <f>(CO198+CO200)/2</f>
        <v>17.3445</v>
      </c>
      <c r="CP199" s="120">
        <f>(CO199+CQ199)/2</f>
        <v>17.622500000000002</v>
      </c>
      <c r="CQ199" s="120">
        <f>(CQ198+CQ200)/2</f>
        <v>17.900500000000001</v>
      </c>
      <c r="CR199" s="120">
        <f>(CQ199+CS199)/2</f>
        <v>18.217500000000001</v>
      </c>
      <c r="CS199" s="120">
        <f>(CS198+CS200)/2</f>
        <v>18.534500000000001</v>
      </c>
      <c r="CT199" s="120">
        <f>(CS199+CU199)/2</f>
        <v>18.812750000000001</v>
      </c>
      <c r="CU199" s="120">
        <f>(CU198+CU200)/2</f>
        <v>19.091000000000001</v>
      </c>
      <c r="CV199" s="120">
        <f>(CU199+CW199)/2</f>
        <v>19.378500000000003</v>
      </c>
      <c r="CW199" s="120">
        <f>(CW198+CW200)/2</f>
        <v>19.666</v>
      </c>
      <c r="CX199" s="120">
        <f>(CW199+CY199)/2</f>
        <v>19.973500000000001</v>
      </c>
      <c r="CY199" s="120">
        <f>(CY198+CY200)/2</f>
        <v>20.280999999999999</v>
      </c>
      <c r="CZ199" s="120">
        <f>(CY199+DA199)/2</f>
        <v>20.592749999999999</v>
      </c>
      <c r="DA199" s="120">
        <f>(DA198+DA200)/2</f>
        <v>20.904499999999999</v>
      </c>
      <c r="DB199" s="120">
        <f>(DA199+DC199)/2</f>
        <v>21.17625</v>
      </c>
      <c r="DC199" s="120">
        <f>(DC198+DC200)/2</f>
        <v>21.448</v>
      </c>
      <c r="DD199" s="120">
        <f>(DC199+DE199)/2</f>
        <v>21.731249999999999</v>
      </c>
      <c r="DE199" s="120">
        <f>(DE198+DE200)/2</f>
        <v>22.014499999999998</v>
      </c>
      <c r="DF199" s="120">
        <f>(DE199+DG199)/2</f>
        <v>22.297249999999998</v>
      </c>
      <c r="DG199" s="122">
        <f>(DG198+DG200)/2</f>
        <v>22.58</v>
      </c>
    </row>
    <row r="200" spans="1:111" ht="15" customHeight="1" x14ac:dyDescent="0.2">
      <c r="BB200" s="28">
        <v>8</v>
      </c>
      <c r="BC200" s="121">
        <v>4.3769999999999998</v>
      </c>
      <c r="BD200" s="121">
        <v>4.9145000000000003</v>
      </c>
      <c r="BE200" s="121">
        <v>5.452</v>
      </c>
      <c r="BF200" s="121">
        <f t="array" ref="BF200:BF252">TRANSPOSE(BG199:DG199)</f>
        <v>5.9205000000000005</v>
      </c>
      <c r="BG200" s="158">
        <v>6.3890000000000002</v>
      </c>
      <c r="BH200" s="120">
        <f>(BI200+BG200)/2</f>
        <v>6.8090000000000002</v>
      </c>
      <c r="BI200" s="158">
        <v>7.2290000000000001</v>
      </c>
      <c r="BJ200" s="120">
        <f>(BK200+BI200)/2</f>
        <v>7.6389999999999993</v>
      </c>
      <c r="BK200" s="158">
        <v>8.0489999999999995</v>
      </c>
      <c r="BL200" s="120">
        <f>(BM200+BK200)/2</f>
        <v>8.468</v>
      </c>
      <c r="BM200" s="158">
        <v>8.8870000000000005</v>
      </c>
      <c r="BN200" s="120">
        <f>(BO200+BM200)/2</f>
        <v>9.2614999999999998</v>
      </c>
      <c r="BO200" s="158">
        <v>9.6359999999999992</v>
      </c>
      <c r="BP200" s="120">
        <f>(BQ200+BO200)/2</f>
        <v>10.055499999999999</v>
      </c>
      <c r="BQ200" s="158">
        <v>10.475</v>
      </c>
      <c r="BR200" s="120">
        <f>(BS200+BQ200)/2</f>
        <v>10.827</v>
      </c>
      <c r="BS200" s="158">
        <v>11.179</v>
      </c>
      <c r="BT200" s="120">
        <f>(BU200+BS200)/2</f>
        <v>11.54</v>
      </c>
      <c r="BU200" s="158">
        <v>11.901</v>
      </c>
      <c r="BV200" s="120">
        <f>(BW200+BU200)/2</f>
        <v>12.253</v>
      </c>
      <c r="BW200" s="158">
        <v>12.605</v>
      </c>
      <c r="BX200" s="120">
        <f>(BY200+BW200)/2</f>
        <v>12.9665</v>
      </c>
      <c r="BY200" s="158">
        <v>13.327999999999999</v>
      </c>
      <c r="BZ200" s="120">
        <f>(CA200+BY200)/2</f>
        <v>13.679500000000001</v>
      </c>
      <c r="CA200" s="158">
        <v>14.031000000000001</v>
      </c>
      <c r="CB200" s="120">
        <f>(CC200+CA200)/2</f>
        <v>14.334</v>
      </c>
      <c r="CC200" s="158">
        <v>14.637</v>
      </c>
      <c r="CD200" s="120">
        <f>(CE200+CC200)/2</f>
        <v>14.9885</v>
      </c>
      <c r="CE200" s="158">
        <v>15.34</v>
      </c>
      <c r="CF200" s="120">
        <f>(CG200+CE200)/2</f>
        <v>15.701499999999999</v>
      </c>
      <c r="CG200" s="158">
        <v>16.062999999999999</v>
      </c>
      <c r="CH200" s="120">
        <f>(CI200+CG200)/2</f>
        <v>16.356000000000002</v>
      </c>
      <c r="CI200" s="158">
        <v>16.649000000000001</v>
      </c>
      <c r="CJ200" s="120">
        <f>(CK200+CI200)/2</f>
        <v>17.011000000000003</v>
      </c>
      <c r="CK200" s="158">
        <v>17.373000000000001</v>
      </c>
      <c r="CL200" s="120">
        <f>(CM200+CK200)/2</f>
        <v>17.666</v>
      </c>
      <c r="CM200" s="158">
        <v>17.959</v>
      </c>
      <c r="CN200" s="120">
        <f>(CO200+CM200)/2</f>
        <v>18.32</v>
      </c>
      <c r="CO200" s="158">
        <v>18.681000000000001</v>
      </c>
      <c r="CP200" s="120">
        <f>(CQ200+CO200)/2</f>
        <v>18.974499999999999</v>
      </c>
      <c r="CQ200" s="158">
        <v>19.268000000000001</v>
      </c>
      <c r="CR200" s="120">
        <f>(CS200+CQ200)/2</f>
        <v>19.651499999999999</v>
      </c>
      <c r="CS200" s="158">
        <v>20.035</v>
      </c>
      <c r="CT200" s="120">
        <f>(CU200+CS200)/2</f>
        <v>20.328499999999998</v>
      </c>
      <c r="CU200" s="158">
        <v>20.622</v>
      </c>
      <c r="CV200" s="120">
        <f>(CW200+CU200)/2</f>
        <v>20.924500000000002</v>
      </c>
      <c r="CW200" s="158">
        <v>21.227</v>
      </c>
      <c r="CX200" s="120">
        <f>(CY200+CW200)/2</f>
        <v>21.520499999999998</v>
      </c>
      <c r="CY200" s="158">
        <v>21.814</v>
      </c>
      <c r="CZ200" s="120">
        <f>(DA200+CY200)/2</f>
        <v>22.175000000000001</v>
      </c>
      <c r="DA200" s="158">
        <v>22.536000000000001</v>
      </c>
      <c r="DB200" s="120">
        <f>(DC200+DA200)/2</f>
        <v>22.829000000000001</v>
      </c>
      <c r="DC200" s="158">
        <v>23.122</v>
      </c>
      <c r="DD200" s="120">
        <f>(DE200+DC200)/2</f>
        <v>23.4255</v>
      </c>
      <c r="DE200" s="158">
        <v>23.728999999999999</v>
      </c>
      <c r="DF200" s="120">
        <f>(DG200+DE200)/2</f>
        <v>24.021999999999998</v>
      </c>
      <c r="DG200" s="159">
        <v>24.315000000000001</v>
      </c>
    </row>
    <row r="201" spans="1:111" ht="15" customHeight="1" x14ac:dyDescent="0.2">
      <c r="BB201" s="28">
        <v>9</v>
      </c>
      <c r="BC201" s="121">
        <v>4.7264999999999997</v>
      </c>
      <c r="BD201" s="121">
        <v>5.2789999999999999</v>
      </c>
      <c r="BE201" s="121">
        <v>5.8315000000000001</v>
      </c>
      <c r="BF201" s="121">
        <v>6.3202500000000006</v>
      </c>
      <c r="BG201" s="121">
        <f t="array" ref="BG201:BG252">TRANSPOSE(BH200:DG200)</f>
        <v>6.8090000000000002</v>
      </c>
      <c r="BH201" s="120">
        <f>(BG201+BI201)/2</f>
        <v>7.2792499999999993</v>
      </c>
      <c r="BI201" s="120">
        <f>(BI200+BI202)/2</f>
        <v>7.7494999999999994</v>
      </c>
      <c r="BJ201" s="120">
        <f>(BI201+BK201)/2</f>
        <v>8.1797499999999985</v>
      </c>
      <c r="BK201" s="120">
        <f>(BK200+BK202)/2</f>
        <v>8.61</v>
      </c>
      <c r="BL201" s="120">
        <f>(BK201+BM201)/2</f>
        <v>9.0397499999999997</v>
      </c>
      <c r="BM201" s="120">
        <f>(BM200+BM202)/2</f>
        <v>9.4695</v>
      </c>
      <c r="BN201" s="120">
        <f>(BM201+BO201)/2</f>
        <v>9.8930000000000007</v>
      </c>
      <c r="BO201" s="120">
        <f>(BO200+BO202)/2</f>
        <v>10.3165</v>
      </c>
      <c r="BP201" s="120">
        <f>(BO201+BQ201)/2</f>
        <v>10.722</v>
      </c>
      <c r="BQ201" s="120">
        <f>(BQ200+BQ202)/2</f>
        <v>11.1275</v>
      </c>
      <c r="BR201" s="120">
        <f>(BQ201+BS201)/2</f>
        <v>11.52375</v>
      </c>
      <c r="BS201" s="120">
        <f>(BS200+BS202)/2</f>
        <v>11.92</v>
      </c>
      <c r="BT201" s="120">
        <f>(BS201+BU201)/2</f>
        <v>12.307500000000001</v>
      </c>
      <c r="BU201" s="120">
        <f>(BU200+BU202)/2</f>
        <v>12.695</v>
      </c>
      <c r="BV201" s="120">
        <f>(BU201+BW201)/2</f>
        <v>13.067</v>
      </c>
      <c r="BW201" s="120">
        <f>(BW200+BW202)/2</f>
        <v>13.439</v>
      </c>
      <c r="BX201" s="120">
        <f>(BW201+BY201)/2</f>
        <v>13.84</v>
      </c>
      <c r="BY201" s="120">
        <f>(BY200+BY202)/2</f>
        <v>14.241</v>
      </c>
      <c r="BZ201" s="120">
        <f>(BY201+CA201)/2</f>
        <v>14.6235</v>
      </c>
      <c r="CA201" s="120">
        <f>(CA200+CA202)/2</f>
        <v>15.006</v>
      </c>
      <c r="CB201" s="120">
        <f>(CA201+CC201)/2</f>
        <v>15.324249999999999</v>
      </c>
      <c r="CC201" s="120">
        <f>(CC200+CC202)/2</f>
        <v>15.6425</v>
      </c>
      <c r="CD201" s="120">
        <f>(CC201+CE201)/2</f>
        <v>16.009499999999999</v>
      </c>
      <c r="CE201" s="120">
        <f>(CE200+CE202)/2</f>
        <v>16.3765</v>
      </c>
      <c r="CF201" s="120">
        <f>(CE201+CG201)/2</f>
        <v>16.763999999999999</v>
      </c>
      <c r="CG201" s="120">
        <f>(CG200+CG202)/2</f>
        <v>17.151499999999999</v>
      </c>
      <c r="CH201" s="120">
        <f>(CG201+CI201)/2</f>
        <v>17.494</v>
      </c>
      <c r="CI201" s="120">
        <f>(CI200+CI202)/2</f>
        <v>17.836500000000001</v>
      </c>
      <c r="CJ201" s="120">
        <f>(CI201+CK201)/2</f>
        <v>18.208500000000001</v>
      </c>
      <c r="CK201" s="120">
        <f>(CK200+CK202)/2</f>
        <v>18.580500000000001</v>
      </c>
      <c r="CL201" s="120">
        <f>(CK201+CM201)/2</f>
        <v>18.90475</v>
      </c>
      <c r="CM201" s="120">
        <f>(CM200+CM202)/2</f>
        <v>19.228999999999999</v>
      </c>
      <c r="CN201" s="120">
        <f>(CM201+CO201)/2</f>
        <v>19.6005</v>
      </c>
      <c r="CO201" s="120">
        <f>(CO200+CO202)/2</f>
        <v>19.972000000000001</v>
      </c>
      <c r="CP201" s="120">
        <f>(CO201+CQ201)/2</f>
        <v>20.285250000000001</v>
      </c>
      <c r="CQ201" s="120">
        <f>(CQ200+CQ202)/2</f>
        <v>20.598500000000001</v>
      </c>
      <c r="CR201" s="120">
        <f>(CQ201+CS201)/2</f>
        <v>20.997500000000002</v>
      </c>
      <c r="CS201" s="120">
        <f>(CS200+CS202)/2</f>
        <v>21.3965</v>
      </c>
      <c r="CT201" s="120">
        <f>(CS201+CU201)/2</f>
        <v>21.704999999999998</v>
      </c>
      <c r="CU201" s="120">
        <f>(CU200+CU202)/2</f>
        <v>22.013500000000001</v>
      </c>
      <c r="CV201" s="120">
        <f>(CU201+CW201)/2</f>
        <v>22.360500000000002</v>
      </c>
      <c r="CW201" s="120">
        <f>(CW200+CW202)/2</f>
        <v>22.7075</v>
      </c>
      <c r="CX201" s="120">
        <f>(CW201+CY201)/2</f>
        <v>23.031750000000002</v>
      </c>
      <c r="CY201" s="120">
        <f>(CY200+CY202)/2</f>
        <v>23.356000000000002</v>
      </c>
      <c r="CZ201" s="120">
        <f>(CY201+DA201)/2</f>
        <v>23.728000000000002</v>
      </c>
      <c r="DA201" s="120">
        <f>(DA200+DA202)/2</f>
        <v>24.1</v>
      </c>
      <c r="DB201" s="120">
        <f>(DA201+DC201)/2</f>
        <v>24.413</v>
      </c>
      <c r="DC201" s="120">
        <f>(DC200+DC202)/2</f>
        <v>24.725999999999999</v>
      </c>
      <c r="DD201" s="120">
        <f>(DC201+DE201)/2</f>
        <v>25.055250000000001</v>
      </c>
      <c r="DE201" s="120">
        <f>(DE200+DE202)/2</f>
        <v>25.384499999999999</v>
      </c>
      <c r="DF201" s="120">
        <f>(DE201+DG201)/2</f>
        <v>25.722000000000001</v>
      </c>
      <c r="DG201" s="122">
        <f>(DG200+DG202)/2</f>
        <v>26.0595</v>
      </c>
    </row>
    <row r="202" spans="1:111" ht="15" customHeight="1" x14ac:dyDescent="0.2">
      <c r="BB202" s="28">
        <v>10</v>
      </c>
      <c r="BC202" s="121">
        <v>5.0759999999999996</v>
      </c>
      <c r="BD202" s="121">
        <v>5.6434999999999995</v>
      </c>
      <c r="BE202" s="121">
        <v>6.2110000000000003</v>
      </c>
      <c r="BF202" s="121">
        <v>6.7200000000000006</v>
      </c>
      <c r="BG202" s="121">
        <v>7.2290000000000001</v>
      </c>
      <c r="BH202" s="121">
        <f t="array" ref="BH202:BH252">TRANSPOSE(BI201:DG201)</f>
        <v>7.7494999999999994</v>
      </c>
      <c r="BI202" s="158">
        <v>8.27</v>
      </c>
      <c r="BJ202" s="120">
        <f>(BK202+BI202)/2</f>
        <v>8.7204999999999995</v>
      </c>
      <c r="BK202" s="158">
        <v>9.1709999999999994</v>
      </c>
      <c r="BL202" s="120">
        <f>(BM202+BK202)/2</f>
        <v>9.6114999999999995</v>
      </c>
      <c r="BM202" s="158">
        <v>10.052</v>
      </c>
      <c r="BN202" s="120">
        <f>(BO202+BM202)/2</f>
        <v>10.5245</v>
      </c>
      <c r="BO202" s="158">
        <v>10.997</v>
      </c>
      <c r="BP202" s="120">
        <f>(BQ202+BO202)/2</f>
        <v>11.388500000000001</v>
      </c>
      <c r="BQ202" s="158">
        <v>11.78</v>
      </c>
      <c r="BR202" s="120">
        <f>(BS202+BQ202)/2</f>
        <v>12.220499999999999</v>
      </c>
      <c r="BS202" s="158">
        <v>12.661</v>
      </c>
      <c r="BT202" s="120">
        <f>(BU202+BS202)/2</f>
        <v>13.074999999999999</v>
      </c>
      <c r="BU202" s="158">
        <v>13.489000000000001</v>
      </c>
      <c r="BV202" s="120">
        <f>(BW202+BU202)/2</f>
        <v>13.881</v>
      </c>
      <c r="BW202" s="158">
        <v>14.273</v>
      </c>
      <c r="BX202" s="120">
        <f>(BY202+BW202)/2</f>
        <v>14.7135</v>
      </c>
      <c r="BY202" s="158">
        <v>15.154</v>
      </c>
      <c r="BZ202" s="120">
        <f>(CA202+BY202)/2</f>
        <v>15.567499999999999</v>
      </c>
      <c r="CA202" s="158">
        <v>15.981</v>
      </c>
      <c r="CB202" s="120">
        <f>(CC202+CA202)/2</f>
        <v>16.314499999999999</v>
      </c>
      <c r="CC202" s="158">
        <v>16.648</v>
      </c>
      <c r="CD202" s="120">
        <f>(CE202+CC202)/2</f>
        <v>17.0305</v>
      </c>
      <c r="CE202" s="158">
        <v>17.413</v>
      </c>
      <c r="CF202" s="120">
        <f>(CG202+CE202)/2</f>
        <v>17.826499999999999</v>
      </c>
      <c r="CG202" s="158">
        <v>18.239999999999998</v>
      </c>
      <c r="CH202" s="120">
        <f>(CI202+CG202)/2</f>
        <v>18.631999999999998</v>
      </c>
      <c r="CI202" s="158">
        <v>19.024000000000001</v>
      </c>
      <c r="CJ202" s="120">
        <f>(CK202+CI202)/2</f>
        <v>19.405999999999999</v>
      </c>
      <c r="CK202" s="158">
        <v>19.788</v>
      </c>
      <c r="CL202" s="120">
        <f>(CM202+CK202)/2</f>
        <v>20.1435</v>
      </c>
      <c r="CM202" s="158">
        <v>20.498999999999999</v>
      </c>
      <c r="CN202" s="120">
        <f>(CO202+CM202)/2</f>
        <v>20.881</v>
      </c>
      <c r="CO202" s="158">
        <v>21.263000000000002</v>
      </c>
      <c r="CP202" s="120">
        <f>(CQ202+CO202)/2</f>
        <v>21.596</v>
      </c>
      <c r="CQ202" s="158">
        <v>21.928999999999998</v>
      </c>
      <c r="CR202" s="120">
        <f>(CS202+CQ202)/2</f>
        <v>22.343499999999999</v>
      </c>
      <c r="CS202" s="158">
        <v>22.757999999999999</v>
      </c>
      <c r="CT202" s="120">
        <f>(CU202+CS202)/2</f>
        <v>23.081499999999998</v>
      </c>
      <c r="CU202" s="158">
        <v>23.405000000000001</v>
      </c>
      <c r="CV202" s="120">
        <f>(CW202+CU202)/2</f>
        <v>23.796500000000002</v>
      </c>
      <c r="CW202" s="158">
        <v>24.187999999999999</v>
      </c>
      <c r="CX202" s="120">
        <f>(CY202+CW202)/2</f>
        <v>24.542999999999999</v>
      </c>
      <c r="CY202" s="158">
        <v>24.898</v>
      </c>
      <c r="CZ202" s="120">
        <f>(DA202+CY202)/2</f>
        <v>25.280999999999999</v>
      </c>
      <c r="DA202" s="158">
        <v>25.664000000000001</v>
      </c>
      <c r="DB202" s="120">
        <f>(DC202+DA202)/2</f>
        <v>25.997</v>
      </c>
      <c r="DC202" s="158">
        <v>26.33</v>
      </c>
      <c r="DD202" s="120">
        <f>(DE202+DC202)/2</f>
        <v>26.684999999999999</v>
      </c>
      <c r="DE202" s="158">
        <v>27.04</v>
      </c>
      <c r="DF202" s="120">
        <f>(DG202+DE202)/2</f>
        <v>27.421999999999997</v>
      </c>
      <c r="DG202" s="159">
        <v>27.803999999999998</v>
      </c>
    </row>
    <row r="203" spans="1:111" ht="15" customHeight="1" x14ac:dyDescent="0.2">
      <c r="BB203" s="28">
        <v>11</v>
      </c>
      <c r="BC203" s="121">
        <v>5.3550000000000004</v>
      </c>
      <c r="BD203" s="121">
        <v>5.9437499999999996</v>
      </c>
      <c r="BE203" s="121">
        <v>6.5325000000000006</v>
      </c>
      <c r="BF203" s="121">
        <v>7.08575</v>
      </c>
      <c r="BG203" s="121">
        <v>7.6389999999999993</v>
      </c>
      <c r="BH203" s="121">
        <v>8.1797499999999985</v>
      </c>
      <c r="BI203" s="121">
        <f t="array" ref="BI203:BI252">TRANSPOSE(BJ202:DG202)</f>
        <v>8.7204999999999995</v>
      </c>
      <c r="BJ203" s="120">
        <f>(BI203+BK203)/2</f>
        <v>9.2262500000000003</v>
      </c>
      <c r="BK203" s="120">
        <f>(BK202+BK204)/2</f>
        <v>9.7319999999999993</v>
      </c>
      <c r="BL203" s="120">
        <f>(BK203+BM203)/2</f>
        <v>10.187749999999999</v>
      </c>
      <c r="BM203" s="120">
        <f>(BM202+BM204)/2</f>
        <v>10.6435</v>
      </c>
      <c r="BN203" s="120">
        <f>(BM203+BO203)/2</f>
        <v>11.131</v>
      </c>
      <c r="BO203" s="120">
        <f>(BO202+BO204)/2</f>
        <v>11.618500000000001</v>
      </c>
      <c r="BP203" s="120">
        <f>(BO203+BQ203)/2</f>
        <v>12.05475</v>
      </c>
      <c r="BQ203" s="120">
        <f>(BQ202+BQ204)/2</f>
        <v>12.491</v>
      </c>
      <c r="BR203" s="120">
        <f>(BQ203+BS203)/2</f>
        <v>12.933499999999999</v>
      </c>
      <c r="BS203" s="120">
        <f>(BS202+BS204)/2</f>
        <v>13.375999999999999</v>
      </c>
      <c r="BT203" s="120">
        <f>(BS203+BU203)/2</f>
        <v>13.829499999999999</v>
      </c>
      <c r="BU203" s="120">
        <f>(BU202+BU204)/2</f>
        <v>14.283000000000001</v>
      </c>
      <c r="BV203" s="120">
        <f>(BU203+BW203)/2</f>
        <v>14.690000000000001</v>
      </c>
      <c r="BW203" s="120">
        <f>(BW202+BW204)/2</f>
        <v>15.097</v>
      </c>
      <c r="BX203" s="120">
        <f>(BW203+BY203)/2</f>
        <v>15.568750000000001</v>
      </c>
      <c r="BY203" s="120">
        <f>(BY202+BY204)/2</f>
        <v>16.040500000000002</v>
      </c>
      <c r="BZ203" s="120">
        <f>(BY203+CA203)/2</f>
        <v>16.45825</v>
      </c>
      <c r="CA203" s="120">
        <f>(CA202+CA204)/2</f>
        <v>16.876000000000001</v>
      </c>
      <c r="CB203" s="120">
        <f>(CA203+CC203)/2</f>
        <v>17.265000000000001</v>
      </c>
      <c r="CC203" s="120">
        <f>(CC202+CC204)/2</f>
        <v>17.654</v>
      </c>
      <c r="CD203" s="120">
        <f>(CC203+CE203)/2</f>
        <v>18.0625</v>
      </c>
      <c r="CE203" s="120">
        <f>(CE202+CE204)/2</f>
        <v>18.471</v>
      </c>
      <c r="CF203" s="120">
        <f>(CE203+CG203)/2</f>
        <v>18.888750000000002</v>
      </c>
      <c r="CG203" s="120">
        <f>(CG202+CG204)/2</f>
        <v>19.3065</v>
      </c>
      <c r="CH203" s="120">
        <f>(CG203+CI203)/2</f>
        <v>19.724499999999999</v>
      </c>
      <c r="CI203" s="120">
        <f>(CI202+CI204)/2</f>
        <v>20.142499999999998</v>
      </c>
      <c r="CJ203" s="120">
        <f>(CI203+CK203)/2</f>
        <v>20.544750000000001</v>
      </c>
      <c r="CK203" s="120">
        <f>(CK202+CK204)/2</f>
        <v>20.947000000000003</v>
      </c>
      <c r="CL203" s="120">
        <f>(CK203+CM203)/2</f>
        <v>21.313000000000002</v>
      </c>
      <c r="CM203" s="120">
        <f>(CM202+CM204)/2</f>
        <v>21.679000000000002</v>
      </c>
      <c r="CN203" s="120">
        <f>(CM203+CO203)/2</f>
        <v>22.092000000000002</v>
      </c>
      <c r="CO203" s="120">
        <f>(CO202+CO204)/2</f>
        <v>22.505000000000003</v>
      </c>
      <c r="CP203" s="120">
        <f>(CO203+CQ203)/2</f>
        <v>22.882750000000001</v>
      </c>
      <c r="CQ203" s="120">
        <f>(CQ202+CQ204)/2</f>
        <v>23.2605</v>
      </c>
      <c r="CR203" s="120">
        <f>(CQ203+CS203)/2</f>
        <v>23.660499999999999</v>
      </c>
      <c r="CS203" s="120">
        <f>(CS202+CS204)/2</f>
        <v>24.060499999999998</v>
      </c>
      <c r="CT203" s="120">
        <f>(CS203+CU203)/2</f>
        <v>24.4285</v>
      </c>
      <c r="CU203" s="120">
        <f>(CU202+CU204)/2</f>
        <v>24.796500000000002</v>
      </c>
      <c r="CV203" s="120">
        <f>(CU203+CW203)/2</f>
        <v>25.21425</v>
      </c>
      <c r="CW203" s="120">
        <f>(CW202+CW204)/2</f>
        <v>25.631999999999998</v>
      </c>
      <c r="CX203" s="120">
        <f>(CW203+CY203)/2</f>
        <v>26.002499999999998</v>
      </c>
      <c r="CY203" s="120">
        <f>(CY202+CY204)/2</f>
        <v>26.372999999999998</v>
      </c>
      <c r="CZ203" s="120">
        <f>(CY203+DA203)/2</f>
        <v>26.775500000000001</v>
      </c>
      <c r="DA203" s="120">
        <f>(DA202+DA204)/2</f>
        <v>27.178000000000001</v>
      </c>
      <c r="DB203" s="120">
        <f>(DA203+DC203)/2</f>
        <v>27.53725</v>
      </c>
      <c r="DC203" s="120">
        <f>(DC202+DC204)/2</f>
        <v>27.8965</v>
      </c>
      <c r="DD203" s="120">
        <f>(DC203+DE203)/2</f>
        <v>28.251249999999999</v>
      </c>
      <c r="DE203" s="120">
        <f>(DE202+DE204)/2</f>
        <v>28.606000000000002</v>
      </c>
      <c r="DF203" s="120">
        <f>(DE203+DG203)/2</f>
        <v>29.018999999999998</v>
      </c>
      <c r="DG203" s="122">
        <f>(DG202+DG204)/2</f>
        <v>29.431999999999999</v>
      </c>
    </row>
    <row r="204" spans="1:111" ht="15" customHeight="1" x14ac:dyDescent="0.2">
      <c r="BB204" s="28">
        <v>12</v>
      </c>
      <c r="BC204" s="121">
        <v>5.6340000000000003</v>
      </c>
      <c r="BD204" s="121">
        <v>6.2439999999999998</v>
      </c>
      <c r="BE204" s="121">
        <v>6.8540000000000001</v>
      </c>
      <c r="BF204" s="121">
        <v>7.4514999999999993</v>
      </c>
      <c r="BG204" s="121">
        <v>8.0489999999999995</v>
      </c>
      <c r="BH204" s="121">
        <v>8.61</v>
      </c>
      <c r="BI204" s="121">
        <v>9.1709999999999994</v>
      </c>
      <c r="BJ204" s="121">
        <f t="array" ref="BJ204:BJ252">TRANSPOSE(BK203:DG203)</f>
        <v>9.7319999999999993</v>
      </c>
      <c r="BK204" s="158">
        <v>10.292999999999999</v>
      </c>
      <c r="BL204" s="120">
        <f>(BM204+BK204)/2</f>
        <v>10.763999999999999</v>
      </c>
      <c r="BM204" s="158">
        <v>11.234999999999999</v>
      </c>
      <c r="BN204" s="120">
        <f>(BO204+BM204)/2</f>
        <v>11.737500000000001</v>
      </c>
      <c r="BO204" s="158">
        <v>12.24</v>
      </c>
      <c r="BP204" s="120">
        <f>(BQ204+BO204)/2</f>
        <v>12.721</v>
      </c>
      <c r="BQ204" s="158">
        <v>13.202</v>
      </c>
      <c r="BR204" s="120">
        <f>(BS204+BQ204)/2</f>
        <v>13.6465</v>
      </c>
      <c r="BS204" s="158">
        <v>14.090999999999999</v>
      </c>
      <c r="BT204" s="120">
        <f>(BU204+BS204)/2</f>
        <v>14.584</v>
      </c>
      <c r="BU204" s="158">
        <v>15.077</v>
      </c>
      <c r="BV204" s="120">
        <f>(BW204+BU204)/2</f>
        <v>15.498999999999999</v>
      </c>
      <c r="BW204" s="158">
        <v>15.920999999999999</v>
      </c>
      <c r="BX204" s="120">
        <f>(BY204+BW204)/2</f>
        <v>16.423999999999999</v>
      </c>
      <c r="BY204" s="158">
        <v>16.927</v>
      </c>
      <c r="BZ204" s="120">
        <f>(CA204+BY204)/2</f>
        <v>17.349</v>
      </c>
      <c r="CA204" s="158">
        <v>17.771000000000001</v>
      </c>
      <c r="CB204" s="120">
        <f>(CC204+CA204)/2</f>
        <v>18.215499999999999</v>
      </c>
      <c r="CC204" s="158">
        <v>18.66</v>
      </c>
      <c r="CD204" s="120">
        <f>(CE204+CC204)/2</f>
        <v>19.0945</v>
      </c>
      <c r="CE204" s="158">
        <v>19.529</v>
      </c>
      <c r="CF204" s="120">
        <f>(CG204+CE204)/2</f>
        <v>19.951000000000001</v>
      </c>
      <c r="CG204" s="158">
        <v>20.373000000000001</v>
      </c>
      <c r="CH204" s="120">
        <f>(CI204+CG204)/2</f>
        <v>20.817</v>
      </c>
      <c r="CI204" s="158">
        <v>21.260999999999999</v>
      </c>
      <c r="CJ204" s="120">
        <f>(CK204+CI204)/2</f>
        <v>21.683500000000002</v>
      </c>
      <c r="CK204" s="158">
        <v>22.106000000000002</v>
      </c>
      <c r="CL204" s="120">
        <f>(CM204+CK204)/2</f>
        <v>22.482500000000002</v>
      </c>
      <c r="CM204" s="158">
        <v>22.859000000000002</v>
      </c>
      <c r="CN204" s="120">
        <f>(CO204+CM204)/2</f>
        <v>23.303000000000001</v>
      </c>
      <c r="CO204" s="158">
        <v>23.747</v>
      </c>
      <c r="CP204" s="120">
        <f>(CQ204+CO204)/2</f>
        <v>24.169499999999999</v>
      </c>
      <c r="CQ204" s="158">
        <v>24.591999999999999</v>
      </c>
      <c r="CR204" s="120">
        <f>(CS204+CQ204)/2</f>
        <v>24.977499999999999</v>
      </c>
      <c r="CS204" s="158">
        <v>25.363</v>
      </c>
      <c r="CT204" s="120">
        <f>(CU204+CS204)/2</f>
        <v>25.775500000000001</v>
      </c>
      <c r="CU204" s="158">
        <v>26.187999999999999</v>
      </c>
      <c r="CV204" s="120">
        <f>(CW204+CU204)/2</f>
        <v>26.631999999999998</v>
      </c>
      <c r="CW204" s="158">
        <v>27.076000000000001</v>
      </c>
      <c r="CX204" s="120">
        <f>(CY204+CW204)/2</f>
        <v>27.462</v>
      </c>
      <c r="CY204" s="158">
        <v>27.847999999999999</v>
      </c>
      <c r="CZ204" s="120">
        <f>(DA204+CY204)/2</f>
        <v>28.27</v>
      </c>
      <c r="DA204" s="158">
        <v>28.692</v>
      </c>
      <c r="DB204" s="120">
        <f>(DC204+DA204)/2</f>
        <v>29.077500000000001</v>
      </c>
      <c r="DC204" s="158">
        <v>29.463000000000001</v>
      </c>
      <c r="DD204" s="120">
        <f>(DE204+DC204)/2</f>
        <v>29.817500000000003</v>
      </c>
      <c r="DE204" s="158">
        <v>30.172000000000001</v>
      </c>
      <c r="DF204" s="120">
        <f>(DG204+DE204)/2</f>
        <v>30.616</v>
      </c>
      <c r="DG204" s="159">
        <v>31.06</v>
      </c>
    </row>
    <row r="205" spans="1:111" ht="15" customHeight="1" x14ac:dyDescent="0.2">
      <c r="BB205" s="28">
        <v>13</v>
      </c>
      <c r="BC205" s="121">
        <v>5.9250000000000007</v>
      </c>
      <c r="BD205" s="121">
        <v>6.5842499999999999</v>
      </c>
      <c r="BE205" s="121">
        <v>7.2435</v>
      </c>
      <c r="BF205" s="121">
        <v>7.8557499999999996</v>
      </c>
      <c r="BG205" s="121">
        <v>8.468</v>
      </c>
      <c r="BH205" s="121">
        <v>9.0397499999999997</v>
      </c>
      <c r="BI205" s="121">
        <v>9.6114999999999995</v>
      </c>
      <c r="BJ205" s="121">
        <v>10.187749999999999</v>
      </c>
      <c r="BK205" s="121">
        <f t="array" ref="BK205:BK252">TRANSPOSE(BL204:DG204)</f>
        <v>10.763999999999999</v>
      </c>
      <c r="BL205" s="120">
        <f>(BK205+BM205)/2</f>
        <v>11.266</v>
      </c>
      <c r="BM205" s="120">
        <f>(BM204+BM206)/2</f>
        <v>11.768000000000001</v>
      </c>
      <c r="BN205" s="120">
        <f>(BM205+BO205)/2</f>
        <v>12.315250000000001</v>
      </c>
      <c r="BO205" s="120">
        <f>(BO204+BO206)/2</f>
        <v>12.862500000000001</v>
      </c>
      <c r="BP205" s="120">
        <f>(BO205+BQ205)/2</f>
        <v>13.3695</v>
      </c>
      <c r="BQ205" s="120">
        <f>(BQ204+BQ206)/2</f>
        <v>13.8765</v>
      </c>
      <c r="BR205" s="120">
        <f>(BQ205+BS205)/2</f>
        <v>14.36525</v>
      </c>
      <c r="BS205" s="120">
        <f>(BS204+BS206)/2</f>
        <v>14.853999999999999</v>
      </c>
      <c r="BT205" s="120">
        <f>(BS205+BU205)/2</f>
        <v>15.337999999999999</v>
      </c>
      <c r="BU205" s="120">
        <f>(BU204+BU206)/2</f>
        <v>15.821999999999999</v>
      </c>
      <c r="BV205" s="120">
        <f>(BU205+BW205)/2</f>
        <v>16.288499999999999</v>
      </c>
      <c r="BW205" s="120">
        <f>(BW204+BW206)/2</f>
        <v>16.754999999999999</v>
      </c>
      <c r="BX205" s="120">
        <f>(BW205+BY205)/2</f>
        <v>17.244</v>
      </c>
      <c r="BY205" s="120">
        <f>(BY204+BY206)/2</f>
        <v>17.733000000000001</v>
      </c>
      <c r="BZ205" s="120">
        <f>(BY205+CA205)/2</f>
        <v>18.210500000000003</v>
      </c>
      <c r="CA205" s="120">
        <f>(CA204+CA206)/2</f>
        <v>18.688000000000002</v>
      </c>
      <c r="CB205" s="120">
        <f>(CA205+CC205)/2</f>
        <v>19.142749999999999</v>
      </c>
      <c r="CC205" s="120">
        <f>(CC204+CC206)/2</f>
        <v>19.5975</v>
      </c>
      <c r="CD205" s="120">
        <f>(CC205+CE205)/2</f>
        <v>20.052</v>
      </c>
      <c r="CE205" s="120">
        <f>(CE204+CE206)/2</f>
        <v>20.506500000000003</v>
      </c>
      <c r="CF205" s="120">
        <f>(CE205+CG205)/2</f>
        <v>20.954750000000001</v>
      </c>
      <c r="CG205" s="120">
        <f>(CG204+CG206)/2</f>
        <v>21.402999999999999</v>
      </c>
      <c r="CH205" s="120">
        <f>(CG205+CI205)/2</f>
        <v>21.86225</v>
      </c>
      <c r="CI205" s="120">
        <f>(CI204+CI206)/2</f>
        <v>22.3215</v>
      </c>
      <c r="CJ205" s="120">
        <f>(CI205+CK205)/2</f>
        <v>22.759250000000002</v>
      </c>
      <c r="CK205" s="120">
        <f>(CK204+CK206)/2</f>
        <v>23.197000000000003</v>
      </c>
      <c r="CL205" s="120">
        <f>(CK205+CM205)/2</f>
        <v>23.622500000000002</v>
      </c>
      <c r="CM205" s="120">
        <f>(CM204+CM206)/2</f>
        <v>24.048000000000002</v>
      </c>
      <c r="CN205" s="120">
        <f>(CM205+CO205)/2</f>
        <v>24.507249999999999</v>
      </c>
      <c r="CO205" s="120">
        <f>(CO204+CO206)/2</f>
        <v>24.9665</v>
      </c>
      <c r="CP205" s="120">
        <f>(CO205+CQ205)/2</f>
        <v>25.41525</v>
      </c>
      <c r="CQ205" s="120">
        <f>(CQ204+CQ206)/2</f>
        <v>25.863999999999997</v>
      </c>
      <c r="CR205" s="120">
        <f>(CQ205+CS205)/2</f>
        <v>26.264749999999999</v>
      </c>
      <c r="CS205" s="120">
        <f>(CS204+CS206)/2</f>
        <v>26.665500000000002</v>
      </c>
      <c r="CT205" s="120">
        <f>(CS205+CU205)/2</f>
        <v>27.109000000000002</v>
      </c>
      <c r="CU205" s="120">
        <f>(CU204+CU206)/2</f>
        <v>27.552500000000002</v>
      </c>
      <c r="CV205" s="120">
        <f>(CU205+CW205)/2</f>
        <v>28.007249999999999</v>
      </c>
      <c r="CW205" s="120">
        <f>(CW204+CW206)/2</f>
        <v>28.462</v>
      </c>
      <c r="CX205" s="120">
        <f>(CW205+CY205)/2</f>
        <v>28.863</v>
      </c>
      <c r="CY205" s="120">
        <f>(CY204+CY206)/2</f>
        <v>29.263999999999999</v>
      </c>
      <c r="CZ205" s="120">
        <f>(CY205+DA205)/2</f>
        <v>29.701250000000002</v>
      </c>
      <c r="DA205" s="120">
        <f>(DA204+DA206)/2</f>
        <v>30.138500000000001</v>
      </c>
      <c r="DB205" s="120">
        <f>(DA205+DC205)/2</f>
        <v>30.568750000000001</v>
      </c>
      <c r="DC205" s="120">
        <f>(DC204+DC206)/2</f>
        <v>30.998999999999999</v>
      </c>
      <c r="DD205" s="120">
        <f>(DC205+DE205)/2</f>
        <v>31.384250000000002</v>
      </c>
      <c r="DE205" s="120">
        <f>(DE204+DE206)/2</f>
        <v>31.769500000000001</v>
      </c>
      <c r="DF205" s="120">
        <f>(DE205+DG205)/2</f>
        <v>32.228499999999997</v>
      </c>
      <c r="DG205" s="122">
        <f>(DG204+DG206)/2</f>
        <v>32.6875</v>
      </c>
    </row>
    <row r="206" spans="1:111" ht="15" customHeight="1" x14ac:dyDescent="0.2">
      <c r="BB206" s="28">
        <v>14</v>
      </c>
      <c r="BC206" s="121">
        <v>6.2160000000000002</v>
      </c>
      <c r="BD206" s="121">
        <v>6.9245000000000001</v>
      </c>
      <c r="BE206" s="121">
        <v>7.633</v>
      </c>
      <c r="BF206" s="121">
        <v>8.26</v>
      </c>
      <c r="BG206" s="121">
        <v>8.8870000000000005</v>
      </c>
      <c r="BH206" s="121">
        <v>9.4695</v>
      </c>
      <c r="BI206" s="121">
        <v>10.052</v>
      </c>
      <c r="BJ206" s="121">
        <v>10.6435</v>
      </c>
      <c r="BK206" s="121">
        <v>11.234999999999999</v>
      </c>
      <c r="BL206" s="121">
        <f t="array" ref="BL206:BL252">TRANSPOSE(BM205:DG205)</f>
        <v>11.768000000000001</v>
      </c>
      <c r="BM206" s="158">
        <v>12.301</v>
      </c>
      <c r="BN206" s="120">
        <f>(BO206+BM206)/2</f>
        <v>12.893000000000001</v>
      </c>
      <c r="BO206" s="158">
        <v>13.484999999999999</v>
      </c>
      <c r="BP206" s="120">
        <f>(BQ206+BO206)/2</f>
        <v>14.018000000000001</v>
      </c>
      <c r="BQ206" s="158">
        <v>14.551</v>
      </c>
      <c r="BR206" s="120">
        <f>(BS206+BQ206)/2</f>
        <v>15.084</v>
      </c>
      <c r="BS206" s="158">
        <v>15.617000000000001</v>
      </c>
      <c r="BT206" s="120">
        <f>(BU206+BS206)/2</f>
        <v>16.091999999999999</v>
      </c>
      <c r="BU206" s="158">
        <v>16.567</v>
      </c>
      <c r="BV206" s="120">
        <f>(BW206+BU206)/2</f>
        <v>17.077999999999999</v>
      </c>
      <c r="BW206" s="158">
        <v>17.588999999999999</v>
      </c>
      <c r="BX206" s="120">
        <f>(BY206+BW206)/2</f>
        <v>18.064</v>
      </c>
      <c r="BY206" s="158">
        <v>18.539000000000001</v>
      </c>
      <c r="BZ206" s="120">
        <f>(CA206+BY206)/2</f>
        <v>19.072000000000003</v>
      </c>
      <c r="CA206" s="158">
        <v>19.605</v>
      </c>
      <c r="CB206" s="120">
        <f>(CC206+CA206)/2</f>
        <v>20.07</v>
      </c>
      <c r="CC206" s="158">
        <v>20.535</v>
      </c>
      <c r="CD206" s="120">
        <f>(CE206+CC206)/2</f>
        <v>21.009500000000003</v>
      </c>
      <c r="CE206" s="158">
        <v>21.484000000000002</v>
      </c>
      <c r="CF206" s="120">
        <f>(CG206+CE206)/2</f>
        <v>21.958500000000001</v>
      </c>
      <c r="CG206" s="158">
        <v>22.433</v>
      </c>
      <c r="CH206" s="120">
        <f>(CI206+CG206)/2</f>
        <v>22.907499999999999</v>
      </c>
      <c r="CI206" s="158">
        <v>23.382000000000001</v>
      </c>
      <c r="CJ206" s="120">
        <f>(CK206+CI206)/2</f>
        <v>23.835000000000001</v>
      </c>
      <c r="CK206" s="158">
        <v>24.288</v>
      </c>
      <c r="CL206" s="120">
        <f>(CM206+CK206)/2</f>
        <v>24.762499999999999</v>
      </c>
      <c r="CM206" s="158">
        <v>25.236999999999998</v>
      </c>
      <c r="CN206" s="120">
        <f>(CO206+CM206)/2</f>
        <v>25.711500000000001</v>
      </c>
      <c r="CO206" s="158">
        <v>26.186</v>
      </c>
      <c r="CP206" s="120">
        <f>(CQ206+CO206)/2</f>
        <v>26.661000000000001</v>
      </c>
      <c r="CQ206" s="158">
        <v>27.135999999999999</v>
      </c>
      <c r="CR206" s="120">
        <f>(CS206+CQ206)/2</f>
        <v>27.552</v>
      </c>
      <c r="CS206" s="158">
        <v>27.968</v>
      </c>
      <c r="CT206" s="120">
        <f>(CU206+CS206)/2</f>
        <v>28.442500000000003</v>
      </c>
      <c r="CU206" s="158">
        <v>28.917000000000002</v>
      </c>
      <c r="CV206" s="120">
        <f>(CW206+CU206)/2</f>
        <v>29.3825</v>
      </c>
      <c r="CW206" s="158">
        <v>29.847999999999999</v>
      </c>
      <c r="CX206" s="120">
        <f>(CY206+CW206)/2</f>
        <v>30.263999999999999</v>
      </c>
      <c r="CY206" s="158">
        <v>30.68</v>
      </c>
      <c r="CZ206" s="120">
        <f>(DA206+CY206)/2</f>
        <v>31.1325</v>
      </c>
      <c r="DA206" s="158">
        <v>31.585000000000001</v>
      </c>
      <c r="DB206" s="120">
        <f>(DC206+DA206)/2</f>
        <v>32.06</v>
      </c>
      <c r="DC206" s="158">
        <v>32.534999999999997</v>
      </c>
      <c r="DD206" s="120">
        <f>(DE206+DC206)/2</f>
        <v>32.950999999999993</v>
      </c>
      <c r="DE206" s="158">
        <v>33.366999999999997</v>
      </c>
      <c r="DF206" s="120">
        <f>(DG206+DE206)/2</f>
        <v>33.840999999999994</v>
      </c>
      <c r="DG206" s="159">
        <v>34.314999999999998</v>
      </c>
    </row>
    <row r="207" spans="1:111" ht="15" customHeight="1" x14ac:dyDescent="0.2">
      <c r="BB207" s="28">
        <v>15</v>
      </c>
      <c r="BC207" s="121">
        <v>6.4845000000000006</v>
      </c>
      <c r="BD207" s="121">
        <v>7.2082499999999996</v>
      </c>
      <c r="BE207" s="121">
        <v>7.9320000000000004</v>
      </c>
      <c r="BF207" s="121">
        <v>8.5967500000000001</v>
      </c>
      <c r="BG207" s="121">
        <v>9.2614999999999998</v>
      </c>
      <c r="BH207" s="121">
        <v>9.8930000000000007</v>
      </c>
      <c r="BI207" s="121">
        <v>10.5245</v>
      </c>
      <c r="BJ207" s="121">
        <v>11.131</v>
      </c>
      <c r="BK207" s="121">
        <v>11.737500000000001</v>
      </c>
      <c r="BL207" s="121">
        <v>12.315250000000001</v>
      </c>
      <c r="BM207" s="121">
        <f t="array" ref="BM207:BM252">TRANSPOSE(BN206:DG206)</f>
        <v>12.893000000000001</v>
      </c>
      <c r="BN207" s="120">
        <f>(BM207+BO207)/2</f>
        <v>13.470750000000001</v>
      </c>
      <c r="BO207" s="120">
        <f>(BO206+BO208)/2</f>
        <v>14.048500000000001</v>
      </c>
      <c r="BP207" s="120">
        <f>(BO207+BQ207)/2</f>
        <v>14.59675</v>
      </c>
      <c r="BQ207" s="120">
        <f>(BQ206+BQ208)/2</f>
        <v>15.145</v>
      </c>
      <c r="BR207" s="120">
        <f>(BQ207+BS207)/2</f>
        <v>15.693250000000001</v>
      </c>
      <c r="BS207" s="120">
        <f>(BS206+BS208)/2</f>
        <v>16.241500000000002</v>
      </c>
      <c r="BT207" s="120">
        <f>(BS207+BU207)/2</f>
        <v>16.760750000000002</v>
      </c>
      <c r="BU207" s="120">
        <f>(BU206+BU208)/2</f>
        <v>17.28</v>
      </c>
      <c r="BV207" s="120">
        <f>(BU207+BW207)/2</f>
        <v>17.828499999999998</v>
      </c>
      <c r="BW207" s="120">
        <f>(BW206+BW208)/2</f>
        <v>18.376999999999999</v>
      </c>
      <c r="BX207" s="120">
        <f>(BW207+BY207)/2</f>
        <v>18.866999999999997</v>
      </c>
      <c r="BY207" s="120">
        <f>(BY206+BY208)/2</f>
        <v>19.356999999999999</v>
      </c>
      <c r="BZ207" s="120">
        <f>(BY207+CA207)/2</f>
        <v>19.905000000000001</v>
      </c>
      <c r="CA207" s="120">
        <f>(CA206+CA208)/2</f>
        <v>20.452999999999999</v>
      </c>
      <c r="CB207" s="120">
        <f>(CA207+CC207)/2</f>
        <v>20.93825</v>
      </c>
      <c r="CC207" s="120">
        <f>(CC206+CC208)/2</f>
        <v>21.423500000000001</v>
      </c>
      <c r="CD207" s="120">
        <f>(CC207+CE207)/2</f>
        <v>21.942500000000003</v>
      </c>
      <c r="CE207" s="120">
        <f>(CE206+CE208)/2</f>
        <v>22.461500000000001</v>
      </c>
      <c r="CF207" s="120">
        <f>(CE207+CG207)/2</f>
        <v>22.951499999999999</v>
      </c>
      <c r="CG207" s="120">
        <f>(CG206+CG208)/2</f>
        <v>23.441499999999998</v>
      </c>
      <c r="CH207" s="120">
        <f>(CG207+CI207)/2</f>
        <v>23.930999999999997</v>
      </c>
      <c r="CI207" s="120">
        <f>(CI206+CI208)/2</f>
        <v>24.420500000000001</v>
      </c>
      <c r="CJ207" s="120">
        <f>(CI207+CK207)/2</f>
        <v>24.910499999999999</v>
      </c>
      <c r="CK207" s="120">
        <f>(CK206+CK208)/2</f>
        <v>25.400500000000001</v>
      </c>
      <c r="CL207" s="120">
        <f>(CK207+CM207)/2</f>
        <v>25.890499999999999</v>
      </c>
      <c r="CM207" s="120">
        <f>(CM206+CM208)/2</f>
        <v>26.380499999999998</v>
      </c>
      <c r="CN207" s="120">
        <f>(CM207+CO207)/2</f>
        <v>26.875</v>
      </c>
      <c r="CO207" s="120">
        <f>(CO206+CO208)/2</f>
        <v>27.369500000000002</v>
      </c>
      <c r="CP207" s="120">
        <f>(CO207+CQ207)/2</f>
        <v>27.859500000000001</v>
      </c>
      <c r="CQ207" s="120">
        <f>(CQ206+CQ208)/2</f>
        <v>28.349499999999999</v>
      </c>
      <c r="CR207" s="120">
        <f>(CQ207+CS207)/2</f>
        <v>28.81</v>
      </c>
      <c r="CS207" s="120">
        <f>(CS206+CS208)/2</f>
        <v>29.270499999999998</v>
      </c>
      <c r="CT207" s="120">
        <f>(CS207+CU207)/2</f>
        <v>29.7605</v>
      </c>
      <c r="CU207" s="120">
        <f>(CU206+CU208)/2</f>
        <v>30.250500000000002</v>
      </c>
      <c r="CV207" s="120">
        <f>(CU207+CW207)/2</f>
        <v>30.706499999999998</v>
      </c>
      <c r="CW207" s="120">
        <f>(CW206+CW208)/2</f>
        <v>31.162499999999998</v>
      </c>
      <c r="CX207" s="120">
        <f>(CW207+CY207)/2</f>
        <v>31.622999999999998</v>
      </c>
      <c r="CY207" s="120">
        <f>(CY206+CY208)/2</f>
        <v>32.083500000000001</v>
      </c>
      <c r="CZ207" s="120">
        <f>(CY207+DA207)/2</f>
        <v>32.573250000000002</v>
      </c>
      <c r="DA207" s="120">
        <f>(DA206+DA208)/2</f>
        <v>33.063000000000002</v>
      </c>
      <c r="DB207" s="120">
        <f>(DA207+DC207)/2</f>
        <v>33.552999999999997</v>
      </c>
      <c r="DC207" s="120">
        <f>(DC206+DC208)/2</f>
        <v>34.042999999999999</v>
      </c>
      <c r="DD207" s="120">
        <f>(DC207+DE207)/2</f>
        <v>34.474249999999998</v>
      </c>
      <c r="DE207" s="120">
        <f>(DE206+DE208)/2</f>
        <v>34.905500000000004</v>
      </c>
      <c r="DF207" s="120">
        <f>(DE207+DG207)/2</f>
        <v>35.395250000000004</v>
      </c>
      <c r="DG207" s="122">
        <f>(DG206+DG208)/2</f>
        <v>35.884999999999998</v>
      </c>
    </row>
    <row r="208" spans="1:111" ht="15" customHeight="1" x14ac:dyDescent="0.2">
      <c r="BB208" s="28">
        <v>16</v>
      </c>
      <c r="BC208" s="121">
        <v>6.7530000000000001</v>
      </c>
      <c r="BD208" s="121">
        <v>7.492</v>
      </c>
      <c r="BE208" s="121">
        <v>8.2309999999999999</v>
      </c>
      <c r="BF208" s="121">
        <v>8.9334999999999987</v>
      </c>
      <c r="BG208" s="121">
        <v>9.6359999999999992</v>
      </c>
      <c r="BH208" s="121">
        <v>10.3165</v>
      </c>
      <c r="BI208" s="121">
        <v>10.997</v>
      </c>
      <c r="BJ208" s="121">
        <v>11.618500000000001</v>
      </c>
      <c r="BK208" s="121">
        <v>12.24</v>
      </c>
      <c r="BL208" s="121">
        <v>12.862500000000001</v>
      </c>
      <c r="BM208" s="121">
        <v>13.484999999999999</v>
      </c>
      <c r="BN208" s="121">
        <f t="array" ref="BN208:BN252">TRANSPOSE(BO207:DG207)</f>
        <v>14.048500000000001</v>
      </c>
      <c r="BO208" s="158">
        <v>14.612</v>
      </c>
      <c r="BP208" s="120">
        <f>(BQ208+BO208)/2</f>
        <v>15.1755</v>
      </c>
      <c r="BQ208" s="158">
        <v>15.739000000000001</v>
      </c>
      <c r="BR208" s="120">
        <f>(BS208+BQ208)/2</f>
        <v>16.302500000000002</v>
      </c>
      <c r="BS208" s="158">
        <v>16.866</v>
      </c>
      <c r="BT208" s="120">
        <f>(BU208+BS208)/2</f>
        <v>17.429499999999997</v>
      </c>
      <c r="BU208" s="158">
        <v>17.992999999999999</v>
      </c>
      <c r="BV208" s="120">
        <f>(BW208+BU208)/2</f>
        <v>18.579000000000001</v>
      </c>
      <c r="BW208" s="158">
        <v>19.164999999999999</v>
      </c>
      <c r="BX208" s="120">
        <f>(BY208+BW208)/2</f>
        <v>19.670000000000002</v>
      </c>
      <c r="BY208" s="158">
        <v>20.175000000000001</v>
      </c>
      <c r="BZ208" s="120">
        <f>(CA208+BY208)/2</f>
        <v>20.738</v>
      </c>
      <c r="CA208" s="158">
        <v>21.300999999999998</v>
      </c>
      <c r="CB208" s="120">
        <f>(CC208+CA208)/2</f>
        <v>21.8065</v>
      </c>
      <c r="CC208" s="158">
        <v>22.312000000000001</v>
      </c>
      <c r="CD208" s="120">
        <f>(CE208+CC208)/2</f>
        <v>22.875500000000002</v>
      </c>
      <c r="CE208" s="158">
        <v>23.439</v>
      </c>
      <c r="CF208" s="120">
        <f>(CG208+CE208)/2</f>
        <v>23.944499999999998</v>
      </c>
      <c r="CG208" s="158">
        <v>24.45</v>
      </c>
      <c r="CH208" s="120">
        <f>(CI208+CG208)/2</f>
        <v>24.954499999999999</v>
      </c>
      <c r="CI208" s="158">
        <v>25.459</v>
      </c>
      <c r="CJ208" s="120">
        <f>(CK208+CI208)/2</f>
        <v>25.986000000000001</v>
      </c>
      <c r="CK208" s="158">
        <v>26.513000000000002</v>
      </c>
      <c r="CL208" s="120">
        <f>(CM208+CK208)/2</f>
        <v>27.018500000000003</v>
      </c>
      <c r="CM208" s="158">
        <v>27.524000000000001</v>
      </c>
      <c r="CN208" s="120">
        <f>(CO208+CM208)/2</f>
        <v>28.038499999999999</v>
      </c>
      <c r="CO208" s="158">
        <v>28.553000000000001</v>
      </c>
      <c r="CP208" s="120">
        <f>(CQ208+CO208)/2</f>
        <v>29.058</v>
      </c>
      <c r="CQ208" s="158">
        <v>29.562999999999999</v>
      </c>
      <c r="CR208" s="120">
        <f>(CS208+CQ208)/2</f>
        <v>30.067999999999998</v>
      </c>
      <c r="CS208" s="158">
        <v>30.573</v>
      </c>
      <c r="CT208" s="120">
        <f>(CU208+CS208)/2</f>
        <v>31.078499999999998</v>
      </c>
      <c r="CU208" s="158">
        <v>31.584</v>
      </c>
      <c r="CV208" s="120">
        <f>(CW208+CU208)/2</f>
        <v>32.030499999999996</v>
      </c>
      <c r="CW208" s="158">
        <v>32.476999999999997</v>
      </c>
      <c r="CX208" s="120">
        <f>(CY208+CW208)/2</f>
        <v>32.981999999999999</v>
      </c>
      <c r="CY208" s="158">
        <v>33.487000000000002</v>
      </c>
      <c r="CZ208" s="120">
        <f>(DA208+CY208)/2</f>
        <v>34.013999999999996</v>
      </c>
      <c r="DA208" s="158">
        <v>34.540999999999997</v>
      </c>
      <c r="DB208" s="120">
        <f>(DC208+DA208)/2</f>
        <v>35.045999999999999</v>
      </c>
      <c r="DC208" s="158">
        <v>35.551000000000002</v>
      </c>
      <c r="DD208" s="120">
        <f>(DE208+DC208)/2</f>
        <v>35.997500000000002</v>
      </c>
      <c r="DE208" s="158">
        <v>36.444000000000003</v>
      </c>
      <c r="DF208" s="120">
        <f>(DG208+DE208)/2</f>
        <v>36.9495</v>
      </c>
      <c r="DG208" s="159">
        <v>37.454999999999998</v>
      </c>
    </row>
    <row r="209" spans="54:111" ht="15" customHeight="1" x14ac:dyDescent="0.2">
      <c r="BB209" s="28">
        <v>17</v>
      </c>
      <c r="BC209" s="121">
        <v>6.9855</v>
      </c>
      <c r="BD209" s="121">
        <v>7.7687500000000007</v>
      </c>
      <c r="BE209" s="121">
        <v>8.5519999999999996</v>
      </c>
      <c r="BF209" s="121">
        <v>9.3037499999999991</v>
      </c>
      <c r="BG209" s="121">
        <v>10.055499999999999</v>
      </c>
      <c r="BH209" s="121">
        <v>10.722</v>
      </c>
      <c r="BI209" s="121">
        <v>11.388500000000001</v>
      </c>
      <c r="BJ209" s="121">
        <v>12.05475</v>
      </c>
      <c r="BK209" s="121">
        <v>12.721</v>
      </c>
      <c r="BL209" s="121">
        <v>13.3695</v>
      </c>
      <c r="BM209" s="121">
        <v>14.018000000000001</v>
      </c>
      <c r="BN209" s="121">
        <v>14.59675</v>
      </c>
      <c r="BO209" s="121">
        <f t="array" ref="BO209:BO252">TRANSPOSE(BP208:DG208)</f>
        <v>15.1755</v>
      </c>
      <c r="BP209" s="120">
        <f>(BO209+BQ209)/2</f>
        <v>15.794499999999999</v>
      </c>
      <c r="BQ209" s="120">
        <f>(BQ208+BQ210)/2</f>
        <v>16.413499999999999</v>
      </c>
      <c r="BR209" s="120">
        <f>(BQ209+BS209)/2</f>
        <v>16.997250000000001</v>
      </c>
      <c r="BS209" s="120">
        <f>(BS208+BS210)/2</f>
        <v>17.581</v>
      </c>
      <c r="BT209" s="120">
        <f>(BS209+BU209)/2</f>
        <v>18.159500000000001</v>
      </c>
      <c r="BU209" s="120">
        <f>(BU208+BU210)/2</f>
        <v>18.738</v>
      </c>
      <c r="BV209" s="120">
        <f>(BU209+BW209)/2</f>
        <v>19.338999999999999</v>
      </c>
      <c r="BW209" s="120">
        <f>(BW208+BW210)/2</f>
        <v>19.939999999999998</v>
      </c>
      <c r="BX209" s="120">
        <f>(BW209+BY209)/2</f>
        <v>20.4605</v>
      </c>
      <c r="BY209" s="120">
        <f>(BY208+BY210)/2</f>
        <v>20.981000000000002</v>
      </c>
      <c r="BZ209" s="120">
        <f>(BY209+CA209)/2</f>
        <v>21.570250000000001</v>
      </c>
      <c r="CA209" s="120">
        <f>(CA208+CA210)/2</f>
        <v>22.159500000000001</v>
      </c>
      <c r="CB209" s="120">
        <f>(CA209+CC209)/2</f>
        <v>22.709500000000002</v>
      </c>
      <c r="CC209" s="120">
        <f>(CC208+CC210)/2</f>
        <v>23.259500000000003</v>
      </c>
      <c r="CD209" s="120">
        <f>(CC209+CE209)/2</f>
        <v>23.808750000000003</v>
      </c>
      <c r="CE209" s="120">
        <f>(CE208+CE210)/2</f>
        <v>24.358000000000001</v>
      </c>
      <c r="CF209" s="120">
        <f>(CE209+CG209)/2</f>
        <v>24.894500000000001</v>
      </c>
      <c r="CG209" s="120">
        <f>(CG208+CG210)/2</f>
        <v>25.430999999999997</v>
      </c>
      <c r="CH209" s="120">
        <f>(CG209+CI209)/2</f>
        <v>25.980249999999998</v>
      </c>
      <c r="CI209" s="120">
        <f>(CI208+CI210)/2</f>
        <v>26.529499999999999</v>
      </c>
      <c r="CJ209" s="120">
        <f>(CI209+CK209)/2</f>
        <v>27.0715</v>
      </c>
      <c r="CK209" s="120">
        <f>(CK208+CK210)/2</f>
        <v>27.613500000000002</v>
      </c>
      <c r="CL209" s="120">
        <f>(CK209+CM209)/2</f>
        <v>28.134250000000002</v>
      </c>
      <c r="CM209" s="120">
        <f>(CM208+CM210)/2</f>
        <v>28.655000000000001</v>
      </c>
      <c r="CN209" s="120">
        <f>(CM209+CO209)/2</f>
        <v>29.179750000000002</v>
      </c>
      <c r="CO209" s="120">
        <f>(CO208+CO210)/2</f>
        <v>29.704500000000003</v>
      </c>
      <c r="CP209" s="120">
        <f>(CO209+CQ209)/2</f>
        <v>30.236000000000001</v>
      </c>
      <c r="CQ209" s="120">
        <f>(CQ208+CQ210)/2</f>
        <v>30.767499999999998</v>
      </c>
      <c r="CR209" s="120">
        <f>(CQ209+CS209)/2</f>
        <v>31.287500000000001</v>
      </c>
      <c r="CS209" s="120">
        <f>(CS208+CS210)/2</f>
        <v>31.807500000000001</v>
      </c>
      <c r="CT209" s="120">
        <f>(CS209+CU209)/2</f>
        <v>32.344000000000001</v>
      </c>
      <c r="CU209" s="120">
        <f>(CU208+CU210)/2</f>
        <v>32.880499999999998</v>
      </c>
      <c r="CV209" s="120">
        <f>(CU209+CW209)/2</f>
        <v>33.371499999999997</v>
      </c>
      <c r="CW209" s="120">
        <f>(CW208+CW210)/2</f>
        <v>33.862499999999997</v>
      </c>
      <c r="CX209" s="120">
        <f>(CW209+CY209)/2</f>
        <v>34.382750000000001</v>
      </c>
      <c r="CY209" s="120">
        <f>(CY208+CY210)/2</f>
        <v>34.903000000000006</v>
      </c>
      <c r="CZ209" s="120">
        <f>(CY209+DA209)/2</f>
        <v>35.371000000000002</v>
      </c>
      <c r="DA209" s="120">
        <f>(DA208+DA210)/2</f>
        <v>35.838999999999999</v>
      </c>
      <c r="DB209" s="120">
        <f>(DA209+DC209)/2</f>
        <v>36.403999999999996</v>
      </c>
      <c r="DC209" s="120">
        <f>(DC208+DC210)/2</f>
        <v>36.969000000000001</v>
      </c>
      <c r="DD209" s="120">
        <f>(DC209+DE209)/2</f>
        <v>37.471249999999998</v>
      </c>
      <c r="DE209" s="120">
        <f>(DE208+DE210)/2</f>
        <v>37.973500000000001</v>
      </c>
      <c r="DF209" s="120">
        <f>(DE209+DG209)/2</f>
        <v>38.498750000000001</v>
      </c>
      <c r="DG209" s="122">
        <f>(DG208+DG210)/2</f>
        <v>39.024000000000001</v>
      </c>
    </row>
    <row r="210" spans="54:111" ht="15" customHeight="1" x14ac:dyDescent="0.2">
      <c r="BB210" s="28">
        <v>18</v>
      </c>
      <c r="BC210" s="121">
        <v>7.218</v>
      </c>
      <c r="BD210" s="121">
        <v>8.0455000000000005</v>
      </c>
      <c r="BE210" s="121">
        <v>8.8729999999999993</v>
      </c>
      <c r="BF210" s="121">
        <v>9.6739999999999995</v>
      </c>
      <c r="BG210" s="121">
        <v>10.475</v>
      </c>
      <c r="BH210" s="121">
        <v>11.1275</v>
      </c>
      <c r="BI210" s="121">
        <v>11.78</v>
      </c>
      <c r="BJ210" s="121">
        <v>12.491</v>
      </c>
      <c r="BK210" s="121">
        <v>13.202</v>
      </c>
      <c r="BL210" s="121">
        <v>13.8765</v>
      </c>
      <c r="BM210" s="121">
        <v>14.551</v>
      </c>
      <c r="BN210" s="121">
        <v>15.145</v>
      </c>
      <c r="BO210" s="121">
        <v>15.739000000000001</v>
      </c>
      <c r="BP210" s="121">
        <f t="array" ref="BP210:BP252">TRANSPOSE(BQ209:DG209)</f>
        <v>16.413499999999999</v>
      </c>
      <c r="BQ210" s="158">
        <v>17.088000000000001</v>
      </c>
      <c r="BR210" s="120">
        <f>(BS210+BQ210)/2</f>
        <v>17.692</v>
      </c>
      <c r="BS210" s="158">
        <v>18.295999999999999</v>
      </c>
      <c r="BT210" s="120">
        <f>(BU210+BS210)/2</f>
        <v>18.889499999999998</v>
      </c>
      <c r="BU210" s="158">
        <v>19.483000000000001</v>
      </c>
      <c r="BV210" s="120">
        <f>(BW210+BU210)/2</f>
        <v>20.099</v>
      </c>
      <c r="BW210" s="158">
        <v>20.715</v>
      </c>
      <c r="BX210" s="120">
        <f>(BY210+BW210)/2</f>
        <v>21.250999999999998</v>
      </c>
      <c r="BY210" s="158">
        <v>21.786999999999999</v>
      </c>
      <c r="BZ210" s="120">
        <f>(CA210+BY210)/2</f>
        <v>22.4025</v>
      </c>
      <c r="CA210" s="158">
        <v>23.018000000000001</v>
      </c>
      <c r="CB210" s="120">
        <f>(CC210+CA210)/2</f>
        <v>23.612500000000001</v>
      </c>
      <c r="CC210" s="158">
        <v>24.207000000000001</v>
      </c>
      <c r="CD210" s="120">
        <f>(CE210+CC210)/2</f>
        <v>24.742000000000001</v>
      </c>
      <c r="CE210" s="158">
        <v>25.277000000000001</v>
      </c>
      <c r="CF210" s="120">
        <f>(CG210+CE210)/2</f>
        <v>25.8445</v>
      </c>
      <c r="CG210" s="158">
        <v>26.411999999999999</v>
      </c>
      <c r="CH210" s="120">
        <f>(CI210+CG210)/2</f>
        <v>27.006</v>
      </c>
      <c r="CI210" s="158">
        <v>27.6</v>
      </c>
      <c r="CJ210" s="120">
        <f>(CK210+CI210)/2</f>
        <v>28.157</v>
      </c>
      <c r="CK210" s="158">
        <v>28.713999999999999</v>
      </c>
      <c r="CL210" s="120">
        <f>(CM210+CK210)/2</f>
        <v>29.25</v>
      </c>
      <c r="CM210" s="158">
        <v>29.786000000000001</v>
      </c>
      <c r="CN210" s="120">
        <f>(CO210+CM210)/2</f>
        <v>30.321000000000002</v>
      </c>
      <c r="CO210" s="158">
        <v>30.856000000000002</v>
      </c>
      <c r="CP210" s="120">
        <f>(CQ210+CO210)/2</f>
        <v>31.414000000000001</v>
      </c>
      <c r="CQ210" s="158">
        <v>31.972000000000001</v>
      </c>
      <c r="CR210" s="120">
        <f>(CS210+CQ210)/2</f>
        <v>32.507000000000005</v>
      </c>
      <c r="CS210" s="158">
        <v>33.042000000000002</v>
      </c>
      <c r="CT210" s="120">
        <f>(CU210+CS210)/2</f>
        <v>33.609499999999997</v>
      </c>
      <c r="CU210" s="158">
        <v>34.177</v>
      </c>
      <c r="CV210" s="120">
        <f>(CW210+CU210)/2</f>
        <v>34.712499999999999</v>
      </c>
      <c r="CW210" s="158">
        <v>35.247999999999998</v>
      </c>
      <c r="CX210" s="120">
        <f>(CY210+CW210)/2</f>
        <v>35.783500000000004</v>
      </c>
      <c r="CY210" s="158">
        <v>36.319000000000003</v>
      </c>
      <c r="CZ210" s="120">
        <f>(DA210+CY210)/2</f>
        <v>36.728000000000002</v>
      </c>
      <c r="DA210" s="158">
        <v>37.137</v>
      </c>
      <c r="DB210" s="120">
        <f>(DC210+DA210)/2</f>
        <v>37.762</v>
      </c>
      <c r="DC210" s="158">
        <v>38.387</v>
      </c>
      <c r="DD210" s="120">
        <f>(DE210+DC210)/2</f>
        <v>38.945</v>
      </c>
      <c r="DE210" s="158">
        <v>39.503</v>
      </c>
      <c r="DF210" s="120">
        <f>(DG210+DE210)/2</f>
        <v>40.048000000000002</v>
      </c>
      <c r="DG210" s="159">
        <v>40.593000000000004</v>
      </c>
    </row>
    <row r="211" spans="54:111" ht="15" customHeight="1" x14ac:dyDescent="0.2">
      <c r="BB211" s="28">
        <v>19</v>
      </c>
      <c r="BC211" s="121">
        <v>7.4965000000000002</v>
      </c>
      <c r="BD211" s="121">
        <v>8.3502500000000008</v>
      </c>
      <c r="BE211" s="121">
        <v>9.2040000000000006</v>
      </c>
      <c r="BF211" s="121">
        <v>10.015499999999999</v>
      </c>
      <c r="BG211" s="121">
        <v>10.827</v>
      </c>
      <c r="BH211" s="121">
        <v>11.52375</v>
      </c>
      <c r="BI211" s="121">
        <v>12.220499999999999</v>
      </c>
      <c r="BJ211" s="121">
        <v>12.933499999999999</v>
      </c>
      <c r="BK211" s="121">
        <v>13.6465</v>
      </c>
      <c r="BL211" s="121">
        <v>14.36525</v>
      </c>
      <c r="BM211" s="121">
        <v>15.084</v>
      </c>
      <c r="BN211" s="121">
        <v>15.693250000000001</v>
      </c>
      <c r="BO211" s="121">
        <v>16.302500000000002</v>
      </c>
      <c r="BP211" s="121">
        <v>16.997250000000001</v>
      </c>
      <c r="BQ211" s="121">
        <f t="array" ref="BQ211:BQ252">TRANSPOSE(BR210:DG210)</f>
        <v>17.692</v>
      </c>
      <c r="BR211" s="120">
        <f>(BQ211+BS211)/2</f>
        <v>18.317</v>
      </c>
      <c r="BS211" s="120">
        <f>(BS210+BS212)/2</f>
        <v>18.942</v>
      </c>
      <c r="BT211" s="120">
        <f>(BS211+BU211)/2</f>
        <v>19.551000000000002</v>
      </c>
      <c r="BU211" s="120">
        <f>(BU210+BU212)/2</f>
        <v>20.16</v>
      </c>
      <c r="BV211" s="120">
        <f>(BU211+BW211)/2</f>
        <v>20.791249999999998</v>
      </c>
      <c r="BW211" s="120">
        <f>(BW210+BW212)/2</f>
        <v>21.422499999999999</v>
      </c>
      <c r="BX211" s="120">
        <f>(BW211+BY211)/2</f>
        <v>22.0185</v>
      </c>
      <c r="BY211" s="120">
        <f>(BY210+BY212)/2</f>
        <v>22.6145</v>
      </c>
      <c r="BZ211" s="120">
        <f>(BY211+CA211)/2</f>
        <v>23.234500000000001</v>
      </c>
      <c r="CA211" s="120">
        <f>(CA210+CA212)/2</f>
        <v>23.854500000000002</v>
      </c>
      <c r="CB211" s="120">
        <f>(CA211+CC211)/2</f>
        <v>24.47475</v>
      </c>
      <c r="CC211" s="120">
        <f>(CC210+CC212)/2</f>
        <v>25.094999999999999</v>
      </c>
      <c r="CD211" s="120">
        <f>(CC211+CE211)/2</f>
        <v>25.656749999999999</v>
      </c>
      <c r="CE211" s="120">
        <f>(CE210+CE212)/2</f>
        <v>26.218499999999999</v>
      </c>
      <c r="CF211" s="120">
        <f>(CE211+CG211)/2</f>
        <v>26.818999999999999</v>
      </c>
      <c r="CG211" s="120">
        <f>(CG210+CG212)/2</f>
        <v>27.419499999999999</v>
      </c>
      <c r="CH211" s="120">
        <f>(CG211+CI211)/2</f>
        <v>28.010750000000002</v>
      </c>
      <c r="CI211" s="120">
        <f>(CI210+CI212)/2</f>
        <v>28.602</v>
      </c>
      <c r="CJ211" s="120">
        <f>(CI211+CK211)/2</f>
        <v>29.174250000000001</v>
      </c>
      <c r="CK211" s="120">
        <f>(CK210+CK212)/2</f>
        <v>29.746499999999997</v>
      </c>
      <c r="CL211" s="120">
        <f>(CK211+CM211)/2</f>
        <v>30.302250000000001</v>
      </c>
      <c r="CM211" s="120">
        <f>(CM210+CM212)/2</f>
        <v>30.858000000000001</v>
      </c>
      <c r="CN211" s="120">
        <f>(CM211+CO211)/2</f>
        <v>31.448750000000004</v>
      </c>
      <c r="CO211" s="120">
        <f>(CO210+CO212)/2</f>
        <v>32.039500000000004</v>
      </c>
      <c r="CP211" s="120">
        <f>(CO211+CQ211)/2</f>
        <v>32.612500000000004</v>
      </c>
      <c r="CQ211" s="120">
        <f>(CQ210+CQ212)/2</f>
        <v>33.185500000000005</v>
      </c>
      <c r="CR211" s="120">
        <f>(CQ211+CS211)/2</f>
        <v>33.736000000000004</v>
      </c>
      <c r="CS211" s="120">
        <f>(CS210+CS212)/2</f>
        <v>34.286500000000004</v>
      </c>
      <c r="CT211" s="120">
        <f>(CS211+CU211)/2</f>
        <v>34.869</v>
      </c>
      <c r="CU211" s="120">
        <f>(CU210+CU212)/2</f>
        <v>35.451499999999996</v>
      </c>
      <c r="CV211" s="120">
        <f>(CU211+CW211)/2</f>
        <v>36.013249999999999</v>
      </c>
      <c r="CW211" s="120">
        <f>(CW210+CW212)/2</f>
        <v>36.575000000000003</v>
      </c>
      <c r="CX211" s="120">
        <f>(CW211+CY211)/2</f>
        <v>37.125750000000004</v>
      </c>
      <c r="CY211" s="120">
        <f>(CY210+CY212)/2</f>
        <v>37.676500000000004</v>
      </c>
      <c r="CZ211" s="120">
        <f>(CY211+DA211)/2</f>
        <v>38.179500000000004</v>
      </c>
      <c r="DA211" s="120">
        <f>(DA210+DA212)/2</f>
        <v>38.682500000000005</v>
      </c>
      <c r="DB211" s="120">
        <f>(DA211+DC211)/2</f>
        <v>39.260000000000005</v>
      </c>
      <c r="DC211" s="120">
        <f>(DC210+DC212)/2</f>
        <v>39.837499999999999</v>
      </c>
      <c r="DD211" s="120">
        <f>(DC211+DE211)/2</f>
        <v>40.399000000000001</v>
      </c>
      <c r="DE211" s="120">
        <f>(DE210+DE212)/2</f>
        <v>40.960499999999996</v>
      </c>
      <c r="DF211" s="120">
        <f>(DE211+DG211)/2</f>
        <v>41.527249999999995</v>
      </c>
      <c r="DG211" s="122">
        <f>(DG210+DG212)/2</f>
        <v>42.094000000000001</v>
      </c>
    </row>
    <row r="212" spans="54:111" ht="15" customHeight="1" x14ac:dyDescent="0.2">
      <c r="BB212" s="28">
        <v>20</v>
      </c>
      <c r="BC212" s="121">
        <v>7.7750000000000004</v>
      </c>
      <c r="BD212" s="121">
        <v>8.6550000000000011</v>
      </c>
      <c r="BE212" s="121">
        <v>9.5350000000000001</v>
      </c>
      <c r="BF212" s="121">
        <v>10.356999999999999</v>
      </c>
      <c r="BG212" s="121">
        <v>11.179</v>
      </c>
      <c r="BH212" s="121">
        <v>11.92</v>
      </c>
      <c r="BI212" s="121">
        <v>12.661</v>
      </c>
      <c r="BJ212" s="121">
        <v>13.375999999999999</v>
      </c>
      <c r="BK212" s="121">
        <v>14.090999999999999</v>
      </c>
      <c r="BL212" s="121">
        <v>14.853999999999999</v>
      </c>
      <c r="BM212" s="121">
        <v>15.617000000000001</v>
      </c>
      <c r="BN212" s="121">
        <v>16.241500000000002</v>
      </c>
      <c r="BO212" s="121">
        <v>16.866</v>
      </c>
      <c r="BP212" s="121">
        <v>17.581</v>
      </c>
      <c r="BQ212" s="121">
        <v>18.295999999999999</v>
      </c>
      <c r="BR212" s="121">
        <f t="array" ref="BR212:BR252">TRANSPOSE(BS211:DG211)</f>
        <v>18.942</v>
      </c>
      <c r="BS212" s="158">
        <v>19.588000000000001</v>
      </c>
      <c r="BT212" s="120">
        <f>(BU212+BS212)/2</f>
        <v>20.212499999999999</v>
      </c>
      <c r="BU212" s="158">
        <v>20.837</v>
      </c>
      <c r="BV212" s="120">
        <f>(BW212+BU212)/2</f>
        <v>21.483499999999999</v>
      </c>
      <c r="BW212" s="158">
        <v>22.13</v>
      </c>
      <c r="BX212" s="120">
        <f>(BY212+BW212)/2</f>
        <v>22.786000000000001</v>
      </c>
      <c r="BY212" s="158">
        <v>23.442</v>
      </c>
      <c r="BZ212" s="120">
        <f>(CA212+BY212)/2</f>
        <v>24.066499999999998</v>
      </c>
      <c r="CA212" s="158">
        <v>24.690999999999999</v>
      </c>
      <c r="CB212" s="120">
        <f>(CC212+CA212)/2</f>
        <v>25.337</v>
      </c>
      <c r="CC212" s="158">
        <v>25.983000000000001</v>
      </c>
      <c r="CD212" s="120">
        <f>(CE212+CC212)/2</f>
        <v>26.5715</v>
      </c>
      <c r="CE212" s="158">
        <v>27.16</v>
      </c>
      <c r="CF212" s="120">
        <f>(CG212+CE212)/2</f>
        <v>27.793500000000002</v>
      </c>
      <c r="CG212" s="158">
        <v>28.427</v>
      </c>
      <c r="CH212" s="120">
        <f>(CI212+CG212)/2</f>
        <v>29.015499999999999</v>
      </c>
      <c r="CI212" s="158">
        <v>29.603999999999999</v>
      </c>
      <c r="CJ212" s="120">
        <f>(CK212+CI212)/2</f>
        <v>30.191499999999998</v>
      </c>
      <c r="CK212" s="158">
        <v>30.779</v>
      </c>
      <c r="CL212" s="120">
        <f>(CM212+CK212)/2</f>
        <v>31.354500000000002</v>
      </c>
      <c r="CM212" s="158">
        <v>31.93</v>
      </c>
      <c r="CN212" s="120">
        <f>(CO212+CM212)/2</f>
        <v>32.576499999999996</v>
      </c>
      <c r="CO212" s="158">
        <v>33.222999999999999</v>
      </c>
      <c r="CP212" s="120">
        <f>(CQ212+CO212)/2</f>
        <v>33.811</v>
      </c>
      <c r="CQ212" s="158">
        <v>34.399000000000001</v>
      </c>
      <c r="CR212" s="120">
        <f>(CS212+CQ212)/2</f>
        <v>34.965000000000003</v>
      </c>
      <c r="CS212" s="158">
        <v>35.530999999999999</v>
      </c>
      <c r="CT212" s="120">
        <f>(CU212+CS212)/2</f>
        <v>36.128500000000003</v>
      </c>
      <c r="CU212" s="158">
        <v>36.725999999999999</v>
      </c>
      <c r="CV212" s="120">
        <f>(CW212+CU212)/2</f>
        <v>37.314</v>
      </c>
      <c r="CW212" s="158">
        <v>37.902000000000001</v>
      </c>
      <c r="CX212" s="120">
        <f>(CY212+CW212)/2</f>
        <v>38.468000000000004</v>
      </c>
      <c r="CY212" s="158">
        <v>39.033999999999999</v>
      </c>
      <c r="CZ212" s="120">
        <f>(DA212+CY212)/2</f>
        <v>39.631</v>
      </c>
      <c r="DA212" s="158">
        <v>40.228000000000002</v>
      </c>
      <c r="DB212" s="120">
        <f>(DC212+DA212)/2</f>
        <v>40.757999999999996</v>
      </c>
      <c r="DC212" s="158">
        <v>41.287999999999997</v>
      </c>
      <c r="DD212" s="120">
        <f>(DE212+DC212)/2</f>
        <v>41.852999999999994</v>
      </c>
      <c r="DE212" s="158">
        <v>42.417999999999999</v>
      </c>
      <c r="DF212" s="120">
        <f>(DG212+DE212)/2</f>
        <v>43.006500000000003</v>
      </c>
      <c r="DG212" s="159">
        <v>43.594999999999999</v>
      </c>
    </row>
    <row r="213" spans="54:111" ht="15" customHeight="1" x14ac:dyDescent="0.2">
      <c r="BB213" s="28">
        <v>21</v>
      </c>
      <c r="BC213" s="121">
        <v>8.0659999999999989</v>
      </c>
      <c r="BD213" s="121">
        <v>8.9612499999999997</v>
      </c>
      <c r="BE213" s="121">
        <v>9.8565000000000005</v>
      </c>
      <c r="BF213" s="121">
        <v>10.69825</v>
      </c>
      <c r="BG213" s="121">
        <v>11.54</v>
      </c>
      <c r="BH213" s="121">
        <v>12.307500000000001</v>
      </c>
      <c r="BI213" s="121">
        <v>13.074999999999999</v>
      </c>
      <c r="BJ213" s="121">
        <v>13.829499999999999</v>
      </c>
      <c r="BK213" s="121">
        <v>14.584</v>
      </c>
      <c r="BL213" s="121">
        <v>15.337999999999999</v>
      </c>
      <c r="BM213" s="121">
        <v>16.091999999999999</v>
      </c>
      <c r="BN213" s="121">
        <v>16.760750000000002</v>
      </c>
      <c r="BO213" s="121">
        <v>17.429499999999997</v>
      </c>
      <c r="BP213" s="121">
        <v>18.159500000000001</v>
      </c>
      <c r="BQ213" s="121">
        <v>18.889499999999998</v>
      </c>
      <c r="BR213" s="121">
        <v>19.551000000000002</v>
      </c>
      <c r="BS213" s="121">
        <f t="array" ref="BS213:BS252">TRANSPOSE(BT212:DG212)</f>
        <v>20.212499999999999</v>
      </c>
      <c r="BT213" s="120">
        <f>(BS213+BU213)/2</f>
        <v>20.892499999999998</v>
      </c>
      <c r="BU213" s="120">
        <f>(BU212+BU214)/2</f>
        <v>21.572499999999998</v>
      </c>
      <c r="BV213" s="120">
        <f>(BU213+BW213)/2</f>
        <v>22.238999999999997</v>
      </c>
      <c r="BW213" s="120">
        <f>(BW212+BW214)/2</f>
        <v>22.9055</v>
      </c>
      <c r="BX213" s="120">
        <f>(BW213+BY213)/2</f>
        <v>23.571750000000002</v>
      </c>
      <c r="BY213" s="120">
        <f>(BY212+BY214)/2</f>
        <v>24.238</v>
      </c>
      <c r="BZ213" s="120">
        <f>(BY213+CA213)/2</f>
        <v>24.893750000000001</v>
      </c>
      <c r="CA213" s="120">
        <f>(CA212+CA214)/2</f>
        <v>25.549500000000002</v>
      </c>
      <c r="CB213" s="120">
        <f>(CA213+CC213)/2</f>
        <v>26.1815</v>
      </c>
      <c r="CC213" s="120">
        <f>(CC212+CC214)/2</f>
        <v>26.813499999999998</v>
      </c>
      <c r="CD213" s="120">
        <f>(CC213+CE213)/2</f>
        <v>27.451000000000001</v>
      </c>
      <c r="CE213" s="120">
        <f>(CE212+CE214)/2</f>
        <v>28.0885</v>
      </c>
      <c r="CF213" s="120">
        <f>(CE213+CG213)/2</f>
        <v>28.743499999999997</v>
      </c>
      <c r="CG213" s="120">
        <f>(CG212+CG214)/2</f>
        <v>29.398499999999999</v>
      </c>
      <c r="CH213" s="120">
        <f>(CG213+CI213)/2</f>
        <v>30.00225</v>
      </c>
      <c r="CI213" s="120">
        <f>(CI212+CI214)/2</f>
        <v>30.606000000000002</v>
      </c>
      <c r="CJ213" s="120">
        <f>(CI213+CK213)/2</f>
        <v>31.2135</v>
      </c>
      <c r="CK213" s="120">
        <f>(CK212+CK214)/2</f>
        <v>31.820999999999998</v>
      </c>
      <c r="CL213" s="120">
        <f>(CK213+CM213)/2</f>
        <v>32.447249999999997</v>
      </c>
      <c r="CM213" s="120">
        <f>(CM212+CM214)/2</f>
        <v>33.073499999999996</v>
      </c>
      <c r="CN213" s="120">
        <f>(CM213+CO213)/2</f>
        <v>33.710499999999996</v>
      </c>
      <c r="CO213" s="120">
        <f>(CO212+CO214)/2</f>
        <v>34.347499999999997</v>
      </c>
      <c r="CP213" s="120">
        <f>(CO213+CQ213)/2</f>
        <v>34.951000000000001</v>
      </c>
      <c r="CQ213" s="120">
        <f>(CQ212+CQ214)/2</f>
        <v>35.554500000000004</v>
      </c>
      <c r="CR213" s="120">
        <f>(CQ213+CS213)/2</f>
        <v>36.1355</v>
      </c>
      <c r="CS213" s="120">
        <f>(CS212+CS214)/2</f>
        <v>36.716499999999996</v>
      </c>
      <c r="CT213" s="120">
        <f>(CS213+CU213)/2</f>
        <v>37.329250000000002</v>
      </c>
      <c r="CU213" s="120">
        <f>(CU212+CU214)/2</f>
        <v>37.942</v>
      </c>
      <c r="CV213" s="120">
        <f>(CU213+CW213)/2</f>
        <v>38.574250000000006</v>
      </c>
      <c r="CW213" s="120">
        <f>(CW212+CW214)/2</f>
        <v>39.206500000000005</v>
      </c>
      <c r="CX213" s="120">
        <f>(CW213+CY213)/2</f>
        <v>39.8035</v>
      </c>
      <c r="CY213" s="120">
        <f>(CY212+CY214)/2</f>
        <v>40.400500000000001</v>
      </c>
      <c r="CZ213" s="120">
        <f>(CY213+DA213)/2</f>
        <v>41.008250000000004</v>
      </c>
      <c r="DA213" s="120">
        <f>(DA212+DA214)/2</f>
        <v>41.616</v>
      </c>
      <c r="DB213" s="120">
        <f>(DA213+DC213)/2</f>
        <v>42.16075</v>
      </c>
      <c r="DC213" s="120">
        <f>(DC212+DC214)/2</f>
        <v>42.705500000000001</v>
      </c>
      <c r="DD213" s="120">
        <f>(DC213+DE213)/2</f>
        <v>43.302</v>
      </c>
      <c r="DE213" s="120">
        <f>(DE212+DE214)/2</f>
        <v>43.898499999999999</v>
      </c>
      <c r="DF213" s="120">
        <f>(DE213+DG213)/2</f>
        <v>44.501999999999995</v>
      </c>
      <c r="DG213" s="122">
        <f>(DG212+DG214)/2</f>
        <v>45.105499999999999</v>
      </c>
    </row>
    <row r="214" spans="54:111" ht="15" customHeight="1" x14ac:dyDescent="0.2">
      <c r="BB214" s="28">
        <v>22</v>
      </c>
      <c r="BC214" s="121">
        <v>8.3569999999999993</v>
      </c>
      <c r="BD214" s="121">
        <v>9.2675000000000001</v>
      </c>
      <c r="BE214" s="121">
        <v>10.178000000000001</v>
      </c>
      <c r="BF214" s="121">
        <v>11.0395</v>
      </c>
      <c r="BG214" s="121">
        <v>11.901</v>
      </c>
      <c r="BH214" s="121">
        <v>12.695</v>
      </c>
      <c r="BI214" s="121">
        <v>13.489000000000001</v>
      </c>
      <c r="BJ214" s="121">
        <v>14.283000000000001</v>
      </c>
      <c r="BK214" s="121">
        <v>15.077</v>
      </c>
      <c r="BL214" s="121">
        <v>15.821999999999999</v>
      </c>
      <c r="BM214" s="121">
        <v>16.567</v>
      </c>
      <c r="BN214" s="121">
        <v>17.28</v>
      </c>
      <c r="BO214" s="121">
        <v>17.992999999999999</v>
      </c>
      <c r="BP214" s="121">
        <v>18.738</v>
      </c>
      <c r="BQ214" s="121">
        <v>19.483000000000001</v>
      </c>
      <c r="BR214" s="121">
        <v>20.16</v>
      </c>
      <c r="BS214" s="121">
        <v>20.837</v>
      </c>
      <c r="BT214" s="121">
        <f t="array" ref="BT214:BT252">TRANSPOSE(BU213:DG213)</f>
        <v>21.572499999999998</v>
      </c>
      <c r="BU214" s="158">
        <v>22.308</v>
      </c>
      <c r="BV214" s="120">
        <f>(BW214+BU214)/2</f>
        <v>22.994500000000002</v>
      </c>
      <c r="BW214" s="158">
        <v>23.681000000000001</v>
      </c>
      <c r="BX214" s="120">
        <f>(BY214+BW214)/2</f>
        <v>24.357500000000002</v>
      </c>
      <c r="BY214" s="158">
        <v>25.033999999999999</v>
      </c>
      <c r="BZ214" s="120">
        <f>(CA214+BY214)/2</f>
        <v>25.721</v>
      </c>
      <c r="CA214" s="158">
        <v>26.408000000000001</v>
      </c>
      <c r="CB214" s="120">
        <f>(CC214+CA214)/2</f>
        <v>27.026</v>
      </c>
      <c r="CC214" s="158">
        <v>27.643999999999998</v>
      </c>
      <c r="CD214" s="120">
        <f>(CE214+CC214)/2</f>
        <v>28.330500000000001</v>
      </c>
      <c r="CE214" s="158">
        <v>29.016999999999999</v>
      </c>
      <c r="CF214" s="120">
        <f>(CG214+CE214)/2</f>
        <v>29.6935</v>
      </c>
      <c r="CG214" s="158">
        <v>30.37</v>
      </c>
      <c r="CH214" s="120">
        <f>(CI214+CG214)/2</f>
        <v>30.989000000000001</v>
      </c>
      <c r="CI214" s="158">
        <v>31.608000000000001</v>
      </c>
      <c r="CJ214" s="120">
        <f>(CK214+CI214)/2</f>
        <v>32.235500000000002</v>
      </c>
      <c r="CK214" s="158">
        <v>32.863</v>
      </c>
      <c r="CL214" s="120">
        <f>(CM214+CK214)/2</f>
        <v>33.54</v>
      </c>
      <c r="CM214" s="158">
        <v>34.216999999999999</v>
      </c>
      <c r="CN214" s="120">
        <f>(CO214+CM214)/2</f>
        <v>34.844499999999996</v>
      </c>
      <c r="CO214" s="158">
        <v>35.472000000000001</v>
      </c>
      <c r="CP214" s="120">
        <f>(CQ214+CO214)/2</f>
        <v>36.091000000000001</v>
      </c>
      <c r="CQ214" s="158">
        <v>36.71</v>
      </c>
      <c r="CR214" s="120">
        <f>(CS214+CQ214)/2</f>
        <v>37.305999999999997</v>
      </c>
      <c r="CS214" s="158">
        <v>37.902000000000001</v>
      </c>
      <c r="CT214" s="120">
        <f>(CU214+CS214)/2</f>
        <v>38.53</v>
      </c>
      <c r="CU214" s="158">
        <v>39.158000000000001</v>
      </c>
      <c r="CV214" s="120">
        <f>(CW214+CU214)/2</f>
        <v>39.834500000000006</v>
      </c>
      <c r="CW214" s="158">
        <v>40.511000000000003</v>
      </c>
      <c r="CX214" s="120">
        <f>(CY214+CW214)/2</f>
        <v>41.139000000000003</v>
      </c>
      <c r="CY214" s="158">
        <v>41.767000000000003</v>
      </c>
      <c r="CZ214" s="120">
        <f>(DA214+CY214)/2</f>
        <v>42.3855</v>
      </c>
      <c r="DA214" s="158">
        <v>43.003999999999998</v>
      </c>
      <c r="DB214" s="120">
        <f>(DC214+DA214)/2</f>
        <v>43.563499999999998</v>
      </c>
      <c r="DC214" s="158">
        <v>44.122999999999998</v>
      </c>
      <c r="DD214" s="120">
        <f>(DE214+DC214)/2</f>
        <v>44.750999999999998</v>
      </c>
      <c r="DE214" s="158">
        <v>45.378999999999998</v>
      </c>
      <c r="DF214" s="120">
        <f>(DG214+DE214)/2</f>
        <v>45.997500000000002</v>
      </c>
      <c r="DG214" s="159">
        <v>46.616</v>
      </c>
    </row>
    <row r="215" spans="54:111" ht="15" customHeight="1" x14ac:dyDescent="0.2">
      <c r="BB215" s="28">
        <v>23</v>
      </c>
      <c r="BC215" s="121">
        <v>8.5670000000000002</v>
      </c>
      <c r="BD215" s="121">
        <v>9.5377499999999991</v>
      </c>
      <c r="BE215" s="121">
        <v>10.508500000000002</v>
      </c>
      <c r="BF215" s="121">
        <v>11.380750000000001</v>
      </c>
      <c r="BG215" s="121">
        <v>12.253</v>
      </c>
      <c r="BH215" s="121">
        <v>13.067</v>
      </c>
      <c r="BI215" s="121">
        <v>13.881</v>
      </c>
      <c r="BJ215" s="121">
        <v>14.690000000000001</v>
      </c>
      <c r="BK215" s="121">
        <v>15.498999999999999</v>
      </c>
      <c r="BL215" s="121">
        <v>16.288499999999999</v>
      </c>
      <c r="BM215" s="121">
        <v>17.077999999999999</v>
      </c>
      <c r="BN215" s="121">
        <v>17.828499999999998</v>
      </c>
      <c r="BO215" s="121">
        <v>18.579000000000001</v>
      </c>
      <c r="BP215" s="121">
        <v>19.338999999999999</v>
      </c>
      <c r="BQ215" s="121">
        <v>20.099</v>
      </c>
      <c r="BR215" s="121">
        <v>20.791249999999998</v>
      </c>
      <c r="BS215" s="121">
        <v>21.483499999999999</v>
      </c>
      <c r="BT215" s="121">
        <v>22.238999999999997</v>
      </c>
      <c r="BU215" s="121">
        <f t="array" ref="BU215:BU252">TRANSPOSE(BV214:DG214)</f>
        <v>22.994500000000002</v>
      </c>
      <c r="BV215" s="120">
        <f>(BU215+BW215)/2</f>
        <v>23.69125</v>
      </c>
      <c r="BW215" s="120">
        <f>(BW214+BW216)/2</f>
        <v>24.387999999999998</v>
      </c>
      <c r="BX215" s="120">
        <f>(BW215+BY215)/2</f>
        <v>25.095749999999999</v>
      </c>
      <c r="BY215" s="120">
        <f>(BY214+BY216)/2</f>
        <v>25.8035</v>
      </c>
      <c r="BZ215" s="120">
        <f>(BY215+CA215)/2</f>
        <v>26.50525</v>
      </c>
      <c r="CA215" s="120">
        <f>(CA214+CA216)/2</f>
        <v>27.207000000000001</v>
      </c>
      <c r="CB215" s="120">
        <f>(CA215+CC215)/2</f>
        <v>27.87</v>
      </c>
      <c r="CC215" s="120">
        <f>(CC214+CC216)/2</f>
        <v>28.533000000000001</v>
      </c>
      <c r="CD215" s="120">
        <f>(CC215+CE215)/2</f>
        <v>29.234750000000002</v>
      </c>
      <c r="CE215" s="120">
        <f>(CE214+CE216)/2</f>
        <v>29.936500000000002</v>
      </c>
      <c r="CF215" s="120">
        <f>(CE215+CG215)/2</f>
        <v>30.599</v>
      </c>
      <c r="CG215" s="120">
        <f>(CG214+CG216)/2</f>
        <v>31.261499999999998</v>
      </c>
      <c r="CH215" s="120">
        <f>(CG215+CI215)/2</f>
        <v>31.9405</v>
      </c>
      <c r="CI215" s="120">
        <f>(CI214+CI216)/2</f>
        <v>32.619500000000002</v>
      </c>
      <c r="CJ215" s="120">
        <f>(CI215+CK215)/2</f>
        <v>33.2575</v>
      </c>
      <c r="CK215" s="120">
        <f>(CK214+CK216)/2</f>
        <v>33.895499999999998</v>
      </c>
      <c r="CL215" s="120">
        <f>(CK215+CM215)/2</f>
        <v>34.592500000000001</v>
      </c>
      <c r="CM215" s="120">
        <f>(CM214+CM216)/2</f>
        <v>35.289500000000004</v>
      </c>
      <c r="CN215" s="120">
        <f>(CM215+CO215)/2</f>
        <v>35.927500000000002</v>
      </c>
      <c r="CO215" s="120">
        <f>(CO214+CO216)/2</f>
        <v>36.5655</v>
      </c>
      <c r="CP215" s="120">
        <f>(CO215+CQ215)/2</f>
        <v>37.204250000000002</v>
      </c>
      <c r="CQ215" s="120">
        <f>(CQ214+CQ216)/2</f>
        <v>37.843000000000004</v>
      </c>
      <c r="CR215" s="120">
        <f>(CQ215+CS215)/2</f>
        <v>38.505499999999998</v>
      </c>
      <c r="CS215" s="120">
        <f>(CS214+CS216)/2</f>
        <v>39.167999999999999</v>
      </c>
      <c r="CT215" s="120">
        <f>(CS215+CU215)/2</f>
        <v>39.811</v>
      </c>
      <c r="CU215" s="120">
        <f>(CU214+CU216)/2</f>
        <v>40.454000000000001</v>
      </c>
      <c r="CV215" s="120">
        <f>(CU215+CW215)/2</f>
        <v>41.116749999999996</v>
      </c>
      <c r="CW215" s="120">
        <f>(CW214+CW216)/2</f>
        <v>41.779499999999999</v>
      </c>
      <c r="CX215" s="120">
        <f>(CW215+CY215)/2</f>
        <v>42.422499999999999</v>
      </c>
      <c r="CY215" s="120">
        <f>(CY214+CY216)/2</f>
        <v>43.0655</v>
      </c>
      <c r="CZ215" s="120">
        <f>(CY215+DA215)/2</f>
        <v>43.6995</v>
      </c>
      <c r="DA215" s="120">
        <f>(DA214+DA216)/2</f>
        <v>44.333500000000001</v>
      </c>
      <c r="DB215" s="120">
        <f>(DA215+DC215)/2</f>
        <v>44.953499999999998</v>
      </c>
      <c r="DC215" s="120">
        <f>(DC214+DC216)/2</f>
        <v>45.573499999999996</v>
      </c>
      <c r="DD215" s="120">
        <f>(DC215+DE215)/2</f>
        <v>46.216499999999996</v>
      </c>
      <c r="DE215" s="120">
        <f>(DE214+DE216)/2</f>
        <v>46.859499999999997</v>
      </c>
      <c r="DF215" s="120">
        <f>(DE215+DG215)/2</f>
        <v>47.493249999999996</v>
      </c>
      <c r="DG215" s="122">
        <f>(DG214+DG216)/2</f>
        <v>48.126999999999995</v>
      </c>
    </row>
    <row r="216" spans="54:111" ht="15" customHeight="1" x14ac:dyDescent="0.2">
      <c r="BB216" s="28">
        <v>24</v>
      </c>
      <c r="BC216" s="121">
        <v>8.7769999999999992</v>
      </c>
      <c r="BD216" s="121">
        <v>9.8079999999999998</v>
      </c>
      <c r="BE216" s="121">
        <v>10.839</v>
      </c>
      <c r="BF216" s="121">
        <v>11.722000000000001</v>
      </c>
      <c r="BG216" s="121">
        <v>12.605</v>
      </c>
      <c r="BH216" s="121">
        <v>13.439</v>
      </c>
      <c r="BI216" s="121">
        <v>14.273</v>
      </c>
      <c r="BJ216" s="121">
        <v>15.097</v>
      </c>
      <c r="BK216" s="121">
        <v>15.920999999999999</v>
      </c>
      <c r="BL216" s="121">
        <v>16.754999999999999</v>
      </c>
      <c r="BM216" s="121">
        <v>17.588999999999999</v>
      </c>
      <c r="BN216" s="121">
        <v>18.376999999999999</v>
      </c>
      <c r="BO216" s="121">
        <v>19.164999999999999</v>
      </c>
      <c r="BP216" s="121">
        <v>19.939999999999998</v>
      </c>
      <c r="BQ216" s="121">
        <v>20.715</v>
      </c>
      <c r="BR216" s="121">
        <v>21.422499999999999</v>
      </c>
      <c r="BS216" s="121">
        <v>22.13</v>
      </c>
      <c r="BT216" s="121">
        <v>22.9055</v>
      </c>
      <c r="BU216" s="121">
        <v>23.681000000000001</v>
      </c>
      <c r="BV216" s="121">
        <f t="array" ref="BV216:BV252">TRANSPOSE(BW215:DG215)</f>
        <v>24.387999999999998</v>
      </c>
      <c r="BW216" s="158">
        <v>25.094999999999999</v>
      </c>
      <c r="BX216" s="120">
        <f>(BY216+BW216)/2</f>
        <v>25.834</v>
      </c>
      <c r="BY216" s="158">
        <v>26.573</v>
      </c>
      <c r="BZ216" s="120">
        <f>(CA216+BY216)/2</f>
        <v>27.2895</v>
      </c>
      <c r="CA216" s="158">
        <v>28.006</v>
      </c>
      <c r="CB216" s="120">
        <f>(CC216+CA216)/2</f>
        <v>28.713999999999999</v>
      </c>
      <c r="CC216" s="158">
        <v>29.422000000000001</v>
      </c>
      <c r="CD216" s="120">
        <f>(CE216+CC216)/2</f>
        <v>30.139000000000003</v>
      </c>
      <c r="CE216" s="158">
        <v>30.856000000000002</v>
      </c>
      <c r="CF216" s="120">
        <f>(CG216+CE216)/2</f>
        <v>31.5045</v>
      </c>
      <c r="CG216" s="158">
        <v>32.152999999999999</v>
      </c>
      <c r="CH216" s="120">
        <f>(CI216+CG216)/2</f>
        <v>32.891999999999996</v>
      </c>
      <c r="CI216" s="158">
        <v>33.631</v>
      </c>
      <c r="CJ216" s="120">
        <f>(CK216+CI216)/2</f>
        <v>34.279499999999999</v>
      </c>
      <c r="CK216" s="158">
        <v>34.927999999999997</v>
      </c>
      <c r="CL216" s="120">
        <f>(CM216+CK216)/2</f>
        <v>35.644999999999996</v>
      </c>
      <c r="CM216" s="158">
        <v>36.362000000000002</v>
      </c>
      <c r="CN216" s="120">
        <f>(CO216+CM216)/2</f>
        <v>37.0105</v>
      </c>
      <c r="CO216" s="158">
        <v>37.658999999999999</v>
      </c>
      <c r="CP216" s="120">
        <f>(CQ216+CO216)/2</f>
        <v>38.317499999999995</v>
      </c>
      <c r="CQ216" s="158">
        <v>38.975999999999999</v>
      </c>
      <c r="CR216" s="120">
        <f>(CS216+CQ216)/2</f>
        <v>39.704999999999998</v>
      </c>
      <c r="CS216" s="158">
        <v>40.433999999999997</v>
      </c>
      <c r="CT216" s="120">
        <f>(CU216+CS216)/2</f>
        <v>41.091999999999999</v>
      </c>
      <c r="CU216" s="158">
        <v>41.75</v>
      </c>
      <c r="CV216" s="120">
        <f>(CW216+CU216)/2</f>
        <v>42.399000000000001</v>
      </c>
      <c r="CW216" s="158">
        <v>43.048000000000002</v>
      </c>
      <c r="CX216" s="120">
        <f>(CY216+CW216)/2</f>
        <v>43.706000000000003</v>
      </c>
      <c r="CY216" s="158">
        <v>44.363999999999997</v>
      </c>
      <c r="CZ216" s="120">
        <f>(DA216+CY216)/2</f>
        <v>45.013499999999993</v>
      </c>
      <c r="DA216" s="158">
        <v>45.662999999999997</v>
      </c>
      <c r="DB216" s="120">
        <f>(DC216+DA216)/2</f>
        <v>46.343499999999999</v>
      </c>
      <c r="DC216" s="158">
        <v>47.024000000000001</v>
      </c>
      <c r="DD216" s="120">
        <f>(DE216+DC216)/2</f>
        <v>47.682000000000002</v>
      </c>
      <c r="DE216" s="158">
        <v>48.34</v>
      </c>
      <c r="DF216" s="120">
        <f>(DG216+DE216)/2</f>
        <v>48.989000000000004</v>
      </c>
      <c r="DG216" s="159">
        <v>49.637999999999998</v>
      </c>
    </row>
    <row r="217" spans="54:111" ht="15" customHeight="1" x14ac:dyDescent="0.2">
      <c r="BB217" s="28">
        <v>25</v>
      </c>
      <c r="BC217" s="121">
        <v>9.0090000000000003</v>
      </c>
      <c r="BD217" s="121">
        <v>10.044499999999999</v>
      </c>
      <c r="BE217" s="121">
        <v>11.08</v>
      </c>
      <c r="BF217" s="121">
        <v>12.023250000000001</v>
      </c>
      <c r="BG217" s="121">
        <v>12.9665</v>
      </c>
      <c r="BH217" s="121">
        <v>13.84</v>
      </c>
      <c r="BI217" s="121">
        <v>14.7135</v>
      </c>
      <c r="BJ217" s="121">
        <v>15.568750000000001</v>
      </c>
      <c r="BK217" s="121">
        <v>16.423999999999999</v>
      </c>
      <c r="BL217" s="121">
        <v>17.244</v>
      </c>
      <c r="BM217" s="121">
        <v>18.064</v>
      </c>
      <c r="BN217" s="121">
        <v>18.866999999999997</v>
      </c>
      <c r="BO217" s="121">
        <v>19.670000000000002</v>
      </c>
      <c r="BP217" s="121">
        <v>20.4605</v>
      </c>
      <c r="BQ217" s="121">
        <v>21.250999999999998</v>
      </c>
      <c r="BR217" s="121">
        <v>22.0185</v>
      </c>
      <c r="BS217" s="121">
        <v>22.786000000000001</v>
      </c>
      <c r="BT217" s="121">
        <v>23.571750000000002</v>
      </c>
      <c r="BU217" s="121">
        <v>24.357500000000002</v>
      </c>
      <c r="BV217" s="121">
        <v>25.095749999999999</v>
      </c>
      <c r="BW217" s="121">
        <f t="array" ref="BW217:BW252">TRANSPOSE(BX216:DG216)</f>
        <v>25.834</v>
      </c>
      <c r="BX217" s="120">
        <f>(BW217+BY217)/2</f>
        <v>26.576999999999998</v>
      </c>
      <c r="BY217" s="120">
        <f>(BY216+BY218)/2</f>
        <v>27.32</v>
      </c>
      <c r="BZ217" s="120">
        <f>(BY217+CA217)/2</f>
        <v>28.058250000000001</v>
      </c>
      <c r="CA217" s="120">
        <f>(CA216+CA218)/2</f>
        <v>28.796500000000002</v>
      </c>
      <c r="CB217" s="120">
        <f>(CA217+CC217)/2</f>
        <v>29.524250000000002</v>
      </c>
      <c r="CC217" s="120">
        <f>(CC216+CC218)/2</f>
        <v>30.252000000000002</v>
      </c>
      <c r="CD217" s="120">
        <f>(CC217+CE217)/2</f>
        <v>30.984000000000002</v>
      </c>
      <c r="CE217" s="120">
        <f>(CE216+CE218)/2</f>
        <v>31.716000000000001</v>
      </c>
      <c r="CF217" s="120">
        <f>(CE217+CG217)/2</f>
        <v>32.420249999999996</v>
      </c>
      <c r="CG217" s="120">
        <f>(CG216+CG218)/2</f>
        <v>33.124499999999998</v>
      </c>
      <c r="CH217" s="120">
        <f>(CG217+CI217)/2</f>
        <v>33.867750000000001</v>
      </c>
      <c r="CI217" s="120">
        <f>(CI216+CI218)/2</f>
        <v>34.611000000000004</v>
      </c>
      <c r="CJ217" s="120">
        <f>(CI217+CK217)/2</f>
        <v>35.290500000000002</v>
      </c>
      <c r="CK217" s="120">
        <f>(CK216+CK218)/2</f>
        <v>35.97</v>
      </c>
      <c r="CL217" s="120">
        <f>(CK217+CM217)/2</f>
        <v>36.697499999999998</v>
      </c>
      <c r="CM217" s="120">
        <f>(CM216+CM218)/2</f>
        <v>37.424999999999997</v>
      </c>
      <c r="CN217" s="120">
        <f>(CM217+CO217)/2</f>
        <v>38.104500000000002</v>
      </c>
      <c r="CO217" s="120">
        <f>(CO216+CO218)/2</f>
        <v>38.783999999999999</v>
      </c>
      <c r="CP217" s="120">
        <f>(CO217+CQ217)/2</f>
        <v>39.486750000000001</v>
      </c>
      <c r="CQ217" s="120">
        <f>(CQ216+CQ218)/2</f>
        <v>40.189499999999995</v>
      </c>
      <c r="CR217" s="120">
        <f>(CQ217+CS217)/2</f>
        <v>40.904499999999999</v>
      </c>
      <c r="CS217" s="120">
        <f>(CS216+CS218)/2</f>
        <v>41.619500000000002</v>
      </c>
      <c r="CT217" s="120">
        <f>(CS217+CU217)/2</f>
        <v>42.292749999999998</v>
      </c>
      <c r="CU217" s="120">
        <f>(CU216+CU218)/2</f>
        <v>42.966000000000001</v>
      </c>
      <c r="CV217" s="120">
        <f>(CU217+CW217)/2</f>
        <v>43.646000000000001</v>
      </c>
      <c r="CW217" s="120">
        <f>(CW216+CW218)/2</f>
        <v>44.326000000000001</v>
      </c>
      <c r="CX217" s="120">
        <f>(CW217+CY217)/2</f>
        <v>45.024000000000001</v>
      </c>
      <c r="CY217" s="120">
        <f>(CY216+CY218)/2</f>
        <v>45.721999999999994</v>
      </c>
      <c r="CZ217" s="120">
        <f>(CY217+DA217)/2</f>
        <v>46.401999999999994</v>
      </c>
      <c r="DA217" s="120">
        <f>(DA216+DA218)/2</f>
        <v>47.081999999999994</v>
      </c>
      <c r="DB217" s="120">
        <f>(DA217+DC217)/2</f>
        <v>47.766749999999995</v>
      </c>
      <c r="DC217" s="120">
        <f>(DC216+DC218)/2</f>
        <v>48.451499999999996</v>
      </c>
      <c r="DD217" s="120">
        <f>(DC217+DE217)/2</f>
        <v>49.131249999999994</v>
      </c>
      <c r="DE217" s="120">
        <f>(DE216+DE218)/2</f>
        <v>49.811</v>
      </c>
      <c r="DF217" s="120">
        <f>(DE217+DG217)/2</f>
        <v>50.479749999999996</v>
      </c>
      <c r="DG217" s="122">
        <f>(DG216+DG218)/2</f>
        <v>51.148499999999999</v>
      </c>
    </row>
    <row r="218" spans="54:111" ht="15" customHeight="1" x14ac:dyDescent="0.2">
      <c r="BB218" s="28">
        <v>26</v>
      </c>
      <c r="BC218" s="121">
        <v>9.2409999999999997</v>
      </c>
      <c r="BD218" s="121">
        <v>10.280999999999999</v>
      </c>
      <c r="BE218" s="121">
        <v>11.321</v>
      </c>
      <c r="BF218" s="121">
        <v>12.3245</v>
      </c>
      <c r="BG218" s="121">
        <v>13.327999999999999</v>
      </c>
      <c r="BH218" s="121">
        <v>14.241</v>
      </c>
      <c r="BI218" s="121">
        <v>15.154</v>
      </c>
      <c r="BJ218" s="121">
        <v>16.040500000000002</v>
      </c>
      <c r="BK218" s="121">
        <v>16.927</v>
      </c>
      <c r="BL218" s="121">
        <v>17.733000000000001</v>
      </c>
      <c r="BM218" s="121">
        <v>18.539000000000001</v>
      </c>
      <c r="BN218" s="121">
        <v>19.356999999999999</v>
      </c>
      <c r="BO218" s="121">
        <v>20.175000000000001</v>
      </c>
      <c r="BP218" s="121">
        <v>20.981000000000002</v>
      </c>
      <c r="BQ218" s="121">
        <v>21.786999999999999</v>
      </c>
      <c r="BR218" s="121">
        <v>22.6145</v>
      </c>
      <c r="BS218" s="121">
        <v>23.442</v>
      </c>
      <c r="BT218" s="121">
        <v>24.238</v>
      </c>
      <c r="BU218" s="121">
        <v>25.033999999999999</v>
      </c>
      <c r="BV218" s="121">
        <v>25.8035</v>
      </c>
      <c r="BW218" s="121">
        <v>26.573</v>
      </c>
      <c r="BX218" s="121">
        <f t="array" ref="BX218:BX252">TRANSPOSE(BY217:DG217)</f>
        <v>27.32</v>
      </c>
      <c r="BY218" s="158">
        <v>28.067</v>
      </c>
      <c r="BZ218" s="120">
        <f>(CA218+BY218)/2</f>
        <v>28.826999999999998</v>
      </c>
      <c r="CA218" s="158">
        <v>29.587</v>
      </c>
      <c r="CB218" s="120">
        <f>(CC218+CA218)/2</f>
        <v>30.334499999999998</v>
      </c>
      <c r="CC218" s="158">
        <v>31.082000000000001</v>
      </c>
      <c r="CD218" s="120">
        <f>(CE218+CC218)/2</f>
        <v>31.829000000000001</v>
      </c>
      <c r="CE218" s="158">
        <v>32.576000000000001</v>
      </c>
      <c r="CF218" s="120">
        <f>(CG218+CE218)/2</f>
        <v>33.335999999999999</v>
      </c>
      <c r="CG218" s="158">
        <v>34.095999999999997</v>
      </c>
      <c r="CH218" s="120">
        <f>(CI218+CG218)/2</f>
        <v>34.843499999999999</v>
      </c>
      <c r="CI218" s="158">
        <v>35.591000000000001</v>
      </c>
      <c r="CJ218" s="120">
        <f>(CK218+CI218)/2</f>
        <v>36.301500000000004</v>
      </c>
      <c r="CK218" s="158">
        <v>37.012</v>
      </c>
      <c r="CL218" s="120">
        <f>(CM218+CK218)/2</f>
        <v>37.75</v>
      </c>
      <c r="CM218" s="158">
        <v>38.488</v>
      </c>
      <c r="CN218" s="120">
        <f>(CO218+CM218)/2</f>
        <v>39.198499999999996</v>
      </c>
      <c r="CO218" s="158">
        <v>39.908999999999999</v>
      </c>
      <c r="CP218" s="120">
        <f>(CQ218+CO218)/2</f>
        <v>40.655999999999999</v>
      </c>
      <c r="CQ218" s="158">
        <v>41.402999999999999</v>
      </c>
      <c r="CR218" s="120">
        <f>(CS218+CQ218)/2</f>
        <v>42.103999999999999</v>
      </c>
      <c r="CS218" s="158">
        <v>42.805</v>
      </c>
      <c r="CT218" s="120">
        <f>(CU218+CS218)/2</f>
        <v>43.493499999999997</v>
      </c>
      <c r="CU218" s="158">
        <v>44.182000000000002</v>
      </c>
      <c r="CV218" s="120">
        <f>(CW218+CU218)/2</f>
        <v>44.893000000000001</v>
      </c>
      <c r="CW218" s="158">
        <v>45.603999999999999</v>
      </c>
      <c r="CX218" s="120">
        <f>(CY218+CW218)/2</f>
        <v>46.341999999999999</v>
      </c>
      <c r="CY218" s="158">
        <v>47.08</v>
      </c>
      <c r="CZ218" s="120">
        <f>(DA218+CY218)/2</f>
        <v>47.790499999999994</v>
      </c>
      <c r="DA218" s="158">
        <v>48.500999999999998</v>
      </c>
      <c r="DB218" s="120">
        <f>(DC218+DA218)/2</f>
        <v>49.19</v>
      </c>
      <c r="DC218" s="158">
        <v>49.878999999999998</v>
      </c>
      <c r="DD218" s="120">
        <f>(DE218+DC218)/2</f>
        <v>50.580500000000001</v>
      </c>
      <c r="DE218" s="158">
        <v>51.281999999999996</v>
      </c>
      <c r="DF218" s="120">
        <f>(DG218+DE218)/2</f>
        <v>51.970500000000001</v>
      </c>
      <c r="DG218" s="159">
        <v>52.658999999999999</v>
      </c>
    </row>
    <row r="219" spans="54:111" ht="15" customHeight="1" x14ac:dyDescent="0.2">
      <c r="BB219" s="28">
        <v>27</v>
      </c>
      <c r="BC219" s="121">
        <v>9.5195000000000007</v>
      </c>
      <c r="BD219" s="121">
        <v>10.581</v>
      </c>
      <c r="BE219" s="121">
        <v>11.6425</v>
      </c>
      <c r="BF219" s="121">
        <v>12.661000000000001</v>
      </c>
      <c r="BG219" s="121">
        <v>13.679500000000001</v>
      </c>
      <c r="BH219" s="121">
        <v>14.6235</v>
      </c>
      <c r="BI219" s="121">
        <v>15.567499999999999</v>
      </c>
      <c r="BJ219" s="121">
        <v>16.45825</v>
      </c>
      <c r="BK219" s="121">
        <v>17.349</v>
      </c>
      <c r="BL219" s="121">
        <v>18.210500000000003</v>
      </c>
      <c r="BM219" s="121">
        <v>19.072000000000003</v>
      </c>
      <c r="BN219" s="121">
        <v>19.905000000000001</v>
      </c>
      <c r="BO219" s="121">
        <v>20.738</v>
      </c>
      <c r="BP219" s="121">
        <v>21.570250000000001</v>
      </c>
      <c r="BQ219" s="121">
        <v>22.4025</v>
      </c>
      <c r="BR219" s="121">
        <v>23.234500000000001</v>
      </c>
      <c r="BS219" s="121">
        <v>24.066499999999998</v>
      </c>
      <c r="BT219" s="121">
        <v>24.893750000000001</v>
      </c>
      <c r="BU219" s="121">
        <v>25.721</v>
      </c>
      <c r="BV219" s="121">
        <v>26.50525</v>
      </c>
      <c r="BW219" s="121">
        <v>27.2895</v>
      </c>
      <c r="BX219" s="121">
        <v>28.058250000000001</v>
      </c>
      <c r="BY219" s="121">
        <f t="array" ref="BY219:BY252">TRANSPOSE(BZ218:DG218)</f>
        <v>28.826999999999998</v>
      </c>
      <c r="BZ219" s="120">
        <f>(BY219+CA219)/2</f>
        <v>29.625250000000001</v>
      </c>
      <c r="CA219" s="120">
        <f>(CA218+CA220)/2</f>
        <v>30.423500000000001</v>
      </c>
      <c r="CB219" s="120">
        <f>(CA219+CC219)/2</f>
        <v>31.197000000000003</v>
      </c>
      <c r="CC219" s="120">
        <f>(CC218+CC220)/2</f>
        <v>31.970500000000001</v>
      </c>
      <c r="CD219" s="120">
        <f>(CC219+CE219)/2</f>
        <v>32.743749999999999</v>
      </c>
      <c r="CE219" s="120">
        <f>(CE218+CE220)/2</f>
        <v>33.516999999999996</v>
      </c>
      <c r="CF219" s="120">
        <f>(CE219+CG219)/2</f>
        <v>34.251999999999995</v>
      </c>
      <c r="CG219" s="120">
        <f>(CG218+CG220)/2</f>
        <v>34.986999999999995</v>
      </c>
      <c r="CH219" s="120">
        <f>(CG219+CI219)/2</f>
        <v>35.760499999999993</v>
      </c>
      <c r="CI219" s="120">
        <f>(CI218+CI220)/2</f>
        <v>36.533999999999999</v>
      </c>
      <c r="CJ219" s="120">
        <f>(CI219+CK219)/2</f>
        <v>37.289249999999996</v>
      </c>
      <c r="CK219" s="120">
        <f>(CK218+CK220)/2</f>
        <v>38.044499999999999</v>
      </c>
      <c r="CL219" s="120">
        <f>(CK219+CM219)/2</f>
        <v>38.783999999999999</v>
      </c>
      <c r="CM219" s="120">
        <f>(CM218+CM220)/2</f>
        <v>39.523499999999999</v>
      </c>
      <c r="CN219" s="120">
        <f>(CM219+CO219)/2</f>
        <v>40.267499999999998</v>
      </c>
      <c r="CO219" s="120">
        <f>(CO218+CO220)/2</f>
        <v>41.011499999999998</v>
      </c>
      <c r="CP219" s="120">
        <f>(CO219+CQ219)/2</f>
        <v>41.750749999999996</v>
      </c>
      <c r="CQ219" s="120">
        <f>(CQ218+CQ220)/2</f>
        <v>42.489999999999995</v>
      </c>
      <c r="CR219" s="120">
        <f>(CQ219+CS219)/2</f>
        <v>43.240499999999997</v>
      </c>
      <c r="CS219" s="120">
        <f>(CS218+CS220)/2</f>
        <v>43.991</v>
      </c>
      <c r="CT219" s="120">
        <f>(CS219+CU219)/2</f>
        <v>44.705750000000002</v>
      </c>
      <c r="CU219" s="120">
        <f>(CU218+CU220)/2</f>
        <v>45.420500000000004</v>
      </c>
      <c r="CV219" s="120">
        <f>(CU219+CW219)/2</f>
        <v>46.1355</v>
      </c>
      <c r="CW219" s="120">
        <f>(CW218+CW220)/2</f>
        <v>46.850499999999997</v>
      </c>
      <c r="CX219" s="120">
        <f>(CW219+CY219)/2</f>
        <v>47.619500000000002</v>
      </c>
      <c r="CY219" s="120">
        <f>(CY218+CY220)/2</f>
        <v>48.388500000000001</v>
      </c>
      <c r="CZ219" s="120">
        <f>(CY219+DA219)/2</f>
        <v>49.109750000000005</v>
      </c>
      <c r="DA219" s="120">
        <f>(DA218+DA220)/2</f>
        <v>49.831000000000003</v>
      </c>
      <c r="DB219" s="120">
        <f>(DA219+DC219)/2</f>
        <v>50.545749999999998</v>
      </c>
      <c r="DC219" s="120">
        <f>(DC218+DC220)/2</f>
        <v>51.2605</v>
      </c>
      <c r="DD219" s="120">
        <f>(DC219+DE219)/2</f>
        <v>51.971000000000004</v>
      </c>
      <c r="DE219" s="120">
        <f>(DE218+DE220)/2</f>
        <v>52.6815</v>
      </c>
      <c r="DF219" s="120">
        <f>(DE219+DG219)/2</f>
        <v>53.396500000000003</v>
      </c>
      <c r="DG219" s="122">
        <f>(DG218+DG220)/2</f>
        <v>54.111499999999999</v>
      </c>
    </row>
    <row r="220" spans="54:111" ht="15" customHeight="1" x14ac:dyDescent="0.2">
      <c r="BB220" s="28">
        <v>28</v>
      </c>
      <c r="BC220" s="121">
        <v>9.798</v>
      </c>
      <c r="BD220" s="121">
        <v>10.881</v>
      </c>
      <c r="BE220" s="121">
        <v>11.964</v>
      </c>
      <c r="BF220" s="121">
        <v>12.9975</v>
      </c>
      <c r="BG220" s="121">
        <v>14.031000000000001</v>
      </c>
      <c r="BH220" s="121">
        <v>15.006</v>
      </c>
      <c r="BI220" s="121">
        <v>15.981</v>
      </c>
      <c r="BJ220" s="121">
        <v>16.876000000000001</v>
      </c>
      <c r="BK220" s="121">
        <v>17.771000000000001</v>
      </c>
      <c r="BL220" s="121">
        <v>18.688000000000002</v>
      </c>
      <c r="BM220" s="121">
        <v>19.605</v>
      </c>
      <c r="BN220" s="121">
        <v>20.452999999999999</v>
      </c>
      <c r="BO220" s="121">
        <v>21.300999999999998</v>
      </c>
      <c r="BP220" s="121">
        <v>22.159500000000001</v>
      </c>
      <c r="BQ220" s="121">
        <v>23.018000000000001</v>
      </c>
      <c r="BR220" s="121">
        <v>23.854500000000002</v>
      </c>
      <c r="BS220" s="121">
        <v>24.690999999999999</v>
      </c>
      <c r="BT220" s="121">
        <v>25.549500000000002</v>
      </c>
      <c r="BU220" s="121">
        <v>26.408000000000001</v>
      </c>
      <c r="BV220" s="121">
        <v>27.207000000000001</v>
      </c>
      <c r="BW220" s="121">
        <v>28.006</v>
      </c>
      <c r="BX220" s="121">
        <v>28.796500000000002</v>
      </c>
      <c r="BY220" s="121">
        <v>29.587</v>
      </c>
      <c r="BZ220" s="121">
        <f t="array" ref="BZ220:BZ252">TRANSPOSE(CA219:DG219)</f>
        <v>30.423500000000001</v>
      </c>
      <c r="CA220" s="158">
        <v>31.26</v>
      </c>
      <c r="CB220" s="120">
        <f>(CC220+CA220)/2</f>
        <v>32.0595</v>
      </c>
      <c r="CC220" s="158">
        <v>32.859000000000002</v>
      </c>
      <c r="CD220" s="120">
        <f>(CE220+CC220)/2</f>
        <v>33.658500000000004</v>
      </c>
      <c r="CE220" s="158">
        <v>34.457999999999998</v>
      </c>
      <c r="CF220" s="120">
        <f>(CG220+CE220)/2</f>
        <v>35.167999999999999</v>
      </c>
      <c r="CG220" s="158">
        <v>35.878</v>
      </c>
      <c r="CH220" s="120">
        <f>(CI220+CG220)/2</f>
        <v>36.677499999999995</v>
      </c>
      <c r="CI220" s="158">
        <v>37.476999999999997</v>
      </c>
      <c r="CJ220" s="120">
        <f>(CK220+CI220)/2</f>
        <v>38.277000000000001</v>
      </c>
      <c r="CK220" s="158">
        <v>39.076999999999998</v>
      </c>
      <c r="CL220" s="120">
        <f>(CM220+CK220)/2</f>
        <v>39.817999999999998</v>
      </c>
      <c r="CM220" s="158">
        <v>40.558999999999997</v>
      </c>
      <c r="CN220" s="120">
        <f>(CO220+CM220)/2</f>
        <v>41.336500000000001</v>
      </c>
      <c r="CO220" s="158">
        <v>42.113999999999997</v>
      </c>
      <c r="CP220" s="120">
        <f>(CQ220+CO220)/2</f>
        <v>42.845500000000001</v>
      </c>
      <c r="CQ220" s="158">
        <v>43.576999999999998</v>
      </c>
      <c r="CR220" s="120">
        <f>(CS220+CQ220)/2</f>
        <v>44.376999999999995</v>
      </c>
      <c r="CS220" s="158">
        <v>45.177</v>
      </c>
      <c r="CT220" s="120">
        <f>(CU220+CS220)/2</f>
        <v>45.917999999999999</v>
      </c>
      <c r="CU220" s="158">
        <v>46.658999999999999</v>
      </c>
      <c r="CV220" s="120">
        <f>(CW220+CU220)/2</f>
        <v>47.378</v>
      </c>
      <c r="CW220" s="158">
        <v>48.097000000000001</v>
      </c>
      <c r="CX220" s="120">
        <f>(CY220+CW220)/2</f>
        <v>48.897000000000006</v>
      </c>
      <c r="CY220" s="158">
        <v>49.697000000000003</v>
      </c>
      <c r="CZ220" s="120">
        <f>(DA220+CY220)/2</f>
        <v>50.429000000000002</v>
      </c>
      <c r="DA220" s="158">
        <v>51.161000000000001</v>
      </c>
      <c r="DB220" s="120">
        <f>(DC220+DA220)/2</f>
        <v>51.901499999999999</v>
      </c>
      <c r="DC220" s="158">
        <v>52.642000000000003</v>
      </c>
      <c r="DD220" s="120">
        <f>(DE220+DC220)/2</f>
        <v>53.361500000000007</v>
      </c>
      <c r="DE220" s="158">
        <v>54.081000000000003</v>
      </c>
      <c r="DF220" s="120">
        <f>(DG220+DE220)/2</f>
        <v>54.822500000000005</v>
      </c>
      <c r="DG220" s="159">
        <v>55.564</v>
      </c>
    </row>
    <row r="221" spans="54:111" ht="15" customHeight="1" x14ac:dyDescent="0.2">
      <c r="BB221" s="28">
        <v>29</v>
      </c>
      <c r="BC221" s="121">
        <v>10.030999999999999</v>
      </c>
      <c r="BD221" s="121">
        <v>11.1335</v>
      </c>
      <c r="BE221" s="121">
        <v>12.236000000000001</v>
      </c>
      <c r="BF221" s="121">
        <v>13.285</v>
      </c>
      <c r="BG221" s="121">
        <v>14.334</v>
      </c>
      <c r="BH221" s="121">
        <v>15.324249999999999</v>
      </c>
      <c r="BI221" s="121">
        <v>16.314499999999999</v>
      </c>
      <c r="BJ221" s="121">
        <v>17.265000000000001</v>
      </c>
      <c r="BK221" s="121">
        <v>18.215499999999999</v>
      </c>
      <c r="BL221" s="121">
        <v>19.142749999999999</v>
      </c>
      <c r="BM221" s="121">
        <v>20.07</v>
      </c>
      <c r="BN221" s="121">
        <v>20.93825</v>
      </c>
      <c r="BO221" s="121">
        <v>21.8065</v>
      </c>
      <c r="BP221" s="121">
        <v>22.709500000000002</v>
      </c>
      <c r="BQ221" s="121">
        <v>23.612500000000001</v>
      </c>
      <c r="BR221" s="121">
        <v>24.47475</v>
      </c>
      <c r="BS221" s="121">
        <v>25.337</v>
      </c>
      <c r="BT221" s="121">
        <v>26.1815</v>
      </c>
      <c r="BU221" s="121">
        <v>27.026</v>
      </c>
      <c r="BV221" s="121">
        <v>27.87</v>
      </c>
      <c r="BW221" s="121">
        <v>28.713999999999999</v>
      </c>
      <c r="BX221" s="121">
        <v>29.524250000000002</v>
      </c>
      <c r="BY221" s="121">
        <v>30.334499999999998</v>
      </c>
      <c r="BZ221" s="121">
        <v>31.197000000000003</v>
      </c>
      <c r="CA221" s="121">
        <f t="array" ref="CA221:CA252">TRANSPOSE(CB220:DG220)</f>
        <v>32.0595</v>
      </c>
      <c r="CB221" s="120">
        <f>(CA221+CC221)/2</f>
        <v>32.874250000000004</v>
      </c>
      <c r="CC221" s="120">
        <f>(CC220+CC222)/2</f>
        <v>33.689</v>
      </c>
      <c r="CD221" s="120">
        <f>(CC221+CE221)/2</f>
        <v>34.504000000000005</v>
      </c>
      <c r="CE221" s="120">
        <f>(CE220+CE222)/2</f>
        <v>35.319000000000003</v>
      </c>
      <c r="CF221" s="120">
        <f>(CE221+CG221)/2</f>
        <v>36.088999999999999</v>
      </c>
      <c r="CG221" s="120">
        <f>(CG220+CG222)/2</f>
        <v>36.859000000000002</v>
      </c>
      <c r="CH221" s="120">
        <f>(CG221+CI221)/2</f>
        <v>37.673749999999998</v>
      </c>
      <c r="CI221" s="120">
        <f>(CI220+CI222)/2</f>
        <v>38.488500000000002</v>
      </c>
      <c r="CJ221" s="120">
        <f>(CI221+CK221)/2</f>
        <v>39.269500000000001</v>
      </c>
      <c r="CK221" s="120">
        <f>(CK220+CK222)/2</f>
        <v>40.0505</v>
      </c>
      <c r="CL221" s="120">
        <f>(CK221+CM221)/2</f>
        <v>40.835999999999999</v>
      </c>
      <c r="CM221" s="120">
        <f>(CM220+CM222)/2</f>
        <v>41.621499999999997</v>
      </c>
      <c r="CN221" s="120">
        <f>(CM221+CO221)/2</f>
        <v>42.425249999999998</v>
      </c>
      <c r="CO221" s="120">
        <f>(CO220+CO222)/2</f>
        <v>43.228999999999999</v>
      </c>
      <c r="CP221" s="120">
        <f>(CO221+CQ221)/2</f>
        <v>43.980499999999999</v>
      </c>
      <c r="CQ221" s="120">
        <f>(CQ220+CQ222)/2</f>
        <v>44.731999999999999</v>
      </c>
      <c r="CR221" s="120">
        <f>(CQ221+CS221)/2</f>
        <v>45.547249999999998</v>
      </c>
      <c r="CS221" s="120">
        <f>(CS220+CS222)/2</f>
        <v>46.362499999999997</v>
      </c>
      <c r="CT221" s="120">
        <f>(CS221+CU221)/2</f>
        <v>47.118749999999999</v>
      </c>
      <c r="CU221" s="120">
        <f>(CU220+CU222)/2</f>
        <v>47.875</v>
      </c>
      <c r="CV221" s="120">
        <f>(CU221+CW221)/2</f>
        <v>48.620249999999999</v>
      </c>
      <c r="CW221" s="120">
        <f>(CW220+CW222)/2</f>
        <v>49.365499999999997</v>
      </c>
      <c r="CX221" s="120">
        <f>(CW221+CY221)/2</f>
        <v>50.180750000000003</v>
      </c>
      <c r="CY221" s="120">
        <f>(CY220+CY222)/2</f>
        <v>50.996000000000002</v>
      </c>
      <c r="CZ221" s="120">
        <f>(CY221+DA221)/2</f>
        <v>51.747749999999996</v>
      </c>
      <c r="DA221" s="120">
        <f>(DA220+DA222)/2</f>
        <v>52.499499999999998</v>
      </c>
      <c r="DB221" s="120">
        <f>(DA221+DC221)/2</f>
        <v>53.255749999999999</v>
      </c>
      <c r="DC221" s="120">
        <f>(DC220+DC222)/2</f>
        <v>54.012</v>
      </c>
      <c r="DD221" s="120">
        <f>(DC221+DE221)/2</f>
        <v>54.757249999999999</v>
      </c>
      <c r="DE221" s="120">
        <f>(DE220+DE222)/2</f>
        <v>55.502499999999998</v>
      </c>
      <c r="DF221" s="120">
        <f>(DE221+DG221)/2</f>
        <v>56.288499999999999</v>
      </c>
      <c r="DG221" s="122">
        <f>(DG220+DG222)/2</f>
        <v>57.0745</v>
      </c>
    </row>
    <row r="222" spans="54:111" ht="15" customHeight="1" x14ac:dyDescent="0.2">
      <c r="BB222" s="28">
        <v>30</v>
      </c>
      <c r="BC222" s="121">
        <v>10.263999999999999</v>
      </c>
      <c r="BD222" s="121">
        <v>11.385999999999999</v>
      </c>
      <c r="BE222" s="121">
        <v>12.507999999999999</v>
      </c>
      <c r="BF222" s="121">
        <v>13.5725</v>
      </c>
      <c r="BG222" s="121">
        <v>14.637</v>
      </c>
      <c r="BH222" s="121">
        <v>15.6425</v>
      </c>
      <c r="BI222" s="121">
        <v>16.648</v>
      </c>
      <c r="BJ222" s="121">
        <v>17.654</v>
      </c>
      <c r="BK222" s="121">
        <v>18.66</v>
      </c>
      <c r="BL222" s="121">
        <v>19.5975</v>
      </c>
      <c r="BM222" s="121">
        <v>20.535</v>
      </c>
      <c r="BN222" s="121">
        <v>21.423500000000001</v>
      </c>
      <c r="BO222" s="121">
        <v>22.312000000000001</v>
      </c>
      <c r="BP222" s="121">
        <v>23.259500000000003</v>
      </c>
      <c r="BQ222" s="121">
        <v>24.207000000000001</v>
      </c>
      <c r="BR222" s="121">
        <v>25.094999999999999</v>
      </c>
      <c r="BS222" s="121">
        <v>25.983000000000001</v>
      </c>
      <c r="BT222" s="121">
        <v>26.813499999999998</v>
      </c>
      <c r="BU222" s="121">
        <v>27.643999999999998</v>
      </c>
      <c r="BV222" s="121">
        <v>28.533000000000001</v>
      </c>
      <c r="BW222" s="121">
        <v>29.422000000000001</v>
      </c>
      <c r="BX222" s="121">
        <v>30.252000000000002</v>
      </c>
      <c r="BY222" s="121">
        <v>31.082000000000001</v>
      </c>
      <c r="BZ222" s="121">
        <v>31.970500000000001</v>
      </c>
      <c r="CA222" s="121">
        <v>32.859000000000002</v>
      </c>
      <c r="CB222" s="121">
        <f t="array" ref="CB222:CB252">TRANSPOSE(CC221:DG221)</f>
        <v>33.689</v>
      </c>
      <c r="CC222" s="158">
        <v>34.518999999999998</v>
      </c>
      <c r="CD222" s="120">
        <f>(CE222+CC222)/2</f>
        <v>35.349499999999999</v>
      </c>
      <c r="CE222" s="158">
        <v>36.18</v>
      </c>
      <c r="CF222" s="120">
        <f>(CG222+CE222)/2</f>
        <v>37.010000000000005</v>
      </c>
      <c r="CG222" s="158">
        <v>37.840000000000003</v>
      </c>
      <c r="CH222" s="120">
        <f>(CI222+CG222)/2</f>
        <v>38.67</v>
      </c>
      <c r="CI222" s="158">
        <v>39.5</v>
      </c>
      <c r="CJ222" s="120">
        <f>(CK222+CI222)/2</f>
        <v>40.262</v>
      </c>
      <c r="CK222" s="158">
        <v>41.024000000000001</v>
      </c>
      <c r="CL222" s="120">
        <f>(CM222+CK222)/2</f>
        <v>41.853999999999999</v>
      </c>
      <c r="CM222" s="158">
        <v>42.683999999999997</v>
      </c>
      <c r="CN222" s="120">
        <f>(CO222+CM222)/2</f>
        <v>43.513999999999996</v>
      </c>
      <c r="CO222" s="158">
        <v>44.344000000000001</v>
      </c>
      <c r="CP222" s="120">
        <f>(CQ222+CO222)/2</f>
        <v>45.115499999999997</v>
      </c>
      <c r="CQ222" s="158">
        <v>45.887</v>
      </c>
      <c r="CR222" s="120">
        <f>(CS222+CQ222)/2</f>
        <v>46.717500000000001</v>
      </c>
      <c r="CS222" s="158">
        <v>47.548000000000002</v>
      </c>
      <c r="CT222" s="120">
        <f>(CU222+CS222)/2</f>
        <v>48.319500000000005</v>
      </c>
      <c r="CU222" s="158">
        <v>49.091000000000001</v>
      </c>
      <c r="CV222" s="120">
        <f>(CW222+CU222)/2</f>
        <v>49.862499999999997</v>
      </c>
      <c r="CW222" s="158">
        <v>50.634</v>
      </c>
      <c r="CX222" s="120">
        <f>(CY222+CW222)/2</f>
        <v>51.464500000000001</v>
      </c>
      <c r="CY222" s="158">
        <v>52.295000000000002</v>
      </c>
      <c r="CZ222" s="120">
        <f>(DA222+CY222)/2</f>
        <v>53.066500000000005</v>
      </c>
      <c r="DA222" s="158">
        <v>53.838000000000001</v>
      </c>
      <c r="DB222" s="120">
        <f>(DC222+DA222)/2</f>
        <v>54.61</v>
      </c>
      <c r="DC222" s="158">
        <v>55.381999999999998</v>
      </c>
      <c r="DD222" s="120">
        <f>(DE222+DC222)/2</f>
        <v>56.152999999999999</v>
      </c>
      <c r="DE222" s="158">
        <v>56.923999999999999</v>
      </c>
      <c r="DF222" s="120">
        <f>(DG222+DE222)/2</f>
        <v>57.7545</v>
      </c>
      <c r="DG222" s="159">
        <v>58.585000000000001</v>
      </c>
    </row>
    <row r="223" spans="54:111" ht="15" customHeight="1" x14ac:dyDescent="0.2">
      <c r="BB223" s="28">
        <v>31</v>
      </c>
      <c r="BC223" s="121">
        <v>10.495999999999999</v>
      </c>
      <c r="BD223" s="121">
        <v>11.662749999999999</v>
      </c>
      <c r="BE223" s="121">
        <v>12.829499999999999</v>
      </c>
      <c r="BF223" s="121">
        <v>13.908999999999999</v>
      </c>
      <c r="BG223" s="121">
        <v>14.9885</v>
      </c>
      <c r="BH223" s="121">
        <v>16.009499999999999</v>
      </c>
      <c r="BI223" s="121">
        <v>17.0305</v>
      </c>
      <c r="BJ223" s="121">
        <v>18.0625</v>
      </c>
      <c r="BK223" s="121">
        <v>19.0945</v>
      </c>
      <c r="BL223" s="121">
        <v>20.052</v>
      </c>
      <c r="BM223" s="121">
        <v>21.009500000000003</v>
      </c>
      <c r="BN223" s="121">
        <v>21.942500000000003</v>
      </c>
      <c r="BO223" s="121">
        <v>22.875500000000002</v>
      </c>
      <c r="BP223" s="121">
        <v>23.808750000000003</v>
      </c>
      <c r="BQ223" s="121">
        <v>24.742000000000001</v>
      </c>
      <c r="BR223" s="121">
        <v>25.656749999999999</v>
      </c>
      <c r="BS223" s="121">
        <v>26.5715</v>
      </c>
      <c r="BT223" s="121">
        <v>27.451000000000001</v>
      </c>
      <c r="BU223" s="121">
        <v>28.330500000000001</v>
      </c>
      <c r="BV223" s="121">
        <v>29.234750000000002</v>
      </c>
      <c r="BW223" s="121">
        <v>30.139000000000003</v>
      </c>
      <c r="BX223" s="121">
        <v>30.984000000000002</v>
      </c>
      <c r="BY223" s="121">
        <v>31.829000000000001</v>
      </c>
      <c r="BZ223" s="121">
        <v>32.743749999999999</v>
      </c>
      <c r="CA223" s="121">
        <v>33.658500000000004</v>
      </c>
      <c r="CB223" s="121">
        <v>34.504000000000005</v>
      </c>
      <c r="CC223" s="121">
        <f t="array" ref="CC223:CC252">TRANSPOSE(CD222:DG222)</f>
        <v>35.349499999999999</v>
      </c>
      <c r="CD223" s="120">
        <f>(CC223+CE223)/2</f>
        <v>36.195</v>
      </c>
      <c r="CE223" s="120">
        <f>(CE222+CE224)/2</f>
        <v>37.040500000000002</v>
      </c>
      <c r="CF223" s="120">
        <f>(CE223+CG223)/2</f>
        <v>37.896749999999997</v>
      </c>
      <c r="CG223" s="120">
        <f>(CG222+CG224)/2</f>
        <v>38.753</v>
      </c>
      <c r="CH223" s="120">
        <f>(CG223+CI223)/2</f>
        <v>39.597999999999999</v>
      </c>
      <c r="CI223" s="120">
        <f>(CI222+CI224)/2</f>
        <v>40.442999999999998</v>
      </c>
      <c r="CJ223" s="120">
        <f>(CI223+CK223)/2</f>
        <v>41.2545</v>
      </c>
      <c r="CK223" s="120">
        <f>(CK222+CK224)/2</f>
        <v>42.066000000000003</v>
      </c>
      <c r="CL223" s="120">
        <f>(CK223+CM223)/2</f>
        <v>42.911250000000003</v>
      </c>
      <c r="CM223" s="120">
        <f>(CM222+CM224)/2</f>
        <v>43.756500000000003</v>
      </c>
      <c r="CN223" s="120">
        <f>(CM223+CO223)/2</f>
        <v>44.583500000000001</v>
      </c>
      <c r="CO223" s="120">
        <f>(CO222+CO224)/2</f>
        <v>45.410499999999999</v>
      </c>
      <c r="CP223" s="120">
        <f>(CO223+CQ223)/2</f>
        <v>46.226500000000001</v>
      </c>
      <c r="CQ223" s="120">
        <f>(CQ222+CQ224)/2</f>
        <v>47.042500000000004</v>
      </c>
      <c r="CR223" s="120">
        <f>(CQ223+CS223)/2</f>
        <v>47.858750000000001</v>
      </c>
      <c r="CS223" s="120">
        <f>(CS222+CS224)/2</f>
        <v>48.674999999999997</v>
      </c>
      <c r="CT223" s="120">
        <f>(CS223+CU223)/2</f>
        <v>49.491250000000001</v>
      </c>
      <c r="CU223" s="120">
        <f>(CU222+CU224)/2</f>
        <v>50.307500000000005</v>
      </c>
      <c r="CV223" s="120">
        <f>(CU223+CW223)/2</f>
        <v>51.105249999999998</v>
      </c>
      <c r="CW223" s="120">
        <f>(CW222+CW224)/2</f>
        <v>51.902999999999999</v>
      </c>
      <c r="CX223" s="120">
        <f>(CW223+CY223)/2</f>
        <v>52.748249999999999</v>
      </c>
      <c r="CY223" s="120">
        <f>(CY222+CY224)/2</f>
        <v>53.593500000000006</v>
      </c>
      <c r="CZ223" s="120">
        <f>(CY223+DA223)/2</f>
        <v>54.380500000000005</v>
      </c>
      <c r="DA223" s="120">
        <f>(DA222+DA224)/2</f>
        <v>55.167500000000004</v>
      </c>
      <c r="DB223" s="120">
        <f>(DA223+DC223)/2</f>
        <v>55.954500000000003</v>
      </c>
      <c r="DC223" s="120">
        <f>(DC222+DC224)/2</f>
        <v>56.741500000000002</v>
      </c>
      <c r="DD223" s="120">
        <f>(DC223+DE223)/2</f>
        <v>57.5685</v>
      </c>
      <c r="DE223" s="120">
        <f>(DE222+DE224)/2</f>
        <v>58.395499999999998</v>
      </c>
      <c r="DF223" s="120">
        <f>(DE223+DG223)/2</f>
        <v>59.211749999999995</v>
      </c>
      <c r="DG223" s="122">
        <f>(DG222+DG224)/2</f>
        <v>60.027999999999999</v>
      </c>
    </row>
    <row r="224" spans="54:111" ht="15" customHeight="1" x14ac:dyDescent="0.2">
      <c r="BB224" s="28">
        <v>32</v>
      </c>
      <c r="BC224" s="121">
        <v>10.728</v>
      </c>
      <c r="BD224" s="121">
        <v>11.939499999999999</v>
      </c>
      <c r="BE224" s="121">
        <v>13.151</v>
      </c>
      <c r="BF224" s="121">
        <v>14.2455</v>
      </c>
      <c r="BG224" s="121">
        <v>15.34</v>
      </c>
      <c r="BH224" s="121">
        <v>16.3765</v>
      </c>
      <c r="BI224" s="121">
        <v>17.413</v>
      </c>
      <c r="BJ224" s="121">
        <v>18.471</v>
      </c>
      <c r="BK224" s="121">
        <v>19.529</v>
      </c>
      <c r="BL224" s="121">
        <v>20.506500000000003</v>
      </c>
      <c r="BM224" s="121">
        <v>21.484000000000002</v>
      </c>
      <c r="BN224" s="121">
        <v>22.461500000000001</v>
      </c>
      <c r="BO224" s="121">
        <v>23.439</v>
      </c>
      <c r="BP224" s="121">
        <v>24.358000000000001</v>
      </c>
      <c r="BQ224" s="121">
        <v>25.277000000000001</v>
      </c>
      <c r="BR224" s="121">
        <v>26.218499999999999</v>
      </c>
      <c r="BS224" s="121">
        <v>27.16</v>
      </c>
      <c r="BT224" s="121">
        <v>28.0885</v>
      </c>
      <c r="BU224" s="121">
        <v>29.016999999999999</v>
      </c>
      <c r="BV224" s="121">
        <v>29.936500000000002</v>
      </c>
      <c r="BW224" s="121">
        <v>30.856000000000002</v>
      </c>
      <c r="BX224" s="121">
        <v>31.716000000000001</v>
      </c>
      <c r="BY224" s="121">
        <v>32.576000000000001</v>
      </c>
      <c r="BZ224" s="121">
        <v>33.516999999999996</v>
      </c>
      <c r="CA224" s="121">
        <v>34.457999999999998</v>
      </c>
      <c r="CB224" s="121">
        <v>35.319000000000003</v>
      </c>
      <c r="CC224" s="121">
        <v>36.18</v>
      </c>
      <c r="CD224" s="121">
        <f t="array" ref="CD224:CD252">TRANSPOSE(CE223:DG223)</f>
        <v>37.040500000000002</v>
      </c>
      <c r="CE224" s="158">
        <v>37.901000000000003</v>
      </c>
      <c r="CF224" s="120">
        <f>(CG224+CE224)/2</f>
        <v>38.783500000000004</v>
      </c>
      <c r="CG224" s="158">
        <v>39.665999999999997</v>
      </c>
      <c r="CH224" s="120">
        <f>(CI224+CG224)/2</f>
        <v>40.525999999999996</v>
      </c>
      <c r="CI224" s="158">
        <v>41.386000000000003</v>
      </c>
      <c r="CJ224" s="120">
        <f>(CK224+CI224)/2</f>
        <v>42.247</v>
      </c>
      <c r="CK224" s="158">
        <v>43.107999999999997</v>
      </c>
      <c r="CL224" s="120">
        <f>(CM224+CK224)/2</f>
        <v>43.968499999999999</v>
      </c>
      <c r="CM224" s="158">
        <v>44.829000000000001</v>
      </c>
      <c r="CN224" s="120">
        <f>(CO224+CM224)/2</f>
        <v>45.652999999999999</v>
      </c>
      <c r="CO224" s="158">
        <v>46.476999999999997</v>
      </c>
      <c r="CP224" s="120">
        <f>(CQ224+CO224)/2</f>
        <v>47.337499999999999</v>
      </c>
      <c r="CQ224" s="158">
        <v>48.198</v>
      </c>
      <c r="CR224" s="120">
        <f>(CS224+CQ224)/2</f>
        <v>49</v>
      </c>
      <c r="CS224" s="158">
        <v>49.802</v>
      </c>
      <c r="CT224" s="120">
        <f>(CU224+CS224)/2</f>
        <v>50.662999999999997</v>
      </c>
      <c r="CU224" s="158">
        <v>51.524000000000001</v>
      </c>
      <c r="CV224" s="120">
        <f>(CW224+CU224)/2</f>
        <v>52.347999999999999</v>
      </c>
      <c r="CW224" s="158">
        <v>53.171999999999997</v>
      </c>
      <c r="CX224" s="120">
        <f>(CY224+CW224)/2</f>
        <v>54.031999999999996</v>
      </c>
      <c r="CY224" s="158">
        <v>54.892000000000003</v>
      </c>
      <c r="CZ224" s="120">
        <f>(DA224+CY224)/2</f>
        <v>55.694500000000005</v>
      </c>
      <c r="DA224" s="158">
        <v>56.497</v>
      </c>
      <c r="DB224" s="120">
        <f>(DC224+DA224)/2</f>
        <v>57.298999999999999</v>
      </c>
      <c r="DC224" s="158">
        <v>58.100999999999999</v>
      </c>
      <c r="DD224" s="120">
        <f>(DE224+DC224)/2</f>
        <v>58.983999999999995</v>
      </c>
      <c r="DE224" s="158">
        <v>59.866999999999997</v>
      </c>
      <c r="DF224" s="120">
        <f>(DG224+DE224)/2</f>
        <v>60.668999999999997</v>
      </c>
      <c r="DG224" s="159">
        <v>61.470999999999997</v>
      </c>
    </row>
    <row r="225" spans="54:111" ht="15" customHeight="1" x14ac:dyDescent="0.2">
      <c r="BB225" s="28">
        <v>33</v>
      </c>
      <c r="BC225" s="121">
        <v>10.997</v>
      </c>
      <c r="BD225" s="121">
        <v>12.210249999999998</v>
      </c>
      <c r="BE225" s="121">
        <v>13.423500000000001</v>
      </c>
      <c r="BF225" s="121">
        <v>14.5625</v>
      </c>
      <c r="BG225" s="121">
        <v>15.701499999999999</v>
      </c>
      <c r="BH225" s="121">
        <v>16.763999999999999</v>
      </c>
      <c r="BI225" s="121">
        <v>17.826499999999999</v>
      </c>
      <c r="BJ225" s="121">
        <v>18.888750000000002</v>
      </c>
      <c r="BK225" s="121">
        <v>19.951000000000001</v>
      </c>
      <c r="BL225" s="121">
        <v>20.954750000000001</v>
      </c>
      <c r="BM225" s="121">
        <v>21.958500000000001</v>
      </c>
      <c r="BN225" s="121">
        <v>22.951499999999999</v>
      </c>
      <c r="BO225" s="121">
        <v>23.944499999999998</v>
      </c>
      <c r="BP225" s="121">
        <v>24.894500000000001</v>
      </c>
      <c r="BQ225" s="121">
        <v>25.8445</v>
      </c>
      <c r="BR225" s="121">
        <v>26.818999999999999</v>
      </c>
      <c r="BS225" s="121">
        <v>27.793500000000002</v>
      </c>
      <c r="BT225" s="121">
        <v>28.743499999999997</v>
      </c>
      <c r="BU225" s="121">
        <v>29.6935</v>
      </c>
      <c r="BV225" s="121">
        <v>30.599</v>
      </c>
      <c r="BW225" s="121">
        <v>31.5045</v>
      </c>
      <c r="BX225" s="121">
        <v>32.420249999999996</v>
      </c>
      <c r="BY225" s="121">
        <v>33.335999999999999</v>
      </c>
      <c r="BZ225" s="121">
        <v>34.251999999999995</v>
      </c>
      <c r="CA225" s="121">
        <v>35.167999999999999</v>
      </c>
      <c r="CB225" s="121">
        <v>36.088999999999999</v>
      </c>
      <c r="CC225" s="121">
        <v>37.010000000000005</v>
      </c>
      <c r="CD225" s="121">
        <v>37.896749999999997</v>
      </c>
      <c r="CE225" s="121">
        <f t="array" ref="CE225:CE252">TRANSPOSE(CF224:DG224)</f>
        <v>38.783500000000004</v>
      </c>
      <c r="CF225" s="120">
        <f>(CE225+CG225)/2</f>
        <v>39.67</v>
      </c>
      <c r="CG225" s="120">
        <f>(CG224+CG226)/2</f>
        <v>40.5565</v>
      </c>
      <c r="CH225" s="120">
        <f>(CG225+CI225)/2</f>
        <v>41.442999999999998</v>
      </c>
      <c r="CI225" s="120">
        <f>(CI224+CI226)/2</f>
        <v>42.329500000000003</v>
      </c>
      <c r="CJ225" s="120">
        <f>(CI225+CK225)/2</f>
        <v>43.205500000000001</v>
      </c>
      <c r="CK225" s="120">
        <f>(CK224+CK226)/2</f>
        <v>44.081499999999998</v>
      </c>
      <c r="CL225" s="120">
        <f>(CK225+CM225)/2</f>
        <v>44.97325</v>
      </c>
      <c r="CM225" s="120">
        <f>(CM224+CM226)/2</f>
        <v>45.865000000000002</v>
      </c>
      <c r="CN225" s="120">
        <f>(CM225+CO225)/2</f>
        <v>46.722499999999997</v>
      </c>
      <c r="CO225" s="120">
        <f>(CO224+CO226)/2</f>
        <v>47.58</v>
      </c>
      <c r="CP225" s="120">
        <f>(CO225+CQ225)/2</f>
        <v>48.437249999999999</v>
      </c>
      <c r="CQ225" s="120">
        <f>(CQ224+CQ226)/2</f>
        <v>49.294499999999999</v>
      </c>
      <c r="CR225" s="120">
        <f>(CQ225+CS225)/2</f>
        <v>50.140999999999998</v>
      </c>
      <c r="CS225" s="120">
        <f>(CS224+CS226)/2</f>
        <v>50.987499999999997</v>
      </c>
      <c r="CT225" s="120">
        <f>(CS225+CU225)/2</f>
        <v>51.845500000000001</v>
      </c>
      <c r="CU225" s="120">
        <f>(CU224+CU226)/2</f>
        <v>52.703500000000005</v>
      </c>
      <c r="CV225" s="120">
        <f>(CU225+CW225)/2</f>
        <v>53.561</v>
      </c>
      <c r="CW225" s="120">
        <f>(CW224+CW226)/2</f>
        <v>54.418499999999995</v>
      </c>
      <c r="CX225" s="120">
        <f>(CW225+CY225)/2</f>
        <v>55.280499999999996</v>
      </c>
      <c r="CY225" s="120">
        <f>(CY224+CY226)/2</f>
        <v>56.142499999999998</v>
      </c>
      <c r="CZ225" s="120">
        <f>(CY225+DA225)/2</f>
        <v>56.989249999999998</v>
      </c>
      <c r="DA225" s="120">
        <f>(DA224+DA226)/2</f>
        <v>57.835999999999999</v>
      </c>
      <c r="DB225" s="120">
        <f>(DA225+DC225)/2</f>
        <v>58.664249999999996</v>
      </c>
      <c r="DC225" s="120">
        <f>(DC224+DC226)/2</f>
        <v>59.4925</v>
      </c>
      <c r="DD225" s="120">
        <f>(DC225+DE225)/2</f>
        <v>60.350250000000003</v>
      </c>
      <c r="DE225" s="120">
        <f>(DE224+DE226)/2</f>
        <v>61.207999999999998</v>
      </c>
      <c r="DF225" s="120">
        <f>(DE225+DG225)/2</f>
        <v>62.0655</v>
      </c>
      <c r="DG225" s="122">
        <f>(DG224+DG226)/2</f>
        <v>62.923000000000002</v>
      </c>
    </row>
    <row r="226" spans="54:111" ht="15" customHeight="1" x14ac:dyDescent="0.2">
      <c r="BB226" s="28">
        <v>34</v>
      </c>
      <c r="BC226" s="121">
        <v>11.266</v>
      </c>
      <c r="BD226" s="121">
        <v>12.481</v>
      </c>
      <c r="BE226" s="121">
        <v>13.696</v>
      </c>
      <c r="BF226" s="121">
        <v>14.8795</v>
      </c>
      <c r="BG226" s="121">
        <v>16.062999999999999</v>
      </c>
      <c r="BH226" s="121">
        <v>17.151499999999999</v>
      </c>
      <c r="BI226" s="121">
        <v>18.239999999999998</v>
      </c>
      <c r="BJ226" s="121">
        <v>19.3065</v>
      </c>
      <c r="BK226" s="121">
        <v>20.373000000000001</v>
      </c>
      <c r="BL226" s="121">
        <v>21.402999999999999</v>
      </c>
      <c r="BM226" s="121">
        <v>22.433</v>
      </c>
      <c r="BN226" s="121">
        <v>23.441499999999998</v>
      </c>
      <c r="BO226" s="121">
        <v>24.45</v>
      </c>
      <c r="BP226" s="121">
        <v>25.430999999999997</v>
      </c>
      <c r="BQ226" s="121">
        <v>26.411999999999999</v>
      </c>
      <c r="BR226" s="121">
        <v>27.419499999999999</v>
      </c>
      <c r="BS226" s="121">
        <v>28.427</v>
      </c>
      <c r="BT226" s="121">
        <v>29.398499999999999</v>
      </c>
      <c r="BU226" s="121">
        <v>30.37</v>
      </c>
      <c r="BV226" s="121">
        <v>31.261499999999998</v>
      </c>
      <c r="BW226" s="121">
        <v>32.152999999999999</v>
      </c>
      <c r="BX226" s="121">
        <v>33.124499999999998</v>
      </c>
      <c r="BY226" s="121">
        <v>34.095999999999997</v>
      </c>
      <c r="BZ226" s="121">
        <v>34.986999999999995</v>
      </c>
      <c r="CA226" s="121">
        <v>35.878</v>
      </c>
      <c r="CB226" s="121">
        <v>36.859000000000002</v>
      </c>
      <c r="CC226" s="121">
        <v>37.840000000000003</v>
      </c>
      <c r="CD226" s="121">
        <v>38.753</v>
      </c>
      <c r="CE226" s="121">
        <v>39.665999999999997</v>
      </c>
      <c r="CF226" s="121">
        <f t="array" ref="CF226:CF252">TRANSPOSE(CG225:DG225)</f>
        <v>40.5565</v>
      </c>
      <c r="CG226" s="158">
        <v>41.447000000000003</v>
      </c>
      <c r="CH226" s="120">
        <f>(CI226+CG226)/2</f>
        <v>42.36</v>
      </c>
      <c r="CI226" s="158">
        <v>43.273000000000003</v>
      </c>
      <c r="CJ226" s="120">
        <f>(CK226+CI226)/2</f>
        <v>44.164000000000001</v>
      </c>
      <c r="CK226" s="158">
        <v>45.055</v>
      </c>
      <c r="CL226" s="120">
        <f>(CM226+CK226)/2</f>
        <v>45.978000000000002</v>
      </c>
      <c r="CM226" s="158">
        <v>46.901000000000003</v>
      </c>
      <c r="CN226" s="120">
        <f>(CO226+CM226)/2</f>
        <v>47.792000000000002</v>
      </c>
      <c r="CO226" s="158">
        <v>48.683</v>
      </c>
      <c r="CP226" s="120">
        <f>(CQ226+CO226)/2</f>
        <v>49.536999999999999</v>
      </c>
      <c r="CQ226" s="158">
        <v>50.390999999999998</v>
      </c>
      <c r="CR226" s="120">
        <f>(CS226+CQ226)/2</f>
        <v>51.281999999999996</v>
      </c>
      <c r="CS226" s="158">
        <v>52.173000000000002</v>
      </c>
      <c r="CT226" s="120">
        <f>(CU226+CS226)/2</f>
        <v>53.028000000000006</v>
      </c>
      <c r="CU226" s="158">
        <v>53.883000000000003</v>
      </c>
      <c r="CV226" s="120">
        <f>(CW226+CU226)/2</f>
        <v>54.774000000000001</v>
      </c>
      <c r="CW226" s="158">
        <v>55.664999999999999</v>
      </c>
      <c r="CX226" s="120">
        <f>(CY226+CW226)/2</f>
        <v>56.528999999999996</v>
      </c>
      <c r="CY226" s="158">
        <v>57.393000000000001</v>
      </c>
      <c r="CZ226" s="120">
        <f>(DA226+CY226)/2</f>
        <v>58.283999999999999</v>
      </c>
      <c r="DA226" s="158">
        <v>59.174999999999997</v>
      </c>
      <c r="DB226" s="120">
        <f>(DC226+DA226)/2</f>
        <v>60.029499999999999</v>
      </c>
      <c r="DC226" s="158">
        <v>60.884</v>
      </c>
      <c r="DD226" s="120">
        <f>(DE226+DC226)/2</f>
        <v>61.716499999999996</v>
      </c>
      <c r="DE226" s="158">
        <v>62.548999999999999</v>
      </c>
      <c r="DF226" s="120">
        <f>(DG226+DE226)/2</f>
        <v>63.462000000000003</v>
      </c>
      <c r="DG226" s="159">
        <v>64.375</v>
      </c>
    </row>
    <row r="227" spans="54:111" ht="15" customHeight="1" x14ac:dyDescent="0.2">
      <c r="BB227" s="28">
        <v>35</v>
      </c>
      <c r="BC227" s="121">
        <v>11.507999999999999</v>
      </c>
      <c r="BD227" s="121">
        <v>12.751750000000001</v>
      </c>
      <c r="BE227" s="121">
        <v>13.9955</v>
      </c>
      <c r="BF227" s="121">
        <v>15.175750000000001</v>
      </c>
      <c r="BG227" s="121">
        <v>16.356000000000002</v>
      </c>
      <c r="BH227" s="121">
        <v>17.494</v>
      </c>
      <c r="BI227" s="121">
        <v>18.631999999999998</v>
      </c>
      <c r="BJ227" s="121">
        <v>19.724499999999999</v>
      </c>
      <c r="BK227" s="121">
        <v>20.817</v>
      </c>
      <c r="BL227" s="121">
        <v>21.86225</v>
      </c>
      <c r="BM227" s="121">
        <v>22.907499999999999</v>
      </c>
      <c r="BN227" s="121">
        <v>23.930999999999997</v>
      </c>
      <c r="BO227" s="121">
        <v>24.954499999999999</v>
      </c>
      <c r="BP227" s="121">
        <v>25.980249999999998</v>
      </c>
      <c r="BQ227" s="121">
        <v>27.006</v>
      </c>
      <c r="BR227" s="121">
        <v>28.010750000000002</v>
      </c>
      <c r="BS227" s="121">
        <v>29.015499999999999</v>
      </c>
      <c r="BT227" s="121">
        <v>30.00225</v>
      </c>
      <c r="BU227" s="121">
        <v>30.989000000000001</v>
      </c>
      <c r="BV227" s="121">
        <v>31.9405</v>
      </c>
      <c r="BW227" s="121">
        <v>32.891999999999996</v>
      </c>
      <c r="BX227" s="121">
        <v>33.867750000000001</v>
      </c>
      <c r="BY227" s="121">
        <v>34.843499999999999</v>
      </c>
      <c r="BZ227" s="121">
        <v>35.760499999999993</v>
      </c>
      <c r="CA227" s="121">
        <v>36.677499999999995</v>
      </c>
      <c r="CB227" s="121">
        <v>37.673749999999998</v>
      </c>
      <c r="CC227" s="121">
        <v>38.67</v>
      </c>
      <c r="CD227" s="121">
        <v>39.597999999999999</v>
      </c>
      <c r="CE227" s="121">
        <v>40.525999999999996</v>
      </c>
      <c r="CF227" s="121">
        <v>41.442999999999998</v>
      </c>
      <c r="CG227" s="121">
        <f t="array" ref="CG227:CG252">TRANSPOSE(CH226:DG226)</f>
        <v>42.36</v>
      </c>
      <c r="CH227" s="120">
        <f>(CG227+CI227)/2</f>
        <v>43.277250000000002</v>
      </c>
      <c r="CI227" s="120">
        <f>(CI226+CI228)/2</f>
        <v>44.194500000000005</v>
      </c>
      <c r="CJ227" s="120">
        <f>(CI227+CK227)/2</f>
        <v>45.145750000000007</v>
      </c>
      <c r="CK227" s="120">
        <f>(CK226+CK228)/2</f>
        <v>46.097000000000001</v>
      </c>
      <c r="CL227" s="120">
        <f>(CK227+CM227)/2</f>
        <v>47.001000000000005</v>
      </c>
      <c r="CM227" s="120">
        <f>(CM226+CM228)/2</f>
        <v>47.905000000000001</v>
      </c>
      <c r="CN227" s="120">
        <f>(CM227+CO227)/2</f>
        <v>48.792999999999999</v>
      </c>
      <c r="CO227" s="120">
        <f>(CO226+CO228)/2</f>
        <v>49.680999999999997</v>
      </c>
      <c r="CP227" s="120">
        <f>(CO227+CQ227)/2</f>
        <v>50.613999999999997</v>
      </c>
      <c r="CQ227" s="120">
        <f>(CQ226+CQ228)/2</f>
        <v>51.546999999999997</v>
      </c>
      <c r="CR227" s="120">
        <f>(CQ227+CS227)/2</f>
        <v>52.423749999999998</v>
      </c>
      <c r="CS227" s="120">
        <f>(CS226+CS228)/2</f>
        <v>53.3005</v>
      </c>
      <c r="CT227" s="120">
        <f>(CS227+CU227)/2</f>
        <v>54.228999999999999</v>
      </c>
      <c r="CU227" s="120">
        <f>(CU226+CU228)/2</f>
        <v>55.157499999999999</v>
      </c>
      <c r="CV227" s="120">
        <f>(CU227+CW227)/2</f>
        <v>56.050249999999998</v>
      </c>
      <c r="CW227" s="120">
        <f>(CW226+CW228)/2</f>
        <v>56.942999999999998</v>
      </c>
      <c r="CX227" s="120">
        <f>(CW227+CY227)/2</f>
        <v>57.817499999999995</v>
      </c>
      <c r="CY227" s="120">
        <f>(CY226+CY228)/2</f>
        <v>58.692</v>
      </c>
      <c r="CZ227" s="120">
        <f>(CY227+DA227)/2</f>
        <v>59.58</v>
      </c>
      <c r="DA227" s="120">
        <f>(DA226+DA228)/2</f>
        <v>60.468000000000004</v>
      </c>
      <c r="DB227" s="120">
        <f>(DA227+DC227)/2</f>
        <v>61.331500000000005</v>
      </c>
      <c r="DC227" s="120">
        <f>(DC226+DC228)/2</f>
        <v>62.195</v>
      </c>
      <c r="DD227" s="120">
        <f>(DC227+DE227)/2</f>
        <v>63.112250000000003</v>
      </c>
      <c r="DE227" s="120">
        <f>(DE226+DE228)/2</f>
        <v>64.029499999999999</v>
      </c>
      <c r="DF227" s="120">
        <f>(DE227+DG227)/2</f>
        <v>64.9285</v>
      </c>
      <c r="DG227" s="122">
        <f>(DG226+DG228)/2</f>
        <v>65.827500000000001</v>
      </c>
    </row>
    <row r="228" spans="54:111" ht="15" customHeight="1" x14ac:dyDescent="0.2">
      <c r="BB228" s="28">
        <v>36</v>
      </c>
      <c r="BC228" s="121">
        <v>11.75</v>
      </c>
      <c r="BD228" s="121">
        <v>13.022500000000001</v>
      </c>
      <c r="BE228" s="121">
        <v>14.295</v>
      </c>
      <c r="BF228" s="121">
        <v>15.472000000000001</v>
      </c>
      <c r="BG228" s="121">
        <v>16.649000000000001</v>
      </c>
      <c r="BH228" s="121">
        <v>17.836500000000001</v>
      </c>
      <c r="BI228" s="121">
        <v>19.024000000000001</v>
      </c>
      <c r="BJ228" s="121">
        <v>20.142499999999998</v>
      </c>
      <c r="BK228" s="121">
        <v>21.260999999999999</v>
      </c>
      <c r="BL228" s="121">
        <v>22.3215</v>
      </c>
      <c r="BM228" s="121">
        <v>23.382000000000001</v>
      </c>
      <c r="BN228" s="121">
        <v>24.420500000000001</v>
      </c>
      <c r="BO228" s="121">
        <v>25.459</v>
      </c>
      <c r="BP228" s="121">
        <v>26.529499999999999</v>
      </c>
      <c r="BQ228" s="121">
        <v>27.6</v>
      </c>
      <c r="BR228" s="121">
        <v>28.602</v>
      </c>
      <c r="BS228" s="121">
        <v>29.603999999999999</v>
      </c>
      <c r="BT228" s="121">
        <v>30.606000000000002</v>
      </c>
      <c r="BU228" s="121">
        <v>31.608000000000001</v>
      </c>
      <c r="BV228" s="121">
        <v>32.619500000000002</v>
      </c>
      <c r="BW228" s="121">
        <v>33.631</v>
      </c>
      <c r="BX228" s="121">
        <v>34.611000000000004</v>
      </c>
      <c r="BY228" s="121">
        <v>35.591000000000001</v>
      </c>
      <c r="BZ228" s="121">
        <v>36.533999999999999</v>
      </c>
      <c r="CA228" s="121">
        <v>37.476999999999997</v>
      </c>
      <c r="CB228" s="121">
        <v>38.488500000000002</v>
      </c>
      <c r="CC228" s="121">
        <v>39.5</v>
      </c>
      <c r="CD228" s="121">
        <v>40.442999999999998</v>
      </c>
      <c r="CE228" s="121">
        <v>41.386000000000003</v>
      </c>
      <c r="CF228" s="121">
        <v>42.329500000000003</v>
      </c>
      <c r="CG228" s="121">
        <v>43.273000000000003</v>
      </c>
      <c r="CH228" s="121">
        <f t="array" ref="CH228:CH252">TRANSPOSE(CI227:DG227)</f>
        <v>44.194500000000005</v>
      </c>
      <c r="CI228" s="158">
        <v>45.116</v>
      </c>
      <c r="CJ228" s="120">
        <f>(CK228+CI228)/2</f>
        <v>46.127499999999998</v>
      </c>
      <c r="CK228" s="158">
        <v>47.139000000000003</v>
      </c>
      <c r="CL228" s="120">
        <f>(CM228+CK228)/2</f>
        <v>48.024000000000001</v>
      </c>
      <c r="CM228" s="158">
        <v>48.908999999999999</v>
      </c>
      <c r="CN228" s="120">
        <f>(CO228+CM228)/2</f>
        <v>49.793999999999997</v>
      </c>
      <c r="CO228" s="158">
        <v>50.679000000000002</v>
      </c>
      <c r="CP228" s="120">
        <f>(CQ228+CO228)/2</f>
        <v>51.691000000000003</v>
      </c>
      <c r="CQ228" s="158">
        <v>52.703000000000003</v>
      </c>
      <c r="CR228" s="120">
        <f>(CS228+CQ228)/2</f>
        <v>53.5655</v>
      </c>
      <c r="CS228" s="158">
        <v>54.427999999999997</v>
      </c>
      <c r="CT228" s="120">
        <f>(CU228+CS228)/2</f>
        <v>55.43</v>
      </c>
      <c r="CU228" s="158">
        <v>56.432000000000002</v>
      </c>
      <c r="CV228" s="120">
        <f>(CW228+CU228)/2</f>
        <v>57.326499999999996</v>
      </c>
      <c r="CW228" s="158">
        <v>58.220999999999997</v>
      </c>
      <c r="CX228" s="120">
        <f>(CY228+CW228)/2</f>
        <v>59.105999999999995</v>
      </c>
      <c r="CY228" s="158">
        <v>59.991</v>
      </c>
      <c r="CZ228" s="120">
        <f>(DA228+CY228)/2</f>
        <v>60.876000000000005</v>
      </c>
      <c r="DA228" s="158">
        <v>61.761000000000003</v>
      </c>
      <c r="DB228" s="120">
        <f>(DC228+DA228)/2</f>
        <v>62.633499999999998</v>
      </c>
      <c r="DC228" s="158">
        <v>63.506</v>
      </c>
      <c r="DD228" s="120">
        <f>(DE228+DC228)/2</f>
        <v>64.50800000000001</v>
      </c>
      <c r="DE228" s="158">
        <v>65.510000000000005</v>
      </c>
      <c r="DF228" s="120">
        <f>(DG228+DE228)/2</f>
        <v>66.39500000000001</v>
      </c>
      <c r="DG228" s="159">
        <v>67.28</v>
      </c>
    </row>
    <row r="229" spans="54:111" ht="15" customHeight="1" x14ac:dyDescent="0.2">
      <c r="BB229" s="28">
        <v>37</v>
      </c>
      <c r="BC229" s="121">
        <v>11.9605</v>
      </c>
      <c r="BD229" s="121">
        <v>13.25925</v>
      </c>
      <c r="BE229" s="121">
        <v>14.558</v>
      </c>
      <c r="BF229" s="121">
        <v>15.784500000000001</v>
      </c>
      <c r="BG229" s="121">
        <v>17.011000000000003</v>
      </c>
      <c r="BH229" s="121">
        <v>18.208500000000001</v>
      </c>
      <c r="BI229" s="121">
        <v>19.405999999999999</v>
      </c>
      <c r="BJ229" s="121">
        <v>20.544750000000001</v>
      </c>
      <c r="BK229" s="121">
        <v>21.683500000000002</v>
      </c>
      <c r="BL229" s="121">
        <v>22.759250000000002</v>
      </c>
      <c r="BM229" s="121">
        <v>23.835000000000001</v>
      </c>
      <c r="BN229" s="121">
        <v>24.910499999999999</v>
      </c>
      <c r="BO229" s="121">
        <v>25.986000000000001</v>
      </c>
      <c r="BP229" s="121">
        <v>27.0715</v>
      </c>
      <c r="BQ229" s="121">
        <v>28.157</v>
      </c>
      <c r="BR229" s="121">
        <v>29.174250000000001</v>
      </c>
      <c r="BS229" s="121">
        <v>30.191499999999998</v>
      </c>
      <c r="BT229" s="121">
        <v>31.2135</v>
      </c>
      <c r="BU229" s="121">
        <v>32.235500000000002</v>
      </c>
      <c r="BV229" s="121">
        <v>33.2575</v>
      </c>
      <c r="BW229" s="121">
        <v>34.279499999999999</v>
      </c>
      <c r="BX229" s="121">
        <v>35.290500000000002</v>
      </c>
      <c r="BY229" s="121">
        <v>36.301500000000004</v>
      </c>
      <c r="BZ229" s="121">
        <v>37.289249999999996</v>
      </c>
      <c r="CA229" s="121">
        <v>38.277000000000001</v>
      </c>
      <c r="CB229" s="121">
        <v>39.269500000000001</v>
      </c>
      <c r="CC229" s="121">
        <v>40.262</v>
      </c>
      <c r="CD229" s="121">
        <v>41.2545</v>
      </c>
      <c r="CE229" s="121">
        <v>42.247</v>
      </c>
      <c r="CF229" s="121">
        <v>43.205500000000001</v>
      </c>
      <c r="CG229" s="121">
        <v>44.164000000000001</v>
      </c>
      <c r="CH229" s="121">
        <v>45.145750000000007</v>
      </c>
      <c r="CI229" s="121">
        <f t="array" ref="CI229:CI252">TRANSPOSE(CJ228:DG228)</f>
        <v>46.127499999999998</v>
      </c>
      <c r="CJ229" s="120">
        <f>(CI229+CK229)/2</f>
        <v>47.091000000000001</v>
      </c>
      <c r="CK229" s="120">
        <f>(CK228+CK230)/2</f>
        <v>48.054500000000004</v>
      </c>
      <c r="CL229" s="120">
        <f>(CK229+CM229)/2</f>
        <v>49.018000000000001</v>
      </c>
      <c r="CM229" s="120">
        <f>(CM228+CM230)/2</f>
        <v>49.981499999999997</v>
      </c>
      <c r="CN229" s="120">
        <f>(CM229+CO229)/2</f>
        <v>50.881749999999997</v>
      </c>
      <c r="CO229" s="120">
        <f>(CO228+CO230)/2</f>
        <v>51.781999999999996</v>
      </c>
      <c r="CP229" s="120">
        <f>(CO229+CQ229)/2</f>
        <v>52.750500000000002</v>
      </c>
      <c r="CQ229" s="120">
        <f>(CQ228+CQ230)/2</f>
        <v>53.719000000000001</v>
      </c>
      <c r="CR229" s="120">
        <f>(CQ229+CS229)/2</f>
        <v>54.677499999999995</v>
      </c>
      <c r="CS229" s="120">
        <f>(CS228+CS230)/2</f>
        <v>55.635999999999996</v>
      </c>
      <c r="CT229" s="120">
        <f>(CS229+CU229)/2</f>
        <v>56.594499999999996</v>
      </c>
      <c r="CU229" s="120">
        <f>(CU228+CU230)/2</f>
        <v>57.552999999999997</v>
      </c>
      <c r="CV229" s="120">
        <f>(CU229+CW229)/2</f>
        <v>58.521249999999995</v>
      </c>
      <c r="CW229" s="120">
        <f>(CW228+CW230)/2</f>
        <v>59.4895</v>
      </c>
      <c r="CX229" s="120">
        <f>(CW229+CY229)/2</f>
        <v>60.389749999999999</v>
      </c>
      <c r="CY229" s="120">
        <f>(CY228+CY230)/2</f>
        <v>61.29</v>
      </c>
      <c r="CZ229" s="120">
        <f>(CY229+DA229)/2</f>
        <v>62.194999999999993</v>
      </c>
      <c r="DA229" s="120">
        <f>(DA228+DA230)/2</f>
        <v>63.099999999999994</v>
      </c>
      <c r="DB229" s="120">
        <f>(DA229+DC229)/2</f>
        <v>63.993749999999999</v>
      </c>
      <c r="DC229" s="120">
        <f>(DC228+DC230)/2</f>
        <v>64.887500000000003</v>
      </c>
      <c r="DD229" s="120">
        <f>(DC229+DE229)/2</f>
        <v>65.909500000000008</v>
      </c>
      <c r="DE229" s="120">
        <f>(DE228+DE230)/2</f>
        <v>66.9315</v>
      </c>
      <c r="DF229" s="120">
        <f>(DE229+DG229)/2</f>
        <v>67.83175</v>
      </c>
      <c r="DG229" s="122">
        <f>(DG228+DG230)/2</f>
        <v>68.731999999999999</v>
      </c>
    </row>
    <row r="230" spans="54:111" ht="15" customHeight="1" x14ac:dyDescent="0.2">
      <c r="BB230" s="28">
        <v>38</v>
      </c>
      <c r="BC230" s="121">
        <v>12.170999999999999</v>
      </c>
      <c r="BD230" s="121">
        <v>13.495999999999999</v>
      </c>
      <c r="BE230" s="121">
        <v>14.821</v>
      </c>
      <c r="BF230" s="121">
        <v>16.097000000000001</v>
      </c>
      <c r="BG230" s="121">
        <v>17.373000000000001</v>
      </c>
      <c r="BH230" s="121">
        <v>18.580500000000001</v>
      </c>
      <c r="BI230" s="121">
        <v>19.788</v>
      </c>
      <c r="BJ230" s="121">
        <v>20.947000000000003</v>
      </c>
      <c r="BK230" s="121">
        <v>22.106000000000002</v>
      </c>
      <c r="BL230" s="121">
        <v>23.197000000000003</v>
      </c>
      <c r="BM230" s="121">
        <v>24.288</v>
      </c>
      <c r="BN230" s="121">
        <v>25.400500000000001</v>
      </c>
      <c r="BO230" s="121">
        <v>26.513000000000002</v>
      </c>
      <c r="BP230" s="121">
        <v>27.613500000000002</v>
      </c>
      <c r="BQ230" s="121">
        <v>28.713999999999999</v>
      </c>
      <c r="BR230" s="121">
        <v>29.746499999999997</v>
      </c>
      <c r="BS230" s="121">
        <v>30.779</v>
      </c>
      <c r="BT230" s="121">
        <v>31.820999999999998</v>
      </c>
      <c r="BU230" s="121">
        <v>32.863</v>
      </c>
      <c r="BV230" s="121">
        <v>33.895499999999998</v>
      </c>
      <c r="BW230" s="121">
        <v>34.927999999999997</v>
      </c>
      <c r="BX230" s="121">
        <v>35.97</v>
      </c>
      <c r="BY230" s="121">
        <v>37.012</v>
      </c>
      <c r="BZ230" s="121">
        <v>38.044499999999999</v>
      </c>
      <c r="CA230" s="121">
        <v>39.076999999999998</v>
      </c>
      <c r="CB230" s="121">
        <v>40.0505</v>
      </c>
      <c r="CC230" s="121">
        <v>41.024000000000001</v>
      </c>
      <c r="CD230" s="121">
        <v>42.066000000000003</v>
      </c>
      <c r="CE230" s="121">
        <v>43.107999999999997</v>
      </c>
      <c r="CF230" s="121">
        <v>44.081499999999998</v>
      </c>
      <c r="CG230" s="121">
        <v>45.055</v>
      </c>
      <c r="CH230" s="121">
        <v>46.097000000000001</v>
      </c>
      <c r="CI230" s="121">
        <v>47.139000000000003</v>
      </c>
      <c r="CJ230" s="121">
        <f t="array" ref="CJ230:CJ252">TRANSPOSE(CK229:DG229)</f>
        <v>48.054500000000004</v>
      </c>
      <c r="CK230" s="158">
        <v>48.97</v>
      </c>
      <c r="CL230" s="120">
        <f>(CM230+CK230)/2</f>
        <v>50.012</v>
      </c>
      <c r="CM230" s="158">
        <v>51.054000000000002</v>
      </c>
      <c r="CN230" s="120">
        <f>(CO230+CM230)/2</f>
        <v>51.969499999999996</v>
      </c>
      <c r="CO230" s="158">
        <v>52.884999999999998</v>
      </c>
      <c r="CP230" s="120">
        <f>(CQ230+CO230)/2</f>
        <v>53.81</v>
      </c>
      <c r="CQ230" s="158">
        <v>54.734999999999999</v>
      </c>
      <c r="CR230" s="120">
        <f>(CS230+CQ230)/2</f>
        <v>55.789500000000004</v>
      </c>
      <c r="CS230" s="158">
        <v>56.844000000000001</v>
      </c>
      <c r="CT230" s="120">
        <f>(CU230+CS230)/2</f>
        <v>57.759</v>
      </c>
      <c r="CU230" s="158">
        <v>58.673999999999999</v>
      </c>
      <c r="CV230" s="120">
        <f>(CW230+CU230)/2</f>
        <v>59.716000000000001</v>
      </c>
      <c r="CW230" s="158">
        <v>60.758000000000003</v>
      </c>
      <c r="CX230" s="120">
        <f>(CY230+CW230)/2</f>
        <v>61.673500000000004</v>
      </c>
      <c r="CY230" s="158">
        <v>62.588999999999999</v>
      </c>
      <c r="CZ230" s="120">
        <f>(DA230+CY230)/2</f>
        <v>63.513999999999996</v>
      </c>
      <c r="DA230" s="158">
        <v>64.438999999999993</v>
      </c>
      <c r="DB230" s="120">
        <f>(DC230+DA230)/2</f>
        <v>65.353999999999999</v>
      </c>
      <c r="DC230" s="158">
        <v>66.269000000000005</v>
      </c>
      <c r="DD230" s="120">
        <f>(DE230+DC230)/2</f>
        <v>67.311000000000007</v>
      </c>
      <c r="DE230" s="158">
        <v>68.352999999999994</v>
      </c>
      <c r="DF230" s="120">
        <f>(DG230+DE230)/2</f>
        <v>69.268499999999989</v>
      </c>
      <c r="DG230" s="159">
        <v>70.183999999999997</v>
      </c>
    </row>
    <row r="231" spans="54:111" ht="15" customHeight="1" x14ac:dyDescent="0.2">
      <c r="BB231" s="28">
        <v>39</v>
      </c>
      <c r="BC231" s="121">
        <v>12.403499999999999</v>
      </c>
      <c r="BD231" s="121">
        <v>13.748249999999999</v>
      </c>
      <c r="BE231" s="121">
        <v>15.093</v>
      </c>
      <c r="BF231" s="121">
        <v>16.3795</v>
      </c>
      <c r="BG231" s="121">
        <v>17.666</v>
      </c>
      <c r="BH231" s="121">
        <v>18.90475</v>
      </c>
      <c r="BI231" s="121">
        <v>20.1435</v>
      </c>
      <c r="BJ231" s="121">
        <v>21.313000000000002</v>
      </c>
      <c r="BK231" s="121">
        <v>22.482500000000002</v>
      </c>
      <c r="BL231" s="121">
        <v>23.622500000000002</v>
      </c>
      <c r="BM231" s="121">
        <v>24.762499999999999</v>
      </c>
      <c r="BN231" s="121">
        <v>25.890499999999999</v>
      </c>
      <c r="BO231" s="121">
        <v>27.018500000000003</v>
      </c>
      <c r="BP231" s="121">
        <v>28.134250000000002</v>
      </c>
      <c r="BQ231" s="121">
        <v>29.25</v>
      </c>
      <c r="BR231" s="121">
        <v>30.302250000000001</v>
      </c>
      <c r="BS231" s="121">
        <v>31.354500000000002</v>
      </c>
      <c r="BT231" s="121">
        <v>32.447249999999997</v>
      </c>
      <c r="BU231" s="121">
        <v>33.54</v>
      </c>
      <c r="BV231" s="121">
        <v>34.592500000000001</v>
      </c>
      <c r="BW231" s="121">
        <v>35.644999999999996</v>
      </c>
      <c r="BX231" s="121">
        <v>36.697499999999998</v>
      </c>
      <c r="BY231" s="121">
        <v>37.75</v>
      </c>
      <c r="BZ231" s="121">
        <v>38.783999999999999</v>
      </c>
      <c r="CA231" s="121">
        <v>39.817999999999998</v>
      </c>
      <c r="CB231" s="121">
        <v>40.835999999999999</v>
      </c>
      <c r="CC231" s="121">
        <v>41.853999999999999</v>
      </c>
      <c r="CD231" s="121">
        <v>42.911250000000003</v>
      </c>
      <c r="CE231" s="121">
        <v>43.968499999999999</v>
      </c>
      <c r="CF231" s="121">
        <v>44.97325</v>
      </c>
      <c r="CG231" s="121">
        <v>45.978000000000002</v>
      </c>
      <c r="CH231" s="121">
        <v>47.001000000000005</v>
      </c>
      <c r="CI231" s="121">
        <v>48.024000000000001</v>
      </c>
      <c r="CJ231" s="121">
        <v>49.018000000000001</v>
      </c>
      <c r="CK231" s="121">
        <f t="array" ref="CK231:CK252">TRANSPOSE(CL230:DG230)</f>
        <v>50.012</v>
      </c>
      <c r="CL231" s="120">
        <f>(CK231+CM231)/2</f>
        <v>51.017000000000003</v>
      </c>
      <c r="CM231" s="120">
        <f>(CM230+CM232)/2</f>
        <v>52.022000000000006</v>
      </c>
      <c r="CN231" s="120">
        <f>(CM231+CO231)/2</f>
        <v>53.016000000000005</v>
      </c>
      <c r="CO231" s="120">
        <f>(CO230+CO232)/2</f>
        <v>54.01</v>
      </c>
      <c r="CP231" s="120">
        <f>(CO231+CQ231)/2</f>
        <v>54.945250000000001</v>
      </c>
      <c r="CQ231" s="120">
        <f>(CQ230+CQ232)/2</f>
        <v>55.880499999999998</v>
      </c>
      <c r="CR231" s="120">
        <f>(CQ231+CS231)/2</f>
        <v>56.896500000000003</v>
      </c>
      <c r="CS231" s="120">
        <f>(CS230+CS232)/2</f>
        <v>57.912500000000001</v>
      </c>
      <c r="CT231" s="120">
        <f>(CS231+CU231)/2</f>
        <v>58.901499999999999</v>
      </c>
      <c r="CU231" s="120">
        <f>(CU230+CU232)/2</f>
        <v>59.890500000000003</v>
      </c>
      <c r="CV231" s="120">
        <f>(CU231+CW231)/2</f>
        <v>60.889250000000004</v>
      </c>
      <c r="CW231" s="120">
        <f>(CW230+CW232)/2</f>
        <v>61.888000000000005</v>
      </c>
      <c r="CX231" s="120">
        <f>(CW231+CY231)/2</f>
        <v>62.892750000000007</v>
      </c>
      <c r="CY231" s="120">
        <f>(CY230+CY232)/2</f>
        <v>63.897500000000001</v>
      </c>
      <c r="CZ231" s="120">
        <f>(CY231+DA231)/2</f>
        <v>64.832999999999998</v>
      </c>
      <c r="DA231" s="120">
        <f>(DA230+DA232)/2</f>
        <v>65.768499999999989</v>
      </c>
      <c r="DB231" s="120">
        <f>(DA231+DC231)/2</f>
        <v>66.703749999999999</v>
      </c>
      <c r="DC231" s="120">
        <f>(DC230+DC232)/2</f>
        <v>67.63900000000001</v>
      </c>
      <c r="DD231" s="120">
        <f>(DC231+DE231)/2</f>
        <v>68.644000000000005</v>
      </c>
      <c r="DE231" s="120">
        <f>(DE230+DE232)/2</f>
        <v>69.649000000000001</v>
      </c>
      <c r="DF231" s="120">
        <f>(DE231+DG231)/2</f>
        <v>70.642750000000007</v>
      </c>
      <c r="DG231" s="122">
        <f>(DG230+DG232)/2</f>
        <v>71.636499999999998</v>
      </c>
    </row>
    <row r="232" spans="54:111" ht="15" customHeight="1" x14ac:dyDescent="0.2">
      <c r="BB232" s="28">
        <v>40</v>
      </c>
      <c r="BC232" s="121">
        <v>12.635999999999999</v>
      </c>
      <c r="BD232" s="121">
        <v>14.000499999999999</v>
      </c>
      <c r="BE232" s="121">
        <v>15.365</v>
      </c>
      <c r="BF232" s="121">
        <v>16.661999999999999</v>
      </c>
      <c r="BG232" s="121">
        <v>17.959</v>
      </c>
      <c r="BH232" s="121">
        <v>19.228999999999999</v>
      </c>
      <c r="BI232" s="121">
        <v>20.498999999999999</v>
      </c>
      <c r="BJ232" s="121">
        <v>21.679000000000002</v>
      </c>
      <c r="BK232" s="121">
        <v>22.859000000000002</v>
      </c>
      <c r="BL232" s="121">
        <v>24.048000000000002</v>
      </c>
      <c r="BM232" s="121">
        <v>25.236999999999998</v>
      </c>
      <c r="BN232" s="121">
        <v>26.380499999999998</v>
      </c>
      <c r="BO232" s="121">
        <v>27.524000000000001</v>
      </c>
      <c r="BP232" s="121">
        <v>28.655000000000001</v>
      </c>
      <c r="BQ232" s="121">
        <v>29.786000000000001</v>
      </c>
      <c r="BR232" s="121">
        <v>30.858000000000001</v>
      </c>
      <c r="BS232" s="121">
        <v>31.93</v>
      </c>
      <c r="BT232" s="121">
        <v>33.073499999999996</v>
      </c>
      <c r="BU232" s="121">
        <v>34.216999999999999</v>
      </c>
      <c r="BV232" s="121">
        <v>35.289500000000004</v>
      </c>
      <c r="BW232" s="121">
        <v>36.362000000000002</v>
      </c>
      <c r="BX232" s="121">
        <v>37.424999999999997</v>
      </c>
      <c r="BY232" s="121">
        <v>38.488</v>
      </c>
      <c r="BZ232" s="121">
        <v>39.523499999999999</v>
      </c>
      <c r="CA232" s="121">
        <v>40.558999999999997</v>
      </c>
      <c r="CB232" s="121">
        <v>41.621499999999997</v>
      </c>
      <c r="CC232" s="121">
        <v>42.683999999999997</v>
      </c>
      <c r="CD232" s="121">
        <v>43.756500000000003</v>
      </c>
      <c r="CE232" s="121">
        <v>44.829000000000001</v>
      </c>
      <c r="CF232" s="121">
        <v>45.865000000000002</v>
      </c>
      <c r="CG232" s="121">
        <v>46.901000000000003</v>
      </c>
      <c r="CH232" s="121">
        <v>47.905000000000001</v>
      </c>
      <c r="CI232" s="121">
        <v>48.908999999999999</v>
      </c>
      <c r="CJ232" s="121">
        <v>49.981499999999997</v>
      </c>
      <c r="CK232" s="121">
        <v>51.054000000000002</v>
      </c>
      <c r="CL232" s="121">
        <f t="array" ref="CL232:CL252">TRANSPOSE(CM231:DG231)</f>
        <v>52.022000000000006</v>
      </c>
      <c r="CM232" s="158">
        <v>52.99</v>
      </c>
      <c r="CN232" s="120">
        <f>(CO232+CM232)/2</f>
        <v>54.0625</v>
      </c>
      <c r="CO232" s="158">
        <v>55.134999999999998</v>
      </c>
      <c r="CP232" s="120">
        <f>(CQ232+CO232)/2</f>
        <v>56.080500000000001</v>
      </c>
      <c r="CQ232" s="158">
        <v>57.026000000000003</v>
      </c>
      <c r="CR232" s="120">
        <f>(CS232+CQ232)/2</f>
        <v>58.003500000000003</v>
      </c>
      <c r="CS232" s="158">
        <v>58.981000000000002</v>
      </c>
      <c r="CT232" s="120">
        <f>(CU232+CS232)/2</f>
        <v>60.043999999999997</v>
      </c>
      <c r="CU232" s="158">
        <v>61.106999999999999</v>
      </c>
      <c r="CV232" s="120">
        <f>(CW232+CU232)/2</f>
        <v>62.0625</v>
      </c>
      <c r="CW232" s="158">
        <v>63.018000000000001</v>
      </c>
      <c r="CX232" s="120">
        <f>(CY232+CW232)/2</f>
        <v>64.111999999999995</v>
      </c>
      <c r="CY232" s="158">
        <v>65.206000000000003</v>
      </c>
      <c r="CZ232" s="120">
        <f>(DA232+CY232)/2</f>
        <v>66.152000000000001</v>
      </c>
      <c r="DA232" s="158">
        <v>67.097999999999999</v>
      </c>
      <c r="DB232" s="120">
        <f>(DC232+DA232)/2</f>
        <v>68.0535</v>
      </c>
      <c r="DC232" s="158">
        <v>69.009</v>
      </c>
      <c r="DD232" s="120">
        <f>(DE232+DC232)/2</f>
        <v>69.977000000000004</v>
      </c>
      <c r="DE232" s="158">
        <v>70.944999999999993</v>
      </c>
      <c r="DF232" s="120">
        <f>(DG232+DE232)/2</f>
        <v>72.016999999999996</v>
      </c>
      <c r="DG232" s="159">
        <v>73.088999999999999</v>
      </c>
    </row>
    <row r="233" spans="54:111" ht="15" customHeight="1" x14ac:dyDescent="0.2">
      <c r="BB233" s="28">
        <v>41</v>
      </c>
      <c r="BC233" s="121">
        <v>12.846</v>
      </c>
      <c r="BD233" s="121">
        <v>14.266249999999999</v>
      </c>
      <c r="BE233" s="121">
        <v>15.686499999999999</v>
      </c>
      <c r="BF233" s="121">
        <v>17.003250000000001</v>
      </c>
      <c r="BG233" s="121">
        <v>18.32</v>
      </c>
      <c r="BH233" s="121">
        <v>19.6005</v>
      </c>
      <c r="BI233" s="121">
        <v>20.881</v>
      </c>
      <c r="BJ233" s="121">
        <v>22.092000000000002</v>
      </c>
      <c r="BK233" s="121">
        <v>23.303000000000001</v>
      </c>
      <c r="BL233" s="121">
        <v>24.507249999999999</v>
      </c>
      <c r="BM233" s="121">
        <v>25.711500000000001</v>
      </c>
      <c r="BN233" s="121">
        <v>26.875</v>
      </c>
      <c r="BO233" s="121">
        <v>28.038499999999999</v>
      </c>
      <c r="BP233" s="121">
        <v>29.179750000000002</v>
      </c>
      <c r="BQ233" s="121">
        <v>30.321000000000002</v>
      </c>
      <c r="BR233" s="121">
        <v>31.448750000000004</v>
      </c>
      <c r="BS233" s="121">
        <v>32.576499999999996</v>
      </c>
      <c r="BT233" s="121">
        <v>33.710499999999996</v>
      </c>
      <c r="BU233" s="121">
        <v>34.844499999999996</v>
      </c>
      <c r="BV233" s="121">
        <v>35.927500000000002</v>
      </c>
      <c r="BW233" s="121">
        <v>37.0105</v>
      </c>
      <c r="BX233" s="121">
        <v>38.104500000000002</v>
      </c>
      <c r="BY233" s="121">
        <v>39.198499999999996</v>
      </c>
      <c r="BZ233" s="121">
        <v>40.267499999999998</v>
      </c>
      <c r="CA233" s="121">
        <v>41.336500000000001</v>
      </c>
      <c r="CB233" s="121">
        <v>42.425249999999998</v>
      </c>
      <c r="CC233" s="121">
        <v>43.513999999999996</v>
      </c>
      <c r="CD233" s="121">
        <v>44.583500000000001</v>
      </c>
      <c r="CE233" s="121">
        <v>45.652999999999999</v>
      </c>
      <c r="CF233" s="121">
        <v>46.722499999999997</v>
      </c>
      <c r="CG233" s="121">
        <v>47.792000000000002</v>
      </c>
      <c r="CH233" s="121">
        <v>48.792999999999999</v>
      </c>
      <c r="CI233" s="121">
        <v>49.793999999999997</v>
      </c>
      <c r="CJ233" s="121">
        <v>50.881749999999997</v>
      </c>
      <c r="CK233" s="121">
        <v>51.969499999999996</v>
      </c>
      <c r="CL233" s="121">
        <v>53.016000000000005</v>
      </c>
      <c r="CM233" s="121">
        <f t="array" ref="CM233:CM252">TRANSPOSE(CN232:DG232)</f>
        <v>54.0625</v>
      </c>
      <c r="CN233" s="120">
        <f>(CM233+CO233)/2</f>
        <v>55.097749999999998</v>
      </c>
      <c r="CO233" s="120">
        <f>(CO232+CO234)/2</f>
        <v>56.132999999999996</v>
      </c>
      <c r="CP233" s="120">
        <f>(CO233+CQ233)/2</f>
        <v>57.157249999999998</v>
      </c>
      <c r="CQ233" s="120">
        <f>(CQ232+CQ234)/2</f>
        <v>58.1815</v>
      </c>
      <c r="CR233" s="120">
        <f>(CQ233+CS233)/2</f>
        <v>59.173999999999999</v>
      </c>
      <c r="CS233" s="120">
        <f>(CS232+CS234)/2</f>
        <v>60.166499999999999</v>
      </c>
      <c r="CT233" s="120">
        <f>(CS233+CU233)/2</f>
        <v>61.191000000000003</v>
      </c>
      <c r="CU233" s="120">
        <f>(CU232+CU234)/2</f>
        <v>62.215499999999999</v>
      </c>
      <c r="CV233" s="120">
        <f>(CU233+CW233)/2</f>
        <v>63.250749999999996</v>
      </c>
      <c r="CW233" s="120">
        <f>(CW232+CW234)/2</f>
        <v>64.286000000000001</v>
      </c>
      <c r="CX233" s="120">
        <f>(CW233+CY233)/2</f>
        <v>65.337000000000003</v>
      </c>
      <c r="CY233" s="120">
        <f>(CY232+CY234)/2</f>
        <v>66.388000000000005</v>
      </c>
      <c r="CZ233" s="120">
        <f>(CY233+DA233)/2</f>
        <v>67.412499999999994</v>
      </c>
      <c r="DA233" s="120">
        <f>(DA232+DA234)/2</f>
        <v>68.436999999999998</v>
      </c>
      <c r="DB233" s="120">
        <f>(DA233+DC233)/2</f>
        <v>69.413749999999993</v>
      </c>
      <c r="DC233" s="120">
        <f>(DC232+DC234)/2</f>
        <v>70.390500000000003</v>
      </c>
      <c r="DD233" s="120">
        <f>(DC233+DE233)/2</f>
        <v>71.367500000000007</v>
      </c>
      <c r="DE233" s="120">
        <f>(DE232+DE234)/2</f>
        <v>72.344499999999996</v>
      </c>
      <c r="DF233" s="120">
        <f>(DE233+DG233)/2</f>
        <v>73.384250000000009</v>
      </c>
      <c r="DG233" s="122">
        <f>(DG232+DG234)/2</f>
        <v>74.424000000000007</v>
      </c>
    </row>
    <row r="234" spans="54:111" ht="15" customHeight="1" x14ac:dyDescent="0.2">
      <c r="BB234" s="28">
        <v>42</v>
      </c>
      <c r="BC234" s="121">
        <v>13.055999999999999</v>
      </c>
      <c r="BD234" s="121">
        <v>14.532</v>
      </c>
      <c r="BE234" s="121">
        <v>16.007999999999999</v>
      </c>
      <c r="BF234" s="121">
        <v>17.3445</v>
      </c>
      <c r="BG234" s="121">
        <v>18.681000000000001</v>
      </c>
      <c r="BH234" s="121">
        <v>19.972000000000001</v>
      </c>
      <c r="BI234" s="121">
        <v>21.263000000000002</v>
      </c>
      <c r="BJ234" s="121">
        <v>22.505000000000003</v>
      </c>
      <c r="BK234" s="121">
        <v>23.747</v>
      </c>
      <c r="BL234" s="121">
        <v>24.9665</v>
      </c>
      <c r="BM234" s="121">
        <v>26.186</v>
      </c>
      <c r="BN234" s="121">
        <v>27.369500000000002</v>
      </c>
      <c r="BO234" s="121">
        <v>28.553000000000001</v>
      </c>
      <c r="BP234" s="121">
        <v>29.704500000000003</v>
      </c>
      <c r="BQ234" s="121">
        <v>30.856000000000002</v>
      </c>
      <c r="BR234" s="121">
        <v>32.039500000000004</v>
      </c>
      <c r="BS234" s="121">
        <v>33.222999999999999</v>
      </c>
      <c r="BT234" s="121">
        <v>34.347499999999997</v>
      </c>
      <c r="BU234" s="121">
        <v>35.472000000000001</v>
      </c>
      <c r="BV234" s="121">
        <v>36.5655</v>
      </c>
      <c r="BW234" s="121">
        <v>37.658999999999999</v>
      </c>
      <c r="BX234" s="121">
        <v>38.783999999999999</v>
      </c>
      <c r="BY234" s="121">
        <v>39.908999999999999</v>
      </c>
      <c r="BZ234" s="121">
        <v>41.011499999999998</v>
      </c>
      <c r="CA234" s="121">
        <v>42.113999999999997</v>
      </c>
      <c r="CB234" s="121">
        <v>43.228999999999999</v>
      </c>
      <c r="CC234" s="121">
        <v>44.344000000000001</v>
      </c>
      <c r="CD234" s="121">
        <v>45.410499999999999</v>
      </c>
      <c r="CE234" s="121">
        <v>46.476999999999997</v>
      </c>
      <c r="CF234" s="121">
        <v>47.58</v>
      </c>
      <c r="CG234" s="121">
        <v>48.683</v>
      </c>
      <c r="CH234" s="121">
        <v>49.680999999999997</v>
      </c>
      <c r="CI234" s="121">
        <v>50.679000000000002</v>
      </c>
      <c r="CJ234" s="121">
        <v>51.781999999999996</v>
      </c>
      <c r="CK234" s="121">
        <v>52.884999999999998</v>
      </c>
      <c r="CL234" s="121">
        <v>54.01</v>
      </c>
      <c r="CM234" s="121">
        <v>55.134999999999998</v>
      </c>
      <c r="CN234" s="121">
        <f t="array" ref="CN234:CN252">TRANSPOSE(CO233:DG233)</f>
        <v>56.132999999999996</v>
      </c>
      <c r="CO234" s="158">
        <v>57.131</v>
      </c>
      <c r="CP234" s="120">
        <f>(CQ234+CO234)/2</f>
        <v>58.234000000000002</v>
      </c>
      <c r="CQ234" s="158">
        <v>59.337000000000003</v>
      </c>
      <c r="CR234" s="120">
        <f>(CS234+CQ234)/2</f>
        <v>60.344499999999996</v>
      </c>
      <c r="CS234" s="158">
        <v>61.351999999999997</v>
      </c>
      <c r="CT234" s="120">
        <f>(CU234+CS234)/2</f>
        <v>62.337999999999994</v>
      </c>
      <c r="CU234" s="158">
        <v>63.323999999999998</v>
      </c>
      <c r="CV234" s="120">
        <f>(CW234+CU234)/2</f>
        <v>64.438999999999993</v>
      </c>
      <c r="CW234" s="158">
        <v>65.554000000000002</v>
      </c>
      <c r="CX234" s="120">
        <f>(CY234+CW234)/2</f>
        <v>66.561999999999998</v>
      </c>
      <c r="CY234" s="158">
        <v>67.569999999999993</v>
      </c>
      <c r="CZ234" s="120">
        <f>(DA234+CY234)/2</f>
        <v>68.673000000000002</v>
      </c>
      <c r="DA234" s="158">
        <v>69.775999999999996</v>
      </c>
      <c r="DB234" s="120">
        <f>(DC234+DA234)/2</f>
        <v>70.774000000000001</v>
      </c>
      <c r="DC234" s="158">
        <v>71.772000000000006</v>
      </c>
      <c r="DD234" s="120">
        <f>(DE234+DC234)/2</f>
        <v>72.75800000000001</v>
      </c>
      <c r="DE234" s="158">
        <v>73.744</v>
      </c>
      <c r="DF234" s="120">
        <f>(DG234+DE234)/2</f>
        <v>74.751499999999993</v>
      </c>
      <c r="DG234" s="159">
        <v>75.759</v>
      </c>
    </row>
    <row r="235" spans="54:111" ht="15" customHeight="1" x14ac:dyDescent="0.2">
      <c r="BB235" s="28">
        <v>43</v>
      </c>
      <c r="BC235" s="121">
        <v>13.297999999999998</v>
      </c>
      <c r="BD235" s="121">
        <v>14.78425</v>
      </c>
      <c r="BE235" s="121">
        <v>16.270499999999998</v>
      </c>
      <c r="BF235" s="121">
        <v>17.622500000000002</v>
      </c>
      <c r="BG235" s="121">
        <v>18.974499999999999</v>
      </c>
      <c r="BH235" s="121">
        <v>20.285250000000001</v>
      </c>
      <c r="BI235" s="121">
        <v>21.596</v>
      </c>
      <c r="BJ235" s="121">
        <v>22.882750000000001</v>
      </c>
      <c r="BK235" s="121">
        <v>24.169499999999999</v>
      </c>
      <c r="BL235" s="121">
        <v>25.41525</v>
      </c>
      <c r="BM235" s="121">
        <v>26.661000000000001</v>
      </c>
      <c r="BN235" s="121">
        <v>27.859500000000001</v>
      </c>
      <c r="BO235" s="121">
        <v>29.058</v>
      </c>
      <c r="BP235" s="121">
        <v>30.236000000000001</v>
      </c>
      <c r="BQ235" s="121">
        <v>31.414000000000001</v>
      </c>
      <c r="BR235" s="121">
        <v>32.612500000000004</v>
      </c>
      <c r="BS235" s="121">
        <v>33.811</v>
      </c>
      <c r="BT235" s="121">
        <v>34.951000000000001</v>
      </c>
      <c r="BU235" s="121">
        <v>36.091000000000001</v>
      </c>
      <c r="BV235" s="121">
        <v>37.204250000000002</v>
      </c>
      <c r="BW235" s="121">
        <v>38.317499999999995</v>
      </c>
      <c r="BX235" s="121">
        <v>39.486750000000001</v>
      </c>
      <c r="BY235" s="121">
        <v>40.655999999999999</v>
      </c>
      <c r="BZ235" s="121">
        <v>41.750749999999996</v>
      </c>
      <c r="CA235" s="121">
        <v>42.845500000000001</v>
      </c>
      <c r="CB235" s="121">
        <v>43.980499999999999</v>
      </c>
      <c r="CC235" s="121">
        <v>45.115499999999997</v>
      </c>
      <c r="CD235" s="121">
        <v>46.226500000000001</v>
      </c>
      <c r="CE235" s="121">
        <v>47.337499999999999</v>
      </c>
      <c r="CF235" s="121">
        <v>48.437249999999999</v>
      </c>
      <c r="CG235" s="121">
        <v>49.536999999999999</v>
      </c>
      <c r="CH235" s="121">
        <v>50.613999999999997</v>
      </c>
      <c r="CI235" s="121">
        <v>51.691000000000003</v>
      </c>
      <c r="CJ235" s="121">
        <v>52.750500000000002</v>
      </c>
      <c r="CK235" s="121">
        <v>53.81</v>
      </c>
      <c r="CL235" s="121">
        <v>54.945250000000001</v>
      </c>
      <c r="CM235" s="121">
        <v>56.080500000000001</v>
      </c>
      <c r="CN235" s="121">
        <v>57.157249999999998</v>
      </c>
      <c r="CO235" s="121">
        <f t="array" ref="CO235:CO252">TRANSPOSE(CP234:DG234)</f>
        <v>58.234000000000002</v>
      </c>
      <c r="CP235" s="120">
        <f>(CO235+CQ235)/2</f>
        <v>59.304500000000004</v>
      </c>
      <c r="CQ235" s="120">
        <f>(CQ234+CQ236)/2</f>
        <v>60.375</v>
      </c>
      <c r="CR235" s="120">
        <f>(CQ235+CS235)/2</f>
        <v>61.456499999999998</v>
      </c>
      <c r="CS235" s="120">
        <f>(CS234+CS236)/2</f>
        <v>62.537999999999997</v>
      </c>
      <c r="CT235" s="120">
        <f>(CS235+CU235)/2</f>
        <v>63.55</v>
      </c>
      <c r="CU235" s="120">
        <f>(CU234+CU236)/2</f>
        <v>64.561999999999998</v>
      </c>
      <c r="CV235" s="120">
        <f>(CU235+CW235)/2</f>
        <v>65.633749999999992</v>
      </c>
      <c r="CW235" s="120">
        <f>(CW234+CW236)/2</f>
        <v>66.705500000000001</v>
      </c>
      <c r="CX235" s="120">
        <f>(CW235+CY235)/2</f>
        <v>67.78725</v>
      </c>
      <c r="CY235" s="120">
        <f>(CY234+CY236)/2</f>
        <v>68.869</v>
      </c>
      <c r="CZ235" s="120">
        <f>(CY235+DA235)/2</f>
        <v>69.9285</v>
      </c>
      <c r="DA235" s="120">
        <f>(DA234+DA236)/2</f>
        <v>70.988</v>
      </c>
      <c r="DB235" s="120">
        <f>(DA235+DC235)/2</f>
        <v>72.006249999999994</v>
      </c>
      <c r="DC235" s="120">
        <f>(DC234+DC236)/2</f>
        <v>73.024500000000003</v>
      </c>
      <c r="DD235" s="120">
        <f>(DC235+DE235)/2</f>
        <v>74.094999999999999</v>
      </c>
      <c r="DE235" s="120">
        <f>(DE234+DE236)/2</f>
        <v>75.165500000000009</v>
      </c>
      <c r="DF235" s="120">
        <f>(DE235+DG235)/2</f>
        <v>76.183500000000009</v>
      </c>
      <c r="DG235" s="122">
        <f>(DG234+DG236)/2</f>
        <v>77.20150000000001</v>
      </c>
    </row>
    <row r="236" spans="54:111" ht="15" customHeight="1" x14ac:dyDescent="0.2">
      <c r="BB236" s="28">
        <v>44</v>
      </c>
      <c r="BC236" s="121">
        <v>13.54</v>
      </c>
      <c r="BD236" s="121">
        <v>15.0365</v>
      </c>
      <c r="BE236" s="121">
        <v>16.533000000000001</v>
      </c>
      <c r="BF236" s="121">
        <v>17.900500000000001</v>
      </c>
      <c r="BG236" s="121">
        <v>19.268000000000001</v>
      </c>
      <c r="BH236" s="121">
        <v>20.598500000000001</v>
      </c>
      <c r="BI236" s="121">
        <v>21.928999999999998</v>
      </c>
      <c r="BJ236" s="121">
        <v>23.2605</v>
      </c>
      <c r="BK236" s="121">
        <v>24.591999999999999</v>
      </c>
      <c r="BL236" s="121">
        <v>25.863999999999997</v>
      </c>
      <c r="BM236" s="121">
        <v>27.135999999999999</v>
      </c>
      <c r="BN236" s="121">
        <v>28.349499999999999</v>
      </c>
      <c r="BO236" s="121">
        <v>29.562999999999999</v>
      </c>
      <c r="BP236" s="121">
        <v>30.767499999999998</v>
      </c>
      <c r="BQ236" s="121">
        <v>31.972000000000001</v>
      </c>
      <c r="BR236" s="121">
        <v>33.185500000000005</v>
      </c>
      <c r="BS236" s="121">
        <v>34.399000000000001</v>
      </c>
      <c r="BT236" s="121">
        <v>35.554500000000004</v>
      </c>
      <c r="BU236" s="121">
        <v>36.71</v>
      </c>
      <c r="BV236" s="121">
        <v>37.843000000000004</v>
      </c>
      <c r="BW236" s="121">
        <v>38.975999999999999</v>
      </c>
      <c r="BX236" s="121">
        <v>40.189499999999995</v>
      </c>
      <c r="BY236" s="121">
        <v>41.402999999999999</v>
      </c>
      <c r="BZ236" s="121">
        <v>42.489999999999995</v>
      </c>
      <c r="CA236" s="121">
        <v>43.576999999999998</v>
      </c>
      <c r="CB236" s="121">
        <v>44.731999999999999</v>
      </c>
      <c r="CC236" s="121">
        <v>45.887</v>
      </c>
      <c r="CD236" s="121">
        <v>47.042500000000004</v>
      </c>
      <c r="CE236" s="121">
        <v>48.198</v>
      </c>
      <c r="CF236" s="121">
        <v>49.294499999999999</v>
      </c>
      <c r="CG236" s="121">
        <v>50.390999999999998</v>
      </c>
      <c r="CH236" s="121">
        <v>51.546999999999997</v>
      </c>
      <c r="CI236" s="121">
        <v>52.703000000000003</v>
      </c>
      <c r="CJ236" s="121">
        <v>53.719000000000001</v>
      </c>
      <c r="CK236" s="121">
        <v>54.734999999999999</v>
      </c>
      <c r="CL236" s="121">
        <v>55.880499999999998</v>
      </c>
      <c r="CM236" s="121">
        <v>57.026000000000003</v>
      </c>
      <c r="CN236" s="121">
        <v>58.1815</v>
      </c>
      <c r="CO236" s="121">
        <v>59.337000000000003</v>
      </c>
      <c r="CP236" s="121">
        <f t="array" ref="CP236:CP252">TRANSPOSE(CQ235:DG235)</f>
        <v>60.375</v>
      </c>
      <c r="CQ236" s="158">
        <v>61.412999999999997</v>
      </c>
      <c r="CR236" s="121">
        <f>CS235</f>
        <v>62.537999999999997</v>
      </c>
      <c r="CS236" s="158">
        <v>63.723999999999997</v>
      </c>
      <c r="CT236" s="121">
        <f>CU235</f>
        <v>64.561999999999998</v>
      </c>
      <c r="CU236" s="158">
        <v>65.8</v>
      </c>
      <c r="CV236" s="121">
        <f>CW235</f>
        <v>66.705500000000001</v>
      </c>
      <c r="CW236" s="158">
        <v>67.856999999999999</v>
      </c>
      <c r="CX236" s="121">
        <f>CY235</f>
        <v>68.869</v>
      </c>
      <c r="CY236" s="158">
        <v>70.168000000000006</v>
      </c>
      <c r="CZ236" s="121">
        <f>DA235</f>
        <v>70.988</v>
      </c>
      <c r="DA236" s="158">
        <v>72.2</v>
      </c>
      <c r="DB236" s="121">
        <f>DC235</f>
        <v>73.024500000000003</v>
      </c>
      <c r="DC236" s="158">
        <v>74.277000000000001</v>
      </c>
      <c r="DD236" s="121">
        <f>DE235</f>
        <v>75.165500000000009</v>
      </c>
      <c r="DE236" s="158">
        <v>76.587000000000003</v>
      </c>
      <c r="DF236" s="121">
        <f>DG235</f>
        <v>77.20150000000001</v>
      </c>
      <c r="DG236" s="159">
        <v>78.644000000000005</v>
      </c>
    </row>
    <row r="237" spans="54:111" ht="15" customHeight="1" x14ac:dyDescent="0.2">
      <c r="BB237" s="143">
        <v>45</v>
      </c>
      <c r="BC237" s="121">
        <v>13.750499999999999</v>
      </c>
      <c r="BD237" s="121">
        <v>15.266999999999999</v>
      </c>
      <c r="BE237" s="121">
        <v>16.7835</v>
      </c>
      <c r="BF237" s="121">
        <v>18.217500000000001</v>
      </c>
      <c r="BG237" s="121">
        <v>19.651499999999999</v>
      </c>
      <c r="BH237" s="121">
        <v>20.997500000000002</v>
      </c>
      <c r="BI237" s="121">
        <v>22.343499999999999</v>
      </c>
      <c r="BJ237" s="121">
        <v>23.660499999999999</v>
      </c>
      <c r="BK237" s="121">
        <v>24.977499999999999</v>
      </c>
      <c r="BL237" s="121">
        <v>26.264749999999999</v>
      </c>
      <c r="BM237" s="121">
        <v>27.552</v>
      </c>
      <c r="BN237" s="121">
        <v>28.81</v>
      </c>
      <c r="BO237" s="121">
        <v>30.067999999999998</v>
      </c>
      <c r="BP237" s="121">
        <v>31.287500000000001</v>
      </c>
      <c r="BQ237" s="121">
        <v>32.507000000000005</v>
      </c>
      <c r="BR237" s="121">
        <v>33.736000000000004</v>
      </c>
      <c r="BS237" s="121">
        <v>34.965000000000003</v>
      </c>
      <c r="BT237" s="121">
        <v>36.1355</v>
      </c>
      <c r="BU237" s="121">
        <v>37.305999999999997</v>
      </c>
      <c r="BV237" s="121">
        <v>38.505499999999998</v>
      </c>
      <c r="BW237" s="121">
        <v>39.704999999999998</v>
      </c>
      <c r="BX237" s="121">
        <v>40.904499999999999</v>
      </c>
      <c r="BY237" s="121">
        <v>42.103999999999999</v>
      </c>
      <c r="BZ237" s="121">
        <v>43.240499999999997</v>
      </c>
      <c r="CA237" s="121">
        <v>44.376999999999995</v>
      </c>
      <c r="CB237" s="121">
        <v>45.547249999999998</v>
      </c>
      <c r="CC237" s="121">
        <v>46.717500000000001</v>
      </c>
      <c r="CD237" s="121">
        <v>47.858750000000001</v>
      </c>
      <c r="CE237" s="121">
        <v>49</v>
      </c>
      <c r="CF237" s="121">
        <v>50.140999999999998</v>
      </c>
      <c r="CG237" s="121">
        <v>51.281999999999996</v>
      </c>
      <c r="CH237" s="121">
        <v>52.423749999999998</v>
      </c>
      <c r="CI237" s="121">
        <v>53.5655</v>
      </c>
      <c r="CJ237" s="121">
        <v>54.677499999999995</v>
      </c>
      <c r="CK237" s="121">
        <v>55.789500000000004</v>
      </c>
      <c r="CL237" s="121">
        <v>56.896500000000003</v>
      </c>
      <c r="CM237" s="121">
        <v>58.003500000000003</v>
      </c>
      <c r="CN237" s="121">
        <v>59.173999999999999</v>
      </c>
      <c r="CO237" s="121">
        <v>60.344499999999996</v>
      </c>
      <c r="CP237" s="121">
        <v>61.456499999999998</v>
      </c>
      <c r="CQ237" s="121">
        <f t="array" ref="CQ237:CQ252">TRANSPOSE(CR236:DG236)</f>
        <v>62.537999999999997</v>
      </c>
      <c r="CR237" s="144">
        <f>(CQ237+CS237)/2</f>
        <v>63.66525</v>
      </c>
      <c r="CS237" s="120">
        <f>(CS236+CS238)/2</f>
        <v>64.792500000000004</v>
      </c>
      <c r="CT237" s="120">
        <f>(CS237+CU237)/2</f>
        <v>65.90424999999999</v>
      </c>
      <c r="CU237" s="120">
        <f>(CU236+CU238)/2</f>
        <v>67.015999999999991</v>
      </c>
      <c r="CV237" s="120">
        <f>(CU237+CW237)/2</f>
        <v>68.064499999999995</v>
      </c>
      <c r="CW237" s="120">
        <f>(CW236+CW238)/2</f>
        <v>69.113</v>
      </c>
      <c r="CX237" s="120">
        <f>(CW237+CY237)/2</f>
        <v>70.225499999999997</v>
      </c>
      <c r="CY237" s="120">
        <f>(CY236+CY238)/2</f>
        <v>71.337999999999994</v>
      </c>
      <c r="CZ237" s="120">
        <f>(CY237+DA237)/2</f>
        <v>72.444749999999999</v>
      </c>
      <c r="DA237" s="120">
        <f>(DA236+DA238)/2</f>
        <v>73.551500000000004</v>
      </c>
      <c r="DB237" s="120">
        <f>(DA237+DC237)/2</f>
        <v>74.605249999999998</v>
      </c>
      <c r="DC237" s="120">
        <f>(DC236+DC238)/2</f>
        <v>75.658999999999992</v>
      </c>
      <c r="DD237" s="120">
        <f>(DC237+DE237)/2</f>
        <v>76.770749999999992</v>
      </c>
      <c r="DE237" s="120">
        <f>(DE236+DE238)/2</f>
        <v>77.882499999999993</v>
      </c>
      <c r="DF237" s="120">
        <f>(DE237+DG237)/2</f>
        <v>78.989499999999992</v>
      </c>
      <c r="DG237" s="122">
        <f>(DG236+DG238)/2</f>
        <v>80.096500000000006</v>
      </c>
    </row>
    <row r="238" spans="54:111" ht="15" customHeight="1" x14ac:dyDescent="0.2">
      <c r="BB238" s="143">
        <v>46</v>
      </c>
      <c r="BC238" s="121">
        <v>13.961</v>
      </c>
      <c r="BD238" s="121">
        <v>15.497499999999999</v>
      </c>
      <c r="BE238" s="121">
        <v>17.033999999999999</v>
      </c>
      <c r="BF238" s="121">
        <v>18.534500000000001</v>
      </c>
      <c r="BG238" s="121">
        <v>20.035</v>
      </c>
      <c r="BH238" s="121">
        <v>21.3965</v>
      </c>
      <c r="BI238" s="121">
        <v>22.757999999999999</v>
      </c>
      <c r="BJ238" s="121">
        <v>24.060499999999998</v>
      </c>
      <c r="BK238" s="121">
        <v>25.363</v>
      </c>
      <c r="BL238" s="121">
        <v>26.665500000000002</v>
      </c>
      <c r="BM238" s="121">
        <v>27.968</v>
      </c>
      <c r="BN238" s="121">
        <v>29.270499999999998</v>
      </c>
      <c r="BO238" s="121">
        <v>30.573</v>
      </c>
      <c r="BP238" s="121">
        <v>31.807500000000001</v>
      </c>
      <c r="BQ238" s="121">
        <v>33.042000000000002</v>
      </c>
      <c r="BR238" s="121">
        <v>34.286500000000004</v>
      </c>
      <c r="BS238" s="121">
        <v>35.530999999999999</v>
      </c>
      <c r="BT238" s="121">
        <v>36.716499999999996</v>
      </c>
      <c r="BU238" s="121">
        <v>37.902000000000001</v>
      </c>
      <c r="BV238" s="121">
        <v>39.167999999999999</v>
      </c>
      <c r="BW238" s="121">
        <v>40.433999999999997</v>
      </c>
      <c r="BX238" s="121">
        <v>41.619500000000002</v>
      </c>
      <c r="BY238" s="121">
        <v>42.805</v>
      </c>
      <c r="BZ238" s="121">
        <v>43.991</v>
      </c>
      <c r="CA238" s="121">
        <v>45.177</v>
      </c>
      <c r="CB238" s="121">
        <v>46.362499999999997</v>
      </c>
      <c r="CC238" s="121">
        <v>47.548000000000002</v>
      </c>
      <c r="CD238" s="121">
        <v>48.674999999999997</v>
      </c>
      <c r="CE238" s="121">
        <v>49.802</v>
      </c>
      <c r="CF238" s="121">
        <v>50.987499999999997</v>
      </c>
      <c r="CG238" s="121">
        <v>52.173000000000002</v>
      </c>
      <c r="CH238" s="121">
        <v>53.3005</v>
      </c>
      <c r="CI238" s="121">
        <v>54.427999999999997</v>
      </c>
      <c r="CJ238" s="121">
        <v>55.635999999999996</v>
      </c>
      <c r="CK238" s="121">
        <v>56.844000000000001</v>
      </c>
      <c r="CL238" s="121">
        <v>57.912500000000001</v>
      </c>
      <c r="CM238" s="121">
        <v>58.981000000000002</v>
      </c>
      <c r="CN238" s="121">
        <v>60.166499999999999</v>
      </c>
      <c r="CO238" s="121">
        <v>61.351999999999997</v>
      </c>
      <c r="CP238" s="121">
        <v>62.537999999999997</v>
      </c>
      <c r="CQ238" s="121">
        <v>63.723999999999997</v>
      </c>
      <c r="CR238" s="150">
        <f t="array" ref="CR238:CR252">TRANSPOSE(CS237:DG237)</f>
        <v>64.792500000000004</v>
      </c>
      <c r="CS238" s="158">
        <v>65.861000000000004</v>
      </c>
      <c r="CT238" s="121">
        <f>CU237</f>
        <v>67.015999999999991</v>
      </c>
      <c r="CU238" s="158">
        <v>68.231999999999999</v>
      </c>
      <c r="CV238" s="121">
        <f>CW237</f>
        <v>69.113</v>
      </c>
      <c r="CW238" s="158">
        <v>70.369</v>
      </c>
      <c r="CX238" s="121">
        <f>CY237</f>
        <v>71.337999999999994</v>
      </c>
      <c r="CY238" s="158">
        <v>72.507999999999996</v>
      </c>
      <c r="CZ238" s="121">
        <f>DA237</f>
        <v>73.551500000000004</v>
      </c>
      <c r="DA238" s="158">
        <v>74.903000000000006</v>
      </c>
      <c r="DB238" s="121">
        <f>DC237</f>
        <v>75.658999999999992</v>
      </c>
      <c r="DC238" s="158">
        <v>77.040999999999997</v>
      </c>
      <c r="DD238" s="121">
        <f>DE237</f>
        <v>77.882499999999993</v>
      </c>
      <c r="DE238" s="158">
        <v>79.177999999999997</v>
      </c>
      <c r="DF238" s="121">
        <f>DG237</f>
        <v>80.096500000000006</v>
      </c>
      <c r="DG238" s="159">
        <v>81.549000000000007</v>
      </c>
    </row>
    <row r="239" spans="54:111" ht="15" customHeight="1" x14ac:dyDescent="0.2">
      <c r="BB239" s="143">
        <v>47</v>
      </c>
      <c r="BC239" s="121">
        <v>14.1935</v>
      </c>
      <c r="BD239" s="121">
        <v>15.745249999999999</v>
      </c>
      <c r="BE239" s="121">
        <v>17.296999999999997</v>
      </c>
      <c r="BF239" s="121">
        <v>18.812750000000001</v>
      </c>
      <c r="BG239" s="121">
        <v>20.328499999999998</v>
      </c>
      <c r="BH239" s="121">
        <v>21.704999999999998</v>
      </c>
      <c r="BI239" s="121">
        <v>23.081499999999998</v>
      </c>
      <c r="BJ239" s="121">
        <v>24.4285</v>
      </c>
      <c r="BK239" s="121">
        <v>25.775500000000001</v>
      </c>
      <c r="BL239" s="121">
        <v>27.109000000000002</v>
      </c>
      <c r="BM239" s="121">
        <v>28.442500000000003</v>
      </c>
      <c r="BN239" s="121">
        <v>29.7605</v>
      </c>
      <c r="BO239" s="121">
        <v>31.078499999999998</v>
      </c>
      <c r="BP239" s="121">
        <v>32.344000000000001</v>
      </c>
      <c r="BQ239" s="121">
        <v>33.609499999999997</v>
      </c>
      <c r="BR239" s="121">
        <v>34.869</v>
      </c>
      <c r="BS239" s="121">
        <v>36.128500000000003</v>
      </c>
      <c r="BT239" s="121">
        <v>37.329250000000002</v>
      </c>
      <c r="BU239" s="121">
        <v>38.53</v>
      </c>
      <c r="BV239" s="121">
        <v>39.811</v>
      </c>
      <c r="BW239" s="121">
        <v>41.091999999999999</v>
      </c>
      <c r="BX239" s="121">
        <v>42.292749999999998</v>
      </c>
      <c r="BY239" s="121">
        <v>43.493499999999997</v>
      </c>
      <c r="BZ239" s="121">
        <v>44.705750000000002</v>
      </c>
      <c r="CA239" s="121">
        <v>45.917999999999999</v>
      </c>
      <c r="CB239" s="121">
        <v>47.118749999999999</v>
      </c>
      <c r="CC239" s="121">
        <v>48.319500000000005</v>
      </c>
      <c r="CD239" s="121">
        <v>49.491250000000001</v>
      </c>
      <c r="CE239" s="121">
        <v>50.662999999999997</v>
      </c>
      <c r="CF239" s="121">
        <v>51.845500000000001</v>
      </c>
      <c r="CG239" s="121">
        <v>53.028000000000006</v>
      </c>
      <c r="CH239" s="121">
        <v>54.228999999999999</v>
      </c>
      <c r="CI239" s="121">
        <v>55.43</v>
      </c>
      <c r="CJ239" s="121">
        <v>56.594499999999996</v>
      </c>
      <c r="CK239" s="121">
        <v>57.759</v>
      </c>
      <c r="CL239" s="121">
        <v>58.901499999999999</v>
      </c>
      <c r="CM239" s="121">
        <v>60.043999999999997</v>
      </c>
      <c r="CN239" s="121">
        <v>61.191000000000003</v>
      </c>
      <c r="CO239" s="121">
        <v>62.337999999999994</v>
      </c>
      <c r="CP239" s="121">
        <v>63.55</v>
      </c>
      <c r="CQ239" s="121">
        <v>64.561999999999998</v>
      </c>
      <c r="CR239" s="160">
        <v>65.90424999999999</v>
      </c>
      <c r="CS239" s="160">
        <f t="array" ref="CS239:CS252">TRANSPOSE(CT238:DG238)</f>
        <v>67.015999999999991</v>
      </c>
      <c r="CT239" s="120">
        <f>(CS239+CU239)/2</f>
        <v>68.1845</v>
      </c>
      <c r="CU239" s="120">
        <f>(CU238+CU240)/2</f>
        <v>69.353000000000009</v>
      </c>
      <c r="CV239" s="120">
        <f>(CU239+CW239)/2</f>
        <v>70.495500000000007</v>
      </c>
      <c r="CW239" s="120">
        <f>(CW238+CW240)/2</f>
        <v>71.638000000000005</v>
      </c>
      <c r="CX239" s="120">
        <f>(CW239+CY239)/2</f>
        <v>72.722250000000003</v>
      </c>
      <c r="CY239" s="120">
        <f>(CY238+CY240)/2</f>
        <v>73.8065</v>
      </c>
      <c r="CZ239" s="120">
        <f>(CY239+DA239)/2</f>
        <v>74.96575</v>
      </c>
      <c r="DA239" s="120">
        <f>(DA238+DA240)/2</f>
        <v>76.125</v>
      </c>
      <c r="DB239" s="120">
        <f>(DA239+DC239)/2</f>
        <v>77.267499999999998</v>
      </c>
      <c r="DC239" s="120">
        <f>(DC238+DC240)/2</f>
        <v>78.41</v>
      </c>
      <c r="DD239" s="120">
        <f>(DC239+DE239)/2</f>
        <v>79.504750000000001</v>
      </c>
      <c r="DE239" s="120">
        <f>(DE238+DE240)/2</f>
        <v>80.599500000000006</v>
      </c>
      <c r="DF239" s="120">
        <f>(DE239+DG239)/2</f>
        <v>81.742000000000004</v>
      </c>
      <c r="DG239" s="122">
        <f>(DG238+DG240)/2</f>
        <v>82.884500000000003</v>
      </c>
    </row>
    <row r="240" spans="54:111" ht="15" customHeight="1" x14ac:dyDescent="0.2">
      <c r="BB240" s="143">
        <v>48</v>
      </c>
      <c r="BC240" s="121">
        <v>14.426</v>
      </c>
      <c r="BD240" s="121">
        <v>15.992999999999999</v>
      </c>
      <c r="BE240" s="121">
        <v>17.559999999999999</v>
      </c>
      <c r="BF240" s="121">
        <v>19.091000000000001</v>
      </c>
      <c r="BG240" s="121">
        <v>20.622</v>
      </c>
      <c r="BH240" s="121">
        <v>22.013500000000001</v>
      </c>
      <c r="BI240" s="121">
        <v>23.405000000000001</v>
      </c>
      <c r="BJ240" s="121">
        <v>24.796500000000002</v>
      </c>
      <c r="BK240" s="121">
        <v>26.187999999999999</v>
      </c>
      <c r="BL240" s="121">
        <v>27.552500000000002</v>
      </c>
      <c r="BM240" s="121">
        <v>28.917000000000002</v>
      </c>
      <c r="BN240" s="121">
        <v>30.250500000000002</v>
      </c>
      <c r="BO240" s="121">
        <v>31.584</v>
      </c>
      <c r="BP240" s="121">
        <v>32.880499999999998</v>
      </c>
      <c r="BQ240" s="121">
        <v>34.177</v>
      </c>
      <c r="BR240" s="121">
        <v>35.451499999999996</v>
      </c>
      <c r="BS240" s="121">
        <v>36.725999999999999</v>
      </c>
      <c r="BT240" s="121">
        <v>37.942</v>
      </c>
      <c r="BU240" s="121">
        <v>39.158000000000001</v>
      </c>
      <c r="BV240" s="121">
        <v>40.454000000000001</v>
      </c>
      <c r="BW240" s="121">
        <v>41.75</v>
      </c>
      <c r="BX240" s="121">
        <v>42.966000000000001</v>
      </c>
      <c r="BY240" s="121">
        <v>44.182000000000002</v>
      </c>
      <c r="BZ240" s="121">
        <v>45.420500000000004</v>
      </c>
      <c r="CA240" s="121">
        <v>46.658999999999999</v>
      </c>
      <c r="CB240" s="121">
        <v>47.875</v>
      </c>
      <c r="CC240" s="121">
        <v>49.091000000000001</v>
      </c>
      <c r="CD240" s="121">
        <v>50.307500000000005</v>
      </c>
      <c r="CE240" s="121">
        <v>51.524000000000001</v>
      </c>
      <c r="CF240" s="121">
        <v>52.703500000000005</v>
      </c>
      <c r="CG240" s="121">
        <v>53.883000000000003</v>
      </c>
      <c r="CH240" s="121">
        <v>55.157499999999999</v>
      </c>
      <c r="CI240" s="121">
        <v>56.432000000000002</v>
      </c>
      <c r="CJ240" s="121">
        <v>57.552999999999997</v>
      </c>
      <c r="CK240" s="121">
        <v>58.673999999999999</v>
      </c>
      <c r="CL240" s="121">
        <v>59.890500000000003</v>
      </c>
      <c r="CM240" s="121">
        <v>61.106999999999999</v>
      </c>
      <c r="CN240" s="121">
        <v>62.215499999999999</v>
      </c>
      <c r="CO240" s="121">
        <v>63.323999999999998</v>
      </c>
      <c r="CP240" s="121">
        <v>64.561999999999998</v>
      </c>
      <c r="CQ240" s="121">
        <v>65.8</v>
      </c>
      <c r="CR240" s="160">
        <v>67.015999999999991</v>
      </c>
      <c r="CS240" s="160">
        <v>68.231999999999999</v>
      </c>
      <c r="CT240" s="121">
        <f t="array" ref="CT240:CT252">TRANSPOSE(CU239:DG239)</f>
        <v>69.353000000000009</v>
      </c>
      <c r="CU240" s="158">
        <v>70.474000000000004</v>
      </c>
      <c r="CV240" s="121">
        <f>CW239</f>
        <v>71.638000000000005</v>
      </c>
      <c r="CW240" s="158">
        <v>72.906999999999996</v>
      </c>
      <c r="CX240" s="121">
        <f>CY239</f>
        <v>73.8065</v>
      </c>
      <c r="CY240" s="158">
        <v>75.105000000000004</v>
      </c>
      <c r="CZ240" s="121">
        <f>DA239</f>
        <v>76.125</v>
      </c>
      <c r="DA240" s="158">
        <v>77.346999999999994</v>
      </c>
      <c r="DB240" s="121">
        <f>DC239</f>
        <v>78.41</v>
      </c>
      <c r="DC240" s="158">
        <v>79.778999999999996</v>
      </c>
      <c r="DD240" s="121">
        <f>DE239</f>
        <v>80.599500000000006</v>
      </c>
      <c r="DE240" s="158">
        <v>82.021000000000001</v>
      </c>
      <c r="DF240" s="121">
        <f>DG239</f>
        <v>82.884500000000003</v>
      </c>
      <c r="DG240" s="159">
        <v>84.22</v>
      </c>
    </row>
    <row r="241" spans="54:111" ht="15" customHeight="1" x14ac:dyDescent="0.2">
      <c r="BB241" s="143">
        <v>49</v>
      </c>
      <c r="BC241" s="121">
        <v>14.635999999999999</v>
      </c>
      <c r="BD241" s="121">
        <v>16.234249999999999</v>
      </c>
      <c r="BE241" s="121">
        <v>17.8325</v>
      </c>
      <c r="BF241" s="121">
        <v>19.378500000000003</v>
      </c>
      <c r="BG241" s="121">
        <v>20.924500000000002</v>
      </c>
      <c r="BH241" s="121">
        <v>22.360500000000002</v>
      </c>
      <c r="BI241" s="121">
        <v>23.796500000000002</v>
      </c>
      <c r="BJ241" s="121">
        <v>25.21425</v>
      </c>
      <c r="BK241" s="121">
        <v>26.631999999999998</v>
      </c>
      <c r="BL241" s="121">
        <v>28.007249999999999</v>
      </c>
      <c r="BM241" s="121">
        <v>29.3825</v>
      </c>
      <c r="BN241" s="121">
        <v>30.706499999999998</v>
      </c>
      <c r="BO241" s="121">
        <v>32.030499999999996</v>
      </c>
      <c r="BP241" s="121">
        <v>33.371499999999997</v>
      </c>
      <c r="BQ241" s="121">
        <v>34.712499999999999</v>
      </c>
      <c r="BR241" s="121">
        <v>36.013249999999999</v>
      </c>
      <c r="BS241" s="121">
        <v>37.314</v>
      </c>
      <c r="BT241" s="121">
        <v>38.574250000000006</v>
      </c>
      <c r="BU241" s="121">
        <v>39.834500000000006</v>
      </c>
      <c r="BV241" s="121">
        <v>41.116749999999996</v>
      </c>
      <c r="BW241" s="121">
        <v>42.399000000000001</v>
      </c>
      <c r="BX241" s="121">
        <v>43.646000000000001</v>
      </c>
      <c r="BY241" s="121">
        <v>44.893000000000001</v>
      </c>
      <c r="BZ241" s="121">
        <v>46.1355</v>
      </c>
      <c r="CA241" s="121">
        <v>47.378</v>
      </c>
      <c r="CB241" s="121">
        <v>48.620249999999999</v>
      </c>
      <c r="CC241" s="121">
        <v>49.862499999999997</v>
      </c>
      <c r="CD241" s="121">
        <v>51.105249999999998</v>
      </c>
      <c r="CE241" s="121">
        <v>52.347999999999999</v>
      </c>
      <c r="CF241" s="121">
        <v>53.561</v>
      </c>
      <c r="CG241" s="121">
        <v>54.774000000000001</v>
      </c>
      <c r="CH241" s="121">
        <v>56.050249999999998</v>
      </c>
      <c r="CI241" s="121">
        <v>57.326499999999996</v>
      </c>
      <c r="CJ241" s="121">
        <v>58.521249999999995</v>
      </c>
      <c r="CK241" s="121">
        <v>59.716000000000001</v>
      </c>
      <c r="CL241" s="121">
        <v>60.889250000000004</v>
      </c>
      <c r="CM241" s="121">
        <v>62.0625</v>
      </c>
      <c r="CN241" s="121">
        <v>63.250749999999996</v>
      </c>
      <c r="CO241" s="121">
        <v>64.438999999999993</v>
      </c>
      <c r="CP241" s="121">
        <v>65.633749999999992</v>
      </c>
      <c r="CQ241" s="121">
        <v>66.705500000000001</v>
      </c>
      <c r="CR241" s="160">
        <v>68.064499999999995</v>
      </c>
      <c r="CS241" s="160">
        <v>69.113</v>
      </c>
      <c r="CT241" s="160">
        <v>70.495500000000007</v>
      </c>
      <c r="CU241" s="160">
        <f t="array" ref="CU241:CU252">TRANSPOSE(CV240:DG240)</f>
        <v>71.638000000000005</v>
      </c>
      <c r="CV241" s="120">
        <f>(CU241+CW241)/2</f>
        <v>72.848250000000007</v>
      </c>
      <c r="CW241" s="120">
        <f>(CW240+CW242)/2</f>
        <v>74.058499999999995</v>
      </c>
      <c r="CX241" s="120">
        <f>(CW241+CY241)/2</f>
        <v>75.172750000000008</v>
      </c>
      <c r="CY241" s="120">
        <f>(CY240+CY242)/2</f>
        <v>76.287000000000006</v>
      </c>
      <c r="CZ241" s="120">
        <f>(CY241+DA241)/2</f>
        <v>77.481750000000005</v>
      </c>
      <c r="DA241" s="120">
        <f>(DA240+DA242)/2</f>
        <v>78.676500000000004</v>
      </c>
      <c r="DB241" s="120">
        <f>(DA241+DC241)/2</f>
        <v>79.865250000000003</v>
      </c>
      <c r="DC241" s="120">
        <f>(DC240+DC242)/2</f>
        <v>81.054000000000002</v>
      </c>
      <c r="DD241" s="120">
        <f>(DC241+DE241)/2</f>
        <v>82.237750000000005</v>
      </c>
      <c r="DE241" s="120">
        <f>(DE240+DE242)/2</f>
        <v>83.421500000000009</v>
      </c>
      <c r="DF241" s="120">
        <f>(DE241+DG241)/2</f>
        <v>84.546999999999997</v>
      </c>
      <c r="DG241" s="122">
        <f>(DG240+DG242)/2</f>
        <v>85.672499999999999</v>
      </c>
    </row>
    <row r="242" spans="54:111" ht="15" customHeight="1" x14ac:dyDescent="0.2">
      <c r="BB242" s="143">
        <v>50</v>
      </c>
      <c r="BC242" s="121">
        <v>14.846</v>
      </c>
      <c r="BD242" s="121">
        <v>16.4755</v>
      </c>
      <c r="BE242" s="121">
        <v>18.105</v>
      </c>
      <c r="BF242" s="121">
        <v>19.666</v>
      </c>
      <c r="BG242" s="121">
        <v>21.227</v>
      </c>
      <c r="BH242" s="121">
        <v>22.7075</v>
      </c>
      <c r="BI242" s="121">
        <v>24.187999999999999</v>
      </c>
      <c r="BJ242" s="121">
        <v>25.631999999999998</v>
      </c>
      <c r="BK242" s="121">
        <v>27.076000000000001</v>
      </c>
      <c r="BL242" s="121">
        <v>28.462</v>
      </c>
      <c r="BM242" s="121">
        <v>29.847999999999999</v>
      </c>
      <c r="BN242" s="121">
        <v>31.162499999999998</v>
      </c>
      <c r="BO242" s="121">
        <v>32.476999999999997</v>
      </c>
      <c r="BP242" s="121">
        <v>33.862499999999997</v>
      </c>
      <c r="BQ242" s="121">
        <v>35.247999999999998</v>
      </c>
      <c r="BR242" s="121">
        <v>36.575000000000003</v>
      </c>
      <c r="BS242" s="121">
        <v>37.902000000000001</v>
      </c>
      <c r="BT242" s="121">
        <v>39.206500000000005</v>
      </c>
      <c r="BU242" s="121">
        <v>40.511000000000003</v>
      </c>
      <c r="BV242" s="121">
        <v>41.779499999999999</v>
      </c>
      <c r="BW242" s="121">
        <v>43.048000000000002</v>
      </c>
      <c r="BX242" s="121">
        <v>44.326000000000001</v>
      </c>
      <c r="BY242" s="121">
        <v>45.603999999999999</v>
      </c>
      <c r="BZ242" s="121">
        <v>46.850499999999997</v>
      </c>
      <c r="CA242" s="121">
        <v>48.097000000000001</v>
      </c>
      <c r="CB242" s="121">
        <v>49.365499999999997</v>
      </c>
      <c r="CC242" s="121">
        <v>50.634</v>
      </c>
      <c r="CD242" s="121">
        <v>51.902999999999999</v>
      </c>
      <c r="CE242" s="121">
        <v>53.171999999999997</v>
      </c>
      <c r="CF242" s="121">
        <v>54.418499999999995</v>
      </c>
      <c r="CG242" s="121">
        <v>55.664999999999999</v>
      </c>
      <c r="CH242" s="121">
        <v>56.942999999999998</v>
      </c>
      <c r="CI242" s="121">
        <v>58.220999999999997</v>
      </c>
      <c r="CJ242" s="121">
        <v>59.4895</v>
      </c>
      <c r="CK242" s="121">
        <v>60.758000000000003</v>
      </c>
      <c r="CL242" s="121">
        <v>61.888000000000005</v>
      </c>
      <c r="CM242" s="121">
        <v>63.018000000000001</v>
      </c>
      <c r="CN242" s="121">
        <v>64.286000000000001</v>
      </c>
      <c r="CO242" s="121">
        <v>65.554000000000002</v>
      </c>
      <c r="CP242" s="121">
        <v>66.705500000000001</v>
      </c>
      <c r="CQ242" s="121">
        <v>67.856999999999999</v>
      </c>
      <c r="CR242" s="160">
        <v>69.113</v>
      </c>
      <c r="CS242" s="160">
        <v>70.369</v>
      </c>
      <c r="CT242" s="160">
        <v>71.638000000000005</v>
      </c>
      <c r="CU242" s="160">
        <v>72.906999999999996</v>
      </c>
      <c r="CV242" s="121">
        <f t="array" ref="CV242:CV252">TRANSPOSE(CW241:DG241)</f>
        <v>74.058499999999995</v>
      </c>
      <c r="CW242" s="158">
        <v>75.209999999999994</v>
      </c>
      <c r="CX242" s="121">
        <f>CY241</f>
        <v>76.287000000000006</v>
      </c>
      <c r="CY242" s="158">
        <v>77.468999999999994</v>
      </c>
      <c r="CZ242" s="121">
        <f>DA241</f>
        <v>78.676500000000004</v>
      </c>
      <c r="DA242" s="158">
        <v>80.006</v>
      </c>
      <c r="DB242" s="121">
        <f>DC241</f>
        <v>81.054000000000002</v>
      </c>
      <c r="DC242" s="158">
        <v>82.328999999999994</v>
      </c>
      <c r="DD242" s="121">
        <f>DE241</f>
        <v>83.421500000000009</v>
      </c>
      <c r="DE242" s="158">
        <v>84.822000000000003</v>
      </c>
      <c r="DF242" s="121">
        <f>DG241</f>
        <v>85.672499999999999</v>
      </c>
      <c r="DG242" s="159">
        <v>87.125</v>
      </c>
    </row>
    <row r="243" spans="54:111" ht="15" customHeight="1" x14ac:dyDescent="0.2">
      <c r="BB243" s="143">
        <v>51</v>
      </c>
      <c r="BC243" s="121">
        <v>15.0885</v>
      </c>
      <c r="BD243" s="121">
        <v>16.7575</v>
      </c>
      <c r="BE243" s="121">
        <v>18.426500000000001</v>
      </c>
      <c r="BF243" s="121">
        <v>19.973500000000001</v>
      </c>
      <c r="BG243" s="121">
        <v>21.520499999999998</v>
      </c>
      <c r="BH243" s="121">
        <v>23.031750000000002</v>
      </c>
      <c r="BI243" s="121">
        <v>24.542999999999999</v>
      </c>
      <c r="BJ243" s="121">
        <v>26.002499999999998</v>
      </c>
      <c r="BK243" s="121">
        <v>27.462</v>
      </c>
      <c r="BL243" s="121">
        <v>28.863</v>
      </c>
      <c r="BM243" s="121">
        <v>30.263999999999999</v>
      </c>
      <c r="BN243" s="121">
        <v>31.622999999999998</v>
      </c>
      <c r="BO243" s="121">
        <v>32.981999999999999</v>
      </c>
      <c r="BP243" s="121">
        <v>34.382750000000001</v>
      </c>
      <c r="BQ243" s="121">
        <v>35.783500000000004</v>
      </c>
      <c r="BR243" s="121">
        <v>37.125750000000004</v>
      </c>
      <c r="BS243" s="121">
        <v>38.468000000000004</v>
      </c>
      <c r="BT243" s="121">
        <v>39.8035</v>
      </c>
      <c r="BU243" s="121">
        <v>41.139000000000003</v>
      </c>
      <c r="BV243" s="121">
        <v>42.422499999999999</v>
      </c>
      <c r="BW243" s="121">
        <v>43.706000000000003</v>
      </c>
      <c r="BX243" s="121">
        <v>45.024000000000001</v>
      </c>
      <c r="BY243" s="121">
        <v>46.341999999999999</v>
      </c>
      <c r="BZ243" s="121">
        <v>47.619500000000002</v>
      </c>
      <c r="CA243" s="121">
        <v>48.897000000000006</v>
      </c>
      <c r="CB243" s="121">
        <v>50.180750000000003</v>
      </c>
      <c r="CC243" s="121">
        <v>51.464500000000001</v>
      </c>
      <c r="CD243" s="121">
        <v>52.748249999999999</v>
      </c>
      <c r="CE243" s="121">
        <v>54.031999999999996</v>
      </c>
      <c r="CF243" s="121">
        <v>55.280499999999996</v>
      </c>
      <c r="CG243" s="121">
        <v>56.528999999999996</v>
      </c>
      <c r="CH243" s="121">
        <v>57.817499999999995</v>
      </c>
      <c r="CI243" s="121">
        <v>59.105999999999995</v>
      </c>
      <c r="CJ243" s="121">
        <v>60.389749999999999</v>
      </c>
      <c r="CK243" s="121">
        <v>61.673500000000004</v>
      </c>
      <c r="CL243" s="121">
        <v>62.892750000000007</v>
      </c>
      <c r="CM243" s="121">
        <v>64.111999999999995</v>
      </c>
      <c r="CN243" s="121">
        <v>65.337000000000003</v>
      </c>
      <c r="CO243" s="121">
        <v>66.561999999999998</v>
      </c>
      <c r="CP243" s="121">
        <v>67.78725</v>
      </c>
      <c r="CQ243" s="121">
        <v>68.869</v>
      </c>
      <c r="CR243" s="160">
        <v>70.225499999999997</v>
      </c>
      <c r="CS243" s="160">
        <v>71.337999999999994</v>
      </c>
      <c r="CT243" s="160">
        <v>72.722250000000003</v>
      </c>
      <c r="CU243" s="160">
        <v>73.8065</v>
      </c>
      <c r="CV243" s="160">
        <v>75.172750000000008</v>
      </c>
      <c r="CW243" s="160">
        <f t="array" ref="CW243:CW252">TRANSPOSE(CX242:DG242)</f>
        <v>76.287000000000006</v>
      </c>
      <c r="CX243" s="120">
        <f>(CW243+CY243)/2</f>
        <v>77.532250000000005</v>
      </c>
      <c r="CY243" s="120">
        <f>(CY242+CY244)/2</f>
        <v>78.777500000000003</v>
      </c>
      <c r="CZ243" s="120">
        <f>(CY243+DA243)/2</f>
        <v>80.002750000000006</v>
      </c>
      <c r="DA243" s="120">
        <f>(DA242+DA244)/2</f>
        <v>81.228000000000009</v>
      </c>
      <c r="DB243" s="120">
        <f>(DA243+DC243)/2</f>
        <v>82.458250000000007</v>
      </c>
      <c r="DC243" s="120">
        <f>(DC242+DC244)/2</f>
        <v>83.688500000000005</v>
      </c>
      <c r="DD243" s="120">
        <f>(DC243+DE243)/2</f>
        <v>84.907499999999999</v>
      </c>
      <c r="DE243" s="120">
        <f>(DE242+DE244)/2</f>
        <v>86.126499999999993</v>
      </c>
      <c r="DF243" s="120">
        <f>(DE243+DG243)/2</f>
        <v>87.351749999999996</v>
      </c>
      <c r="DG243" s="122">
        <f>(DG242+DG244)/2</f>
        <v>88.576999999999998</v>
      </c>
    </row>
    <row r="244" spans="54:111" ht="15" customHeight="1" x14ac:dyDescent="0.2">
      <c r="BB244" s="143">
        <v>52</v>
      </c>
      <c r="BC244" s="121">
        <v>15.331</v>
      </c>
      <c r="BD244" s="121">
        <v>17.0395</v>
      </c>
      <c r="BE244" s="121">
        <v>18.748000000000001</v>
      </c>
      <c r="BF244" s="121">
        <v>20.280999999999999</v>
      </c>
      <c r="BG244" s="121">
        <v>21.814</v>
      </c>
      <c r="BH244" s="121">
        <v>23.356000000000002</v>
      </c>
      <c r="BI244" s="121">
        <v>24.898</v>
      </c>
      <c r="BJ244" s="121">
        <v>26.372999999999998</v>
      </c>
      <c r="BK244" s="121">
        <v>27.847999999999999</v>
      </c>
      <c r="BL244" s="121">
        <v>29.263999999999999</v>
      </c>
      <c r="BM244" s="121">
        <v>30.68</v>
      </c>
      <c r="BN244" s="121">
        <v>32.083500000000001</v>
      </c>
      <c r="BO244" s="121">
        <v>33.487000000000002</v>
      </c>
      <c r="BP244" s="121">
        <v>34.903000000000006</v>
      </c>
      <c r="BQ244" s="121">
        <v>36.319000000000003</v>
      </c>
      <c r="BR244" s="121">
        <v>37.676500000000004</v>
      </c>
      <c r="BS244" s="121">
        <v>39.033999999999999</v>
      </c>
      <c r="BT244" s="121">
        <v>40.400500000000001</v>
      </c>
      <c r="BU244" s="121">
        <v>41.767000000000003</v>
      </c>
      <c r="BV244" s="121">
        <v>43.0655</v>
      </c>
      <c r="BW244" s="121">
        <v>44.363999999999997</v>
      </c>
      <c r="BX244" s="121">
        <v>45.721999999999994</v>
      </c>
      <c r="BY244" s="121">
        <v>47.08</v>
      </c>
      <c r="BZ244" s="121">
        <v>48.388500000000001</v>
      </c>
      <c r="CA244" s="121">
        <v>49.697000000000003</v>
      </c>
      <c r="CB244" s="121">
        <v>50.996000000000002</v>
      </c>
      <c r="CC244" s="121">
        <v>52.295000000000002</v>
      </c>
      <c r="CD244" s="121">
        <v>53.593500000000006</v>
      </c>
      <c r="CE244" s="121">
        <v>54.892000000000003</v>
      </c>
      <c r="CF244" s="121">
        <v>56.142499999999998</v>
      </c>
      <c r="CG244" s="121">
        <v>57.393000000000001</v>
      </c>
      <c r="CH244" s="121">
        <v>58.692</v>
      </c>
      <c r="CI244" s="121">
        <v>59.991</v>
      </c>
      <c r="CJ244" s="121">
        <v>61.29</v>
      </c>
      <c r="CK244" s="121">
        <v>62.588999999999999</v>
      </c>
      <c r="CL244" s="121">
        <v>63.897500000000001</v>
      </c>
      <c r="CM244" s="121">
        <v>65.206000000000003</v>
      </c>
      <c r="CN244" s="121">
        <v>66.388000000000005</v>
      </c>
      <c r="CO244" s="121">
        <v>67.569999999999993</v>
      </c>
      <c r="CP244" s="121">
        <v>68.869</v>
      </c>
      <c r="CQ244" s="121">
        <v>70.168000000000006</v>
      </c>
      <c r="CR244" s="160">
        <v>71.337999999999994</v>
      </c>
      <c r="CS244" s="160">
        <v>72.507999999999996</v>
      </c>
      <c r="CT244" s="160">
        <v>73.8065</v>
      </c>
      <c r="CU244" s="160">
        <v>75.105000000000004</v>
      </c>
      <c r="CV244" s="160">
        <v>76.287000000000006</v>
      </c>
      <c r="CW244" s="160">
        <v>77.468999999999994</v>
      </c>
      <c r="CX244" s="121">
        <f t="array" ref="CX244:CX252">TRANSPOSE(CY243:DG243)</f>
        <v>78.777500000000003</v>
      </c>
      <c r="CY244" s="158">
        <v>80.085999999999999</v>
      </c>
      <c r="CZ244" s="121">
        <f>DA243</f>
        <v>81.228000000000009</v>
      </c>
      <c r="DA244" s="158">
        <v>82.45</v>
      </c>
      <c r="DB244" s="121">
        <f>DC243</f>
        <v>83.688500000000005</v>
      </c>
      <c r="DC244" s="158">
        <v>85.048000000000002</v>
      </c>
      <c r="DD244" s="121">
        <f>DE243</f>
        <v>86.126499999999993</v>
      </c>
      <c r="DE244" s="158">
        <v>87.430999999999997</v>
      </c>
      <c r="DF244" s="121">
        <f>DG243</f>
        <v>88.576999999999998</v>
      </c>
      <c r="DG244" s="159">
        <v>90.028999999999996</v>
      </c>
    </row>
    <row r="245" spans="54:111" ht="15" customHeight="1" x14ac:dyDescent="0.2">
      <c r="BB245" s="143">
        <v>53</v>
      </c>
      <c r="BC245" s="121">
        <v>15.541499999999999</v>
      </c>
      <c r="BD245" s="121">
        <v>17.276</v>
      </c>
      <c r="BE245" s="121">
        <v>19.0105</v>
      </c>
      <c r="BF245" s="121">
        <v>20.592749999999999</v>
      </c>
      <c r="BG245" s="121">
        <v>22.175000000000001</v>
      </c>
      <c r="BH245" s="121">
        <v>23.728000000000002</v>
      </c>
      <c r="BI245" s="121">
        <v>25.280999999999999</v>
      </c>
      <c r="BJ245" s="121">
        <v>26.775500000000001</v>
      </c>
      <c r="BK245" s="121">
        <v>28.27</v>
      </c>
      <c r="BL245" s="121">
        <v>29.701250000000002</v>
      </c>
      <c r="BM245" s="121">
        <v>31.1325</v>
      </c>
      <c r="BN245" s="121">
        <v>32.573250000000002</v>
      </c>
      <c r="BO245" s="121">
        <v>34.013999999999996</v>
      </c>
      <c r="BP245" s="121">
        <v>35.371000000000002</v>
      </c>
      <c r="BQ245" s="121">
        <v>36.728000000000002</v>
      </c>
      <c r="BR245" s="121">
        <v>38.179500000000004</v>
      </c>
      <c r="BS245" s="121">
        <v>39.631</v>
      </c>
      <c r="BT245" s="121">
        <v>41.008250000000004</v>
      </c>
      <c r="BU245" s="121">
        <v>42.3855</v>
      </c>
      <c r="BV245" s="121">
        <v>43.6995</v>
      </c>
      <c r="BW245" s="121">
        <v>45.013499999999993</v>
      </c>
      <c r="BX245" s="121">
        <v>46.401999999999994</v>
      </c>
      <c r="BY245" s="121">
        <v>47.790499999999994</v>
      </c>
      <c r="BZ245" s="121">
        <v>49.109750000000005</v>
      </c>
      <c r="CA245" s="121">
        <v>50.429000000000002</v>
      </c>
      <c r="CB245" s="121">
        <v>51.747749999999996</v>
      </c>
      <c r="CC245" s="121">
        <v>53.066500000000005</v>
      </c>
      <c r="CD245" s="121">
        <v>54.380500000000005</v>
      </c>
      <c r="CE245" s="121">
        <v>55.694500000000005</v>
      </c>
      <c r="CF245" s="121">
        <v>56.989249999999998</v>
      </c>
      <c r="CG245" s="121">
        <v>58.283999999999999</v>
      </c>
      <c r="CH245" s="121">
        <v>59.58</v>
      </c>
      <c r="CI245" s="121">
        <v>60.876000000000005</v>
      </c>
      <c r="CJ245" s="121">
        <v>62.194999999999993</v>
      </c>
      <c r="CK245" s="121">
        <v>63.513999999999996</v>
      </c>
      <c r="CL245" s="121">
        <v>64.832999999999998</v>
      </c>
      <c r="CM245" s="121">
        <v>66.152000000000001</v>
      </c>
      <c r="CN245" s="121">
        <v>67.412499999999994</v>
      </c>
      <c r="CO245" s="121">
        <v>68.673000000000002</v>
      </c>
      <c r="CP245" s="121">
        <v>69.9285</v>
      </c>
      <c r="CQ245" s="121">
        <v>70.988</v>
      </c>
      <c r="CR245" s="160">
        <v>72.444749999999999</v>
      </c>
      <c r="CS245" s="160">
        <v>73.551500000000004</v>
      </c>
      <c r="CT245" s="160">
        <v>74.96575</v>
      </c>
      <c r="CU245" s="160">
        <v>76.125</v>
      </c>
      <c r="CV245" s="160">
        <v>77.481750000000005</v>
      </c>
      <c r="CW245" s="160">
        <v>78.676500000000004</v>
      </c>
      <c r="CX245" s="160">
        <v>80.002750000000006</v>
      </c>
      <c r="CY245" s="160">
        <f t="array" ref="CY245:CY252">TRANSPOSE(CZ244:DG244)</f>
        <v>81.228000000000009</v>
      </c>
      <c r="CZ245" s="120">
        <f>(CY245+DA245)/2</f>
        <v>82.533000000000001</v>
      </c>
      <c r="DA245" s="120">
        <f>(DA244+DA246)/2</f>
        <v>83.837999999999994</v>
      </c>
      <c r="DB245" s="120">
        <f>(DA245+DC245)/2</f>
        <v>85.138750000000002</v>
      </c>
      <c r="DC245" s="120">
        <f>(DC244+DC246)/2</f>
        <v>86.43950000000001</v>
      </c>
      <c r="DD245" s="120">
        <f>(DC245+DE245)/2</f>
        <v>87.582750000000004</v>
      </c>
      <c r="DE245" s="120">
        <f>(DE244+DE246)/2</f>
        <v>88.725999999999999</v>
      </c>
      <c r="DF245" s="120">
        <f>(DE245+DG245)/2</f>
        <v>90.015999999999991</v>
      </c>
      <c r="DG245" s="122">
        <f>(DG244+DG246)/2</f>
        <v>91.305999999999997</v>
      </c>
    </row>
    <row r="246" spans="54:111" ht="15" customHeight="1" x14ac:dyDescent="0.2">
      <c r="BB246" s="143">
        <v>54</v>
      </c>
      <c r="BC246" s="121">
        <v>15.752000000000001</v>
      </c>
      <c r="BD246" s="121">
        <v>17.512499999999999</v>
      </c>
      <c r="BE246" s="121">
        <v>19.273</v>
      </c>
      <c r="BF246" s="121">
        <v>20.904499999999999</v>
      </c>
      <c r="BG246" s="121">
        <v>22.536000000000001</v>
      </c>
      <c r="BH246" s="121">
        <v>24.1</v>
      </c>
      <c r="BI246" s="121">
        <v>25.664000000000001</v>
      </c>
      <c r="BJ246" s="121">
        <v>27.178000000000001</v>
      </c>
      <c r="BK246" s="121">
        <v>28.692</v>
      </c>
      <c r="BL246" s="121">
        <v>30.138500000000001</v>
      </c>
      <c r="BM246" s="121">
        <v>31.585000000000001</v>
      </c>
      <c r="BN246" s="121">
        <v>33.063000000000002</v>
      </c>
      <c r="BO246" s="121">
        <v>34.540999999999997</v>
      </c>
      <c r="BP246" s="121">
        <v>35.838999999999999</v>
      </c>
      <c r="BQ246" s="121">
        <v>37.137</v>
      </c>
      <c r="BR246" s="121">
        <v>38.682500000000005</v>
      </c>
      <c r="BS246" s="121">
        <v>40.228000000000002</v>
      </c>
      <c r="BT246" s="121">
        <v>41.616</v>
      </c>
      <c r="BU246" s="121">
        <v>43.003999999999998</v>
      </c>
      <c r="BV246" s="121">
        <v>44.333500000000001</v>
      </c>
      <c r="BW246" s="121">
        <v>45.662999999999997</v>
      </c>
      <c r="BX246" s="121">
        <v>47.081999999999994</v>
      </c>
      <c r="BY246" s="121">
        <v>48.500999999999998</v>
      </c>
      <c r="BZ246" s="121">
        <v>49.831000000000003</v>
      </c>
      <c r="CA246" s="121">
        <v>51.161000000000001</v>
      </c>
      <c r="CB246" s="121">
        <v>52.499499999999998</v>
      </c>
      <c r="CC246" s="121">
        <v>53.838000000000001</v>
      </c>
      <c r="CD246" s="121">
        <v>55.167500000000004</v>
      </c>
      <c r="CE246" s="121">
        <v>56.497</v>
      </c>
      <c r="CF246" s="121">
        <v>57.835999999999999</v>
      </c>
      <c r="CG246" s="121">
        <v>59.174999999999997</v>
      </c>
      <c r="CH246" s="121">
        <v>60.468000000000004</v>
      </c>
      <c r="CI246" s="121">
        <v>61.761000000000003</v>
      </c>
      <c r="CJ246" s="121">
        <v>63.099999999999994</v>
      </c>
      <c r="CK246" s="121">
        <v>64.438999999999993</v>
      </c>
      <c r="CL246" s="121">
        <v>65.768499999999989</v>
      </c>
      <c r="CM246" s="121">
        <v>67.097999999999999</v>
      </c>
      <c r="CN246" s="121">
        <v>68.436999999999998</v>
      </c>
      <c r="CO246" s="121">
        <v>69.775999999999996</v>
      </c>
      <c r="CP246" s="121">
        <v>70.988</v>
      </c>
      <c r="CQ246" s="121">
        <v>72.2</v>
      </c>
      <c r="CR246" s="160">
        <v>73.551500000000004</v>
      </c>
      <c r="CS246" s="160">
        <v>74.903000000000006</v>
      </c>
      <c r="CT246" s="160">
        <v>76.125</v>
      </c>
      <c r="CU246" s="160">
        <v>77.346999999999994</v>
      </c>
      <c r="CV246" s="160">
        <v>78.676500000000004</v>
      </c>
      <c r="CW246" s="160">
        <v>80.006</v>
      </c>
      <c r="CX246" s="160">
        <v>81.228000000000009</v>
      </c>
      <c r="CY246" s="160">
        <v>82.45</v>
      </c>
      <c r="CZ246" s="121">
        <f t="array" ref="CZ246:CZ252">TRANSPOSE(DA245:DG245)</f>
        <v>83.837999999999994</v>
      </c>
      <c r="DA246" s="158">
        <v>85.225999999999999</v>
      </c>
      <c r="DB246" s="121">
        <f>DC245</f>
        <v>86.43950000000001</v>
      </c>
      <c r="DC246" s="158">
        <v>87.831000000000003</v>
      </c>
      <c r="DD246" s="121">
        <f>DE245</f>
        <v>88.725999999999999</v>
      </c>
      <c r="DE246" s="158">
        <v>90.021000000000001</v>
      </c>
      <c r="DF246" s="121">
        <f>DG245</f>
        <v>91.305999999999997</v>
      </c>
      <c r="DG246" s="159">
        <v>92.582999999999998</v>
      </c>
    </row>
    <row r="247" spans="54:111" ht="15" customHeight="1" x14ac:dyDescent="0.2">
      <c r="BB247" s="143">
        <v>55</v>
      </c>
      <c r="BC247" s="121">
        <v>15.984500000000001</v>
      </c>
      <c r="BD247" s="121">
        <v>17.753999999999998</v>
      </c>
      <c r="BE247" s="121">
        <v>19.523499999999999</v>
      </c>
      <c r="BF247" s="121">
        <v>21.17625</v>
      </c>
      <c r="BG247" s="121">
        <v>22.829000000000001</v>
      </c>
      <c r="BH247" s="121">
        <v>24.413</v>
      </c>
      <c r="BI247" s="121">
        <v>25.997</v>
      </c>
      <c r="BJ247" s="121">
        <v>27.53725</v>
      </c>
      <c r="BK247" s="121">
        <v>29.077500000000001</v>
      </c>
      <c r="BL247" s="121">
        <v>30.568750000000001</v>
      </c>
      <c r="BM247" s="121">
        <v>32.06</v>
      </c>
      <c r="BN247" s="121">
        <v>33.552999999999997</v>
      </c>
      <c r="BO247" s="121">
        <v>35.045999999999999</v>
      </c>
      <c r="BP247" s="121">
        <v>36.403999999999996</v>
      </c>
      <c r="BQ247" s="121">
        <v>37.762</v>
      </c>
      <c r="BR247" s="121">
        <v>39.260000000000005</v>
      </c>
      <c r="BS247" s="121">
        <v>40.757999999999996</v>
      </c>
      <c r="BT247" s="121">
        <v>42.16075</v>
      </c>
      <c r="BU247" s="121">
        <v>43.563499999999998</v>
      </c>
      <c r="BV247" s="121">
        <v>44.953499999999998</v>
      </c>
      <c r="BW247" s="121">
        <v>46.343499999999999</v>
      </c>
      <c r="BX247" s="121">
        <v>47.766749999999995</v>
      </c>
      <c r="BY247" s="121">
        <v>49.19</v>
      </c>
      <c r="BZ247" s="121">
        <v>50.545749999999998</v>
      </c>
      <c r="CA247" s="121">
        <v>51.901499999999999</v>
      </c>
      <c r="CB247" s="121">
        <v>53.255749999999999</v>
      </c>
      <c r="CC247" s="121">
        <v>54.61</v>
      </c>
      <c r="CD247" s="121">
        <v>55.954500000000003</v>
      </c>
      <c r="CE247" s="121">
        <v>57.298999999999999</v>
      </c>
      <c r="CF247" s="121">
        <v>58.664249999999996</v>
      </c>
      <c r="CG247" s="121">
        <v>60.029499999999999</v>
      </c>
      <c r="CH247" s="121">
        <v>61.331500000000005</v>
      </c>
      <c r="CI247" s="121">
        <v>62.633499999999998</v>
      </c>
      <c r="CJ247" s="121">
        <v>63.993749999999999</v>
      </c>
      <c r="CK247" s="121">
        <v>65.353999999999999</v>
      </c>
      <c r="CL247" s="121">
        <v>66.703749999999999</v>
      </c>
      <c r="CM247" s="121">
        <v>68.0535</v>
      </c>
      <c r="CN247" s="121">
        <v>69.413749999999993</v>
      </c>
      <c r="CO247" s="121">
        <v>70.774000000000001</v>
      </c>
      <c r="CP247" s="121">
        <v>72.006249999999994</v>
      </c>
      <c r="CQ247" s="121">
        <v>73.024500000000003</v>
      </c>
      <c r="CR247" s="160">
        <v>74.605249999999998</v>
      </c>
      <c r="CS247" s="160">
        <v>75.658999999999992</v>
      </c>
      <c r="CT247" s="160">
        <v>77.267499999999998</v>
      </c>
      <c r="CU247" s="160">
        <v>78.41</v>
      </c>
      <c r="CV247" s="160">
        <v>79.865250000000003</v>
      </c>
      <c r="CW247" s="160">
        <v>81.054000000000002</v>
      </c>
      <c r="CX247" s="160">
        <v>82.458250000000007</v>
      </c>
      <c r="CY247" s="160">
        <v>83.688500000000005</v>
      </c>
      <c r="CZ247" s="160">
        <v>85.138750000000002</v>
      </c>
      <c r="DA247" s="160">
        <f t="array" ref="DA247:DA252">TRANSPOSE(DB246:DG246)</f>
        <v>86.43950000000001</v>
      </c>
      <c r="DB247" s="120">
        <f>(DA247+DC247)/2</f>
        <v>87.786000000000001</v>
      </c>
      <c r="DC247" s="120">
        <f>(DC246+DC248)/2</f>
        <v>89.132499999999993</v>
      </c>
      <c r="DD247" s="120">
        <f>(DC247+DE247)/2</f>
        <v>90.258499999999998</v>
      </c>
      <c r="DE247" s="120">
        <f>(DE246+DE248)/2</f>
        <v>91.384500000000003</v>
      </c>
      <c r="DF247" s="120">
        <f>(DE247+DG247)/2</f>
        <v>92.680499999999995</v>
      </c>
      <c r="DG247" s="122">
        <f>(DG246+DG248)/2</f>
        <v>93.976500000000001</v>
      </c>
    </row>
    <row r="248" spans="54:111" ht="15" customHeight="1" x14ac:dyDescent="0.2">
      <c r="BB248" s="143">
        <v>56</v>
      </c>
      <c r="BC248" s="121">
        <v>16.216999999999999</v>
      </c>
      <c r="BD248" s="121">
        <v>17.9955</v>
      </c>
      <c r="BE248" s="121">
        <v>19.774000000000001</v>
      </c>
      <c r="BF248" s="121">
        <v>21.448</v>
      </c>
      <c r="BG248" s="121">
        <v>23.122</v>
      </c>
      <c r="BH248" s="121">
        <v>24.725999999999999</v>
      </c>
      <c r="BI248" s="121">
        <v>26.33</v>
      </c>
      <c r="BJ248" s="121">
        <v>27.8965</v>
      </c>
      <c r="BK248" s="121">
        <v>29.463000000000001</v>
      </c>
      <c r="BL248" s="121">
        <v>30.998999999999999</v>
      </c>
      <c r="BM248" s="121">
        <v>32.534999999999997</v>
      </c>
      <c r="BN248" s="121">
        <v>34.042999999999999</v>
      </c>
      <c r="BO248" s="121">
        <v>35.551000000000002</v>
      </c>
      <c r="BP248" s="121">
        <v>36.969000000000001</v>
      </c>
      <c r="BQ248" s="121">
        <v>38.387</v>
      </c>
      <c r="BR248" s="121">
        <v>39.837499999999999</v>
      </c>
      <c r="BS248" s="121">
        <v>41.287999999999997</v>
      </c>
      <c r="BT248" s="121">
        <v>42.705500000000001</v>
      </c>
      <c r="BU248" s="121">
        <v>44.122999999999998</v>
      </c>
      <c r="BV248" s="121">
        <v>45.573499999999996</v>
      </c>
      <c r="BW248" s="121">
        <v>47.024000000000001</v>
      </c>
      <c r="BX248" s="121">
        <v>48.451499999999996</v>
      </c>
      <c r="BY248" s="121">
        <v>49.878999999999998</v>
      </c>
      <c r="BZ248" s="121">
        <v>51.2605</v>
      </c>
      <c r="CA248" s="121">
        <v>52.642000000000003</v>
      </c>
      <c r="CB248" s="121">
        <v>54.012</v>
      </c>
      <c r="CC248" s="121">
        <v>55.381999999999998</v>
      </c>
      <c r="CD248" s="121">
        <v>56.741500000000002</v>
      </c>
      <c r="CE248" s="121">
        <v>58.100999999999999</v>
      </c>
      <c r="CF248" s="121">
        <v>59.4925</v>
      </c>
      <c r="CG248" s="121">
        <v>60.884</v>
      </c>
      <c r="CH248" s="121">
        <v>62.195</v>
      </c>
      <c r="CI248" s="121">
        <v>63.506</v>
      </c>
      <c r="CJ248" s="121">
        <v>64.887500000000003</v>
      </c>
      <c r="CK248" s="121">
        <v>66.269000000000005</v>
      </c>
      <c r="CL248" s="121">
        <v>67.63900000000001</v>
      </c>
      <c r="CM248" s="121">
        <v>69.009</v>
      </c>
      <c r="CN248" s="121">
        <v>70.390500000000003</v>
      </c>
      <c r="CO248" s="121">
        <v>71.772000000000006</v>
      </c>
      <c r="CP248" s="121">
        <v>73.024500000000003</v>
      </c>
      <c r="CQ248" s="121">
        <v>74.277000000000001</v>
      </c>
      <c r="CR248" s="160">
        <v>75.658999999999992</v>
      </c>
      <c r="CS248" s="160">
        <v>77.040999999999997</v>
      </c>
      <c r="CT248" s="160">
        <v>78.41</v>
      </c>
      <c r="CU248" s="160">
        <v>79.778999999999996</v>
      </c>
      <c r="CV248" s="160">
        <v>81.054000000000002</v>
      </c>
      <c r="CW248" s="160">
        <v>82.328999999999994</v>
      </c>
      <c r="CX248" s="160">
        <v>83.688500000000005</v>
      </c>
      <c r="CY248" s="160">
        <v>85.048000000000002</v>
      </c>
      <c r="CZ248" s="160">
        <v>86.43950000000001</v>
      </c>
      <c r="DA248" s="160">
        <v>87.831000000000003</v>
      </c>
      <c r="DB248" s="121">
        <f t="array" ref="DB248:DB252">TRANSPOSE(DC247:DG247)</f>
        <v>89.132499999999993</v>
      </c>
      <c r="DC248" s="158">
        <v>90.433999999999997</v>
      </c>
      <c r="DD248" s="121">
        <f>DE247</f>
        <v>91.384500000000003</v>
      </c>
      <c r="DE248" s="158">
        <v>92.748000000000005</v>
      </c>
      <c r="DF248" s="121">
        <f>DG247</f>
        <v>93.976500000000001</v>
      </c>
      <c r="DG248" s="159">
        <v>95.37</v>
      </c>
    </row>
    <row r="249" spans="54:111" ht="15" customHeight="1" x14ac:dyDescent="0.2">
      <c r="BB249" s="143">
        <v>57</v>
      </c>
      <c r="BC249" s="121">
        <v>16.427</v>
      </c>
      <c r="BD249" s="121">
        <v>18.231999999999999</v>
      </c>
      <c r="BE249" s="121">
        <v>20.036999999999999</v>
      </c>
      <c r="BF249" s="121">
        <v>21.731249999999999</v>
      </c>
      <c r="BG249" s="121">
        <v>23.4255</v>
      </c>
      <c r="BH249" s="121">
        <v>25.055250000000001</v>
      </c>
      <c r="BI249" s="121">
        <v>26.684999999999999</v>
      </c>
      <c r="BJ249" s="121">
        <v>28.251249999999999</v>
      </c>
      <c r="BK249" s="121">
        <v>29.817500000000003</v>
      </c>
      <c r="BL249" s="121">
        <v>31.384250000000002</v>
      </c>
      <c r="BM249" s="121">
        <v>32.950999999999993</v>
      </c>
      <c r="BN249" s="121">
        <v>34.474249999999998</v>
      </c>
      <c r="BO249" s="121">
        <v>35.997500000000002</v>
      </c>
      <c r="BP249" s="121">
        <v>37.471249999999998</v>
      </c>
      <c r="BQ249" s="121">
        <v>38.945</v>
      </c>
      <c r="BR249" s="121">
        <v>40.399000000000001</v>
      </c>
      <c r="BS249" s="121">
        <v>41.852999999999994</v>
      </c>
      <c r="BT249" s="121">
        <v>43.302</v>
      </c>
      <c r="BU249" s="121">
        <v>44.750999999999998</v>
      </c>
      <c r="BV249" s="121">
        <v>46.216499999999996</v>
      </c>
      <c r="BW249" s="121">
        <v>47.682000000000002</v>
      </c>
      <c r="BX249" s="121">
        <v>49.131249999999994</v>
      </c>
      <c r="BY249" s="121">
        <v>50.580500000000001</v>
      </c>
      <c r="BZ249" s="121">
        <v>51.971000000000004</v>
      </c>
      <c r="CA249" s="121">
        <v>53.361500000000007</v>
      </c>
      <c r="CB249" s="121">
        <v>54.757249999999999</v>
      </c>
      <c r="CC249" s="121">
        <v>56.152999999999999</v>
      </c>
      <c r="CD249" s="121">
        <v>57.5685</v>
      </c>
      <c r="CE249" s="121">
        <v>58.983999999999995</v>
      </c>
      <c r="CF249" s="121">
        <v>60.350250000000003</v>
      </c>
      <c r="CG249" s="121">
        <v>61.716499999999996</v>
      </c>
      <c r="CH249" s="121">
        <v>63.112250000000003</v>
      </c>
      <c r="CI249" s="121">
        <v>64.50800000000001</v>
      </c>
      <c r="CJ249" s="121">
        <v>65.909500000000008</v>
      </c>
      <c r="CK249" s="121">
        <v>67.311000000000007</v>
      </c>
      <c r="CL249" s="121">
        <v>68.644000000000005</v>
      </c>
      <c r="CM249" s="121">
        <v>69.977000000000004</v>
      </c>
      <c r="CN249" s="121">
        <v>71.367500000000007</v>
      </c>
      <c r="CO249" s="121">
        <v>72.75800000000001</v>
      </c>
      <c r="CP249" s="121">
        <v>74.094999999999999</v>
      </c>
      <c r="CQ249" s="121">
        <v>75.165500000000009</v>
      </c>
      <c r="CR249" s="160">
        <v>76.770749999999992</v>
      </c>
      <c r="CS249" s="160">
        <v>77.882499999999993</v>
      </c>
      <c r="CT249" s="160">
        <v>79.504750000000001</v>
      </c>
      <c r="CU249" s="160">
        <v>80.599500000000006</v>
      </c>
      <c r="CV249" s="160">
        <v>82.237750000000005</v>
      </c>
      <c r="CW249" s="160">
        <v>83.421500000000009</v>
      </c>
      <c r="CX249" s="160">
        <v>84.907499999999999</v>
      </c>
      <c r="CY249" s="160">
        <v>86.126499999999993</v>
      </c>
      <c r="CZ249" s="160">
        <v>87.582750000000004</v>
      </c>
      <c r="DA249" s="160">
        <v>88.725999999999999</v>
      </c>
      <c r="DB249" s="160">
        <v>90.258499999999998</v>
      </c>
      <c r="DC249" s="160">
        <f t="array" ref="DC249:DC252">TRANSPOSE(DD248:DG248)</f>
        <v>91.384500000000003</v>
      </c>
      <c r="DD249" s="120">
        <f>(DC249+DE249)/2</f>
        <v>92.736999999999995</v>
      </c>
      <c r="DE249" s="120">
        <f>(DE248+DE250)/2</f>
        <v>94.089500000000001</v>
      </c>
      <c r="DF249" s="120">
        <f>(DE249+DG249)/2</f>
        <v>95.421999999999997</v>
      </c>
      <c r="DG249" s="122">
        <f>(DG248+DG250)/2</f>
        <v>96.754500000000007</v>
      </c>
    </row>
    <row r="250" spans="54:111" ht="15" customHeight="1" x14ac:dyDescent="0.2">
      <c r="BB250" s="143">
        <v>58</v>
      </c>
      <c r="BC250" s="121">
        <v>16.637</v>
      </c>
      <c r="BD250" s="121">
        <v>18.468499999999999</v>
      </c>
      <c r="BE250" s="121">
        <v>20.3</v>
      </c>
      <c r="BF250" s="121">
        <v>22.014499999999998</v>
      </c>
      <c r="BG250" s="121">
        <v>23.728999999999999</v>
      </c>
      <c r="BH250" s="121">
        <v>25.384499999999999</v>
      </c>
      <c r="BI250" s="121">
        <v>27.04</v>
      </c>
      <c r="BJ250" s="121">
        <v>28.606000000000002</v>
      </c>
      <c r="BK250" s="121">
        <v>30.172000000000001</v>
      </c>
      <c r="BL250" s="121">
        <v>31.769500000000001</v>
      </c>
      <c r="BM250" s="121">
        <v>33.366999999999997</v>
      </c>
      <c r="BN250" s="121">
        <v>34.905500000000004</v>
      </c>
      <c r="BO250" s="121">
        <v>36.444000000000003</v>
      </c>
      <c r="BP250" s="121">
        <v>37.973500000000001</v>
      </c>
      <c r="BQ250" s="121">
        <v>39.503</v>
      </c>
      <c r="BR250" s="121">
        <v>40.960499999999996</v>
      </c>
      <c r="BS250" s="121">
        <v>42.417999999999999</v>
      </c>
      <c r="BT250" s="121">
        <v>43.898499999999999</v>
      </c>
      <c r="BU250" s="121">
        <v>45.378999999999998</v>
      </c>
      <c r="BV250" s="121">
        <v>46.859499999999997</v>
      </c>
      <c r="BW250" s="121">
        <v>48.34</v>
      </c>
      <c r="BX250" s="121">
        <v>49.811</v>
      </c>
      <c r="BY250" s="121">
        <v>51.281999999999996</v>
      </c>
      <c r="BZ250" s="121">
        <v>52.6815</v>
      </c>
      <c r="CA250" s="121">
        <v>54.081000000000003</v>
      </c>
      <c r="CB250" s="121">
        <v>55.502499999999998</v>
      </c>
      <c r="CC250" s="121">
        <v>56.923999999999999</v>
      </c>
      <c r="CD250" s="121">
        <v>58.395499999999998</v>
      </c>
      <c r="CE250" s="121">
        <v>59.866999999999997</v>
      </c>
      <c r="CF250" s="121">
        <v>61.207999999999998</v>
      </c>
      <c r="CG250" s="121">
        <v>62.548999999999999</v>
      </c>
      <c r="CH250" s="121">
        <v>64.029499999999999</v>
      </c>
      <c r="CI250" s="121">
        <v>65.510000000000005</v>
      </c>
      <c r="CJ250" s="121">
        <v>66.9315</v>
      </c>
      <c r="CK250" s="121">
        <v>68.352999999999994</v>
      </c>
      <c r="CL250" s="121">
        <v>69.649000000000001</v>
      </c>
      <c r="CM250" s="121">
        <v>70.944999999999993</v>
      </c>
      <c r="CN250" s="121">
        <v>72.344499999999996</v>
      </c>
      <c r="CO250" s="121">
        <v>73.744</v>
      </c>
      <c r="CP250" s="121">
        <v>75.165500000000009</v>
      </c>
      <c r="CQ250" s="121">
        <v>76.587000000000003</v>
      </c>
      <c r="CR250" s="160">
        <v>77.882499999999993</v>
      </c>
      <c r="CS250" s="160">
        <v>79.177999999999997</v>
      </c>
      <c r="CT250" s="160">
        <v>80.599500000000006</v>
      </c>
      <c r="CU250" s="160">
        <v>82.021000000000001</v>
      </c>
      <c r="CV250" s="160">
        <v>83.421500000000009</v>
      </c>
      <c r="CW250" s="160">
        <v>84.822000000000003</v>
      </c>
      <c r="CX250" s="160">
        <v>86.126499999999993</v>
      </c>
      <c r="CY250" s="160">
        <v>87.430999999999997</v>
      </c>
      <c r="CZ250" s="160">
        <v>88.725999999999999</v>
      </c>
      <c r="DA250" s="160">
        <v>90.021000000000001</v>
      </c>
      <c r="DB250" s="160">
        <v>91.384500000000003</v>
      </c>
      <c r="DC250" s="160">
        <v>92.748000000000005</v>
      </c>
      <c r="DD250" s="121">
        <f t="array" ref="DD250:DD252">TRANSPOSE(DE249:DG249)</f>
        <v>94.089500000000001</v>
      </c>
      <c r="DE250" s="158">
        <v>95.430999999999997</v>
      </c>
      <c r="DF250" s="121">
        <f>DG249</f>
        <v>96.754500000000007</v>
      </c>
      <c r="DG250" s="159">
        <v>98.138999999999996</v>
      </c>
    </row>
    <row r="251" spans="54:111" ht="15" customHeight="1" x14ac:dyDescent="0.2">
      <c r="BB251" s="143">
        <v>59</v>
      </c>
      <c r="BC251" s="121">
        <v>16.820500000000003</v>
      </c>
      <c r="BD251" s="121">
        <v>18.6965</v>
      </c>
      <c r="BE251" s="121">
        <v>20.572499999999998</v>
      </c>
      <c r="BF251" s="121">
        <v>22.297249999999998</v>
      </c>
      <c r="BG251" s="121">
        <v>24.021999999999998</v>
      </c>
      <c r="BH251" s="121">
        <v>25.722000000000001</v>
      </c>
      <c r="BI251" s="121">
        <v>27.421999999999997</v>
      </c>
      <c r="BJ251" s="121">
        <v>29.018999999999998</v>
      </c>
      <c r="BK251" s="121">
        <v>30.616</v>
      </c>
      <c r="BL251" s="121">
        <v>32.228499999999997</v>
      </c>
      <c r="BM251" s="121">
        <v>33.840999999999994</v>
      </c>
      <c r="BN251" s="121">
        <v>35.395250000000004</v>
      </c>
      <c r="BO251" s="121">
        <v>36.9495</v>
      </c>
      <c r="BP251" s="121">
        <v>38.498750000000001</v>
      </c>
      <c r="BQ251" s="121">
        <v>40.048000000000002</v>
      </c>
      <c r="BR251" s="121">
        <v>41.527249999999995</v>
      </c>
      <c r="BS251" s="121">
        <v>43.006500000000003</v>
      </c>
      <c r="BT251" s="121">
        <v>44.501999999999995</v>
      </c>
      <c r="BU251" s="121">
        <v>45.997500000000002</v>
      </c>
      <c r="BV251" s="121">
        <v>47.493249999999996</v>
      </c>
      <c r="BW251" s="121">
        <v>48.989000000000004</v>
      </c>
      <c r="BX251" s="121">
        <v>50.479749999999996</v>
      </c>
      <c r="BY251" s="121">
        <v>51.970500000000001</v>
      </c>
      <c r="BZ251" s="121">
        <v>53.396500000000003</v>
      </c>
      <c r="CA251" s="121">
        <v>54.822500000000005</v>
      </c>
      <c r="CB251" s="121">
        <v>56.288499999999999</v>
      </c>
      <c r="CC251" s="121">
        <v>57.7545</v>
      </c>
      <c r="CD251" s="121">
        <v>59.211749999999995</v>
      </c>
      <c r="CE251" s="121">
        <v>60.668999999999997</v>
      </c>
      <c r="CF251" s="121">
        <v>62.0655</v>
      </c>
      <c r="CG251" s="121">
        <v>63.462000000000003</v>
      </c>
      <c r="CH251" s="121">
        <v>64.9285</v>
      </c>
      <c r="CI251" s="121">
        <v>66.39500000000001</v>
      </c>
      <c r="CJ251" s="121">
        <v>67.83175</v>
      </c>
      <c r="CK251" s="121">
        <v>69.268499999999989</v>
      </c>
      <c r="CL251" s="121">
        <v>70.642750000000007</v>
      </c>
      <c r="CM251" s="121">
        <v>72.016999999999996</v>
      </c>
      <c r="CN251" s="121">
        <v>73.384250000000009</v>
      </c>
      <c r="CO251" s="121">
        <v>74.751499999999993</v>
      </c>
      <c r="CP251" s="121">
        <v>76.183500000000009</v>
      </c>
      <c r="CQ251" s="121">
        <v>77.20150000000001</v>
      </c>
      <c r="CR251" s="160">
        <v>78.989499999999992</v>
      </c>
      <c r="CS251" s="160">
        <v>80.096500000000006</v>
      </c>
      <c r="CT251" s="160">
        <v>81.742000000000004</v>
      </c>
      <c r="CU251" s="160">
        <v>82.884500000000003</v>
      </c>
      <c r="CV251" s="160">
        <v>84.546999999999997</v>
      </c>
      <c r="CW251" s="160">
        <v>85.672499999999999</v>
      </c>
      <c r="CX251" s="160">
        <v>87.351749999999996</v>
      </c>
      <c r="CY251" s="160">
        <v>88.576999999999998</v>
      </c>
      <c r="CZ251" s="160">
        <v>90.015999999999991</v>
      </c>
      <c r="DA251" s="160">
        <v>91.305999999999997</v>
      </c>
      <c r="DB251" s="160">
        <v>92.680499999999995</v>
      </c>
      <c r="DC251" s="160">
        <v>93.976500000000001</v>
      </c>
      <c r="DD251" s="160">
        <v>95.421999999999997</v>
      </c>
      <c r="DE251" s="160">
        <f t="array" ref="DE251:DE252">TRANSPOSE(DF250:DG250)</f>
        <v>96.754500000000007</v>
      </c>
      <c r="DF251" s="120">
        <f>(DE251+DG251)/2</f>
        <v>98.143249999999995</v>
      </c>
      <c r="DG251" s="122">
        <f>(DG250+DG252)/2</f>
        <v>99.531999999999996</v>
      </c>
    </row>
    <row r="252" spans="54:111" ht="15" customHeight="1" thickBot="1" x14ac:dyDescent="0.25">
      <c r="BB252" s="145">
        <v>60</v>
      </c>
      <c r="BC252" s="123">
        <v>17.004000000000001</v>
      </c>
      <c r="BD252" s="123">
        <v>18.924500000000002</v>
      </c>
      <c r="BE252" s="123">
        <v>20.844999999999999</v>
      </c>
      <c r="BF252" s="123">
        <v>22.58</v>
      </c>
      <c r="BG252" s="123">
        <v>24.315000000000001</v>
      </c>
      <c r="BH252" s="123">
        <v>26.0595</v>
      </c>
      <c r="BI252" s="123">
        <v>27.803999999999998</v>
      </c>
      <c r="BJ252" s="123">
        <v>29.431999999999999</v>
      </c>
      <c r="BK252" s="123">
        <v>31.06</v>
      </c>
      <c r="BL252" s="123">
        <v>32.6875</v>
      </c>
      <c r="BM252" s="123">
        <v>34.314999999999998</v>
      </c>
      <c r="BN252" s="123">
        <v>35.884999999999998</v>
      </c>
      <c r="BO252" s="123">
        <v>37.454999999999998</v>
      </c>
      <c r="BP252" s="123">
        <v>39.024000000000001</v>
      </c>
      <c r="BQ252" s="123">
        <v>40.593000000000004</v>
      </c>
      <c r="BR252" s="123">
        <v>42.094000000000001</v>
      </c>
      <c r="BS252" s="123">
        <v>43.594999999999999</v>
      </c>
      <c r="BT252" s="123">
        <v>45.105499999999999</v>
      </c>
      <c r="BU252" s="123">
        <v>46.616</v>
      </c>
      <c r="BV252" s="123">
        <v>48.126999999999995</v>
      </c>
      <c r="BW252" s="123">
        <v>49.637999999999998</v>
      </c>
      <c r="BX252" s="123">
        <v>51.148499999999999</v>
      </c>
      <c r="BY252" s="123">
        <v>52.658999999999999</v>
      </c>
      <c r="BZ252" s="123">
        <v>54.111499999999999</v>
      </c>
      <c r="CA252" s="123">
        <v>55.564</v>
      </c>
      <c r="CB252" s="123">
        <v>57.0745</v>
      </c>
      <c r="CC252" s="123">
        <v>58.585000000000001</v>
      </c>
      <c r="CD252" s="123">
        <v>60.027999999999999</v>
      </c>
      <c r="CE252" s="123">
        <v>61.470999999999997</v>
      </c>
      <c r="CF252" s="123">
        <v>62.923000000000002</v>
      </c>
      <c r="CG252" s="123">
        <v>64.375</v>
      </c>
      <c r="CH252" s="123">
        <v>65.827500000000001</v>
      </c>
      <c r="CI252" s="123">
        <v>67.28</v>
      </c>
      <c r="CJ252" s="123">
        <v>68.731999999999999</v>
      </c>
      <c r="CK252" s="123">
        <v>70.183999999999997</v>
      </c>
      <c r="CL252" s="123">
        <v>71.636499999999998</v>
      </c>
      <c r="CM252" s="123">
        <v>73.088999999999999</v>
      </c>
      <c r="CN252" s="123">
        <v>74.424000000000007</v>
      </c>
      <c r="CO252" s="123">
        <v>75.759</v>
      </c>
      <c r="CP252" s="123">
        <v>77.20150000000001</v>
      </c>
      <c r="CQ252" s="123">
        <v>78.644000000000005</v>
      </c>
      <c r="CR252" s="161">
        <v>80.096500000000006</v>
      </c>
      <c r="CS252" s="161">
        <v>81.549000000000007</v>
      </c>
      <c r="CT252" s="161">
        <v>82.884500000000003</v>
      </c>
      <c r="CU252" s="161">
        <v>84.22</v>
      </c>
      <c r="CV252" s="161">
        <v>85.672499999999999</v>
      </c>
      <c r="CW252" s="161">
        <v>87.125</v>
      </c>
      <c r="CX252" s="161">
        <v>88.576999999999998</v>
      </c>
      <c r="CY252" s="161">
        <v>90.028999999999996</v>
      </c>
      <c r="CZ252" s="161">
        <v>91.305999999999997</v>
      </c>
      <c r="DA252" s="161">
        <v>92.582999999999998</v>
      </c>
      <c r="DB252" s="161">
        <v>93.976500000000001</v>
      </c>
      <c r="DC252" s="161">
        <v>95.37</v>
      </c>
      <c r="DD252" s="161">
        <v>96.754500000000007</v>
      </c>
      <c r="DE252" s="161">
        <v>98.138999999999996</v>
      </c>
      <c r="DF252" s="151">
        <f>DG251</f>
        <v>99.531999999999996</v>
      </c>
      <c r="DG252" s="162">
        <v>100.925</v>
      </c>
    </row>
    <row r="253" spans="54:111" ht="15" customHeight="1" thickBot="1" x14ac:dyDescent="0.25">
      <c r="BB253" s="25"/>
      <c r="BC253" s="25"/>
      <c r="BD253" s="25"/>
      <c r="BE253" s="25"/>
      <c r="BF253" s="25"/>
      <c r="BG253" s="25"/>
      <c r="BH253" s="25"/>
      <c r="BI253" s="25"/>
      <c r="BJ253" s="25"/>
      <c r="BK253" s="25"/>
      <c r="BL253" s="25"/>
      <c r="BM253" s="25"/>
      <c r="BN253" s="25"/>
      <c r="BO253" s="25"/>
      <c r="BP253" s="25"/>
      <c r="BQ253" s="25"/>
      <c r="BR253" s="25"/>
      <c r="BS253" s="25"/>
      <c r="BT253" s="25"/>
      <c r="BU253" s="25"/>
      <c r="BV253" s="25"/>
      <c r="BW253" s="25"/>
      <c r="BX253" s="25"/>
      <c r="BY253" s="25"/>
      <c r="BZ253" s="25"/>
      <c r="CA253" s="25"/>
      <c r="CB253" s="25"/>
      <c r="CC253" s="25"/>
      <c r="CD253" s="25"/>
      <c r="CE253" s="25"/>
      <c r="CF253" s="25"/>
      <c r="CG253" s="25"/>
      <c r="CH253" s="25"/>
      <c r="CI253" s="25"/>
      <c r="CJ253" s="25"/>
      <c r="CK253" s="25"/>
      <c r="CL253" s="25"/>
      <c r="CM253" s="25"/>
      <c r="CN253" s="25"/>
      <c r="CO253" s="25"/>
      <c r="CP253" s="25"/>
      <c r="CQ253" s="25"/>
    </row>
    <row r="254" spans="54:111" ht="15" customHeight="1" thickBot="1" x14ac:dyDescent="0.3">
      <c r="BB254" s="1830" t="s">
        <v>298</v>
      </c>
      <c r="BC254" s="1831"/>
      <c r="BD254" s="1831"/>
      <c r="BE254" s="1831"/>
      <c r="BF254" s="1831"/>
      <c r="BG254" s="1831"/>
      <c r="BH254" s="1831"/>
      <c r="BI254" s="1831"/>
      <c r="BJ254" s="1831"/>
      <c r="BK254" s="1831"/>
      <c r="BL254" s="1831"/>
      <c r="BM254" s="1831"/>
      <c r="BN254" s="1831"/>
      <c r="BO254" s="1831"/>
      <c r="BP254" s="1831"/>
      <c r="BQ254" s="1831"/>
      <c r="BR254" s="1831"/>
      <c r="BS254" s="1831"/>
      <c r="BT254" s="1831"/>
      <c r="BU254" s="1831"/>
      <c r="BV254" s="1831"/>
      <c r="BW254" s="1831"/>
      <c r="BX254" s="1831"/>
      <c r="BY254" s="1831"/>
      <c r="BZ254" s="1831"/>
      <c r="CA254" s="1831"/>
      <c r="CB254" s="1831"/>
      <c r="CC254" s="1831"/>
      <c r="CD254" s="1831"/>
      <c r="CE254" s="1831"/>
      <c r="CF254" s="1831"/>
      <c r="CG254" s="1831"/>
      <c r="CH254" s="1831"/>
      <c r="CI254" s="1831"/>
      <c r="CJ254" s="1831"/>
      <c r="CK254" s="1831"/>
      <c r="CL254" s="1831"/>
      <c r="CM254" s="1831"/>
      <c r="CN254" s="1831"/>
      <c r="CO254" s="1831"/>
      <c r="CP254" s="1831"/>
      <c r="CQ254" s="1831"/>
      <c r="CR254" s="1831"/>
      <c r="CS254" s="1831"/>
      <c r="CT254" s="1831"/>
      <c r="CU254" s="1831"/>
      <c r="CV254" s="1831"/>
      <c r="CW254" s="1831"/>
      <c r="CX254" s="1831"/>
      <c r="CY254" s="1831"/>
      <c r="CZ254" s="1831"/>
      <c r="DA254" s="1831"/>
      <c r="DB254" s="1831"/>
      <c r="DC254" s="1831"/>
      <c r="DD254" s="1831"/>
      <c r="DE254" s="1831"/>
      <c r="DF254" s="1831"/>
      <c r="DG254" s="1832"/>
    </row>
    <row r="255" spans="54:111" ht="15" customHeight="1" x14ac:dyDescent="0.2">
      <c r="BB255" s="146"/>
      <c r="BC255" s="147">
        <v>4</v>
      </c>
      <c r="BD255" s="147">
        <v>5</v>
      </c>
      <c r="BE255" s="147">
        <v>6</v>
      </c>
      <c r="BF255" s="147">
        <v>7</v>
      </c>
      <c r="BG255" s="147">
        <v>8</v>
      </c>
      <c r="BH255" s="147">
        <v>9</v>
      </c>
      <c r="BI255" s="147">
        <v>10</v>
      </c>
      <c r="BJ255" s="147">
        <v>11</v>
      </c>
      <c r="BK255" s="147">
        <v>12</v>
      </c>
      <c r="BL255" s="147">
        <v>13</v>
      </c>
      <c r="BM255" s="147">
        <v>14</v>
      </c>
      <c r="BN255" s="147">
        <v>15</v>
      </c>
      <c r="BO255" s="147">
        <v>16</v>
      </c>
      <c r="BP255" s="147">
        <v>17</v>
      </c>
      <c r="BQ255" s="147">
        <v>18</v>
      </c>
      <c r="BR255" s="147">
        <v>19</v>
      </c>
      <c r="BS255" s="147">
        <v>20</v>
      </c>
      <c r="BT255" s="147">
        <v>21</v>
      </c>
      <c r="BU255" s="147">
        <v>22</v>
      </c>
      <c r="BV255" s="147">
        <v>23</v>
      </c>
      <c r="BW255" s="147">
        <v>24</v>
      </c>
      <c r="BX255" s="147">
        <v>25</v>
      </c>
      <c r="BY255" s="147">
        <v>26</v>
      </c>
      <c r="BZ255" s="147">
        <v>27</v>
      </c>
      <c r="CA255" s="147">
        <v>28</v>
      </c>
      <c r="CB255" s="147">
        <v>29</v>
      </c>
      <c r="CC255" s="147">
        <v>30</v>
      </c>
      <c r="CD255" s="147">
        <v>31</v>
      </c>
      <c r="CE255" s="147">
        <v>32</v>
      </c>
      <c r="CF255" s="147">
        <v>33</v>
      </c>
      <c r="CG255" s="147">
        <v>34</v>
      </c>
      <c r="CH255" s="147">
        <v>35</v>
      </c>
      <c r="CI255" s="147">
        <v>36</v>
      </c>
      <c r="CJ255" s="147">
        <v>37</v>
      </c>
      <c r="CK255" s="147">
        <v>38</v>
      </c>
      <c r="CL255" s="147">
        <v>39</v>
      </c>
      <c r="CM255" s="147">
        <v>40</v>
      </c>
      <c r="CN255" s="147">
        <v>41</v>
      </c>
      <c r="CO255" s="147">
        <v>42</v>
      </c>
      <c r="CP255" s="147">
        <v>43</v>
      </c>
      <c r="CQ255" s="147">
        <v>44</v>
      </c>
      <c r="CR255" s="147">
        <v>45</v>
      </c>
      <c r="CS255" s="147">
        <v>46</v>
      </c>
      <c r="CT255" s="147">
        <v>47</v>
      </c>
      <c r="CU255" s="147">
        <v>48</v>
      </c>
      <c r="CV255" s="147">
        <v>49</v>
      </c>
      <c r="CW255" s="147">
        <v>50</v>
      </c>
      <c r="CX255" s="147">
        <v>51</v>
      </c>
      <c r="CY255" s="147">
        <v>52</v>
      </c>
      <c r="CZ255" s="147">
        <v>53</v>
      </c>
      <c r="DA255" s="147">
        <v>54</v>
      </c>
      <c r="DB255" s="147">
        <v>55</v>
      </c>
      <c r="DC255" s="147">
        <v>56</v>
      </c>
      <c r="DD255" s="147">
        <v>57</v>
      </c>
      <c r="DE255" s="147">
        <v>58</v>
      </c>
      <c r="DF255" s="147">
        <v>59</v>
      </c>
      <c r="DG255" s="148">
        <v>60</v>
      </c>
    </row>
    <row r="256" spans="54:111" ht="15" customHeight="1" x14ac:dyDescent="0.2">
      <c r="BB256" s="28">
        <v>4</v>
      </c>
      <c r="BC256" s="156">
        <v>3.1579999999999999</v>
      </c>
      <c r="BD256" s="120">
        <f>(BE256+BC256)/2</f>
        <v>3.5984999999999996</v>
      </c>
      <c r="BE256" s="156">
        <v>4.0389999999999997</v>
      </c>
      <c r="BF256" s="120">
        <f>(BG256+BE256)/2</f>
        <v>4.33</v>
      </c>
      <c r="BG256" s="156">
        <v>4.6210000000000004</v>
      </c>
      <c r="BH256" s="120">
        <f>(BI256+BG256)/2</f>
        <v>4.9984999999999999</v>
      </c>
      <c r="BI256" s="156">
        <v>5.3760000000000003</v>
      </c>
      <c r="BJ256" s="120">
        <f>(BK256+BI256)/2</f>
        <v>5.6765000000000008</v>
      </c>
      <c r="BK256" s="156">
        <v>5.9770000000000003</v>
      </c>
      <c r="BL256" s="120">
        <f>(BM256+BK256)/2</f>
        <v>6.29</v>
      </c>
      <c r="BM256" s="156">
        <v>6.6029999999999998</v>
      </c>
      <c r="BN256" s="120">
        <f>(BO256+BM256)/2</f>
        <v>6.8944999999999999</v>
      </c>
      <c r="BO256" s="156">
        <v>7.1859999999999999</v>
      </c>
      <c r="BP256" s="120">
        <f>(BQ256+BO256)/2</f>
        <v>7.4350000000000005</v>
      </c>
      <c r="BQ256" s="156">
        <v>7.6840000000000002</v>
      </c>
      <c r="BR256" s="120">
        <f>(BS256+BQ256)/2</f>
        <v>7.9849999999999994</v>
      </c>
      <c r="BS256" s="156">
        <v>8.2859999999999996</v>
      </c>
      <c r="BT256" s="120">
        <f>(BU256+BS256)/2</f>
        <v>8.5350000000000001</v>
      </c>
      <c r="BU256" s="156">
        <v>8.7840000000000007</v>
      </c>
      <c r="BV256" s="120">
        <f>(BW256+BU256)/2</f>
        <v>9.0755000000000017</v>
      </c>
      <c r="BW256" s="156">
        <v>9.3670000000000009</v>
      </c>
      <c r="BX256" s="120">
        <f>(BY256+BW256)/2</f>
        <v>9.6159999999999997</v>
      </c>
      <c r="BY256" s="156">
        <v>9.8650000000000002</v>
      </c>
      <c r="BZ256" s="120">
        <f>(CA256+BY256)/2</f>
        <v>10.102499999999999</v>
      </c>
      <c r="CA256" s="156">
        <v>10.34</v>
      </c>
      <c r="CB256" s="120">
        <f>(CC256+CA256)/2</f>
        <v>10.589500000000001</v>
      </c>
      <c r="CC256" s="156">
        <v>10.839</v>
      </c>
      <c r="CD256" s="120">
        <f>(CE256+CC256)/2</f>
        <v>11.1515</v>
      </c>
      <c r="CE256" s="156">
        <v>11.464</v>
      </c>
      <c r="CF256" s="120">
        <f>(CG256+CE256)/2</f>
        <v>11.690999999999999</v>
      </c>
      <c r="CG256" s="156">
        <v>11.917999999999999</v>
      </c>
      <c r="CH256" s="120">
        <f>(CI256+CG256)/2</f>
        <v>12.177499999999998</v>
      </c>
      <c r="CI256" s="156">
        <v>12.436999999999999</v>
      </c>
      <c r="CJ256" s="120">
        <f>(CK256+CI256)/2</f>
        <v>12.6645</v>
      </c>
      <c r="CK256" s="156">
        <v>12.891999999999999</v>
      </c>
      <c r="CL256" s="120">
        <f>(CM256+CK256)/2</f>
        <v>13.141</v>
      </c>
      <c r="CM256" s="156">
        <v>13.39</v>
      </c>
      <c r="CN256" s="120">
        <f>(CO256+CM256)/2</f>
        <v>13.617000000000001</v>
      </c>
      <c r="CO256" s="156">
        <v>13.843999999999999</v>
      </c>
      <c r="CP256" s="120">
        <f>(CQ256+CO256)/2</f>
        <v>14.1035</v>
      </c>
      <c r="CQ256" s="156">
        <v>14.363</v>
      </c>
      <c r="CR256" s="120">
        <f>(CS256+CQ256)/2</f>
        <v>14.589500000000001</v>
      </c>
      <c r="CS256" s="156">
        <v>14.816000000000001</v>
      </c>
      <c r="CT256" s="120">
        <f>(CU256+CS256)/2</f>
        <v>15.065000000000001</v>
      </c>
      <c r="CU256" s="156">
        <v>15.314</v>
      </c>
      <c r="CV256" s="120">
        <f>(CW256+CU256)/2</f>
        <v>15.541499999999999</v>
      </c>
      <c r="CW256" s="156">
        <v>15.769</v>
      </c>
      <c r="CX256" s="120">
        <f>(CY256+CW256)/2</f>
        <v>16.028500000000001</v>
      </c>
      <c r="CY256" s="156">
        <v>16.288</v>
      </c>
      <c r="CZ256" s="120">
        <f>(DA256+CY256)/2</f>
        <v>16.515000000000001</v>
      </c>
      <c r="DA256" s="156">
        <v>16.742000000000001</v>
      </c>
      <c r="DB256" s="120">
        <f>(DC256+DA256)/2</f>
        <v>16.927</v>
      </c>
      <c r="DC256" s="156">
        <v>17.111999999999998</v>
      </c>
      <c r="DD256" s="120">
        <f>(DE256+DC256)/2</f>
        <v>17.339500000000001</v>
      </c>
      <c r="DE256" s="156">
        <v>17.567</v>
      </c>
      <c r="DF256" s="120">
        <f>(DG256+DE256)/2</f>
        <v>17.826499999999999</v>
      </c>
      <c r="DG256" s="157">
        <v>18.085999999999999</v>
      </c>
    </row>
    <row r="257" spans="54:111" ht="15" customHeight="1" x14ac:dyDescent="0.2">
      <c r="BB257" s="28">
        <v>5</v>
      </c>
      <c r="BC257" s="121">
        <f t="array" ref="BC257:BC312">TRANSPOSE(BD256:DG256)</f>
        <v>3.5984999999999996</v>
      </c>
      <c r="BD257" s="120">
        <f>(BC257+BE257)/2</f>
        <v>4.0444999999999993</v>
      </c>
      <c r="BE257" s="120">
        <f>(BE256+BE258)/2</f>
        <v>4.4904999999999999</v>
      </c>
      <c r="BF257" s="120">
        <f>(BE257+BG257)/2</f>
        <v>4.8454999999999995</v>
      </c>
      <c r="BG257" s="120">
        <f>(BG256+BG258)/2</f>
        <v>5.2004999999999999</v>
      </c>
      <c r="BH257" s="120">
        <f>(BG257+BI257)/2</f>
        <v>5.5940000000000003</v>
      </c>
      <c r="BI257" s="120">
        <f>(BI256+BI258)/2</f>
        <v>5.9875000000000007</v>
      </c>
      <c r="BJ257" s="120">
        <f>(BI257+BK257)/2</f>
        <v>6.3105000000000002</v>
      </c>
      <c r="BK257" s="120">
        <f>(BK256+BK258)/2</f>
        <v>6.6334999999999997</v>
      </c>
      <c r="BL257" s="120">
        <f>(BK257+BM257)/2</f>
        <v>6.9677499999999997</v>
      </c>
      <c r="BM257" s="120">
        <f>(BM256+BM258)/2</f>
        <v>7.3019999999999996</v>
      </c>
      <c r="BN257" s="120">
        <f>(BM257+BO257)/2</f>
        <v>7.6412499999999994</v>
      </c>
      <c r="BO257" s="120">
        <f>(BO256+BO258)/2</f>
        <v>7.9805000000000001</v>
      </c>
      <c r="BP257" s="120">
        <f>(BO257+BQ257)/2</f>
        <v>8.2777499999999993</v>
      </c>
      <c r="BQ257" s="120">
        <f>(BQ256+BQ258)/2</f>
        <v>8.5749999999999993</v>
      </c>
      <c r="BR257" s="120">
        <f>(BQ257+BS257)/2</f>
        <v>8.8714999999999993</v>
      </c>
      <c r="BS257" s="120">
        <f>(BS256+BS258)/2</f>
        <v>9.1679999999999993</v>
      </c>
      <c r="BT257" s="120">
        <f>(BS257+BU257)/2</f>
        <v>9.4649999999999999</v>
      </c>
      <c r="BU257" s="120">
        <f>(BU256+BU258)/2</f>
        <v>9.7620000000000005</v>
      </c>
      <c r="BV257" s="120">
        <f>(BU257+BW257)/2</f>
        <v>10.0855</v>
      </c>
      <c r="BW257" s="120">
        <f>(BW256+BW258)/2</f>
        <v>10.409000000000001</v>
      </c>
      <c r="BX257" s="120">
        <f>(BW257+BY257)/2</f>
        <v>10.663499999999999</v>
      </c>
      <c r="BY257" s="120">
        <f>(BY256+BY258)/2</f>
        <v>10.917999999999999</v>
      </c>
      <c r="BZ257" s="120">
        <f>(BY257+CA257)/2</f>
        <v>11.2095</v>
      </c>
      <c r="CA257" s="120">
        <f>(CA256+CA258)/2</f>
        <v>11.501000000000001</v>
      </c>
      <c r="CB257" s="120">
        <f>(CA257+CC257)/2</f>
        <v>11.80325</v>
      </c>
      <c r="CC257" s="120">
        <f>(CC256+CC258)/2</f>
        <v>12.105499999999999</v>
      </c>
      <c r="CD257" s="120">
        <f>(CC257+CE257)/2</f>
        <v>12.402249999999999</v>
      </c>
      <c r="CE257" s="120">
        <f>(CE256+CE258)/2</f>
        <v>12.699</v>
      </c>
      <c r="CF257" s="120">
        <f>(CE257+CG257)/2</f>
        <v>12.958500000000001</v>
      </c>
      <c r="CG257" s="120">
        <f>(CG256+CG258)/2</f>
        <v>13.218</v>
      </c>
      <c r="CH257" s="120">
        <f>(CG257+CI257)/2</f>
        <v>13.509499999999999</v>
      </c>
      <c r="CI257" s="120">
        <f>(CI256+CI258)/2</f>
        <v>13.800999999999998</v>
      </c>
      <c r="CJ257" s="120">
        <f>(CI257+CK257)/2</f>
        <v>14.055499999999999</v>
      </c>
      <c r="CK257" s="120">
        <f>(CK256+CK258)/2</f>
        <v>14.309999999999999</v>
      </c>
      <c r="CL257" s="120">
        <f>(CK257+CM257)/2</f>
        <v>14.580500000000001</v>
      </c>
      <c r="CM257" s="120">
        <f>(CM256+CM258)/2</f>
        <v>14.851000000000001</v>
      </c>
      <c r="CN257" s="120">
        <f>(CM257+CO257)/2</f>
        <v>15.105</v>
      </c>
      <c r="CO257" s="120">
        <f>(CO256+CO258)/2</f>
        <v>15.358999999999998</v>
      </c>
      <c r="CP257" s="120">
        <f>(CO257+CQ257)/2</f>
        <v>15.6615</v>
      </c>
      <c r="CQ257" s="120">
        <f>(CQ256+CQ258)/2</f>
        <v>15.964</v>
      </c>
      <c r="CR257" s="120">
        <f>(CQ257+CS257)/2</f>
        <v>16.212</v>
      </c>
      <c r="CS257" s="120">
        <f>(CS256+CS258)/2</f>
        <v>16.46</v>
      </c>
      <c r="CT257" s="120">
        <f>(CS257+CU257)/2</f>
        <v>16.725250000000003</v>
      </c>
      <c r="CU257" s="120">
        <f>(CU256+CU258)/2</f>
        <v>16.990500000000001</v>
      </c>
      <c r="CV257" s="120">
        <f>(CU257+CW257)/2</f>
        <v>17.25</v>
      </c>
      <c r="CW257" s="120">
        <f>(CW256+CW258)/2</f>
        <v>17.509499999999999</v>
      </c>
      <c r="CX257" s="120">
        <f>(CW257+CY257)/2</f>
        <v>17.78</v>
      </c>
      <c r="CY257" s="120">
        <f>(CY256+CY258)/2</f>
        <v>18.0505</v>
      </c>
      <c r="CZ257" s="120">
        <f>(CY257+DA257)/2</f>
        <v>18.304500000000001</v>
      </c>
      <c r="DA257" s="120">
        <f>(DA256+DA258)/2</f>
        <v>18.558500000000002</v>
      </c>
      <c r="DB257" s="120">
        <f>(DA257+DC257)/2</f>
        <v>18.786000000000001</v>
      </c>
      <c r="DC257" s="120">
        <f>(DC256+DC258)/2</f>
        <v>19.013500000000001</v>
      </c>
      <c r="DD257" s="120">
        <f>(DC257+DE257)/2</f>
        <v>19.268000000000001</v>
      </c>
      <c r="DE257" s="120">
        <f>(DE256+DE258)/2</f>
        <v>19.522500000000001</v>
      </c>
      <c r="DF257" s="120">
        <f>(DE257+DG257)/2</f>
        <v>19.798000000000002</v>
      </c>
      <c r="DG257" s="122">
        <f>(DG256+DG258)/2</f>
        <v>20.073499999999999</v>
      </c>
    </row>
    <row r="258" spans="54:111" ht="15" customHeight="1" x14ac:dyDescent="0.2">
      <c r="BB258" s="28">
        <v>6</v>
      </c>
      <c r="BC258" s="121">
        <v>4.0389999999999997</v>
      </c>
      <c r="BD258" s="121">
        <f t="array" ref="BD258:BD312">TRANSPOSE(BE257:DG257)</f>
        <v>4.4904999999999999</v>
      </c>
      <c r="BE258" s="158">
        <v>4.9420000000000002</v>
      </c>
      <c r="BF258" s="120">
        <f>(BG258+BE258)/2</f>
        <v>5.3610000000000007</v>
      </c>
      <c r="BG258" s="158">
        <v>5.78</v>
      </c>
      <c r="BH258" s="120">
        <f>(BI258+BG258)/2</f>
        <v>6.1895000000000007</v>
      </c>
      <c r="BI258" s="158">
        <v>6.5990000000000002</v>
      </c>
      <c r="BJ258" s="120">
        <f>(BK258+BI258)/2</f>
        <v>6.9444999999999997</v>
      </c>
      <c r="BK258" s="158">
        <v>7.29</v>
      </c>
      <c r="BL258" s="120">
        <f>(BM258+BK258)/2</f>
        <v>7.6455000000000002</v>
      </c>
      <c r="BM258" s="158">
        <v>8.0009999999999994</v>
      </c>
      <c r="BN258" s="120">
        <f>(BO258+BM258)/2</f>
        <v>8.3879999999999999</v>
      </c>
      <c r="BO258" s="158">
        <v>8.7750000000000004</v>
      </c>
      <c r="BP258" s="120">
        <f>(BQ258+BO258)/2</f>
        <v>9.1204999999999998</v>
      </c>
      <c r="BQ258" s="158">
        <v>9.4659999999999993</v>
      </c>
      <c r="BR258" s="120">
        <f>(BS258+BQ258)/2</f>
        <v>9.7579999999999991</v>
      </c>
      <c r="BS258" s="158">
        <v>10.050000000000001</v>
      </c>
      <c r="BT258" s="120">
        <f>(BU258+BS258)/2</f>
        <v>10.395</v>
      </c>
      <c r="BU258" s="158">
        <v>10.74</v>
      </c>
      <c r="BV258" s="120">
        <f>(BW258+BU258)/2</f>
        <v>11.095500000000001</v>
      </c>
      <c r="BW258" s="158">
        <v>11.451000000000001</v>
      </c>
      <c r="BX258" s="120">
        <f>(BY258+BW258)/2</f>
        <v>11.711</v>
      </c>
      <c r="BY258" s="158">
        <v>11.971</v>
      </c>
      <c r="BZ258" s="120">
        <f>(CA258+BY258)/2</f>
        <v>12.316500000000001</v>
      </c>
      <c r="CA258" s="158">
        <v>12.662000000000001</v>
      </c>
      <c r="CB258" s="120">
        <f>(CC258+CA258)/2</f>
        <v>13.016999999999999</v>
      </c>
      <c r="CC258" s="158">
        <v>13.372</v>
      </c>
      <c r="CD258" s="120">
        <f>(CE258+CC258)/2</f>
        <v>13.652999999999999</v>
      </c>
      <c r="CE258" s="158">
        <v>13.933999999999999</v>
      </c>
      <c r="CF258" s="120">
        <f>(CG258+CE258)/2</f>
        <v>14.225999999999999</v>
      </c>
      <c r="CG258" s="158">
        <v>14.518000000000001</v>
      </c>
      <c r="CH258" s="120">
        <f>(CI258+CG258)/2</f>
        <v>14.8415</v>
      </c>
      <c r="CI258" s="158">
        <v>15.164999999999999</v>
      </c>
      <c r="CJ258" s="120">
        <f>(CK258+CI258)/2</f>
        <v>15.4465</v>
      </c>
      <c r="CK258" s="158">
        <v>15.728</v>
      </c>
      <c r="CL258" s="120">
        <f>(CM258+CK258)/2</f>
        <v>16.02</v>
      </c>
      <c r="CM258" s="158">
        <v>16.312000000000001</v>
      </c>
      <c r="CN258" s="120">
        <f>(CO258+CM258)/2</f>
        <v>16.593</v>
      </c>
      <c r="CO258" s="158">
        <v>16.873999999999999</v>
      </c>
      <c r="CP258" s="120">
        <f>(CQ258+CO258)/2</f>
        <v>17.2195</v>
      </c>
      <c r="CQ258" s="158">
        <v>17.565000000000001</v>
      </c>
      <c r="CR258" s="120">
        <f>(CS258+CQ258)/2</f>
        <v>17.834499999999998</v>
      </c>
      <c r="CS258" s="158">
        <v>18.103999999999999</v>
      </c>
      <c r="CT258" s="120">
        <f>(CU258+CS258)/2</f>
        <v>18.3855</v>
      </c>
      <c r="CU258" s="158">
        <v>18.667000000000002</v>
      </c>
      <c r="CV258" s="120">
        <f>(CW258+CU258)/2</f>
        <v>18.958500000000001</v>
      </c>
      <c r="CW258" s="158">
        <v>19.25</v>
      </c>
      <c r="CX258" s="120">
        <f>(CY258+CW258)/2</f>
        <v>19.531500000000001</v>
      </c>
      <c r="CY258" s="158">
        <v>19.812999999999999</v>
      </c>
      <c r="CZ258" s="120">
        <f>(DA258+CY258)/2</f>
        <v>20.094000000000001</v>
      </c>
      <c r="DA258" s="158">
        <v>20.375</v>
      </c>
      <c r="DB258" s="120">
        <f>(DC258+DA258)/2</f>
        <v>20.645</v>
      </c>
      <c r="DC258" s="158">
        <v>20.914999999999999</v>
      </c>
      <c r="DD258" s="120">
        <f>(DE258+DC258)/2</f>
        <v>21.1965</v>
      </c>
      <c r="DE258" s="158">
        <v>21.478000000000002</v>
      </c>
      <c r="DF258" s="120">
        <f>(DG258+DE258)/2</f>
        <v>21.769500000000001</v>
      </c>
      <c r="DG258" s="159">
        <v>22.061</v>
      </c>
    </row>
    <row r="259" spans="54:111" ht="15" customHeight="1" x14ac:dyDescent="0.2">
      <c r="BB259" s="28">
        <v>7</v>
      </c>
      <c r="BC259" s="121">
        <v>4.33</v>
      </c>
      <c r="BD259" s="121">
        <v>4.8454999999999995</v>
      </c>
      <c r="BE259" s="121">
        <f t="array" ref="BE259:BE312">TRANSPOSE(BF258:DG258)</f>
        <v>5.3610000000000007</v>
      </c>
      <c r="BF259" s="120">
        <f>(BE259+BG259)/2</f>
        <v>5.8232500000000007</v>
      </c>
      <c r="BG259" s="120">
        <f>(BG258+BG260)/2</f>
        <v>6.2855000000000008</v>
      </c>
      <c r="BH259" s="120">
        <f>(BG259+BI259)/2</f>
        <v>6.7162500000000005</v>
      </c>
      <c r="BI259" s="120">
        <f>(BI258+BI260)/2</f>
        <v>7.1470000000000002</v>
      </c>
      <c r="BJ259" s="120">
        <f>(BI259+BK259)/2</f>
        <v>7.5404999999999998</v>
      </c>
      <c r="BK259" s="120">
        <f>(BK258+BK260)/2</f>
        <v>7.9339999999999993</v>
      </c>
      <c r="BL259" s="120">
        <f>(BK259+BM259)/2</f>
        <v>8.3060000000000009</v>
      </c>
      <c r="BM259" s="120">
        <f>(BM258+BM260)/2</f>
        <v>8.6780000000000008</v>
      </c>
      <c r="BN259" s="120">
        <f>(BM259+BO259)/2</f>
        <v>9.1030000000000015</v>
      </c>
      <c r="BO259" s="120">
        <f>(BO258+BO260)/2</f>
        <v>9.5280000000000005</v>
      </c>
      <c r="BP259" s="120">
        <f>(BO259+BQ259)/2</f>
        <v>9.8947500000000002</v>
      </c>
      <c r="BQ259" s="120">
        <f>(BQ258+BQ260)/2</f>
        <v>10.2615</v>
      </c>
      <c r="BR259" s="120">
        <f>(BQ259+BS259)/2</f>
        <v>10.596499999999999</v>
      </c>
      <c r="BS259" s="120">
        <f>(BS258+BS260)/2</f>
        <v>10.9315</v>
      </c>
      <c r="BT259" s="120">
        <f>(BS259+BU259)/2</f>
        <v>11.298</v>
      </c>
      <c r="BU259" s="120">
        <f>(BU258+BU260)/2</f>
        <v>11.6645</v>
      </c>
      <c r="BV259" s="120">
        <f>(BU259+BW259)/2</f>
        <v>12.030750000000001</v>
      </c>
      <c r="BW259" s="120">
        <f>(BW258+BW260)/2</f>
        <v>12.397</v>
      </c>
      <c r="BX259" s="120">
        <f>(BW259+BY259)/2</f>
        <v>12.721250000000001</v>
      </c>
      <c r="BY259" s="120">
        <f>(BY258+BY260)/2</f>
        <v>13.045500000000001</v>
      </c>
      <c r="BZ259" s="120">
        <f>(BY259+CA259)/2</f>
        <v>13.375</v>
      </c>
      <c r="CA259" s="120">
        <f>(CA258+CA260)/2</f>
        <v>13.704499999999999</v>
      </c>
      <c r="CB259" s="120">
        <f>(CA259+CC259)/2</f>
        <v>14.07625</v>
      </c>
      <c r="CC259" s="120">
        <f>(CC258+CC260)/2</f>
        <v>14.448</v>
      </c>
      <c r="CD259" s="120">
        <f>(CC259+CE259)/2</f>
        <v>14.776999999999999</v>
      </c>
      <c r="CE259" s="120">
        <f>(CE258+CE260)/2</f>
        <v>15.105999999999998</v>
      </c>
      <c r="CF259" s="120">
        <f>(CE259+CG259)/2</f>
        <v>15.41375</v>
      </c>
      <c r="CG259" s="120">
        <f>(CG258+CG260)/2</f>
        <v>15.721500000000001</v>
      </c>
      <c r="CH259" s="120">
        <f>(CG259+CI259)/2</f>
        <v>16.07225</v>
      </c>
      <c r="CI259" s="120">
        <f>(CI258+CI260)/2</f>
        <v>16.423000000000002</v>
      </c>
      <c r="CJ259" s="120">
        <f>(CI259+CK259)/2</f>
        <v>16.725750000000001</v>
      </c>
      <c r="CK259" s="120">
        <f>(CK258+CK260)/2</f>
        <v>17.028500000000001</v>
      </c>
      <c r="CL259" s="120">
        <f>(CK259+CM259)/2</f>
        <v>17.363250000000001</v>
      </c>
      <c r="CM259" s="120">
        <f>(CM258+CM260)/2</f>
        <v>17.698</v>
      </c>
      <c r="CN259" s="120">
        <f>(CM259+CO259)/2</f>
        <v>18.000499999999999</v>
      </c>
      <c r="CO259" s="120">
        <f>(CO258+CO260)/2</f>
        <v>18.302999999999997</v>
      </c>
      <c r="CP259" s="120">
        <f>(CO259+CQ259)/2</f>
        <v>18.664749999999998</v>
      </c>
      <c r="CQ259" s="120">
        <f>(CQ258+CQ260)/2</f>
        <v>19.026499999999999</v>
      </c>
      <c r="CR259" s="120">
        <f>(CQ259+CS259)/2</f>
        <v>19.334249999999997</v>
      </c>
      <c r="CS259" s="120">
        <f>(CS258+CS260)/2</f>
        <v>19.641999999999999</v>
      </c>
      <c r="CT259" s="120">
        <f>(CS259+CU259)/2</f>
        <v>19.93975</v>
      </c>
      <c r="CU259" s="120">
        <f>(CU258+CU260)/2</f>
        <v>20.237500000000001</v>
      </c>
      <c r="CV259" s="120">
        <f>(CU259+CW259)/2</f>
        <v>20.545000000000002</v>
      </c>
      <c r="CW259" s="120">
        <f>(CW258+CW260)/2</f>
        <v>20.852499999999999</v>
      </c>
      <c r="CX259" s="120">
        <f>(CW259+CY259)/2</f>
        <v>21.181999999999999</v>
      </c>
      <c r="CY259" s="120">
        <f>(CY258+CY260)/2</f>
        <v>21.511499999999998</v>
      </c>
      <c r="CZ259" s="120">
        <f>(CY259+DA259)/2</f>
        <v>21.814</v>
      </c>
      <c r="DA259" s="120">
        <f>(DA258+DA260)/2</f>
        <v>22.116500000000002</v>
      </c>
      <c r="DB259" s="120">
        <f>(DA259+DC259)/2</f>
        <v>22.4085</v>
      </c>
      <c r="DC259" s="120">
        <f>(DC258+DC260)/2</f>
        <v>22.700499999999998</v>
      </c>
      <c r="DD259" s="120">
        <f>(DC259+DE259)/2</f>
        <v>23.003250000000001</v>
      </c>
      <c r="DE259" s="120">
        <f>(DE258+DE260)/2</f>
        <v>23.306000000000001</v>
      </c>
      <c r="DF259" s="120">
        <f>(DE259+DG259)/2</f>
        <v>23.608750000000001</v>
      </c>
      <c r="DG259" s="122">
        <f>(DG258+DG260)/2</f>
        <v>23.9115</v>
      </c>
    </row>
    <row r="260" spans="54:111" ht="15" customHeight="1" x14ac:dyDescent="0.2">
      <c r="BB260" s="28">
        <v>8</v>
      </c>
      <c r="BC260" s="121">
        <v>4.6210000000000004</v>
      </c>
      <c r="BD260" s="121">
        <v>5.2004999999999999</v>
      </c>
      <c r="BE260" s="121">
        <v>5.78</v>
      </c>
      <c r="BF260" s="121">
        <f t="array" ref="BF260:BF312">TRANSPOSE(BG259:DG259)</f>
        <v>6.2855000000000008</v>
      </c>
      <c r="BG260" s="158">
        <v>6.7910000000000004</v>
      </c>
      <c r="BH260" s="120">
        <f>(BI260+BG260)/2</f>
        <v>7.2430000000000003</v>
      </c>
      <c r="BI260" s="158">
        <v>7.6950000000000003</v>
      </c>
      <c r="BJ260" s="120">
        <f>(BK260+BI260)/2</f>
        <v>8.1364999999999998</v>
      </c>
      <c r="BK260" s="158">
        <v>8.5779999999999994</v>
      </c>
      <c r="BL260" s="120">
        <f>(BM260+BK260)/2</f>
        <v>8.9664999999999999</v>
      </c>
      <c r="BM260" s="158">
        <v>9.3550000000000004</v>
      </c>
      <c r="BN260" s="120">
        <f>(BO260+BM260)/2</f>
        <v>9.8180000000000014</v>
      </c>
      <c r="BO260" s="158">
        <v>10.281000000000001</v>
      </c>
      <c r="BP260" s="120">
        <f>(BQ260+BO260)/2</f>
        <v>10.669</v>
      </c>
      <c r="BQ260" s="158">
        <v>11.057</v>
      </c>
      <c r="BR260" s="120">
        <f>(BS260+BQ260)/2</f>
        <v>11.435</v>
      </c>
      <c r="BS260" s="158">
        <v>11.813000000000001</v>
      </c>
      <c r="BT260" s="120">
        <f>(BU260+BS260)/2</f>
        <v>12.201000000000001</v>
      </c>
      <c r="BU260" s="158">
        <v>12.589</v>
      </c>
      <c r="BV260" s="120">
        <f>(BW260+BU260)/2</f>
        <v>12.966000000000001</v>
      </c>
      <c r="BW260" s="158">
        <v>13.343</v>
      </c>
      <c r="BX260" s="120">
        <f>(BY260+BW260)/2</f>
        <v>13.7315</v>
      </c>
      <c r="BY260" s="158">
        <v>14.12</v>
      </c>
      <c r="BZ260" s="120">
        <f>(CA260+BY260)/2</f>
        <v>14.433499999999999</v>
      </c>
      <c r="CA260" s="158">
        <v>14.747</v>
      </c>
      <c r="CB260" s="120">
        <f>(CC260+CA260)/2</f>
        <v>15.1355</v>
      </c>
      <c r="CC260" s="158">
        <v>15.523999999999999</v>
      </c>
      <c r="CD260" s="120">
        <f>(CE260+CC260)/2</f>
        <v>15.901</v>
      </c>
      <c r="CE260" s="158">
        <v>16.277999999999999</v>
      </c>
      <c r="CF260" s="120">
        <f>(CG260+CE260)/2</f>
        <v>16.601500000000001</v>
      </c>
      <c r="CG260" s="158">
        <v>16.925000000000001</v>
      </c>
      <c r="CH260" s="120">
        <f>(CI260+CG260)/2</f>
        <v>17.303000000000001</v>
      </c>
      <c r="CI260" s="158">
        <v>17.681000000000001</v>
      </c>
      <c r="CJ260" s="120">
        <f>(CK260+CI260)/2</f>
        <v>18.005000000000003</v>
      </c>
      <c r="CK260" s="158">
        <v>18.329000000000001</v>
      </c>
      <c r="CL260" s="120">
        <f>(CM260+CK260)/2</f>
        <v>18.706499999999998</v>
      </c>
      <c r="CM260" s="158">
        <v>19.084</v>
      </c>
      <c r="CN260" s="120">
        <f>(CO260+CM260)/2</f>
        <v>19.408000000000001</v>
      </c>
      <c r="CO260" s="158">
        <v>19.731999999999999</v>
      </c>
      <c r="CP260" s="120">
        <f>(CQ260+CO260)/2</f>
        <v>20.11</v>
      </c>
      <c r="CQ260" s="158">
        <v>20.488</v>
      </c>
      <c r="CR260" s="120">
        <f>(CS260+CQ260)/2</f>
        <v>20.834</v>
      </c>
      <c r="CS260" s="158">
        <v>21.18</v>
      </c>
      <c r="CT260" s="120">
        <f>(CU260+CS260)/2</f>
        <v>21.494</v>
      </c>
      <c r="CU260" s="158">
        <v>21.808</v>
      </c>
      <c r="CV260" s="120">
        <f>(CW260+CU260)/2</f>
        <v>22.131499999999999</v>
      </c>
      <c r="CW260" s="158">
        <v>22.454999999999998</v>
      </c>
      <c r="CX260" s="120">
        <f>(CY260+CW260)/2</f>
        <v>22.8325</v>
      </c>
      <c r="CY260" s="158">
        <v>23.21</v>
      </c>
      <c r="CZ260" s="120">
        <f>(DA260+CY260)/2</f>
        <v>23.533999999999999</v>
      </c>
      <c r="DA260" s="158">
        <v>23.858000000000001</v>
      </c>
      <c r="DB260" s="120">
        <f>(DC260+DA260)/2</f>
        <v>24.172000000000001</v>
      </c>
      <c r="DC260" s="158">
        <v>24.486000000000001</v>
      </c>
      <c r="DD260" s="120">
        <f>(DE260+DC260)/2</f>
        <v>24.810000000000002</v>
      </c>
      <c r="DE260" s="158">
        <v>25.134</v>
      </c>
      <c r="DF260" s="120">
        <f>(DG260+DE260)/2</f>
        <v>25.448</v>
      </c>
      <c r="DG260" s="159">
        <v>25.762</v>
      </c>
    </row>
    <row r="261" spans="54:111" ht="15" customHeight="1" x14ac:dyDescent="0.2">
      <c r="BB261" s="28">
        <v>9</v>
      </c>
      <c r="BC261" s="121">
        <v>4.9984999999999999</v>
      </c>
      <c r="BD261" s="121">
        <v>5.5940000000000003</v>
      </c>
      <c r="BE261" s="121">
        <v>6.1895000000000007</v>
      </c>
      <c r="BF261" s="121">
        <v>6.7162500000000005</v>
      </c>
      <c r="BG261" s="121">
        <f t="array" ref="BG261:BG312">TRANSPOSE(BH260:DG260)</f>
        <v>7.2430000000000003</v>
      </c>
      <c r="BH261" s="120">
        <f>(BG261+BI261)/2</f>
        <v>7.7169999999999996</v>
      </c>
      <c r="BI261" s="120">
        <f>(BI260+BI262)/2</f>
        <v>8.1909999999999989</v>
      </c>
      <c r="BJ261" s="120">
        <f>(BI261+BK261)/2</f>
        <v>8.6539999999999999</v>
      </c>
      <c r="BK261" s="120">
        <f>(BK260+BK262)/2</f>
        <v>9.1170000000000009</v>
      </c>
      <c r="BL261" s="120">
        <f>(BK261+BM261)/2</f>
        <v>9.548</v>
      </c>
      <c r="BM261" s="120">
        <f>(BM260+BM262)/2</f>
        <v>9.9789999999999992</v>
      </c>
      <c r="BN261" s="120">
        <f>(BM261+BO261)/2</f>
        <v>10.463749999999999</v>
      </c>
      <c r="BO261" s="120">
        <f>(BO260+BO262)/2</f>
        <v>10.948499999999999</v>
      </c>
      <c r="BP261" s="120">
        <f>(BO261+BQ261)/2</f>
        <v>11.38425</v>
      </c>
      <c r="BQ261" s="120">
        <f>(BQ260+BQ262)/2</f>
        <v>11.82</v>
      </c>
      <c r="BR261" s="120">
        <f>(BQ261+BS261)/2</f>
        <v>12.214</v>
      </c>
      <c r="BS261" s="120">
        <f>(BS260+BS262)/2</f>
        <v>12.608000000000001</v>
      </c>
      <c r="BT261" s="120">
        <f>(BS261+BU261)/2</f>
        <v>13.023250000000001</v>
      </c>
      <c r="BU261" s="120">
        <f>(BU260+BU262)/2</f>
        <v>13.438500000000001</v>
      </c>
      <c r="BV261" s="120">
        <f>(BU261+BW261)/2</f>
        <v>13.837250000000001</v>
      </c>
      <c r="BW261" s="120">
        <f>(BW260+BW262)/2</f>
        <v>14.236000000000001</v>
      </c>
      <c r="BX261" s="120">
        <f>(BW261+BY261)/2</f>
        <v>14.635</v>
      </c>
      <c r="BY261" s="120">
        <f>(BY260+BY262)/2</f>
        <v>15.033999999999999</v>
      </c>
      <c r="BZ261" s="120">
        <f>(BY261+CA261)/2</f>
        <v>15.41175</v>
      </c>
      <c r="CA261" s="120">
        <f>(CA260+CA262)/2</f>
        <v>15.7895</v>
      </c>
      <c r="CB261" s="120">
        <f>(CA261+CC261)/2</f>
        <v>16.193999999999999</v>
      </c>
      <c r="CC261" s="120">
        <f>(CC260+CC262)/2</f>
        <v>16.598499999999998</v>
      </c>
      <c r="CD261" s="120">
        <f>(CC261+CE261)/2</f>
        <v>16.991749999999996</v>
      </c>
      <c r="CE261" s="120">
        <f>(CE260+CE262)/2</f>
        <v>17.384999999999998</v>
      </c>
      <c r="CF261" s="120">
        <f>(CE261+CG261)/2</f>
        <v>17.736249999999998</v>
      </c>
      <c r="CG261" s="120">
        <f>(CG260+CG262)/2</f>
        <v>18.087499999999999</v>
      </c>
      <c r="CH261" s="120">
        <f>(CG261+CI261)/2</f>
        <v>18.486499999999999</v>
      </c>
      <c r="CI261" s="120">
        <f>(CI260+CI262)/2</f>
        <v>18.8855</v>
      </c>
      <c r="CJ261" s="120">
        <f>(CI261+CK261)/2</f>
        <v>19.252749999999999</v>
      </c>
      <c r="CK261" s="120">
        <f>(CK260+CK262)/2</f>
        <v>19.62</v>
      </c>
      <c r="CL261" s="120">
        <f>(CK261+CM261)/2</f>
        <v>19.997750000000003</v>
      </c>
      <c r="CM261" s="120">
        <f>(CM260+CM262)/2</f>
        <v>20.375500000000002</v>
      </c>
      <c r="CN261" s="120">
        <f>(CM261+CO261)/2</f>
        <v>20.742250000000002</v>
      </c>
      <c r="CO261" s="120">
        <f>(CO260+CO262)/2</f>
        <v>21.109000000000002</v>
      </c>
      <c r="CP261" s="120">
        <f>(CO261+CQ261)/2</f>
        <v>21.47625</v>
      </c>
      <c r="CQ261" s="120">
        <f>(CQ260+CQ262)/2</f>
        <v>21.843499999999999</v>
      </c>
      <c r="CR261" s="120">
        <f>(CQ261+CS261)/2</f>
        <v>22.237749999999998</v>
      </c>
      <c r="CS261" s="120">
        <f>(CS260+CS262)/2</f>
        <v>22.631999999999998</v>
      </c>
      <c r="CT261" s="120">
        <f>(CS261+CU261)/2</f>
        <v>22.962</v>
      </c>
      <c r="CU261" s="120">
        <f>(CU260+CU262)/2</f>
        <v>23.292000000000002</v>
      </c>
      <c r="CV261" s="120">
        <f>(CU261+CW261)/2</f>
        <v>23.66375</v>
      </c>
      <c r="CW261" s="120">
        <f>(CW260+CW262)/2</f>
        <v>24.035499999999999</v>
      </c>
      <c r="CX261" s="120">
        <f>(CW261+CY261)/2</f>
        <v>24.413249999999998</v>
      </c>
      <c r="CY261" s="120">
        <f>(CY260+CY262)/2</f>
        <v>24.791</v>
      </c>
      <c r="CZ261" s="120">
        <f>(CY261+DA261)/2</f>
        <v>25.125999999999998</v>
      </c>
      <c r="DA261" s="120">
        <f>(DA260+DA262)/2</f>
        <v>25.460999999999999</v>
      </c>
      <c r="DB261" s="120">
        <f>(DA261+DC261)/2</f>
        <v>25.828250000000001</v>
      </c>
      <c r="DC261" s="120">
        <f>(DC260+DC262)/2</f>
        <v>26.195500000000003</v>
      </c>
      <c r="DD261" s="120">
        <f>(DC261+DE261)/2</f>
        <v>26.546750000000003</v>
      </c>
      <c r="DE261" s="120">
        <f>(DE260+DE262)/2</f>
        <v>26.898</v>
      </c>
      <c r="DF261" s="120">
        <f>(DE261+DG261)/2</f>
        <v>27.228000000000002</v>
      </c>
      <c r="DG261" s="122">
        <f>(DG260+DG262)/2</f>
        <v>27.558</v>
      </c>
    </row>
    <row r="262" spans="54:111" ht="15" customHeight="1" x14ac:dyDescent="0.2">
      <c r="BB262" s="28">
        <v>10</v>
      </c>
      <c r="BC262" s="121">
        <v>5.3760000000000003</v>
      </c>
      <c r="BD262" s="121">
        <v>5.9875000000000007</v>
      </c>
      <c r="BE262" s="121">
        <v>6.5990000000000002</v>
      </c>
      <c r="BF262" s="121">
        <v>7.1470000000000002</v>
      </c>
      <c r="BG262" s="121">
        <v>7.6950000000000003</v>
      </c>
      <c r="BH262" s="121">
        <f t="array" ref="BH262:BH312">TRANSPOSE(BI261:DG261)</f>
        <v>8.1909999999999989</v>
      </c>
      <c r="BI262" s="158">
        <v>8.6869999999999994</v>
      </c>
      <c r="BJ262" s="120">
        <f>(BK262+BI262)/2</f>
        <v>9.1715</v>
      </c>
      <c r="BK262" s="158">
        <v>9.6560000000000006</v>
      </c>
      <c r="BL262" s="120">
        <f>(BM262+BK262)/2</f>
        <v>10.1295</v>
      </c>
      <c r="BM262" s="158">
        <v>10.603</v>
      </c>
      <c r="BN262" s="120">
        <f>(BO262+BM262)/2</f>
        <v>11.109500000000001</v>
      </c>
      <c r="BO262" s="158">
        <v>11.616</v>
      </c>
      <c r="BP262" s="120">
        <f>(BQ262+BO262)/2</f>
        <v>12.099499999999999</v>
      </c>
      <c r="BQ262" s="158">
        <v>12.583</v>
      </c>
      <c r="BR262" s="120">
        <f>(BS262+BQ262)/2</f>
        <v>12.993</v>
      </c>
      <c r="BS262" s="158">
        <v>13.403</v>
      </c>
      <c r="BT262" s="120">
        <f>(BU262+BS262)/2</f>
        <v>13.845500000000001</v>
      </c>
      <c r="BU262" s="158">
        <v>14.288</v>
      </c>
      <c r="BV262" s="120">
        <f>(BW262+BU262)/2</f>
        <v>14.708500000000001</v>
      </c>
      <c r="BW262" s="158">
        <v>15.129</v>
      </c>
      <c r="BX262" s="120">
        <f>(BY262+BW262)/2</f>
        <v>15.538499999999999</v>
      </c>
      <c r="BY262" s="158">
        <v>15.948</v>
      </c>
      <c r="BZ262" s="120">
        <f>(CA262+BY262)/2</f>
        <v>16.39</v>
      </c>
      <c r="CA262" s="158">
        <v>16.832000000000001</v>
      </c>
      <c r="CB262" s="120">
        <f>(CC262+CA262)/2</f>
        <v>17.252499999999998</v>
      </c>
      <c r="CC262" s="158">
        <v>17.672999999999998</v>
      </c>
      <c r="CD262" s="120">
        <f>(CE262+CC262)/2</f>
        <v>18.0825</v>
      </c>
      <c r="CE262" s="158">
        <v>18.492000000000001</v>
      </c>
      <c r="CF262" s="120">
        <f>(CG262+CE262)/2</f>
        <v>18.871000000000002</v>
      </c>
      <c r="CG262" s="158">
        <v>19.25</v>
      </c>
      <c r="CH262" s="120">
        <f>(CI262+CG262)/2</f>
        <v>19.670000000000002</v>
      </c>
      <c r="CI262" s="158">
        <v>20.09</v>
      </c>
      <c r="CJ262" s="120">
        <f>(CK262+CI262)/2</f>
        <v>20.500500000000002</v>
      </c>
      <c r="CK262" s="158">
        <v>20.911000000000001</v>
      </c>
      <c r="CL262" s="120">
        <f>(CM262+CK262)/2</f>
        <v>21.289000000000001</v>
      </c>
      <c r="CM262" s="158">
        <v>21.667000000000002</v>
      </c>
      <c r="CN262" s="120">
        <f>(CO262+CM262)/2</f>
        <v>22.076500000000003</v>
      </c>
      <c r="CO262" s="158">
        <v>22.486000000000001</v>
      </c>
      <c r="CP262" s="120">
        <f>(CQ262+CO262)/2</f>
        <v>22.842500000000001</v>
      </c>
      <c r="CQ262" s="158">
        <v>23.199000000000002</v>
      </c>
      <c r="CR262" s="120">
        <f>(CS262+CQ262)/2</f>
        <v>23.641500000000001</v>
      </c>
      <c r="CS262" s="158">
        <v>24.084</v>
      </c>
      <c r="CT262" s="120">
        <f>(CU262+CS262)/2</f>
        <v>24.43</v>
      </c>
      <c r="CU262" s="158">
        <v>24.776</v>
      </c>
      <c r="CV262" s="120">
        <f>(CW262+CU262)/2</f>
        <v>25.195999999999998</v>
      </c>
      <c r="CW262" s="158">
        <v>25.616</v>
      </c>
      <c r="CX262" s="120">
        <f>(CY262+CW262)/2</f>
        <v>25.994</v>
      </c>
      <c r="CY262" s="158">
        <v>26.372</v>
      </c>
      <c r="CZ262" s="120">
        <f>(DA262+CY262)/2</f>
        <v>26.718</v>
      </c>
      <c r="DA262" s="158">
        <v>27.064</v>
      </c>
      <c r="DB262" s="120">
        <f>(DC262+DA262)/2</f>
        <v>27.484500000000001</v>
      </c>
      <c r="DC262" s="158">
        <v>27.905000000000001</v>
      </c>
      <c r="DD262" s="120">
        <f>(DE262+DC262)/2</f>
        <v>28.2835</v>
      </c>
      <c r="DE262" s="158">
        <v>28.661999999999999</v>
      </c>
      <c r="DF262" s="120">
        <f>(DG262+DE262)/2</f>
        <v>29.007999999999999</v>
      </c>
      <c r="DG262" s="159">
        <v>29.353999999999999</v>
      </c>
    </row>
    <row r="263" spans="54:111" ht="15" customHeight="1" x14ac:dyDescent="0.2">
      <c r="BB263" s="28">
        <v>11</v>
      </c>
      <c r="BC263" s="121">
        <v>5.6765000000000008</v>
      </c>
      <c r="BD263" s="121">
        <v>6.3105000000000002</v>
      </c>
      <c r="BE263" s="121">
        <v>6.9444999999999997</v>
      </c>
      <c r="BF263" s="121">
        <v>7.5404999999999998</v>
      </c>
      <c r="BG263" s="121">
        <v>8.1364999999999998</v>
      </c>
      <c r="BH263" s="121">
        <v>8.6539999999999999</v>
      </c>
      <c r="BI263" s="121">
        <f t="array" ref="BI263:BI312">TRANSPOSE(BJ262:DG262)</f>
        <v>9.1715</v>
      </c>
      <c r="BJ263" s="120">
        <f>(BI263+BK263)/2</f>
        <v>9.7147499999999987</v>
      </c>
      <c r="BK263" s="120">
        <f>(BK262+BK264)/2</f>
        <v>10.257999999999999</v>
      </c>
      <c r="BL263" s="120">
        <f>(BK263+BM263)/2</f>
        <v>10.747999999999999</v>
      </c>
      <c r="BM263" s="120">
        <f>(BM262+BM264)/2</f>
        <v>11.238</v>
      </c>
      <c r="BN263" s="120">
        <f>(BM263+BO263)/2</f>
        <v>11.760249999999999</v>
      </c>
      <c r="BO263" s="120">
        <f>(BO262+BO264)/2</f>
        <v>12.282499999999999</v>
      </c>
      <c r="BP263" s="120">
        <f>(BO263+BQ263)/2</f>
        <v>12.78275</v>
      </c>
      <c r="BQ263" s="120">
        <f>(BQ262+BQ264)/2</f>
        <v>13.283000000000001</v>
      </c>
      <c r="BR263" s="120">
        <f>(BQ263+BS263)/2</f>
        <v>13.725250000000001</v>
      </c>
      <c r="BS263" s="120">
        <f>(BS262+BS264)/2</f>
        <v>14.1675</v>
      </c>
      <c r="BT263" s="120">
        <f>(BS263+BU263)/2</f>
        <v>14.652750000000001</v>
      </c>
      <c r="BU263" s="120">
        <f>(BU262+BU264)/2</f>
        <v>15.138</v>
      </c>
      <c r="BV263" s="120">
        <f>(BU263+BW263)/2</f>
        <v>15.574249999999999</v>
      </c>
      <c r="BW263" s="120">
        <f>(BW262+BW264)/2</f>
        <v>16.0105</v>
      </c>
      <c r="BX263" s="120">
        <f>(BW263+BY263)/2</f>
        <v>16.452750000000002</v>
      </c>
      <c r="BY263" s="120">
        <f>(BY262+BY264)/2</f>
        <v>16.895</v>
      </c>
      <c r="BZ263" s="120">
        <f>(BY263+CA263)/2</f>
        <v>17.34225</v>
      </c>
      <c r="CA263" s="120">
        <f>(CA262+CA264)/2</f>
        <v>17.7895</v>
      </c>
      <c r="CB263" s="120">
        <f>(CA263+CC263)/2</f>
        <v>18.236750000000001</v>
      </c>
      <c r="CC263" s="120">
        <f>(CC262+CC264)/2</f>
        <v>18.683999999999997</v>
      </c>
      <c r="CD263" s="120">
        <f>(CC263+CE263)/2</f>
        <v>19.12125</v>
      </c>
      <c r="CE263" s="120">
        <f>(CE262+CE264)/2</f>
        <v>19.558500000000002</v>
      </c>
      <c r="CF263" s="120">
        <f>(CE263+CG263)/2</f>
        <v>19.974250000000001</v>
      </c>
      <c r="CG263" s="120">
        <f>(CG262+CG264)/2</f>
        <v>20.39</v>
      </c>
      <c r="CH263" s="120">
        <f>(CG263+CI263)/2</f>
        <v>20.837</v>
      </c>
      <c r="CI263" s="120">
        <f>(CI262+CI264)/2</f>
        <v>21.283999999999999</v>
      </c>
      <c r="CJ263" s="120">
        <f>(CI263+CK263)/2</f>
        <v>21.71575</v>
      </c>
      <c r="CK263" s="120">
        <f>(CK262+CK264)/2</f>
        <v>22.147500000000001</v>
      </c>
      <c r="CL263" s="120">
        <f>(CK263+CM263)/2</f>
        <v>22.536750000000001</v>
      </c>
      <c r="CM263" s="120">
        <f>(CM262+CM264)/2</f>
        <v>22.926000000000002</v>
      </c>
      <c r="CN263" s="120">
        <f>(CM263+CO263)/2</f>
        <v>23.367750000000001</v>
      </c>
      <c r="CO263" s="120">
        <f>(CO262+CO264)/2</f>
        <v>23.8095</v>
      </c>
      <c r="CP263" s="120">
        <f>(CO263+CQ263)/2</f>
        <v>24.213999999999999</v>
      </c>
      <c r="CQ263" s="120">
        <f>(CQ262+CQ264)/2</f>
        <v>24.618500000000001</v>
      </c>
      <c r="CR263" s="120">
        <f>(CQ263+CS263)/2</f>
        <v>25.045000000000002</v>
      </c>
      <c r="CS263" s="120">
        <f>(CS262+CS264)/2</f>
        <v>25.471499999999999</v>
      </c>
      <c r="CT263" s="120">
        <f>(CS263+CU263)/2</f>
        <v>25.865749999999998</v>
      </c>
      <c r="CU263" s="120">
        <f>(CU262+CU264)/2</f>
        <v>26.259999999999998</v>
      </c>
      <c r="CV263" s="120">
        <f>(CU263+CW263)/2</f>
        <v>26.6755</v>
      </c>
      <c r="CW263" s="120">
        <f>(CW262+CW264)/2</f>
        <v>27.091000000000001</v>
      </c>
      <c r="CX263" s="120">
        <f>(CW263+CY263)/2</f>
        <v>27.516750000000002</v>
      </c>
      <c r="CY263" s="120">
        <f>(CY262+CY264)/2</f>
        <v>27.942500000000003</v>
      </c>
      <c r="CZ263" s="120">
        <f>(CY263+DA263)/2</f>
        <v>28.310000000000002</v>
      </c>
      <c r="DA263" s="120">
        <f>(DA262+DA264)/2</f>
        <v>28.677500000000002</v>
      </c>
      <c r="DB263" s="120">
        <f>(DA263+DC263)/2</f>
        <v>29.125250000000001</v>
      </c>
      <c r="DC263" s="120">
        <f>(DC262+DC264)/2</f>
        <v>29.573</v>
      </c>
      <c r="DD263" s="120">
        <f>(DC263+DE263)/2</f>
        <v>29.951250000000002</v>
      </c>
      <c r="DE263" s="120">
        <f>(DE262+DE264)/2</f>
        <v>30.329499999999999</v>
      </c>
      <c r="DF263" s="120">
        <f>(DE263+DG263)/2</f>
        <v>30.707749999999997</v>
      </c>
      <c r="DG263" s="122">
        <f>(DG262+DG264)/2</f>
        <v>31.085999999999999</v>
      </c>
    </row>
    <row r="264" spans="54:111" ht="15" customHeight="1" x14ac:dyDescent="0.2">
      <c r="BB264" s="28">
        <v>12</v>
      </c>
      <c r="BC264" s="121">
        <v>5.9770000000000003</v>
      </c>
      <c r="BD264" s="121">
        <v>6.6334999999999997</v>
      </c>
      <c r="BE264" s="121">
        <v>7.29</v>
      </c>
      <c r="BF264" s="121">
        <v>7.9339999999999993</v>
      </c>
      <c r="BG264" s="121">
        <v>8.5779999999999994</v>
      </c>
      <c r="BH264" s="121">
        <v>9.1170000000000009</v>
      </c>
      <c r="BI264" s="121">
        <v>9.6560000000000006</v>
      </c>
      <c r="BJ264" s="121">
        <f t="array" ref="BJ264:BJ312">TRANSPOSE(BK263:DG263)</f>
        <v>10.257999999999999</v>
      </c>
      <c r="BK264" s="158">
        <v>10.86</v>
      </c>
      <c r="BL264" s="120">
        <f>(BM264+BK264)/2</f>
        <v>11.366499999999998</v>
      </c>
      <c r="BM264" s="158">
        <v>11.872999999999999</v>
      </c>
      <c r="BN264" s="120">
        <f>(BO264+BM264)/2</f>
        <v>12.411</v>
      </c>
      <c r="BO264" s="158">
        <v>12.949</v>
      </c>
      <c r="BP264" s="120">
        <f>(BQ264+BO264)/2</f>
        <v>13.466000000000001</v>
      </c>
      <c r="BQ264" s="158">
        <v>13.983000000000001</v>
      </c>
      <c r="BR264" s="120">
        <f>(BS264+BQ264)/2</f>
        <v>14.4575</v>
      </c>
      <c r="BS264" s="158">
        <v>14.932</v>
      </c>
      <c r="BT264" s="120">
        <f>(BU264+BS264)/2</f>
        <v>15.46</v>
      </c>
      <c r="BU264" s="158">
        <v>15.988</v>
      </c>
      <c r="BV264" s="120">
        <f>(BW264+BU264)/2</f>
        <v>16.439999999999998</v>
      </c>
      <c r="BW264" s="158">
        <v>16.891999999999999</v>
      </c>
      <c r="BX264" s="120">
        <f>(BY264+BW264)/2</f>
        <v>17.366999999999997</v>
      </c>
      <c r="BY264" s="158">
        <v>17.841999999999999</v>
      </c>
      <c r="BZ264" s="120">
        <f>(CA264+BY264)/2</f>
        <v>18.294499999999999</v>
      </c>
      <c r="CA264" s="158">
        <v>18.747</v>
      </c>
      <c r="CB264" s="120">
        <f>(CC264+CA264)/2</f>
        <v>19.221</v>
      </c>
      <c r="CC264" s="158">
        <v>19.695</v>
      </c>
      <c r="CD264" s="120">
        <f>(CE264+CC264)/2</f>
        <v>20.16</v>
      </c>
      <c r="CE264" s="158">
        <v>20.625</v>
      </c>
      <c r="CF264" s="120">
        <f>(CG264+CE264)/2</f>
        <v>21.077500000000001</v>
      </c>
      <c r="CG264" s="158">
        <v>21.53</v>
      </c>
      <c r="CH264" s="120">
        <f>(CI264+CG264)/2</f>
        <v>22.004000000000001</v>
      </c>
      <c r="CI264" s="158">
        <v>22.478000000000002</v>
      </c>
      <c r="CJ264" s="120">
        <f>(CK264+CI264)/2</f>
        <v>22.931000000000001</v>
      </c>
      <c r="CK264" s="158">
        <v>23.384</v>
      </c>
      <c r="CL264" s="120">
        <f>(CM264+CK264)/2</f>
        <v>23.784500000000001</v>
      </c>
      <c r="CM264" s="158">
        <v>24.184999999999999</v>
      </c>
      <c r="CN264" s="120">
        <f>(CO264+CM264)/2</f>
        <v>24.658999999999999</v>
      </c>
      <c r="CO264" s="158">
        <v>25.132999999999999</v>
      </c>
      <c r="CP264" s="120">
        <f>(CQ264+CO264)/2</f>
        <v>25.5855</v>
      </c>
      <c r="CQ264" s="158">
        <v>26.038</v>
      </c>
      <c r="CR264" s="120">
        <f>(CS264+CQ264)/2</f>
        <v>26.448500000000003</v>
      </c>
      <c r="CS264" s="158">
        <v>26.859000000000002</v>
      </c>
      <c r="CT264" s="120">
        <f>(CU264+CS264)/2</f>
        <v>27.301500000000001</v>
      </c>
      <c r="CU264" s="158">
        <v>27.744</v>
      </c>
      <c r="CV264" s="120">
        <f>(CW264+CU264)/2</f>
        <v>28.155000000000001</v>
      </c>
      <c r="CW264" s="158">
        <v>28.565999999999999</v>
      </c>
      <c r="CX264" s="120">
        <f>(CY264+CW264)/2</f>
        <v>29.0395</v>
      </c>
      <c r="CY264" s="158">
        <v>29.513000000000002</v>
      </c>
      <c r="CZ264" s="120">
        <f>(DA264+CY264)/2</f>
        <v>29.902000000000001</v>
      </c>
      <c r="DA264" s="158">
        <v>30.291</v>
      </c>
      <c r="DB264" s="120">
        <f>(DC264+DA264)/2</f>
        <v>30.765999999999998</v>
      </c>
      <c r="DC264" s="158">
        <v>31.241</v>
      </c>
      <c r="DD264" s="120">
        <f>(DE264+DC264)/2</f>
        <v>31.619</v>
      </c>
      <c r="DE264" s="158">
        <v>31.997</v>
      </c>
      <c r="DF264" s="120">
        <f>(DG264+DE264)/2</f>
        <v>32.407499999999999</v>
      </c>
      <c r="DG264" s="159">
        <v>32.817999999999998</v>
      </c>
    </row>
    <row r="265" spans="54:111" ht="15" customHeight="1" x14ac:dyDescent="0.2">
      <c r="BB265" s="28">
        <v>13</v>
      </c>
      <c r="BC265" s="121">
        <v>6.29</v>
      </c>
      <c r="BD265" s="121">
        <v>6.9677499999999997</v>
      </c>
      <c r="BE265" s="121">
        <v>7.6455000000000002</v>
      </c>
      <c r="BF265" s="121">
        <v>8.3060000000000009</v>
      </c>
      <c r="BG265" s="121">
        <v>8.9664999999999999</v>
      </c>
      <c r="BH265" s="121">
        <v>9.548</v>
      </c>
      <c r="BI265" s="121">
        <v>10.1295</v>
      </c>
      <c r="BJ265" s="121">
        <v>10.747999999999999</v>
      </c>
      <c r="BK265" s="121">
        <f t="array" ref="BK265:BK312">TRANSPOSE(BL264:DG264)</f>
        <v>11.366499999999998</v>
      </c>
      <c r="BL265" s="120">
        <f>(BK265+BM265)/2</f>
        <v>11.90475</v>
      </c>
      <c r="BM265" s="120">
        <f>(BM264+BM266)/2</f>
        <v>12.443</v>
      </c>
      <c r="BN265" s="120">
        <f>(BM265+BO265)/2</f>
        <v>12.99775</v>
      </c>
      <c r="BO265" s="120">
        <f>(BO264+BO266)/2</f>
        <v>13.5525</v>
      </c>
      <c r="BP265" s="120">
        <f>(BO265+BQ265)/2</f>
        <v>14.096250000000001</v>
      </c>
      <c r="BQ265" s="120">
        <f>(BQ264+BQ266)/2</f>
        <v>14.64</v>
      </c>
      <c r="BR265" s="120">
        <f>(BQ265+BS265)/2</f>
        <v>15.1625</v>
      </c>
      <c r="BS265" s="120">
        <f>(BS264+BS266)/2</f>
        <v>15.684999999999999</v>
      </c>
      <c r="BT265" s="120">
        <f>(BS265+BU265)/2</f>
        <v>16.234499999999997</v>
      </c>
      <c r="BU265" s="120">
        <f>(BU264+BU266)/2</f>
        <v>16.783999999999999</v>
      </c>
      <c r="BV265" s="120">
        <f>(BU265+BW265)/2</f>
        <v>17.252499999999998</v>
      </c>
      <c r="BW265" s="120">
        <f>(BW264+BW266)/2</f>
        <v>17.721</v>
      </c>
      <c r="BX265" s="120">
        <f>(BW265+BY265)/2</f>
        <v>18.211750000000002</v>
      </c>
      <c r="BY265" s="120">
        <f>(BY264+BY266)/2</f>
        <v>18.702500000000001</v>
      </c>
      <c r="BZ265" s="120">
        <f>(BY265+CA265)/2</f>
        <v>19.21425</v>
      </c>
      <c r="CA265" s="120">
        <f>(CA264+CA266)/2</f>
        <v>19.725999999999999</v>
      </c>
      <c r="CB265" s="120">
        <f>(CA265+CC265)/2</f>
        <v>20.210999999999999</v>
      </c>
      <c r="CC265" s="120">
        <f>(CC264+CC266)/2</f>
        <v>20.695999999999998</v>
      </c>
      <c r="CD265" s="120">
        <f>(CC265+CE265)/2</f>
        <v>21.181999999999999</v>
      </c>
      <c r="CE265" s="120">
        <f>(CE264+CE266)/2</f>
        <v>21.667999999999999</v>
      </c>
      <c r="CF265" s="120">
        <f>(CE265+CG265)/2</f>
        <v>22.148</v>
      </c>
      <c r="CG265" s="120">
        <f>(CG264+CG266)/2</f>
        <v>22.628</v>
      </c>
      <c r="CH265" s="120">
        <f>(CG265+CI265)/2</f>
        <v>23.11825</v>
      </c>
      <c r="CI265" s="120">
        <f>(CI264+CI266)/2</f>
        <v>23.608499999999999</v>
      </c>
      <c r="CJ265" s="120">
        <f>(CI265+CK265)/2</f>
        <v>24.077249999999999</v>
      </c>
      <c r="CK265" s="120">
        <f>(CK264+CK266)/2</f>
        <v>24.545999999999999</v>
      </c>
      <c r="CL265" s="120">
        <f>(CK265+CM265)/2</f>
        <v>24.999749999999999</v>
      </c>
      <c r="CM265" s="120">
        <f>(CM264+CM266)/2</f>
        <v>25.453499999999998</v>
      </c>
      <c r="CN265" s="120">
        <f>(CM265+CO265)/2</f>
        <v>25.91225</v>
      </c>
      <c r="CO265" s="120">
        <f>(CO264+CO266)/2</f>
        <v>26.371000000000002</v>
      </c>
      <c r="CP265" s="120">
        <f>(CO265+CQ265)/2</f>
        <v>26.8505</v>
      </c>
      <c r="CQ265" s="120">
        <f>(CQ264+CQ266)/2</f>
        <v>27.33</v>
      </c>
      <c r="CR265" s="120">
        <f>(CQ265+CS265)/2</f>
        <v>27.788499999999999</v>
      </c>
      <c r="CS265" s="120">
        <f>(CS264+CS266)/2</f>
        <v>28.247</v>
      </c>
      <c r="CT265" s="120">
        <f>(CS265+CU265)/2</f>
        <v>28.72175</v>
      </c>
      <c r="CU265" s="120">
        <f>(CU264+CU266)/2</f>
        <v>29.1965</v>
      </c>
      <c r="CV265" s="120">
        <f>(CU265+CW265)/2</f>
        <v>29.618500000000001</v>
      </c>
      <c r="CW265" s="120">
        <f>(CW264+CW266)/2</f>
        <v>30.040500000000002</v>
      </c>
      <c r="CX265" s="120">
        <f>(CW265+CY265)/2</f>
        <v>30.530750000000001</v>
      </c>
      <c r="CY265" s="120">
        <f>(CY264+CY266)/2</f>
        <v>31.021000000000001</v>
      </c>
      <c r="CZ265" s="120">
        <f>(CY265+DA265)/2</f>
        <v>31.425750000000001</v>
      </c>
      <c r="DA265" s="120">
        <f>(DA264+DA266)/2</f>
        <v>31.830500000000001</v>
      </c>
      <c r="DB265" s="120">
        <f>(DA265+DC265)/2</f>
        <v>32.321249999999999</v>
      </c>
      <c r="DC265" s="120">
        <f>(DC264+DC266)/2</f>
        <v>32.811999999999998</v>
      </c>
      <c r="DD265" s="120">
        <f>(DC265+DE265)/2</f>
        <v>33.222499999999997</v>
      </c>
      <c r="DE265" s="120">
        <f>(DE264+DE266)/2</f>
        <v>33.632999999999996</v>
      </c>
      <c r="DF265" s="120">
        <f>(DE265+DG265)/2</f>
        <v>34.091749999999998</v>
      </c>
      <c r="DG265" s="122">
        <f>(DG264+DG266)/2</f>
        <v>34.5505</v>
      </c>
    </row>
    <row r="266" spans="54:111" ht="15" customHeight="1" x14ac:dyDescent="0.2">
      <c r="BB266" s="28">
        <v>14</v>
      </c>
      <c r="BC266" s="121">
        <v>6.6029999999999998</v>
      </c>
      <c r="BD266" s="121">
        <v>7.3019999999999996</v>
      </c>
      <c r="BE266" s="121">
        <v>8.0009999999999994</v>
      </c>
      <c r="BF266" s="121">
        <v>8.6780000000000008</v>
      </c>
      <c r="BG266" s="121">
        <v>9.3550000000000004</v>
      </c>
      <c r="BH266" s="121">
        <v>9.9789999999999992</v>
      </c>
      <c r="BI266" s="121">
        <v>10.603</v>
      </c>
      <c r="BJ266" s="121">
        <v>11.238</v>
      </c>
      <c r="BK266" s="121">
        <v>11.872999999999999</v>
      </c>
      <c r="BL266" s="121">
        <f t="array" ref="BL266:BL312">TRANSPOSE(BM265:DG265)</f>
        <v>12.443</v>
      </c>
      <c r="BM266" s="158">
        <v>13.013</v>
      </c>
      <c r="BN266" s="120">
        <f>(BO266+BM266)/2</f>
        <v>13.5845</v>
      </c>
      <c r="BO266" s="158">
        <v>14.156000000000001</v>
      </c>
      <c r="BP266" s="120">
        <f>(BQ266+BO266)/2</f>
        <v>14.726500000000001</v>
      </c>
      <c r="BQ266" s="158">
        <v>15.297000000000001</v>
      </c>
      <c r="BR266" s="120">
        <f>(BS266+BQ266)/2</f>
        <v>15.8675</v>
      </c>
      <c r="BS266" s="158">
        <v>16.437999999999999</v>
      </c>
      <c r="BT266" s="120">
        <f>(BU266+BS266)/2</f>
        <v>17.009</v>
      </c>
      <c r="BU266" s="158">
        <v>17.579999999999998</v>
      </c>
      <c r="BV266" s="120">
        <f>(BW266+BU266)/2</f>
        <v>18.064999999999998</v>
      </c>
      <c r="BW266" s="158">
        <v>18.55</v>
      </c>
      <c r="BX266" s="120">
        <f>(BY266+BW266)/2</f>
        <v>19.0565</v>
      </c>
      <c r="BY266" s="158">
        <v>19.562999999999999</v>
      </c>
      <c r="BZ266" s="120">
        <f>(CA266+BY266)/2</f>
        <v>20.134</v>
      </c>
      <c r="CA266" s="158">
        <v>20.704999999999998</v>
      </c>
      <c r="CB266" s="120">
        <f>(CC266+CA266)/2</f>
        <v>21.201000000000001</v>
      </c>
      <c r="CC266" s="158">
        <v>21.696999999999999</v>
      </c>
      <c r="CD266" s="120">
        <f>(CE266+CC266)/2</f>
        <v>22.204000000000001</v>
      </c>
      <c r="CE266" s="158">
        <v>22.710999999999999</v>
      </c>
      <c r="CF266" s="120">
        <f>(CG266+CE266)/2</f>
        <v>23.218499999999999</v>
      </c>
      <c r="CG266" s="158">
        <v>23.725999999999999</v>
      </c>
      <c r="CH266" s="120">
        <f>(CI266+CG266)/2</f>
        <v>24.232500000000002</v>
      </c>
      <c r="CI266" s="158">
        <v>24.739000000000001</v>
      </c>
      <c r="CJ266" s="120">
        <f>(CK266+CI266)/2</f>
        <v>25.223500000000001</v>
      </c>
      <c r="CK266" s="158">
        <v>25.707999999999998</v>
      </c>
      <c r="CL266" s="120">
        <f>(CM266+CK266)/2</f>
        <v>26.215</v>
      </c>
      <c r="CM266" s="158">
        <v>26.722000000000001</v>
      </c>
      <c r="CN266" s="120">
        <f>(CO266+CM266)/2</f>
        <v>27.165500000000002</v>
      </c>
      <c r="CO266" s="158">
        <v>27.609000000000002</v>
      </c>
      <c r="CP266" s="120">
        <f>(CQ266+CO266)/2</f>
        <v>28.115500000000001</v>
      </c>
      <c r="CQ266" s="158">
        <v>28.622</v>
      </c>
      <c r="CR266" s="120">
        <f>(CS266+CQ266)/2</f>
        <v>29.128500000000003</v>
      </c>
      <c r="CS266" s="158">
        <v>29.635000000000002</v>
      </c>
      <c r="CT266" s="120">
        <f>(CU266+CS266)/2</f>
        <v>30.142000000000003</v>
      </c>
      <c r="CU266" s="158">
        <v>30.649000000000001</v>
      </c>
      <c r="CV266" s="120">
        <f>(CW266+CU266)/2</f>
        <v>31.082000000000001</v>
      </c>
      <c r="CW266" s="158">
        <v>31.515000000000001</v>
      </c>
      <c r="CX266" s="120">
        <f>(CY266+CW266)/2</f>
        <v>32.022000000000006</v>
      </c>
      <c r="CY266" s="158">
        <v>32.529000000000003</v>
      </c>
      <c r="CZ266" s="120">
        <f>(DA266+CY266)/2</f>
        <v>32.9495</v>
      </c>
      <c r="DA266" s="158">
        <v>33.369999999999997</v>
      </c>
      <c r="DB266" s="120">
        <f>(DC266+DA266)/2</f>
        <v>33.8765</v>
      </c>
      <c r="DC266" s="158">
        <v>34.383000000000003</v>
      </c>
      <c r="DD266" s="120">
        <f>(DE266+DC266)/2</f>
        <v>34.826000000000001</v>
      </c>
      <c r="DE266" s="158">
        <v>35.268999999999998</v>
      </c>
      <c r="DF266" s="120">
        <f>(DG266+DE266)/2</f>
        <v>35.775999999999996</v>
      </c>
      <c r="DG266" s="159">
        <v>36.283000000000001</v>
      </c>
    </row>
    <row r="267" spans="54:111" ht="15" customHeight="1" x14ac:dyDescent="0.2">
      <c r="BB267" s="28">
        <v>15</v>
      </c>
      <c r="BC267" s="121">
        <v>6.8944999999999999</v>
      </c>
      <c r="BD267" s="121">
        <v>7.6412499999999994</v>
      </c>
      <c r="BE267" s="121">
        <v>8.3879999999999999</v>
      </c>
      <c r="BF267" s="121">
        <v>9.1030000000000015</v>
      </c>
      <c r="BG267" s="121">
        <v>9.8180000000000014</v>
      </c>
      <c r="BH267" s="121">
        <v>10.463749999999999</v>
      </c>
      <c r="BI267" s="121">
        <v>11.109500000000001</v>
      </c>
      <c r="BJ267" s="121">
        <v>11.760249999999999</v>
      </c>
      <c r="BK267" s="121">
        <v>12.411</v>
      </c>
      <c r="BL267" s="121">
        <v>12.99775</v>
      </c>
      <c r="BM267" s="121">
        <f t="array" ref="BM267:BM312">TRANSPOSE(BN266:DG266)</f>
        <v>13.5845</v>
      </c>
      <c r="BN267" s="120">
        <f>(BM267+BO267)/2</f>
        <v>14.203500000000002</v>
      </c>
      <c r="BO267" s="120">
        <f>(BO266+BO268)/2</f>
        <v>14.822500000000002</v>
      </c>
      <c r="BP267" s="120">
        <f>(BO267+BQ267)/2</f>
        <v>15.40925</v>
      </c>
      <c r="BQ267" s="120">
        <f>(BQ266+BQ268)/2</f>
        <v>15.996</v>
      </c>
      <c r="BR267" s="120">
        <f>(BQ267+BS267)/2</f>
        <v>16.582750000000001</v>
      </c>
      <c r="BS267" s="120">
        <f>(BS266+BS268)/2</f>
        <v>17.169499999999999</v>
      </c>
      <c r="BT267" s="120">
        <f>(BS267+BU267)/2</f>
        <v>17.75675</v>
      </c>
      <c r="BU267" s="120">
        <f>(BU266+BU268)/2</f>
        <v>18.344000000000001</v>
      </c>
      <c r="BV267" s="120">
        <f>(BU267+BW267)/2</f>
        <v>18.867250000000002</v>
      </c>
      <c r="BW267" s="120">
        <f>(BW266+BW268)/2</f>
        <v>19.390500000000003</v>
      </c>
      <c r="BX267" s="120">
        <f>(BW267+BY267)/2</f>
        <v>19.945</v>
      </c>
      <c r="BY267" s="120">
        <f>(BY266+BY268)/2</f>
        <v>20.499499999999998</v>
      </c>
      <c r="BZ267" s="120">
        <f>(BY267+CA267)/2</f>
        <v>21.054499999999997</v>
      </c>
      <c r="CA267" s="120">
        <f>(CA266+CA268)/2</f>
        <v>21.609499999999997</v>
      </c>
      <c r="CB267" s="120">
        <f>(CA267+CC267)/2</f>
        <v>22.127249999999997</v>
      </c>
      <c r="CC267" s="120">
        <f>(CC266+CC268)/2</f>
        <v>22.645</v>
      </c>
      <c r="CD267" s="120">
        <f>(CC267+CE267)/2</f>
        <v>23.167999999999999</v>
      </c>
      <c r="CE267" s="120">
        <f>(CE266+CE268)/2</f>
        <v>23.690999999999999</v>
      </c>
      <c r="CF267" s="120">
        <f>(CE267+CG267)/2</f>
        <v>24.246249999999996</v>
      </c>
      <c r="CG267" s="120">
        <f>(CG266+CG268)/2</f>
        <v>24.801499999999997</v>
      </c>
      <c r="CH267" s="120">
        <f>(CG267+CI267)/2</f>
        <v>25.3245</v>
      </c>
      <c r="CI267" s="120">
        <f>(CI266+CI268)/2</f>
        <v>25.8475</v>
      </c>
      <c r="CJ267" s="120">
        <f>(CI267+CK267)/2</f>
        <v>26.370249999999999</v>
      </c>
      <c r="CK267" s="120">
        <f>(CK266+CK268)/2</f>
        <v>26.893000000000001</v>
      </c>
      <c r="CL267" s="120">
        <f>(CK267+CM267)/2</f>
        <v>27.415750000000003</v>
      </c>
      <c r="CM267" s="120">
        <f>(CM266+CM268)/2</f>
        <v>27.938500000000001</v>
      </c>
      <c r="CN267" s="120">
        <f>(CM267+CO267)/2</f>
        <v>28.435250000000003</v>
      </c>
      <c r="CO267" s="120">
        <f>(CO266+CO268)/2</f>
        <v>28.932000000000002</v>
      </c>
      <c r="CP267" s="120">
        <f>(CO267+CQ267)/2</f>
        <v>29.422750000000001</v>
      </c>
      <c r="CQ267" s="120">
        <f>(CQ266+CQ268)/2</f>
        <v>29.913499999999999</v>
      </c>
      <c r="CR267" s="120">
        <f>(CQ267+CS267)/2</f>
        <v>30.436499999999999</v>
      </c>
      <c r="CS267" s="120">
        <f>(CS266+CS268)/2</f>
        <v>30.959499999999998</v>
      </c>
      <c r="CT267" s="120">
        <f>(CS267+CU267)/2</f>
        <v>31.482499999999998</v>
      </c>
      <c r="CU267" s="120">
        <f>(CU266+CU268)/2</f>
        <v>32.005499999999998</v>
      </c>
      <c r="CV267" s="120">
        <f>(CU267+CW267)/2</f>
        <v>32.491500000000002</v>
      </c>
      <c r="CW267" s="120">
        <f>(CW266+CW268)/2</f>
        <v>32.977499999999999</v>
      </c>
      <c r="CX267" s="120">
        <f>(CW267+CY267)/2</f>
        <v>33.468500000000006</v>
      </c>
      <c r="CY267" s="120">
        <f>(CY266+CY268)/2</f>
        <v>33.959500000000006</v>
      </c>
      <c r="CZ267" s="120">
        <f>(CY267+DA267)/2</f>
        <v>34.450500000000005</v>
      </c>
      <c r="DA267" s="120">
        <f>(DA266+DA268)/2</f>
        <v>34.941499999999998</v>
      </c>
      <c r="DB267" s="120">
        <f>(DA267+DC267)/2</f>
        <v>35.46425</v>
      </c>
      <c r="DC267" s="120">
        <f>(DC266+DC268)/2</f>
        <v>35.987000000000002</v>
      </c>
      <c r="DD267" s="120">
        <f>(DC267+DE267)/2</f>
        <v>36.445999999999998</v>
      </c>
      <c r="DE267" s="120">
        <f>(DE266+DE268)/2</f>
        <v>36.905000000000001</v>
      </c>
      <c r="DF267" s="120">
        <f>(DE267+DG267)/2</f>
        <v>37.427999999999997</v>
      </c>
      <c r="DG267" s="122">
        <f>(DG266+DG268)/2</f>
        <v>37.951000000000001</v>
      </c>
    </row>
    <row r="268" spans="54:111" ht="15" customHeight="1" x14ac:dyDescent="0.2">
      <c r="BB268" s="28">
        <v>16</v>
      </c>
      <c r="BC268" s="121">
        <v>7.1859999999999999</v>
      </c>
      <c r="BD268" s="121">
        <v>7.9805000000000001</v>
      </c>
      <c r="BE268" s="121">
        <v>8.7750000000000004</v>
      </c>
      <c r="BF268" s="121">
        <v>9.5280000000000005</v>
      </c>
      <c r="BG268" s="121">
        <v>10.281000000000001</v>
      </c>
      <c r="BH268" s="121">
        <v>10.948499999999999</v>
      </c>
      <c r="BI268" s="121">
        <v>11.616</v>
      </c>
      <c r="BJ268" s="121">
        <v>12.282499999999999</v>
      </c>
      <c r="BK268" s="121">
        <v>12.949</v>
      </c>
      <c r="BL268" s="121">
        <v>13.5525</v>
      </c>
      <c r="BM268" s="121">
        <v>14.156000000000001</v>
      </c>
      <c r="BN268" s="121">
        <f t="array" ref="BN268:BN312">TRANSPOSE(BO267:DG267)</f>
        <v>14.822500000000002</v>
      </c>
      <c r="BO268" s="158">
        <v>15.489000000000001</v>
      </c>
      <c r="BP268" s="120">
        <f>(BQ268+BO268)/2</f>
        <v>16.091999999999999</v>
      </c>
      <c r="BQ268" s="158">
        <v>16.695</v>
      </c>
      <c r="BR268" s="120">
        <f>(BS268+BQ268)/2</f>
        <v>17.298000000000002</v>
      </c>
      <c r="BS268" s="158">
        <v>17.901</v>
      </c>
      <c r="BT268" s="120">
        <f>(BU268+BS268)/2</f>
        <v>18.5045</v>
      </c>
      <c r="BU268" s="158">
        <v>19.108000000000001</v>
      </c>
      <c r="BV268" s="120">
        <f>(BW268+BU268)/2</f>
        <v>19.669499999999999</v>
      </c>
      <c r="BW268" s="158">
        <v>20.231000000000002</v>
      </c>
      <c r="BX268" s="120">
        <f>(BY268+BW268)/2</f>
        <v>20.833500000000001</v>
      </c>
      <c r="BY268" s="158">
        <v>21.436</v>
      </c>
      <c r="BZ268" s="120">
        <f>(CA268+BY268)/2</f>
        <v>21.975000000000001</v>
      </c>
      <c r="CA268" s="158">
        <v>22.513999999999999</v>
      </c>
      <c r="CB268" s="120">
        <f>(CC268+CA268)/2</f>
        <v>23.0535</v>
      </c>
      <c r="CC268" s="158">
        <v>23.593</v>
      </c>
      <c r="CD268" s="120">
        <f>(CE268+CC268)/2</f>
        <v>24.131999999999998</v>
      </c>
      <c r="CE268" s="158">
        <v>24.670999999999999</v>
      </c>
      <c r="CF268" s="120">
        <f>(CG268+CE268)/2</f>
        <v>25.274000000000001</v>
      </c>
      <c r="CG268" s="158">
        <v>25.876999999999999</v>
      </c>
      <c r="CH268" s="120">
        <f>(CI268+CG268)/2</f>
        <v>26.416499999999999</v>
      </c>
      <c r="CI268" s="158">
        <v>26.956</v>
      </c>
      <c r="CJ268" s="120">
        <f>(CK268+CI268)/2</f>
        <v>27.516999999999999</v>
      </c>
      <c r="CK268" s="158">
        <v>28.077999999999999</v>
      </c>
      <c r="CL268" s="120">
        <f>(CM268+CK268)/2</f>
        <v>28.616500000000002</v>
      </c>
      <c r="CM268" s="158">
        <v>29.155000000000001</v>
      </c>
      <c r="CN268" s="120">
        <f>(CO268+CM268)/2</f>
        <v>29.704999999999998</v>
      </c>
      <c r="CO268" s="158">
        <v>30.254999999999999</v>
      </c>
      <c r="CP268" s="120">
        <f>(CQ268+CO268)/2</f>
        <v>30.729999999999997</v>
      </c>
      <c r="CQ268" s="158">
        <v>31.204999999999998</v>
      </c>
      <c r="CR268" s="120">
        <f>(CS268+CQ268)/2</f>
        <v>31.744499999999999</v>
      </c>
      <c r="CS268" s="158">
        <v>32.283999999999999</v>
      </c>
      <c r="CT268" s="120">
        <f>(CU268+CS268)/2</f>
        <v>32.823</v>
      </c>
      <c r="CU268" s="158">
        <v>33.362000000000002</v>
      </c>
      <c r="CV268" s="120">
        <f>(CW268+CU268)/2</f>
        <v>33.900999999999996</v>
      </c>
      <c r="CW268" s="158">
        <v>34.44</v>
      </c>
      <c r="CX268" s="120">
        <f>(CY268+CW268)/2</f>
        <v>34.914999999999999</v>
      </c>
      <c r="CY268" s="158">
        <v>35.39</v>
      </c>
      <c r="CZ268" s="120">
        <f>(DA268+CY268)/2</f>
        <v>35.951499999999996</v>
      </c>
      <c r="DA268" s="158">
        <v>36.512999999999998</v>
      </c>
      <c r="DB268" s="120">
        <f>(DC268+DA268)/2</f>
        <v>37.052</v>
      </c>
      <c r="DC268" s="158">
        <v>37.591000000000001</v>
      </c>
      <c r="DD268" s="120">
        <f>(DE268+DC268)/2</f>
        <v>38.066000000000003</v>
      </c>
      <c r="DE268" s="158">
        <v>38.540999999999997</v>
      </c>
      <c r="DF268" s="120">
        <f>(DG268+DE268)/2</f>
        <v>39.08</v>
      </c>
      <c r="DG268" s="159">
        <v>39.619</v>
      </c>
    </row>
    <row r="269" spans="54:111" ht="15" customHeight="1" x14ac:dyDescent="0.2">
      <c r="BB269" s="28">
        <v>17</v>
      </c>
      <c r="BC269" s="121">
        <v>7.4350000000000005</v>
      </c>
      <c r="BD269" s="121">
        <v>8.2777499999999993</v>
      </c>
      <c r="BE269" s="121">
        <v>9.1204999999999998</v>
      </c>
      <c r="BF269" s="121">
        <v>9.8947500000000002</v>
      </c>
      <c r="BG269" s="121">
        <v>10.669</v>
      </c>
      <c r="BH269" s="121">
        <v>11.38425</v>
      </c>
      <c r="BI269" s="121">
        <v>12.099499999999999</v>
      </c>
      <c r="BJ269" s="121">
        <v>12.78275</v>
      </c>
      <c r="BK269" s="121">
        <v>13.466000000000001</v>
      </c>
      <c r="BL269" s="121">
        <v>14.096250000000001</v>
      </c>
      <c r="BM269" s="121">
        <v>14.726500000000001</v>
      </c>
      <c r="BN269" s="121">
        <v>15.40925</v>
      </c>
      <c r="BO269" s="121">
        <f t="array" ref="BO269:BO312">TRANSPOSE(BP268:DG268)</f>
        <v>16.091999999999999</v>
      </c>
      <c r="BP269" s="120">
        <f>(BO269+BQ269)/2</f>
        <v>16.722249999999999</v>
      </c>
      <c r="BQ269" s="120">
        <f>(BQ268+BQ270)/2</f>
        <v>17.352499999999999</v>
      </c>
      <c r="BR269" s="120">
        <f>(BQ269+BS269)/2</f>
        <v>17.976749999999999</v>
      </c>
      <c r="BS269" s="120">
        <f>(BS268+BS270)/2</f>
        <v>18.600999999999999</v>
      </c>
      <c r="BT269" s="120">
        <f>(BS269+BU269)/2</f>
        <v>19.220749999999999</v>
      </c>
      <c r="BU269" s="120">
        <f>(BU268+BU270)/2</f>
        <v>19.840499999999999</v>
      </c>
      <c r="BV269" s="120">
        <f>(BU269+BW269)/2</f>
        <v>20.449750000000002</v>
      </c>
      <c r="BW269" s="120">
        <f>(BW268+BW270)/2</f>
        <v>21.059000000000001</v>
      </c>
      <c r="BX269" s="120">
        <f>(BW269+BY269)/2</f>
        <v>21.646000000000001</v>
      </c>
      <c r="BY269" s="120">
        <f>(BY268+BY270)/2</f>
        <v>22.233000000000001</v>
      </c>
      <c r="BZ269" s="120">
        <f>(BY269+CA269)/2</f>
        <v>22.831249999999997</v>
      </c>
      <c r="CA269" s="120">
        <f>(CA268+CA270)/2</f>
        <v>23.429499999999997</v>
      </c>
      <c r="CB269" s="120">
        <f>(CA269+CC269)/2</f>
        <v>23.984749999999998</v>
      </c>
      <c r="CC269" s="120">
        <f>(CC268+CC270)/2</f>
        <v>24.54</v>
      </c>
      <c r="CD269" s="120">
        <f>(CC269+CE269)/2</f>
        <v>25.127499999999998</v>
      </c>
      <c r="CE269" s="120">
        <f>(CE268+CE270)/2</f>
        <v>25.715</v>
      </c>
      <c r="CF269" s="120">
        <f>(CE269+CG269)/2</f>
        <v>26.318249999999999</v>
      </c>
      <c r="CG269" s="120">
        <f>(CG268+CG270)/2</f>
        <v>26.921500000000002</v>
      </c>
      <c r="CH269" s="120">
        <f>(CG269+CI269)/2</f>
        <v>27.476750000000003</v>
      </c>
      <c r="CI269" s="120">
        <f>(CI268+CI270)/2</f>
        <v>28.032</v>
      </c>
      <c r="CJ269" s="120">
        <f>(CI269+CK269)/2</f>
        <v>28.609499999999997</v>
      </c>
      <c r="CK269" s="120">
        <f>(CK268+CK270)/2</f>
        <v>29.186999999999998</v>
      </c>
      <c r="CL269" s="120">
        <f>(CK269+CM269)/2</f>
        <v>29.74175</v>
      </c>
      <c r="CM269" s="120">
        <f>(CM268+CM270)/2</f>
        <v>30.296500000000002</v>
      </c>
      <c r="CN269" s="120">
        <f>(CM269+CO269)/2</f>
        <v>30.857500000000002</v>
      </c>
      <c r="CO269" s="120">
        <f>(CO268+CO270)/2</f>
        <v>31.418500000000002</v>
      </c>
      <c r="CP269" s="120">
        <f>(CO269+CQ269)/2</f>
        <v>31.952500000000001</v>
      </c>
      <c r="CQ269" s="120">
        <f>(CQ268+CQ270)/2</f>
        <v>32.486499999999999</v>
      </c>
      <c r="CR269" s="120">
        <f>(CQ269+CS269)/2</f>
        <v>33.042000000000002</v>
      </c>
      <c r="CS269" s="120">
        <f>(CS268+CS270)/2</f>
        <v>33.597499999999997</v>
      </c>
      <c r="CT269" s="120">
        <f>(CS269+CU269)/2</f>
        <v>34.168999999999997</v>
      </c>
      <c r="CU269" s="120">
        <f>(CU268+CU270)/2</f>
        <v>34.740499999999997</v>
      </c>
      <c r="CV269" s="120">
        <f>(CU269+CW269)/2</f>
        <v>35.295499999999997</v>
      </c>
      <c r="CW269" s="120">
        <f>(CW268+CW270)/2</f>
        <v>35.850499999999997</v>
      </c>
      <c r="CX269" s="120">
        <f>(CW269+CY269)/2</f>
        <v>36.373750000000001</v>
      </c>
      <c r="CY269" s="120">
        <f>(CY268+CY270)/2</f>
        <v>36.897000000000006</v>
      </c>
      <c r="CZ269" s="120">
        <f>(CY269+DA269)/2</f>
        <v>37.442500000000003</v>
      </c>
      <c r="DA269" s="120">
        <f>(DA268+DA270)/2</f>
        <v>37.988</v>
      </c>
      <c r="DB269" s="120">
        <f>(DA269+DC269)/2</f>
        <v>38.54325</v>
      </c>
      <c r="DC269" s="120">
        <f>(DC268+DC270)/2</f>
        <v>39.098500000000001</v>
      </c>
      <c r="DD269" s="120">
        <f>(DC269+DE269)/2</f>
        <v>39.632999999999996</v>
      </c>
      <c r="DE269" s="120">
        <f>(DE268+DE270)/2</f>
        <v>40.167499999999997</v>
      </c>
      <c r="DF269" s="120">
        <f>(DE269+DG269)/2</f>
        <v>40.695499999999996</v>
      </c>
      <c r="DG269" s="122">
        <f>(DG268+DG270)/2</f>
        <v>41.223500000000001</v>
      </c>
    </row>
    <row r="270" spans="54:111" ht="15" customHeight="1" x14ac:dyDescent="0.2">
      <c r="BB270" s="28">
        <v>18</v>
      </c>
      <c r="BC270" s="121">
        <v>7.6840000000000002</v>
      </c>
      <c r="BD270" s="121">
        <v>8.5749999999999993</v>
      </c>
      <c r="BE270" s="121">
        <v>9.4659999999999993</v>
      </c>
      <c r="BF270" s="121">
        <v>10.2615</v>
      </c>
      <c r="BG270" s="121">
        <v>11.057</v>
      </c>
      <c r="BH270" s="121">
        <v>11.82</v>
      </c>
      <c r="BI270" s="121">
        <v>12.583</v>
      </c>
      <c r="BJ270" s="121">
        <v>13.283000000000001</v>
      </c>
      <c r="BK270" s="121">
        <v>13.983000000000001</v>
      </c>
      <c r="BL270" s="121">
        <v>14.64</v>
      </c>
      <c r="BM270" s="121">
        <v>15.297000000000001</v>
      </c>
      <c r="BN270" s="121">
        <v>15.996</v>
      </c>
      <c r="BO270" s="121">
        <v>16.695</v>
      </c>
      <c r="BP270" s="121">
        <f t="array" ref="BP270:BP312">TRANSPOSE(BQ269:DG269)</f>
        <v>17.352499999999999</v>
      </c>
      <c r="BQ270" s="158">
        <v>18.010000000000002</v>
      </c>
      <c r="BR270" s="120">
        <f>(BS270+BQ270)/2</f>
        <v>18.6555</v>
      </c>
      <c r="BS270" s="158">
        <v>19.300999999999998</v>
      </c>
      <c r="BT270" s="120">
        <f>(BU270+BS270)/2</f>
        <v>19.936999999999998</v>
      </c>
      <c r="BU270" s="158">
        <v>20.573</v>
      </c>
      <c r="BV270" s="120">
        <f>(BW270+BU270)/2</f>
        <v>21.23</v>
      </c>
      <c r="BW270" s="158">
        <v>21.887</v>
      </c>
      <c r="BX270" s="120">
        <f>(BY270+BW270)/2</f>
        <v>22.458500000000001</v>
      </c>
      <c r="BY270" s="158">
        <v>23.03</v>
      </c>
      <c r="BZ270" s="120">
        <f>(CA270+BY270)/2</f>
        <v>23.6875</v>
      </c>
      <c r="CA270" s="158">
        <v>24.344999999999999</v>
      </c>
      <c r="CB270" s="120">
        <f>(CC270+CA270)/2</f>
        <v>24.915999999999997</v>
      </c>
      <c r="CC270" s="158">
        <v>25.486999999999998</v>
      </c>
      <c r="CD270" s="120">
        <f>(CE270+CC270)/2</f>
        <v>26.122999999999998</v>
      </c>
      <c r="CE270" s="158">
        <v>26.759</v>
      </c>
      <c r="CF270" s="120">
        <f>(CG270+CE270)/2</f>
        <v>27.362500000000001</v>
      </c>
      <c r="CG270" s="158">
        <v>27.966000000000001</v>
      </c>
      <c r="CH270" s="120">
        <f>(CI270+CG270)/2</f>
        <v>28.536999999999999</v>
      </c>
      <c r="CI270" s="158">
        <v>29.108000000000001</v>
      </c>
      <c r="CJ270" s="120">
        <f>(CK270+CI270)/2</f>
        <v>29.701999999999998</v>
      </c>
      <c r="CK270" s="158">
        <v>30.295999999999999</v>
      </c>
      <c r="CL270" s="120">
        <f>(CM270+CK270)/2</f>
        <v>30.866999999999997</v>
      </c>
      <c r="CM270" s="158">
        <v>31.437999999999999</v>
      </c>
      <c r="CN270" s="120">
        <f>(CO270+CM270)/2</f>
        <v>32.01</v>
      </c>
      <c r="CO270" s="158">
        <v>32.582000000000001</v>
      </c>
      <c r="CP270" s="120">
        <f>(CQ270+CO270)/2</f>
        <v>33.174999999999997</v>
      </c>
      <c r="CQ270" s="158">
        <v>33.768000000000001</v>
      </c>
      <c r="CR270" s="120">
        <f>(CS270+CQ270)/2</f>
        <v>34.339500000000001</v>
      </c>
      <c r="CS270" s="158">
        <v>34.911000000000001</v>
      </c>
      <c r="CT270" s="120">
        <f>(CU270+CS270)/2</f>
        <v>35.515000000000001</v>
      </c>
      <c r="CU270" s="158">
        <v>36.119</v>
      </c>
      <c r="CV270" s="120">
        <f>(CW270+CU270)/2</f>
        <v>36.69</v>
      </c>
      <c r="CW270" s="158">
        <v>37.261000000000003</v>
      </c>
      <c r="CX270" s="120">
        <f>(CY270+CW270)/2</f>
        <v>37.832500000000003</v>
      </c>
      <c r="CY270" s="158">
        <v>38.404000000000003</v>
      </c>
      <c r="CZ270" s="120">
        <f>(DA270+CY270)/2</f>
        <v>38.933500000000002</v>
      </c>
      <c r="DA270" s="158">
        <v>39.463000000000001</v>
      </c>
      <c r="DB270" s="120">
        <f>(DC270+DA270)/2</f>
        <v>40.034500000000001</v>
      </c>
      <c r="DC270" s="158">
        <v>40.606000000000002</v>
      </c>
      <c r="DD270" s="120">
        <f>(DE270+DC270)/2</f>
        <v>41.2</v>
      </c>
      <c r="DE270" s="158">
        <v>41.793999999999997</v>
      </c>
      <c r="DF270" s="120">
        <f>(DG270+DE270)/2</f>
        <v>42.311</v>
      </c>
      <c r="DG270" s="159">
        <v>42.828000000000003</v>
      </c>
    </row>
    <row r="271" spans="54:111" ht="15" customHeight="1" x14ac:dyDescent="0.2">
      <c r="BB271" s="28">
        <v>19</v>
      </c>
      <c r="BC271" s="121">
        <v>7.9849999999999994</v>
      </c>
      <c r="BD271" s="121">
        <v>8.8714999999999993</v>
      </c>
      <c r="BE271" s="121">
        <v>9.7579999999999991</v>
      </c>
      <c r="BF271" s="121">
        <v>10.596499999999999</v>
      </c>
      <c r="BG271" s="121">
        <v>11.435</v>
      </c>
      <c r="BH271" s="121">
        <v>12.214</v>
      </c>
      <c r="BI271" s="121">
        <v>12.993</v>
      </c>
      <c r="BJ271" s="121">
        <v>13.725250000000001</v>
      </c>
      <c r="BK271" s="121">
        <v>14.4575</v>
      </c>
      <c r="BL271" s="121">
        <v>15.1625</v>
      </c>
      <c r="BM271" s="121">
        <v>15.8675</v>
      </c>
      <c r="BN271" s="121">
        <v>16.582750000000001</v>
      </c>
      <c r="BO271" s="121">
        <v>17.298000000000002</v>
      </c>
      <c r="BP271" s="121">
        <v>17.976749999999999</v>
      </c>
      <c r="BQ271" s="121">
        <f t="array" ref="BQ271:BQ312">TRANSPOSE(BR270:DG270)</f>
        <v>18.6555</v>
      </c>
      <c r="BR271" s="120">
        <f>(BQ271+BS271)/2</f>
        <v>19.323250000000002</v>
      </c>
      <c r="BS271" s="120">
        <f>(BS270+BS272)/2</f>
        <v>19.991</v>
      </c>
      <c r="BT271" s="120">
        <f>(BS271+BU271)/2</f>
        <v>20.642749999999999</v>
      </c>
      <c r="BU271" s="120">
        <f>(BU270+BU272)/2</f>
        <v>21.294499999999999</v>
      </c>
      <c r="BV271" s="120">
        <f>(BU271+BW271)/2</f>
        <v>21.968</v>
      </c>
      <c r="BW271" s="120">
        <f>(BW270+BW272)/2</f>
        <v>22.641500000000001</v>
      </c>
      <c r="BX271" s="120">
        <f>(BW271+BY271)/2</f>
        <v>23.277000000000001</v>
      </c>
      <c r="BY271" s="120">
        <f>(BY270+BY272)/2</f>
        <v>23.912500000000001</v>
      </c>
      <c r="BZ271" s="120">
        <f>(BY271+CA271)/2</f>
        <v>24.57525</v>
      </c>
      <c r="CA271" s="120">
        <f>(CA270+CA272)/2</f>
        <v>25.238</v>
      </c>
      <c r="CB271" s="120">
        <f>(CA271+CC271)/2</f>
        <v>25.836500000000001</v>
      </c>
      <c r="CC271" s="120">
        <f>(CC270+CC272)/2</f>
        <v>26.434999999999999</v>
      </c>
      <c r="CD271" s="120">
        <f>(CC271+CE271)/2</f>
        <v>27.097499999999997</v>
      </c>
      <c r="CE271" s="120">
        <f>(CE270+CE272)/2</f>
        <v>27.759999999999998</v>
      </c>
      <c r="CF271" s="120">
        <f>(CE271+CG271)/2</f>
        <v>28.369</v>
      </c>
      <c r="CG271" s="120">
        <f>(CG270+CG272)/2</f>
        <v>28.978000000000002</v>
      </c>
      <c r="CH271" s="120">
        <f>(CG271+CI271)/2</f>
        <v>29.576250000000002</v>
      </c>
      <c r="CI271" s="120">
        <f>(CI270+CI272)/2</f>
        <v>30.174500000000002</v>
      </c>
      <c r="CJ271" s="120">
        <f>(CI271+CK271)/2</f>
        <v>30.784500000000001</v>
      </c>
      <c r="CK271" s="120">
        <f>(CK270+CK272)/2</f>
        <v>31.394500000000001</v>
      </c>
      <c r="CL271" s="120">
        <f>(CK271+CM271)/2</f>
        <v>32.018999999999998</v>
      </c>
      <c r="CM271" s="120">
        <f>(CM270+CM272)/2</f>
        <v>32.643499999999996</v>
      </c>
      <c r="CN271" s="120">
        <f>(CM271+CO271)/2</f>
        <v>33.242249999999999</v>
      </c>
      <c r="CO271" s="120">
        <f>(CO270+CO272)/2</f>
        <v>33.841000000000001</v>
      </c>
      <c r="CP271" s="120">
        <f>(CO271+CQ271)/2</f>
        <v>34.450500000000005</v>
      </c>
      <c r="CQ271" s="120">
        <f>(CQ270+CQ272)/2</f>
        <v>35.06</v>
      </c>
      <c r="CR271" s="120">
        <f>(CQ271+CS271)/2</f>
        <v>35.647500000000001</v>
      </c>
      <c r="CS271" s="120">
        <f>(CS270+CS272)/2</f>
        <v>36.234999999999999</v>
      </c>
      <c r="CT271" s="120">
        <f>(CS271+CU271)/2</f>
        <v>36.855000000000004</v>
      </c>
      <c r="CU271" s="120">
        <f>(CU270+CU272)/2</f>
        <v>37.475000000000001</v>
      </c>
      <c r="CV271" s="120">
        <f>(CU271+CW271)/2</f>
        <v>38.073499999999996</v>
      </c>
      <c r="CW271" s="120">
        <f>(CW270+CW272)/2</f>
        <v>38.671999999999997</v>
      </c>
      <c r="CX271" s="120">
        <f>(CW271+CY271)/2</f>
        <v>39.22775</v>
      </c>
      <c r="CY271" s="120">
        <f>(CY270+CY272)/2</f>
        <v>39.783500000000004</v>
      </c>
      <c r="CZ271" s="120">
        <f>(CY271+DA271)/2</f>
        <v>40.366</v>
      </c>
      <c r="DA271" s="120">
        <f>(DA270+DA272)/2</f>
        <v>40.948499999999996</v>
      </c>
      <c r="DB271" s="120">
        <f>(DA271+DC271)/2</f>
        <v>41.547249999999998</v>
      </c>
      <c r="DC271" s="120">
        <f>(DC270+DC272)/2</f>
        <v>42.146000000000001</v>
      </c>
      <c r="DD271" s="120">
        <f>(DC271+DE271)/2</f>
        <v>42.744749999999996</v>
      </c>
      <c r="DE271" s="120">
        <f>(DE270+DE272)/2</f>
        <v>43.343499999999999</v>
      </c>
      <c r="DF271" s="120">
        <f>(DE271+DG271)/2</f>
        <v>43.882999999999996</v>
      </c>
      <c r="DG271" s="122">
        <f>(DG270+DG272)/2</f>
        <v>44.422499999999999</v>
      </c>
    </row>
    <row r="272" spans="54:111" ht="15" customHeight="1" x14ac:dyDescent="0.2">
      <c r="BB272" s="28">
        <v>20</v>
      </c>
      <c r="BC272" s="121">
        <v>8.2859999999999996</v>
      </c>
      <c r="BD272" s="121">
        <v>9.1679999999999993</v>
      </c>
      <c r="BE272" s="121">
        <v>10.050000000000001</v>
      </c>
      <c r="BF272" s="121">
        <v>10.9315</v>
      </c>
      <c r="BG272" s="121">
        <v>11.813000000000001</v>
      </c>
      <c r="BH272" s="121">
        <v>12.608000000000001</v>
      </c>
      <c r="BI272" s="121">
        <v>13.403</v>
      </c>
      <c r="BJ272" s="121">
        <v>14.1675</v>
      </c>
      <c r="BK272" s="121">
        <v>14.932</v>
      </c>
      <c r="BL272" s="121">
        <v>15.684999999999999</v>
      </c>
      <c r="BM272" s="121">
        <v>16.437999999999999</v>
      </c>
      <c r="BN272" s="121">
        <v>17.169499999999999</v>
      </c>
      <c r="BO272" s="121">
        <v>17.901</v>
      </c>
      <c r="BP272" s="121">
        <v>18.600999999999999</v>
      </c>
      <c r="BQ272" s="121">
        <v>19.300999999999998</v>
      </c>
      <c r="BR272" s="121">
        <f t="array" ref="BR272:BR312">TRANSPOSE(BS271:DG271)</f>
        <v>19.991</v>
      </c>
      <c r="BS272" s="158">
        <v>20.681000000000001</v>
      </c>
      <c r="BT272" s="120">
        <f>(BU272+BS272)/2</f>
        <v>21.348500000000001</v>
      </c>
      <c r="BU272" s="158">
        <v>22.015999999999998</v>
      </c>
      <c r="BV272" s="120">
        <f>(BW272+BU272)/2</f>
        <v>22.706</v>
      </c>
      <c r="BW272" s="158">
        <v>23.396000000000001</v>
      </c>
      <c r="BX272" s="120">
        <f>(BY272+BW272)/2</f>
        <v>24.095500000000001</v>
      </c>
      <c r="BY272" s="158">
        <v>24.795000000000002</v>
      </c>
      <c r="BZ272" s="120">
        <f>(CA272+BY272)/2</f>
        <v>25.463000000000001</v>
      </c>
      <c r="CA272" s="158">
        <v>26.131</v>
      </c>
      <c r="CB272" s="120">
        <f>(CC272+CA272)/2</f>
        <v>26.756999999999998</v>
      </c>
      <c r="CC272" s="158">
        <v>27.382999999999999</v>
      </c>
      <c r="CD272" s="120">
        <f>(CE272+CC272)/2</f>
        <v>28.071999999999999</v>
      </c>
      <c r="CE272" s="158">
        <v>28.760999999999999</v>
      </c>
      <c r="CF272" s="120">
        <f>(CG272+CE272)/2</f>
        <v>29.375499999999999</v>
      </c>
      <c r="CG272" s="158">
        <v>29.99</v>
      </c>
      <c r="CH272" s="120">
        <f>(CI272+CG272)/2</f>
        <v>30.615499999999997</v>
      </c>
      <c r="CI272" s="158">
        <v>31.241</v>
      </c>
      <c r="CJ272" s="120">
        <f>(CK272+CI272)/2</f>
        <v>31.867000000000001</v>
      </c>
      <c r="CK272" s="158">
        <v>32.493000000000002</v>
      </c>
      <c r="CL272" s="120">
        <f>(CM272+CK272)/2</f>
        <v>33.170999999999999</v>
      </c>
      <c r="CM272" s="158">
        <v>33.848999999999997</v>
      </c>
      <c r="CN272" s="120">
        <f>(CO272+CM272)/2</f>
        <v>34.474499999999999</v>
      </c>
      <c r="CO272" s="158">
        <v>35.1</v>
      </c>
      <c r="CP272" s="120">
        <f>(CQ272+CO272)/2</f>
        <v>35.725999999999999</v>
      </c>
      <c r="CQ272" s="158">
        <v>36.351999999999997</v>
      </c>
      <c r="CR272" s="120">
        <f>(CS272+CQ272)/2</f>
        <v>36.955500000000001</v>
      </c>
      <c r="CS272" s="158">
        <v>37.558999999999997</v>
      </c>
      <c r="CT272" s="120">
        <f>(CU272+CS272)/2</f>
        <v>38.195</v>
      </c>
      <c r="CU272" s="158">
        <v>38.831000000000003</v>
      </c>
      <c r="CV272" s="120">
        <f>(CW272+CU272)/2</f>
        <v>39.457000000000001</v>
      </c>
      <c r="CW272" s="158">
        <v>40.082999999999998</v>
      </c>
      <c r="CX272" s="120">
        <f>(CY272+CW272)/2</f>
        <v>40.622999999999998</v>
      </c>
      <c r="CY272" s="158">
        <v>41.162999999999997</v>
      </c>
      <c r="CZ272" s="120">
        <f>(DA272+CY272)/2</f>
        <v>41.798499999999997</v>
      </c>
      <c r="DA272" s="158">
        <v>42.433999999999997</v>
      </c>
      <c r="DB272" s="120">
        <f>(DC272+DA272)/2</f>
        <v>43.06</v>
      </c>
      <c r="DC272" s="158">
        <v>43.686</v>
      </c>
      <c r="DD272" s="120">
        <f>(DE272+DC272)/2</f>
        <v>44.289500000000004</v>
      </c>
      <c r="DE272" s="158">
        <v>44.893000000000001</v>
      </c>
      <c r="DF272" s="120">
        <f>(DG272+DE272)/2</f>
        <v>45.454999999999998</v>
      </c>
      <c r="DG272" s="159">
        <v>46.017000000000003</v>
      </c>
    </row>
    <row r="273" spans="54:111" ht="15" customHeight="1" x14ac:dyDescent="0.2">
      <c r="BB273" s="28">
        <v>21</v>
      </c>
      <c r="BC273" s="121">
        <v>8.5350000000000001</v>
      </c>
      <c r="BD273" s="121">
        <v>9.4649999999999999</v>
      </c>
      <c r="BE273" s="121">
        <v>10.395</v>
      </c>
      <c r="BF273" s="121">
        <v>11.298</v>
      </c>
      <c r="BG273" s="121">
        <v>12.201000000000001</v>
      </c>
      <c r="BH273" s="121">
        <v>13.023250000000001</v>
      </c>
      <c r="BI273" s="121">
        <v>13.845500000000001</v>
      </c>
      <c r="BJ273" s="121">
        <v>14.652750000000001</v>
      </c>
      <c r="BK273" s="121">
        <v>15.46</v>
      </c>
      <c r="BL273" s="121">
        <v>16.234499999999997</v>
      </c>
      <c r="BM273" s="121">
        <v>17.009</v>
      </c>
      <c r="BN273" s="121">
        <v>17.75675</v>
      </c>
      <c r="BO273" s="121">
        <v>18.5045</v>
      </c>
      <c r="BP273" s="121">
        <v>19.220749999999999</v>
      </c>
      <c r="BQ273" s="121">
        <v>19.936999999999998</v>
      </c>
      <c r="BR273" s="121">
        <v>20.642749999999999</v>
      </c>
      <c r="BS273" s="121">
        <f t="array" ref="BS273:BS312">TRANSPOSE(BT272:DG272)</f>
        <v>21.348500000000001</v>
      </c>
      <c r="BT273" s="120">
        <f>(BS273+BU273)/2</f>
        <v>22.075499999999998</v>
      </c>
      <c r="BU273" s="120">
        <f>(BU272+BU274)/2</f>
        <v>22.802499999999998</v>
      </c>
      <c r="BV273" s="120">
        <f>(BU273+BW273)/2</f>
        <v>23.513249999999999</v>
      </c>
      <c r="BW273" s="120">
        <f>(BW272+BW274)/2</f>
        <v>24.224</v>
      </c>
      <c r="BX273" s="120">
        <f>(BW273+BY273)/2</f>
        <v>24.902999999999999</v>
      </c>
      <c r="BY273" s="120">
        <f>(BY272+BY274)/2</f>
        <v>25.582000000000001</v>
      </c>
      <c r="BZ273" s="120">
        <f>(BY273+CA273)/2</f>
        <v>26.282</v>
      </c>
      <c r="CA273" s="120">
        <f>(CA272+CA274)/2</f>
        <v>26.981999999999999</v>
      </c>
      <c r="CB273" s="120">
        <f>(CA273+CC273)/2</f>
        <v>27.655999999999999</v>
      </c>
      <c r="CC273" s="120">
        <f>(CC272+CC274)/2</f>
        <v>28.33</v>
      </c>
      <c r="CD273" s="120">
        <f>(CC273+CE273)/2</f>
        <v>29.008749999999999</v>
      </c>
      <c r="CE273" s="120">
        <f>(CE272+CE274)/2</f>
        <v>29.6875</v>
      </c>
      <c r="CF273" s="120">
        <f>(CE273+CG273)/2</f>
        <v>30.35575</v>
      </c>
      <c r="CG273" s="120">
        <f>(CG272+CG274)/2</f>
        <v>31.024000000000001</v>
      </c>
      <c r="CH273" s="120">
        <f>(CG273+CI273)/2</f>
        <v>31.665750000000003</v>
      </c>
      <c r="CI273" s="120">
        <f>(CI272+CI274)/2</f>
        <v>32.307500000000005</v>
      </c>
      <c r="CJ273" s="120">
        <f>(CI273+CK273)/2</f>
        <v>32.986500000000007</v>
      </c>
      <c r="CK273" s="120">
        <f>(CK272+CK274)/2</f>
        <v>33.665500000000002</v>
      </c>
      <c r="CL273" s="120">
        <f>(CK273+CM273)/2</f>
        <v>34.333749999999995</v>
      </c>
      <c r="CM273" s="120">
        <f>(CM272+CM274)/2</f>
        <v>35.001999999999995</v>
      </c>
      <c r="CN273" s="120">
        <f>(CM273+CO273)/2</f>
        <v>35.648499999999999</v>
      </c>
      <c r="CO273" s="120">
        <f>(CO272+CO274)/2</f>
        <v>36.295000000000002</v>
      </c>
      <c r="CP273" s="120">
        <f>(CO273+CQ273)/2</f>
        <v>36.937249999999999</v>
      </c>
      <c r="CQ273" s="120">
        <f>(CQ272+CQ274)/2</f>
        <v>37.579499999999996</v>
      </c>
      <c r="CR273" s="120">
        <f>(CQ273+CS273)/2</f>
        <v>38.1995</v>
      </c>
      <c r="CS273" s="120">
        <f>(CS272+CS274)/2</f>
        <v>38.819499999999998</v>
      </c>
      <c r="CT273" s="120">
        <f>(CS273+CU273)/2</f>
        <v>39.471499999999999</v>
      </c>
      <c r="CU273" s="120">
        <f>(CU272+CU274)/2</f>
        <v>40.1235</v>
      </c>
      <c r="CV273" s="120">
        <f>(CU273+CW273)/2</f>
        <v>40.765500000000003</v>
      </c>
      <c r="CW273" s="120">
        <f>(CW272+CW274)/2</f>
        <v>41.407499999999999</v>
      </c>
      <c r="CX273" s="120">
        <f>(CW273+CY273)/2</f>
        <v>42.011499999999998</v>
      </c>
      <c r="CY273" s="120">
        <f>(CY272+CY274)/2</f>
        <v>42.615499999999997</v>
      </c>
      <c r="CZ273" s="120">
        <f>(CY273+DA273)/2</f>
        <v>43.262499999999996</v>
      </c>
      <c r="DA273" s="120">
        <f>(DA272+DA274)/2</f>
        <v>43.909499999999994</v>
      </c>
      <c r="DB273" s="120">
        <f>(DA273+DC273)/2</f>
        <v>44.551249999999996</v>
      </c>
      <c r="DC273" s="120">
        <f>(DC272+DC274)/2</f>
        <v>45.192999999999998</v>
      </c>
      <c r="DD273" s="120">
        <f>(DC273+DE273)/2</f>
        <v>45.829000000000001</v>
      </c>
      <c r="DE273" s="120">
        <f>(DE272+DE274)/2</f>
        <v>46.465000000000003</v>
      </c>
      <c r="DF273" s="120">
        <f>(DE273+DG273)/2</f>
        <v>47.04325</v>
      </c>
      <c r="DG273" s="122">
        <f>(DG272+DG274)/2</f>
        <v>47.621499999999997</v>
      </c>
    </row>
    <row r="274" spans="54:111" ht="15" customHeight="1" x14ac:dyDescent="0.2">
      <c r="BB274" s="28">
        <v>22</v>
      </c>
      <c r="BC274" s="121">
        <v>8.7840000000000007</v>
      </c>
      <c r="BD274" s="121">
        <v>9.7620000000000005</v>
      </c>
      <c r="BE274" s="121">
        <v>10.74</v>
      </c>
      <c r="BF274" s="121">
        <v>11.6645</v>
      </c>
      <c r="BG274" s="121">
        <v>12.589</v>
      </c>
      <c r="BH274" s="121">
        <v>13.438500000000001</v>
      </c>
      <c r="BI274" s="121">
        <v>14.288</v>
      </c>
      <c r="BJ274" s="121">
        <v>15.138</v>
      </c>
      <c r="BK274" s="121">
        <v>15.988</v>
      </c>
      <c r="BL274" s="121">
        <v>16.783999999999999</v>
      </c>
      <c r="BM274" s="121">
        <v>17.579999999999998</v>
      </c>
      <c r="BN274" s="121">
        <v>18.344000000000001</v>
      </c>
      <c r="BO274" s="121">
        <v>19.108000000000001</v>
      </c>
      <c r="BP274" s="121">
        <v>19.840499999999999</v>
      </c>
      <c r="BQ274" s="121">
        <v>20.573</v>
      </c>
      <c r="BR274" s="121">
        <v>21.294499999999999</v>
      </c>
      <c r="BS274" s="121">
        <v>22.015999999999998</v>
      </c>
      <c r="BT274" s="121">
        <f t="array" ref="BT274:BT312">TRANSPOSE(BU273:DG273)</f>
        <v>22.802499999999998</v>
      </c>
      <c r="BU274" s="158">
        <v>23.588999999999999</v>
      </c>
      <c r="BV274" s="120">
        <f>(BW274+BU274)/2</f>
        <v>24.320499999999999</v>
      </c>
      <c r="BW274" s="158">
        <v>25.052</v>
      </c>
      <c r="BX274" s="120">
        <f>(BY274+BW274)/2</f>
        <v>25.7105</v>
      </c>
      <c r="BY274" s="158">
        <v>26.369</v>
      </c>
      <c r="BZ274" s="120">
        <f>(CA274+BY274)/2</f>
        <v>27.100999999999999</v>
      </c>
      <c r="CA274" s="158">
        <v>27.832999999999998</v>
      </c>
      <c r="CB274" s="120">
        <f>(CC274+CA274)/2</f>
        <v>28.555</v>
      </c>
      <c r="CC274" s="158">
        <v>29.277000000000001</v>
      </c>
      <c r="CD274" s="120">
        <f>(CE274+CC274)/2</f>
        <v>29.945500000000003</v>
      </c>
      <c r="CE274" s="158">
        <v>30.614000000000001</v>
      </c>
      <c r="CF274" s="120">
        <f>(CG274+CE274)/2</f>
        <v>31.335999999999999</v>
      </c>
      <c r="CG274" s="158">
        <v>32.058</v>
      </c>
      <c r="CH274" s="120">
        <f>(CI274+CG274)/2</f>
        <v>32.716000000000001</v>
      </c>
      <c r="CI274" s="158">
        <v>33.374000000000002</v>
      </c>
      <c r="CJ274" s="120">
        <f>(CK274+CI274)/2</f>
        <v>34.106000000000002</v>
      </c>
      <c r="CK274" s="158">
        <v>34.838000000000001</v>
      </c>
      <c r="CL274" s="120">
        <f>(CM274+CK274)/2</f>
        <v>35.496499999999997</v>
      </c>
      <c r="CM274" s="158">
        <v>36.155000000000001</v>
      </c>
      <c r="CN274" s="120">
        <f>(CO274+CM274)/2</f>
        <v>36.822500000000005</v>
      </c>
      <c r="CO274" s="158">
        <v>37.49</v>
      </c>
      <c r="CP274" s="120">
        <f>(CQ274+CO274)/2</f>
        <v>38.148499999999999</v>
      </c>
      <c r="CQ274" s="158">
        <v>38.807000000000002</v>
      </c>
      <c r="CR274" s="120">
        <f>(CS274+CQ274)/2</f>
        <v>39.4435</v>
      </c>
      <c r="CS274" s="158">
        <v>40.08</v>
      </c>
      <c r="CT274" s="120">
        <f>(CU274+CS274)/2</f>
        <v>40.747999999999998</v>
      </c>
      <c r="CU274" s="158">
        <v>41.415999999999997</v>
      </c>
      <c r="CV274" s="120">
        <f>(CW274+CU274)/2</f>
        <v>42.073999999999998</v>
      </c>
      <c r="CW274" s="158">
        <v>42.731999999999999</v>
      </c>
      <c r="CX274" s="120">
        <f>(CY274+CW274)/2</f>
        <v>43.4</v>
      </c>
      <c r="CY274" s="158">
        <v>44.067999999999998</v>
      </c>
      <c r="CZ274" s="120">
        <f>(DA274+CY274)/2</f>
        <v>44.726500000000001</v>
      </c>
      <c r="DA274" s="158">
        <v>45.384999999999998</v>
      </c>
      <c r="DB274" s="120">
        <f>(DC274+DA274)/2</f>
        <v>46.042500000000004</v>
      </c>
      <c r="DC274" s="158">
        <v>46.7</v>
      </c>
      <c r="DD274" s="120">
        <f>(DE274+DC274)/2</f>
        <v>47.368499999999997</v>
      </c>
      <c r="DE274" s="158">
        <v>48.036999999999999</v>
      </c>
      <c r="DF274" s="120">
        <f>(DG274+DE274)/2</f>
        <v>48.631500000000003</v>
      </c>
      <c r="DG274" s="159">
        <v>49.225999999999999</v>
      </c>
    </row>
    <row r="275" spans="54:111" ht="15" customHeight="1" x14ac:dyDescent="0.2">
      <c r="BB275" s="28">
        <v>23</v>
      </c>
      <c r="BC275" s="121">
        <v>9.0755000000000017</v>
      </c>
      <c r="BD275" s="121">
        <v>10.0855</v>
      </c>
      <c r="BE275" s="121">
        <v>11.095500000000001</v>
      </c>
      <c r="BF275" s="121">
        <v>12.030750000000001</v>
      </c>
      <c r="BG275" s="121">
        <v>12.966000000000001</v>
      </c>
      <c r="BH275" s="121">
        <v>13.837250000000001</v>
      </c>
      <c r="BI275" s="121">
        <v>14.708500000000001</v>
      </c>
      <c r="BJ275" s="121">
        <v>15.574249999999999</v>
      </c>
      <c r="BK275" s="121">
        <v>16.439999999999998</v>
      </c>
      <c r="BL275" s="121">
        <v>17.252499999999998</v>
      </c>
      <c r="BM275" s="121">
        <v>18.064999999999998</v>
      </c>
      <c r="BN275" s="121">
        <v>18.867250000000002</v>
      </c>
      <c r="BO275" s="121">
        <v>19.669499999999999</v>
      </c>
      <c r="BP275" s="121">
        <v>20.449750000000002</v>
      </c>
      <c r="BQ275" s="121">
        <v>21.23</v>
      </c>
      <c r="BR275" s="121">
        <v>21.968</v>
      </c>
      <c r="BS275" s="121">
        <v>22.706</v>
      </c>
      <c r="BT275" s="121">
        <v>23.513249999999999</v>
      </c>
      <c r="BU275" s="121">
        <f t="array" ref="BU275:BU312">TRANSPOSE(BV274:DG274)</f>
        <v>24.320499999999999</v>
      </c>
      <c r="BV275" s="120">
        <f>(BU275+BW275)/2</f>
        <v>25.063499999999998</v>
      </c>
      <c r="BW275" s="120">
        <f>(BW274+BW276)/2</f>
        <v>25.8065</v>
      </c>
      <c r="BX275" s="120">
        <f>(BW275+BY275)/2</f>
        <v>26.529</v>
      </c>
      <c r="BY275" s="120">
        <f>(BY274+BY276)/2</f>
        <v>27.2515</v>
      </c>
      <c r="BZ275" s="120">
        <f>(BY275+CA275)/2</f>
        <v>28</v>
      </c>
      <c r="CA275" s="120">
        <f>(CA274+CA276)/2</f>
        <v>28.7485</v>
      </c>
      <c r="CB275" s="120">
        <f>(CA275+CC275)/2</f>
        <v>29.454499999999999</v>
      </c>
      <c r="CC275" s="120">
        <f>(CC274+CC276)/2</f>
        <v>30.160499999999999</v>
      </c>
      <c r="CD275" s="120">
        <f>(CC275+CE275)/2</f>
        <v>30.876999999999999</v>
      </c>
      <c r="CE275" s="120">
        <f>(CE274+CE276)/2</f>
        <v>31.593499999999999</v>
      </c>
      <c r="CF275" s="120">
        <f>(CE275+CG275)/2</f>
        <v>32.299750000000003</v>
      </c>
      <c r="CG275" s="120">
        <f>(CG274+CG276)/2</f>
        <v>33.006</v>
      </c>
      <c r="CH275" s="120">
        <f>(CG275+CI275)/2</f>
        <v>33.728250000000003</v>
      </c>
      <c r="CI275" s="120">
        <f>(CI274+CI276)/2</f>
        <v>34.450500000000005</v>
      </c>
      <c r="CJ275" s="120">
        <f>(CI275+CK275)/2</f>
        <v>35.161750000000005</v>
      </c>
      <c r="CK275" s="120">
        <f>(CK274+CK276)/2</f>
        <v>35.873000000000005</v>
      </c>
      <c r="CL275" s="120">
        <f>(CK275+CM275)/2</f>
        <v>36.584500000000006</v>
      </c>
      <c r="CM275" s="120">
        <f>(CM274+CM276)/2</f>
        <v>37.295999999999999</v>
      </c>
      <c r="CN275" s="120">
        <f>(CM275+CO275)/2</f>
        <v>37.974999999999994</v>
      </c>
      <c r="CO275" s="120">
        <f>(CO274+CO276)/2</f>
        <v>38.653999999999996</v>
      </c>
      <c r="CP275" s="120">
        <f>(CO275+CQ275)/2</f>
        <v>39.333500000000001</v>
      </c>
      <c r="CQ275" s="120">
        <f>(CQ274+CQ276)/2</f>
        <v>40.013000000000005</v>
      </c>
      <c r="CR275" s="120">
        <f>(CQ275+CS275)/2</f>
        <v>40.687250000000006</v>
      </c>
      <c r="CS275" s="120">
        <f>(CS274+CS276)/2</f>
        <v>41.361499999999999</v>
      </c>
      <c r="CT275" s="120">
        <f>(CS275+CU275)/2</f>
        <v>42.045749999999998</v>
      </c>
      <c r="CU275" s="120">
        <f>(CU274+CU276)/2</f>
        <v>42.73</v>
      </c>
      <c r="CV275" s="120">
        <f>(CU275+CW275)/2</f>
        <v>43.404249999999998</v>
      </c>
      <c r="CW275" s="120">
        <f>(CW274+CW276)/2</f>
        <v>44.078499999999998</v>
      </c>
      <c r="CX275" s="120">
        <f>(CW275+CY275)/2</f>
        <v>44.762999999999998</v>
      </c>
      <c r="CY275" s="120">
        <f>(CY274+CY276)/2</f>
        <v>45.447499999999998</v>
      </c>
      <c r="CZ275" s="120">
        <f>(CY275+DA275)/2</f>
        <v>46.121749999999999</v>
      </c>
      <c r="DA275" s="120">
        <f>(DA274+DA276)/2</f>
        <v>46.795999999999999</v>
      </c>
      <c r="DB275" s="120">
        <f>(DA275+DC275)/2</f>
        <v>47.486249999999998</v>
      </c>
      <c r="DC275" s="120">
        <f>(DC274+DC276)/2</f>
        <v>48.176500000000004</v>
      </c>
      <c r="DD275" s="120">
        <f>(DC275+DE275)/2</f>
        <v>48.861000000000004</v>
      </c>
      <c r="DE275" s="120">
        <f>(DE274+DE276)/2</f>
        <v>49.545500000000004</v>
      </c>
      <c r="DF275" s="120">
        <f>(DE275+DG275)/2</f>
        <v>50.187750000000001</v>
      </c>
      <c r="DG275" s="122">
        <f>(DG274+DG276)/2</f>
        <v>50.83</v>
      </c>
    </row>
    <row r="276" spans="54:111" ht="15" customHeight="1" x14ac:dyDescent="0.2">
      <c r="BB276" s="28">
        <v>24</v>
      </c>
      <c r="BC276" s="121">
        <v>9.3670000000000009</v>
      </c>
      <c r="BD276" s="121">
        <v>10.409000000000001</v>
      </c>
      <c r="BE276" s="121">
        <v>11.451000000000001</v>
      </c>
      <c r="BF276" s="121">
        <v>12.397</v>
      </c>
      <c r="BG276" s="121">
        <v>13.343</v>
      </c>
      <c r="BH276" s="121">
        <v>14.236000000000001</v>
      </c>
      <c r="BI276" s="121">
        <v>15.129</v>
      </c>
      <c r="BJ276" s="121">
        <v>16.0105</v>
      </c>
      <c r="BK276" s="121">
        <v>16.891999999999999</v>
      </c>
      <c r="BL276" s="121">
        <v>17.721</v>
      </c>
      <c r="BM276" s="121">
        <v>18.55</v>
      </c>
      <c r="BN276" s="121">
        <v>19.390500000000003</v>
      </c>
      <c r="BO276" s="121">
        <v>20.231000000000002</v>
      </c>
      <c r="BP276" s="121">
        <v>21.059000000000001</v>
      </c>
      <c r="BQ276" s="121">
        <v>21.887</v>
      </c>
      <c r="BR276" s="121">
        <v>22.641500000000001</v>
      </c>
      <c r="BS276" s="121">
        <v>23.396000000000001</v>
      </c>
      <c r="BT276" s="121">
        <v>24.224</v>
      </c>
      <c r="BU276" s="121">
        <v>25.052</v>
      </c>
      <c r="BV276" s="121">
        <f t="array" ref="BV276:BV312">TRANSPOSE(BW275:DG275)</f>
        <v>25.8065</v>
      </c>
      <c r="BW276" s="158">
        <v>26.561</v>
      </c>
      <c r="BX276" s="120">
        <f>(BY276+BW276)/2</f>
        <v>27.3475</v>
      </c>
      <c r="BY276" s="158">
        <v>28.134</v>
      </c>
      <c r="BZ276" s="120">
        <f>(CA276+BY276)/2</f>
        <v>28.899000000000001</v>
      </c>
      <c r="CA276" s="158">
        <v>29.664000000000001</v>
      </c>
      <c r="CB276" s="120">
        <f>(CC276+CA276)/2</f>
        <v>30.353999999999999</v>
      </c>
      <c r="CC276" s="158">
        <v>31.044</v>
      </c>
      <c r="CD276" s="120">
        <f>(CE276+CC276)/2</f>
        <v>31.808500000000002</v>
      </c>
      <c r="CE276" s="158">
        <v>32.573</v>
      </c>
      <c r="CF276" s="120">
        <f>(CG276+CE276)/2</f>
        <v>33.263500000000001</v>
      </c>
      <c r="CG276" s="158">
        <v>33.954000000000001</v>
      </c>
      <c r="CH276" s="120">
        <f>(CI276+CG276)/2</f>
        <v>34.740499999999997</v>
      </c>
      <c r="CI276" s="158">
        <v>35.527000000000001</v>
      </c>
      <c r="CJ276" s="120">
        <f>(CK276+CI276)/2</f>
        <v>36.217500000000001</v>
      </c>
      <c r="CK276" s="158">
        <v>36.908000000000001</v>
      </c>
      <c r="CL276" s="120">
        <f>(CM276+CK276)/2</f>
        <v>37.672499999999999</v>
      </c>
      <c r="CM276" s="158">
        <v>38.436999999999998</v>
      </c>
      <c r="CN276" s="120">
        <f>(CO276+CM276)/2</f>
        <v>39.127499999999998</v>
      </c>
      <c r="CO276" s="158">
        <v>39.817999999999998</v>
      </c>
      <c r="CP276" s="120">
        <f>(CQ276+CO276)/2</f>
        <v>40.518500000000003</v>
      </c>
      <c r="CQ276" s="158">
        <v>41.219000000000001</v>
      </c>
      <c r="CR276" s="120">
        <f>(CS276+CQ276)/2</f>
        <v>41.930999999999997</v>
      </c>
      <c r="CS276" s="158">
        <v>42.643000000000001</v>
      </c>
      <c r="CT276" s="120">
        <f>(CU276+CS276)/2</f>
        <v>43.343499999999999</v>
      </c>
      <c r="CU276" s="158">
        <v>44.043999999999997</v>
      </c>
      <c r="CV276" s="120">
        <f>(CW276+CU276)/2</f>
        <v>44.734499999999997</v>
      </c>
      <c r="CW276" s="158">
        <v>45.424999999999997</v>
      </c>
      <c r="CX276" s="120">
        <f>(CY276+CW276)/2</f>
        <v>46.125999999999998</v>
      </c>
      <c r="CY276" s="158">
        <v>46.826999999999998</v>
      </c>
      <c r="CZ276" s="120">
        <f>(DA276+CY276)/2</f>
        <v>47.516999999999996</v>
      </c>
      <c r="DA276" s="158">
        <v>48.207000000000001</v>
      </c>
      <c r="DB276" s="120">
        <f>(DC276+DA276)/2</f>
        <v>48.93</v>
      </c>
      <c r="DC276" s="158">
        <v>49.652999999999999</v>
      </c>
      <c r="DD276" s="120">
        <f>(DE276+DC276)/2</f>
        <v>50.353499999999997</v>
      </c>
      <c r="DE276" s="158">
        <v>51.054000000000002</v>
      </c>
      <c r="DF276" s="120">
        <f>(DG276+DE276)/2</f>
        <v>51.744</v>
      </c>
      <c r="DG276" s="159">
        <v>52.433999999999997</v>
      </c>
    </row>
    <row r="277" spans="54:111" ht="15" customHeight="1" x14ac:dyDescent="0.2">
      <c r="BB277" s="28">
        <v>25</v>
      </c>
      <c r="BC277" s="121">
        <v>9.6159999999999997</v>
      </c>
      <c r="BD277" s="121">
        <v>10.663499999999999</v>
      </c>
      <c r="BE277" s="121">
        <v>11.711</v>
      </c>
      <c r="BF277" s="121">
        <v>12.721250000000001</v>
      </c>
      <c r="BG277" s="121">
        <v>13.7315</v>
      </c>
      <c r="BH277" s="121">
        <v>14.635</v>
      </c>
      <c r="BI277" s="121">
        <v>15.538499999999999</v>
      </c>
      <c r="BJ277" s="121">
        <v>16.452750000000002</v>
      </c>
      <c r="BK277" s="121">
        <v>17.366999999999997</v>
      </c>
      <c r="BL277" s="121">
        <v>18.211750000000002</v>
      </c>
      <c r="BM277" s="121">
        <v>19.0565</v>
      </c>
      <c r="BN277" s="121">
        <v>19.945</v>
      </c>
      <c r="BO277" s="121">
        <v>20.833500000000001</v>
      </c>
      <c r="BP277" s="121">
        <v>21.646000000000001</v>
      </c>
      <c r="BQ277" s="121">
        <v>22.458500000000001</v>
      </c>
      <c r="BR277" s="121">
        <v>23.277000000000001</v>
      </c>
      <c r="BS277" s="121">
        <v>24.095500000000001</v>
      </c>
      <c r="BT277" s="121">
        <v>24.902999999999999</v>
      </c>
      <c r="BU277" s="121">
        <v>25.7105</v>
      </c>
      <c r="BV277" s="121">
        <v>26.529</v>
      </c>
      <c r="BW277" s="121">
        <f t="array" ref="BW277:BW312">TRANSPOSE(BX276:DG276)</f>
        <v>27.3475</v>
      </c>
      <c r="BX277" s="120">
        <f>(BW277+BY277)/2</f>
        <v>28.139250000000001</v>
      </c>
      <c r="BY277" s="120">
        <f>(BY276+BY278)/2</f>
        <v>28.931000000000001</v>
      </c>
      <c r="BZ277" s="120">
        <f>(BY277+CA277)/2</f>
        <v>29.718000000000004</v>
      </c>
      <c r="CA277" s="120">
        <f>(CA276+CA278)/2</f>
        <v>30.505000000000003</v>
      </c>
      <c r="CB277" s="120">
        <f>(CA277+CC277)/2</f>
        <v>31.248250000000002</v>
      </c>
      <c r="CC277" s="120">
        <f>(CC276+CC278)/2</f>
        <v>31.991500000000002</v>
      </c>
      <c r="CD277" s="120">
        <f>(CC277+CE277)/2</f>
        <v>32.740250000000003</v>
      </c>
      <c r="CE277" s="120">
        <f>(CE276+CE278)/2</f>
        <v>33.489000000000004</v>
      </c>
      <c r="CF277" s="120">
        <f>(CE277+CG277)/2</f>
        <v>34.238500000000002</v>
      </c>
      <c r="CG277" s="120">
        <f>(CG276+CG278)/2</f>
        <v>34.988</v>
      </c>
      <c r="CH277" s="120">
        <f>(CG277+CI277)/2</f>
        <v>35.779499999999999</v>
      </c>
      <c r="CI277" s="120">
        <f>(CI276+CI278)/2</f>
        <v>36.570999999999998</v>
      </c>
      <c r="CJ277" s="120">
        <f>(CI277+CK277)/2</f>
        <v>37.293999999999997</v>
      </c>
      <c r="CK277" s="120">
        <f>(CK276+CK278)/2</f>
        <v>38.016999999999996</v>
      </c>
      <c r="CL277" s="120">
        <f>(CK277+CM277)/2</f>
        <v>38.760750000000002</v>
      </c>
      <c r="CM277" s="120">
        <f>(CM276+CM278)/2</f>
        <v>39.5045</v>
      </c>
      <c r="CN277" s="120">
        <f>(CM277+CO277)/2</f>
        <v>40.258749999999999</v>
      </c>
      <c r="CO277" s="120">
        <f>(CO276+CO278)/2</f>
        <v>41.012999999999998</v>
      </c>
      <c r="CP277" s="120">
        <f>(CO277+CQ277)/2</f>
        <v>41.729749999999996</v>
      </c>
      <c r="CQ277" s="120">
        <f>(CQ276+CQ278)/2</f>
        <v>42.4465</v>
      </c>
      <c r="CR277" s="120">
        <f>(CQ277+CS277)/2</f>
        <v>43.174999999999997</v>
      </c>
      <c r="CS277" s="120">
        <f>(CS276+CS278)/2</f>
        <v>43.903500000000001</v>
      </c>
      <c r="CT277" s="120">
        <f>(CS277+CU277)/2</f>
        <v>44.620249999999999</v>
      </c>
      <c r="CU277" s="120">
        <f>(CU276+CU278)/2</f>
        <v>45.337000000000003</v>
      </c>
      <c r="CV277" s="120">
        <f>(CU277+CW277)/2</f>
        <v>46.091500000000003</v>
      </c>
      <c r="CW277" s="120">
        <f>(CW276+CW278)/2</f>
        <v>46.846000000000004</v>
      </c>
      <c r="CX277" s="120">
        <f>(CW277+CY277)/2</f>
        <v>47.558</v>
      </c>
      <c r="CY277" s="120">
        <f>(CY276+CY278)/2</f>
        <v>48.269999999999996</v>
      </c>
      <c r="CZ277" s="120">
        <f>(CY277+DA277)/2</f>
        <v>48.992249999999999</v>
      </c>
      <c r="DA277" s="120">
        <f>(DA276+DA278)/2</f>
        <v>49.714500000000001</v>
      </c>
      <c r="DB277" s="120">
        <f>(DA277+DC277)/2</f>
        <v>50.442250000000001</v>
      </c>
      <c r="DC277" s="120">
        <f>(DC276+DC278)/2</f>
        <v>51.17</v>
      </c>
      <c r="DD277" s="120">
        <f>(DC277+DE277)/2</f>
        <v>51.892749999999999</v>
      </c>
      <c r="DE277" s="120">
        <f>(DE276+DE278)/2</f>
        <v>52.615499999999997</v>
      </c>
      <c r="DF277" s="120">
        <f>(DE277+DG277)/2</f>
        <v>53.327249999999999</v>
      </c>
      <c r="DG277" s="122">
        <f>(DG276+DG278)/2</f>
        <v>54.039000000000001</v>
      </c>
    </row>
    <row r="278" spans="54:111" ht="15" customHeight="1" x14ac:dyDescent="0.2">
      <c r="BB278" s="28">
        <v>26</v>
      </c>
      <c r="BC278" s="121">
        <v>9.8650000000000002</v>
      </c>
      <c r="BD278" s="121">
        <v>10.917999999999999</v>
      </c>
      <c r="BE278" s="121">
        <v>11.971</v>
      </c>
      <c r="BF278" s="121">
        <v>13.045500000000001</v>
      </c>
      <c r="BG278" s="121">
        <v>14.12</v>
      </c>
      <c r="BH278" s="121">
        <v>15.033999999999999</v>
      </c>
      <c r="BI278" s="121">
        <v>15.948</v>
      </c>
      <c r="BJ278" s="121">
        <v>16.895</v>
      </c>
      <c r="BK278" s="121">
        <v>17.841999999999999</v>
      </c>
      <c r="BL278" s="121">
        <v>18.702500000000001</v>
      </c>
      <c r="BM278" s="121">
        <v>19.562999999999999</v>
      </c>
      <c r="BN278" s="121">
        <v>20.499499999999998</v>
      </c>
      <c r="BO278" s="121">
        <v>21.436</v>
      </c>
      <c r="BP278" s="121">
        <v>22.233000000000001</v>
      </c>
      <c r="BQ278" s="121">
        <v>23.03</v>
      </c>
      <c r="BR278" s="121">
        <v>23.912500000000001</v>
      </c>
      <c r="BS278" s="121">
        <v>24.795000000000002</v>
      </c>
      <c r="BT278" s="121">
        <v>25.582000000000001</v>
      </c>
      <c r="BU278" s="121">
        <v>26.369</v>
      </c>
      <c r="BV278" s="121">
        <v>27.2515</v>
      </c>
      <c r="BW278" s="121">
        <v>28.134</v>
      </c>
      <c r="BX278" s="121">
        <f t="array" ref="BX278:BX312">TRANSPOSE(BY277:DG277)</f>
        <v>28.931000000000001</v>
      </c>
      <c r="BY278" s="158">
        <v>29.728000000000002</v>
      </c>
      <c r="BZ278" s="120">
        <f>(CA278+BY278)/2</f>
        <v>30.536999999999999</v>
      </c>
      <c r="CA278" s="158">
        <v>31.346</v>
      </c>
      <c r="CB278" s="120">
        <f>(CC278+CA278)/2</f>
        <v>32.142499999999998</v>
      </c>
      <c r="CC278" s="158">
        <v>32.939</v>
      </c>
      <c r="CD278" s="120">
        <f>(CE278+CC278)/2</f>
        <v>33.671999999999997</v>
      </c>
      <c r="CE278" s="158">
        <v>34.405000000000001</v>
      </c>
      <c r="CF278" s="120">
        <f>(CG278+CE278)/2</f>
        <v>35.213499999999996</v>
      </c>
      <c r="CG278" s="158">
        <v>36.021999999999998</v>
      </c>
      <c r="CH278" s="120">
        <f>(CI278+CG278)/2</f>
        <v>36.8185</v>
      </c>
      <c r="CI278" s="158">
        <v>37.615000000000002</v>
      </c>
      <c r="CJ278" s="120">
        <f>(CK278+CI278)/2</f>
        <v>38.3705</v>
      </c>
      <c r="CK278" s="158">
        <v>39.125999999999998</v>
      </c>
      <c r="CL278" s="120">
        <f>(CM278+CK278)/2</f>
        <v>39.849000000000004</v>
      </c>
      <c r="CM278" s="158">
        <v>40.572000000000003</v>
      </c>
      <c r="CN278" s="120">
        <f>(CO278+CM278)/2</f>
        <v>41.39</v>
      </c>
      <c r="CO278" s="158">
        <v>42.207999999999998</v>
      </c>
      <c r="CP278" s="120">
        <f>(CQ278+CO278)/2</f>
        <v>42.941000000000003</v>
      </c>
      <c r="CQ278" s="158">
        <v>43.673999999999999</v>
      </c>
      <c r="CR278" s="120">
        <f>(CS278+CQ278)/2</f>
        <v>44.418999999999997</v>
      </c>
      <c r="CS278" s="158">
        <v>45.164000000000001</v>
      </c>
      <c r="CT278" s="120">
        <f>(CU278+CS278)/2</f>
        <v>45.897000000000006</v>
      </c>
      <c r="CU278" s="158">
        <v>46.63</v>
      </c>
      <c r="CV278" s="120">
        <f>(CW278+CU278)/2</f>
        <v>47.448500000000003</v>
      </c>
      <c r="CW278" s="158">
        <v>48.267000000000003</v>
      </c>
      <c r="CX278" s="120">
        <f>(CY278+CW278)/2</f>
        <v>48.99</v>
      </c>
      <c r="CY278" s="158">
        <v>49.713000000000001</v>
      </c>
      <c r="CZ278" s="120">
        <f>(DA278+CY278)/2</f>
        <v>50.467500000000001</v>
      </c>
      <c r="DA278" s="158">
        <v>51.222000000000001</v>
      </c>
      <c r="DB278" s="120">
        <f>(DC278+DA278)/2</f>
        <v>51.954499999999996</v>
      </c>
      <c r="DC278" s="158">
        <v>52.686999999999998</v>
      </c>
      <c r="DD278" s="120">
        <f>(DE278+DC278)/2</f>
        <v>53.432000000000002</v>
      </c>
      <c r="DE278" s="158">
        <v>54.177</v>
      </c>
      <c r="DF278" s="120">
        <f>(DG278+DE278)/2</f>
        <v>54.910499999999999</v>
      </c>
      <c r="DG278" s="159">
        <v>55.643999999999998</v>
      </c>
    </row>
    <row r="279" spans="54:111" ht="15" customHeight="1" x14ac:dyDescent="0.2">
      <c r="BB279" s="28">
        <v>27</v>
      </c>
      <c r="BC279" s="121">
        <v>10.102499999999999</v>
      </c>
      <c r="BD279" s="121">
        <v>11.2095</v>
      </c>
      <c r="BE279" s="121">
        <v>12.316500000000001</v>
      </c>
      <c r="BF279" s="121">
        <v>13.375</v>
      </c>
      <c r="BG279" s="121">
        <v>14.433499999999999</v>
      </c>
      <c r="BH279" s="121">
        <v>15.41175</v>
      </c>
      <c r="BI279" s="121">
        <v>16.39</v>
      </c>
      <c r="BJ279" s="121">
        <v>17.34225</v>
      </c>
      <c r="BK279" s="121">
        <v>18.294499999999999</v>
      </c>
      <c r="BL279" s="121">
        <v>19.21425</v>
      </c>
      <c r="BM279" s="121">
        <v>20.134</v>
      </c>
      <c r="BN279" s="121">
        <v>21.054499999999997</v>
      </c>
      <c r="BO279" s="121">
        <v>21.975000000000001</v>
      </c>
      <c r="BP279" s="121">
        <v>22.831249999999997</v>
      </c>
      <c r="BQ279" s="121">
        <v>23.6875</v>
      </c>
      <c r="BR279" s="121">
        <v>24.57525</v>
      </c>
      <c r="BS279" s="121">
        <v>25.463000000000001</v>
      </c>
      <c r="BT279" s="121">
        <v>26.282</v>
      </c>
      <c r="BU279" s="121">
        <v>27.100999999999999</v>
      </c>
      <c r="BV279" s="121">
        <v>28</v>
      </c>
      <c r="BW279" s="121">
        <v>28.899000000000001</v>
      </c>
      <c r="BX279" s="121">
        <v>29.718000000000004</v>
      </c>
      <c r="BY279" s="121">
        <f t="array" ref="BY279:BY312">TRANSPOSE(BZ278:DG278)</f>
        <v>30.536999999999999</v>
      </c>
      <c r="BZ279" s="120">
        <f>(BY279+CA279)/2</f>
        <v>31.35575</v>
      </c>
      <c r="CA279" s="120">
        <f>(CA278+CA280)/2</f>
        <v>32.174500000000002</v>
      </c>
      <c r="CB279" s="120">
        <f>(CA279+CC279)/2</f>
        <v>32.998500000000007</v>
      </c>
      <c r="CC279" s="120">
        <f>(CC278+CC280)/2</f>
        <v>33.822500000000005</v>
      </c>
      <c r="CD279" s="120">
        <f>(CC279+CE279)/2</f>
        <v>34.614500000000007</v>
      </c>
      <c r="CE279" s="120">
        <f>(CE278+CE280)/2</f>
        <v>35.406500000000001</v>
      </c>
      <c r="CF279" s="120">
        <f>(CE279+CG279)/2</f>
        <v>36.188249999999996</v>
      </c>
      <c r="CG279" s="120">
        <f>(CG278+CG280)/2</f>
        <v>36.97</v>
      </c>
      <c r="CH279" s="120">
        <f>(CG279+CI279)/2</f>
        <v>37.793999999999997</v>
      </c>
      <c r="CI279" s="120">
        <f>(CI278+CI280)/2</f>
        <v>38.618000000000002</v>
      </c>
      <c r="CJ279" s="120">
        <f>(CI279+CK279)/2</f>
        <v>39.421000000000006</v>
      </c>
      <c r="CK279" s="120">
        <f>(CK278+CK280)/2</f>
        <v>40.224000000000004</v>
      </c>
      <c r="CL279" s="120">
        <f>(CK279+CM279)/2</f>
        <v>40.97925</v>
      </c>
      <c r="CM279" s="120">
        <f>(CM278+CM280)/2</f>
        <v>41.734499999999997</v>
      </c>
      <c r="CN279" s="120">
        <f>(CM279+CO279)/2</f>
        <v>42.526249999999997</v>
      </c>
      <c r="CO279" s="120">
        <f>(CO278+CO280)/2</f>
        <v>43.317999999999998</v>
      </c>
      <c r="CP279" s="120">
        <f>(CO279+CQ279)/2</f>
        <v>44.104749999999996</v>
      </c>
      <c r="CQ279" s="120">
        <f>(CQ278+CQ280)/2</f>
        <v>44.891500000000001</v>
      </c>
      <c r="CR279" s="120">
        <f>(CQ279+CS279)/2</f>
        <v>45.657499999999999</v>
      </c>
      <c r="CS279" s="120">
        <f>(CS278+CS280)/2</f>
        <v>46.423500000000004</v>
      </c>
      <c r="CT279" s="120">
        <f>(CS279+CU279)/2</f>
        <v>47.184000000000005</v>
      </c>
      <c r="CU279" s="120">
        <f>(CU278+CU280)/2</f>
        <v>47.944500000000005</v>
      </c>
      <c r="CV279" s="120">
        <f>(CU279+CW279)/2</f>
        <v>48.768000000000001</v>
      </c>
      <c r="CW279" s="120">
        <f>(CW278+CW280)/2</f>
        <v>49.591499999999996</v>
      </c>
      <c r="CX279" s="120">
        <f>(CW279+CY279)/2</f>
        <v>50.346499999999999</v>
      </c>
      <c r="CY279" s="120">
        <f>(CY278+CY280)/2</f>
        <v>51.101500000000001</v>
      </c>
      <c r="CZ279" s="120">
        <f>(CY279+DA279)/2</f>
        <v>51.8675</v>
      </c>
      <c r="DA279" s="120">
        <f>(DA278+DA280)/2</f>
        <v>52.633499999999998</v>
      </c>
      <c r="DB279" s="120">
        <f>(DA279+DC279)/2</f>
        <v>53.393499999999996</v>
      </c>
      <c r="DC279" s="120">
        <f>(DC278+DC280)/2</f>
        <v>54.153499999999994</v>
      </c>
      <c r="DD279" s="120">
        <f>(DC279+DE279)/2</f>
        <v>54.908249999999995</v>
      </c>
      <c r="DE279" s="120">
        <f>(DE278+DE280)/2</f>
        <v>55.662999999999997</v>
      </c>
      <c r="DF279" s="120">
        <f>(DE279+DG279)/2</f>
        <v>56.423749999999998</v>
      </c>
      <c r="DG279" s="122">
        <f>(DG278+DG280)/2</f>
        <v>57.1845</v>
      </c>
    </row>
    <row r="280" spans="54:111" ht="15" customHeight="1" x14ac:dyDescent="0.2">
      <c r="BB280" s="28">
        <v>28</v>
      </c>
      <c r="BC280" s="121">
        <v>10.34</v>
      </c>
      <c r="BD280" s="121">
        <v>11.501000000000001</v>
      </c>
      <c r="BE280" s="121">
        <v>12.662000000000001</v>
      </c>
      <c r="BF280" s="121">
        <v>13.704499999999999</v>
      </c>
      <c r="BG280" s="121">
        <v>14.747</v>
      </c>
      <c r="BH280" s="121">
        <v>15.7895</v>
      </c>
      <c r="BI280" s="121">
        <v>16.832000000000001</v>
      </c>
      <c r="BJ280" s="121">
        <v>17.7895</v>
      </c>
      <c r="BK280" s="121">
        <v>18.747</v>
      </c>
      <c r="BL280" s="121">
        <v>19.725999999999999</v>
      </c>
      <c r="BM280" s="121">
        <v>20.704999999999998</v>
      </c>
      <c r="BN280" s="121">
        <v>21.609499999999997</v>
      </c>
      <c r="BO280" s="121">
        <v>22.513999999999999</v>
      </c>
      <c r="BP280" s="121">
        <v>23.429499999999997</v>
      </c>
      <c r="BQ280" s="121">
        <v>24.344999999999999</v>
      </c>
      <c r="BR280" s="121">
        <v>25.238</v>
      </c>
      <c r="BS280" s="121">
        <v>26.131</v>
      </c>
      <c r="BT280" s="121">
        <v>26.981999999999999</v>
      </c>
      <c r="BU280" s="121">
        <v>27.832999999999998</v>
      </c>
      <c r="BV280" s="121">
        <v>28.7485</v>
      </c>
      <c r="BW280" s="121">
        <v>29.664000000000001</v>
      </c>
      <c r="BX280" s="121">
        <v>30.505000000000003</v>
      </c>
      <c r="BY280" s="121">
        <v>31.346</v>
      </c>
      <c r="BZ280" s="121">
        <f t="array" ref="BZ280:BZ312">TRANSPOSE(CA279:DG279)</f>
        <v>32.174500000000002</v>
      </c>
      <c r="CA280" s="158">
        <v>33.003</v>
      </c>
      <c r="CB280" s="120">
        <f>(CC280+CA280)/2</f>
        <v>33.854500000000002</v>
      </c>
      <c r="CC280" s="158">
        <v>34.706000000000003</v>
      </c>
      <c r="CD280" s="120">
        <f>(CE280+CC280)/2</f>
        <v>35.557000000000002</v>
      </c>
      <c r="CE280" s="158">
        <v>36.408000000000001</v>
      </c>
      <c r="CF280" s="120">
        <f>(CG280+CE280)/2</f>
        <v>37.162999999999997</v>
      </c>
      <c r="CG280" s="158">
        <v>37.917999999999999</v>
      </c>
      <c r="CH280" s="120">
        <f>(CI280+CG280)/2</f>
        <v>38.769500000000001</v>
      </c>
      <c r="CI280" s="158">
        <v>39.621000000000002</v>
      </c>
      <c r="CJ280" s="120">
        <f>(CK280+CI280)/2</f>
        <v>40.471500000000006</v>
      </c>
      <c r="CK280" s="158">
        <v>41.322000000000003</v>
      </c>
      <c r="CL280" s="120">
        <f>(CM280+CK280)/2</f>
        <v>42.109499999999997</v>
      </c>
      <c r="CM280" s="158">
        <v>42.896999999999998</v>
      </c>
      <c r="CN280" s="120">
        <f>(CO280+CM280)/2</f>
        <v>43.662499999999994</v>
      </c>
      <c r="CO280" s="158">
        <v>44.427999999999997</v>
      </c>
      <c r="CP280" s="120">
        <f>(CQ280+CO280)/2</f>
        <v>45.268500000000003</v>
      </c>
      <c r="CQ280" s="158">
        <v>46.109000000000002</v>
      </c>
      <c r="CR280" s="120">
        <f>(CS280+CQ280)/2</f>
        <v>46.896000000000001</v>
      </c>
      <c r="CS280" s="158">
        <v>47.683</v>
      </c>
      <c r="CT280" s="120">
        <f>(CU280+CS280)/2</f>
        <v>48.471000000000004</v>
      </c>
      <c r="CU280" s="158">
        <v>49.259</v>
      </c>
      <c r="CV280" s="120">
        <f>(CW280+CU280)/2</f>
        <v>50.087499999999999</v>
      </c>
      <c r="CW280" s="158">
        <v>50.915999999999997</v>
      </c>
      <c r="CX280" s="120">
        <f>(CY280+CW280)/2</f>
        <v>51.703000000000003</v>
      </c>
      <c r="CY280" s="158">
        <v>52.49</v>
      </c>
      <c r="CZ280" s="120">
        <f>(DA280+CY280)/2</f>
        <v>53.267499999999998</v>
      </c>
      <c r="DA280" s="158">
        <v>54.045000000000002</v>
      </c>
      <c r="DB280" s="120">
        <f>(DC280+DA280)/2</f>
        <v>54.832499999999996</v>
      </c>
      <c r="DC280" s="158">
        <v>55.62</v>
      </c>
      <c r="DD280" s="120">
        <f>(DE280+DC280)/2</f>
        <v>56.384500000000003</v>
      </c>
      <c r="DE280" s="158">
        <v>57.149000000000001</v>
      </c>
      <c r="DF280" s="120">
        <f>(DG280+DE280)/2</f>
        <v>57.936999999999998</v>
      </c>
      <c r="DG280" s="159">
        <v>58.725000000000001</v>
      </c>
    </row>
    <row r="281" spans="54:111" ht="15" customHeight="1" x14ac:dyDescent="0.2">
      <c r="BB281" s="28">
        <v>29</v>
      </c>
      <c r="BC281" s="121">
        <v>10.589500000000001</v>
      </c>
      <c r="BD281" s="121">
        <v>11.80325</v>
      </c>
      <c r="BE281" s="121">
        <v>13.016999999999999</v>
      </c>
      <c r="BF281" s="121">
        <v>14.07625</v>
      </c>
      <c r="BG281" s="121">
        <v>15.1355</v>
      </c>
      <c r="BH281" s="121">
        <v>16.193999999999999</v>
      </c>
      <c r="BI281" s="121">
        <v>17.252499999999998</v>
      </c>
      <c r="BJ281" s="121">
        <v>18.236750000000001</v>
      </c>
      <c r="BK281" s="121">
        <v>19.221</v>
      </c>
      <c r="BL281" s="121">
        <v>20.210999999999999</v>
      </c>
      <c r="BM281" s="121">
        <v>21.201000000000001</v>
      </c>
      <c r="BN281" s="121">
        <v>22.127249999999997</v>
      </c>
      <c r="BO281" s="121">
        <v>23.0535</v>
      </c>
      <c r="BP281" s="121">
        <v>23.984749999999998</v>
      </c>
      <c r="BQ281" s="121">
        <v>24.915999999999997</v>
      </c>
      <c r="BR281" s="121">
        <v>25.836500000000001</v>
      </c>
      <c r="BS281" s="121">
        <v>26.756999999999998</v>
      </c>
      <c r="BT281" s="121">
        <v>27.655999999999999</v>
      </c>
      <c r="BU281" s="121">
        <v>28.555</v>
      </c>
      <c r="BV281" s="121">
        <v>29.454499999999999</v>
      </c>
      <c r="BW281" s="121">
        <v>30.353999999999999</v>
      </c>
      <c r="BX281" s="121">
        <v>31.248250000000002</v>
      </c>
      <c r="BY281" s="121">
        <v>32.142499999999998</v>
      </c>
      <c r="BZ281" s="121">
        <v>32.998500000000007</v>
      </c>
      <c r="CA281" s="121">
        <f t="array" ref="CA281:CA312">TRANSPOSE(CB280:DG280)</f>
        <v>33.854500000000002</v>
      </c>
      <c r="CB281" s="120">
        <f>(CA281+CC281)/2</f>
        <v>34.722000000000001</v>
      </c>
      <c r="CC281" s="120">
        <f>(CC280+CC282)/2</f>
        <v>35.589500000000001</v>
      </c>
      <c r="CD281" s="120">
        <f>(CC281+CE281)/2</f>
        <v>36.45675</v>
      </c>
      <c r="CE281" s="120">
        <f>(CE280+CE282)/2</f>
        <v>37.323999999999998</v>
      </c>
      <c r="CF281" s="120">
        <f>(CE281+CG281)/2</f>
        <v>38.143249999999995</v>
      </c>
      <c r="CG281" s="120">
        <f>(CG280+CG282)/2</f>
        <v>38.962499999999999</v>
      </c>
      <c r="CH281" s="120">
        <f>(CG281+CI281)/2</f>
        <v>39.797750000000001</v>
      </c>
      <c r="CI281" s="120">
        <f>(CI280+CI282)/2</f>
        <v>40.633000000000003</v>
      </c>
      <c r="CJ281" s="120">
        <f>(CI281+CK281)/2</f>
        <v>41.495000000000005</v>
      </c>
      <c r="CK281" s="120">
        <f>(CK280+CK282)/2</f>
        <v>42.356999999999999</v>
      </c>
      <c r="CL281" s="120">
        <f>(CK281+CM281)/2</f>
        <v>43.160499999999999</v>
      </c>
      <c r="CM281" s="120">
        <f>(CM280+CM282)/2</f>
        <v>43.963999999999999</v>
      </c>
      <c r="CN281" s="120">
        <f>(CM281+CO281)/2</f>
        <v>44.788499999999999</v>
      </c>
      <c r="CO281" s="120">
        <f>(CO280+CO282)/2</f>
        <v>45.613</v>
      </c>
      <c r="CP281" s="120">
        <f>(CO281+CQ281)/2</f>
        <v>46.442999999999998</v>
      </c>
      <c r="CQ281" s="120">
        <f>(CQ280+CQ282)/2</f>
        <v>47.272999999999996</v>
      </c>
      <c r="CR281" s="120">
        <f>(CQ281+CS281)/2</f>
        <v>48.108249999999998</v>
      </c>
      <c r="CS281" s="120">
        <f>(CS280+CS282)/2</f>
        <v>48.9435</v>
      </c>
      <c r="CT281" s="120">
        <f>(CS281+CU281)/2</f>
        <v>49.747250000000001</v>
      </c>
      <c r="CU281" s="120">
        <f>(CU280+CU282)/2</f>
        <v>50.551000000000002</v>
      </c>
      <c r="CV281" s="120">
        <f>(CU281+CW281)/2</f>
        <v>51.375</v>
      </c>
      <c r="CW281" s="120">
        <f>(CW280+CW282)/2</f>
        <v>52.198999999999998</v>
      </c>
      <c r="CX281" s="120">
        <f>(CW281+CY281)/2</f>
        <v>53.034500000000001</v>
      </c>
      <c r="CY281" s="120">
        <f>(CY280+CY282)/2</f>
        <v>53.870000000000005</v>
      </c>
      <c r="CZ281" s="120">
        <f>(CY281+DA281)/2</f>
        <v>54.66825</v>
      </c>
      <c r="DA281" s="120">
        <f>(DA280+DA282)/2</f>
        <v>55.466499999999996</v>
      </c>
      <c r="DB281" s="120">
        <f>(DA281+DC281)/2</f>
        <v>56.270249999999997</v>
      </c>
      <c r="DC281" s="120">
        <f>(DC280+DC282)/2</f>
        <v>57.073999999999998</v>
      </c>
      <c r="DD281" s="120">
        <f>(DC281+DE281)/2</f>
        <v>57.866</v>
      </c>
      <c r="DE281" s="120">
        <f>(DE280+DE282)/2</f>
        <v>58.658000000000001</v>
      </c>
      <c r="DF281" s="120">
        <f>(DE281+DG281)/2</f>
        <v>59.461500000000001</v>
      </c>
      <c r="DG281" s="122">
        <f>(DG280+DG282)/2</f>
        <v>60.265000000000001</v>
      </c>
    </row>
    <row r="282" spans="54:111" ht="15" customHeight="1" x14ac:dyDescent="0.2">
      <c r="BB282" s="28">
        <v>30</v>
      </c>
      <c r="BC282" s="121">
        <v>10.839</v>
      </c>
      <c r="BD282" s="121">
        <v>12.105499999999999</v>
      </c>
      <c r="BE282" s="121">
        <v>13.372</v>
      </c>
      <c r="BF282" s="121">
        <v>14.448</v>
      </c>
      <c r="BG282" s="121">
        <v>15.523999999999999</v>
      </c>
      <c r="BH282" s="121">
        <v>16.598499999999998</v>
      </c>
      <c r="BI282" s="121">
        <v>17.672999999999998</v>
      </c>
      <c r="BJ282" s="121">
        <v>18.683999999999997</v>
      </c>
      <c r="BK282" s="121">
        <v>19.695</v>
      </c>
      <c r="BL282" s="121">
        <v>20.695999999999998</v>
      </c>
      <c r="BM282" s="121">
        <v>21.696999999999999</v>
      </c>
      <c r="BN282" s="121">
        <v>22.645</v>
      </c>
      <c r="BO282" s="121">
        <v>23.593</v>
      </c>
      <c r="BP282" s="121">
        <v>24.54</v>
      </c>
      <c r="BQ282" s="121">
        <v>25.486999999999998</v>
      </c>
      <c r="BR282" s="121">
        <v>26.434999999999999</v>
      </c>
      <c r="BS282" s="121">
        <v>27.382999999999999</v>
      </c>
      <c r="BT282" s="121">
        <v>28.33</v>
      </c>
      <c r="BU282" s="121">
        <v>29.277000000000001</v>
      </c>
      <c r="BV282" s="121">
        <v>30.160499999999999</v>
      </c>
      <c r="BW282" s="121">
        <v>31.044</v>
      </c>
      <c r="BX282" s="121">
        <v>31.991500000000002</v>
      </c>
      <c r="BY282" s="121">
        <v>32.939</v>
      </c>
      <c r="BZ282" s="121">
        <v>33.822500000000005</v>
      </c>
      <c r="CA282" s="121">
        <v>34.706000000000003</v>
      </c>
      <c r="CB282" s="121">
        <f t="array" ref="CB282:CB312">TRANSPOSE(CC281:DG281)</f>
        <v>35.589500000000001</v>
      </c>
      <c r="CC282" s="158">
        <v>36.472999999999999</v>
      </c>
      <c r="CD282" s="120">
        <f>(CE282+CC282)/2</f>
        <v>37.356499999999997</v>
      </c>
      <c r="CE282" s="158">
        <v>38.24</v>
      </c>
      <c r="CF282" s="120">
        <f>(CG282+CE282)/2</f>
        <v>39.1235</v>
      </c>
      <c r="CG282" s="158">
        <v>40.006999999999998</v>
      </c>
      <c r="CH282" s="120">
        <f>(CI282+CG282)/2</f>
        <v>40.826000000000001</v>
      </c>
      <c r="CI282" s="158">
        <v>41.645000000000003</v>
      </c>
      <c r="CJ282" s="120">
        <f>(CK282+CI282)/2</f>
        <v>42.518500000000003</v>
      </c>
      <c r="CK282" s="158">
        <v>43.392000000000003</v>
      </c>
      <c r="CL282" s="120">
        <f>(CM282+CK282)/2</f>
        <v>44.211500000000001</v>
      </c>
      <c r="CM282" s="158">
        <v>45.030999999999999</v>
      </c>
      <c r="CN282" s="120">
        <f>(CO282+CM282)/2</f>
        <v>45.914500000000004</v>
      </c>
      <c r="CO282" s="158">
        <v>46.798000000000002</v>
      </c>
      <c r="CP282" s="120">
        <f>(CQ282+CO282)/2</f>
        <v>47.6175</v>
      </c>
      <c r="CQ282" s="158">
        <v>48.436999999999998</v>
      </c>
      <c r="CR282" s="120">
        <f>(CS282+CQ282)/2</f>
        <v>49.320499999999996</v>
      </c>
      <c r="CS282" s="158">
        <v>50.204000000000001</v>
      </c>
      <c r="CT282" s="120">
        <f>(CU282+CS282)/2</f>
        <v>51.023499999999999</v>
      </c>
      <c r="CU282" s="158">
        <v>51.843000000000004</v>
      </c>
      <c r="CV282" s="120">
        <f>(CW282+CU282)/2</f>
        <v>52.662500000000001</v>
      </c>
      <c r="CW282" s="158">
        <v>53.481999999999999</v>
      </c>
      <c r="CX282" s="120">
        <f>(CY282+CW282)/2</f>
        <v>54.366</v>
      </c>
      <c r="CY282" s="158">
        <v>55.25</v>
      </c>
      <c r="CZ282" s="120">
        <f>(DA282+CY282)/2</f>
        <v>56.069000000000003</v>
      </c>
      <c r="DA282" s="158">
        <v>56.887999999999998</v>
      </c>
      <c r="DB282" s="120">
        <f>(DC282+DA282)/2</f>
        <v>57.707999999999998</v>
      </c>
      <c r="DC282" s="158">
        <v>58.527999999999999</v>
      </c>
      <c r="DD282" s="120">
        <f>(DE282+DC282)/2</f>
        <v>59.347499999999997</v>
      </c>
      <c r="DE282" s="158">
        <v>60.167000000000002</v>
      </c>
      <c r="DF282" s="120">
        <f>(DG282+DE282)/2</f>
        <v>60.986000000000004</v>
      </c>
      <c r="DG282" s="159">
        <v>61.805</v>
      </c>
    </row>
    <row r="283" spans="54:111" ht="15" customHeight="1" x14ac:dyDescent="0.2">
      <c r="BB283" s="28">
        <v>31</v>
      </c>
      <c r="BC283" s="121">
        <v>11.1515</v>
      </c>
      <c r="BD283" s="121">
        <v>12.402249999999999</v>
      </c>
      <c r="BE283" s="121">
        <v>13.652999999999999</v>
      </c>
      <c r="BF283" s="121">
        <v>14.776999999999999</v>
      </c>
      <c r="BG283" s="121">
        <v>15.901</v>
      </c>
      <c r="BH283" s="121">
        <v>16.991749999999996</v>
      </c>
      <c r="BI283" s="121">
        <v>18.0825</v>
      </c>
      <c r="BJ283" s="121">
        <v>19.12125</v>
      </c>
      <c r="BK283" s="121">
        <v>20.16</v>
      </c>
      <c r="BL283" s="121">
        <v>21.181999999999999</v>
      </c>
      <c r="BM283" s="121">
        <v>22.204000000000001</v>
      </c>
      <c r="BN283" s="121">
        <v>23.167999999999999</v>
      </c>
      <c r="BO283" s="121">
        <v>24.131999999999998</v>
      </c>
      <c r="BP283" s="121">
        <v>25.127499999999998</v>
      </c>
      <c r="BQ283" s="121">
        <v>26.122999999999998</v>
      </c>
      <c r="BR283" s="121">
        <v>27.097499999999997</v>
      </c>
      <c r="BS283" s="121">
        <v>28.071999999999999</v>
      </c>
      <c r="BT283" s="121">
        <v>29.008749999999999</v>
      </c>
      <c r="BU283" s="121">
        <v>29.945500000000003</v>
      </c>
      <c r="BV283" s="121">
        <v>30.876999999999999</v>
      </c>
      <c r="BW283" s="121">
        <v>31.808500000000002</v>
      </c>
      <c r="BX283" s="121">
        <v>32.740250000000003</v>
      </c>
      <c r="BY283" s="121">
        <v>33.671999999999997</v>
      </c>
      <c r="BZ283" s="121">
        <v>34.614500000000007</v>
      </c>
      <c r="CA283" s="121">
        <v>35.557000000000002</v>
      </c>
      <c r="CB283" s="121">
        <v>36.45675</v>
      </c>
      <c r="CC283" s="121">
        <f t="array" ref="CC283:CC312">TRANSPOSE(CD282:DG282)</f>
        <v>37.356499999999997</v>
      </c>
      <c r="CD283" s="120">
        <f>(CC283+CE283)/2</f>
        <v>38.256250000000001</v>
      </c>
      <c r="CE283" s="120">
        <f>(CE282+CE284)/2</f>
        <v>39.156000000000006</v>
      </c>
      <c r="CF283" s="120">
        <f>(CE283+CG283)/2</f>
        <v>40.066500000000005</v>
      </c>
      <c r="CG283" s="120">
        <f>(CG282+CG284)/2</f>
        <v>40.977000000000004</v>
      </c>
      <c r="CH283" s="120">
        <f>(CG283+CI283)/2</f>
        <v>41.812250000000006</v>
      </c>
      <c r="CI283" s="120">
        <f>(CI282+CI284)/2</f>
        <v>42.647500000000001</v>
      </c>
      <c r="CJ283" s="120">
        <f>(CI283+CK283)/2</f>
        <v>43.542500000000004</v>
      </c>
      <c r="CK283" s="120">
        <f>(CK282+CK284)/2</f>
        <v>44.4375</v>
      </c>
      <c r="CL283" s="120">
        <f>(CK283+CM283)/2</f>
        <v>45.304749999999999</v>
      </c>
      <c r="CM283" s="120">
        <f>(CM282+CM284)/2</f>
        <v>46.171999999999997</v>
      </c>
      <c r="CN283" s="120">
        <f>(CM283+CO283)/2</f>
        <v>47.051000000000002</v>
      </c>
      <c r="CO283" s="120">
        <f>(CO282+CO284)/2</f>
        <v>47.93</v>
      </c>
      <c r="CP283" s="120">
        <f>(CO283+CQ283)/2</f>
        <v>48.797250000000005</v>
      </c>
      <c r="CQ283" s="120">
        <f>(CQ282+CQ284)/2</f>
        <v>49.664500000000004</v>
      </c>
      <c r="CR283" s="120">
        <f>(CQ283+CS283)/2</f>
        <v>50.532499999999999</v>
      </c>
      <c r="CS283" s="120">
        <f>(CS282+CS284)/2</f>
        <v>51.400500000000001</v>
      </c>
      <c r="CT283" s="120">
        <f>(CS283+CU283)/2</f>
        <v>52.268000000000001</v>
      </c>
      <c r="CU283" s="120">
        <f>(CU282+CU284)/2</f>
        <v>53.1355</v>
      </c>
      <c r="CV283" s="120">
        <f>(CU283+CW283)/2</f>
        <v>53.982250000000001</v>
      </c>
      <c r="CW283" s="120">
        <f>(CW282+CW284)/2</f>
        <v>54.829000000000001</v>
      </c>
      <c r="CX283" s="120">
        <f>(CW283+CY283)/2</f>
        <v>55.696749999999994</v>
      </c>
      <c r="CY283" s="120">
        <f>(CY282+CY284)/2</f>
        <v>56.564499999999995</v>
      </c>
      <c r="CZ283" s="120">
        <f>(CY283+DA283)/2</f>
        <v>57.431999999999995</v>
      </c>
      <c r="DA283" s="120">
        <f>(DA282+DA284)/2</f>
        <v>58.299499999999995</v>
      </c>
      <c r="DB283" s="120">
        <f>(DA283+DC283)/2</f>
        <v>59.135499999999993</v>
      </c>
      <c r="DC283" s="120">
        <f>(DC282+DC284)/2</f>
        <v>59.971499999999999</v>
      </c>
      <c r="DD283" s="120">
        <f>(DC283+DE283)/2</f>
        <v>60.817999999999998</v>
      </c>
      <c r="DE283" s="120">
        <f>(DE282+DE284)/2</f>
        <v>61.664500000000004</v>
      </c>
      <c r="DF283" s="120">
        <f>(DE283+DG283)/2</f>
        <v>62.5</v>
      </c>
      <c r="DG283" s="122">
        <f>(DG282+DG284)/2</f>
        <v>63.335499999999996</v>
      </c>
    </row>
    <row r="284" spans="54:111" ht="15" customHeight="1" x14ac:dyDescent="0.2">
      <c r="BB284" s="28">
        <v>32</v>
      </c>
      <c r="BC284" s="121">
        <v>11.464</v>
      </c>
      <c r="BD284" s="121">
        <v>12.699</v>
      </c>
      <c r="BE284" s="121">
        <v>13.933999999999999</v>
      </c>
      <c r="BF284" s="121">
        <v>15.105999999999998</v>
      </c>
      <c r="BG284" s="121">
        <v>16.277999999999999</v>
      </c>
      <c r="BH284" s="121">
        <v>17.384999999999998</v>
      </c>
      <c r="BI284" s="121">
        <v>18.492000000000001</v>
      </c>
      <c r="BJ284" s="121">
        <v>19.558500000000002</v>
      </c>
      <c r="BK284" s="121">
        <v>20.625</v>
      </c>
      <c r="BL284" s="121">
        <v>21.667999999999999</v>
      </c>
      <c r="BM284" s="121">
        <v>22.710999999999999</v>
      </c>
      <c r="BN284" s="121">
        <v>23.690999999999999</v>
      </c>
      <c r="BO284" s="121">
        <v>24.670999999999999</v>
      </c>
      <c r="BP284" s="121">
        <v>25.715</v>
      </c>
      <c r="BQ284" s="121">
        <v>26.759</v>
      </c>
      <c r="BR284" s="121">
        <v>27.759999999999998</v>
      </c>
      <c r="BS284" s="121">
        <v>28.760999999999999</v>
      </c>
      <c r="BT284" s="121">
        <v>29.6875</v>
      </c>
      <c r="BU284" s="121">
        <v>30.614000000000001</v>
      </c>
      <c r="BV284" s="121">
        <v>31.593499999999999</v>
      </c>
      <c r="BW284" s="121">
        <v>32.573</v>
      </c>
      <c r="BX284" s="121">
        <v>33.489000000000004</v>
      </c>
      <c r="BY284" s="121">
        <v>34.405000000000001</v>
      </c>
      <c r="BZ284" s="121">
        <v>35.406500000000001</v>
      </c>
      <c r="CA284" s="121">
        <v>36.408000000000001</v>
      </c>
      <c r="CB284" s="121">
        <v>37.323999999999998</v>
      </c>
      <c r="CC284" s="121">
        <v>38.24</v>
      </c>
      <c r="CD284" s="121">
        <f t="array" ref="CD284:CD312">TRANSPOSE(CE283:DG283)</f>
        <v>39.156000000000006</v>
      </c>
      <c r="CE284" s="158">
        <v>40.072000000000003</v>
      </c>
      <c r="CF284" s="120">
        <f>(CG284+CE284)/2</f>
        <v>41.009500000000003</v>
      </c>
      <c r="CG284" s="158">
        <v>41.947000000000003</v>
      </c>
      <c r="CH284" s="120">
        <f>(CI284+CG284)/2</f>
        <v>42.798500000000004</v>
      </c>
      <c r="CI284" s="158">
        <v>43.65</v>
      </c>
      <c r="CJ284" s="120">
        <f>(CK284+CI284)/2</f>
        <v>44.566499999999998</v>
      </c>
      <c r="CK284" s="158">
        <v>45.482999999999997</v>
      </c>
      <c r="CL284" s="120">
        <f>(CM284+CK284)/2</f>
        <v>46.397999999999996</v>
      </c>
      <c r="CM284" s="158">
        <v>47.313000000000002</v>
      </c>
      <c r="CN284" s="120">
        <f>(CO284+CM284)/2</f>
        <v>48.1875</v>
      </c>
      <c r="CO284" s="158">
        <v>49.061999999999998</v>
      </c>
      <c r="CP284" s="120">
        <f>(CQ284+CO284)/2</f>
        <v>49.977000000000004</v>
      </c>
      <c r="CQ284" s="158">
        <v>50.892000000000003</v>
      </c>
      <c r="CR284" s="120">
        <f>(CS284+CQ284)/2</f>
        <v>51.744500000000002</v>
      </c>
      <c r="CS284" s="158">
        <v>52.597000000000001</v>
      </c>
      <c r="CT284" s="120">
        <f>(CU284+CS284)/2</f>
        <v>53.512500000000003</v>
      </c>
      <c r="CU284" s="158">
        <v>54.427999999999997</v>
      </c>
      <c r="CV284" s="120">
        <f>(CW284+CU284)/2</f>
        <v>55.302</v>
      </c>
      <c r="CW284" s="158">
        <v>56.176000000000002</v>
      </c>
      <c r="CX284" s="120">
        <f>(CY284+CW284)/2</f>
        <v>57.027500000000003</v>
      </c>
      <c r="CY284" s="158">
        <v>57.878999999999998</v>
      </c>
      <c r="CZ284" s="120">
        <f>(DA284+CY284)/2</f>
        <v>58.795000000000002</v>
      </c>
      <c r="DA284" s="158">
        <v>59.710999999999999</v>
      </c>
      <c r="DB284" s="120">
        <f>(DC284+DA284)/2</f>
        <v>60.563000000000002</v>
      </c>
      <c r="DC284" s="158">
        <v>61.414999999999999</v>
      </c>
      <c r="DD284" s="120">
        <f>(DE284+DC284)/2</f>
        <v>62.288499999999999</v>
      </c>
      <c r="DE284" s="158">
        <v>63.161999999999999</v>
      </c>
      <c r="DF284" s="120">
        <f>(DG284+DE284)/2</f>
        <v>64.013999999999996</v>
      </c>
      <c r="DG284" s="159">
        <v>64.866</v>
      </c>
    </row>
    <row r="285" spans="54:111" ht="15" customHeight="1" x14ac:dyDescent="0.2">
      <c r="BB285" s="28">
        <v>33</v>
      </c>
      <c r="BC285" s="121">
        <v>11.690999999999999</v>
      </c>
      <c r="BD285" s="121">
        <v>12.958500000000001</v>
      </c>
      <c r="BE285" s="121">
        <v>14.225999999999999</v>
      </c>
      <c r="BF285" s="121">
        <v>15.41375</v>
      </c>
      <c r="BG285" s="121">
        <v>16.601500000000001</v>
      </c>
      <c r="BH285" s="121">
        <v>17.736249999999998</v>
      </c>
      <c r="BI285" s="121">
        <v>18.871000000000002</v>
      </c>
      <c r="BJ285" s="121">
        <v>19.974250000000001</v>
      </c>
      <c r="BK285" s="121">
        <v>21.077500000000001</v>
      </c>
      <c r="BL285" s="121">
        <v>22.148</v>
      </c>
      <c r="BM285" s="121">
        <v>23.218499999999999</v>
      </c>
      <c r="BN285" s="121">
        <v>24.246249999999996</v>
      </c>
      <c r="BO285" s="121">
        <v>25.274000000000001</v>
      </c>
      <c r="BP285" s="121">
        <v>26.318249999999999</v>
      </c>
      <c r="BQ285" s="121">
        <v>27.362500000000001</v>
      </c>
      <c r="BR285" s="121">
        <v>28.369</v>
      </c>
      <c r="BS285" s="121">
        <v>29.375499999999999</v>
      </c>
      <c r="BT285" s="121">
        <v>30.35575</v>
      </c>
      <c r="BU285" s="121">
        <v>31.335999999999999</v>
      </c>
      <c r="BV285" s="121">
        <v>32.299750000000003</v>
      </c>
      <c r="BW285" s="121">
        <v>33.263500000000001</v>
      </c>
      <c r="BX285" s="121">
        <v>34.238500000000002</v>
      </c>
      <c r="BY285" s="121">
        <v>35.213499999999996</v>
      </c>
      <c r="BZ285" s="121">
        <v>36.188249999999996</v>
      </c>
      <c r="CA285" s="121">
        <v>37.162999999999997</v>
      </c>
      <c r="CB285" s="121">
        <v>38.143249999999995</v>
      </c>
      <c r="CC285" s="121">
        <v>39.1235</v>
      </c>
      <c r="CD285" s="121">
        <v>40.066500000000005</v>
      </c>
      <c r="CE285" s="121">
        <f t="array" ref="CE285:CE312">TRANSPOSE(CF284:DG284)</f>
        <v>41.009500000000003</v>
      </c>
      <c r="CF285" s="120">
        <f>(CE285+CG285)/2</f>
        <v>41.952250000000006</v>
      </c>
      <c r="CG285" s="120">
        <f>(CG284+CG286)/2</f>
        <v>42.895000000000003</v>
      </c>
      <c r="CH285" s="120">
        <f>(CG285+CI285)/2</f>
        <v>43.774000000000001</v>
      </c>
      <c r="CI285" s="120">
        <f>(CI284+CI286)/2</f>
        <v>44.652999999999999</v>
      </c>
      <c r="CJ285" s="120">
        <f>(CI285+CK285)/2</f>
        <v>45.584999999999994</v>
      </c>
      <c r="CK285" s="120">
        <f>(CK284+CK286)/2</f>
        <v>46.516999999999996</v>
      </c>
      <c r="CL285" s="120">
        <f>(CK285+CM285)/2</f>
        <v>47.464749999999995</v>
      </c>
      <c r="CM285" s="120">
        <f>(CM284+CM286)/2</f>
        <v>48.412500000000001</v>
      </c>
      <c r="CN285" s="120">
        <f>(CM285+CO285)/2</f>
        <v>49.323750000000004</v>
      </c>
      <c r="CO285" s="120">
        <f>(CO284+CO286)/2</f>
        <v>50.234999999999999</v>
      </c>
      <c r="CP285" s="120">
        <f>(CO285+CQ285)/2</f>
        <v>51.145499999999998</v>
      </c>
      <c r="CQ285" s="120">
        <f>(CQ284+CQ286)/2</f>
        <v>52.055999999999997</v>
      </c>
      <c r="CR285" s="120">
        <f>(CQ285+CS285)/2</f>
        <v>52.956499999999998</v>
      </c>
      <c r="CS285" s="120">
        <f>(CS284+CS286)/2</f>
        <v>53.856999999999999</v>
      </c>
      <c r="CT285" s="120">
        <f>(CS285+CU285)/2</f>
        <v>54.767499999999998</v>
      </c>
      <c r="CU285" s="120">
        <f>(CU284+CU286)/2</f>
        <v>55.677999999999997</v>
      </c>
      <c r="CV285" s="120">
        <f>(CU285+CW285)/2</f>
        <v>56.58925</v>
      </c>
      <c r="CW285" s="120">
        <f>(CW284+CW286)/2</f>
        <v>57.500500000000002</v>
      </c>
      <c r="CX285" s="120">
        <f>(CW285+CY285)/2</f>
        <v>58.384500000000003</v>
      </c>
      <c r="CY285" s="120">
        <f>(CY284+CY286)/2</f>
        <v>59.268500000000003</v>
      </c>
      <c r="CZ285" s="120">
        <f>(CY285+DA285)/2</f>
        <v>60.168500000000002</v>
      </c>
      <c r="DA285" s="120">
        <f>(DA284+DA286)/2</f>
        <v>61.0685</v>
      </c>
      <c r="DB285" s="120">
        <f>(DA285+DC285)/2</f>
        <v>61.979750000000003</v>
      </c>
      <c r="DC285" s="120">
        <f>(DC284+DC286)/2</f>
        <v>62.891000000000005</v>
      </c>
      <c r="DD285" s="120">
        <f>(DC285+DE285)/2</f>
        <v>63.769750000000002</v>
      </c>
      <c r="DE285" s="120">
        <f>(DE284+DE286)/2</f>
        <v>64.648499999999999</v>
      </c>
      <c r="DF285" s="120">
        <f>(DE285+DG285)/2</f>
        <v>65.527500000000003</v>
      </c>
      <c r="DG285" s="122">
        <f>(DG284+DG286)/2</f>
        <v>66.406499999999994</v>
      </c>
    </row>
    <row r="286" spans="54:111" ht="15" customHeight="1" x14ac:dyDescent="0.2">
      <c r="BB286" s="28">
        <v>34</v>
      </c>
      <c r="BC286" s="121">
        <v>11.917999999999999</v>
      </c>
      <c r="BD286" s="121">
        <v>13.218</v>
      </c>
      <c r="BE286" s="121">
        <v>14.518000000000001</v>
      </c>
      <c r="BF286" s="121">
        <v>15.721500000000001</v>
      </c>
      <c r="BG286" s="121">
        <v>16.925000000000001</v>
      </c>
      <c r="BH286" s="121">
        <v>18.087499999999999</v>
      </c>
      <c r="BI286" s="121">
        <v>19.25</v>
      </c>
      <c r="BJ286" s="121">
        <v>20.39</v>
      </c>
      <c r="BK286" s="121">
        <v>21.53</v>
      </c>
      <c r="BL286" s="121">
        <v>22.628</v>
      </c>
      <c r="BM286" s="121">
        <v>23.725999999999999</v>
      </c>
      <c r="BN286" s="121">
        <v>24.801499999999997</v>
      </c>
      <c r="BO286" s="121">
        <v>25.876999999999999</v>
      </c>
      <c r="BP286" s="121">
        <v>26.921500000000002</v>
      </c>
      <c r="BQ286" s="121">
        <v>27.966000000000001</v>
      </c>
      <c r="BR286" s="121">
        <v>28.978000000000002</v>
      </c>
      <c r="BS286" s="121">
        <v>29.99</v>
      </c>
      <c r="BT286" s="121">
        <v>31.024000000000001</v>
      </c>
      <c r="BU286" s="121">
        <v>32.058</v>
      </c>
      <c r="BV286" s="121">
        <v>33.006</v>
      </c>
      <c r="BW286" s="121">
        <v>33.954000000000001</v>
      </c>
      <c r="BX286" s="121">
        <v>34.988</v>
      </c>
      <c r="BY286" s="121">
        <v>36.021999999999998</v>
      </c>
      <c r="BZ286" s="121">
        <v>36.97</v>
      </c>
      <c r="CA286" s="121">
        <v>37.917999999999999</v>
      </c>
      <c r="CB286" s="121">
        <v>38.962499999999999</v>
      </c>
      <c r="CC286" s="121">
        <v>40.006999999999998</v>
      </c>
      <c r="CD286" s="121">
        <v>40.977000000000004</v>
      </c>
      <c r="CE286" s="121">
        <v>41.947000000000003</v>
      </c>
      <c r="CF286" s="121">
        <f t="array" ref="CF286:CF312">TRANSPOSE(CG285:DG285)</f>
        <v>42.895000000000003</v>
      </c>
      <c r="CG286" s="158">
        <v>43.843000000000004</v>
      </c>
      <c r="CH286" s="120">
        <f>(CI286+CG286)/2</f>
        <v>44.749499999999998</v>
      </c>
      <c r="CI286" s="158">
        <v>45.655999999999999</v>
      </c>
      <c r="CJ286" s="120">
        <f>(CK286+CI286)/2</f>
        <v>46.603499999999997</v>
      </c>
      <c r="CK286" s="158">
        <v>47.551000000000002</v>
      </c>
      <c r="CL286" s="120">
        <f>(CM286+CK286)/2</f>
        <v>48.531500000000001</v>
      </c>
      <c r="CM286" s="158">
        <v>49.512</v>
      </c>
      <c r="CN286" s="120">
        <f>(CO286+CM286)/2</f>
        <v>50.46</v>
      </c>
      <c r="CO286" s="158">
        <v>51.408000000000001</v>
      </c>
      <c r="CP286" s="120">
        <f>(CQ286+CO286)/2</f>
        <v>52.314</v>
      </c>
      <c r="CQ286" s="158">
        <v>53.22</v>
      </c>
      <c r="CR286" s="120">
        <f>(CS286+CQ286)/2</f>
        <v>54.168499999999995</v>
      </c>
      <c r="CS286" s="158">
        <v>55.116999999999997</v>
      </c>
      <c r="CT286" s="120">
        <f>(CU286+CS286)/2</f>
        <v>56.022499999999994</v>
      </c>
      <c r="CU286" s="158">
        <v>56.927999999999997</v>
      </c>
      <c r="CV286" s="120">
        <f>(CW286+CU286)/2</f>
        <v>57.8765</v>
      </c>
      <c r="CW286" s="158">
        <v>58.825000000000003</v>
      </c>
      <c r="CX286" s="120">
        <f>(CY286+CW286)/2</f>
        <v>59.741500000000002</v>
      </c>
      <c r="CY286" s="158">
        <v>60.658000000000001</v>
      </c>
      <c r="CZ286" s="120">
        <f>(DA286+CY286)/2</f>
        <v>61.542000000000002</v>
      </c>
      <c r="DA286" s="158">
        <v>62.426000000000002</v>
      </c>
      <c r="DB286" s="120">
        <f>(DC286+DA286)/2</f>
        <v>63.396500000000003</v>
      </c>
      <c r="DC286" s="158">
        <v>64.367000000000004</v>
      </c>
      <c r="DD286" s="120">
        <f>(DE286+DC286)/2</f>
        <v>65.251000000000005</v>
      </c>
      <c r="DE286" s="158">
        <v>66.135000000000005</v>
      </c>
      <c r="DF286" s="120">
        <f>(DG286+DE286)/2</f>
        <v>67.040999999999997</v>
      </c>
      <c r="DG286" s="159">
        <v>67.947000000000003</v>
      </c>
    </row>
    <row r="287" spans="54:111" ht="15" customHeight="1" x14ac:dyDescent="0.2">
      <c r="BB287" s="28">
        <v>35</v>
      </c>
      <c r="BC287" s="121">
        <v>12.177499999999998</v>
      </c>
      <c r="BD287" s="121">
        <v>13.509499999999999</v>
      </c>
      <c r="BE287" s="121">
        <v>14.8415</v>
      </c>
      <c r="BF287" s="121">
        <v>16.07225</v>
      </c>
      <c r="BG287" s="121">
        <v>17.303000000000001</v>
      </c>
      <c r="BH287" s="121">
        <v>18.486499999999999</v>
      </c>
      <c r="BI287" s="121">
        <v>19.670000000000002</v>
      </c>
      <c r="BJ287" s="121">
        <v>20.837</v>
      </c>
      <c r="BK287" s="121">
        <v>22.004000000000001</v>
      </c>
      <c r="BL287" s="121">
        <v>23.11825</v>
      </c>
      <c r="BM287" s="121">
        <v>24.232500000000002</v>
      </c>
      <c r="BN287" s="121">
        <v>25.3245</v>
      </c>
      <c r="BO287" s="121">
        <v>26.416499999999999</v>
      </c>
      <c r="BP287" s="121">
        <v>27.476750000000003</v>
      </c>
      <c r="BQ287" s="121">
        <v>28.536999999999999</v>
      </c>
      <c r="BR287" s="121">
        <v>29.576250000000002</v>
      </c>
      <c r="BS287" s="121">
        <v>30.615499999999997</v>
      </c>
      <c r="BT287" s="121">
        <v>31.665750000000003</v>
      </c>
      <c r="BU287" s="121">
        <v>32.716000000000001</v>
      </c>
      <c r="BV287" s="121">
        <v>33.728250000000003</v>
      </c>
      <c r="BW287" s="121">
        <v>34.740499999999997</v>
      </c>
      <c r="BX287" s="121">
        <v>35.779499999999999</v>
      </c>
      <c r="BY287" s="121">
        <v>36.8185</v>
      </c>
      <c r="BZ287" s="121">
        <v>37.793999999999997</v>
      </c>
      <c r="CA287" s="121">
        <v>38.769500000000001</v>
      </c>
      <c r="CB287" s="121">
        <v>39.797750000000001</v>
      </c>
      <c r="CC287" s="121">
        <v>40.826000000000001</v>
      </c>
      <c r="CD287" s="121">
        <v>41.812250000000006</v>
      </c>
      <c r="CE287" s="121">
        <v>42.798500000000004</v>
      </c>
      <c r="CF287" s="121">
        <v>43.774000000000001</v>
      </c>
      <c r="CG287" s="121">
        <f t="array" ref="CG287:CG312">TRANSPOSE(CH286:DG286)</f>
        <v>44.749499999999998</v>
      </c>
      <c r="CH287" s="120">
        <f>(CG287+CI287)/2</f>
        <v>45.724499999999999</v>
      </c>
      <c r="CI287" s="120">
        <f>(CI286+CI288)/2</f>
        <v>46.6995</v>
      </c>
      <c r="CJ287" s="120">
        <f>(CI287+CK287)/2</f>
        <v>47.647750000000002</v>
      </c>
      <c r="CK287" s="120">
        <f>(CK286+CK288)/2</f>
        <v>48.596000000000004</v>
      </c>
      <c r="CL287" s="120">
        <f>(CK287+CM287)/2</f>
        <v>49.619500000000002</v>
      </c>
      <c r="CM287" s="120">
        <f>(CM286+CM288)/2</f>
        <v>50.643000000000001</v>
      </c>
      <c r="CN287" s="120">
        <f>(CM287+CO287)/2</f>
        <v>51.585999999999999</v>
      </c>
      <c r="CO287" s="120">
        <f>(CO286+CO288)/2</f>
        <v>52.528999999999996</v>
      </c>
      <c r="CP287" s="120">
        <f>(CO287+CQ287)/2</f>
        <v>53.456499999999998</v>
      </c>
      <c r="CQ287" s="120">
        <f>(CQ286+CQ288)/2</f>
        <v>54.384</v>
      </c>
      <c r="CR287" s="120">
        <f>(CQ287+CS287)/2</f>
        <v>55.380499999999998</v>
      </c>
      <c r="CS287" s="120">
        <f>(CS286+CS288)/2</f>
        <v>56.376999999999995</v>
      </c>
      <c r="CT287" s="120">
        <f>(CS287+CU287)/2</f>
        <v>57.298999999999999</v>
      </c>
      <c r="CU287" s="120">
        <f>(CU286+CU288)/2</f>
        <v>58.221000000000004</v>
      </c>
      <c r="CV287" s="120">
        <f>(CU287+CW287)/2</f>
        <v>59.169499999999999</v>
      </c>
      <c r="CW287" s="120">
        <f>(CW286+CW288)/2</f>
        <v>60.118000000000002</v>
      </c>
      <c r="CX287" s="120">
        <f>(CW287+CY287)/2</f>
        <v>61.045500000000004</v>
      </c>
      <c r="CY287" s="120">
        <f>(CY286+CY288)/2</f>
        <v>61.972999999999999</v>
      </c>
      <c r="CZ287" s="120">
        <f>(CY287+DA287)/2</f>
        <v>62.884250000000002</v>
      </c>
      <c r="DA287" s="120">
        <f>(DA286+DA288)/2</f>
        <v>63.795500000000004</v>
      </c>
      <c r="DB287" s="120">
        <f>(DA287+DC287)/2</f>
        <v>64.808000000000007</v>
      </c>
      <c r="DC287" s="120">
        <f>(DC286+DC288)/2</f>
        <v>65.82050000000001</v>
      </c>
      <c r="DD287" s="120">
        <f>(DC287+DE287)/2</f>
        <v>66.731750000000005</v>
      </c>
      <c r="DE287" s="120">
        <f>(DE286+DE288)/2</f>
        <v>67.643000000000001</v>
      </c>
      <c r="DF287" s="120">
        <f>(DE287+DG287)/2</f>
        <v>68.565250000000006</v>
      </c>
      <c r="DG287" s="122">
        <f>(DG286+DG288)/2</f>
        <v>69.487500000000011</v>
      </c>
    </row>
    <row r="288" spans="54:111" ht="15" customHeight="1" x14ac:dyDescent="0.2">
      <c r="BB288" s="28">
        <v>36</v>
      </c>
      <c r="BC288" s="121">
        <v>12.436999999999999</v>
      </c>
      <c r="BD288" s="121">
        <v>13.800999999999998</v>
      </c>
      <c r="BE288" s="121">
        <v>15.164999999999999</v>
      </c>
      <c r="BF288" s="121">
        <v>16.423000000000002</v>
      </c>
      <c r="BG288" s="121">
        <v>17.681000000000001</v>
      </c>
      <c r="BH288" s="121">
        <v>18.8855</v>
      </c>
      <c r="BI288" s="121">
        <v>20.09</v>
      </c>
      <c r="BJ288" s="121">
        <v>21.283999999999999</v>
      </c>
      <c r="BK288" s="121">
        <v>22.478000000000002</v>
      </c>
      <c r="BL288" s="121">
        <v>23.608499999999999</v>
      </c>
      <c r="BM288" s="121">
        <v>24.739000000000001</v>
      </c>
      <c r="BN288" s="121">
        <v>25.8475</v>
      </c>
      <c r="BO288" s="121">
        <v>26.956</v>
      </c>
      <c r="BP288" s="121">
        <v>28.032</v>
      </c>
      <c r="BQ288" s="121">
        <v>29.108000000000001</v>
      </c>
      <c r="BR288" s="121">
        <v>30.174500000000002</v>
      </c>
      <c r="BS288" s="121">
        <v>31.241</v>
      </c>
      <c r="BT288" s="121">
        <v>32.307500000000005</v>
      </c>
      <c r="BU288" s="121">
        <v>33.374000000000002</v>
      </c>
      <c r="BV288" s="121">
        <v>34.450500000000005</v>
      </c>
      <c r="BW288" s="121">
        <v>35.527000000000001</v>
      </c>
      <c r="BX288" s="121">
        <v>36.570999999999998</v>
      </c>
      <c r="BY288" s="121">
        <v>37.615000000000002</v>
      </c>
      <c r="BZ288" s="121">
        <v>38.618000000000002</v>
      </c>
      <c r="CA288" s="121">
        <v>39.621000000000002</v>
      </c>
      <c r="CB288" s="121">
        <v>40.633000000000003</v>
      </c>
      <c r="CC288" s="121">
        <v>41.645000000000003</v>
      </c>
      <c r="CD288" s="121">
        <v>42.647500000000001</v>
      </c>
      <c r="CE288" s="121">
        <v>43.65</v>
      </c>
      <c r="CF288" s="121">
        <v>44.652999999999999</v>
      </c>
      <c r="CG288" s="121">
        <v>45.655999999999999</v>
      </c>
      <c r="CH288" s="121">
        <f t="array" ref="CH288:CH312">TRANSPOSE(CI287:DG287)</f>
        <v>46.6995</v>
      </c>
      <c r="CI288" s="158">
        <v>47.743000000000002</v>
      </c>
      <c r="CJ288" s="120">
        <f>(CK288+CI288)/2</f>
        <v>48.692</v>
      </c>
      <c r="CK288" s="158">
        <v>49.640999999999998</v>
      </c>
      <c r="CL288" s="120">
        <f>(CM288+CK288)/2</f>
        <v>50.707499999999996</v>
      </c>
      <c r="CM288" s="158">
        <v>51.774000000000001</v>
      </c>
      <c r="CN288" s="120">
        <f>(CO288+CM288)/2</f>
        <v>52.712000000000003</v>
      </c>
      <c r="CO288" s="158">
        <v>53.65</v>
      </c>
      <c r="CP288" s="120">
        <f>(CQ288+CO288)/2</f>
        <v>54.599000000000004</v>
      </c>
      <c r="CQ288" s="158">
        <v>55.548000000000002</v>
      </c>
      <c r="CR288" s="120">
        <f>(CS288+CQ288)/2</f>
        <v>56.592500000000001</v>
      </c>
      <c r="CS288" s="158">
        <v>57.637</v>
      </c>
      <c r="CT288" s="120">
        <f>(CU288+CS288)/2</f>
        <v>58.575500000000005</v>
      </c>
      <c r="CU288" s="158">
        <v>59.514000000000003</v>
      </c>
      <c r="CV288" s="120">
        <f>(CW288+CU288)/2</f>
        <v>60.462500000000006</v>
      </c>
      <c r="CW288" s="158">
        <v>61.411000000000001</v>
      </c>
      <c r="CX288" s="120">
        <f>(CY288+CW288)/2</f>
        <v>62.349499999999999</v>
      </c>
      <c r="CY288" s="158">
        <v>63.287999999999997</v>
      </c>
      <c r="CZ288" s="120">
        <f>(DA288+CY288)/2</f>
        <v>64.226500000000001</v>
      </c>
      <c r="DA288" s="158">
        <v>65.165000000000006</v>
      </c>
      <c r="DB288" s="120">
        <f>(DC288+DA288)/2</f>
        <v>66.219500000000011</v>
      </c>
      <c r="DC288" s="158">
        <v>67.274000000000001</v>
      </c>
      <c r="DD288" s="120">
        <f>(DE288+DC288)/2</f>
        <v>68.212500000000006</v>
      </c>
      <c r="DE288" s="158">
        <v>69.150999999999996</v>
      </c>
      <c r="DF288" s="120">
        <f>(DG288+DE288)/2</f>
        <v>70.089500000000001</v>
      </c>
      <c r="DG288" s="159">
        <v>71.028000000000006</v>
      </c>
    </row>
    <row r="289" spans="54:111" ht="15" customHeight="1" x14ac:dyDescent="0.2">
      <c r="BB289" s="28">
        <v>37</v>
      </c>
      <c r="BC289" s="121">
        <v>12.6645</v>
      </c>
      <c r="BD289" s="121">
        <v>14.055499999999999</v>
      </c>
      <c r="BE289" s="121">
        <v>15.4465</v>
      </c>
      <c r="BF289" s="121">
        <v>16.725750000000001</v>
      </c>
      <c r="BG289" s="121">
        <v>18.005000000000003</v>
      </c>
      <c r="BH289" s="121">
        <v>19.252749999999999</v>
      </c>
      <c r="BI289" s="121">
        <v>20.500500000000002</v>
      </c>
      <c r="BJ289" s="121">
        <v>21.71575</v>
      </c>
      <c r="BK289" s="121">
        <v>22.931000000000001</v>
      </c>
      <c r="BL289" s="121">
        <v>24.077249999999999</v>
      </c>
      <c r="BM289" s="121">
        <v>25.223500000000001</v>
      </c>
      <c r="BN289" s="121">
        <v>26.370249999999999</v>
      </c>
      <c r="BO289" s="121">
        <v>27.516999999999999</v>
      </c>
      <c r="BP289" s="121">
        <v>28.609499999999997</v>
      </c>
      <c r="BQ289" s="121">
        <v>29.701999999999998</v>
      </c>
      <c r="BR289" s="121">
        <v>30.784500000000001</v>
      </c>
      <c r="BS289" s="121">
        <v>31.867000000000001</v>
      </c>
      <c r="BT289" s="121">
        <v>32.986500000000007</v>
      </c>
      <c r="BU289" s="121">
        <v>34.106000000000002</v>
      </c>
      <c r="BV289" s="121">
        <v>35.161750000000005</v>
      </c>
      <c r="BW289" s="121">
        <v>36.217500000000001</v>
      </c>
      <c r="BX289" s="121">
        <v>37.293999999999997</v>
      </c>
      <c r="BY289" s="121">
        <v>38.3705</v>
      </c>
      <c r="BZ289" s="121">
        <v>39.421000000000006</v>
      </c>
      <c r="CA289" s="121">
        <v>40.471500000000006</v>
      </c>
      <c r="CB289" s="121">
        <v>41.495000000000005</v>
      </c>
      <c r="CC289" s="121">
        <v>42.518500000000003</v>
      </c>
      <c r="CD289" s="121">
        <v>43.542500000000004</v>
      </c>
      <c r="CE289" s="121">
        <v>44.566499999999998</v>
      </c>
      <c r="CF289" s="121">
        <v>45.584999999999994</v>
      </c>
      <c r="CG289" s="121">
        <v>46.603499999999997</v>
      </c>
      <c r="CH289" s="121">
        <v>47.647750000000002</v>
      </c>
      <c r="CI289" s="121">
        <f t="array" ref="CI289:CI312">TRANSPOSE(CJ288:DG288)</f>
        <v>48.692</v>
      </c>
      <c r="CJ289" s="120">
        <f>(CI289+CK289)/2</f>
        <v>49.71575</v>
      </c>
      <c r="CK289" s="120">
        <f>(CK288+CK290)/2</f>
        <v>50.7395</v>
      </c>
      <c r="CL289" s="120">
        <f>(CK289+CM289)/2</f>
        <v>51.763500000000001</v>
      </c>
      <c r="CM289" s="120">
        <f>(CM288+CM290)/2</f>
        <v>52.787500000000001</v>
      </c>
      <c r="CN289" s="120">
        <f>(CM289+CO289)/2</f>
        <v>53.741749999999996</v>
      </c>
      <c r="CO289" s="120">
        <f>(CO288+CO290)/2</f>
        <v>54.695999999999998</v>
      </c>
      <c r="CP289" s="120">
        <f>(CO289+CQ289)/2</f>
        <v>55.725000000000001</v>
      </c>
      <c r="CQ289" s="120">
        <f>(CQ288+CQ290)/2</f>
        <v>56.754000000000005</v>
      </c>
      <c r="CR289" s="120">
        <f>(CQ289+CS289)/2</f>
        <v>57.772500000000001</v>
      </c>
      <c r="CS289" s="120">
        <f>(CS288+CS290)/2</f>
        <v>58.790999999999997</v>
      </c>
      <c r="CT289" s="120">
        <f>(CS289+CU289)/2</f>
        <v>59.745999999999995</v>
      </c>
      <c r="CU289" s="120">
        <f>(CU288+CU290)/2</f>
        <v>60.701000000000001</v>
      </c>
      <c r="CV289" s="120">
        <f>(CU289+CW289)/2</f>
        <v>61.729500000000002</v>
      </c>
      <c r="CW289" s="120">
        <f>(CW288+CW290)/2</f>
        <v>62.758000000000003</v>
      </c>
      <c r="CX289" s="120">
        <f>(CW289+CY289)/2</f>
        <v>63.712500000000006</v>
      </c>
      <c r="CY289" s="120">
        <f>(CY288+CY290)/2</f>
        <v>64.667000000000002</v>
      </c>
      <c r="CZ289" s="120">
        <f>(CY289+DA289)/2</f>
        <v>65.62700000000001</v>
      </c>
      <c r="DA289" s="120">
        <f>(DA288+DA290)/2</f>
        <v>66.587000000000003</v>
      </c>
      <c r="DB289" s="120">
        <f>(DA289+DC289)/2</f>
        <v>67.599500000000006</v>
      </c>
      <c r="DC289" s="120">
        <f>(DC288+DC290)/2</f>
        <v>68.611999999999995</v>
      </c>
      <c r="DD289" s="120">
        <f>(DC289+DE289)/2</f>
        <v>69.571749999999994</v>
      </c>
      <c r="DE289" s="120">
        <f>(DE288+DE290)/2</f>
        <v>70.531499999999994</v>
      </c>
      <c r="DF289" s="120">
        <f>(DE289+DG289)/2</f>
        <v>71.549750000000003</v>
      </c>
      <c r="DG289" s="122">
        <f>(DG288+DG290)/2</f>
        <v>72.568000000000012</v>
      </c>
    </row>
    <row r="290" spans="54:111" ht="15" customHeight="1" x14ac:dyDescent="0.2">
      <c r="BB290" s="28">
        <v>38</v>
      </c>
      <c r="BC290" s="121">
        <v>12.891999999999999</v>
      </c>
      <c r="BD290" s="121">
        <v>14.309999999999999</v>
      </c>
      <c r="BE290" s="121">
        <v>15.728</v>
      </c>
      <c r="BF290" s="121">
        <v>17.028500000000001</v>
      </c>
      <c r="BG290" s="121">
        <v>18.329000000000001</v>
      </c>
      <c r="BH290" s="121">
        <v>19.62</v>
      </c>
      <c r="BI290" s="121">
        <v>20.911000000000001</v>
      </c>
      <c r="BJ290" s="121">
        <v>22.147500000000001</v>
      </c>
      <c r="BK290" s="121">
        <v>23.384</v>
      </c>
      <c r="BL290" s="121">
        <v>24.545999999999999</v>
      </c>
      <c r="BM290" s="121">
        <v>25.707999999999998</v>
      </c>
      <c r="BN290" s="121">
        <v>26.893000000000001</v>
      </c>
      <c r="BO290" s="121">
        <v>28.077999999999999</v>
      </c>
      <c r="BP290" s="121">
        <v>29.186999999999998</v>
      </c>
      <c r="BQ290" s="121">
        <v>30.295999999999999</v>
      </c>
      <c r="BR290" s="121">
        <v>31.394500000000001</v>
      </c>
      <c r="BS290" s="121">
        <v>32.493000000000002</v>
      </c>
      <c r="BT290" s="121">
        <v>33.665500000000002</v>
      </c>
      <c r="BU290" s="121">
        <v>34.838000000000001</v>
      </c>
      <c r="BV290" s="121">
        <v>35.873000000000005</v>
      </c>
      <c r="BW290" s="121">
        <v>36.908000000000001</v>
      </c>
      <c r="BX290" s="121">
        <v>38.016999999999996</v>
      </c>
      <c r="BY290" s="121">
        <v>39.125999999999998</v>
      </c>
      <c r="BZ290" s="121">
        <v>40.224000000000004</v>
      </c>
      <c r="CA290" s="121">
        <v>41.322000000000003</v>
      </c>
      <c r="CB290" s="121">
        <v>42.356999999999999</v>
      </c>
      <c r="CC290" s="121">
        <v>43.392000000000003</v>
      </c>
      <c r="CD290" s="121">
        <v>44.4375</v>
      </c>
      <c r="CE290" s="121">
        <v>45.482999999999997</v>
      </c>
      <c r="CF290" s="121">
        <v>46.516999999999996</v>
      </c>
      <c r="CG290" s="121">
        <v>47.551000000000002</v>
      </c>
      <c r="CH290" s="121">
        <v>48.596000000000004</v>
      </c>
      <c r="CI290" s="121">
        <v>49.640999999999998</v>
      </c>
      <c r="CJ290" s="121">
        <f t="array" ref="CJ290:CJ312">TRANSPOSE(CK289:DG289)</f>
        <v>50.7395</v>
      </c>
      <c r="CK290" s="158">
        <v>51.838000000000001</v>
      </c>
      <c r="CL290" s="120">
        <f>(CM290+CK290)/2</f>
        <v>52.819500000000005</v>
      </c>
      <c r="CM290" s="158">
        <v>53.801000000000002</v>
      </c>
      <c r="CN290" s="120">
        <f>(CO290+CM290)/2</f>
        <v>54.771500000000003</v>
      </c>
      <c r="CO290" s="158">
        <v>55.741999999999997</v>
      </c>
      <c r="CP290" s="120">
        <f>(CQ290+CO290)/2</f>
        <v>56.850999999999999</v>
      </c>
      <c r="CQ290" s="158">
        <v>57.96</v>
      </c>
      <c r="CR290" s="120">
        <f>(CS290+CQ290)/2</f>
        <v>58.952500000000001</v>
      </c>
      <c r="CS290" s="158">
        <v>59.945</v>
      </c>
      <c r="CT290" s="120">
        <f>(CU290+CS290)/2</f>
        <v>60.916499999999999</v>
      </c>
      <c r="CU290" s="158">
        <v>61.887999999999998</v>
      </c>
      <c r="CV290" s="120">
        <f>(CW290+CU290)/2</f>
        <v>62.996499999999997</v>
      </c>
      <c r="CW290" s="158">
        <v>64.105000000000004</v>
      </c>
      <c r="CX290" s="120">
        <f>(CY290+CW290)/2</f>
        <v>65.075500000000005</v>
      </c>
      <c r="CY290" s="158">
        <v>66.046000000000006</v>
      </c>
      <c r="CZ290" s="120">
        <f>(DA290+CY290)/2</f>
        <v>67.027500000000003</v>
      </c>
      <c r="DA290" s="158">
        <v>68.009</v>
      </c>
      <c r="DB290" s="120">
        <f>(DC290+DA290)/2</f>
        <v>68.979500000000002</v>
      </c>
      <c r="DC290" s="158">
        <v>69.95</v>
      </c>
      <c r="DD290" s="120">
        <f>(DE290+DC290)/2</f>
        <v>70.931000000000012</v>
      </c>
      <c r="DE290" s="158">
        <v>71.912000000000006</v>
      </c>
      <c r="DF290" s="120">
        <f>(DG290+DE290)/2</f>
        <v>73.010000000000005</v>
      </c>
      <c r="DG290" s="159">
        <v>74.108000000000004</v>
      </c>
    </row>
    <row r="291" spans="54:111" ht="15" customHeight="1" x14ac:dyDescent="0.2">
      <c r="BB291" s="28">
        <v>39</v>
      </c>
      <c r="BC291" s="121">
        <v>13.141</v>
      </c>
      <c r="BD291" s="121">
        <v>14.580500000000001</v>
      </c>
      <c r="BE291" s="121">
        <v>16.02</v>
      </c>
      <c r="BF291" s="121">
        <v>17.363250000000001</v>
      </c>
      <c r="BG291" s="121">
        <v>18.706499999999998</v>
      </c>
      <c r="BH291" s="121">
        <v>19.997750000000003</v>
      </c>
      <c r="BI291" s="121">
        <v>21.289000000000001</v>
      </c>
      <c r="BJ291" s="121">
        <v>22.536750000000001</v>
      </c>
      <c r="BK291" s="121">
        <v>23.784500000000001</v>
      </c>
      <c r="BL291" s="121">
        <v>24.999749999999999</v>
      </c>
      <c r="BM291" s="121">
        <v>26.215</v>
      </c>
      <c r="BN291" s="121">
        <v>27.415750000000003</v>
      </c>
      <c r="BO291" s="121">
        <v>28.616500000000002</v>
      </c>
      <c r="BP291" s="121">
        <v>29.74175</v>
      </c>
      <c r="BQ291" s="121">
        <v>30.866999999999997</v>
      </c>
      <c r="BR291" s="121">
        <v>32.018999999999998</v>
      </c>
      <c r="BS291" s="121">
        <v>33.170999999999999</v>
      </c>
      <c r="BT291" s="121">
        <v>34.333749999999995</v>
      </c>
      <c r="BU291" s="121">
        <v>35.496499999999997</v>
      </c>
      <c r="BV291" s="121">
        <v>36.584500000000006</v>
      </c>
      <c r="BW291" s="121">
        <v>37.672499999999999</v>
      </c>
      <c r="BX291" s="121">
        <v>38.760750000000002</v>
      </c>
      <c r="BY291" s="121">
        <v>39.849000000000004</v>
      </c>
      <c r="BZ291" s="121">
        <v>40.97925</v>
      </c>
      <c r="CA291" s="121">
        <v>42.109499999999997</v>
      </c>
      <c r="CB291" s="121">
        <v>43.160499999999999</v>
      </c>
      <c r="CC291" s="121">
        <v>44.211500000000001</v>
      </c>
      <c r="CD291" s="121">
        <v>45.304749999999999</v>
      </c>
      <c r="CE291" s="121">
        <v>46.397999999999996</v>
      </c>
      <c r="CF291" s="121">
        <v>47.464749999999995</v>
      </c>
      <c r="CG291" s="121">
        <v>48.531500000000001</v>
      </c>
      <c r="CH291" s="121">
        <v>49.619500000000002</v>
      </c>
      <c r="CI291" s="121">
        <v>50.707499999999996</v>
      </c>
      <c r="CJ291" s="121">
        <v>51.763500000000001</v>
      </c>
      <c r="CK291" s="121">
        <f t="array" ref="CK291:CK312">TRANSPOSE(CL290:DG290)</f>
        <v>52.819500000000005</v>
      </c>
      <c r="CL291" s="120">
        <f>(CK291+CM291)/2</f>
        <v>53.886250000000004</v>
      </c>
      <c r="CM291" s="120">
        <f>(CM290+CM292)/2</f>
        <v>54.953000000000003</v>
      </c>
      <c r="CN291" s="120">
        <f>(CM291+CO291)/2</f>
        <v>55.945250000000001</v>
      </c>
      <c r="CO291" s="120">
        <f>(CO290+CO292)/2</f>
        <v>56.9375</v>
      </c>
      <c r="CP291" s="120">
        <f>(CO291+CQ291)/2</f>
        <v>57.993499999999997</v>
      </c>
      <c r="CQ291" s="120">
        <f>(CQ290+CQ292)/2</f>
        <v>59.049500000000002</v>
      </c>
      <c r="CR291" s="120">
        <f>(CQ291+CS291)/2</f>
        <v>60.127250000000004</v>
      </c>
      <c r="CS291" s="120">
        <f>(CS290+CS292)/2</f>
        <v>61.204999999999998</v>
      </c>
      <c r="CT291" s="120">
        <f>(CS291+CU291)/2</f>
        <v>62.192499999999995</v>
      </c>
      <c r="CU291" s="120">
        <f>(CU290+CU292)/2</f>
        <v>63.179999999999993</v>
      </c>
      <c r="CV291" s="120">
        <f>(CU291+CW291)/2</f>
        <v>64.240999999999985</v>
      </c>
      <c r="CW291" s="120">
        <f>(CW290+CW292)/2</f>
        <v>65.301999999999992</v>
      </c>
      <c r="CX291" s="120">
        <f>(CW291+CY291)/2</f>
        <v>66.368825000000001</v>
      </c>
      <c r="CY291" s="120">
        <f>(CY290+CY292)/2</f>
        <v>67.43565000000001</v>
      </c>
      <c r="CZ291" s="120">
        <f>(CY291+DA291)/2</f>
        <v>68.427575000000004</v>
      </c>
      <c r="DA291" s="120">
        <f>(DA290+DA292)/2</f>
        <v>69.419499999999999</v>
      </c>
      <c r="DB291" s="120">
        <f>(DA291+DC291)/2</f>
        <v>70.411500000000004</v>
      </c>
      <c r="DC291" s="120">
        <f>(DC290+DC292)/2</f>
        <v>71.403500000000008</v>
      </c>
      <c r="DD291" s="120">
        <f>(DC291+DE291)/2</f>
        <v>72.406500000000008</v>
      </c>
      <c r="DE291" s="120">
        <f>(DE290+DE292)/2</f>
        <v>73.409500000000008</v>
      </c>
      <c r="DF291" s="120">
        <f>(DE291+DG291)/2</f>
        <v>74.465249999999997</v>
      </c>
      <c r="DG291" s="122">
        <f>(DG290+DG292)/2</f>
        <v>75.521000000000001</v>
      </c>
    </row>
    <row r="292" spans="54:111" ht="15" customHeight="1" x14ac:dyDescent="0.2">
      <c r="BB292" s="28">
        <v>40</v>
      </c>
      <c r="BC292" s="121">
        <v>13.39</v>
      </c>
      <c r="BD292" s="121">
        <v>14.851000000000001</v>
      </c>
      <c r="BE292" s="121">
        <v>16.312000000000001</v>
      </c>
      <c r="BF292" s="121">
        <v>17.698</v>
      </c>
      <c r="BG292" s="121">
        <v>19.084</v>
      </c>
      <c r="BH292" s="121">
        <v>20.375500000000002</v>
      </c>
      <c r="BI292" s="121">
        <v>21.667000000000002</v>
      </c>
      <c r="BJ292" s="121">
        <v>22.926000000000002</v>
      </c>
      <c r="BK292" s="121">
        <v>24.184999999999999</v>
      </c>
      <c r="BL292" s="121">
        <v>25.453499999999998</v>
      </c>
      <c r="BM292" s="121">
        <v>26.722000000000001</v>
      </c>
      <c r="BN292" s="121">
        <v>27.938500000000001</v>
      </c>
      <c r="BO292" s="121">
        <v>29.155000000000001</v>
      </c>
      <c r="BP292" s="121">
        <v>30.296500000000002</v>
      </c>
      <c r="BQ292" s="121">
        <v>31.437999999999999</v>
      </c>
      <c r="BR292" s="121">
        <v>32.643499999999996</v>
      </c>
      <c r="BS292" s="121">
        <v>33.848999999999997</v>
      </c>
      <c r="BT292" s="121">
        <v>35.001999999999995</v>
      </c>
      <c r="BU292" s="121">
        <v>36.155000000000001</v>
      </c>
      <c r="BV292" s="121">
        <v>37.295999999999999</v>
      </c>
      <c r="BW292" s="121">
        <v>38.436999999999998</v>
      </c>
      <c r="BX292" s="121">
        <v>39.5045</v>
      </c>
      <c r="BY292" s="121">
        <v>40.572000000000003</v>
      </c>
      <c r="BZ292" s="121">
        <v>41.734499999999997</v>
      </c>
      <c r="CA292" s="121">
        <v>42.896999999999998</v>
      </c>
      <c r="CB292" s="121">
        <v>43.963999999999999</v>
      </c>
      <c r="CC292" s="121">
        <v>45.030999999999999</v>
      </c>
      <c r="CD292" s="121">
        <v>46.171999999999997</v>
      </c>
      <c r="CE292" s="121">
        <v>47.313000000000002</v>
      </c>
      <c r="CF292" s="121">
        <v>48.412500000000001</v>
      </c>
      <c r="CG292" s="121">
        <v>49.512</v>
      </c>
      <c r="CH292" s="121">
        <v>50.643000000000001</v>
      </c>
      <c r="CI292" s="121">
        <v>51.774000000000001</v>
      </c>
      <c r="CJ292" s="121">
        <v>52.787500000000001</v>
      </c>
      <c r="CK292" s="121">
        <v>53.801000000000002</v>
      </c>
      <c r="CL292" s="121">
        <f t="array" ref="CL292:CL312">TRANSPOSE(CM291:DG291)</f>
        <v>54.953000000000003</v>
      </c>
      <c r="CM292" s="158">
        <v>56.104999999999997</v>
      </c>
      <c r="CN292" s="120">
        <f>(CO292+CM292)/2</f>
        <v>57.119</v>
      </c>
      <c r="CO292" s="158">
        <v>58.133000000000003</v>
      </c>
      <c r="CP292" s="120">
        <f>(CQ292+CO292)/2</f>
        <v>59.136000000000003</v>
      </c>
      <c r="CQ292" s="158">
        <v>60.139000000000003</v>
      </c>
      <c r="CR292" s="120">
        <f>(CS292+CQ292)/2</f>
        <v>61.302000000000007</v>
      </c>
      <c r="CS292" s="158">
        <v>62.465000000000003</v>
      </c>
      <c r="CT292" s="120">
        <f>(CU292+CS292)/2</f>
        <v>63.468499999999999</v>
      </c>
      <c r="CU292" s="158">
        <v>64.471999999999994</v>
      </c>
      <c r="CV292" s="120">
        <f>(CW292+CU292)/2</f>
        <v>65.485500000000002</v>
      </c>
      <c r="CW292" s="158">
        <v>66.498999999999995</v>
      </c>
      <c r="CX292" s="120">
        <f>(CY292+CW292)/2</f>
        <v>67.662149999999997</v>
      </c>
      <c r="CY292" s="158">
        <v>68.825299999999999</v>
      </c>
      <c r="CZ292" s="120">
        <f>(DA292+CY292)/2</f>
        <v>69.827650000000006</v>
      </c>
      <c r="DA292" s="158">
        <v>70.83</v>
      </c>
      <c r="DB292" s="120">
        <f>(DC292+DA292)/2</f>
        <v>71.843500000000006</v>
      </c>
      <c r="DC292" s="158">
        <v>72.856999999999999</v>
      </c>
      <c r="DD292" s="120">
        <f>(DE292+DC292)/2</f>
        <v>73.882000000000005</v>
      </c>
      <c r="DE292" s="158">
        <v>74.906999999999996</v>
      </c>
      <c r="DF292" s="120">
        <f>(DG292+DE292)/2</f>
        <v>75.920500000000004</v>
      </c>
      <c r="DG292" s="159">
        <v>76.933999999999997</v>
      </c>
    </row>
    <row r="293" spans="54:111" ht="15" customHeight="1" x14ac:dyDescent="0.2">
      <c r="BB293" s="28">
        <v>41</v>
      </c>
      <c r="BC293" s="121">
        <v>13.617000000000001</v>
      </c>
      <c r="BD293" s="121">
        <v>15.105</v>
      </c>
      <c r="BE293" s="121">
        <v>16.593</v>
      </c>
      <c r="BF293" s="121">
        <v>18.000499999999999</v>
      </c>
      <c r="BG293" s="121">
        <v>19.408000000000001</v>
      </c>
      <c r="BH293" s="121">
        <v>20.742250000000002</v>
      </c>
      <c r="BI293" s="121">
        <v>22.076500000000003</v>
      </c>
      <c r="BJ293" s="121">
        <v>23.367750000000001</v>
      </c>
      <c r="BK293" s="121">
        <v>24.658999999999999</v>
      </c>
      <c r="BL293" s="121">
        <v>25.91225</v>
      </c>
      <c r="BM293" s="121">
        <v>27.165500000000002</v>
      </c>
      <c r="BN293" s="121">
        <v>28.435250000000003</v>
      </c>
      <c r="BO293" s="121">
        <v>29.704999999999998</v>
      </c>
      <c r="BP293" s="121">
        <v>30.857500000000002</v>
      </c>
      <c r="BQ293" s="121">
        <v>32.01</v>
      </c>
      <c r="BR293" s="121">
        <v>33.242249999999999</v>
      </c>
      <c r="BS293" s="121">
        <v>34.474499999999999</v>
      </c>
      <c r="BT293" s="121">
        <v>35.648499999999999</v>
      </c>
      <c r="BU293" s="121">
        <v>36.822500000000005</v>
      </c>
      <c r="BV293" s="121">
        <v>37.974999999999994</v>
      </c>
      <c r="BW293" s="121">
        <v>39.127499999999998</v>
      </c>
      <c r="BX293" s="121">
        <v>40.258749999999999</v>
      </c>
      <c r="BY293" s="121">
        <v>41.39</v>
      </c>
      <c r="BZ293" s="121">
        <v>42.526249999999997</v>
      </c>
      <c r="CA293" s="121">
        <v>43.662499999999994</v>
      </c>
      <c r="CB293" s="121">
        <v>44.788499999999999</v>
      </c>
      <c r="CC293" s="121">
        <v>45.914500000000004</v>
      </c>
      <c r="CD293" s="121">
        <v>47.051000000000002</v>
      </c>
      <c r="CE293" s="121">
        <v>48.1875</v>
      </c>
      <c r="CF293" s="121">
        <v>49.323750000000004</v>
      </c>
      <c r="CG293" s="121">
        <v>50.46</v>
      </c>
      <c r="CH293" s="121">
        <v>51.585999999999999</v>
      </c>
      <c r="CI293" s="121">
        <v>52.712000000000003</v>
      </c>
      <c r="CJ293" s="121">
        <v>53.741749999999996</v>
      </c>
      <c r="CK293" s="121">
        <v>54.771500000000003</v>
      </c>
      <c r="CL293" s="121">
        <v>55.945250000000001</v>
      </c>
      <c r="CM293" s="121">
        <f t="array" ref="CM293:CM312">TRANSPOSE(CN292:DG292)</f>
        <v>57.119</v>
      </c>
      <c r="CN293" s="120">
        <f>(CM293+CO293)/2</f>
        <v>58.15475</v>
      </c>
      <c r="CO293" s="120">
        <f>(CO292+CO294)/2</f>
        <v>59.1905</v>
      </c>
      <c r="CP293" s="120">
        <f>(CO293+CQ293)/2</f>
        <v>60.278500000000001</v>
      </c>
      <c r="CQ293" s="120">
        <f>(CQ292+CQ294)/2</f>
        <v>61.366500000000002</v>
      </c>
      <c r="CR293" s="120">
        <f>(CQ293+CS293)/2</f>
        <v>62.481999999999999</v>
      </c>
      <c r="CS293" s="120">
        <f>(CS292+CS294)/2</f>
        <v>63.597500000000004</v>
      </c>
      <c r="CT293" s="120">
        <f>(CS293+CU293)/2</f>
        <v>64.685999999999993</v>
      </c>
      <c r="CU293" s="120">
        <f>(CU292+CU294)/2</f>
        <v>65.774499999999989</v>
      </c>
      <c r="CV293" s="120">
        <f>(CU293+CW293)/2</f>
        <v>66.809999999999988</v>
      </c>
      <c r="CW293" s="120">
        <f>(CW292+CW294)/2</f>
        <v>67.845499999999987</v>
      </c>
      <c r="CX293" s="120">
        <f>(CW293+CY293)/2</f>
        <v>68.960825</v>
      </c>
      <c r="CY293" s="120">
        <f>(CY292+CY294)/2</f>
        <v>70.076149999999998</v>
      </c>
      <c r="CZ293" s="120">
        <f>(CY293+DA293)/2</f>
        <v>71.100075000000004</v>
      </c>
      <c r="DA293" s="120">
        <f>(DA292+DA294)/2</f>
        <v>72.123999999999995</v>
      </c>
      <c r="DB293" s="120">
        <f>(DA293+DC293)/2</f>
        <v>73.223500000000001</v>
      </c>
      <c r="DC293" s="120">
        <f>(DC292+DC294)/2</f>
        <v>74.323000000000008</v>
      </c>
      <c r="DD293" s="120">
        <f>(DC293+DE293)/2</f>
        <v>75.358249999999998</v>
      </c>
      <c r="DE293" s="120">
        <f>(DE292+DE294)/2</f>
        <v>76.393499999999989</v>
      </c>
      <c r="DF293" s="120">
        <f>(DE293+DG293)/2</f>
        <v>77.434249999999992</v>
      </c>
      <c r="DG293" s="122">
        <f>(DG292+DG294)/2</f>
        <v>78.474999999999994</v>
      </c>
    </row>
    <row r="294" spans="54:111" ht="15" customHeight="1" x14ac:dyDescent="0.2">
      <c r="BB294" s="28">
        <v>42</v>
      </c>
      <c r="BC294" s="121">
        <v>13.843999999999999</v>
      </c>
      <c r="BD294" s="121">
        <v>15.358999999999998</v>
      </c>
      <c r="BE294" s="121">
        <v>16.873999999999999</v>
      </c>
      <c r="BF294" s="121">
        <v>18.302999999999997</v>
      </c>
      <c r="BG294" s="121">
        <v>19.731999999999999</v>
      </c>
      <c r="BH294" s="121">
        <v>21.109000000000002</v>
      </c>
      <c r="BI294" s="121">
        <v>22.486000000000001</v>
      </c>
      <c r="BJ294" s="121">
        <v>23.8095</v>
      </c>
      <c r="BK294" s="121">
        <v>25.132999999999999</v>
      </c>
      <c r="BL294" s="121">
        <v>26.371000000000002</v>
      </c>
      <c r="BM294" s="121">
        <v>27.609000000000002</v>
      </c>
      <c r="BN294" s="121">
        <v>28.932000000000002</v>
      </c>
      <c r="BO294" s="121">
        <v>30.254999999999999</v>
      </c>
      <c r="BP294" s="121">
        <v>31.418500000000002</v>
      </c>
      <c r="BQ294" s="121">
        <v>32.582000000000001</v>
      </c>
      <c r="BR294" s="121">
        <v>33.841000000000001</v>
      </c>
      <c r="BS294" s="121">
        <v>35.1</v>
      </c>
      <c r="BT294" s="121">
        <v>36.295000000000002</v>
      </c>
      <c r="BU294" s="121">
        <v>37.49</v>
      </c>
      <c r="BV294" s="121">
        <v>38.653999999999996</v>
      </c>
      <c r="BW294" s="121">
        <v>39.817999999999998</v>
      </c>
      <c r="BX294" s="121">
        <v>41.012999999999998</v>
      </c>
      <c r="BY294" s="121">
        <v>42.207999999999998</v>
      </c>
      <c r="BZ294" s="121">
        <v>43.317999999999998</v>
      </c>
      <c r="CA294" s="121">
        <v>44.427999999999997</v>
      </c>
      <c r="CB294" s="121">
        <v>45.613</v>
      </c>
      <c r="CC294" s="121">
        <v>46.798000000000002</v>
      </c>
      <c r="CD294" s="121">
        <v>47.93</v>
      </c>
      <c r="CE294" s="121">
        <v>49.061999999999998</v>
      </c>
      <c r="CF294" s="121">
        <v>50.234999999999999</v>
      </c>
      <c r="CG294" s="121">
        <v>51.408000000000001</v>
      </c>
      <c r="CH294" s="121">
        <v>52.528999999999996</v>
      </c>
      <c r="CI294" s="121">
        <v>53.65</v>
      </c>
      <c r="CJ294" s="121">
        <v>54.695999999999998</v>
      </c>
      <c r="CK294" s="121">
        <v>55.741999999999997</v>
      </c>
      <c r="CL294" s="121">
        <v>56.9375</v>
      </c>
      <c r="CM294" s="121">
        <v>58.133000000000003</v>
      </c>
      <c r="CN294" s="121">
        <f t="array" ref="CN294:CN312">TRANSPOSE(CO293:DG293)</f>
        <v>59.1905</v>
      </c>
      <c r="CO294" s="158">
        <v>60.247999999999998</v>
      </c>
      <c r="CP294" s="120">
        <f>(CQ294+CO294)/2</f>
        <v>61.420999999999999</v>
      </c>
      <c r="CQ294" s="158">
        <v>62.594000000000001</v>
      </c>
      <c r="CR294" s="120">
        <f>(CS294+CQ294)/2</f>
        <v>63.662000000000006</v>
      </c>
      <c r="CS294" s="158">
        <v>64.73</v>
      </c>
      <c r="CT294" s="120">
        <f>(CU294+CS294)/2</f>
        <v>65.903500000000008</v>
      </c>
      <c r="CU294" s="158">
        <v>67.076999999999998</v>
      </c>
      <c r="CV294" s="120">
        <f>(CW294+CU294)/2</f>
        <v>68.134500000000003</v>
      </c>
      <c r="CW294" s="158">
        <v>69.191999999999993</v>
      </c>
      <c r="CX294" s="120">
        <f>(CY294+CW294)/2</f>
        <v>70.259500000000003</v>
      </c>
      <c r="CY294" s="158">
        <v>71.326999999999998</v>
      </c>
      <c r="CZ294" s="120">
        <f>(DA294+CY294)/2</f>
        <v>72.372500000000002</v>
      </c>
      <c r="DA294" s="158">
        <v>73.418000000000006</v>
      </c>
      <c r="DB294" s="120">
        <f>(DC294+DA294)/2</f>
        <v>74.603499999999997</v>
      </c>
      <c r="DC294" s="158">
        <v>75.789000000000001</v>
      </c>
      <c r="DD294" s="120">
        <f>(DE294+DC294)/2</f>
        <v>76.834499999999991</v>
      </c>
      <c r="DE294" s="158">
        <v>77.88</v>
      </c>
      <c r="DF294" s="120">
        <f>(DG294+DE294)/2</f>
        <v>78.948000000000008</v>
      </c>
      <c r="DG294" s="159">
        <v>80.016000000000005</v>
      </c>
    </row>
    <row r="295" spans="54:111" ht="15" customHeight="1" x14ac:dyDescent="0.2">
      <c r="BB295" s="28">
        <v>43</v>
      </c>
      <c r="BC295" s="121">
        <v>14.1035</v>
      </c>
      <c r="BD295" s="121">
        <v>15.6615</v>
      </c>
      <c r="BE295" s="121">
        <v>17.2195</v>
      </c>
      <c r="BF295" s="121">
        <v>18.664749999999998</v>
      </c>
      <c r="BG295" s="121">
        <v>20.11</v>
      </c>
      <c r="BH295" s="121">
        <v>21.47625</v>
      </c>
      <c r="BI295" s="121">
        <v>22.842500000000001</v>
      </c>
      <c r="BJ295" s="121">
        <v>24.213999999999999</v>
      </c>
      <c r="BK295" s="121">
        <v>25.5855</v>
      </c>
      <c r="BL295" s="121">
        <v>26.8505</v>
      </c>
      <c r="BM295" s="121">
        <v>28.115500000000001</v>
      </c>
      <c r="BN295" s="121">
        <v>29.422750000000001</v>
      </c>
      <c r="BO295" s="121">
        <v>30.729999999999997</v>
      </c>
      <c r="BP295" s="121">
        <v>31.952500000000001</v>
      </c>
      <c r="BQ295" s="121">
        <v>33.174999999999997</v>
      </c>
      <c r="BR295" s="121">
        <v>34.450500000000005</v>
      </c>
      <c r="BS295" s="121">
        <v>35.725999999999999</v>
      </c>
      <c r="BT295" s="121">
        <v>36.937249999999999</v>
      </c>
      <c r="BU295" s="121">
        <v>38.148499999999999</v>
      </c>
      <c r="BV295" s="121">
        <v>39.333500000000001</v>
      </c>
      <c r="BW295" s="121">
        <v>40.518500000000003</v>
      </c>
      <c r="BX295" s="121">
        <v>41.729749999999996</v>
      </c>
      <c r="BY295" s="121">
        <v>42.941000000000003</v>
      </c>
      <c r="BZ295" s="121">
        <v>44.104749999999996</v>
      </c>
      <c r="CA295" s="121">
        <v>45.268500000000003</v>
      </c>
      <c r="CB295" s="121">
        <v>46.442999999999998</v>
      </c>
      <c r="CC295" s="121">
        <v>47.6175</v>
      </c>
      <c r="CD295" s="121">
        <v>48.797250000000005</v>
      </c>
      <c r="CE295" s="121">
        <v>49.977000000000004</v>
      </c>
      <c r="CF295" s="121">
        <v>51.145499999999998</v>
      </c>
      <c r="CG295" s="121">
        <v>52.314</v>
      </c>
      <c r="CH295" s="121">
        <v>53.456499999999998</v>
      </c>
      <c r="CI295" s="121">
        <v>54.599000000000004</v>
      </c>
      <c r="CJ295" s="121">
        <v>55.725000000000001</v>
      </c>
      <c r="CK295" s="121">
        <v>56.850999999999999</v>
      </c>
      <c r="CL295" s="121">
        <v>57.993499999999997</v>
      </c>
      <c r="CM295" s="121">
        <v>59.136000000000003</v>
      </c>
      <c r="CN295" s="121">
        <v>60.278500000000001</v>
      </c>
      <c r="CO295" s="121">
        <f t="array" ref="CO295:CO312">TRANSPOSE(CP294:DG294)</f>
        <v>61.420999999999999</v>
      </c>
      <c r="CP295" s="120">
        <f>(CO295+CQ295)/2</f>
        <v>62.557500000000005</v>
      </c>
      <c r="CQ295" s="120">
        <f>(CQ294+CQ296)/2</f>
        <v>63.694000000000003</v>
      </c>
      <c r="CR295" s="120">
        <f>(CQ295+CS295)/2</f>
        <v>64.842000000000013</v>
      </c>
      <c r="CS295" s="120">
        <f>(CS294+CS296)/2</f>
        <v>65.990000000000009</v>
      </c>
      <c r="CT295" s="120">
        <f>(CS295+CU295)/2</f>
        <v>67.126500000000007</v>
      </c>
      <c r="CU295" s="120">
        <f>(CU294+CU296)/2</f>
        <v>68.263000000000005</v>
      </c>
      <c r="CV295" s="120">
        <f>(CU295+CW295)/2</f>
        <v>69.336749999999995</v>
      </c>
      <c r="CW295" s="120">
        <f>(CW294+CW296)/2</f>
        <v>70.410499999999999</v>
      </c>
      <c r="CX295" s="120">
        <f>(CW295+CY295)/2</f>
        <v>71.557999999999993</v>
      </c>
      <c r="CY295" s="120">
        <f>(CY294+CY296)/2</f>
        <v>72.705500000000001</v>
      </c>
      <c r="CZ295" s="120">
        <f>(CY295+DA295)/2</f>
        <v>73.767250000000004</v>
      </c>
      <c r="DA295" s="120">
        <f>(DA294+DA296)/2</f>
        <v>74.829000000000008</v>
      </c>
      <c r="DB295" s="120">
        <f>(DA295+DC295)/2</f>
        <v>75.97175</v>
      </c>
      <c r="DC295" s="120">
        <f>(DC294+DC296)/2</f>
        <v>77.114499999999992</v>
      </c>
      <c r="DD295" s="120">
        <f>(DC295+DE295)/2</f>
        <v>78.250999999999991</v>
      </c>
      <c r="DE295" s="120">
        <f>(DE294+DE296)/2</f>
        <v>79.387499999999989</v>
      </c>
      <c r="DF295" s="120">
        <f>(DE295+DG295)/2</f>
        <v>80.466499999999996</v>
      </c>
      <c r="DG295" s="122">
        <f>(DG294+DG296)/2</f>
        <v>81.545500000000004</v>
      </c>
    </row>
    <row r="296" spans="54:111" ht="15" customHeight="1" x14ac:dyDescent="0.2">
      <c r="BB296" s="28">
        <v>44</v>
      </c>
      <c r="BC296" s="121">
        <v>14.363</v>
      </c>
      <c r="BD296" s="121">
        <v>15.964</v>
      </c>
      <c r="BE296" s="121">
        <v>17.565000000000001</v>
      </c>
      <c r="BF296" s="121">
        <v>19.026499999999999</v>
      </c>
      <c r="BG296" s="121">
        <v>20.488</v>
      </c>
      <c r="BH296" s="121">
        <v>21.843499999999999</v>
      </c>
      <c r="BI296" s="121">
        <v>23.199000000000002</v>
      </c>
      <c r="BJ296" s="121">
        <v>24.618500000000001</v>
      </c>
      <c r="BK296" s="121">
        <v>26.038</v>
      </c>
      <c r="BL296" s="121">
        <v>27.33</v>
      </c>
      <c r="BM296" s="121">
        <v>28.622</v>
      </c>
      <c r="BN296" s="121">
        <v>29.913499999999999</v>
      </c>
      <c r="BO296" s="121">
        <v>31.204999999999998</v>
      </c>
      <c r="BP296" s="121">
        <v>32.486499999999999</v>
      </c>
      <c r="BQ296" s="121">
        <v>33.768000000000001</v>
      </c>
      <c r="BR296" s="121">
        <v>35.06</v>
      </c>
      <c r="BS296" s="121">
        <v>36.351999999999997</v>
      </c>
      <c r="BT296" s="121">
        <v>37.579499999999996</v>
      </c>
      <c r="BU296" s="121">
        <v>38.807000000000002</v>
      </c>
      <c r="BV296" s="121">
        <v>40.013000000000005</v>
      </c>
      <c r="BW296" s="121">
        <v>41.219000000000001</v>
      </c>
      <c r="BX296" s="121">
        <v>42.4465</v>
      </c>
      <c r="BY296" s="121">
        <v>43.673999999999999</v>
      </c>
      <c r="BZ296" s="121">
        <v>44.891500000000001</v>
      </c>
      <c r="CA296" s="121">
        <v>46.109000000000002</v>
      </c>
      <c r="CB296" s="121">
        <v>47.272999999999996</v>
      </c>
      <c r="CC296" s="121">
        <v>48.436999999999998</v>
      </c>
      <c r="CD296" s="121">
        <v>49.664500000000004</v>
      </c>
      <c r="CE296" s="121">
        <v>50.892000000000003</v>
      </c>
      <c r="CF296" s="121">
        <v>52.055999999999997</v>
      </c>
      <c r="CG296" s="121">
        <v>53.22</v>
      </c>
      <c r="CH296" s="121">
        <v>54.384</v>
      </c>
      <c r="CI296" s="121">
        <v>55.548000000000002</v>
      </c>
      <c r="CJ296" s="121">
        <v>56.754000000000005</v>
      </c>
      <c r="CK296" s="121">
        <v>57.96</v>
      </c>
      <c r="CL296" s="121">
        <v>59.049500000000002</v>
      </c>
      <c r="CM296" s="121">
        <v>60.139000000000003</v>
      </c>
      <c r="CN296" s="121">
        <v>61.366500000000002</v>
      </c>
      <c r="CO296" s="121">
        <v>62.594000000000001</v>
      </c>
      <c r="CP296" s="121">
        <f t="array" ref="CP296:CP312">TRANSPOSE(CQ295:DG295)</f>
        <v>63.694000000000003</v>
      </c>
      <c r="CQ296" s="158">
        <v>64.793999999999997</v>
      </c>
      <c r="CR296" s="121">
        <f>CS295</f>
        <v>65.990000000000009</v>
      </c>
      <c r="CS296" s="158">
        <v>67.25</v>
      </c>
      <c r="CT296" s="121">
        <f>CU295</f>
        <v>68.263000000000005</v>
      </c>
      <c r="CU296" s="158">
        <v>69.448999999999998</v>
      </c>
      <c r="CV296" s="121">
        <f>CW295</f>
        <v>70.410499999999999</v>
      </c>
      <c r="CW296" s="158">
        <v>71.629000000000005</v>
      </c>
      <c r="CX296" s="121">
        <f>CY295</f>
        <v>72.705500000000001</v>
      </c>
      <c r="CY296" s="158">
        <v>74.084000000000003</v>
      </c>
      <c r="CZ296" s="121">
        <f>DA295</f>
        <v>74.829000000000008</v>
      </c>
      <c r="DA296" s="158">
        <v>76.239999999999995</v>
      </c>
      <c r="DB296" s="121">
        <f>DC295</f>
        <v>77.114499999999992</v>
      </c>
      <c r="DC296" s="158">
        <v>78.44</v>
      </c>
      <c r="DD296" s="121">
        <f>DE295</f>
        <v>79.387499999999989</v>
      </c>
      <c r="DE296" s="158">
        <v>80.894999999999996</v>
      </c>
      <c r="DF296" s="121">
        <f>DG295</f>
        <v>81.545500000000004</v>
      </c>
      <c r="DG296" s="159">
        <v>83.075000000000003</v>
      </c>
    </row>
    <row r="297" spans="54:111" ht="15" customHeight="1" x14ac:dyDescent="0.2">
      <c r="BB297" s="28">
        <v>45</v>
      </c>
      <c r="BC297" s="121">
        <v>14.589500000000001</v>
      </c>
      <c r="BD297" s="121">
        <v>16.212</v>
      </c>
      <c r="BE297" s="121">
        <v>17.834499999999998</v>
      </c>
      <c r="BF297" s="121">
        <v>19.334249999999997</v>
      </c>
      <c r="BG297" s="121">
        <v>20.834</v>
      </c>
      <c r="BH297" s="121">
        <v>22.237749999999998</v>
      </c>
      <c r="BI297" s="121">
        <v>23.641500000000001</v>
      </c>
      <c r="BJ297" s="121">
        <v>25.045000000000002</v>
      </c>
      <c r="BK297" s="121">
        <v>26.448500000000003</v>
      </c>
      <c r="BL297" s="121">
        <v>27.788499999999999</v>
      </c>
      <c r="BM297" s="121">
        <v>29.128500000000003</v>
      </c>
      <c r="BN297" s="121">
        <v>30.436499999999999</v>
      </c>
      <c r="BO297" s="121">
        <v>31.744499999999999</v>
      </c>
      <c r="BP297" s="121">
        <v>33.042000000000002</v>
      </c>
      <c r="BQ297" s="121">
        <v>34.339500000000001</v>
      </c>
      <c r="BR297" s="121">
        <v>35.647500000000001</v>
      </c>
      <c r="BS297" s="121">
        <v>36.955500000000001</v>
      </c>
      <c r="BT297" s="121">
        <v>38.1995</v>
      </c>
      <c r="BU297" s="121">
        <v>39.4435</v>
      </c>
      <c r="BV297" s="121">
        <v>40.687250000000006</v>
      </c>
      <c r="BW297" s="121">
        <v>41.930999999999997</v>
      </c>
      <c r="BX297" s="121">
        <v>43.174999999999997</v>
      </c>
      <c r="BY297" s="121">
        <v>44.418999999999997</v>
      </c>
      <c r="BZ297" s="121">
        <v>45.657499999999999</v>
      </c>
      <c r="CA297" s="121">
        <v>46.896000000000001</v>
      </c>
      <c r="CB297" s="121">
        <v>48.108249999999998</v>
      </c>
      <c r="CC297" s="121">
        <v>49.320499999999996</v>
      </c>
      <c r="CD297" s="121">
        <v>50.532499999999999</v>
      </c>
      <c r="CE297" s="121">
        <v>51.744500000000002</v>
      </c>
      <c r="CF297" s="121">
        <v>52.956499999999998</v>
      </c>
      <c r="CG297" s="121">
        <v>54.168499999999995</v>
      </c>
      <c r="CH297" s="121">
        <v>55.380499999999998</v>
      </c>
      <c r="CI297" s="121">
        <v>56.592500000000001</v>
      </c>
      <c r="CJ297" s="121">
        <v>57.772500000000001</v>
      </c>
      <c r="CK297" s="121">
        <v>58.952500000000001</v>
      </c>
      <c r="CL297" s="121">
        <v>60.127250000000004</v>
      </c>
      <c r="CM297" s="121">
        <v>61.302000000000007</v>
      </c>
      <c r="CN297" s="121">
        <v>62.481999999999999</v>
      </c>
      <c r="CO297" s="121">
        <v>63.662000000000006</v>
      </c>
      <c r="CP297" s="121">
        <v>64.842000000000013</v>
      </c>
      <c r="CQ297" s="121">
        <f t="array" ref="CQ297:CQ312">TRANSPOSE(CR296:DG296)</f>
        <v>65.990000000000009</v>
      </c>
      <c r="CR297" s="120">
        <f>(CQ297+CS297)/2</f>
        <v>67.186250000000001</v>
      </c>
      <c r="CS297" s="120">
        <f>(CS296+CS298)/2</f>
        <v>68.382499999999993</v>
      </c>
      <c r="CT297" s="120">
        <f>(CS297+CU297)/2</f>
        <v>69.5625</v>
      </c>
      <c r="CU297" s="120">
        <f>(CU296+CU298)/2</f>
        <v>70.742500000000007</v>
      </c>
      <c r="CV297" s="120">
        <f>(CU297+CW297)/2</f>
        <v>71.853250000000003</v>
      </c>
      <c r="CW297" s="120">
        <f>(CW296+CW298)/2</f>
        <v>72.963999999999999</v>
      </c>
      <c r="CX297" s="120">
        <f>(CW297+CY297)/2</f>
        <v>74.144000000000005</v>
      </c>
      <c r="CY297" s="120">
        <f>(CY296+CY298)/2</f>
        <v>75.323999999999998</v>
      </c>
      <c r="CZ297" s="120">
        <f>(CY297+DA297)/2</f>
        <v>76.498750000000001</v>
      </c>
      <c r="DA297" s="120">
        <f>(DA296+DA298)/2</f>
        <v>77.67349999999999</v>
      </c>
      <c r="DB297" s="120">
        <f>(DA297+DC297)/2</f>
        <v>78.789749999999998</v>
      </c>
      <c r="DC297" s="120">
        <f>(DC296+DC298)/2</f>
        <v>79.906000000000006</v>
      </c>
      <c r="DD297" s="120">
        <f>(DC297+DE297)/2</f>
        <v>81.085999999999999</v>
      </c>
      <c r="DE297" s="120">
        <f>(DE296+DE298)/2</f>
        <v>82.265999999999991</v>
      </c>
      <c r="DF297" s="120">
        <f>(DE297+DG297)/2</f>
        <v>83.376999999999995</v>
      </c>
      <c r="DG297" s="122">
        <f>(DG296+DG298)/2</f>
        <v>84.488</v>
      </c>
    </row>
    <row r="298" spans="54:111" ht="15" customHeight="1" x14ac:dyDescent="0.2">
      <c r="BB298" s="28">
        <v>46</v>
      </c>
      <c r="BC298" s="121">
        <v>14.816000000000001</v>
      </c>
      <c r="BD298" s="121">
        <v>16.46</v>
      </c>
      <c r="BE298" s="121">
        <v>18.103999999999999</v>
      </c>
      <c r="BF298" s="121">
        <v>19.641999999999999</v>
      </c>
      <c r="BG298" s="121">
        <v>21.18</v>
      </c>
      <c r="BH298" s="121">
        <v>22.631999999999998</v>
      </c>
      <c r="BI298" s="121">
        <v>24.084</v>
      </c>
      <c r="BJ298" s="121">
        <v>25.471499999999999</v>
      </c>
      <c r="BK298" s="121">
        <v>26.859000000000002</v>
      </c>
      <c r="BL298" s="121">
        <v>28.247</v>
      </c>
      <c r="BM298" s="121">
        <v>29.635000000000002</v>
      </c>
      <c r="BN298" s="121">
        <v>30.959499999999998</v>
      </c>
      <c r="BO298" s="121">
        <v>32.283999999999999</v>
      </c>
      <c r="BP298" s="121">
        <v>33.597499999999997</v>
      </c>
      <c r="BQ298" s="121">
        <v>34.911000000000001</v>
      </c>
      <c r="BR298" s="121">
        <v>36.234999999999999</v>
      </c>
      <c r="BS298" s="121">
        <v>37.558999999999997</v>
      </c>
      <c r="BT298" s="121">
        <v>38.819499999999998</v>
      </c>
      <c r="BU298" s="121">
        <v>40.08</v>
      </c>
      <c r="BV298" s="121">
        <v>41.361499999999999</v>
      </c>
      <c r="BW298" s="121">
        <v>42.643000000000001</v>
      </c>
      <c r="BX298" s="121">
        <v>43.903500000000001</v>
      </c>
      <c r="BY298" s="121">
        <v>45.164000000000001</v>
      </c>
      <c r="BZ298" s="121">
        <v>46.423500000000004</v>
      </c>
      <c r="CA298" s="121">
        <v>47.683</v>
      </c>
      <c r="CB298" s="121">
        <v>48.9435</v>
      </c>
      <c r="CC298" s="121">
        <v>50.204000000000001</v>
      </c>
      <c r="CD298" s="121">
        <v>51.400500000000001</v>
      </c>
      <c r="CE298" s="121">
        <v>52.597000000000001</v>
      </c>
      <c r="CF298" s="121">
        <v>53.856999999999999</v>
      </c>
      <c r="CG298" s="121">
        <v>55.116999999999997</v>
      </c>
      <c r="CH298" s="121">
        <v>56.376999999999995</v>
      </c>
      <c r="CI298" s="121">
        <v>57.637</v>
      </c>
      <c r="CJ298" s="121">
        <v>58.790999999999997</v>
      </c>
      <c r="CK298" s="121">
        <v>59.945</v>
      </c>
      <c r="CL298" s="121">
        <v>61.204999999999998</v>
      </c>
      <c r="CM298" s="121">
        <v>62.465000000000003</v>
      </c>
      <c r="CN298" s="121">
        <v>63.597500000000004</v>
      </c>
      <c r="CO298" s="121">
        <v>64.73</v>
      </c>
      <c r="CP298" s="121">
        <v>65.990000000000009</v>
      </c>
      <c r="CQ298" s="121">
        <v>67.25</v>
      </c>
      <c r="CR298" s="150">
        <f t="array" ref="CR298:CR312">TRANSPOSE(CS297:DG297)</f>
        <v>68.382499999999993</v>
      </c>
      <c r="CS298" s="158">
        <v>69.515000000000001</v>
      </c>
      <c r="CT298" s="121">
        <f>CU297</f>
        <v>70.742500000000007</v>
      </c>
      <c r="CU298" s="158">
        <v>72.036000000000001</v>
      </c>
      <c r="CV298" s="121">
        <f>CW297</f>
        <v>72.963999999999999</v>
      </c>
      <c r="CW298" s="158">
        <v>74.299000000000007</v>
      </c>
      <c r="CX298" s="121">
        <f>CY297</f>
        <v>75.323999999999998</v>
      </c>
      <c r="CY298" s="158">
        <v>76.563999999999993</v>
      </c>
      <c r="CZ298" s="121">
        <f>DA297</f>
        <v>77.67349999999999</v>
      </c>
      <c r="DA298" s="158">
        <v>79.106999999999999</v>
      </c>
      <c r="DB298" s="121">
        <f>DC297</f>
        <v>79.906000000000006</v>
      </c>
      <c r="DC298" s="158">
        <v>81.372</v>
      </c>
      <c r="DD298" s="121">
        <f>DE297</f>
        <v>82.265999999999991</v>
      </c>
      <c r="DE298" s="158">
        <v>83.637</v>
      </c>
      <c r="DF298" s="121">
        <f>DG297</f>
        <v>84.488</v>
      </c>
      <c r="DG298" s="159">
        <v>85.900999999999996</v>
      </c>
    </row>
    <row r="299" spans="54:111" ht="15" customHeight="1" x14ac:dyDescent="0.2">
      <c r="BB299" s="28">
        <v>47</v>
      </c>
      <c r="BC299" s="121">
        <v>15.065000000000001</v>
      </c>
      <c r="BD299" s="121">
        <v>16.725250000000003</v>
      </c>
      <c r="BE299" s="121">
        <v>18.3855</v>
      </c>
      <c r="BF299" s="121">
        <v>19.93975</v>
      </c>
      <c r="BG299" s="121">
        <v>21.494</v>
      </c>
      <c r="BH299" s="121">
        <v>22.962</v>
      </c>
      <c r="BI299" s="121">
        <v>24.43</v>
      </c>
      <c r="BJ299" s="121">
        <v>25.865749999999998</v>
      </c>
      <c r="BK299" s="121">
        <v>27.301500000000001</v>
      </c>
      <c r="BL299" s="121">
        <v>28.72175</v>
      </c>
      <c r="BM299" s="121">
        <v>30.142000000000003</v>
      </c>
      <c r="BN299" s="121">
        <v>31.482499999999998</v>
      </c>
      <c r="BO299" s="121">
        <v>32.823</v>
      </c>
      <c r="BP299" s="121">
        <v>34.168999999999997</v>
      </c>
      <c r="BQ299" s="121">
        <v>35.515000000000001</v>
      </c>
      <c r="BR299" s="121">
        <v>36.855000000000004</v>
      </c>
      <c r="BS299" s="121">
        <v>38.195</v>
      </c>
      <c r="BT299" s="121">
        <v>39.471499999999999</v>
      </c>
      <c r="BU299" s="121">
        <v>40.747999999999998</v>
      </c>
      <c r="BV299" s="121">
        <v>42.045749999999998</v>
      </c>
      <c r="BW299" s="121">
        <v>43.343499999999999</v>
      </c>
      <c r="BX299" s="121">
        <v>44.620249999999999</v>
      </c>
      <c r="BY299" s="121">
        <v>45.897000000000006</v>
      </c>
      <c r="BZ299" s="121">
        <v>47.184000000000005</v>
      </c>
      <c r="CA299" s="121">
        <v>48.471000000000004</v>
      </c>
      <c r="CB299" s="121">
        <v>49.747250000000001</v>
      </c>
      <c r="CC299" s="121">
        <v>51.023499999999999</v>
      </c>
      <c r="CD299" s="121">
        <v>52.268000000000001</v>
      </c>
      <c r="CE299" s="121">
        <v>53.512500000000003</v>
      </c>
      <c r="CF299" s="121">
        <v>54.767499999999998</v>
      </c>
      <c r="CG299" s="121">
        <v>56.022499999999994</v>
      </c>
      <c r="CH299" s="121">
        <v>57.298999999999999</v>
      </c>
      <c r="CI299" s="121">
        <v>58.575500000000005</v>
      </c>
      <c r="CJ299" s="121">
        <v>59.745999999999995</v>
      </c>
      <c r="CK299" s="121">
        <v>60.916499999999999</v>
      </c>
      <c r="CL299" s="121">
        <v>62.192499999999995</v>
      </c>
      <c r="CM299" s="121">
        <v>63.468499999999999</v>
      </c>
      <c r="CN299" s="121">
        <v>64.685999999999993</v>
      </c>
      <c r="CO299" s="121">
        <v>65.903500000000008</v>
      </c>
      <c r="CP299" s="121">
        <v>67.126500000000007</v>
      </c>
      <c r="CQ299" s="121">
        <v>68.263000000000005</v>
      </c>
      <c r="CR299" s="160">
        <v>69.5625</v>
      </c>
      <c r="CS299" s="160">
        <f t="array" ref="CS299:CS312">TRANSPOSE(CT298:DG298)</f>
        <v>70.742500000000007</v>
      </c>
      <c r="CT299" s="120">
        <f>(CS299+CU299)/2</f>
        <v>71.982250000000008</v>
      </c>
      <c r="CU299" s="120">
        <f>(CU298+CU300)/2</f>
        <v>73.222000000000008</v>
      </c>
      <c r="CV299" s="120">
        <f>(CU299+CW299)/2</f>
        <v>74.37</v>
      </c>
      <c r="CW299" s="120">
        <f>(CW298+CW300)/2</f>
        <v>75.518000000000001</v>
      </c>
      <c r="CX299" s="120">
        <f>(CW299+CY299)/2</f>
        <v>76.730500000000006</v>
      </c>
      <c r="CY299" s="120">
        <f>(CY298+CY300)/2</f>
        <v>77.942999999999998</v>
      </c>
      <c r="CZ299" s="120">
        <f>(CY299+DA299)/2</f>
        <v>79.171750000000003</v>
      </c>
      <c r="DA299" s="120">
        <f>(DA298+DA300)/2</f>
        <v>80.400499999999994</v>
      </c>
      <c r="DB299" s="120">
        <f>(DA299+DC299)/2</f>
        <v>81.549250000000001</v>
      </c>
      <c r="DC299" s="120">
        <f>(DC298+DC300)/2</f>
        <v>82.698000000000008</v>
      </c>
      <c r="DD299" s="120">
        <f>(DC299+DE299)/2</f>
        <v>83.921750000000003</v>
      </c>
      <c r="DE299" s="120">
        <f>(DE298+DE300)/2</f>
        <v>85.145499999999998</v>
      </c>
      <c r="DF299" s="120">
        <f>(DE299+DG299)/2</f>
        <v>86.293499999999995</v>
      </c>
      <c r="DG299" s="122">
        <f>(DG298+DG300)/2</f>
        <v>87.441499999999991</v>
      </c>
    </row>
    <row r="300" spans="54:111" ht="15" customHeight="1" x14ac:dyDescent="0.2">
      <c r="BB300" s="28">
        <v>48</v>
      </c>
      <c r="BC300" s="121">
        <v>15.314</v>
      </c>
      <c r="BD300" s="121">
        <v>16.990500000000001</v>
      </c>
      <c r="BE300" s="121">
        <v>18.667000000000002</v>
      </c>
      <c r="BF300" s="121">
        <v>20.237500000000001</v>
      </c>
      <c r="BG300" s="121">
        <v>21.808</v>
      </c>
      <c r="BH300" s="121">
        <v>23.292000000000002</v>
      </c>
      <c r="BI300" s="121">
        <v>24.776</v>
      </c>
      <c r="BJ300" s="121">
        <v>26.259999999999998</v>
      </c>
      <c r="BK300" s="121">
        <v>27.744</v>
      </c>
      <c r="BL300" s="121">
        <v>29.1965</v>
      </c>
      <c r="BM300" s="121">
        <v>30.649000000000001</v>
      </c>
      <c r="BN300" s="121">
        <v>32.005499999999998</v>
      </c>
      <c r="BO300" s="121">
        <v>33.362000000000002</v>
      </c>
      <c r="BP300" s="121">
        <v>34.740499999999997</v>
      </c>
      <c r="BQ300" s="121">
        <v>36.119</v>
      </c>
      <c r="BR300" s="121">
        <v>37.475000000000001</v>
      </c>
      <c r="BS300" s="121">
        <v>38.831000000000003</v>
      </c>
      <c r="BT300" s="121">
        <v>40.1235</v>
      </c>
      <c r="BU300" s="121">
        <v>41.415999999999997</v>
      </c>
      <c r="BV300" s="121">
        <v>42.73</v>
      </c>
      <c r="BW300" s="121">
        <v>44.043999999999997</v>
      </c>
      <c r="BX300" s="121">
        <v>45.337000000000003</v>
      </c>
      <c r="BY300" s="121">
        <v>46.63</v>
      </c>
      <c r="BZ300" s="121">
        <v>47.944500000000005</v>
      </c>
      <c r="CA300" s="121">
        <v>49.259</v>
      </c>
      <c r="CB300" s="121">
        <v>50.551000000000002</v>
      </c>
      <c r="CC300" s="121">
        <v>51.843000000000004</v>
      </c>
      <c r="CD300" s="121">
        <v>53.1355</v>
      </c>
      <c r="CE300" s="121">
        <v>54.427999999999997</v>
      </c>
      <c r="CF300" s="121">
        <v>55.677999999999997</v>
      </c>
      <c r="CG300" s="121">
        <v>56.927999999999997</v>
      </c>
      <c r="CH300" s="121">
        <v>58.221000000000004</v>
      </c>
      <c r="CI300" s="121">
        <v>59.514000000000003</v>
      </c>
      <c r="CJ300" s="121">
        <v>60.701000000000001</v>
      </c>
      <c r="CK300" s="121">
        <v>61.887999999999998</v>
      </c>
      <c r="CL300" s="121">
        <v>63.179999999999993</v>
      </c>
      <c r="CM300" s="121">
        <v>64.471999999999994</v>
      </c>
      <c r="CN300" s="121">
        <v>65.774499999999989</v>
      </c>
      <c r="CO300" s="121">
        <v>67.076999999999998</v>
      </c>
      <c r="CP300" s="121">
        <v>68.263000000000005</v>
      </c>
      <c r="CQ300" s="121">
        <v>69.448999999999998</v>
      </c>
      <c r="CR300" s="160">
        <v>70.742500000000007</v>
      </c>
      <c r="CS300" s="160">
        <v>72.036000000000001</v>
      </c>
      <c r="CT300" s="121">
        <f t="array" ref="CT300:CT312">TRANSPOSE(CU299:DG299)</f>
        <v>73.222000000000008</v>
      </c>
      <c r="CU300" s="158">
        <v>74.408000000000001</v>
      </c>
      <c r="CV300" s="121">
        <f>CW299</f>
        <v>75.518000000000001</v>
      </c>
      <c r="CW300" s="158">
        <v>76.736999999999995</v>
      </c>
      <c r="CX300" s="121">
        <f>CY299</f>
        <v>77.942999999999998</v>
      </c>
      <c r="CY300" s="158">
        <v>79.322000000000003</v>
      </c>
      <c r="CZ300" s="121">
        <f>DA299</f>
        <v>80.400499999999994</v>
      </c>
      <c r="DA300" s="158">
        <v>81.694000000000003</v>
      </c>
      <c r="DB300" s="121">
        <f>DC299</f>
        <v>82.698000000000008</v>
      </c>
      <c r="DC300" s="158">
        <v>84.024000000000001</v>
      </c>
      <c r="DD300" s="121">
        <f>DE299</f>
        <v>85.145499999999998</v>
      </c>
      <c r="DE300" s="158">
        <v>86.653999999999996</v>
      </c>
      <c r="DF300" s="121">
        <f>DG299</f>
        <v>87.441499999999991</v>
      </c>
      <c r="DG300" s="159">
        <v>88.981999999999999</v>
      </c>
    </row>
    <row r="301" spans="54:111" ht="15" customHeight="1" x14ac:dyDescent="0.2">
      <c r="BB301" s="28">
        <v>49</v>
      </c>
      <c r="BC301" s="121">
        <v>15.541499999999999</v>
      </c>
      <c r="BD301" s="121">
        <v>17.25</v>
      </c>
      <c r="BE301" s="121">
        <v>18.958500000000001</v>
      </c>
      <c r="BF301" s="121">
        <v>20.545000000000002</v>
      </c>
      <c r="BG301" s="121">
        <v>22.131499999999999</v>
      </c>
      <c r="BH301" s="121">
        <v>23.66375</v>
      </c>
      <c r="BI301" s="121">
        <v>25.195999999999998</v>
      </c>
      <c r="BJ301" s="121">
        <v>26.6755</v>
      </c>
      <c r="BK301" s="121">
        <v>28.155000000000001</v>
      </c>
      <c r="BL301" s="121">
        <v>29.618500000000001</v>
      </c>
      <c r="BM301" s="121">
        <v>31.082000000000001</v>
      </c>
      <c r="BN301" s="121">
        <v>32.491500000000002</v>
      </c>
      <c r="BO301" s="121">
        <v>33.900999999999996</v>
      </c>
      <c r="BP301" s="121">
        <v>35.295499999999997</v>
      </c>
      <c r="BQ301" s="121">
        <v>36.69</v>
      </c>
      <c r="BR301" s="121">
        <v>38.073499999999996</v>
      </c>
      <c r="BS301" s="121">
        <v>39.457000000000001</v>
      </c>
      <c r="BT301" s="121">
        <v>40.765500000000003</v>
      </c>
      <c r="BU301" s="121">
        <v>42.073999999999998</v>
      </c>
      <c r="BV301" s="121">
        <v>43.404249999999998</v>
      </c>
      <c r="BW301" s="121">
        <v>44.734499999999997</v>
      </c>
      <c r="BX301" s="121">
        <v>46.091500000000003</v>
      </c>
      <c r="BY301" s="121">
        <v>47.448500000000003</v>
      </c>
      <c r="BZ301" s="121">
        <v>48.768000000000001</v>
      </c>
      <c r="CA301" s="121">
        <v>50.087499999999999</v>
      </c>
      <c r="CB301" s="121">
        <v>51.375</v>
      </c>
      <c r="CC301" s="121">
        <v>52.662500000000001</v>
      </c>
      <c r="CD301" s="121">
        <v>53.982250000000001</v>
      </c>
      <c r="CE301" s="121">
        <v>55.302</v>
      </c>
      <c r="CF301" s="121">
        <v>56.58925</v>
      </c>
      <c r="CG301" s="121">
        <v>57.8765</v>
      </c>
      <c r="CH301" s="121">
        <v>59.169499999999999</v>
      </c>
      <c r="CI301" s="121">
        <v>60.462500000000006</v>
      </c>
      <c r="CJ301" s="121">
        <v>61.729500000000002</v>
      </c>
      <c r="CK301" s="121">
        <v>62.996499999999997</v>
      </c>
      <c r="CL301" s="121">
        <v>64.240999999999985</v>
      </c>
      <c r="CM301" s="121">
        <v>65.485500000000002</v>
      </c>
      <c r="CN301" s="121">
        <v>66.809999999999988</v>
      </c>
      <c r="CO301" s="121">
        <v>68.134500000000003</v>
      </c>
      <c r="CP301" s="121">
        <v>69.336749999999995</v>
      </c>
      <c r="CQ301" s="121">
        <v>70.410499999999999</v>
      </c>
      <c r="CR301" s="160">
        <v>71.853250000000003</v>
      </c>
      <c r="CS301" s="160">
        <v>72.963999999999999</v>
      </c>
      <c r="CT301" s="160">
        <v>74.37</v>
      </c>
      <c r="CU301" s="160">
        <f t="array" ref="CU301:CU312">TRANSPOSE(CV300:DG300)</f>
        <v>75.518000000000001</v>
      </c>
      <c r="CV301" s="120">
        <f>(CU301+CW301)/2</f>
        <v>76.801000000000002</v>
      </c>
      <c r="CW301" s="120">
        <f>(CW300+CW302)/2</f>
        <v>78.084000000000003</v>
      </c>
      <c r="CX301" s="120">
        <f>(CW301+CY301)/2</f>
        <v>79.328249999999997</v>
      </c>
      <c r="CY301" s="120">
        <f>(CY300+CY302)/2</f>
        <v>80.572499999999991</v>
      </c>
      <c r="CZ301" s="120">
        <f>(CY301+DA301)/2</f>
        <v>81.839249999999993</v>
      </c>
      <c r="DA301" s="120">
        <f>(DA300+DA302)/2</f>
        <v>83.105999999999995</v>
      </c>
      <c r="DB301" s="120">
        <f>(DA301+DC301)/2</f>
        <v>84.302999999999997</v>
      </c>
      <c r="DC301" s="120">
        <f>(DC300+DC302)/2</f>
        <v>85.5</v>
      </c>
      <c r="DD301" s="120">
        <f>(DC301+DE301)/2</f>
        <v>86.755750000000006</v>
      </c>
      <c r="DE301" s="120">
        <f>(DE300+DE302)/2</f>
        <v>88.011499999999998</v>
      </c>
      <c r="DF301" s="120">
        <f>(DE301+DG301)/2</f>
        <v>89.26724999999999</v>
      </c>
      <c r="DG301" s="122">
        <f>(DG300+DG302)/2</f>
        <v>90.522999999999996</v>
      </c>
    </row>
    <row r="302" spans="54:111" ht="15" customHeight="1" x14ac:dyDescent="0.2">
      <c r="BB302" s="28">
        <v>50</v>
      </c>
      <c r="BC302" s="121">
        <v>15.769</v>
      </c>
      <c r="BD302" s="121">
        <v>17.509499999999999</v>
      </c>
      <c r="BE302" s="121">
        <v>19.25</v>
      </c>
      <c r="BF302" s="121">
        <v>20.852499999999999</v>
      </c>
      <c r="BG302" s="121">
        <v>22.454999999999998</v>
      </c>
      <c r="BH302" s="121">
        <v>24.035499999999999</v>
      </c>
      <c r="BI302" s="121">
        <v>25.616</v>
      </c>
      <c r="BJ302" s="121">
        <v>27.091000000000001</v>
      </c>
      <c r="BK302" s="121">
        <v>28.565999999999999</v>
      </c>
      <c r="BL302" s="121">
        <v>30.040500000000002</v>
      </c>
      <c r="BM302" s="121">
        <v>31.515000000000001</v>
      </c>
      <c r="BN302" s="121">
        <v>32.977499999999999</v>
      </c>
      <c r="BO302" s="121">
        <v>34.44</v>
      </c>
      <c r="BP302" s="121">
        <v>35.850499999999997</v>
      </c>
      <c r="BQ302" s="121">
        <v>37.261000000000003</v>
      </c>
      <c r="BR302" s="121">
        <v>38.671999999999997</v>
      </c>
      <c r="BS302" s="121">
        <v>40.082999999999998</v>
      </c>
      <c r="BT302" s="121">
        <v>41.407499999999999</v>
      </c>
      <c r="BU302" s="121">
        <v>42.731999999999999</v>
      </c>
      <c r="BV302" s="121">
        <v>44.078499999999998</v>
      </c>
      <c r="BW302" s="121">
        <v>45.424999999999997</v>
      </c>
      <c r="BX302" s="121">
        <v>46.846000000000004</v>
      </c>
      <c r="BY302" s="121">
        <v>48.267000000000003</v>
      </c>
      <c r="BZ302" s="121">
        <v>49.591499999999996</v>
      </c>
      <c r="CA302" s="121">
        <v>50.915999999999997</v>
      </c>
      <c r="CB302" s="121">
        <v>52.198999999999998</v>
      </c>
      <c r="CC302" s="121">
        <v>53.481999999999999</v>
      </c>
      <c r="CD302" s="121">
        <v>54.829000000000001</v>
      </c>
      <c r="CE302" s="121">
        <v>56.176000000000002</v>
      </c>
      <c r="CF302" s="121">
        <v>57.500500000000002</v>
      </c>
      <c r="CG302" s="121">
        <v>58.825000000000003</v>
      </c>
      <c r="CH302" s="121">
        <v>60.118000000000002</v>
      </c>
      <c r="CI302" s="121">
        <v>61.411000000000001</v>
      </c>
      <c r="CJ302" s="121">
        <v>62.758000000000003</v>
      </c>
      <c r="CK302" s="121">
        <v>64.105000000000004</v>
      </c>
      <c r="CL302" s="121">
        <v>65.301999999999992</v>
      </c>
      <c r="CM302" s="121">
        <v>66.498999999999995</v>
      </c>
      <c r="CN302" s="121">
        <v>67.845499999999987</v>
      </c>
      <c r="CO302" s="121">
        <v>69.191999999999993</v>
      </c>
      <c r="CP302" s="121">
        <v>70.410499999999999</v>
      </c>
      <c r="CQ302" s="121">
        <v>71.629000000000005</v>
      </c>
      <c r="CR302" s="160">
        <v>72.963999999999999</v>
      </c>
      <c r="CS302" s="160">
        <v>74.299000000000007</v>
      </c>
      <c r="CT302" s="160">
        <v>75.518000000000001</v>
      </c>
      <c r="CU302" s="160">
        <v>76.736999999999995</v>
      </c>
      <c r="CV302" s="121">
        <f t="array" ref="CV302:CV312">TRANSPOSE(CW301:DG301)</f>
        <v>78.084000000000003</v>
      </c>
      <c r="CW302" s="158">
        <v>79.430999999999997</v>
      </c>
      <c r="CX302" s="121">
        <f>CY301</f>
        <v>80.572499999999991</v>
      </c>
      <c r="CY302" s="158">
        <v>81.822999999999993</v>
      </c>
      <c r="CZ302" s="121">
        <f>DA301</f>
        <v>83.105999999999995</v>
      </c>
      <c r="DA302" s="158">
        <v>84.518000000000001</v>
      </c>
      <c r="DB302" s="121">
        <f>DC301</f>
        <v>85.5</v>
      </c>
      <c r="DC302" s="158">
        <v>86.975999999999999</v>
      </c>
      <c r="DD302" s="121">
        <f>DE301</f>
        <v>88.011499999999998</v>
      </c>
      <c r="DE302" s="158">
        <v>89.369</v>
      </c>
      <c r="DF302" s="121">
        <f>DG301</f>
        <v>90.522999999999996</v>
      </c>
      <c r="DG302" s="159">
        <v>92.063999999999993</v>
      </c>
    </row>
    <row r="303" spans="54:111" ht="15" customHeight="1" x14ac:dyDescent="0.2">
      <c r="BB303" s="28">
        <v>51</v>
      </c>
      <c r="BC303" s="121">
        <v>16.028500000000001</v>
      </c>
      <c r="BD303" s="121">
        <v>17.78</v>
      </c>
      <c r="BE303" s="121">
        <v>19.531500000000001</v>
      </c>
      <c r="BF303" s="121">
        <v>21.181999999999999</v>
      </c>
      <c r="BG303" s="121">
        <v>22.8325</v>
      </c>
      <c r="BH303" s="121">
        <v>24.413249999999998</v>
      </c>
      <c r="BI303" s="121">
        <v>25.994</v>
      </c>
      <c r="BJ303" s="121">
        <v>27.516750000000002</v>
      </c>
      <c r="BK303" s="121">
        <v>29.0395</v>
      </c>
      <c r="BL303" s="121">
        <v>30.530750000000001</v>
      </c>
      <c r="BM303" s="121">
        <v>32.022000000000006</v>
      </c>
      <c r="BN303" s="121">
        <v>33.468500000000006</v>
      </c>
      <c r="BO303" s="121">
        <v>34.914999999999999</v>
      </c>
      <c r="BP303" s="121">
        <v>36.373750000000001</v>
      </c>
      <c r="BQ303" s="121">
        <v>37.832500000000003</v>
      </c>
      <c r="BR303" s="121">
        <v>39.22775</v>
      </c>
      <c r="BS303" s="121">
        <v>40.622999999999998</v>
      </c>
      <c r="BT303" s="121">
        <v>42.011499999999998</v>
      </c>
      <c r="BU303" s="121">
        <v>43.4</v>
      </c>
      <c r="BV303" s="121">
        <v>44.762999999999998</v>
      </c>
      <c r="BW303" s="121">
        <v>46.125999999999998</v>
      </c>
      <c r="BX303" s="121">
        <v>47.558</v>
      </c>
      <c r="BY303" s="121">
        <v>48.99</v>
      </c>
      <c r="BZ303" s="121">
        <v>50.346499999999999</v>
      </c>
      <c r="CA303" s="121">
        <v>51.703000000000003</v>
      </c>
      <c r="CB303" s="121">
        <v>53.034500000000001</v>
      </c>
      <c r="CC303" s="121">
        <v>54.366</v>
      </c>
      <c r="CD303" s="121">
        <v>55.696749999999994</v>
      </c>
      <c r="CE303" s="121">
        <v>57.027500000000003</v>
      </c>
      <c r="CF303" s="121">
        <v>58.384500000000003</v>
      </c>
      <c r="CG303" s="121">
        <v>59.741500000000002</v>
      </c>
      <c r="CH303" s="121">
        <v>61.045500000000004</v>
      </c>
      <c r="CI303" s="121">
        <v>62.349499999999999</v>
      </c>
      <c r="CJ303" s="121">
        <v>63.712500000000006</v>
      </c>
      <c r="CK303" s="121">
        <v>65.075500000000005</v>
      </c>
      <c r="CL303" s="121">
        <v>66.368825000000001</v>
      </c>
      <c r="CM303" s="121">
        <v>67.662149999999997</v>
      </c>
      <c r="CN303" s="121">
        <v>68.960825</v>
      </c>
      <c r="CO303" s="121">
        <v>70.259500000000003</v>
      </c>
      <c r="CP303" s="121">
        <v>71.557999999999993</v>
      </c>
      <c r="CQ303" s="121">
        <v>72.705500000000001</v>
      </c>
      <c r="CR303" s="160">
        <v>74.144000000000005</v>
      </c>
      <c r="CS303" s="160">
        <v>75.323999999999998</v>
      </c>
      <c r="CT303" s="160">
        <v>76.730500000000006</v>
      </c>
      <c r="CU303" s="160">
        <v>77.942999999999998</v>
      </c>
      <c r="CV303" s="160">
        <v>79.328249999999997</v>
      </c>
      <c r="CW303" s="160">
        <f t="array" ref="CW303:CW312">TRANSPOSE(CX302:DG302)</f>
        <v>80.572499999999991</v>
      </c>
      <c r="CX303" s="120">
        <f>(CW303+CY303)/2</f>
        <v>81.892749999999992</v>
      </c>
      <c r="CY303" s="120">
        <f>(CY302+CY304)/2</f>
        <v>83.212999999999994</v>
      </c>
      <c r="CZ303" s="120">
        <f>(CY303+DA303)/2</f>
        <v>84.512249999999995</v>
      </c>
      <c r="DA303" s="120">
        <f>(DA302+DA304)/2</f>
        <v>85.811499999999995</v>
      </c>
      <c r="DB303" s="120">
        <f>(DA303+DC303)/2</f>
        <v>87.051500000000004</v>
      </c>
      <c r="DC303" s="120">
        <f>(DC302+DC304)/2</f>
        <v>88.291499999999999</v>
      </c>
      <c r="DD303" s="120">
        <f>(DC303+DE303)/2</f>
        <v>89.584499999999991</v>
      </c>
      <c r="DE303" s="120">
        <f>(DE302+DE304)/2</f>
        <v>90.877499999999998</v>
      </c>
      <c r="DF303" s="120">
        <f>(DE303+DG303)/2</f>
        <v>92.176500000000004</v>
      </c>
      <c r="DG303" s="122">
        <f>(DG302+DG304)/2</f>
        <v>93.475499999999997</v>
      </c>
    </row>
    <row r="304" spans="54:111" ht="15" customHeight="1" x14ac:dyDescent="0.2">
      <c r="BB304" s="28">
        <v>52</v>
      </c>
      <c r="BC304" s="121">
        <v>16.288</v>
      </c>
      <c r="BD304" s="121">
        <v>18.0505</v>
      </c>
      <c r="BE304" s="121">
        <v>19.812999999999999</v>
      </c>
      <c r="BF304" s="121">
        <v>21.511499999999998</v>
      </c>
      <c r="BG304" s="121">
        <v>23.21</v>
      </c>
      <c r="BH304" s="121">
        <v>24.791</v>
      </c>
      <c r="BI304" s="121">
        <v>26.372</v>
      </c>
      <c r="BJ304" s="121">
        <v>27.942500000000003</v>
      </c>
      <c r="BK304" s="121">
        <v>29.513000000000002</v>
      </c>
      <c r="BL304" s="121">
        <v>31.021000000000001</v>
      </c>
      <c r="BM304" s="121">
        <v>32.529000000000003</v>
      </c>
      <c r="BN304" s="121">
        <v>33.959500000000006</v>
      </c>
      <c r="BO304" s="121">
        <v>35.39</v>
      </c>
      <c r="BP304" s="121">
        <v>36.897000000000006</v>
      </c>
      <c r="BQ304" s="121">
        <v>38.404000000000003</v>
      </c>
      <c r="BR304" s="121">
        <v>39.783500000000004</v>
      </c>
      <c r="BS304" s="121">
        <v>41.162999999999997</v>
      </c>
      <c r="BT304" s="121">
        <v>42.615499999999997</v>
      </c>
      <c r="BU304" s="121">
        <v>44.067999999999998</v>
      </c>
      <c r="BV304" s="121">
        <v>45.447499999999998</v>
      </c>
      <c r="BW304" s="121">
        <v>46.826999999999998</v>
      </c>
      <c r="BX304" s="121">
        <v>48.269999999999996</v>
      </c>
      <c r="BY304" s="121">
        <v>49.713000000000001</v>
      </c>
      <c r="BZ304" s="121">
        <v>51.101500000000001</v>
      </c>
      <c r="CA304" s="121">
        <v>52.49</v>
      </c>
      <c r="CB304" s="121">
        <v>53.870000000000005</v>
      </c>
      <c r="CC304" s="121">
        <v>55.25</v>
      </c>
      <c r="CD304" s="121">
        <v>56.564499999999995</v>
      </c>
      <c r="CE304" s="121">
        <v>57.878999999999998</v>
      </c>
      <c r="CF304" s="121">
        <v>59.268500000000003</v>
      </c>
      <c r="CG304" s="121">
        <v>60.658000000000001</v>
      </c>
      <c r="CH304" s="121">
        <v>61.972999999999999</v>
      </c>
      <c r="CI304" s="121">
        <v>63.287999999999997</v>
      </c>
      <c r="CJ304" s="121">
        <v>64.667000000000002</v>
      </c>
      <c r="CK304" s="121">
        <v>66.046000000000006</v>
      </c>
      <c r="CL304" s="121">
        <v>67.43565000000001</v>
      </c>
      <c r="CM304" s="121">
        <v>68.825299999999999</v>
      </c>
      <c r="CN304" s="121">
        <v>70.076149999999998</v>
      </c>
      <c r="CO304" s="121">
        <v>71.326999999999998</v>
      </c>
      <c r="CP304" s="121">
        <v>72.705500000000001</v>
      </c>
      <c r="CQ304" s="121">
        <v>74.084000000000003</v>
      </c>
      <c r="CR304" s="160">
        <v>75.323999999999998</v>
      </c>
      <c r="CS304" s="160">
        <v>76.563999999999993</v>
      </c>
      <c r="CT304" s="160">
        <v>77.942999999999998</v>
      </c>
      <c r="CU304" s="160">
        <v>79.322000000000003</v>
      </c>
      <c r="CV304" s="160">
        <v>80.572499999999991</v>
      </c>
      <c r="CW304" s="160">
        <v>81.822999999999993</v>
      </c>
      <c r="CX304" s="121">
        <f t="array" ref="CX304:CX312">TRANSPOSE(CY303:DG303)</f>
        <v>83.212999999999994</v>
      </c>
      <c r="CY304" s="158">
        <v>84.602999999999994</v>
      </c>
      <c r="CZ304" s="121">
        <f>DA303</f>
        <v>85.811499999999995</v>
      </c>
      <c r="DA304" s="158">
        <v>87.105000000000004</v>
      </c>
      <c r="DB304" s="121">
        <f>DC303</f>
        <v>88.291499999999999</v>
      </c>
      <c r="DC304" s="158">
        <v>89.606999999999999</v>
      </c>
      <c r="DD304" s="121">
        <f>DE303</f>
        <v>90.877499999999998</v>
      </c>
      <c r="DE304" s="158">
        <v>92.385999999999996</v>
      </c>
      <c r="DF304" s="121">
        <f>DG303</f>
        <v>93.475499999999997</v>
      </c>
      <c r="DG304" s="159">
        <v>94.887</v>
      </c>
    </row>
    <row r="305" spans="54:111" ht="15" customHeight="1" x14ac:dyDescent="0.2">
      <c r="BB305" s="28">
        <v>53</v>
      </c>
      <c r="BC305" s="121">
        <v>16.515000000000001</v>
      </c>
      <c r="BD305" s="121">
        <v>18.304500000000001</v>
      </c>
      <c r="BE305" s="121">
        <v>20.094000000000001</v>
      </c>
      <c r="BF305" s="121">
        <v>21.814</v>
      </c>
      <c r="BG305" s="121">
        <v>23.533999999999999</v>
      </c>
      <c r="BH305" s="121">
        <v>25.125999999999998</v>
      </c>
      <c r="BI305" s="121">
        <v>26.718</v>
      </c>
      <c r="BJ305" s="121">
        <v>28.310000000000002</v>
      </c>
      <c r="BK305" s="121">
        <v>29.902000000000001</v>
      </c>
      <c r="BL305" s="121">
        <v>31.425750000000001</v>
      </c>
      <c r="BM305" s="121">
        <v>32.9495</v>
      </c>
      <c r="BN305" s="121">
        <v>34.450500000000005</v>
      </c>
      <c r="BO305" s="121">
        <v>35.951499999999996</v>
      </c>
      <c r="BP305" s="121">
        <v>37.442500000000003</v>
      </c>
      <c r="BQ305" s="121">
        <v>38.933500000000002</v>
      </c>
      <c r="BR305" s="121">
        <v>40.366</v>
      </c>
      <c r="BS305" s="121">
        <v>41.798499999999997</v>
      </c>
      <c r="BT305" s="121">
        <v>43.262499999999996</v>
      </c>
      <c r="BU305" s="121">
        <v>44.726500000000001</v>
      </c>
      <c r="BV305" s="121">
        <v>46.121749999999999</v>
      </c>
      <c r="BW305" s="121">
        <v>47.516999999999996</v>
      </c>
      <c r="BX305" s="121">
        <v>48.992249999999999</v>
      </c>
      <c r="BY305" s="121">
        <v>50.467500000000001</v>
      </c>
      <c r="BZ305" s="121">
        <v>51.8675</v>
      </c>
      <c r="CA305" s="121">
        <v>53.267499999999998</v>
      </c>
      <c r="CB305" s="121">
        <v>54.66825</v>
      </c>
      <c r="CC305" s="121">
        <v>56.069000000000003</v>
      </c>
      <c r="CD305" s="121">
        <v>57.431999999999995</v>
      </c>
      <c r="CE305" s="121">
        <v>58.795000000000002</v>
      </c>
      <c r="CF305" s="121">
        <v>60.168500000000002</v>
      </c>
      <c r="CG305" s="121">
        <v>61.542000000000002</v>
      </c>
      <c r="CH305" s="121">
        <v>62.884250000000002</v>
      </c>
      <c r="CI305" s="121">
        <v>64.226500000000001</v>
      </c>
      <c r="CJ305" s="121">
        <v>65.62700000000001</v>
      </c>
      <c r="CK305" s="121">
        <v>67.027500000000003</v>
      </c>
      <c r="CL305" s="121">
        <v>68.427575000000004</v>
      </c>
      <c r="CM305" s="121">
        <v>69.827650000000006</v>
      </c>
      <c r="CN305" s="121">
        <v>71.100075000000004</v>
      </c>
      <c r="CO305" s="121">
        <v>72.372500000000002</v>
      </c>
      <c r="CP305" s="121">
        <v>73.767250000000004</v>
      </c>
      <c r="CQ305" s="121">
        <v>74.829000000000008</v>
      </c>
      <c r="CR305" s="160">
        <v>76.498750000000001</v>
      </c>
      <c r="CS305" s="160">
        <v>77.67349999999999</v>
      </c>
      <c r="CT305" s="160">
        <v>79.171750000000003</v>
      </c>
      <c r="CU305" s="160">
        <v>80.400499999999994</v>
      </c>
      <c r="CV305" s="160">
        <v>81.839249999999993</v>
      </c>
      <c r="CW305" s="160">
        <v>83.105999999999995</v>
      </c>
      <c r="CX305" s="160">
        <v>84.512249999999995</v>
      </c>
      <c r="CY305" s="160">
        <f t="array" ref="CY305:CY312">TRANSPOSE(CZ304:DG304)</f>
        <v>85.811499999999995</v>
      </c>
      <c r="CZ305" s="120">
        <f>(CY305+DA305)/2</f>
        <v>87.1</v>
      </c>
      <c r="DA305" s="120">
        <f>(DA304+DA306)/2</f>
        <v>88.388499999999993</v>
      </c>
      <c r="DB305" s="120">
        <f>(DA305+DC305)/2</f>
        <v>89.703749999999999</v>
      </c>
      <c r="DC305" s="120">
        <f>(DC304+DC306)/2</f>
        <v>91.019000000000005</v>
      </c>
      <c r="DD305" s="120">
        <f>(DC305+DE305)/2</f>
        <v>92.387249999999995</v>
      </c>
      <c r="DE305" s="120">
        <f>(DE304+DE306)/2</f>
        <v>93.755499999999998</v>
      </c>
      <c r="DF305" s="120">
        <f>(DE305+DG305)/2</f>
        <v>95.059750000000008</v>
      </c>
      <c r="DG305" s="122">
        <f>(DG304+DG306)/2</f>
        <v>96.364000000000004</v>
      </c>
    </row>
    <row r="306" spans="54:111" ht="15" customHeight="1" x14ac:dyDescent="0.2">
      <c r="BB306" s="28">
        <v>54</v>
      </c>
      <c r="BC306" s="121">
        <v>16.742000000000001</v>
      </c>
      <c r="BD306" s="121">
        <v>18.558500000000002</v>
      </c>
      <c r="BE306" s="121">
        <v>20.375</v>
      </c>
      <c r="BF306" s="121">
        <v>22.116500000000002</v>
      </c>
      <c r="BG306" s="121">
        <v>23.858000000000001</v>
      </c>
      <c r="BH306" s="121">
        <v>25.460999999999999</v>
      </c>
      <c r="BI306" s="121">
        <v>27.064</v>
      </c>
      <c r="BJ306" s="121">
        <v>28.677500000000002</v>
      </c>
      <c r="BK306" s="121">
        <v>30.291</v>
      </c>
      <c r="BL306" s="121">
        <v>31.830500000000001</v>
      </c>
      <c r="BM306" s="121">
        <v>33.369999999999997</v>
      </c>
      <c r="BN306" s="121">
        <v>34.941499999999998</v>
      </c>
      <c r="BO306" s="121">
        <v>36.512999999999998</v>
      </c>
      <c r="BP306" s="121">
        <v>37.988</v>
      </c>
      <c r="BQ306" s="121">
        <v>39.463000000000001</v>
      </c>
      <c r="BR306" s="121">
        <v>40.948499999999996</v>
      </c>
      <c r="BS306" s="121">
        <v>42.433999999999997</v>
      </c>
      <c r="BT306" s="121">
        <v>43.909499999999994</v>
      </c>
      <c r="BU306" s="121">
        <v>45.384999999999998</v>
      </c>
      <c r="BV306" s="121">
        <v>46.795999999999999</v>
      </c>
      <c r="BW306" s="121">
        <v>48.207000000000001</v>
      </c>
      <c r="BX306" s="121">
        <v>49.714500000000001</v>
      </c>
      <c r="BY306" s="121">
        <v>51.222000000000001</v>
      </c>
      <c r="BZ306" s="121">
        <v>52.633499999999998</v>
      </c>
      <c r="CA306" s="121">
        <v>54.045000000000002</v>
      </c>
      <c r="CB306" s="121">
        <v>55.466499999999996</v>
      </c>
      <c r="CC306" s="121">
        <v>56.887999999999998</v>
      </c>
      <c r="CD306" s="121">
        <v>58.299499999999995</v>
      </c>
      <c r="CE306" s="121">
        <v>59.710999999999999</v>
      </c>
      <c r="CF306" s="121">
        <v>61.0685</v>
      </c>
      <c r="CG306" s="121">
        <v>62.426000000000002</v>
      </c>
      <c r="CH306" s="121">
        <v>63.795500000000004</v>
      </c>
      <c r="CI306" s="121">
        <v>65.165000000000006</v>
      </c>
      <c r="CJ306" s="121">
        <v>66.587000000000003</v>
      </c>
      <c r="CK306" s="121">
        <v>68.009</v>
      </c>
      <c r="CL306" s="121">
        <v>69.419499999999999</v>
      </c>
      <c r="CM306" s="121">
        <v>70.83</v>
      </c>
      <c r="CN306" s="121">
        <v>72.123999999999995</v>
      </c>
      <c r="CO306" s="121">
        <v>73.418000000000006</v>
      </c>
      <c r="CP306" s="121">
        <v>74.829000000000008</v>
      </c>
      <c r="CQ306" s="121">
        <v>76.239999999999995</v>
      </c>
      <c r="CR306" s="160">
        <v>77.67349999999999</v>
      </c>
      <c r="CS306" s="160">
        <v>79.106999999999999</v>
      </c>
      <c r="CT306" s="160">
        <v>80.400499999999994</v>
      </c>
      <c r="CU306" s="160">
        <v>81.694000000000003</v>
      </c>
      <c r="CV306" s="160">
        <v>83.105999999999995</v>
      </c>
      <c r="CW306" s="160">
        <v>84.518000000000001</v>
      </c>
      <c r="CX306" s="160">
        <v>85.811499999999995</v>
      </c>
      <c r="CY306" s="160">
        <v>87.105000000000004</v>
      </c>
      <c r="CZ306" s="121">
        <f t="array" ref="CZ306:CZ312">TRANSPOSE(DA305:DG305)</f>
        <v>88.388499999999993</v>
      </c>
      <c r="DA306" s="158">
        <v>89.671999999999997</v>
      </c>
      <c r="DB306" s="121">
        <f>DC305</f>
        <v>91.019000000000005</v>
      </c>
      <c r="DC306" s="158">
        <v>92.430999999999997</v>
      </c>
      <c r="DD306" s="121">
        <f>DE305</f>
        <v>93.755499999999998</v>
      </c>
      <c r="DE306" s="158">
        <v>95.125</v>
      </c>
      <c r="DF306" s="121">
        <f>DG305</f>
        <v>96.364000000000004</v>
      </c>
      <c r="DG306" s="159">
        <v>97.840999999999994</v>
      </c>
    </row>
    <row r="307" spans="54:111" ht="15" customHeight="1" x14ac:dyDescent="0.2">
      <c r="BB307" s="28">
        <v>55</v>
      </c>
      <c r="BC307" s="121">
        <v>16.927</v>
      </c>
      <c r="BD307" s="121">
        <v>18.786000000000001</v>
      </c>
      <c r="BE307" s="121">
        <v>20.645</v>
      </c>
      <c r="BF307" s="121">
        <v>22.4085</v>
      </c>
      <c r="BG307" s="121">
        <v>24.172000000000001</v>
      </c>
      <c r="BH307" s="121">
        <v>25.828250000000001</v>
      </c>
      <c r="BI307" s="121">
        <v>27.484500000000001</v>
      </c>
      <c r="BJ307" s="121">
        <v>29.125250000000001</v>
      </c>
      <c r="BK307" s="121">
        <v>30.765999999999998</v>
      </c>
      <c r="BL307" s="121">
        <v>32.321249999999999</v>
      </c>
      <c r="BM307" s="121">
        <v>33.8765</v>
      </c>
      <c r="BN307" s="121">
        <v>35.46425</v>
      </c>
      <c r="BO307" s="121">
        <v>37.052</v>
      </c>
      <c r="BP307" s="121">
        <v>38.54325</v>
      </c>
      <c r="BQ307" s="121">
        <v>40.034500000000001</v>
      </c>
      <c r="BR307" s="121">
        <v>41.547249999999998</v>
      </c>
      <c r="BS307" s="121">
        <v>43.06</v>
      </c>
      <c r="BT307" s="121">
        <v>44.551249999999996</v>
      </c>
      <c r="BU307" s="121">
        <v>46.042500000000004</v>
      </c>
      <c r="BV307" s="121">
        <v>47.486249999999998</v>
      </c>
      <c r="BW307" s="121">
        <v>48.93</v>
      </c>
      <c r="BX307" s="121">
        <v>50.442250000000001</v>
      </c>
      <c r="BY307" s="121">
        <v>51.954499999999996</v>
      </c>
      <c r="BZ307" s="121">
        <v>53.393499999999996</v>
      </c>
      <c r="CA307" s="121">
        <v>54.832499999999996</v>
      </c>
      <c r="CB307" s="121">
        <v>56.270249999999997</v>
      </c>
      <c r="CC307" s="121">
        <v>57.707999999999998</v>
      </c>
      <c r="CD307" s="121">
        <v>59.135499999999993</v>
      </c>
      <c r="CE307" s="121">
        <v>60.563000000000002</v>
      </c>
      <c r="CF307" s="121">
        <v>61.979750000000003</v>
      </c>
      <c r="CG307" s="121">
        <v>63.396500000000003</v>
      </c>
      <c r="CH307" s="121">
        <v>64.808000000000007</v>
      </c>
      <c r="CI307" s="121">
        <v>66.219500000000011</v>
      </c>
      <c r="CJ307" s="121">
        <v>67.599500000000006</v>
      </c>
      <c r="CK307" s="121">
        <v>68.979500000000002</v>
      </c>
      <c r="CL307" s="121">
        <v>70.411500000000004</v>
      </c>
      <c r="CM307" s="121">
        <v>71.843500000000006</v>
      </c>
      <c r="CN307" s="121">
        <v>73.223500000000001</v>
      </c>
      <c r="CO307" s="121">
        <v>74.603499999999997</v>
      </c>
      <c r="CP307" s="121">
        <v>75.97175</v>
      </c>
      <c r="CQ307" s="121">
        <v>77.114499999999992</v>
      </c>
      <c r="CR307" s="160">
        <v>78.789749999999998</v>
      </c>
      <c r="CS307" s="160">
        <v>79.906000000000006</v>
      </c>
      <c r="CT307" s="160">
        <v>81.549250000000001</v>
      </c>
      <c r="CU307" s="160">
        <v>82.698000000000008</v>
      </c>
      <c r="CV307" s="160">
        <v>84.302999999999997</v>
      </c>
      <c r="CW307" s="160">
        <v>85.5</v>
      </c>
      <c r="CX307" s="160">
        <v>87.051500000000004</v>
      </c>
      <c r="CY307" s="160">
        <v>88.291499999999999</v>
      </c>
      <c r="CZ307" s="160">
        <v>89.703749999999999</v>
      </c>
      <c r="DA307" s="160">
        <f t="array" ref="DA307:DA312">TRANSPOSE(DB306:DG306)</f>
        <v>91.019000000000005</v>
      </c>
      <c r="DB307" s="120">
        <f>(DA307+DC307)/2</f>
        <v>92.414749999999998</v>
      </c>
      <c r="DC307" s="120">
        <f>(DC306+DC308)/2</f>
        <v>93.81049999999999</v>
      </c>
      <c r="DD307" s="120">
        <f>(DC307+DE307)/2</f>
        <v>95.19</v>
      </c>
      <c r="DE307" s="120">
        <f>(DE306+DE308)/2</f>
        <v>96.569500000000005</v>
      </c>
      <c r="DF307" s="120">
        <f>(DE307+DG307)/2</f>
        <v>97.943749999999994</v>
      </c>
      <c r="DG307" s="122">
        <f>(DG306+DG308)/2</f>
        <v>99.317999999999998</v>
      </c>
    </row>
    <row r="308" spans="54:111" ht="15" customHeight="1" x14ac:dyDescent="0.2">
      <c r="BB308" s="28">
        <v>56</v>
      </c>
      <c r="BC308" s="121">
        <v>17.111999999999998</v>
      </c>
      <c r="BD308" s="121">
        <v>19.013500000000001</v>
      </c>
      <c r="BE308" s="121">
        <v>20.914999999999999</v>
      </c>
      <c r="BF308" s="121">
        <v>22.700499999999998</v>
      </c>
      <c r="BG308" s="121">
        <v>24.486000000000001</v>
      </c>
      <c r="BH308" s="121">
        <v>26.195500000000003</v>
      </c>
      <c r="BI308" s="121">
        <v>27.905000000000001</v>
      </c>
      <c r="BJ308" s="121">
        <v>29.573</v>
      </c>
      <c r="BK308" s="121">
        <v>31.241</v>
      </c>
      <c r="BL308" s="121">
        <v>32.811999999999998</v>
      </c>
      <c r="BM308" s="121">
        <v>34.383000000000003</v>
      </c>
      <c r="BN308" s="121">
        <v>35.987000000000002</v>
      </c>
      <c r="BO308" s="121">
        <v>37.591000000000001</v>
      </c>
      <c r="BP308" s="121">
        <v>39.098500000000001</v>
      </c>
      <c r="BQ308" s="121">
        <v>40.606000000000002</v>
      </c>
      <c r="BR308" s="121">
        <v>42.146000000000001</v>
      </c>
      <c r="BS308" s="121">
        <v>43.686</v>
      </c>
      <c r="BT308" s="121">
        <v>45.192999999999998</v>
      </c>
      <c r="BU308" s="121">
        <v>46.7</v>
      </c>
      <c r="BV308" s="121">
        <v>48.176500000000004</v>
      </c>
      <c r="BW308" s="121">
        <v>49.652999999999999</v>
      </c>
      <c r="BX308" s="121">
        <v>51.17</v>
      </c>
      <c r="BY308" s="121">
        <v>52.686999999999998</v>
      </c>
      <c r="BZ308" s="121">
        <v>54.153499999999994</v>
      </c>
      <c r="CA308" s="121">
        <v>55.62</v>
      </c>
      <c r="CB308" s="121">
        <v>57.073999999999998</v>
      </c>
      <c r="CC308" s="121">
        <v>58.527999999999999</v>
      </c>
      <c r="CD308" s="121">
        <v>59.971499999999999</v>
      </c>
      <c r="CE308" s="121">
        <v>61.414999999999999</v>
      </c>
      <c r="CF308" s="121">
        <v>62.891000000000005</v>
      </c>
      <c r="CG308" s="121">
        <v>64.367000000000004</v>
      </c>
      <c r="CH308" s="121">
        <v>65.82050000000001</v>
      </c>
      <c r="CI308" s="121">
        <v>67.274000000000001</v>
      </c>
      <c r="CJ308" s="121">
        <v>68.611999999999995</v>
      </c>
      <c r="CK308" s="121">
        <v>69.95</v>
      </c>
      <c r="CL308" s="121">
        <v>71.403500000000008</v>
      </c>
      <c r="CM308" s="121">
        <v>72.856999999999999</v>
      </c>
      <c r="CN308" s="121">
        <v>74.323000000000008</v>
      </c>
      <c r="CO308" s="121">
        <v>75.789000000000001</v>
      </c>
      <c r="CP308" s="121">
        <v>77.114499999999992</v>
      </c>
      <c r="CQ308" s="121">
        <v>78.44</v>
      </c>
      <c r="CR308" s="160">
        <v>79.906000000000006</v>
      </c>
      <c r="CS308" s="160">
        <v>81.372</v>
      </c>
      <c r="CT308" s="160">
        <v>82.698000000000008</v>
      </c>
      <c r="CU308" s="160">
        <v>84.024000000000001</v>
      </c>
      <c r="CV308" s="160">
        <v>85.5</v>
      </c>
      <c r="CW308" s="160">
        <v>86.975999999999999</v>
      </c>
      <c r="CX308" s="160">
        <v>88.291499999999999</v>
      </c>
      <c r="CY308" s="160">
        <v>89.606999999999999</v>
      </c>
      <c r="CZ308" s="160">
        <v>91.019000000000005</v>
      </c>
      <c r="DA308" s="160">
        <v>92.430999999999997</v>
      </c>
      <c r="DB308" s="121">
        <f t="array" ref="DB308:DB312">TRANSPOSE(DC307:DG307)</f>
        <v>93.81049999999999</v>
      </c>
      <c r="DC308" s="158">
        <v>95.19</v>
      </c>
      <c r="DD308" s="121">
        <f>DE307</f>
        <v>96.569500000000005</v>
      </c>
      <c r="DE308" s="158">
        <v>98.013999999999996</v>
      </c>
      <c r="DF308" s="121">
        <f>DG307</f>
        <v>99.317999999999998</v>
      </c>
      <c r="DG308" s="159">
        <v>100.795</v>
      </c>
    </row>
    <row r="309" spans="54:111" ht="15" customHeight="1" x14ac:dyDescent="0.2">
      <c r="BB309" s="28">
        <v>57</v>
      </c>
      <c r="BC309" s="121">
        <v>17.339500000000001</v>
      </c>
      <c r="BD309" s="121">
        <v>19.268000000000001</v>
      </c>
      <c r="BE309" s="121">
        <v>21.1965</v>
      </c>
      <c r="BF309" s="121">
        <v>23.003250000000001</v>
      </c>
      <c r="BG309" s="121">
        <v>24.810000000000002</v>
      </c>
      <c r="BH309" s="121">
        <v>26.546750000000003</v>
      </c>
      <c r="BI309" s="121">
        <v>28.2835</v>
      </c>
      <c r="BJ309" s="121">
        <v>29.951250000000002</v>
      </c>
      <c r="BK309" s="121">
        <v>31.619</v>
      </c>
      <c r="BL309" s="121">
        <v>33.222499999999997</v>
      </c>
      <c r="BM309" s="121">
        <v>34.826000000000001</v>
      </c>
      <c r="BN309" s="121">
        <v>36.445999999999998</v>
      </c>
      <c r="BO309" s="121">
        <v>38.066000000000003</v>
      </c>
      <c r="BP309" s="121">
        <v>39.632999999999996</v>
      </c>
      <c r="BQ309" s="121">
        <v>41.2</v>
      </c>
      <c r="BR309" s="121">
        <v>42.744749999999996</v>
      </c>
      <c r="BS309" s="121">
        <v>44.289500000000004</v>
      </c>
      <c r="BT309" s="121">
        <v>45.829000000000001</v>
      </c>
      <c r="BU309" s="121">
        <v>47.368499999999997</v>
      </c>
      <c r="BV309" s="121">
        <v>48.861000000000004</v>
      </c>
      <c r="BW309" s="121">
        <v>50.353499999999997</v>
      </c>
      <c r="BX309" s="121">
        <v>51.892749999999999</v>
      </c>
      <c r="BY309" s="121">
        <v>53.432000000000002</v>
      </c>
      <c r="BZ309" s="121">
        <v>54.908249999999995</v>
      </c>
      <c r="CA309" s="121">
        <v>56.384500000000003</v>
      </c>
      <c r="CB309" s="121">
        <v>57.866</v>
      </c>
      <c r="CC309" s="121">
        <v>59.347499999999997</v>
      </c>
      <c r="CD309" s="121">
        <v>60.817999999999998</v>
      </c>
      <c r="CE309" s="121">
        <v>62.288499999999999</v>
      </c>
      <c r="CF309" s="121">
        <v>63.769750000000002</v>
      </c>
      <c r="CG309" s="121">
        <v>65.251000000000005</v>
      </c>
      <c r="CH309" s="121">
        <v>66.731750000000005</v>
      </c>
      <c r="CI309" s="121">
        <v>68.212500000000006</v>
      </c>
      <c r="CJ309" s="121">
        <v>69.571749999999994</v>
      </c>
      <c r="CK309" s="121">
        <v>70.931000000000012</v>
      </c>
      <c r="CL309" s="121">
        <v>72.406500000000008</v>
      </c>
      <c r="CM309" s="121">
        <v>73.882000000000005</v>
      </c>
      <c r="CN309" s="121">
        <v>75.358249999999998</v>
      </c>
      <c r="CO309" s="121">
        <v>76.834499999999991</v>
      </c>
      <c r="CP309" s="121">
        <v>78.250999999999991</v>
      </c>
      <c r="CQ309" s="121">
        <v>79.387499999999989</v>
      </c>
      <c r="CR309" s="160">
        <v>81.085999999999999</v>
      </c>
      <c r="CS309" s="160">
        <v>82.265999999999991</v>
      </c>
      <c r="CT309" s="160">
        <v>83.921750000000003</v>
      </c>
      <c r="CU309" s="160">
        <v>85.145499999999998</v>
      </c>
      <c r="CV309" s="160">
        <v>86.755750000000006</v>
      </c>
      <c r="CW309" s="160">
        <v>88.011499999999998</v>
      </c>
      <c r="CX309" s="160">
        <v>89.584499999999991</v>
      </c>
      <c r="CY309" s="160">
        <v>90.877499999999998</v>
      </c>
      <c r="CZ309" s="160">
        <v>92.387249999999995</v>
      </c>
      <c r="DA309" s="160">
        <v>93.755499999999998</v>
      </c>
      <c r="DB309" s="160">
        <v>95.19</v>
      </c>
      <c r="DC309" s="160">
        <f t="array" ref="DC309:DC312">TRANSPOSE(DD308:DG308)</f>
        <v>96.569500000000005</v>
      </c>
      <c r="DD309" s="120">
        <f>(DC309+DE309)/2</f>
        <v>98.003</v>
      </c>
      <c r="DE309" s="120">
        <f>(DE308+DE310)/2</f>
        <v>99.436499999999995</v>
      </c>
      <c r="DF309" s="120">
        <f>(DE309+DG309)/2</f>
        <v>100.84875</v>
      </c>
      <c r="DG309" s="122">
        <f>(DG308+DG310)/2</f>
        <v>102.261</v>
      </c>
    </row>
    <row r="310" spans="54:111" ht="15" customHeight="1" x14ac:dyDescent="0.2">
      <c r="BB310" s="28">
        <v>58</v>
      </c>
      <c r="BC310" s="121">
        <v>17.567</v>
      </c>
      <c r="BD310" s="121">
        <v>19.522500000000001</v>
      </c>
      <c r="BE310" s="121">
        <v>21.478000000000002</v>
      </c>
      <c r="BF310" s="121">
        <v>23.306000000000001</v>
      </c>
      <c r="BG310" s="121">
        <v>25.134</v>
      </c>
      <c r="BH310" s="121">
        <v>26.898</v>
      </c>
      <c r="BI310" s="121">
        <v>28.661999999999999</v>
      </c>
      <c r="BJ310" s="121">
        <v>30.329499999999999</v>
      </c>
      <c r="BK310" s="121">
        <v>31.997</v>
      </c>
      <c r="BL310" s="121">
        <v>33.632999999999996</v>
      </c>
      <c r="BM310" s="121">
        <v>35.268999999999998</v>
      </c>
      <c r="BN310" s="121">
        <v>36.905000000000001</v>
      </c>
      <c r="BO310" s="121">
        <v>38.540999999999997</v>
      </c>
      <c r="BP310" s="121">
        <v>40.167499999999997</v>
      </c>
      <c r="BQ310" s="121">
        <v>41.793999999999997</v>
      </c>
      <c r="BR310" s="121">
        <v>43.343499999999999</v>
      </c>
      <c r="BS310" s="121">
        <v>44.893000000000001</v>
      </c>
      <c r="BT310" s="121">
        <v>46.465000000000003</v>
      </c>
      <c r="BU310" s="121">
        <v>48.036999999999999</v>
      </c>
      <c r="BV310" s="121">
        <v>49.545500000000004</v>
      </c>
      <c r="BW310" s="121">
        <v>51.054000000000002</v>
      </c>
      <c r="BX310" s="121">
        <v>52.615499999999997</v>
      </c>
      <c r="BY310" s="121">
        <v>54.177</v>
      </c>
      <c r="BZ310" s="121">
        <v>55.662999999999997</v>
      </c>
      <c r="CA310" s="121">
        <v>57.149000000000001</v>
      </c>
      <c r="CB310" s="121">
        <v>58.658000000000001</v>
      </c>
      <c r="CC310" s="121">
        <v>60.167000000000002</v>
      </c>
      <c r="CD310" s="121">
        <v>61.664500000000004</v>
      </c>
      <c r="CE310" s="121">
        <v>63.161999999999999</v>
      </c>
      <c r="CF310" s="121">
        <v>64.648499999999999</v>
      </c>
      <c r="CG310" s="121">
        <v>66.135000000000005</v>
      </c>
      <c r="CH310" s="121">
        <v>67.643000000000001</v>
      </c>
      <c r="CI310" s="121">
        <v>69.150999999999996</v>
      </c>
      <c r="CJ310" s="121">
        <v>70.531499999999994</v>
      </c>
      <c r="CK310" s="121">
        <v>71.912000000000006</v>
      </c>
      <c r="CL310" s="121">
        <v>73.409500000000008</v>
      </c>
      <c r="CM310" s="121">
        <v>74.906999999999996</v>
      </c>
      <c r="CN310" s="121">
        <v>76.393499999999989</v>
      </c>
      <c r="CO310" s="121">
        <v>77.88</v>
      </c>
      <c r="CP310" s="121">
        <v>79.387499999999989</v>
      </c>
      <c r="CQ310" s="121">
        <v>80.894999999999996</v>
      </c>
      <c r="CR310" s="160">
        <v>82.265999999999991</v>
      </c>
      <c r="CS310" s="160">
        <v>83.637</v>
      </c>
      <c r="CT310" s="160">
        <v>85.145499999999998</v>
      </c>
      <c r="CU310" s="160">
        <v>86.653999999999996</v>
      </c>
      <c r="CV310" s="160">
        <v>88.011499999999998</v>
      </c>
      <c r="CW310" s="160">
        <v>89.369</v>
      </c>
      <c r="CX310" s="160">
        <v>90.877499999999998</v>
      </c>
      <c r="CY310" s="160">
        <v>92.385999999999996</v>
      </c>
      <c r="CZ310" s="160">
        <v>93.755499999999998</v>
      </c>
      <c r="DA310" s="160">
        <v>95.125</v>
      </c>
      <c r="DB310" s="160">
        <v>96.569500000000005</v>
      </c>
      <c r="DC310" s="160">
        <v>98.013999999999996</v>
      </c>
      <c r="DD310" s="121">
        <f t="array" ref="DD310:DD312">TRANSPOSE(DE309:DG309)</f>
        <v>99.436499999999995</v>
      </c>
      <c r="DE310" s="158">
        <v>100.85899999999999</v>
      </c>
      <c r="DF310" s="121">
        <f>DG309</f>
        <v>102.261</v>
      </c>
      <c r="DG310" s="159">
        <v>103.727</v>
      </c>
    </row>
    <row r="311" spans="54:111" ht="15" customHeight="1" x14ac:dyDescent="0.2">
      <c r="BB311" s="28">
        <v>59</v>
      </c>
      <c r="BC311" s="121">
        <v>17.826499999999999</v>
      </c>
      <c r="BD311" s="121">
        <v>19.798000000000002</v>
      </c>
      <c r="BE311" s="121">
        <v>21.769500000000001</v>
      </c>
      <c r="BF311" s="121">
        <v>23.608750000000001</v>
      </c>
      <c r="BG311" s="121">
        <v>25.448</v>
      </c>
      <c r="BH311" s="121">
        <v>27.228000000000002</v>
      </c>
      <c r="BI311" s="121">
        <v>29.007999999999999</v>
      </c>
      <c r="BJ311" s="121">
        <v>30.707749999999997</v>
      </c>
      <c r="BK311" s="121">
        <v>32.407499999999999</v>
      </c>
      <c r="BL311" s="121">
        <v>34.091749999999998</v>
      </c>
      <c r="BM311" s="121">
        <v>35.775999999999996</v>
      </c>
      <c r="BN311" s="121">
        <v>37.427999999999997</v>
      </c>
      <c r="BO311" s="121">
        <v>39.08</v>
      </c>
      <c r="BP311" s="121">
        <v>40.695499999999996</v>
      </c>
      <c r="BQ311" s="121">
        <v>42.311</v>
      </c>
      <c r="BR311" s="121">
        <v>43.882999999999996</v>
      </c>
      <c r="BS311" s="121">
        <v>45.454999999999998</v>
      </c>
      <c r="BT311" s="121">
        <v>47.04325</v>
      </c>
      <c r="BU311" s="121">
        <v>48.631500000000003</v>
      </c>
      <c r="BV311" s="121">
        <v>50.187750000000001</v>
      </c>
      <c r="BW311" s="121">
        <v>51.744</v>
      </c>
      <c r="BX311" s="121">
        <v>53.327249999999999</v>
      </c>
      <c r="BY311" s="121">
        <v>54.910499999999999</v>
      </c>
      <c r="BZ311" s="121">
        <v>56.423749999999998</v>
      </c>
      <c r="CA311" s="121">
        <v>57.936999999999998</v>
      </c>
      <c r="CB311" s="121">
        <v>59.461500000000001</v>
      </c>
      <c r="CC311" s="121">
        <v>60.986000000000004</v>
      </c>
      <c r="CD311" s="121">
        <v>62.5</v>
      </c>
      <c r="CE311" s="121">
        <v>64.013999999999996</v>
      </c>
      <c r="CF311" s="121">
        <v>65.527500000000003</v>
      </c>
      <c r="CG311" s="121">
        <v>67.040999999999997</v>
      </c>
      <c r="CH311" s="121">
        <v>68.565250000000006</v>
      </c>
      <c r="CI311" s="121">
        <v>70.089500000000001</v>
      </c>
      <c r="CJ311" s="121">
        <v>71.549750000000003</v>
      </c>
      <c r="CK311" s="121">
        <v>73.010000000000005</v>
      </c>
      <c r="CL311" s="121">
        <v>74.465249999999997</v>
      </c>
      <c r="CM311" s="121">
        <v>75.920500000000004</v>
      </c>
      <c r="CN311" s="121">
        <v>77.434249999999992</v>
      </c>
      <c r="CO311" s="121">
        <v>78.948000000000008</v>
      </c>
      <c r="CP311" s="121">
        <v>80.466499999999996</v>
      </c>
      <c r="CQ311" s="121">
        <v>81.545500000000004</v>
      </c>
      <c r="CR311" s="160">
        <v>83.376999999999995</v>
      </c>
      <c r="CS311" s="160">
        <v>84.488</v>
      </c>
      <c r="CT311" s="160">
        <v>86.293499999999995</v>
      </c>
      <c r="CU311" s="160">
        <v>87.441499999999991</v>
      </c>
      <c r="CV311" s="160">
        <v>89.26724999999999</v>
      </c>
      <c r="CW311" s="160">
        <v>90.522999999999996</v>
      </c>
      <c r="CX311" s="160">
        <v>92.176500000000004</v>
      </c>
      <c r="CY311" s="160">
        <v>93.475499999999997</v>
      </c>
      <c r="CZ311" s="160">
        <v>95.059750000000008</v>
      </c>
      <c r="DA311" s="160">
        <v>96.364000000000004</v>
      </c>
      <c r="DB311" s="160">
        <v>97.943749999999994</v>
      </c>
      <c r="DC311" s="160">
        <v>99.317999999999998</v>
      </c>
      <c r="DD311" s="160">
        <v>100.84875</v>
      </c>
      <c r="DE311" s="160">
        <f t="array" ref="DE311:DE312">TRANSPOSE(DF310:DG310)</f>
        <v>102.261</v>
      </c>
      <c r="DF311" s="120">
        <f>(DE311+DG311)/2</f>
        <v>103.73224999999999</v>
      </c>
      <c r="DG311" s="122">
        <f>(DG310+DG312)/2</f>
        <v>105.20350000000001</v>
      </c>
    </row>
    <row r="312" spans="54:111" ht="15" customHeight="1" thickBot="1" x14ac:dyDescent="0.25">
      <c r="BB312" s="149">
        <v>60</v>
      </c>
      <c r="BC312" s="123">
        <v>18.085999999999999</v>
      </c>
      <c r="BD312" s="123">
        <v>20.073499999999999</v>
      </c>
      <c r="BE312" s="123">
        <v>22.061</v>
      </c>
      <c r="BF312" s="123">
        <v>23.9115</v>
      </c>
      <c r="BG312" s="123">
        <v>25.762</v>
      </c>
      <c r="BH312" s="123">
        <v>27.558</v>
      </c>
      <c r="BI312" s="123">
        <v>29.353999999999999</v>
      </c>
      <c r="BJ312" s="123">
        <v>31.085999999999999</v>
      </c>
      <c r="BK312" s="123">
        <v>32.817999999999998</v>
      </c>
      <c r="BL312" s="123">
        <v>34.5505</v>
      </c>
      <c r="BM312" s="123">
        <v>36.283000000000001</v>
      </c>
      <c r="BN312" s="123">
        <v>37.951000000000001</v>
      </c>
      <c r="BO312" s="123">
        <v>39.619</v>
      </c>
      <c r="BP312" s="123">
        <v>41.223500000000001</v>
      </c>
      <c r="BQ312" s="123">
        <v>42.828000000000003</v>
      </c>
      <c r="BR312" s="123">
        <v>44.422499999999999</v>
      </c>
      <c r="BS312" s="123">
        <v>46.017000000000003</v>
      </c>
      <c r="BT312" s="123">
        <v>47.621499999999997</v>
      </c>
      <c r="BU312" s="123">
        <v>49.225999999999999</v>
      </c>
      <c r="BV312" s="123">
        <v>50.83</v>
      </c>
      <c r="BW312" s="123">
        <v>52.433999999999997</v>
      </c>
      <c r="BX312" s="123">
        <v>54.039000000000001</v>
      </c>
      <c r="BY312" s="123">
        <v>55.643999999999998</v>
      </c>
      <c r="BZ312" s="123">
        <v>57.1845</v>
      </c>
      <c r="CA312" s="123">
        <v>58.725000000000001</v>
      </c>
      <c r="CB312" s="123">
        <v>60.265000000000001</v>
      </c>
      <c r="CC312" s="123">
        <v>61.805</v>
      </c>
      <c r="CD312" s="123">
        <v>63.335499999999996</v>
      </c>
      <c r="CE312" s="123">
        <v>64.866</v>
      </c>
      <c r="CF312" s="123">
        <v>66.406499999999994</v>
      </c>
      <c r="CG312" s="123">
        <v>67.947000000000003</v>
      </c>
      <c r="CH312" s="123">
        <v>69.487500000000011</v>
      </c>
      <c r="CI312" s="123">
        <v>71.028000000000006</v>
      </c>
      <c r="CJ312" s="123">
        <v>72.568000000000012</v>
      </c>
      <c r="CK312" s="123">
        <v>74.108000000000004</v>
      </c>
      <c r="CL312" s="123">
        <v>75.521000000000001</v>
      </c>
      <c r="CM312" s="123">
        <v>76.933999999999997</v>
      </c>
      <c r="CN312" s="123">
        <v>78.474999999999994</v>
      </c>
      <c r="CO312" s="123">
        <v>80.016000000000005</v>
      </c>
      <c r="CP312" s="123">
        <v>81.545500000000004</v>
      </c>
      <c r="CQ312" s="123">
        <v>83.075000000000003</v>
      </c>
      <c r="CR312" s="161">
        <v>84.488</v>
      </c>
      <c r="CS312" s="161">
        <v>85.900999999999996</v>
      </c>
      <c r="CT312" s="161">
        <v>87.441499999999991</v>
      </c>
      <c r="CU312" s="161">
        <v>88.981999999999999</v>
      </c>
      <c r="CV312" s="161">
        <v>90.522999999999996</v>
      </c>
      <c r="CW312" s="161">
        <v>92.063999999999993</v>
      </c>
      <c r="CX312" s="161">
        <v>93.475499999999997</v>
      </c>
      <c r="CY312" s="161">
        <v>94.887</v>
      </c>
      <c r="CZ312" s="161">
        <v>96.364000000000004</v>
      </c>
      <c r="DA312" s="161">
        <v>97.840999999999994</v>
      </c>
      <c r="DB312" s="161">
        <v>99.317999999999998</v>
      </c>
      <c r="DC312" s="161">
        <v>100.795</v>
      </c>
      <c r="DD312" s="161">
        <v>102.261</v>
      </c>
      <c r="DE312" s="161">
        <v>103.727</v>
      </c>
      <c r="DF312" s="151">
        <f>DG311</f>
        <v>105.20350000000001</v>
      </c>
      <c r="DG312" s="162">
        <v>106.68</v>
      </c>
    </row>
    <row r="313" spans="54:111" ht="15" customHeight="1" thickBot="1" x14ac:dyDescent="0.25">
      <c r="BB313" s="25"/>
      <c r="BC313" s="25"/>
      <c r="BD313" s="25"/>
      <c r="BE313" s="25"/>
      <c r="BF313" s="25"/>
      <c r="BG313" s="25"/>
      <c r="BH313" s="25"/>
      <c r="BI313" s="25"/>
      <c r="BJ313" s="25"/>
      <c r="BK313" s="25"/>
      <c r="BL313" s="25"/>
      <c r="BM313" s="25"/>
      <c r="BN313" s="25"/>
      <c r="BO313" s="25"/>
      <c r="BP313" s="25"/>
      <c r="BQ313" s="25"/>
      <c r="BR313" s="25"/>
      <c r="BS313" s="25"/>
      <c r="BT313" s="25"/>
      <c r="BU313" s="25"/>
      <c r="BV313" s="25"/>
      <c r="BW313" s="25"/>
      <c r="BX313" s="25"/>
      <c r="BY313" s="25"/>
      <c r="BZ313" s="25"/>
      <c r="CA313" s="25"/>
      <c r="CB313" s="25"/>
      <c r="CC313" s="25"/>
      <c r="CD313" s="25"/>
      <c r="CE313" s="25"/>
      <c r="CF313" s="25"/>
      <c r="CG313" s="25"/>
      <c r="CH313" s="25"/>
      <c r="CI313" s="25"/>
      <c r="CJ313" s="25"/>
      <c r="CK313" s="25"/>
      <c r="CL313" s="25"/>
      <c r="CM313" s="25"/>
      <c r="CN313" s="25"/>
      <c r="CO313" s="25"/>
      <c r="CP313" s="25"/>
      <c r="CQ313" s="25"/>
    </row>
    <row r="314" spans="54:111" ht="15" customHeight="1" thickBot="1" x14ac:dyDescent="0.3">
      <c r="BB314" s="1841" t="s">
        <v>299</v>
      </c>
      <c r="BC314" s="1842"/>
      <c r="BD314" s="1842"/>
      <c r="BE314" s="1842"/>
      <c r="BF314" s="1842"/>
      <c r="BG314" s="1842"/>
      <c r="BH314" s="1842"/>
      <c r="BI314" s="1842"/>
      <c r="BJ314" s="1842"/>
      <c r="BK314" s="1842"/>
      <c r="BL314" s="1842"/>
      <c r="BM314" s="1842"/>
      <c r="BN314" s="1842"/>
      <c r="BO314" s="1842"/>
      <c r="BP314" s="1842"/>
      <c r="BQ314" s="1842"/>
      <c r="BR314" s="1842"/>
      <c r="BS314" s="1842"/>
      <c r="BT314" s="1842"/>
      <c r="BU314" s="1842"/>
      <c r="BV314" s="1842"/>
      <c r="BW314" s="1842"/>
      <c r="BX314" s="1842"/>
      <c r="BY314" s="1842"/>
      <c r="BZ314" s="1842"/>
      <c r="CA314" s="1842"/>
      <c r="CB314" s="1842"/>
      <c r="CC314" s="1842"/>
      <c r="CD314" s="1842"/>
      <c r="CE314" s="1842"/>
      <c r="CF314" s="1842"/>
      <c r="CG314" s="1842"/>
      <c r="CH314" s="1842"/>
      <c r="CI314" s="1842"/>
      <c r="CJ314" s="1842"/>
      <c r="CK314" s="1842"/>
      <c r="CL314" s="1842"/>
      <c r="CM314" s="1842"/>
      <c r="CN314" s="1842"/>
      <c r="CO314" s="1842"/>
      <c r="CP314" s="1842"/>
      <c r="CQ314" s="1842"/>
      <c r="CR314" s="1842"/>
      <c r="CS314" s="1842"/>
      <c r="CT314" s="1842"/>
      <c r="CU314" s="1842"/>
      <c r="CV314" s="1842"/>
      <c r="CW314" s="1842"/>
      <c r="CX314" s="1842"/>
      <c r="CY314" s="1842"/>
      <c r="CZ314" s="1842"/>
      <c r="DA314" s="1842"/>
      <c r="DB314" s="1842"/>
      <c r="DC314" s="1842"/>
      <c r="DD314" s="1842"/>
      <c r="DE314" s="1842"/>
      <c r="DF314" s="1842"/>
      <c r="DG314" s="1843"/>
    </row>
    <row r="315" spans="54:111" ht="15" customHeight="1" x14ac:dyDescent="0.2">
      <c r="BB315" s="146"/>
      <c r="BC315" s="147">
        <v>4</v>
      </c>
      <c r="BD315" s="147">
        <v>5</v>
      </c>
      <c r="BE315" s="147">
        <v>6</v>
      </c>
      <c r="BF315" s="147">
        <v>7</v>
      </c>
      <c r="BG315" s="147">
        <v>8</v>
      </c>
      <c r="BH315" s="147">
        <v>9</v>
      </c>
      <c r="BI315" s="147">
        <v>10</v>
      </c>
      <c r="BJ315" s="147">
        <v>11</v>
      </c>
      <c r="BK315" s="147">
        <v>12</v>
      </c>
      <c r="BL315" s="147">
        <v>13</v>
      </c>
      <c r="BM315" s="147">
        <v>14</v>
      </c>
      <c r="BN315" s="147">
        <v>15</v>
      </c>
      <c r="BO315" s="147">
        <v>16</v>
      </c>
      <c r="BP315" s="147">
        <v>17</v>
      </c>
      <c r="BQ315" s="147">
        <v>18</v>
      </c>
      <c r="BR315" s="147">
        <v>19</v>
      </c>
      <c r="BS315" s="147">
        <v>20</v>
      </c>
      <c r="BT315" s="147">
        <v>21</v>
      </c>
      <c r="BU315" s="147">
        <v>22</v>
      </c>
      <c r="BV315" s="147">
        <v>23</v>
      </c>
      <c r="BW315" s="147">
        <v>24</v>
      </c>
      <c r="BX315" s="147">
        <v>25</v>
      </c>
      <c r="BY315" s="147">
        <v>26</v>
      </c>
      <c r="BZ315" s="147">
        <v>27</v>
      </c>
      <c r="CA315" s="147">
        <v>28</v>
      </c>
      <c r="CB315" s="147">
        <v>29</v>
      </c>
      <c r="CC315" s="147">
        <v>30</v>
      </c>
      <c r="CD315" s="147">
        <v>31</v>
      </c>
      <c r="CE315" s="147">
        <v>32</v>
      </c>
      <c r="CF315" s="147">
        <v>33</v>
      </c>
      <c r="CG315" s="147">
        <v>34</v>
      </c>
      <c r="CH315" s="147">
        <v>35</v>
      </c>
      <c r="CI315" s="147">
        <v>36</v>
      </c>
      <c r="CJ315" s="147">
        <v>37</v>
      </c>
      <c r="CK315" s="147">
        <v>38</v>
      </c>
      <c r="CL315" s="147">
        <v>39</v>
      </c>
      <c r="CM315" s="147">
        <v>40</v>
      </c>
      <c r="CN315" s="147">
        <v>41</v>
      </c>
      <c r="CO315" s="147">
        <v>42</v>
      </c>
      <c r="CP315" s="147">
        <v>43</v>
      </c>
      <c r="CQ315" s="147">
        <v>44</v>
      </c>
      <c r="CR315" s="147">
        <v>45</v>
      </c>
      <c r="CS315" s="147">
        <v>46</v>
      </c>
      <c r="CT315" s="147">
        <v>47</v>
      </c>
      <c r="CU315" s="147">
        <v>48</v>
      </c>
      <c r="CV315" s="147">
        <v>49</v>
      </c>
      <c r="CW315" s="147">
        <v>50</v>
      </c>
      <c r="CX315" s="147">
        <v>51</v>
      </c>
      <c r="CY315" s="147">
        <v>52</v>
      </c>
      <c r="CZ315" s="147">
        <v>53</v>
      </c>
      <c r="DA315" s="147">
        <v>54</v>
      </c>
      <c r="DB315" s="147">
        <v>55</v>
      </c>
      <c r="DC315" s="147">
        <v>56</v>
      </c>
      <c r="DD315" s="147">
        <v>57</v>
      </c>
      <c r="DE315" s="147">
        <v>58</v>
      </c>
      <c r="DF315" s="147">
        <v>59</v>
      </c>
      <c r="DG315" s="148">
        <v>60</v>
      </c>
    </row>
    <row r="316" spans="54:111" ht="15" customHeight="1" x14ac:dyDescent="0.2">
      <c r="BB316" s="28">
        <v>4</v>
      </c>
      <c r="BC316" s="156">
        <v>2.9649999999999999</v>
      </c>
      <c r="BD316" s="120">
        <f>(BE316+BC316)/2</f>
        <v>3.3359999999999999</v>
      </c>
      <c r="BE316" s="156">
        <v>3.7069999999999999</v>
      </c>
      <c r="BF316" s="120">
        <f>(BG316+BE316)/2</f>
        <v>4.0255000000000001</v>
      </c>
      <c r="BG316" s="156">
        <v>4.3440000000000003</v>
      </c>
      <c r="BH316" s="120">
        <f>(BI316+BG316)/2</f>
        <v>4.6379999999999999</v>
      </c>
      <c r="BI316" s="156">
        <v>4.9320000000000004</v>
      </c>
      <c r="BJ316" s="120">
        <f>(BK316+BI316)/2</f>
        <v>5.1944999999999997</v>
      </c>
      <c r="BK316" s="156">
        <v>5.4569999999999999</v>
      </c>
      <c r="BL316" s="120">
        <f>(BM316+BK316)/2</f>
        <v>5.7759999999999998</v>
      </c>
      <c r="BM316" s="156">
        <v>6.0949999999999998</v>
      </c>
      <c r="BN316" s="120">
        <f>(BO316+BM316)/2</f>
        <v>6.3505000000000003</v>
      </c>
      <c r="BO316" s="156">
        <v>6.6059999999999999</v>
      </c>
      <c r="BP316" s="120">
        <f>(BQ316+BO316)/2</f>
        <v>6.8479999999999999</v>
      </c>
      <c r="BQ316" s="156">
        <v>7.09</v>
      </c>
      <c r="BR316" s="120">
        <f>(BS316+BQ316)/2</f>
        <v>7.3525</v>
      </c>
      <c r="BS316" s="156">
        <v>7.6150000000000002</v>
      </c>
      <c r="BT316" s="120">
        <f>(BU316+BS316)/2</f>
        <v>7.8319999999999999</v>
      </c>
      <c r="BU316" s="156">
        <v>8.0489999999999995</v>
      </c>
      <c r="BV316" s="120">
        <f>(BW316+BU316)/2</f>
        <v>8.3290000000000006</v>
      </c>
      <c r="BW316" s="156">
        <v>8.609</v>
      </c>
      <c r="BX316" s="120">
        <f>(BY316+BW316)/2</f>
        <v>8.8260000000000005</v>
      </c>
      <c r="BY316" s="156">
        <v>9.0429999999999993</v>
      </c>
      <c r="BZ316" s="120">
        <f>(CA316+BY316)/2</f>
        <v>9.2919999999999998</v>
      </c>
      <c r="CA316" s="156">
        <v>9.5410000000000004</v>
      </c>
      <c r="CB316" s="120">
        <f>(CC316+CA316)/2</f>
        <v>9.7585000000000015</v>
      </c>
      <c r="CC316" s="156">
        <v>9.9760000000000009</v>
      </c>
      <c r="CD316" s="120">
        <f>(CE316+CC316)/2</f>
        <v>10.193000000000001</v>
      </c>
      <c r="CE316" s="156">
        <v>10.41</v>
      </c>
      <c r="CF316" s="120">
        <f>(CG316+CE316)/2</f>
        <v>10.6515</v>
      </c>
      <c r="CG316" s="156">
        <v>10.893000000000001</v>
      </c>
      <c r="CH316" s="120">
        <f>(CI316+CG316)/2</f>
        <v>11.1175</v>
      </c>
      <c r="CI316" s="156">
        <v>11.342000000000001</v>
      </c>
      <c r="CJ316" s="120">
        <f>(CK316+CI316)/2</f>
        <v>11.583500000000001</v>
      </c>
      <c r="CK316" s="156">
        <v>11.824999999999999</v>
      </c>
      <c r="CL316" s="120">
        <f>(CM316+CK316)/2</f>
        <v>12.003499999999999</v>
      </c>
      <c r="CM316" s="156">
        <v>12.182</v>
      </c>
      <c r="CN316" s="120">
        <f>(CO316+CM316)/2</f>
        <v>12.3985</v>
      </c>
      <c r="CO316" s="156">
        <v>12.615</v>
      </c>
      <c r="CP316" s="120">
        <f>(CQ316+CO316)/2</f>
        <v>12.8645</v>
      </c>
      <c r="CQ316" s="156">
        <v>13.114000000000001</v>
      </c>
      <c r="CR316" s="120">
        <f>(CS316+CQ316)/2</f>
        <v>13.2925</v>
      </c>
      <c r="CS316" s="156">
        <v>13.471</v>
      </c>
      <c r="CT316" s="120">
        <f>(CU316+CS316)/2</f>
        <v>13.713000000000001</v>
      </c>
      <c r="CU316" s="156">
        <v>13.955</v>
      </c>
      <c r="CV316" s="120">
        <f>(CW316+CU316)/2</f>
        <v>14.132999999999999</v>
      </c>
      <c r="CW316" s="156">
        <v>14.311</v>
      </c>
      <c r="CX316" s="120">
        <f>(CY316+CW316)/2</f>
        <v>14.535499999999999</v>
      </c>
      <c r="CY316" s="156">
        <v>14.76</v>
      </c>
      <c r="CZ316" s="120">
        <f>(DA316+CY316)/2</f>
        <v>14.963000000000001</v>
      </c>
      <c r="DA316" s="156">
        <v>15.166</v>
      </c>
      <c r="DB316" s="120">
        <f>(DC316+DA316)/2</f>
        <v>15.382999999999999</v>
      </c>
      <c r="DC316" s="156">
        <v>15.6</v>
      </c>
      <c r="DD316" s="120">
        <f>(DE316+DC316)/2</f>
        <v>15.803000000000001</v>
      </c>
      <c r="DE316" s="156">
        <v>16.006</v>
      </c>
      <c r="DF316" s="120">
        <f>(DG316+DE316)/2</f>
        <v>16.192</v>
      </c>
      <c r="DG316" s="157">
        <v>16.378</v>
      </c>
    </row>
    <row r="317" spans="54:111" ht="15" customHeight="1" x14ac:dyDescent="0.2">
      <c r="BB317" s="28">
        <v>5</v>
      </c>
      <c r="BC317" s="121">
        <f t="array" ref="BC317:BC372">TRANSPOSE(BD316:DG316)</f>
        <v>3.3359999999999999</v>
      </c>
      <c r="BD317" s="120">
        <f>(BC317+BE317)/2</f>
        <v>3.7380000000000004</v>
      </c>
      <c r="BE317" s="120">
        <f>(BE316+BE318)/2</f>
        <v>4.1400000000000006</v>
      </c>
      <c r="BF317" s="120">
        <f>(BE317+BG317)/2</f>
        <v>4.4875000000000007</v>
      </c>
      <c r="BG317" s="120">
        <f>(BG316+BG318)/2</f>
        <v>4.835</v>
      </c>
      <c r="BH317" s="120">
        <f>(BG317+BI317)/2</f>
        <v>5.1792499999999997</v>
      </c>
      <c r="BI317" s="120">
        <f>(BI316+BI318)/2</f>
        <v>5.5235000000000003</v>
      </c>
      <c r="BJ317" s="120">
        <f>(BI317+BK317)/2</f>
        <v>5.8330000000000002</v>
      </c>
      <c r="BK317" s="120">
        <f>(BK316+BK318)/2</f>
        <v>6.1425000000000001</v>
      </c>
      <c r="BL317" s="120">
        <f>(BK317+BM317)/2</f>
        <v>6.4710000000000001</v>
      </c>
      <c r="BM317" s="120">
        <f>(BM316+BM318)/2</f>
        <v>6.7995000000000001</v>
      </c>
      <c r="BN317" s="120">
        <f>(BM317+BO317)/2</f>
        <v>7.1052499999999998</v>
      </c>
      <c r="BO317" s="120">
        <f>(BO316+BO318)/2</f>
        <v>7.4109999999999996</v>
      </c>
      <c r="BP317" s="120">
        <f>(BO317+BQ317)/2</f>
        <v>7.6784999999999997</v>
      </c>
      <c r="BQ317" s="120">
        <f>(BQ316+BQ318)/2</f>
        <v>7.9459999999999997</v>
      </c>
      <c r="BR317" s="120">
        <f>(BQ317+BS317)/2</f>
        <v>8.2397500000000008</v>
      </c>
      <c r="BS317" s="120">
        <f>(BS316+BS318)/2</f>
        <v>8.5335000000000001</v>
      </c>
      <c r="BT317" s="120">
        <f>(BS317+BU317)/2</f>
        <v>8.8007500000000007</v>
      </c>
      <c r="BU317" s="120">
        <f>(BU316+BU318)/2</f>
        <v>9.0679999999999996</v>
      </c>
      <c r="BV317" s="120">
        <f>(BU317+BW317)/2</f>
        <v>9.35825</v>
      </c>
      <c r="BW317" s="120">
        <f>(BW316+BW318)/2</f>
        <v>9.6485000000000003</v>
      </c>
      <c r="BX317" s="120">
        <f>(BW317+BY317)/2</f>
        <v>9.8962499999999984</v>
      </c>
      <c r="BY317" s="120">
        <f>(BY316+BY318)/2</f>
        <v>10.143999999999998</v>
      </c>
      <c r="BZ317" s="120">
        <f>(BY317+CA317)/2</f>
        <v>10.41475</v>
      </c>
      <c r="CA317" s="120">
        <f>(CA316+CA318)/2</f>
        <v>10.685500000000001</v>
      </c>
      <c r="CB317" s="120">
        <f>(CA317+CC317)/2</f>
        <v>10.937250000000001</v>
      </c>
      <c r="CC317" s="120">
        <f>(CC316+CC318)/2</f>
        <v>11.189</v>
      </c>
      <c r="CD317" s="120">
        <f>(CC317+CE317)/2</f>
        <v>11.4565</v>
      </c>
      <c r="CE317" s="120">
        <f>(CE316+CE318)/2</f>
        <v>11.724</v>
      </c>
      <c r="CF317" s="120">
        <f>(CE317+CG317)/2</f>
        <v>11.9755</v>
      </c>
      <c r="CG317" s="120">
        <f>(CG316+CG318)/2</f>
        <v>12.227</v>
      </c>
      <c r="CH317" s="120">
        <f>(CG317+CI317)/2</f>
        <v>12.4785</v>
      </c>
      <c r="CI317" s="120">
        <f>(CI316+CI318)/2</f>
        <v>12.73</v>
      </c>
      <c r="CJ317" s="120">
        <f>(CI317+CK317)/2</f>
        <v>12.978</v>
      </c>
      <c r="CK317" s="120">
        <f>(CK316+CK318)/2</f>
        <v>13.225999999999999</v>
      </c>
      <c r="CL317" s="120">
        <f>(CK317+CM317)/2</f>
        <v>13.458499999999999</v>
      </c>
      <c r="CM317" s="120">
        <f>(CM316+CM318)/2</f>
        <v>13.690999999999999</v>
      </c>
      <c r="CN317" s="120">
        <f>(CM317+CO317)/2</f>
        <v>13.938499999999999</v>
      </c>
      <c r="CO317" s="120">
        <f>(CO316+CO318)/2</f>
        <v>14.186</v>
      </c>
      <c r="CP317" s="120">
        <f>(CO317+CQ317)/2</f>
        <v>14.437999999999999</v>
      </c>
      <c r="CQ317" s="120">
        <f>(CQ316+CQ318)/2</f>
        <v>14.69</v>
      </c>
      <c r="CR317" s="120">
        <f>(CQ317+CS317)/2</f>
        <v>14.922499999999999</v>
      </c>
      <c r="CS317" s="120">
        <f>(CS316+CS318)/2</f>
        <v>15.154999999999999</v>
      </c>
      <c r="CT317" s="120">
        <f>(CS317+CU317)/2</f>
        <v>15.402750000000001</v>
      </c>
      <c r="CU317" s="120">
        <f>(CU316+CU318)/2</f>
        <v>15.650500000000001</v>
      </c>
      <c r="CV317" s="120">
        <f>(CU317+CW317)/2</f>
        <v>15.883000000000001</v>
      </c>
      <c r="CW317" s="120">
        <f>(CW316+CW318)/2</f>
        <v>16.115500000000001</v>
      </c>
      <c r="CX317" s="120">
        <f>(CW317+CY317)/2</f>
        <v>16.367000000000001</v>
      </c>
      <c r="CY317" s="120">
        <f>(CY316+CY318)/2</f>
        <v>16.618500000000001</v>
      </c>
      <c r="CZ317" s="120">
        <f>(CY317+DA317)/2</f>
        <v>16.847000000000001</v>
      </c>
      <c r="DA317" s="120">
        <f>(DA316+DA318)/2</f>
        <v>17.075499999999998</v>
      </c>
      <c r="DB317" s="120">
        <f>(DA317+DC317)/2</f>
        <v>17.308</v>
      </c>
      <c r="DC317" s="120">
        <f>(DC316+DC318)/2</f>
        <v>17.540500000000002</v>
      </c>
      <c r="DD317" s="120">
        <f>(DC317+DE317)/2</f>
        <v>17.769000000000002</v>
      </c>
      <c r="DE317" s="120">
        <f>(DE316+DE318)/2</f>
        <v>17.997500000000002</v>
      </c>
      <c r="DF317" s="120">
        <f>(DE317+DG317)/2</f>
        <v>18.233750000000001</v>
      </c>
      <c r="DG317" s="122">
        <f>(DG316+DG318)/2</f>
        <v>18.47</v>
      </c>
    </row>
    <row r="318" spans="54:111" ht="15" customHeight="1" x14ac:dyDescent="0.2">
      <c r="BB318" s="28">
        <v>6</v>
      </c>
      <c r="BC318" s="121">
        <v>3.7069999999999999</v>
      </c>
      <c r="BD318" s="121">
        <f t="array" ref="BD318:BD372">TRANSPOSE(BE317:DG317)</f>
        <v>4.1400000000000006</v>
      </c>
      <c r="BE318" s="158">
        <v>4.5730000000000004</v>
      </c>
      <c r="BF318" s="120">
        <f>(BG318+BE318)/2</f>
        <v>4.9495000000000005</v>
      </c>
      <c r="BG318" s="158">
        <v>5.3259999999999996</v>
      </c>
      <c r="BH318" s="120">
        <f>(BI318+BG318)/2</f>
        <v>5.7204999999999995</v>
      </c>
      <c r="BI318" s="158">
        <v>6.1150000000000002</v>
      </c>
      <c r="BJ318" s="120">
        <f>(BK318+BI318)/2</f>
        <v>6.4715000000000007</v>
      </c>
      <c r="BK318" s="158">
        <v>6.8280000000000003</v>
      </c>
      <c r="BL318" s="120">
        <f>(BM318+BK318)/2</f>
        <v>7.1660000000000004</v>
      </c>
      <c r="BM318" s="158">
        <v>7.5039999999999996</v>
      </c>
      <c r="BN318" s="120">
        <f>(BO318+BM318)/2</f>
        <v>7.8599999999999994</v>
      </c>
      <c r="BO318" s="158">
        <v>8.2159999999999993</v>
      </c>
      <c r="BP318" s="120">
        <f>(BQ318+BO318)/2</f>
        <v>8.5090000000000003</v>
      </c>
      <c r="BQ318" s="158">
        <v>8.8019999999999996</v>
      </c>
      <c r="BR318" s="120">
        <f>(BS318+BQ318)/2</f>
        <v>9.1269999999999989</v>
      </c>
      <c r="BS318" s="158">
        <v>9.452</v>
      </c>
      <c r="BT318" s="120">
        <f>(BU318+BS318)/2</f>
        <v>9.7695000000000007</v>
      </c>
      <c r="BU318" s="158">
        <v>10.087</v>
      </c>
      <c r="BV318" s="120">
        <f>(BW318+BU318)/2</f>
        <v>10.387499999999999</v>
      </c>
      <c r="BW318" s="158">
        <v>10.688000000000001</v>
      </c>
      <c r="BX318" s="120">
        <f>(BY318+BW318)/2</f>
        <v>10.9665</v>
      </c>
      <c r="BY318" s="158">
        <v>11.244999999999999</v>
      </c>
      <c r="BZ318" s="120">
        <f>(CA318+BY318)/2</f>
        <v>11.5375</v>
      </c>
      <c r="CA318" s="158">
        <v>11.83</v>
      </c>
      <c r="CB318" s="120">
        <f>(CC318+CA318)/2</f>
        <v>12.116</v>
      </c>
      <c r="CC318" s="158">
        <v>12.401999999999999</v>
      </c>
      <c r="CD318" s="120">
        <f>(CE318+CC318)/2</f>
        <v>12.719999999999999</v>
      </c>
      <c r="CE318" s="158">
        <v>13.038</v>
      </c>
      <c r="CF318" s="120">
        <f>(CG318+CE318)/2</f>
        <v>13.2995</v>
      </c>
      <c r="CG318" s="158">
        <v>13.561</v>
      </c>
      <c r="CH318" s="120">
        <f>(CI318+CG318)/2</f>
        <v>13.839500000000001</v>
      </c>
      <c r="CI318" s="158">
        <v>14.118</v>
      </c>
      <c r="CJ318" s="120">
        <f>(CK318+CI318)/2</f>
        <v>14.3725</v>
      </c>
      <c r="CK318" s="158">
        <v>14.627000000000001</v>
      </c>
      <c r="CL318" s="120">
        <f>(CM318+CK318)/2</f>
        <v>14.913499999999999</v>
      </c>
      <c r="CM318" s="158">
        <v>15.2</v>
      </c>
      <c r="CN318" s="120">
        <f>(CO318+CM318)/2</f>
        <v>15.4785</v>
      </c>
      <c r="CO318" s="158">
        <v>15.757</v>
      </c>
      <c r="CP318" s="120">
        <f>(CQ318+CO318)/2</f>
        <v>16.011499999999998</v>
      </c>
      <c r="CQ318" s="158">
        <v>16.265999999999998</v>
      </c>
      <c r="CR318" s="120">
        <f>(CS318+CQ318)/2</f>
        <v>16.552499999999998</v>
      </c>
      <c r="CS318" s="158">
        <v>16.838999999999999</v>
      </c>
      <c r="CT318" s="120">
        <f>(CU318+CS318)/2</f>
        <v>17.092500000000001</v>
      </c>
      <c r="CU318" s="158">
        <v>17.346</v>
      </c>
      <c r="CV318" s="120">
        <f>(CW318+CU318)/2</f>
        <v>17.633000000000003</v>
      </c>
      <c r="CW318" s="158">
        <v>17.920000000000002</v>
      </c>
      <c r="CX318" s="120">
        <f>(CY318+CW318)/2</f>
        <v>18.198500000000003</v>
      </c>
      <c r="CY318" s="158">
        <v>18.477</v>
      </c>
      <c r="CZ318" s="120">
        <f>(DA318+CY318)/2</f>
        <v>18.731000000000002</v>
      </c>
      <c r="DA318" s="158">
        <v>18.984999999999999</v>
      </c>
      <c r="DB318" s="120">
        <f>(DC318+DA318)/2</f>
        <v>19.233000000000001</v>
      </c>
      <c r="DC318" s="158">
        <v>19.481000000000002</v>
      </c>
      <c r="DD318" s="120">
        <f>(DE318+DC318)/2</f>
        <v>19.734999999999999</v>
      </c>
      <c r="DE318" s="158">
        <v>19.989000000000001</v>
      </c>
      <c r="DF318" s="120">
        <f>(DG318+DE318)/2</f>
        <v>20.275500000000001</v>
      </c>
      <c r="DG318" s="159">
        <v>20.562000000000001</v>
      </c>
    </row>
    <row r="319" spans="54:111" ht="15" customHeight="1" x14ac:dyDescent="0.2">
      <c r="BB319" s="28">
        <v>7</v>
      </c>
      <c r="BC319" s="121">
        <v>4.0255000000000001</v>
      </c>
      <c r="BD319" s="121">
        <v>4.4875000000000007</v>
      </c>
      <c r="BE319" s="121">
        <f t="array" ref="BE319:BE372">TRANSPOSE(BF318:DG318)</f>
        <v>4.9495000000000005</v>
      </c>
      <c r="BF319" s="120">
        <f>(BE319+BG319)/2</f>
        <v>5.3922500000000007</v>
      </c>
      <c r="BG319" s="120">
        <f>(BG318+BG320)/2</f>
        <v>5.835</v>
      </c>
      <c r="BH319" s="120">
        <f>(BG319+BI319)/2</f>
        <v>6.2517499999999995</v>
      </c>
      <c r="BI319" s="120">
        <f>(BI318+BI320)/2</f>
        <v>6.6684999999999999</v>
      </c>
      <c r="BJ319" s="120">
        <f>(BI319+BK319)/2</f>
        <v>7.0625</v>
      </c>
      <c r="BK319" s="120">
        <f>(BK318+BK320)/2</f>
        <v>7.4565000000000001</v>
      </c>
      <c r="BL319" s="120">
        <f>(BK319+BM319)/2</f>
        <v>7.8259999999999996</v>
      </c>
      <c r="BM319" s="120">
        <f>(BM318+BM320)/2</f>
        <v>8.1954999999999991</v>
      </c>
      <c r="BN319" s="120">
        <f>(BM319+BO319)/2</f>
        <v>8.5577499999999986</v>
      </c>
      <c r="BO319" s="120">
        <f>(BO318+BO320)/2</f>
        <v>8.92</v>
      </c>
      <c r="BP319" s="120">
        <f>(BO319+BQ319)/2</f>
        <v>9.2669999999999995</v>
      </c>
      <c r="BQ319" s="120">
        <f>(BQ318+BQ320)/2</f>
        <v>9.6140000000000008</v>
      </c>
      <c r="BR319" s="120">
        <f>(BQ319+BS319)/2</f>
        <v>9.9535</v>
      </c>
      <c r="BS319" s="120">
        <f>(BS318+BS320)/2</f>
        <v>10.292999999999999</v>
      </c>
      <c r="BT319" s="120">
        <f>(BS319+BU319)/2</f>
        <v>10.652249999999999</v>
      </c>
      <c r="BU319" s="120">
        <f>(BU318+BU320)/2</f>
        <v>11.0115</v>
      </c>
      <c r="BV319" s="120">
        <f>(BU319+BW319)/2</f>
        <v>11.338999999999999</v>
      </c>
      <c r="BW319" s="120">
        <f>(BW318+BW320)/2</f>
        <v>11.666499999999999</v>
      </c>
      <c r="BX319" s="120">
        <f>(BW319+BY319)/2</f>
        <v>11.974499999999999</v>
      </c>
      <c r="BY319" s="120">
        <f>(BY318+BY320)/2</f>
        <v>12.282499999999999</v>
      </c>
      <c r="BZ319" s="120">
        <f>(BY319+CA319)/2</f>
        <v>12.60575</v>
      </c>
      <c r="CA319" s="120">
        <f>(CA318+CA320)/2</f>
        <v>12.929</v>
      </c>
      <c r="CB319" s="120">
        <f>(CA319+CC319)/2</f>
        <v>13.234</v>
      </c>
      <c r="CC319" s="120">
        <f>(CC318+CC320)/2</f>
        <v>13.539</v>
      </c>
      <c r="CD319" s="120">
        <f>(CC319+CE319)/2</f>
        <v>13.87575</v>
      </c>
      <c r="CE319" s="120">
        <f>(CE318+CE320)/2</f>
        <v>14.2125</v>
      </c>
      <c r="CF319" s="120">
        <f>(CE319+CG319)/2</f>
        <v>14.52375</v>
      </c>
      <c r="CG319" s="120">
        <f>(CG318+CG320)/2</f>
        <v>14.835000000000001</v>
      </c>
      <c r="CH319" s="120">
        <f>(CG319+CI319)/2</f>
        <v>15.11975</v>
      </c>
      <c r="CI319" s="120">
        <f>(CI318+CI320)/2</f>
        <v>15.404499999999999</v>
      </c>
      <c r="CJ319" s="120">
        <f>(CI319+CK319)/2</f>
        <v>15.712999999999999</v>
      </c>
      <c r="CK319" s="120">
        <f>(CK318+CK320)/2</f>
        <v>16.0215</v>
      </c>
      <c r="CL319" s="120">
        <f>(CK319+CM319)/2</f>
        <v>16.323</v>
      </c>
      <c r="CM319" s="120">
        <f>(CM318+CM320)/2</f>
        <v>16.624499999999998</v>
      </c>
      <c r="CN319" s="120">
        <f>(CM319+CO319)/2</f>
        <v>16.925249999999998</v>
      </c>
      <c r="CO319" s="120">
        <f>(CO318+CO320)/2</f>
        <v>17.225999999999999</v>
      </c>
      <c r="CP319" s="120">
        <f>(CO319+CQ319)/2</f>
        <v>17.530749999999998</v>
      </c>
      <c r="CQ319" s="120">
        <f>(CQ318+CQ320)/2</f>
        <v>17.8355</v>
      </c>
      <c r="CR319" s="120">
        <f>(CQ319+CS319)/2</f>
        <v>18.128</v>
      </c>
      <c r="CS319" s="120">
        <f>(CS318+CS320)/2</f>
        <v>18.420499999999997</v>
      </c>
      <c r="CT319" s="120">
        <f>(CS319+CU319)/2</f>
        <v>18.705500000000001</v>
      </c>
      <c r="CU319" s="120">
        <f>(CU318+CU320)/2</f>
        <v>18.990500000000001</v>
      </c>
      <c r="CV319" s="120">
        <f>(CU319+CW319)/2</f>
        <v>19.295500000000001</v>
      </c>
      <c r="CW319" s="120">
        <f>(CW318+CW320)/2</f>
        <v>19.6005</v>
      </c>
      <c r="CX319" s="120">
        <f>(CW319+CY319)/2</f>
        <v>19.898000000000003</v>
      </c>
      <c r="CY319" s="120">
        <f>(CY318+CY320)/2</f>
        <v>20.195500000000003</v>
      </c>
      <c r="CZ319" s="120">
        <f>(CY319+DA319)/2</f>
        <v>20.484250000000003</v>
      </c>
      <c r="DA319" s="120">
        <f>(DA318+DA320)/2</f>
        <v>20.773</v>
      </c>
      <c r="DB319" s="120">
        <f>(DA319+DC319)/2</f>
        <v>21.042749999999998</v>
      </c>
      <c r="DC319" s="120">
        <f>(DC318+DC320)/2</f>
        <v>21.3125</v>
      </c>
      <c r="DD319" s="120">
        <f>(DC319+DE319)/2</f>
        <v>21.600999999999999</v>
      </c>
      <c r="DE319" s="120">
        <f>(DE318+DE320)/2</f>
        <v>21.889499999999998</v>
      </c>
      <c r="DF319" s="120">
        <f>(DE319+DG319)/2</f>
        <v>22.190999999999999</v>
      </c>
      <c r="DG319" s="122">
        <f>(DG318+DG320)/2</f>
        <v>22.4925</v>
      </c>
    </row>
    <row r="320" spans="54:111" ht="15" customHeight="1" x14ac:dyDescent="0.2">
      <c r="BB320" s="28">
        <v>8</v>
      </c>
      <c r="BC320" s="121">
        <v>4.3440000000000003</v>
      </c>
      <c r="BD320" s="121">
        <v>4.835</v>
      </c>
      <c r="BE320" s="121">
        <v>5.3259999999999996</v>
      </c>
      <c r="BF320" s="121">
        <f t="array" ref="BF320:BF372">TRANSPOSE(BG319:DG319)</f>
        <v>5.835</v>
      </c>
      <c r="BG320" s="158">
        <v>6.3440000000000003</v>
      </c>
      <c r="BH320" s="120">
        <f>(BI320+BG320)/2</f>
        <v>6.7830000000000004</v>
      </c>
      <c r="BI320" s="158">
        <v>7.2220000000000004</v>
      </c>
      <c r="BJ320" s="120">
        <f>(BK320+BI320)/2</f>
        <v>7.6535000000000011</v>
      </c>
      <c r="BK320" s="158">
        <v>8.0850000000000009</v>
      </c>
      <c r="BL320" s="120">
        <f>(BM320+BK320)/2</f>
        <v>8.4860000000000007</v>
      </c>
      <c r="BM320" s="158">
        <v>8.8870000000000005</v>
      </c>
      <c r="BN320" s="120">
        <f>(BO320+BM320)/2</f>
        <v>9.2555000000000014</v>
      </c>
      <c r="BO320" s="158">
        <v>9.6240000000000006</v>
      </c>
      <c r="BP320" s="120">
        <f>(BQ320+BO320)/2</f>
        <v>10.025</v>
      </c>
      <c r="BQ320" s="158">
        <v>10.426</v>
      </c>
      <c r="BR320" s="120">
        <f>(BS320+BQ320)/2</f>
        <v>10.780000000000001</v>
      </c>
      <c r="BS320" s="158">
        <v>11.134</v>
      </c>
      <c r="BT320" s="120">
        <f>(BU320+BS320)/2</f>
        <v>11.535</v>
      </c>
      <c r="BU320" s="158">
        <v>11.936</v>
      </c>
      <c r="BV320" s="120">
        <f>(BW320+BU320)/2</f>
        <v>12.2905</v>
      </c>
      <c r="BW320" s="158">
        <v>12.645</v>
      </c>
      <c r="BX320" s="120">
        <f>(BY320+BW320)/2</f>
        <v>12.9825</v>
      </c>
      <c r="BY320" s="158">
        <v>13.32</v>
      </c>
      <c r="BZ320" s="120">
        <f>(CA320+BY320)/2</f>
        <v>13.673999999999999</v>
      </c>
      <c r="CA320" s="158">
        <v>14.028</v>
      </c>
      <c r="CB320" s="120">
        <f>(CC320+CA320)/2</f>
        <v>14.352</v>
      </c>
      <c r="CC320" s="158">
        <v>14.676</v>
      </c>
      <c r="CD320" s="120">
        <f>(CE320+CC320)/2</f>
        <v>15.031500000000001</v>
      </c>
      <c r="CE320" s="158">
        <v>15.387</v>
      </c>
      <c r="CF320" s="120">
        <f>(CG320+CE320)/2</f>
        <v>15.748000000000001</v>
      </c>
      <c r="CG320" s="158">
        <v>16.109000000000002</v>
      </c>
      <c r="CH320" s="120">
        <f>(CI320+CG320)/2</f>
        <v>16.399999999999999</v>
      </c>
      <c r="CI320" s="158">
        <v>16.690999999999999</v>
      </c>
      <c r="CJ320" s="120">
        <f>(CK320+CI320)/2</f>
        <v>17.0535</v>
      </c>
      <c r="CK320" s="158">
        <v>17.416</v>
      </c>
      <c r="CL320" s="120">
        <f>(CM320+CK320)/2</f>
        <v>17.732500000000002</v>
      </c>
      <c r="CM320" s="158">
        <v>18.048999999999999</v>
      </c>
      <c r="CN320" s="120">
        <f>(CO320+CM320)/2</f>
        <v>18.372</v>
      </c>
      <c r="CO320" s="158">
        <v>18.695</v>
      </c>
      <c r="CP320" s="120">
        <f>(CQ320+CO320)/2</f>
        <v>19.05</v>
      </c>
      <c r="CQ320" s="158">
        <v>19.405000000000001</v>
      </c>
      <c r="CR320" s="120">
        <f>(CS320+CQ320)/2</f>
        <v>19.703499999999998</v>
      </c>
      <c r="CS320" s="158">
        <v>20.001999999999999</v>
      </c>
      <c r="CT320" s="120">
        <f>(CU320+CS320)/2</f>
        <v>20.3185</v>
      </c>
      <c r="CU320" s="158">
        <v>20.635000000000002</v>
      </c>
      <c r="CV320" s="120">
        <f>(CW320+CU320)/2</f>
        <v>20.957999999999998</v>
      </c>
      <c r="CW320" s="158">
        <v>21.280999999999999</v>
      </c>
      <c r="CX320" s="120">
        <f>(CY320+CW320)/2</f>
        <v>21.5975</v>
      </c>
      <c r="CY320" s="158">
        <v>21.914000000000001</v>
      </c>
      <c r="CZ320" s="120">
        <f>(DA320+CY320)/2</f>
        <v>22.237500000000001</v>
      </c>
      <c r="DA320" s="158">
        <v>22.561</v>
      </c>
      <c r="DB320" s="120">
        <f>(DC320+DA320)/2</f>
        <v>22.852499999999999</v>
      </c>
      <c r="DC320" s="158">
        <v>23.143999999999998</v>
      </c>
      <c r="DD320" s="120">
        <f>(DE320+DC320)/2</f>
        <v>23.466999999999999</v>
      </c>
      <c r="DE320" s="158">
        <v>23.79</v>
      </c>
      <c r="DF320" s="120">
        <f>(DG320+DE320)/2</f>
        <v>24.106499999999997</v>
      </c>
      <c r="DG320" s="159">
        <v>24.422999999999998</v>
      </c>
    </row>
    <row r="321" spans="54:111" ht="15" customHeight="1" x14ac:dyDescent="0.2">
      <c r="BB321" s="28">
        <v>9</v>
      </c>
      <c r="BC321" s="121">
        <v>4.6379999999999999</v>
      </c>
      <c r="BD321" s="121">
        <v>5.1792499999999997</v>
      </c>
      <c r="BE321" s="121">
        <v>5.7204999999999995</v>
      </c>
      <c r="BF321" s="121">
        <v>6.2517499999999995</v>
      </c>
      <c r="BG321" s="121">
        <f t="array" ref="BG321:BG372">TRANSPOSE(BH320:DG320)</f>
        <v>6.7830000000000004</v>
      </c>
      <c r="BH321" s="120">
        <f>(BG321+BI321)/2</f>
        <v>7.2562499999999996</v>
      </c>
      <c r="BI321" s="120">
        <f>(BI320+BI322)/2</f>
        <v>7.7294999999999998</v>
      </c>
      <c r="BJ321" s="120">
        <f>(BI321+BK321)/2</f>
        <v>8.1834999999999987</v>
      </c>
      <c r="BK321" s="120">
        <f>(BK320+BK322)/2</f>
        <v>8.6374999999999993</v>
      </c>
      <c r="BL321" s="120">
        <f>(BK321+BM321)/2</f>
        <v>9.0724999999999998</v>
      </c>
      <c r="BM321" s="120">
        <f>(BM320+BM322)/2</f>
        <v>9.5075000000000003</v>
      </c>
      <c r="BN321" s="120">
        <f>(BM321+BO321)/2</f>
        <v>9.9105000000000008</v>
      </c>
      <c r="BO321" s="120">
        <f>(BO320+BO322)/2</f>
        <v>10.313500000000001</v>
      </c>
      <c r="BP321" s="120">
        <f>(BO321+BQ321)/2</f>
        <v>10.733000000000001</v>
      </c>
      <c r="BQ321" s="120">
        <f>(BQ320+BQ322)/2</f>
        <v>11.1525</v>
      </c>
      <c r="BR321" s="120">
        <f>(BQ321+BS321)/2</f>
        <v>11.544750000000001</v>
      </c>
      <c r="BS321" s="120">
        <f>(BS320+BS322)/2</f>
        <v>11.937000000000001</v>
      </c>
      <c r="BT321" s="120">
        <f>(BS321+BU321)/2</f>
        <v>12.3565</v>
      </c>
      <c r="BU321" s="120">
        <f>(BU320+BU322)/2</f>
        <v>12.776</v>
      </c>
      <c r="BV321" s="120">
        <f>(BU321+BW321)/2</f>
        <v>13.152749999999999</v>
      </c>
      <c r="BW321" s="120">
        <f>(BW320+BW322)/2</f>
        <v>13.529499999999999</v>
      </c>
      <c r="BX321" s="120">
        <f>(BW321+BY321)/2</f>
        <v>13.91325</v>
      </c>
      <c r="BY321" s="120">
        <f>(BY320+BY322)/2</f>
        <v>14.297000000000001</v>
      </c>
      <c r="BZ321" s="120">
        <f>(BY321+CA321)/2</f>
        <v>14.67375</v>
      </c>
      <c r="CA321" s="120">
        <f>(CA320+CA322)/2</f>
        <v>15.0505</v>
      </c>
      <c r="CB321" s="120">
        <f>(CA321+CC321)/2</f>
        <v>15.41225</v>
      </c>
      <c r="CC321" s="120">
        <f>(CC320+CC322)/2</f>
        <v>15.774000000000001</v>
      </c>
      <c r="CD321" s="120">
        <f>(CC321+CE321)/2</f>
        <v>16.147750000000002</v>
      </c>
      <c r="CE321" s="120">
        <f>(CE320+CE322)/2</f>
        <v>16.5215</v>
      </c>
      <c r="CF321" s="120">
        <f>(CE321+CG321)/2</f>
        <v>16.901499999999999</v>
      </c>
      <c r="CG321" s="120">
        <f>(CG320+CG322)/2</f>
        <v>17.281500000000001</v>
      </c>
      <c r="CH321" s="120">
        <f>(CG321+CI321)/2</f>
        <v>17.626750000000001</v>
      </c>
      <c r="CI321" s="120">
        <f>(CI320+CI322)/2</f>
        <v>17.972000000000001</v>
      </c>
      <c r="CJ321" s="120">
        <f>(CI321+CK321)/2</f>
        <v>18.329750000000001</v>
      </c>
      <c r="CK321" s="120">
        <f>(CK320+CK322)/2</f>
        <v>18.6875</v>
      </c>
      <c r="CL321" s="120">
        <f>(CK321+CM321)/2</f>
        <v>19.045249999999999</v>
      </c>
      <c r="CM321" s="120">
        <f>(CM320+CM322)/2</f>
        <v>19.402999999999999</v>
      </c>
      <c r="CN321" s="120">
        <f>(CM321+CO321)/2</f>
        <v>19.741499999999998</v>
      </c>
      <c r="CO321" s="120">
        <f>(CO320+CO322)/2</f>
        <v>20.079999999999998</v>
      </c>
      <c r="CP321" s="120">
        <f>(CO321+CQ321)/2</f>
        <v>20.457000000000001</v>
      </c>
      <c r="CQ321" s="120">
        <f>(CQ320+CQ322)/2</f>
        <v>20.834000000000003</v>
      </c>
      <c r="CR321" s="120">
        <f>(CQ321+CS321)/2</f>
        <v>21.16375</v>
      </c>
      <c r="CS321" s="120">
        <f>(CS320+CS322)/2</f>
        <v>21.493499999999997</v>
      </c>
      <c r="CT321" s="120">
        <f>(CS321+CU321)/2</f>
        <v>21.8475</v>
      </c>
      <c r="CU321" s="120">
        <f>(CU320+CU322)/2</f>
        <v>22.201500000000003</v>
      </c>
      <c r="CV321" s="120">
        <f>(CU321+CW321)/2</f>
        <v>22.543500000000002</v>
      </c>
      <c r="CW321" s="120">
        <f>(CW320+CW322)/2</f>
        <v>22.8855</v>
      </c>
      <c r="CX321" s="120">
        <f>(CW321+CY321)/2</f>
        <v>23.224</v>
      </c>
      <c r="CY321" s="120">
        <f>(CY320+CY322)/2</f>
        <v>23.5625</v>
      </c>
      <c r="CZ321" s="120">
        <f>(CY321+DA321)/2</f>
        <v>23.901</v>
      </c>
      <c r="DA321" s="120">
        <f>(DA320+DA322)/2</f>
        <v>24.2395</v>
      </c>
      <c r="DB321" s="120">
        <f>(DA321+DC321)/2</f>
        <v>24.585000000000001</v>
      </c>
      <c r="DC321" s="120">
        <f>(DC320+DC322)/2</f>
        <v>24.930499999999999</v>
      </c>
      <c r="DD321" s="120">
        <f>(DC321+DE321)/2</f>
        <v>25.27225</v>
      </c>
      <c r="DE321" s="120">
        <f>(DE320+DE322)/2</f>
        <v>25.613999999999997</v>
      </c>
      <c r="DF321" s="120">
        <f>(DE321+DG321)/2</f>
        <v>25.948999999999998</v>
      </c>
      <c r="DG321" s="122">
        <f>(DG320+DG322)/2</f>
        <v>26.283999999999999</v>
      </c>
    </row>
    <row r="322" spans="54:111" ht="15" customHeight="1" x14ac:dyDescent="0.2">
      <c r="BB322" s="28">
        <v>10</v>
      </c>
      <c r="BC322" s="121">
        <v>4.9320000000000004</v>
      </c>
      <c r="BD322" s="121">
        <v>5.5235000000000003</v>
      </c>
      <c r="BE322" s="121">
        <v>6.1150000000000002</v>
      </c>
      <c r="BF322" s="121">
        <v>6.6684999999999999</v>
      </c>
      <c r="BG322" s="121">
        <v>7.2220000000000004</v>
      </c>
      <c r="BH322" s="121">
        <f t="array" ref="BH322:BH372">TRANSPOSE(BI321:DG321)</f>
        <v>7.7294999999999998</v>
      </c>
      <c r="BI322" s="158">
        <v>8.2370000000000001</v>
      </c>
      <c r="BJ322" s="120">
        <f>(BK322+BI322)/2</f>
        <v>8.7134999999999998</v>
      </c>
      <c r="BK322" s="158">
        <v>9.19</v>
      </c>
      <c r="BL322" s="120">
        <f>(BM322+BK322)/2</f>
        <v>9.6589999999999989</v>
      </c>
      <c r="BM322" s="158">
        <v>10.128</v>
      </c>
      <c r="BN322" s="120">
        <f>(BO322+BM322)/2</f>
        <v>10.5655</v>
      </c>
      <c r="BO322" s="158">
        <v>11.003</v>
      </c>
      <c r="BP322" s="120">
        <f>(BQ322+BO322)/2</f>
        <v>11.440999999999999</v>
      </c>
      <c r="BQ322" s="158">
        <v>11.879</v>
      </c>
      <c r="BR322" s="120">
        <f>(BS322+BQ322)/2</f>
        <v>12.3095</v>
      </c>
      <c r="BS322" s="158">
        <v>12.74</v>
      </c>
      <c r="BT322" s="120">
        <f>(BU322+BS322)/2</f>
        <v>13.178000000000001</v>
      </c>
      <c r="BU322" s="158">
        <v>13.616</v>
      </c>
      <c r="BV322" s="120">
        <f>(BW322+BU322)/2</f>
        <v>14.015000000000001</v>
      </c>
      <c r="BW322" s="158">
        <v>14.414</v>
      </c>
      <c r="BX322" s="120">
        <f>(BY322+BW322)/2</f>
        <v>14.843999999999999</v>
      </c>
      <c r="BY322" s="158">
        <v>15.273999999999999</v>
      </c>
      <c r="BZ322" s="120">
        <f>(CA322+BY322)/2</f>
        <v>15.673500000000001</v>
      </c>
      <c r="CA322" s="158">
        <v>16.073</v>
      </c>
      <c r="CB322" s="120">
        <f>(CC322+CA322)/2</f>
        <v>16.4725</v>
      </c>
      <c r="CC322" s="158">
        <v>16.872</v>
      </c>
      <c r="CD322" s="120">
        <f>(CE322+CC322)/2</f>
        <v>17.263999999999999</v>
      </c>
      <c r="CE322" s="158">
        <v>17.655999999999999</v>
      </c>
      <c r="CF322" s="120">
        <f>(CG322+CE322)/2</f>
        <v>18.055</v>
      </c>
      <c r="CG322" s="158">
        <v>18.454000000000001</v>
      </c>
      <c r="CH322" s="120">
        <f>(CI322+CG322)/2</f>
        <v>18.8535</v>
      </c>
      <c r="CI322" s="158">
        <v>19.253</v>
      </c>
      <c r="CJ322" s="120">
        <f>(CK322+CI322)/2</f>
        <v>19.606000000000002</v>
      </c>
      <c r="CK322" s="158">
        <v>19.959</v>
      </c>
      <c r="CL322" s="120">
        <f>(CM322+CK322)/2</f>
        <v>20.358000000000001</v>
      </c>
      <c r="CM322" s="158">
        <v>20.757000000000001</v>
      </c>
      <c r="CN322" s="120">
        <f>(CO322+CM322)/2</f>
        <v>21.111000000000001</v>
      </c>
      <c r="CO322" s="158">
        <v>21.465</v>
      </c>
      <c r="CP322" s="120">
        <f>(CQ322+CO322)/2</f>
        <v>21.864000000000001</v>
      </c>
      <c r="CQ322" s="158">
        <v>22.263000000000002</v>
      </c>
      <c r="CR322" s="120">
        <f>(CS322+CQ322)/2</f>
        <v>22.624000000000002</v>
      </c>
      <c r="CS322" s="158">
        <v>22.984999999999999</v>
      </c>
      <c r="CT322" s="120">
        <f>(CU322+CS322)/2</f>
        <v>23.3765</v>
      </c>
      <c r="CU322" s="158">
        <v>23.768000000000001</v>
      </c>
      <c r="CV322" s="120">
        <f>(CW322+CU322)/2</f>
        <v>24.128999999999998</v>
      </c>
      <c r="CW322" s="158">
        <v>24.49</v>
      </c>
      <c r="CX322" s="120">
        <f>(CY322+CW322)/2</f>
        <v>24.850499999999997</v>
      </c>
      <c r="CY322" s="158">
        <v>25.210999999999999</v>
      </c>
      <c r="CZ322" s="120">
        <f>(DA322+CY322)/2</f>
        <v>25.564499999999999</v>
      </c>
      <c r="DA322" s="158">
        <v>25.917999999999999</v>
      </c>
      <c r="DB322" s="120">
        <f>(DC322+DA322)/2</f>
        <v>26.317499999999999</v>
      </c>
      <c r="DC322" s="158">
        <v>26.716999999999999</v>
      </c>
      <c r="DD322" s="120">
        <f>(DE322+DC322)/2</f>
        <v>27.077500000000001</v>
      </c>
      <c r="DE322" s="158">
        <v>27.437999999999999</v>
      </c>
      <c r="DF322" s="120">
        <f>(DG322+DE322)/2</f>
        <v>27.791499999999999</v>
      </c>
      <c r="DG322" s="159">
        <v>28.145</v>
      </c>
    </row>
    <row r="323" spans="54:111" ht="15" customHeight="1" x14ac:dyDescent="0.2">
      <c r="BB323" s="28">
        <v>11</v>
      </c>
      <c r="BC323" s="121">
        <v>5.1944999999999997</v>
      </c>
      <c r="BD323" s="121">
        <v>5.8330000000000002</v>
      </c>
      <c r="BE323" s="121">
        <v>6.4715000000000007</v>
      </c>
      <c r="BF323" s="121">
        <v>7.0625</v>
      </c>
      <c r="BG323" s="121">
        <v>7.6535000000000011</v>
      </c>
      <c r="BH323" s="121">
        <v>8.1834999999999987</v>
      </c>
      <c r="BI323" s="121">
        <f t="array" ref="BI323:BI372">TRANSPOSE(BJ322:DG322)</f>
        <v>8.7134999999999998</v>
      </c>
      <c r="BJ323" s="120">
        <f>(BI323+BK323)/2</f>
        <v>9.2279999999999998</v>
      </c>
      <c r="BK323" s="120">
        <f>(BK322+BK324)/2</f>
        <v>9.7424999999999997</v>
      </c>
      <c r="BL323" s="120">
        <f>(BK323+BM323)/2</f>
        <v>10.229749999999999</v>
      </c>
      <c r="BM323" s="120">
        <f>(BM322+BM324)/2</f>
        <v>10.716999999999999</v>
      </c>
      <c r="BN323" s="120">
        <f>(BM323+BO323)/2</f>
        <v>11.204999999999998</v>
      </c>
      <c r="BO323" s="120">
        <f>(BO322+BO324)/2</f>
        <v>11.693</v>
      </c>
      <c r="BP323" s="120">
        <f>(BO323+BQ323)/2</f>
        <v>12.1495</v>
      </c>
      <c r="BQ323" s="120">
        <f>(BQ322+BQ324)/2</f>
        <v>12.606</v>
      </c>
      <c r="BR323" s="120">
        <f>(BQ323+BS323)/2</f>
        <v>13.05875</v>
      </c>
      <c r="BS323" s="120">
        <f>(BS322+BS324)/2</f>
        <v>13.5115</v>
      </c>
      <c r="BT323" s="120">
        <f>(BS323+BU323)/2</f>
        <v>13.96425</v>
      </c>
      <c r="BU323" s="120">
        <f>(BU322+BU324)/2</f>
        <v>14.417</v>
      </c>
      <c r="BV323" s="120">
        <f>(BU323+BW323)/2</f>
        <v>14.853999999999999</v>
      </c>
      <c r="BW323" s="120">
        <f>(BW322+BW324)/2</f>
        <v>15.291</v>
      </c>
      <c r="BX323" s="120">
        <f>(BW323+BY323)/2</f>
        <v>15.756</v>
      </c>
      <c r="BY323" s="120">
        <f>(BY322+BY324)/2</f>
        <v>16.221</v>
      </c>
      <c r="BZ323" s="120">
        <f>(BY323+CA323)/2</f>
        <v>16.638750000000002</v>
      </c>
      <c r="CA323" s="120">
        <f>(CA322+CA324)/2</f>
        <v>17.0565</v>
      </c>
      <c r="CB323" s="120">
        <f>(CA323+CC323)/2</f>
        <v>17.494</v>
      </c>
      <c r="CC323" s="120">
        <f>(CC322+CC324)/2</f>
        <v>17.9315</v>
      </c>
      <c r="CD323" s="120">
        <f>(CC323+CE323)/2</f>
        <v>18.341999999999999</v>
      </c>
      <c r="CE323" s="120">
        <f>(CE322+CE324)/2</f>
        <v>18.752499999999998</v>
      </c>
      <c r="CF323" s="120">
        <f>(CE323+CG323)/2</f>
        <v>19.169999999999998</v>
      </c>
      <c r="CG323" s="120">
        <f>(CG322+CG324)/2</f>
        <v>19.587499999999999</v>
      </c>
      <c r="CH323" s="120">
        <f>(CG323+CI323)/2</f>
        <v>20.018249999999998</v>
      </c>
      <c r="CI323" s="120">
        <f>(CI322+CI324)/2</f>
        <v>20.448999999999998</v>
      </c>
      <c r="CJ323" s="120">
        <f>(CI323+CK323)/2</f>
        <v>20.843499999999999</v>
      </c>
      <c r="CK323" s="120">
        <f>(CK322+CK324)/2</f>
        <v>21.238</v>
      </c>
      <c r="CL323" s="120">
        <f>(CK323+CM323)/2</f>
        <v>21.652000000000001</v>
      </c>
      <c r="CM323" s="120">
        <f>(CM322+CM324)/2</f>
        <v>22.066000000000003</v>
      </c>
      <c r="CN323" s="120">
        <f>(CM323+CO323)/2</f>
        <v>22.442250000000001</v>
      </c>
      <c r="CO323" s="120">
        <f>(CO322+CO324)/2</f>
        <v>22.8185</v>
      </c>
      <c r="CP323" s="120">
        <f>(CO323+CQ323)/2</f>
        <v>23.236000000000001</v>
      </c>
      <c r="CQ323" s="120">
        <f>(CQ322+CQ324)/2</f>
        <v>23.653500000000001</v>
      </c>
      <c r="CR323" s="120">
        <f>(CQ323+CS323)/2</f>
        <v>24.06475</v>
      </c>
      <c r="CS323" s="120">
        <f>(CS322+CS324)/2</f>
        <v>24.475999999999999</v>
      </c>
      <c r="CT323" s="120">
        <f>(CS323+CU323)/2</f>
        <v>24.867000000000001</v>
      </c>
      <c r="CU323" s="120">
        <f>(CU322+CU324)/2</f>
        <v>25.258000000000003</v>
      </c>
      <c r="CV323" s="120">
        <f>(CU323+CW323)/2</f>
        <v>25.656750000000002</v>
      </c>
      <c r="CW323" s="120">
        <f>(CW322+CW324)/2</f>
        <v>26.055499999999999</v>
      </c>
      <c r="CX323" s="120">
        <f>(CW323+CY323)/2</f>
        <v>26.434750000000001</v>
      </c>
      <c r="CY323" s="120">
        <f>(CY322+CY324)/2</f>
        <v>26.814</v>
      </c>
      <c r="CZ323" s="120">
        <f>(CY323+DA323)/2</f>
        <v>27.209</v>
      </c>
      <c r="DA323" s="120">
        <f>(DA322+DA324)/2</f>
        <v>27.603999999999999</v>
      </c>
      <c r="DB323" s="120">
        <f>(DA323+DC323)/2</f>
        <v>28.015249999999998</v>
      </c>
      <c r="DC323" s="120">
        <f>(DC322+DC324)/2</f>
        <v>28.426499999999997</v>
      </c>
      <c r="DD323" s="120">
        <f>(DC323+DE323)/2</f>
        <v>28.801749999999998</v>
      </c>
      <c r="DE323" s="120">
        <f>(DE322+DE324)/2</f>
        <v>29.177</v>
      </c>
      <c r="DF323" s="120">
        <f>(DE323+DG323)/2</f>
        <v>29.57225</v>
      </c>
      <c r="DG323" s="122">
        <f>(DG322+DG324)/2</f>
        <v>29.967500000000001</v>
      </c>
    </row>
    <row r="324" spans="54:111" ht="15" customHeight="1" x14ac:dyDescent="0.2">
      <c r="BB324" s="28">
        <v>12</v>
      </c>
      <c r="BC324" s="121">
        <v>5.4569999999999999</v>
      </c>
      <c r="BD324" s="121">
        <v>6.1425000000000001</v>
      </c>
      <c r="BE324" s="121">
        <v>6.8280000000000003</v>
      </c>
      <c r="BF324" s="121">
        <v>7.4565000000000001</v>
      </c>
      <c r="BG324" s="121">
        <v>8.0850000000000009</v>
      </c>
      <c r="BH324" s="121">
        <v>8.6374999999999993</v>
      </c>
      <c r="BI324" s="121">
        <v>9.19</v>
      </c>
      <c r="BJ324" s="121">
        <f t="array" ref="BJ324:BJ372">TRANSPOSE(BK323:DG323)</f>
        <v>9.7424999999999997</v>
      </c>
      <c r="BK324" s="158">
        <v>10.295</v>
      </c>
      <c r="BL324" s="120">
        <f>(BM324+BK324)/2</f>
        <v>10.8005</v>
      </c>
      <c r="BM324" s="158">
        <v>11.305999999999999</v>
      </c>
      <c r="BN324" s="120">
        <f>(BO324+BM324)/2</f>
        <v>11.8445</v>
      </c>
      <c r="BO324" s="158">
        <v>12.382999999999999</v>
      </c>
      <c r="BP324" s="120">
        <f>(BQ324+BO324)/2</f>
        <v>12.858000000000001</v>
      </c>
      <c r="BQ324" s="158">
        <v>13.333</v>
      </c>
      <c r="BR324" s="120">
        <f>(BS324+BQ324)/2</f>
        <v>13.808</v>
      </c>
      <c r="BS324" s="158">
        <v>14.282999999999999</v>
      </c>
      <c r="BT324" s="120">
        <f>(BU324+BS324)/2</f>
        <v>14.750499999999999</v>
      </c>
      <c r="BU324" s="158">
        <v>15.218</v>
      </c>
      <c r="BV324" s="120">
        <f>(BW324+BU324)/2</f>
        <v>15.693</v>
      </c>
      <c r="BW324" s="158">
        <v>16.167999999999999</v>
      </c>
      <c r="BX324" s="120">
        <f>(BY324+BW324)/2</f>
        <v>16.667999999999999</v>
      </c>
      <c r="BY324" s="158">
        <v>17.167999999999999</v>
      </c>
      <c r="BZ324" s="120">
        <f>(CA324+BY324)/2</f>
        <v>17.603999999999999</v>
      </c>
      <c r="CA324" s="158">
        <v>18.04</v>
      </c>
      <c r="CB324" s="120">
        <f>(CC324+CA324)/2</f>
        <v>18.515499999999999</v>
      </c>
      <c r="CC324" s="158">
        <v>18.991</v>
      </c>
      <c r="CD324" s="120">
        <f>(CE324+CC324)/2</f>
        <v>19.420000000000002</v>
      </c>
      <c r="CE324" s="158">
        <v>19.849</v>
      </c>
      <c r="CF324" s="120">
        <f>(CG324+CE324)/2</f>
        <v>20.285</v>
      </c>
      <c r="CG324" s="158">
        <v>20.721</v>
      </c>
      <c r="CH324" s="120">
        <f>(CI324+CG324)/2</f>
        <v>21.183</v>
      </c>
      <c r="CI324" s="158">
        <v>21.645</v>
      </c>
      <c r="CJ324" s="120">
        <f>(CK324+CI324)/2</f>
        <v>22.081</v>
      </c>
      <c r="CK324" s="158">
        <v>22.516999999999999</v>
      </c>
      <c r="CL324" s="120">
        <f>(CM324+CK324)/2</f>
        <v>22.945999999999998</v>
      </c>
      <c r="CM324" s="158">
        <v>23.375</v>
      </c>
      <c r="CN324" s="120">
        <f>(CO324+CM324)/2</f>
        <v>23.773499999999999</v>
      </c>
      <c r="CO324" s="158">
        <v>24.172000000000001</v>
      </c>
      <c r="CP324" s="120">
        <f>(CQ324+CO324)/2</f>
        <v>24.608000000000001</v>
      </c>
      <c r="CQ324" s="158">
        <v>25.044</v>
      </c>
      <c r="CR324" s="120">
        <f>(CS324+CQ324)/2</f>
        <v>25.505499999999998</v>
      </c>
      <c r="CS324" s="158">
        <v>25.966999999999999</v>
      </c>
      <c r="CT324" s="120">
        <f>(CU324+CS324)/2</f>
        <v>26.357500000000002</v>
      </c>
      <c r="CU324" s="158">
        <v>26.748000000000001</v>
      </c>
      <c r="CV324" s="120">
        <f>(CW324+CU324)/2</f>
        <v>27.1845</v>
      </c>
      <c r="CW324" s="158">
        <v>27.620999999999999</v>
      </c>
      <c r="CX324" s="120">
        <f>(CY324+CW324)/2</f>
        <v>28.018999999999998</v>
      </c>
      <c r="CY324" s="158">
        <v>28.417000000000002</v>
      </c>
      <c r="CZ324" s="120">
        <f>(DA324+CY324)/2</f>
        <v>28.8535</v>
      </c>
      <c r="DA324" s="158">
        <v>29.29</v>
      </c>
      <c r="DB324" s="120">
        <f>(DC324+DA324)/2</f>
        <v>29.713000000000001</v>
      </c>
      <c r="DC324" s="158">
        <v>30.135999999999999</v>
      </c>
      <c r="DD324" s="120">
        <f>(DE324+DC324)/2</f>
        <v>30.526</v>
      </c>
      <c r="DE324" s="158">
        <v>30.916</v>
      </c>
      <c r="DF324" s="120">
        <f>(DG324+DE324)/2</f>
        <v>31.353000000000002</v>
      </c>
      <c r="DG324" s="159">
        <v>31.79</v>
      </c>
    </row>
    <row r="325" spans="54:111" ht="15" customHeight="1" x14ac:dyDescent="0.2">
      <c r="BB325" s="28">
        <v>13</v>
      </c>
      <c r="BC325" s="121">
        <v>5.7759999999999998</v>
      </c>
      <c r="BD325" s="121">
        <v>6.4710000000000001</v>
      </c>
      <c r="BE325" s="121">
        <v>7.1660000000000004</v>
      </c>
      <c r="BF325" s="121">
        <v>7.8259999999999996</v>
      </c>
      <c r="BG325" s="121">
        <v>8.4860000000000007</v>
      </c>
      <c r="BH325" s="121">
        <v>9.0724999999999998</v>
      </c>
      <c r="BI325" s="121">
        <v>9.6589999999999989</v>
      </c>
      <c r="BJ325" s="121">
        <v>10.229749999999999</v>
      </c>
      <c r="BK325" s="121">
        <f t="array" ref="BK325:BK372">TRANSPOSE(BL324:DG324)</f>
        <v>10.8005</v>
      </c>
      <c r="BL325" s="120">
        <f>(BK325+BM325)/2</f>
        <v>11.340999999999999</v>
      </c>
      <c r="BM325" s="120">
        <f>(BM324+BM326)/2</f>
        <v>11.881499999999999</v>
      </c>
      <c r="BN325" s="120">
        <f>(BM325+BO325)/2</f>
        <v>12.44525</v>
      </c>
      <c r="BO325" s="120">
        <f>(BO324+BO326)/2</f>
        <v>13.009</v>
      </c>
      <c r="BP325" s="120">
        <f>(BO325+BQ325)/2</f>
        <v>13.51525</v>
      </c>
      <c r="BQ325" s="120">
        <f>(BQ324+BQ326)/2</f>
        <v>14.0215</v>
      </c>
      <c r="BR325" s="120">
        <f>(BQ325+BS325)/2</f>
        <v>14.53425</v>
      </c>
      <c r="BS325" s="120">
        <f>(BS324+BS326)/2</f>
        <v>15.047000000000001</v>
      </c>
      <c r="BT325" s="120">
        <f>(BS325+BU325)/2</f>
        <v>15.537000000000001</v>
      </c>
      <c r="BU325" s="120">
        <f>(BU324+BU326)/2</f>
        <v>16.027000000000001</v>
      </c>
      <c r="BV325" s="120">
        <f>(BU325+BW325)/2</f>
        <v>16.53275</v>
      </c>
      <c r="BW325" s="120">
        <f>(BW324+BW326)/2</f>
        <v>17.038499999999999</v>
      </c>
      <c r="BX325" s="120">
        <f>(BW325+BY325)/2</f>
        <v>17.544999999999998</v>
      </c>
      <c r="BY325" s="120">
        <f>(BY324+BY326)/2</f>
        <v>18.051499999999997</v>
      </c>
      <c r="BZ325" s="120">
        <f>(BY325+CA325)/2</f>
        <v>18.537749999999999</v>
      </c>
      <c r="CA325" s="120">
        <f>(CA324+CA326)/2</f>
        <v>19.024000000000001</v>
      </c>
      <c r="CB325" s="120">
        <f>(CA325+CC325)/2</f>
        <v>19.495000000000001</v>
      </c>
      <c r="CC325" s="120">
        <f>(CC324+CC326)/2</f>
        <v>19.966000000000001</v>
      </c>
      <c r="CD325" s="120">
        <f>(CC325+CE325)/2</f>
        <v>20.436500000000002</v>
      </c>
      <c r="CE325" s="120">
        <f>(CE324+CE326)/2</f>
        <v>20.907</v>
      </c>
      <c r="CF325" s="120">
        <f>(CE325+CG325)/2</f>
        <v>21.37425</v>
      </c>
      <c r="CG325" s="120">
        <f>(CG324+CG326)/2</f>
        <v>21.8415</v>
      </c>
      <c r="CH325" s="120">
        <f>(CG325+CI325)/2</f>
        <v>22.3095</v>
      </c>
      <c r="CI325" s="120">
        <f>(CI324+CI326)/2</f>
        <v>22.7775</v>
      </c>
      <c r="CJ325" s="120">
        <f>(CI325+CK325)/2</f>
        <v>23.263750000000002</v>
      </c>
      <c r="CK325" s="120">
        <f>(CK324+CK326)/2</f>
        <v>23.75</v>
      </c>
      <c r="CL325" s="120">
        <f>(CK325+CM325)/2</f>
        <v>24.201499999999999</v>
      </c>
      <c r="CM325" s="120">
        <f>(CM324+CM326)/2</f>
        <v>24.652999999999999</v>
      </c>
      <c r="CN325" s="120">
        <f>(CM325+CO325)/2</f>
        <v>25.088999999999999</v>
      </c>
      <c r="CO325" s="120">
        <f>(CO324+CO326)/2</f>
        <v>25.524999999999999</v>
      </c>
      <c r="CP325" s="120">
        <f>(CO325+CQ325)/2</f>
        <v>25.97325</v>
      </c>
      <c r="CQ325" s="120">
        <f>(CQ324+CQ326)/2</f>
        <v>26.421500000000002</v>
      </c>
      <c r="CR325" s="120">
        <f>(CQ325+CS325)/2</f>
        <v>26.888999999999999</v>
      </c>
      <c r="CS325" s="120">
        <f>(CS324+CS326)/2</f>
        <v>27.356499999999997</v>
      </c>
      <c r="CT325" s="120">
        <f>(CS325+CU325)/2</f>
        <v>27.800999999999998</v>
      </c>
      <c r="CU325" s="120">
        <f>(CU324+CU326)/2</f>
        <v>28.2455</v>
      </c>
      <c r="CV325" s="120">
        <f>(CU325+CW325)/2</f>
        <v>28.696750000000002</v>
      </c>
      <c r="CW325" s="120">
        <f>(CW324+CW326)/2</f>
        <v>29.148</v>
      </c>
      <c r="CX325" s="120">
        <f>(CW325+CY325)/2</f>
        <v>29.56475</v>
      </c>
      <c r="CY325" s="120">
        <f>(CY324+CY326)/2</f>
        <v>29.9815</v>
      </c>
      <c r="CZ325" s="120">
        <f>(CY325+DA325)/2</f>
        <v>30.448999999999998</v>
      </c>
      <c r="DA325" s="120">
        <f>(DA324+DA326)/2</f>
        <v>30.916499999999999</v>
      </c>
      <c r="DB325" s="120">
        <f>(DA325+DC325)/2</f>
        <v>31.345499999999998</v>
      </c>
      <c r="DC325" s="120">
        <f>(DC324+DC326)/2</f>
        <v>31.774499999999996</v>
      </c>
      <c r="DD325" s="120">
        <f>(DC325+DE325)/2</f>
        <v>32.21875</v>
      </c>
      <c r="DE325" s="120">
        <f>(DE324+DE326)/2</f>
        <v>32.662999999999997</v>
      </c>
      <c r="DF325" s="120">
        <f>(DE325+DG325)/2</f>
        <v>33.099249999999998</v>
      </c>
      <c r="DG325" s="122">
        <f>(DG324+DG326)/2</f>
        <v>33.535499999999999</v>
      </c>
    </row>
    <row r="326" spans="54:111" ht="15" customHeight="1" x14ac:dyDescent="0.2">
      <c r="BB326" s="28">
        <v>14</v>
      </c>
      <c r="BC326" s="121">
        <v>6.0949999999999998</v>
      </c>
      <c r="BD326" s="121">
        <v>6.7995000000000001</v>
      </c>
      <c r="BE326" s="121">
        <v>7.5039999999999996</v>
      </c>
      <c r="BF326" s="121">
        <v>8.1954999999999991</v>
      </c>
      <c r="BG326" s="121">
        <v>8.8870000000000005</v>
      </c>
      <c r="BH326" s="121">
        <v>9.5075000000000003</v>
      </c>
      <c r="BI326" s="121">
        <v>10.128</v>
      </c>
      <c r="BJ326" s="121">
        <v>10.716999999999999</v>
      </c>
      <c r="BK326" s="121">
        <v>11.305999999999999</v>
      </c>
      <c r="BL326" s="121">
        <f t="array" ref="BL326:BL372">TRANSPOSE(BM325:DG325)</f>
        <v>11.881499999999999</v>
      </c>
      <c r="BM326" s="158">
        <v>12.457000000000001</v>
      </c>
      <c r="BN326" s="120">
        <f>(BO326+BM326)/2</f>
        <v>13.045999999999999</v>
      </c>
      <c r="BO326" s="158">
        <v>13.635</v>
      </c>
      <c r="BP326" s="120">
        <f>(BQ326+BO326)/2</f>
        <v>14.172499999999999</v>
      </c>
      <c r="BQ326" s="158">
        <v>14.71</v>
      </c>
      <c r="BR326" s="120">
        <f>(BS326+BQ326)/2</f>
        <v>15.2605</v>
      </c>
      <c r="BS326" s="158">
        <v>15.811</v>
      </c>
      <c r="BT326" s="120">
        <f>(BU326+BS326)/2</f>
        <v>16.323499999999999</v>
      </c>
      <c r="BU326" s="158">
        <v>16.835999999999999</v>
      </c>
      <c r="BV326" s="120">
        <f>(BW326+BU326)/2</f>
        <v>17.372499999999999</v>
      </c>
      <c r="BW326" s="158">
        <v>17.908999999999999</v>
      </c>
      <c r="BX326" s="120">
        <f>(BY326+BW326)/2</f>
        <v>18.421999999999997</v>
      </c>
      <c r="BY326" s="158">
        <v>18.934999999999999</v>
      </c>
      <c r="BZ326" s="120">
        <f>(CA326+BY326)/2</f>
        <v>19.471499999999999</v>
      </c>
      <c r="CA326" s="158">
        <v>20.007999999999999</v>
      </c>
      <c r="CB326" s="120">
        <f>(CC326+CA326)/2</f>
        <v>20.474499999999999</v>
      </c>
      <c r="CC326" s="158">
        <v>20.940999999999999</v>
      </c>
      <c r="CD326" s="120">
        <f>(CE326+CC326)/2</f>
        <v>21.452999999999999</v>
      </c>
      <c r="CE326" s="158">
        <v>21.965</v>
      </c>
      <c r="CF326" s="120">
        <f>(CG326+CE326)/2</f>
        <v>22.4635</v>
      </c>
      <c r="CG326" s="158">
        <v>22.962</v>
      </c>
      <c r="CH326" s="120">
        <f>(CI326+CG326)/2</f>
        <v>23.436</v>
      </c>
      <c r="CI326" s="158">
        <v>23.91</v>
      </c>
      <c r="CJ326" s="120">
        <f>(CK326+CI326)/2</f>
        <v>24.4465</v>
      </c>
      <c r="CK326" s="158">
        <v>24.983000000000001</v>
      </c>
      <c r="CL326" s="120">
        <f>(CM326+CK326)/2</f>
        <v>25.457000000000001</v>
      </c>
      <c r="CM326" s="158">
        <v>25.931000000000001</v>
      </c>
      <c r="CN326" s="120">
        <f>(CO326+CM326)/2</f>
        <v>26.404499999999999</v>
      </c>
      <c r="CO326" s="158">
        <v>26.878</v>
      </c>
      <c r="CP326" s="120">
        <f>(CQ326+CO326)/2</f>
        <v>27.3385</v>
      </c>
      <c r="CQ326" s="158">
        <v>27.798999999999999</v>
      </c>
      <c r="CR326" s="120">
        <f>(CS326+CQ326)/2</f>
        <v>28.272500000000001</v>
      </c>
      <c r="CS326" s="158">
        <v>28.745999999999999</v>
      </c>
      <c r="CT326" s="120">
        <f>(CU326+CS326)/2</f>
        <v>29.244499999999999</v>
      </c>
      <c r="CU326" s="158">
        <v>29.742999999999999</v>
      </c>
      <c r="CV326" s="120">
        <f>(CW326+CU326)/2</f>
        <v>30.209</v>
      </c>
      <c r="CW326" s="158">
        <v>30.675000000000001</v>
      </c>
      <c r="CX326" s="120">
        <f>(CY326+CW326)/2</f>
        <v>31.110500000000002</v>
      </c>
      <c r="CY326" s="158">
        <v>31.545999999999999</v>
      </c>
      <c r="CZ326" s="120">
        <f>(DA326+CY326)/2</f>
        <v>32.044499999999999</v>
      </c>
      <c r="DA326" s="158">
        <v>32.542999999999999</v>
      </c>
      <c r="DB326" s="120">
        <f>(DC326+DA326)/2</f>
        <v>32.977999999999994</v>
      </c>
      <c r="DC326" s="158">
        <v>33.412999999999997</v>
      </c>
      <c r="DD326" s="120">
        <f>(DE326+DC326)/2</f>
        <v>33.911499999999997</v>
      </c>
      <c r="DE326" s="158">
        <v>34.409999999999997</v>
      </c>
      <c r="DF326" s="120">
        <f>(DG326+DE326)/2</f>
        <v>34.845500000000001</v>
      </c>
      <c r="DG326" s="159">
        <v>35.280999999999999</v>
      </c>
    </row>
    <row r="327" spans="54:111" ht="15" customHeight="1" x14ac:dyDescent="0.2">
      <c r="BB327" s="28">
        <v>15</v>
      </c>
      <c r="BC327" s="121">
        <v>6.3505000000000003</v>
      </c>
      <c r="BD327" s="121">
        <v>7.1052499999999998</v>
      </c>
      <c r="BE327" s="121">
        <v>7.8599999999999994</v>
      </c>
      <c r="BF327" s="121">
        <v>8.5577499999999986</v>
      </c>
      <c r="BG327" s="121">
        <v>9.2555000000000014</v>
      </c>
      <c r="BH327" s="121">
        <v>9.9105000000000008</v>
      </c>
      <c r="BI327" s="121">
        <v>10.5655</v>
      </c>
      <c r="BJ327" s="121">
        <v>11.204999999999998</v>
      </c>
      <c r="BK327" s="121">
        <v>11.8445</v>
      </c>
      <c r="BL327" s="121">
        <v>12.44525</v>
      </c>
      <c r="BM327" s="121">
        <f t="array" ref="BM327:BM372">TRANSPOSE(BN326:DG326)</f>
        <v>13.045999999999999</v>
      </c>
      <c r="BN327" s="120">
        <f>(BM327+BO327)/2</f>
        <v>13.64725</v>
      </c>
      <c r="BO327" s="120">
        <f>(BO326+BO328)/2</f>
        <v>14.2485</v>
      </c>
      <c r="BP327" s="120">
        <f>(BO327+BQ327)/2</f>
        <v>14.811</v>
      </c>
      <c r="BQ327" s="120">
        <f>(BQ326+BQ328)/2</f>
        <v>15.3735</v>
      </c>
      <c r="BR327" s="120">
        <f>(BQ327+BS327)/2</f>
        <v>15.955249999999999</v>
      </c>
      <c r="BS327" s="120">
        <f>(BS326+BS328)/2</f>
        <v>16.536999999999999</v>
      </c>
      <c r="BT327" s="120">
        <f>(BS327+BU327)/2</f>
        <v>17.099499999999999</v>
      </c>
      <c r="BU327" s="120">
        <f>(BU326+BU328)/2</f>
        <v>17.661999999999999</v>
      </c>
      <c r="BV327" s="120">
        <f>(BU327+BW327)/2</f>
        <v>18.204999999999998</v>
      </c>
      <c r="BW327" s="120">
        <f>(BW326+BW328)/2</f>
        <v>18.747999999999998</v>
      </c>
      <c r="BX327" s="120">
        <f>(BW327+BY327)/2</f>
        <v>19.291499999999999</v>
      </c>
      <c r="BY327" s="120">
        <f>(BY326+BY328)/2</f>
        <v>19.835000000000001</v>
      </c>
      <c r="BZ327" s="120">
        <f>(BY327+CA327)/2</f>
        <v>20.378</v>
      </c>
      <c r="CA327" s="120">
        <f>(CA326+CA328)/2</f>
        <v>20.920999999999999</v>
      </c>
      <c r="CB327" s="120">
        <f>(CA327+CC327)/2</f>
        <v>21.441499999999998</v>
      </c>
      <c r="CC327" s="120">
        <f>(CC326+CC328)/2</f>
        <v>21.962</v>
      </c>
      <c r="CD327" s="120">
        <f>(CC327+CE327)/2</f>
        <v>22.485749999999999</v>
      </c>
      <c r="CE327" s="120">
        <f>(CE326+CE328)/2</f>
        <v>23.009499999999999</v>
      </c>
      <c r="CF327" s="120">
        <f>(CE327+CG327)/2</f>
        <v>23.533499999999997</v>
      </c>
      <c r="CG327" s="120">
        <f>(CG326+CG328)/2</f>
        <v>24.057499999999997</v>
      </c>
      <c r="CH327" s="120">
        <f>(CG327+CI327)/2</f>
        <v>24.562249999999999</v>
      </c>
      <c r="CI327" s="120">
        <f>(CI326+CI328)/2</f>
        <v>25.067</v>
      </c>
      <c r="CJ327" s="120">
        <f>(CI327+CK327)/2</f>
        <v>25.61</v>
      </c>
      <c r="CK327" s="120">
        <f>(CK326+CK328)/2</f>
        <v>26.152999999999999</v>
      </c>
      <c r="CL327" s="120">
        <f>(CK327+CM327)/2</f>
        <v>26.65775</v>
      </c>
      <c r="CM327" s="120">
        <f>(CM326+CM328)/2</f>
        <v>27.162500000000001</v>
      </c>
      <c r="CN327" s="120">
        <f>(CM327+CO327)/2</f>
        <v>27.670999999999999</v>
      </c>
      <c r="CO327" s="120">
        <f>(CO326+CO328)/2</f>
        <v>28.179500000000001</v>
      </c>
      <c r="CP327" s="120">
        <f>(CO327+CQ327)/2</f>
        <v>28.664999999999999</v>
      </c>
      <c r="CQ327" s="120">
        <f>(CQ326+CQ328)/2</f>
        <v>29.150500000000001</v>
      </c>
      <c r="CR327" s="120">
        <f>(CQ327+CS327)/2</f>
        <v>29.6555</v>
      </c>
      <c r="CS327" s="120">
        <f>(CS326+CS328)/2</f>
        <v>30.160499999999999</v>
      </c>
      <c r="CT327" s="120">
        <f>(CS327+CU327)/2</f>
        <v>30.664999999999999</v>
      </c>
      <c r="CU327" s="120">
        <f>(CU326+CU328)/2</f>
        <v>31.169499999999999</v>
      </c>
      <c r="CV327" s="120">
        <f>(CU327+CW327)/2</f>
        <v>31.670500000000001</v>
      </c>
      <c r="CW327" s="120">
        <f>(CW326+CW328)/2</f>
        <v>32.171500000000002</v>
      </c>
      <c r="CX327" s="120">
        <f>(CW327+CY327)/2</f>
        <v>32.656999999999996</v>
      </c>
      <c r="CY327" s="120">
        <f>(CY326+CY328)/2</f>
        <v>33.142499999999998</v>
      </c>
      <c r="CZ327" s="120">
        <f>(CY327+DA327)/2</f>
        <v>33.628</v>
      </c>
      <c r="DA327" s="120">
        <f>(DA326+DA328)/2</f>
        <v>34.113500000000002</v>
      </c>
      <c r="DB327" s="120">
        <f>(DA327+DC327)/2</f>
        <v>34.598750000000003</v>
      </c>
      <c r="DC327" s="120">
        <f>(DC326+DC328)/2</f>
        <v>35.084000000000003</v>
      </c>
      <c r="DD327" s="120">
        <f>(DC327+DE327)/2</f>
        <v>35.588750000000005</v>
      </c>
      <c r="DE327" s="120">
        <f>(DE326+DE328)/2</f>
        <v>36.093499999999999</v>
      </c>
      <c r="DF327" s="120">
        <f>(DE327+DG327)/2</f>
        <v>36.559749999999994</v>
      </c>
      <c r="DG327" s="122">
        <f>(DG326+DG328)/2</f>
        <v>37.025999999999996</v>
      </c>
    </row>
    <row r="328" spans="54:111" ht="15" customHeight="1" x14ac:dyDescent="0.2">
      <c r="BB328" s="28">
        <v>16</v>
      </c>
      <c r="BC328" s="121">
        <v>6.6059999999999999</v>
      </c>
      <c r="BD328" s="121">
        <v>7.4109999999999996</v>
      </c>
      <c r="BE328" s="121">
        <v>8.2159999999999993</v>
      </c>
      <c r="BF328" s="121">
        <v>8.92</v>
      </c>
      <c r="BG328" s="121">
        <v>9.6240000000000006</v>
      </c>
      <c r="BH328" s="121">
        <v>10.313500000000001</v>
      </c>
      <c r="BI328" s="121">
        <v>11.003</v>
      </c>
      <c r="BJ328" s="121">
        <v>11.693</v>
      </c>
      <c r="BK328" s="121">
        <v>12.382999999999999</v>
      </c>
      <c r="BL328" s="121">
        <v>13.009</v>
      </c>
      <c r="BM328" s="121">
        <v>13.635</v>
      </c>
      <c r="BN328" s="121">
        <f t="array" ref="BN328:BN372">TRANSPOSE(BO327:DG327)</f>
        <v>14.2485</v>
      </c>
      <c r="BO328" s="158">
        <v>14.862</v>
      </c>
      <c r="BP328" s="120">
        <f>(BQ328+BO328)/2</f>
        <v>15.4495</v>
      </c>
      <c r="BQ328" s="158">
        <v>16.036999999999999</v>
      </c>
      <c r="BR328" s="120">
        <f>(BS328+BQ328)/2</f>
        <v>16.649999999999999</v>
      </c>
      <c r="BS328" s="158">
        <v>17.263000000000002</v>
      </c>
      <c r="BT328" s="120">
        <f>(BU328+BS328)/2</f>
        <v>17.875500000000002</v>
      </c>
      <c r="BU328" s="158">
        <v>18.488</v>
      </c>
      <c r="BV328" s="120">
        <f>(BW328+BU328)/2</f>
        <v>19.037500000000001</v>
      </c>
      <c r="BW328" s="158">
        <v>19.587</v>
      </c>
      <c r="BX328" s="120">
        <f>(BY328+BW328)/2</f>
        <v>20.161000000000001</v>
      </c>
      <c r="BY328" s="158">
        <v>20.734999999999999</v>
      </c>
      <c r="BZ328" s="120">
        <f>(CA328+BY328)/2</f>
        <v>21.284500000000001</v>
      </c>
      <c r="CA328" s="158">
        <v>21.834</v>
      </c>
      <c r="CB328" s="120">
        <f>(CC328+CA328)/2</f>
        <v>22.4085</v>
      </c>
      <c r="CC328" s="158">
        <v>22.983000000000001</v>
      </c>
      <c r="CD328" s="120">
        <f>(CE328+CC328)/2</f>
        <v>23.5185</v>
      </c>
      <c r="CE328" s="158">
        <v>24.053999999999998</v>
      </c>
      <c r="CF328" s="120">
        <f>(CG328+CE328)/2</f>
        <v>24.603499999999997</v>
      </c>
      <c r="CG328" s="158">
        <v>25.152999999999999</v>
      </c>
      <c r="CH328" s="120">
        <f>(CI328+CG328)/2</f>
        <v>25.688499999999998</v>
      </c>
      <c r="CI328" s="158">
        <v>26.224</v>
      </c>
      <c r="CJ328" s="120">
        <f>(CK328+CI328)/2</f>
        <v>26.773499999999999</v>
      </c>
      <c r="CK328" s="158">
        <v>27.323</v>
      </c>
      <c r="CL328" s="120">
        <f>(CM328+CK328)/2</f>
        <v>27.858499999999999</v>
      </c>
      <c r="CM328" s="158">
        <v>28.393999999999998</v>
      </c>
      <c r="CN328" s="120">
        <f>(CO328+CM328)/2</f>
        <v>28.9375</v>
      </c>
      <c r="CO328" s="158">
        <v>29.481000000000002</v>
      </c>
      <c r="CP328" s="120">
        <f>(CQ328+CO328)/2</f>
        <v>29.991500000000002</v>
      </c>
      <c r="CQ328" s="158">
        <v>30.501999999999999</v>
      </c>
      <c r="CR328" s="120">
        <f>(CS328+CQ328)/2</f>
        <v>31.038499999999999</v>
      </c>
      <c r="CS328" s="158">
        <v>31.574999999999999</v>
      </c>
      <c r="CT328" s="120">
        <f>(CU328+CS328)/2</f>
        <v>32.085499999999996</v>
      </c>
      <c r="CU328" s="158">
        <v>32.595999999999997</v>
      </c>
      <c r="CV328" s="120">
        <f>(CW328+CU328)/2</f>
        <v>33.131999999999998</v>
      </c>
      <c r="CW328" s="158">
        <v>33.667999999999999</v>
      </c>
      <c r="CX328" s="120">
        <f>(CY328+CW328)/2</f>
        <v>34.203499999999998</v>
      </c>
      <c r="CY328" s="158">
        <v>34.738999999999997</v>
      </c>
      <c r="CZ328" s="120">
        <f>(DA328+CY328)/2</f>
        <v>35.211500000000001</v>
      </c>
      <c r="DA328" s="158">
        <v>35.683999999999997</v>
      </c>
      <c r="DB328" s="120">
        <f>(DC328+DA328)/2</f>
        <v>36.219499999999996</v>
      </c>
      <c r="DC328" s="158">
        <v>36.755000000000003</v>
      </c>
      <c r="DD328" s="120">
        <f>(DE328+DC328)/2</f>
        <v>37.266000000000005</v>
      </c>
      <c r="DE328" s="158">
        <v>37.777000000000001</v>
      </c>
      <c r="DF328" s="120">
        <f>(DG328+DE328)/2</f>
        <v>38.274000000000001</v>
      </c>
      <c r="DG328" s="159">
        <v>38.771000000000001</v>
      </c>
    </row>
    <row r="329" spans="54:111" ht="15" customHeight="1" x14ac:dyDescent="0.2">
      <c r="BB329" s="28">
        <v>17</v>
      </c>
      <c r="BC329" s="121">
        <v>6.8479999999999999</v>
      </c>
      <c r="BD329" s="121">
        <v>7.6784999999999997</v>
      </c>
      <c r="BE329" s="121">
        <v>8.5090000000000003</v>
      </c>
      <c r="BF329" s="121">
        <v>9.2669999999999995</v>
      </c>
      <c r="BG329" s="121">
        <v>10.025</v>
      </c>
      <c r="BH329" s="121">
        <v>10.733000000000001</v>
      </c>
      <c r="BI329" s="121">
        <v>11.440999999999999</v>
      </c>
      <c r="BJ329" s="121">
        <v>12.1495</v>
      </c>
      <c r="BK329" s="121">
        <v>12.858000000000001</v>
      </c>
      <c r="BL329" s="121">
        <v>13.51525</v>
      </c>
      <c r="BM329" s="121">
        <v>14.172499999999999</v>
      </c>
      <c r="BN329" s="121">
        <v>14.811</v>
      </c>
      <c r="BO329" s="121">
        <f t="array" ref="BO329:BO372">TRANSPOSE(BP328:DG328)</f>
        <v>15.4495</v>
      </c>
      <c r="BP329" s="120">
        <f>(BO329+BQ329)/2</f>
        <v>16.087499999999999</v>
      </c>
      <c r="BQ329" s="120">
        <f>(BQ328+BQ330)/2</f>
        <v>16.7255</v>
      </c>
      <c r="BR329" s="120">
        <f>(BQ329+BS329)/2</f>
        <v>17.360750000000003</v>
      </c>
      <c r="BS329" s="120">
        <f>(BS328+BS330)/2</f>
        <v>17.996000000000002</v>
      </c>
      <c r="BT329" s="120">
        <f>(BS329+BU329)/2</f>
        <v>18.608000000000001</v>
      </c>
      <c r="BU329" s="120">
        <f>(BU328+BU330)/2</f>
        <v>19.22</v>
      </c>
      <c r="BV329" s="120">
        <f>(BU329+BW329)/2</f>
        <v>19.819749999999999</v>
      </c>
      <c r="BW329" s="120">
        <f>(BW328+BW330)/2</f>
        <v>20.419499999999999</v>
      </c>
      <c r="BX329" s="120">
        <f>(BW329+BY329)/2</f>
        <v>20.999749999999999</v>
      </c>
      <c r="BY329" s="120">
        <f>(BY328+BY330)/2</f>
        <v>21.58</v>
      </c>
      <c r="BZ329" s="120">
        <f>(BY329+CA329)/2</f>
        <v>22.160499999999999</v>
      </c>
      <c r="CA329" s="120">
        <f>(CA328+CA330)/2</f>
        <v>22.741</v>
      </c>
      <c r="CB329" s="120">
        <f>(CA329+CC329)/2</f>
        <v>23.334</v>
      </c>
      <c r="CC329" s="120">
        <f>(CC328+CC330)/2</f>
        <v>23.927</v>
      </c>
      <c r="CD329" s="120">
        <f>(CC329+CE329)/2</f>
        <v>24.500250000000001</v>
      </c>
      <c r="CE329" s="120">
        <f>(CE328+CE330)/2</f>
        <v>25.073499999999999</v>
      </c>
      <c r="CF329" s="120">
        <f>(CE329+CG329)/2</f>
        <v>25.65775</v>
      </c>
      <c r="CG329" s="120">
        <f>(CG328+CG330)/2</f>
        <v>26.241999999999997</v>
      </c>
      <c r="CH329" s="120">
        <f>(CG329+CI329)/2</f>
        <v>26.802999999999997</v>
      </c>
      <c r="CI329" s="120">
        <f>(CI328+CI330)/2</f>
        <v>27.364000000000001</v>
      </c>
      <c r="CJ329" s="120">
        <f>(CI329+CK329)/2</f>
        <v>27.925249999999998</v>
      </c>
      <c r="CK329" s="120">
        <f>(CK328+CK330)/2</f>
        <v>28.486499999999999</v>
      </c>
      <c r="CL329" s="120">
        <f>(CK329+CM329)/2</f>
        <v>29.06</v>
      </c>
      <c r="CM329" s="120">
        <f>(CM328+CM330)/2</f>
        <v>29.633499999999998</v>
      </c>
      <c r="CN329" s="120">
        <f>(CM329+CO329)/2</f>
        <v>30.191749999999999</v>
      </c>
      <c r="CO329" s="120">
        <f>(CO328+CO330)/2</f>
        <v>30.75</v>
      </c>
      <c r="CP329" s="120">
        <f>(CO329+CQ329)/2</f>
        <v>31.29175</v>
      </c>
      <c r="CQ329" s="120">
        <f>(CQ328+CQ330)/2</f>
        <v>31.833500000000001</v>
      </c>
      <c r="CR329" s="120">
        <f>(CQ329+CS329)/2</f>
        <v>32.375749999999996</v>
      </c>
      <c r="CS329" s="120">
        <f>(CS328+CS330)/2</f>
        <v>32.917999999999999</v>
      </c>
      <c r="CT329" s="120">
        <f>(CS329+CU329)/2</f>
        <v>33.463499999999996</v>
      </c>
      <c r="CU329" s="120">
        <f>(CU328+CU330)/2</f>
        <v>34.009</v>
      </c>
      <c r="CV329" s="120">
        <f>(CU329+CW329)/2</f>
        <v>34.563499999999998</v>
      </c>
      <c r="CW329" s="120">
        <f>(CW328+CW330)/2</f>
        <v>35.117999999999995</v>
      </c>
      <c r="CX329" s="120">
        <f>(CW329+CY329)/2</f>
        <v>35.671999999999997</v>
      </c>
      <c r="CY329" s="120">
        <f>(CY328+CY330)/2</f>
        <v>36.225999999999999</v>
      </c>
      <c r="CZ329" s="120">
        <f>(CY329+DA329)/2</f>
        <v>36.748750000000001</v>
      </c>
      <c r="DA329" s="120">
        <f>(DA328+DA330)/2</f>
        <v>37.271500000000003</v>
      </c>
      <c r="DB329" s="120">
        <f>(DA329+DC329)/2</f>
        <v>37.813250000000004</v>
      </c>
      <c r="DC329" s="120">
        <f>(DC328+DC330)/2</f>
        <v>38.355000000000004</v>
      </c>
      <c r="DD329" s="120">
        <f>(DC329+DE329)/2</f>
        <v>38.897000000000006</v>
      </c>
      <c r="DE329" s="120">
        <f>(DE328+DE330)/2</f>
        <v>39.439</v>
      </c>
      <c r="DF329" s="120">
        <f>(DE329+DG329)/2</f>
        <v>39.958500000000001</v>
      </c>
      <c r="DG329" s="122">
        <f>(DG328+DG330)/2</f>
        <v>40.478000000000002</v>
      </c>
    </row>
    <row r="330" spans="54:111" ht="15" customHeight="1" x14ac:dyDescent="0.2">
      <c r="BB330" s="28">
        <v>18</v>
      </c>
      <c r="BC330" s="121">
        <v>7.09</v>
      </c>
      <c r="BD330" s="121">
        <v>7.9459999999999997</v>
      </c>
      <c r="BE330" s="121">
        <v>8.8019999999999996</v>
      </c>
      <c r="BF330" s="121">
        <v>9.6140000000000008</v>
      </c>
      <c r="BG330" s="121">
        <v>10.426</v>
      </c>
      <c r="BH330" s="121">
        <v>11.1525</v>
      </c>
      <c r="BI330" s="121">
        <v>11.879</v>
      </c>
      <c r="BJ330" s="121">
        <v>12.606</v>
      </c>
      <c r="BK330" s="121">
        <v>13.333</v>
      </c>
      <c r="BL330" s="121">
        <v>14.0215</v>
      </c>
      <c r="BM330" s="121">
        <v>14.71</v>
      </c>
      <c r="BN330" s="121">
        <v>15.3735</v>
      </c>
      <c r="BO330" s="121">
        <v>16.036999999999999</v>
      </c>
      <c r="BP330" s="121">
        <f t="array" ref="BP330:BP372">TRANSPOSE(BQ329:DG329)</f>
        <v>16.7255</v>
      </c>
      <c r="BQ330" s="158">
        <v>17.414000000000001</v>
      </c>
      <c r="BR330" s="120">
        <f>(BS330+BQ330)/2</f>
        <v>18.0715</v>
      </c>
      <c r="BS330" s="158">
        <v>18.728999999999999</v>
      </c>
      <c r="BT330" s="120">
        <f>(BU330+BS330)/2</f>
        <v>19.340499999999999</v>
      </c>
      <c r="BU330" s="158">
        <v>19.952000000000002</v>
      </c>
      <c r="BV330" s="120">
        <f>(BW330+BU330)/2</f>
        <v>20.602</v>
      </c>
      <c r="BW330" s="158">
        <v>21.251999999999999</v>
      </c>
      <c r="BX330" s="120">
        <f>(BY330+BW330)/2</f>
        <v>21.8385</v>
      </c>
      <c r="BY330" s="158">
        <v>22.425000000000001</v>
      </c>
      <c r="BZ330" s="120">
        <f>(CA330+BY330)/2</f>
        <v>23.0365</v>
      </c>
      <c r="CA330" s="158">
        <v>23.648</v>
      </c>
      <c r="CB330" s="120">
        <f>(CC330+CA330)/2</f>
        <v>24.259499999999999</v>
      </c>
      <c r="CC330" s="158">
        <v>24.870999999999999</v>
      </c>
      <c r="CD330" s="120">
        <f>(CE330+CC330)/2</f>
        <v>25.481999999999999</v>
      </c>
      <c r="CE330" s="158">
        <v>26.093</v>
      </c>
      <c r="CF330" s="120">
        <f>(CG330+CE330)/2</f>
        <v>26.712</v>
      </c>
      <c r="CG330" s="158">
        <v>27.331</v>
      </c>
      <c r="CH330" s="120">
        <f>(CI330+CG330)/2</f>
        <v>27.9175</v>
      </c>
      <c r="CI330" s="158">
        <v>28.504000000000001</v>
      </c>
      <c r="CJ330" s="120">
        <f>(CK330+CI330)/2</f>
        <v>29.076999999999998</v>
      </c>
      <c r="CK330" s="158">
        <v>29.65</v>
      </c>
      <c r="CL330" s="120">
        <f>(CM330+CK330)/2</f>
        <v>30.261499999999998</v>
      </c>
      <c r="CM330" s="158">
        <v>30.873000000000001</v>
      </c>
      <c r="CN330" s="120">
        <f>(CO330+CM330)/2</f>
        <v>31.445999999999998</v>
      </c>
      <c r="CO330" s="158">
        <v>32.018999999999998</v>
      </c>
      <c r="CP330" s="120">
        <f>(CQ330+CO330)/2</f>
        <v>32.591999999999999</v>
      </c>
      <c r="CQ330" s="158">
        <v>33.164999999999999</v>
      </c>
      <c r="CR330" s="120">
        <f>(CS330+CQ330)/2</f>
        <v>33.713000000000001</v>
      </c>
      <c r="CS330" s="158">
        <v>34.261000000000003</v>
      </c>
      <c r="CT330" s="120">
        <f>(CU330+CS330)/2</f>
        <v>34.841499999999996</v>
      </c>
      <c r="CU330" s="158">
        <v>35.421999999999997</v>
      </c>
      <c r="CV330" s="120">
        <f>(CW330+CU330)/2</f>
        <v>35.994999999999997</v>
      </c>
      <c r="CW330" s="158">
        <v>36.567999999999998</v>
      </c>
      <c r="CX330" s="120">
        <f>(CY330+CW330)/2</f>
        <v>37.140500000000003</v>
      </c>
      <c r="CY330" s="158">
        <v>37.713000000000001</v>
      </c>
      <c r="CZ330" s="120">
        <f>(DA330+CY330)/2</f>
        <v>38.286000000000001</v>
      </c>
      <c r="DA330" s="158">
        <v>38.859000000000002</v>
      </c>
      <c r="DB330" s="120">
        <f>(DC330+DA330)/2</f>
        <v>39.406999999999996</v>
      </c>
      <c r="DC330" s="158">
        <v>39.954999999999998</v>
      </c>
      <c r="DD330" s="120">
        <f>(DE330+DC330)/2</f>
        <v>40.527999999999999</v>
      </c>
      <c r="DE330" s="158">
        <v>41.100999999999999</v>
      </c>
      <c r="DF330" s="120">
        <f>(DG330+DE330)/2</f>
        <v>41.643000000000001</v>
      </c>
      <c r="DG330" s="159">
        <v>42.185000000000002</v>
      </c>
    </row>
    <row r="331" spans="54:111" ht="15" customHeight="1" x14ac:dyDescent="0.2">
      <c r="BB331" s="28">
        <v>19</v>
      </c>
      <c r="BC331" s="121">
        <v>7.3525</v>
      </c>
      <c r="BD331" s="121">
        <v>8.2397500000000008</v>
      </c>
      <c r="BE331" s="121">
        <v>9.1269999999999989</v>
      </c>
      <c r="BF331" s="121">
        <v>9.9535</v>
      </c>
      <c r="BG331" s="121">
        <v>10.780000000000001</v>
      </c>
      <c r="BH331" s="121">
        <v>11.544750000000001</v>
      </c>
      <c r="BI331" s="121">
        <v>12.3095</v>
      </c>
      <c r="BJ331" s="121">
        <v>13.05875</v>
      </c>
      <c r="BK331" s="121">
        <v>13.808</v>
      </c>
      <c r="BL331" s="121">
        <v>14.53425</v>
      </c>
      <c r="BM331" s="121">
        <v>15.2605</v>
      </c>
      <c r="BN331" s="121">
        <v>15.955249999999999</v>
      </c>
      <c r="BO331" s="121">
        <v>16.649999999999999</v>
      </c>
      <c r="BP331" s="121">
        <v>17.360750000000003</v>
      </c>
      <c r="BQ331" s="121">
        <f t="array" ref="BQ331:BQ372">TRANSPOSE(BR330:DG330)</f>
        <v>18.0715</v>
      </c>
      <c r="BR331" s="120">
        <f>(BQ331+BS331)/2</f>
        <v>18.743749999999999</v>
      </c>
      <c r="BS331" s="120">
        <f>(BS330+BS332)/2</f>
        <v>19.416</v>
      </c>
      <c r="BT331" s="120">
        <f>(BS331+BU331)/2</f>
        <v>20.0655</v>
      </c>
      <c r="BU331" s="120">
        <f>(BU330+BU332)/2</f>
        <v>20.715000000000003</v>
      </c>
      <c r="BV331" s="120">
        <f>(BU331+BW331)/2</f>
        <v>21.383500000000002</v>
      </c>
      <c r="BW331" s="120">
        <f>(BW330+BW332)/2</f>
        <v>22.052</v>
      </c>
      <c r="BX331" s="120">
        <f>(BW331+BY331)/2</f>
        <v>22.673000000000002</v>
      </c>
      <c r="BY331" s="120">
        <f>(BY330+BY332)/2</f>
        <v>23.294</v>
      </c>
      <c r="BZ331" s="120">
        <f>(BY331+CA331)/2</f>
        <v>23.9435</v>
      </c>
      <c r="CA331" s="120">
        <f>(CA330+CA332)/2</f>
        <v>24.593</v>
      </c>
      <c r="CB331" s="120">
        <f>(CA331+CC331)/2</f>
        <v>25.222999999999999</v>
      </c>
      <c r="CC331" s="120">
        <f>(CC330+CC332)/2</f>
        <v>25.853000000000002</v>
      </c>
      <c r="CD331" s="120">
        <f>(CC331+CE331)/2</f>
        <v>26.482750000000003</v>
      </c>
      <c r="CE331" s="120">
        <f>(CE330+CE332)/2</f>
        <v>27.112500000000001</v>
      </c>
      <c r="CF331" s="120">
        <f>(CE331+CG331)/2</f>
        <v>27.750250000000001</v>
      </c>
      <c r="CG331" s="120">
        <f>(CG330+CG332)/2</f>
        <v>28.387999999999998</v>
      </c>
      <c r="CH331" s="120">
        <f>(CG331+CI331)/2</f>
        <v>29.005499999999998</v>
      </c>
      <c r="CI331" s="120">
        <f>(CI330+CI332)/2</f>
        <v>29.623000000000001</v>
      </c>
      <c r="CJ331" s="120">
        <f>(CI331+CK331)/2</f>
        <v>30.214500000000001</v>
      </c>
      <c r="CK331" s="120">
        <f>(CK330+CK332)/2</f>
        <v>30.805999999999997</v>
      </c>
      <c r="CL331" s="120">
        <f>(CK331+CM331)/2</f>
        <v>31.439999999999998</v>
      </c>
      <c r="CM331" s="120">
        <f>(CM330+CM332)/2</f>
        <v>32.073999999999998</v>
      </c>
      <c r="CN331" s="120">
        <f>(CM331+CO331)/2</f>
        <v>32.665499999999994</v>
      </c>
      <c r="CO331" s="120">
        <f>(CO330+CO332)/2</f>
        <v>33.256999999999998</v>
      </c>
      <c r="CP331" s="120">
        <f>(CO331+CQ331)/2</f>
        <v>33.867750000000001</v>
      </c>
      <c r="CQ331" s="120">
        <f>(CQ330+CQ332)/2</f>
        <v>34.478499999999997</v>
      </c>
      <c r="CR331" s="120">
        <f>(CQ331+CS331)/2</f>
        <v>35.057749999999999</v>
      </c>
      <c r="CS331" s="120">
        <f>(CS330+CS332)/2</f>
        <v>35.637</v>
      </c>
      <c r="CT331" s="120">
        <f>(CS331+CU331)/2</f>
        <v>36.235999999999997</v>
      </c>
      <c r="CU331" s="120">
        <f>(CU330+CU332)/2</f>
        <v>36.834999999999994</v>
      </c>
      <c r="CV331" s="120">
        <f>(CU331+CW331)/2</f>
        <v>37.426499999999997</v>
      </c>
      <c r="CW331" s="120">
        <f>(CW330+CW332)/2</f>
        <v>38.018000000000001</v>
      </c>
      <c r="CX331" s="120">
        <f>(CW331+CY331)/2</f>
        <v>38.609250000000003</v>
      </c>
      <c r="CY331" s="120">
        <f>(CY330+CY332)/2</f>
        <v>39.200500000000005</v>
      </c>
      <c r="CZ331" s="120">
        <f>(CY331+DA331)/2</f>
        <v>39.795750000000005</v>
      </c>
      <c r="DA331" s="120">
        <f>(DA330+DA332)/2</f>
        <v>40.391000000000005</v>
      </c>
      <c r="DB331" s="120">
        <f>(DA331+DC331)/2</f>
        <v>40.97</v>
      </c>
      <c r="DC331" s="120">
        <f>(DC330+DC332)/2</f>
        <v>41.548999999999999</v>
      </c>
      <c r="DD331" s="120">
        <f>(DC331+DE331)/2</f>
        <v>42.140749999999997</v>
      </c>
      <c r="DE331" s="120">
        <f>(DE330+DE332)/2</f>
        <v>42.732500000000002</v>
      </c>
      <c r="DF331" s="120">
        <f>(DE331+DG331)/2</f>
        <v>43.308500000000002</v>
      </c>
      <c r="DG331" s="122">
        <f>(DG330+DG332)/2</f>
        <v>43.884500000000003</v>
      </c>
    </row>
    <row r="332" spans="54:111" ht="15" customHeight="1" x14ac:dyDescent="0.2">
      <c r="BB332" s="28">
        <v>20</v>
      </c>
      <c r="BC332" s="121">
        <v>7.6150000000000002</v>
      </c>
      <c r="BD332" s="121">
        <v>8.5335000000000001</v>
      </c>
      <c r="BE332" s="121">
        <v>9.452</v>
      </c>
      <c r="BF332" s="121">
        <v>10.292999999999999</v>
      </c>
      <c r="BG332" s="121">
        <v>11.134</v>
      </c>
      <c r="BH332" s="121">
        <v>11.937000000000001</v>
      </c>
      <c r="BI332" s="121">
        <v>12.74</v>
      </c>
      <c r="BJ332" s="121">
        <v>13.5115</v>
      </c>
      <c r="BK332" s="121">
        <v>14.282999999999999</v>
      </c>
      <c r="BL332" s="121">
        <v>15.047000000000001</v>
      </c>
      <c r="BM332" s="121">
        <v>15.811</v>
      </c>
      <c r="BN332" s="121">
        <v>16.536999999999999</v>
      </c>
      <c r="BO332" s="121">
        <v>17.263000000000002</v>
      </c>
      <c r="BP332" s="121">
        <v>17.996000000000002</v>
      </c>
      <c r="BQ332" s="121">
        <v>18.728999999999999</v>
      </c>
      <c r="BR332" s="121">
        <f t="array" ref="BR332:BR372">TRANSPOSE(BS331:DG331)</f>
        <v>19.416</v>
      </c>
      <c r="BS332" s="158">
        <v>20.103000000000002</v>
      </c>
      <c r="BT332" s="120">
        <f>(BU332+BS332)/2</f>
        <v>20.790500000000002</v>
      </c>
      <c r="BU332" s="158">
        <v>21.478000000000002</v>
      </c>
      <c r="BV332" s="120">
        <f>(BW332+BU332)/2</f>
        <v>22.164999999999999</v>
      </c>
      <c r="BW332" s="158">
        <v>22.852</v>
      </c>
      <c r="BX332" s="120">
        <f>(BY332+BW332)/2</f>
        <v>23.5075</v>
      </c>
      <c r="BY332" s="158">
        <v>24.163</v>
      </c>
      <c r="BZ332" s="120">
        <f>(CA332+BY332)/2</f>
        <v>24.8505</v>
      </c>
      <c r="CA332" s="158">
        <v>25.538</v>
      </c>
      <c r="CB332" s="120">
        <f>(CC332+CA332)/2</f>
        <v>26.186500000000002</v>
      </c>
      <c r="CC332" s="158">
        <v>26.835000000000001</v>
      </c>
      <c r="CD332" s="120">
        <f>(CE332+CC332)/2</f>
        <v>27.483499999999999</v>
      </c>
      <c r="CE332" s="158">
        <v>28.132000000000001</v>
      </c>
      <c r="CF332" s="120">
        <f>(CG332+CE332)/2</f>
        <v>28.788499999999999</v>
      </c>
      <c r="CG332" s="158">
        <v>29.445</v>
      </c>
      <c r="CH332" s="120">
        <f>(CI332+CG332)/2</f>
        <v>30.093499999999999</v>
      </c>
      <c r="CI332" s="158">
        <v>30.742000000000001</v>
      </c>
      <c r="CJ332" s="120">
        <f>(CK332+CI332)/2</f>
        <v>31.352</v>
      </c>
      <c r="CK332" s="158">
        <v>31.962</v>
      </c>
      <c r="CL332" s="120">
        <f>(CM332+CK332)/2</f>
        <v>32.618499999999997</v>
      </c>
      <c r="CM332" s="158">
        <v>33.274999999999999</v>
      </c>
      <c r="CN332" s="120">
        <f>(CO332+CM332)/2</f>
        <v>33.884999999999998</v>
      </c>
      <c r="CO332" s="158">
        <v>34.494999999999997</v>
      </c>
      <c r="CP332" s="120">
        <f>(CQ332+CO332)/2</f>
        <v>35.143500000000003</v>
      </c>
      <c r="CQ332" s="158">
        <v>35.792000000000002</v>
      </c>
      <c r="CR332" s="120">
        <f>(CS332+CQ332)/2</f>
        <v>36.402500000000003</v>
      </c>
      <c r="CS332" s="158">
        <v>37.012999999999998</v>
      </c>
      <c r="CT332" s="120">
        <f>(CU332+CS332)/2</f>
        <v>37.630499999999998</v>
      </c>
      <c r="CU332" s="158">
        <v>38.247999999999998</v>
      </c>
      <c r="CV332" s="120">
        <f>(CW332+CU332)/2</f>
        <v>38.858000000000004</v>
      </c>
      <c r="CW332" s="158">
        <v>39.468000000000004</v>
      </c>
      <c r="CX332" s="120">
        <f>(CY332+CW332)/2</f>
        <v>40.078000000000003</v>
      </c>
      <c r="CY332" s="158">
        <v>40.688000000000002</v>
      </c>
      <c r="CZ332" s="120">
        <f>(DA332+CY332)/2</f>
        <v>41.305500000000002</v>
      </c>
      <c r="DA332" s="158">
        <v>41.923000000000002</v>
      </c>
      <c r="DB332" s="120">
        <f>(DC332+DA332)/2</f>
        <v>42.533000000000001</v>
      </c>
      <c r="DC332" s="158">
        <v>43.143000000000001</v>
      </c>
      <c r="DD332" s="120">
        <f>(DE332+DC332)/2</f>
        <v>43.753500000000003</v>
      </c>
      <c r="DE332" s="158">
        <v>44.363999999999997</v>
      </c>
      <c r="DF332" s="120">
        <f>(DG332+DE332)/2</f>
        <v>44.974000000000004</v>
      </c>
      <c r="DG332" s="159">
        <v>45.584000000000003</v>
      </c>
    </row>
    <row r="333" spans="54:111" ht="15" customHeight="1" x14ac:dyDescent="0.2">
      <c r="BB333" s="28">
        <v>21</v>
      </c>
      <c r="BC333" s="121">
        <v>7.8319999999999999</v>
      </c>
      <c r="BD333" s="121">
        <v>8.8007500000000007</v>
      </c>
      <c r="BE333" s="121">
        <v>9.7695000000000007</v>
      </c>
      <c r="BF333" s="121">
        <v>10.652249999999999</v>
      </c>
      <c r="BG333" s="121">
        <v>11.535</v>
      </c>
      <c r="BH333" s="121">
        <v>12.3565</v>
      </c>
      <c r="BI333" s="121">
        <v>13.178000000000001</v>
      </c>
      <c r="BJ333" s="121">
        <v>13.96425</v>
      </c>
      <c r="BK333" s="121">
        <v>14.750499999999999</v>
      </c>
      <c r="BL333" s="121">
        <v>15.537000000000001</v>
      </c>
      <c r="BM333" s="121">
        <v>16.323499999999999</v>
      </c>
      <c r="BN333" s="121">
        <v>17.099499999999999</v>
      </c>
      <c r="BO333" s="121">
        <v>17.875500000000002</v>
      </c>
      <c r="BP333" s="121">
        <v>18.608000000000001</v>
      </c>
      <c r="BQ333" s="121">
        <v>19.340499999999999</v>
      </c>
      <c r="BR333" s="121">
        <v>20.0655</v>
      </c>
      <c r="BS333" s="121">
        <f t="array" ref="BS333:BS372">TRANSPOSE(BT332:DG332)</f>
        <v>20.790500000000002</v>
      </c>
      <c r="BT333" s="120">
        <f>(BS333+BU333)/2</f>
        <v>21.49625</v>
      </c>
      <c r="BU333" s="120">
        <f>(BU332+BU334)/2</f>
        <v>22.201999999999998</v>
      </c>
      <c r="BV333" s="120">
        <f>(BU333+BW333)/2</f>
        <v>22.911249999999999</v>
      </c>
      <c r="BW333" s="120">
        <f>(BW332+BW334)/2</f>
        <v>23.6205</v>
      </c>
      <c r="BX333" s="120">
        <f>(BW333+BY333)/2</f>
        <v>24.323</v>
      </c>
      <c r="BY333" s="120">
        <f>(BY332+BY334)/2</f>
        <v>25.025500000000001</v>
      </c>
      <c r="BZ333" s="120">
        <f>(BY333+CA333)/2</f>
        <v>25.716000000000001</v>
      </c>
      <c r="CA333" s="120">
        <f>(CA332+CA334)/2</f>
        <v>26.406500000000001</v>
      </c>
      <c r="CB333" s="120">
        <f>(CA333+CC333)/2</f>
        <v>27.093</v>
      </c>
      <c r="CC333" s="120">
        <f>(CC332+CC334)/2</f>
        <v>27.779499999999999</v>
      </c>
      <c r="CD333" s="120">
        <f>(CC333+CE333)/2</f>
        <v>28.45025</v>
      </c>
      <c r="CE333" s="120">
        <f>(CE332+CE334)/2</f>
        <v>29.121000000000002</v>
      </c>
      <c r="CF333" s="120">
        <f>(CE333+CG333)/2</f>
        <v>29.792000000000002</v>
      </c>
      <c r="CG333" s="120">
        <f>(CG332+CG334)/2</f>
        <v>30.463000000000001</v>
      </c>
      <c r="CH333" s="120">
        <f>(CG333+CI333)/2</f>
        <v>31.142749999999999</v>
      </c>
      <c r="CI333" s="120">
        <f>(CI332+CI334)/2</f>
        <v>31.822499999999998</v>
      </c>
      <c r="CJ333" s="120">
        <f>(CI333+CK333)/2</f>
        <v>32.474249999999998</v>
      </c>
      <c r="CK333" s="120">
        <f>(CK332+CK334)/2</f>
        <v>33.125999999999998</v>
      </c>
      <c r="CL333" s="120">
        <f>(CK333+CM333)/2</f>
        <v>33.796999999999997</v>
      </c>
      <c r="CM333" s="120">
        <f>(CM332+CM334)/2</f>
        <v>34.468000000000004</v>
      </c>
      <c r="CN333" s="120">
        <f>(CM333+CO333)/2</f>
        <v>35.100499999999997</v>
      </c>
      <c r="CO333" s="120">
        <f>(CO332+CO334)/2</f>
        <v>35.732999999999997</v>
      </c>
      <c r="CP333" s="120">
        <f>(CO333+CQ333)/2</f>
        <v>36.4</v>
      </c>
      <c r="CQ333" s="120">
        <f>(CQ332+CQ334)/2</f>
        <v>37.067</v>
      </c>
      <c r="CR333" s="120">
        <f>(CQ333+CS333)/2</f>
        <v>37.70825</v>
      </c>
      <c r="CS333" s="120">
        <f>(CS332+CS334)/2</f>
        <v>38.349499999999999</v>
      </c>
      <c r="CT333" s="120">
        <f>(CS333+CU333)/2</f>
        <v>39.004999999999995</v>
      </c>
      <c r="CU333" s="120">
        <f>(CU332+CU334)/2</f>
        <v>39.660499999999999</v>
      </c>
      <c r="CV333" s="120">
        <f>(CU333+CW333)/2</f>
        <v>40.289250000000003</v>
      </c>
      <c r="CW333" s="120">
        <f>(CW332+CW334)/2</f>
        <v>40.918000000000006</v>
      </c>
      <c r="CX333" s="120">
        <f>(CW333+CY333)/2</f>
        <v>41.5505</v>
      </c>
      <c r="CY333" s="120">
        <f>(CY332+CY334)/2</f>
        <v>42.183</v>
      </c>
      <c r="CZ333" s="120">
        <f>(CY333+DA333)/2</f>
        <v>42.8155</v>
      </c>
      <c r="DA333" s="120">
        <f>(DA332+DA334)/2</f>
        <v>43.448</v>
      </c>
      <c r="DB333" s="120">
        <f>(DA333+DC333)/2</f>
        <v>44.088750000000005</v>
      </c>
      <c r="DC333" s="120">
        <f>(DC332+DC334)/2</f>
        <v>44.729500000000002</v>
      </c>
      <c r="DD333" s="120">
        <f>(DC333+DE333)/2</f>
        <v>45.362250000000003</v>
      </c>
      <c r="DE333" s="120">
        <f>(DE332+DE334)/2</f>
        <v>45.994999999999997</v>
      </c>
      <c r="DF333" s="120">
        <f>(DE333+DG333)/2</f>
        <v>46.623750000000001</v>
      </c>
      <c r="DG333" s="122">
        <f>(DG332+DG334)/2</f>
        <v>47.252499999999998</v>
      </c>
    </row>
    <row r="334" spans="54:111" ht="15" customHeight="1" x14ac:dyDescent="0.2">
      <c r="BB334" s="28">
        <v>22</v>
      </c>
      <c r="BC334" s="121">
        <v>8.0489999999999995</v>
      </c>
      <c r="BD334" s="121">
        <v>9.0679999999999996</v>
      </c>
      <c r="BE334" s="121">
        <v>10.087</v>
      </c>
      <c r="BF334" s="121">
        <v>11.0115</v>
      </c>
      <c r="BG334" s="121">
        <v>11.936</v>
      </c>
      <c r="BH334" s="121">
        <v>12.776</v>
      </c>
      <c r="BI334" s="121">
        <v>13.616</v>
      </c>
      <c r="BJ334" s="121">
        <v>14.417</v>
      </c>
      <c r="BK334" s="121">
        <v>15.218</v>
      </c>
      <c r="BL334" s="121">
        <v>16.027000000000001</v>
      </c>
      <c r="BM334" s="121">
        <v>16.835999999999999</v>
      </c>
      <c r="BN334" s="121">
        <v>17.661999999999999</v>
      </c>
      <c r="BO334" s="121">
        <v>18.488</v>
      </c>
      <c r="BP334" s="121">
        <v>19.22</v>
      </c>
      <c r="BQ334" s="121">
        <v>19.952000000000002</v>
      </c>
      <c r="BR334" s="121">
        <v>20.715000000000003</v>
      </c>
      <c r="BS334" s="121">
        <v>21.478000000000002</v>
      </c>
      <c r="BT334" s="121">
        <f t="array" ref="BT334:BT372">TRANSPOSE(BU333:DG333)</f>
        <v>22.201999999999998</v>
      </c>
      <c r="BU334" s="158">
        <v>22.925999999999998</v>
      </c>
      <c r="BV334" s="120">
        <f>(BW334+BU334)/2</f>
        <v>23.657499999999999</v>
      </c>
      <c r="BW334" s="158">
        <v>24.388999999999999</v>
      </c>
      <c r="BX334" s="120">
        <f>(BY334+BW334)/2</f>
        <v>25.138500000000001</v>
      </c>
      <c r="BY334" s="158">
        <v>25.888000000000002</v>
      </c>
      <c r="BZ334" s="120">
        <f>(CA334+BY334)/2</f>
        <v>26.581499999999998</v>
      </c>
      <c r="CA334" s="158">
        <v>27.274999999999999</v>
      </c>
      <c r="CB334" s="120">
        <f>(CC334+CA334)/2</f>
        <v>27.999499999999998</v>
      </c>
      <c r="CC334" s="158">
        <v>28.724</v>
      </c>
      <c r="CD334" s="120">
        <f>(CE334+CC334)/2</f>
        <v>29.417000000000002</v>
      </c>
      <c r="CE334" s="158">
        <v>30.11</v>
      </c>
      <c r="CF334" s="120">
        <f>(CG334+CE334)/2</f>
        <v>30.795500000000001</v>
      </c>
      <c r="CG334" s="158">
        <v>31.481000000000002</v>
      </c>
      <c r="CH334" s="120">
        <f>(CI334+CG334)/2</f>
        <v>32.192</v>
      </c>
      <c r="CI334" s="158">
        <v>32.902999999999999</v>
      </c>
      <c r="CJ334" s="120">
        <f>(CK334+CI334)/2</f>
        <v>33.596499999999999</v>
      </c>
      <c r="CK334" s="158">
        <v>34.29</v>
      </c>
      <c r="CL334" s="120">
        <f>(CM334+CK334)/2</f>
        <v>34.975499999999997</v>
      </c>
      <c r="CM334" s="158">
        <v>35.661000000000001</v>
      </c>
      <c r="CN334" s="120">
        <f>(CO334+CM334)/2</f>
        <v>36.316000000000003</v>
      </c>
      <c r="CO334" s="158">
        <v>36.970999999999997</v>
      </c>
      <c r="CP334" s="120">
        <f>(CQ334+CO334)/2</f>
        <v>37.656499999999994</v>
      </c>
      <c r="CQ334" s="158">
        <v>38.341999999999999</v>
      </c>
      <c r="CR334" s="120">
        <f>(CS334+CQ334)/2</f>
        <v>39.013999999999996</v>
      </c>
      <c r="CS334" s="158">
        <v>39.686</v>
      </c>
      <c r="CT334" s="120">
        <f>(CU334+CS334)/2</f>
        <v>40.3795</v>
      </c>
      <c r="CU334" s="158">
        <v>41.073</v>
      </c>
      <c r="CV334" s="120">
        <f>(CW334+CU334)/2</f>
        <v>41.720500000000001</v>
      </c>
      <c r="CW334" s="158">
        <v>42.368000000000002</v>
      </c>
      <c r="CX334" s="120">
        <f>(CY334+CW334)/2</f>
        <v>43.022999999999996</v>
      </c>
      <c r="CY334" s="158">
        <v>43.677999999999997</v>
      </c>
      <c r="CZ334" s="120">
        <f>(DA334+CY334)/2</f>
        <v>44.325499999999998</v>
      </c>
      <c r="DA334" s="158">
        <v>44.972999999999999</v>
      </c>
      <c r="DB334" s="120">
        <f>(DC334+DA334)/2</f>
        <v>45.644500000000001</v>
      </c>
      <c r="DC334" s="158">
        <v>46.316000000000003</v>
      </c>
      <c r="DD334" s="120">
        <f>(DE334+DC334)/2</f>
        <v>46.971000000000004</v>
      </c>
      <c r="DE334" s="158">
        <v>47.625999999999998</v>
      </c>
      <c r="DF334" s="120">
        <f>(DG334+DE334)/2</f>
        <v>48.273499999999999</v>
      </c>
      <c r="DG334" s="159">
        <v>48.920999999999999</v>
      </c>
    </row>
    <row r="335" spans="54:111" ht="15" customHeight="1" x14ac:dyDescent="0.2">
      <c r="BB335" s="28">
        <v>23</v>
      </c>
      <c r="BC335" s="121">
        <v>8.3290000000000006</v>
      </c>
      <c r="BD335" s="121">
        <v>9.35825</v>
      </c>
      <c r="BE335" s="121">
        <v>10.387499999999999</v>
      </c>
      <c r="BF335" s="121">
        <v>11.338999999999999</v>
      </c>
      <c r="BG335" s="121">
        <v>12.2905</v>
      </c>
      <c r="BH335" s="121">
        <v>13.152749999999999</v>
      </c>
      <c r="BI335" s="121">
        <v>14.015000000000001</v>
      </c>
      <c r="BJ335" s="121">
        <v>14.853999999999999</v>
      </c>
      <c r="BK335" s="121">
        <v>15.693</v>
      </c>
      <c r="BL335" s="121">
        <v>16.53275</v>
      </c>
      <c r="BM335" s="121">
        <v>17.372499999999999</v>
      </c>
      <c r="BN335" s="121">
        <v>18.204999999999998</v>
      </c>
      <c r="BO335" s="121">
        <v>19.037500000000001</v>
      </c>
      <c r="BP335" s="121">
        <v>19.819749999999999</v>
      </c>
      <c r="BQ335" s="121">
        <v>20.602</v>
      </c>
      <c r="BR335" s="121">
        <v>21.383500000000002</v>
      </c>
      <c r="BS335" s="121">
        <v>22.164999999999999</v>
      </c>
      <c r="BT335" s="121">
        <v>22.911249999999999</v>
      </c>
      <c r="BU335" s="121">
        <f t="array" ref="BU335:BU372">TRANSPOSE(BV334:DG334)</f>
        <v>23.657499999999999</v>
      </c>
      <c r="BV335" s="120">
        <f>(BU335+BW335)/2</f>
        <v>24.416499999999999</v>
      </c>
      <c r="BW335" s="120">
        <f>(BW334+BW336)/2</f>
        <v>25.1755</v>
      </c>
      <c r="BX335" s="120">
        <f>(BW335+BY335)/2</f>
        <v>25.935000000000002</v>
      </c>
      <c r="BY335" s="120">
        <f>(BY334+BY336)/2</f>
        <v>26.694500000000001</v>
      </c>
      <c r="BZ335" s="120">
        <f>(BY335+CA335)/2</f>
        <v>27.438000000000002</v>
      </c>
      <c r="CA335" s="120">
        <f>(CA334+CA336)/2</f>
        <v>28.1815</v>
      </c>
      <c r="CB335" s="120">
        <f>(CA335+CC335)/2</f>
        <v>28.924500000000002</v>
      </c>
      <c r="CC335" s="120">
        <f>(CC334+CC336)/2</f>
        <v>29.6675</v>
      </c>
      <c r="CD335" s="120">
        <f>(CC335+CE335)/2</f>
        <v>30.379249999999999</v>
      </c>
      <c r="CE335" s="120">
        <f>(CE334+CE336)/2</f>
        <v>31.091000000000001</v>
      </c>
      <c r="CF335" s="120">
        <f>(CE335+CG335)/2</f>
        <v>31.807750000000002</v>
      </c>
      <c r="CG335" s="120">
        <f>(CG334+CG336)/2</f>
        <v>32.524500000000003</v>
      </c>
      <c r="CH335" s="120">
        <f>(CG335+CI335)/2</f>
        <v>33.245249999999999</v>
      </c>
      <c r="CI335" s="120">
        <f>(CI334+CI336)/2</f>
        <v>33.966000000000001</v>
      </c>
      <c r="CJ335" s="120">
        <f>(CI335+CK335)/2</f>
        <v>34.686750000000004</v>
      </c>
      <c r="CK335" s="120">
        <f>(CK334+CK336)/2</f>
        <v>35.407499999999999</v>
      </c>
      <c r="CL335" s="120">
        <f>(CK335+CM335)/2</f>
        <v>36.115499999999997</v>
      </c>
      <c r="CM335" s="120">
        <f>(CM334+CM336)/2</f>
        <v>36.823499999999996</v>
      </c>
      <c r="CN335" s="120">
        <f>(CM335+CO335)/2</f>
        <v>37.512249999999995</v>
      </c>
      <c r="CO335" s="120">
        <f>(CO334+CO336)/2</f>
        <v>38.200999999999993</v>
      </c>
      <c r="CP335" s="120">
        <f>(CO335+CQ335)/2</f>
        <v>38.921499999999995</v>
      </c>
      <c r="CQ335" s="120">
        <f>(CQ334+CQ336)/2</f>
        <v>39.641999999999996</v>
      </c>
      <c r="CR335" s="120">
        <f>(CQ335+CS335)/2</f>
        <v>40.320499999999996</v>
      </c>
      <c r="CS335" s="120">
        <f>(CS334+CS336)/2</f>
        <v>40.998999999999995</v>
      </c>
      <c r="CT335" s="120">
        <f>(CS335+CU335)/2</f>
        <v>41.723500000000001</v>
      </c>
      <c r="CU335" s="120">
        <f>(CU334+CU336)/2</f>
        <v>42.448</v>
      </c>
      <c r="CV335" s="120">
        <f>(CU335+CW335)/2</f>
        <v>43.113749999999996</v>
      </c>
      <c r="CW335" s="120">
        <f>(CW334+CW336)/2</f>
        <v>43.779499999999999</v>
      </c>
      <c r="CX335" s="120">
        <f>(CW335+CY335)/2</f>
        <v>44.203249999999997</v>
      </c>
      <c r="CY335" s="120">
        <f>(CY334+CY336)/2</f>
        <v>44.626999999999995</v>
      </c>
      <c r="CZ335" s="120">
        <f>(CY335+DA335)/2</f>
        <v>45.5745</v>
      </c>
      <c r="DA335" s="120">
        <f>(DA334+DA336)/2</f>
        <v>46.521999999999998</v>
      </c>
      <c r="DB335" s="120">
        <f>(DA335+DC335)/2</f>
        <v>47.204250000000002</v>
      </c>
      <c r="DC335" s="120">
        <f>(DC334+DC336)/2</f>
        <v>47.886499999999998</v>
      </c>
      <c r="DD335" s="120">
        <f>(DC335+DE335)/2</f>
        <v>48.572249999999997</v>
      </c>
      <c r="DE335" s="120">
        <f>(DE334+DE336)/2</f>
        <v>49.257999999999996</v>
      </c>
      <c r="DF335" s="120">
        <f>(DE335+DG335)/2</f>
        <v>49.923999999999999</v>
      </c>
      <c r="DG335" s="122">
        <f>(DG334+DG336)/2</f>
        <v>50.59</v>
      </c>
    </row>
    <row r="336" spans="54:111" ht="15" customHeight="1" x14ac:dyDescent="0.2">
      <c r="BB336" s="28">
        <v>24</v>
      </c>
      <c r="BC336" s="121">
        <v>8.609</v>
      </c>
      <c r="BD336" s="121">
        <v>9.6485000000000003</v>
      </c>
      <c r="BE336" s="121">
        <v>10.688000000000001</v>
      </c>
      <c r="BF336" s="121">
        <v>11.666499999999999</v>
      </c>
      <c r="BG336" s="121">
        <v>12.645</v>
      </c>
      <c r="BH336" s="121">
        <v>13.529499999999999</v>
      </c>
      <c r="BI336" s="121">
        <v>14.414</v>
      </c>
      <c r="BJ336" s="121">
        <v>15.291</v>
      </c>
      <c r="BK336" s="121">
        <v>16.167999999999999</v>
      </c>
      <c r="BL336" s="121">
        <v>17.038499999999999</v>
      </c>
      <c r="BM336" s="121">
        <v>17.908999999999999</v>
      </c>
      <c r="BN336" s="121">
        <v>18.747999999999998</v>
      </c>
      <c r="BO336" s="121">
        <v>19.587</v>
      </c>
      <c r="BP336" s="121">
        <v>20.419499999999999</v>
      </c>
      <c r="BQ336" s="121">
        <v>21.251999999999999</v>
      </c>
      <c r="BR336" s="121">
        <v>22.052</v>
      </c>
      <c r="BS336" s="121">
        <v>22.852</v>
      </c>
      <c r="BT336" s="121">
        <v>23.6205</v>
      </c>
      <c r="BU336" s="121">
        <v>24.388999999999999</v>
      </c>
      <c r="BV336" s="121">
        <f t="array" ref="BV336:BV372">TRANSPOSE(BW335:DG335)</f>
        <v>25.1755</v>
      </c>
      <c r="BW336" s="158">
        <v>25.962</v>
      </c>
      <c r="BX336" s="120">
        <f>(BY336+BW336)/2</f>
        <v>26.7315</v>
      </c>
      <c r="BY336" s="158">
        <v>27.501000000000001</v>
      </c>
      <c r="BZ336" s="120">
        <f>(CA336+BY336)/2</f>
        <v>28.294499999999999</v>
      </c>
      <c r="CA336" s="158">
        <v>29.088000000000001</v>
      </c>
      <c r="CB336" s="120">
        <f>(CC336+CA336)/2</f>
        <v>29.849499999999999</v>
      </c>
      <c r="CC336" s="158">
        <v>30.611000000000001</v>
      </c>
      <c r="CD336" s="120">
        <f>(CE336+CC336)/2</f>
        <v>31.341500000000003</v>
      </c>
      <c r="CE336" s="158">
        <v>32.072000000000003</v>
      </c>
      <c r="CF336" s="120">
        <f>(CG336+CE336)/2</f>
        <v>32.82</v>
      </c>
      <c r="CG336" s="158">
        <v>33.567999999999998</v>
      </c>
      <c r="CH336" s="120">
        <f>(CI336+CG336)/2</f>
        <v>34.298500000000004</v>
      </c>
      <c r="CI336" s="158">
        <v>35.029000000000003</v>
      </c>
      <c r="CJ336" s="120">
        <f>(CK336+CI336)/2</f>
        <v>35.777000000000001</v>
      </c>
      <c r="CK336" s="158">
        <v>36.524999999999999</v>
      </c>
      <c r="CL336" s="120">
        <f>(CM336+CK336)/2</f>
        <v>37.255499999999998</v>
      </c>
      <c r="CM336" s="158">
        <v>37.985999999999997</v>
      </c>
      <c r="CN336" s="120">
        <f>(CO336+CM336)/2</f>
        <v>38.708500000000001</v>
      </c>
      <c r="CO336" s="158">
        <v>39.430999999999997</v>
      </c>
      <c r="CP336" s="120">
        <f>(CQ336+CO336)/2</f>
        <v>40.186499999999995</v>
      </c>
      <c r="CQ336" s="158">
        <v>40.942</v>
      </c>
      <c r="CR336" s="120">
        <f>(CS336+CQ336)/2</f>
        <v>41.626999999999995</v>
      </c>
      <c r="CS336" s="158">
        <v>42.311999999999998</v>
      </c>
      <c r="CT336" s="120">
        <f>(CU336+CS336)/2</f>
        <v>43.067499999999995</v>
      </c>
      <c r="CU336" s="158">
        <v>43.823</v>
      </c>
      <c r="CV336" s="120">
        <f>(CW336+CU336)/2</f>
        <v>44.507000000000005</v>
      </c>
      <c r="CW336" s="158">
        <v>45.191000000000003</v>
      </c>
      <c r="CX336" s="120">
        <f>(CY336+CW336)/2</f>
        <v>45.383499999999998</v>
      </c>
      <c r="CY336" s="158">
        <v>45.576000000000001</v>
      </c>
      <c r="CZ336" s="120">
        <f>(DA336+CY336)/2</f>
        <v>46.823499999999996</v>
      </c>
      <c r="DA336" s="158">
        <v>48.070999999999998</v>
      </c>
      <c r="DB336" s="120">
        <f>(DC336+DA336)/2</f>
        <v>48.763999999999996</v>
      </c>
      <c r="DC336" s="158">
        <v>49.457000000000001</v>
      </c>
      <c r="DD336" s="120">
        <f>(DE336+DC336)/2</f>
        <v>50.173500000000004</v>
      </c>
      <c r="DE336" s="158">
        <v>50.89</v>
      </c>
      <c r="DF336" s="120">
        <f>(DG336+DE336)/2</f>
        <v>51.5745</v>
      </c>
      <c r="DG336" s="159">
        <v>52.259</v>
      </c>
    </row>
    <row r="337" spans="54:111" ht="15" customHeight="1" x14ac:dyDescent="0.2">
      <c r="BB337" s="28">
        <v>25</v>
      </c>
      <c r="BC337" s="121">
        <v>8.8260000000000005</v>
      </c>
      <c r="BD337" s="121">
        <v>9.8962499999999984</v>
      </c>
      <c r="BE337" s="121">
        <v>10.9665</v>
      </c>
      <c r="BF337" s="121">
        <v>11.974499999999999</v>
      </c>
      <c r="BG337" s="121">
        <v>12.9825</v>
      </c>
      <c r="BH337" s="121">
        <v>13.91325</v>
      </c>
      <c r="BI337" s="121">
        <v>14.843999999999999</v>
      </c>
      <c r="BJ337" s="121">
        <v>15.756</v>
      </c>
      <c r="BK337" s="121">
        <v>16.667999999999999</v>
      </c>
      <c r="BL337" s="121">
        <v>17.544999999999998</v>
      </c>
      <c r="BM337" s="121">
        <v>18.421999999999997</v>
      </c>
      <c r="BN337" s="121">
        <v>19.291499999999999</v>
      </c>
      <c r="BO337" s="121">
        <v>20.161000000000001</v>
      </c>
      <c r="BP337" s="121">
        <v>20.999749999999999</v>
      </c>
      <c r="BQ337" s="121">
        <v>21.8385</v>
      </c>
      <c r="BR337" s="121">
        <v>22.673000000000002</v>
      </c>
      <c r="BS337" s="121">
        <v>23.5075</v>
      </c>
      <c r="BT337" s="121">
        <v>24.323</v>
      </c>
      <c r="BU337" s="121">
        <v>25.138500000000001</v>
      </c>
      <c r="BV337" s="121">
        <v>25.935000000000002</v>
      </c>
      <c r="BW337" s="121">
        <f t="array" ref="BW337:BW372">TRANSPOSE(BX336:DG336)</f>
        <v>26.7315</v>
      </c>
      <c r="BX337" s="120">
        <f>(BW337+BY337)/2</f>
        <v>27.531500000000001</v>
      </c>
      <c r="BY337" s="120">
        <f>(BY336+BY338)/2</f>
        <v>28.331499999999998</v>
      </c>
      <c r="BZ337" s="120">
        <f>(BY337+CA337)/2</f>
        <v>29.127749999999999</v>
      </c>
      <c r="CA337" s="120">
        <f>(CA336+CA338)/2</f>
        <v>29.923999999999999</v>
      </c>
      <c r="CB337" s="120">
        <f>(CA337+CC337)/2</f>
        <v>30.720500000000001</v>
      </c>
      <c r="CC337" s="120">
        <f>(CC336+CC338)/2</f>
        <v>31.517000000000003</v>
      </c>
      <c r="CD337" s="120">
        <f>(CC337+CE337)/2</f>
        <v>32.297499999999999</v>
      </c>
      <c r="CE337" s="120">
        <f>(CE336+CE338)/2</f>
        <v>33.078000000000003</v>
      </c>
      <c r="CF337" s="120">
        <f>(CE337+CG337)/2</f>
        <v>33.832250000000002</v>
      </c>
      <c r="CG337" s="120">
        <f>(CG336+CG338)/2</f>
        <v>34.586500000000001</v>
      </c>
      <c r="CH337" s="120">
        <f>(CG337+CI337)/2</f>
        <v>35.347750000000005</v>
      </c>
      <c r="CI337" s="120">
        <f>(CI336+CI338)/2</f>
        <v>36.109000000000002</v>
      </c>
      <c r="CJ337" s="120">
        <f>(CI337+CK337)/2</f>
        <v>36.867000000000004</v>
      </c>
      <c r="CK337" s="120">
        <f>(CK336+CK338)/2</f>
        <v>37.625</v>
      </c>
      <c r="CL337" s="120">
        <f>(CK337+CM337)/2</f>
        <v>38.382999999999996</v>
      </c>
      <c r="CM337" s="120">
        <f>(CM336+CM338)/2</f>
        <v>39.140999999999998</v>
      </c>
      <c r="CN337" s="120">
        <f>(CM337+CO337)/2</f>
        <v>39.898250000000004</v>
      </c>
      <c r="CO337" s="120">
        <f>(CO336+CO338)/2</f>
        <v>40.655500000000004</v>
      </c>
      <c r="CP337" s="120">
        <f>(CO337+CQ337)/2</f>
        <v>41.417250000000003</v>
      </c>
      <c r="CQ337" s="120">
        <f>(CQ336+CQ338)/2</f>
        <v>42.179000000000002</v>
      </c>
      <c r="CR337" s="120">
        <f>(CQ337+CS337)/2</f>
        <v>42.914250000000003</v>
      </c>
      <c r="CS337" s="120">
        <f>(CS336+CS338)/2</f>
        <v>43.649500000000003</v>
      </c>
      <c r="CT337" s="120">
        <f>(CS337+CU337)/2</f>
        <v>44.391750000000002</v>
      </c>
      <c r="CU337" s="120">
        <f>(CU336+CU338)/2</f>
        <v>45.134</v>
      </c>
      <c r="CV337" s="120">
        <f>(CU337+CW337)/2</f>
        <v>45.872250000000001</v>
      </c>
      <c r="CW337" s="120">
        <f>(CW336+CW338)/2</f>
        <v>46.610500000000002</v>
      </c>
      <c r="CX337" s="120">
        <f>(CW337+CY337)/2</f>
        <v>47.08</v>
      </c>
      <c r="CY337" s="120">
        <f>(CY336+CY338)/2</f>
        <v>47.549500000000002</v>
      </c>
      <c r="CZ337" s="120">
        <f>(CY337+DA337)/2</f>
        <v>48.557249999999996</v>
      </c>
      <c r="DA337" s="120">
        <f>(DA336+DA338)/2</f>
        <v>49.564999999999998</v>
      </c>
      <c r="DB337" s="120">
        <f>(DA337+DC337)/2</f>
        <v>50.28875</v>
      </c>
      <c r="DC337" s="120">
        <f>(DC336+DC338)/2</f>
        <v>51.012500000000003</v>
      </c>
      <c r="DD337" s="120">
        <f>(DC337+DE337)/2</f>
        <v>51.731500000000004</v>
      </c>
      <c r="DE337" s="120">
        <f>(DE336+DE338)/2</f>
        <v>52.450500000000005</v>
      </c>
      <c r="DF337" s="120">
        <f>(DE337+DG337)/2</f>
        <v>53.169750000000001</v>
      </c>
      <c r="DG337" s="122">
        <f>(DG336+DG338)/2</f>
        <v>53.888999999999996</v>
      </c>
    </row>
    <row r="338" spans="54:111" ht="15" customHeight="1" x14ac:dyDescent="0.2">
      <c r="BB338" s="28">
        <v>26</v>
      </c>
      <c r="BC338" s="121">
        <v>9.0429999999999993</v>
      </c>
      <c r="BD338" s="121">
        <v>10.143999999999998</v>
      </c>
      <c r="BE338" s="121">
        <v>11.244999999999999</v>
      </c>
      <c r="BF338" s="121">
        <v>12.282499999999999</v>
      </c>
      <c r="BG338" s="121">
        <v>13.32</v>
      </c>
      <c r="BH338" s="121">
        <v>14.297000000000001</v>
      </c>
      <c r="BI338" s="121">
        <v>15.273999999999999</v>
      </c>
      <c r="BJ338" s="121">
        <v>16.221</v>
      </c>
      <c r="BK338" s="121">
        <v>17.167999999999999</v>
      </c>
      <c r="BL338" s="121">
        <v>18.051499999999997</v>
      </c>
      <c r="BM338" s="121">
        <v>18.934999999999999</v>
      </c>
      <c r="BN338" s="121">
        <v>19.835000000000001</v>
      </c>
      <c r="BO338" s="121">
        <v>20.734999999999999</v>
      </c>
      <c r="BP338" s="121">
        <v>21.58</v>
      </c>
      <c r="BQ338" s="121">
        <v>22.425000000000001</v>
      </c>
      <c r="BR338" s="121">
        <v>23.294</v>
      </c>
      <c r="BS338" s="121">
        <v>24.163</v>
      </c>
      <c r="BT338" s="121">
        <v>25.025500000000001</v>
      </c>
      <c r="BU338" s="121">
        <v>25.888000000000002</v>
      </c>
      <c r="BV338" s="121">
        <v>26.694500000000001</v>
      </c>
      <c r="BW338" s="121">
        <v>27.501000000000001</v>
      </c>
      <c r="BX338" s="121">
        <f t="array" ref="BX338:BX372">TRANSPOSE(BY337:DG337)</f>
        <v>28.331499999999998</v>
      </c>
      <c r="BY338" s="158">
        <v>29.161999999999999</v>
      </c>
      <c r="BZ338" s="120">
        <f>(CA338+BY338)/2</f>
        <v>29.960999999999999</v>
      </c>
      <c r="CA338" s="158">
        <v>30.76</v>
      </c>
      <c r="CB338" s="120">
        <f>(CC338+CA338)/2</f>
        <v>31.591500000000003</v>
      </c>
      <c r="CC338" s="158">
        <v>32.423000000000002</v>
      </c>
      <c r="CD338" s="120">
        <f>(CE338+CC338)/2</f>
        <v>33.253500000000003</v>
      </c>
      <c r="CE338" s="158">
        <v>34.084000000000003</v>
      </c>
      <c r="CF338" s="120">
        <f>(CG338+CE338)/2</f>
        <v>34.844499999999996</v>
      </c>
      <c r="CG338" s="158">
        <v>35.604999999999997</v>
      </c>
      <c r="CH338" s="120">
        <f>(CI338+CG338)/2</f>
        <v>36.396999999999998</v>
      </c>
      <c r="CI338" s="158">
        <v>37.189</v>
      </c>
      <c r="CJ338" s="120">
        <f>(CK338+CI338)/2</f>
        <v>37.957000000000001</v>
      </c>
      <c r="CK338" s="158">
        <v>38.725000000000001</v>
      </c>
      <c r="CL338" s="120">
        <f>(CM338+CK338)/2</f>
        <v>39.5105</v>
      </c>
      <c r="CM338" s="158">
        <v>40.295999999999999</v>
      </c>
      <c r="CN338" s="120">
        <f>(CO338+CM338)/2</f>
        <v>41.088000000000001</v>
      </c>
      <c r="CO338" s="158">
        <v>41.88</v>
      </c>
      <c r="CP338" s="120">
        <f>(CQ338+CO338)/2</f>
        <v>42.647999999999996</v>
      </c>
      <c r="CQ338" s="158">
        <v>43.415999999999997</v>
      </c>
      <c r="CR338" s="120">
        <f>(CS338+CQ338)/2</f>
        <v>44.201499999999996</v>
      </c>
      <c r="CS338" s="158">
        <v>44.987000000000002</v>
      </c>
      <c r="CT338" s="120">
        <f>(CU338+CS338)/2</f>
        <v>45.716000000000001</v>
      </c>
      <c r="CU338" s="158">
        <v>46.445</v>
      </c>
      <c r="CV338" s="120">
        <f>(CW338+CU338)/2</f>
        <v>47.237499999999997</v>
      </c>
      <c r="CW338" s="158">
        <v>48.03</v>
      </c>
      <c r="CX338" s="120">
        <f>(CY338+CW338)/2</f>
        <v>48.776499999999999</v>
      </c>
      <c r="CY338" s="158">
        <v>49.523000000000003</v>
      </c>
      <c r="CZ338" s="120">
        <f>(DA338+CY338)/2</f>
        <v>50.290999999999997</v>
      </c>
      <c r="DA338" s="158">
        <v>51.058999999999997</v>
      </c>
      <c r="DB338" s="120">
        <f>(DC338+DA338)/2</f>
        <v>51.813499999999998</v>
      </c>
      <c r="DC338" s="158">
        <v>52.567999999999998</v>
      </c>
      <c r="DD338" s="120">
        <f>(DE338+DC338)/2</f>
        <v>53.289500000000004</v>
      </c>
      <c r="DE338" s="158">
        <v>54.011000000000003</v>
      </c>
      <c r="DF338" s="120">
        <f>(DG338+DE338)/2</f>
        <v>54.765000000000001</v>
      </c>
      <c r="DG338" s="159">
        <v>55.518999999999998</v>
      </c>
    </row>
    <row r="339" spans="54:111" ht="15" customHeight="1" x14ac:dyDescent="0.2">
      <c r="BB339" s="28">
        <v>27</v>
      </c>
      <c r="BC339" s="121">
        <v>9.2919999999999998</v>
      </c>
      <c r="BD339" s="121">
        <v>10.41475</v>
      </c>
      <c r="BE339" s="121">
        <v>11.5375</v>
      </c>
      <c r="BF339" s="121">
        <v>12.60575</v>
      </c>
      <c r="BG339" s="121">
        <v>13.673999999999999</v>
      </c>
      <c r="BH339" s="121">
        <v>14.67375</v>
      </c>
      <c r="BI339" s="121">
        <v>15.673500000000001</v>
      </c>
      <c r="BJ339" s="121">
        <v>16.638750000000002</v>
      </c>
      <c r="BK339" s="121">
        <v>17.603999999999999</v>
      </c>
      <c r="BL339" s="121">
        <v>18.537749999999999</v>
      </c>
      <c r="BM339" s="121">
        <v>19.471499999999999</v>
      </c>
      <c r="BN339" s="121">
        <v>20.378</v>
      </c>
      <c r="BO339" s="121">
        <v>21.284500000000001</v>
      </c>
      <c r="BP339" s="121">
        <v>22.160499999999999</v>
      </c>
      <c r="BQ339" s="121">
        <v>23.0365</v>
      </c>
      <c r="BR339" s="121">
        <v>23.9435</v>
      </c>
      <c r="BS339" s="121">
        <v>24.8505</v>
      </c>
      <c r="BT339" s="121">
        <v>25.716000000000001</v>
      </c>
      <c r="BU339" s="121">
        <v>26.581499999999998</v>
      </c>
      <c r="BV339" s="121">
        <v>27.438000000000002</v>
      </c>
      <c r="BW339" s="121">
        <v>28.294499999999999</v>
      </c>
      <c r="BX339" s="121">
        <v>29.127749999999999</v>
      </c>
      <c r="BY339" s="121">
        <f t="array" ref="BY339:BY372">TRANSPOSE(BZ338:DG338)</f>
        <v>29.960999999999999</v>
      </c>
      <c r="BZ339" s="120">
        <f>(BY339+CA339)/2</f>
        <v>30.794499999999999</v>
      </c>
      <c r="CA339" s="120">
        <f>(CA338+CA340)/2</f>
        <v>31.628</v>
      </c>
      <c r="CB339" s="120">
        <f>(CA339+CC339)/2</f>
        <v>32.478000000000002</v>
      </c>
      <c r="CC339" s="120">
        <f>(CC338+CC340)/2</f>
        <v>33.328000000000003</v>
      </c>
      <c r="CD339" s="120">
        <f>(CC339+CE339)/2</f>
        <v>34.177500000000002</v>
      </c>
      <c r="CE339" s="120">
        <f>(CE338+CE340)/2</f>
        <v>35.027000000000001</v>
      </c>
      <c r="CF339" s="120">
        <f>(CE339+CG339)/2</f>
        <v>35.837499999999999</v>
      </c>
      <c r="CG339" s="120">
        <f>(CG338+CG340)/2</f>
        <v>36.647999999999996</v>
      </c>
      <c r="CH339" s="120">
        <f>(CG339+CI339)/2</f>
        <v>37.4465</v>
      </c>
      <c r="CI339" s="120">
        <f>(CI338+CI340)/2</f>
        <v>38.245000000000005</v>
      </c>
      <c r="CJ339" s="120">
        <f>(CI339+CK339)/2</f>
        <v>39.043750000000003</v>
      </c>
      <c r="CK339" s="120">
        <f>(CK338+CK340)/2</f>
        <v>39.842500000000001</v>
      </c>
      <c r="CL339" s="120">
        <f>(CK339+CM339)/2</f>
        <v>40.65025</v>
      </c>
      <c r="CM339" s="120">
        <f>(CM338+CM340)/2</f>
        <v>41.457999999999998</v>
      </c>
      <c r="CN339" s="120">
        <f>(CM339+CO339)/2</f>
        <v>42.268749999999997</v>
      </c>
      <c r="CO339" s="120">
        <f>(CO338+CO340)/2</f>
        <v>43.079500000000003</v>
      </c>
      <c r="CP339" s="120">
        <f>(CO339+CQ339)/2</f>
        <v>43.874750000000006</v>
      </c>
      <c r="CQ339" s="120">
        <f>(CQ338+CQ340)/2</f>
        <v>44.67</v>
      </c>
      <c r="CR339" s="120">
        <f>(CQ339+CS339)/2</f>
        <v>45.465249999999997</v>
      </c>
      <c r="CS339" s="120">
        <f>(CS338+CS340)/2</f>
        <v>46.2605</v>
      </c>
      <c r="CT339" s="120">
        <f>(CS339+CU339)/2</f>
        <v>47.04025</v>
      </c>
      <c r="CU339" s="120">
        <f>(CU338+CU340)/2</f>
        <v>47.82</v>
      </c>
      <c r="CV339" s="120">
        <f>(CU339+CW339)/2</f>
        <v>48.611750000000001</v>
      </c>
      <c r="CW339" s="120">
        <f>(CW338+CW340)/2</f>
        <v>49.403500000000001</v>
      </c>
      <c r="CX339" s="120">
        <f>(CW339+CY339)/2</f>
        <v>50.191749999999999</v>
      </c>
      <c r="CY339" s="120">
        <f>(CY338+CY340)/2</f>
        <v>50.980000000000004</v>
      </c>
      <c r="CZ339" s="120">
        <f>(CY339+DA339)/2</f>
        <v>51.775000000000006</v>
      </c>
      <c r="DA339" s="120">
        <f>(DA338+DA340)/2</f>
        <v>52.57</v>
      </c>
      <c r="DB339" s="120">
        <f>(DA339+DC339)/2</f>
        <v>53.330500000000001</v>
      </c>
      <c r="DC339" s="120">
        <f>(DC338+DC340)/2</f>
        <v>54.090999999999994</v>
      </c>
      <c r="DD339" s="120">
        <f>(DC339+DE339)/2</f>
        <v>54.847249999999995</v>
      </c>
      <c r="DE339" s="120">
        <f>(DE338+DE340)/2</f>
        <v>55.603499999999997</v>
      </c>
      <c r="DF339" s="120">
        <f>(DE339+DG339)/2</f>
        <v>56.395499999999998</v>
      </c>
      <c r="DG339" s="122">
        <f>(DG338+DG340)/2</f>
        <v>57.1875</v>
      </c>
    </row>
    <row r="340" spans="54:111" ht="15" customHeight="1" x14ac:dyDescent="0.2">
      <c r="BB340" s="28">
        <v>28</v>
      </c>
      <c r="BC340" s="121">
        <v>9.5410000000000004</v>
      </c>
      <c r="BD340" s="121">
        <v>10.685500000000001</v>
      </c>
      <c r="BE340" s="121">
        <v>11.83</v>
      </c>
      <c r="BF340" s="121">
        <v>12.929</v>
      </c>
      <c r="BG340" s="121">
        <v>14.028</v>
      </c>
      <c r="BH340" s="121">
        <v>15.0505</v>
      </c>
      <c r="BI340" s="121">
        <v>16.073</v>
      </c>
      <c r="BJ340" s="121">
        <v>17.0565</v>
      </c>
      <c r="BK340" s="121">
        <v>18.04</v>
      </c>
      <c r="BL340" s="121">
        <v>19.024000000000001</v>
      </c>
      <c r="BM340" s="121">
        <v>20.007999999999999</v>
      </c>
      <c r="BN340" s="121">
        <v>20.920999999999999</v>
      </c>
      <c r="BO340" s="121">
        <v>21.834</v>
      </c>
      <c r="BP340" s="121">
        <v>22.741</v>
      </c>
      <c r="BQ340" s="121">
        <v>23.648</v>
      </c>
      <c r="BR340" s="121">
        <v>24.593</v>
      </c>
      <c r="BS340" s="121">
        <v>25.538</v>
      </c>
      <c r="BT340" s="121">
        <v>26.406500000000001</v>
      </c>
      <c r="BU340" s="121">
        <v>27.274999999999999</v>
      </c>
      <c r="BV340" s="121">
        <v>28.1815</v>
      </c>
      <c r="BW340" s="121">
        <v>29.088000000000001</v>
      </c>
      <c r="BX340" s="121">
        <v>29.923999999999999</v>
      </c>
      <c r="BY340" s="121">
        <v>30.76</v>
      </c>
      <c r="BZ340" s="121">
        <f t="array" ref="BZ340:BZ372">TRANSPOSE(CA339:DG339)</f>
        <v>31.628</v>
      </c>
      <c r="CA340" s="158">
        <v>32.496000000000002</v>
      </c>
      <c r="CB340" s="120">
        <f>(CC340+CA340)/2</f>
        <v>33.3645</v>
      </c>
      <c r="CC340" s="158">
        <v>34.232999999999997</v>
      </c>
      <c r="CD340" s="120">
        <f>(CE340+CC340)/2</f>
        <v>35.101500000000001</v>
      </c>
      <c r="CE340" s="158">
        <v>35.97</v>
      </c>
      <c r="CF340" s="120">
        <f>(CG340+CE340)/2</f>
        <v>36.830500000000001</v>
      </c>
      <c r="CG340" s="158">
        <v>37.691000000000003</v>
      </c>
      <c r="CH340" s="120">
        <f>(CI340+CG340)/2</f>
        <v>38.496000000000002</v>
      </c>
      <c r="CI340" s="158">
        <v>39.301000000000002</v>
      </c>
      <c r="CJ340" s="120">
        <f>(CK340+CI340)/2</f>
        <v>40.130499999999998</v>
      </c>
      <c r="CK340" s="158">
        <v>40.96</v>
      </c>
      <c r="CL340" s="120">
        <f>(CM340+CK340)/2</f>
        <v>41.79</v>
      </c>
      <c r="CM340" s="158">
        <v>42.62</v>
      </c>
      <c r="CN340" s="120">
        <f>(CO340+CM340)/2</f>
        <v>43.4495</v>
      </c>
      <c r="CO340" s="158">
        <v>44.279000000000003</v>
      </c>
      <c r="CP340" s="120">
        <f>(CQ340+CO340)/2</f>
        <v>45.101500000000001</v>
      </c>
      <c r="CQ340" s="158">
        <v>45.923999999999999</v>
      </c>
      <c r="CR340" s="120">
        <f>(CS340+CQ340)/2</f>
        <v>46.728999999999999</v>
      </c>
      <c r="CS340" s="158">
        <v>47.533999999999999</v>
      </c>
      <c r="CT340" s="120">
        <f>(CU340+CS340)/2</f>
        <v>48.3645</v>
      </c>
      <c r="CU340" s="158">
        <v>49.195</v>
      </c>
      <c r="CV340" s="120">
        <f>(CW340+CU340)/2</f>
        <v>49.986000000000004</v>
      </c>
      <c r="CW340" s="158">
        <v>50.777000000000001</v>
      </c>
      <c r="CX340" s="120">
        <f>(CY340+CW340)/2</f>
        <v>51.606999999999999</v>
      </c>
      <c r="CY340" s="158">
        <v>52.436999999999998</v>
      </c>
      <c r="CZ340" s="120">
        <f>(DA340+CY340)/2</f>
        <v>53.259</v>
      </c>
      <c r="DA340" s="158">
        <v>54.081000000000003</v>
      </c>
      <c r="DB340" s="120">
        <f>(DC340+DA340)/2</f>
        <v>54.847499999999997</v>
      </c>
      <c r="DC340" s="158">
        <v>55.613999999999997</v>
      </c>
      <c r="DD340" s="120">
        <f>(DE340+DC340)/2</f>
        <v>56.405000000000001</v>
      </c>
      <c r="DE340" s="158">
        <v>57.195999999999998</v>
      </c>
      <c r="DF340" s="120">
        <f>(DG340+DE340)/2</f>
        <v>58.025999999999996</v>
      </c>
      <c r="DG340" s="159">
        <v>58.856000000000002</v>
      </c>
    </row>
    <row r="341" spans="54:111" ht="15" customHeight="1" x14ac:dyDescent="0.2">
      <c r="BB341" s="28">
        <v>29</v>
      </c>
      <c r="BC341" s="121">
        <v>9.7585000000000015</v>
      </c>
      <c r="BD341" s="121">
        <v>10.937250000000001</v>
      </c>
      <c r="BE341" s="121">
        <v>12.116</v>
      </c>
      <c r="BF341" s="121">
        <v>13.234</v>
      </c>
      <c r="BG341" s="121">
        <v>14.352</v>
      </c>
      <c r="BH341" s="121">
        <v>15.41225</v>
      </c>
      <c r="BI341" s="121">
        <v>16.4725</v>
      </c>
      <c r="BJ341" s="121">
        <v>17.494</v>
      </c>
      <c r="BK341" s="121">
        <v>18.515499999999999</v>
      </c>
      <c r="BL341" s="121">
        <v>19.495000000000001</v>
      </c>
      <c r="BM341" s="121">
        <v>20.474499999999999</v>
      </c>
      <c r="BN341" s="121">
        <v>21.441499999999998</v>
      </c>
      <c r="BO341" s="121">
        <v>22.4085</v>
      </c>
      <c r="BP341" s="121">
        <v>23.334</v>
      </c>
      <c r="BQ341" s="121">
        <v>24.259499999999999</v>
      </c>
      <c r="BR341" s="121">
        <v>25.222999999999999</v>
      </c>
      <c r="BS341" s="121">
        <v>26.186500000000002</v>
      </c>
      <c r="BT341" s="121">
        <v>27.093</v>
      </c>
      <c r="BU341" s="121">
        <v>27.999499999999998</v>
      </c>
      <c r="BV341" s="121">
        <v>28.924500000000002</v>
      </c>
      <c r="BW341" s="121">
        <v>29.849499999999999</v>
      </c>
      <c r="BX341" s="121">
        <v>30.720500000000001</v>
      </c>
      <c r="BY341" s="121">
        <v>31.591500000000003</v>
      </c>
      <c r="BZ341" s="121">
        <v>32.478000000000002</v>
      </c>
      <c r="CA341" s="121">
        <f t="array" ref="CA341:CA372">TRANSPOSE(CB340:DG340)</f>
        <v>33.3645</v>
      </c>
      <c r="CB341" s="120">
        <f>(CA341+CC341)/2</f>
        <v>34.251499999999993</v>
      </c>
      <c r="CC341" s="120">
        <f>(CC340+CC342)/2</f>
        <v>35.138499999999993</v>
      </c>
      <c r="CD341" s="120">
        <f>(CC341+CE341)/2</f>
        <v>36.025499999999994</v>
      </c>
      <c r="CE341" s="120">
        <f>(CE340+CE342)/2</f>
        <v>36.912499999999994</v>
      </c>
      <c r="CF341" s="120">
        <f>(CE341+CG341)/2</f>
        <v>37.795499999999997</v>
      </c>
      <c r="CG341" s="120">
        <f>(CG340+CG342)/2</f>
        <v>38.6785</v>
      </c>
      <c r="CH341" s="120">
        <f>(CG341+CI341)/2</f>
        <v>39.514499999999998</v>
      </c>
      <c r="CI341" s="120">
        <f>(CI340+CI342)/2</f>
        <v>40.350499999999997</v>
      </c>
      <c r="CJ341" s="120">
        <f>(CI341+CK341)/2</f>
        <v>41.21425</v>
      </c>
      <c r="CK341" s="120">
        <f>(CK340+CK342)/2</f>
        <v>42.078000000000003</v>
      </c>
      <c r="CL341" s="120">
        <f>(CK341+CM341)/2</f>
        <v>42.926250000000003</v>
      </c>
      <c r="CM341" s="120">
        <f>(CM340+CM342)/2</f>
        <v>43.774500000000003</v>
      </c>
      <c r="CN341" s="120">
        <f>(CM341+CO341)/2</f>
        <v>44.623000000000005</v>
      </c>
      <c r="CO341" s="120">
        <f>(CO340+CO342)/2</f>
        <v>45.471500000000006</v>
      </c>
      <c r="CP341" s="120">
        <f>(CO341+CQ341)/2</f>
        <v>46.316000000000003</v>
      </c>
      <c r="CQ341" s="120">
        <f>(CQ340+CQ342)/2</f>
        <v>47.160499999999999</v>
      </c>
      <c r="CR341" s="120">
        <f>(CQ341+CS341)/2</f>
        <v>47.997</v>
      </c>
      <c r="CS341" s="120">
        <f>(CS340+CS342)/2</f>
        <v>48.833500000000001</v>
      </c>
      <c r="CT341" s="120">
        <f>(CS341+CU341)/2</f>
        <v>49.682000000000002</v>
      </c>
      <c r="CU341" s="120">
        <f>(CU340+CU342)/2</f>
        <v>50.530500000000004</v>
      </c>
      <c r="CV341" s="120">
        <f>(CU341+CW341)/2</f>
        <v>51.359750000000005</v>
      </c>
      <c r="CW341" s="120">
        <f>(CW340+CW342)/2</f>
        <v>52.189</v>
      </c>
      <c r="CX341" s="120">
        <f>(CW341+CY341)/2</f>
        <v>53.018000000000001</v>
      </c>
      <c r="CY341" s="120">
        <f>(CY340+CY342)/2</f>
        <v>53.846999999999994</v>
      </c>
      <c r="CZ341" s="120">
        <f>(CY341+DA341)/2</f>
        <v>54.691499999999998</v>
      </c>
      <c r="DA341" s="120">
        <f>(DA340+DA342)/2</f>
        <v>55.536000000000001</v>
      </c>
      <c r="DB341" s="120">
        <f>(DA341+DC341)/2</f>
        <v>56.35275</v>
      </c>
      <c r="DC341" s="120">
        <f>(DC340+DC342)/2</f>
        <v>57.169499999999999</v>
      </c>
      <c r="DD341" s="120">
        <f>(DC341+DE341)/2</f>
        <v>57.97925</v>
      </c>
      <c r="DE341" s="120">
        <f>(DE340+DE342)/2</f>
        <v>58.789000000000001</v>
      </c>
      <c r="DF341" s="120">
        <f>(DE341+DG341)/2</f>
        <v>59.618250000000003</v>
      </c>
      <c r="DG341" s="122">
        <f>(DG340+DG342)/2</f>
        <v>60.447500000000005</v>
      </c>
    </row>
    <row r="342" spans="54:111" ht="15" customHeight="1" x14ac:dyDescent="0.2">
      <c r="BB342" s="28">
        <v>30</v>
      </c>
      <c r="BC342" s="121">
        <v>9.9760000000000009</v>
      </c>
      <c r="BD342" s="121">
        <v>11.189</v>
      </c>
      <c r="BE342" s="121">
        <v>12.401999999999999</v>
      </c>
      <c r="BF342" s="121">
        <v>13.539</v>
      </c>
      <c r="BG342" s="121">
        <v>14.676</v>
      </c>
      <c r="BH342" s="121">
        <v>15.774000000000001</v>
      </c>
      <c r="BI342" s="121">
        <v>16.872</v>
      </c>
      <c r="BJ342" s="121">
        <v>17.9315</v>
      </c>
      <c r="BK342" s="121">
        <v>18.991</v>
      </c>
      <c r="BL342" s="121">
        <v>19.966000000000001</v>
      </c>
      <c r="BM342" s="121">
        <v>20.940999999999999</v>
      </c>
      <c r="BN342" s="121">
        <v>21.962</v>
      </c>
      <c r="BO342" s="121">
        <v>22.983000000000001</v>
      </c>
      <c r="BP342" s="121">
        <v>23.927</v>
      </c>
      <c r="BQ342" s="121">
        <v>24.870999999999999</v>
      </c>
      <c r="BR342" s="121">
        <v>25.853000000000002</v>
      </c>
      <c r="BS342" s="121">
        <v>26.835000000000001</v>
      </c>
      <c r="BT342" s="121">
        <v>27.779499999999999</v>
      </c>
      <c r="BU342" s="121">
        <v>28.724</v>
      </c>
      <c r="BV342" s="121">
        <v>29.6675</v>
      </c>
      <c r="BW342" s="121">
        <v>30.611000000000001</v>
      </c>
      <c r="BX342" s="121">
        <v>31.517000000000003</v>
      </c>
      <c r="BY342" s="121">
        <v>32.423000000000002</v>
      </c>
      <c r="BZ342" s="121">
        <v>33.328000000000003</v>
      </c>
      <c r="CA342" s="121">
        <v>34.232999999999997</v>
      </c>
      <c r="CB342" s="121">
        <f t="array" ref="CB342:CB372">TRANSPOSE(CC341:DG341)</f>
        <v>35.138499999999993</v>
      </c>
      <c r="CC342" s="158">
        <v>36.043999999999997</v>
      </c>
      <c r="CD342" s="120">
        <f>(CE342+CC342)/2</f>
        <v>36.9495</v>
      </c>
      <c r="CE342" s="158">
        <v>37.854999999999997</v>
      </c>
      <c r="CF342" s="120">
        <f>(CG342+CE342)/2</f>
        <v>38.760499999999993</v>
      </c>
      <c r="CG342" s="158">
        <v>39.665999999999997</v>
      </c>
      <c r="CH342" s="120">
        <f>(CI342+CG342)/2</f>
        <v>40.533000000000001</v>
      </c>
      <c r="CI342" s="158">
        <v>41.4</v>
      </c>
      <c r="CJ342" s="120">
        <f>(CK342+CI342)/2</f>
        <v>42.298000000000002</v>
      </c>
      <c r="CK342" s="158">
        <v>43.195999999999998</v>
      </c>
      <c r="CL342" s="120">
        <f>(CM342+CK342)/2</f>
        <v>44.0625</v>
      </c>
      <c r="CM342" s="158">
        <v>44.929000000000002</v>
      </c>
      <c r="CN342" s="120">
        <f>(CO342+CM342)/2</f>
        <v>45.796500000000002</v>
      </c>
      <c r="CO342" s="158">
        <v>46.664000000000001</v>
      </c>
      <c r="CP342" s="120">
        <f>(CQ342+CO342)/2</f>
        <v>47.530500000000004</v>
      </c>
      <c r="CQ342" s="158">
        <v>48.396999999999998</v>
      </c>
      <c r="CR342" s="120">
        <f>(CS342+CQ342)/2</f>
        <v>49.265000000000001</v>
      </c>
      <c r="CS342" s="158">
        <v>50.133000000000003</v>
      </c>
      <c r="CT342" s="120">
        <f>(CU342+CS342)/2</f>
        <v>50.999499999999998</v>
      </c>
      <c r="CU342" s="158">
        <v>51.866</v>
      </c>
      <c r="CV342" s="120">
        <f>(CW342+CU342)/2</f>
        <v>52.733499999999999</v>
      </c>
      <c r="CW342" s="158">
        <v>53.600999999999999</v>
      </c>
      <c r="CX342" s="120">
        <f>(CY342+CW342)/2</f>
        <v>54.429000000000002</v>
      </c>
      <c r="CY342" s="158">
        <v>55.256999999999998</v>
      </c>
      <c r="CZ342" s="120">
        <f>(DA342+CY342)/2</f>
        <v>56.123999999999995</v>
      </c>
      <c r="DA342" s="158">
        <v>56.991</v>
      </c>
      <c r="DB342" s="120">
        <f>(DC342+DA342)/2</f>
        <v>57.858000000000004</v>
      </c>
      <c r="DC342" s="158">
        <v>58.725000000000001</v>
      </c>
      <c r="DD342" s="120">
        <f>(DE342+DC342)/2</f>
        <v>59.5535</v>
      </c>
      <c r="DE342" s="158">
        <v>60.381999999999998</v>
      </c>
      <c r="DF342" s="120">
        <f>(DG342+DE342)/2</f>
        <v>61.210499999999996</v>
      </c>
      <c r="DG342" s="159">
        <v>62.039000000000001</v>
      </c>
    </row>
    <row r="343" spans="54:111" ht="15" customHeight="1" x14ac:dyDescent="0.2">
      <c r="BB343" s="28">
        <v>31</v>
      </c>
      <c r="BC343" s="121">
        <v>10.193000000000001</v>
      </c>
      <c r="BD343" s="121">
        <v>11.4565</v>
      </c>
      <c r="BE343" s="121">
        <v>12.719999999999999</v>
      </c>
      <c r="BF343" s="121">
        <v>13.87575</v>
      </c>
      <c r="BG343" s="121">
        <v>15.031500000000001</v>
      </c>
      <c r="BH343" s="121">
        <v>16.147750000000002</v>
      </c>
      <c r="BI343" s="121">
        <v>17.263999999999999</v>
      </c>
      <c r="BJ343" s="121">
        <v>18.341999999999999</v>
      </c>
      <c r="BK343" s="121">
        <v>19.420000000000002</v>
      </c>
      <c r="BL343" s="121">
        <v>20.436500000000002</v>
      </c>
      <c r="BM343" s="121">
        <v>21.452999999999999</v>
      </c>
      <c r="BN343" s="121">
        <v>22.485749999999999</v>
      </c>
      <c r="BO343" s="121">
        <v>23.5185</v>
      </c>
      <c r="BP343" s="121">
        <v>24.500250000000001</v>
      </c>
      <c r="BQ343" s="121">
        <v>25.481999999999999</v>
      </c>
      <c r="BR343" s="121">
        <v>26.482750000000003</v>
      </c>
      <c r="BS343" s="121">
        <v>27.483499999999999</v>
      </c>
      <c r="BT343" s="121">
        <v>28.45025</v>
      </c>
      <c r="BU343" s="121">
        <v>29.417000000000002</v>
      </c>
      <c r="BV343" s="121">
        <v>30.379249999999999</v>
      </c>
      <c r="BW343" s="121">
        <v>31.341500000000003</v>
      </c>
      <c r="BX343" s="121">
        <v>32.297499999999999</v>
      </c>
      <c r="BY343" s="121">
        <v>33.253500000000003</v>
      </c>
      <c r="BZ343" s="121">
        <v>34.177500000000002</v>
      </c>
      <c r="CA343" s="121">
        <v>35.101500000000001</v>
      </c>
      <c r="CB343" s="121">
        <v>36.025499999999994</v>
      </c>
      <c r="CC343" s="121">
        <f t="array" ref="CC343:CC372">TRANSPOSE(CD342:DG342)</f>
        <v>36.9495</v>
      </c>
      <c r="CD343" s="120">
        <f>(CC343+CE343)/2</f>
        <v>37.8735</v>
      </c>
      <c r="CE343" s="120">
        <f>(CE342+CE344)/2</f>
        <v>38.797499999999999</v>
      </c>
      <c r="CF343" s="120">
        <f>(CE343+CG343)/2</f>
        <v>39.721499999999999</v>
      </c>
      <c r="CG343" s="120">
        <f>(CG342+CG344)/2</f>
        <v>40.645499999999998</v>
      </c>
      <c r="CH343" s="120">
        <f>(CG343+CI343)/2</f>
        <v>41.563000000000002</v>
      </c>
      <c r="CI343" s="120">
        <f>(CI342+CI344)/2</f>
        <v>42.480499999999999</v>
      </c>
      <c r="CJ343" s="120">
        <f>(CI343+CK343)/2</f>
        <v>43.381500000000003</v>
      </c>
      <c r="CK343" s="120">
        <f>(CK342+CK344)/2</f>
        <v>44.282499999999999</v>
      </c>
      <c r="CL343" s="120">
        <f>(CK343+CM343)/2</f>
        <v>45.186999999999998</v>
      </c>
      <c r="CM343" s="120">
        <f>(CM342+CM344)/2</f>
        <v>46.091499999999996</v>
      </c>
      <c r="CN343" s="120">
        <f>(CM343+CO343)/2</f>
        <v>46.97775</v>
      </c>
      <c r="CO343" s="120">
        <f>(CO342+CO344)/2</f>
        <v>47.864000000000004</v>
      </c>
      <c r="CP343" s="120">
        <f>(CO343+CQ343)/2</f>
        <v>48.749250000000004</v>
      </c>
      <c r="CQ343" s="120">
        <f>(CQ342+CQ344)/2</f>
        <v>49.634500000000003</v>
      </c>
      <c r="CR343" s="120">
        <f>(CQ343+CS343)/2</f>
        <v>50.53275</v>
      </c>
      <c r="CS343" s="120">
        <f>(CS342+CS344)/2</f>
        <v>51.430999999999997</v>
      </c>
      <c r="CT343" s="120">
        <f>(CS343+CU343)/2</f>
        <v>52.316499999999998</v>
      </c>
      <c r="CU343" s="120">
        <f>(CU342+CU344)/2</f>
        <v>53.201999999999998</v>
      </c>
      <c r="CV343" s="120">
        <f>(CU343+CW343)/2</f>
        <v>54.08775</v>
      </c>
      <c r="CW343" s="120">
        <f>(CW342+CW344)/2</f>
        <v>54.973500000000001</v>
      </c>
      <c r="CX343" s="120">
        <f>(CW343+CY343)/2</f>
        <v>55.839500000000001</v>
      </c>
      <c r="CY343" s="120">
        <f>(CY342+CY344)/2</f>
        <v>56.705500000000001</v>
      </c>
      <c r="CZ343" s="120">
        <f>(CY343+DA343)/2</f>
        <v>57.572249999999997</v>
      </c>
      <c r="DA343" s="120">
        <f>(DA342+DA344)/2</f>
        <v>58.439</v>
      </c>
      <c r="DB343" s="120">
        <f>(DA343+DC343)/2</f>
        <v>59.336749999999995</v>
      </c>
      <c r="DC343" s="120">
        <f>(DC342+DC344)/2</f>
        <v>60.234499999999997</v>
      </c>
      <c r="DD343" s="120">
        <f>(DC343+DE343)/2</f>
        <v>61.100749999999998</v>
      </c>
      <c r="DE343" s="120">
        <f>(DE342+DE344)/2</f>
        <v>61.966999999999999</v>
      </c>
      <c r="DF343" s="120">
        <f>(DE343+DG343)/2</f>
        <v>62.814</v>
      </c>
      <c r="DG343" s="122">
        <f>(DG342+DG344)/2</f>
        <v>63.661000000000001</v>
      </c>
    </row>
    <row r="344" spans="54:111" ht="15" customHeight="1" x14ac:dyDescent="0.2">
      <c r="BB344" s="28">
        <v>32</v>
      </c>
      <c r="BC344" s="121">
        <v>10.41</v>
      </c>
      <c r="BD344" s="121">
        <v>11.724</v>
      </c>
      <c r="BE344" s="121">
        <v>13.038</v>
      </c>
      <c r="BF344" s="121">
        <v>14.2125</v>
      </c>
      <c r="BG344" s="121">
        <v>15.387</v>
      </c>
      <c r="BH344" s="121">
        <v>16.5215</v>
      </c>
      <c r="BI344" s="121">
        <v>17.655999999999999</v>
      </c>
      <c r="BJ344" s="121">
        <v>18.752499999999998</v>
      </c>
      <c r="BK344" s="121">
        <v>19.849</v>
      </c>
      <c r="BL344" s="121">
        <v>20.907</v>
      </c>
      <c r="BM344" s="121">
        <v>21.965</v>
      </c>
      <c r="BN344" s="121">
        <v>23.009499999999999</v>
      </c>
      <c r="BO344" s="121">
        <v>24.053999999999998</v>
      </c>
      <c r="BP344" s="121">
        <v>25.073499999999999</v>
      </c>
      <c r="BQ344" s="121">
        <v>26.093</v>
      </c>
      <c r="BR344" s="121">
        <v>27.112500000000001</v>
      </c>
      <c r="BS344" s="121">
        <v>28.132000000000001</v>
      </c>
      <c r="BT344" s="121">
        <v>29.121000000000002</v>
      </c>
      <c r="BU344" s="121">
        <v>30.11</v>
      </c>
      <c r="BV344" s="121">
        <v>31.091000000000001</v>
      </c>
      <c r="BW344" s="121">
        <v>32.072000000000003</v>
      </c>
      <c r="BX344" s="121">
        <v>33.078000000000003</v>
      </c>
      <c r="BY344" s="121">
        <v>34.084000000000003</v>
      </c>
      <c r="BZ344" s="121">
        <v>35.027000000000001</v>
      </c>
      <c r="CA344" s="121">
        <v>35.97</v>
      </c>
      <c r="CB344" s="121">
        <v>36.912499999999994</v>
      </c>
      <c r="CC344" s="121">
        <v>37.854999999999997</v>
      </c>
      <c r="CD344" s="121">
        <f t="array" ref="CD344:CD372">TRANSPOSE(CE343:DG343)</f>
        <v>38.797499999999999</v>
      </c>
      <c r="CE344" s="158">
        <v>39.74</v>
      </c>
      <c r="CF344" s="120">
        <f>(CG344+CE344)/2</f>
        <v>40.682500000000005</v>
      </c>
      <c r="CG344" s="158">
        <v>41.625</v>
      </c>
      <c r="CH344" s="120">
        <f>(CI344+CG344)/2</f>
        <v>42.593000000000004</v>
      </c>
      <c r="CI344" s="158">
        <v>43.561</v>
      </c>
      <c r="CJ344" s="120">
        <f>(CK344+CI344)/2</f>
        <v>44.465000000000003</v>
      </c>
      <c r="CK344" s="158">
        <v>45.369</v>
      </c>
      <c r="CL344" s="120">
        <f>(CM344+CK344)/2</f>
        <v>46.311499999999995</v>
      </c>
      <c r="CM344" s="158">
        <v>47.253999999999998</v>
      </c>
      <c r="CN344" s="120">
        <f>(CO344+CM344)/2</f>
        <v>48.158999999999999</v>
      </c>
      <c r="CO344" s="158">
        <v>49.064</v>
      </c>
      <c r="CP344" s="120">
        <f>(CQ344+CO344)/2</f>
        <v>49.968000000000004</v>
      </c>
      <c r="CQ344" s="158">
        <v>50.872</v>
      </c>
      <c r="CR344" s="120">
        <f>(CS344+CQ344)/2</f>
        <v>51.8005</v>
      </c>
      <c r="CS344" s="158">
        <v>52.728999999999999</v>
      </c>
      <c r="CT344" s="120">
        <f>(CU344+CS344)/2</f>
        <v>53.633499999999998</v>
      </c>
      <c r="CU344" s="158">
        <v>54.537999999999997</v>
      </c>
      <c r="CV344" s="120">
        <f>(CW344+CU344)/2</f>
        <v>55.441999999999993</v>
      </c>
      <c r="CW344" s="158">
        <v>56.345999999999997</v>
      </c>
      <c r="CX344" s="120">
        <f>(CY344+CW344)/2</f>
        <v>57.25</v>
      </c>
      <c r="CY344" s="158">
        <v>58.154000000000003</v>
      </c>
      <c r="CZ344" s="120">
        <f>(DA344+CY344)/2</f>
        <v>59.020499999999998</v>
      </c>
      <c r="DA344" s="158">
        <v>59.887</v>
      </c>
      <c r="DB344" s="120">
        <f>(DC344+DA344)/2</f>
        <v>60.8155</v>
      </c>
      <c r="DC344" s="158">
        <v>61.744</v>
      </c>
      <c r="DD344" s="120">
        <f>(DE344+DC344)/2</f>
        <v>62.647999999999996</v>
      </c>
      <c r="DE344" s="158">
        <v>63.552</v>
      </c>
      <c r="DF344" s="120">
        <f>(DG344+DE344)/2</f>
        <v>64.417500000000004</v>
      </c>
      <c r="DG344" s="159">
        <v>65.283000000000001</v>
      </c>
    </row>
    <row r="345" spans="54:111" ht="15" customHeight="1" x14ac:dyDescent="0.2">
      <c r="BB345" s="28">
        <v>33</v>
      </c>
      <c r="BC345" s="121">
        <v>10.6515</v>
      </c>
      <c r="BD345" s="121">
        <v>11.9755</v>
      </c>
      <c r="BE345" s="121">
        <v>13.2995</v>
      </c>
      <c r="BF345" s="121">
        <v>14.52375</v>
      </c>
      <c r="BG345" s="121">
        <v>15.748000000000001</v>
      </c>
      <c r="BH345" s="121">
        <v>16.901499999999999</v>
      </c>
      <c r="BI345" s="121">
        <v>18.055</v>
      </c>
      <c r="BJ345" s="121">
        <v>19.169999999999998</v>
      </c>
      <c r="BK345" s="121">
        <v>20.285</v>
      </c>
      <c r="BL345" s="121">
        <v>21.37425</v>
      </c>
      <c r="BM345" s="121">
        <v>22.4635</v>
      </c>
      <c r="BN345" s="121">
        <v>23.533499999999997</v>
      </c>
      <c r="BO345" s="121">
        <v>24.603499999999997</v>
      </c>
      <c r="BP345" s="121">
        <v>25.65775</v>
      </c>
      <c r="BQ345" s="121">
        <v>26.712</v>
      </c>
      <c r="BR345" s="121">
        <v>27.750250000000001</v>
      </c>
      <c r="BS345" s="121">
        <v>28.788499999999999</v>
      </c>
      <c r="BT345" s="121">
        <v>29.792000000000002</v>
      </c>
      <c r="BU345" s="121">
        <v>30.795500000000001</v>
      </c>
      <c r="BV345" s="121">
        <v>31.807750000000002</v>
      </c>
      <c r="BW345" s="121">
        <v>32.82</v>
      </c>
      <c r="BX345" s="121">
        <v>33.832250000000002</v>
      </c>
      <c r="BY345" s="121">
        <v>34.844499999999996</v>
      </c>
      <c r="BZ345" s="121">
        <v>35.837499999999999</v>
      </c>
      <c r="CA345" s="121">
        <v>36.830500000000001</v>
      </c>
      <c r="CB345" s="121">
        <v>37.795499999999997</v>
      </c>
      <c r="CC345" s="121">
        <v>38.760499999999993</v>
      </c>
      <c r="CD345" s="121">
        <v>39.721499999999999</v>
      </c>
      <c r="CE345" s="121">
        <f t="array" ref="CE345:CE372">TRANSPOSE(CF344:DG344)</f>
        <v>40.682500000000005</v>
      </c>
      <c r="CF345" s="120">
        <f>(CE345+CG345)/2</f>
        <v>41.65625</v>
      </c>
      <c r="CG345" s="120">
        <f>(CG344+CG346)/2</f>
        <v>42.629999999999995</v>
      </c>
      <c r="CH345" s="120">
        <f>(CG345+CI345)/2</f>
        <v>43.603999999999999</v>
      </c>
      <c r="CI345" s="120">
        <f>(CI344+CI346)/2</f>
        <v>44.578000000000003</v>
      </c>
      <c r="CJ345" s="120">
        <f>(CI345+CK345)/2</f>
        <v>45.513000000000005</v>
      </c>
      <c r="CK345" s="120">
        <f>(CK344+CK346)/2</f>
        <v>46.448</v>
      </c>
      <c r="CL345" s="120">
        <f>(CK345+CM345)/2</f>
        <v>47.412999999999997</v>
      </c>
      <c r="CM345" s="120">
        <f>(CM344+CM346)/2</f>
        <v>48.378</v>
      </c>
      <c r="CN345" s="120">
        <f>(CM345+CO345)/2</f>
        <v>49.301249999999996</v>
      </c>
      <c r="CO345" s="120">
        <f>(CO344+CO346)/2</f>
        <v>50.224499999999999</v>
      </c>
      <c r="CP345" s="120">
        <f>(CO345+CQ345)/2</f>
        <v>51.179000000000002</v>
      </c>
      <c r="CQ345" s="120">
        <f>(CQ344+CQ346)/2</f>
        <v>52.133499999999998</v>
      </c>
      <c r="CR345" s="120">
        <f>(CQ345+CS345)/2</f>
        <v>53.0685</v>
      </c>
      <c r="CS345" s="120">
        <f>(CS344+CS346)/2</f>
        <v>54.003500000000003</v>
      </c>
      <c r="CT345" s="120">
        <f>(CS345+CU345)/2</f>
        <v>54.938749999999999</v>
      </c>
      <c r="CU345" s="120">
        <f>(CU344+CU346)/2</f>
        <v>55.873999999999995</v>
      </c>
      <c r="CV345" s="120">
        <f>(CU345+CW345)/2</f>
        <v>56.796499999999995</v>
      </c>
      <c r="CW345" s="120">
        <f>(CW344+CW346)/2</f>
        <v>57.718999999999994</v>
      </c>
      <c r="CX345" s="120">
        <f>(CW345+CY345)/2</f>
        <v>58.64575</v>
      </c>
      <c r="CY345" s="120">
        <f>(CY344+CY346)/2</f>
        <v>59.572500000000005</v>
      </c>
      <c r="CZ345" s="120">
        <f>(CY345+DA345)/2</f>
        <v>60.469500000000004</v>
      </c>
      <c r="DA345" s="120">
        <f>(DA344+DA346)/2</f>
        <v>61.366500000000002</v>
      </c>
      <c r="DB345" s="120">
        <f>(DA345+DC345)/2</f>
        <v>62.301249999999996</v>
      </c>
      <c r="DC345" s="120">
        <f>(DC344+DC346)/2</f>
        <v>63.235999999999997</v>
      </c>
      <c r="DD345" s="120">
        <f>(DC345+DE345)/2</f>
        <v>64.171250000000001</v>
      </c>
      <c r="DE345" s="120">
        <f>(DE344+DE346)/2</f>
        <v>65.106499999999997</v>
      </c>
      <c r="DF345" s="120">
        <f>(DE345+DG345)/2</f>
        <v>65.990499999999997</v>
      </c>
      <c r="DG345" s="122">
        <f>(DG344+DG346)/2</f>
        <v>66.874499999999998</v>
      </c>
    </row>
    <row r="346" spans="54:111" ht="15" customHeight="1" x14ac:dyDescent="0.2">
      <c r="BB346" s="28">
        <v>34</v>
      </c>
      <c r="BC346" s="121">
        <v>10.893000000000001</v>
      </c>
      <c r="BD346" s="121">
        <v>12.227</v>
      </c>
      <c r="BE346" s="121">
        <v>13.561</v>
      </c>
      <c r="BF346" s="121">
        <v>14.835000000000001</v>
      </c>
      <c r="BG346" s="121">
        <v>16.109000000000002</v>
      </c>
      <c r="BH346" s="121">
        <v>17.281500000000001</v>
      </c>
      <c r="BI346" s="121">
        <v>18.454000000000001</v>
      </c>
      <c r="BJ346" s="121">
        <v>19.587499999999999</v>
      </c>
      <c r="BK346" s="121">
        <v>20.721</v>
      </c>
      <c r="BL346" s="121">
        <v>21.8415</v>
      </c>
      <c r="BM346" s="121">
        <v>22.962</v>
      </c>
      <c r="BN346" s="121">
        <v>24.057499999999997</v>
      </c>
      <c r="BO346" s="121">
        <v>25.152999999999999</v>
      </c>
      <c r="BP346" s="121">
        <v>26.241999999999997</v>
      </c>
      <c r="BQ346" s="121">
        <v>27.331</v>
      </c>
      <c r="BR346" s="121">
        <v>28.387999999999998</v>
      </c>
      <c r="BS346" s="121">
        <v>29.445</v>
      </c>
      <c r="BT346" s="121">
        <v>30.463000000000001</v>
      </c>
      <c r="BU346" s="121">
        <v>31.481000000000002</v>
      </c>
      <c r="BV346" s="121">
        <v>32.524500000000003</v>
      </c>
      <c r="BW346" s="121">
        <v>33.567999999999998</v>
      </c>
      <c r="BX346" s="121">
        <v>34.586500000000001</v>
      </c>
      <c r="BY346" s="121">
        <v>35.604999999999997</v>
      </c>
      <c r="BZ346" s="121">
        <v>36.647999999999996</v>
      </c>
      <c r="CA346" s="121">
        <v>37.691000000000003</v>
      </c>
      <c r="CB346" s="121">
        <v>38.6785</v>
      </c>
      <c r="CC346" s="121">
        <v>39.665999999999997</v>
      </c>
      <c r="CD346" s="121">
        <v>40.645499999999998</v>
      </c>
      <c r="CE346" s="121">
        <v>41.625</v>
      </c>
      <c r="CF346" s="121">
        <f t="array" ref="CF346:CF372">TRANSPOSE(CG345:DG345)</f>
        <v>42.629999999999995</v>
      </c>
      <c r="CG346" s="158">
        <v>43.634999999999998</v>
      </c>
      <c r="CH346" s="120">
        <f>(CI346+CG346)/2</f>
        <v>44.614999999999995</v>
      </c>
      <c r="CI346" s="158">
        <v>45.594999999999999</v>
      </c>
      <c r="CJ346" s="120">
        <f>(CK346+CI346)/2</f>
        <v>46.561</v>
      </c>
      <c r="CK346" s="158">
        <v>47.527000000000001</v>
      </c>
      <c r="CL346" s="120">
        <f>(CM346+CK346)/2</f>
        <v>48.514499999999998</v>
      </c>
      <c r="CM346" s="158">
        <v>49.502000000000002</v>
      </c>
      <c r="CN346" s="120">
        <f>(CO346+CM346)/2</f>
        <v>50.4435</v>
      </c>
      <c r="CO346" s="158">
        <v>51.384999999999998</v>
      </c>
      <c r="CP346" s="120">
        <f>(CQ346+CO346)/2</f>
        <v>52.39</v>
      </c>
      <c r="CQ346" s="158">
        <v>53.395000000000003</v>
      </c>
      <c r="CR346" s="120">
        <f>(CS346+CQ346)/2</f>
        <v>54.336500000000001</v>
      </c>
      <c r="CS346" s="158">
        <v>55.277999999999999</v>
      </c>
      <c r="CT346" s="120">
        <f>(CU346+CS346)/2</f>
        <v>56.244</v>
      </c>
      <c r="CU346" s="158">
        <v>57.21</v>
      </c>
      <c r="CV346" s="120">
        <f>(CW346+CU346)/2</f>
        <v>58.150999999999996</v>
      </c>
      <c r="CW346" s="158">
        <v>59.091999999999999</v>
      </c>
      <c r="CX346" s="120">
        <f>(CY346+CW346)/2</f>
        <v>60.041499999999999</v>
      </c>
      <c r="CY346" s="158">
        <v>60.991</v>
      </c>
      <c r="CZ346" s="120">
        <f>(DA346+CY346)/2</f>
        <v>61.918499999999995</v>
      </c>
      <c r="DA346" s="158">
        <v>62.845999999999997</v>
      </c>
      <c r="DB346" s="120">
        <f>(DC346+DA346)/2</f>
        <v>63.786999999999992</v>
      </c>
      <c r="DC346" s="158">
        <v>64.727999999999994</v>
      </c>
      <c r="DD346" s="120">
        <f>(DE346+DC346)/2</f>
        <v>65.694500000000005</v>
      </c>
      <c r="DE346" s="158">
        <v>66.661000000000001</v>
      </c>
      <c r="DF346" s="120">
        <f>(DG346+DE346)/2</f>
        <v>67.563500000000005</v>
      </c>
      <c r="DG346" s="159">
        <v>68.465999999999994</v>
      </c>
    </row>
    <row r="347" spans="54:111" ht="15" customHeight="1" x14ac:dyDescent="0.2">
      <c r="BB347" s="28">
        <v>35</v>
      </c>
      <c r="BC347" s="121">
        <v>11.1175</v>
      </c>
      <c r="BD347" s="121">
        <v>12.4785</v>
      </c>
      <c r="BE347" s="121">
        <v>13.839500000000001</v>
      </c>
      <c r="BF347" s="121">
        <v>15.11975</v>
      </c>
      <c r="BG347" s="121">
        <v>16.399999999999999</v>
      </c>
      <c r="BH347" s="121">
        <v>17.626750000000001</v>
      </c>
      <c r="BI347" s="121">
        <v>18.8535</v>
      </c>
      <c r="BJ347" s="121">
        <v>20.018249999999998</v>
      </c>
      <c r="BK347" s="121">
        <v>21.183</v>
      </c>
      <c r="BL347" s="121">
        <v>22.3095</v>
      </c>
      <c r="BM347" s="121">
        <v>23.436</v>
      </c>
      <c r="BN347" s="121">
        <v>24.562249999999999</v>
      </c>
      <c r="BO347" s="121">
        <v>25.688499999999998</v>
      </c>
      <c r="BP347" s="121">
        <v>26.802999999999997</v>
      </c>
      <c r="BQ347" s="121">
        <v>27.9175</v>
      </c>
      <c r="BR347" s="121">
        <v>29.005499999999998</v>
      </c>
      <c r="BS347" s="121">
        <v>30.093499999999999</v>
      </c>
      <c r="BT347" s="121">
        <v>31.142749999999999</v>
      </c>
      <c r="BU347" s="121">
        <v>32.192</v>
      </c>
      <c r="BV347" s="121">
        <v>33.245249999999999</v>
      </c>
      <c r="BW347" s="121">
        <v>34.298500000000004</v>
      </c>
      <c r="BX347" s="121">
        <v>35.347750000000005</v>
      </c>
      <c r="BY347" s="121">
        <v>36.396999999999998</v>
      </c>
      <c r="BZ347" s="121">
        <v>37.4465</v>
      </c>
      <c r="CA347" s="121">
        <v>38.496000000000002</v>
      </c>
      <c r="CB347" s="121">
        <v>39.514499999999998</v>
      </c>
      <c r="CC347" s="121">
        <v>40.533000000000001</v>
      </c>
      <c r="CD347" s="121">
        <v>41.563000000000002</v>
      </c>
      <c r="CE347" s="121">
        <v>42.593000000000004</v>
      </c>
      <c r="CF347" s="121">
        <v>43.603999999999999</v>
      </c>
      <c r="CG347" s="121">
        <f t="array" ref="CG347:CG372">TRANSPOSE(CH346:DG346)</f>
        <v>44.614999999999995</v>
      </c>
      <c r="CH347" s="120">
        <f>(CG347+CI347)/2</f>
        <v>45.606499999999997</v>
      </c>
      <c r="CI347" s="120">
        <f>(CI346+CI348)/2</f>
        <v>46.597999999999999</v>
      </c>
      <c r="CJ347" s="120">
        <f>(CI347+CK347)/2</f>
        <v>47.613</v>
      </c>
      <c r="CK347" s="120">
        <f>(CK346+CK348)/2</f>
        <v>48.628</v>
      </c>
      <c r="CL347" s="120">
        <f>(CK347+CM347)/2</f>
        <v>49.623249999999999</v>
      </c>
      <c r="CM347" s="120">
        <f>(CM346+CM348)/2</f>
        <v>50.618499999999997</v>
      </c>
      <c r="CN347" s="120">
        <f>(CM347+CO347)/2</f>
        <v>51.590999999999994</v>
      </c>
      <c r="CO347" s="120">
        <f>(CO346+CO348)/2</f>
        <v>52.563499999999998</v>
      </c>
      <c r="CP347" s="120">
        <f>(CO347+CQ347)/2</f>
        <v>53.558999999999997</v>
      </c>
      <c r="CQ347" s="120">
        <f>(CQ346+CQ348)/2</f>
        <v>54.554500000000004</v>
      </c>
      <c r="CR347" s="120">
        <f>(CQ347+CS347)/2</f>
        <v>55.5655</v>
      </c>
      <c r="CS347" s="120">
        <f>(CS346+CS348)/2</f>
        <v>56.576499999999996</v>
      </c>
      <c r="CT347" s="120">
        <f>(CS347+CU347)/2</f>
        <v>57.548999999999999</v>
      </c>
      <c r="CU347" s="120">
        <f>(CU346+CU348)/2</f>
        <v>58.521500000000003</v>
      </c>
      <c r="CV347" s="120">
        <f>(CU347+CW347)/2</f>
        <v>59.497250000000001</v>
      </c>
      <c r="CW347" s="120">
        <f>(CW346+CW348)/2</f>
        <v>60.472999999999999</v>
      </c>
      <c r="CX347" s="120">
        <f>(CW347+CY347)/2</f>
        <v>61.4495</v>
      </c>
      <c r="CY347" s="120">
        <f>(CY346+CY348)/2</f>
        <v>62.426000000000002</v>
      </c>
      <c r="CZ347" s="120">
        <f>(CY347+DA347)/2</f>
        <v>63.378999999999998</v>
      </c>
      <c r="DA347" s="120">
        <f>(DA346+DA348)/2</f>
        <v>64.331999999999994</v>
      </c>
      <c r="DB347" s="120">
        <f>(DA347+DC347)/2</f>
        <v>65.307999999999993</v>
      </c>
      <c r="DC347" s="120">
        <f>(DC346+DC348)/2</f>
        <v>66.283999999999992</v>
      </c>
      <c r="DD347" s="120">
        <f>(DC347+DE347)/2</f>
        <v>67.217999999999989</v>
      </c>
      <c r="DE347" s="120">
        <f>(DE346+DE348)/2</f>
        <v>68.152000000000001</v>
      </c>
      <c r="DF347" s="120">
        <f>(DE347+DG347)/2</f>
        <v>69.104749999999996</v>
      </c>
      <c r="DG347" s="122">
        <f>(DG346+DG348)/2</f>
        <v>70.057500000000005</v>
      </c>
    </row>
    <row r="348" spans="54:111" ht="15" customHeight="1" x14ac:dyDescent="0.2">
      <c r="BB348" s="28">
        <v>36</v>
      </c>
      <c r="BC348" s="121">
        <v>11.342000000000001</v>
      </c>
      <c r="BD348" s="121">
        <v>12.73</v>
      </c>
      <c r="BE348" s="121">
        <v>14.118</v>
      </c>
      <c r="BF348" s="121">
        <v>15.404499999999999</v>
      </c>
      <c r="BG348" s="121">
        <v>16.690999999999999</v>
      </c>
      <c r="BH348" s="121">
        <v>17.972000000000001</v>
      </c>
      <c r="BI348" s="121">
        <v>19.253</v>
      </c>
      <c r="BJ348" s="121">
        <v>20.448999999999998</v>
      </c>
      <c r="BK348" s="121">
        <v>21.645</v>
      </c>
      <c r="BL348" s="121">
        <v>22.7775</v>
      </c>
      <c r="BM348" s="121">
        <v>23.91</v>
      </c>
      <c r="BN348" s="121">
        <v>25.067</v>
      </c>
      <c r="BO348" s="121">
        <v>26.224</v>
      </c>
      <c r="BP348" s="121">
        <v>27.364000000000001</v>
      </c>
      <c r="BQ348" s="121">
        <v>28.504000000000001</v>
      </c>
      <c r="BR348" s="121">
        <v>29.623000000000001</v>
      </c>
      <c r="BS348" s="121">
        <v>30.742000000000001</v>
      </c>
      <c r="BT348" s="121">
        <v>31.822499999999998</v>
      </c>
      <c r="BU348" s="121">
        <v>32.902999999999999</v>
      </c>
      <c r="BV348" s="121">
        <v>33.966000000000001</v>
      </c>
      <c r="BW348" s="121">
        <v>35.029000000000003</v>
      </c>
      <c r="BX348" s="121">
        <v>36.109000000000002</v>
      </c>
      <c r="BY348" s="121">
        <v>37.189</v>
      </c>
      <c r="BZ348" s="121">
        <v>38.245000000000005</v>
      </c>
      <c r="CA348" s="121">
        <v>39.301000000000002</v>
      </c>
      <c r="CB348" s="121">
        <v>40.350499999999997</v>
      </c>
      <c r="CC348" s="121">
        <v>41.4</v>
      </c>
      <c r="CD348" s="121">
        <v>42.480499999999999</v>
      </c>
      <c r="CE348" s="121">
        <v>43.561</v>
      </c>
      <c r="CF348" s="121">
        <v>44.578000000000003</v>
      </c>
      <c r="CG348" s="121">
        <v>45.594999999999999</v>
      </c>
      <c r="CH348" s="121">
        <f t="array" ref="CH348:CH372">TRANSPOSE(CI347:DG347)</f>
        <v>46.597999999999999</v>
      </c>
      <c r="CI348" s="158">
        <v>47.600999999999999</v>
      </c>
      <c r="CJ348" s="120">
        <f>(CK348+CI348)/2</f>
        <v>48.664999999999999</v>
      </c>
      <c r="CK348" s="158">
        <v>49.728999999999999</v>
      </c>
      <c r="CL348" s="120">
        <f>(CM348+CK348)/2</f>
        <v>50.731999999999999</v>
      </c>
      <c r="CM348" s="158">
        <v>51.734999999999999</v>
      </c>
      <c r="CN348" s="120">
        <f>(CO348+CM348)/2</f>
        <v>52.738500000000002</v>
      </c>
      <c r="CO348" s="158">
        <v>53.741999999999997</v>
      </c>
      <c r="CP348" s="120">
        <f>(CQ348+CO348)/2</f>
        <v>54.727999999999994</v>
      </c>
      <c r="CQ348" s="158">
        <v>55.713999999999999</v>
      </c>
      <c r="CR348" s="120">
        <f>(CS348+CQ348)/2</f>
        <v>56.794499999999999</v>
      </c>
      <c r="CS348" s="158">
        <v>57.875</v>
      </c>
      <c r="CT348" s="120">
        <f>(CU348+CS348)/2</f>
        <v>58.853999999999999</v>
      </c>
      <c r="CU348" s="158">
        <v>59.832999999999998</v>
      </c>
      <c r="CV348" s="120">
        <f>(CW348+CU348)/2</f>
        <v>60.843499999999999</v>
      </c>
      <c r="CW348" s="158">
        <v>61.853999999999999</v>
      </c>
      <c r="CX348" s="120">
        <f>(CY348+CW348)/2</f>
        <v>62.857500000000002</v>
      </c>
      <c r="CY348" s="158">
        <v>63.860999999999997</v>
      </c>
      <c r="CZ348" s="120">
        <f>(DA348+CY348)/2</f>
        <v>64.839500000000001</v>
      </c>
      <c r="DA348" s="158">
        <v>65.817999999999998</v>
      </c>
      <c r="DB348" s="120">
        <f>(DC348+DA348)/2</f>
        <v>66.829000000000008</v>
      </c>
      <c r="DC348" s="158">
        <v>67.84</v>
      </c>
      <c r="DD348" s="120">
        <f>(DE348+DC348)/2</f>
        <v>68.741500000000002</v>
      </c>
      <c r="DE348" s="158">
        <v>69.643000000000001</v>
      </c>
      <c r="DF348" s="120">
        <f>(DG348+DE348)/2</f>
        <v>70.646000000000001</v>
      </c>
      <c r="DG348" s="159">
        <v>71.649000000000001</v>
      </c>
    </row>
    <row r="349" spans="54:111" ht="15" customHeight="1" x14ac:dyDescent="0.2">
      <c r="BB349" s="28">
        <v>37</v>
      </c>
      <c r="BC349" s="121">
        <v>11.583500000000001</v>
      </c>
      <c r="BD349" s="121">
        <v>12.978</v>
      </c>
      <c r="BE349" s="121">
        <v>14.3725</v>
      </c>
      <c r="BF349" s="121">
        <v>15.712999999999999</v>
      </c>
      <c r="BG349" s="121">
        <v>17.0535</v>
      </c>
      <c r="BH349" s="121">
        <v>18.329750000000001</v>
      </c>
      <c r="BI349" s="121">
        <v>19.606000000000002</v>
      </c>
      <c r="BJ349" s="121">
        <v>20.843499999999999</v>
      </c>
      <c r="BK349" s="121">
        <v>22.081</v>
      </c>
      <c r="BL349" s="121">
        <v>23.263750000000002</v>
      </c>
      <c r="BM349" s="121">
        <v>24.4465</v>
      </c>
      <c r="BN349" s="121">
        <v>25.61</v>
      </c>
      <c r="BO349" s="121">
        <v>26.773499999999999</v>
      </c>
      <c r="BP349" s="121">
        <v>27.925249999999998</v>
      </c>
      <c r="BQ349" s="121">
        <v>29.076999999999998</v>
      </c>
      <c r="BR349" s="121">
        <v>30.214500000000001</v>
      </c>
      <c r="BS349" s="121">
        <v>31.352</v>
      </c>
      <c r="BT349" s="121">
        <v>32.474249999999998</v>
      </c>
      <c r="BU349" s="121">
        <v>33.596499999999999</v>
      </c>
      <c r="BV349" s="121">
        <v>34.686750000000004</v>
      </c>
      <c r="BW349" s="121">
        <v>35.777000000000001</v>
      </c>
      <c r="BX349" s="121">
        <v>36.867000000000004</v>
      </c>
      <c r="BY349" s="121">
        <v>37.957000000000001</v>
      </c>
      <c r="BZ349" s="121">
        <v>39.043750000000003</v>
      </c>
      <c r="CA349" s="121">
        <v>40.130499999999998</v>
      </c>
      <c r="CB349" s="121">
        <v>41.21425</v>
      </c>
      <c r="CC349" s="121">
        <v>42.298000000000002</v>
      </c>
      <c r="CD349" s="121">
        <v>43.381500000000003</v>
      </c>
      <c r="CE349" s="121">
        <v>44.465000000000003</v>
      </c>
      <c r="CF349" s="121">
        <v>45.513000000000005</v>
      </c>
      <c r="CG349" s="121">
        <v>46.561</v>
      </c>
      <c r="CH349" s="121">
        <v>47.613</v>
      </c>
      <c r="CI349" s="121">
        <f t="array" ref="CI349:CI372">TRANSPOSE(CJ348:DG348)</f>
        <v>48.664999999999999</v>
      </c>
      <c r="CJ349" s="120">
        <f>(CI349+CK349)/2</f>
        <v>49.71725</v>
      </c>
      <c r="CK349" s="120">
        <f>(CK348+CK350)/2</f>
        <v>50.769500000000001</v>
      </c>
      <c r="CL349" s="120">
        <f>(CK349+CM349)/2</f>
        <v>51.833500000000001</v>
      </c>
      <c r="CM349" s="120">
        <f>(CM348+CM350)/2</f>
        <v>52.897500000000001</v>
      </c>
      <c r="CN349" s="120">
        <f>(CM349+CO349)/2</f>
        <v>53.919499999999999</v>
      </c>
      <c r="CO349" s="120">
        <f>(CO348+CO350)/2</f>
        <v>54.941499999999998</v>
      </c>
      <c r="CP349" s="120">
        <f>(CO349+CQ349)/2</f>
        <v>55.967500000000001</v>
      </c>
      <c r="CQ349" s="120">
        <f>(CQ348+CQ350)/2</f>
        <v>56.993499999999997</v>
      </c>
      <c r="CR349" s="120">
        <f>(CQ349+CS349)/2</f>
        <v>58.03275</v>
      </c>
      <c r="CS349" s="120">
        <f>(CS348+CS350)/2</f>
        <v>59.072000000000003</v>
      </c>
      <c r="CT349" s="120">
        <f>(CS349+CU349)/2</f>
        <v>60.08175</v>
      </c>
      <c r="CU349" s="120">
        <f>(CU348+CU350)/2</f>
        <v>61.091499999999996</v>
      </c>
      <c r="CV349" s="120">
        <f>(CU349+CW349)/2</f>
        <v>62.15925</v>
      </c>
      <c r="CW349" s="120">
        <f>(CW348+CW350)/2</f>
        <v>63.226999999999997</v>
      </c>
      <c r="CX349" s="120">
        <f>(CW349+CY349)/2</f>
        <v>64.248999999999995</v>
      </c>
      <c r="CY349" s="120">
        <f>(CY348+CY350)/2</f>
        <v>65.271000000000001</v>
      </c>
      <c r="CZ349" s="120">
        <f>(CY349+DA349)/2</f>
        <v>66.28425</v>
      </c>
      <c r="DA349" s="120">
        <f>(DA348+DA350)/2</f>
        <v>67.297499999999999</v>
      </c>
      <c r="DB349" s="120">
        <f>(DA349+DC349)/2</f>
        <v>68.311000000000007</v>
      </c>
      <c r="DC349" s="120">
        <f>(DC348+DC350)/2</f>
        <v>69.3245</v>
      </c>
      <c r="DD349" s="120">
        <f>(DC349+DE349)/2</f>
        <v>70.260750000000002</v>
      </c>
      <c r="DE349" s="120">
        <f>(DE348+DE350)/2</f>
        <v>71.197000000000003</v>
      </c>
      <c r="DF349" s="120">
        <f>(DE349+DG349)/2</f>
        <v>72.21875</v>
      </c>
      <c r="DG349" s="122">
        <f>(DG348+DG350)/2</f>
        <v>73.240499999999997</v>
      </c>
    </row>
    <row r="350" spans="54:111" ht="15" customHeight="1" x14ac:dyDescent="0.2">
      <c r="BB350" s="28">
        <v>38</v>
      </c>
      <c r="BC350" s="121">
        <v>11.824999999999999</v>
      </c>
      <c r="BD350" s="121">
        <v>13.225999999999999</v>
      </c>
      <c r="BE350" s="121">
        <v>14.627000000000001</v>
      </c>
      <c r="BF350" s="121">
        <v>16.0215</v>
      </c>
      <c r="BG350" s="121">
        <v>17.416</v>
      </c>
      <c r="BH350" s="121">
        <v>18.6875</v>
      </c>
      <c r="BI350" s="121">
        <v>19.959</v>
      </c>
      <c r="BJ350" s="121">
        <v>21.238</v>
      </c>
      <c r="BK350" s="121">
        <v>22.516999999999999</v>
      </c>
      <c r="BL350" s="121">
        <v>23.75</v>
      </c>
      <c r="BM350" s="121">
        <v>24.983000000000001</v>
      </c>
      <c r="BN350" s="121">
        <v>26.152999999999999</v>
      </c>
      <c r="BO350" s="121">
        <v>27.323</v>
      </c>
      <c r="BP350" s="121">
        <v>28.486499999999999</v>
      </c>
      <c r="BQ350" s="121">
        <v>29.65</v>
      </c>
      <c r="BR350" s="121">
        <v>30.805999999999997</v>
      </c>
      <c r="BS350" s="121">
        <v>31.962</v>
      </c>
      <c r="BT350" s="121">
        <v>33.125999999999998</v>
      </c>
      <c r="BU350" s="121">
        <v>34.29</v>
      </c>
      <c r="BV350" s="121">
        <v>35.407499999999999</v>
      </c>
      <c r="BW350" s="121">
        <v>36.524999999999999</v>
      </c>
      <c r="BX350" s="121">
        <v>37.625</v>
      </c>
      <c r="BY350" s="121">
        <v>38.725000000000001</v>
      </c>
      <c r="BZ350" s="121">
        <v>39.842500000000001</v>
      </c>
      <c r="CA350" s="121">
        <v>40.96</v>
      </c>
      <c r="CB350" s="121">
        <v>42.078000000000003</v>
      </c>
      <c r="CC350" s="121">
        <v>43.195999999999998</v>
      </c>
      <c r="CD350" s="121">
        <v>44.282499999999999</v>
      </c>
      <c r="CE350" s="121">
        <v>45.369</v>
      </c>
      <c r="CF350" s="121">
        <v>46.448</v>
      </c>
      <c r="CG350" s="121">
        <v>47.527000000000001</v>
      </c>
      <c r="CH350" s="121">
        <v>48.628</v>
      </c>
      <c r="CI350" s="121">
        <v>49.728999999999999</v>
      </c>
      <c r="CJ350" s="121">
        <f t="array" ref="CJ350:CJ372">TRANSPOSE(CK349:DG349)</f>
        <v>50.769500000000001</v>
      </c>
      <c r="CK350" s="158">
        <v>51.81</v>
      </c>
      <c r="CL350" s="120">
        <f>(CM350+CK350)/2</f>
        <v>52.935000000000002</v>
      </c>
      <c r="CM350" s="158">
        <v>54.06</v>
      </c>
      <c r="CN350" s="120">
        <f>(CO350+CM350)/2</f>
        <v>55.100499999999997</v>
      </c>
      <c r="CO350" s="158">
        <v>56.140999999999998</v>
      </c>
      <c r="CP350" s="120">
        <f>(CQ350+CO350)/2</f>
        <v>57.207000000000001</v>
      </c>
      <c r="CQ350" s="158">
        <v>58.273000000000003</v>
      </c>
      <c r="CR350" s="120">
        <f>(CS350+CQ350)/2</f>
        <v>59.271000000000001</v>
      </c>
      <c r="CS350" s="158">
        <v>60.268999999999998</v>
      </c>
      <c r="CT350" s="120">
        <f>(CU350+CS350)/2</f>
        <v>61.3095</v>
      </c>
      <c r="CU350" s="158">
        <v>62.35</v>
      </c>
      <c r="CV350" s="120">
        <f>(CW350+CU350)/2</f>
        <v>63.474999999999994</v>
      </c>
      <c r="CW350" s="158">
        <v>64.599999999999994</v>
      </c>
      <c r="CX350" s="120">
        <f>(CY350+CW350)/2</f>
        <v>65.640500000000003</v>
      </c>
      <c r="CY350" s="158">
        <v>66.680999999999997</v>
      </c>
      <c r="CZ350" s="120">
        <f>(DA350+CY350)/2</f>
        <v>67.728999999999999</v>
      </c>
      <c r="DA350" s="158">
        <v>68.777000000000001</v>
      </c>
      <c r="DB350" s="120">
        <f>(DC350+DA350)/2</f>
        <v>69.793000000000006</v>
      </c>
      <c r="DC350" s="158">
        <v>70.808999999999997</v>
      </c>
      <c r="DD350" s="120">
        <f>(DE350+DC350)/2</f>
        <v>71.78</v>
      </c>
      <c r="DE350" s="158">
        <v>72.751000000000005</v>
      </c>
      <c r="DF350" s="120">
        <f>(DG350+DE350)/2</f>
        <v>73.791499999999999</v>
      </c>
      <c r="DG350" s="159">
        <v>74.831999999999994</v>
      </c>
    </row>
    <row r="351" spans="54:111" ht="15" customHeight="1" x14ac:dyDescent="0.2">
      <c r="BB351" s="28">
        <v>39</v>
      </c>
      <c r="BC351" s="121">
        <v>12.003499999999999</v>
      </c>
      <c r="BD351" s="121">
        <v>13.458499999999999</v>
      </c>
      <c r="BE351" s="121">
        <v>14.913499999999999</v>
      </c>
      <c r="BF351" s="121">
        <v>16.323</v>
      </c>
      <c r="BG351" s="121">
        <v>17.732500000000002</v>
      </c>
      <c r="BH351" s="121">
        <v>19.045249999999999</v>
      </c>
      <c r="BI351" s="121">
        <v>20.358000000000001</v>
      </c>
      <c r="BJ351" s="121">
        <v>21.652000000000001</v>
      </c>
      <c r="BK351" s="121">
        <v>22.945999999999998</v>
      </c>
      <c r="BL351" s="121">
        <v>24.201499999999999</v>
      </c>
      <c r="BM351" s="121">
        <v>25.457000000000001</v>
      </c>
      <c r="BN351" s="121">
        <v>26.65775</v>
      </c>
      <c r="BO351" s="121">
        <v>27.858499999999999</v>
      </c>
      <c r="BP351" s="121">
        <v>29.06</v>
      </c>
      <c r="BQ351" s="121">
        <v>30.261499999999998</v>
      </c>
      <c r="BR351" s="121">
        <v>31.439999999999998</v>
      </c>
      <c r="BS351" s="121">
        <v>32.618499999999997</v>
      </c>
      <c r="BT351" s="121">
        <v>33.796999999999997</v>
      </c>
      <c r="BU351" s="121">
        <v>34.975499999999997</v>
      </c>
      <c r="BV351" s="121">
        <v>36.115499999999997</v>
      </c>
      <c r="BW351" s="121">
        <v>37.255499999999998</v>
      </c>
      <c r="BX351" s="121">
        <v>38.382999999999996</v>
      </c>
      <c r="BY351" s="121">
        <v>39.5105</v>
      </c>
      <c r="BZ351" s="121">
        <v>40.65025</v>
      </c>
      <c r="CA351" s="121">
        <v>41.79</v>
      </c>
      <c r="CB351" s="121">
        <v>42.926250000000003</v>
      </c>
      <c r="CC351" s="121">
        <v>44.0625</v>
      </c>
      <c r="CD351" s="121">
        <v>45.186999999999998</v>
      </c>
      <c r="CE351" s="121">
        <v>46.311499999999995</v>
      </c>
      <c r="CF351" s="121">
        <v>47.412999999999997</v>
      </c>
      <c r="CG351" s="121">
        <v>48.514499999999998</v>
      </c>
      <c r="CH351" s="121">
        <v>49.623249999999999</v>
      </c>
      <c r="CI351" s="121">
        <v>50.731999999999999</v>
      </c>
      <c r="CJ351" s="121">
        <v>51.833500000000001</v>
      </c>
      <c r="CK351" s="121">
        <f t="array" ref="CK351:CK372">TRANSPOSE(CL350:DG350)</f>
        <v>52.935000000000002</v>
      </c>
      <c r="CL351" s="120">
        <f>(CK351+CM351)/2</f>
        <v>54.036250000000003</v>
      </c>
      <c r="CM351" s="120">
        <f>(CM350+CM352)/2</f>
        <v>55.137500000000003</v>
      </c>
      <c r="CN351" s="120">
        <f>(CM351+CO351)/2</f>
        <v>56.200500000000005</v>
      </c>
      <c r="CO351" s="120">
        <f>(CO350+CO352)/2</f>
        <v>57.263500000000001</v>
      </c>
      <c r="CP351" s="120">
        <f>(CO351+CQ351)/2</f>
        <v>58.373999999999995</v>
      </c>
      <c r="CQ351" s="120">
        <f>(CQ350+CQ352)/2</f>
        <v>59.484499999999997</v>
      </c>
      <c r="CR351" s="120">
        <f>(CQ351+CS351)/2</f>
        <v>60.525999999999996</v>
      </c>
      <c r="CS351" s="120">
        <f>(CS350+CS352)/2</f>
        <v>61.567499999999995</v>
      </c>
      <c r="CT351" s="120">
        <f>(CS351+CU351)/2</f>
        <v>62.626750000000001</v>
      </c>
      <c r="CU351" s="120">
        <f>(CU350+CU352)/2</f>
        <v>63.686000000000007</v>
      </c>
      <c r="CV351" s="120">
        <f>(CU351+CW351)/2</f>
        <v>64.791250000000005</v>
      </c>
      <c r="CW351" s="120">
        <f>(CW350+CW352)/2</f>
        <v>65.896500000000003</v>
      </c>
      <c r="CX351" s="120">
        <f>(CW351+CY351)/2</f>
        <v>66.959249999999997</v>
      </c>
      <c r="CY351" s="120">
        <f>(CY350+CY352)/2</f>
        <v>68.021999999999991</v>
      </c>
      <c r="CZ351" s="120">
        <f>(CY351+DA351)/2</f>
        <v>69.08475</v>
      </c>
      <c r="DA351" s="120">
        <f>(DA350+DA352)/2</f>
        <v>70.147500000000008</v>
      </c>
      <c r="DB351" s="120">
        <f>(DA351+DC351)/2</f>
        <v>71.198250000000002</v>
      </c>
      <c r="DC351" s="120">
        <f>(DC350+DC352)/2</f>
        <v>72.248999999999995</v>
      </c>
      <c r="DD351" s="120">
        <f>(DC351+DE351)/2</f>
        <v>73.27324999999999</v>
      </c>
      <c r="DE351" s="120">
        <f>(DE350+DE352)/2</f>
        <v>74.297499999999999</v>
      </c>
      <c r="DF351" s="120">
        <f>(DE351+DG351)/2</f>
        <v>75.360500000000002</v>
      </c>
      <c r="DG351" s="122">
        <f>(DG350+DG352)/2</f>
        <v>76.42349999999999</v>
      </c>
    </row>
    <row r="352" spans="54:111" ht="15" customHeight="1" x14ac:dyDescent="0.2">
      <c r="BB352" s="28">
        <v>40</v>
      </c>
      <c r="BC352" s="121">
        <v>12.182</v>
      </c>
      <c r="BD352" s="121">
        <v>13.690999999999999</v>
      </c>
      <c r="BE352" s="121">
        <v>15.2</v>
      </c>
      <c r="BF352" s="121">
        <v>16.624499999999998</v>
      </c>
      <c r="BG352" s="121">
        <v>18.048999999999999</v>
      </c>
      <c r="BH352" s="121">
        <v>19.402999999999999</v>
      </c>
      <c r="BI352" s="121">
        <v>20.757000000000001</v>
      </c>
      <c r="BJ352" s="121">
        <v>22.066000000000003</v>
      </c>
      <c r="BK352" s="121">
        <v>23.375</v>
      </c>
      <c r="BL352" s="121">
        <v>24.652999999999999</v>
      </c>
      <c r="BM352" s="121">
        <v>25.931000000000001</v>
      </c>
      <c r="BN352" s="121">
        <v>27.162500000000001</v>
      </c>
      <c r="BO352" s="121">
        <v>28.393999999999998</v>
      </c>
      <c r="BP352" s="121">
        <v>29.633499999999998</v>
      </c>
      <c r="BQ352" s="121">
        <v>30.873000000000001</v>
      </c>
      <c r="BR352" s="121">
        <v>32.073999999999998</v>
      </c>
      <c r="BS352" s="121">
        <v>33.274999999999999</v>
      </c>
      <c r="BT352" s="121">
        <v>34.468000000000004</v>
      </c>
      <c r="BU352" s="121">
        <v>35.661000000000001</v>
      </c>
      <c r="BV352" s="121">
        <v>36.823499999999996</v>
      </c>
      <c r="BW352" s="121">
        <v>37.985999999999997</v>
      </c>
      <c r="BX352" s="121">
        <v>39.140999999999998</v>
      </c>
      <c r="BY352" s="121">
        <v>40.295999999999999</v>
      </c>
      <c r="BZ352" s="121">
        <v>41.457999999999998</v>
      </c>
      <c r="CA352" s="121">
        <v>42.62</v>
      </c>
      <c r="CB352" s="121">
        <v>43.774500000000003</v>
      </c>
      <c r="CC352" s="121">
        <v>44.929000000000002</v>
      </c>
      <c r="CD352" s="121">
        <v>46.091499999999996</v>
      </c>
      <c r="CE352" s="121">
        <v>47.253999999999998</v>
      </c>
      <c r="CF352" s="121">
        <v>48.378</v>
      </c>
      <c r="CG352" s="121">
        <v>49.502000000000002</v>
      </c>
      <c r="CH352" s="121">
        <v>50.618499999999997</v>
      </c>
      <c r="CI352" s="121">
        <v>51.734999999999999</v>
      </c>
      <c r="CJ352" s="121">
        <v>52.897500000000001</v>
      </c>
      <c r="CK352" s="121">
        <v>54.06</v>
      </c>
      <c r="CL352" s="121">
        <f t="array" ref="CL352:CL372">TRANSPOSE(CM351:DG351)</f>
        <v>55.137500000000003</v>
      </c>
      <c r="CM352" s="158">
        <v>56.215000000000003</v>
      </c>
      <c r="CN352" s="120">
        <f>(CO352+CM352)/2</f>
        <v>57.3005</v>
      </c>
      <c r="CO352" s="158">
        <v>58.386000000000003</v>
      </c>
      <c r="CP352" s="120">
        <f>(CQ352+CO352)/2</f>
        <v>59.540999999999997</v>
      </c>
      <c r="CQ352" s="158">
        <v>60.695999999999998</v>
      </c>
      <c r="CR352" s="120">
        <f>(CS352+CQ352)/2</f>
        <v>61.780999999999999</v>
      </c>
      <c r="CS352" s="158">
        <v>62.866</v>
      </c>
      <c r="CT352" s="120">
        <f>(CU352+CS352)/2</f>
        <v>63.944000000000003</v>
      </c>
      <c r="CU352" s="158">
        <v>65.022000000000006</v>
      </c>
      <c r="CV352" s="120">
        <f>(CW352+CU352)/2</f>
        <v>66.107500000000002</v>
      </c>
      <c r="CW352" s="158">
        <v>67.192999999999998</v>
      </c>
      <c r="CX352" s="120">
        <f>(CY352+CW352)/2</f>
        <v>68.277999999999992</v>
      </c>
      <c r="CY352" s="158">
        <v>69.363</v>
      </c>
      <c r="CZ352" s="120">
        <f>(DA352+CY352)/2</f>
        <v>70.4405</v>
      </c>
      <c r="DA352" s="158">
        <v>71.518000000000001</v>
      </c>
      <c r="DB352" s="120">
        <f>(DC352+DA352)/2</f>
        <v>72.603499999999997</v>
      </c>
      <c r="DC352" s="158">
        <v>73.688999999999993</v>
      </c>
      <c r="DD352" s="120">
        <f>(DE352+DC352)/2</f>
        <v>74.766499999999994</v>
      </c>
      <c r="DE352" s="158">
        <v>75.843999999999994</v>
      </c>
      <c r="DF352" s="120">
        <f>(DG352+DE352)/2</f>
        <v>76.92949999999999</v>
      </c>
      <c r="DG352" s="159">
        <v>78.015000000000001</v>
      </c>
    </row>
    <row r="353" spans="54:111" ht="15" customHeight="1" x14ac:dyDescent="0.2">
      <c r="BB353" s="28">
        <v>41</v>
      </c>
      <c r="BC353" s="121">
        <v>12.3985</v>
      </c>
      <c r="BD353" s="121">
        <v>13.938499999999999</v>
      </c>
      <c r="BE353" s="121">
        <v>15.4785</v>
      </c>
      <c r="BF353" s="121">
        <v>16.925249999999998</v>
      </c>
      <c r="BG353" s="121">
        <v>18.372</v>
      </c>
      <c r="BH353" s="121">
        <v>19.741499999999998</v>
      </c>
      <c r="BI353" s="121">
        <v>21.111000000000001</v>
      </c>
      <c r="BJ353" s="121">
        <v>22.442250000000001</v>
      </c>
      <c r="BK353" s="121">
        <v>23.773499999999999</v>
      </c>
      <c r="BL353" s="121">
        <v>25.088999999999999</v>
      </c>
      <c r="BM353" s="121">
        <v>26.404499999999999</v>
      </c>
      <c r="BN353" s="121">
        <v>27.670999999999999</v>
      </c>
      <c r="BO353" s="121">
        <v>28.9375</v>
      </c>
      <c r="BP353" s="121">
        <v>30.191749999999999</v>
      </c>
      <c r="BQ353" s="121">
        <v>31.445999999999998</v>
      </c>
      <c r="BR353" s="121">
        <v>32.665499999999994</v>
      </c>
      <c r="BS353" s="121">
        <v>33.884999999999998</v>
      </c>
      <c r="BT353" s="121">
        <v>35.100499999999997</v>
      </c>
      <c r="BU353" s="121">
        <v>36.316000000000003</v>
      </c>
      <c r="BV353" s="121">
        <v>37.512249999999995</v>
      </c>
      <c r="BW353" s="121">
        <v>38.708500000000001</v>
      </c>
      <c r="BX353" s="121">
        <v>39.898250000000004</v>
      </c>
      <c r="BY353" s="121">
        <v>41.088000000000001</v>
      </c>
      <c r="BZ353" s="121">
        <v>42.268749999999997</v>
      </c>
      <c r="CA353" s="121">
        <v>43.4495</v>
      </c>
      <c r="CB353" s="121">
        <v>44.623000000000005</v>
      </c>
      <c r="CC353" s="121">
        <v>45.796500000000002</v>
      </c>
      <c r="CD353" s="121">
        <v>46.97775</v>
      </c>
      <c r="CE353" s="121">
        <v>48.158999999999999</v>
      </c>
      <c r="CF353" s="121">
        <v>49.301249999999996</v>
      </c>
      <c r="CG353" s="121">
        <v>50.4435</v>
      </c>
      <c r="CH353" s="121">
        <v>51.590999999999994</v>
      </c>
      <c r="CI353" s="121">
        <v>52.738500000000002</v>
      </c>
      <c r="CJ353" s="121">
        <v>53.919499999999999</v>
      </c>
      <c r="CK353" s="121">
        <v>55.100499999999997</v>
      </c>
      <c r="CL353" s="121">
        <v>56.200500000000005</v>
      </c>
      <c r="CM353" s="121">
        <f t="array" ref="CM353:CM372">TRANSPOSE(CN352:DG352)</f>
        <v>57.3005</v>
      </c>
      <c r="CN353" s="120">
        <f>(CM353+CO353)/2</f>
        <v>58.439250000000001</v>
      </c>
      <c r="CO353" s="120">
        <f>(CO352+CO354)/2</f>
        <v>59.578000000000003</v>
      </c>
      <c r="CP353" s="120">
        <f>(CO353+CQ353)/2</f>
        <v>60.716750000000005</v>
      </c>
      <c r="CQ353" s="120">
        <f>(CQ352+CQ354)/2</f>
        <v>61.855499999999999</v>
      </c>
      <c r="CR353" s="120">
        <f>(CQ353+CS353)/2</f>
        <v>62.971500000000006</v>
      </c>
      <c r="CS353" s="120">
        <f>(CS352+CS354)/2</f>
        <v>64.087500000000006</v>
      </c>
      <c r="CT353" s="120">
        <f>(CS353+CU353)/2</f>
        <v>65.226500000000001</v>
      </c>
      <c r="CU353" s="120">
        <f>(CU352+CU354)/2</f>
        <v>66.365499999999997</v>
      </c>
      <c r="CV353" s="120">
        <f>(CU353+CW353)/2</f>
        <v>67.46575</v>
      </c>
      <c r="CW353" s="120">
        <f>(CW352+CW354)/2</f>
        <v>68.566000000000003</v>
      </c>
      <c r="CX353" s="120">
        <f>(CW353+CY353)/2</f>
        <v>69.669749999999993</v>
      </c>
      <c r="CY353" s="120">
        <f>(CY352+CY354)/2</f>
        <v>70.773499999999999</v>
      </c>
      <c r="CZ353" s="120">
        <f>(CY353+DA353)/2</f>
        <v>71.873500000000007</v>
      </c>
      <c r="DA353" s="120">
        <f>(DA352+DA354)/2</f>
        <v>72.973500000000001</v>
      </c>
      <c r="DB353" s="120">
        <f>(DA353+DC353)/2</f>
        <v>74.085999999999999</v>
      </c>
      <c r="DC353" s="120">
        <f>(DC352+DC354)/2</f>
        <v>75.198499999999996</v>
      </c>
      <c r="DD353" s="120">
        <f>(DC353+DE353)/2</f>
        <v>76.29849999999999</v>
      </c>
      <c r="DE353" s="120">
        <f>(DE352+DE354)/2</f>
        <v>77.398499999999999</v>
      </c>
      <c r="DF353" s="120">
        <f>(DE353+DG353)/2</f>
        <v>78.502499999999998</v>
      </c>
      <c r="DG353" s="122">
        <f>(DG352+DG354)/2</f>
        <v>79.606499999999997</v>
      </c>
    </row>
    <row r="354" spans="54:111" ht="15" customHeight="1" x14ac:dyDescent="0.2">
      <c r="BB354" s="28">
        <v>42</v>
      </c>
      <c r="BC354" s="121">
        <v>12.615</v>
      </c>
      <c r="BD354" s="121">
        <v>14.186</v>
      </c>
      <c r="BE354" s="121">
        <v>15.757</v>
      </c>
      <c r="BF354" s="121">
        <v>17.225999999999999</v>
      </c>
      <c r="BG354" s="121">
        <v>18.695</v>
      </c>
      <c r="BH354" s="121">
        <v>20.079999999999998</v>
      </c>
      <c r="BI354" s="121">
        <v>21.465</v>
      </c>
      <c r="BJ354" s="121">
        <v>22.8185</v>
      </c>
      <c r="BK354" s="121">
        <v>24.172000000000001</v>
      </c>
      <c r="BL354" s="121">
        <v>25.524999999999999</v>
      </c>
      <c r="BM354" s="121">
        <v>26.878</v>
      </c>
      <c r="BN354" s="121">
        <v>28.179500000000001</v>
      </c>
      <c r="BO354" s="121">
        <v>29.481000000000002</v>
      </c>
      <c r="BP354" s="121">
        <v>30.75</v>
      </c>
      <c r="BQ354" s="121">
        <v>32.018999999999998</v>
      </c>
      <c r="BR354" s="121">
        <v>33.256999999999998</v>
      </c>
      <c r="BS354" s="121">
        <v>34.494999999999997</v>
      </c>
      <c r="BT354" s="121">
        <v>35.732999999999997</v>
      </c>
      <c r="BU354" s="121">
        <v>36.970999999999997</v>
      </c>
      <c r="BV354" s="121">
        <v>38.200999999999993</v>
      </c>
      <c r="BW354" s="121">
        <v>39.430999999999997</v>
      </c>
      <c r="BX354" s="121">
        <v>40.655500000000004</v>
      </c>
      <c r="BY354" s="121">
        <v>41.88</v>
      </c>
      <c r="BZ354" s="121">
        <v>43.079500000000003</v>
      </c>
      <c r="CA354" s="121">
        <v>44.279000000000003</v>
      </c>
      <c r="CB354" s="121">
        <v>45.471500000000006</v>
      </c>
      <c r="CC354" s="121">
        <v>46.664000000000001</v>
      </c>
      <c r="CD354" s="121">
        <v>47.864000000000004</v>
      </c>
      <c r="CE354" s="121">
        <v>49.064</v>
      </c>
      <c r="CF354" s="121">
        <v>50.224499999999999</v>
      </c>
      <c r="CG354" s="121">
        <v>51.384999999999998</v>
      </c>
      <c r="CH354" s="121">
        <v>52.563499999999998</v>
      </c>
      <c r="CI354" s="121">
        <v>53.741999999999997</v>
      </c>
      <c r="CJ354" s="121">
        <v>54.941499999999998</v>
      </c>
      <c r="CK354" s="121">
        <v>56.140999999999998</v>
      </c>
      <c r="CL354" s="121">
        <v>57.263500000000001</v>
      </c>
      <c r="CM354" s="121">
        <v>58.386000000000003</v>
      </c>
      <c r="CN354" s="121">
        <f t="array" ref="CN354:CN372">TRANSPOSE(CO353:DG353)</f>
        <v>59.578000000000003</v>
      </c>
      <c r="CO354" s="158">
        <v>60.77</v>
      </c>
      <c r="CP354" s="120">
        <f>(CQ354+CO354)/2</f>
        <v>61.892499999999998</v>
      </c>
      <c r="CQ354" s="158">
        <v>63.015000000000001</v>
      </c>
      <c r="CR354" s="120">
        <f>(CS354+CQ354)/2</f>
        <v>64.162000000000006</v>
      </c>
      <c r="CS354" s="158">
        <v>65.308999999999997</v>
      </c>
      <c r="CT354" s="120">
        <f>(CU354+CS354)/2</f>
        <v>66.509</v>
      </c>
      <c r="CU354" s="158">
        <v>67.709000000000003</v>
      </c>
      <c r="CV354" s="120">
        <f>(CW354+CU354)/2</f>
        <v>68.823999999999998</v>
      </c>
      <c r="CW354" s="158">
        <v>69.938999999999993</v>
      </c>
      <c r="CX354" s="120">
        <f>(CY354+CW354)/2</f>
        <v>71.061499999999995</v>
      </c>
      <c r="CY354" s="158">
        <v>72.183999999999997</v>
      </c>
      <c r="CZ354" s="120">
        <f>(DA354+CY354)/2</f>
        <v>73.3065</v>
      </c>
      <c r="DA354" s="158">
        <v>74.429000000000002</v>
      </c>
      <c r="DB354" s="120">
        <f>(DC354+DA354)/2</f>
        <v>75.5685</v>
      </c>
      <c r="DC354" s="158">
        <v>76.707999999999998</v>
      </c>
      <c r="DD354" s="120">
        <f>(DE354+DC354)/2</f>
        <v>77.830500000000001</v>
      </c>
      <c r="DE354" s="158">
        <v>78.953000000000003</v>
      </c>
      <c r="DF354" s="120">
        <f>(DG354+DE354)/2</f>
        <v>80.075500000000005</v>
      </c>
      <c r="DG354" s="159">
        <v>81.197999999999993</v>
      </c>
    </row>
    <row r="355" spans="54:111" ht="15" customHeight="1" x14ac:dyDescent="0.2">
      <c r="BB355" s="28">
        <v>43</v>
      </c>
      <c r="BC355" s="121">
        <v>12.8645</v>
      </c>
      <c r="BD355" s="121">
        <v>14.437999999999999</v>
      </c>
      <c r="BE355" s="121">
        <v>16.011499999999998</v>
      </c>
      <c r="BF355" s="121">
        <v>17.530749999999998</v>
      </c>
      <c r="BG355" s="121">
        <v>19.05</v>
      </c>
      <c r="BH355" s="121">
        <v>20.457000000000001</v>
      </c>
      <c r="BI355" s="121">
        <v>21.864000000000001</v>
      </c>
      <c r="BJ355" s="121">
        <v>23.236000000000001</v>
      </c>
      <c r="BK355" s="121">
        <v>24.608000000000001</v>
      </c>
      <c r="BL355" s="121">
        <v>25.97325</v>
      </c>
      <c r="BM355" s="121">
        <v>27.3385</v>
      </c>
      <c r="BN355" s="121">
        <v>28.664999999999999</v>
      </c>
      <c r="BO355" s="121">
        <v>29.991500000000002</v>
      </c>
      <c r="BP355" s="121">
        <v>31.29175</v>
      </c>
      <c r="BQ355" s="121">
        <v>32.591999999999999</v>
      </c>
      <c r="BR355" s="121">
        <v>33.867750000000001</v>
      </c>
      <c r="BS355" s="121">
        <v>35.143500000000003</v>
      </c>
      <c r="BT355" s="121">
        <v>36.4</v>
      </c>
      <c r="BU355" s="121">
        <v>37.656499999999994</v>
      </c>
      <c r="BV355" s="121">
        <v>38.921499999999995</v>
      </c>
      <c r="BW355" s="121">
        <v>40.186499999999995</v>
      </c>
      <c r="BX355" s="121">
        <v>41.417250000000003</v>
      </c>
      <c r="BY355" s="121">
        <v>42.647999999999996</v>
      </c>
      <c r="BZ355" s="121">
        <v>43.874750000000006</v>
      </c>
      <c r="CA355" s="121">
        <v>45.101500000000001</v>
      </c>
      <c r="CB355" s="121">
        <v>46.316000000000003</v>
      </c>
      <c r="CC355" s="121">
        <v>47.530500000000004</v>
      </c>
      <c r="CD355" s="121">
        <v>48.749250000000004</v>
      </c>
      <c r="CE355" s="121">
        <v>49.968000000000004</v>
      </c>
      <c r="CF355" s="121">
        <v>51.179000000000002</v>
      </c>
      <c r="CG355" s="121">
        <v>52.39</v>
      </c>
      <c r="CH355" s="121">
        <v>53.558999999999997</v>
      </c>
      <c r="CI355" s="121">
        <v>54.727999999999994</v>
      </c>
      <c r="CJ355" s="121">
        <v>55.967500000000001</v>
      </c>
      <c r="CK355" s="121">
        <v>57.207000000000001</v>
      </c>
      <c r="CL355" s="121">
        <v>58.373999999999995</v>
      </c>
      <c r="CM355" s="121">
        <v>59.540999999999997</v>
      </c>
      <c r="CN355" s="121">
        <v>60.716750000000005</v>
      </c>
      <c r="CO355" s="121">
        <f t="array" ref="CO355:CO372">TRANSPOSE(CP354:DG354)</f>
        <v>61.892499999999998</v>
      </c>
      <c r="CP355" s="120">
        <f>(CO355+CQ355)/2</f>
        <v>63.045999999999999</v>
      </c>
      <c r="CQ355" s="120">
        <f>(CQ354+CQ356)/2</f>
        <v>64.1995</v>
      </c>
      <c r="CR355" s="120">
        <f>(CQ355+CS355)/2</f>
        <v>65.391500000000008</v>
      </c>
      <c r="CS355" s="120">
        <f>(CS354+CS356)/2</f>
        <v>66.583500000000001</v>
      </c>
      <c r="CT355" s="120">
        <f>(CS355+CU355)/2</f>
        <v>67.775750000000002</v>
      </c>
      <c r="CU355" s="120">
        <f>(CU354+CU356)/2</f>
        <v>68.968000000000004</v>
      </c>
      <c r="CV355" s="120">
        <f>(CU355+CW355)/2</f>
        <v>70.101249999999993</v>
      </c>
      <c r="CW355" s="120">
        <f>(CW354+CW356)/2</f>
        <v>71.234499999999997</v>
      </c>
      <c r="CX355" s="120">
        <f>(CW355+CY355)/2</f>
        <v>72.414249999999996</v>
      </c>
      <c r="CY355" s="120">
        <f>(CY354+CY356)/2</f>
        <v>73.593999999999994</v>
      </c>
      <c r="CZ355" s="120">
        <f>(CY355+DA355)/2</f>
        <v>74.747500000000002</v>
      </c>
      <c r="DA355" s="120">
        <f>(DA354+DA356)/2</f>
        <v>75.90100000000001</v>
      </c>
      <c r="DB355" s="120">
        <f>(DA355+DC355)/2</f>
        <v>77.0505</v>
      </c>
      <c r="DC355" s="120">
        <f>(DC354+DC356)/2</f>
        <v>78.199999999999989</v>
      </c>
      <c r="DD355" s="120">
        <f>(DC355+DE355)/2</f>
        <v>79.353499999999997</v>
      </c>
      <c r="DE355" s="120">
        <f>(DE354+DE356)/2</f>
        <v>80.507000000000005</v>
      </c>
      <c r="DF355" s="120">
        <f>(DE355+DG355)/2</f>
        <v>81.644499999999994</v>
      </c>
      <c r="DG355" s="122">
        <f>(DG354+DG356)/2</f>
        <v>82.781999999999996</v>
      </c>
    </row>
    <row r="356" spans="54:111" ht="15" customHeight="1" x14ac:dyDescent="0.2">
      <c r="BB356" s="28">
        <v>44</v>
      </c>
      <c r="BC356" s="121">
        <v>13.114000000000001</v>
      </c>
      <c r="BD356" s="121">
        <v>14.69</v>
      </c>
      <c r="BE356" s="121">
        <v>16.265999999999998</v>
      </c>
      <c r="BF356" s="121">
        <v>17.8355</v>
      </c>
      <c r="BG356" s="121">
        <v>19.405000000000001</v>
      </c>
      <c r="BH356" s="121">
        <v>20.834000000000003</v>
      </c>
      <c r="BI356" s="121">
        <v>22.263000000000002</v>
      </c>
      <c r="BJ356" s="121">
        <v>23.653500000000001</v>
      </c>
      <c r="BK356" s="121">
        <v>25.044</v>
      </c>
      <c r="BL356" s="121">
        <v>26.421500000000002</v>
      </c>
      <c r="BM356" s="121">
        <v>27.798999999999999</v>
      </c>
      <c r="BN356" s="121">
        <v>29.150500000000001</v>
      </c>
      <c r="BO356" s="121">
        <v>30.501999999999999</v>
      </c>
      <c r="BP356" s="121">
        <v>31.833500000000001</v>
      </c>
      <c r="BQ356" s="121">
        <v>33.164999999999999</v>
      </c>
      <c r="BR356" s="121">
        <v>34.478499999999997</v>
      </c>
      <c r="BS356" s="121">
        <v>35.792000000000002</v>
      </c>
      <c r="BT356" s="121">
        <v>37.067</v>
      </c>
      <c r="BU356" s="121">
        <v>38.341999999999999</v>
      </c>
      <c r="BV356" s="121">
        <v>39.641999999999996</v>
      </c>
      <c r="BW356" s="121">
        <v>40.942</v>
      </c>
      <c r="BX356" s="121">
        <v>42.179000000000002</v>
      </c>
      <c r="BY356" s="121">
        <v>43.415999999999997</v>
      </c>
      <c r="BZ356" s="121">
        <v>44.67</v>
      </c>
      <c r="CA356" s="121">
        <v>45.923999999999999</v>
      </c>
      <c r="CB356" s="121">
        <v>47.160499999999999</v>
      </c>
      <c r="CC356" s="121">
        <v>48.396999999999998</v>
      </c>
      <c r="CD356" s="121">
        <v>49.634500000000003</v>
      </c>
      <c r="CE356" s="121">
        <v>50.872</v>
      </c>
      <c r="CF356" s="121">
        <v>52.133499999999998</v>
      </c>
      <c r="CG356" s="121">
        <v>53.395000000000003</v>
      </c>
      <c r="CH356" s="121">
        <v>54.554500000000004</v>
      </c>
      <c r="CI356" s="121">
        <v>55.713999999999999</v>
      </c>
      <c r="CJ356" s="121">
        <v>56.993499999999997</v>
      </c>
      <c r="CK356" s="121">
        <v>58.273000000000003</v>
      </c>
      <c r="CL356" s="121">
        <v>59.484499999999997</v>
      </c>
      <c r="CM356" s="121">
        <v>60.695999999999998</v>
      </c>
      <c r="CN356" s="121">
        <v>61.855499999999999</v>
      </c>
      <c r="CO356" s="121">
        <v>63.015000000000001</v>
      </c>
      <c r="CP356" s="121">
        <f t="array" ref="CP356:CP372">TRANSPOSE(CQ355:DG355)</f>
        <v>64.1995</v>
      </c>
      <c r="CQ356" s="158">
        <v>65.384</v>
      </c>
      <c r="CR356" s="121">
        <f>CS355</f>
        <v>66.583500000000001</v>
      </c>
      <c r="CS356" s="158">
        <v>67.858000000000004</v>
      </c>
      <c r="CT356" s="121">
        <f>CU355</f>
        <v>68.968000000000004</v>
      </c>
      <c r="CU356" s="158">
        <v>70.227000000000004</v>
      </c>
      <c r="CV356" s="121">
        <f>CW355</f>
        <v>71.234499999999997</v>
      </c>
      <c r="CW356" s="158">
        <v>72.53</v>
      </c>
      <c r="CX356" s="121">
        <f>CY355</f>
        <v>73.593999999999994</v>
      </c>
      <c r="CY356" s="158">
        <v>75.004000000000005</v>
      </c>
      <c r="CZ356" s="121">
        <f>DA355</f>
        <v>75.90100000000001</v>
      </c>
      <c r="DA356" s="158">
        <v>77.373000000000005</v>
      </c>
      <c r="DB356" s="121">
        <f>DC355</f>
        <v>78.199999999999989</v>
      </c>
      <c r="DC356" s="158">
        <v>79.691999999999993</v>
      </c>
      <c r="DD356" s="121">
        <f>DE355</f>
        <v>80.507000000000005</v>
      </c>
      <c r="DE356" s="158">
        <v>82.061000000000007</v>
      </c>
      <c r="DF356" s="121">
        <f>DG355</f>
        <v>82.781999999999996</v>
      </c>
      <c r="DG356" s="159">
        <v>84.366</v>
      </c>
    </row>
    <row r="357" spans="54:111" ht="15" customHeight="1" x14ac:dyDescent="0.2">
      <c r="BB357" s="28">
        <v>45</v>
      </c>
      <c r="BC357" s="121">
        <v>13.2925</v>
      </c>
      <c r="BD357" s="121">
        <v>14.922499999999999</v>
      </c>
      <c r="BE357" s="121">
        <v>16.552499999999998</v>
      </c>
      <c r="BF357" s="121">
        <v>18.128</v>
      </c>
      <c r="BG357" s="121">
        <v>19.703499999999998</v>
      </c>
      <c r="BH357" s="121">
        <v>21.16375</v>
      </c>
      <c r="BI357" s="121">
        <v>22.624000000000002</v>
      </c>
      <c r="BJ357" s="121">
        <v>24.06475</v>
      </c>
      <c r="BK357" s="121">
        <v>25.505499999999998</v>
      </c>
      <c r="BL357" s="121">
        <v>26.888999999999999</v>
      </c>
      <c r="BM357" s="121">
        <v>28.272500000000001</v>
      </c>
      <c r="BN357" s="121">
        <v>29.6555</v>
      </c>
      <c r="BO357" s="121">
        <v>31.038499999999999</v>
      </c>
      <c r="BP357" s="121">
        <v>32.375749999999996</v>
      </c>
      <c r="BQ357" s="121">
        <v>33.713000000000001</v>
      </c>
      <c r="BR357" s="121">
        <v>35.057749999999999</v>
      </c>
      <c r="BS357" s="121">
        <v>36.402500000000003</v>
      </c>
      <c r="BT357" s="121">
        <v>37.70825</v>
      </c>
      <c r="BU357" s="121">
        <v>39.013999999999996</v>
      </c>
      <c r="BV357" s="121">
        <v>40.320499999999996</v>
      </c>
      <c r="BW357" s="121">
        <v>41.626999999999995</v>
      </c>
      <c r="BX357" s="121">
        <v>42.914250000000003</v>
      </c>
      <c r="BY357" s="121">
        <v>44.201499999999996</v>
      </c>
      <c r="BZ357" s="121">
        <v>45.465249999999997</v>
      </c>
      <c r="CA357" s="121">
        <v>46.728999999999999</v>
      </c>
      <c r="CB357" s="121">
        <v>47.997</v>
      </c>
      <c r="CC357" s="121">
        <v>49.265000000000001</v>
      </c>
      <c r="CD357" s="121">
        <v>50.53275</v>
      </c>
      <c r="CE357" s="121">
        <v>51.8005</v>
      </c>
      <c r="CF357" s="121">
        <v>53.0685</v>
      </c>
      <c r="CG357" s="121">
        <v>54.336500000000001</v>
      </c>
      <c r="CH357" s="121">
        <v>55.5655</v>
      </c>
      <c r="CI357" s="121">
        <v>56.794499999999999</v>
      </c>
      <c r="CJ357" s="121">
        <v>58.03275</v>
      </c>
      <c r="CK357" s="121">
        <v>59.271000000000001</v>
      </c>
      <c r="CL357" s="121">
        <v>60.525999999999996</v>
      </c>
      <c r="CM357" s="121">
        <v>61.780999999999999</v>
      </c>
      <c r="CN357" s="121">
        <v>62.971500000000006</v>
      </c>
      <c r="CO357" s="121">
        <v>64.162000000000006</v>
      </c>
      <c r="CP357" s="121">
        <v>65.391500000000008</v>
      </c>
      <c r="CQ357" s="121">
        <f t="array" ref="CQ357:CQ372">TRANSPOSE(CR356:DG356)</f>
        <v>66.583500000000001</v>
      </c>
      <c r="CR357" s="120">
        <f>(CQ357+CS357)/2</f>
        <v>67.831250000000011</v>
      </c>
      <c r="CS357" s="120">
        <f>(CS356+CS358)/2</f>
        <v>69.079000000000008</v>
      </c>
      <c r="CT357" s="120">
        <f>(CS357+CU357)/2</f>
        <v>70.308500000000009</v>
      </c>
      <c r="CU357" s="120">
        <f>(CU356+CU358)/2</f>
        <v>71.538000000000011</v>
      </c>
      <c r="CV357" s="120">
        <f>(CU357+CW357)/2</f>
        <v>72.724500000000006</v>
      </c>
      <c r="CW357" s="120">
        <f>(CW356+CW358)/2</f>
        <v>73.911000000000001</v>
      </c>
      <c r="CX357" s="120">
        <f>(CW357+CY357)/2</f>
        <v>75.140250000000009</v>
      </c>
      <c r="CY357" s="120">
        <f>(CY356+CY358)/2</f>
        <v>76.369500000000002</v>
      </c>
      <c r="CZ357" s="120">
        <f>(CY357+DA357)/2</f>
        <v>77.5565</v>
      </c>
      <c r="DA357" s="120">
        <f>(DA356+DA358)/2</f>
        <v>78.743500000000012</v>
      </c>
      <c r="DB357" s="120">
        <f>(DA357+DC357)/2</f>
        <v>79.933999999999997</v>
      </c>
      <c r="DC357" s="120">
        <f>(DC356+DC358)/2</f>
        <v>81.124499999999998</v>
      </c>
      <c r="DD357" s="120">
        <f>(DC357+DE357)/2</f>
        <v>82.315249999999992</v>
      </c>
      <c r="DE357" s="120">
        <f>(DE356+DE358)/2</f>
        <v>83.506</v>
      </c>
      <c r="DF357" s="120">
        <f>(DE357+DG357)/2</f>
        <v>84.731750000000005</v>
      </c>
      <c r="DG357" s="122">
        <f>(DG356+DG358)/2</f>
        <v>85.95750000000001</v>
      </c>
    </row>
    <row r="358" spans="54:111" ht="15" customHeight="1" x14ac:dyDescent="0.2">
      <c r="BB358" s="28">
        <v>46</v>
      </c>
      <c r="BC358" s="121">
        <v>13.471</v>
      </c>
      <c r="BD358" s="121">
        <v>15.154999999999999</v>
      </c>
      <c r="BE358" s="121">
        <v>16.838999999999999</v>
      </c>
      <c r="BF358" s="121">
        <v>18.420499999999997</v>
      </c>
      <c r="BG358" s="121">
        <v>20.001999999999999</v>
      </c>
      <c r="BH358" s="121">
        <v>21.493499999999997</v>
      </c>
      <c r="BI358" s="121">
        <v>22.984999999999999</v>
      </c>
      <c r="BJ358" s="121">
        <v>24.475999999999999</v>
      </c>
      <c r="BK358" s="121">
        <v>25.966999999999999</v>
      </c>
      <c r="BL358" s="121">
        <v>27.356499999999997</v>
      </c>
      <c r="BM358" s="121">
        <v>28.745999999999999</v>
      </c>
      <c r="BN358" s="121">
        <v>30.160499999999999</v>
      </c>
      <c r="BO358" s="121">
        <v>31.574999999999999</v>
      </c>
      <c r="BP358" s="121">
        <v>32.917999999999999</v>
      </c>
      <c r="BQ358" s="121">
        <v>34.261000000000003</v>
      </c>
      <c r="BR358" s="121">
        <v>35.637</v>
      </c>
      <c r="BS358" s="121">
        <v>37.012999999999998</v>
      </c>
      <c r="BT358" s="121">
        <v>38.349499999999999</v>
      </c>
      <c r="BU358" s="121">
        <v>39.686</v>
      </c>
      <c r="BV358" s="121">
        <v>40.998999999999995</v>
      </c>
      <c r="BW358" s="121">
        <v>42.311999999999998</v>
      </c>
      <c r="BX358" s="121">
        <v>43.649500000000003</v>
      </c>
      <c r="BY358" s="121">
        <v>44.987000000000002</v>
      </c>
      <c r="BZ358" s="121">
        <v>46.2605</v>
      </c>
      <c r="CA358" s="121">
        <v>47.533999999999999</v>
      </c>
      <c r="CB358" s="121">
        <v>48.833500000000001</v>
      </c>
      <c r="CC358" s="121">
        <v>50.133000000000003</v>
      </c>
      <c r="CD358" s="121">
        <v>51.430999999999997</v>
      </c>
      <c r="CE358" s="121">
        <v>52.728999999999999</v>
      </c>
      <c r="CF358" s="121">
        <v>54.003500000000003</v>
      </c>
      <c r="CG358" s="121">
        <v>55.277999999999999</v>
      </c>
      <c r="CH358" s="121">
        <v>56.576499999999996</v>
      </c>
      <c r="CI358" s="121">
        <v>57.875</v>
      </c>
      <c r="CJ358" s="121">
        <v>59.072000000000003</v>
      </c>
      <c r="CK358" s="121">
        <v>60.268999999999998</v>
      </c>
      <c r="CL358" s="121">
        <v>61.567499999999995</v>
      </c>
      <c r="CM358" s="121">
        <v>62.866</v>
      </c>
      <c r="CN358" s="121">
        <v>64.087500000000006</v>
      </c>
      <c r="CO358" s="121">
        <v>65.308999999999997</v>
      </c>
      <c r="CP358" s="121">
        <v>66.583500000000001</v>
      </c>
      <c r="CQ358" s="121">
        <v>67.858000000000004</v>
      </c>
      <c r="CR358" s="150">
        <f t="array" ref="CR358:CR372">TRANSPOSE(CS357:DG357)</f>
        <v>69.079000000000008</v>
      </c>
      <c r="CS358" s="158">
        <v>70.3</v>
      </c>
      <c r="CT358" s="121">
        <f>CU357</f>
        <v>71.538000000000011</v>
      </c>
      <c r="CU358" s="158">
        <v>72.849000000000004</v>
      </c>
      <c r="CV358" s="121">
        <f>CW357</f>
        <v>73.911000000000001</v>
      </c>
      <c r="CW358" s="158">
        <v>75.292000000000002</v>
      </c>
      <c r="CX358" s="121">
        <f>CY357</f>
        <v>76.369500000000002</v>
      </c>
      <c r="CY358" s="158">
        <v>77.734999999999999</v>
      </c>
      <c r="CZ358" s="121">
        <f>DA357</f>
        <v>78.743500000000012</v>
      </c>
      <c r="DA358" s="158">
        <v>80.114000000000004</v>
      </c>
      <c r="DB358" s="121">
        <f>DC357</f>
        <v>81.124499999999998</v>
      </c>
      <c r="DC358" s="158">
        <v>82.557000000000002</v>
      </c>
      <c r="DD358" s="121">
        <f>DE357</f>
        <v>83.506</v>
      </c>
      <c r="DE358" s="158">
        <v>84.950999999999993</v>
      </c>
      <c r="DF358" s="121">
        <f>DG357</f>
        <v>85.95750000000001</v>
      </c>
      <c r="DG358" s="159">
        <v>87.549000000000007</v>
      </c>
    </row>
    <row r="359" spans="54:111" ht="15" customHeight="1" x14ac:dyDescent="0.2">
      <c r="BB359" s="28">
        <v>47</v>
      </c>
      <c r="BC359" s="121">
        <v>13.713000000000001</v>
      </c>
      <c r="BD359" s="121">
        <v>15.402750000000001</v>
      </c>
      <c r="BE359" s="121">
        <v>17.092500000000001</v>
      </c>
      <c r="BF359" s="121">
        <v>18.705500000000001</v>
      </c>
      <c r="BG359" s="121">
        <v>20.3185</v>
      </c>
      <c r="BH359" s="121">
        <v>21.8475</v>
      </c>
      <c r="BI359" s="121">
        <v>23.3765</v>
      </c>
      <c r="BJ359" s="121">
        <v>24.867000000000001</v>
      </c>
      <c r="BK359" s="121">
        <v>26.357500000000002</v>
      </c>
      <c r="BL359" s="121">
        <v>27.800999999999998</v>
      </c>
      <c r="BM359" s="121">
        <v>29.244499999999999</v>
      </c>
      <c r="BN359" s="121">
        <v>30.664999999999999</v>
      </c>
      <c r="BO359" s="121">
        <v>32.085499999999996</v>
      </c>
      <c r="BP359" s="121">
        <v>33.463499999999996</v>
      </c>
      <c r="BQ359" s="121">
        <v>34.841499999999996</v>
      </c>
      <c r="BR359" s="121">
        <v>36.235999999999997</v>
      </c>
      <c r="BS359" s="121">
        <v>37.630499999999998</v>
      </c>
      <c r="BT359" s="121">
        <v>39.004999999999995</v>
      </c>
      <c r="BU359" s="121">
        <v>40.3795</v>
      </c>
      <c r="BV359" s="121">
        <v>41.723500000000001</v>
      </c>
      <c r="BW359" s="121">
        <v>43.067499999999995</v>
      </c>
      <c r="BX359" s="121">
        <v>44.391750000000002</v>
      </c>
      <c r="BY359" s="121">
        <v>45.716000000000001</v>
      </c>
      <c r="BZ359" s="121">
        <v>47.04025</v>
      </c>
      <c r="CA359" s="121">
        <v>48.3645</v>
      </c>
      <c r="CB359" s="121">
        <v>49.682000000000002</v>
      </c>
      <c r="CC359" s="121">
        <v>50.999499999999998</v>
      </c>
      <c r="CD359" s="121">
        <v>52.316499999999998</v>
      </c>
      <c r="CE359" s="121">
        <v>53.633499999999998</v>
      </c>
      <c r="CF359" s="121">
        <v>54.938749999999999</v>
      </c>
      <c r="CG359" s="121">
        <v>56.244</v>
      </c>
      <c r="CH359" s="121">
        <v>57.548999999999999</v>
      </c>
      <c r="CI359" s="121">
        <v>58.853999999999999</v>
      </c>
      <c r="CJ359" s="121">
        <v>60.08175</v>
      </c>
      <c r="CK359" s="121">
        <v>61.3095</v>
      </c>
      <c r="CL359" s="121">
        <v>62.626750000000001</v>
      </c>
      <c r="CM359" s="121">
        <v>63.944000000000003</v>
      </c>
      <c r="CN359" s="121">
        <v>65.226500000000001</v>
      </c>
      <c r="CO359" s="121">
        <v>66.509</v>
      </c>
      <c r="CP359" s="121">
        <v>67.775750000000002</v>
      </c>
      <c r="CQ359" s="121">
        <v>68.968000000000004</v>
      </c>
      <c r="CR359" s="160">
        <v>70.308500000000009</v>
      </c>
      <c r="CS359" s="160">
        <f t="array" ref="CS359:CS372">TRANSPOSE(CT358:DG358)</f>
        <v>71.538000000000011</v>
      </c>
      <c r="CT359" s="120">
        <f>(CS359+CU359)/2</f>
        <v>72.823000000000008</v>
      </c>
      <c r="CU359" s="120">
        <f>(CU358+CU360)/2</f>
        <v>74.108000000000004</v>
      </c>
      <c r="CV359" s="120">
        <f>(CU359+CW359)/2</f>
        <v>75.347999999999999</v>
      </c>
      <c r="CW359" s="120">
        <f>(CW358+CW360)/2</f>
        <v>76.587999999999994</v>
      </c>
      <c r="CX359" s="120">
        <f>(CW359+CY359)/2</f>
        <v>77.86699999999999</v>
      </c>
      <c r="CY359" s="120">
        <f>(CY358+CY360)/2</f>
        <v>79.146000000000001</v>
      </c>
      <c r="CZ359" s="120">
        <f>(CY359+DA359)/2</f>
        <v>80.37</v>
      </c>
      <c r="DA359" s="120">
        <f>(DA358+DA360)/2</f>
        <v>81.593999999999994</v>
      </c>
      <c r="DB359" s="120">
        <f>(DA359+DC359)/2</f>
        <v>82.822000000000003</v>
      </c>
      <c r="DC359" s="120">
        <f>(DC358+DC360)/2</f>
        <v>84.050000000000011</v>
      </c>
      <c r="DD359" s="120">
        <f>(DC359+DE359)/2</f>
        <v>85.277749999999997</v>
      </c>
      <c r="DE359" s="120">
        <f>(DE358+DE360)/2</f>
        <v>86.505499999999998</v>
      </c>
      <c r="DF359" s="120">
        <f>(DE359+DG359)/2</f>
        <v>87.784500000000008</v>
      </c>
      <c r="DG359" s="122">
        <f>(DG358+DG360)/2</f>
        <v>89.063500000000005</v>
      </c>
    </row>
    <row r="360" spans="54:111" ht="15" customHeight="1" x14ac:dyDescent="0.2">
      <c r="BB360" s="28">
        <v>48</v>
      </c>
      <c r="BC360" s="121">
        <v>13.955</v>
      </c>
      <c r="BD360" s="121">
        <v>15.650500000000001</v>
      </c>
      <c r="BE360" s="121">
        <v>17.346</v>
      </c>
      <c r="BF360" s="121">
        <v>18.990500000000001</v>
      </c>
      <c r="BG360" s="121">
        <v>20.635000000000002</v>
      </c>
      <c r="BH360" s="121">
        <v>22.201500000000003</v>
      </c>
      <c r="BI360" s="121">
        <v>23.768000000000001</v>
      </c>
      <c r="BJ360" s="121">
        <v>25.258000000000003</v>
      </c>
      <c r="BK360" s="121">
        <v>26.748000000000001</v>
      </c>
      <c r="BL360" s="121">
        <v>28.2455</v>
      </c>
      <c r="BM360" s="121">
        <v>29.742999999999999</v>
      </c>
      <c r="BN360" s="121">
        <v>31.169499999999999</v>
      </c>
      <c r="BO360" s="121">
        <v>32.595999999999997</v>
      </c>
      <c r="BP360" s="121">
        <v>34.009</v>
      </c>
      <c r="BQ360" s="121">
        <v>35.421999999999997</v>
      </c>
      <c r="BR360" s="121">
        <v>36.834999999999994</v>
      </c>
      <c r="BS360" s="121">
        <v>38.247999999999998</v>
      </c>
      <c r="BT360" s="121">
        <v>39.660499999999999</v>
      </c>
      <c r="BU360" s="121">
        <v>41.073</v>
      </c>
      <c r="BV360" s="121">
        <v>42.448</v>
      </c>
      <c r="BW360" s="121">
        <v>43.823</v>
      </c>
      <c r="BX360" s="121">
        <v>45.134</v>
      </c>
      <c r="BY360" s="121">
        <v>46.445</v>
      </c>
      <c r="BZ360" s="121">
        <v>47.82</v>
      </c>
      <c r="CA360" s="121">
        <v>49.195</v>
      </c>
      <c r="CB360" s="121">
        <v>50.530500000000004</v>
      </c>
      <c r="CC360" s="121">
        <v>51.866</v>
      </c>
      <c r="CD360" s="121">
        <v>53.201999999999998</v>
      </c>
      <c r="CE360" s="121">
        <v>54.537999999999997</v>
      </c>
      <c r="CF360" s="121">
        <v>55.873999999999995</v>
      </c>
      <c r="CG360" s="121">
        <v>57.21</v>
      </c>
      <c r="CH360" s="121">
        <v>58.521500000000003</v>
      </c>
      <c r="CI360" s="121">
        <v>59.832999999999998</v>
      </c>
      <c r="CJ360" s="121">
        <v>61.091499999999996</v>
      </c>
      <c r="CK360" s="121">
        <v>62.35</v>
      </c>
      <c r="CL360" s="121">
        <v>63.686000000000007</v>
      </c>
      <c r="CM360" s="121">
        <v>65.022000000000006</v>
      </c>
      <c r="CN360" s="121">
        <v>66.365499999999997</v>
      </c>
      <c r="CO360" s="121">
        <v>67.709000000000003</v>
      </c>
      <c r="CP360" s="121">
        <v>68.968000000000004</v>
      </c>
      <c r="CQ360" s="121">
        <v>70.227000000000004</v>
      </c>
      <c r="CR360" s="160">
        <v>71.538000000000011</v>
      </c>
      <c r="CS360" s="160">
        <v>72.849000000000004</v>
      </c>
      <c r="CT360" s="121">
        <f t="array" ref="CT360:CT372">TRANSPOSE(CU359:DG359)</f>
        <v>74.108000000000004</v>
      </c>
      <c r="CU360" s="158">
        <v>75.367000000000004</v>
      </c>
      <c r="CV360" s="121">
        <f>CW359</f>
        <v>76.587999999999994</v>
      </c>
      <c r="CW360" s="158">
        <v>77.884</v>
      </c>
      <c r="CX360" s="121">
        <f>CY359</f>
        <v>79.146000000000001</v>
      </c>
      <c r="CY360" s="158">
        <v>80.557000000000002</v>
      </c>
      <c r="CZ360" s="121">
        <f>DA359</f>
        <v>81.593999999999994</v>
      </c>
      <c r="DA360" s="158">
        <v>83.073999999999998</v>
      </c>
      <c r="DB360" s="121">
        <f>DC359</f>
        <v>84.050000000000011</v>
      </c>
      <c r="DC360" s="158">
        <v>85.543000000000006</v>
      </c>
      <c r="DD360" s="121">
        <f>DE359</f>
        <v>86.505499999999998</v>
      </c>
      <c r="DE360" s="158">
        <v>88.06</v>
      </c>
      <c r="DF360" s="121">
        <f>DG359</f>
        <v>89.063500000000005</v>
      </c>
      <c r="DG360" s="159">
        <v>90.578000000000003</v>
      </c>
    </row>
    <row r="361" spans="54:111" ht="15" customHeight="1" x14ac:dyDescent="0.2">
      <c r="BB361" s="28">
        <v>49</v>
      </c>
      <c r="BC361" s="121">
        <v>14.132999999999999</v>
      </c>
      <c r="BD361" s="121">
        <v>15.883000000000001</v>
      </c>
      <c r="BE361" s="121">
        <v>17.633000000000003</v>
      </c>
      <c r="BF361" s="121">
        <v>19.295500000000001</v>
      </c>
      <c r="BG361" s="121">
        <v>20.957999999999998</v>
      </c>
      <c r="BH361" s="121">
        <v>22.543500000000002</v>
      </c>
      <c r="BI361" s="121">
        <v>24.128999999999998</v>
      </c>
      <c r="BJ361" s="121">
        <v>25.656750000000002</v>
      </c>
      <c r="BK361" s="121">
        <v>27.1845</v>
      </c>
      <c r="BL361" s="121">
        <v>28.696750000000002</v>
      </c>
      <c r="BM361" s="121">
        <v>30.209</v>
      </c>
      <c r="BN361" s="121">
        <v>31.670500000000001</v>
      </c>
      <c r="BO361" s="121">
        <v>33.131999999999998</v>
      </c>
      <c r="BP361" s="121">
        <v>34.563499999999998</v>
      </c>
      <c r="BQ361" s="121">
        <v>35.994999999999997</v>
      </c>
      <c r="BR361" s="121">
        <v>37.426499999999997</v>
      </c>
      <c r="BS361" s="121">
        <v>38.858000000000004</v>
      </c>
      <c r="BT361" s="121">
        <v>40.289250000000003</v>
      </c>
      <c r="BU361" s="121">
        <v>41.720500000000001</v>
      </c>
      <c r="BV361" s="121">
        <v>43.113749999999996</v>
      </c>
      <c r="BW361" s="121">
        <v>44.507000000000005</v>
      </c>
      <c r="BX361" s="121">
        <v>45.872250000000001</v>
      </c>
      <c r="BY361" s="121">
        <v>47.237499999999997</v>
      </c>
      <c r="BZ361" s="121">
        <v>48.611750000000001</v>
      </c>
      <c r="CA361" s="121">
        <v>49.986000000000004</v>
      </c>
      <c r="CB361" s="121">
        <v>51.359750000000005</v>
      </c>
      <c r="CC361" s="121">
        <v>52.733499999999999</v>
      </c>
      <c r="CD361" s="121">
        <v>54.08775</v>
      </c>
      <c r="CE361" s="121">
        <v>55.441999999999993</v>
      </c>
      <c r="CF361" s="121">
        <v>56.796499999999995</v>
      </c>
      <c r="CG361" s="121">
        <v>58.150999999999996</v>
      </c>
      <c r="CH361" s="121">
        <v>59.497250000000001</v>
      </c>
      <c r="CI361" s="121">
        <v>60.843499999999999</v>
      </c>
      <c r="CJ361" s="121">
        <v>62.15925</v>
      </c>
      <c r="CK361" s="121">
        <v>63.474999999999994</v>
      </c>
      <c r="CL361" s="121">
        <v>64.791250000000005</v>
      </c>
      <c r="CM361" s="121">
        <v>66.107500000000002</v>
      </c>
      <c r="CN361" s="121">
        <v>67.46575</v>
      </c>
      <c r="CO361" s="121">
        <v>68.823999999999998</v>
      </c>
      <c r="CP361" s="121">
        <v>70.101249999999993</v>
      </c>
      <c r="CQ361" s="121">
        <v>71.234499999999997</v>
      </c>
      <c r="CR361" s="160">
        <v>72.724500000000006</v>
      </c>
      <c r="CS361" s="160">
        <v>73.911000000000001</v>
      </c>
      <c r="CT361" s="160">
        <v>75.347999999999999</v>
      </c>
      <c r="CU361" s="160">
        <f t="array" ref="CU361:CU372">TRANSPOSE(CV360:DG360)</f>
        <v>76.587999999999994</v>
      </c>
      <c r="CV361" s="120">
        <f>(CU361+CW361)/2</f>
        <v>77.922499999999999</v>
      </c>
      <c r="CW361" s="120">
        <f>(CW360+CW362)/2</f>
        <v>79.257000000000005</v>
      </c>
      <c r="CX361" s="120">
        <f>(CW361+CY361)/2</f>
        <v>80.573499999999996</v>
      </c>
      <c r="CY361" s="120">
        <f>(CY360+CY362)/2</f>
        <v>81.89</v>
      </c>
      <c r="CZ361" s="120">
        <f>(CY361+DA361)/2</f>
        <v>83.167249999999996</v>
      </c>
      <c r="DA361" s="120">
        <f>(DA360+DA362)/2</f>
        <v>84.444500000000005</v>
      </c>
      <c r="DB361" s="120">
        <f>(DA361+DC361)/2</f>
        <v>85.713750000000005</v>
      </c>
      <c r="DC361" s="120">
        <f>(DC360+DC362)/2</f>
        <v>86.983000000000004</v>
      </c>
      <c r="DD361" s="120">
        <f>(DC361+DE361)/2</f>
        <v>88.298500000000004</v>
      </c>
      <c r="DE361" s="120">
        <f>(DE360+DE362)/2</f>
        <v>89.614000000000004</v>
      </c>
      <c r="DF361" s="120">
        <f>(DE361+DG361)/2</f>
        <v>90.891500000000008</v>
      </c>
      <c r="DG361" s="122">
        <f>(DG360+DG362)/2</f>
        <v>92.169000000000011</v>
      </c>
    </row>
    <row r="362" spans="54:111" ht="15" customHeight="1" x14ac:dyDescent="0.2">
      <c r="BB362" s="28">
        <v>50</v>
      </c>
      <c r="BC362" s="121">
        <v>14.311</v>
      </c>
      <c r="BD362" s="121">
        <v>16.115500000000001</v>
      </c>
      <c r="BE362" s="121">
        <v>17.920000000000002</v>
      </c>
      <c r="BF362" s="121">
        <v>19.6005</v>
      </c>
      <c r="BG362" s="121">
        <v>21.280999999999999</v>
      </c>
      <c r="BH362" s="121">
        <v>22.8855</v>
      </c>
      <c r="BI362" s="121">
        <v>24.49</v>
      </c>
      <c r="BJ362" s="121">
        <v>26.055499999999999</v>
      </c>
      <c r="BK362" s="121">
        <v>27.620999999999999</v>
      </c>
      <c r="BL362" s="121">
        <v>29.148</v>
      </c>
      <c r="BM362" s="121">
        <v>30.675000000000001</v>
      </c>
      <c r="BN362" s="121">
        <v>32.171500000000002</v>
      </c>
      <c r="BO362" s="121">
        <v>33.667999999999999</v>
      </c>
      <c r="BP362" s="121">
        <v>35.117999999999995</v>
      </c>
      <c r="BQ362" s="121">
        <v>36.567999999999998</v>
      </c>
      <c r="BR362" s="121">
        <v>38.018000000000001</v>
      </c>
      <c r="BS362" s="121">
        <v>39.468000000000004</v>
      </c>
      <c r="BT362" s="121">
        <v>40.918000000000006</v>
      </c>
      <c r="BU362" s="121">
        <v>42.368000000000002</v>
      </c>
      <c r="BV362" s="121">
        <v>43.779499999999999</v>
      </c>
      <c r="BW362" s="121">
        <v>45.191000000000003</v>
      </c>
      <c r="BX362" s="121">
        <v>46.610500000000002</v>
      </c>
      <c r="BY362" s="121">
        <v>48.03</v>
      </c>
      <c r="BZ362" s="121">
        <v>49.403500000000001</v>
      </c>
      <c r="CA362" s="121">
        <v>50.777000000000001</v>
      </c>
      <c r="CB362" s="121">
        <v>52.189</v>
      </c>
      <c r="CC362" s="121">
        <v>53.600999999999999</v>
      </c>
      <c r="CD362" s="121">
        <v>54.973500000000001</v>
      </c>
      <c r="CE362" s="121">
        <v>56.345999999999997</v>
      </c>
      <c r="CF362" s="121">
        <v>57.718999999999994</v>
      </c>
      <c r="CG362" s="121">
        <v>59.091999999999999</v>
      </c>
      <c r="CH362" s="121">
        <v>60.472999999999999</v>
      </c>
      <c r="CI362" s="121">
        <v>61.853999999999999</v>
      </c>
      <c r="CJ362" s="121">
        <v>63.226999999999997</v>
      </c>
      <c r="CK362" s="121">
        <v>64.599999999999994</v>
      </c>
      <c r="CL362" s="121">
        <v>65.896500000000003</v>
      </c>
      <c r="CM362" s="121">
        <v>67.192999999999998</v>
      </c>
      <c r="CN362" s="121">
        <v>68.566000000000003</v>
      </c>
      <c r="CO362" s="121">
        <v>69.938999999999993</v>
      </c>
      <c r="CP362" s="121">
        <v>71.234499999999997</v>
      </c>
      <c r="CQ362" s="121">
        <v>72.53</v>
      </c>
      <c r="CR362" s="160">
        <v>73.911000000000001</v>
      </c>
      <c r="CS362" s="160">
        <v>75.292000000000002</v>
      </c>
      <c r="CT362" s="160">
        <v>76.587999999999994</v>
      </c>
      <c r="CU362" s="160">
        <v>77.884</v>
      </c>
      <c r="CV362" s="121">
        <f t="array" ref="CV362:CV372">TRANSPOSE(CW361:DG361)</f>
        <v>79.257000000000005</v>
      </c>
      <c r="CW362" s="158">
        <v>80.63</v>
      </c>
      <c r="CX362" s="121">
        <f>CY361</f>
        <v>81.89</v>
      </c>
      <c r="CY362" s="158">
        <v>83.222999999999999</v>
      </c>
      <c r="CZ362" s="121">
        <f>DA361</f>
        <v>84.444500000000005</v>
      </c>
      <c r="DA362" s="158">
        <v>85.814999999999998</v>
      </c>
      <c r="DB362" s="121">
        <f>DC361</f>
        <v>86.983000000000004</v>
      </c>
      <c r="DC362" s="158">
        <v>88.423000000000002</v>
      </c>
      <c r="DD362" s="121">
        <f>DE361</f>
        <v>89.614000000000004</v>
      </c>
      <c r="DE362" s="158">
        <v>91.168000000000006</v>
      </c>
      <c r="DF362" s="121">
        <f>DG361</f>
        <v>92.169000000000011</v>
      </c>
      <c r="DG362" s="159">
        <v>93.76</v>
      </c>
    </row>
    <row r="363" spans="54:111" ht="15" customHeight="1" x14ac:dyDescent="0.2">
      <c r="BB363" s="28">
        <v>51</v>
      </c>
      <c r="BC363" s="121">
        <v>14.535499999999999</v>
      </c>
      <c r="BD363" s="121">
        <v>16.367000000000001</v>
      </c>
      <c r="BE363" s="121">
        <v>18.198500000000003</v>
      </c>
      <c r="BF363" s="121">
        <v>19.898000000000003</v>
      </c>
      <c r="BG363" s="121">
        <v>21.5975</v>
      </c>
      <c r="BH363" s="121">
        <v>23.224</v>
      </c>
      <c r="BI363" s="121">
        <v>24.850499999999997</v>
      </c>
      <c r="BJ363" s="121">
        <v>26.434750000000001</v>
      </c>
      <c r="BK363" s="121">
        <v>28.018999999999998</v>
      </c>
      <c r="BL363" s="121">
        <v>29.56475</v>
      </c>
      <c r="BM363" s="121">
        <v>31.110500000000002</v>
      </c>
      <c r="BN363" s="121">
        <v>32.656999999999996</v>
      </c>
      <c r="BO363" s="121">
        <v>34.203499999999998</v>
      </c>
      <c r="BP363" s="121">
        <v>35.671999999999997</v>
      </c>
      <c r="BQ363" s="121">
        <v>37.140500000000003</v>
      </c>
      <c r="BR363" s="121">
        <v>38.609250000000003</v>
      </c>
      <c r="BS363" s="121">
        <v>40.078000000000003</v>
      </c>
      <c r="BT363" s="121">
        <v>41.5505</v>
      </c>
      <c r="BU363" s="121">
        <v>43.022999999999996</v>
      </c>
      <c r="BV363" s="121">
        <v>44.203249999999997</v>
      </c>
      <c r="BW363" s="121">
        <v>45.383499999999998</v>
      </c>
      <c r="BX363" s="121">
        <v>47.08</v>
      </c>
      <c r="BY363" s="121">
        <v>48.776499999999999</v>
      </c>
      <c r="BZ363" s="121">
        <v>50.191749999999999</v>
      </c>
      <c r="CA363" s="121">
        <v>51.606999999999999</v>
      </c>
      <c r="CB363" s="121">
        <v>53.018000000000001</v>
      </c>
      <c r="CC363" s="121">
        <v>54.429000000000002</v>
      </c>
      <c r="CD363" s="121">
        <v>55.839500000000001</v>
      </c>
      <c r="CE363" s="121">
        <v>57.25</v>
      </c>
      <c r="CF363" s="121">
        <v>58.64575</v>
      </c>
      <c r="CG363" s="121">
        <v>60.041499999999999</v>
      </c>
      <c r="CH363" s="121">
        <v>61.4495</v>
      </c>
      <c r="CI363" s="121">
        <v>62.857500000000002</v>
      </c>
      <c r="CJ363" s="121">
        <v>64.248999999999995</v>
      </c>
      <c r="CK363" s="121">
        <v>65.640500000000003</v>
      </c>
      <c r="CL363" s="121">
        <v>66.959249999999997</v>
      </c>
      <c r="CM363" s="121">
        <v>68.277999999999992</v>
      </c>
      <c r="CN363" s="121">
        <v>69.669749999999993</v>
      </c>
      <c r="CO363" s="121">
        <v>71.061499999999995</v>
      </c>
      <c r="CP363" s="121">
        <v>72.414249999999996</v>
      </c>
      <c r="CQ363" s="121">
        <v>73.593999999999994</v>
      </c>
      <c r="CR363" s="160">
        <v>75.140250000000009</v>
      </c>
      <c r="CS363" s="160">
        <v>76.369500000000002</v>
      </c>
      <c r="CT363" s="160">
        <v>77.86699999999999</v>
      </c>
      <c r="CU363" s="160">
        <v>79.146000000000001</v>
      </c>
      <c r="CV363" s="160">
        <v>80.573499999999996</v>
      </c>
      <c r="CW363" s="160">
        <f t="array" ref="CW363:CW372">TRANSPOSE(CX362:DG362)</f>
        <v>81.89</v>
      </c>
      <c r="CX363" s="120">
        <f>(CW363+CY363)/2</f>
        <v>83.22675000000001</v>
      </c>
      <c r="CY363" s="120">
        <f>(CY362+CY364)/2</f>
        <v>84.563500000000005</v>
      </c>
      <c r="CZ363" s="120">
        <f>(CY363+DA363)/2</f>
        <v>85.916750000000008</v>
      </c>
      <c r="DA363" s="120">
        <f>(DA362+DA364)/2</f>
        <v>87.27</v>
      </c>
      <c r="DB363" s="120">
        <f>(DA363+DC363)/2</f>
        <v>88.600999999999999</v>
      </c>
      <c r="DC363" s="120">
        <f>(DC362+DC364)/2</f>
        <v>89.932000000000002</v>
      </c>
      <c r="DD363" s="120">
        <f>(DC363+DE363)/2</f>
        <v>91.288749999999993</v>
      </c>
      <c r="DE363" s="120">
        <f>(DE362+DE364)/2</f>
        <v>92.645499999999998</v>
      </c>
      <c r="DF363" s="120">
        <f>(DE363+DG363)/2</f>
        <v>93.960000000000008</v>
      </c>
      <c r="DG363" s="122">
        <f>(DG362+DG364)/2</f>
        <v>95.274500000000003</v>
      </c>
    </row>
    <row r="364" spans="54:111" ht="15" customHeight="1" x14ac:dyDescent="0.2">
      <c r="BB364" s="28">
        <v>52</v>
      </c>
      <c r="BC364" s="121">
        <v>14.76</v>
      </c>
      <c r="BD364" s="121">
        <v>16.618500000000001</v>
      </c>
      <c r="BE364" s="121">
        <v>18.477</v>
      </c>
      <c r="BF364" s="121">
        <v>20.195500000000003</v>
      </c>
      <c r="BG364" s="121">
        <v>21.914000000000001</v>
      </c>
      <c r="BH364" s="121">
        <v>23.5625</v>
      </c>
      <c r="BI364" s="121">
        <v>25.210999999999999</v>
      </c>
      <c r="BJ364" s="121">
        <v>26.814</v>
      </c>
      <c r="BK364" s="121">
        <v>28.417000000000002</v>
      </c>
      <c r="BL364" s="121">
        <v>29.9815</v>
      </c>
      <c r="BM364" s="121">
        <v>31.545999999999999</v>
      </c>
      <c r="BN364" s="121">
        <v>33.142499999999998</v>
      </c>
      <c r="BO364" s="121">
        <v>34.738999999999997</v>
      </c>
      <c r="BP364" s="121">
        <v>36.225999999999999</v>
      </c>
      <c r="BQ364" s="121">
        <v>37.713000000000001</v>
      </c>
      <c r="BR364" s="121">
        <v>39.200500000000005</v>
      </c>
      <c r="BS364" s="121">
        <v>40.688000000000002</v>
      </c>
      <c r="BT364" s="121">
        <v>42.183</v>
      </c>
      <c r="BU364" s="121">
        <v>43.677999999999997</v>
      </c>
      <c r="BV364" s="121">
        <v>44.626999999999995</v>
      </c>
      <c r="BW364" s="121">
        <v>45.576000000000001</v>
      </c>
      <c r="BX364" s="121">
        <v>47.549500000000002</v>
      </c>
      <c r="BY364" s="121">
        <v>49.523000000000003</v>
      </c>
      <c r="BZ364" s="121">
        <v>50.980000000000004</v>
      </c>
      <c r="CA364" s="121">
        <v>52.436999999999998</v>
      </c>
      <c r="CB364" s="121">
        <v>53.846999999999994</v>
      </c>
      <c r="CC364" s="121">
        <v>55.256999999999998</v>
      </c>
      <c r="CD364" s="121">
        <v>56.705500000000001</v>
      </c>
      <c r="CE364" s="121">
        <v>58.154000000000003</v>
      </c>
      <c r="CF364" s="121">
        <v>59.572500000000005</v>
      </c>
      <c r="CG364" s="121">
        <v>60.991</v>
      </c>
      <c r="CH364" s="121">
        <v>62.426000000000002</v>
      </c>
      <c r="CI364" s="121">
        <v>63.860999999999997</v>
      </c>
      <c r="CJ364" s="121">
        <v>65.271000000000001</v>
      </c>
      <c r="CK364" s="121">
        <v>66.680999999999997</v>
      </c>
      <c r="CL364" s="121">
        <v>68.021999999999991</v>
      </c>
      <c r="CM364" s="121">
        <v>69.363</v>
      </c>
      <c r="CN364" s="121">
        <v>70.773499999999999</v>
      </c>
      <c r="CO364" s="121">
        <v>72.183999999999997</v>
      </c>
      <c r="CP364" s="121">
        <v>73.593999999999994</v>
      </c>
      <c r="CQ364" s="121">
        <v>75.004000000000005</v>
      </c>
      <c r="CR364" s="160">
        <v>76.369500000000002</v>
      </c>
      <c r="CS364" s="160">
        <v>77.734999999999999</v>
      </c>
      <c r="CT364" s="160">
        <v>79.146000000000001</v>
      </c>
      <c r="CU364" s="160">
        <v>80.557000000000002</v>
      </c>
      <c r="CV364" s="160">
        <v>81.89</v>
      </c>
      <c r="CW364" s="160">
        <v>83.222999999999999</v>
      </c>
      <c r="CX364" s="121">
        <f t="array" ref="CX364:CX372">TRANSPOSE(CY363:DG363)</f>
        <v>84.563500000000005</v>
      </c>
      <c r="CY364" s="158">
        <v>85.903999999999996</v>
      </c>
      <c r="CZ364" s="121">
        <f>DA363</f>
        <v>87.27</v>
      </c>
      <c r="DA364" s="158">
        <v>88.724999999999994</v>
      </c>
      <c r="DB364" s="121">
        <f>DC363</f>
        <v>89.932000000000002</v>
      </c>
      <c r="DC364" s="158">
        <v>91.441000000000003</v>
      </c>
      <c r="DD364" s="121">
        <f>DE363</f>
        <v>92.645499999999998</v>
      </c>
      <c r="DE364" s="158">
        <v>94.123000000000005</v>
      </c>
      <c r="DF364" s="121">
        <f>DG363</f>
        <v>95.274500000000003</v>
      </c>
      <c r="DG364" s="159">
        <v>96.789000000000001</v>
      </c>
    </row>
    <row r="365" spans="54:111" ht="15" customHeight="1" x14ac:dyDescent="0.2">
      <c r="BB365" s="28">
        <v>53</v>
      </c>
      <c r="BC365" s="121">
        <v>14.963000000000001</v>
      </c>
      <c r="BD365" s="121">
        <v>16.847000000000001</v>
      </c>
      <c r="BE365" s="121">
        <v>18.731000000000002</v>
      </c>
      <c r="BF365" s="121">
        <v>20.484250000000003</v>
      </c>
      <c r="BG365" s="121">
        <v>22.237500000000001</v>
      </c>
      <c r="BH365" s="121">
        <v>23.901</v>
      </c>
      <c r="BI365" s="121">
        <v>25.564499999999999</v>
      </c>
      <c r="BJ365" s="121">
        <v>27.209</v>
      </c>
      <c r="BK365" s="121">
        <v>28.8535</v>
      </c>
      <c r="BL365" s="121">
        <v>30.448999999999998</v>
      </c>
      <c r="BM365" s="121">
        <v>32.044499999999999</v>
      </c>
      <c r="BN365" s="121">
        <v>33.628</v>
      </c>
      <c r="BO365" s="121">
        <v>35.211500000000001</v>
      </c>
      <c r="BP365" s="121">
        <v>36.748750000000001</v>
      </c>
      <c r="BQ365" s="121">
        <v>38.286000000000001</v>
      </c>
      <c r="BR365" s="121">
        <v>39.795750000000005</v>
      </c>
      <c r="BS365" s="121">
        <v>41.305500000000002</v>
      </c>
      <c r="BT365" s="121">
        <v>42.8155</v>
      </c>
      <c r="BU365" s="121">
        <v>44.325499999999998</v>
      </c>
      <c r="BV365" s="121">
        <v>45.5745</v>
      </c>
      <c r="BW365" s="121">
        <v>46.823499999999996</v>
      </c>
      <c r="BX365" s="121">
        <v>48.557249999999996</v>
      </c>
      <c r="BY365" s="121">
        <v>50.290999999999997</v>
      </c>
      <c r="BZ365" s="121">
        <v>51.775000000000006</v>
      </c>
      <c r="CA365" s="121">
        <v>53.259</v>
      </c>
      <c r="CB365" s="121">
        <v>54.691499999999998</v>
      </c>
      <c r="CC365" s="121">
        <v>56.123999999999995</v>
      </c>
      <c r="CD365" s="121">
        <v>57.572249999999997</v>
      </c>
      <c r="CE365" s="121">
        <v>59.020499999999998</v>
      </c>
      <c r="CF365" s="121">
        <v>60.469500000000004</v>
      </c>
      <c r="CG365" s="121">
        <v>61.918499999999995</v>
      </c>
      <c r="CH365" s="121">
        <v>63.378999999999998</v>
      </c>
      <c r="CI365" s="121">
        <v>64.839500000000001</v>
      </c>
      <c r="CJ365" s="121">
        <v>66.28425</v>
      </c>
      <c r="CK365" s="121">
        <v>67.728999999999999</v>
      </c>
      <c r="CL365" s="121">
        <v>69.08475</v>
      </c>
      <c r="CM365" s="121">
        <v>70.4405</v>
      </c>
      <c r="CN365" s="121">
        <v>71.873500000000007</v>
      </c>
      <c r="CO365" s="121">
        <v>73.3065</v>
      </c>
      <c r="CP365" s="121">
        <v>74.747500000000002</v>
      </c>
      <c r="CQ365" s="121">
        <v>75.90100000000001</v>
      </c>
      <c r="CR365" s="160">
        <v>77.5565</v>
      </c>
      <c r="CS365" s="160">
        <v>78.743500000000012</v>
      </c>
      <c r="CT365" s="160">
        <v>80.37</v>
      </c>
      <c r="CU365" s="160">
        <v>81.593999999999994</v>
      </c>
      <c r="CV365" s="160">
        <v>83.167249999999996</v>
      </c>
      <c r="CW365" s="160">
        <v>84.444500000000005</v>
      </c>
      <c r="CX365" s="160">
        <v>85.916750000000008</v>
      </c>
      <c r="CY365" s="160">
        <f t="array" ref="CY365:CY372">TRANSPOSE(CZ364:DG364)</f>
        <v>87.27</v>
      </c>
      <c r="CZ365" s="120">
        <f>(CY365+DA365)/2</f>
        <v>88.675999999999988</v>
      </c>
      <c r="DA365" s="120">
        <f>(DA364+DA366)/2</f>
        <v>90.081999999999994</v>
      </c>
      <c r="DB365" s="120">
        <f>(DA365+DC365)/2</f>
        <v>91.488500000000002</v>
      </c>
      <c r="DC365" s="120">
        <f>(DC364+DC366)/2</f>
        <v>92.89500000000001</v>
      </c>
      <c r="DD365" s="120">
        <f>(DC365+DE365)/2</f>
        <v>94.243750000000006</v>
      </c>
      <c r="DE365" s="120">
        <f>(DE364+DE366)/2</f>
        <v>95.592500000000001</v>
      </c>
      <c r="DF365" s="120">
        <f>(DE365+DG365)/2</f>
        <v>96.986500000000007</v>
      </c>
      <c r="DG365" s="122">
        <f>(DG364+DG366)/2</f>
        <v>98.380499999999998</v>
      </c>
    </row>
    <row r="366" spans="54:111" ht="15" customHeight="1" x14ac:dyDescent="0.2">
      <c r="BB366" s="28">
        <v>54</v>
      </c>
      <c r="BC366" s="121">
        <v>15.166</v>
      </c>
      <c r="BD366" s="121">
        <v>17.075499999999998</v>
      </c>
      <c r="BE366" s="121">
        <v>18.984999999999999</v>
      </c>
      <c r="BF366" s="121">
        <v>20.773</v>
      </c>
      <c r="BG366" s="121">
        <v>22.561</v>
      </c>
      <c r="BH366" s="121">
        <v>24.2395</v>
      </c>
      <c r="BI366" s="121">
        <v>25.917999999999999</v>
      </c>
      <c r="BJ366" s="121">
        <v>27.603999999999999</v>
      </c>
      <c r="BK366" s="121">
        <v>29.29</v>
      </c>
      <c r="BL366" s="121">
        <v>30.916499999999999</v>
      </c>
      <c r="BM366" s="121">
        <v>32.542999999999999</v>
      </c>
      <c r="BN366" s="121">
        <v>34.113500000000002</v>
      </c>
      <c r="BO366" s="121">
        <v>35.683999999999997</v>
      </c>
      <c r="BP366" s="121">
        <v>37.271500000000003</v>
      </c>
      <c r="BQ366" s="121">
        <v>38.859000000000002</v>
      </c>
      <c r="BR366" s="121">
        <v>40.391000000000005</v>
      </c>
      <c r="BS366" s="121">
        <v>41.923000000000002</v>
      </c>
      <c r="BT366" s="121">
        <v>43.448</v>
      </c>
      <c r="BU366" s="121">
        <v>44.972999999999999</v>
      </c>
      <c r="BV366" s="121">
        <v>46.521999999999998</v>
      </c>
      <c r="BW366" s="121">
        <v>48.070999999999998</v>
      </c>
      <c r="BX366" s="121">
        <v>49.564999999999998</v>
      </c>
      <c r="BY366" s="121">
        <v>51.058999999999997</v>
      </c>
      <c r="BZ366" s="121">
        <v>52.57</v>
      </c>
      <c r="CA366" s="121">
        <v>54.081000000000003</v>
      </c>
      <c r="CB366" s="121">
        <v>55.536000000000001</v>
      </c>
      <c r="CC366" s="121">
        <v>56.991</v>
      </c>
      <c r="CD366" s="121">
        <v>58.439</v>
      </c>
      <c r="CE366" s="121">
        <v>59.887</v>
      </c>
      <c r="CF366" s="121">
        <v>61.366500000000002</v>
      </c>
      <c r="CG366" s="121">
        <v>62.845999999999997</v>
      </c>
      <c r="CH366" s="121">
        <v>64.331999999999994</v>
      </c>
      <c r="CI366" s="121">
        <v>65.817999999999998</v>
      </c>
      <c r="CJ366" s="121">
        <v>67.297499999999999</v>
      </c>
      <c r="CK366" s="121">
        <v>68.777000000000001</v>
      </c>
      <c r="CL366" s="121">
        <v>70.147500000000008</v>
      </c>
      <c r="CM366" s="121">
        <v>71.518000000000001</v>
      </c>
      <c r="CN366" s="121">
        <v>72.973500000000001</v>
      </c>
      <c r="CO366" s="121">
        <v>74.429000000000002</v>
      </c>
      <c r="CP366" s="121">
        <v>75.90100000000001</v>
      </c>
      <c r="CQ366" s="121">
        <v>77.373000000000005</v>
      </c>
      <c r="CR366" s="160">
        <v>78.743500000000012</v>
      </c>
      <c r="CS366" s="160">
        <v>80.114000000000004</v>
      </c>
      <c r="CT366" s="160">
        <v>81.593999999999994</v>
      </c>
      <c r="CU366" s="160">
        <v>83.073999999999998</v>
      </c>
      <c r="CV366" s="160">
        <v>84.444500000000005</v>
      </c>
      <c r="CW366" s="160">
        <v>85.814999999999998</v>
      </c>
      <c r="CX366" s="160">
        <v>87.27</v>
      </c>
      <c r="CY366" s="160">
        <v>88.724999999999994</v>
      </c>
      <c r="CZ366" s="121">
        <f t="array" ref="CZ366:CZ372">TRANSPOSE(DA365:DG365)</f>
        <v>90.081999999999994</v>
      </c>
      <c r="DA366" s="158">
        <v>91.438999999999993</v>
      </c>
      <c r="DB366" s="121">
        <f>DC365</f>
        <v>92.89500000000001</v>
      </c>
      <c r="DC366" s="158">
        <v>94.349000000000004</v>
      </c>
      <c r="DD366" s="121">
        <f>DE365</f>
        <v>95.592500000000001</v>
      </c>
      <c r="DE366" s="158">
        <v>97.061999999999998</v>
      </c>
      <c r="DF366" s="121">
        <f>DG365</f>
        <v>98.380499999999998</v>
      </c>
      <c r="DG366" s="159">
        <v>99.971999999999994</v>
      </c>
    </row>
    <row r="367" spans="54:111" ht="15" customHeight="1" x14ac:dyDescent="0.2">
      <c r="BB367" s="28">
        <v>55</v>
      </c>
      <c r="BC367" s="121">
        <v>15.382999999999999</v>
      </c>
      <c r="BD367" s="121">
        <v>17.308</v>
      </c>
      <c r="BE367" s="121">
        <v>19.233000000000001</v>
      </c>
      <c r="BF367" s="121">
        <v>21.042749999999998</v>
      </c>
      <c r="BG367" s="121">
        <v>22.852499999999999</v>
      </c>
      <c r="BH367" s="121">
        <v>24.585000000000001</v>
      </c>
      <c r="BI367" s="121">
        <v>26.317499999999999</v>
      </c>
      <c r="BJ367" s="121">
        <v>28.015249999999998</v>
      </c>
      <c r="BK367" s="121">
        <v>29.713000000000001</v>
      </c>
      <c r="BL367" s="121">
        <v>31.345499999999998</v>
      </c>
      <c r="BM367" s="121">
        <v>32.977999999999994</v>
      </c>
      <c r="BN367" s="121">
        <v>34.598750000000003</v>
      </c>
      <c r="BO367" s="121">
        <v>36.219499999999996</v>
      </c>
      <c r="BP367" s="121">
        <v>37.813250000000004</v>
      </c>
      <c r="BQ367" s="121">
        <v>39.406999999999996</v>
      </c>
      <c r="BR367" s="121">
        <v>40.97</v>
      </c>
      <c r="BS367" s="121">
        <v>42.533000000000001</v>
      </c>
      <c r="BT367" s="121">
        <v>44.088750000000005</v>
      </c>
      <c r="BU367" s="121">
        <v>45.644500000000001</v>
      </c>
      <c r="BV367" s="121">
        <v>47.204250000000002</v>
      </c>
      <c r="BW367" s="121">
        <v>48.763999999999996</v>
      </c>
      <c r="BX367" s="121">
        <v>50.28875</v>
      </c>
      <c r="BY367" s="121">
        <v>51.813499999999998</v>
      </c>
      <c r="BZ367" s="121">
        <v>53.330500000000001</v>
      </c>
      <c r="CA367" s="121">
        <v>54.847499999999997</v>
      </c>
      <c r="CB367" s="121">
        <v>56.35275</v>
      </c>
      <c r="CC367" s="121">
        <v>57.858000000000004</v>
      </c>
      <c r="CD367" s="121">
        <v>59.336749999999995</v>
      </c>
      <c r="CE367" s="121">
        <v>60.8155</v>
      </c>
      <c r="CF367" s="121">
        <v>62.301249999999996</v>
      </c>
      <c r="CG367" s="121">
        <v>63.786999999999992</v>
      </c>
      <c r="CH367" s="121">
        <v>65.307999999999993</v>
      </c>
      <c r="CI367" s="121">
        <v>66.829000000000008</v>
      </c>
      <c r="CJ367" s="121">
        <v>68.311000000000007</v>
      </c>
      <c r="CK367" s="121">
        <v>69.793000000000006</v>
      </c>
      <c r="CL367" s="121">
        <v>71.198250000000002</v>
      </c>
      <c r="CM367" s="121">
        <v>72.603499999999997</v>
      </c>
      <c r="CN367" s="121">
        <v>74.085999999999999</v>
      </c>
      <c r="CO367" s="121">
        <v>75.5685</v>
      </c>
      <c r="CP367" s="121">
        <v>77.0505</v>
      </c>
      <c r="CQ367" s="121">
        <v>78.199999999999989</v>
      </c>
      <c r="CR367" s="160">
        <v>79.933999999999997</v>
      </c>
      <c r="CS367" s="160">
        <v>81.124499999999998</v>
      </c>
      <c r="CT367" s="160">
        <v>82.822000000000003</v>
      </c>
      <c r="CU367" s="160">
        <v>84.050000000000011</v>
      </c>
      <c r="CV367" s="160">
        <v>85.713750000000005</v>
      </c>
      <c r="CW367" s="160">
        <v>86.983000000000004</v>
      </c>
      <c r="CX367" s="160">
        <v>88.600999999999999</v>
      </c>
      <c r="CY367" s="160">
        <v>89.932000000000002</v>
      </c>
      <c r="CZ367" s="160">
        <v>91.488500000000002</v>
      </c>
      <c r="DA367" s="160">
        <f t="array" ref="DA367:DA372">TRANSPOSE(DB366:DG366)</f>
        <v>92.89500000000001</v>
      </c>
      <c r="DB367" s="120">
        <f>(DA367+DC367)/2</f>
        <v>94.319000000000003</v>
      </c>
      <c r="DC367" s="120">
        <f>(DC366+DC368)/2</f>
        <v>95.742999999999995</v>
      </c>
      <c r="DD367" s="120">
        <f>(DC367+DE367)/2</f>
        <v>97.167249999999996</v>
      </c>
      <c r="DE367" s="120">
        <f>(DE366+DE368)/2</f>
        <v>98.591499999999996</v>
      </c>
      <c r="DF367" s="120">
        <f>(DE367+DG367)/2</f>
        <v>100.01975</v>
      </c>
      <c r="DG367" s="122">
        <f>(DG366+DG368)/2</f>
        <v>101.44800000000001</v>
      </c>
    </row>
    <row r="368" spans="54:111" ht="15" customHeight="1" x14ac:dyDescent="0.2">
      <c r="BB368" s="28">
        <v>56</v>
      </c>
      <c r="BC368" s="121">
        <v>15.6</v>
      </c>
      <c r="BD368" s="121">
        <v>17.540500000000002</v>
      </c>
      <c r="BE368" s="121">
        <v>19.481000000000002</v>
      </c>
      <c r="BF368" s="121">
        <v>21.3125</v>
      </c>
      <c r="BG368" s="121">
        <v>23.143999999999998</v>
      </c>
      <c r="BH368" s="121">
        <v>24.930499999999999</v>
      </c>
      <c r="BI368" s="121">
        <v>26.716999999999999</v>
      </c>
      <c r="BJ368" s="121">
        <v>28.426499999999997</v>
      </c>
      <c r="BK368" s="121">
        <v>30.135999999999999</v>
      </c>
      <c r="BL368" s="121">
        <v>31.774499999999996</v>
      </c>
      <c r="BM368" s="121">
        <v>33.412999999999997</v>
      </c>
      <c r="BN368" s="121">
        <v>35.084000000000003</v>
      </c>
      <c r="BO368" s="121">
        <v>36.755000000000003</v>
      </c>
      <c r="BP368" s="121">
        <v>38.355000000000004</v>
      </c>
      <c r="BQ368" s="121">
        <v>39.954999999999998</v>
      </c>
      <c r="BR368" s="121">
        <v>41.548999999999999</v>
      </c>
      <c r="BS368" s="121">
        <v>43.143000000000001</v>
      </c>
      <c r="BT368" s="121">
        <v>44.729500000000002</v>
      </c>
      <c r="BU368" s="121">
        <v>46.316000000000003</v>
      </c>
      <c r="BV368" s="121">
        <v>47.886499999999998</v>
      </c>
      <c r="BW368" s="121">
        <v>49.457000000000001</v>
      </c>
      <c r="BX368" s="121">
        <v>51.012500000000003</v>
      </c>
      <c r="BY368" s="121">
        <v>52.567999999999998</v>
      </c>
      <c r="BZ368" s="121">
        <v>54.090999999999994</v>
      </c>
      <c r="CA368" s="121">
        <v>55.613999999999997</v>
      </c>
      <c r="CB368" s="121">
        <v>57.169499999999999</v>
      </c>
      <c r="CC368" s="121">
        <v>58.725000000000001</v>
      </c>
      <c r="CD368" s="121">
        <v>60.234499999999997</v>
      </c>
      <c r="CE368" s="121">
        <v>61.744</v>
      </c>
      <c r="CF368" s="121">
        <v>63.235999999999997</v>
      </c>
      <c r="CG368" s="121">
        <v>64.727999999999994</v>
      </c>
      <c r="CH368" s="121">
        <v>66.283999999999992</v>
      </c>
      <c r="CI368" s="121">
        <v>67.84</v>
      </c>
      <c r="CJ368" s="121">
        <v>69.3245</v>
      </c>
      <c r="CK368" s="121">
        <v>70.808999999999997</v>
      </c>
      <c r="CL368" s="121">
        <v>72.248999999999995</v>
      </c>
      <c r="CM368" s="121">
        <v>73.688999999999993</v>
      </c>
      <c r="CN368" s="121">
        <v>75.198499999999996</v>
      </c>
      <c r="CO368" s="121">
        <v>76.707999999999998</v>
      </c>
      <c r="CP368" s="121">
        <v>78.199999999999989</v>
      </c>
      <c r="CQ368" s="121">
        <v>79.691999999999993</v>
      </c>
      <c r="CR368" s="160">
        <v>81.124499999999998</v>
      </c>
      <c r="CS368" s="160">
        <v>82.557000000000002</v>
      </c>
      <c r="CT368" s="160">
        <v>84.050000000000011</v>
      </c>
      <c r="CU368" s="160">
        <v>85.543000000000006</v>
      </c>
      <c r="CV368" s="160">
        <v>86.983000000000004</v>
      </c>
      <c r="CW368" s="160">
        <v>88.423000000000002</v>
      </c>
      <c r="CX368" s="160">
        <v>89.932000000000002</v>
      </c>
      <c r="CY368" s="160">
        <v>91.441000000000003</v>
      </c>
      <c r="CZ368" s="160">
        <v>92.89500000000001</v>
      </c>
      <c r="DA368" s="160">
        <v>94.349000000000004</v>
      </c>
      <c r="DB368" s="121">
        <f t="array" ref="DB368:DB372">TRANSPOSE(DC367:DG367)</f>
        <v>95.742999999999995</v>
      </c>
      <c r="DC368" s="158">
        <v>97.137</v>
      </c>
      <c r="DD368" s="121">
        <f>DE367</f>
        <v>98.591499999999996</v>
      </c>
      <c r="DE368" s="158">
        <v>100.121</v>
      </c>
      <c r="DF368" s="121">
        <f>DG367</f>
        <v>101.44800000000001</v>
      </c>
      <c r="DG368" s="159">
        <v>102.92400000000001</v>
      </c>
    </row>
    <row r="369" spans="54:111" ht="15" customHeight="1" x14ac:dyDescent="0.2">
      <c r="BB369" s="28">
        <v>57</v>
      </c>
      <c r="BC369" s="121">
        <v>15.803000000000001</v>
      </c>
      <c r="BD369" s="121">
        <v>17.769000000000002</v>
      </c>
      <c r="BE369" s="121">
        <v>19.734999999999999</v>
      </c>
      <c r="BF369" s="121">
        <v>21.600999999999999</v>
      </c>
      <c r="BG369" s="121">
        <v>23.466999999999999</v>
      </c>
      <c r="BH369" s="121">
        <v>25.27225</v>
      </c>
      <c r="BI369" s="121">
        <v>27.077500000000001</v>
      </c>
      <c r="BJ369" s="121">
        <v>28.801749999999998</v>
      </c>
      <c r="BK369" s="121">
        <v>30.526</v>
      </c>
      <c r="BL369" s="121">
        <v>32.21875</v>
      </c>
      <c r="BM369" s="121">
        <v>33.911499999999997</v>
      </c>
      <c r="BN369" s="121">
        <v>35.588750000000005</v>
      </c>
      <c r="BO369" s="121">
        <v>37.266000000000005</v>
      </c>
      <c r="BP369" s="121">
        <v>38.897000000000006</v>
      </c>
      <c r="BQ369" s="121">
        <v>40.527999999999999</v>
      </c>
      <c r="BR369" s="121">
        <v>42.140749999999997</v>
      </c>
      <c r="BS369" s="121">
        <v>43.753500000000003</v>
      </c>
      <c r="BT369" s="121">
        <v>45.362250000000003</v>
      </c>
      <c r="BU369" s="121">
        <v>46.971000000000004</v>
      </c>
      <c r="BV369" s="121">
        <v>48.572249999999997</v>
      </c>
      <c r="BW369" s="121">
        <v>50.173500000000004</v>
      </c>
      <c r="BX369" s="121">
        <v>51.731500000000004</v>
      </c>
      <c r="BY369" s="121">
        <v>53.289500000000004</v>
      </c>
      <c r="BZ369" s="121">
        <v>54.847249999999995</v>
      </c>
      <c r="CA369" s="121">
        <v>56.405000000000001</v>
      </c>
      <c r="CB369" s="121">
        <v>57.97925</v>
      </c>
      <c r="CC369" s="121">
        <v>59.5535</v>
      </c>
      <c r="CD369" s="121">
        <v>61.100749999999998</v>
      </c>
      <c r="CE369" s="121">
        <v>62.647999999999996</v>
      </c>
      <c r="CF369" s="121">
        <v>64.171250000000001</v>
      </c>
      <c r="CG369" s="121">
        <v>65.694500000000005</v>
      </c>
      <c r="CH369" s="121">
        <v>67.217999999999989</v>
      </c>
      <c r="CI369" s="121">
        <v>68.741500000000002</v>
      </c>
      <c r="CJ369" s="121">
        <v>70.260750000000002</v>
      </c>
      <c r="CK369" s="121">
        <v>71.78</v>
      </c>
      <c r="CL369" s="121">
        <v>73.27324999999999</v>
      </c>
      <c r="CM369" s="121">
        <v>74.766499999999994</v>
      </c>
      <c r="CN369" s="121">
        <v>76.29849999999999</v>
      </c>
      <c r="CO369" s="121">
        <v>77.830500000000001</v>
      </c>
      <c r="CP369" s="121">
        <v>79.353499999999997</v>
      </c>
      <c r="CQ369" s="121">
        <v>80.507000000000005</v>
      </c>
      <c r="CR369" s="160">
        <v>82.315249999999992</v>
      </c>
      <c r="CS369" s="160">
        <v>83.506</v>
      </c>
      <c r="CT369" s="160">
        <v>85.277749999999997</v>
      </c>
      <c r="CU369" s="160">
        <v>86.505499999999998</v>
      </c>
      <c r="CV369" s="160">
        <v>88.298500000000004</v>
      </c>
      <c r="CW369" s="160">
        <v>89.614000000000004</v>
      </c>
      <c r="CX369" s="160">
        <v>91.288749999999993</v>
      </c>
      <c r="CY369" s="160">
        <v>92.645499999999998</v>
      </c>
      <c r="CZ369" s="160">
        <v>94.243750000000006</v>
      </c>
      <c r="DA369" s="160">
        <v>95.592500000000001</v>
      </c>
      <c r="DB369" s="160">
        <v>97.167249999999996</v>
      </c>
      <c r="DC369" s="160">
        <f t="array" ref="DC369:DC372">TRANSPOSE(DD368:DG368)</f>
        <v>98.591499999999996</v>
      </c>
      <c r="DD369" s="120">
        <f>(DC369+DE369)/2</f>
        <v>100.07575</v>
      </c>
      <c r="DE369" s="120">
        <f>(DE368+DE370)/2</f>
        <v>101.56</v>
      </c>
      <c r="DF369" s="120">
        <f>(DE369+DG369)/2</f>
        <v>103.0265</v>
      </c>
      <c r="DG369" s="122">
        <f>(DG368+DG370)/2</f>
        <v>104.49299999999999</v>
      </c>
    </row>
    <row r="370" spans="54:111" ht="15" customHeight="1" x14ac:dyDescent="0.2">
      <c r="BB370" s="28">
        <v>58</v>
      </c>
      <c r="BC370" s="121">
        <v>16.006</v>
      </c>
      <c r="BD370" s="121">
        <v>17.997500000000002</v>
      </c>
      <c r="BE370" s="121">
        <v>19.989000000000001</v>
      </c>
      <c r="BF370" s="121">
        <v>21.889499999999998</v>
      </c>
      <c r="BG370" s="121">
        <v>23.79</v>
      </c>
      <c r="BH370" s="121">
        <v>25.613999999999997</v>
      </c>
      <c r="BI370" s="121">
        <v>27.437999999999999</v>
      </c>
      <c r="BJ370" s="121">
        <v>29.177</v>
      </c>
      <c r="BK370" s="121">
        <v>30.916</v>
      </c>
      <c r="BL370" s="121">
        <v>32.662999999999997</v>
      </c>
      <c r="BM370" s="121">
        <v>34.409999999999997</v>
      </c>
      <c r="BN370" s="121">
        <v>36.093499999999999</v>
      </c>
      <c r="BO370" s="121">
        <v>37.777000000000001</v>
      </c>
      <c r="BP370" s="121">
        <v>39.439</v>
      </c>
      <c r="BQ370" s="121">
        <v>41.100999999999999</v>
      </c>
      <c r="BR370" s="121">
        <v>42.732500000000002</v>
      </c>
      <c r="BS370" s="121">
        <v>44.363999999999997</v>
      </c>
      <c r="BT370" s="121">
        <v>45.994999999999997</v>
      </c>
      <c r="BU370" s="121">
        <v>47.625999999999998</v>
      </c>
      <c r="BV370" s="121">
        <v>49.257999999999996</v>
      </c>
      <c r="BW370" s="121">
        <v>50.89</v>
      </c>
      <c r="BX370" s="121">
        <v>52.450500000000005</v>
      </c>
      <c r="BY370" s="121">
        <v>54.011000000000003</v>
      </c>
      <c r="BZ370" s="121">
        <v>55.603499999999997</v>
      </c>
      <c r="CA370" s="121">
        <v>57.195999999999998</v>
      </c>
      <c r="CB370" s="121">
        <v>58.789000000000001</v>
      </c>
      <c r="CC370" s="121">
        <v>60.381999999999998</v>
      </c>
      <c r="CD370" s="121">
        <v>61.966999999999999</v>
      </c>
      <c r="CE370" s="121">
        <v>63.552</v>
      </c>
      <c r="CF370" s="121">
        <v>65.106499999999997</v>
      </c>
      <c r="CG370" s="121">
        <v>66.661000000000001</v>
      </c>
      <c r="CH370" s="121">
        <v>68.152000000000001</v>
      </c>
      <c r="CI370" s="121">
        <v>69.643000000000001</v>
      </c>
      <c r="CJ370" s="121">
        <v>71.197000000000003</v>
      </c>
      <c r="CK370" s="121">
        <v>72.751000000000005</v>
      </c>
      <c r="CL370" s="121">
        <v>74.297499999999999</v>
      </c>
      <c r="CM370" s="121">
        <v>75.843999999999994</v>
      </c>
      <c r="CN370" s="121">
        <v>77.398499999999999</v>
      </c>
      <c r="CO370" s="121">
        <v>78.953000000000003</v>
      </c>
      <c r="CP370" s="121">
        <v>80.507000000000005</v>
      </c>
      <c r="CQ370" s="121">
        <v>82.061000000000007</v>
      </c>
      <c r="CR370" s="160">
        <v>83.506</v>
      </c>
      <c r="CS370" s="160">
        <v>84.950999999999993</v>
      </c>
      <c r="CT370" s="160">
        <v>86.505499999999998</v>
      </c>
      <c r="CU370" s="160">
        <v>88.06</v>
      </c>
      <c r="CV370" s="160">
        <v>89.614000000000004</v>
      </c>
      <c r="CW370" s="160">
        <v>91.168000000000006</v>
      </c>
      <c r="CX370" s="160">
        <v>92.645499999999998</v>
      </c>
      <c r="CY370" s="160">
        <v>94.123000000000005</v>
      </c>
      <c r="CZ370" s="160">
        <v>95.592500000000001</v>
      </c>
      <c r="DA370" s="160">
        <v>97.061999999999998</v>
      </c>
      <c r="DB370" s="160">
        <v>98.591499999999996</v>
      </c>
      <c r="DC370" s="160">
        <v>100.121</v>
      </c>
      <c r="DD370" s="121">
        <f t="array" ref="DD370:DD372">TRANSPOSE(DE369:DG369)</f>
        <v>101.56</v>
      </c>
      <c r="DE370" s="158">
        <v>102.999</v>
      </c>
      <c r="DF370" s="121">
        <f>DG369</f>
        <v>104.49299999999999</v>
      </c>
      <c r="DG370" s="159">
        <v>106.062</v>
      </c>
    </row>
    <row r="371" spans="54:111" ht="15" customHeight="1" x14ac:dyDescent="0.2">
      <c r="BB371" s="28">
        <v>59</v>
      </c>
      <c r="BC371" s="121">
        <v>16.192</v>
      </c>
      <c r="BD371" s="121">
        <v>18.233750000000001</v>
      </c>
      <c r="BE371" s="121">
        <v>20.275500000000001</v>
      </c>
      <c r="BF371" s="121">
        <v>22.190999999999999</v>
      </c>
      <c r="BG371" s="121">
        <v>24.106499999999997</v>
      </c>
      <c r="BH371" s="121">
        <v>25.948999999999998</v>
      </c>
      <c r="BI371" s="121">
        <v>27.791499999999999</v>
      </c>
      <c r="BJ371" s="121">
        <v>29.57225</v>
      </c>
      <c r="BK371" s="121">
        <v>31.353000000000002</v>
      </c>
      <c r="BL371" s="121">
        <v>33.099249999999998</v>
      </c>
      <c r="BM371" s="121">
        <v>34.845500000000001</v>
      </c>
      <c r="BN371" s="121">
        <v>36.559749999999994</v>
      </c>
      <c r="BO371" s="121">
        <v>38.274000000000001</v>
      </c>
      <c r="BP371" s="121">
        <v>39.958500000000001</v>
      </c>
      <c r="BQ371" s="121">
        <v>41.643000000000001</v>
      </c>
      <c r="BR371" s="121">
        <v>43.308500000000002</v>
      </c>
      <c r="BS371" s="121">
        <v>44.974000000000004</v>
      </c>
      <c r="BT371" s="121">
        <v>46.623750000000001</v>
      </c>
      <c r="BU371" s="121">
        <v>48.273499999999999</v>
      </c>
      <c r="BV371" s="121">
        <v>49.923999999999999</v>
      </c>
      <c r="BW371" s="121">
        <v>51.5745</v>
      </c>
      <c r="BX371" s="121">
        <v>53.169750000000001</v>
      </c>
      <c r="BY371" s="121">
        <v>54.765000000000001</v>
      </c>
      <c r="BZ371" s="121">
        <v>56.395499999999998</v>
      </c>
      <c r="CA371" s="121">
        <v>58.025999999999996</v>
      </c>
      <c r="CB371" s="121">
        <v>59.618250000000003</v>
      </c>
      <c r="CC371" s="121">
        <v>61.210499999999996</v>
      </c>
      <c r="CD371" s="121">
        <v>62.814</v>
      </c>
      <c r="CE371" s="121">
        <v>64.417500000000004</v>
      </c>
      <c r="CF371" s="121">
        <v>65.990499999999997</v>
      </c>
      <c r="CG371" s="121">
        <v>67.563500000000005</v>
      </c>
      <c r="CH371" s="121">
        <v>69.104749999999996</v>
      </c>
      <c r="CI371" s="121">
        <v>70.646000000000001</v>
      </c>
      <c r="CJ371" s="121">
        <v>72.21875</v>
      </c>
      <c r="CK371" s="121">
        <v>73.791499999999999</v>
      </c>
      <c r="CL371" s="121">
        <v>75.360500000000002</v>
      </c>
      <c r="CM371" s="121">
        <v>76.92949999999999</v>
      </c>
      <c r="CN371" s="121">
        <v>78.502499999999998</v>
      </c>
      <c r="CO371" s="121">
        <v>80.075500000000005</v>
      </c>
      <c r="CP371" s="121">
        <v>81.644499999999994</v>
      </c>
      <c r="CQ371" s="121">
        <v>82.781999999999996</v>
      </c>
      <c r="CR371" s="160">
        <v>84.731750000000005</v>
      </c>
      <c r="CS371" s="160">
        <v>85.95750000000001</v>
      </c>
      <c r="CT371" s="160">
        <v>87.784500000000008</v>
      </c>
      <c r="CU371" s="160">
        <v>89.063500000000005</v>
      </c>
      <c r="CV371" s="160">
        <v>90.891500000000008</v>
      </c>
      <c r="CW371" s="160">
        <v>92.169000000000011</v>
      </c>
      <c r="CX371" s="160">
        <v>93.960000000000008</v>
      </c>
      <c r="CY371" s="160">
        <v>95.274500000000003</v>
      </c>
      <c r="CZ371" s="160">
        <v>96.986500000000007</v>
      </c>
      <c r="DA371" s="160">
        <v>98.380499999999998</v>
      </c>
      <c r="DB371" s="160">
        <v>100.01975</v>
      </c>
      <c r="DC371" s="160">
        <v>101.44800000000001</v>
      </c>
      <c r="DD371" s="160">
        <v>103.0265</v>
      </c>
      <c r="DE371" s="160">
        <f t="array" ref="DE371:DE372">TRANSPOSE(DF370:DG370)</f>
        <v>104.49299999999999</v>
      </c>
      <c r="DF371" s="120">
        <f>(DE371+DG371)/2</f>
        <v>106.08074999999999</v>
      </c>
      <c r="DG371" s="122">
        <f>(DG370+DG372)/2</f>
        <v>107.66849999999999</v>
      </c>
    </row>
    <row r="372" spans="54:111" ht="15" customHeight="1" thickBot="1" x14ac:dyDescent="0.25">
      <c r="BB372" s="149">
        <v>60</v>
      </c>
      <c r="BC372" s="123">
        <v>16.378</v>
      </c>
      <c r="BD372" s="123">
        <v>18.47</v>
      </c>
      <c r="BE372" s="123">
        <v>20.562000000000001</v>
      </c>
      <c r="BF372" s="123">
        <v>22.4925</v>
      </c>
      <c r="BG372" s="123">
        <v>24.422999999999998</v>
      </c>
      <c r="BH372" s="123">
        <v>26.283999999999999</v>
      </c>
      <c r="BI372" s="123">
        <v>28.145</v>
      </c>
      <c r="BJ372" s="123">
        <v>29.967500000000001</v>
      </c>
      <c r="BK372" s="123">
        <v>31.79</v>
      </c>
      <c r="BL372" s="123">
        <v>33.535499999999999</v>
      </c>
      <c r="BM372" s="123">
        <v>35.280999999999999</v>
      </c>
      <c r="BN372" s="123">
        <v>37.025999999999996</v>
      </c>
      <c r="BO372" s="123">
        <v>38.771000000000001</v>
      </c>
      <c r="BP372" s="123">
        <v>40.478000000000002</v>
      </c>
      <c r="BQ372" s="123">
        <v>42.185000000000002</v>
      </c>
      <c r="BR372" s="123">
        <v>43.884500000000003</v>
      </c>
      <c r="BS372" s="123">
        <v>45.584000000000003</v>
      </c>
      <c r="BT372" s="123">
        <v>47.252499999999998</v>
      </c>
      <c r="BU372" s="123">
        <v>48.920999999999999</v>
      </c>
      <c r="BV372" s="123">
        <v>50.59</v>
      </c>
      <c r="BW372" s="123">
        <v>52.259</v>
      </c>
      <c r="BX372" s="123">
        <v>53.888999999999996</v>
      </c>
      <c r="BY372" s="123">
        <v>55.518999999999998</v>
      </c>
      <c r="BZ372" s="123">
        <v>57.1875</v>
      </c>
      <c r="CA372" s="123">
        <v>58.856000000000002</v>
      </c>
      <c r="CB372" s="123">
        <v>60.447500000000005</v>
      </c>
      <c r="CC372" s="123">
        <v>62.039000000000001</v>
      </c>
      <c r="CD372" s="123">
        <v>63.661000000000001</v>
      </c>
      <c r="CE372" s="123">
        <v>65.283000000000001</v>
      </c>
      <c r="CF372" s="123">
        <v>66.874499999999998</v>
      </c>
      <c r="CG372" s="123">
        <v>68.465999999999994</v>
      </c>
      <c r="CH372" s="123">
        <v>70.057500000000005</v>
      </c>
      <c r="CI372" s="123">
        <v>71.649000000000001</v>
      </c>
      <c r="CJ372" s="123">
        <v>73.240499999999997</v>
      </c>
      <c r="CK372" s="123">
        <v>74.831999999999994</v>
      </c>
      <c r="CL372" s="123">
        <v>76.42349999999999</v>
      </c>
      <c r="CM372" s="123">
        <v>78.015000000000001</v>
      </c>
      <c r="CN372" s="123">
        <v>79.606499999999997</v>
      </c>
      <c r="CO372" s="123">
        <v>81.197999999999993</v>
      </c>
      <c r="CP372" s="123">
        <v>82.781999999999996</v>
      </c>
      <c r="CQ372" s="123">
        <v>84.366</v>
      </c>
      <c r="CR372" s="161">
        <v>85.95750000000001</v>
      </c>
      <c r="CS372" s="161">
        <v>87.549000000000007</v>
      </c>
      <c r="CT372" s="161">
        <v>89.063500000000005</v>
      </c>
      <c r="CU372" s="161">
        <v>90.578000000000003</v>
      </c>
      <c r="CV372" s="161">
        <v>92.169000000000011</v>
      </c>
      <c r="CW372" s="161">
        <v>93.76</v>
      </c>
      <c r="CX372" s="161">
        <v>95.274500000000003</v>
      </c>
      <c r="CY372" s="161">
        <v>96.789000000000001</v>
      </c>
      <c r="CZ372" s="161">
        <v>98.380499999999998</v>
      </c>
      <c r="DA372" s="161">
        <v>99.971999999999994</v>
      </c>
      <c r="DB372" s="161">
        <v>101.44800000000001</v>
      </c>
      <c r="DC372" s="161">
        <v>102.92400000000001</v>
      </c>
      <c r="DD372" s="161">
        <v>104.49299999999999</v>
      </c>
      <c r="DE372" s="161">
        <v>106.062</v>
      </c>
      <c r="DF372" s="151">
        <f>DG371</f>
        <v>107.66849999999999</v>
      </c>
      <c r="DG372" s="162">
        <v>109.27500000000001</v>
      </c>
    </row>
    <row r="373" spans="54:111" ht="15" customHeight="1" thickBot="1" x14ac:dyDescent="0.25">
      <c r="BB373" s="25"/>
      <c r="BC373" s="25"/>
      <c r="BD373" s="25"/>
      <c r="BE373" s="25"/>
      <c r="BF373" s="25"/>
      <c r="BG373" s="25"/>
      <c r="BH373" s="25"/>
      <c r="BI373" s="25"/>
      <c r="BJ373" s="25"/>
      <c r="BK373" s="25"/>
      <c r="BL373" s="25"/>
      <c r="BM373" s="25"/>
      <c r="BN373" s="25"/>
      <c r="BO373" s="25"/>
      <c r="BP373" s="25"/>
      <c r="BQ373" s="25"/>
      <c r="BR373" s="25"/>
      <c r="BS373" s="25"/>
      <c r="BT373" s="25"/>
      <c r="BU373" s="25"/>
      <c r="BV373" s="25"/>
      <c r="BW373" s="25"/>
      <c r="BX373" s="25"/>
      <c r="BY373" s="25"/>
      <c r="BZ373" s="25"/>
      <c r="CA373" s="25"/>
      <c r="CB373" s="25"/>
      <c r="CC373" s="25"/>
      <c r="CD373" s="25"/>
      <c r="CE373" s="25"/>
      <c r="CF373" s="25"/>
      <c r="CG373" s="25"/>
      <c r="CH373" s="25"/>
      <c r="CI373" s="25"/>
      <c r="CJ373" s="25"/>
      <c r="CK373" s="25"/>
      <c r="CL373" s="25"/>
      <c r="CM373" s="25"/>
      <c r="CN373" s="25"/>
      <c r="CO373" s="25"/>
      <c r="CP373" s="25"/>
      <c r="CQ373" s="25"/>
    </row>
    <row r="374" spans="54:111" ht="15" customHeight="1" thickBot="1" x14ac:dyDescent="0.3">
      <c r="BB374" s="1841" t="s">
        <v>300</v>
      </c>
      <c r="BC374" s="1842"/>
      <c r="BD374" s="1842"/>
      <c r="BE374" s="1842"/>
      <c r="BF374" s="1842"/>
      <c r="BG374" s="1842"/>
      <c r="BH374" s="1842"/>
      <c r="BI374" s="1842"/>
      <c r="BJ374" s="1842"/>
      <c r="BK374" s="1842"/>
      <c r="BL374" s="1842"/>
      <c r="BM374" s="1842"/>
      <c r="BN374" s="1842"/>
      <c r="BO374" s="1842"/>
      <c r="BP374" s="1842"/>
      <c r="BQ374" s="1842"/>
      <c r="BR374" s="1842"/>
      <c r="BS374" s="1842"/>
      <c r="BT374" s="1842"/>
      <c r="BU374" s="1842"/>
      <c r="BV374" s="1842"/>
      <c r="BW374" s="1842"/>
      <c r="BX374" s="1842"/>
      <c r="BY374" s="1842"/>
      <c r="BZ374" s="1842"/>
      <c r="CA374" s="1842"/>
      <c r="CB374" s="1842"/>
      <c r="CC374" s="1842"/>
      <c r="CD374" s="1842"/>
      <c r="CE374" s="1842"/>
      <c r="CF374" s="1842"/>
      <c r="CG374" s="1842"/>
      <c r="CH374" s="1842"/>
      <c r="CI374" s="1842"/>
      <c r="CJ374" s="1842"/>
      <c r="CK374" s="1842"/>
      <c r="CL374" s="1842"/>
      <c r="CM374" s="1842"/>
      <c r="CN374" s="1842"/>
      <c r="CO374" s="1842"/>
      <c r="CP374" s="1842"/>
      <c r="CQ374" s="1842"/>
      <c r="CR374" s="1842"/>
      <c r="CS374" s="1842"/>
      <c r="CT374" s="1842"/>
      <c r="CU374" s="1842"/>
      <c r="CV374" s="1842"/>
      <c r="CW374" s="1842"/>
      <c r="CX374" s="1842"/>
      <c r="CY374" s="1842"/>
      <c r="CZ374" s="1842"/>
      <c r="DA374" s="1842"/>
      <c r="DB374" s="1842"/>
      <c r="DC374" s="1842"/>
      <c r="DD374" s="1842"/>
      <c r="DE374" s="1842"/>
      <c r="DF374" s="1842"/>
      <c r="DG374" s="1843"/>
    </row>
    <row r="375" spans="54:111" ht="15" customHeight="1" x14ac:dyDescent="0.2">
      <c r="BB375" s="146"/>
      <c r="BC375" s="147">
        <v>4</v>
      </c>
      <c r="BD375" s="147">
        <v>5</v>
      </c>
      <c r="BE375" s="147">
        <v>6</v>
      </c>
      <c r="BF375" s="147">
        <v>7</v>
      </c>
      <c r="BG375" s="147">
        <v>8</v>
      </c>
      <c r="BH375" s="147">
        <v>9</v>
      </c>
      <c r="BI375" s="147">
        <v>10</v>
      </c>
      <c r="BJ375" s="147">
        <v>11</v>
      </c>
      <c r="BK375" s="147">
        <v>12</v>
      </c>
      <c r="BL375" s="147">
        <v>13</v>
      </c>
      <c r="BM375" s="147">
        <v>14</v>
      </c>
      <c r="BN375" s="147">
        <v>15</v>
      </c>
      <c r="BO375" s="147">
        <v>16</v>
      </c>
      <c r="BP375" s="147">
        <v>17</v>
      </c>
      <c r="BQ375" s="147">
        <v>18</v>
      </c>
      <c r="BR375" s="147">
        <v>19</v>
      </c>
      <c r="BS375" s="147">
        <v>20</v>
      </c>
      <c r="BT375" s="147">
        <v>21</v>
      </c>
      <c r="BU375" s="147">
        <v>22</v>
      </c>
      <c r="BV375" s="147">
        <v>23</v>
      </c>
      <c r="BW375" s="147">
        <v>24</v>
      </c>
      <c r="BX375" s="147">
        <v>25</v>
      </c>
      <c r="BY375" s="147">
        <v>26</v>
      </c>
      <c r="BZ375" s="147">
        <v>27</v>
      </c>
      <c r="CA375" s="147">
        <v>28</v>
      </c>
      <c r="CB375" s="147">
        <v>29</v>
      </c>
      <c r="CC375" s="147">
        <v>30</v>
      </c>
      <c r="CD375" s="147">
        <v>31</v>
      </c>
      <c r="CE375" s="147">
        <v>32</v>
      </c>
      <c r="CF375" s="147">
        <v>33</v>
      </c>
      <c r="CG375" s="147">
        <v>34</v>
      </c>
      <c r="CH375" s="147">
        <v>35</v>
      </c>
      <c r="CI375" s="147">
        <v>36</v>
      </c>
      <c r="CJ375" s="147">
        <v>37</v>
      </c>
      <c r="CK375" s="147">
        <v>38</v>
      </c>
      <c r="CL375" s="147">
        <v>39</v>
      </c>
      <c r="CM375" s="147">
        <v>40</v>
      </c>
      <c r="CN375" s="147">
        <v>41</v>
      </c>
      <c r="CO375" s="147">
        <v>42</v>
      </c>
      <c r="CP375" s="147">
        <v>43</v>
      </c>
      <c r="CQ375" s="147">
        <v>44</v>
      </c>
      <c r="CR375" s="147">
        <v>45</v>
      </c>
      <c r="CS375" s="147">
        <v>46</v>
      </c>
      <c r="CT375" s="147">
        <v>47</v>
      </c>
      <c r="CU375" s="147">
        <v>48</v>
      </c>
      <c r="CV375" s="147">
        <v>49</v>
      </c>
      <c r="CW375" s="147">
        <v>50</v>
      </c>
      <c r="CX375" s="147">
        <v>51</v>
      </c>
      <c r="CY375" s="147">
        <v>52</v>
      </c>
      <c r="CZ375" s="147">
        <v>53</v>
      </c>
      <c r="DA375" s="147">
        <v>54</v>
      </c>
      <c r="DB375" s="147">
        <v>55</v>
      </c>
      <c r="DC375" s="147">
        <v>56</v>
      </c>
      <c r="DD375" s="147">
        <v>57</v>
      </c>
      <c r="DE375" s="147">
        <v>58</v>
      </c>
      <c r="DF375" s="147">
        <v>59</v>
      </c>
      <c r="DG375" s="148">
        <v>60</v>
      </c>
    </row>
    <row r="376" spans="54:111" ht="15" customHeight="1" x14ac:dyDescent="0.2">
      <c r="BB376" s="28">
        <v>4</v>
      </c>
      <c r="BC376" s="156">
        <v>2.335</v>
      </c>
      <c r="BD376" s="120">
        <f>(BE376+BC376)/2</f>
        <v>2.6174999999999997</v>
      </c>
      <c r="BE376" s="156">
        <v>2.9</v>
      </c>
      <c r="BF376" s="120">
        <f>(BG376+BE376)/2</f>
        <v>3.1230000000000002</v>
      </c>
      <c r="BG376" s="156">
        <v>3.3460000000000001</v>
      </c>
      <c r="BH376" s="120">
        <f>(BI376+BG376)/2</f>
        <v>3.5910000000000002</v>
      </c>
      <c r="BI376" s="156">
        <v>3.8359999999999999</v>
      </c>
      <c r="BJ376" s="120">
        <f>(BK376+BI376)/2</f>
        <v>4.0664999999999996</v>
      </c>
      <c r="BK376" s="156">
        <v>4.2969999999999997</v>
      </c>
      <c r="BL376" s="120">
        <f>(BM376+BK376)/2</f>
        <v>4.5045000000000002</v>
      </c>
      <c r="BM376" s="156">
        <v>4.7119999999999997</v>
      </c>
      <c r="BN376" s="120">
        <f>(BO376+BM376)/2</f>
        <v>4.8970000000000002</v>
      </c>
      <c r="BO376" s="156">
        <v>5.0819999999999999</v>
      </c>
      <c r="BP376" s="120">
        <f>(BQ376+BO376)/2</f>
        <v>5.2889999999999997</v>
      </c>
      <c r="BQ376" s="156">
        <v>5.4960000000000004</v>
      </c>
      <c r="BR376" s="120">
        <f>(BS376+BQ376)/2</f>
        <v>5.6880000000000006</v>
      </c>
      <c r="BS376" s="156">
        <v>5.88</v>
      </c>
      <c r="BT376" s="120">
        <f>(BU376+BS376)/2</f>
        <v>6.0875000000000004</v>
      </c>
      <c r="BU376" s="156">
        <v>6.2949999999999999</v>
      </c>
      <c r="BV376" s="120">
        <f>(BW376+BU376)/2</f>
        <v>6.48</v>
      </c>
      <c r="BW376" s="156">
        <v>6.665</v>
      </c>
      <c r="BX376" s="120">
        <f>(BY376+BW376)/2</f>
        <v>6.8345000000000002</v>
      </c>
      <c r="BY376" s="156">
        <v>7.0039999999999996</v>
      </c>
      <c r="BZ376" s="120">
        <f>(CA376+BY376)/2</f>
        <v>7.1969999999999992</v>
      </c>
      <c r="CA376" s="156">
        <v>7.39</v>
      </c>
      <c r="CB376" s="120">
        <f>(CC376+CA376)/2</f>
        <v>7.5969999999999995</v>
      </c>
      <c r="CC376" s="156">
        <v>7.8040000000000003</v>
      </c>
      <c r="CD376" s="120">
        <f>(CE376+CC376)/2</f>
        <v>7.9735000000000005</v>
      </c>
      <c r="CE376" s="156">
        <v>8.1430000000000007</v>
      </c>
      <c r="CF376" s="120">
        <f>(CG376+CE376)/2</f>
        <v>8.3279999999999994</v>
      </c>
      <c r="CG376" s="156">
        <v>8.5129999999999999</v>
      </c>
      <c r="CH376" s="120">
        <f>(CI376+CG376)/2</f>
        <v>8.6894999999999989</v>
      </c>
      <c r="CI376" s="156">
        <v>8.8659999999999997</v>
      </c>
      <c r="CJ376" s="120">
        <f>(CK376+CI376)/2</f>
        <v>9.0135000000000005</v>
      </c>
      <c r="CK376" s="156">
        <v>9.1609999999999996</v>
      </c>
      <c r="CL376" s="120">
        <f>(CM376+CK376)/2</f>
        <v>9.3679999999999986</v>
      </c>
      <c r="CM376" s="156">
        <v>9.5749999999999993</v>
      </c>
      <c r="CN376" s="120">
        <f>(CO376+CM376)/2</f>
        <v>9.7225000000000001</v>
      </c>
      <c r="CO376" s="156">
        <v>9.8699999999999992</v>
      </c>
      <c r="CP376" s="120">
        <f>(CQ376+CO376)/2</f>
        <v>10.0465</v>
      </c>
      <c r="CQ376" s="156">
        <v>10.223000000000001</v>
      </c>
      <c r="CR376" s="120">
        <f>(CS376+CQ376)/2</f>
        <v>10.3705</v>
      </c>
      <c r="CS376" s="156">
        <v>10.518000000000001</v>
      </c>
      <c r="CT376" s="120">
        <f>(CU376+CS376)/2</f>
        <v>10.725000000000001</v>
      </c>
      <c r="CU376" s="156">
        <v>10.932</v>
      </c>
      <c r="CV376" s="120">
        <f>(CW376+CU376)/2</f>
        <v>11.079499999999999</v>
      </c>
      <c r="CW376" s="156">
        <v>11.227</v>
      </c>
      <c r="CX376" s="120">
        <f>(CY376+CW376)/2</f>
        <v>11.404</v>
      </c>
      <c r="CY376" s="156">
        <v>11.581</v>
      </c>
      <c r="CZ376" s="120">
        <f>(DA376+CY376)/2</f>
        <v>11.728</v>
      </c>
      <c r="DA376" s="156">
        <v>11.875</v>
      </c>
      <c r="DB376" s="120">
        <f>(DC376+DA376)/2</f>
        <v>12.045</v>
      </c>
      <c r="DC376" s="156">
        <v>12.215</v>
      </c>
      <c r="DD376" s="120">
        <f>(DE376+DC376)/2</f>
        <v>12.362</v>
      </c>
      <c r="DE376" s="156">
        <v>12.509</v>
      </c>
      <c r="DF376" s="120">
        <f>(DG376+DE376)/2</f>
        <v>12.685500000000001</v>
      </c>
      <c r="DG376" s="157">
        <v>12.862</v>
      </c>
    </row>
    <row r="377" spans="54:111" ht="15" customHeight="1" x14ac:dyDescent="0.2">
      <c r="BB377" s="28">
        <v>5</v>
      </c>
      <c r="BC377" s="121">
        <f t="array" ref="BC377:BC432">TRANSPOSE(BD376:DG376)</f>
        <v>2.6174999999999997</v>
      </c>
      <c r="BD377" s="120">
        <f>(BC377+BE377)/2</f>
        <v>2.9197499999999996</v>
      </c>
      <c r="BE377" s="120">
        <f>(BE376+BE378)/2</f>
        <v>3.222</v>
      </c>
      <c r="BF377" s="120">
        <f>(BE377+BG377)/2</f>
        <v>3.4904999999999999</v>
      </c>
      <c r="BG377" s="120">
        <f>(BG376+BG378)/2</f>
        <v>3.7589999999999999</v>
      </c>
      <c r="BH377" s="120">
        <f>(BG377+BI377)/2</f>
        <v>4.0155000000000003</v>
      </c>
      <c r="BI377" s="120">
        <f>(BI376+BI378)/2</f>
        <v>4.2720000000000002</v>
      </c>
      <c r="BJ377" s="120">
        <f>(BI377+BK377)/2</f>
        <v>4.5214999999999996</v>
      </c>
      <c r="BK377" s="120">
        <f>(BK376+BK378)/2</f>
        <v>4.7709999999999999</v>
      </c>
      <c r="BL377" s="120">
        <f>(BK377+BM377)/2</f>
        <v>5.0124999999999993</v>
      </c>
      <c r="BM377" s="120">
        <f>(BM376+BM378)/2</f>
        <v>5.2539999999999996</v>
      </c>
      <c r="BN377" s="120">
        <f>(BM377+BO377)/2</f>
        <v>5.4695</v>
      </c>
      <c r="BO377" s="120">
        <f>(BO376+BO378)/2</f>
        <v>5.6850000000000005</v>
      </c>
      <c r="BP377" s="120">
        <f>(BO377+BQ377)/2</f>
        <v>5.9037500000000005</v>
      </c>
      <c r="BQ377" s="120">
        <f>(BQ376+BQ378)/2</f>
        <v>6.1225000000000005</v>
      </c>
      <c r="BR377" s="120">
        <f>(BQ377+BS377)/2</f>
        <v>6.3565000000000005</v>
      </c>
      <c r="BS377" s="120">
        <f>(BS376+BS378)/2</f>
        <v>6.5905000000000005</v>
      </c>
      <c r="BT377" s="120">
        <f>(BS377+BU377)/2</f>
        <v>6.8094999999999999</v>
      </c>
      <c r="BU377" s="120">
        <f>(BU376+BU378)/2</f>
        <v>7.0284999999999993</v>
      </c>
      <c r="BV377" s="120">
        <f>(BU377+BW377)/2</f>
        <v>7.2397499999999999</v>
      </c>
      <c r="BW377" s="120">
        <f>(BW376+BW378)/2</f>
        <v>7.4510000000000005</v>
      </c>
      <c r="BX377" s="120">
        <f>(BW377+BY377)/2</f>
        <v>7.6400000000000006</v>
      </c>
      <c r="BY377" s="120">
        <f>(BY376+BY378)/2</f>
        <v>7.8289999999999997</v>
      </c>
      <c r="BZ377" s="120">
        <f>(BY377+CA377)/2</f>
        <v>8.0407499999999992</v>
      </c>
      <c r="CA377" s="120">
        <f>(CA376+CA378)/2</f>
        <v>8.2524999999999995</v>
      </c>
      <c r="CB377" s="120">
        <f>(CA377+CC377)/2</f>
        <v>8.4749999999999996</v>
      </c>
      <c r="CC377" s="120">
        <f>(CC376+CC378)/2</f>
        <v>8.6974999999999998</v>
      </c>
      <c r="CD377" s="120">
        <f>(CC377+CE377)/2</f>
        <v>8.8975000000000009</v>
      </c>
      <c r="CE377" s="120">
        <f>(CE376+CE378)/2</f>
        <v>9.0975000000000001</v>
      </c>
      <c r="CF377" s="120">
        <f>(CE377+CG377)/2</f>
        <v>9.2899999999999991</v>
      </c>
      <c r="CG377" s="120">
        <f>(CG376+CG378)/2</f>
        <v>9.4824999999999999</v>
      </c>
      <c r="CH377" s="120">
        <f>(CG377+CI377)/2</f>
        <v>9.6750000000000007</v>
      </c>
      <c r="CI377" s="120">
        <f>(CI376+CI378)/2</f>
        <v>9.8674999999999997</v>
      </c>
      <c r="CJ377" s="120">
        <f>(CI377+CK377)/2</f>
        <v>10.0565</v>
      </c>
      <c r="CK377" s="120">
        <f>(CK376+CK378)/2</f>
        <v>10.2455</v>
      </c>
      <c r="CL377" s="120">
        <f>(CK377+CM377)/2</f>
        <v>10.449</v>
      </c>
      <c r="CM377" s="120">
        <f>(CM376+CM378)/2</f>
        <v>10.6525</v>
      </c>
      <c r="CN377" s="120">
        <f>(CM377+CO377)/2</f>
        <v>10.8415</v>
      </c>
      <c r="CO377" s="120">
        <f>(CO376+CO378)/2</f>
        <v>11.0305</v>
      </c>
      <c r="CP377" s="120">
        <f>(CO377+CQ377)/2</f>
        <v>11.215250000000001</v>
      </c>
      <c r="CQ377" s="120">
        <f>(CQ376+CQ378)/2</f>
        <v>11.4</v>
      </c>
      <c r="CR377" s="120">
        <f>(CQ377+CS377)/2</f>
        <v>11.58175</v>
      </c>
      <c r="CS377" s="120">
        <f>(CS376+CS378)/2</f>
        <v>11.763500000000001</v>
      </c>
      <c r="CT377" s="120">
        <f>(CS377+CU377)/2</f>
        <v>11.96325</v>
      </c>
      <c r="CU377" s="120">
        <f>(CU376+CU378)/2</f>
        <v>12.163</v>
      </c>
      <c r="CV377" s="120">
        <f>(CU377+CW377)/2</f>
        <v>12.33675</v>
      </c>
      <c r="CW377" s="120">
        <f>(CW376+CW378)/2</f>
        <v>12.5105</v>
      </c>
      <c r="CX377" s="120">
        <f>(CW377+CY377)/2</f>
        <v>12.71425</v>
      </c>
      <c r="CY377" s="120">
        <f>(CY376+CY378)/2</f>
        <v>12.917999999999999</v>
      </c>
      <c r="CZ377" s="120">
        <f>(CY377+DA377)/2</f>
        <v>13.08775</v>
      </c>
      <c r="DA377" s="120">
        <f>(DA376+DA378)/2</f>
        <v>13.2575</v>
      </c>
      <c r="DB377" s="120">
        <f>(DA377+DC377)/2</f>
        <v>13.4315</v>
      </c>
      <c r="DC377" s="120">
        <f>(DC376+DC378)/2</f>
        <v>13.605499999999999</v>
      </c>
      <c r="DD377" s="120">
        <f>(DC377+DE377)/2</f>
        <v>13.79425</v>
      </c>
      <c r="DE377" s="120">
        <f>(DE376+DE378)/2</f>
        <v>13.983000000000001</v>
      </c>
      <c r="DF377" s="120">
        <f>(DE377+DG377)/2</f>
        <v>14.1715</v>
      </c>
      <c r="DG377" s="122">
        <f>(DG376+DG378)/2</f>
        <v>14.36</v>
      </c>
    </row>
    <row r="378" spans="54:111" ht="15" customHeight="1" x14ac:dyDescent="0.2">
      <c r="BB378" s="28">
        <v>6</v>
      </c>
      <c r="BC378" s="121">
        <v>2.9</v>
      </c>
      <c r="BD378" s="121">
        <f t="array" ref="BD378:BD432">TRANSPOSE(BE377:DG377)</f>
        <v>3.222</v>
      </c>
      <c r="BE378" s="158">
        <v>3.544</v>
      </c>
      <c r="BF378" s="120">
        <f>(BG378+BE378)/2</f>
        <v>3.8579999999999997</v>
      </c>
      <c r="BG378" s="158">
        <v>4.1719999999999997</v>
      </c>
      <c r="BH378" s="120">
        <f>(BI378+BG378)/2</f>
        <v>4.4399999999999995</v>
      </c>
      <c r="BI378" s="158">
        <v>4.7080000000000002</v>
      </c>
      <c r="BJ378" s="120">
        <f>(BK378+BI378)/2</f>
        <v>4.9764999999999997</v>
      </c>
      <c r="BK378" s="158">
        <v>5.2450000000000001</v>
      </c>
      <c r="BL378" s="120">
        <f>(BM378+BK378)/2</f>
        <v>5.5205000000000002</v>
      </c>
      <c r="BM378" s="158">
        <v>5.7960000000000003</v>
      </c>
      <c r="BN378" s="120">
        <f>(BO378+BM378)/2</f>
        <v>6.0419999999999998</v>
      </c>
      <c r="BO378" s="158">
        <v>6.2880000000000003</v>
      </c>
      <c r="BP378" s="120">
        <f>(BQ378+BO378)/2</f>
        <v>6.5184999999999995</v>
      </c>
      <c r="BQ378" s="158">
        <v>6.7489999999999997</v>
      </c>
      <c r="BR378" s="120">
        <f>(BS378+BQ378)/2</f>
        <v>7.0250000000000004</v>
      </c>
      <c r="BS378" s="158">
        <v>7.3010000000000002</v>
      </c>
      <c r="BT378" s="120">
        <f>(BU378+BS378)/2</f>
        <v>7.5314999999999994</v>
      </c>
      <c r="BU378" s="158">
        <v>7.7619999999999996</v>
      </c>
      <c r="BV378" s="120">
        <f>(BW378+BU378)/2</f>
        <v>7.9994999999999994</v>
      </c>
      <c r="BW378" s="158">
        <v>8.2370000000000001</v>
      </c>
      <c r="BX378" s="120">
        <f>(BY378+BW378)/2</f>
        <v>8.4454999999999991</v>
      </c>
      <c r="BY378" s="158">
        <v>8.6539999999999999</v>
      </c>
      <c r="BZ378" s="120">
        <f>(CA378+BY378)/2</f>
        <v>8.8844999999999992</v>
      </c>
      <c r="CA378" s="158">
        <v>9.1150000000000002</v>
      </c>
      <c r="CB378" s="120">
        <f>(CC378+CA378)/2</f>
        <v>9.3529999999999998</v>
      </c>
      <c r="CC378" s="158">
        <v>9.5909999999999993</v>
      </c>
      <c r="CD378" s="120">
        <f>(CE378+CC378)/2</f>
        <v>9.8215000000000003</v>
      </c>
      <c r="CE378" s="158">
        <v>10.052</v>
      </c>
      <c r="CF378" s="120">
        <f>(CG378+CE378)/2</f>
        <v>10.251999999999999</v>
      </c>
      <c r="CG378" s="158">
        <v>10.452</v>
      </c>
      <c r="CH378" s="120">
        <f>(CI378+CG378)/2</f>
        <v>10.660499999999999</v>
      </c>
      <c r="CI378" s="158">
        <v>10.869</v>
      </c>
      <c r="CJ378" s="120">
        <f>(CK378+CI378)/2</f>
        <v>11.099499999999999</v>
      </c>
      <c r="CK378" s="158">
        <v>11.33</v>
      </c>
      <c r="CL378" s="120">
        <f>(CM378+CK378)/2</f>
        <v>11.530000000000001</v>
      </c>
      <c r="CM378" s="158">
        <v>11.73</v>
      </c>
      <c r="CN378" s="120">
        <f>(CO378+CM378)/2</f>
        <v>11.9605</v>
      </c>
      <c r="CO378" s="158">
        <v>12.191000000000001</v>
      </c>
      <c r="CP378" s="120">
        <f>(CQ378+CO378)/2</f>
        <v>12.384</v>
      </c>
      <c r="CQ378" s="158">
        <v>12.577</v>
      </c>
      <c r="CR378" s="120">
        <f>(CS378+CQ378)/2</f>
        <v>12.792999999999999</v>
      </c>
      <c r="CS378" s="158">
        <v>13.009</v>
      </c>
      <c r="CT378" s="120">
        <f>(CU378+CS378)/2</f>
        <v>13.201499999999999</v>
      </c>
      <c r="CU378" s="158">
        <v>13.394</v>
      </c>
      <c r="CV378" s="120">
        <f>(CW378+CU378)/2</f>
        <v>13.594000000000001</v>
      </c>
      <c r="CW378" s="158">
        <v>13.794</v>
      </c>
      <c r="CX378" s="120">
        <f>(CY378+CW378)/2</f>
        <v>14.0245</v>
      </c>
      <c r="CY378" s="158">
        <v>14.255000000000001</v>
      </c>
      <c r="CZ378" s="120">
        <f>(DA378+CY378)/2</f>
        <v>14.447500000000002</v>
      </c>
      <c r="DA378" s="158">
        <v>14.64</v>
      </c>
      <c r="DB378" s="120">
        <f>(DC378+DA378)/2</f>
        <v>14.818000000000001</v>
      </c>
      <c r="DC378" s="158">
        <v>14.996</v>
      </c>
      <c r="DD378" s="120">
        <f>(DE378+DC378)/2</f>
        <v>15.226500000000001</v>
      </c>
      <c r="DE378" s="158">
        <v>15.457000000000001</v>
      </c>
      <c r="DF378" s="120">
        <f>(DG378+DE378)/2</f>
        <v>15.657500000000001</v>
      </c>
      <c r="DG378" s="159">
        <v>15.858000000000001</v>
      </c>
    </row>
    <row r="379" spans="54:111" ht="15" customHeight="1" x14ac:dyDescent="0.2">
      <c r="BB379" s="28">
        <v>7</v>
      </c>
      <c r="BC379" s="121">
        <v>3.1230000000000002</v>
      </c>
      <c r="BD379" s="121">
        <v>3.4904999999999999</v>
      </c>
      <c r="BE379" s="121">
        <f t="array" ref="BE379:BE432">TRANSPOSE(BF378:DG378)</f>
        <v>3.8579999999999997</v>
      </c>
      <c r="BF379" s="120">
        <f>(BE379+BG379)/2</f>
        <v>4.1794999999999991</v>
      </c>
      <c r="BG379" s="120">
        <f>(BG378+BG380)/2</f>
        <v>4.5009999999999994</v>
      </c>
      <c r="BH379" s="120">
        <f>(BG379+BI379)/2</f>
        <v>4.8032500000000002</v>
      </c>
      <c r="BI379" s="120">
        <f>(BI378+BI380)/2</f>
        <v>5.1055000000000001</v>
      </c>
      <c r="BJ379" s="120">
        <f>(BI379+BK379)/2</f>
        <v>5.4045000000000005</v>
      </c>
      <c r="BK379" s="120">
        <f>(BK378+BK380)/2</f>
        <v>5.7035</v>
      </c>
      <c r="BL379" s="120">
        <f>(BK379+BM379)/2</f>
        <v>5.9909999999999997</v>
      </c>
      <c r="BM379" s="120">
        <f>(BM378+BM380)/2</f>
        <v>6.2785000000000002</v>
      </c>
      <c r="BN379" s="120">
        <f>(BM379+BO379)/2</f>
        <v>6.5582500000000001</v>
      </c>
      <c r="BO379" s="120">
        <f>(BO378+BO380)/2</f>
        <v>6.8380000000000001</v>
      </c>
      <c r="BP379" s="120">
        <f>(BO379+BQ379)/2</f>
        <v>7.1025</v>
      </c>
      <c r="BQ379" s="120">
        <f>(BQ378+BQ380)/2</f>
        <v>7.367</v>
      </c>
      <c r="BR379" s="120">
        <f>(BQ379+BS379)/2</f>
        <v>7.6509999999999998</v>
      </c>
      <c r="BS379" s="120">
        <f>(BS378+BS380)/2</f>
        <v>7.9350000000000005</v>
      </c>
      <c r="BT379" s="120">
        <f>(BS379+BU379)/2</f>
        <v>8.1807499999999997</v>
      </c>
      <c r="BU379" s="120">
        <f>(BU378+BU380)/2</f>
        <v>8.426499999999999</v>
      </c>
      <c r="BV379" s="120">
        <f>(BU379+BW379)/2</f>
        <v>8.6912500000000001</v>
      </c>
      <c r="BW379" s="120">
        <f>(BW378+BW380)/2</f>
        <v>8.9559999999999995</v>
      </c>
      <c r="BX379" s="120">
        <f>(BW379+BY379)/2</f>
        <v>9.1907499999999995</v>
      </c>
      <c r="BY379" s="120">
        <f>(BY378+BY380)/2</f>
        <v>9.4254999999999995</v>
      </c>
      <c r="BZ379" s="120">
        <f>(BY379+CA379)/2</f>
        <v>9.6677499999999998</v>
      </c>
      <c r="CA379" s="120">
        <f>(CA378+CA380)/2</f>
        <v>9.91</v>
      </c>
      <c r="CB379" s="120">
        <f>(CA379+CC379)/2</f>
        <v>10.1595</v>
      </c>
      <c r="CC379" s="120">
        <f>(CC378+CC380)/2</f>
        <v>10.408999999999999</v>
      </c>
      <c r="CD379" s="120">
        <f>(CC379+CE379)/2</f>
        <v>10.651249999999999</v>
      </c>
      <c r="CE379" s="120">
        <f>(CE378+CE380)/2</f>
        <v>10.8935</v>
      </c>
      <c r="CF379" s="120">
        <f>(CE379+CG379)/2</f>
        <v>11.12425</v>
      </c>
      <c r="CG379" s="120">
        <f>(CG378+CG380)/2</f>
        <v>11.355</v>
      </c>
      <c r="CH379" s="120">
        <f>(CG379+CI379)/2</f>
        <v>11.586</v>
      </c>
      <c r="CI379" s="120">
        <f>(CI378+CI380)/2</f>
        <v>11.817</v>
      </c>
      <c r="CJ379" s="120">
        <f>(CI379+CK379)/2</f>
        <v>12.062750000000001</v>
      </c>
      <c r="CK379" s="120">
        <f>(CK378+CK380)/2</f>
        <v>12.3085</v>
      </c>
      <c r="CL379" s="120">
        <f>(CK379+CM379)/2</f>
        <v>12.535499999999999</v>
      </c>
      <c r="CM379" s="120">
        <f>(CM378+CM380)/2</f>
        <v>12.762499999999999</v>
      </c>
      <c r="CN379" s="120">
        <f>(CM379+CO379)/2</f>
        <v>12.9895</v>
      </c>
      <c r="CO379" s="120">
        <f>(CO378+CO380)/2</f>
        <v>13.2165</v>
      </c>
      <c r="CP379" s="120">
        <f>(CO379+CQ379)/2</f>
        <v>13.44</v>
      </c>
      <c r="CQ379" s="120">
        <f>(CQ378+CQ380)/2</f>
        <v>13.663499999999999</v>
      </c>
      <c r="CR379" s="120">
        <f>(CQ379+CS379)/2</f>
        <v>13.913</v>
      </c>
      <c r="CS379" s="120">
        <f>(CS378+CS380)/2</f>
        <v>14.162500000000001</v>
      </c>
      <c r="CT379" s="120">
        <f>(CS379+CU379)/2</f>
        <v>14.367000000000001</v>
      </c>
      <c r="CU379" s="120">
        <f>(CU378+CU380)/2</f>
        <v>14.5715</v>
      </c>
      <c r="CV379" s="120">
        <f>(CU379+CW379)/2</f>
        <v>14.802</v>
      </c>
      <c r="CW379" s="120">
        <f>(CW378+CW380)/2</f>
        <v>15.032500000000001</v>
      </c>
      <c r="CX379" s="120">
        <f>(CW379+CY379)/2</f>
        <v>15.255749999999999</v>
      </c>
      <c r="CY379" s="120">
        <f>(CY378+CY380)/2</f>
        <v>15.478999999999999</v>
      </c>
      <c r="CZ379" s="120">
        <f>(CY379+DA379)/2</f>
        <v>15.706</v>
      </c>
      <c r="DA379" s="120">
        <f>(DA378+DA380)/2</f>
        <v>15.933</v>
      </c>
      <c r="DB379" s="120">
        <f>(DA379+DC379)/2</f>
        <v>16.130000000000003</v>
      </c>
      <c r="DC379" s="120">
        <f>(DC378+DC380)/2</f>
        <v>16.327000000000002</v>
      </c>
      <c r="DD379" s="120">
        <f>(DC379+DE379)/2</f>
        <v>16.572749999999999</v>
      </c>
      <c r="DE379" s="120">
        <f>(DE378+DE380)/2</f>
        <v>16.8185</v>
      </c>
      <c r="DF379" s="120">
        <f>(DE379+DG379)/2</f>
        <v>17.027000000000001</v>
      </c>
      <c r="DG379" s="122">
        <f>(DG378+DG380)/2</f>
        <v>17.235500000000002</v>
      </c>
    </row>
    <row r="380" spans="54:111" ht="15" customHeight="1" x14ac:dyDescent="0.2">
      <c r="BB380" s="28">
        <v>8</v>
      </c>
      <c r="BC380" s="121">
        <v>3.3460000000000001</v>
      </c>
      <c r="BD380" s="121">
        <v>3.7589999999999999</v>
      </c>
      <c r="BE380" s="121">
        <v>4.1719999999999997</v>
      </c>
      <c r="BF380" s="121">
        <f t="array" ref="BF380:BF432">TRANSPOSE(BG379:DG379)</f>
        <v>4.5009999999999994</v>
      </c>
      <c r="BG380" s="158">
        <v>4.83</v>
      </c>
      <c r="BH380" s="120">
        <f>(BI380+BG380)/2</f>
        <v>5.1665000000000001</v>
      </c>
      <c r="BI380" s="158">
        <v>5.5030000000000001</v>
      </c>
      <c r="BJ380" s="120">
        <f>(BK380+BI380)/2</f>
        <v>5.8324999999999996</v>
      </c>
      <c r="BK380" s="158">
        <v>6.1619999999999999</v>
      </c>
      <c r="BL380" s="120">
        <f>(BM380+BK380)/2</f>
        <v>6.4615</v>
      </c>
      <c r="BM380" s="158">
        <v>6.7610000000000001</v>
      </c>
      <c r="BN380" s="120">
        <f>(BO380+BM380)/2</f>
        <v>7.0745000000000005</v>
      </c>
      <c r="BO380" s="158">
        <v>7.3879999999999999</v>
      </c>
      <c r="BP380" s="120">
        <f>(BQ380+BO380)/2</f>
        <v>7.6865000000000006</v>
      </c>
      <c r="BQ380" s="158">
        <v>7.9850000000000003</v>
      </c>
      <c r="BR380" s="120">
        <f>(BS380+BQ380)/2</f>
        <v>8.277000000000001</v>
      </c>
      <c r="BS380" s="158">
        <v>8.5690000000000008</v>
      </c>
      <c r="BT380" s="120">
        <f>(BU380+BS380)/2</f>
        <v>8.83</v>
      </c>
      <c r="BU380" s="158">
        <v>9.0909999999999993</v>
      </c>
      <c r="BV380" s="120">
        <f>(BW380+BU380)/2</f>
        <v>9.3829999999999991</v>
      </c>
      <c r="BW380" s="158">
        <v>9.6750000000000007</v>
      </c>
      <c r="BX380" s="120">
        <f>(BY380+BW380)/2</f>
        <v>9.9359999999999999</v>
      </c>
      <c r="BY380" s="158">
        <v>10.196999999999999</v>
      </c>
      <c r="BZ380" s="120">
        <f>(CA380+BY380)/2</f>
        <v>10.451000000000001</v>
      </c>
      <c r="CA380" s="158">
        <v>10.705</v>
      </c>
      <c r="CB380" s="120">
        <f>(CC380+CA380)/2</f>
        <v>10.966000000000001</v>
      </c>
      <c r="CC380" s="158">
        <v>11.227</v>
      </c>
      <c r="CD380" s="120">
        <f>(CE380+CC380)/2</f>
        <v>11.481</v>
      </c>
      <c r="CE380" s="158">
        <v>11.734999999999999</v>
      </c>
      <c r="CF380" s="120">
        <f>(CG380+CE380)/2</f>
        <v>11.996499999999999</v>
      </c>
      <c r="CG380" s="158">
        <v>12.257999999999999</v>
      </c>
      <c r="CH380" s="120">
        <f>(CI380+CG380)/2</f>
        <v>12.5115</v>
      </c>
      <c r="CI380" s="158">
        <v>12.765000000000001</v>
      </c>
      <c r="CJ380" s="120">
        <f>(CK380+CI380)/2</f>
        <v>13.026</v>
      </c>
      <c r="CK380" s="158">
        <v>13.287000000000001</v>
      </c>
      <c r="CL380" s="120">
        <f>(CM380+CK380)/2</f>
        <v>13.541</v>
      </c>
      <c r="CM380" s="158">
        <v>13.795</v>
      </c>
      <c r="CN380" s="120">
        <f>(CO380+CM380)/2</f>
        <v>14.0185</v>
      </c>
      <c r="CO380" s="158">
        <v>14.242000000000001</v>
      </c>
      <c r="CP380" s="120">
        <f>(CQ380+CO380)/2</f>
        <v>14.496</v>
      </c>
      <c r="CQ380" s="158">
        <v>14.75</v>
      </c>
      <c r="CR380" s="120">
        <f>(CS380+CQ380)/2</f>
        <v>15.033000000000001</v>
      </c>
      <c r="CS380" s="158">
        <v>15.316000000000001</v>
      </c>
      <c r="CT380" s="120">
        <f>(CU380+CS380)/2</f>
        <v>15.532500000000001</v>
      </c>
      <c r="CU380" s="158">
        <v>15.749000000000001</v>
      </c>
      <c r="CV380" s="120">
        <f>(CW380+CU380)/2</f>
        <v>16.010000000000002</v>
      </c>
      <c r="CW380" s="158">
        <v>16.271000000000001</v>
      </c>
      <c r="CX380" s="120">
        <f>(CY380+CW380)/2</f>
        <v>16.487000000000002</v>
      </c>
      <c r="CY380" s="158">
        <v>16.702999999999999</v>
      </c>
      <c r="CZ380" s="120">
        <f>(DA380+CY380)/2</f>
        <v>16.964500000000001</v>
      </c>
      <c r="DA380" s="158">
        <v>17.225999999999999</v>
      </c>
      <c r="DB380" s="120">
        <f>(DC380+DA380)/2</f>
        <v>17.442</v>
      </c>
      <c r="DC380" s="158">
        <v>17.658000000000001</v>
      </c>
      <c r="DD380" s="120">
        <f>(DE380+DC380)/2</f>
        <v>17.919</v>
      </c>
      <c r="DE380" s="158">
        <v>18.18</v>
      </c>
      <c r="DF380" s="120">
        <f>(DG380+DE380)/2</f>
        <v>18.3965</v>
      </c>
      <c r="DG380" s="159">
        <v>18.613</v>
      </c>
    </row>
    <row r="381" spans="54:111" ht="15" customHeight="1" x14ac:dyDescent="0.2">
      <c r="BB381" s="28">
        <v>9</v>
      </c>
      <c r="BC381" s="121">
        <v>3.5910000000000002</v>
      </c>
      <c r="BD381" s="121">
        <v>4.0155000000000003</v>
      </c>
      <c r="BE381" s="121">
        <v>4.4399999999999995</v>
      </c>
      <c r="BF381" s="121">
        <v>4.8032500000000002</v>
      </c>
      <c r="BG381" s="121">
        <f t="array" ref="BG381:BG432">TRANSPOSE(BH380:DG380)</f>
        <v>5.1665000000000001</v>
      </c>
      <c r="BH381" s="120">
        <f>(BG381+BI381)/2</f>
        <v>5.5412499999999998</v>
      </c>
      <c r="BI381" s="120">
        <f>(BI380+BI382)/2</f>
        <v>5.9160000000000004</v>
      </c>
      <c r="BJ381" s="120">
        <f>(BI381+BK381)/2</f>
        <v>6.2607499999999998</v>
      </c>
      <c r="BK381" s="120">
        <f>(BK380+BK382)/2</f>
        <v>6.6055000000000001</v>
      </c>
      <c r="BL381" s="120">
        <f>(BK381+BM381)/2</f>
        <v>6.9130000000000003</v>
      </c>
      <c r="BM381" s="120">
        <f>(BM380+BM382)/2</f>
        <v>7.2204999999999995</v>
      </c>
      <c r="BN381" s="120">
        <f>(BM381+BO381)/2</f>
        <v>7.5679999999999996</v>
      </c>
      <c r="BO381" s="120">
        <f>(BO380+BO382)/2</f>
        <v>7.9154999999999998</v>
      </c>
      <c r="BP381" s="120">
        <f>(BO381+BQ381)/2</f>
        <v>8.2259999999999991</v>
      </c>
      <c r="BQ381" s="120">
        <f>(BQ380+BQ382)/2</f>
        <v>8.5365000000000002</v>
      </c>
      <c r="BR381" s="120">
        <f>(BQ381+BS381)/2</f>
        <v>8.8397500000000004</v>
      </c>
      <c r="BS381" s="120">
        <f>(BS380+BS382)/2</f>
        <v>9.1430000000000007</v>
      </c>
      <c r="BT381" s="120">
        <f>(BS381+BU381)/2</f>
        <v>9.4269999999999996</v>
      </c>
      <c r="BU381" s="120">
        <f>(BU380+BU382)/2</f>
        <v>9.7109999999999985</v>
      </c>
      <c r="BV381" s="120">
        <f>(BU381+BW381)/2</f>
        <v>10.017999999999999</v>
      </c>
      <c r="BW381" s="120">
        <f>(BW380+BW382)/2</f>
        <v>10.324999999999999</v>
      </c>
      <c r="BX381" s="120">
        <f>(BW381+BY381)/2</f>
        <v>10.613249999999999</v>
      </c>
      <c r="BY381" s="120">
        <f>(BY380+BY382)/2</f>
        <v>10.901499999999999</v>
      </c>
      <c r="BZ381" s="120">
        <f>(BY381+CA381)/2</f>
        <v>11.181999999999999</v>
      </c>
      <c r="CA381" s="120">
        <f>(CA380+CA382)/2</f>
        <v>11.4625</v>
      </c>
      <c r="CB381" s="120">
        <f>(CA381+CC381)/2</f>
        <v>11.734999999999999</v>
      </c>
      <c r="CC381" s="120">
        <f>(CC380+CC382)/2</f>
        <v>12.0075</v>
      </c>
      <c r="CD381" s="120">
        <f>(CC381+CE381)/2</f>
        <v>12.292</v>
      </c>
      <c r="CE381" s="120">
        <f>(CE380+CE382)/2</f>
        <v>12.576499999999999</v>
      </c>
      <c r="CF381" s="120">
        <f>(CE381+CG381)/2</f>
        <v>12.8605</v>
      </c>
      <c r="CG381" s="120">
        <f>(CG380+CG382)/2</f>
        <v>13.144500000000001</v>
      </c>
      <c r="CH381" s="120">
        <f>(CG381+CI381)/2</f>
        <v>13.41375</v>
      </c>
      <c r="CI381" s="120">
        <f>(CI380+CI382)/2</f>
        <v>13.683</v>
      </c>
      <c r="CJ381" s="120">
        <f>(CI381+CK381)/2</f>
        <v>13.952</v>
      </c>
      <c r="CK381" s="120">
        <f>(CK380+CK382)/2</f>
        <v>14.221</v>
      </c>
      <c r="CL381" s="120">
        <f>(CK381+CM381)/2</f>
        <v>14.501250000000001</v>
      </c>
      <c r="CM381" s="120">
        <f>(CM380+CM382)/2</f>
        <v>14.781500000000001</v>
      </c>
      <c r="CN381" s="120">
        <f>(CM381+CO381)/2</f>
        <v>15.031750000000001</v>
      </c>
      <c r="CO381" s="120">
        <f>(CO380+CO382)/2</f>
        <v>15.282</v>
      </c>
      <c r="CP381" s="120">
        <f>(CO381+CQ381)/2</f>
        <v>15.551500000000001</v>
      </c>
      <c r="CQ381" s="120">
        <f>(CQ380+CQ382)/2</f>
        <v>15.821</v>
      </c>
      <c r="CR381" s="120">
        <f>(CQ381+CS381)/2</f>
        <v>16.09675</v>
      </c>
      <c r="CS381" s="120">
        <f>(CS380+CS382)/2</f>
        <v>16.372499999999999</v>
      </c>
      <c r="CT381" s="120">
        <f>(CS381+CU381)/2</f>
        <v>16.619500000000002</v>
      </c>
      <c r="CU381" s="120">
        <f>(CU380+CU382)/2</f>
        <v>16.866500000000002</v>
      </c>
      <c r="CV381" s="120">
        <f>(CU381+CW381)/2</f>
        <v>17.139000000000003</v>
      </c>
      <c r="CW381" s="120">
        <f>(CW380+CW382)/2</f>
        <v>17.4115</v>
      </c>
      <c r="CX381" s="120">
        <f>(CW381+CY381)/2</f>
        <v>17.673000000000002</v>
      </c>
      <c r="CY381" s="120">
        <f>(CY380+CY382)/2</f>
        <v>17.9345</v>
      </c>
      <c r="CZ381" s="120">
        <f>(CY381+DA381)/2</f>
        <v>18.18525</v>
      </c>
      <c r="DA381" s="120">
        <f>(DA380+DA382)/2</f>
        <v>18.436</v>
      </c>
      <c r="DB381" s="120">
        <f>(DA381+DC381)/2</f>
        <v>18.686</v>
      </c>
      <c r="DC381" s="120">
        <f>(DC380+DC382)/2</f>
        <v>18.936</v>
      </c>
      <c r="DD381" s="120">
        <f>(DC381+DE381)/2</f>
        <v>19.219750000000001</v>
      </c>
      <c r="DE381" s="120">
        <f>(DE380+DE382)/2</f>
        <v>19.503500000000003</v>
      </c>
      <c r="DF381" s="120">
        <f>(DE381+DG381)/2</f>
        <v>19.7315</v>
      </c>
      <c r="DG381" s="122">
        <f>(DG380+DG382)/2</f>
        <v>19.959499999999998</v>
      </c>
    </row>
    <row r="382" spans="54:111" ht="15" customHeight="1" x14ac:dyDescent="0.2">
      <c r="BB382" s="28">
        <v>10</v>
      </c>
      <c r="BC382" s="121">
        <v>3.8359999999999999</v>
      </c>
      <c r="BD382" s="121">
        <v>4.2720000000000002</v>
      </c>
      <c r="BE382" s="121">
        <v>4.7080000000000002</v>
      </c>
      <c r="BF382" s="121">
        <v>5.1055000000000001</v>
      </c>
      <c r="BG382" s="121">
        <v>5.5030000000000001</v>
      </c>
      <c r="BH382" s="121">
        <f t="array" ref="BH382:BH432">TRANSPOSE(BI381:DG381)</f>
        <v>5.9160000000000004</v>
      </c>
      <c r="BI382" s="158">
        <v>6.3289999999999997</v>
      </c>
      <c r="BJ382" s="120">
        <f>(BK382+BI382)/2</f>
        <v>6.6890000000000001</v>
      </c>
      <c r="BK382" s="158">
        <v>7.0490000000000004</v>
      </c>
      <c r="BL382" s="120">
        <f>(BM382+BK382)/2</f>
        <v>7.3644999999999996</v>
      </c>
      <c r="BM382" s="158">
        <v>7.68</v>
      </c>
      <c r="BN382" s="120">
        <f>(BO382+BM382)/2</f>
        <v>8.0614999999999988</v>
      </c>
      <c r="BO382" s="158">
        <v>8.4429999999999996</v>
      </c>
      <c r="BP382" s="120">
        <f>(BQ382+BO382)/2</f>
        <v>8.7654999999999994</v>
      </c>
      <c r="BQ382" s="158">
        <v>9.0879999999999992</v>
      </c>
      <c r="BR382" s="120">
        <f>(BS382+BQ382)/2</f>
        <v>9.4024999999999999</v>
      </c>
      <c r="BS382" s="158">
        <v>9.7170000000000005</v>
      </c>
      <c r="BT382" s="120">
        <f>(BU382+BS382)/2</f>
        <v>10.024000000000001</v>
      </c>
      <c r="BU382" s="158">
        <v>10.331</v>
      </c>
      <c r="BV382" s="120">
        <f>(BW382+BU382)/2</f>
        <v>10.652999999999999</v>
      </c>
      <c r="BW382" s="158">
        <v>10.975</v>
      </c>
      <c r="BX382" s="120">
        <f>(BY382+BW382)/2</f>
        <v>11.2905</v>
      </c>
      <c r="BY382" s="158">
        <v>11.606</v>
      </c>
      <c r="BZ382" s="120">
        <f>(CA382+BY382)/2</f>
        <v>11.913</v>
      </c>
      <c r="CA382" s="158">
        <v>12.22</v>
      </c>
      <c r="CB382" s="120">
        <f>(CC382+CA382)/2</f>
        <v>12.504000000000001</v>
      </c>
      <c r="CC382" s="158">
        <v>12.788</v>
      </c>
      <c r="CD382" s="120">
        <f>(CE382+CC382)/2</f>
        <v>13.103</v>
      </c>
      <c r="CE382" s="158">
        <v>13.417999999999999</v>
      </c>
      <c r="CF382" s="120">
        <f>(CG382+CE382)/2</f>
        <v>13.724499999999999</v>
      </c>
      <c r="CG382" s="158">
        <v>14.031000000000001</v>
      </c>
      <c r="CH382" s="120">
        <f>(CI382+CG382)/2</f>
        <v>14.316000000000001</v>
      </c>
      <c r="CI382" s="158">
        <v>14.601000000000001</v>
      </c>
      <c r="CJ382" s="120">
        <f>(CK382+CI382)/2</f>
        <v>14.878</v>
      </c>
      <c r="CK382" s="158">
        <v>15.154999999999999</v>
      </c>
      <c r="CL382" s="120">
        <f>(CM382+CK382)/2</f>
        <v>15.461500000000001</v>
      </c>
      <c r="CM382" s="158">
        <v>15.768000000000001</v>
      </c>
      <c r="CN382" s="120">
        <f>(CO382+CM382)/2</f>
        <v>16.045000000000002</v>
      </c>
      <c r="CO382" s="158">
        <v>16.321999999999999</v>
      </c>
      <c r="CP382" s="120">
        <f>(CQ382+CO382)/2</f>
        <v>16.606999999999999</v>
      </c>
      <c r="CQ382" s="158">
        <v>16.891999999999999</v>
      </c>
      <c r="CR382" s="120">
        <f>(CS382+CQ382)/2</f>
        <v>17.160499999999999</v>
      </c>
      <c r="CS382" s="158">
        <v>17.428999999999998</v>
      </c>
      <c r="CT382" s="120">
        <f>(CU382+CS382)/2</f>
        <v>17.706499999999998</v>
      </c>
      <c r="CU382" s="158">
        <v>17.984000000000002</v>
      </c>
      <c r="CV382" s="120">
        <f>(CW382+CU382)/2</f>
        <v>18.268000000000001</v>
      </c>
      <c r="CW382" s="158">
        <v>18.552</v>
      </c>
      <c r="CX382" s="120">
        <f>(CY382+CW382)/2</f>
        <v>18.859000000000002</v>
      </c>
      <c r="CY382" s="158">
        <v>19.166</v>
      </c>
      <c r="CZ382" s="120">
        <f>(DA382+CY382)/2</f>
        <v>19.405999999999999</v>
      </c>
      <c r="DA382" s="158">
        <v>19.646000000000001</v>
      </c>
      <c r="DB382" s="120">
        <f>(DC382+DA382)/2</f>
        <v>19.93</v>
      </c>
      <c r="DC382" s="158">
        <v>20.213999999999999</v>
      </c>
      <c r="DD382" s="120">
        <f>(DE382+DC382)/2</f>
        <v>20.520499999999998</v>
      </c>
      <c r="DE382" s="158">
        <v>20.827000000000002</v>
      </c>
      <c r="DF382" s="120">
        <f>(DG382+DE382)/2</f>
        <v>21.066500000000001</v>
      </c>
      <c r="DG382" s="159">
        <v>21.306000000000001</v>
      </c>
    </row>
    <row r="383" spans="54:111" ht="15" customHeight="1" x14ac:dyDescent="0.2">
      <c r="BB383" s="28">
        <v>11</v>
      </c>
      <c r="BC383" s="121">
        <v>4.0664999999999996</v>
      </c>
      <c r="BD383" s="121">
        <v>4.5214999999999996</v>
      </c>
      <c r="BE383" s="121">
        <v>4.9764999999999997</v>
      </c>
      <c r="BF383" s="121">
        <v>5.4045000000000005</v>
      </c>
      <c r="BG383" s="121">
        <v>5.8324999999999996</v>
      </c>
      <c r="BH383" s="121">
        <v>6.2607499999999998</v>
      </c>
      <c r="BI383" s="121">
        <f t="array" ref="BI383:BI432">TRANSPOSE(BJ382:DG382)</f>
        <v>6.6890000000000001</v>
      </c>
      <c r="BJ383" s="120">
        <f>(BI383+BK383)/2</f>
        <v>7.0715000000000003</v>
      </c>
      <c r="BK383" s="120">
        <f>(BK382+BK384)/2</f>
        <v>7.4540000000000006</v>
      </c>
      <c r="BL383" s="120">
        <f>(BK383+BM383)/2</f>
        <v>7.8000000000000007</v>
      </c>
      <c r="BM383" s="120">
        <f>(BM382+BM384)/2</f>
        <v>8.1460000000000008</v>
      </c>
      <c r="BN383" s="120">
        <f>(BM383+BO383)/2</f>
        <v>8.5395000000000003</v>
      </c>
      <c r="BO383" s="120">
        <f>(BO382+BO384)/2</f>
        <v>8.9329999999999998</v>
      </c>
      <c r="BP383" s="120">
        <f>(BO383+BQ383)/2</f>
        <v>9.2669999999999995</v>
      </c>
      <c r="BQ383" s="120">
        <f>(BQ382+BQ384)/2</f>
        <v>9.6009999999999991</v>
      </c>
      <c r="BR383" s="120">
        <f>(BQ383+BS383)/2</f>
        <v>9.9422499999999996</v>
      </c>
      <c r="BS383" s="120">
        <f>(BS382+BS384)/2</f>
        <v>10.2835</v>
      </c>
      <c r="BT383" s="120">
        <f>(BS383+BU383)/2</f>
        <v>10.61725</v>
      </c>
      <c r="BU383" s="120">
        <f>(BU382+BU384)/2</f>
        <v>10.951000000000001</v>
      </c>
      <c r="BV383" s="120">
        <f>(BU383+BW383)/2</f>
        <v>11.284750000000001</v>
      </c>
      <c r="BW383" s="120">
        <f>(BW382+BW384)/2</f>
        <v>11.618500000000001</v>
      </c>
      <c r="BX383" s="120">
        <f>(BW383+BY383)/2</f>
        <v>11.96025</v>
      </c>
      <c r="BY383" s="120">
        <f>(BY382+BY384)/2</f>
        <v>12.302</v>
      </c>
      <c r="BZ383" s="120">
        <f>(BY383+CA383)/2</f>
        <v>12.609249999999999</v>
      </c>
      <c r="CA383" s="120">
        <f>(CA382+CA384)/2</f>
        <v>12.916499999999999</v>
      </c>
      <c r="CB383" s="120">
        <f>(CA383+CC383)/2</f>
        <v>13.2425</v>
      </c>
      <c r="CC383" s="120">
        <f>(CC382+CC384)/2</f>
        <v>13.5685</v>
      </c>
      <c r="CD383" s="120">
        <f>(CC383+CE383)/2</f>
        <v>13.88725</v>
      </c>
      <c r="CE383" s="120">
        <f>(CE382+CE384)/2</f>
        <v>14.206</v>
      </c>
      <c r="CF383" s="120">
        <f>(CE383+CG383)/2</f>
        <v>14.532</v>
      </c>
      <c r="CG383" s="120">
        <f>(CG382+CG384)/2</f>
        <v>14.858000000000001</v>
      </c>
      <c r="CH383" s="120">
        <f>(CG383+CI383)/2</f>
        <v>15.165750000000001</v>
      </c>
      <c r="CI383" s="120">
        <f>(CI382+CI384)/2</f>
        <v>15.473500000000001</v>
      </c>
      <c r="CJ383" s="120">
        <f>(CI383+CK383)/2</f>
        <v>15.765750000000001</v>
      </c>
      <c r="CK383" s="120">
        <f>(CK382+CK384)/2</f>
        <v>16.058</v>
      </c>
      <c r="CL383" s="120">
        <f>(CK383+CM383)/2</f>
        <v>16.37275</v>
      </c>
      <c r="CM383" s="120">
        <f>(CM382+CM384)/2</f>
        <v>16.6875</v>
      </c>
      <c r="CN383" s="120">
        <f>(CM383+CO383)/2</f>
        <v>16.990749999999998</v>
      </c>
      <c r="CO383" s="120">
        <f>(CO382+CO384)/2</f>
        <v>17.293999999999997</v>
      </c>
      <c r="CP383" s="120">
        <f>(CO383+CQ383)/2</f>
        <v>17.590499999999999</v>
      </c>
      <c r="CQ383" s="120">
        <f>(CQ382+CQ384)/2</f>
        <v>17.887</v>
      </c>
      <c r="CR383" s="120">
        <f>(CQ383+CS383)/2</f>
        <v>18.186</v>
      </c>
      <c r="CS383" s="120">
        <f>(CS382+CS384)/2</f>
        <v>18.484999999999999</v>
      </c>
      <c r="CT383" s="120">
        <f>(CS383+CU383)/2</f>
        <v>18.774250000000002</v>
      </c>
      <c r="CU383" s="120">
        <f>(CU382+CU384)/2</f>
        <v>19.063500000000001</v>
      </c>
      <c r="CV383" s="120">
        <f>(CU383+CW383)/2</f>
        <v>19.3705</v>
      </c>
      <c r="CW383" s="120">
        <f>(CW382+CW384)/2</f>
        <v>19.677500000000002</v>
      </c>
      <c r="CX383" s="120">
        <f>(CW383+CY383)/2</f>
        <v>19.995750000000001</v>
      </c>
      <c r="CY383" s="120">
        <f>(CY382+CY384)/2</f>
        <v>20.314</v>
      </c>
      <c r="CZ383" s="120">
        <f>(CY383+DA383)/2</f>
        <v>20.588000000000001</v>
      </c>
      <c r="DA383" s="120">
        <f>(DA382+DA384)/2</f>
        <v>20.862000000000002</v>
      </c>
      <c r="DB383" s="120">
        <f>(DA383+DC383)/2</f>
        <v>21.169250000000002</v>
      </c>
      <c r="DC383" s="120">
        <f>(DC382+DC384)/2</f>
        <v>21.476500000000001</v>
      </c>
      <c r="DD383" s="120">
        <f>(DC383+DE383)/2</f>
        <v>21.761000000000003</v>
      </c>
      <c r="DE383" s="120">
        <f>(DE382+DE384)/2</f>
        <v>22.045500000000001</v>
      </c>
      <c r="DF383" s="120">
        <f>(DE383+DG383)/2</f>
        <v>22.330249999999999</v>
      </c>
      <c r="DG383" s="122">
        <f>(DG382+DG384)/2</f>
        <v>22.615000000000002</v>
      </c>
    </row>
    <row r="384" spans="54:111" ht="15" customHeight="1" x14ac:dyDescent="0.2">
      <c r="BB384" s="28">
        <v>12</v>
      </c>
      <c r="BC384" s="121">
        <v>4.2969999999999997</v>
      </c>
      <c r="BD384" s="121">
        <v>4.7709999999999999</v>
      </c>
      <c r="BE384" s="121">
        <v>5.2450000000000001</v>
      </c>
      <c r="BF384" s="121">
        <v>5.7035</v>
      </c>
      <c r="BG384" s="121">
        <v>6.1619999999999999</v>
      </c>
      <c r="BH384" s="121">
        <v>6.6055000000000001</v>
      </c>
      <c r="BI384" s="121">
        <v>7.0490000000000004</v>
      </c>
      <c r="BJ384" s="121">
        <f t="array" ref="BJ384:BJ432">TRANSPOSE(BK383:DG383)</f>
        <v>7.4540000000000006</v>
      </c>
      <c r="BK384" s="158">
        <v>7.859</v>
      </c>
      <c r="BL384" s="120">
        <f>(BM384+BK384)/2</f>
        <v>8.2355</v>
      </c>
      <c r="BM384" s="158">
        <v>8.6120000000000001</v>
      </c>
      <c r="BN384" s="120">
        <f>(BO384+BM384)/2</f>
        <v>9.0175000000000001</v>
      </c>
      <c r="BO384" s="158">
        <v>9.423</v>
      </c>
      <c r="BP384" s="120">
        <f>(BQ384+BO384)/2</f>
        <v>9.7684999999999995</v>
      </c>
      <c r="BQ384" s="158">
        <v>10.114000000000001</v>
      </c>
      <c r="BR384" s="120">
        <f>(BS384+BQ384)/2</f>
        <v>10.481999999999999</v>
      </c>
      <c r="BS384" s="158">
        <v>10.85</v>
      </c>
      <c r="BT384" s="120">
        <f>(BU384+BS384)/2</f>
        <v>11.2105</v>
      </c>
      <c r="BU384" s="158">
        <v>11.571</v>
      </c>
      <c r="BV384" s="120">
        <f>(BW384+BU384)/2</f>
        <v>11.916499999999999</v>
      </c>
      <c r="BW384" s="158">
        <v>12.262</v>
      </c>
      <c r="BX384" s="120">
        <f>(BY384+BW384)/2</f>
        <v>12.629999999999999</v>
      </c>
      <c r="BY384" s="158">
        <v>12.997999999999999</v>
      </c>
      <c r="BZ384" s="120">
        <f>(CA384+BY384)/2</f>
        <v>13.305499999999999</v>
      </c>
      <c r="CA384" s="158">
        <v>13.613</v>
      </c>
      <c r="CB384" s="120">
        <f>(CC384+CA384)/2</f>
        <v>13.981</v>
      </c>
      <c r="CC384" s="158">
        <v>14.349</v>
      </c>
      <c r="CD384" s="120">
        <f>(CE384+CC384)/2</f>
        <v>14.6715</v>
      </c>
      <c r="CE384" s="158">
        <v>14.994</v>
      </c>
      <c r="CF384" s="120">
        <f>(CG384+CE384)/2</f>
        <v>15.339500000000001</v>
      </c>
      <c r="CG384" s="158">
        <v>15.685</v>
      </c>
      <c r="CH384" s="120">
        <f>(CI384+CG384)/2</f>
        <v>16.015499999999999</v>
      </c>
      <c r="CI384" s="158">
        <v>16.346</v>
      </c>
      <c r="CJ384" s="120">
        <f>(CK384+CI384)/2</f>
        <v>16.653500000000001</v>
      </c>
      <c r="CK384" s="158">
        <v>16.960999999999999</v>
      </c>
      <c r="CL384" s="120">
        <f>(CM384+CK384)/2</f>
        <v>17.283999999999999</v>
      </c>
      <c r="CM384" s="158">
        <v>17.606999999999999</v>
      </c>
      <c r="CN384" s="120">
        <f>(CO384+CM384)/2</f>
        <v>17.936499999999999</v>
      </c>
      <c r="CO384" s="158">
        <v>18.265999999999998</v>
      </c>
      <c r="CP384" s="120">
        <f>(CQ384+CO384)/2</f>
        <v>18.573999999999998</v>
      </c>
      <c r="CQ384" s="158">
        <v>18.882000000000001</v>
      </c>
      <c r="CR384" s="120">
        <f>(CS384+CQ384)/2</f>
        <v>19.211500000000001</v>
      </c>
      <c r="CS384" s="158">
        <v>19.541</v>
      </c>
      <c r="CT384" s="120">
        <f>(CU384+CS384)/2</f>
        <v>19.841999999999999</v>
      </c>
      <c r="CU384" s="158">
        <v>20.143000000000001</v>
      </c>
      <c r="CV384" s="120">
        <f>(CW384+CU384)/2</f>
        <v>20.472999999999999</v>
      </c>
      <c r="CW384" s="158">
        <v>20.803000000000001</v>
      </c>
      <c r="CX384" s="120">
        <f>(CY384+CW384)/2</f>
        <v>21.1325</v>
      </c>
      <c r="CY384" s="158">
        <v>21.462</v>
      </c>
      <c r="CZ384" s="120">
        <f>(DA384+CY384)/2</f>
        <v>21.77</v>
      </c>
      <c r="DA384" s="158">
        <v>22.077999999999999</v>
      </c>
      <c r="DB384" s="120">
        <f>(DC384+DA384)/2</f>
        <v>22.4085</v>
      </c>
      <c r="DC384" s="158">
        <v>22.739000000000001</v>
      </c>
      <c r="DD384" s="120">
        <f>(DE384+DC384)/2</f>
        <v>23.0015</v>
      </c>
      <c r="DE384" s="158">
        <v>23.263999999999999</v>
      </c>
      <c r="DF384" s="120">
        <f>(DG384+DE384)/2</f>
        <v>23.594000000000001</v>
      </c>
      <c r="DG384" s="159">
        <v>23.923999999999999</v>
      </c>
    </row>
    <row r="385" spans="54:111" ht="15" customHeight="1" x14ac:dyDescent="0.2">
      <c r="BB385" s="28">
        <v>13</v>
      </c>
      <c r="BC385" s="121">
        <v>4.5045000000000002</v>
      </c>
      <c r="BD385" s="121">
        <v>5.0124999999999993</v>
      </c>
      <c r="BE385" s="121">
        <v>5.5205000000000002</v>
      </c>
      <c r="BF385" s="121">
        <v>5.9909999999999997</v>
      </c>
      <c r="BG385" s="121">
        <v>6.4615</v>
      </c>
      <c r="BH385" s="121">
        <v>6.9130000000000003</v>
      </c>
      <c r="BI385" s="121">
        <v>7.3644999999999996</v>
      </c>
      <c r="BJ385" s="121">
        <v>7.8000000000000007</v>
      </c>
      <c r="BK385" s="121">
        <f t="array" ref="BK385:BK432">TRANSPOSE(BL384:DG384)</f>
        <v>8.2355</v>
      </c>
      <c r="BL385" s="120">
        <f>(BK385+BM385)/2</f>
        <v>8.6382499999999993</v>
      </c>
      <c r="BM385" s="120">
        <f>(BM384+BM386)/2</f>
        <v>9.0410000000000004</v>
      </c>
      <c r="BN385" s="120">
        <f>(BM385+BO385)/2</f>
        <v>9.4582499999999996</v>
      </c>
      <c r="BO385" s="120">
        <f>(BO384+BO386)/2</f>
        <v>9.8754999999999988</v>
      </c>
      <c r="BP385" s="120">
        <f>(BO385+BQ385)/2</f>
        <v>10.262499999999999</v>
      </c>
      <c r="BQ385" s="120">
        <f>(BQ384+BQ386)/2</f>
        <v>10.6495</v>
      </c>
      <c r="BR385" s="120">
        <f>(BQ385+BS385)/2</f>
        <v>11.029249999999999</v>
      </c>
      <c r="BS385" s="120">
        <f>(BS384+BS386)/2</f>
        <v>11.408999999999999</v>
      </c>
      <c r="BT385" s="120">
        <f>(BS385+BU385)/2</f>
        <v>11.7845</v>
      </c>
      <c r="BU385" s="120">
        <f>(BU384+BU386)/2</f>
        <v>12.16</v>
      </c>
      <c r="BV385" s="120">
        <f>(BU385+BW385)/2</f>
        <v>12.517250000000001</v>
      </c>
      <c r="BW385" s="120">
        <f>(BW384+BW386)/2</f>
        <v>12.874500000000001</v>
      </c>
      <c r="BX385" s="120">
        <f>(BW385+BY385)/2</f>
        <v>13.254250000000001</v>
      </c>
      <c r="BY385" s="120">
        <f>(BY384+BY386)/2</f>
        <v>13.634</v>
      </c>
      <c r="BZ385" s="120">
        <f>(BY385+CA385)/2</f>
        <v>13.983000000000001</v>
      </c>
      <c r="CA385" s="120">
        <f>(CA384+CA386)/2</f>
        <v>14.332000000000001</v>
      </c>
      <c r="CB385" s="120">
        <f>(CA385+CC385)/2</f>
        <v>14.708</v>
      </c>
      <c r="CC385" s="120">
        <f>(CC384+CC386)/2</f>
        <v>15.084</v>
      </c>
      <c r="CD385" s="120">
        <f>(CC385+CE385)/2</f>
        <v>15.422000000000001</v>
      </c>
      <c r="CE385" s="120">
        <f>(CE384+CE386)/2</f>
        <v>15.76</v>
      </c>
      <c r="CF385" s="120">
        <f>(CE385+CG385)/2</f>
        <v>16.128250000000001</v>
      </c>
      <c r="CG385" s="120">
        <f>(CG384+CG386)/2</f>
        <v>16.496500000000001</v>
      </c>
      <c r="CH385" s="120">
        <f>(CG385+CI385)/2</f>
        <v>16.838250000000002</v>
      </c>
      <c r="CI385" s="120">
        <f>(CI384+CI386)/2</f>
        <v>17.18</v>
      </c>
      <c r="CJ385" s="120">
        <f>(CI385+CK385)/2</f>
        <v>17.5185</v>
      </c>
      <c r="CK385" s="120">
        <f>(CK384+CK386)/2</f>
        <v>17.856999999999999</v>
      </c>
      <c r="CL385" s="120">
        <f>(CK385+CM385)/2</f>
        <v>18.195</v>
      </c>
      <c r="CM385" s="120">
        <f>(CM384+CM386)/2</f>
        <v>18.533000000000001</v>
      </c>
      <c r="CN385" s="120">
        <f>(CM385+CO385)/2</f>
        <v>18.874500000000001</v>
      </c>
      <c r="CO385" s="120">
        <f>(CO384+CO386)/2</f>
        <v>19.216000000000001</v>
      </c>
      <c r="CP385" s="120">
        <f>(CO385+CQ385)/2</f>
        <v>19.546500000000002</v>
      </c>
      <c r="CQ385" s="120">
        <f>(CQ384+CQ386)/2</f>
        <v>19.877000000000002</v>
      </c>
      <c r="CR385" s="120">
        <f>(CQ385+CS385)/2</f>
        <v>20.218500000000002</v>
      </c>
      <c r="CS385" s="120">
        <f>(CS384+CS386)/2</f>
        <v>20.560000000000002</v>
      </c>
      <c r="CT385" s="120">
        <f>(CS385+CU385)/2</f>
        <v>20.90625</v>
      </c>
      <c r="CU385" s="120">
        <f>(CU384+CU386)/2</f>
        <v>21.252499999999998</v>
      </c>
      <c r="CV385" s="120">
        <f>(CU385+CW385)/2</f>
        <v>21.590499999999999</v>
      </c>
      <c r="CW385" s="120">
        <f>(CW384+CW386)/2</f>
        <v>21.9285</v>
      </c>
      <c r="CX385" s="120">
        <f>(CW385+CY385)/2</f>
        <v>22.269750000000002</v>
      </c>
      <c r="CY385" s="120">
        <f>(CY384+CY386)/2</f>
        <v>22.611000000000001</v>
      </c>
      <c r="CZ385" s="120">
        <f>(CY385+DA385)/2</f>
        <v>22.911749999999998</v>
      </c>
      <c r="DA385" s="120">
        <f>(DA384+DA386)/2</f>
        <v>23.212499999999999</v>
      </c>
      <c r="DB385" s="120">
        <f>(DA385+DC385)/2</f>
        <v>23.55425</v>
      </c>
      <c r="DC385" s="120">
        <f>(DC384+DC386)/2</f>
        <v>23.896000000000001</v>
      </c>
      <c r="DD385" s="120">
        <f>(DC385+DE385)/2</f>
        <v>24.204000000000001</v>
      </c>
      <c r="DE385" s="120">
        <f>(DE384+DE386)/2</f>
        <v>24.512</v>
      </c>
      <c r="DF385" s="120">
        <f>(DE385+DG385)/2</f>
        <v>24.853749999999998</v>
      </c>
      <c r="DG385" s="122">
        <f>(DG384+DG386)/2</f>
        <v>25.195499999999999</v>
      </c>
    </row>
    <row r="386" spans="54:111" ht="15" customHeight="1" x14ac:dyDescent="0.2">
      <c r="BB386" s="28">
        <v>14</v>
      </c>
      <c r="BC386" s="121">
        <v>4.7119999999999997</v>
      </c>
      <c r="BD386" s="121">
        <v>5.2539999999999996</v>
      </c>
      <c r="BE386" s="121">
        <v>5.7960000000000003</v>
      </c>
      <c r="BF386" s="121">
        <v>6.2785000000000002</v>
      </c>
      <c r="BG386" s="121">
        <v>6.7610000000000001</v>
      </c>
      <c r="BH386" s="121">
        <v>7.2204999999999995</v>
      </c>
      <c r="BI386" s="121">
        <v>7.68</v>
      </c>
      <c r="BJ386" s="121">
        <v>8.1460000000000008</v>
      </c>
      <c r="BK386" s="121">
        <v>8.6120000000000001</v>
      </c>
      <c r="BL386" s="121">
        <f t="array" ref="BL386:BL432">TRANSPOSE(BM385:DG385)</f>
        <v>9.0410000000000004</v>
      </c>
      <c r="BM386" s="158">
        <v>9.4700000000000006</v>
      </c>
      <c r="BN386" s="120">
        <f>(BO386+BM386)/2</f>
        <v>9.8990000000000009</v>
      </c>
      <c r="BO386" s="158">
        <v>10.327999999999999</v>
      </c>
      <c r="BP386" s="120">
        <f>(BQ386+BO386)/2</f>
        <v>10.756499999999999</v>
      </c>
      <c r="BQ386" s="158">
        <v>11.185</v>
      </c>
      <c r="BR386" s="120">
        <f>(BS386+BQ386)/2</f>
        <v>11.576499999999999</v>
      </c>
      <c r="BS386" s="158">
        <v>11.968</v>
      </c>
      <c r="BT386" s="120">
        <f>(BU386+BS386)/2</f>
        <v>12.358499999999999</v>
      </c>
      <c r="BU386" s="158">
        <v>12.749000000000001</v>
      </c>
      <c r="BV386" s="120">
        <f>(BW386+BU386)/2</f>
        <v>13.118</v>
      </c>
      <c r="BW386" s="158">
        <v>13.487</v>
      </c>
      <c r="BX386" s="120">
        <f>(BY386+BW386)/2</f>
        <v>13.878499999999999</v>
      </c>
      <c r="BY386" s="158">
        <v>14.27</v>
      </c>
      <c r="BZ386" s="120">
        <f>(CA386+BY386)/2</f>
        <v>14.660499999999999</v>
      </c>
      <c r="CA386" s="158">
        <v>15.051</v>
      </c>
      <c r="CB386" s="120">
        <f>(CC386+CA386)/2</f>
        <v>15.435</v>
      </c>
      <c r="CC386" s="158">
        <v>15.819000000000001</v>
      </c>
      <c r="CD386" s="120">
        <f>(CE386+CC386)/2</f>
        <v>16.172499999999999</v>
      </c>
      <c r="CE386" s="158">
        <v>16.526</v>
      </c>
      <c r="CF386" s="120">
        <f>(CG386+CE386)/2</f>
        <v>16.917000000000002</v>
      </c>
      <c r="CG386" s="158">
        <v>17.308</v>
      </c>
      <c r="CH386" s="120">
        <f>(CI386+CG386)/2</f>
        <v>17.661000000000001</v>
      </c>
      <c r="CI386" s="158">
        <v>18.013999999999999</v>
      </c>
      <c r="CJ386" s="120">
        <f>(CK386+CI386)/2</f>
        <v>18.383499999999998</v>
      </c>
      <c r="CK386" s="158">
        <v>18.753</v>
      </c>
      <c r="CL386" s="120">
        <f>(CM386+CK386)/2</f>
        <v>19.106000000000002</v>
      </c>
      <c r="CM386" s="158">
        <v>19.459</v>
      </c>
      <c r="CN386" s="120">
        <f>(CO386+CM386)/2</f>
        <v>19.8125</v>
      </c>
      <c r="CO386" s="158">
        <v>20.166</v>
      </c>
      <c r="CP386" s="120">
        <f>(CQ386+CO386)/2</f>
        <v>20.518999999999998</v>
      </c>
      <c r="CQ386" s="158">
        <v>20.872</v>
      </c>
      <c r="CR386" s="120">
        <f>(CS386+CQ386)/2</f>
        <v>21.2255</v>
      </c>
      <c r="CS386" s="158">
        <v>21.579000000000001</v>
      </c>
      <c r="CT386" s="120">
        <f>(CU386+CS386)/2</f>
        <v>21.970500000000001</v>
      </c>
      <c r="CU386" s="158">
        <v>22.361999999999998</v>
      </c>
      <c r="CV386" s="120">
        <f>(CW386+CU386)/2</f>
        <v>22.707999999999998</v>
      </c>
      <c r="CW386" s="158">
        <v>23.053999999999998</v>
      </c>
      <c r="CX386" s="120">
        <f>(CY386+CW386)/2</f>
        <v>23.407</v>
      </c>
      <c r="CY386" s="158">
        <v>23.76</v>
      </c>
      <c r="CZ386" s="120">
        <f>(DA386+CY386)/2</f>
        <v>24.0535</v>
      </c>
      <c r="DA386" s="158">
        <v>24.347000000000001</v>
      </c>
      <c r="DB386" s="120">
        <f>(DC386+DA386)/2</f>
        <v>24.700000000000003</v>
      </c>
      <c r="DC386" s="158">
        <v>25.053000000000001</v>
      </c>
      <c r="DD386" s="120">
        <f>(DE386+DC386)/2</f>
        <v>25.406500000000001</v>
      </c>
      <c r="DE386" s="158">
        <v>25.76</v>
      </c>
      <c r="DF386" s="120">
        <f>(DG386+DE386)/2</f>
        <v>26.113500000000002</v>
      </c>
      <c r="DG386" s="159">
        <v>26.466999999999999</v>
      </c>
    </row>
    <row r="387" spans="54:111" ht="15" customHeight="1" x14ac:dyDescent="0.2">
      <c r="BB387" s="28">
        <v>15</v>
      </c>
      <c r="BC387" s="121">
        <v>4.8970000000000002</v>
      </c>
      <c r="BD387" s="121">
        <v>5.4695</v>
      </c>
      <c r="BE387" s="121">
        <v>6.0419999999999998</v>
      </c>
      <c r="BF387" s="121">
        <v>6.5582500000000001</v>
      </c>
      <c r="BG387" s="121">
        <v>7.0745000000000005</v>
      </c>
      <c r="BH387" s="121">
        <v>7.5679999999999996</v>
      </c>
      <c r="BI387" s="121">
        <v>8.0614999999999988</v>
      </c>
      <c r="BJ387" s="121">
        <v>8.5395000000000003</v>
      </c>
      <c r="BK387" s="121">
        <v>9.0175000000000001</v>
      </c>
      <c r="BL387" s="121">
        <v>9.4582499999999996</v>
      </c>
      <c r="BM387" s="121">
        <f t="array" ref="BM387:BM432">TRANSPOSE(BN386:DG386)</f>
        <v>9.8990000000000009</v>
      </c>
      <c r="BN387" s="120">
        <f>(BM387+BO387)/2</f>
        <v>10.36225</v>
      </c>
      <c r="BO387" s="120">
        <f>(BO386+BO388)/2</f>
        <v>10.8255</v>
      </c>
      <c r="BP387" s="120">
        <f>(BO387+BQ387)/2</f>
        <v>11.242999999999999</v>
      </c>
      <c r="BQ387" s="120">
        <f>(BQ386+BQ388)/2</f>
        <v>11.660499999999999</v>
      </c>
      <c r="BR387" s="120">
        <f>(BQ387+BS387)/2</f>
        <v>12.082249999999998</v>
      </c>
      <c r="BS387" s="120">
        <f>(BS386+BS388)/2</f>
        <v>12.504</v>
      </c>
      <c r="BT387" s="120">
        <f>(BS387+BU387)/2</f>
        <v>12.906500000000001</v>
      </c>
      <c r="BU387" s="120">
        <f>(BU386+BU388)/2</f>
        <v>13.309000000000001</v>
      </c>
      <c r="BV387" s="120">
        <f>(BU387+BW387)/2</f>
        <v>13.712</v>
      </c>
      <c r="BW387" s="120">
        <f>(BW386+BW388)/2</f>
        <v>14.115</v>
      </c>
      <c r="BX387" s="120">
        <f>(BW387+BY387)/2</f>
        <v>14.517749999999999</v>
      </c>
      <c r="BY387" s="120">
        <f>(BY386+BY388)/2</f>
        <v>14.920500000000001</v>
      </c>
      <c r="BZ387" s="120">
        <f>(BY387+CA387)/2</f>
        <v>15.323</v>
      </c>
      <c r="CA387" s="120">
        <f>(CA386+CA388)/2</f>
        <v>15.7255</v>
      </c>
      <c r="CB387" s="120">
        <f>(CA387+CC387)/2</f>
        <v>16.124749999999999</v>
      </c>
      <c r="CC387" s="120">
        <f>(CC386+CC388)/2</f>
        <v>16.524000000000001</v>
      </c>
      <c r="CD387" s="120">
        <f>(CC387+CE387)/2</f>
        <v>16.90775</v>
      </c>
      <c r="CE387" s="120">
        <f>(CE386+CE388)/2</f>
        <v>17.291499999999999</v>
      </c>
      <c r="CF387" s="120">
        <f>(CE387+CG387)/2</f>
        <v>17.694499999999998</v>
      </c>
      <c r="CG387" s="120">
        <f>(CG386+CG388)/2</f>
        <v>18.0975</v>
      </c>
      <c r="CH387" s="120">
        <f>(CG387+CI387)/2</f>
        <v>18.462249999999997</v>
      </c>
      <c r="CI387" s="120">
        <f>(CI386+CI388)/2</f>
        <v>18.826999999999998</v>
      </c>
      <c r="CJ387" s="120">
        <f>(CI387+CK387)/2</f>
        <v>19.23</v>
      </c>
      <c r="CK387" s="120">
        <f>(CK386+CK388)/2</f>
        <v>19.633000000000003</v>
      </c>
      <c r="CL387" s="120">
        <f>(CK387+CM387)/2</f>
        <v>19.99775</v>
      </c>
      <c r="CM387" s="120">
        <f>(CM386+CM388)/2</f>
        <v>20.362499999999997</v>
      </c>
      <c r="CN387" s="120">
        <f>(CM387+CO387)/2</f>
        <v>20.750249999999998</v>
      </c>
      <c r="CO387" s="120">
        <f>(CO386+CO388)/2</f>
        <v>21.137999999999998</v>
      </c>
      <c r="CP387" s="120">
        <f>(CO387+CQ387)/2</f>
        <v>21.502749999999999</v>
      </c>
      <c r="CQ387" s="120">
        <f>(CQ386+CQ388)/2</f>
        <v>21.8675</v>
      </c>
      <c r="CR387" s="120">
        <f>(CQ387+CS387)/2</f>
        <v>22.232500000000002</v>
      </c>
      <c r="CS387" s="120">
        <f>(CS386+CS388)/2</f>
        <v>22.5975</v>
      </c>
      <c r="CT387" s="120">
        <f>(CS387+CU387)/2</f>
        <v>22.981499999999997</v>
      </c>
      <c r="CU387" s="120">
        <f>(CU386+CU388)/2</f>
        <v>23.365499999999997</v>
      </c>
      <c r="CV387" s="120">
        <f>(CU387+CW387)/2</f>
        <v>23.726749999999999</v>
      </c>
      <c r="CW387" s="120">
        <f>(CW386+CW388)/2</f>
        <v>24.088000000000001</v>
      </c>
      <c r="CX387" s="120">
        <f>(CW387+CY387)/2</f>
        <v>24.472000000000001</v>
      </c>
      <c r="CY387" s="120">
        <f>(CY386+CY388)/2</f>
        <v>24.856000000000002</v>
      </c>
      <c r="CZ387" s="120">
        <f>(CY387+DA387)/2</f>
        <v>25.202000000000002</v>
      </c>
      <c r="DA387" s="120">
        <f>(DA386+DA388)/2</f>
        <v>25.548000000000002</v>
      </c>
      <c r="DB387" s="120">
        <f>(DA387+DC387)/2</f>
        <v>25.912750000000003</v>
      </c>
      <c r="DC387" s="120">
        <f>(DC386+DC388)/2</f>
        <v>26.2775</v>
      </c>
      <c r="DD387" s="120">
        <f>(DC387+DE387)/2</f>
        <v>26.642499999999998</v>
      </c>
      <c r="DE387" s="120">
        <f>(DE386+DE388)/2</f>
        <v>27.0075</v>
      </c>
      <c r="DF387" s="120">
        <f>(DE387+DG387)/2</f>
        <v>27.372499999999999</v>
      </c>
      <c r="DG387" s="122">
        <f>(DG386+DG388)/2</f>
        <v>27.737499999999997</v>
      </c>
    </row>
    <row r="388" spans="54:111" ht="15" customHeight="1" x14ac:dyDescent="0.2">
      <c r="BB388" s="28">
        <v>16</v>
      </c>
      <c r="BC388" s="121">
        <v>5.0819999999999999</v>
      </c>
      <c r="BD388" s="121">
        <v>5.6850000000000005</v>
      </c>
      <c r="BE388" s="121">
        <v>6.2880000000000003</v>
      </c>
      <c r="BF388" s="121">
        <v>6.8380000000000001</v>
      </c>
      <c r="BG388" s="121">
        <v>7.3879999999999999</v>
      </c>
      <c r="BH388" s="121">
        <v>7.9154999999999998</v>
      </c>
      <c r="BI388" s="121">
        <v>8.4429999999999996</v>
      </c>
      <c r="BJ388" s="121">
        <v>8.9329999999999998</v>
      </c>
      <c r="BK388" s="121">
        <v>9.423</v>
      </c>
      <c r="BL388" s="121">
        <v>9.8754999999999988</v>
      </c>
      <c r="BM388" s="121">
        <v>10.327999999999999</v>
      </c>
      <c r="BN388" s="121">
        <f t="array" ref="BN388:BN432">TRANSPOSE(BO387:DG387)</f>
        <v>10.8255</v>
      </c>
      <c r="BO388" s="158">
        <v>11.323</v>
      </c>
      <c r="BP388" s="120">
        <f>(BQ388+BO388)/2</f>
        <v>11.7295</v>
      </c>
      <c r="BQ388" s="158">
        <v>12.135999999999999</v>
      </c>
      <c r="BR388" s="120">
        <f>(BS388+BQ388)/2</f>
        <v>12.587999999999999</v>
      </c>
      <c r="BS388" s="158">
        <v>13.04</v>
      </c>
      <c r="BT388" s="120">
        <f>(BU388+BS388)/2</f>
        <v>13.454499999999999</v>
      </c>
      <c r="BU388" s="158">
        <v>13.869</v>
      </c>
      <c r="BV388" s="120">
        <f>(BW388+BU388)/2</f>
        <v>14.306000000000001</v>
      </c>
      <c r="BW388" s="158">
        <v>14.743</v>
      </c>
      <c r="BX388" s="120">
        <f>(BY388+BW388)/2</f>
        <v>15.157</v>
      </c>
      <c r="BY388" s="158">
        <v>15.571</v>
      </c>
      <c r="BZ388" s="120">
        <f>(CA388+BY388)/2</f>
        <v>15.985499999999998</v>
      </c>
      <c r="CA388" s="158">
        <v>16.399999999999999</v>
      </c>
      <c r="CB388" s="120">
        <f>(CC388+CA388)/2</f>
        <v>16.814499999999999</v>
      </c>
      <c r="CC388" s="158">
        <v>17.228999999999999</v>
      </c>
      <c r="CD388" s="120">
        <f>(CE388+CC388)/2</f>
        <v>17.643000000000001</v>
      </c>
      <c r="CE388" s="158">
        <v>18.056999999999999</v>
      </c>
      <c r="CF388" s="120">
        <f>(CG388+CE388)/2</f>
        <v>18.472000000000001</v>
      </c>
      <c r="CG388" s="158">
        <v>18.887</v>
      </c>
      <c r="CH388" s="120">
        <f>(CI388+CG388)/2</f>
        <v>19.263500000000001</v>
      </c>
      <c r="CI388" s="158">
        <v>19.64</v>
      </c>
      <c r="CJ388" s="120">
        <f>(CK388+CI388)/2</f>
        <v>20.076500000000003</v>
      </c>
      <c r="CK388" s="158">
        <v>20.513000000000002</v>
      </c>
      <c r="CL388" s="120">
        <f>(CM388+CK388)/2</f>
        <v>20.889499999999998</v>
      </c>
      <c r="CM388" s="158">
        <v>21.265999999999998</v>
      </c>
      <c r="CN388" s="120">
        <f>(CO388+CM388)/2</f>
        <v>21.687999999999999</v>
      </c>
      <c r="CO388" s="158">
        <v>22.11</v>
      </c>
      <c r="CP388" s="120">
        <f>(CQ388+CO388)/2</f>
        <v>22.486499999999999</v>
      </c>
      <c r="CQ388" s="158">
        <v>22.863</v>
      </c>
      <c r="CR388" s="120">
        <f>(CS388+CQ388)/2</f>
        <v>23.2395</v>
      </c>
      <c r="CS388" s="158">
        <v>23.616</v>
      </c>
      <c r="CT388" s="120">
        <f>(CU388+CS388)/2</f>
        <v>23.9925</v>
      </c>
      <c r="CU388" s="158">
        <v>24.369</v>
      </c>
      <c r="CV388" s="120">
        <f>(CW388+CU388)/2</f>
        <v>24.7455</v>
      </c>
      <c r="CW388" s="158">
        <v>25.122</v>
      </c>
      <c r="CX388" s="120">
        <f>(CY388+CW388)/2</f>
        <v>25.536999999999999</v>
      </c>
      <c r="CY388" s="158">
        <v>25.952000000000002</v>
      </c>
      <c r="CZ388" s="120">
        <f>(DA388+CY388)/2</f>
        <v>26.3505</v>
      </c>
      <c r="DA388" s="158">
        <v>26.748999999999999</v>
      </c>
      <c r="DB388" s="120">
        <f>(DC388+DA388)/2</f>
        <v>27.125499999999999</v>
      </c>
      <c r="DC388" s="158">
        <v>27.501999999999999</v>
      </c>
      <c r="DD388" s="120">
        <f>(DE388+DC388)/2</f>
        <v>27.878499999999999</v>
      </c>
      <c r="DE388" s="158">
        <v>28.254999999999999</v>
      </c>
      <c r="DF388" s="120">
        <f>(DG388+DE388)/2</f>
        <v>28.631499999999999</v>
      </c>
      <c r="DG388" s="159">
        <v>29.007999999999999</v>
      </c>
    </row>
    <row r="389" spans="54:111" ht="15" customHeight="1" x14ac:dyDescent="0.2">
      <c r="BB389" s="28">
        <v>17</v>
      </c>
      <c r="BC389" s="121">
        <v>5.2889999999999997</v>
      </c>
      <c r="BD389" s="121">
        <v>5.9037500000000005</v>
      </c>
      <c r="BE389" s="121">
        <v>6.5184999999999995</v>
      </c>
      <c r="BF389" s="121">
        <v>7.1025</v>
      </c>
      <c r="BG389" s="121">
        <v>7.6865000000000006</v>
      </c>
      <c r="BH389" s="121">
        <v>8.2259999999999991</v>
      </c>
      <c r="BI389" s="121">
        <v>8.7654999999999994</v>
      </c>
      <c r="BJ389" s="121">
        <v>9.2669999999999995</v>
      </c>
      <c r="BK389" s="121">
        <v>9.7684999999999995</v>
      </c>
      <c r="BL389" s="121">
        <v>10.262499999999999</v>
      </c>
      <c r="BM389" s="121">
        <v>10.756499999999999</v>
      </c>
      <c r="BN389" s="121">
        <v>11.242999999999999</v>
      </c>
      <c r="BO389" s="121">
        <f t="array" ref="BO389:BO432">TRANSPOSE(BP388:DG388)</f>
        <v>11.7295</v>
      </c>
      <c r="BP389" s="120">
        <f>(BO389+BQ389)/2</f>
        <v>12.1815</v>
      </c>
      <c r="BQ389" s="120">
        <f>(BQ388+BQ390)/2</f>
        <v>12.6335</v>
      </c>
      <c r="BR389" s="120">
        <f>(BQ389+BS389)/2</f>
        <v>13.10125</v>
      </c>
      <c r="BS389" s="120">
        <f>(BS388+BS390)/2</f>
        <v>13.568999999999999</v>
      </c>
      <c r="BT389" s="120">
        <f>(BS389+BU389)/2</f>
        <v>13.99475</v>
      </c>
      <c r="BU389" s="120">
        <f>(BU388+BU390)/2</f>
        <v>14.420500000000001</v>
      </c>
      <c r="BV389" s="120">
        <f>(BU389+BW389)/2</f>
        <v>14.888249999999999</v>
      </c>
      <c r="BW389" s="120">
        <f>(BW388+BW390)/2</f>
        <v>15.356</v>
      </c>
      <c r="BX389" s="120">
        <f>(BW389+BY389)/2</f>
        <v>15.781500000000001</v>
      </c>
      <c r="BY389" s="120">
        <f>(BY388+BY390)/2</f>
        <v>16.207000000000001</v>
      </c>
      <c r="BZ389" s="120">
        <f>(BY389+CA389)/2</f>
        <v>16.64425</v>
      </c>
      <c r="CA389" s="120">
        <f>(CA388+CA390)/2</f>
        <v>17.081499999999998</v>
      </c>
      <c r="CB389" s="120">
        <f>(CA389+CC389)/2</f>
        <v>17.507749999999998</v>
      </c>
      <c r="CC389" s="120">
        <f>(CC388+CC390)/2</f>
        <v>17.933999999999997</v>
      </c>
      <c r="CD389" s="120">
        <f>(CC389+CE389)/2</f>
        <v>18.359749999999998</v>
      </c>
      <c r="CE389" s="120">
        <f>(CE388+CE390)/2</f>
        <v>18.785499999999999</v>
      </c>
      <c r="CF389" s="120">
        <f>(CE389+CG389)/2</f>
        <v>19.226500000000001</v>
      </c>
      <c r="CG389" s="120">
        <f>(CG388+CG390)/2</f>
        <v>19.6675</v>
      </c>
      <c r="CH389" s="120">
        <f>(CG389+CI389)/2</f>
        <v>20.0745</v>
      </c>
      <c r="CI389" s="120">
        <f>(CI388+CI390)/2</f>
        <v>20.4815</v>
      </c>
      <c r="CJ389" s="120">
        <f>(CI389+CK389)/2</f>
        <v>20.911000000000001</v>
      </c>
      <c r="CK389" s="120">
        <f>(CK388+CK390)/2</f>
        <v>21.340499999999999</v>
      </c>
      <c r="CL389" s="120">
        <f>(CK389+CM389)/2</f>
        <v>21.747499999999999</v>
      </c>
      <c r="CM389" s="120">
        <f>(CM388+CM390)/2</f>
        <v>22.154499999999999</v>
      </c>
      <c r="CN389" s="120">
        <f>(CM389+CO389)/2</f>
        <v>22.565750000000001</v>
      </c>
      <c r="CO389" s="120">
        <f>(CO388+CO390)/2</f>
        <v>22.977</v>
      </c>
      <c r="CP389" s="120">
        <f>(CO389+CQ389)/2</f>
        <v>23.395000000000003</v>
      </c>
      <c r="CQ389" s="120">
        <f>(CQ388+CQ390)/2</f>
        <v>23.813000000000002</v>
      </c>
      <c r="CR389" s="120">
        <f>(CQ389+CS389)/2</f>
        <v>24.201250000000002</v>
      </c>
      <c r="CS389" s="120">
        <f>(CS388+CS390)/2</f>
        <v>24.589500000000001</v>
      </c>
      <c r="CT389" s="120">
        <f>(CS389+CU389)/2</f>
        <v>25.01125</v>
      </c>
      <c r="CU389" s="120">
        <f>(CU388+CU390)/2</f>
        <v>25.433</v>
      </c>
      <c r="CV389" s="120">
        <f>(CU389+CW389)/2</f>
        <v>25.821249999999999</v>
      </c>
      <c r="CW389" s="120">
        <f>(CW388+CW390)/2</f>
        <v>26.209499999999998</v>
      </c>
      <c r="CX389" s="120">
        <f>(CW389+CY389)/2</f>
        <v>26.617000000000001</v>
      </c>
      <c r="CY389" s="120">
        <f>(CY388+CY390)/2</f>
        <v>27.024500000000003</v>
      </c>
      <c r="CZ389" s="120">
        <f>(CY389+DA389)/2</f>
        <v>27.434750000000001</v>
      </c>
      <c r="DA389" s="120">
        <f>(DA388+DA390)/2</f>
        <v>27.844999999999999</v>
      </c>
      <c r="DB389" s="120">
        <f>(DA389+DC389)/2</f>
        <v>28.233249999999998</v>
      </c>
      <c r="DC389" s="120">
        <f>(DC388+DC390)/2</f>
        <v>28.621499999999997</v>
      </c>
      <c r="DD389" s="120">
        <f>(DC389+DE389)/2</f>
        <v>29.02075</v>
      </c>
      <c r="DE389" s="120">
        <f>(DE388+DE390)/2</f>
        <v>29.42</v>
      </c>
      <c r="DF389" s="120">
        <f>(DE389+DG389)/2</f>
        <v>29.831</v>
      </c>
      <c r="DG389" s="122">
        <f>(DG388+DG390)/2</f>
        <v>30.241999999999997</v>
      </c>
    </row>
    <row r="390" spans="54:111" ht="15" customHeight="1" x14ac:dyDescent="0.2">
      <c r="BB390" s="28">
        <v>18</v>
      </c>
      <c r="BC390" s="121">
        <v>5.4960000000000004</v>
      </c>
      <c r="BD390" s="121">
        <v>6.1225000000000005</v>
      </c>
      <c r="BE390" s="121">
        <v>6.7489999999999997</v>
      </c>
      <c r="BF390" s="121">
        <v>7.367</v>
      </c>
      <c r="BG390" s="121">
        <v>7.9850000000000003</v>
      </c>
      <c r="BH390" s="121">
        <v>8.5365000000000002</v>
      </c>
      <c r="BI390" s="121">
        <v>9.0879999999999992</v>
      </c>
      <c r="BJ390" s="121">
        <v>9.6009999999999991</v>
      </c>
      <c r="BK390" s="121">
        <v>10.114000000000001</v>
      </c>
      <c r="BL390" s="121">
        <v>10.6495</v>
      </c>
      <c r="BM390" s="121">
        <v>11.185</v>
      </c>
      <c r="BN390" s="121">
        <v>11.660499999999999</v>
      </c>
      <c r="BO390" s="121">
        <v>12.135999999999999</v>
      </c>
      <c r="BP390" s="121">
        <f t="array" ref="BP390:BP432">TRANSPOSE(BQ389:DG389)</f>
        <v>12.6335</v>
      </c>
      <c r="BQ390" s="158">
        <v>13.131</v>
      </c>
      <c r="BR390" s="120">
        <f>(BS390+BQ390)/2</f>
        <v>13.6145</v>
      </c>
      <c r="BS390" s="158">
        <v>14.098000000000001</v>
      </c>
      <c r="BT390" s="120">
        <f>(BU390+BS390)/2</f>
        <v>14.535</v>
      </c>
      <c r="BU390" s="158">
        <v>14.972</v>
      </c>
      <c r="BV390" s="120">
        <f>(BW390+BU390)/2</f>
        <v>15.470499999999999</v>
      </c>
      <c r="BW390" s="158">
        <v>15.968999999999999</v>
      </c>
      <c r="BX390" s="120">
        <f>(BY390+BW390)/2</f>
        <v>16.405999999999999</v>
      </c>
      <c r="BY390" s="158">
        <v>16.843</v>
      </c>
      <c r="BZ390" s="120">
        <f>(CA390+BY390)/2</f>
        <v>17.303000000000001</v>
      </c>
      <c r="CA390" s="158">
        <v>17.763000000000002</v>
      </c>
      <c r="CB390" s="120">
        <f>(CC390+CA390)/2</f>
        <v>18.201000000000001</v>
      </c>
      <c r="CC390" s="158">
        <v>18.638999999999999</v>
      </c>
      <c r="CD390" s="120">
        <f>(CE390+CC390)/2</f>
        <v>19.076499999999999</v>
      </c>
      <c r="CE390" s="158">
        <v>19.513999999999999</v>
      </c>
      <c r="CF390" s="120">
        <f>(CG390+CE390)/2</f>
        <v>19.981000000000002</v>
      </c>
      <c r="CG390" s="158">
        <v>20.448</v>
      </c>
      <c r="CH390" s="120">
        <f>(CI390+CG390)/2</f>
        <v>20.8855</v>
      </c>
      <c r="CI390" s="158">
        <v>21.323</v>
      </c>
      <c r="CJ390" s="120">
        <f>(CK390+CI390)/2</f>
        <v>21.7455</v>
      </c>
      <c r="CK390" s="158">
        <v>22.167999999999999</v>
      </c>
      <c r="CL390" s="120">
        <f>(CM390+CK390)/2</f>
        <v>22.605499999999999</v>
      </c>
      <c r="CM390" s="158">
        <v>23.042999999999999</v>
      </c>
      <c r="CN390" s="120">
        <f>(CO390+CM390)/2</f>
        <v>23.4435</v>
      </c>
      <c r="CO390" s="158">
        <v>23.844000000000001</v>
      </c>
      <c r="CP390" s="120">
        <f>(CQ390+CO390)/2</f>
        <v>24.3035</v>
      </c>
      <c r="CQ390" s="158">
        <v>24.763000000000002</v>
      </c>
      <c r="CR390" s="120">
        <f>(CS390+CQ390)/2</f>
        <v>25.163</v>
      </c>
      <c r="CS390" s="158">
        <v>25.562999999999999</v>
      </c>
      <c r="CT390" s="120">
        <f>(CU390+CS390)/2</f>
        <v>26.03</v>
      </c>
      <c r="CU390" s="158">
        <v>26.497</v>
      </c>
      <c r="CV390" s="120">
        <f>(CW390+CU390)/2</f>
        <v>26.896999999999998</v>
      </c>
      <c r="CW390" s="158">
        <v>27.297000000000001</v>
      </c>
      <c r="CX390" s="120">
        <f>(CY390+CW390)/2</f>
        <v>27.697000000000003</v>
      </c>
      <c r="CY390" s="158">
        <v>28.097000000000001</v>
      </c>
      <c r="CZ390" s="120">
        <f>(DA390+CY390)/2</f>
        <v>28.518999999999998</v>
      </c>
      <c r="DA390" s="158">
        <v>28.940999999999999</v>
      </c>
      <c r="DB390" s="120">
        <f>(DC390+DA390)/2</f>
        <v>29.341000000000001</v>
      </c>
      <c r="DC390" s="158">
        <v>29.741</v>
      </c>
      <c r="DD390" s="120">
        <f>(DE390+DC390)/2</f>
        <v>30.163</v>
      </c>
      <c r="DE390" s="158">
        <v>30.585000000000001</v>
      </c>
      <c r="DF390" s="120">
        <f>(DG390+DE390)/2</f>
        <v>31.0305</v>
      </c>
      <c r="DG390" s="159">
        <v>31.475999999999999</v>
      </c>
    </row>
    <row r="391" spans="54:111" ht="15" customHeight="1" x14ac:dyDescent="0.2">
      <c r="BB391" s="28">
        <v>19</v>
      </c>
      <c r="BC391" s="121">
        <v>5.6880000000000006</v>
      </c>
      <c r="BD391" s="121">
        <v>6.3565000000000005</v>
      </c>
      <c r="BE391" s="121">
        <v>7.0250000000000004</v>
      </c>
      <c r="BF391" s="121">
        <v>7.6509999999999998</v>
      </c>
      <c r="BG391" s="121">
        <v>8.277000000000001</v>
      </c>
      <c r="BH391" s="121">
        <v>8.8397500000000004</v>
      </c>
      <c r="BI391" s="121">
        <v>9.4024999999999999</v>
      </c>
      <c r="BJ391" s="121">
        <v>9.9422499999999996</v>
      </c>
      <c r="BK391" s="121">
        <v>10.481999999999999</v>
      </c>
      <c r="BL391" s="121">
        <v>11.029249999999999</v>
      </c>
      <c r="BM391" s="121">
        <v>11.576499999999999</v>
      </c>
      <c r="BN391" s="121">
        <v>12.082249999999998</v>
      </c>
      <c r="BO391" s="121">
        <v>12.587999999999999</v>
      </c>
      <c r="BP391" s="121">
        <v>13.10125</v>
      </c>
      <c r="BQ391" s="121">
        <f t="array" ref="BQ391:BQ432">TRANSPOSE(BR390:DG390)</f>
        <v>13.6145</v>
      </c>
      <c r="BR391" s="120">
        <f>(BQ391+BS391)/2</f>
        <v>14.1165</v>
      </c>
      <c r="BS391" s="120">
        <f>(BS390+BS392)/2</f>
        <v>14.618500000000001</v>
      </c>
      <c r="BT391" s="120">
        <f>(BS391+BU391)/2</f>
        <v>15.086500000000001</v>
      </c>
      <c r="BU391" s="120">
        <f>(BU390+BU392)/2</f>
        <v>15.554500000000001</v>
      </c>
      <c r="BV391" s="120">
        <f>(BU391+BW391)/2</f>
        <v>16.045250000000003</v>
      </c>
      <c r="BW391" s="120">
        <f>(BW390+BW392)/2</f>
        <v>16.536000000000001</v>
      </c>
      <c r="BX391" s="120">
        <f>(BW391+BY391)/2</f>
        <v>17.018750000000001</v>
      </c>
      <c r="BY391" s="120">
        <f>(BY390+BY392)/2</f>
        <v>17.5015</v>
      </c>
      <c r="BZ391" s="120">
        <f>(BY391+CA391)/2</f>
        <v>17.962</v>
      </c>
      <c r="CA391" s="120">
        <f>(CA390+CA392)/2</f>
        <v>18.422499999999999</v>
      </c>
      <c r="CB391" s="120">
        <f>(CA391+CC391)/2</f>
        <v>18.882999999999999</v>
      </c>
      <c r="CC391" s="120">
        <f>(CC390+CC392)/2</f>
        <v>19.343499999999999</v>
      </c>
      <c r="CD391" s="120">
        <f>(CC391+CE391)/2</f>
        <v>19.803999999999998</v>
      </c>
      <c r="CE391" s="120">
        <f>(CE390+CE392)/2</f>
        <v>20.264499999999998</v>
      </c>
      <c r="CF391" s="120">
        <f>(CE391+CG391)/2</f>
        <v>20.732250000000001</v>
      </c>
      <c r="CG391" s="120">
        <f>(CG390+CG392)/2</f>
        <v>21.200000000000003</v>
      </c>
      <c r="CH391" s="120">
        <f>(CG391+CI391)/2</f>
        <v>21.660000000000004</v>
      </c>
      <c r="CI391" s="120">
        <f>(CI390+CI392)/2</f>
        <v>22.12</v>
      </c>
      <c r="CJ391" s="120">
        <f>(CI391+CK391)/2</f>
        <v>22.573250000000002</v>
      </c>
      <c r="CK391" s="120">
        <f>(CK390+CK392)/2</f>
        <v>23.026499999999999</v>
      </c>
      <c r="CL391" s="120">
        <f>(CK391+CM391)/2</f>
        <v>23.460249999999998</v>
      </c>
      <c r="CM391" s="120">
        <f>(CM390+CM392)/2</f>
        <v>23.893999999999998</v>
      </c>
      <c r="CN391" s="120">
        <f>(CM391+CO391)/2</f>
        <v>24.335999999999999</v>
      </c>
      <c r="CO391" s="120">
        <f>(CO390+CO392)/2</f>
        <v>24.777999999999999</v>
      </c>
      <c r="CP391" s="120">
        <f>(CO391+CQ391)/2</f>
        <v>25.248999999999999</v>
      </c>
      <c r="CQ391" s="120">
        <f>(CQ390+CQ392)/2</f>
        <v>25.72</v>
      </c>
      <c r="CR391" s="120">
        <f>(CQ391+CS391)/2</f>
        <v>26.131999999999998</v>
      </c>
      <c r="CS391" s="120">
        <f>(CS390+CS392)/2</f>
        <v>26.543999999999997</v>
      </c>
      <c r="CT391" s="120">
        <f>(CS391+CU391)/2</f>
        <v>27.022499999999997</v>
      </c>
      <c r="CU391" s="120">
        <f>(CU390+CU392)/2</f>
        <v>27.500999999999998</v>
      </c>
      <c r="CV391" s="120">
        <f>(CU391+CW391)/2</f>
        <v>27.923749999999998</v>
      </c>
      <c r="CW391" s="120">
        <f>(CW390+CW392)/2</f>
        <v>28.346499999999999</v>
      </c>
      <c r="CX391" s="120">
        <f>(CW391+CY391)/2</f>
        <v>28.75825</v>
      </c>
      <c r="CY391" s="120">
        <f>(CY390+CY392)/2</f>
        <v>29.17</v>
      </c>
      <c r="CZ391" s="120">
        <f>(CY391+DA391)/2</f>
        <v>29.626249999999999</v>
      </c>
      <c r="DA391" s="120">
        <f>(DA390+DA392)/2</f>
        <v>30.0825</v>
      </c>
      <c r="DB391" s="120">
        <f>(DA391+DC391)/2</f>
        <v>30.504999999999999</v>
      </c>
      <c r="DC391" s="120">
        <f>(DC390+DC392)/2</f>
        <v>30.927499999999998</v>
      </c>
      <c r="DD391" s="120">
        <f>(DC391+DE391)/2</f>
        <v>31.3505</v>
      </c>
      <c r="DE391" s="120">
        <f>(DE390+DE392)/2</f>
        <v>31.773500000000002</v>
      </c>
      <c r="DF391" s="120">
        <f>(DE391+DG391)/2</f>
        <v>32.21875</v>
      </c>
      <c r="DG391" s="122">
        <f>(DG390+DG392)/2</f>
        <v>32.664000000000001</v>
      </c>
    </row>
    <row r="392" spans="54:111" ht="15" customHeight="1" x14ac:dyDescent="0.2">
      <c r="BB392" s="28">
        <v>20</v>
      </c>
      <c r="BC392" s="121">
        <v>5.88</v>
      </c>
      <c r="BD392" s="121">
        <v>6.5905000000000005</v>
      </c>
      <c r="BE392" s="121">
        <v>7.3010000000000002</v>
      </c>
      <c r="BF392" s="121">
        <v>7.9350000000000005</v>
      </c>
      <c r="BG392" s="121">
        <v>8.5690000000000008</v>
      </c>
      <c r="BH392" s="121">
        <v>9.1430000000000007</v>
      </c>
      <c r="BI392" s="121">
        <v>9.7170000000000005</v>
      </c>
      <c r="BJ392" s="121">
        <v>10.2835</v>
      </c>
      <c r="BK392" s="121">
        <v>10.85</v>
      </c>
      <c r="BL392" s="121">
        <v>11.408999999999999</v>
      </c>
      <c r="BM392" s="121">
        <v>11.968</v>
      </c>
      <c r="BN392" s="121">
        <v>12.504</v>
      </c>
      <c r="BO392" s="121">
        <v>13.04</v>
      </c>
      <c r="BP392" s="121">
        <v>13.568999999999999</v>
      </c>
      <c r="BQ392" s="121">
        <v>14.098000000000001</v>
      </c>
      <c r="BR392" s="121">
        <f t="array" ref="BR392:BR432">TRANSPOSE(BS391:DG391)</f>
        <v>14.618500000000001</v>
      </c>
      <c r="BS392" s="158">
        <v>15.138999999999999</v>
      </c>
      <c r="BT392" s="120">
        <f>(BU392+BS392)/2</f>
        <v>15.638</v>
      </c>
      <c r="BU392" s="158">
        <v>16.137</v>
      </c>
      <c r="BV392" s="120">
        <f>(BW392+BU392)/2</f>
        <v>16.62</v>
      </c>
      <c r="BW392" s="158">
        <v>17.103000000000002</v>
      </c>
      <c r="BX392" s="120">
        <f>(BY392+BW392)/2</f>
        <v>17.631500000000003</v>
      </c>
      <c r="BY392" s="158">
        <v>18.16</v>
      </c>
      <c r="BZ392" s="120">
        <f>(CA392+BY392)/2</f>
        <v>18.621000000000002</v>
      </c>
      <c r="CA392" s="158">
        <v>19.082000000000001</v>
      </c>
      <c r="CB392" s="120">
        <f>(CC392+CA392)/2</f>
        <v>19.564999999999998</v>
      </c>
      <c r="CC392" s="158">
        <v>20.047999999999998</v>
      </c>
      <c r="CD392" s="120">
        <f>(CE392+CC392)/2</f>
        <v>20.531500000000001</v>
      </c>
      <c r="CE392" s="158">
        <v>21.015000000000001</v>
      </c>
      <c r="CF392" s="120">
        <f>(CG392+CE392)/2</f>
        <v>21.483499999999999</v>
      </c>
      <c r="CG392" s="158">
        <v>21.952000000000002</v>
      </c>
      <c r="CH392" s="120">
        <f>(CI392+CG392)/2</f>
        <v>22.4345</v>
      </c>
      <c r="CI392" s="158">
        <v>22.917000000000002</v>
      </c>
      <c r="CJ392" s="120">
        <f>(CK392+CI392)/2</f>
        <v>23.401000000000003</v>
      </c>
      <c r="CK392" s="158">
        <v>23.885000000000002</v>
      </c>
      <c r="CL392" s="120">
        <f>(CM392+CK392)/2</f>
        <v>24.315000000000001</v>
      </c>
      <c r="CM392" s="158">
        <v>24.745000000000001</v>
      </c>
      <c r="CN392" s="120">
        <f>(CO392+CM392)/2</f>
        <v>25.2285</v>
      </c>
      <c r="CO392" s="158">
        <v>25.712</v>
      </c>
      <c r="CP392" s="120">
        <f>(CQ392+CO392)/2</f>
        <v>26.194499999999998</v>
      </c>
      <c r="CQ392" s="158">
        <v>26.677</v>
      </c>
      <c r="CR392" s="120">
        <f>(CS392+CQ392)/2</f>
        <v>27.100999999999999</v>
      </c>
      <c r="CS392" s="158">
        <v>27.524999999999999</v>
      </c>
      <c r="CT392" s="120">
        <f>(CU392+CS392)/2</f>
        <v>28.015000000000001</v>
      </c>
      <c r="CU392" s="158">
        <v>28.504999999999999</v>
      </c>
      <c r="CV392" s="120">
        <f>(CW392+CU392)/2</f>
        <v>28.950499999999998</v>
      </c>
      <c r="CW392" s="158">
        <v>29.396000000000001</v>
      </c>
      <c r="CX392" s="120">
        <f>(CY392+CW392)/2</f>
        <v>29.819499999999998</v>
      </c>
      <c r="CY392" s="158">
        <v>30.242999999999999</v>
      </c>
      <c r="CZ392" s="120">
        <f>(DA392+CY392)/2</f>
        <v>30.733499999999999</v>
      </c>
      <c r="DA392" s="158">
        <v>31.224</v>
      </c>
      <c r="DB392" s="120">
        <f>(DC392+DA392)/2</f>
        <v>31.668999999999997</v>
      </c>
      <c r="DC392" s="158">
        <v>32.113999999999997</v>
      </c>
      <c r="DD392" s="120">
        <f>(DE392+DC392)/2</f>
        <v>32.537999999999997</v>
      </c>
      <c r="DE392" s="158">
        <v>32.962000000000003</v>
      </c>
      <c r="DF392" s="120">
        <f>(DG392+DE392)/2</f>
        <v>33.406999999999996</v>
      </c>
      <c r="DG392" s="159">
        <v>33.851999999999997</v>
      </c>
    </row>
    <row r="393" spans="54:111" ht="15" customHeight="1" x14ac:dyDescent="0.2">
      <c r="BB393" s="28">
        <v>21</v>
      </c>
      <c r="BC393" s="121">
        <v>6.0875000000000004</v>
      </c>
      <c r="BD393" s="121">
        <v>6.8094999999999999</v>
      </c>
      <c r="BE393" s="121">
        <v>7.5314999999999994</v>
      </c>
      <c r="BF393" s="121">
        <v>8.1807499999999997</v>
      </c>
      <c r="BG393" s="121">
        <v>8.83</v>
      </c>
      <c r="BH393" s="121">
        <v>9.4269999999999996</v>
      </c>
      <c r="BI393" s="121">
        <v>10.024000000000001</v>
      </c>
      <c r="BJ393" s="121">
        <v>10.61725</v>
      </c>
      <c r="BK393" s="121">
        <v>11.2105</v>
      </c>
      <c r="BL393" s="121">
        <v>11.7845</v>
      </c>
      <c r="BM393" s="121">
        <v>12.358499999999999</v>
      </c>
      <c r="BN393" s="121">
        <v>12.906500000000001</v>
      </c>
      <c r="BO393" s="121">
        <v>13.454499999999999</v>
      </c>
      <c r="BP393" s="121">
        <v>13.99475</v>
      </c>
      <c r="BQ393" s="121">
        <v>14.535</v>
      </c>
      <c r="BR393" s="121">
        <v>15.086500000000001</v>
      </c>
      <c r="BS393" s="121">
        <f t="array" ref="BS393:BS432">TRANSPOSE(BT392:DG392)</f>
        <v>15.638</v>
      </c>
      <c r="BT393" s="120">
        <f>(BS393+BU393)/2</f>
        <v>16.159500000000001</v>
      </c>
      <c r="BU393" s="120">
        <f>(BU392+BU394)/2</f>
        <v>16.681000000000001</v>
      </c>
      <c r="BV393" s="120">
        <f>(BU393+BW393)/2</f>
        <v>17.179500000000001</v>
      </c>
      <c r="BW393" s="120">
        <f>(BW392+BW394)/2</f>
        <v>17.678000000000001</v>
      </c>
      <c r="BX393" s="120">
        <f>(BW393+BY393)/2</f>
        <v>18.21425</v>
      </c>
      <c r="BY393" s="120">
        <f>(BY392+BY394)/2</f>
        <v>18.750500000000002</v>
      </c>
      <c r="BZ393" s="120">
        <f>(BY393+CA393)/2</f>
        <v>19.238</v>
      </c>
      <c r="CA393" s="120">
        <f>(CA392+CA394)/2</f>
        <v>19.7255</v>
      </c>
      <c r="CB393" s="120">
        <f>(CA393+CC393)/2</f>
        <v>20.238999999999997</v>
      </c>
      <c r="CC393" s="120">
        <f>(CC392+CC394)/2</f>
        <v>20.752499999999998</v>
      </c>
      <c r="CD393" s="120">
        <f>(CC393+CE393)/2</f>
        <v>21.251249999999999</v>
      </c>
      <c r="CE393" s="120">
        <f>(CE392+CE394)/2</f>
        <v>21.75</v>
      </c>
      <c r="CF393" s="120">
        <f>(CE393+CG393)/2</f>
        <v>22.237749999999998</v>
      </c>
      <c r="CG393" s="120">
        <f>(CG392+CG394)/2</f>
        <v>22.7255</v>
      </c>
      <c r="CH393" s="120">
        <f>(CG393+CI393)/2</f>
        <v>23.22</v>
      </c>
      <c r="CI393" s="120">
        <f>(CI392+CI394)/2</f>
        <v>23.714500000000001</v>
      </c>
      <c r="CJ393" s="120">
        <f>(CI393+CK393)/2</f>
        <v>24.2135</v>
      </c>
      <c r="CK393" s="120">
        <f>(CK392+CK394)/2</f>
        <v>24.712499999999999</v>
      </c>
      <c r="CL393" s="120">
        <f>(CK393+CM393)/2</f>
        <v>25.180499999999999</v>
      </c>
      <c r="CM393" s="120">
        <f>(CM392+CM394)/2</f>
        <v>25.648499999999999</v>
      </c>
      <c r="CN393" s="120">
        <f>(CM393+CO393)/2</f>
        <v>26.128250000000001</v>
      </c>
      <c r="CO393" s="120">
        <f>(CO392+CO394)/2</f>
        <v>26.608000000000001</v>
      </c>
      <c r="CP393" s="120">
        <f>(CO393+CQ393)/2</f>
        <v>27.102499999999999</v>
      </c>
      <c r="CQ393" s="120">
        <f>(CQ392+CQ394)/2</f>
        <v>27.597000000000001</v>
      </c>
      <c r="CR393" s="120">
        <f>(CQ393+CS393)/2</f>
        <v>28.051500000000001</v>
      </c>
      <c r="CS393" s="120">
        <f>(CS392+CS394)/2</f>
        <v>28.506</v>
      </c>
      <c r="CT393" s="120">
        <f>(CS393+CU393)/2</f>
        <v>28.989000000000001</v>
      </c>
      <c r="CU393" s="120">
        <f>(CU392+CU394)/2</f>
        <v>29.472000000000001</v>
      </c>
      <c r="CV393" s="120">
        <f>(CU393+CW393)/2</f>
        <v>29.947749999999999</v>
      </c>
      <c r="CW393" s="120">
        <f>(CW392+CW394)/2</f>
        <v>30.423500000000001</v>
      </c>
      <c r="CX393" s="120">
        <f>(CW393+CY393)/2</f>
        <v>30.8735</v>
      </c>
      <c r="CY393" s="120">
        <f>(CY392+CY394)/2</f>
        <v>31.323500000000003</v>
      </c>
      <c r="CZ393" s="120">
        <f>(CY393+DA393)/2</f>
        <v>31.803000000000001</v>
      </c>
      <c r="DA393" s="120">
        <f>(DA392+DA394)/2</f>
        <v>32.282499999999999</v>
      </c>
      <c r="DB393" s="120">
        <f>(DA393+DC393)/2</f>
        <v>32.758249999999997</v>
      </c>
      <c r="DC393" s="120">
        <f>(DC392+DC394)/2</f>
        <v>33.233999999999995</v>
      </c>
      <c r="DD393" s="120">
        <f>(DC393+DE393)/2</f>
        <v>33.683749999999996</v>
      </c>
      <c r="DE393" s="120">
        <f>(DE392+DE394)/2</f>
        <v>34.133499999999998</v>
      </c>
      <c r="DF393" s="120">
        <f>(DE393+DG393)/2</f>
        <v>34.590499999999999</v>
      </c>
      <c r="DG393" s="122">
        <f>(DG392+DG394)/2</f>
        <v>35.047499999999999</v>
      </c>
    </row>
    <row r="394" spans="54:111" ht="15" customHeight="1" x14ac:dyDescent="0.2">
      <c r="BB394" s="28">
        <v>22</v>
      </c>
      <c r="BC394" s="121">
        <v>6.2949999999999999</v>
      </c>
      <c r="BD394" s="121">
        <v>7.0284999999999993</v>
      </c>
      <c r="BE394" s="121">
        <v>7.7619999999999996</v>
      </c>
      <c r="BF394" s="121">
        <v>8.426499999999999</v>
      </c>
      <c r="BG394" s="121">
        <v>9.0909999999999993</v>
      </c>
      <c r="BH394" s="121">
        <v>9.7109999999999985</v>
      </c>
      <c r="BI394" s="121">
        <v>10.331</v>
      </c>
      <c r="BJ394" s="121">
        <v>10.951000000000001</v>
      </c>
      <c r="BK394" s="121">
        <v>11.571</v>
      </c>
      <c r="BL394" s="121">
        <v>12.16</v>
      </c>
      <c r="BM394" s="121">
        <v>12.749000000000001</v>
      </c>
      <c r="BN394" s="121">
        <v>13.309000000000001</v>
      </c>
      <c r="BO394" s="121">
        <v>13.869</v>
      </c>
      <c r="BP394" s="121">
        <v>14.420500000000001</v>
      </c>
      <c r="BQ394" s="121">
        <v>14.972</v>
      </c>
      <c r="BR394" s="121">
        <v>15.554500000000001</v>
      </c>
      <c r="BS394" s="121">
        <v>16.137</v>
      </c>
      <c r="BT394" s="121">
        <f t="array" ref="BT394:BT432">TRANSPOSE(BU393:DG393)</f>
        <v>16.681000000000001</v>
      </c>
      <c r="BU394" s="158">
        <v>17.225000000000001</v>
      </c>
      <c r="BV394" s="120">
        <f>(BW394+BU394)/2</f>
        <v>17.739000000000001</v>
      </c>
      <c r="BW394" s="158">
        <v>18.253</v>
      </c>
      <c r="BX394" s="120">
        <f>(BY394+BW394)/2</f>
        <v>18.797000000000001</v>
      </c>
      <c r="BY394" s="158">
        <v>19.341000000000001</v>
      </c>
      <c r="BZ394" s="120">
        <f>(CA394+BY394)/2</f>
        <v>19.855</v>
      </c>
      <c r="CA394" s="158">
        <v>20.369</v>
      </c>
      <c r="CB394" s="120">
        <f>(CC394+CA394)/2</f>
        <v>20.913</v>
      </c>
      <c r="CC394" s="158">
        <v>21.457000000000001</v>
      </c>
      <c r="CD394" s="120">
        <f>(CE394+CC394)/2</f>
        <v>21.971</v>
      </c>
      <c r="CE394" s="158">
        <v>22.484999999999999</v>
      </c>
      <c r="CF394" s="120">
        <f>(CG394+CE394)/2</f>
        <v>22.991999999999997</v>
      </c>
      <c r="CG394" s="158">
        <v>23.498999999999999</v>
      </c>
      <c r="CH394" s="120">
        <f>(CI394+CG394)/2</f>
        <v>24.005499999999998</v>
      </c>
      <c r="CI394" s="158">
        <v>24.512</v>
      </c>
      <c r="CJ394" s="120">
        <f>(CK394+CI394)/2</f>
        <v>25.026</v>
      </c>
      <c r="CK394" s="158">
        <v>25.54</v>
      </c>
      <c r="CL394" s="120">
        <f>(CM394+CK394)/2</f>
        <v>26.045999999999999</v>
      </c>
      <c r="CM394" s="158">
        <v>26.552</v>
      </c>
      <c r="CN394" s="120">
        <f>(CO394+CM394)/2</f>
        <v>27.027999999999999</v>
      </c>
      <c r="CO394" s="158">
        <v>27.504000000000001</v>
      </c>
      <c r="CP394" s="120">
        <f>(CQ394+CO394)/2</f>
        <v>28.0105</v>
      </c>
      <c r="CQ394" s="158">
        <v>28.516999999999999</v>
      </c>
      <c r="CR394" s="120">
        <f>(CS394+CQ394)/2</f>
        <v>29.001999999999999</v>
      </c>
      <c r="CS394" s="158">
        <v>29.486999999999998</v>
      </c>
      <c r="CT394" s="120">
        <f>(CU394+CS394)/2</f>
        <v>29.963000000000001</v>
      </c>
      <c r="CU394" s="158">
        <v>30.439</v>
      </c>
      <c r="CV394" s="120">
        <f>(CW394+CU394)/2</f>
        <v>30.945</v>
      </c>
      <c r="CW394" s="158">
        <v>31.451000000000001</v>
      </c>
      <c r="CX394" s="120">
        <f>(CY394+CW394)/2</f>
        <v>31.927500000000002</v>
      </c>
      <c r="CY394" s="158">
        <v>32.404000000000003</v>
      </c>
      <c r="CZ394" s="120">
        <f>(DA394+CY394)/2</f>
        <v>32.872500000000002</v>
      </c>
      <c r="DA394" s="158">
        <v>33.341000000000001</v>
      </c>
      <c r="DB394" s="120">
        <f>(DC394+DA394)/2</f>
        <v>33.847499999999997</v>
      </c>
      <c r="DC394" s="158">
        <v>34.353999999999999</v>
      </c>
      <c r="DD394" s="120">
        <f>(DE394+DC394)/2</f>
        <v>34.829499999999996</v>
      </c>
      <c r="DE394" s="158">
        <v>35.305</v>
      </c>
      <c r="DF394" s="120">
        <f>(DG394+DE394)/2</f>
        <v>35.774000000000001</v>
      </c>
      <c r="DG394" s="159">
        <v>36.243000000000002</v>
      </c>
    </row>
    <row r="395" spans="54:111" ht="15" customHeight="1" x14ac:dyDescent="0.2">
      <c r="BB395" s="28">
        <v>23</v>
      </c>
      <c r="BC395" s="121">
        <v>6.48</v>
      </c>
      <c r="BD395" s="121">
        <v>7.2397499999999999</v>
      </c>
      <c r="BE395" s="121">
        <v>7.9994999999999994</v>
      </c>
      <c r="BF395" s="121">
        <v>8.6912500000000001</v>
      </c>
      <c r="BG395" s="121">
        <v>9.3829999999999991</v>
      </c>
      <c r="BH395" s="121">
        <v>10.017999999999999</v>
      </c>
      <c r="BI395" s="121">
        <v>10.652999999999999</v>
      </c>
      <c r="BJ395" s="121">
        <v>11.284750000000001</v>
      </c>
      <c r="BK395" s="121">
        <v>11.916499999999999</v>
      </c>
      <c r="BL395" s="121">
        <v>12.517250000000001</v>
      </c>
      <c r="BM395" s="121">
        <v>13.118</v>
      </c>
      <c r="BN395" s="121">
        <v>13.712</v>
      </c>
      <c r="BO395" s="121">
        <v>14.306000000000001</v>
      </c>
      <c r="BP395" s="121">
        <v>14.888249999999999</v>
      </c>
      <c r="BQ395" s="121">
        <v>15.470499999999999</v>
      </c>
      <c r="BR395" s="121">
        <v>16.045250000000003</v>
      </c>
      <c r="BS395" s="121">
        <v>16.62</v>
      </c>
      <c r="BT395" s="121">
        <v>17.179500000000001</v>
      </c>
      <c r="BU395" s="121">
        <f t="array" ref="BU395:BU432">TRANSPOSE(BV394:DG394)</f>
        <v>17.739000000000001</v>
      </c>
      <c r="BV395" s="120">
        <f>(BU395+BW395)/2</f>
        <v>18.27975</v>
      </c>
      <c r="BW395" s="120">
        <f>(BW394+BW396)/2</f>
        <v>18.820500000000003</v>
      </c>
      <c r="BX395" s="120">
        <f>(BW395+BY395)/2</f>
        <v>19.391000000000002</v>
      </c>
      <c r="BY395" s="120">
        <f>(BY394+BY396)/2</f>
        <v>19.961500000000001</v>
      </c>
      <c r="BZ395" s="120">
        <f>(BY395+CA395)/2</f>
        <v>20.506250000000001</v>
      </c>
      <c r="CA395" s="120">
        <f>(CA394+CA396)/2</f>
        <v>21.051000000000002</v>
      </c>
      <c r="CB395" s="120">
        <f>(CA395+CC395)/2</f>
        <v>21.587500000000002</v>
      </c>
      <c r="CC395" s="120">
        <f>(CC394+CC396)/2</f>
        <v>22.124000000000002</v>
      </c>
      <c r="CD395" s="120">
        <f>(CC395+CE395)/2</f>
        <v>22.649750000000001</v>
      </c>
      <c r="CE395" s="120">
        <f>(CE394+CE396)/2</f>
        <v>23.1755</v>
      </c>
      <c r="CF395" s="120">
        <f>(CE395+CG395)/2</f>
        <v>23.71275</v>
      </c>
      <c r="CG395" s="120">
        <f>(CG394+CG396)/2</f>
        <v>24.25</v>
      </c>
      <c r="CH395" s="120">
        <f>(CG395+CI395)/2</f>
        <v>24.783000000000001</v>
      </c>
      <c r="CI395" s="120">
        <f>(CI394+CI396)/2</f>
        <v>25.316000000000003</v>
      </c>
      <c r="CJ395" s="120">
        <f>(CI395+CK395)/2</f>
        <v>25.838000000000001</v>
      </c>
      <c r="CK395" s="120">
        <f>(CK394+CK396)/2</f>
        <v>26.36</v>
      </c>
      <c r="CL395" s="120">
        <f>(CK395+CM395)/2</f>
        <v>26.881499999999999</v>
      </c>
      <c r="CM395" s="120">
        <f>(CM394+CM396)/2</f>
        <v>27.402999999999999</v>
      </c>
      <c r="CN395" s="120">
        <f>(CM395+CO395)/2</f>
        <v>27.887</v>
      </c>
      <c r="CO395" s="120">
        <f>(CO394+CO396)/2</f>
        <v>28.371000000000002</v>
      </c>
      <c r="CP395" s="120">
        <f>(CO395+CQ395)/2</f>
        <v>28.893000000000001</v>
      </c>
      <c r="CQ395" s="120">
        <f>(CQ394+CQ396)/2</f>
        <v>29.414999999999999</v>
      </c>
      <c r="CR395" s="120">
        <f>(CQ395+CS395)/2</f>
        <v>29.933250000000001</v>
      </c>
      <c r="CS395" s="120">
        <f>(CS394+CS396)/2</f>
        <v>30.451499999999999</v>
      </c>
      <c r="CT395" s="120">
        <f>(CS395+CU395)/2</f>
        <v>30.939499999999999</v>
      </c>
      <c r="CU395" s="120">
        <f>(CU394+CU396)/2</f>
        <v>31.427499999999998</v>
      </c>
      <c r="CV395" s="120">
        <f>(CU395+CW395)/2</f>
        <v>31.945250000000001</v>
      </c>
      <c r="CW395" s="120">
        <f>(CW394+CW396)/2</f>
        <v>32.463000000000001</v>
      </c>
      <c r="CX395" s="120">
        <f>(CW395+CY395)/2</f>
        <v>32.969750000000005</v>
      </c>
      <c r="CY395" s="120">
        <f>(CY394+CY396)/2</f>
        <v>33.476500000000001</v>
      </c>
      <c r="CZ395" s="120">
        <f>(CY395+DA395)/2</f>
        <v>33.95675</v>
      </c>
      <c r="DA395" s="120">
        <f>(DA394+DA396)/2</f>
        <v>34.436999999999998</v>
      </c>
      <c r="DB395" s="120">
        <f>(DA395+DC395)/2</f>
        <v>34.951000000000001</v>
      </c>
      <c r="DC395" s="120">
        <f>(DC394+DC396)/2</f>
        <v>35.465000000000003</v>
      </c>
      <c r="DD395" s="120">
        <f>(DC395+DE395)/2</f>
        <v>35.971500000000006</v>
      </c>
      <c r="DE395" s="120">
        <f>(DE394+DE396)/2</f>
        <v>36.478000000000002</v>
      </c>
      <c r="DF395" s="120">
        <f>(DE395+DG395)/2</f>
        <v>36.958500000000001</v>
      </c>
      <c r="DG395" s="122">
        <f>(DG394+DG396)/2</f>
        <v>37.439</v>
      </c>
    </row>
    <row r="396" spans="54:111" ht="15" customHeight="1" x14ac:dyDescent="0.2">
      <c r="BB396" s="28">
        <v>24</v>
      </c>
      <c r="BC396" s="121">
        <v>6.665</v>
      </c>
      <c r="BD396" s="121">
        <v>7.4510000000000005</v>
      </c>
      <c r="BE396" s="121">
        <v>8.2370000000000001</v>
      </c>
      <c r="BF396" s="121">
        <v>8.9559999999999995</v>
      </c>
      <c r="BG396" s="121">
        <v>9.6750000000000007</v>
      </c>
      <c r="BH396" s="121">
        <v>10.324999999999999</v>
      </c>
      <c r="BI396" s="121">
        <v>10.975</v>
      </c>
      <c r="BJ396" s="121">
        <v>11.618500000000001</v>
      </c>
      <c r="BK396" s="121">
        <v>12.262</v>
      </c>
      <c r="BL396" s="121">
        <v>12.874500000000001</v>
      </c>
      <c r="BM396" s="121">
        <v>13.487</v>
      </c>
      <c r="BN396" s="121">
        <v>14.115</v>
      </c>
      <c r="BO396" s="121">
        <v>14.743</v>
      </c>
      <c r="BP396" s="121">
        <v>15.356</v>
      </c>
      <c r="BQ396" s="121">
        <v>15.968999999999999</v>
      </c>
      <c r="BR396" s="121">
        <v>16.536000000000001</v>
      </c>
      <c r="BS396" s="121">
        <v>17.103000000000002</v>
      </c>
      <c r="BT396" s="121">
        <v>17.678000000000001</v>
      </c>
      <c r="BU396" s="121">
        <v>18.253</v>
      </c>
      <c r="BV396" s="121">
        <f t="array" ref="BV396:BV432">TRANSPOSE(BW395:DG395)</f>
        <v>18.820500000000003</v>
      </c>
      <c r="BW396" s="158">
        <v>19.388000000000002</v>
      </c>
      <c r="BX396" s="120">
        <f>(BY396+BW396)/2</f>
        <v>19.984999999999999</v>
      </c>
      <c r="BY396" s="158">
        <v>20.582000000000001</v>
      </c>
      <c r="BZ396" s="120">
        <f>(CA396+BY396)/2</f>
        <v>21.157499999999999</v>
      </c>
      <c r="CA396" s="158">
        <v>21.733000000000001</v>
      </c>
      <c r="CB396" s="120">
        <f>(CC396+CA396)/2</f>
        <v>22.262</v>
      </c>
      <c r="CC396" s="158">
        <v>22.791</v>
      </c>
      <c r="CD396" s="120">
        <f>(CE396+CC396)/2</f>
        <v>23.328499999999998</v>
      </c>
      <c r="CE396" s="158">
        <v>23.866</v>
      </c>
      <c r="CF396" s="120">
        <f>(CG396+CE396)/2</f>
        <v>24.433500000000002</v>
      </c>
      <c r="CG396" s="158">
        <v>25.001000000000001</v>
      </c>
      <c r="CH396" s="120">
        <f>(CI396+CG396)/2</f>
        <v>25.560500000000001</v>
      </c>
      <c r="CI396" s="158">
        <v>26.12</v>
      </c>
      <c r="CJ396" s="120">
        <f>(CK396+CI396)/2</f>
        <v>26.65</v>
      </c>
      <c r="CK396" s="158">
        <v>27.18</v>
      </c>
      <c r="CL396" s="120">
        <f>(CM396+CK396)/2</f>
        <v>27.716999999999999</v>
      </c>
      <c r="CM396" s="158">
        <v>28.254000000000001</v>
      </c>
      <c r="CN396" s="120">
        <f>(CO396+CM396)/2</f>
        <v>28.746000000000002</v>
      </c>
      <c r="CO396" s="158">
        <v>29.238</v>
      </c>
      <c r="CP396" s="120">
        <f>(CQ396+CO396)/2</f>
        <v>29.775500000000001</v>
      </c>
      <c r="CQ396" s="158">
        <v>30.312999999999999</v>
      </c>
      <c r="CR396" s="120">
        <f>(CS396+CQ396)/2</f>
        <v>30.8645</v>
      </c>
      <c r="CS396" s="158">
        <v>31.416</v>
      </c>
      <c r="CT396" s="120">
        <f>(CU396+CS396)/2</f>
        <v>31.915999999999997</v>
      </c>
      <c r="CU396" s="158">
        <v>32.415999999999997</v>
      </c>
      <c r="CV396" s="120">
        <f>(CW396+CU396)/2</f>
        <v>32.945499999999996</v>
      </c>
      <c r="CW396" s="158">
        <v>33.475000000000001</v>
      </c>
      <c r="CX396" s="120">
        <f>(CY396+CW396)/2</f>
        <v>34.012</v>
      </c>
      <c r="CY396" s="158">
        <v>34.548999999999999</v>
      </c>
      <c r="CZ396" s="120">
        <f>(DA396+CY396)/2</f>
        <v>35.040999999999997</v>
      </c>
      <c r="DA396" s="158">
        <v>35.533000000000001</v>
      </c>
      <c r="DB396" s="120">
        <f>(DC396+DA396)/2</f>
        <v>36.054500000000004</v>
      </c>
      <c r="DC396" s="158">
        <v>36.576000000000001</v>
      </c>
      <c r="DD396" s="120">
        <f>(DE396+DC396)/2</f>
        <v>37.113500000000002</v>
      </c>
      <c r="DE396" s="158">
        <v>37.651000000000003</v>
      </c>
      <c r="DF396" s="120">
        <f>(DG396+DE396)/2</f>
        <v>38.143000000000001</v>
      </c>
      <c r="DG396" s="159">
        <v>38.634999999999998</v>
      </c>
    </row>
    <row r="397" spans="54:111" ht="15" customHeight="1" x14ac:dyDescent="0.2">
      <c r="BB397" s="28">
        <v>25</v>
      </c>
      <c r="BC397" s="121">
        <v>6.8345000000000002</v>
      </c>
      <c r="BD397" s="121">
        <v>7.6400000000000006</v>
      </c>
      <c r="BE397" s="121">
        <v>8.4454999999999991</v>
      </c>
      <c r="BF397" s="121">
        <v>9.1907499999999995</v>
      </c>
      <c r="BG397" s="121">
        <v>9.9359999999999999</v>
      </c>
      <c r="BH397" s="121">
        <v>10.613249999999999</v>
      </c>
      <c r="BI397" s="121">
        <v>11.2905</v>
      </c>
      <c r="BJ397" s="121">
        <v>11.96025</v>
      </c>
      <c r="BK397" s="121">
        <v>12.629999999999999</v>
      </c>
      <c r="BL397" s="121">
        <v>13.254250000000001</v>
      </c>
      <c r="BM397" s="121">
        <v>13.878499999999999</v>
      </c>
      <c r="BN397" s="121">
        <v>14.517749999999999</v>
      </c>
      <c r="BO397" s="121">
        <v>15.157</v>
      </c>
      <c r="BP397" s="121">
        <v>15.781500000000001</v>
      </c>
      <c r="BQ397" s="121">
        <v>16.405999999999999</v>
      </c>
      <c r="BR397" s="121">
        <v>17.018750000000001</v>
      </c>
      <c r="BS397" s="121">
        <v>17.631500000000003</v>
      </c>
      <c r="BT397" s="121">
        <v>18.21425</v>
      </c>
      <c r="BU397" s="121">
        <v>18.797000000000001</v>
      </c>
      <c r="BV397" s="121">
        <v>19.391000000000002</v>
      </c>
      <c r="BW397" s="121">
        <f t="array" ref="BW397:BW432">TRANSPOSE(BX396:DG396)</f>
        <v>19.984999999999999</v>
      </c>
      <c r="BX397" s="120">
        <f>(BW397+BY397)/2</f>
        <v>20.582750000000001</v>
      </c>
      <c r="BY397" s="120">
        <f>(BY396+BY398)/2</f>
        <v>21.180500000000002</v>
      </c>
      <c r="BZ397" s="120">
        <f>(BY397+CA397)/2</f>
        <v>21.774750000000001</v>
      </c>
      <c r="CA397" s="120">
        <f>(CA396+CA398)/2</f>
        <v>22.369</v>
      </c>
      <c r="CB397" s="120">
        <f>(CA397+CC397)/2</f>
        <v>22.91375</v>
      </c>
      <c r="CC397" s="120">
        <f>(CC396+CC398)/2</f>
        <v>23.458500000000001</v>
      </c>
      <c r="CD397" s="120">
        <f>(CC397+CE397)/2</f>
        <v>24.026499999999999</v>
      </c>
      <c r="CE397" s="120">
        <f>(CE396+CE398)/2</f>
        <v>24.5945</v>
      </c>
      <c r="CF397" s="120">
        <f>(CE397+CG397)/2</f>
        <v>25.165750000000003</v>
      </c>
      <c r="CG397" s="120">
        <f>(CG396+CG398)/2</f>
        <v>25.737000000000002</v>
      </c>
      <c r="CH397" s="120">
        <f>(CG397+CI397)/2</f>
        <v>26.297000000000001</v>
      </c>
      <c r="CI397" s="120">
        <f>(CI396+CI398)/2</f>
        <v>26.856999999999999</v>
      </c>
      <c r="CJ397" s="120">
        <f>(CI397+CK397)/2</f>
        <v>27.413499999999999</v>
      </c>
      <c r="CK397" s="120">
        <f>(CK396+CK398)/2</f>
        <v>27.97</v>
      </c>
      <c r="CL397" s="120">
        <f>(CK397+CM397)/2</f>
        <v>28.514749999999999</v>
      </c>
      <c r="CM397" s="120">
        <f>(CM396+CM398)/2</f>
        <v>29.0595</v>
      </c>
      <c r="CN397" s="120">
        <f>(CM397+CO397)/2</f>
        <v>29.597000000000001</v>
      </c>
      <c r="CO397" s="120">
        <f>(CO396+CO398)/2</f>
        <v>30.134499999999999</v>
      </c>
      <c r="CP397" s="120">
        <f>(CO397+CQ397)/2</f>
        <v>30.683500000000002</v>
      </c>
      <c r="CQ397" s="120">
        <f>(CQ396+CQ398)/2</f>
        <v>31.232500000000002</v>
      </c>
      <c r="CR397" s="120">
        <f>(CQ397+CS397)/2</f>
        <v>31.795750000000002</v>
      </c>
      <c r="CS397" s="120">
        <f>(CS396+CS398)/2</f>
        <v>32.359000000000002</v>
      </c>
      <c r="CT397" s="120">
        <f>(CS397+CU397)/2</f>
        <v>32.889499999999998</v>
      </c>
      <c r="CU397" s="120">
        <f>(CU396+CU398)/2</f>
        <v>33.42</v>
      </c>
      <c r="CV397" s="120">
        <f>(CU397+CW397)/2</f>
        <v>33.957000000000001</v>
      </c>
      <c r="CW397" s="120">
        <f>(CW396+CW398)/2</f>
        <v>34.494</v>
      </c>
      <c r="CX397" s="120">
        <f>(CW397+CY397)/2</f>
        <v>35.039249999999996</v>
      </c>
      <c r="CY397" s="120">
        <f>(CY396+CY398)/2</f>
        <v>35.584499999999998</v>
      </c>
      <c r="CZ397" s="120">
        <f>(CY397+DA397)/2</f>
        <v>36.10275</v>
      </c>
      <c r="DA397" s="120">
        <f>(DA396+DA398)/2</f>
        <v>36.621000000000002</v>
      </c>
      <c r="DB397" s="120">
        <f>(DA397+DC397)/2</f>
        <v>37.162000000000006</v>
      </c>
      <c r="DC397" s="120">
        <f>(DC396+DC398)/2</f>
        <v>37.703000000000003</v>
      </c>
      <c r="DD397" s="120">
        <f>(DC397+DE397)/2</f>
        <v>38.240250000000003</v>
      </c>
      <c r="DE397" s="120">
        <f>(DE396+DE398)/2</f>
        <v>38.777500000000003</v>
      </c>
      <c r="DF397" s="120">
        <f>(DE397+DG397)/2</f>
        <v>39.304000000000002</v>
      </c>
      <c r="DG397" s="122">
        <f>(DG396+DG398)/2</f>
        <v>39.830500000000001</v>
      </c>
    </row>
    <row r="398" spans="54:111" ht="15" customHeight="1" x14ac:dyDescent="0.2">
      <c r="BB398" s="28">
        <v>26</v>
      </c>
      <c r="BC398" s="121">
        <v>7.0039999999999996</v>
      </c>
      <c r="BD398" s="121">
        <v>7.8289999999999997</v>
      </c>
      <c r="BE398" s="121">
        <v>8.6539999999999999</v>
      </c>
      <c r="BF398" s="121">
        <v>9.4254999999999995</v>
      </c>
      <c r="BG398" s="121">
        <v>10.196999999999999</v>
      </c>
      <c r="BH398" s="121">
        <v>10.901499999999999</v>
      </c>
      <c r="BI398" s="121">
        <v>11.606</v>
      </c>
      <c r="BJ398" s="121">
        <v>12.302</v>
      </c>
      <c r="BK398" s="121">
        <v>12.997999999999999</v>
      </c>
      <c r="BL398" s="121">
        <v>13.634</v>
      </c>
      <c r="BM398" s="121">
        <v>14.27</v>
      </c>
      <c r="BN398" s="121">
        <v>14.920500000000001</v>
      </c>
      <c r="BO398" s="121">
        <v>15.571</v>
      </c>
      <c r="BP398" s="121">
        <v>16.207000000000001</v>
      </c>
      <c r="BQ398" s="121">
        <v>16.843</v>
      </c>
      <c r="BR398" s="121">
        <v>17.5015</v>
      </c>
      <c r="BS398" s="121">
        <v>18.16</v>
      </c>
      <c r="BT398" s="121">
        <v>18.750500000000002</v>
      </c>
      <c r="BU398" s="121">
        <v>19.341000000000001</v>
      </c>
      <c r="BV398" s="121">
        <v>19.961500000000001</v>
      </c>
      <c r="BW398" s="121">
        <v>20.582000000000001</v>
      </c>
      <c r="BX398" s="121">
        <f t="array" ref="BX398:BX432">TRANSPOSE(BY397:DG397)</f>
        <v>21.180500000000002</v>
      </c>
      <c r="BY398" s="158">
        <v>21.779</v>
      </c>
      <c r="BZ398" s="120">
        <f>(CA398+BY398)/2</f>
        <v>22.391999999999999</v>
      </c>
      <c r="CA398" s="158">
        <v>23.004999999999999</v>
      </c>
      <c r="CB398" s="120">
        <f>(CC398+CA398)/2</f>
        <v>23.5655</v>
      </c>
      <c r="CC398" s="158">
        <v>24.126000000000001</v>
      </c>
      <c r="CD398" s="120">
        <f>(CE398+CC398)/2</f>
        <v>24.724499999999999</v>
      </c>
      <c r="CE398" s="158">
        <v>25.323</v>
      </c>
      <c r="CF398" s="120">
        <f>(CG398+CE398)/2</f>
        <v>25.898</v>
      </c>
      <c r="CG398" s="158">
        <v>26.472999999999999</v>
      </c>
      <c r="CH398" s="120">
        <f>(CI398+CG398)/2</f>
        <v>27.0335</v>
      </c>
      <c r="CI398" s="158">
        <v>27.594000000000001</v>
      </c>
      <c r="CJ398" s="120">
        <f>(CK398+CI398)/2</f>
        <v>28.177</v>
      </c>
      <c r="CK398" s="158">
        <v>28.76</v>
      </c>
      <c r="CL398" s="120">
        <f>(CM398+CK398)/2</f>
        <v>29.3125</v>
      </c>
      <c r="CM398" s="158">
        <v>29.864999999999998</v>
      </c>
      <c r="CN398" s="120">
        <f>(CO398+CM398)/2</f>
        <v>30.448</v>
      </c>
      <c r="CO398" s="158">
        <v>31.030999999999999</v>
      </c>
      <c r="CP398" s="120">
        <f>(CQ398+CO398)/2</f>
        <v>31.5915</v>
      </c>
      <c r="CQ398" s="158">
        <v>32.152000000000001</v>
      </c>
      <c r="CR398" s="120">
        <f>(CS398+CQ398)/2</f>
        <v>32.727000000000004</v>
      </c>
      <c r="CS398" s="158">
        <v>33.302</v>
      </c>
      <c r="CT398" s="120">
        <f>(CU398+CS398)/2</f>
        <v>33.863</v>
      </c>
      <c r="CU398" s="158">
        <v>34.423999999999999</v>
      </c>
      <c r="CV398" s="120">
        <f>(CW398+CU398)/2</f>
        <v>34.968499999999999</v>
      </c>
      <c r="CW398" s="158">
        <v>35.512999999999998</v>
      </c>
      <c r="CX398" s="120">
        <f>(CY398+CW398)/2</f>
        <v>36.066499999999998</v>
      </c>
      <c r="CY398" s="158">
        <v>36.619999999999997</v>
      </c>
      <c r="CZ398" s="120">
        <f>(DA398+CY398)/2</f>
        <v>37.164500000000004</v>
      </c>
      <c r="DA398" s="158">
        <v>37.709000000000003</v>
      </c>
      <c r="DB398" s="120">
        <f>(DC398+DA398)/2</f>
        <v>38.269500000000001</v>
      </c>
      <c r="DC398" s="158">
        <v>38.83</v>
      </c>
      <c r="DD398" s="120">
        <f>(DE398+DC398)/2</f>
        <v>39.367000000000004</v>
      </c>
      <c r="DE398" s="158">
        <v>39.904000000000003</v>
      </c>
      <c r="DF398" s="120">
        <f>(DG398+DE398)/2</f>
        <v>40.465000000000003</v>
      </c>
      <c r="DG398" s="159">
        <v>41.026000000000003</v>
      </c>
    </row>
    <row r="399" spans="54:111" ht="15" customHeight="1" x14ac:dyDescent="0.2">
      <c r="BB399" s="28">
        <v>27</v>
      </c>
      <c r="BC399" s="121">
        <v>7.1969999999999992</v>
      </c>
      <c r="BD399" s="121">
        <v>8.0407499999999992</v>
      </c>
      <c r="BE399" s="121">
        <v>8.8844999999999992</v>
      </c>
      <c r="BF399" s="121">
        <v>9.6677499999999998</v>
      </c>
      <c r="BG399" s="121">
        <v>10.451000000000001</v>
      </c>
      <c r="BH399" s="121">
        <v>11.181999999999999</v>
      </c>
      <c r="BI399" s="121">
        <v>11.913</v>
      </c>
      <c r="BJ399" s="121">
        <v>12.609249999999999</v>
      </c>
      <c r="BK399" s="121">
        <v>13.305499999999999</v>
      </c>
      <c r="BL399" s="121">
        <v>13.983000000000001</v>
      </c>
      <c r="BM399" s="121">
        <v>14.660499999999999</v>
      </c>
      <c r="BN399" s="121">
        <v>15.323</v>
      </c>
      <c r="BO399" s="121">
        <v>15.985499999999998</v>
      </c>
      <c r="BP399" s="121">
        <v>16.64425</v>
      </c>
      <c r="BQ399" s="121">
        <v>17.303000000000001</v>
      </c>
      <c r="BR399" s="121">
        <v>17.962</v>
      </c>
      <c r="BS399" s="121">
        <v>18.621000000000002</v>
      </c>
      <c r="BT399" s="121">
        <v>19.238</v>
      </c>
      <c r="BU399" s="121">
        <v>19.855</v>
      </c>
      <c r="BV399" s="121">
        <v>20.506250000000001</v>
      </c>
      <c r="BW399" s="121">
        <v>21.157499999999999</v>
      </c>
      <c r="BX399" s="121">
        <v>21.774750000000001</v>
      </c>
      <c r="BY399" s="121">
        <f t="array" ref="BY399:BY432">TRANSPOSE(BZ398:DG398)</f>
        <v>22.391999999999999</v>
      </c>
      <c r="BZ399" s="120">
        <f>(BY399+CA399)/2</f>
        <v>22.99025</v>
      </c>
      <c r="CA399" s="120">
        <f>(CA398+CA400)/2</f>
        <v>23.5885</v>
      </c>
      <c r="CB399" s="120">
        <f>(CA399+CC399)/2</f>
        <v>24.191000000000003</v>
      </c>
      <c r="CC399" s="120">
        <f>(CC398+CC400)/2</f>
        <v>24.793500000000002</v>
      </c>
      <c r="CD399" s="120">
        <f>(CC399+CE399)/2</f>
        <v>25.414250000000003</v>
      </c>
      <c r="CE399" s="120">
        <f>(CE398+CE400)/2</f>
        <v>26.035</v>
      </c>
      <c r="CF399" s="120">
        <f>(CE399+CG399)/2</f>
        <v>26.610749999999999</v>
      </c>
      <c r="CG399" s="120">
        <f>(CG398+CG400)/2</f>
        <v>27.186499999999999</v>
      </c>
      <c r="CH399" s="120">
        <f>(CG399+CI399)/2</f>
        <v>27.77</v>
      </c>
      <c r="CI399" s="120">
        <f>(CI398+CI400)/2</f>
        <v>28.3535</v>
      </c>
      <c r="CJ399" s="120">
        <f>(CI399+CK399)/2</f>
        <v>28.966749999999998</v>
      </c>
      <c r="CK399" s="120">
        <f>(CK398+CK400)/2</f>
        <v>29.58</v>
      </c>
      <c r="CL399" s="120">
        <f>(CK399+CM399)/2</f>
        <v>30.158999999999999</v>
      </c>
      <c r="CM399" s="120">
        <f>(CM398+CM400)/2</f>
        <v>30.738</v>
      </c>
      <c r="CN399" s="120">
        <f>(CM399+CO399)/2</f>
        <v>31.3215</v>
      </c>
      <c r="CO399" s="120">
        <f>(CO398+CO400)/2</f>
        <v>31.905000000000001</v>
      </c>
      <c r="CP399" s="120">
        <f>(CO399+CQ399)/2</f>
        <v>32.484749999999998</v>
      </c>
      <c r="CQ399" s="120">
        <f>(CQ398+CQ400)/2</f>
        <v>33.064499999999995</v>
      </c>
      <c r="CR399" s="120">
        <f>(CQ399+CS399)/2</f>
        <v>33.65475</v>
      </c>
      <c r="CS399" s="120">
        <f>(CS398+CS400)/2</f>
        <v>34.245000000000005</v>
      </c>
      <c r="CT399" s="120">
        <f>(CS399+CU399)/2</f>
        <v>34.8095</v>
      </c>
      <c r="CU399" s="120">
        <f>(CU398+CU400)/2</f>
        <v>35.373999999999995</v>
      </c>
      <c r="CV399" s="120">
        <f>(CU399+CW399)/2</f>
        <v>35.938499999999998</v>
      </c>
      <c r="CW399" s="120">
        <f>(CW398+CW400)/2</f>
        <v>36.503</v>
      </c>
      <c r="CX399" s="120">
        <f>(CW399+CY399)/2</f>
        <v>37.082499999999996</v>
      </c>
      <c r="CY399" s="120">
        <f>(CY398+CY400)/2</f>
        <v>37.661999999999999</v>
      </c>
      <c r="CZ399" s="120">
        <f>(CY399+DA399)/2</f>
        <v>38.233500000000006</v>
      </c>
      <c r="DA399" s="120">
        <f>(DA398+DA400)/2</f>
        <v>38.805000000000007</v>
      </c>
      <c r="DB399" s="120">
        <f>(DA399+DC399)/2</f>
        <v>39.369500000000002</v>
      </c>
      <c r="DC399" s="120">
        <f>(DC398+DC400)/2</f>
        <v>39.933999999999997</v>
      </c>
      <c r="DD399" s="120">
        <f>(DC399+DE399)/2</f>
        <v>40.494500000000002</v>
      </c>
      <c r="DE399" s="120">
        <f>(DE398+DE400)/2</f>
        <v>41.055000000000007</v>
      </c>
      <c r="DF399" s="120">
        <f>(DE399+DG399)/2</f>
        <v>41.619250000000008</v>
      </c>
      <c r="DG399" s="122">
        <f>(DG398+DG400)/2</f>
        <v>42.183500000000002</v>
      </c>
    </row>
    <row r="400" spans="54:111" ht="15" customHeight="1" x14ac:dyDescent="0.2">
      <c r="BB400" s="28">
        <v>28</v>
      </c>
      <c r="BC400" s="121">
        <v>7.39</v>
      </c>
      <c r="BD400" s="121">
        <v>8.2524999999999995</v>
      </c>
      <c r="BE400" s="121">
        <v>9.1150000000000002</v>
      </c>
      <c r="BF400" s="121">
        <v>9.91</v>
      </c>
      <c r="BG400" s="121">
        <v>10.705</v>
      </c>
      <c r="BH400" s="121">
        <v>11.4625</v>
      </c>
      <c r="BI400" s="121">
        <v>12.22</v>
      </c>
      <c r="BJ400" s="121">
        <v>12.916499999999999</v>
      </c>
      <c r="BK400" s="121">
        <v>13.613</v>
      </c>
      <c r="BL400" s="121">
        <v>14.332000000000001</v>
      </c>
      <c r="BM400" s="121">
        <v>15.051</v>
      </c>
      <c r="BN400" s="121">
        <v>15.7255</v>
      </c>
      <c r="BO400" s="121">
        <v>16.399999999999999</v>
      </c>
      <c r="BP400" s="121">
        <v>17.081499999999998</v>
      </c>
      <c r="BQ400" s="121">
        <v>17.763000000000002</v>
      </c>
      <c r="BR400" s="121">
        <v>18.422499999999999</v>
      </c>
      <c r="BS400" s="121">
        <v>19.082000000000001</v>
      </c>
      <c r="BT400" s="121">
        <v>19.7255</v>
      </c>
      <c r="BU400" s="121">
        <v>20.369</v>
      </c>
      <c r="BV400" s="121">
        <v>21.051000000000002</v>
      </c>
      <c r="BW400" s="121">
        <v>21.733000000000001</v>
      </c>
      <c r="BX400" s="121">
        <v>22.369</v>
      </c>
      <c r="BY400" s="121">
        <v>23.004999999999999</v>
      </c>
      <c r="BZ400" s="121">
        <f t="array" ref="BZ400:BZ432">TRANSPOSE(CA399:DG399)</f>
        <v>23.5885</v>
      </c>
      <c r="CA400" s="158">
        <v>24.172000000000001</v>
      </c>
      <c r="CB400" s="120">
        <f>(CC400+CA400)/2</f>
        <v>24.816499999999998</v>
      </c>
      <c r="CC400" s="158">
        <v>25.460999999999999</v>
      </c>
      <c r="CD400" s="120">
        <f>(CE400+CC400)/2</f>
        <v>26.103999999999999</v>
      </c>
      <c r="CE400" s="158">
        <v>26.747</v>
      </c>
      <c r="CF400" s="120">
        <f>(CG400+CE400)/2</f>
        <v>27.323499999999999</v>
      </c>
      <c r="CG400" s="158">
        <v>27.9</v>
      </c>
      <c r="CH400" s="120">
        <f>(CI400+CG400)/2</f>
        <v>28.506499999999999</v>
      </c>
      <c r="CI400" s="158">
        <v>29.113</v>
      </c>
      <c r="CJ400" s="120">
        <f>(CK400+CI400)/2</f>
        <v>29.756499999999999</v>
      </c>
      <c r="CK400" s="158">
        <v>30.4</v>
      </c>
      <c r="CL400" s="120">
        <f>(CM400+CK400)/2</f>
        <v>31.005499999999998</v>
      </c>
      <c r="CM400" s="158">
        <v>31.611000000000001</v>
      </c>
      <c r="CN400" s="120">
        <f>(CO400+CM400)/2</f>
        <v>32.195</v>
      </c>
      <c r="CO400" s="158">
        <v>32.779000000000003</v>
      </c>
      <c r="CP400" s="120">
        <f>(CQ400+CO400)/2</f>
        <v>33.378</v>
      </c>
      <c r="CQ400" s="158">
        <v>33.976999999999997</v>
      </c>
      <c r="CR400" s="120">
        <f>(CS400+CQ400)/2</f>
        <v>34.582499999999996</v>
      </c>
      <c r="CS400" s="158">
        <v>35.188000000000002</v>
      </c>
      <c r="CT400" s="120">
        <f>(CU400+CS400)/2</f>
        <v>35.756</v>
      </c>
      <c r="CU400" s="158">
        <v>36.323999999999998</v>
      </c>
      <c r="CV400" s="120">
        <f>(CW400+CU400)/2</f>
        <v>36.908500000000004</v>
      </c>
      <c r="CW400" s="158">
        <v>37.493000000000002</v>
      </c>
      <c r="CX400" s="120">
        <f>(CY400+CW400)/2</f>
        <v>38.098500000000001</v>
      </c>
      <c r="CY400" s="158">
        <v>38.704000000000001</v>
      </c>
      <c r="CZ400" s="120">
        <f>(DA400+CY400)/2</f>
        <v>39.302500000000002</v>
      </c>
      <c r="DA400" s="158">
        <v>39.901000000000003</v>
      </c>
      <c r="DB400" s="120">
        <f>(DC400+DA400)/2</f>
        <v>40.469499999999996</v>
      </c>
      <c r="DC400" s="158">
        <v>41.037999999999997</v>
      </c>
      <c r="DD400" s="120">
        <f>(DE400+DC400)/2</f>
        <v>41.622</v>
      </c>
      <c r="DE400" s="158">
        <v>42.206000000000003</v>
      </c>
      <c r="DF400" s="120">
        <f>(DG400+DE400)/2</f>
        <v>42.773499999999999</v>
      </c>
      <c r="DG400" s="159">
        <v>43.341000000000001</v>
      </c>
    </row>
    <row r="401" spans="54:111" ht="15" customHeight="1" x14ac:dyDescent="0.2">
      <c r="BB401" s="28">
        <v>29</v>
      </c>
      <c r="BC401" s="121">
        <v>7.5969999999999995</v>
      </c>
      <c r="BD401" s="121">
        <v>8.4749999999999996</v>
      </c>
      <c r="BE401" s="121">
        <v>9.3529999999999998</v>
      </c>
      <c r="BF401" s="121">
        <v>10.1595</v>
      </c>
      <c r="BG401" s="121">
        <v>10.966000000000001</v>
      </c>
      <c r="BH401" s="121">
        <v>11.734999999999999</v>
      </c>
      <c r="BI401" s="121">
        <v>12.504000000000001</v>
      </c>
      <c r="BJ401" s="121">
        <v>13.2425</v>
      </c>
      <c r="BK401" s="121">
        <v>13.981</v>
      </c>
      <c r="BL401" s="121">
        <v>14.708</v>
      </c>
      <c r="BM401" s="121">
        <v>15.435</v>
      </c>
      <c r="BN401" s="121">
        <v>16.124749999999999</v>
      </c>
      <c r="BO401" s="121">
        <v>16.814499999999999</v>
      </c>
      <c r="BP401" s="121">
        <v>17.507749999999998</v>
      </c>
      <c r="BQ401" s="121">
        <v>18.201000000000001</v>
      </c>
      <c r="BR401" s="121">
        <v>18.882999999999999</v>
      </c>
      <c r="BS401" s="121">
        <v>19.564999999999998</v>
      </c>
      <c r="BT401" s="121">
        <v>20.238999999999997</v>
      </c>
      <c r="BU401" s="121">
        <v>20.913</v>
      </c>
      <c r="BV401" s="121">
        <v>21.587500000000002</v>
      </c>
      <c r="BW401" s="121">
        <v>22.262</v>
      </c>
      <c r="BX401" s="121">
        <v>22.91375</v>
      </c>
      <c r="BY401" s="121">
        <v>23.5655</v>
      </c>
      <c r="BZ401" s="121">
        <v>24.191000000000003</v>
      </c>
      <c r="CA401" s="121">
        <f t="array" ref="CA401:CA432">TRANSPOSE(CB400:DG400)</f>
        <v>24.816499999999998</v>
      </c>
      <c r="CB401" s="120">
        <f>(CA401+CC401)/2</f>
        <v>25.471999999999998</v>
      </c>
      <c r="CC401" s="120">
        <f>(CC400+CC402)/2</f>
        <v>26.127499999999998</v>
      </c>
      <c r="CD401" s="120">
        <f>(CC401+CE401)/2</f>
        <v>26.782499999999999</v>
      </c>
      <c r="CE401" s="120">
        <f>(CE400+CE402)/2</f>
        <v>27.4375</v>
      </c>
      <c r="CF401" s="120">
        <f>(CE401+CG401)/2</f>
        <v>28.040500000000002</v>
      </c>
      <c r="CG401" s="120">
        <f>(CG400+CG402)/2</f>
        <v>28.6435</v>
      </c>
      <c r="CH401" s="120">
        <f>(CG401+CI401)/2</f>
        <v>29.280250000000002</v>
      </c>
      <c r="CI401" s="120">
        <f>(CI400+CI402)/2</f>
        <v>29.917000000000002</v>
      </c>
      <c r="CJ401" s="120">
        <f>(CI401+CK401)/2</f>
        <v>30.54975</v>
      </c>
      <c r="CK401" s="120">
        <f>(CK400+CK402)/2</f>
        <v>31.182499999999997</v>
      </c>
      <c r="CL401" s="120">
        <f>(CK401+CM401)/2</f>
        <v>31.79975</v>
      </c>
      <c r="CM401" s="120">
        <f>(CM400+CM402)/2</f>
        <v>32.417000000000002</v>
      </c>
      <c r="CN401" s="120">
        <f>(CM401+CO401)/2</f>
        <v>33.02375</v>
      </c>
      <c r="CO401" s="120">
        <f>(CO400+CO402)/2</f>
        <v>33.630499999999998</v>
      </c>
      <c r="CP401" s="120">
        <f>(CO401+CQ401)/2</f>
        <v>34.244500000000002</v>
      </c>
      <c r="CQ401" s="120">
        <f>(CQ400+CQ402)/2</f>
        <v>34.858499999999999</v>
      </c>
      <c r="CR401" s="120">
        <f>(CQ401+CS401)/2</f>
        <v>35.475999999999999</v>
      </c>
      <c r="CS401" s="120">
        <f>(CS400+CS402)/2</f>
        <v>36.093500000000006</v>
      </c>
      <c r="CT401" s="120">
        <f>(CS401+CU401)/2</f>
        <v>36.692</v>
      </c>
      <c r="CU401" s="120">
        <f>(CU400+CU402)/2</f>
        <v>37.290499999999994</v>
      </c>
      <c r="CV401" s="120">
        <f>(CU401+CW401)/2</f>
        <v>37.89725</v>
      </c>
      <c r="CW401" s="120">
        <f>(CW400+CW402)/2</f>
        <v>38.504000000000005</v>
      </c>
      <c r="CX401" s="120">
        <f>(CW401+CY401)/2</f>
        <v>39.121500000000005</v>
      </c>
      <c r="CY401" s="120">
        <f>(CY400+CY402)/2</f>
        <v>39.739000000000004</v>
      </c>
      <c r="CZ401" s="120">
        <f>(CY401+DA401)/2</f>
        <v>40.334000000000003</v>
      </c>
      <c r="DA401" s="120">
        <f>(DA400+DA402)/2</f>
        <v>40.929000000000002</v>
      </c>
      <c r="DB401" s="120">
        <f>(DA401+DC401)/2</f>
        <v>41.527749999999997</v>
      </c>
      <c r="DC401" s="120">
        <f>(DC400+DC402)/2</f>
        <v>42.1265</v>
      </c>
      <c r="DD401" s="120">
        <f>(DC401+DE401)/2</f>
        <v>42.733249999999998</v>
      </c>
      <c r="DE401" s="120">
        <f>(DE400+DE402)/2</f>
        <v>43.34</v>
      </c>
      <c r="DF401" s="120">
        <f>(DE401+DG401)/2</f>
        <v>43.919750000000001</v>
      </c>
      <c r="DG401" s="122">
        <f>(DG400+DG402)/2</f>
        <v>44.499499999999998</v>
      </c>
    </row>
    <row r="402" spans="54:111" ht="15" customHeight="1" x14ac:dyDescent="0.2">
      <c r="BB402" s="28">
        <v>30</v>
      </c>
      <c r="BC402" s="121">
        <v>7.8040000000000003</v>
      </c>
      <c r="BD402" s="121">
        <v>8.6974999999999998</v>
      </c>
      <c r="BE402" s="121">
        <v>9.5909999999999993</v>
      </c>
      <c r="BF402" s="121">
        <v>10.408999999999999</v>
      </c>
      <c r="BG402" s="121">
        <v>11.227</v>
      </c>
      <c r="BH402" s="121">
        <v>12.0075</v>
      </c>
      <c r="BI402" s="121">
        <v>12.788</v>
      </c>
      <c r="BJ402" s="121">
        <v>13.5685</v>
      </c>
      <c r="BK402" s="121">
        <v>14.349</v>
      </c>
      <c r="BL402" s="121">
        <v>15.084</v>
      </c>
      <c r="BM402" s="121">
        <v>15.819000000000001</v>
      </c>
      <c r="BN402" s="121">
        <v>16.524000000000001</v>
      </c>
      <c r="BO402" s="121">
        <v>17.228999999999999</v>
      </c>
      <c r="BP402" s="121">
        <v>17.933999999999997</v>
      </c>
      <c r="BQ402" s="121">
        <v>18.638999999999999</v>
      </c>
      <c r="BR402" s="121">
        <v>19.343499999999999</v>
      </c>
      <c r="BS402" s="121">
        <v>20.047999999999998</v>
      </c>
      <c r="BT402" s="121">
        <v>20.752499999999998</v>
      </c>
      <c r="BU402" s="121">
        <v>21.457000000000001</v>
      </c>
      <c r="BV402" s="121">
        <v>22.124000000000002</v>
      </c>
      <c r="BW402" s="121">
        <v>22.791</v>
      </c>
      <c r="BX402" s="121">
        <v>23.458500000000001</v>
      </c>
      <c r="BY402" s="121">
        <v>24.126000000000001</v>
      </c>
      <c r="BZ402" s="121">
        <v>24.793500000000002</v>
      </c>
      <c r="CA402" s="121">
        <v>25.460999999999999</v>
      </c>
      <c r="CB402" s="121">
        <f t="array" ref="CB402:CB432">TRANSPOSE(CC401:DG401)</f>
        <v>26.127499999999998</v>
      </c>
      <c r="CC402" s="158">
        <v>26.794</v>
      </c>
      <c r="CD402" s="120">
        <f>(CE402+CC402)/2</f>
        <v>27.460999999999999</v>
      </c>
      <c r="CE402" s="158">
        <v>28.128</v>
      </c>
      <c r="CF402" s="120">
        <f>(CG402+CE402)/2</f>
        <v>28.7575</v>
      </c>
      <c r="CG402" s="158">
        <v>29.387</v>
      </c>
      <c r="CH402" s="120">
        <f>(CI402+CG402)/2</f>
        <v>30.054000000000002</v>
      </c>
      <c r="CI402" s="158">
        <v>30.721</v>
      </c>
      <c r="CJ402" s="120">
        <f>(CK402+CI402)/2</f>
        <v>31.343</v>
      </c>
      <c r="CK402" s="158">
        <v>31.965</v>
      </c>
      <c r="CL402" s="120">
        <f>(CM402+CK402)/2</f>
        <v>32.594000000000001</v>
      </c>
      <c r="CM402" s="158">
        <v>33.222999999999999</v>
      </c>
      <c r="CN402" s="120">
        <f>(CO402+CM402)/2</f>
        <v>33.852499999999999</v>
      </c>
      <c r="CO402" s="158">
        <v>34.481999999999999</v>
      </c>
      <c r="CP402" s="120">
        <f>(CQ402+CO402)/2</f>
        <v>35.111000000000004</v>
      </c>
      <c r="CQ402" s="158">
        <v>35.74</v>
      </c>
      <c r="CR402" s="120">
        <f>(CS402+CQ402)/2</f>
        <v>36.369500000000002</v>
      </c>
      <c r="CS402" s="158">
        <v>36.999000000000002</v>
      </c>
      <c r="CT402" s="120">
        <f>(CU402+CS402)/2</f>
        <v>37.628</v>
      </c>
      <c r="CU402" s="158">
        <v>38.256999999999998</v>
      </c>
      <c r="CV402" s="120">
        <f>(CW402+CU402)/2</f>
        <v>38.885999999999996</v>
      </c>
      <c r="CW402" s="158">
        <v>39.515000000000001</v>
      </c>
      <c r="CX402" s="120">
        <f>(CY402+CW402)/2</f>
        <v>40.144500000000001</v>
      </c>
      <c r="CY402" s="158">
        <v>40.774000000000001</v>
      </c>
      <c r="CZ402" s="120">
        <f>(DA402+CY402)/2</f>
        <v>41.365499999999997</v>
      </c>
      <c r="DA402" s="158">
        <v>41.957000000000001</v>
      </c>
      <c r="DB402" s="120">
        <f>(DC402+DA402)/2</f>
        <v>42.585999999999999</v>
      </c>
      <c r="DC402" s="158">
        <v>43.215000000000003</v>
      </c>
      <c r="DD402" s="120">
        <f>(DE402+DC402)/2</f>
        <v>43.844499999999996</v>
      </c>
      <c r="DE402" s="158">
        <v>44.473999999999997</v>
      </c>
      <c r="DF402" s="120">
        <f>(DG402+DE402)/2</f>
        <v>45.066000000000003</v>
      </c>
      <c r="DG402" s="159">
        <v>45.658000000000001</v>
      </c>
    </row>
    <row r="403" spans="54:111" ht="15" customHeight="1" x14ac:dyDescent="0.2">
      <c r="BB403" s="28">
        <v>31</v>
      </c>
      <c r="BC403" s="121">
        <v>7.9735000000000005</v>
      </c>
      <c r="BD403" s="121">
        <v>8.8975000000000009</v>
      </c>
      <c r="BE403" s="121">
        <v>9.8215000000000003</v>
      </c>
      <c r="BF403" s="121">
        <v>10.651249999999999</v>
      </c>
      <c r="BG403" s="121">
        <v>11.481</v>
      </c>
      <c r="BH403" s="121">
        <v>12.292</v>
      </c>
      <c r="BI403" s="121">
        <v>13.103</v>
      </c>
      <c r="BJ403" s="121">
        <v>13.88725</v>
      </c>
      <c r="BK403" s="121">
        <v>14.6715</v>
      </c>
      <c r="BL403" s="121">
        <v>15.422000000000001</v>
      </c>
      <c r="BM403" s="121">
        <v>16.172499999999999</v>
      </c>
      <c r="BN403" s="121">
        <v>16.90775</v>
      </c>
      <c r="BO403" s="121">
        <v>17.643000000000001</v>
      </c>
      <c r="BP403" s="121">
        <v>18.359749999999998</v>
      </c>
      <c r="BQ403" s="121">
        <v>19.076499999999999</v>
      </c>
      <c r="BR403" s="121">
        <v>19.803999999999998</v>
      </c>
      <c r="BS403" s="121">
        <v>20.531500000000001</v>
      </c>
      <c r="BT403" s="121">
        <v>21.251249999999999</v>
      </c>
      <c r="BU403" s="121">
        <v>21.971</v>
      </c>
      <c r="BV403" s="121">
        <v>22.649750000000001</v>
      </c>
      <c r="BW403" s="121">
        <v>23.328499999999998</v>
      </c>
      <c r="BX403" s="121">
        <v>24.026499999999999</v>
      </c>
      <c r="BY403" s="121">
        <v>24.724499999999999</v>
      </c>
      <c r="BZ403" s="121">
        <v>25.414250000000003</v>
      </c>
      <c r="CA403" s="121">
        <v>26.103999999999999</v>
      </c>
      <c r="CB403" s="121">
        <v>26.782499999999999</v>
      </c>
      <c r="CC403" s="121">
        <f t="array" ref="CC403:CC432">TRANSPOSE(CD402:DG402)</f>
        <v>27.460999999999999</v>
      </c>
      <c r="CD403" s="120">
        <f>(CC403+CE403)/2</f>
        <v>28.120999999999999</v>
      </c>
      <c r="CE403" s="120">
        <f>(CE402+CE404)/2</f>
        <v>28.780999999999999</v>
      </c>
      <c r="CF403" s="120">
        <f>(CE403+CG403)/2</f>
        <v>29.451750000000001</v>
      </c>
      <c r="CG403" s="120">
        <f>(CG402+CG404)/2</f>
        <v>30.122500000000002</v>
      </c>
      <c r="CH403" s="120">
        <f>(CG403+CI403)/2</f>
        <v>30.782500000000002</v>
      </c>
      <c r="CI403" s="120">
        <f>(CI402+CI404)/2</f>
        <v>31.442500000000003</v>
      </c>
      <c r="CJ403" s="120">
        <f>(CI403+CK403)/2</f>
        <v>32.098500000000001</v>
      </c>
      <c r="CK403" s="120">
        <f>(CK402+CK404)/2</f>
        <v>32.7545</v>
      </c>
      <c r="CL403" s="120">
        <f>(CK403+CM403)/2</f>
        <v>33.395250000000004</v>
      </c>
      <c r="CM403" s="120">
        <f>(CM402+CM404)/2</f>
        <v>34.036000000000001</v>
      </c>
      <c r="CN403" s="120">
        <f>(CM403+CO403)/2</f>
        <v>34.688249999999996</v>
      </c>
      <c r="CO403" s="120">
        <f>(CO402+CO404)/2</f>
        <v>35.340499999999999</v>
      </c>
      <c r="CP403" s="120">
        <f>(CO403+CQ403)/2</f>
        <v>36</v>
      </c>
      <c r="CQ403" s="120">
        <f>(CQ402+CQ404)/2</f>
        <v>36.659500000000001</v>
      </c>
      <c r="CR403" s="120">
        <f>(CQ403+CS403)/2</f>
        <v>37.300750000000001</v>
      </c>
      <c r="CS403" s="120">
        <f>(CS402+CS404)/2</f>
        <v>37.942</v>
      </c>
      <c r="CT403" s="120">
        <f>(CS403+CU403)/2</f>
        <v>38.582999999999998</v>
      </c>
      <c r="CU403" s="120">
        <f>(CU402+CU404)/2</f>
        <v>39.224000000000004</v>
      </c>
      <c r="CV403" s="120">
        <f>(CU403+CW403)/2</f>
        <v>39.875500000000002</v>
      </c>
      <c r="CW403" s="120">
        <f>(CW402+CW404)/2</f>
        <v>40.527000000000001</v>
      </c>
      <c r="CX403" s="120">
        <f>(CW403+CY403)/2</f>
        <v>41.149250000000002</v>
      </c>
      <c r="CY403" s="120">
        <f>(CY402+CY404)/2</f>
        <v>41.771500000000003</v>
      </c>
      <c r="CZ403" s="120">
        <f>(CY403+DA403)/2</f>
        <v>42.393500000000003</v>
      </c>
      <c r="DA403" s="120">
        <f>(DA402+DA404)/2</f>
        <v>43.015500000000003</v>
      </c>
      <c r="DB403" s="120">
        <f>(DA403+DC403)/2</f>
        <v>43.656500000000001</v>
      </c>
      <c r="DC403" s="120">
        <f>(DC402+DC404)/2</f>
        <v>44.297499999999999</v>
      </c>
      <c r="DD403" s="120">
        <f>(DC403+DE403)/2</f>
        <v>44.9495</v>
      </c>
      <c r="DE403" s="120">
        <f>(DE402+DE404)/2</f>
        <v>45.601500000000001</v>
      </c>
      <c r="DF403" s="120">
        <f>(DE403+DG403)/2</f>
        <v>46.204750000000004</v>
      </c>
      <c r="DG403" s="122">
        <f>(DG402+DG404)/2</f>
        <v>46.808</v>
      </c>
    </row>
    <row r="404" spans="54:111" ht="15" customHeight="1" x14ac:dyDescent="0.2">
      <c r="BB404" s="28">
        <v>32</v>
      </c>
      <c r="BC404" s="121">
        <v>8.1430000000000007</v>
      </c>
      <c r="BD404" s="121">
        <v>9.0975000000000001</v>
      </c>
      <c r="BE404" s="121">
        <v>10.052</v>
      </c>
      <c r="BF404" s="121">
        <v>10.8935</v>
      </c>
      <c r="BG404" s="121">
        <v>11.734999999999999</v>
      </c>
      <c r="BH404" s="121">
        <v>12.576499999999999</v>
      </c>
      <c r="BI404" s="121">
        <v>13.417999999999999</v>
      </c>
      <c r="BJ404" s="121">
        <v>14.206</v>
      </c>
      <c r="BK404" s="121">
        <v>14.994</v>
      </c>
      <c r="BL404" s="121">
        <v>15.76</v>
      </c>
      <c r="BM404" s="121">
        <v>16.526</v>
      </c>
      <c r="BN404" s="121">
        <v>17.291499999999999</v>
      </c>
      <c r="BO404" s="121">
        <v>18.056999999999999</v>
      </c>
      <c r="BP404" s="121">
        <v>18.785499999999999</v>
      </c>
      <c r="BQ404" s="121">
        <v>19.513999999999999</v>
      </c>
      <c r="BR404" s="121">
        <v>20.264499999999998</v>
      </c>
      <c r="BS404" s="121">
        <v>21.015000000000001</v>
      </c>
      <c r="BT404" s="121">
        <v>21.75</v>
      </c>
      <c r="BU404" s="121">
        <v>22.484999999999999</v>
      </c>
      <c r="BV404" s="121">
        <v>23.1755</v>
      </c>
      <c r="BW404" s="121">
        <v>23.866</v>
      </c>
      <c r="BX404" s="121">
        <v>24.5945</v>
      </c>
      <c r="BY404" s="121">
        <v>25.323</v>
      </c>
      <c r="BZ404" s="121">
        <v>26.035</v>
      </c>
      <c r="CA404" s="121">
        <v>26.747</v>
      </c>
      <c r="CB404" s="121">
        <v>27.4375</v>
      </c>
      <c r="CC404" s="121">
        <v>28.128</v>
      </c>
      <c r="CD404" s="121">
        <f t="array" ref="CD404:CD432">TRANSPOSE(CE403:DG403)</f>
        <v>28.780999999999999</v>
      </c>
      <c r="CE404" s="158">
        <v>29.434000000000001</v>
      </c>
      <c r="CF404" s="120">
        <f>(CG404+CE404)/2</f>
        <v>30.146000000000001</v>
      </c>
      <c r="CG404" s="158">
        <v>30.858000000000001</v>
      </c>
      <c r="CH404" s="120">
        <f>(CI404+CG404)/2</f>
        <v>31.511000000000003</v>
      </c>
      <c r="CI404" s="158">
        <v>32.164000000000001</v>
      </c>
      <c r="CJ404" s="120">
        <f>(CK404+CI404)/2</f>
        <v>32.853999999999999</v>
      </c>
      <c r="CK404" s="158">
        <v>33.543999999999997</v>
      </c>
      <c r="CL404" s="120">
        <f>(CM404+CK404)/2</f>
        <v>34.1965</v>
      </c>
      <c r="CM404" s="158">
        <v>34.848999999999997</v>
      </c>
      <c r="CN404" s="120">
        <f>(CO404+CM404)/2</f>
        <v>35.524000000000001</v>
      </c>
      <c r="CO404" s="158">
        <v>36.198999999999998</v>
      </c>
      <c r="CP404" s="120">
        <f>(CQ404+CO404)/2</f>
        <v>36.888999999999996</v>
      </c>
      <c r="CQ404" s="158">
        <v>37.579000000000001</v>
      </c>
      <c r="CR404" s="120">
        <f>(CS404+CQ404)/2</f>
        <v>38.231999999999999</v>
      </c>
      <c r="CS404" s="158">
        <v>38.884999999999998</v>
      </c>
      <c r="CT404" s="120">
        <f>(CU404+CS404)/2</f>
        <v>39.537999999999997</v>
      </c>
      <c r="CU404" s="158">
        <v>40.191000000000003</v>
      </c>
      <c r="CV404" s="120">
        <f>(CW404+CU404)/2</f>
        <v>40.865000000000002</v>
      </c>
      <c r="CW404" s="158">
        <v>41.539000000000001</v>
      </c>
      <c r="CX404" s="120">
        <f>(CY404+CW404)/2</f>
        <v>42.153999999999996</v>
      </c>
      <c r="CY404" s="158">
        <v>42.768999999999998</v>
      </c>
      <c r="CZ404" s="120">
        <f>(DA404+CY404)/2</f>
        <v>43.421499999999995</v>
      </c>
      <c r="DA404" s="158">
        <v>44.073999999999998</v>
      </c>
      <c r="DB404" s="120">
        <f>(DC404+DA404)/2</f>
        <v>44.727000000000004</v>
      </c>
      <c r="DC404" s="158">
        <v>45.38</v>
      </c>
      <c r="DD404" s="120">
        <f>(DE404+DC404)/2</f>
        <v>46.054500000000004</v>
      </c>
      <c r="DE404" s="158">
        <v>46.728999999999999</v>
      </c>
      <c r="DF404" s="120">
        <f>(DG404+DE404)/2</f>
        <v>47.343499999999999</v>
      </c>
      <c r="DG404" s="159">
        <v>47.957999999999998</v>
      </c>
    </row>
    <row r="405" spans="54:111" ht="15" customHeight="1" x14ac:dyDescent="0.2">
      <c r="BB405" s="28">
        <v>33</v>
      </c>
      <c r="BC405" s="121">
        <v>8.3279999999999994</v>
      </c>
      <c r="BD405" s="121">
        <v>9.2899999999999991</v>
      </c>
      <c r="BE405" s="121">
        <v>10.251999999999999</v>
      </c>
      <c r="BF405" s="121">
        <v>11.12425</v>
      </c>
      <c r="BG405" s="121">
        <v>11.996499999999999</v>
      </c>
      <c r="BH405" s="121">
        <v>12.8605</v>
      </c>
      <c r="BI405" s="121">
        <v>13.724499999999999</v>
      </c>
      <c r="BJ405" s="121">
        <v>14.532</v>
      </c>
      <c r="BK405" s="121">
        <v>15.339500000000001</v>
      </c>
      <c r="BL405" s="121">
        <v>16.128250000000001</v>
      </c>
      <c r="BM405" s="121">
        <v>16.917000000000002</v>
      </c>
      <c r="BN405" s="121">
        <v>17.694499999999998</v>
      </c>
      <c r="BO405" s="121">
        <v>18.472000000000001</v>
      </c>
      <c r="BP405" s="121">
        <v>19.226500000000001</v>
      </c>
      <c r="BQ405" s="121">
        <v>19.981000000000002</v>
      </c>
      <c r="BR405" s="121">
        <v>20.732250000000001</v>
      </c>
      <c r="BS405" s="121">
        <v>21.483499999999999</v>
      </c>
      <c r="BT405" s="121">
        <v>22.237749999999998</v>
      </c>
      <c r="BU405" s="121">
        <v>22.991999999999997</v>
      </c>
      <c r="BV405" s="121">
        <v>23.71275</v>
      </c>
      <c r="BW405" s="121">
        <v>24.433500000000002</v>
      </c>
      <c r="BX405" s="121">
        <v>25.165750000000003</v>
      </c>
      <c r="BY405" s="121">
        <v>25.898</v>
      </c>
      <c r="BZ405" s="121">
        <v>26.610749999999999</v>
      </c>
      <c r="CA405" s="121">
        <v>27.323499999999999</v>
      </c>
      <c r="CB405" s="121">
        <v>28.040500000000002</v>
      </c>
      <c r="CC405" s="121">
        <v>28.7575</v>
      </c>
      <c r="CD405" s="121">
        <v>29.451750000000001</v>
      </c>
      <c r="CE405" s="121">
        <f t="array" ref="CE405:CE432">TRANSPOSE(CF404:DG404)</f>
        <v>30.146000000000001</v>
      </c>
      <c r="CF405" s="120">
        <f>(CE405+CG405)/2</f>
        <v>30.859000000000002</v>
      </c>
      <c r="CG405" s="120">
        <f>(CG404+CG406)/2</f>
        <v>31.572000000000003</v>
      </c>
      <c r="CH405" s="120">
        <f>(CG405+CI405)/2</f>
        <v>32.247500000000002</v>
      </c>
      <c r="CI405" s="120">
        <f>(CI404+CI406)/2</f>
        <v>32.923000000000002</v>
      </c>
      <c r="CJ405" s="120">
        <f>(CI405+CK405)/2</f>
        <v>33.624749999999999</v>
      </c>
      <c r="CK405" s="120">
        <f>(CK404+CK406)/2</f>
        <v>34.326499999999996</v>
      </c>
      <c r="CL405" s="120">
        <f>(CK405+CM405)/2</f>
        <v>35.005499999999998</v>
      </c>
      <c r="CM405" s="120">
        <f>(CM404+CM406)/2</f>
        <v>35.6845</v>
      </c>
      <c r="CN405" s="120">
        <f>(CM405+CO405)/2</f>
        <v>36.378749999999997</v>
      </c>
      <c r="CO405" s="120">
        <f>(CO404+CO406)/2</f>
        <v>37.073</v>
      </c>
      <c r="CP405" s="120">
        <f>(CO405+CQ405)/2</f>
        <v>37.766999999999996</v>
      </c>
      <c r="CQ405" s="120">
        <f>(CQ404+CQ406)/2</f>
        <v>38.460999999999999</v>
      </c>
      <c r="CR405" s="120">
        <f>(CQ405+CS405)/2</f>
        <v>39.125500000000002</v>
      </c>
      <c r="CS405" s="120">
        <f>(CS404+CS406)/2</f>
        <v>39.79</v>
      </c>
      <c r="CT405" s="120">
        <f>(CS405+CU405)/2</f>
        <v>40.46575</v>
      </c>
      <c r="CU405" s="120">
        <f>(CU404+CU406)/2</f>
        <v>41.141500000000001</v>
      </c>
      <c r="CV405" s="120">
        <f>(CU405+CW405)/2</f>
        <v>41.816249999999997</v>
      </c>
      <c r="CW405" s="120">
        <f>(CW404+CW406)/2</f>
        <v>42.491</v>
      </c>
      <c r="CX405" s="120">
        <f>(CW405+CY405)/2</f>
        <v>43.151249999999997</v>
      </c>
      <c r="CY405" s="120">
        <f>(CY404+CY406)/2</f>
        <v>43.811499999999995</v>
      </c>
      <c r="CZ405" s="120">
        <f>(CY405+DA405)/2</f>
        <v>44.475749999999998</v>
      </c>
      <c r="DA405" s="120">
        <f>(DA404+DA406)/2</f>
        <v>45.14</v>
      </c>
      <c r="DB405" s="120">
        <f>(DA405+DC405)/2</f>
        <v>45.815249999999999</v>
      </c>
      <c r="DC405" s="120">
        <f>(DC404+DC406)/2</f>
        <v>46.490499999999997</v>
      </c>
      <c r="DD405" s="120">
        <f>(DC405+DE405)/2</f>
        <v>47.146999999999998</v>
      </c>
      <c r="DE405" s="120">
        <f>(DE404+DE406)/2</f>
        <v>47.8035</v>
      </c>
      <c r="DF405" s="120">
        <f>(DE405+DG405)/2</f>
        <v>48.45975</v>
      </c>
      <c r="DG405" s="122">
        <f>(DG404+DG406)/2</f>
        <v>49.116</v>
      </c>
    </row>
    <row r="406" spans="54:111" ht="15" customHeight="1" x14ac:dyDescent="0.2">
      <c r="BB406" s="28">
        <v>34</v>
      </c>
      <c r="BC406" s="121">
        <v>8.5129999999999999</v>
      </c>
      <c r="BD406" s="121">
        <v>9.4824999999999999</v>
      </c>
      <c r="BE406" s="121">
        <v>10.452</v>
      </c>
      <c r="BF406" s="121">
        <v>11.355</v>
      </c>
      <c r="BG406" s="121">
        <v>12.257999999999999</v>
      </c>
      <c r="BH406" s="121">
        <v>13.144500000000001</v>
      </c>
      <c r="BI406" s="121">
        <v>14.031000000000001</v>
      </c>
      <c r="BJ406" s="121">
        <v>14.858000000000001</v>
      </c>
      <c r="BK406" s="121">
        <v>15.685</v>
      </c>
      <c r="BL406" s="121">
        <v>16.496500000000001</v>
      </c>
      <c r="BM406" s="121">
        <v>17.308</v>
      </c>
      <c r="BN406" s="121">
        <v>18.0975</v>
      </c>
      <c r="BO406" s="121">
        <v>18.887</v>
      </c>
      <c r="BP406" s="121">
        <v>19.6675</v>
      </c>
      <c r="BQ406" s="121">
        <v>20.448</v>
      </c>
      <c r="BR406" s="121">
        <v>21.200000000000003</v>
      </c>
      <c r="BS406" s="121">
        <v>21.952000000000002</v>
      </c>
      <c r="BT406" s="121">
        <v>22.7255</v>
      </c>
      <c r="BU406" s="121">
        <v>23.498999999999999</v>
      </c>
      <c r="BV406" s="121">
        <v>24.25</v>
      </c>
      <c r="BW406" s="121">
        <v>25.001000000000001</v>
      </c>
      <c r="BX406" s="121">
        <v>25.737000000000002</v>
      </c>
      <c r="BY406" s="121">
        <v>26.472999999999999</v>
      </c>
      <c r="BZ406" s="121">
        <v>27.186499999999999</v>
      </c>
      <c r="CA406" s="121">
        <v>27.9</v>
      </c>
      <c r="CB406" s="121">
        <v>28.6435</v>
      </c>
      <c r="CC406" s="121">
        <v>29.387</v>
      </c>
      <c r="CD406" s="121">
        <v>30.122500000000002</v>
      </c>
      <c r="CE406" s="121">
        <v>30.858000000000001</v>
      </c>
      <c r="CF406" s="121">
        <f t="array" ref="CF406:CF432">TRANSPOSE(CG405:DG405)</f>
        <v>31.572000000000003</v>
      </c>
      <c r="CG406" s="158">
        <v>32.286000000000001</v>
      </c>
      <c r="CH406" s="120">
        <f>(CI406+CG406)/2</f>
        <v>32.984000000000002</v>
      </c>
      <c r="CI406" s="158">
        <v>33.682000000000002</v>
      </c>
      <c r="CJ406" s="120">
        <f>(CK406+CI406)/2</f>
        <v>34.395499999999998</v>
      </c>
      <c r="CK406" s="158">
        <v>35.109000000000002</v>
      </c>
      <c r="CL406" s="120">
        <f>(CM406+CK406)/2</f>
        <v>35.814500000000002</v>
      </c>
      <c r="CM406" s="158">
        <v>36.520000000000003</v>
      </c>
      <c r="CN406" s="120">
        <f>(CO406+CM406)/2</f>
        <v>37.233500000000006</v>
      </c>
      <c r="CO406" s="158">
        <v>37.947000000000003</v>
      </c>
      <c r="CP406" s="120">
        <f>(CQ406+CO406)/2</f>
        <v>38.645000000000003</v>
      </c>
      <c r="CQ406" s="158">
        <v>39.343000000000004</v>
      </c>
      <c r="CR406" s="120">
        <f>(CS406+CQ406)/2</f>
        <v>40.019000000000005</v>
      </c>
      <c r="CS406" s="158">
        <v>40.695</v>
      </c>
      <c r="CT406" s="120">
        <f>(CU406+CS406)/2</f>
        <v>41.393500000000003</v>
      </c>
      <c r="CU406" s="158">
        <v>42.091999999999999</v>
      </c>
      <c r="CV406" s="120">
        <f>(CW406+CU406)/2</f>
        <v>42.767499999999998</v>
      </c>
      <c r="CW406" s="158">
        <v>43.442999999999998</v>
      </c>
      <c r="CX406" s="120">
        <f>(CY406+CW406)/2</f>
        <v>44.148499999999999</v>
      </c>
      <c r="CY406" s="158">
        <v>44.853999999999999</v>
      </c>
      <c r="CZ406" s="120">
        <f>(DA406+CY406)/2</f>
        <v>45.53</v>
      </c>
      <c r="DA406" s="158">
        <v>46.206000000000003</v>
      </c>
      <c r="DB406" s="120">
        <f>(DC406+DA406)/2</f>
        <v>46.903500000000001</v>
      </c>
      <c r="DC406" s="158">
        <v>47.600999999999999</v>
      </c>
      <c r="DD406" s="120">
        <f>(DE406+DC406)/2</f>
        <v>48.2395</v>
      </c>
      <c r="DE406" s="158">
        <v>48.878</v>
      </c>
      <c r="DF406" s="120">
        <f>(DG406+DE406)/2</f>
        <v>49.576000000000001</v>
      </c>
      <c r="DG406" s="159">
        <v>50.274000000000001</v>
      </c>
    </row>
    <row r="407" spans="54:111" ht="15" customHeight="1" x14ac:dyDescent="0.2">
      <c r="BB407" s="28">
        <v>35</v>
      </c>
      <c r="BC407" s="121">
        <v>8.6894999999999989</v>
      </c>
      <c r="BD407" s="121">
        <v>9.6750000000000007</v>
      </c>
      <c r="BE407" s="121">
        <v>10.660499999999999</v>
      </c>
      <c r="BF407" s="121">
        <v>11.586</v>
      </c>
      <c r="BG407" s="121">
        <v>12.5115</v>
      </c>
      <c r="BH407" s="121">
        <v>13.41375</v>
      </c>
      <c r="BI407" s="121">
        <v>14.316000000000001</v>
      </c>
      <c r="BJ407" s="121">
        <v>15.165750000000001</v>
      </c>
      <c r="BK407" s="121">
        <v>16.015499999999999</v>
      </c>
      <c r="BL407" s="121">
        <v>16.838250000000002</v>
      </c>
      <c r="BM407" s="121">
        <v>17.661000000000001</v>
      </c>
      <c r="BN407" s="121">
        <v>18.462249999999997</v>
      </c>
      <c r="BO407" s="121">
        <v>19.263500000000001</v>
      </c>
      <c r="BP407" s="121">
        <v>20.0745</v>
      </c>
      <c r="BQ407" s="121">
        <v>20.8855</v>
      </c>
      <c r="BR407" s="121">
        <v>21.660000000000004</v>
      </c>
      <c r="BS407" s="121">
        <v>22.4345</v>
      </c>
      <c r="BT407" s="121">
        <v>23.22</v>
      </c>
      <c r="BU407" s="121">
        <v>24.005499999999998</v>
      </c>
      <c r="BV407" s="121">
        <v>24.783000000000001</v>
      </c>
      <c r="BW407" s="121">
        <v>25.560500000000001</v>
      </c>
      <c r="BX407" s="121">
        <v>26.297000000000001</v>
      </c>
      <c r="BY407" s="121">
        <v>27.0335</v>
      </c>
      <c r="BZ407" s="121">
        <v>27.77</v>
      </c>
      <c r="CA407" s="121">
        <v>28.506499999999999</v>
      </c>
      <c r="CB407" s="121">
        <v>29.280250000000002</v>
      </c>
      <c r="CC407" s="121">
        <v>30.054000000000002</v>
      </c>
      <c r="CD407" s="121">
        <v>30.782500000000002</v>
      </c>
      <c r="CE407" s="121">
        <v>31.511000000000003</v>
      </c>
      <c r="CF407" s="121">
        <v>32.247500000000002</v>
      </c>
      <c r="CG407" s="121">
        <f t="array" ref="CG407:CG432">TRANSPOSE(CH406:DG406)</f>
        <v>32.984000000000002</v>
      </c>
      <c r="CH407" s="120">
        <f>(CG407+CI407)/2</f>
        <v>33.720250000000007</v>
      </c>
      <c r="CI407" s="120">
        <f>(CI406+CI408)/2</f>
        <v>34.456500000000005</v>
      </c>
      <c r="CJ407" s="120">
        <f>(CI407+CK407)/2</f>
        <v>35.158750000000005</v>
      </c>
      <c r="CK407" s="120">
        <f>(CK406+CK408)/2</f>
        <v>35.861000000000004</v>
      </c>
      <c r="CL407" s="120">
        <f>(CK407+CM407)/2</f>
        <v>36.593250000000005</v>
      </c>
      <c r="CM407" s="120">
        <f>(CM406+CM408)/2</f>
        <v>37.325500000000005</v>
      </c>
      <c r="CN407" s="120">
        <f>(CM407+CO407)/2</f>
        <v>38.062000000000005</v>
      </c>
      <c r="CO407" s="120">
        <f>(CO406+CO408)/2</f>
        <v>38.798500000000004</v>
      </c>
      <c r="CP407" s="120">
        <f>(CO407+CQ407)/2</f>
        <v>39.492750000000001</v>
      </c>
      <c r="CQ407" s="120">
        <f>(CQ406+CQ408)/2</f>
        <v>40.186999999999998</v>
      </c>
      <c r="CR407" s="120">
        <f>(CQ407+CS407)/2</f>
        <v>40.893500000000003</v>
      </c>
      <c r="CS407" s="120">
        <f>(CS406+CS408)/2</f>
        <v>41.6</v>
      </c>
      <c r="CT407" s="120">
        <f>(CS407+CU407)/2</f>
        <v>42.329000000000001</v>
      </c>
      <c r="CU407" s="120">
        <f>(CU406+CU408)/2</f>
        <v>43.058</v>
      </c>
      <c r="CV407" s="120">
        <f>(CU407+CW407)/2</f>
        <v>43.741249999999994</v>
      </c>
      <c r="CW407" s="120">
        <f>(CW406+CW408)/2</f>
        <v>44.424499999999995</v>
      </c>
      <c r="CX407" s="120">
        <f>(CW407+CY407)/2</f>
        <v>45.156749999999995</v>
      </c>
      <c r="CY407" s="120">
        <f>(CY406+CY408)/2</f>
        <v>45.888999999999996</v>
      </c>
      <c r="CZ407" s="120">
        <f>(CY407+DA407)/2</f>
        <v>46.569000000000003</v>
      </c>
      <c r="DA407" s="120">
        <f>(DA406+DA408)/2</f>
        <v>47.249000000000002</v>
      </c>
      <c r="DB407" s="120">
        <f>(DA407+DC407)/2</f>
        <v>47.969750000000005</v>
      </c>
      <c r="DC407" s="120">
        <f>(DC406+DC408)/2</f>
        <v>48.6905</v>
      </c>
      <c r="DD407" s="120">
        <f>(DC407+DE407)/2</f>
        <v>49.351500000000001</v>
      </c>
      <c r="DE407" s="120">
        <f>(DE406+DE408)/2</f>
        <v>50.012500000000003</v>
      </c>
      <c r="DF407" s="120">
        <f>(DE407+DG407)/2</f>
        <v>50.703250000000004</v>
      </c>
      <c r="DG407" s="122">
        <f>(DG406+DG408)/2</f>
        <v>51.394000000000005</v>
      </c>
    </row>
    <row r="408" spans="54:111" ht="15" customHeight="1" x14ac:dyDescent="0.2">
      <c r="BB408" s="28">
        <v>36</v>
      </c>
      <c r="BC408" s="121">
        <v>8.8659999999999997</v>
      </c>
      <c r="BD408" s="121">
        <v>9.8674999999999997</v>
      </c>
      <c r="BE408" s="121">
        <v>10.869</v>
      </c>
      <c r="BF408" s="121">
        <v>11.817</v>
      </c>
      <c r="BG408" s="121">
        <v>12.765000000000001</v>
      </c>
      <c r="BH408" s="121">
        <v>13.683</v>
      </c>
      <c r="BI408" s="121">
        <v>14.601000000000001</v>
      </c>
      <c r="BJ408" s="121">
        <v>15.473500000000001</v>
      </c>
      <c r="BK408" s="121">
        <v>16.346</v>
      </c>
      <c r="BL408" s="121">
        <v>17.18</v>
      </c>
      <c r="BM408" s="121">
        <v>18.013999999999999</v>
      </c>
      <c r="BN408" s="121">
        <v>18.826999999999998</v>
      </c>
      <c r="BO408" s="121">
        <v>19.64</v>
      </c>
      <c r="BP408" s="121">
        <v>20.4815</v>
      </c>
      <c r="BQ408" s="121">
        <v>21.323</v>
      </c>
      <c r="BR408" s="121">
        <v>22.12</v>
      </c>
      <c r="BS408" s="121">
        <v>22.917000000000002</v>
      </c>
      <c r="BT408" s="121">
        <v>23.714500000000001</v>
      </c>
      <c r="BU408" s="121">
        <v>24.512</v>
      </c>
      <c r="BV408" s="121">
        <v>25.316000000000003</v>
      </c>
      <c r="BW408" s="121">
        <v>26.12</v>
      </c>
      <c r="BX408" s="121">
        <v>26.856999999999999</v>
      </c>
      <c r="BY408" s="121">
        <v>27.594000000000001</v>
      </c>
      <c r="BZ408" s="121">
        <v>28.3535</v>
      </c>
      <c r="CA408" s="121">
        <v>29.113</v>
      </c>
      <c r="CB408" s="121">
        <v>29.917000000000002</v>
      </c>
      <c r="CC408" s="121">
        <v>30.721</v>
      </c>
      <c r="CD408" s="121">
        <v>31.442500000000003</v>
      </c>
      <c r="CE408" s="121">
        <v>32.164000000000001</v>
      </c>
      <c r="CF408" s="121">
        <v>32.923000000000002</v>
      </c>
      <c r="CG408" s="121">
        <v>33.682000000000002</v>
      </c>
      <c r="CH408" s="121">
        <f t="array" ref="CH408:CH432">TRANSPOSE(CI407:DG407)</f>
        <v>34.456500000000005</v>
      </c>
      <c r="CI408" s="158">
        <v>35.231000000000002</v>
      </c>
      <c r="CJ408" s="120">
        <f>(CK408+CI408)/2</f>
        <v>35.921999999999997</v>
      </c>
      <c r="CK408" s="158">
        <v>36.613</v>
      </c>
      <c r="CL408" s="120">
        <f>(CM408+CK408)/2</f>
        <v>37.372</v>
      </c>
      <c r="CM408" s="158">
        <v>38.131</v>
      </c>
      <c r="CN408" s="120">
        <f>(CO408+CM408)/2</f>
        <v>38.890500000000003</v>
      </c>
      <c r="CO408" s="158">
        <v>39.65</v>
      </c>
      <c r="CP408" s="120">
        <f>(CQ408+CO408)/2</f>
        <v>40.340499999999999</v>
      </c>
      <c r="CQ408" s="158">
        <v>41.030999999999999</v>
      </c>
      <c r="CR408" s="120">
        <f>(CS408+CQ408)/2</f>
        <v>41.768000000000001</v>
      </c>
      <c r="CS408" s="158">
        <v>42.505000000000003</v>
      </c>
      <c r="CT408" s="120">
        <f>(CU408+CS408)/2</f>
        <v>43.264499999999998</v>
      </c>
      <c r="CU408" s="158">
        <v>44.024000000000001</v>
      </c>
      <c r="CV408" s="120">
        <f>(CW408+CU408)/2</f>
        <v>44.715000000000003</v>
      </c>
      <c r="CW408" s="158">
        <v>45.405999999999999</v>
      </c>
      <c r="CX408" s="120">
        <f>(CY408+CW408)/2</f>
        <v>46.164999999999999</v>
      </c>
      <c r="CY408" s="158">
        <v>46.923999999999999</v>
      </c>
      <c r="CZ408" s="120">
        <f>(DA408+CY408)/2</f>
        <v>47.608000000000004</v>
      </c>
      <c r="DA408" s="158">
        <v>48.292000000000002</v>
      </c>
      <c r="DB408" s="120">
        <f>(DC408+DA408)/2</f>
        <v>49.036000000000001</v>
      </c>
      <c r="DC408" s="158">
        <v>49.78</v>
      </c>
      <c r="DD408" s="120">
        <f>(DE408+DC408)/2</f>
        <v>50.463499999999996</v>
      </c>
      <c r="DE408" s="158">
        <v>51.146999999999998</v>
      </c>
      <c r="DF408" s="120">
        <f>(DG408+DE408)/2</f>
        <v>51.830500000000001</v>
      </c>
      <c r="DG408" s="159">
        <v>52.514000000000003</v>
      </c>
    </row>
    <row r="409" spans="54:111" ht="15" customHeight="1" x14ac:dyDescent="0.2">
      <c r="BB409" s="28">
        <v>37</v>
      </c>
      <c r="BC409" s="121">
        <v>9.0135000000000005</v>
      </c>
      <c r="BD409" s="121">
        <v>10.0565</v>
      </c>
      <c r="BE409" s="121">
        <v>11.099499999999999</v>
      </c>
      <c r="BF409" s="121">
        <v>12.062750000000001</v>
      </c>
      <c r="BG409" s="121">
        <v>13.026</v>
      </c>
      <c r="BH409" s="121">
        <v>13.952</v>
      </c>
      <c r="BI409" s="121">
        <v>14.878</v>
      </c>
      <c r="BJ409" s="121">
        <v>15.765750000000001</v>
      </c>
      <c r="BK409" s="121">
        <v>16.653500000000001</v>
      </c>
      <c r="BL409" s="121">
        <v>17.5185</v>
      </c>
      <c r="BM409" s="121">
        <v>18.383499999999998</v>
      </c>
      <c r="BN409" s="121">
        <v>19.23</v>
      </c>
      <c r="BO409" s="121">
        <v>20.076500000000003</v>
      </c>
      <c r="BP409" s="121">
        <v>20.911000000000001</v>
      </c>
      <c r="BQ409" s="121">
        <v>21.7455</v>
      </c>
      <c r="BR409" s="121">
        <v>22.573250000000002</v>
      </c>
      <c r="BS409" s="121">
        <v>23.401000000000003</v>
      </c>
      <c r="BT409" s="121">
        <v>24.2135</v>
      </c>
      <c r="BU409" s="121">
        <v>25.026</v>
      </c>
      <c r="BV409" s="121">
        <v>25.838000000000001</v>
      </c>
      <c r="BW409" s="121">
        <v>26.65</v>
      </c>
      <c r="BX409" s="121">
        <v>27.413499999999999</v>
      </c>
      <c r="BY409" s="121">
        <v>28.177</v>
      </c>
      <c r="BZ409" s="121">
        <v>28.966749999999998</v>
      </c>
      <c r="CA409" s="121">
        <v>29.756499999999999</v>
      </c>
      <c r="CB409" s="121">
        <v>30.54975</v>
      </c>
      <c r="CC409" s="121">
        <v>31.343</v>
      </c>
      <c r="CD409" s="121">
        <v>32.098500000000001</v>
      </c>
      <c r="CE409" s="121">
        <v>32.853999999999999</v>
      </c>
      <c r="CF409" s="121">
        <v>33.624749999999999</v>
      </c>
      <c r="CG409" s="121">
        <v>34.395499999999998</v>
      </c>
      <c r="CH409" s="121">
        <v>35.158750000000005</v>
      </c>
      <c r="CI409" s="121">
        <f t="array" ref="CI409:CI432">TRANSPOSE(CJ408:DG408)</f>
        <v>35.921999999999997</v>
      </c>
      <c r="CJ409" s="120">
        <f>(CI409+CK409)/2</f>
        <v>36.658749999999998</v>
      </c>
      <c r="CK409" s="120">
        <f>(CK408+CK410)/2</f>
        <v>37.395499999999998</v>
      </c>
      <c r="CL409" s="120">
        <f>(CK409+CM409)/2</f>
        <v>38.169750000000001</v>
      </c>
      <c r="CM409" s="120">
        <f>(CM408+CM410)/2</f>
        <v>38.944000000000003</v>
      </c>
      <c r="CN409" s="120">
        <f>(CM409+CO409)/2</f>
        <v>39.715000000000003</v>
      </c>
      <c r="CO409" s="120">
        <f>(CO408+CO410)/2</f>
        <v>40.486000000000004</v>
      </c>
      <c r="CP409" s="120">
        <f>(CO409+CQ409)/2</f>
        <v>41.188250000000004</v>
      </c>
      <c r="CQ409" s="120">
        <f>(CQ408+CQ410)/2</f>
        <v>41.890500000000003</v>
      </c>
      <c r="CR409" s="120">
        <f>(CQ409+CS409)/2</f>
        <v>42.661250000000003</v>
      </c>
      <c r="CS409" s="120">
        <f>(CS408+CS410)/2</f>
        <v>43.432000000000002</v>
      </c>
      <c r="CT409" s="120">
        <f>(CS409+CU409)/2</f>
        <v>44.203500000000005</v>
      </c>
      <c r="CU409" s="120">
        <f>(CU408+CU410)/2</f>
        <v>44.975000000000001</v>
      </c>
      <c r="CV409" s="120">
        <f>(CU409+CW409)/2</f>
        <v>45.677499999999995</v>
      </c>
      <c r="CW409" s="120">
        <f>(CW408+CW410)/2</f>
        <v>46.379999999999995</v>
      </c>
      <c r="CX409" s="120">
        <f>(CW409+CY409)/2</f>
        <v>47.150749999999995</v>
      </c>
      <c r="CY409" s="120">
        <f>(CY408+CY410)/2</f>
        <v>47.921499999999995</v>
      </c>
      <c r="CZ409" s="120">
        <f>(CY409+DA409)/2</f>
        <v>48.6205</v>
      </c>
      <c r="DA409" s="120">
        <f>(DA408+DA410)/2</f>
        <v>49.319500000000005</v>
      </c>
      <c r="DB409" s="120">
        <f>(DA409+DC409)/2</f>
        <v>50.082750000000004</v>
      </c>
      <c r="DC409" s="120">
        <f>(DC408+DC410)/2</f>
        <v>50.846000000000004</v>
      </c>
      <c r="DD409" s="120">
        <f>(DC409+DE409)/2</f>
        <v>51.544750000000001</v>
      </c>
      <c r="DE409" s="120">
        <f>(DE408+DE410)/2</f>
        <v>52.243499999999997</v>
      </c>
      <c r="DF409" s="120">
        <f>(DE409+DG409)/2</f>
        <v>52.976749999999996</v>
      </c>
      <c r="DG409" s="122">
        <f>(DG408+DG410)/2</f>
        <v>53.71</v>
      </c>
    </row>
    <row r="410" spans="54:111" ht="15" customHeight="1" x14ac:dyDescent="0.2">
      <c r="BB410" s="28">
        <v>38</v>
      </c>
      <c r="BC410" s="121">
        <v>9.1609999999999996</v>
      </c>
      <c r="BD410" s="121">
        <v>10.2455</v>
      </c>
      <c r="BE410" s="121">
        <v>11.33</v>
      </c>
      <c r="BF410" s="121">
        <v>12.3085</v>
      </c>
      <c r="BG410" s="121">
        <v>13.287000000000001</v>
      </c>
      <c r="BH410" s="121">
        <v>14.221</v>
      </c>
      <c r="BI410" s="121">
        <v>15.154999999999999</v>
      </c>
      <c r="BJ410" s="121">
        <v>16.058</v>
      </c>
      <c r="BK410" s="121">
        <v>16.960999999999999</v>
      </c>
      <c r="BL410" s="121">
        <v>17.856999999999999</v>
      </c>
      <c r="BM410" s="121">
        <v>18.753</v>
      </c>
      <c r="BN410" s="121">
        <v>19.633000000000003</v>
      </c>
      <c r="BO410" s="121">
        <v>20.513000000000002</v>
      </c>
      <c r="BP410" s="121">
        <v>21.340499999999999</v>
      </c>
      <c r="BQ410" s="121">
        <v>22.167999999999999</v>
      </c>
      <c r="BR410" s="121">
        <v>23.026499999999999</v>
      </c>
      <c r="BS410" s="121">
        <v>23.885000000000002</v>
      </c>
      <c r="BT410" s="121">
        <v>24.712499999999999</v>
      </c>
      <c r="BU410" s="121">
        <v>25.54</v>
      </c>
      <c r="BV410" s="121">
        <v>26.36</v>
      </c>
      <c r="BW410" s="121">
        <v>27.18</v>
      </c>
      <c r="BX410" s="121">
        <v>27.97</v>
      </c>
      <c r="BY410" s="121">
        <v>28.76</v>
      </c>
      <c r="BZ410" s="121">
        <v>29.58</v>
      </c>
      <c r="CA410" s="121">
        <v>30.4</v>
      </c>
      <c r="CB410" s="121">
        <v>31.182499999999997</v>
      </c>
      <c r="CC410" s="121">
        <v>31.965</v>
      </c>
      <c r="CD410" s="121">
        <v>32.7545</v>
      </c>
      <c r="CE410" s="121">
        <v>33.543999999999997</v>
      </c>
      <c r="CF410" s="121">
        <v>34.326499999999996</v>
      </c>
      <c r="CG410" s="121">
        <v>35.109000000000002</v>
      </c>
      <c r="CH410" s="121">
        <v>35.861000000000004</v>
      </c>
      <c r="CI410" s="121">
        <v>36.613</v>
      </c>
      <c r="CJ410" s="121">
        <f t="array" ref="CJ410:CJ432">TRANSPOSE(CK409:DG409)</f>
        <v>37.395499999999998</v>
      </c>
      <c r="CK410" s="158">
        <v>38.177999999999997</v>
      </c>
      <c r="CL410" s="120">
        <f>(CM410+CK410)/2</f>
        <v>38.967500000000001</v>
      </c>
      <c r="CM410" s="158">
        <v>39.756999999999998</v>
      </c>
      <c r="CN410" s="120">
        <f>(CO410+CM410)/2</f>
        <v>40.539500000000004</v>
      </c>
      <c r="CO410" s="158">
        <v>41.322000000000003</v>
      </c>
      <c r="CP410" s="120">
        <f>(CQ410+CO410)/2</f>
        <v>42.036000000000001</v>
      </c>
      <c r="CQ410" s="158">
        <v>42.75</v>
      </c>
      <c r="CR410" s="120">
        <f>(CS410+CQ410)/2</f>
        <v>43.554500000000004</v>
      </c>
      <c r="CS410" s="158">
        <v>44.359000000000002</v>
      </c>
      <c r="CT410" s="120">
        <f>(CU410+CS410)/2</f>
        <v>45.142499999999998</v>
      </c>
      <c r="CU410" s="158">
        <v>45.926000000000002</v>
      </c>
      <c r="CV410" s="120">
        <f>(CW410+CU410)/2</f>
        <v>46.64</v>
      </c>
      <c r="CW410" s="158">
        <v>47.353999999999999</v>
      </c>
      <c r="CX410" s="120">
        <f>(CY410+CW410)/2</f>
        <v>48.136499999999998</v>
      </c>
      <c r="CY410" s="158">
        <v>48.918999999999997</v>
      </c>
      <c r="CZ410" s="120">
        <f>(DA410+CY410)/2</f>
        <v>49.632999999999996</v>
      </c>
      <c r="DA410" s="158">
        <v>50.347000000000001</v>
      </c>
      <c r="DB410" s="120">
        <f>(DC410+DA410)/2</f>
        <v>51.1295</v>
      </c>
      <c r="DC410" s="158">
        <v>51.911999999999999</v>
      </c>
      <c r="DD410" s="120">
        <f>(DE410+DC410)/2</f>
        <v>52.626000000000005</v>
      </c>
      <c r="DE410" s="158">
        <v>53.34</v>
      </c>
      <c r="DF410" s="120">
        <f>(DG410+DE410)/2</f>
        <v>54.123000000000005</v>
      </c>
      <c r="DG410" s="159">
        <v>54.905999999999999</v>
      </c>
    </row>
    <row r="411" spans="54:111" ht="15" customHeight="1" x14ac:dyDescent="0.2">
      <c r="BB411" s="28">
        <v>39</v>
      </c>
      <c r="BC411" s="121">
        <v>9.3679999999999986</v>
      </c>
      <c r="BD411" s="121">
        <v>10.449</v>
      </c>
      <c r="BE411" s="121">
        <v>11.530000000000001</v>
      </c>
      <c r="BF411" s="121">
        <v>12.535499999999999</v>
      </c>
      <c r="BG411" s="121">
        <v>13.541</v>
      </c>
      <c r="BH411" s="121">
        <v>14.501250000000001</v>
      </c>
      <c r="BI411" s="121">
        <v>15.461500000000001</v>
      </c>
      <c r="BJ411" s="121">
        <v>16.37275</v>
      </c>
      <c r="BK411" s="121">
        <v>17.283999999999999</v>
      </c>
      <c r="BL411" s="121">
        <v>18.195</v>
      </c>
      <c r="BM411" s="121">
        <v>19.106000000000002</v>
      </c>
      <c r="BN411" s="121">
        <v>19.99775</v>
      </c>
      <c r="BO411" s="121">
        <v>20.889499999999998</v>
      </c>
      <c r="BP411" s="121">
        <v>21.747499999999999</v>
      </c>
      <c r="BQ411" s="121">
        <v>22.605499999999999</v>
      </c>
      <c r="BR411" s="121">
        <v>23.460249999999998</v>
      </c>
      <c r="BS411" s="121">
        <v>24.315000000000001</v>
      </c>
      <c r="BT411" s="121">
        <v>25.180499999999999</v>
      </c>
      <c r="BU411" s="121">
        <v>26.045999999999999</v>
      </c>
      <c r="BV411" s="121">
        <v>26.881499999999999</v>
      </c>
      <c r="BW411" s="121">
        <v>27.716999999999999</v>
      </c>
      <c r="BX411" s="121">
        <v>28.514749999999999</v>
      </c>
      <c r="BY411" s="121">
        <v>29.3125</v>
      </c>
      <c r="BZ411" s="121">
        <v>30.158999999999999</v>
      </c>
      <c r="CA411" s="121">
        <v>31.005499999999998</v>
      </c>
      <c r="CB411" s="121">
        <v>31.79975</v>
      </c>
      <c r="CC411" s="121">
        <v>32.594000000000001</v>
      </c>
      <c r="CD411" s="121">
        <v>33.395250000000004</v>
      </c>
      <c r="CE411" s="121">
        <v>34.1965</v>
      </c>
      <c r="CF411" s="121">
        <v>35.005499999999998</v>
      </c>
      <c r="CG411" s="121">
        <v>35.814500000000002</v>
      </c>
      <c r="CH411" s="121">
        <v>36.593250000000005</v>
      </c>
      <c r="CI411" s="121">
        <v>37.372</v>
      </c>
      <c r="CJ411" s="121">
        <v>38.169750000000001</v>
      </c>
      <c r="CK411" s="121">
        <f t="array" ref="CK411:CK432">TRANSPOSE(CL410:DG410)</f>
        <v>38.967500000000001</v>
      </c>
      <c r="CL411" s="120">
        <f>(CK411+CM411)/2</f>
        <v>39.776249999999997</v>
      </c>
      <c r="CM411" s="120">
        <f>(CM410+CM412)/2</f>
        <v>40.584999999999994</v>
      </c>
      <c r="CN411" s="120">
        <f>(CM411+CO411)/2</f>
        <v>41.382750000000001</v>
      </c>
      <c r="CO411" s="120">
        <f>(CO410+CO412)/2</f>
        <v>42.180500000000002</v>
      </c>
      <c r="CP411" s="120">
        <f>(CO411+CQ411)/2</f>
        <v>42.902749999999997</v>
      </c>
      <c r="CQ411" s="120">
        <f>(CQ410+CQ412)/2</f>
        <v>43.625</v>
      </c>
      <c r="CR411" s="120">
        <f>(CQ411+CS411)/2</f>
        <v>44.445</v>
      </c>
      <c r="CS411" s="120">
        <f>(CS410+CS412)/2</f>
        <v>45.265000000000001</v>
      </c>
      <c r="CT411" s="120">
        <f>(CS411+CU411)/2</f>
        <v>46.0595</v>
      </c>
      <c r="CU411" s="120">
        <f>(CU410+CU412)/2</f>
        <v>46.853999999999999</v>
      </c>
      <c r="CV411" s="120">
        <f>(CU411+CW411)/2</f>
        <v>47.579749999999997</v>
      </c>
      <c r="CW411" s="120">
        <f>(CW410+CW412)/2</f>
        <v>48.305499999999995</v>
      </c>
      <c r="CX411" s="120">
        <f>(CW411+CY411)/2</f>
        <v>49.114499999999992</v>
      </c>
      <c r="CY411" s="120">
        <f>(CY410+CY412)/2</f>
        <v>49.923499999999997</v>
      </c>
      <c r="CZ411" s="120">
        <f>(CY411+DA411)/2</f>
        <v>50.645499999999998</v>
      </c>
      <c r="DA411" s="120">
        <f>(DA410+DA412)/2</f>
        <v>51.3675</v>
      </c>
      <c r="DB411" s="120">
        <f>(DA411+DC411)/2</f>
        <v>52.165750000000003</v>
      </c>
      <c r="DC411" s="120">
        <f>(DC410+DC412)/2</f>
        <v>52.963999999999999</v>
      </c>
      <c r="DD411" s="120">
        <f>(DC411+DE411)/2</f>
        <v>53.697000000000003</v>
      </c>
      <c r="DE411" s="120">
        <f>(DE410+DE412)/2</f>
        <v>54.430000000000007</v>
      </c>
      <c r="DF411" s="120">
        <f>(DE411+DG411)/2</f>
        <v>55.228000000000002</v>
      </c>
      <c r="DG411" s="122">
        <f>(DG410+DG412)/2</f>
        <v>56.025999999999996</v>
      </c>
    </row>
    <row r="412" spans="54:111" ht="15" customHeight="1" x14ac:dyDescent="0.2">
      <c r="BB412" s="28">
        <v>40</v>
      </c>
      <c r="BC412" s="121">
        <v>9.5749999999999993</v>
      </c>
      <c r="BD412" s="121">
        <v>10.6525</v>
      </c>
      <c r="BE412" s="121">
        <v>11.73</v>
      </c>
      <c r="BF412" s="121">
        <v>12.762499999999999</v>
      </c>
      <c r="BG412" s="121">
        <v>13.795</v>
      </c>
      <c r="BH412" s="121">
        <v>14.781500000000001</v>
      </c>
      <c r="BI412" s="121">
        <v>15.768000000000001</v>
      </c>
      <c r="BJ412" s="121">
        <v>16.6875</v>
      </c>
      <c r="BK412" s="121">
        <v>17.606999999999999</v>
      </c>
      <c r="BL412" s="121">
        <v>18.533000000000001</v>
      </c>
      <c r="BM412" s="121">
        <v>19.459</v>
      </c>
      <c r="BN412" s="121">
        <v>20.362499999999997</v>
      </c>
      <c r="BO412" s="121">
        <v>21.265999999999998</v>
      </c>
      <c r="BP412" s="121">
        <v>22.154499999999999</v>
      </c>
      <c r="BQ412" s="121">
        <v>23.042999999999999</v>
      </c>
      <c r="BR412" s="121">
        <v>23.893999999999998</v>
      </c>
      <c r="BS412" s="121">
        <v>24.745000000000001</v>
      </c>
      <c r="BT412" s="121">
        <v>25.648499999999999</v>
      </c>
      <c r="BU412" s="121">
        <v>26.552</v>
      </c>
      <c r="BV412" s="121">
        <v>27.402999999999999</v>
      </c>
      <c r="BW412" s="121">
        <v>28.254000000000001</v>
      </c>
      <c r="BX412" s="121">
        <v>29.0595</v>
      </c>
      <c r="BY412" s="121">
        <v>29.864999999999998</v>
      </c>
      <c r="BZ412" s="121">
        <v>30.738</v>
      </c>
      <c r="CA412" s="121">
        <v>31.611000000000001</v>
      </c>
      <c r="CB412" s="121">
        <v>32.417000000000002</v>
      </c>
      <c r="CC412" s="121">
        <v>33.222999999999999</v>
      </c>
      <c r="CD412" s="121">
        <v>34.036000000000001</v>
      </c>
      <c r="CE412" s="121">
        <v>34.848999999999997</v>
      </c>
      <c r="CF412" s="121">
        <v>35.6845</v>
      </c>
      <c r="CG412" s="121">
        <v>36.520000000000003</v>
      </c>
      <c r="CH412" s="121">
        <v>37.325500000000005</v>
      </c>
      <c r="CI412" s="121">
        <v>38.131</v>
      </c>
      <c r="CJ412" s="121">
        <v>38.944000000000003</v>
      </c>
      <c r="CK412" s="121">
        <v>39.756999999999998</v>
      </c>
      <c r="CL412" s="121">
        <f t="array" ref="CL412:CL432">TRANSPOSE(CM411:DG411)</f>
        <v>40.584999999999994</v>
      </c>
      <c r="CM412" s="158">
        <v>41.412999999999997</v>
      </c>
      <c r="CN412" s="120">
        <f>(CO412+CM412)/2</f>
        <v>42.225999999999999</v>
      </c>
      <c r="CO412" s="158">
        <v>43.039000000000001</v>
      </c>
      <c r="CP412" s="120">
        <f>(CQ412+CO412)/2</f>
        <v>43.769500000000001</v>
      </c>
      <c r="CQ412" s="158">
        <v>44.5</v>
      </c>
      <c r="CR412" s="120">
        <f>(CS412+CQ412)/2</f>
        <v>45.335499999999996</v>
      </c>
      <c r="CS412" s="158">
        <v>46.170999999999999</v>
      </c>
      <c r="CT412" s="120">
        <f>(CU412+CS412)/2</f>
        <v>46.976500000000001</v>
      </c>
      <c r="CU412" s="158">
        <v>47.781999999999996</v>
      </c>
      <c r="CV412" s="120">
        <f>(CW412+CU412)/2</f>
        <v>48.519499999999994</v>
      </c>
      <c r="CW412" s="158">
        <v>49.256999999999998</v>
      </c>
      <c r="CX412" s="120">
        <f>(CY412+CW412)/2</f>
        <v>50.092500000000001</v>
      </c>
      <c r="CY412" s="158">
        <v>50.927999999999997</v>
      </c>
      <c r="CZ412" s="120">
        <f>(DA412+CY412)/2</f>
        <v>51.658000000000001</v>
      </c>
      <c r="DA412" s="158">
        <v>52.387999999999998</v>
      </c>
      <c r="DB412" s="120">
        <f>(DC412+DA412)/2</f>
        <v>53.201999999999998</v>
      </c>
      <c r="DC412" s="158">
        <v>54.015999999999998</v>
      </c>
      <c r="DD412" s="120">
        <f>(DE412+DC412)/2</f>
        <v>54.768000000000001</v>
      </c>
      <c r="DE412" s="158">
        <v>55.52</v>
      </c>
      <c r="DF412" s="120">
        <f>(DG412+DE412)/2</f>
        <v>56.332999999999998</v>
      </c>
      <c r="DG412" s="159">
        <v>57.146000000000001</v>
      </c>
    </row>
    <row r="413" spans="54:111" ht="15" customHeight="1" x14ac:dyDescent="0.2">
      <c r="BB413" s="28">
        <v>41</v>
      </c>
      <c r="BC413" s="121">
        <v>9.7225000000000001</v>
      </c>
      <c r="BD413" s="121">
        <v>10.8415</v>
      </c>
      <c r="BE413" s="121">
        <v>11.9605</v>
      </c>
      <c r="BF413" s="121">
        <v>12.9895</v>
      </c>
      <c r="BG413" s="121">
        <v>14.0185</v>
      </c>
      <c r="BH413" s="121">
        <v>15.031750000000001</v>
      </c>
      <c r="BI413" s="121">
        <v>16.045000000000002</v>
      </c>
      <c r="BJ413" s="121">
        <v>16.990749999999998</v>
      </c>
      <c r="BK413" s="121">
        <v>17.936499999999999</v>
      </c>
      <c r="BL413" s="121">
        <v>18.874500000000001</v>
      </c>
      <c r="BM413" s="121">
        <v>19.8125</v>
      </c>
      <c r="BN413" s="121">
        <v>20.750249999999998</v>
      </c>
      <c r="BO413" s="121">
        <v>21.687999999999999</v>
      </c>
      <c r="BP413" s="121">
        <v>22.565750000000001</v>
      </c>
      <c r="BQ413" s="121">
        <v>23.4435</v>
      </c>
      <c r="BR413" s="121">
        <v>24.335999999999999</v>
      </c>
      <c r="BS413" s="121">
        <v>25.2285</v>
      </c>
      <c r="BT413" s="121">
        <v>26.128250000000001</v>
      </c>
      <c r="BU413" s="121">
        <v>27.027999999999999</v>
      </c>
      <c r="BV413" s="121">
        <v>27.887</v>
      </c>
      <c r="BW413" s="121">
        <v>28.746000000000002</v>
      </c>
      <c r="BX413" s="121">
        <v>29.597000000000001</v>
      </c>
      <c r="BY413" s="121">
        <v>30.448</v>
      </c>
      <c r="BZ413" s="121">
        <v>31.3215</v>
      </c>
      <c r="CA413" s="121">
        <v>32.195</v>
      </c>
      <c r="CB413" s="121">
        <v>33.02375</v>
      </c>
      <c r="CC413" s="121">
        <v>33.852499999999999</v>
      </c>
      <c r="CD413" s="121">
        <v>34.688249999999996</v>
      </c>
      <c r="CE413" s="121">
        <v>35.524000000000001</v>
      </c>
      <c r="CF413" s="121">
        <v>36.378749999999997</v>
      </c>
      <c r="CG413" s="121">
        <v>37.233500000000006</v>
      </c>
      <c r="CH413" s="121">
        <v>38.062000000000005</v>
      </c>
      <c r="CI413" s="121">
        <v>38.890500000000003</v>
      </c>
      <c r="CJ413" s="121">
        <v>39.715000000000003</v>
      </c>
      <c r="CK413" s="121">
        <v>40.539500000000004</v>
      </c>
      <c r="CL413" s="121">
        <v>41.382750000000001</v>
      </c>
      <c r="CM413" s="121">
        <f t="array" ref="CM413:CM432">TRANSPOSE(CN412:DG412)</f>
        <v>42.225999999999999</v>
      </c>
      <c r="CN413" s="120">
        <f>(CM413+CO413)/2</f>
        <v>43.020250000000004</v>
      </c>
      <c r="CO413" s="120">
        <f>(CO412+CO414)/2</f>
        <v>43.814500000000002</v>
      </c>
      <c r="CP413" s="120">
        <f>(CO413+CQ413)/2</f>
        <v>44.598500000000001</v>
      </c>
      <c r="CQ413" s="120">
        <f>(CQ412+CQ414)/2</f>
        <v>45.3825</v>
      </c>
      <c r="CR413" s="120">
        <f>(CQ413+CS413)/2</f>
        <v>46.229500000000002</v>
      </c>
      <c r="CS413" s="120">
        <f>(CS412+CS414)/2</f>
        <v>47.076499999999996</v>
      </c>
      <c r="CT413" s="120">
        <f>(CS413+CU413)/2</f>
        <v>47.89725</v>
      </c>
      <c r="CU413" s="120">
        <f>(CU412+CU414)/2</f>
        <v>48.718000000000004</v>
      </c>
      <c r="CV413" s="120">
        <f>(CU413+CW413)/2</f>
        <v>49.47475</v>
      </c>
      <c r="CW413" s="120">
        <f>(CW412+CW414)/2</f>
        <v>50.231499999999997</v>
      </c>
      <c r="CX413" s="120">
        <f>(CW413+CY413)/2</f>
        <v>51.078249999999997</v>
      </c>
      <c r="CY413" s="120">
        <f>(CY412+CY414)/2</f>
        <v>51.924999999999997</v>
      </c>
      <c r="CZ413" s="120">
        <f>(CY413+DA413)/2</f>
        <v>52.670749999999998</v>
      </c>
      <c r="DA413" s="120">
        <f>(DA412+DA414)/2</f>
        <v>53.416499999999999</v>
      </c>
      <c r="DB413" s="120">
        <f>(DA413+DC413)/2</f>
        <v>54.248999999999995</v>
      </c>
      <c r="DC413" s="120">
        <f>(DC412+DC414)/2</f>
        <v>55.081499999999998</v>
      </c>
      <c r="DD413" s="120">
        <f>(DC413+DE413)/2</f>
        <v>55.875749999999996</v>
      </c>
      <c r="DE413" s="120">
        <f>(DE412+DE414)/2</f>
        <v>56.67</v>
      </c>
      <c r="DF413" s="120">
        <f>(DE413+DG413)/2</f>
        <v>57.468000000000004</v>
      </c>
      <c r="DG413" s="122">
        <f>(DG412+DG414)/2</f>
        <v>58.266000000000005</v>
      </c>
    </row>
    <row r="414" spans="54:111" ht="15" customHeight="1" x14ac:dyDescent="0.2">
      <c r="BB414" s="28">
        <v>42</v>
      </c>
      <c r="BC414" s="121">
        <v>9.8699999999999992</v>
      </c>
      <c r="BD414" s="121">
        <v>11.0305</v>
      </c>
      <c r="BE414" s="121">
        <v>12.191000000000001</v>
      </c>
      <c r="BF414" s="121">
        <v>13.2165</v>
      </c>
      <c r="BG414" s="121">
        <v>14.242000000000001</v>
      </c>
      <c r="BH414" s="121">
        <v>15.282</v>
      </c>
      <c r="BI414" s="121">
        <v>16.321999999999999</v>
      </c>
      <c r="BJ414" s="121">
        <v>17.293999999999997</v>
      </c>
      <c r="BK414" s="121">
        <v>18.265999999999998</v>
      </c>
      <c r="BL414" s="121">
        <v>19.216000000000001</v>
      </c>
      <c r="BM414" s="121">
        <v>20.166</v>
      </c>
      <c r="BN414" s="121">
        <v>21.137999999999998</v>
      </c>
      <c r="BO414" s="121">
        <v>22.11</v>
      </c>
      <c r="BP414" s="121">
        <v>22.977</v>
      </c>
      <c r="BQ414" s="121">
        <v>23.844000000000001</v>
      </c>
      <c r="BR414" s="121">
        <v>24.777999999999999</v>
      </c>
      <c r="BS414" s="121">
        <v>25.712</v>
      </c>
      <c r="BT414" s="121">
        <v>26.608000000000001</v>
      </c>
      <c r="BU414" s="121">
        <v>27.504000000000001</v>
      </c>
      <c r="BV414" s="121">
        <v>28.371000000000002</v>
      </c>
      <c r="BW414" s="121">
        <v>29.238</v>
      </c>
      <c r="BX414" s="121">
        <v>30.134499999999999</v>
      </c>
      <c r="BY414" s="121">
        <v>31.030999999999999</v>
      </c>
      <c r="BZ414" s="121">
        <v>31.905000000000001</v>
      </c>
      <c r="CA414" s="121">
        <v>32.779000000000003</v>
      </c>
      <c r="CB414" s="121">
        <v>33.630499999999998</v>
      </c>
      <c r="CC414" s="121">
        <v>34.481999999999999</v>
      </c>
      <c r="CD414" s="121">
        <v>35.340499999999999</v>
      </c>
      <c r="CE414" s="121">
        <v>36.198999999999998</v>
      </c>
      <c r="CF414" s="121">
        <v>37.073</v>
      </c>
      <c r="CG414" s="121">
        <v>37.947000000000003</v>
      </c>
      <c r="CH414" s="121">
        <v>38.798500000000004</v>
      </c>
      <c r="CI414" s="121">
        <v>39.65</v>
      </c>
      <c r="CJ414" s="121">
        <v>40.486000000000004</v>
      </c>
      <c r="CK414" s="121">
        <v>41.322000000000003</v>
      </c>
      <c r="CL414" s="121">
        <v>42.180500000000002</v>
      </c>
      <c r="CM414" s="121">
        <v>43.039000000000001</v>
      </c>
      <c r="CN414" s="121">
        <f t="array" ref="CN414:CN432">TRANSPOSE(CO413:DG413)</f>
        <v>43.814500000000002</v>
      </c>
      <c r="CO414" s="158">
        <v>44.59</v>
      </c>
      <c r="CP414" s="120">
        <f>(CQ414+CO414)/2</f>
        <v>45.427500000000002</v>
      </c>
      <c r="CQ414" s="158">
        <v>46.265000000000001</v>
      </c>
      <c r="CR414" s="120">
        <f>(CS414+CQ414)/2</f>
        <v>47.1235</v>
      </c>
      <c r="CS414" s="158">
        <v>47.981999999999999</v>
      </c>
      <c r="CT414" s="120">
        <f>(CU414+CS414)/2</f>
        <v>48.817999999999998</v>
      </c>
      <c r="CU414" s="158">
        <v>49.654000000000003</v>
      </c>
      <c r="CV414" s="120">
        <f>(CW414+CU414)/2</f>
        <v>50.430000000000007</v>
      </c>
      <c r="CW414" s="158">
        <v>51.206000000000003</v>
      </c>
      <c r="CX414" s="120">
        <f>(CY414+CW414)/2</f>
        <v>52.064</v>
      </c>
      <c r="CY414" s="158">
        <v>52.921999999999997</v>
      </c>
      <c r="CZ414" s="120">
        <f>(DA414+CY414)/2</f>
        <v>53.683499999999995</v>
      </c>
      <c r="DA414" s="158">
        <v>54.445</v>
      </c>
      <c r="DB414" s="120">
        <f>(DC414+DA414)/2</f>
        <v>55.295999999999999</v>
      </c>
      <c r="DC414" s="158">
        <v>56.146999999999998</v>
      </c>
      <c r="DD414" s="120">
        <f>(DE414+DC414)/2</f>
        <v>56.983499999999999</v>
      </c>
      <c r="DE414" s="158">
        <v>57.82</v>
      </c>
      <c r="DF414" s="120">
        <f>(DG414+DE414)/2</f>
        <v>58.603000000000002</v>
      </c>
      <c r="DG414" s="159">
        <v>59.386000000000003</v>
      </c>
    </row>
    <row r="415" spans="54:111" ht="15" customHeight="1" x14ac:dyDescent="0.2">
      <c r="BB415" s="28">
        <v>43</v>
      </c>
      <c r="BC415" s="121">
        <v>10.0465</v>
      </c>
      <c r="BD415" s="121">
        <v>11.215250000000001</v>
      </c>
      <c r="BE415" s="121">
        <v>12.384</v>
      </c>
      <c r="BF415" s="121">
        <v>13.44</v>
      </c>
      <c r="BG415" s="121">
        <v>14.496</v>
      </c>
      <c r="BH415" s="121">
        <v>15.551500000000001</v>
      </c>
      <c r="BI415" s="121">
        <v>16.606999999999999</v>
      </c>
      <c r="BJ415" s="121">
        <v>17.590499999999999</v>
      </c>
      <c r="BK415" s="121">
        <v>18.573999999999998</v>
      </c>
      <c r="BL415" s="121">
        <v>19.546500000000002</v>
      </c>
      <c r="BM415" s="121">
        <v>20.518999999999998</v>
      </c>
      <c r="BN415" s="121">
        <v>21.502749999999999</v>
      </c>
      <c r="BO415" s="121">
        <v>22.486499999999999</v>
      </c>
      <c r="BP415" s="121">
        <v>23.395000000000003</v>
      </c>
      <c r="BQ415" s="121">
        <v>24.3035</v>
      </c>
      <c r="BR415" s="121">
        <v>25.248999999999999</v>
      </c>
      <c r="BS415" s="121">
        <v>26.194499999999998</v>
      </c>
      <c r="BT415" s="121">
        <v>27.102499999999999</v>
      </c>
      <c r="BU415" s="121">
        <v>28.0105</v>
      </c>
      <c r="BV415" s="121">
        <v>28.893000000000001</v>
      </c>
      <c r="BW415" s="121">
        <v>29.775500000000001</v>
      </c>
      <c r="BX415" s="121">
        <v>30.683500000000002</v>
      </c>
      <c r="BY415" s="121">
        <v>31.5915</v>
      </c>
      <c r="BZ415" s="121">
        <v>32.484749999999998</v>
      </c>
      <c r="CA415" s="121">
        <v>33.378</v>
      </c>
      <c r="CB415" s="121">
        <v>34.244500000000002</v>
      </c>
      <c r="CC415" s="121">
        <v>35.111000000000004</v>
      </c>
      <c r="CD415" s="121">
        <v>36</v>
      </c>
      <c r="CE415" s="121">
        <v>36.888999999999996</v>
      </c>
      <c r="CF415" s="121">
        <v>37.766999999999996</v>
      </c>
      <c r="CG415" s="121">
        <v>38.645000000000003</v>
      </c>
      <c r="CH415" s="121">
        <v>39.492750000000001</v>
      </c>
      <c r="CI415" s="121">
        <v>40.340499999999999</v>
      </c>
      <c r="CJ415" s="121">
        <v>41.188250000000004</v>
      </c>
      <c r="CK415" s="121">
        <v>42.036000000000001</v>
      </c>
      <c r="CL415" s="121">
        <v>42.902749999999997</v>
      </c>
      <c r="CM415" s="121">
        <v>43.769500000000001</v>
      </c>
      <c r="CN415" s="121">
        <v>44.598500000000001</v>
      </c>
      <c r="CO415" s="121">
        <f t="array" ref="CO415:CO432">TRANSPOSE(CP414:DG414)</f>
        <v>45.427500000000002</v>
      </c>
      <c r="CP415" s="120">
        <f>(CO415+CQ415)/2</f>
        <v>46.287000000000006</v>
      </c>
      <c r="CQ415" s="120">
        <f>(CQ414+CQ416)/2</f>
        <v>47.146500000000003</v>
      </c>
      <c r="CR415" s="120">
        <f>(CQ415+CS415)/2</f>
        <v>48.016750000000002</v>
      </c>
      <c r="CS415" s="120">
        <f>(CS414+CS416)/2</f>
        <v>48.887</v>
      </c>
      <c r="CT415" s="120">
        <f>(CS415+CU415)/2</f>
        <v>49.707999999999998</v>
      </c>
      <c r="CU415" s="120">
        <f>(CU414+CU416)/2</f>
        <v>50.529000000000003</v>
      </c>
      <c r="CV415" s="120">
        <f>(CU415+CW415)/2</f>
        <v>51.354250000000008</v>
      </c>
      <c r="CW415" s="120">
        <f>(CW414+CW416)/2</f>
        <v>52.179500000000004</v>
      </c>
      <c r="CX415" s="120">
        <f>(CW415+CY415)/2</f>
        <v>53.049750000000003</v>
      </c>
      <c r="CY415" s="120">
        <f>(CY414+CY416)/2</f>
        <v>53.92</v>
      </c>
      <c r="CZ415" s="120">
        <f>(CY415+DA415)/2</f>
        <v>54.692750000000004</v>
      </c>
      <c r="DA415" s="120">
        <f>(DA414+DA416)/2</f>
        <v>55.465499999999999</v>
      </c>
      <c r="DB415" s="120">
        <f>(DA415+DC415)/2</f>
        <v>56.33175</v>
      </c>
      <c r="DC415" s="120">
        <f>(DC414+DC416)/2</f>
        <v>57.198</v>
      </c>
      <c r="DD415" s="120">
        <f>(DC415+DE415)/2</f>
        <v>58.057500000000005</v>
      </c>
      <c r="DE415" s="120">
        <f>(DE414+DE416)/2</f>
        <v>58.917000000000002</v>
      </c>
      <c r="DF415" s="120">
        <f>(DE415+DG415)/2</f>
        <v>59.707750000000004</v>
      </c>
      <c r="DG415" s="122">
        <f>(DG414+DG416)/2</f>
        <v>60.4985</v>
      </c>
    </row>
    <row r="416" spans="54:111" ht="15" customHeight="1" x14ac:dyDescent="0.2">
      <c r="BB416" s="28">
        <v>44</v>
      </c>
      <c r="BC416" s="121">
        <v>10.223000000000001</v>
      </c>
      <c r="BD416" s="121">
        <v>11.4</v>
      </c>
      <c r="BE416" s="121">
        <v>12.577</v>
      </c>
      <c r="BF416" s="121">
        <v>13.663499999999999</v>
      </c>
      <c r="BG416" s="121">
        <v>14.75</v>
      </c>
      <c r="BH416" s="121">
        <v>15.821</v>
      </c>
      <c r="BI416" s="121">
        <v>16.891999999999999</v>
      </c>
      <c r="BJ416" s="121">
        <v>17.887</v>
      </c>
      <c r="BK416" s="121">
        <v>18.882000000000001</v>
      </c>
      <c r="BL416" s="121">
        <v>19.877000000000002</v>
      </c>
      <c r="BM416" s="121">
        <v>20.872</v>
      </c>
      <c r="BN416" s="121">
        <v>21.8675</v>
      </c>
      <c r="BO416" s="121">
        <v>22.863</v>
      </c>
      <c r="BP416" s="121">
        <v>23.813000000000002</v>
      </c>
      <c r="BQ416" s="121">
        <v>24.763000000000002</v>
      </c>
      <c r="BR416" s="121">
        <v>25.72</v>
      </c>
      <c r="BS416" s="121">
        <v>26.677</v>
      </c>
      <c r="BT416" s="121">
        <v>27.597000000000001</v>
      </c>
      <c r="BU416" s="121">
        <v>28.516999999999999</v>
      </c>
      <c r="BV416" s="121">
        <v>29.414999999999999</v>
      </c>
      <c r="BW416" s="121">
        <v>30.312999999999999</v>
      </c>
      <c r="BX416" s="121">
        <v>31.232500000000002</v>
      </c>
      <c r="BY416" s="121">
        <v>32.152000000000001</v>
      </c>
      <c r="BZ416" s="121">
        <v>33.064499999999995</v>
      </c>
      <c r="CA416" s="121">
        <v>33.976999999999997</v>
      </c>
      <c r="CB416" s="121">
        <v>34.858499999999999</v>
      </c>
      <c r="CC416" s="121">
        <v>35.74</v>
      </c>
      <c r="CD416" s="121">
        <v>36.659500000000001</v>
      </c>
      <c r="CE416" s="121">
        <v>37.579000000000001</v>
      </c>
      <c r="CF416" s="121">
        <v>38.460999999999999</v>
      </c>
      <c r="CG416" s="121">
        <v>39.343000000000004</v>
      </c>
      <c r="CH416" s="121">
        <v>40.186999999999998</v>
      </c>
      <c r="CI416" s="121">
        <v>41.030999999999999</v>
      </c>
      <c r="CJ416" s="121">
        <v>41.890500000000003</v>
      </c>
      <c r="CK416" s="121">
        <v>42.75</v>
      </c>
      <c r="CL416" s="121">
        <v>43.625</v>
      </c>
      <c r="CM416" s="121">
        <v>44.5</v>
      </c>
      <c r="CN416" s="121">
        <v>45.3825</v>
      </c>
      <c r="CO416" s="121">
        <v>46.265000000000001</v>
      </c>
      <c r="CP416" s="121">
        <f t="array" ref="CP416:CP432">TRANSPOSE(CQ415:DG415)</f>
        <v>47.146500000000003</v>
      </c>
      <c r="CQ416" s="158">
        <v>48.027999999999999</v>
      </c>
      <c r="CR416" s="121">
        <f>CS415</f>
        <v>48.887</v>
      </c>
      <c r="CS416" s="158">
        <v>49.792000000000002</v>
      </c>
      <c r="CT416" s="121">
        <f>CU415</f>
        <v>50.529000000000003</v>
      </c>
      <c r="CU416" s="158">
        <v>51.404000000000003</v>
      </c>
      <c r="CV416" s="121">
        <f>CW415</f>
        <v>52.179500000000004</v>
      </c>
      <c r="CW416" s="158">
        <v>53.152999999999999</v>
      </c>
      <c r="CX416" s="121">
        <f>CY415</f>
        <v>53.92</v>
      </c>
      <c r="CY416" s="158">
        <v>54.917999999999999</v>
      </c>
      <c r="CZ416" s="121">
        <f>DA415</f>
        <v>55.465499999999999</v>
      </c>
      <c r="DA416" s="158">
        <v>56.485999999999997</v>
      </c>
      <c r="DB416" s="121">
        <f>DC415</f>
        <v>57.198</v>
      </c>
      <c r="DC416" s="158">
        <v>58.249000000000002</v>
      </c>
      <c r="DD416" s="121">
        <f>DE415</f>
        <v>58.917000000000002</v>
      </c>
      <c r="DE416" s="158">
        <v>60.014000000000003</v>
      </c>
      <c r="DF416" s="121">
        <f>DG415</f>
        <v>60.4985</v>
      </c>
      <c r="DG416" s="159">
        <v>61.610999999999997</v>
      </c>
    </row>
    <row r="417" spans="54:111" ht="15" customHeight="1" x14ac:dyDescent="0.2">
      <c r="BB417" s="28">
        <v>45</v>
      </c>
      <c r="BC417" s="121">
        <v>10.3705</v>
      </c>
      <c r="BD417" s="121">
        <v>11.58175</v>
      </c>
      <c r="BE417" s="121">
        <v>12.792999999999999</v>
      </c>
      <c r="BF417" s="121">
        <v>13.913</v>
      </c>
      <c r="BG417" s="121">
        <v>15.033000000000001</v>
      </c>
      <c r="BH417" s="121">
        <v>16.09675</v>
      </c>
      <c r="BI417" s="121">
        <v>17.160499999999999</v>
      </c>
      <c r="BJ417" s="121">
        <v>18.186</v>
      </c>
      <c r="BK417" s="121">
        <v>19.211500000000001</v>
      </c>
      <c r="BL417" s="121">
        <v>20.218500000000002</v>
      </c>
      <c r="BM417" s="121">
        <v>21.2255</v>
      </c>
      <c r="BN417" s="121">
        <v>22.232500000000002</v>
      </c>
      <c r="BO417" s="121">
        <v>23.2395</v>
      </c>
      <c r="BP417" s="121">
        <v>24.201250000000002</v>
      </c>
      <c r="BQ417" s="121">
        <v>25.163</v>
      </c>
      <c r="BR417" s="121">
        <v>26.131999999999998</v>
      </c>
      <c r="BS417" s="121">
        <v>27.100999999999999</v>
      </c>
      <c r="BT417" s="121">
        <v>28.051500000000001</v>
      </c>
      <c r="BU417" s="121">
        <v>29.001999999999999</v>
      </c>
      <c r="BV417" s="121">
        <v>29.933250000000001</v>
      </c>
      <c r="BW417" s="121">
        <v>30.8645</v>
      </c>
      <c r="BX417" s="121">
        <v>31.795750000000002</v>
      </c>
      <c r="BY417" s="121">
        <v>32.727000000000004</v>
      </c>
      <c r="BZ417" s="121">
        <v>33.65475</v>
      </c>
      <c r="CA417" s="121">
        <v>34.582499999999996</v>
      </c>
      <c r="CB417" s="121">
        <v>35.475999999999999</v>
      </c>
      <c r="CC417" s="121">
        <v>36.369500000000002</v>
      </c>
      <c r="CD417" s="121">
        <v>37.300750000000001</v>
      </c>
      <c r="CE417" s="121">
        <v>38.231999999999999</v>
      </c>
      <c r="CF417" s="121">
        <v>39.125500000000002</v>
      </c>
      <c r="CG417" s="121">
        <v>40.019000000000005</v>
      </c>
      <c r="CH417" s="121">
        <v>40.893500000000003</v>
      </c>
      <c r="CI417" s="121">
        <v>41.768000000000001</v>
      </c>
      <c r="CJ417" s="121">
        <v>42.661250000000003</v>
      </c>
      <c r="CK417" s="121">
        <v>43.554500000000004</v>
      </c>
      <c r="CL417" s="121">
        <v>44.445</v>
      </c>
      <c r="CM417" s="121">
        <v>45.335499999999996</v>
      </c>
      <c r="CN417" s="121">
        <v>46.229500000000002</v>
      </c>
      <c r="CO417" s="121">
        <v>47.1235</v>
      </c>
      <c r="CP417" s="121">
        <v>48.016750000000002</v>
      </c>
      <c r="CQ417" s="121">
        <f t="array" ref="CQ417:CQ432">TRANSPOSE(CR416:DG416)</f>
        <v>48.887</v>
      </c>
      <c r="CR417" s="120">
        <f>(CQ417+CS417)/2</f>
        <v>49.792000000000002</v>
      </c>
      <c r="CS417" s="120">
        <f>(CS416+CS418)/2</f>
        <v>50.697000000000003</v>
      </c>
      <c r="CT417" s="120">
        <f>(CS417+CU417)/2</f>
        <v>51.514750000000006</v>
      </c>
      <c r="CU417" s="120">
        <f>(CU416+CU418)/2</f>
        <v>52.332500000000003</v>
      </c>
      <c r="CV417" s="120">
        <f>(CU417+CW417)/2</f>
        <v>53.222499999999997</v>
      </c>
      <c r="CW417" s="120">
        <f>(CW416+CW418)/2</f>
        <v>54.112499999999997</v>
      </c>
      <c r="CX417" s="120">
        <f>(CW417+CY417)/2</f>
        <v>55.006500000000003</v>
      </c>
      <c r="CY417" s="120">
        <f>(CY416+CY418)/2</f>
        <v>55.900500000000001</v>
      </c>
      <c r="CZ417" s="120">
        <f>(CY417+DA417)/2</f>
        <v>56.714749999999995</v>
      </c>
      <c r="DA417" s="120">
        <f>(DA416+DA418)/2</f>
        <v>57.528999999999996</v>
      </c>
      <c r="DB417" s="120">
        <f>(DA417+DC417)/2</f>
        <v>58.422249999999998</v>
      </c>
      <c r="DC417" s="120">
        <f>(DC416+DC418)/2</f>
        <v>59.3155</v>
      </c>
      <c r="DD417" s="120">
        <f>(DC417+DE417)/2</f>
        <v>60.209249999999997</v>
      </c>
      <c r="DE417" s="120">
        <f>(DE416+DE418)/2</f>
        <v>61.103000000000002</v>
      </c>
      <c r="DF417" s="120">
        <f>(DE417+DG417)/2</f>
        <v>61.917000000000002</v>
      </c>
      <c r="DG417" s="122">
        <f>(DG416+DG418)/2</f>
        <v>62.730999999999995</v>
      </c>
    </row>
    <row r="418" spans="54:111" ht="15" customHeight="1" x14ac:dyDescent="0.2">
      <c r="BB418" s="28">
        <v>46</v>
      </c>
      <c r="BC418" s="121">
        <v>10.518000000000001</v>
      </c>
      <c r="BD418" s="121">
        <v>11.763500000000001</v>
      </c>
      <c r="BE418" s="121">
        <v>13.009</v>
      </c>
      <c r="BF418" s="121">
        <v>14.162500000000001</v>
      </c>
      <c r="BG418" s="121">
        <v>15.316000000000001</v>
      </c>
      <c r="BH418" s="121">
        <v>16.372499999999999</v>
      </c>
      <c r="BI418" s="121">
        <v>17.428999999999998</v>
      </c>
      <c r="BJ418" s="121">
        <v>18.484999999999999</v>
      </c>
      <c r="BK418" s="121">
        <v>19.541</v>
      </c>
      <c r="BL418" s="121">
        <v>20.560000000000002</v>
      </c>
      <c r="BM418" s="121">
        <v>21.579000000000001</v>
      </c>
      <c r="BN418" s="121">
        <v>22.5975</v>
      </c>
      <c r="BO418" s="121">
        <v>23.616</v>
      </c>
      <c r="BP418" s="121">
        <v>24.589500000000001</v>
      </c>
      <c r="BQ418" s="121">
        <v>25.562999999999999</v>
      </c>
      <c r="BR418" s="121">
        <v>26.543999999999997</v>
      </c>
      <c r="BS418" s="121">
        <v>27.524999999999999</v>
      </c>
      <c r="BT418" s="121">
        <v>28.506</v>
      </c>
      <c r="BU418" s="121">
        <v>29.486999999999998</v>
      </c>
      <c r="BV418" s="121">
        <v>30.451499999999999</v>
      </c>
      <c r="BW418" s="121">
        <v>31.416</v>
      </c>
      <c r="BX418" s="121">
        <v>32.359000000000002</v>
      </c>
      <c r="BY418" s="121">
        <v>33.302</v>
      </c>
      <c r="BZ418" s="121">
        <v>34.245000000000005</v>
      </c>
      <c r="CA418" s="121">
        <v>35.188000000000002</v>
      </c>
      <c r="CB418" s="121">
        <v>36.093500000000006</v>
      </c>
      <c r="CC418" s="121">
        <v>36.999000000000002</v>
      </c>
      <c r="CD418" s="121">
        <v>37.942</v>
      </c>
      <c r="CE418" s="121">
        <v>38.884999999999998</v>
      </c>
      <c r="CF418" s="121">
        <v>39.79</v>
      </c>
      <c r="CG418" s="121">
        <v>40.695</v>
      </c>
      <c r="CH418" s="121">
        <v>41.6</v>
      </c>
      <c r="CI418" s="121">
        <v>42.505000000000003</v>
      </c>
      <c r="CJ418" s="121">
        <v>43.432000000000002</v>
      </c>
      <c r="CK418" s="121">
        <v>44.359000000000002</v>
      </c>
      <c r="CL418" s="121">
        <v>45.265000000000001</v>
      </c>
      <c r="CM418" s="121">
        <v>46.170999999999999</v>
      </c>
      <c r="CN418" s="121">
        <v>47.076499999999996</v>
      </c>
      <c r="CO418" s="121">
        <v>47.981999999999999</v>
      </c>
      <c r="CP418" s="121">
        <v>48.887</v>
      </c>
      <c r="CQ418" s="121">
        <v>49.792000000000002</v>
      </c>
      <c r="CR418" s="150">
        <f t="array" ref="CR418:CR432">TRANSPOSE(CS417:DG417)</f>
        <v>50.697000000000003</v>
      </c>
      <c r="CS418" s="158">
        <v>51.601999999999997</v>
      </c>
      <c r="CT418" s="121">
        <f>CU417</f>
        <v>52.332500000000003</v>
      </c>
      <c r="CU418" s="158">
        <v>53.261000000000003</v>
      </c>
      <c r="CV418" s="121">
        <f>CW417</f>
        <v>54.112499999999997</v>
      </c>
      <c r="CW418" s="158">
        <v>55.072000000000003</v>
      </c>
      <c r="CX418" s="121">
        <f>CY417</f>
        <v>55.900500000000001</v>
      </c>
      <c r="CY418" s="158">
        <v>56.883000000000003</v>
      </c>
      <c r="CZ418" s="121">
        <f>DA417</f>
        <v>57.528999999999996</v>
      </c>
      <c r="DA418" s="158">
        <v>58.572000000000003</v>
      </c>
      <c r="DB418" s="121">
        <f>DC417</f>
        <v>59.3155</v>
      </c>
      <c r="DC418" s="158">
        <v>60.381999999999998</v>
      </c>
      <c r="DD418" s="121">
        <f>DE417</f>
        <v>61.103000000000002</v>
      </c>
      <c r="DE418" s="158">
        <v>62.192</v>
      </c>
      <c r="DF418" s="121">
        <f>DG417</f>
        <v>62.730999999999995</v>
      </c>
      <c r="DG418" s="159">
        <v>63.850999999999999</v>
      </c>
    </row>
    <row r="419" spans="54:111" ht="15" customHeight="1" x14ac:dyDescent="0.2">
      <c r="BB419" s="28">
        <v>47</v>
      </c>
      <c r="BC419" s="121">
        <v>10.725000000000001</v>
      </c>
      <c r="BD419" s="121">
        <v>11.96325</v>
      </c>
      <c r="BE419" s="121">
        <v>13.201499999999999</v>
      </c>
      <c r="BF419" s="121">
        <v>14.367000000000001</v>
      </c>
      <c r="BG419" s="121">
        <v>15.532500000000001</v>
      </c>
      <c r="BH419" s="121">
        <v>16.619500000000002</v>
      </c>
      <c r="BI419" s="121">
        <v>17.706499999999998</v>
      </c>
      <c r="BJ419" s="121">
        <v>18.774250000000002</v>
      </c>
      <c r="BK419" s="121">
        <v>19.841999999999999</v>
      </c>
      <c r="BL419" s="121">
        <v>20.90625</v>
      </c>
      <c r="BM419" s="121">
        <v>21.970500000000001</v>
      </c>
      <c r="BN419" s="121">
        <v>22.981499999999997</v>
      </c>
      <c r="BO419" s="121">
        <v>23.9925</v>
      </c>
      <c r="BP419" s="121">
        <v>25.01125</v>
      </c>
      <c r="BQ419" s="121">
        <v>26.03</v>
      </c>
      <c r="BR419" s="121">
        <v>27.022499999999997</v>
      </c>
      <c r="BS419" s="121">
        <v>28.015000000000001</v>
      </c>
      <c r="BT419" s="121">
        <v>28.989000000000001</v>
      </c>
      <c r="BU419" s="121">
        <v>29.963000000000001</v>
      </c>
      <c r="BV419" s="121">
        <v>30.939499999999999</v>
      </c>
      <c r="BW419" s="121">
        <v>31.915999999999997</v>
      </c>
      <c r="BX419" s="121">
        <v>32.889499999999998</v>
      </c>
      <c r="BY419" s="121">
        <v>33.863</v>
      </c>
      <c r="BZ419" s="121">
        <v>34.8095</v>
      </c>
      <c r="CA419" s="121">
        <v>35.756</v>
      </c>
      <c r="CB419" s="121">
        <v>36.692</v>
      </c>
      <c r="CC419" s="121">
        <v>37.628</v>
      </c>
      <c r="CD419" s="121">
        <v>38.582999999999998</v>
      </c>
      <c r="CE419" s="121">
        <v>39.537999999999997</v>
      </c>
      <c r="CF419" s="121">
        <v>40.46575</v>
      </c>
      <c r="CG419" s="121">
        <v>41.393500000000003</v>
      </c>
      <c r="CH419" s="121">
        <v>42.329000000000001</v>
      </c>
      <c r="CI419" s="121">
        <v>43.264499999999998</v>
      </c>
      <c r="CJ419" s="121">
        <v>44.203500000000005</v>
      </c>
      <c r="CK419" s="121">
        <v>45.142499999999998</v>
      </c>
      <c r="CL419" s="121">
        <v>46.0595</v>
      </c>
      <c r="CM419" s="121">
        <v>46.976500000000001</v>
      </c>
      <c r="CN419" s="121">
        <v>47.89725</v>
      </c>
      <c r="CO419" s="121">
        <v>48.817999999999998</v>
      </c>
      <c r="CP419" s="121">
        <v>49.707999999999998</v>
      </c>
      <c r="CQ419" s="121">
        <v>50.529000000000003</v>
      </c>
      <c r="CR419" s="160">
        <v>51.514750000000006</v>
      </c>
      <c r="CS419" s="160">
        <f t="array" ref="CS419:CS432">TRANSPOSE(CT418:DG418)</f>
        <v>52.332500000000003</v>
      </c>
      <c r="CT419" s="120">
        <f>(CS419+CU419)/2</f>
        <v>53.27225</v>
      </c>
      <c r="CU419" s="120">
        <f>(CU418+CU420)/2</f>
        <v>54.212000000000003</v>
      </c>
      <c r="CV419" s="120">
        <f>(CU419+CW419)/2</f>
        <v>55.129249999999999</v>
      </c>
      <c r="CW419" s="120">
        <f>(CW418+CW420)/2</f>
        <v>56.046500000000002</v>
      </c>
      <c r="CX419" s="120">
        <f>(CW419+CY419)/2</f>
        <v>56.963250000000002</v>
      </c>
      <c r="CY419" s="120">
        <f>(CY418+CY420)/2</f>
        <v>57.88</v>
      </c>
      <c r="CZ419" s="120">
        <f>(CY419+DA419)/2</f>
        <v>58.739750000000001</v>
      </c>
      <c r="DA419" s="120">
        <f>(DA418+DA420)/2</f>
        <v>59.599500000000006</v>
      </c>
      <c r="DB419" s="120">
        <f>(DA419+DC419)/2</f>
        <v>60.516249999999999</v>
      </c>
      <c r="DC419" s="120">
        <f>(DC418+DC420)/2</f>
        <v>61.433</v>
      </c>
      <c r="DD419" s="120">
        <f>(DC419+DE419)/2</f>
        <v>62.361000000000004</v>
      </c>
      <c r="DE419" s="120">
        <f>(DE418+DE420)/2</f>
        <v>63.289000000000001</v>
      </c>
      <c r="DF419" s="120">
        <f>(DE419+DG419)/2</f>
        <v>64.130500000000012</v>
      </c>
      <c r="DG419" s="122">
        <f>(DG418+DG420)/2</f>
        <v>64.972000000000008</v>
      </c>
    </row>
    <row r="420" spans="54:111" ht="15" customHeight="1" x14ac:dyDescent="0.2">
      <c r="BB420" s="28">
        <v>48</v>
      </c>
      <c r="BC420" s="121">
        <v>10.932</v>
      </c>
      <c r="BD420" s="121">
        <v>12.163</v>
      </c>
      <c r="BE420" s="121">
        <v>13.394</v>
      </c>
      <c r="BF420" s="121">
        <v>14.5715</v>
      </c>
      <c r="BG420" s="121">
        <v>15.749000000000001</v>
      </c>
      <c r="BH420" s="121">
        <v>16.866500000000002</v>
      </c>
      <c r="BI420" s="121">
        <v>17.984000000000002</v>
      </c>
      <c r="BJ420" s="121">
        <v>19.063500000000001</v>
      </c>
      <c r="BK420" s="121">
        <v>20.143000000000001</v>
      </c>
      <c r="BL420" s="121">
        <v>21.252499999999998</v>
      </c>
      <c r="BM420" s="121">
        <v>22.361999999999998</v>
      </c>
      <c r="BN420" s="121">
        <v>23.365499999999997</v>
      </c>
      <c r="BO420" s="121">
        <v>24.369</v>
      </c>
      <c r="BP420" s="121">
        <v>25.433</v>
      </c>
      <c r="BQ420" s="121">
        <v>26.497</v>
      </c>
      <c r="BR420" s="121">
        <v>27.500999999999998</v>
      </c>
      <c r="BS420" s="121">
        <v>28.504999999999999</v>
      </c>
      <c r="BT420" s="121">
        <v>29.472000000000001</v>
      </c>
      <c r="BU420" s="121">
        <v>30.439</v>
      </c>
      <c r="BV420" s="121">
        <v>31.427499999999998</v>
      </c>
      <c r="BW420" s="121">
        <v>32.415999999999997</v>
      </c>
      <c r="BX420" s="121">
        <v>33.42</v>
      </c>
      <c r="BY420" s="121">
        <v>34.423999999999999</v>
      </c>
      <c r="BZ420" s="121">
        <v>35.373999999999995</v>
      </c>
      <c r="CA420" s="121">
        <v>36.323999999999998</v>
      </c>
      <c r="CB420" s="121">
        <v>37.290499999999994</v>
      </c>
      <c r="CC420" s="121">
        <v>38.256999999999998</v>
      </c>
      <c r="CD420" s="121">
        <v>39.224000000000004</v>
      </c>
      <c r="CE420" s="121">
        <v>40.191000000000003</v>
      </c>
      <c r="CF420" s="121">
        <v>41.141500000000001</v>
      </c>
      <c r="CG420" s="121">
        <v>42.091999999999999</v>
      </c>
      <c r="CH420" s="121">
        <v>43.058</v>
      </c>
      <c r="CI420" s="121">
        <v>44.024000000000001</v>
      </c>
      <c r="CJ420" s="121">
        <v>44.975000000000001</v>
      </c>
      <c r="CK420" s="121">
        <v>45.926000000000002</v>
      </c>
      <c r="CL420" s="121">
        <v>46.853999999999999</v>
      </c>
      <c r="CM420" s="121">
        <v>47.781999999999996</v>
      </c>
      <c r="CN420" s="121">
        <v>48.718000000000004</v>
      </c>
      <c r="CO420" s="121">
        <v>49.654000000000003</v>
      </c>
      <c r="CP420" s="121">
        <v>50.529000000000003</v>
      </c>
      <c r="CQ420" s="121">
        <v>51.404000000000003</v>
      </c>
      <c r="CR420" s="160">
        <v>52.332500000000003</v>
      </c>
      <c r="CS420" s="160">
        <v>53.261000000000003</v>
      </c>
      <c r="CT420" s="121">
        <f t="array" ref="CT420:CT432">TRANSPOSE(CU419:DG419)</f>
        <v>54.212000000000003</v>
      </c>
      <c r="CU420" s="158">
        <v>55.162999999999997</v>
      </c>
      <c r="CV420" s="121">
        <f>CW419</f>
        <v>56.046500000000002</v>
      </c>
      <c r="CW420" s="158">
        <v>57.021000000000001</v>
      </c>
      <c r="CX420" s="121">
        <f>CY419</f>
        <v>57.88</v>
      </c>
      <c r="CY420" s="158">
        <v>58.877000000000002</v>
      </c>
      <c r="CZ420" s="121">
        <f>DA419</f>
        <v>59.599500000000006</v>
      </c>
      <c r="DA420" s="158">
        <v>60.627000000000002</v>
      </c>
      <c r="DB420" s="121">
        <f>DC419</f>
        <v>61.433</v>
      </c>
      <c r="DC420" s="158">
        <v>62.484000000000002</v>
      </c>
      <c r="DD420" s="121">
        <f>DE419</f>
        <v>63.289000000000001</v>
      </c>
      <c r="DE420" s="158">
        <v>64.385999999999996</v>
      </c>
      <c r="DF420" s="121">
        <f>DG419</f>
        <v>64.972000000000008</v>
      </c>
      <c r="DG420" s="159">
        <v>66.093000000000004</v>
      </c>
    </row>
    <row r="421" spans="54:111" ht="15" customHeight="1" x14ac:dyDescent="0.2">
      <c r="BB421" s="28">
        <v>49</v>
      </c>
      <c r="BC421" s="121">
        <v>11.079499999999999</v>
      </c>
      <c r="BD421" s="121">
        <v>12.33675</v>
      </c>
      <c r="BE421" s="121">
        <v>13.594000000000001</v>
      </c>
      <c r="BF421" s="121">
        <v>14.802</v>
      </c>
      <c r="BG421" s="121">
        <v>16.010000000000002</v>
      </c>
      <c r="BH421" s="121">
        <v>17.139000000000003</v>
      </c>
      <c r="BI421" s="121">
        <v>18.268000000000001</v>
      </c>
      <c r="BJ421" s="121">
        <v>19.3705</v>
      </c>
      <c r="BK421" s="121">
        <v>20.472999999999999</v>
      </c>
      <c r="BL421" s="121">
        <v>21.590499999999999</v>
      </c>
      <c r="BM421" s="121">
        <v>22.707999999999998</v>
      </c>
      <c r="BN421" s="121">
        <v>23.726749999999999</v>
      </c>
      <c r="BO421" s="121">
        <v>24.7455</v>
      </c>
      <c r="BP421" s="121">
        <v>25.821249999999999</v>
      </c>
      <c r="BQ421" s="121">
        <v>26.896999999999998</v>
      </c>
      <c r="BR421" s="121">
        <v>27.923749999999998</v>
      </c>
      <c r="BS421" s="121">
        <v>28.950499999999998</v>
      </c>
      <c r="BT421" s="121">
        <v>29.947749999999999</v>
      </c>
      <c r="BU421" s="121">
        <v>30.945</v>
      </c>
      <c r="BV421" s="121">
        <v>31.945250000000001</v>
      </c>
      <c r="BW421" s="121">
        <v>32.945499999999996</v>
      </c>
      <c r="BX421" s="121">
        <v>33.957000000000001</v>
      </c>
      <c r="BY421" s="121">
        <v>34.968499999999999</v>
      </c>
      <c r="BZ421" s="121">
        <v>35.938499999999998</v>
      </c>
      <c r="CA421" s="121">
        <v>36.908500000000004</v>
      </c>
      <c r="CB421" s="121">
        <v>37.89725</v>
      </c>
      <c r="CC421" s="121">
        <v>38.885999999999996</v>
      </c>
      <c r="CD421" s="121">
        <v>39.875500000000002</v>
      </c>
      <c r="CE421" s="121">
        <v>40.865000000000002</v>
      </c>
      <c r="CF421" s="121">
        <v>41.816249999999997</v>
      </c>
      <c r="CG421" s="121">
        <v>42.767499999999998</v>
      </c>
      <c r="CH421" s="121">
        <v>43.741249999999994</v>
      </c>
      <c r="CI421" s="121">
        <v>44.715000000000003</v>
      </c>
      <c r="CJ421" s="121">
        <v>45.677499999999995</v>
      </c>
      <c r="CK421" s="121">
        <v>46.64</v>
      </c>
      <c r="CL421" s="121">
        <v>47.579749999999997</v>
      </c>
      <c r="CM421" s="121">
        <v>48.519499999999994</v>
      </c>
      <c r="CN421" s="121">
        <v>49.47475</v>
      </c>
      <c r="CO421" s="121">
        <v>50.430000000000007</v>
      </c>
      <c r="CP421" s="121">
        <v>51.354250000000008</v>
      </c>
      <c r="CQ421" s="121">
        <v>52.179500000000004</v>
      </c>
      <c r="CR421" s="160">
        <v>53.222499999999997</v>
      </c>
      <c r="CS421" s="160">
        <v>54.112499999999997</v>
      </c>
      <c r="CT421" s="160">
        <v>55.129249999999999</v>
      </c>
      <c r="CU421" s="160">
        <f t="array" ref="CU421:CU432">TRANSPOSE(CV420:DG420)</f>
        <v>56.046500000000002</v>
      </c>
      <c r="CV421" s="120">
        <f>(CU421+CW421)/2</f>
        <v>57.020499999999998</v>
      </c>
      <c r="CW421" s="120">
        <f>(CW420+CW422)/2</f>
        <v>57.994500000000002</v>
      </c>
      <c r="CX421" s="120">
        <f>(CW421+CY421)/2</f>
        <v>58.896749999999997</v>
      </c>
      <c r="CY421" s="120">
        <f>(CY420+CY422)/2</f>
        <v>59.798999999999999</v>
      </c>
      <c r="CZ421" s="120">
        <f>(CY421+DA421)/2</f>
        <v>60.72325</v>
      </c>
      <c r="DA421" s="120">
        <f>(DA420+DA422)/2</f>
        <v>61.647500000000001</v>
      </c>
      <c r="DB421" s="120">
        <f>(DA421+DC421)/2</f>
        <v>62.60275</v>
      </c>
      <c r="DC421" s="120">
        <f>(DC420+DC422)/2</f>
        <v>63.558000000000007</v>
      </c>
      <c r="DD421" s="120">
        <f>(DC421+DE421)/2</f>
        <v>64.471499999999992</v>
      </c>
      <c r="DE421" s="120">
        <f>(DE420+DE422)/2</f>
        <v>65.384999999999991</v>
      </c>
      <c r="DF421" s="120">
        <f>(DE421+DG421)/2</f>
        <v>66.298749999999998</v>
      </c>
      <c r="DG421" s="122">
        <f>(DG420+DG422)/2</f>
        <v>67.212500000000006</v>
      </c>
    </row>
    <row r="422" spans="54:111" ht="15" customHeight="1" x14ac:dyDescent="0.2">
      <c r="BB422" s="28">
        <v>50</v>
      </c>
      <c r="BC422" s="121">
        <v>11.227</v>
      </c>
      <c r="BD422" s="121">
        <v>12.5105</v>
      </c>
      <c r="BE422" s="121">
        <v>13.794</v>
      </c>
      <c r="BF422" s="121">
        <v>15.032500000000001</v>
      </c>
      <c r="BG422" s="121">
        <v>16.271000000000001</v>
      </c>
      <c r="BH422" s="121">
        <v>17.4115</v>
      </c>
      <c r="BI422" s="121">
        <v>18.552</v>
      </c>
      <c r="BJ422" s="121">
        <v>19.677500000000002</v>
      </c>
      <c r="BK422" s="121">
        <v>20.803000000000001</v>
      </c>
      <c r="BL422" s="121">
        <v>21.9285</v>
      </c>
      <c r="BM422" s="121">
        <v>23.053999999999998</v>
      </c>
      <c r="BN422" s="121">
        <v>24.088000000000001</v>
      </c>
      <c r="BO422" s="121">
        <v>25.122</v>
      </c>
      <c r="BP422" s="121">
        <v>26.209499999999998</v>
      </c>
      <c r="BQ422" s="121">
        <v>27.297000000000001</v>
      </c>
      <c r="BR422" s="121">
        <v>28.346499999999999</v>
      </c>
      <c r="BS422" s="121">
        <v>29.396000000000001</v>
      </c>
      <c r="BT422" s="121">
        <v>30.423500000000001</v>
      </c>
      <c r="BU422" s="121">
        <v>31.451000000000001</v>
      </c>
      <c r="BV422" s="121">
        <v>32.463000000000001</v>
      </c>
      <c r="BW422" s="121">
        <v>33.475000000000001</v>
      </c>
      <c r="BX422" s="121">
        <v>34.494</v>
      </c>
      <c r="BY422" s="121">
        <v>35.512999999999998</v>
      </c>
      <c r="BZ422" s="121">
        <v>36.503</v>
      </c>
      <c r="CA422" s="121">
        <v>37.493000000000002</v>
      </c>
      <c r="CB422" s="121">
        <v>38.504000000000005</v>
      </c>
      <c r="CC422" s="121">
        <v>39.515000000000001</v>
      </c>
      <c r="CD422" s="121">
        <v>40.527000000000001</v>
      </c>
      <c r="CE422" s="121">
        <v>41.539000000000001</v>
      </c>
      <c r="CF422" s="121">
        <v>42.491</v>
      </c>
      <c r="CG422" s="121">
        <v>43.442999999999998</v>
      </c>
      <c r="CH422" s="121">
        <v>44.424499999999995</v>
      </c>
      <c r="CI422" s="121">
        <v>45.405999999999999</v>
      </c>
      <c r="CJ422" s="121">
        <v>46.379999999999995</v>
      </c>
      <c r="CK422" s="121">
        <v>47.353999999999999</v>
      </c>
      <c r="CL422" s="121">
        <v>48.305499999999995</v>
      </c>
      <c r="CM422" s="121">
        <v>49.256999999999998</v>
      </c>
      <c r="CN422" s="121">
        <v>50.231499999999997</v>
      </c>
      <c r="CO422" s="121">
        <v>51.206000000000003</v>
      </c>
      <c r="CP422" s="121">
        <v>52.179500000000004</v>
      </c>
      <c r="CQ422" s="121">
        <v>53.152999999999999</v>
      </c>
      <c r="CR422" s="160">
        <v>54.112499999999997</v>
      </c>
      <c r="CS422" s="160">
        <v>55.072000000000003</v>
      </c>
      <c r="CT422" s="160">
        <v>56.046500000000002</v>
      </c>
      <c r="CU422" s="160">
        <v>57.021000000000001</v>
      </c>
      <c r="CV422" s="121">
        <f t="array" ref="CV422:CV432">TRANSPOSE(CW421:DG421)</f>
        <v>57.994500000000002</v>
      </c>
      <c r="CW422" s="158">
        <v>58.968000000000004</v>
      </c>
      <c r="CX422" s="121">
        <f>CY421</f>
        <v>59.798999999999999</v>
      </c>
      <c r="CY422" s="158">
        <v>60.720999999999997</v>
      </c>
      <c r="CZ422" s="121">
        <f>DA421</f>
        <v>61.647500000000001</v>
      </c>
      <c r="DA422" s="158">
        <v>62.667999999999999</v>
      </c>
      <c r="DB422" s="121">
        <f>DC421</f>
        <v>63.558000000000007</v>
      </c>
      <c r="DC422" s="158">
        <v>64.632000000000005</v>
      </c>
      <c r="DD422" s="121">
        <f>DE421</f>
        <v>65.384999999999991</v>
      </c>
      <c r="DE422" s="158">
        <v>66.384</v>
      </c>
      <c r="DF422" s="121">
        <f>DG421</f>
        <v>67.212500000000006</v>
      </c>
      <c r="DG422" s="159">
        <v>68.331999999999994</v>
      </c>
    </row>
    <row r="423" spans="54:111" ht="15" customHeight="1" x14ac:dyDescent="0.2">
      <c r="BB423" s="28">
        <v>51</v>
      </c>
      <c r="BC423" s="121">
        <v>11.404</v>
      </c>
      <c r="BD423" s="121">
        <v>12.71425</v>
      </c>
      <c r="BE423" s="121">
        <v>14.0245</v>
      </c>
      <c r="BF423" s="121">
        <v>15.255749999999999</v>
      </c>
      <c r="BG423" s="121">
        <v>16.487000000000002</v>
      </c>
      <c r="BH423" s="121">
        <v>17.673000000000002</v>
      </c>
      <c r="BI423" s="121">
        <v>18.859000000000002</v>
      </c>
      <c r="BJ423" s="121">
        <v>19.995750000000001</v>
      </c>
      <c r="BK423" s="121">
        <v>21.1325</v>
      </c>
      <c r="BL423" s="121">
        <v>22.269750000000002</v>
      </c>
      <c r="BM423" s="121">
        <v>23.407</v>
      </c>
      <c r="BN423" s="121">
        <v>24.472000000000001</v>
      </c>
      <c r="BO423" s="121">
        <v>25.536999999999999</v>
      </c>
      <c r="BP423" s="121">
        <v>26.617000000000001</v>
      </c>
      <c r="BQ423" s="121">
        <v>27.697000000000003</v>
      </c>
      <c r="BR423" s="121">
        <v>28.75825</v>
      </c>
      <c r="BS423" s="121">
        <v>29.819499999999998</v>
      </c>
      <c r="BT423" s="121">
        <v>30.8735</v>
      </c>
      <c r="BU423" s="121">
        <v>31.927500000000002</v>
      </c>
      <c r="BV423" s="121">
        <v>32.969750000000005</v>
      </c>
      <c r="BW423" s="121">
        <v>34.012</v>
      </c>
      <c r="BX423" s="121">
        <v>35.039249999999996</v>
      </c>
      <c r="BY423" s="121">
        <v>36.066499999999998</v>
      </c>
      <c r="BZ423" s="121">
        <v>37.082499999999996</v>
      </c>
      <c r="CA423" s="121">
        <v>38.098500000000001</v>
      </c>
      <c r="CB423" s="121">
        <v>39.121500000000005</v>
      </c>
      <c r="CC423" s="121">
        <v>40.144500000000001</v>
      </c>
      <c r="CD423" s="121">
        <v>41.149250000000002</v>
      </c>
      <c r="CE423" s="121">
        <v>42.153999999999996</v>
      </c>
      <c r="CF423" s="121">
        <v>43.151249999999997</v>
      </c>
      <c r="CG423" s="121">
        <v>44.148499999999999</v>
      </c>
      <c r="CH423" s="121">
        <v>45.156749999999995</v>
      </c>
      <c r="CI423" s="121">
        <v>46.164999999999999</v>
      </c>
      <c r="CJ423" s="121">
        <v>47.150749999999995</v>
      </c>
      <c r="CK423" s="121">
        <v>48.136499999999998</v>
      </c>
      <c r="CL423" s="121">
        <v>49.114499999999992</v>
      </c>
      <c r="CM423" s="121">
        <v>50.092500000000001</v>
      </c>
      <c r="CN423" s="121">
        <v>51.078249999999997</v>
      </c>
      <c r="CO423" s="121">
        <v>52.064</v>
      </c>
      <c r="CP423" s="121">
        <v>53.049750000000003</v>
      </c>
      <c r="CQ423" s="121">
        <v>53.92</v>
      </c>
      <c r="CR423" s="160">
        <v>55.006500000000003</v>
      </c>
      <c r="CS423" s="160">
        <v>55.900500000000001</v>
      </c>
      <c r="CT423" s="160">
        <v>56.963250000000002</v>
      </c>
      <c r="CU423" s="160">
        <v>57.88</v>
      </c>
      <c r="CV423" s="160">
        <v>58.896749999999997</v>
      </c>
      <c r="CW423" s="160">
        <f t="array" ref="CW423:CW432">TRANSPOSE(CX422:DG422)</f>
        <v>59.798999999999999</v>
      </c>
      <c r="CX423" s="120">
        <f>(CW423+CY423)/2</f>
        <v>60.762249999999995</v>
      </c>
      <c r="CY423" s="120">
        <f>(CY422+CY424)/2</f>
        <v>61.725499999999997</v>
      </c>
      <c r="CZ423" s="120">
        <f>(CY423+DA423)/2</f>
        <v>62.710999999999999</v>
      </c>
      <c r="DA423" s="120">
        <f>(DA422+DA424)/2</f>
        <v>63.6965</v>
      </c>
      <c r="DB423" s="120">
        <f>(DA423+DC423)/2</f>
        <v>64.686250000000001</v>
      </c>
      <c r="DC423" s="120">
        <f>(DC422+DC424)/2</f>
        <v>65.676000000000002</v>
      </c>
      <c r="DD423" s="120">
        <f>(DC423+DE423)/2</f>
        <v>66.578499999999991</v>
      </c>
      <c r="DE423" s="120">
        <f>(DE422+DE424)/2</f>
        <v>67.480999999999995</v>
      </c>
      <c r="DF423" s="120">
        <f>(DE423+DG423)/2</f>
        <v>68.466499999999996</v>
      </c>
      <c r="DG423" s="122">
        <f>(DG422+DG424)/2</f>
        <v>69.451999999999998</v>
      </c>
    </row>
    <row r="424" spans="54:111" ht="15" customHeight="1" x14ac:dyDescent="0.2">
      <c r="BB424" s="28">
        <v>52</v>
      </c>
      <c r="BC424" s="121">
        <v>11.581</v>
      </c>
      <c r="BD424" s="121">
        <v>12.917999999999999</v>
      </c>
      <c r="BE424" s="121">
        <v>14.255000000000001</v>
      </c>
      <c r="BF424" s="121">
        <v>15.478999999999999</v>
      </c>
      <c r="BG424" s="121">
        <v>16.702999999999999</v>
      </c>
      <c r="BH424" s="121">
        <v>17.9345</v>
      </c>
      <c r="BI424" s="121">
        <v>19.166</v>
      </c>
      <c r="BJ424" s="121">
        <v>20.314</v>
      </c>
      <c r="BK424" s="121">
        <v>21.462</v>
      </c>
      <c r="BL424" s="121">
        <v>22.611000000000001</v>
      </c>
      <c r="BM424" s="121">
        <v>23.76</v>
      </c>
      <c r="BN424" s="121">
        <v>24.856000000000002</v>
      </c>
      <c r="BO424" s="121">
        <v>25.952000000000002</v>
      </c>
      <c r="BP424" s="121">
        <v>27.024500000000003</v>
      </c>
      <c r="BQ424" s="121">
        <v>28.097000000000001</v>
      </c>
      <c r="BR424" s="121">
        <v>29.17</v>
      </c>
      <c r="BS424" s="121">
        <v>30.242999999999999</v>
      </c>
      <c r="BT424" s="121">
        <v>31.323500000000003</v>
      </c>
      <c r="BU424" s="121">
        <v>32.404000000000003</v>
      </c>
      <c r="BV424" s="121">
        <v>33.476500000000001</v>
      </c>
      <c r="BW424" s="121">
        <v>34.548999999999999</v>
      </c>
      <c r="BX424" s="121">
        <v>35.584499999999998</v>
      </c>
      <c r="BY424" s="121">
        <v>36.619999999999997</v>
      </c>
      <c r="BZ424" s="121">
        <v>37.661999999999999</v>
      </c>
      <c r="CA424" s="121">
        <v>38.704000000000001</v>
      </c>
      <c r="CB424" s="121">
        <v>39.739000000000004</v>
      </c>
      <c r="CC424" s="121">
        <v>40.774000000000001</v>
      </c>
      <c r="CD424" s="121">
        <v>41.771500000000003</v>
      </c>
      <c r="CE424" s="121">
        <v>42.768999999999998</v>
      </c>
      <c r="CF424" s="121">
        <v>43.811499999999995</v>
      </c>
      <c r="CG424" s="121">
        <v>44.853999999999999</v>
      </c>
      <c r="CH424" s="121">
        <v>45.888999999999996</v>
      </c>
      <c r="CI424" s="121">
        <v>46.923999999999999</v>
      </c>
      <c r="CJ424" s="121">
        <v>47.921499999999995</v>
      </c>
      <c r="CK424" s="121">
        <v>48.918999999999997</v>
      </c>
      <c r="CL424" s="121">
        <v>49.923499999999997</v>
      </c>
      <c r="CM424" s="121">
        <v>50.927999999999997</v>
      </c>
      <c r="CN424" s="121">
        <v>51.924999999999997</v>
      </c>
      <c r="CO424" s="121">
        <v>52.921999999999997</v>
      </c>
      <c r="CP424" s="121">
        <v>53.92</v>
      </c>
      <c r="CQ424" s="121">
        <v>54.917999999999999</v>
      </c>
      <c r="CR424" s="160">
        <v>55.900500000000001</v>
      </c>
      <c r="CS424" s="160">
        <v>56.883000000000003</v>
      </c>
      <c r="CT424" s="160">
        <v>57.88</v>
      </c>
      <c r="CU424" s="160">
        <v>58.877000000000002</v>
      </c>
      <c r="CV424" s="160">
        <v>59.798999999999999</v>
      </c>
      <c r="CW424" s="160">
        <v>60.720999999999997</v>
      </c>
      <c r="CX424" s="121">
        <f t="array" ref="CX424:CX432">TRANSPOSE(CY423:DG423)</f>
        <v>61.725499999999997</v>
      </c>
      <c r="CY424" s="158">
        <v>62.73</v>
      </c>
      <c r="CZ424" s="121">
        <f>DA423</f>
        <v>63.6965</v>
      </c>
      <c r="DA424" s="158">
        <v>64.724999999999994</v>
      </c>
      <c r="DB424" s="121">
        <f>DC423</f>
        <v>65.676000000000002</v>
      </c>
      <c r="DC424" s="158">
        <v>66.72</v>
      </c>
      <c r="DD424" s="121">
        <f>DE423</f>
        <v>67.480999999999995</v>
      </c>
      <c r="DE424" s="158">
        <v>68.578000000000003</v>
      </c>
      <c r="DF424" s="121">
        <f>DG423</f>
        <v>69.451999999999998</v>
      </c>
      <c r="DG424" s="159">
        <v>70.572000000000003</v>
      </c>
    </row>
    <row r="425" spans="54:111" ht="15" customHeight="1" x14ac:dyDescent="0.2">
      <c r="BB425" s="28">
        <v>53</v>
      </c>
      <c r="BC425" s="121">
        <v>11.728</v>
      </c>
      <c r="BD425" s="121">
        <v>13.08775</v>
      </c>
      <c r="BE425" s="121">
        <v>14.447500000000002</v>
      </c>
      <c r="BF425" s="121">
        <v>15.706</v>
      </c>
      <c r="BG425" s="121">
        <v>16.964500000000001</v>
      </c>
      <c r="BH425" s="121">
        <v>18.18525</v>
      </c>
      <c r="BI425" s="121">
        <v>19.405999999999999</v>
      </c>
      <c r="BJ425" s="121">
        <v>20.588000000000001</v>
      </c>
      <c r="BK425" s="121">
        <v>21.77</v>
      </c>
      <c r="BL425" s="121">
        <v>22.911749999999998</v>
      </c>
      <c r="BM425" s="121">
        <v>24.0535</v>
      </c>
      <c r="BN425" s="121">
        <v>25.202000000000002</v>
      </c>
      <c r="BO425" s="121">
        <v>26.3505</v>
      </c>
      <c r="BP425" s="121">
        <v>27.434750000000001</v>
      </c>
      <c r="BQ425" s="121">
        <v>28.518999999999998</v>
      </c>
      <c r="BR425" s="121">
        <v>29.626249999999999</v>
      </c>
      <c r="BS425" s="121">
        <v>30.733499999999999</v>
      </c>
      <c r="BT425" s="121">
        <v>31.803000000000001</v>
      </c>
      <c r="BU425" s="121">
        <v>32.872500000000002</v>
      </c>
      <c r="BV425" s="121">
        <v>33.95675</v>
      </c>
      <c r="BW425" s="121">
        <v>35.040999999999997</v>
      </c>
      <c r="BX425" s="121">
        <v>36.10275</v>
      </c>
      <c r="BY425" s="121">
        <v>37.164500000000004</v>
      </c>
      <c r="BZ425" s="121">
        <v>38.233500000000006</v>
      </c>
      <c r="CA425" s="121">
        <v>39.302500000000002</v>
      </c>
      <c r="CB425" s="121">
        <v>40.334000000000003</v>
      </c>
      <c r="CC425" s="121">
        <v>41.365499999999997</v>
      </c>
      <c r="CD425" s="121">
        <v>42.393500000000003</v>
      </c>
      <c r="CE425" s="121">
        <v>43.421499999999995</v>
      </c>
      <c r="CF425" s="121">
        <v>44.475749999999998</v>
      </c>
      <c r="CG425" s="121">
        <v>45.53</v>
      </c>
      <c r="CH425" s="121">
        <v>46.569000000000003</v>
      </c>
      <c r="CI425" s="121">
        <v>47.608000000000004</v>
      </c>
      <c r="CJ425" s="121">
        <v>48.6205</v>
      </c>
      <c r="CK425" s="121">
        <v>49.632999999999996</v>
      </c>
      <c r="CL425" s="121">
        <v>50.645499999999998</v>
      </c>
      <c r="CM425" s="121">
        <v>51.658000000000001</v>
      </c>
      <c r="CN425" s="121">
        <v>52.670749999999998</v>
      </c>
      <c r="CO425" s="121">
        <v>53.683499999999995</v>
      </c>
      <c r="CP425" s="121">
        <v>54.692750000000004</v>
      </c>
      <c r="CQ425" s="121">
        <v>55.465499999999999</v>
      </c>
      <c r="CR425" s="160">
        <v>56.714749999999995</v>
      </c>
      <c r="CS425" s="160">
        <v>57.528999999999996</v>
      </c>
      <c r="CT425" s="160">
        <v>58.739750000000001</v>
      </c>
      <c r="CU425" s="160">
        <v>59.599500000000006</v>
      </c>
      <c r="CV425" s="160">
        <v>60.72325</v>
      </c>
      <c r="CW425" s="160">
        <v>61.647500000000001</v>
      </c>
      <c r="CX425" s="160">
        <v>62.710999999999999</v>
      </c>
      <c r="CY425" s="160">
        <f t="array" ref="CY425:CY432">TRANSPOSE(CZ424:DG424)</f>
        <v>63.6965</v>
      </c>
      <c r="CZ425" s="120">
        <f>(CY425+DA425)/2</f>
        <v>64.683249999999987</v>
      </c>
      <c r="DA425" s="120">
        <f>(DA424+DA426)/2</f>
        <v>65.669999999999987</v>
      </c>
      <c r="DB425" s="120">
        <f>(DA425+DC425)/2</f>
        <v>66.731749999999991</v>
      </c>
      <c r="DC425" s="120">
        <f>(DC424+DC426)/2</f>
        <v>67.793499999999995</v>
      </c>
      <c r="DD425" s="120">
        <f>(DC425+DE425)/2</f>
        <v>68.749499999999998</v>
      </c>
      <c r="DE425" s="120">
        <f>(DE424+DE426)/2</f>
        <v>69.705500000000001</v>
      </c>
      <c r="DF425" s="120">
        <f>(DE425+DG425)/2</f>
        <v>70.698750000000004</v>
      </c>
      <c r="DG425" s="122">
        <f>(DG424+DG426)/2</f>
        <v>71.692000000000007</v>
      </c>
    </row>
    <row r="426" spans="54:111" ht="15" customHeight="1" x14ac:dyDescent="0.2">
      <c r="BB426" s="28">
        <v>54</v>
      </c>
      <c r="BC426" s="121">
        <v>11.875</v>
      </c>
      <c r="BD426" s="121">
        <v>13.2575</v>
      </c>
      <c r="BE426" s="121">
        <v>14.64</v>
      </c>
      <c r="BF426" s="121">
        <v>15.933</v>
      </c>
      <c r="BG426" s="121">
        <v>17.225999999999999</v>
      </c>
      <c r="BH426" s="121">
        <v>18.436</v>
      </c>
      <c r="BI426" s="121">
        <v>19.646000000000001</v>
      </c>
      <c r="BJ426" s="121">
        <v>20.862000000000002</v>
      </c>
      <c r="BK426" s="121">
        <v>22.077999999999999</v>
      </c>
      <c r="BL426" s="121">
        <v>23.212499999999999</v>
      </c>
      <c r="BM426" s="121">
        <v>24.347000000000001</v>
      </c>
      <c r="BN426" s="121">
        <v>25.548000000000002</v>
      </c>
      <c r="BO426" s="121">
        <v>26.748999999999999</v>
      </c>
      <c r="BP426" s="121">
        <v>27.844999999999999</v>
      </c>
      <c r="BQ426" s="121">
        <v>28.940999999999999</v>
      </c>
      <c r="BR426" s="121">
        <v>30.0825</v>
      </c>
      <c r="BS426" s="121">
        <v>31.224</v>
      </c>
      <c r="BT426" s="121">
        <v>32.282499999999999</v>
      </c>
      <c r="BU426" s="121">
        <v>33.341000000000001</v>
      </c>
      <c r="BV426" s="121">
        <v>34.436999999999998</v>
      </c>
      <c r="BW426" s="121">
        <v>35.533000000000001</v>
      </c>
      <c r="BX426" s="121">
        <v>36.621000000000002</v>
      </c>
      <c r="BY426" s="121">
        <v>37.709000000000003</v>
      </c>
      <c r="BZ426" s="121">
        <v>38.805000000000007</v>
      </c>
      <c r="CA426" s="121">
        <v>39.901000000000003</v>
      </c>
      <c r="CB426" s="121">
        <v>40.929000000000002</v>
      </c>
      <c r="CC426" s="121">
        <v>41.957000000000001</v>
      </c>
      <c r="CD426" s="121">
        <v>43.015500000000003</v>
      </c>
      <c r="CE426" s="121">
        <v>44.073999999999998</v>
      </c>
      <c r="CF426" s="121">
        <v>45.14</v>
      </c>
      <c r="CG426" s="121">
        <v>46.206000000000003</v>
      </c>
      <c r="CH426" s="121">
        <v>47.249000000000002</v>
      </c>
      <c r="CI426" s="121">
        <v>48.292000000000002</v>
      </c>
      <c r="CJ426" s="121">
        <v>49.319500000000005</v>
      </c>
      <c r="CK426" s="121">
        <v>50.347000000000001</v>
      </c>
      <c r="CL426" s="121">
        <v>51.3675</v>
      </c>
      <c r="CM426" s="121">
        <v>52.387999999999998</v>
      </c>
      <c r="CN426" s="121">
        <v>53.416499999999999</v>
      </c>
      <c r="CO426" s="121">
        <v>54.445</v>
      </c>
      <c r="CP426" s="121">
        <v>55.465499999999999</v>
      </c>
      <c r="CQ426" s="121">
        <v>56.485999999999997</v>
      </c>
      <c r="CR426" s="160">
        <v>57.528999999999996</v>
      </c>
      <c r="CS426" s="160">
        <v>58.572000000000003</v>
      </c>
      <c r="CT426" s="160">
        <v>59.599500000000006</v>
      </c>
      <c r="CU426" s="160">
        <v>60.627000000000002</v>
      </c>
      <c r="CV426" s="160">
        <v>61.647500000000001</v>
      </c>
      <c r="CW426" s="160">
        <v>62.667999999999999</v>
      </c>
      <c r="CX426" s="160">
        <v>63.6965</v>
      </c>
      <c r="CY426" s="160">
        <v>64.724999999999994</v>
      </c>
      <c r="CZ426" s="121">
        <f t="array" ref="CZ426:CZ432">TRANSPOSE(DA425:DG425)</f>
        <v>65.669999999999987</v>
      </c>
      <c r="DA426" s="158">
        <v>66.614999999999995</v>
      </c>
      <c r="DB426" s="121">
        <f>DC425</f>
        <v>67.793499999999995</v>
      </c>
      <c r="DC426" s="158">
        <v>68.867000000000004</v>
      </c>
      <c r="DD426" s="121">
        <f>DE425</f>
        <v>69.705500000000001</v>
      </c>
      <c r="DE426" s="158">
        <v>70.832999999999998</v>
      </c>
      <c r="DF426" s="121">
        <f>DG425</f>
        <v>71.692000000000007</v>
      </c>
      <c r="DG426" s="159">
        <v>72.811999999999998</v>
      </c>
    </row>
    <row r="427" spans="54:111" ht="15" customHeight="1" x14ac:dyDescent="0.2">
      <c r="BB427" s="28">
        <v>55</v>
      </c>
      <c r="BC427" s="121">
        <v>12.045</v>
      </c>
      <c r="BD427" s="121">
        <v>13.4315</v>
      </c>
      <c r="BE427" s="121">
        <v>14.818000000000001</v>
      </c>
      <c r="BF427" s="121">
        <v>16.130000000000003</v>
      </c>
      <c r="BG427" s="121">
        <v>17.442</v>
      </c>
      <c r="BH427" s="121">
        <v>18.686</v>
      </c>
      <c r="BI427" s="121">
        <v>19.93</v>
      </c>
      <c r="BJ427" s="121">
        <v>21.169250000000002</v>
      </c>
      <c r="BK427" s="121">
        <v>22.4085</v>
      </c>
      <c r="BL427" s="121">
        <v>23.55425</v>
      </c>
      <c r="BM427" s="121">
        <v>24.700000000000003</v>
      </c>
      <c r="BN427" s="121">
        <v>25.912750000000003</v>
      </c>
      <c r="BO427" s="121">
        <v>27.125499999999999</v>
      </c>
      <c r="BP427" s="121">
        <v>28.233249999999998</v>
      </c>
      <c r="BQ427" s="121">
        <v>29.341000000000001</v>
      </c>
      <c r="BR427" s="121">
        <v>30.504999999999999</v>
      </c>
      <c r="BS427" s="121">
        <v>31.668999999999997</v>
      </c>
      <c r="BT427" s="121">
        <v>32.758249999999997</v>
      </c>
      <c r="BU427" s="121">
        <v>33.847499999999997</v>
      </c>
      <c r="BV427" s="121">
        <v>34.951000000000001</v>
      </c>
      <c r="BW427" s="121">
        <v>36.054500000000004</v>
      </c>
      <c r="BX427" s="121">
        <v>37.162000000000006</v>
      </c>
      <c r="BY427" s="121">
        <v>38.269500000000001</v>
      </c>
      <c r="BZ427" s="121">
        <v>39.369500000000002</v>
      </c>
      <c r="CA427" s="121">
        <v>40.469499999999996</v>
      </c>
      <c r="CB427" s="121">
        <v>41.527749999999997</v>
      </c>
      <c r="CC427" s="121">
        <v>42.585999999999999</v>
      </c>
      <c r="CD427" s="121">
        <v>43.656500000000001</v>
      </c>
      <c r="CE427" s="121">
        <v>44.727000000000004</v>
      </c>
      <c r="CF427" s="121">
        <v>45.815249999999999</v>
      </c>
      <c r="CG427" s="121">
        <v>46.903500000000001</v>
      </c>
      <c r="CH427" s="121">
        <v>47.969750000000005</v>
      </c>
      <c r="CI427" s="121">
        <v>49.036000000000001</v>
      </c>
      <c r="CJ427" s="121">
        <v>50.082750000000004</v>
      </c>
      <c r="CK427" s="121">
        <v>51.1295</v>
      </c>
      <c r="CL427" s="121">
        <v>52.165750000000003</v>
      </c>
      <c r="CM427" s="121">
        <v>53.201999999999998</v>
      </c>
      <c r="CN427" s="121">
        <v>54.248999999999995</v>
      </c>
      <c r="CO427" s="121">
        <v>55.295999999999999</v>
      </c>
      <c r="CP427" s="121">
        <v>56.33175</v>
      </c>
      <c r="CQ427" s="121">
        <v>57.198</v>
      </c>
      <c r="CR427" s="160">
        <v>58.422249999999998</v>
      </c>
      <c r="CS427" s="160">
        <v>59.3155</v>
      </c>
      <c r="CT427" s="160">
        <v>60.516249999999999</v>
      </c>
      <c r="CU427" s="160">
        <v>61.433</v>
      </c>
      <c r="CV427" s="160">
        <v>62.60275</v>
      </c>
      <c r="CW427" s="160">
        <v>63.558000000000007</v>
      </c>
      <c r="CX427" s="160">
        <v>64.686250000000001</v>
      </c>
      <c r="CY427" s="160">
        <v>65.676000000000002</v>
      </c>
      <c r="CZ427" s="160">
        <v>66.731749999999991</v>
      </c>
      <c r="DA427" s="160">
        <f t="array" ref="DA427:DA432">TRANSPOSE(DB426:DG426)</f>
        <v>67.793499999999995</v>
      </c>
      <c r="DB427" s="120">
        <f>(DA427+DC427)/2</f>
        <v>68.833249999999992</v>
      </c>
      <c r="DC427" s="120">
        <f>(DC426+DC428)/2</f>
        <v>69.873000000000005</v>
      </c>
      <c r="DD427" s="120">
        <f>(DC427+DE427)/2</f>
        <v>70.882000000000005</v>
      </c>
      <c r="DE427" s="120">
        <f>(DE426+DE428)/2</f>
        <v>71.890999999999991</v>
      </c>
      <c r="DF427" s="120">
        <f>(DE427+DG427)/2</f>
        <v>72.892749999999992</v>
      </c>
      <c r="DG427" s="122">
        <f>(DG426+DG428)/2</f>
        <v>73.894499999999994</v>
      </c>
    </row>
    <row r="428" spans="54:111" ht="15" customHeight="1" x14ac:dyDescent="0.2">
      <c r="BB428" s="28">
        <v>56</v>
      </c>
      <c r="BC428" s="121">
        <v>12.215</v>
      </c>
      <c r="BD428" s="121">
        <v>13.605499999999999</v>
      </c>
      <c r="BE428" s="121">
        <v>14.996</v>
      </c>
      <c r="BF428" s="121">
        <v>16.327000000000002</v>
      </c>
      <c r="BG428" s="121">
        <v>17.658000000000001</v>
      </c>
      <c r="BH428" s="121">
        <v>18.936</v>
      </c>
      <c r="BI428" s="121">
        <v>20.213999999999999</v>
      </c>
      <c r="BJ428" s="121">
        <v>21.476500000000001</v>
      </c>
      <c r="BK428" s="121">
        <v>22.739000000000001</v>
      </c>
      <c r="BL428" s="121">
        <v>23.896000000000001</v>
      </c>
      <c r="BM428" s="121">
        <v>25.053000000000001</v>
      </c>
      <c r="BN428" s="121">
        <v>26.2775</v>
      </c>
      <c r="BO428" s="121">
        <v>27.501999999999999</v>
      </c>
      <c r="BP428" s="121">
        <v>28.621499999999997</v>
      </c>
      <c r="BQ428" s="121">
        <v>29.741</v>
      </c>
      <c r="BR428" s="121">
        <v>30.927499999999998</v>
      </c>
      <c r="BS428" s="121">
        <v>32.113999999999997</v>
      </c>
      <c r="BT428" s="121">
        <v>33.233999999999995</v>
      </c>
      <c r="BU428" s="121">
        <v>34.353999999999999</v>
      </c>
      <c r="BV428" s="121">
        <v>35.465000000000003</v>
      </c>
      <c r="BW428" s="121">
        <v>36.576000000000001</v>
      </c>
      <c r="BX428" s="121">
        <v>37.703000000000003</v>
      </c>
      <c r="BY428" s="121">
        <v>38.83</v>
      </c>
      <c r="BZ428" s="121">
        <v>39.933999999999997</v>
      </c>
      <c r="CA428" s="121">
        <v>41.037999999999997</v>
      </c>
      <c r="CB428" s="121">
        <v>42.1265</v>
      </c>
      <c r="CC428" s="121">
        <v>43.215000000000003</v>
      </c>
      <c r="CD428" s="121">
        <v>44.297499999999999</v>
      </c>
      <c r="CE428" s="121">
        <v>45.38</v>
      </c>
      <c r="CF428" s="121">
        <v>46.490499999999997</v>
      </c>
      <c r="CG428" s="121">
        <v>47.600999999999999</v>
      </c>
      <c r="CH428" s="121">
        <v>48.6905</v>
      </c>
      <c r="CI428" s="121">
        <v>49.78</v>
      </c>
      <c r="CJ428" s="121">
        <v>50.846000000000004</v>
      </c>
      <c r="CK428" s="121">
        <v>51.911999999999999</v>
      </c>
      <c r="CL428" s="121">
        <v>52.963999999999999</v>
      </c>
      <c r="CM428" s="121">
        <v>54.015999999999998</v>
      </c>
      <c r="CN428" s="121">
        <v>55.081499999999998</v>
      </c>
      <c r="CO428" s="121">
        <v>56.146999999999998</v>
      </c>
      <c r="CP428" s="121">
        <v>57.198</v>
      </c>
      <c r="CQ428" s="121">
        <v>58.249000000000002</v>
      </c>
      <c r="CR428" s="160">
        <v>59.3155</v>
      </c>
      <c r="CS428" s="160">
        <v>60.381999999999998</v>
      </c>
      <c r="CT428" s="160">
        <v>61.433</v>
      </c>
      <c r="CU428" s="160">
        <v>62.484000000000002</v>
      </c>
      <c r="CV428" s="160">
        <v>63.558000000000007</v>
      </c>
      <c r="CW428" s="160">
        <v>64.632000000000005</v>
      </c>
      <c r="CX428" s="160">
        <v>65.676000000000002</v>
      </c>
      <c r="CY428" s="160">
        <v>66.72</v>
      </c>
      <c r="CZ428" s="160">
        <v>67.793499999999995</v>
      </c>
      <c r="DA428" s="160">
        <v>68.867000000000004</v>
      </c>
      <c r="DB428" s="121">
        <f t="array" ref="DB428:DB432">TRANSPOSE(DC427:DG427)</f>
        <v>69.873000000000005</v>
      </c>
      <c r="DC428" s="158">
        <v>70.879000000000005</v>
      </c>
      <c r="DD428" s="121">
        <f>DE427</f>
        <v>71.890999999999991</v>
      </c>
      <c r="DE428" s="158">
        <v>72.948999999999998</v>
      </c>
      <c r="DF428" s="121">
        <f>DG427</f>
        <v>73.894499999999994</v>
      </c>
      <c r="DG428" s="159">
        <v>74.977000000000004</v>
      </c>
    </row>
    <row r="429" spans="54:111" ht="15" customHeight="1" x14ac:dyDescent="0.2">
      <c r="BB429" s="28">
        <v>57</v>
      </c>
      <c r="BC429" s="121">
        <v>12.362</v>
      </c>
      <c r="BD429" s="121">
        <v>13.79425</v>
      </c>
      <c r="BE429" s="121">
        <v>15.226500000000001</v>
      </c>
      <c r="BF429" s="121">
        <v>16.572749999999999</v>
      </c>
      <c r="BG429" s="121">
        <v>17.919</v>
      </c>
      <c r="BH429" s="121">
        <v>19.219750000000001</v>
      </c>
      <c r="BI429" s="121">
        <v>20.520499999999998</v>
      </c>
      <c r="BJ429" s="121">
        <v>21.761000000000003</v>
      </c>
      <c r="BK429" s="121">
        <v>23.0015</v>
      </c>
      <c r="BL429" s="121">
        <v>24.204000000000001</v>
      </c>
      <c r="BM429" s="121">
        <v>25.406500000000001</v>
      </c>
      <c r="BN429" s="121">
        <v>26.642499999999998</v>
      </c>
      <c r="BO429" s="121">
        <v>27.878499999999999</v>
      </c>
      <c r="BP429" s="121">
        <v>29.02075</v>
      </c>
      <c r="BQ429" s="121">
        <v>30.163</v>
      </c>
      <c r="BR429" s="121">
        <v>31.3505</v>
      </c>
      <c r="BS429" s="121">
        <v>32.537999999999997</v>
      </c>
      <c r="BT429" s="121">
        <v>33.683749999999996</v>
      </c>
      <c r="BU429" s="121">
        <v>34.829499999999996</v>
      </c>
      <c r="BV429" s="121">
        <v>35.971500000000006</v>
      </c>
      <c r="BW429" s="121">
        <v>37.113500000000002</v>
      </c>
      <c r="BX429" s="121">
        <v>38.240250000000003</v>
      </c>
      <c r="BY429" s="121">
        <v>39.367000000000004</v>
      </c>
      <c r="BZ429" s="121">
        <v>40.494500000000002</v>
      </c>
      <c r="CA429" s="121">
        <v>41.622</v>
      </c>
      <c r="CB429" s="121">
        <v>42.733249999999998</v>
      </c>
      <c r="CC429" s="121">
        <v>43.844499999999996</v>
      </c>
      <c r="CD429" s="121">
        <v>44.9495</v>
      </c>
      <c r="CE429" s="121">
        <v>46.054500000000004</v>
      </c>
      <c r="CF429" s="121">
        <v>47.146999999999998</v>
      </c>
      <c r="CG429" s="121">
        <v>48.2395</v>
      </c>
      <c r="CH429" s="121">
        <v>49.351500000000001</v>
      </c>
      <c r="CI429" s="121">
        <v>50.463499999999996</v>
      </c>
      <c r="CJ429" s="121">
        <v>51.544750000000001</v>
      </c>
      <c r="CK429" s="121">
        <v>52.626000000000005</v>
      </c>
      <c r="CL429" s="121">
        <v>53.697000000000003</v>
      </c>
      <c r="CM429" s="121">
        <v>54.768000000000001</v>
      </c>
      <c r="CN429" s="121">
        <v>55.875749999999996</v>
      </c>
      <c r="CO429" s="121">
        <v>56.983499999999999</v>
      </c>
      <c r="CP429" s="121">
        <v>58.057500000000005</v>
      </c>
      <c r="CQ429" s="121">
        <v>58.917000000000002</v>
      </c>
      <c r="CR429" s="160">
        <v>60.209249999999997</v>
      </c>
      <c r="CS429" s="160">
        <v>61.103000000000002</v>
      </c>
      <c r="CT429" s="160">
        <v>62.361000000000004</v>
      </c>
      <c r="CU429" s="160">
        <v>63.289000000000001</v>
      </c>
      <c r="CV429" s="160">
        <v>64.471499999999992</v>
      </c>
      <c r="CW429" s="160">
        <v>65.384999999999991</v>
      </c>
      <c r="CX429" s="160">
        <v>66.578499999999991</v>
      </c>
      <c r="CY429" s="160">
        <v>67.480999999999995</v>
      </c>
      <c r="CZ429" s="160">
        <v>68.749499999999998</v>
      </c>
      <c r="DA429" s="160">
        <v>69.705500000000001</v>
      </c>
      <c r="DB429" s="160">
        <v>70.882000000000005</v>
      </c>
      <c r="DC429" s="160">
        <f t="array" ref="DC429:DC432">TRANSPOSE(DD428:DG428)</f>
        <v>71.890999999999991</v>
      </c>
      <c r="DD429" s="120">
        <f>(DC429+DE429)/2</f>
        <v>72.938749999999999</v>
      </c>
      <c r="DE429" s="120">
        <f>(DE428+DE430)/2</f>
        <v>73.986500000000007</v>
      </c>
      <c r="DF429" s="120">
        <f>(DE429+DG429)/2</f>
        <v>75.01925</v>
      </c>
      <c r="DG429" s="122">
        <f>(DG428+DG430)/2</f>
        <v>76.051999999999992</v>
      </c>
    </row>
    <row r="430" spans="54:111" ht="15" customHeight="1" x14ac:dyDescent="0.2">
      <c r="BB430" s="28">
        <v>58</v>
      </c>
      <c r="BC430" s="121">
        <v>12.509</v>
      </c>
      <c r="BD430" s="121">
        <v>13.983000000000001</v>
      </c>
      <c r="BE430" s="121">
        <v>15.457000000000001</v>
      </c>
      <c r="BF430" s="121">
        <v>16.8185</v>
      </c>
      <c r="BG430" s="121">
        <v>18.18</v>
      </c>
      <c r="BH430" s="121">
        <v>19.503500000000003</v>
      </c>
      <c r="BI430" s="121">
        <v>20.827000000000002</v>
      </c>
      <c r="BJ430" s="121">
        <v>22.045500000000001</v>
      </c>
      <c r="BK430" s="121">
        <v>23.263999999999999</v>
      </c>
      <c r="BL430" s="121">
        <v>24.512</v>
      </c>
      <c r="BM430" s="121">
        <v>25.76</v>
      </c>
      <c r="BN430" s="121">
        <v>27.0075</v>
      </c>
      <c r="BO430" s="121">
        <v>28.254999999999999</v>
      </c>
      <c r="BP430" s="121">
        <v>29.42</v>
      </c>
      <c r="BQ430" s="121">
        <v>30.585000000000001</v>
      </c>
      <c r="BR430" s="121">
        <v>31.773500000000002</v>
      </c>
      <c r="BS430" s="121">
        <v>32.962000000000003</v>
      </c>
      <c r="BT430" s="121">
        <v>34.133499999999998</v>
      </c>
      <c r="BU430" s="121">
        <v>35.305</v>
      </c>
      <c r="BV430" s="121">
        <v>36.478000000000002</v>
      </c>
      <c r="BW430" s="121">
        <v>37.651000000000003</v>
      </c>
      <c r="BX430" s="121">
        <v>38.777500000000003</v>
      </c>
      <c r="BY430" s="121">
        <v>39.904000000000003</v>
      </c>
      <c r="BZ430" s="121">
        <v>41.055000000000007</v>
      </c>
      <c r="CA430" s="121">
        <v>42.206000000000003</v>
      </c>
      <c r="CB430" s="121">
        <v>43.34</v>
      </c>
      <c r="CC430" s="121">
        <v>44.473999999999997</v>
      </c>
      <c r="CD430" s="121">
        <v>45.601500000000001</v>
      </c>
      <c r="CE430" s="121">
        <v>46.728999999999999</v>
      </c>
      <c r="CF430" s="121">
        <v>47.8035</v>
      </c>
      <c r="CG430" s="121">
        <v>48.878</v>
      </c>
      <c r="CH430" s="121">
        <v>50.012500000000003</v>
      </c>
      <c r="CI430" s="121">
        <v>51.146999999999998</v>
      </c>
      <c r="CJ430" s="121">
        <v>52.243499999999997</v>
      </c>
      <c r="CK430" s="121">
        <v>53.34</v>
      </c>
      <c r="CL430" s="121">
        <v>54.430000000000007</v>
      </c>
      <c r="CM430" s="121">
        <v>55.52</v>
      </c>
      <c r="CN430" s="121">
        <v>56.67</v>
      </c>
      <c r="CO430" s="121">
        <v>57.82</v>
      </c>
      <c r="CP430" s="121">
        <v>58.917000000000002</v>
      </c>
      <c r="CQ430" s="121">
        <v>60.014000000000003</v>
      </c>
      <c r="CR430" s="160">
        <v>61.103000000000002</v>
      </c>
      <c r="CS430" s="160">
        <v>62.192</v>
      </c>
      <c r="CT430" s="160">
        <v>63.289000000000001</v>
      </c>
      <c r="CU430" s="160">
        <v>64.385999999999996</v>
      </c>
      <c r="CV430" s="160">
        <v>65.384999999999991</v>
      </c>
      <c r="CW430" s="160">
        <v>66.384</v>
      </c>
      <c r="CX430" s="160">
        <v>67.480999999999995</v>
      </c>
      <c r="CY430" s="160">
        <v>68.578000000000003</v>
      </c>
      <c r="CZ430" s="160">
        <v>69.705500000000001</v>
      </c>
      <c r="DA430" s="160">
        <v>70.832999999999998</v>
      </c>
      <c r="DB430" s="160">
        <v>71.890999999999991</v>
      </c>
      <c r="DC430" s="160">
        <v>72.948999999999998</v>
      </c>
      <c r="DD430" s="121">
        <f t="array" ref="DD430:DD432">TRANSPOSE(DE429:DG429)</f>
        <v>73.986500000000007</v>
      </c>
      <c r="DE430" s="158">
        <v>75.024000000000001</v>
      </c>
      <c r="DF430" s="121">
        <f>DG429</f>
        <v>76.051999999999992</v>
      </c>
      <c r="DG430" s="159">
        <v>77.126999999999995</v>
      </c>
    </row>
    <row r="431" spans="54:111" ht="15" customHeight="1" x14ac:dyDescent="0.2">
      <c r="BB431" s="28">
        <v>59</v>
      </c>
      <c r="BC431" s="121">
        <v>12.685500000000001</v>
      </c>
      <c r="BD431" s="121">
        <v>14.1715</v>
      </c>
      <c r="BE431" s="121">
        <v>15.657500000000001</v>
      </c>
      <c r="BF431" s="121">
        <v>17.027000000000001</v>
      </c>
      <c r="BG431" s="121">
        <v>18.3965</v>
      </c>
      <c r="BH431" s="121">
        <v>19.7315</v>
      </c>
      <c r="BI431" s="121">
        <v>21.066500000000001</v>
      </c>
      <c r="BJ431" s="121">
        <v>22.330249999999999</v>
      </c>
      <c r="BK431" s="121">
        <v>23.594000000000001</v>
      </c>
      <c r="BL431" s="121">
        <v>24.853749999999998</v>
      </c>
      <c r="BM431" s="121">
        <v>26.113500000000002</v>
      </c>
      <c r="BN431" s="121">
        <v>27.372499999999999</v>
      </c>
      <c r="BO431" s="121">
        <v>28.631499999999999</v>
      </c>
      <c r="BP431" s="121">
        <v>29.831</v>
      </c>
      <c r="BQ431" s="121">
        <v>31.0305</v>
      </c>
      <c r="BR431" s="121">
        <v>32.21875</v>
      </c>
      <c r="BS431" s="121">
        <v>33.406999999999996</v>
      </c>
      <c r="BT431" s="121">
        <v>34.590499999999999</v>
      </c>
      <c r="BU431" s="121">
        <v>35.774000000000001</v>
      </c>
      <c r="BV431" s="121">
        <v>36.958500000000001</v>
      </c>
      <c r="BW431" s="121">
        <v>38.143000000000001</v>
      </c>
      <c r="BX431" s="121">
        <v>39.304000000000002</v>
      </c>
      <c r="BY431" s="121">
        <v>40.465000000000003</v>
      </c>
      <c r="BZ431" s="121">
        <v>41.619250000000008</v>
      </c>
      <c r="CA431" s="121">
        <v>42.773499999999999</v>
      </c>
      <c r="CB431" s="121">
        <v>43.919750000000001</v>
      </c>
      <c r="CC431" s="121">
        <v>45.066000000000003</v>
      </c>
      <c r="CD431" s="121">
        <v>46.204750000000004</v>
      </c>
      <c r="CE431" s="121">
        <v>47.343499999999999</v>
      </c>
      <c r="CF431" s="121">
        <v>48.45975</v>
      </c>
      <c r="CG431" s="121">
        <v>49.576000000000001</v>
      </c>
      <c r="CH431" s="121">
        <v>50.703250000000004</v>
      </c>
      <c r="CI431" s="121">
        <v>51.830500000000001</v>
      </c>
      <c r="CJ431" s="121">
        <v>52.976749999999996</v>
      </c>
      <c r="CK431" s="121">
        <v>54.123000000000005</v>
      </c>
      <c r="CL431" s="121">
        <v>55.228000000000002</v>
      </c>
      <c r="CM431" s="121">
        <v>56.332999999999998</v>
      </c>
      <c r="CN431" s="121">
        <v>57.468000000000004</v>
      </c>
      <c r="CO431" s="121">
        <v>58.603000000000002</v>
      </c>
      <c r="CP431" s="121">
        <v>59.707750000000004</v>
      </c>
      <c r="CQ431" s="121">
        <v>60.4985</v>
      </c>
      <c r="CR431" s="160">
        <v>61.917000000000002</v>
      </c>
      <c r="CS431" s="160">
        <v>62.730999999999995</v>
      </c>
      <c r="CT431" s="160">
        <v>64.130500000000012</v>
      </c>
      <c r="CU431" s="160">
        <v>64.972000000000008</v>
      </c>
      <c r="CV431" s="160">
        <v>66.298749999999998</v>
      </c>
      <c r="CW431" s="160">
        <v>67.212500000000006</v>
      </c>
      <c r="CX431" s="160">
        <v>68.466499999999996</v>
      </c>
      <c r="CY431" s="160">
        <v>69.451999999999998</v>
      </c>
      <c r="CZ431" s="160">
        <v>70.698750000000004</v>
      </c>
      <c r="DA431" s="160">
        <v>71.692000000000007</v>
      </c>
      <c r="DB431" s="160">
        <v>72.892749999999992</v>
      </c>
      <c r="DC431" s="160">
        <v>73.894499999999994</v>
      </c>
      <c r="DD431" s="160">
        <v>75.01925</v>
      </c>
      <c r="DE431" s="160">
        <f t="array" ref="DE431:DE432">TRANSPOSE(DF430:DG430)</f>
        <v>76.051999999999992</v>
      </c>
      <c r="DF431" s="120">
        <f>(DE431+DG431)/2</f>
        <v>77.130749999999992</v>
      </c>
      <c r="DG431" s="122">
        <f>(DG430+DG432)/2</f>
        <v>78.209499999999991</v>
      </c>
    </row>
    <row r="432" spans="54:111" ht="15" customHeight="1" thickBot="1" x14ac:dyDescent="0.25">
      <c r="BB432" s="149">
        <v>60</v>
      </c>
      <c r="BC432" s="123">
        <v>12.862</v>
      </c>
      <c r="BD432" s="123">
        <v>14.36</v>
      </c>
      <c r="BE432" s="123">
        <v>15.858000000000001</v>
      </c>
      <c r="BF432" s="123">
        <v>17.235500000000002</v>
      </c>
      <c r="BG432" s="123">
        <v>18.613</v>
      </c>
      <c r="BH432" s="123">
        <v>19.959499999999998</v>
      </c>
      <c r="BI432" s="123">
        <v>21.306000000000001</v>
      </c>
      <c r="BJ432" s="123">
        <v>22.615000000000002</v>
      </c>
      <c r="BK432" s="123">
        <v>23.923999999999999</v>
      </c>
      <c r="BL432" s="123">
        <v>25.195499999999999</v>
      </c>
      <c r="BM432" s="123">
        <v>26.466999999999999</v>
      </c>
      <c r="BN432" s="123">
        <v>27.737499999999997</v>
      </c>
      <c r="BO432" s="123">
        <v>29.007999999999999</v>
      </c>
      <c r="BP432" s="123">
        <v>30.241999999999997</v>
      </c>
      <c r="BQ432" s="123">
        <v>31.475999999999999</v>
      </c>
      <c r="BR432" s="123">
        <v>32.664000000000001</v>
      </c>
      <c r="BS432" s="123">
        <v>33.851999999999997</v>
      </c>
      <c r="BT432" s="123">
        <v>35.047499999999999</v>
      </c>
      <c r="BU432" s="123">
        <v>36.243000000000002</v>
      </c>
      <c r="BV432" s="123">
        <v>37.439</v>
      </c>
      <c r="BW432" s="123">
        <v>38.634999999999998</v>
      </c>
      <c r="BX432" s="123">
        <v>39.830500000000001</v>
      </c>
      <c r="BY432" s="123">
        <v>41.026000000000003</v>
      </c>
      <c r="BZ432" s="123">
        <v>42.183500000000002</v>
      </c>
      <c r="CA432" s="123">
        <v>43.341000000000001</v>
      </c>
      <c r="CB432" s="123">
        <v>44.499499999999998</v>
      </c>
      <c r="CC432" s="123">
        <v>45.658000000000001</v>
      </c>
      <c r="CD432" s="123">
        <v>46.808</v>
      </c>
      <c r="CE432" s="123">
        <v>47.957999999999998</v>
      </c>
      <c r="CF432" s="123">
        <v>49.116</v>
      </c>
      <c r="CG432" s="123">
        <v>50.274000000000001</v>
      </c>
      <c r="CH432" s="123">
        <v>51.394000000000005</v>
      </c>
      <c r="CI432" s="123">
        <v>52.514000000000003</v>
      </c>
      <c r="CJ432" s="123">
        <v>53.71</v>
      </c>
      <c r="CK432" s="123">
        <v>54.905999999999999</v>
      </c>
      <c r="CL432" s="123">
        <v>56.025999999999996</v>
      </c>
      <c r="CM432" s="123">
        <v>57.146000000000001</v>
      </c>
      <c r="CN432" s="123">
        <v>58.266000000000005</v>
      </c>
      <c r="CO432" s="123">
        <v>59.386000000000003</v>
      </c>
      <c r="CP432" s="123">
        <v>60.4985</v>
      </c>
      <c r="CQ432" s="123">
        <v>61.610999999999997</v>
      </c>
      <c r="CR432" s="161">
        <v>62.730999999999995</v>
      </c>
      <c r="CS432" s="161">
        <v>63.850999999999999</v>
      </c>
      <c r="CT432" s="161">
        <v>64.972000000000008</v>
      </c>
      <c r="CU432" s="161">
        <v>66.093000000000004</v>
      </c>
      <c r="CV432" s="161">
        <v>67.212500000000006</v>
      </c>
      <c r="CW432" s="161">
        <v>68.331999999999994</v>
      </c>
      <c r="CX432" s="161">
        <v>69.451999999999998</v>
      </c>
      <c r="CY432" s="161">
        <v>70.572000000000003</v>
      </c>
      <c r="CZ432" s="161">
        <v>71.692000000000007</v>
      </c>
      <c r="DA432" s="161">
        <v>72.811999999999998</v>
      </c>
      <c r="DB432" s="161">
        <v>73.894499999999994</v>
      </c>
      <c r="DC432" s="161">
        <v>74.977000000000004</v>
      </c>
      <c r="DD432" s="161">
        <v>76.051999999999992</v>
      </c>
      <c r="DE432" s="161">
        <v>77.126999999999995</v>
      </c>
      <c r="DF432" s="151">
        <f>DG431</f>
        <v>78.209499999999991</v>
      </c>
      <c r="DG432" s="162">
        <v>79.292000000000002</v>
      </c>
    </row>
    <row r="433" spans="54:111" ht="15" customHeight="1" thickBot="1" x14ac:dyDescent="0.25">
      <c r="BB433" s="25"/>
      <c r="BC433" s="25"/>
      <c r="BD433" s="25"/>
      <c r="BE433" s="25"/>
      <c r="BF433" s="25"/>
      <c r="BG433" s="25"/>
      <c r="BH433" s="25"/>
      <c r="BI433" s="25"/>
      <c r="BJ433" s="25"/>
      <c r="BK433" s="25"/>
      <c r="BL433" s="25"/>
      <c r="BM433" s="25"/>
      <c r="BN433" s="25"/>
      <c r="BO433" s="25"/>
      <c r="BP433" s="25"/>
      <c r="BQ433" s="25"/>
      <c r="BR433" s="25"/>
      <c r="BS433" s="25"/>
      <c r="BT433" s="25"/>
      <c r="BU433" s="25"/>
      <c r="BV433" s="25"/>
      <c r="BW433" s="25"/>
      <c r="BX433" s="25"/>
      <c r="BY433" s="25"/>
      <c r="BZ433" s="25"/>
      <c r="CA433" s="25"/>
      <c r="CB433" s="25"/>
      <c r="CC433" s="25"/>
      <c r="CD433" s="25"/>
      <c r="CE433" s="25"/>
      <c r="CF433" s="25"/>
      <c r="CG433" s="25"/>
      <c r="CH433" s="25"/>
      <c r="CI433" s="25"/>
      <c r="CJ433" s="25"/>
      <c r="CK433" s="25"/>
      <c r="CL433" s="25"/>
      <c r="CM433" s="25"/>
      <c r="CN433" s="25"/>
      <c r="CO433" s="25"/>
      <c r="CP433" s="25"/>
      <c r="CQ433" s="25"/>
    </row>
    <row r="434" spans="54:111" ht="15" customHeight="1" thickBot="1" x14ac:dyDescent="0.3">
      <c r="BB434" s="1841" t="s">
        <v>301</v>
      </c>
      <c r="BC434" s="1842"/>
      <c r="BD434" s="1842"/>
      <c r="BE434" s="1842"/>
      <c r="BF434" s="1842"/>
      <c r="BG434" s="1842"/>
      <c r="BH434" s="1842"/>
      <c r="BI434" s="1842"/>
      <c r="BJ434" s="1842"/>
      <c r="BK434" s="1842"/>
      <c r="BL434" s="1842"/>
      <c r="BM434" s="1842"/>
      <c r="BN434" s="1842"/>
      <c r="BO434" s="1842"/>
      <c r="BP434" s="1842"/>
      <c r="BQ434" s="1842"/>
      <c r="BR434" s="1842"/>
      <c r="BS434" s="1842"/>
      <c r="BT434" s="1842"/>
      <c r="BU434" s="1842"/>
      <c r="BV434" s="1842"/>
      <c r="BW434" s="1842"/>
      <c r="BX434" s="1842"/>
      <c r="BY434" s="1842"/>
      <c r="BZ434" s="1842"/>
      <c r="CA434" s="1842"/>
      <c r="CB434" s="1842"/>
      <c r="CC434" s="1842"/>
      <c r="CD434" s="1842"/>
      <c r="CE434" s="1842"/>
      <c r="CF434" s="1842"/>
      <c r="CG434" s="1842"/>
      <c r="CH434" s="1842"/>
      <c r="CI434" s="1842"/>
      <c r="CJ434" s="1842"/>
      <c r="CK434" s="1842"/>
      <c r="CL434" s="1842"/>
      <c r="CM434" s="1842"/>
      <c r="CN434" s="1842"/>
      <c r="CO434" s="1842"/>
      <c r="CP434" s="1842"/>
      <c r="CQ434" s="1842"/>
      <c r="CR434" s="1842"/>
      <c r="CS434" s="1842"/>
      <c r="CT434" s="1842"/>
      <c r="CU434" s="1842"/>
      <c r="CV434" s="1842"/>
      <c r="CW434" s="1842"/>
      <c r="CX434" s="1842"/>
      <c r="CY434" s="1842"/>
      <c r="CZ434" s="1842"/>
      <c r="DA434" s="1842"/>
      <c r="DB434" s="1842"/>
      <c r="DC434" s="1842"/>
      <c r="DD434" s="1842"/>
      <c r="DE434" s="1842"/>
      <c r="DF434" s="1842"/>
      <c r="DG434" s="1843"/>
    </row>
    <row r="435" spans="54:111" ht="15" customHeight="1" x14ac:dyDescent="0.2">
      <c r="BB435" s="146"/>
      <c r="BC435" s="147">
        <v>4</v>
      </c>
      <c r="BD435" s="147">
        <v>5</v>
      </c>
      <c r="BE435" s="147">
        <v>6</v>
      </c>
      <c r="BF435" s="147">
        <v>7</v>
      </c>
      <c r="BG435" s="147">
        <v>8</v>
      </c>
      <c r="BH435" s="147">
        <v>9</v>
      </c>
      <c r="BI435" s="147">
        <v>10</v>
      </c>
      <c r="BJ435" s="147">
        <v>11</v>
      </c>
      <c r="BK435" s="147">
        <v>12</v>
      </c>
      <c r="BL435" s="147">
        <v>13</v>
      </c>
      <c r="BM435" s="147">
        <v>14</v>
      </c>
      <c r="BN435" s="147">
        <v>15</v>
      </c>
      <c r="BO435" s="147">
        <v>16</v>
      </c>
      <c r="BP435" s="147">
        <v>17</v>
      </c>
      <c r="BQ435" s="147">
        <v>18</v>
      </c>
      <c r="BR435" s="147">
        <v>19</v>
      </c>
      <c r="BS435" s="147">
        <v>20</v>
      </c>
      <c r="BT435" s="147">
        <v>21</v>
      </c>
      <c r="BU435" s="147">
        <v>22</v>
      </c>
      <c r="BV435" s="147">
        <v>23</v>
      </c>
      <c r="BW435" s="147">
        <v>24</v>
      </c>
      <c r="BX435" s="147">
        <v>25</v>
      </c>
      <c r="BY435" s="147">
        <v>26</v>
      </c>
      <c r="BZ435" s="147">
        <v>27</v>
      </c>
      <c r="CA435" s="147">
        <v>28</v>
      </c>
      <c r="CB435" s="147">
        <v>29</v>
      </c>
      <c r="CC435" s="147">
        <v>30</v>
      </c>
      <c r="CD435" s="147">
        <v>31</v>
      </c>
      <c r="CE435" s="147">
        <v>32</v>
      </c>
      <c r="CF435" s="147">
        <v>33</v>
      </c>
      <c r="CG435" s="147">
        <v>34</v>
      </c>
      <c r="CH435" s="147">
        <v>35</v>
      </c>
      <c r="CI435" s="147">
        <v>36</v>
      </c>
      <c r="CJ435" s="147">
        <v>37</v>
      </c>
      <c r="CK435" s="147">
        <v>38</v>
      </c>
      <c r="CL435" s="147">
        <v>39</v>
      </c>
      <c r="CM435" s="147">
        <v>40</v>
      </c>
      <c r="CN435" s="147">
        <v>41</v>
      </c>
      <c r="CO435" s="147">
        <v>42</v>
      </c>
      <c r="CP435" s="147">
        <v>43</v>
      </c>
      <c r="CQ435" s="147">
        <v>44</v>
      </c>
      <c r="CR435" s="147">
        <v>45</v>
      </c>
      <c r="CS435" s="147">
        <v>46</v>
      </c>
      <c r="CT435" s="147">
        <v>47</v>
      </c>
      <c r="CU435" s="147">
        <v>48</v>
      </c>
      <c r="CV435" s="147">
        <v>49</v>
      </c>
      <c r="CW435" s="147">
        <v>50</v>
      </c>
      <c r="CX435" s="147">
        <v>51</v>
      </c>
      <c r="CY435" s="147">
        <v>52</v>
      </c>
      <c r="CZ435" s="147">
        <v>53</v>
      </c>
      <c r="DA435" s="147">
        <v>54</v>
      </c>
      <c r="DB435" s="147">
        <v>55</v>
      </c>
      <c r="DC435" s="147">
        <v>56</v>
      </c>
      <c r="DD435" s="147">
        <v>57</v>
      </c>
      <c r="DE435" s="147">
        <v>58</v>
      </c>
      <c r="DF435" s="147">
        <v>59</v>
      </c>
      <c r="DG435" s="148">
        <v>60</v>
      </c>
    </row>
    <row r="436" spans="54:111" ht="15" customHeight="1" x14ac:dyDescent="0.2">
      <c r="BB436" s="28">
        <v>4</v>
      </c>
      <c r="BC436" s="156">
        <v>2.9209999999999998</v>
      </c>
      <c r="BD436" s="120">
        <f>(BE436+BC436)/2</f>
        <v>3.24</v>
      </c>
      <c r="BE436" s="156">
        <v>3.5590000000000002</v>
      </c>
      <c r="BF436" s="120">
        <f>(BG436+BE436)/2</f>
        <v>3.903</v>
      </c>
      <c r="BG436" s="156">
        <v>4.2469999999999999</v>
      </c>
      <c r="BH436" s="120">
        <f>(BI436+BG436)/2</f>
        <v>4.5289999999999999</v>
      </c>
      <c r="BI436" s="156">
        <v>4.8109999999999999</v>
      </c>
      <c r="BJ436" s="120">
        <f>(BK436+BI436)/2</f>
        <v>5.0640000000000001</v>
      </c>
      <c r="BK436" s="156">
        <v>5.3170000000000002</v>
      </c>
      <c r="BL436" s="120">
        <f>(BM436+BK436)/2</f>
        <v>5.5865</v>
      </c>
      <c r="BM436" s="156">
        <v>5.8559999999999999</v>
      </c>
      <c r="BN436" s="120">
        <f>(BO436+BM436)/2</f>
        <v>6.101</v>
      </c>
      <c r="BO436" s="156">
        <v>6.3460000000000001</v>
      </c>
      <c r="BP436" s="120">
        <f>(BQ436+BO436)/2</f>
        <v>6.6165000000000003</v>
      </c>
      <c r="BQ436" s="156">
        <v>6.8869999999999996</v>
      </c>
      <c r="BR436" s="120">
        <f>(BS436+BQ436)/2</f>
        <v>7.1395</v>
      </c>
      <c r="BS436" s="156">
        <v>7.3920000000000003</v>
      </c>
      <c r="BT436" s="120">
        <f>(BU436+BS436)/2</f>
        <v>7.6005000000000003</v>
      </c>
      <c r="BU436" s="156">
        <v>7.8090000000000002</v>
      </c>
      <c r="BV436" s="120">
        <f>(BW436+BU436)/2</f>
        <v>8.0785</v>
      </c>
      <c r="BW436" s="156">
        <v>8.3480000000000008</v>
      </c>
      <c r="BX436" s="120">
        <f>(BY436+BW436)/2</f>
        <v>8.5564999999999998</v>
      </c>
      <c r="BY436" s="156">
        <v>8.7650000000000006</v>
      </c>
      <c r="BZ436" s="120">
        <f>(CA436+BY436)/2</f>
        <v>9.0055000000000014</v>
      </c>
      <c r="CA436" s="156">
        <v>9.2460000000000004</v>
      </c>
      <c r="CB436" s="120">
        <f>(CC436+CA436)/2</f>
        <v>9.4544999999999995</v>
      </c>
      <c r="CC436" s="156">
        <v>9.6630000000000003</v>
      </c>
      <c r="CD436" s="120">
        <f>(CE436+CC436)/2</f>
        <v>9.8710000000000004</v>
      </c>
      <c r="CE436" s="156">
        <v>10.079000000000001</v>
      </c>
      <c r="CF436" s="120">
        <f>(CG436+CE436)/2</f>
        <v>10.312000000000001</v>
      </c>
      <c r="CG436" s="156">
        <v>10.545</v>
      </c>
      <c r="CH436" s="120">
        <f>(CI436+CG436)/2</f>
        <v>10.760999999999999</v>
      </c>
      <c r="CI436" s="156">
        <v>10.977</v>
      </c>
      <c r="CJ436" s="120">
        <f>(CK436+CI436)/2</f>
        <v>11.2095</v>
      </c>
      <c r="CK436" s="156">
        <v>11.442</v>
      </c>
      <c r="CL436" s="120">
        <f>(CM436+CK436)/2</f>
        <v>11.650500000000001</v>
      </c>
      <c r="CM436" s="156">
        <v>11.859</v>
      </c>
      <c r="CN436" s="120">
        <f>(CO436+CM436)/2</f>
        <v>12.030999999999999</v>
      </c>
      <c r="CO436" s="156">
        <v>12.202999999999999</v>
      </c>
      <c r="CP436" s="120">
        <f>(CQ436+CO436)/2</f>
        <v>12.443</v>
      </c>
      <c r="CQ436" s="156">
        <v>12.683</v>
      </c>
      <c r="CR436" s="120">
        <f>(CS436+CQ436)/2</f>
        <v>12.891500000000001</v>
      </c>
      <c r="CS436" s="156">
        <v>13.1</v>
      </c>
      <c r="CT436" s="120">
        <f>(CU436+CS436)/2</f>
        <v>13.295500000000001</v>
      </c>
      <c r="CU436" s="156">
        <v>13.491</v>
      </c>
      <c r="CV436" s="120">
        <f>(CW436+CU436)/2</f>
        <v>13.699</v>
      </c>
      <c r="CW436" s="156">
        <v>13.907</v>
      </c>
      <c r="CX436" s="120">
        <f>(CY436+CW436)/2</f>
        <v>14.086</v>
      </c>
      <c r="CY436" s="156">
        <v>14.265000000000001</v>
      </c>
      <c r="CZ436" s="120">
        <f>(DA436+CY436)/2</f>
        <v>14.498000000000001</v>
      </c>
      <c r="DA436" s="156">
        <v>14.731</v>
      </c>
      <c r="DB436" s="120">
        <f>(DC436+DA436)/2</f>
        <v>14.9025</v>
      </c>
      <c r="DC436" s="156">
        <v>15.074</v>
      </c>
      <c r="DD436" s="120">
        <f>(DE436+DC436)/2</f>
        <v>15.306999999999999</v>
      </c>
      <c r="DE436" s="156">
        <v>15.54</v>
      </c>
      <c r="DF436" s="120">
        <f>(DG436+DE436)/2</f>
        <v>15.718999999999999</v>
      </c>
      <c r="DG436" s="157">
        <v>15.898</v>
      </c>
    </row>
    <row r="437" spans="54:111" ht="15" customHeight="1" x14ac:dyDescent="0.2">
      <c r="BB437" s="28">
        <v>5</v>
      </c>
      <c r="BC437" s="121">
        <f t="array" ref="BC437:BC492">TRANSPOSE(BD436:DG436)</f>
        <v>3.24</v>
      </c>
      <c r="BD437" s="120">
        <f>(BC437+BE437)/2</f>
        <v>3.6262500000000002</v>
      </c>
      <c r="BE437" s="120">
        <f>(BE436+BE438)/2</f>
        <v>4.0125000000000002</v>
      </c>
      <c r="BF437" s="120">
        <f>(BE437+BG437)/2</f>
        <v>4.3657500000000002</v>
      </c>
      <c r="BG437" s="120">
        <f>(BG436+BG438)/2</f>
        <v>4.7189999999999994</v>
      </c>
      <c r="BH437" s="120">
        <f>(BG437+BI437)/2</f>
        <v>5.0495000000000001</v>
      </c>
      <c r="BI437" s="120">
        <f>(BI436+BI438)/2</f>
        <v>5.38</v>
      </c>
      <c r="BJ437" s="120">
        <f>(BI437+BK437)/2</f>
        <v>5.6777499999999996</v>
      </c>
      <c r="BK437" s="120">
        <f>(BK436+BK438)/2</f>
        <v>5.9755000000000003</v>
      </c>
      <c r="BL437" s="120">
        <f>(BK437+BM437)/2</f>
        <v>6.2725</v>
      </c>
      <c r="BM437" s="120">
        <f>(BM436+BM438)/2</f>
        <v>6.5694999999999997</v>
      </c>
      <c r="BN437" s="120">
        <f>(BM437+BO437)/2</f>
        <v>6.8632499999999999</v>
      </c>
      <c r="BO437" s="120">
        <f>(BO436+BO438)/2</f>
        <v>7.157</v>
      </c>
      <c r="BP437" s="120">
        <f>(BO437+BQ437)/2</f>
        <v>7.4325000000000001</v>
      </c>
      <c r="BQ437" s="120">
        <f>(BQ436+BQ438)/2</f>
        <v>7.7080000000000002</v>
      </c>
      <c r="BR437" s="120">
        <f>(BQ437+BS437)/2</f>
        <v>7.9910000000000005</v>
      </c>
      <c r="BS437" s="120">
        <f>(BS436+BS438)/2</f>
        <v>8.2740000000000009</v>
      </c>
      <c r="BT437" s="120">
        <f>(BS437+BU437)/2</f>
        <v>8.5310000000000006</v>
      </c>
      <c r="BU437" s="120">
        <f>(BU436+BU438)/2</f>
        <v>8.7880000000000003</v>
      </c>
      <c r="BV437" s="120">
        <f>(BU437+BW437)/2</f>
        <v>9.0667500000000008</v>
      </c>
      <c r="BW437" s="120">
        <f>(BW436+BW438)/2</f>
        <v>9.3455000000000013</v>
      </c>
      <c r="BX437" s="120">
        <f>(BW437+BY437)/2</f>
        <v>9.6025000000000009</v>
      </c>
      <c r="BY437" s="120">
        <f>(BY436+BY438)/2</f>
        <v>9.8595000000000006</v>
      </c>
      <c r="BZ437" s="120">
        <f>(BY437+CA437)/2</f>
        <v>10.101750000000001</v>
      </c>
      <c r="CA437" s="120">
        <f>(CA436+CA438)/2</f>
        <v>10.344000000000001</v>
      </c>
      <c r="CB437" s="120">
        <f>(CA437+CC437)/2</f>
        <v>10.604500000000002</v>
      </c>
      <c r="CC437" s="120">
        <f>(CC436+CC438)/2</f>
        <v>10.865</v>
      </c>
      <c r="CD437" s="120">
        <f>(CC437+CE437)/2</f>
        <v>11.103000000000002</v>
      </c>
      <c r="CE437" s="120">
        <f>(CE436+CE438)/2</f>
        <v>11.341000000000001</v>
      </c>
      <c r="CF437" s="120">
        <f>(CE437+CG437)/2</f>
        <v>11.583500000000001</v>
      </c>
      <c r="CG437" s="120">
        <f>(CG436+CG438)/2</f>
        <v>11.826000000000001</v>
      </c>
      <c r="CH437" s="120">
        <f>(CG437+CI437)/2</f>
        <v>12.08675</v>
      </c>
      <c r="CI437" s="120">
        <f>(CI436+CI438)/2</f>
        <v>12.3475</v>
      </c>
      <c r="CJ437" s="120">
        <f>(CI437+CK437)/2</f>
        <v>12.5855</v>
      </c>
      <c r="CK437" s="120">
        <f>(CK436+CK438)/2</f>
        <v>12.823499999999999</v>
      </c>
      <c r="CL437" s="120">
        <f>(CK437+CM437)/2</f>
        <v>13.065999999999999</v>
      </c>
      <c r="CM437" s="120">
        <f>(CM436+CM438)/2</f>
        <v>13.308499999999999</v>
      </c>
      <c r="CN437" s="120">
        <f>(CM437+CO437)/2</f>
        <v>13.528499999999999</v>
      </c>
      <c r="CO437" s="120">
        <f>(CO436+CO438)/2</f>
        <v>13.7485</v>
      </c>
      <c r="CP437" s="120">
        <f>(CO437+CQ437)/2</f>
        <v>13.99075</v>
      </c>
      <c r="CQ437" s="120">
        <f>(CQ436+CQ438)/2</f>
        <v>14.233000000000001</v>
      </c>
      <c r="CR437" s="120">
        <f>(CQ437+CS437)/2</f>
        <v>14.475</v>
      </c>
      <c r="CS437" s="120">
        <f>(CS436+CS438)/2</f>
        <v>14.716999999999999</v>
      </c>
      <c r="CT437" s="120">
        <f>(CS437+CU437)/2</f>
        <v>14.93675</v>
      </c>
      <c r="CU437" s="120">
        <f>(CU436+CU438)/2</f>
        <v>15.156499999999999</v>
      </c>
      <c r="CV437" s="120">
        <f>(CU437+CW437)/2</f>
        <v>15.398499999999999</v>
      </c>
      <c r="CW437" s="120">
        <f>(CW436+CW438)/2</f>
        <v>15.640499999999999</v>
      </c>
      <c r="CX437" s="120">
        <f>(CW437+CY437)/2</f>
        <v>15.86425</v>
      </c>
      <c r="CY437" s="120">
        <f>(CY436+CY438)/2</f>
        <v>16.088000000000001</v>
      </c>
      <c r="CZ437" s="120">
        <f>(CY437+DA437)/2</f>
        <v>16.308</v>
      </c>
      <c r="DA437" s="120">
        <f>(DA436+DA438)/2</f>
        <v>16.527999999999999</v>
      </c>
      <c r="DB437" s="120">
        <f>(DA437+DC437)/2</f>
        <v>16.7515</v>
      </c>
      <c r="DC437" s="120">
        <f>(DC436+DC438)/2</f>
        <v>16.975000000000001</v>
      </c>
      <c r="DD437" s="120">
        <f>(DC437+DE437)/2</f>
        <v>17.213750000000001</v>
      </c>
      <c r="DE437" s="120">
        <f>(DE436+DE438)/2</f>
        <v>17.452500000000001</v>
      </c>
      <c r="DF437" s="120">
        <f>(DE437+DG437)/2</f>
        <v>17.661750000000001</v>
      </c>
      <c r="DG437" s="122">
        <f>(DG436+DG438)/2</f>
        <v>17.871000000000002</v>
      </c>
    </row>
    <row r="438" spans="54:111" ht="15" customHeight="1" x14ac:dyDescent="0.2">
      <c r="BB438" s="28">
        <v>6</v>
      </c>
      <c r="BC438" s="121">
        <v>3.5590000000000002</v>
      </c>
      <c r="BD438" s="121">
        <f t="array" ref="BD438:BD492">TRANSPOSE(BE437:DG437)</f>
        <v>4.0125000000000002</v>
      </c>
      <c r="BE438" s="158">
        <v>4.4660000000000002</v>
      </c>
      <c r="BF438" s="120">
        <f>(BG438+BE438)/2</f>
        <v>4.8285</v>
      </c>
      <c r="BG438" s="158">
        <v>5.1909999999999998</v>
      </c>
      <c r="BH438" s="120">
        <f>(BI438+BG438)/2</f>
        <v>5.57</v>
      </c>
      <c r="BI438" s="158">
        <v>5.9489999999999998</v>
      </c>
      <c r="BJ438" s="120">
        <f>(BK438+BI438)/2</f>
        <v>6.2915000000000001</v>
      </c>
      <c r="BK438" s="158">
        <v>6.6340000000000003</v>
      </c>
      <c r="BL438" s="120">
        <f>(BM438+BK438)/2</f>
        <v>6.9585000000000008</v>
      </c>
      <c r="BM438" s="158">
        <v>7.2830000000000004</v>
      </c>
      <c r="BN438" s="120">
        <f>(BO438+BM438)/2</f>
        <v>7.6255000000000006</v>
      </c>
      <c r="BO438" s="158">
        <v>7.968</v>
      </c>
      <c r="BP438" s="120">
        <f>(BQ438+BO438)/2</f>
        <v>8.2484999999999999</v>
      </c>
      <c r="BQ438" s="158">
        <v>8.5289999999999999</v>
      </c>
      <c r="BR438" s="120">
        <f>(BS438+BQ438)/2</f>
        <v>8.8425000000000011</v>
      </c>
      <c r="BS438" s="158">
        <v>9.1560000000000006</v>
      </c>
      <c r="BT438" s="120">
        <f>(BU438+BS438)/2</f>
        <v>9.4615000000000009</v>
      </c>
      <c r="BU438" s="158">
        <v>9.7669999999999995</v>
      </c>
      <c r="BV438" s="120">
        <f>(BW438+BU438)/2</f>
        <v>10.055</v>
      </c>
      <c r="BW438" s="158">
        <v>10.343</v>
      </c>
      <c r="BX438" s="120">
        <f>(BY438+BW438)/2</f>
        <v>10.6485</v>
      </c>
      <c r="BY438" s="158">
        <v>10.954000000000001</v>
      </c>
      <c r="BZ438" s="120">
        <f>(CA438+BY438)/2</f>
        <v>11.198</v>
      </c>
      <c r="CA438" s="158">
        <v>11.442</v>
      </c>
      <c r="CB438" s="120">
        <f>(CC438+CA438)/2</f>
        <v>11.7545</v>
      </c>
      <c r="CC438" s="158">
        <v>12.067</v>
      </c>
      <c r="CD438" s="120">
        <f>(CE438+CC438)/2</f>
        <v>12.335000000000001</v>
      </c>
      <c r="CE438" s="158">
        <v>12.603</v>
      </c>
      <c r="CF438" s="120">
        <f>(CG438+CE438)/2</f>
        <v>12.855</v>
      </c>
      <c r="CG438" s="158">
        <v>13.106999999999999</v>
      </c>
      <c r="CH438" s="120">
        <f>(CI438+CG438)/2</f>
        <v>13.4125</v>
      </c>
      <c r="CI438" s="158">
        <v>13.718</v>
      </c>
      <c r="CJ438" s="120">
        <f>(CK438+CI438)/2</f>
        <v>13.961500000000001</v>
      </c>
      <c r="CK438" s="158">
        <v>14.205</v>
      </c>
      <c r="CL438" s="120">
        <f>(CM438+CK438)/2</f>
        <v>14.4815</v>
      </c>
      <c r="CM438" s="158">
        <v>14.757999999999999</v>
      </c>
      <c r="CN438" s="120">
        <f>(CO438+CM438)/2</f>
        <v>15.026</v>
      </c>
      <c r="CO438" s="158">
        <v>15.294</v>
      </c>
      <c r="CP438" s="120">
        <f>(CQ438+CO438)/2</f>
        <v>15.538499999999999</v>
      </c>
      <c r="CQ438" s="158">
        <v>15.782999999999999</v>
      </c>
      <c r="CR438" s="120">
        <f>(CS438+CQ438)/2</f>
        <v>16.058499999999999</v>
      </c>
      <c r="CS438" s="158">
        <v>16.334</v>
      </c>
      <c r="CT438" s="120">
        <f>(CU438+CS438)/2</f>
        <v>16.577999999999999</v>
      </c>
      <c r="CU438" s="158">
        <v>16.821999999999999</v>
      </c>
      <c r="CV438" s="120">
        <f>(CW438+CU438)/2</f>
        <v>17.097999999999999</v>
      </c>
      <c r="CW438" s="158">
        <v>17.373999999999999</v>
      </c>
      <c r="CX438" s="120">
        <f>(CY438+CW438)/2</f>
        <v>17.642499999999998</v>
      </c>
      <c r="CY438" s="158">
        <v>17.911000000000001</v>
      </c>
      <c r="CZ438" s="120">
        <f>(DA438+CY438)/2</f>
        <v>18.118000000000002</v>
      </c>
      <c r="DA438" s="158">
        <v>18.324999999999999</v>
      </c>
      <c r="DB438" s="120">
        <f>(DC438+DA438)/2</f>
        <v>18.6005</v>
      </c>
      <c r="DC438" s="158">
        <v>18.876000000000001</v>
      </c>
      <c r="DD438" s="120">
        <f>(DE438+DC438)/2</f>
        <v>19.1205</v>
      </c>
      <c r="DE438" s="158">
        <v>19.364999999999998</v>
      </c>
      <c r="DF438" s="120">
        <f>(DG438+DE438)/2</f>
        <v>19.604500000000002</v>
      </c>
      <c r="DG438" s="159">
        <v>19.844000000000001</v>
      </c>
    </row>
    <row r="439" spans="54:111" ht="15" customHeight="1" x14ac:dyDescent="0.2">
      <c r="BB439" s="28">
        <v>7</v>
      </c>
      <c r="BC439" s="121">
        <v>3.903</v>
      </c>
      <c r="BD439" s="121">
        <v>4.3657500000000002</v>
      </c>
      <c r="BE439" s="121">
        <f t="array" ref="BE439:BE492">TRANSPOSE(BF438:DG438)</f>
        <v>4.8285</v>
      </c>
      <c r="BF439" s="120">
        <f>(BE439+BG439)/2</f>
        <v>5.2352499999999997</v>
      </c>
      <c r="BG439" s="120">
        <f>(BG438+BG440)/2</f>
        <v>5.6419999999999995</v>
      </c>
      <c r="BH439" s="120">
        <f>(BG439+BI439)/2</f>
        <v>6.0612499999999994</v>
      </c>
      <c r="BI439" s="120">
        <f>(BI438+BI440)/2</f>
        <v>6.4804999999999993</v>
      </c>
      <c r="BJ439" s="120">
        <f>(BI439+BK439)/2</f>
        <v>6.859</v>
      </c>
      <c r="BK439" s="120">
        <f>(BK438+BK440)/2</f>
        <v>7.2375000000000007</v>
      </c>
      <c r="BL439" s="120">
        <f>(BK439+BM439)/2</f>
        <v>7.5925000000000002</v>
      </c>
      <c r="BM439" s="120">
        <f>(BM438+BM440)/2</f>
        <v>7.9474999999999998</v>
      </c>
      <c r="BN439" s="120">
        <f>(BM439+BO439)/2</f>
        <v>8.2955000000000005</v>
      </c>
      <c r="BO439" s="120">
        <f>(BO438+BO440)/2</f>
        <v>8.6434999999999995</v>
      </c>
      <c r="BP439" s="120">
        <f>(BO439+BQ439)/2</f>
        <v>8.9764999999999997</v>
      </c>
      <c r="BQ439" s="120">
        <f>(BQ438+BQ440)/2</f>
        <v>9.3094999999999999</v>
      </c>
      <c r="BR439" s="120">
        <f>(BQ439+BS439)/2</f>
        <v>9.6550000000000011</v>
      </c>
      <c r="BS439" s="120">
        <f>(BS438+BS440)/2</f>
        <v>10.000500000000001</v>
      </c>
      <c r="BT439" s="120">
        <f>(BS439+BU439)/2</f>
        <v>10.327500000000001</v>
      </c>
      <c r="BU439" s="120">
        <f>(BU438+BU440)/2</f>
        <v>10.654499999999999</v>
      </c>
      <c r="BV439" s="120">
        <f>(BU439+BW439)/2</f>
        <v>10.96875</v>
      </c>
      <c r="BW439" s="120">
        <f>(BW438+BW440)/2</f>
        <v>11.283000000000001</v>
      </c>
      <c r="BX439" s="120">
        <f>(BW439+BY439)/2</f>
        <v>11.598000000000001</v>
      </c>
      <c r="BY439" s="120">
        <f>(BY438+BY440)/2</f>
        <v>11.913</v>
      </c>
      <c r="BZ439" s="120">
        <f>(BY439+CA439)/2</f>
        <v>12.205500000000001</v>
      </c>
      <c r="CA439" s="120">
        <f>(CA438+CA440)/2</f>
        <v>12.498000000000001</v>
      </c>
      <c r="CB439" s="120">
        <f>(CA439+CC439)/2</f>
        <v>12.8285</v>
      </c>
      <c r="CC439" s="120">
        <f>(CC438+CC440)/2</f>
        <v>13.158999999999999</v>
      </c>
      <c r="CD439" s="120">
        <f>(CC439+CE439)/2</f>
        <v>13.4635</v>
      </c>
      <c r="CE439" s="120">
        <f>(CE438+CE440)/2</f>
        <v>13.768000000000001</v>
      </c>
      <c r="CF439" s="120">
        <f>(CE439+CG439)/2</f>
        <v>14.04975</v>
      </c>
      <c r="CG439" s="120">
        <f>(CG438+CG440)/2</f>
        <v>14.331499999999998</v>
      </c>
      <c r="CH439" s="120">
        <f>(CG439+CI439)/2</f>
        <v>14.642499999999998</v>
      </c>
      <c r="CI439" s="120">
        <f>(CI438+CI440)/2</f>
        <v>14.9535</v>
      </c>
      <c r="CJ439" s="120">
        <f>(CI439+CK439)/2</f>
        <v>15.23075</v>
      </c>
      <c r="CK439" s="120">
        <f>(CK438+CK440)/2</f>
        <v>15.507999999999999</v>
      </c>
      <c r="CL439" s="120">
        <f>(CK439+CM439)/2</f>
        <v>15.816999999999998</v>
      </c>
      <c r="CM439" s="120">
        <f>(CM438+CM440)/2</f>
        <v>16.125999999999998</v>
      </c>
      <c r="CN439" s="120">
        <f>(CM439+CO439)/2</f>
        <v>16.415499999999998</v>
      </c>
      <c r="CO439" s="120">
        <f>(CO438+CO440)/2</f>
        <v>16.704999999999998</v>
      </c>
      <c r="CP439" s="120">
        <f>(CO439+CQ439)/2</f>
        <v>16.979500000000002</v>
      </c>
      <c r="CQ439" s="120">
        <f>(CQ438+CQ440)/2</f>
        <v>17.254000000000001</v>
      </c>
      <c r="CR439" s="120">
        <f>(CQ439+CS439)/2</f>
        <v>17.553750000000001</v>
      </c>
      <c r="CS439" s="120">
        <f>(CS438+CS440)/2</f>
        <v>17.8535</v>
      </c>
      <c r="CT439" s="120">
        <f>(CS439+CU439)/2</f>
        <v>18.127499999999998</v>
      </c>
      <c r="CU439" s="120">
        <f>(CU438+CU440)/2</f>
        <v>18.401499999999999</v>
      </c>
      <c r="CV439" s="120">
        <f>(CU439+CW439)/2</f>
        <v>18.695249999999998</v>
      </c>
      <c r="CW439" s="120">
        <f>(CW438+CW440)/2</f>
        <v>18.988999999999997</v>
      </c>
      <c r="CX439" s="120">
        <f>(CW439+CY439)/2</f>
        <v>19.27525</v>
      </c>
      <c r="CY439" s="120">
        <f>(CY438+CY440)/2</f>
        <v>19.561500000000002</v>
      </c>
      <c r="CZ439" s="120">
        <f>(CY439+DA439)/2</f>
        <v>19.82075</v>
      </c>
      <c r="DA439" s="120">
        <f>(DA438+DA440)/2</f>
        <v>20.079999999999998</v>
      </c>
      <c r="DB439" s="120">
        <f>(DA439+DC439)/2</f>
        <v>20.357749999999999</v>
      </c>
      <c r="DC439" s="120">
        <f>(DC438+DC440)/2</f>
        <v>20.6355</v>
      </c>
      <c r="DD439" s="120">
        <f>(DC439+DE439)/2</f>
        <v>20.913499999999999</v>
      </c>
      <c r="DE439" s="120">
        <f>(DE438+DE440)/2</f>
        <v>21.191499999999998</v>
      </c>
      <c r="DF439" s="120">
        <f>(DE439+DG439)/2</f>
        <v>21.463000000000001</v>
      </c>
      <c r="DG439" s="122">
        <f>(DG438+DG440)/2</f>
        <v>21.734500000000001</v>
      </c>
    </row>
    <row r="440" spans="54:111" ht="15" customHeight="1" x14ac:dyDescent="0.2">
      <c r="BB440" s="28">
        <v>8</v>
      </c>
      <c r="BC440" s="121">
        <v>4.2469999999999999</v>
      </c>
      <c r="BD440" s="121">
        <v>4.7189999999999994</v>
      </c>
      <c r="BE440" s="121">
        <v>5.1909999999999998</v>
      </c>
      <c r="BF440" s="121">
        <f t="array" ref="BF440:BF492">TRANSPOSE(BG439:DG439)</f>
        <v>5.6419999999999995</v>
      </c>
      <c r="BG440" s="158">
        <v>6.093</v>
      </c>
      <c r="BH440" s="120">
        <f>(BI440+BG440)/2</f>
        <v>6.5525000000000002</v>
      </c>
      <c r="BI440" s="158">
        <v>7.0119999999999996</v>
      </c>
      <c r="BJ440" s="120">
        <f>(BK440+BI440)/2</f>
        <v>7.4264999999999999</v>
      </c>
      <c r="BK440" s="158">
        <v>7.8410000000000002</v>
      </c>
      <c r="BL440" s="120">
        <f>(BM440+BK440)/2</f>
        <v>8.2264999999999997</v>
      </c>
      <c r="BM440" s="158">
        <v>8.6120000000000001</v>
      </c>
      <c r="BN440" s="120">
        <f>(BO440+BM440)/2</f>
        <v>8.9655000000000005</v>
      </c>
      <c r="BO440" s="158">
        <v>9.3190000000000008</v>
      </c>
      <c r="BP440" s="120">
        <f>(BQ440+BO440)/2</f>
        <v>9.7044999999999995</v>
      </c>
      <c r="BQ440" s="158">
        <v>10.09</v>
      </c>
      <c r="BR440" s="120">
        <f>(BS440+BQ440)/2</f>
        <v>10.467500000000001</v>
      </c>
      <c r="BS440" s="158">
        <v>10.845000000000001</v>
      </c>
      <c r="BT440" s="120">
        <f>(BU440+BS440)/2</f>
        <v>11.1935</v>
      </c>
      <c r="BU440" s="158">
        <v>11.542</v>
      </c>
      <c r="BV440" s="120">
        <f>(BW440+BU440)/2</f>
        <v>11.8825</v>
      </c>
      <c r="BW440" s="158">
        <v>12.223000000000001</v>
      </c>
      <c r="BX440" s="120">
        <f>(BY440+BW440)/2</f>
        <v>12.547499999999999</v>
      </c>
      <c r="BY440" s="158">
        <v>12.872</v>
      </c>
      <c r="BZ440" s="120">
        <f>(CA440+BY440)/2</f>
        <v>13.213000000000001</v>
      </c>
      <c r="CA440" s="158">
        <v>13.554</v>
      </c>
      <c r="CB440" s="120">
        <f>(CC440+CA440)/2</f>
        <v>13.9025</v>
      </c>
      <c r="CC440" s="158">
        <v>14.250999999999999</v>
      </c>
      <c r="CD440" s="120">
        <f>(CE440+CC440)/2</f>
        <v>14.591999999999999</v>
      </c>
      <c r="CE440" s="158">
        <v>14.933</v>
      </c>
      <c r="CF440" s="120">
        <f>(CG440+CE440)/2</f>
        <v>15.244499999999999</v>
      </c>
      <c r="CG440" s="158">
        <v>15.555999999999999</v>
      </c>
      <c r="CH440" s="120">
        <f>(CI440+CG440)/2</f>
        <v>15.872499999999999</v>
      </c>
      <c r="CI440" s="158">
        <v>16.189</v>
      </c>
      <c r="CJ440" s="120">
        <f>(CK440+CI440)/2</f>
        <v>16.5</v>
      </c>
      <c r="CK440" s="158">
        <v>16.811</v>
      </c>
      <c r="CL440" s="120">
        <f>(CM440+CK440)/2</f>
        <v>17.1525</v>
      </c>
      <c r="CM440" s="158">
        <v>17.494</v>
      </c>
      <c r="CN440" s="120">
        <f>(CO440+CM440)/2</f>
        <v>17.805</v>
      </c>
      <c r="CO440" s="158">
        <v>18.116</v>
      </c>
      <c r="CP440" s="120">
        <f>(CQ440+CO440)/2</f>
        <v>18.420500000000001</v>
      </c>
      <c r="CQ440" s="158">
        <v>18.725000000000001</v>
      </c>
      <c r="CR440" s="120">
        <f>(CS440+CQ440)/2</f>
        <v>19.048999999999999</v>
      </c>
      <c r="CS440" s="158">
        <v>19.373000000000001</v>
      </c>
      <c r="CT440" s="120">
        <f>(CU440+CS440)/2</f>
        <v>19.677</v>
      </c>
      <c r="CU440" s="158">
        <v>19.981000000000002</v>
      </c>
      <c r="CV440" s="120">
        <f>(CW440+CU440)/2</f>
        <v>20.2925</v>
      </c>
      <c r="CW440" s="158">
        <v>20.603999999999999</v>
      </c>
      <c r="CX440" s="120">
        <f>(CY440+CW440)/2</f>
        <v>20.908000000000001</v>
      </c>
      <c r="CY440" s="158">
        <v>21.212</v>
      </c>
      <c r="CZ440" s="120">
        <f>(DA440+CY440)/2</f>
        <v>21.523499999999999</v>
      </c>
      <c r="DA440" s="158">
        <v>21.835000000000001</v>
      </c>
      <c r="DB440" s="120">
        <f>(DC440+DA440)/2</f>
        <v>22.115000000000002</v>
      </c>
      <c r="DC440" s="158">
        <v>22.395</v>
      </c>
      <c r="DD440" s="120">
        <f>(DE440+DC440)/2</f>
        <v>22.706499999999998</v>
      </c>
      <c r="DE440" s="158">
        <v>23.018000000000001</v>
      </c>
      <c r="DF440" s="120">
        <f>(DG440+DE440)/2</f>
        <v>23.3215</v>
      </c>
      <c r="DG440" s="159">
        <v>23.625</v>
      </c>
    </row>
    <row r="441" spans="54:111" ht="15" customHeight="1" x14ac:dyDescent="0.2">
      <c r="BB441" s="28">
        <v>9</v>
      </c>
      <c r="BC441" s="121">
        <v>4.5289999999999999</v>
      </c>
      <c r="BD441" s="121">
        <v>5.0495000000000001</v>
      </c>
      <c r="BE441" s="121">
        <v>5.57</v>
      </c>
      <c r="BF441" s="121">
        <v>6.0612499999999994</v>
      </c>
      <c r="BG441" s="121">
        <f t="array" ref="BG441:BG492">TRANSPOSE(BH440:DG440)</f>
        <v>6.5525000000000002</v>
      </c>
      <c r="BH441" s="120">
        <f>(BG441+BI441)/2</f>
        <v>7.0259999999999998</v>
      </c>
      <c r="BI441" s="120">
        <f>(BI440+BI442)/2</f>
        <v>7.4994999999999994</v>
      </c>
      <c r="BJ441" s="120">
        <f>(BI441+BK441)/2</f>
        <v>7.9357499999999996</v>
      </c>
      <c r="BK441" s="120">
        <f>(BK440+BK442)/2</f>
        <v>8.3719999999999999</v>
      </c>
      <c r="BL441" s="120">
        <f>(BK441+BM441)/2</f>
        <v>8.7897499999999997</v>
      </c>
      <c r="BM441" s="120">
        <f>(BM440+BM442)/2</f>
        <v>9.2074999999999996</v>
      </c>
      <c r="BN441" s="120">
        <f>(BM441+BO441)/2</f>
        <v>9.6129999999999995</v>
      </c>
      <c r="BO441" s="120">
        <f>(BO440+BO442)/2</f>
        <v>10.0185</v>
      </c>
      <c r="BP441" s="120">
        <f>(BO441+BQ441)/2</f>
        <v>10.421749999999999</v>
      </c>
      <c r="BQ441" s="120">
        <f>(BQ440+BQ442)/2</f>
        <v>10.824999999999999</v>
      </c>
      <c r="BR441" s="120">
        <f>(BQ441+BS441)/2</f>
        <v>11.220499999999999</v>
      </c>
      <c r="BS441" s="120">
        <f>(BS440+BS442)/2</f>
        <v>11.616</v>
      </c>
      <c r="BT441" s="120">
        <f>(BS441+BU441)/2</f>
        <v>11.982250000000001</v>
      </c>
      <c r="BU441" s="120">
        <f>(BU440+BU442)/2</f>
        <v>12.3485</v>
      </c>
      <c r="BV441" s="120">
        <f>(BU441+BW441)/2</f>
        <v>12.72925</v>
      </c>
      <c r="BW441" s="120">
        <f>(BW440+BW442)/2</f>
        <v>13.11</v>
      </c>
      <c r="BX441" s="120">
        <f>(BW441+BY441)/2</f>
        <v>13.4605</v>
      </c>
      <c r="BY441" s="120">
        <f>(BY440+BY442)/2</f>
        <v>13.811</v>
      </c>
      <c r="BZ441" s="120">
        <f>(BY441+CA441)/2</f>
        <v>14.192</v>
      </c>
      <c r="CA441" s="120">
        <f>(CA440+CA442)/2</f>
        <v>14.573</v>
      </c>
      <c r="CB441" s="120">
        <f>(CA441+CC441)/2</f>
        <v>14.939249999999999</v>
      </c>
      <c r="CC441" s="120">
        <f>(CC440+CC442)/2</f>
        <v>15.305499999999999</v>
      </c>
      <c r="CD441" s="120">
        <f>(CC441+CE441)/2</f>
        <v>15.664499999999999</v>
      </c>
      <c r="CE441" s="120">
        <f>(CE440+CE442)/2</f>
        <v>16.023499999999999</v>
      </c>
      <c r="CF441" s="120">
        <f>(CE441+CG441)/2</f>
        <v>16.37125</v>
      </c>
      <c r="CG441" s="120">
        <f>(CG440+CG442)/2</f>
        <v>16.719000000000001</v>
      </c>
      <c r="CH441" s="120">
        <f>(CG441+CI441)/2</f>
        <v>17.050750000000001</v>
      </c>
      <c r="CI441" s="120">
        <f>(CI440+CI442)/2</f>
        <v>17.3825</v>
      </c>
      <c r="CJ441" s="120">
        <f>(CI441+CK441)/2</f>
        <v>17.72625</v>
      </c>
      <c r="CK441" s="120">
        <f>(CK440+CK442)/2</f>
        <v>18.07</v>
      </c>
      <c r="CL441" s="120">
        <f>(CK441+CM441)/2</f>
        <v>18.432749999999999</v>
      </c>
      <c r="CM441" s="120">
        <f>(CM440+CM442)/2</f>
        <v>18.795500000000001</v>
      </c>
      <c r="CN441" s="120">
        <f>(CM441+CO441)/2</f>
        <v>19.121000000000002</v>
      </c>
      <c r="CO441" s="120">
        <f>(CO440+CO442)/2</f>
        <v>19.4465</v>
      </c>
      <c r="CP441" s="120">
        <f>(CO441+CQ441)/2</f>
        <v>19.790750000000003</v>
      </c>
      <c r="CQ441" s="120">
        <f>(CQ440+CQ442)/2</f>
        <v>20.135000000000002</v>
      </c>
      <c r="CR441" s="120">
        <f>(CQ441+CS441)/2</f>
        <v>20.47025</v>
      </c>
      <c r="CS441" s="120">
        <f>(CS440+CS442)/2</f>
        <v>20.805500000000002</v>
      </c>
      <c r="CT441" s="120">
        <f>(CS441+CU441)/2</f>
        <v>21.14575</v>
      </c>
      <c r="CU441" s="120">
        <f>(CU440+CU442)/2</f>
        <v>21.486000000000001</v>
      </c>
      <c r="CV441" s="120">
        <f>(CU441+CW441)/2</f>
        <v>21.8155</v>
      </c>
      <c r="CW441" s="120">
        <f>(CW440+CW442)/2</f>
        <v>22.145</v>
      </c>
      <c r="CX441" s="120">
        <f>(CW441+CY441)/2</f>
        <v>22.470750000000002</v>
      </c>
      <c r="CY441" s="120">
        <f>(CY440+CY442)/2</f>
        <v>22.796500000000002</v>
      </c>
      <c r="CZ441" s="120">
        <f>(CY441+DA441)/2</f>
        <v>23.140500000000003</v>
      </c>
      <c r="DA441" s="120">
        <f>(DA440+DA442)/2</f>
        <v>23.484500000000001</v>
      </c>
      <c r="DB441" s="120">
        <f>(DA441+DC441)/2</f>
        <v>23.798250000000003</v>
      </c>
      <c r="DC441" s="120">
        <f>(DC440+DC442)/2</f>
        <v>24.112000000000002</v>
      </c>
      <c r="DD441" s="120">
        <f>(DC441+DE441)/2</f>
        <v>24.441000000000003</v>
      </c>
      <c r="DE441" s="120">
        <f>(DE440+DE442)/2</f>
        <v>24.77</v>
      </c>
      <c r="DF441" s="120">
        <f>(DE441+DG441)/2</f>
        <v>25.091749999999998</v>
      </c>
      <c r="DG441" s="122">
        <f>(DG440+DG442)/2</f>
        <v>25.413499999999999</v>
      </c>
    </row>
    <row r="442" spans="54:111" ht="15" customHeight="1" x14ac:dyDescent="0.2">
      <c r="BB442" s="28">
        <v>10</v>
      </c>
      <c r="BC442" s="121">
        <v>4.8109999999999999</v>
      </c>
      <c r="BD442" s="121">
        <v>5.38</v>
      </c>
      <c r="BE442" s="121">
        <v>5.9489999999999998</v>
      </c>
      <c r="BF442" s="121">
        <v>6.4804999999999993</v>
      </c>
      <c r="BG442" s="121">
        <v>7.0119999999999996</v>
      </c>
      <c r="BH442" s="121">
        <f t="array" ref="BH442:BH492">TRANSPOSE(BI441:DG441)</f>
        <v>7.4994999999999994</v>
      </c>
      <c r="BI442" s="158">
        <v>7.9870000000000001</v>
      </c>
      <c r="BJ442" s="120">
        <f>(BK442+BI442)/2</f>
        <v>8.4450000000000003</v>
      </c>
      <c r="BK442" s="158">
        <v>8.9030000000000005</v>
      </c>
      <c r="BL442" s="120">
        <f>(BM442+BK442)/2</f>
        <v>9.3530000000000015</v>
      </c>
      <c r="BM442" s="158">
        <v>9.8030000000000008</v>
      </c>
      <c r="BN442" s="120">
        <f>(BO442+BM442)/2</f>
        <v>10.2605</v>
      </c>
      <c r="BO442" s="158">
        <v>10.718</v>
      </c>
      <c r="BP442" s="120">
        <f>(BQ442+BO442)/2</f>
        <v>11.138999999999999</v>
      </c>
      <c r="BQ442" s="158">
        <v>11.56</v>
      </c>
      <c r="BR442" s="120">
        <f>(BS442+BQ442)/2</f>
        <v>11.973500000000001</v>
      </c>
      <c r="BS442" s="158">
        <v>12.387</v>
      </c>
      <c r="BT442" s="120">
        <f>(BU442+BS442)/2</f>
        <v>12.771000000000001</v>
      </c>
      <c r="BU442" s="158">
        <v>13.154999999999999</v>
      </c>
      <c r="BV442" s="120">
        <f>(BW442+BU442)/2</f>
        <v>13.576000000000001</v>
      </c>
      <c r="BW442" s="158">
        <v>13.997</v>
      </c>
      <c r="BX442" s="120">
        <f>(BY442+BW442)/2</f>
        <v>14.3735</v>
      </c>
      <c r="BY442" s="158">
        <v>14.75</v>
      </c>
      <c r="BZ442" s="120">
        <f>(CA442+BY442)/2</f>
        <v>15.170999999999999</v>
      </c>
      <c r="CA442" s="158">
        <v>15.592000000000001</v>
      </c>
      <c r="CB442" s="120">
        <f>(CC442+CA442)/2</f>
        <v>15.975999999999999</v>
      </c>
      <c r="CC442" s="158">
        <v>16.36</v>
      </c>
      <c r="CD442" s="120">
        <f>(CE442+CC442)/2</f>
        <v>16.737000000000002</v>
      </c>
      <c r="CE442" s="158">
        <v>17.114000000000001</v>
      </c>
      <c r="CF442" s="120">
        <f>(CG442+CE442)/2</f>
        <v>17.498000000000001</v>
      </c>
      <c r="CG442" s="158">
        <v>17.882000000000001</v>
      </c>
      <c r="CH442" s="120">
        <f>(CI442+CG442)/2</f>
        <v>18.228999999999999</v>
      </c>
      <c r="CI442" s="158">
        <v>18.576000000000001</v>
      </c>
      <c r="CJ442" s="120">
        <f>(CK442+CI442)/2</f>
        <v>18.952500000000001</v>
      </c>
      <c r="CK442" s="158">
        <v>19.329000000000001</v>
      </c>
      <c r="CL442" s="120">
        <f>(CM442+CK442)/2</f>
        <v>19.713000000000001</v>
      </c>
      <c r="CM442" s="158">
        <v>20.097000000000001</v>
      </c>
      <c r="CN442" s="120">
        <f>(CO442+CM442)/2</f>
        <v>20.437000000000001</v>
      </c>
      <c r="CO442" s="158">
        <v>20.777000000000001</v>
      </c>
      <c r="CP442" s="120">
        <f>(CQ442+CO442)/2</f>
        <v>21.161000000000001</v>
      </c>
      <c r="CQ442" s="158">
        <v>21.545000000000002</v>
      </c>
      <c r="CR442" s="120">
        <f>(CS442+CQ442)/2</f>
        <v>21.891500000000001</v>
      </c>
      <c r="CS442" s="158">
        <v>22.238</v>
      </c>
      <c r="CT442" s="120">
        <f>(CU442+CS442)/2</f>
        <v>22.6145</v>
      </c>
      <c r="CU442" s="158">
        <v>22.991</v>
      </c>
      <c r="CV442" s="120">
        <f>(CW442+CU442)/2</f>
        <v>23.3385</v>
      </c>
      <c r="CW442" s="158">
        <v>23.686</v>
      </c>
      <c r="CX442" s="120">
        <f>(CY442+CW442)/2</f>
        <v>24.0335</v>
      </c>
      <c r="CY442" s="158">
        <v>24.381</v>
      </c>
      <c r="CZ442" s="120">
        <f>(DA442+CY442)/2</f>
        <v>24.7575</v>
      </c>
      <c r="DA442" s="158">
        <v>25.134</v>
      </c>
      <c r="DB442" s="120">
        <f>(DC442+DA442)/2</f>
        <v>25.4815</v>
      </c>
      <c r="DC442" s="158">
        <v>25.829000000000001</v>
      </c>
      <c r="DD442" s="120">
        <f>(DE442+DC442)/2</f>
        <v>26.1755</v>
      </c>
      <c r="DE442" s="158">
        <v>26.521999999999998</v>
      </c>
      <c r="DF442" s="120">
        <f>(DG442+DE442)/2</f>
        <v>26.862000000000002</v>
      </c>
      <c r="DG442" s="159">
        <v>27.202000000000002</v>
      </c>
    </row>
    <row r="443" spans="54:111" ht="15" customHeight="1" x14ac:dyDescent="0.2">
      <c r="BB443" s="28">
        <v>11</v>
      </c>
      <c r="BC443" s="121">
        <v>5.0640000000000001</v>
      </c>
      <c r="BD443" s="121">
        <v>5.6777499999999996</v>
      </c>
      <c r="BE443" s="121">
        <v>6.2915000000000001</v>
      </c>
      <c r="BF443" s="121">
        <v>6.859</v>
      </c>
      <c r="BG443" s="121">
        <v>7.4264999999999999</v>
      </c>
      <c r="BH443" s="121">
        <v>7.9357499999999996</v>
      </c>
      <c r="BI443" s="121">
        <f t="array" ref="BI443:BI492">TRANSPOSE(BJ442:DG442)</f>
        <v>8.4450000000000003</v>
      </c>
      <c r="BJ443" s="120">
        <f>(BI443+BK443)/2</f>
        <v>8.9390000000000001</v>
      </c>
      <c r="BK443" s="120">
        <f>(BK442+BK444)/2</f>
        <v>9.4329999999999998</v>
      </c>
      <c r="BL443" s="120">
        <f>(BK443+BM443)/2</f>
        <v>9.9009999999999998</v>
      </c>
      <c r="BM443" s="120">
        <f>(BM442+BM444)/2</f>
        <v>10.369</v>
      </c>
      <c r="BN443" s="120">
        <f>(BM443+BO443)/2</f>
        <v>10.8565</v>
      </c>
      <c r="BO443" s="120">
        <f>(BO442+BO444)/2</f>
        <v>11.344000000000001</v>
      </c>
      <c r="BP443" s="120">
        <f>(BO443+BQ443)/2</f>
        <v>11.801250000000001</v>
      </c>
      <c r="BQ443" s="120">
        <f>(BQ442+BQ444)/2</f>
        <v>12.258500000000002</v>
      </c>
      <c r="BR443" s="120">
        <f>(BQ443+BS443)/2</f>
        <v>12.693750000000001</v>
      </c>
      <c r="BS443" s="120">
        <f>(BS442+BS444)/2</f>
        <v>13.129000000000001</v>
      </c>
      <c r="BT443" s="120">
        <f>(BS443+BU443)/2</f>
        <v>13.545500000000001</v>
      </c>
      <c r="BU443" s="120">
        <f>(BU442+BU444)/2</f>
        <v>13.962</v>
      </c>
      <c r="BV443" s="120">
        <f>(BU443+BW443)/2</f>
        <v>14.40075</v>
      </c>
      <c r="BW443" s="120">
        <f>(BW442+BW444)/2</f>
        <v>14.839500000000001</v>
      </c>
      <c r="BX443" s="120">
        <f>(BW443+BY443)/2</f>
        <v>15.26825</v>
      </c>
      <c r="BY443" s="120">
        <f>(BY442+BY444)/2</f>
        <v>15.696999999999999</v>
      </c>
      <c r="BZ443" s="120">
        <f>(BY443+CA443)/2</f>
        <v>16.117249999999999</v>
      </c>
      <c r="CA443" s="120">
        <f>(CA442+CA444)/2</f>
        <v>16.537500000000001</v>
      </c>
      <c r="CB443" s="120">
        <f>(CA443+CC443)/2</f>
        <v>16.939500000000002</v>
      </c>
      <c r="CC443" s="120">
        <f>(CC442+CC444)/2</f>
        <v>17.3415</v>
      </c>
      <c r="CD443" s="120">
        <f>(CC443+CE443)/2</f>
        <v>17.754249999999999</v>
      </c>
      <c r="CE443" s="120">
        <f>(CE442+CE444)/2</f>
        <v>18.167000000000002</v>
      </c>
      <c r="CF443" s="120">
        <f>(CE443+CG443)/2</f>
        <v>18.569000000000003</v>
      </c>
      <c r="CG443" s="120">
        <f>(CG442+CG444)/2</f>
        <v>18.971</v>
      </c>
      <c r="CH443" s="120">
        <f>(CG443+CI443)/2</f>
        <v>19.366500000000002</v>
      </c>
      <c r="CI443" s="120">
        <f>(CI442+CI444)/2</f>
        <v>19.762</v>
      </c>
      <c r="CJ443" s="120">
        <f>(CI443+CK443)/2</f>
        <v>20.160250000000001</v>
      </c>
      <c r="CK443" s="120">
        <f>(CK442+CK444)/2</f>
        <v>20.558500000000002</v>
      </c>
      <c r="CL443" s="120">
        <f>(CK443+CM443)/2</f>
        <v>20.956250000000001</v>
      </c>
      <c r="CM443" s="120">
        <f>(CM442+CM444)/2</f>
        <v>21.353999999999999</v>
      </c>
      <c r="CN443" s="120">
        <f>(CM443+CO443)/2</f>
        <v>21.734249999999999</v>
      </c>
      <c r="CO443" s="120">
        <f>(CO442+CO444)/2</f>
        <v>22.1145</v>
      </c>
      <c r="CP443" s="120">
        <f>(CO443+CQ443)/2</f>
        <v>22.497500000000002</v>
      </c>
      <c r="CQ443" s="120">
        <f>(CQ442+CQ444)/2</f>
        <v>22.880500000000001</v>
      </c>
      <c r="CR443" s="120">
        <f>(CQ443+CS443)/2</f>
        <v>23.276000000000003</v>
      </c>
      <c r="CS443" s="120">
        <f>(CS442+CS444)/2</f>
        <v>23.671500000000002</v>
      </c>
      <c r="CT443" s="120">
        <f>(CS443+CU443)/2</f>
        <v>24.066000000000003</v>
      </c>
      <c r="CU443" s="120">
        <f>(CU442+CU444)/2</f>
        <v>24.4605</v>
      </c>
      <c r="CV443" s="120">
        <f>(CU443+CW443)/2</f>
        <v>24.825499999999998</v>
      </c>
      <c r="CW443" s="120">
        <f>(CW442+CW444)/2</f>
        <v>25.1905</v>
      </c>
      <c r="CX443" s="120">
        <f>(CW443+CY443)/2</f>
        <v>25.573999999999998</v>
      </c>
      <c r="CY443" s="120">
        <f>(CY442+CY444)/2</f>
        <v>25.9575</v>
      </c>
      <c r="CZ443" s="120">
        <f>(CY443+DA443)/2</f>
        <v>26.337249999999997</v>
      </c>
      <c r="DA443" s="120">
        <f>(DA442+DA444)/2</f>
        <v>26.716999999999999</v>
      </c>
      <c r="DB443" s="120">
        <f>(DA443+DC443)/2</f>
        <v>27.094249999999999</v>
      </c>
      <c r="DC443" s="120">
        <f>(DC442+DC444)/2</f>
        <v>27.471499999999999</v>
      </c>
      <c r="DD443" s="120">
        <f>(DC443+DE443)/2</f>
        <v>27.850999999999999</v>
      </c>
      <c r="DE443" s="120">
        <f>(DE442+DE444)/2</f>
        <v>28.230499999999999</v>
      </c>
      <c r="DF443" s="120">
        <f>(DE443+DG443)/2</f>
        <v>28.591750000000001</v>
      </c>
      <c r="DG443" s="122">
        <f>(DG442+DG444)/2</f>
        <v>28.953000000000003</v>
      </c>
    </row>
    <row r="444" spans="54:111" ht="15" customHeight="1" x14ac:dyDescent="0.2">
      <c r="BB444" s="28">
        <v>12</v>
      </c>
      <c r="BC444" s="121">
        <v>5.3170000000000002</v>
      </c>
      <c r="BD444" s="121">
        <v>5.9755000000000003</v>
      </c>
      <c r="BE444" s="121">
        <v>6.6340000000000003</v>
      </c>
      <c r="BF444" s="121">
        <v>7.2375000000000007</v>
      </c>
      <c r="BG444" s="121">
        <v>7.8410000000000002</v>
      </c>
      <c r="BH444" s="121">
        <v>8.3719999999999999</v>
      </c>
      <c r="BI444" s="121">
        <v>8.9030000000000005</v>
      </c>
      <c r="BJ444" s="121">
        <f t="array" ref="BJ444:BJ492">TRANSPOSE(BK443:DG443)</f>
        <v>9.4329999999999998</v>
      </c>
      <c r="BK444" s="158">
        <v>9.9629999999999992</v>
      </c>
      <c r="BL444" s="120">
        <f>(BM444+BK444)/2</f>
        <v>10.449</v>
      </c>
      <c r="BM444" s="158">
        <v>10.935</v>
      </c>
      <c r="BN444" s="120">
        <f>(BO444+BM444)/2</f>
        <v>11.452500000000001</v>
      </c>
      <c r="BO444" s="158">
        <v>11.97</v>
      </c>
      <c r="BP444" s="120">
        <f>(BQ444+BO444)/2</f>
        <v>12.4635</v>
      </c>
      <c r="BQ444" s="158">
        <v>12.957000000000001</v>
      </c>
      <c r="BR444" s="120">
        <f>(BS444+BQ444)/2</f>
        <v>13.414000000000001</v>
      </c>
      <c r="BS444" s="158">
        <v>13.871</v>
      </c>
      <c r="BT444" s="120">
        <f>(BU444+BS444)/2</f>
        <v>14.32</v>
      </c>
      <c r="BU444" s="158">
        <v>14.769</v>
      </c>
      <c r="BV444" s="120">
        <f>(BW444+BU444)/2</f>
        <v>15.2255</v>
      </c>
      <c r="BW444" s="158">
        <v>15.682</v>
      </c>
      <c r="BX444" s="120">
        <f>(BY444+BW444)/2</f>
        <v>16.163</v>
      </c>
      <c r="BY444" s="158">
        <v>16.643999999999998</v>
      </c>
      <c r="BZ444" s="120">
        <f>(CA444+BY444)/2</f>
        <v>17.063499999999998</v>
      </c>
      <c r="CA444" s="158">
        <v>17.483000000000001</v>
      </c>
      <c r="CB444" s="120">
        <f>(CC444+CA444)/2</f>
        <v>17.902999999999999</v>
      </c>
      <c r="CC444" s="158">
        <v>18.323</v>
      </c>
      <c r="CD444" s="120">
        <f>(CE444+CC444)/2</f>
        <v>18.7715</v>
      </c>
      <c r="CE444" s="158">
        <v>19.22</v>
      </c>
      <c r="CF444" s="120">
        <f>(CG444+CE444)/2</f>
        <v>19.64</v>
      </c>
      <c r="CG444" s="158">
        <v>20.059999999999999</v>
      </c>
      <c r="CH444" s="120">
        <f>(CI444+CG444)/2</f>
        <v>20.503999999999998</v>
      </c>
      <c r="CI444" s="158">
        <v>20.948</v>
      </c>
      <c r="CJ444" s="120">
        <f>(CK444+CI444)/2</f>
        <v>21.368000000000002</v>
      </c>
      <c r="CK444" s="158">
        <v>21.788</v>
      </c>
      <c r="CL444" s="120">
        <f>(CM444+CK444)/2</f>
        <v>22.1995</v>
      </c>
      <c r="CM444" s="158">
        <v>22.611000000000001</v>
      </c>
      <c r="CN444" s="120">
        <f>(CO444+CM444)/2</f>
        <v>23.031500000000001</v>
      </c>
      <c r="CO444" s="158">
        <v>23.452000000000002</v>
      </c>
      <c r="CP444" s="120">
        <f>(CQ444+CO444)/2</f>
        <v>23.834000000000003</v>
      </c>
      <c r="CQ444" s="158">
        <v>24.216000000000001</v>
      </c>
      <c r="CR444" s="120">
        <f>(CS444+CQ444)/2</f>
        <v>24.660499999999999</v>
      </c>
      <c r="CS444" s="158">
        <v>25.105</v>
      </c>
      <c r="CT444" s="120">
        <f>(CU444+CS444)/2</f>
        <v>25.517499999999998</v>
      </c>
      <c r="CU444" s="158">
        <v>25.93</v>
      </c>
      <c r="CV444" s="120">
        <f>(CW444+CU444)/2</f>
        <v>26.3125</v>
      </c>
      <c r="CW444" s="158">
        <v>26.695</v>
      </c>
      <c r="CX444" s="120">
        <f>(CY444+CW444)/2</f>
        <v>27.1145</v>
      </c>
      <c r="CY444" s="158">
        <v>27.533999999999999</v>
      </c>
      <c r="CZ444" s="120">
        <f>(DA444+CY444)/2</f>
        <v>27.917000000000002</v>
      </c>
      <c r="DA444" s="158">
        <v>28.3</v>
      </c>
      <c r="DB444" s="120">
        <f>(DC444+DA444)/2</f>
        <v>28.707000000000001</v>
      </c>
      <c r="DC444" s="158">
        <v>29.114000000000001</v>
      </c>
      <c r="DD444" s="120">
        <f>(DE444+DC444)/2</f>
        <v>29.526499999999999</v>
      </c>
      <c r="DE444" s="158">
        <v>29.939</v>
      </c>
      <c r="DF444" s="120">
        <f>(DG444+DE444)/2</f>
        <v>30.3215</v>
      </c>
      <c r="DG444" s="159">
        <v>30.704000000000001</v>
      </c>
    </row>
    <row r="445" spans="54:111" ht="15" customHeight="1" x14ac:dyDescent="0.2">
      <c r="BB445" s="28">
        <v>13</v>
      </c>
      <c r="BC445" s="121">
        <v>5.5865</v>
      </c>
      <c r="BD445" s="121">
        <v>6.2725</v>
      </c>
      <c r="BE445" s="121">
        <v>6.9585000000000008</v>
      </c>
      <c r="BF445" s="121">
        <v>7.5925000000000002</v>
      </c>
      <c r="BG445" s="121">
        <v>8.2264999999999997</v>
      </c>
      <c r="BH445" s="121">
        <v>8.7897499999999997</v>
      </c>
      <c r="BI445" s="121">
        <v>9.3530000000000015</v>
      </c>
      <c r="BJ445" s="121">
        <v>9.9009999999999998</v>
      </c>
      <c r="BK445" s="121">
        <f t="array" ref="BK445:BK492">TRANSPOSE(BL444:DG444)</f>
        <v>10.449</v>
      </c>
      <c r="BL445" s="120">
        <f>(BK445+BM445)/2</f>
        <v>10.987</v>
      </c>
      <c r="BM445" s="120">
        <f>(BM444+BM446)/2</f>
        <v>11.525</v>
      </c>
      <c r="BN445" s="120">
        <f>(BM445+BO445)/2</f>
        <v>12.048500000000001</v>
      </c>
      <c r="BO445" s="120">
        <f>(BO444+BO446)/2</f>
        <v>12.571999999999999</v>
      </c>
      <c r="BP445" s="120">
        <f>(BO445+BQ445)/2</f>
        <v>13.095499999999999</v>
      </c>
      <c r="BQ445" s="120">
        <f>(BQ444+BQ446)/2</f>
        <v>13.619</v>
      </c>
      <c r="BR445" s="120">
        <f>(BQ445+BS445)/2</f>
        <v>14.112</v>
      </c>
      <c r="BS445" s="120">
        <f>(BS444+BS446)/2</f>
        <v>14.605</v>
      </c>
      <c r="BT445" s="120">
        <f>(BS445+BU445)/2</f>
        <v>15.0755</v>
      </c>
      <c r="BU445" s="120">
        <f>(BU444+BU446)/2</f>
        <v>15.545999999999999</v>
      </c>
      <c r="BV445" s="120">
        <f>(BU445+BW445)/2</f>
        <v>16.032499999999999</v>
      </c>
      <c r="BW445" s="120">
        <f>(BW444+BW446)/2</f>
        <v>16.519000000000002</v>
      </c>
      <c r="BX445" s="120">
        <f>(BW445+BY445)/2</f>
        <v>17.005749999999999</v>
      </c>
      <c r="BY445" s="120">
        <f>(BY444+BY446)/2</f>
        <v>17.4925</v>
      </c>
      <c r="BZ445" s="120">
        <f>(BY445+CA445)/2</f>
        <v>17.9605</v>
      </c>
      <c r="CA445" s="120">
        <f>(CA444+CA446)/2</f>
        <v>18.4285</v>
      </c>
      <c r="CB445" s="120">
        <f>(CA445+CC445)/2</f>
        <v>18.862500000000001</v>
      </c>
      <c r="CC445" s="120">
        <f>(CC444+CC446)/2</f>
        <v>19.296500000000002</v>
      </c>
      <c r="CD445" s="120">
        <f>(CC445+CE445)/2</f>
        <v>19.766750000000002</v>
      </c>
      <c r="CE445" s="120">
        <f>(CE444+CE446)/2</f>
        <v>20.237000000000002</v>
      </c>
      <c r="CF445" s="120">
        <f>(CE445+CG445)/2</f>
        <v>20.687000000000001</v>
      </c>
      <c r="CG445" s="120">
        <f>(CG444+CG446)/2</f>
        <v>21.137</v>
      </c>
      <c r="CH445" s="120">
        <f>(CG445+CI445)/2</f>
        <v>21.605</v>
      </c>
      <c r="CI445" s="120">
        <f>(CI444+CI446)/2</f>
        <v>22.073</v>
      </c>
      <c r="CJ445" s="120">
        <f>(CI445+CK445)/2</f>
        <v>22.522750000000002</v>
      </c>
      <c r="CK445" s="120">
        <f>(CK444+CK446)/2</f>
        <v>22.9725</v>
      </c>
      <c r="CL445" s="120">
        <f>(CK445+CM445)/2</f>
        <v>23.405999999999999</v>
      </c>
      <c r="CM445" s="120">
        <f>(CM444+CM446)/2</f>
        <v>23.839500000000001</v>
      </c>
      <c r="CN445" s="120">
        <f>(CM445+CO445)/2</f>
        <v>24.277250000000002</v>
      </c>
      <c r="CO445" s="120">
        <f>(CO444+CO446)/2</f>
        <v>24.715000000000003</v>
      </c>
      <c r="CP445" s="120">
        <f>(CO445+CQ445)/2</f>
        <v>25.145750000000003</v>
      </c>
      <c r="CQ445" s="120">
        <f>(CQ444+CQ446)/2</f>
        <v>25.576500000000003</v>
      </c>
      <c r="CR445" s="120">
        <f>(CQ445+CS445)/2</f>
        <v>26.026500000000002</v>
      </c>
      <c r="CS445" s="120">
        <f>(CS444+CS446)/2</f>
        <v>26.476500000000001</v>
      </c>
      <c r="CT445" s="120">
        <f>(CS445+CU445)/2</f>
        <v>26.904250000000001</v>
      </c>
      <c r="CU445" s="120">
        <f>(CU444+CU446)/2</f>
        <v>27.332000000000001</v>
      </c>
      <c r="CV445" s="120">
        <f>(CU445+CW445)/2</f>
        <v>27.747500000000002</v>
      </c>
      <c r="CW445" s="120">
        <f>(CW444+CW446)/2</f>
        <v>28.163</v>
      </c>
      <c r="CX445" s="120">
        <f>(CW445+CY445)/2</f>
        <v>28.6</v>
      </c>
      <c r="CY445" s="120">
        <f>(CY444+CY446)/2</f>
        <v>29.036999999999999</v>
      </c>
      <c r="CZ445" s="120">
        <f>(CY445+DA445)/2</f>
        <v>29.45025</v>
      </c>
      <c r="DA445" s="120">
        <f>(DA444+DA446)/2</f>
        <v>29.863500000000002</v>
      </c>
      <c r="DB445" s="120">
        <f>(DA445+DC445)/2</f>
        <v>30.294500000000003</v>
      </c>
      <c r="DC445" s="120">
        <f>(DC444+DC446)/2</f>
        <v>30.725500000000004</v>
      </c>
      <c r="DD445" s="120">
        <f>(DC445+DE445)/2</f>
        <v>31.15325</v>
      </c>
      <c r="DE445" s="120">
        <f>(DE444+DE446)/2</f>
        <v>31.581</v>
      </c>
      <c r="DF445" s="120">
        <f>(DE445+DG445)/2</f>
        <v>31.999749999999999</v>
      </c>
      <c r="DG445" s="122">
        <f>(DG444+DG446)/2</f>
        <v>32.418500000000002</v>
      </c>
    </row>
    <row r="446" spans="54:111" ht="15" customHeight="1" x14ac:dyDescent="0.2">
      <c r="BB446" s="28">
        <v>14</v>
      </c>
      <c r="BC446" s="121">
        <v>5.8559999999999999</v>
      </c>
      <c r="BD446" s="121">
        <v>6.5694999999999997</v>
      </c>
      <c r="BE446" s="121">
        <v>7.2830000000000004</v>
      </c>
      <c r="BF446" s="121">
        <v>7.9474999999999998</v>
      </c>
      <c r="BG446" s="121">
        <v>8.6120000000000001</v>
      </c>
      <c r="BH446" s="121">
        <v>9.2074999999999996</v>
      </c>
      <c r="BI446" s="121">
        <v>9.8030000000000008</v>
      </c>
      <c r="BJ446" s="121">
        <v>10.369</v>
      </c>
      <c r="BK446" s="121">
        <v>10.935</v>
      </c>
      <c r="BL446" s="121">
        <f t="array" ref="BL446:BL492">TRANSPOSE(BM445:DG445)</f>
        <v>11.525</v>
      </c>
      <c r="BM446" s="158">
        <v>12.115</v>
      </c>
      <c r="BN446" s="120">
        <f>(BO446+BM446)/2</f>
        <v>12.644500000000001</v>
      </c>
      <c r="BO446" s="158">
        <v>13.173999999999999</v>
      </c>
      <c r="BP446" s="120">
        <f>(BQ446+BO446)/2</f>
        <v>13.727499999999999</v>
      </c>
      <c r="BQ446" s="158">
        <v>14.281000000000001</v>
      </c>
      <c r="BR446" s="120">
        <f>(BS446+BQ446)/2</f>
        <v>14.81</v>
      </c>
      <c r="BS446" s="158">
        <v>15.339</v>
      </c>
      <c r="BT446" s="120">
        <f>(BU446+BS446)/2</f>
        <v>15.831</v>
      </c>
      <c r="BU446" s="158">
        <v>16.323</v>
      </c>
      <c r="BV446" s="120">
        <f>(BW446+BU446)/2</f>
        <v>16.839500000000001</v>
      </c>
      <c r="BW446" s="158">
        <v>17.356000000000002</v>
      </c>
      <c r="BX446" s="120">
        <f>(BY446+BW446)/2</f>
        <v>17.848500000000001</v>
      </c>
      <c r="BY446" s="158">
        <v>18.341000000000001</v>
      </c>
      <c r="BZ446" s="120">
        <f>(CA446+BY446)/2</f>
        <v>18.857500000000002</v>
      </c>
      <c r="CA446" s="158">
        <v>19.373999999999999</v>
      </c>
      <c r="CB446" s="120">
        <f>(CC446+CA446)/2</f>
        <v>19.821999999999999</v>
      </c>
      <c r="CC446" s="158">
        <v>20.27</v>
      </c>
      <c r="CD446" s="120">
        <f>(CE446+CC446)/2</f>
        <v>20.762</v>
      </c>
      <c r="CE446" s="158">
        <v>21.254000000000001</v>
      </c>
      <c r="CF446" s="120">
        <f>(CG446+CE446)/2</f>
        <v>21.734000000000002</v>
      </c>
      <c r="CG446" s="158">
        <v>22.213999999999999</v>
      </c>
      <c r="CH446" s="120">
        <f>(CI446+CG446)/2</f>
        <v>22.706</v>
      </c>
      <c r="CI446" s="158">
        <v>23.198</v>
      </c>
      <c r="CJ446" s="120">
        <f>(CK446+CI446)/2</f>
        <v>23.677500000000002</v>
      </c>
      <c r="CK446" s="158">
        <v>24.157</v>
      </c>
      <c r="CL446" s="120">
        <f>(CM446+CK446)/2</f>
        <v>24.612500000000001</v>
      </c>
      <c r="CM446" s="158">
        <v>25.068000000000001</v>
      </c>
      <c r="CN446" s="120">
        <f>(CO446+CM446)/2</f>
        <v>25.523000000000003</v>
      </c>
      <c r="CO446" s="158">
        <v>25.978000000000002</v>
      </c>
      <c r="CP446" s="120">
        <f>(CQ446+CO446)/2</f>
        <v>26.457500000000003</v>
      </c>
      <c r="CQ446" s="158">
        <v>26.937000000000001</v>
      </c>
      <c r="CR446" s="120">
        <f>(CS446+CQ446)/2</f>
        <v>27.392499999999998</v>
      </c>
      <c r="CS446" s="158">
        <v>27.847999999999999</v>
      </c>
      <c r="CT446" s="120">
        <f>(CU446+CS446)/2</f>
        <v>28.291</v>
      </c>
      <c r="CU446" s="158">
        <v>28.734000000000002</v>
      </c>
      <c r="CV446" s="120">
        <f>(CW446+CU446)/2</f>
        <v>29.182500000000001</v>
      </c>
      <c r="CW446" s="158">
        <v>29.631</v>
      </c>
      <c r="CX446" s="120">
        <f>(CY446+CW446)/2</f>
        <v>30.0855</v>
      </c>
      <c r="CY446" s="158">
        <v>30.54</v>
      </c>
      <c r="CZ446" s="120">
        <f>(DA446+CY446)/2</f>
        <v>30.983499999999999</v>
      </c>
      <c r="DA446" s="158">
        <v>31.427</v>
      </c>
      <c r="DB446" s="120">
        <f>(DC446+DA446)/2</f>
        <v>31.882000000000001</v>
      </c>
      <c r="DC446" s="158">
        <v>32.337000000000003</v>
      </c>
      <c r="DD446" s="120">
        <f>(DE446+DC446)/2</f>
        <v>32.78</v>
      </c>
      <c r="DE446" s="158">
        <v>33.222999999999999</v>
      </c>
      <c r="DF446" s="120">
        <f>(DG446+DE446)/2</f>
        <v>33.677999999999997</v>
      </c>
      <c r="DG446" s="159">
        <v>34.133000000000003</v>
      </c>
    </row>
    <row r="447" spans="54:111" ht="15" customHeight="1" x14ac:dyDescent="0.2">
      <c r="BB447" s="28">
        <v>15</v>
      </c>
      <c r="BC447" s="121">
        <v>6.101</v>
      </c>
      <c r="BD447" s="121">
        <v>6.8632499999999999</v>
      </c>
      <c r="BE447" s="121">
        <v>7.6255000000000006</v>
      </c>
      <c r="BF447" s="121">
        <v>8.2955000000000005</v>
      </c>
      <c r="BG447" s="121">
        <v>8.9655000000000005</v>
      </c>
      <c r="BH447" s="121">
        <v>9.6129999999999995</v>
      </c>
      <c r="BI447" s="121">
        <v>10.2605</v>
      </c>
      <c r="BJ447" s="121">
        <v>10.8565</v>
      </c>
      <c r="BK447" s="121">
        <v>11.452500000000001</v>
      </c>
      <c r="BL447" s="121">
        <v>12.048500000000001</v>
      </c>
      <c r="BM447" s="121">
        <f t="array" ref="BM447:BM492">TRANSPOSE(BN446:DG446)</f>
        <v>12.644500000000001</v>
      </c>
      <c r="BN447" s="120">
        <f>(BM447+BO447)/2</f>
        <v>13.222250000000001</v>
      </c>
      <c r="BO447" s="120">
        <f>(BO446+BO448)/2</f>
        <v>13.8</v>
      </c>
      <c r="BP447" s="120">
        <f>(BO447+BQ447)/2</f>
        <v>14.359</v>
      </c>
      <c r="BQ447" s="120">
        <f>(BQ446+BQ448)/2</f>
        <v>14.917999999999999</v>
      </c>
      <c r="BR447" s="120">
        <f>(BQ447+BS447)/2</f>
        <v>15.47725</v>
      </c>
      <c r="BS447" s="120">
        <f>(BS446+BS448)/2</f>
        <v>16.0365</v>
      </c>
      <c r="BT447" s="120">
        <f>(BS447+BU447)/2</f>
        <v>16.558500000000002</v>
      </c>
      <c r="BU447" s="120">
        <f>(BU446+BU448)/2</f>
        <v>17.080500000000001</v>
      </c>
      <c r="BV447" s="120">
        <f>(BU447+BW447)/2</f>
        <v>17.621000000000002</v>
      </c>
      <c r="BW447" s="120">
        <f>(BW446+BW448)/2</f>
        <v>18.1615</v>
      </c>
      <c r="BX447" s="120">
        <f>(BW447+BY447)/2</f>
        <v>18.683999999999997</v>
      </c>
      <c r="BY447" s="120">
        <f>(BY446+BY448)/2</f>
        <v>19.206499999999998</v>
      </c>
      <c r="BZ447" s="120">
        <f>(BY447+CA447)/2</f>
        <v>19.728499999999997</v>
      </c>
      <c r="CA447" s="120">
        <f>(CA446+CA448)/2</f>
        <v>20.250499999999999</v>
      </c>
      <c r="CB447" s="120">
        <f>(CA447+CC447)/2</f>
        <v>20.750500000000002</v>
      </c>
      <c r="CC447" s="120">
        <f>(CC446+CC448)/2</f>
        <v>21.250500000000002</v>
      </c>
      <c r="CD447" s="120">
        <f>(CC447+CE447)/2</f>
        <v>21.773000000000003</v>
      </c>
      <c r="CE447" s="120">
        <f>(CE446+CE448)/2</f>
        <v>22.295500000000001</v>
      </c>
      <c r="CF447" s="120">
        <f>(CE447+CG447)/2</f>
        <v>22.780749999999998</v>
      </c>
      <c r="CG447" s="120">
        <f>(CG446+CG448)/2</f>
        <v>23.265999999999998</v>
      </c>
      <c r="CH447" s="120">
        <f>(CG447+CI447)/2</f>
        <v>23.788249999999998</v>
      </c>
      <c r="CI447" s="120">
        <f>(CI446+CI448)/2</f>
        <v>24.310499999999998</v>
      </c>
      <c r="CJ447" s="120">
        <f>(CI447+CK447)/2</f>
        <v>24.795749999999998</v>
      </c>
      <c r="CK447" s="120">
        <f>(CK446+CK448)/2</f>
        <v>25.280999999999999</v>
      </c>
      <c r="CL447" s="120">
        <f>(CK447+CM447)/2</f>
        <v>25.766249999999999</v>
      </c>
      <c r="CM447" s="120">
        <f>(CM446+CM448)/2</f>
        <v>26.2515</v>
      </c>
      <c r="CN447" s="120">
        <f>(CM447+CO447)/2</f>
        <v>26.74025</v>
      </c>
      <c r="CO447" s="120">
        <f>(CO446+CO448)/2</f>
        <v>27.228999999999999</v>
      </c>
      <c r="CP447" s="120">
        <f>(CO447+CQ447)/2</f>
        <v>27.732749999999999</v>
      </c>
      <c r="CQ447" s="120">
        <f>(CQ446+CQ448)/2</f>
        <v>28.236499999999999</v>
      </c>
      <c r="CR447" s="120">
        <f>(CQ447+CS447)/2</f>
        <v>28.722000000000001</v>
      </c>
      <c r="CS447" s="120">
        <f>(CS446+CS448)/2</f>
        <v>29.2075</v>
      </c>
      <c r="CT447" s="120">
        <f>(CS447+CU447)/2</f>
        <v>29.655749999999998</v>
      </c>
      <c r="CU447" s="120">
        <f>(CU446+CU448)/2</f>
        <v>30.103999999999999</v>
      </c>
      <c r="CV447" s="120">
        <f>(CU447+CW447)/2</f>
        <v>30.58625</v>
      </c>
      <c r="CW447" s="120">
        <f>(CW446+CW448)/2</f>
        <v>31.0685</v>
      </c>
      <c r="CX447" s="120">
        <f>(CW447+CY447)/2</f>
        <v>31.553249999999998</v>
      </c>
      <c r="CY447" s="120">
        <f>(CY446+CY448)/2</f>
        <v>32.037999999999997</v>
      </c>
      <c r="CZ447" s="120">
        <f>(CY447+DA447)/2</f>
        <v>32.505249999999997</v>
      </c>
      <c r="DA447" s="120">
        <f>(DA446+DA448)/2</f>
        <v>32.972499999999997</v>
      </c>
      <c r="DB447" s="120">
        <f>(DA447+DC447)/2</f>
        <v>33.457749999999997</v>
      </c>
      <c r="DC447" s="120">
        <f>(DC446+DC448)/2</f>
        <v>33.942999999999998</v>
      </c>
      <c r="DD447" s="120">
        <f>(DC447+DE447)/2</f>
        <v>34.391750000000002</v>
      </c>
      <c r="DE447" s="120">
        <f>(DE446+DE448)/2</f>
        <v>34.840499999999999</v>
      </c>
      <c r="DF447" s="120">
        <f>(DE447+DG447)/2</f>
        <v>35.325500000000005</v>
      </c>
      <c r="DG447" s="122">
        <f>(DG446+DG448)/2</f>
        <v>35.810500000000005</v>
      </c>
    </row>
    <row r="448" spans="54:111" ht="15" customHeight="1" x14ac:dyDescent="0.2">
      <c r="BB448" s="28">
        <v>16</v>
      </c>
      <c r="BC448" s="121">
        <v>6.3460000000000001</v>
      </c>
      <c r="BD448" s="121">
        <v>7.157</v>
      </c>
      <c r="BE448" s="121">
        <v>7.968</v>
      </c>
      <c r="BF448" s="121">
        <v>8.6434999999999995</v>
      </c>
      <c r="BG448" s="121">
        <v>9.3190000000000008</v>
      </c>
      <c r="BH448" s="121">
        <v>10.0185</v>
      </c>
      <c r="BI448" s="121">
        <v>10.718</v>
      </c>
      <c r="BJ448" s="121">
        <v>11.344000000000001</v>
      </c>
      <c r="BK448" s="121">
        <v>11.97</v>
      </c>
      <c r="BL448" s="121">
        <v>12.571999999999999</v>
      </c>
      <c r="BM448" s="121">
        <v>13.173999999999999</v>
      </c>
      <c r="BN448" s="121">
        <f t="array" ref="BN448:BN492">TRANSPOSE(BO447:DG447)</f>
        <v>13.8</v>
      </c>
      <c r="BO448" s="158">
        <v>14.426</v>
      </c>
      <c r="BP448" s="120">
        <f>(BQ448+BO448)/2</f>
        <v>14.990500000000001</v>
      </c>
      <c r="BQ448" s="158">
        <v>15.555</v>
      </c>
      <c r="BR448" s="120">
        <f>(BS448+BQ448)/2</f>
        <v>16.144500000000001</v>
      </c>
      <c r="BS448" s="158">
        <v>16.734000000000002</v>
      </c>
      <c r="BT448" s="120">
        <f>(BU448+BS448)/2</f>
        <v>17.286000000000001</v>
      </c>
      <c r="BU448" s="158">
        <v>17.838000000000001</v>
      </c>
      <c r="BV448" s="120">
        <f>(BW448+BU448)/2</f>
        <v>18.4025</v>
      </c>
      <c r="BW448" s="158">
        <v>18.966999999999999</v>
      </c>
      <c r="BX448" s="120">
        <f>(BY448+BW448)/2</f>
        <v>19.519500000000001</v>
      </c>
      <c r="BY448" s="158">
        <v>20.071999999999999</v>
      </c>
      <c r="BZ448" s="120">
        <f>(CA448+BY448)/2</f>
        <v>20.599499999999999</v>
      </c>
      <c r="CA448" s="158">
        <v>21.126999999999999</v>
      </c>
      <c r="CB448" s="120">
        <f>(CC448+CA448)/2</f>
        <v>21.679000000000002</v>
      </c>
      <c r="CC448" s="158">
        <v>22.231000000000002</v>
      </c>
      <c r="CD448" s="120">
        <f>(CE448+CC448)/2</f>
        <v>22.783999999999999</v>
      </c>
      <c r="CE448" s="158">
        <v>23.337</v>
      </c>
      <c r="CF448" s="120">
        <f>(CG448+CE448)/2</f>
        <v>23.827500000000001</v>
      </c>
      <c r="CG448" s="158">
        <v>24.318000000000001</v>
      </c>
      <c r="CH448" s="120">
        <f>(CI448+CG448)/2</f>
        <v>24.8705</v>
      </c>
      <c r="CI448" s="158">
        <v>25.422999999999998</v>
      </c>
      <c r="CJ448" s="120">
        <f>(CK448+CI448)/2</f>
        <v>25.914000000000001</v>
      </c>
      <c r="CK448" s="158">
        <v>26.405000000000001</v>
      </c>
      <c r="CL448" s="120">
        <f>(CM448+CK448)/2</f>
        <v>26.92</v>
      </c>
      <c r="CM448" s="158">
        <v>27.434999999999999</v>
      </c>
      <c r="CN448" s="120">
        <f>(CO448+CM448)/2</f>
        <v>27.9575</v>
      </c>
      <c r="CO448" s="158">
        <v>28.48</v>
      </c>
      <c r="CP448" s="120">
        <f>(CQ448+CO448)/2</f>
        <v>29.008000000000003</v>
      </c>
      <c r="CQ448" s="158">
        <v>29.536000000000001</v>
      </c>
      <c r="CR448" s="120">
        <f>(CS448+CQ448)/2</f>
        <v>30.051500000000001</v>
      </c>
      <c r="CS448" s="158">
        <v>30.567</v>
      </c>
      <c r="CT448" s="120">
        <f>(CU448+CS448)/2</f>
        <v>31.020499999999998</v>
      </c>
      <c r="CU448" s="158">
        <v>31.474</v>
      </c>
      <c r="CV448" s="120">
        <f>(CW448+CU448)/2</f>
        <v>31.990000000000002</v>
      </c>
      <c r="CW448" s="158">
        <v>32.506</v>
      </c>
      <c r="CX448" s="120">
        <f>(CY448+CW448)/2</f>
        <v>33.021000000000001</v>
      </c>
      <c r="CY448" s="158">
        <v>33.536000000000001</v>
      </c>
      <c r="CZ448" s="120">
        <f>(DA448+CY448)/2</f>
        <v>34.027000000000001</v>
      </c>
      <c r="DA448" s="158">
        <v>34.518000000000001</v>
      </c>
      <c r="DB448" s="120">
        <f>(DC448+DA448)/2</f>
        <v>35.033500000000004</v>
      </c>
      <c r="DC448" s="158">
        <v>35.548999999999999</v>
      </c>
      <c r="DD448" s="120">
        <f>(DE448+DC448)/2</f>
        <v>36.003500000000003</v>
      </c>
      <c r="DE448" s="158">
        <v>36.457999999999998</v>
      </c>
      <c r="DF448" s="120">
        <f>(DG448+DE448)/2</f>
        <v>36.972999999999999</v>
      </c>
      <c r="DG448" s="159">
        <v>37.488</v>
      </c>
    </row>
    <row r="449" spans="54:111" ht="15" customHeight="1" x14ac:dyDescent="0.2">
      <c r="BB449" s="28">
        <v>17</v>
      </c>
      <c r="BC449" s="121">
        <v>6.6165000000000003</v>
      </c>
      <c r="BD449" s="121">
        <v>7.4325000000000001</v>
      </c>
      <c r="BE449" s="121">
        <v>8.2484999999999999</v>
      </c>
      <c r="BF449" s="121">
        <v>8.9764999999999997</v>
      </c>
      <c r="BG449" s="121">
        <v>9.7044999999999995</v>
      </c>
      <c r="BH449" s="121">
        <v>10.421749999999999</v>
      </c>
      <c r="BI449" s="121">
        <v>11.138999999999999</v>
      </c>
      <c r="BJ449" s="121">
        <v>11.801250000000001</v>
      </c>
      <c r="BK449" s="121">
        <v>12.4635</v>
      </c>
      <c r="BL449" s="121">
        <v>13.095499999999999</v>
      </c>
      <c r="BM449" s="121">
        <v>13.727499999999999</v>
      </c>
      <c r="BN449" s="121">
        <v>14.359</v>
      </c>
      <c r="BO449" s="121">
        <f t="array" ref="BO449:BO492">TRANSPOSE(BP448:DG448)</f>
        <v>14.990500000000001</v>
      </c>
      <c r="BP449" s="120">
        <f>(BO449+BQ449)/2</f>
        <v>15.584999999999999</v>
      </c>
      <c r="BQ449" s="120">
        <f>(BQ448+BQ450)/2</f>
        <v>16.179499999999997</v>
      </c>
      <c r="BR449" s="120">
        <f>(BQ449+BS449)/2</f>
        <v>16.790749999999999</v>
      </c>
      <c r="BS449" s="120">
        <f>(BS448+BS450)/2</f>
        <v>17.402000000000001</v>
      </c>
      <c r="BT449" s="120">
        <f>(BS449+BU449)/2</f>
        <v>17.99025</v>
      </c>
      <c r="BU449" s="120">
        <f>(BU448+BU450)/2</f>
        <v>18.578499999999998</v>
      </c>
      <c r="BV449" s="120">
        <f>(BU449+BW449)/2</f>
        <v>19.172999999999998</v>
      </c>
      <c r="BW449" s="120">
        <f>(BW448+BW450)/2</f>
        <v>19.767499999999998</v>
      </c>
      <c r="BX449" s="120">
        <f>(BW449+BY449)/2</f>
        <v>20.325249999999997</v>
      </c>
      <c r="BY449" s="120">
        <f>(BY448+BY450)/2</f>
        <v>20.882999999999999</v>
      </c>
      <c r="BZ449" s="120">
        <f>(BY449+CA449)/2</f>
        <v>21.459499999999998</v>
      </c>
      <c r="CA449" s="120">
        <f>(CA448+CA450)/2</f>
        <v>22.036000000000001</v>
      </c>
      <c r="CB449" s="120">
        <f>(CA449+CC449)/2</f>
        <v>22.60575</v>
      </c>
      <c r="CC449" s="120">
        <f>(CC448+CC450)/2</f>
        <v>23.1755</v>
      </c>
      <c r="CD449" s="120">
        <f>(CC449+CE449)/2</f>
        <v>23.745999999999999</v>
      </c>
      <c r="CE449" s="120">
        <f>(CE448+CE450)/2</f>
        <v>24.316499999999998</v>
      </c>
      <c r="CF449" s="120">
        <f>(CE449+CG449)/2</f>
        <v>24.841249999999999</v>
      </c>
      <c r="CG449" s="120">
        <f>(CG448+CG450)/2</f>
        <v>25.366</v>
      </c>
      <c r="CH449" s="120">
        <f>(CG449+CI449)/2</f>
        <v>25.923749999999998</v>
      </c>
      <c r="CI449" s="120">
        <f>(CI448+CI450)/2</f>
        <v>26.481499999999997</v>
      </c>
      <c r="CJ449" s="120">
        <f>(CI449+CK449)/2</f>
        <v>27.02075</v>
      </c>
      <c r="CK449" s="120">
        <f>(CK448+CK450)/2</f>
        <v>27.560000000000002</v>
      </c>
      <c r="CL449" s="120">
        <f>(CK449+CM449)/2</f>
        <v>28.093</v>
      </c>
      <c r="CM449" s="120">
        <f>(CM448+CM450)/2</f>
        <v>28.625999999999998</v>
      </c>
      <c r="CN449" s="120">
        <f>(CM449+CO449)/2</f>
        <v>29.163</v>
      </c>
      <c r="CO449" s="120">
        <f>(CO448+CO450)/2</f>
        <v>29.700000000000003</v>
      </c>
      <c r="CP449" s="120">
        <f>(CO449+CQ449)/2</f>
        <v>30.257750000000001</v>
      </c>
      <c r="CQ449" s="120">
        <f>(CQ448+CQ450)/2</f>
        <v>30.8155</v>
      </c>
      <c r="CR449" s="120">
        <f>(CQ449+CS449)/2</f>
        <v>31.33625</v>
      </c>
      <c r="CS449" s="120">
        <f>(CS448+CS450)/2</f>
        <v>31.856999999999999</v>
      </c>
      <c r="CT449" s="120">
        <f>(CS449+CU449)/2</f>
        <v>32.363250000000001</v>
      </c>
      <c r="CU449" s="120">
        <f>(CU448+CU450)/2</f>
        <v>32.869500000000002</v>
      </c>
      <c r="CV449" s="120">
        <f>(CU449+CW449)/2</f>
        <v>33.402999999999999</v>
      </c>
      <c r="CW449" s="120">
        <f>(CW448+CW450)/2</f>
        <v>33.936499999999995</v>
      </c>
      <c r="CX449" s="120">
        <f>(CW449+CY449)/2</f>
        <v>34.469250000000002</v>
      </c>
      <c r="CY449" s="120">
        <f>(CY448+CY450)/2</f>
        <v>35.002000000000002</v>
      </c>
      <c r="CZ449" s="120">
        <f>(CY449+DA449)/2</f>
        <v>35.523499999999999</v>
      </c>
      <c r="DA449" s="120">
        <f>(DA448+DA450)/2</f>
        <v>36.045000000000002</v>
      </c>
      <c r="DB449" s="120">
        <f>(DA449+DC449)/2</f>
        <v>36.5655</v>
      </c>
      <c r="DC449" s="120">
        <f>(DC448+DC450)/2</f>
        <v>37.085999999999999</v>
      </c>
      <c r="DD449" s="120">
        <f>(DC449+DE449)/2</f>
        <v>37.588749999999997</v>
      </c>
      <c r="DE449" s="120">
        <f>(DE448+DE450)/2</f>
        <v>38.091499999999996</v>
      </c>
      <c r="DF449" s="120">
        <f>(DE449+DG449)/2</f>
        <v>38.61</v>
      </c>
      <c r="DG449" s="122">
        <f>(DG448+DG450)/2</f>
        <v>39.128500000000003</v>
      </c>
    </row>
    <row r="450" spans="54:111" ht="15" customHeight="1" x14ac:dyDescent="0.2">
      <c r="BB450" s="28">
        <v>18</v>
      </c>
      <c r="BC450" s="121">
        <v>6.8869999999999996</v>
      </c>
      <c r="BD450" s="121">
        <v>7.7080000000000002</v>
      </c>
      <c r="BE450" s="121">
        <v>8.5289999999999999</v>
      </c>
      <c r="BF450" s="121">
        <v>9.3094999999999999</v>
      </c>
      <c r="BG450" s="121">
        <v>10.09</v>
      </c>
      <c r="BH450" s="121">
        <v>10.824999999999999</v>
      </c>
      <c r="BI450" s="121">
        <v>11.56</v>
      </c>
      <c r="BJ450" s="121">
        <v>12.258500000000002</v>
      </c>
      <c r="BK450" s="121">
        <v>12.957000000000001</v>
      </c>
      <c r="BL450" s="121">
        <v>13.619</v>
      </c>
      <c r="BM450" s="121">
        <v>14.281000000000001</v>
      </c>
      <c r="BN450" s="121">
        <v>14.917999999999999</v>
      </c>
      <c r="BO450" s="121">
        <v>15.555</v>
      </c>
      <c r="BP450" s="121">
        <f t="array" ref="BP450:BP492">TRANSPOSE(BQ449:DG449)</f>
        <v>16.179499999999997</v>
      </c>
      <c r="BQ450" s="158">
        <v>16.803999999999998</v>
      </c>
      <c r="BR450" s="120">
        <f>(BS450+BQ450)/2</f>
        <v>17.436999999999998</v>
      </c>
      <c r="BS450" s="158">
        <v>18.07</v>
      </c>
      <c r="BT450" s="120">
        <f>(BU450+BS450)/2</f>
        <v>18.694499999999998</v>
      </c>
      <c r="BU450" s="158">
        <v>19.318999999999999</v>
      </c>
      <c r="BV450" s="120">
        <f>(BW450+BU450)/2</f>
        <v>19.9435</v>
      </c>
      <c r="BW450" s="158">
        <v>20.568000000000001</v>
      </c>
      <c r="BX450" s="120">
        <f>(BY450+BW450)/2</f>
        <v>21.131</v>
      </c>
      <c r="BY450" s="158">
        <v>21.693999999999999</v>
      </c>
      <c r="BZ450" s="120">
        <f>(CA450+BY450)/2</f>
        <v>22.319499999999998</v>
      </c>
      <c r="CA450" s="158">
        <v>22.945</v>
      </c>
      <c r="CB450" s="120">
        <f>(CC450+CA450)/2</f>
        <v>23.532499999999999</v>
      </c>
      <c r="CC450" s="158">
        <v>24.12</v>
      </c>
      <c r="CD450" s="120">
        <f>(CE450+CC450)/2</f>
        <v>24.707999999999998</v>
      </c>
      <c r="CE450" s="158">
        <v>25.295999999999999</v>
      </c>
      <c r="CF450" s="120">
        <f>(CG450+CE450)/2</f>
        <v>25.855</v>
      </c>
      <c r="CG450" s="158">
        <v>26.414000000000001</v>
      </c>
      <c r="CH450" s="120">
        <f>(CI450+CG450)/2</f>
        <v>26.977</v>
      </c>
      <c r="CI450" s="158">
        <v>27.54</v>
      </c>
      <c r="CJ450" s="120">
        <f>(CK450+CI450)/2</f>
        <v>28.127499999999998</v>
      </c>
      <c r="CK450" s="158">
        <v>28.715</v>
      </c>
      <c r="CL450" s="120">
        <f>(CM450+CK450)/2</f>
        <v>29.265999999999998</v>
      </c>
      <c r="CM450" s="158">
        <v>29.817</v>
      </c>
      <c r="CN450" s="120">
        <f>(CO450+CM450)/2</f>
        <v>30.368500000000001</v>
      </c>
      <c r="CO450" s="158">
        <v>30.92</v>
      </c>
      <c r="CP450" s="120">
        <f>(CQ450+CO450)/2</f>
        <v>31.5075</v>
      </c>
      <c r="CQ450" s="158">
        <v>32.094999999999999</v>
      </c>
      <c r="CR450" s="120">
        <f>(CS450+CQ450)/2</f>
        <v>32.620999999999995</v>
      </c>
      <c r="CS450" s="158">
        <v>33.146999999999998</v>
      </c>
      <c r="CT450" s="120">
        <f>(CU450+CS450)/2</f>
        <v>33.706000000000003</v>
      </c>
      <c r="CU450" s="158">
        <v>34.265000000000001</v>
      </c>
      <c r="CV450" s="120">
        <f>(CW450+CU450)/2</f>
        <v>34.816000000000003</v>
      </c>
      <c r="CW450" s="158">
        <v>35.366999999999997</v>
      </c>
      <c r="CX450" s="120">
        <f>(CY450+CW450)/2</f>
        <v>35.917500000000004</v>
      </c>
      <c r="CY450" s="158">
        <v>36.468000000000004</v>
      </c>
      <c r="CZ450" s="120">
        <f>(DA450+CY450)/2</f>
        <v>37.020000000000003</v>
      </c>
      <c r="DA450" s="158">
        <v>37.572000000000003</v>
      </c>
      <c r="DB450" s="120">
        <f>(DC450+DA450)/2</f>
        <v>38.097499999999997</v>
      </c>
      <c r="DC450" s="158">
        <v>38.622999999999998</v>
      </c>
      <c r="DD450" s="120">
        <f>(DE450+DC450)/2</f>
        <v>39.173999999999999</v>
      </c>
      <c r="DE450" s="158">
        <v>39.725000000000001</v>
      </c>
      <c r="DF450" s="120">
        <f>(DG450+DE450)/2</f>
        <v>40.247</v>
      </c>
      <c r="DG450" s="159">
        <v>40.768999999999998</v>
      </c>
    </row>
    <row r="451" spans="54:111" ht="15" customHeight="1" x14ac:dyDescent="0.2">
      <c r="BB451" s="28">
        <v>19</v>
      </c>
      <c r="BC451" s="121">
        <v>7.1395</v>
      </c>
      <c r="BD451" s="121">
        <v>7.9910000000000005</v>
      </c>
      <c r="BE451" s="121">
        <v>8.8425000000000011</v>
      </c>
      <c r="BF451" s="121">
        <v>9.6550000000000011</v>
      </c>
      <c r="BG451" s="121">
        <v>10.467500000000001</v>
      </c>
      <c r="BH451" s="121">
        <v>11.220499999999999</v>
      </c>
      <c r="BI451" s="121">
        <v>11.973500000000001</v>
      </c>
      <c r="BJ451" s="121">
        <v>12.693750000000001</v>
      </c>
      <c r="BK451" s="121">
        <v>13.414000000000001</v>
      </c>
      <c r="BL451" s="121">
        <v>14.112</v>
      </c>
      <c r="BM451" s="121">
        <v>14.81</v>
      </c>
      <c r="BN451" s="121">
        <v>15.47725</v>
      </c>
      <c r="BO451" s="121">
        <v>16.144500000000001</v>
      </c>
      <c r="BP451" s="121">
        <v>16.790749999999999</v>
      </c>
      <c r="BQ451" s="121">
        <f t="array" ref="BQ451:BQ492">TRANSPOSE(BR450:DG450)</f>
        <v>17.436999999999998</v>
      </c>
      <c r="BR451" s="120">
        <f>(BQ451+BS451)/2</f>
        <v>18.101749999999999</v>
      </c>
      <c r="BS451" s="120">
        <f>(BS450+BS452)/2</f>
        <v>18.766500000000001</v>
      </c>
      <c r="BT451" s="120">
        <f>(BS451+BU451)/2</f>
        <v>19.408999999999999</v>
      </c>
      <c r="BU451" s="120">
        <f>(BU450+BU452)/2</f>
        <v>20.051499999999997</v>
      </c>
      <c r="BV451" s="120">
        <f>(BU451+BW451)/2</f>
        <v>20.693749999999998</v>
      </c>
      <c r="BW451" s="120">
        <f>(BW450+BW452)/2</f>
        <v>21.335999999999999</v>
      </c>
      <c r="BX451" s="120">
        <f>(BW451+BY451)/2</f>
        <v>21.933250000000001</v>
      </c>
      <c r="BY451" s="120">
        <f>(BY450+BY452)/2</f>
        <v>22.5305</v>
      </c>
      <c r="BZ451" s="120">
        <f>(BY451+CA451)/2</f>
        <v>23.173499999999997</v>
      </c>
      <c r="CA451" s="120">
        <f>(CA450+CA452)/2</f>
        <v>23.816499999999998</v>
      </c>
      <c r="CB451" s="120">
        <f>(CA451+CC451)/2</f>
        <v>24.421999999999997</v>
      </c>
      <c r="CC451" s="120">
        <f>(CC450+CC452)/2</f>
        <v>25.0275</v>
      </c>
      <c r="CD451" s="120">
        <f>(CC451+CE451)/2</f>
        <v>25.633249999999997</v>
      </c>
      <c r="CE451" s="120">
        <f>(CE450+CE452)/2</f>
        <v>26.238999999999997</v>
      </c>
      <c r="CF451" s="120">
        <f>(CE451+CG451)/2</f>
        <v>26.834</v>
      </c>
      <c r="CG451" s="120">
        <f>(CG450+CG452)/2</f>
        <v>27.429000000000002</v>
      </c>
      <c r="CH451" s="120">
        <f>(CG451+CI451)/2</f>
        <v>28.022000000000002</v>
      </c>
      <c r="CI451" s="120">
        <f>(CI450+CI452)/2</f>
        <v>28.615000000000002</v>
      </c>
      <c r="CJ451" s="120">
        <f>(CI451+CK451)/2</f>
        <v>29.220500000000001</v>
      </c>
      <c r="CK451" s="120">
        <f>(CK450+CK452)/2</f>
        <v>29.826000000000001</v>
      </c>
      <c r="CL451" s="120">
        <f>(CK451+CM451)/2</f>
        <v>30.39875</v>
      </c>
      <c r="CM451" s="120">
        <f>(CM450+CM452)/2</f>
        <v>30.971499999999999</v>
      </c>
      <c r="CN451" s="120">
        <f>(CM451+CO451)/2</f>
        <v>31.559000000000001</v>
      </c>
      <c r="CO451" s="120">
        <f>(CO450+CO452)/2</f>
        <v>32.146500000000003</v>
      </c>
      <c r="CP451" s="120">
        <f>(CO451+CQ451)/2</f>
        <v>32.733249999999998</v>
      </c>
      <c r="CQ451" s="120">
        <f>(CQ450+CQ452)/2</f>
        <v>33.32</v>
      </c>
      <c r="CR451" s="120">
        <f>(CQ451+CS451)/2</f>
        <v>33.894999999999996</v>
      </c>
      <c r="CS451" s="120">
        <f>(CS450+CS452)/2</f>
        <v>34.47</v>
      </c>
      <c r="CT451" s="120">
        <f>(CS451+CU451)/2</f>
        <v>35.046500000000002</v>
      </c>
      <c r="CU451" s="120">
        <f>(CU450+CU452)/2</f>
        <v>35.623000000000005</v>
      </c>
      <c r="CV451" s="120">
        <f>(CU451+CW451)/2</f>
        <v>36.191500000000005</v>
      </c>
      <c r="CW451" s="120">
        <f>(CW450+CW452)/2</f>
        <v>36.76</v>
      </c>
      <c r="CX451" s="120">
        <f>(CW451+CY451)/2</f>
        <v>37.328749999999999</v>
      </c>
      <c r="CY451" s="120">
        <f>(CY450+CY452)/2</f>
        <v>37.897500000000001</v>
      </c>
      <c r="CZ451" s="120">
        <f>(CY451+DA451)/2</f>
        <v>38.470500000000001</v>
      </c>
      <c r="DA451" s="120">
        <f>(DA450+DA452)/2</f>
        <v>39.043500000000002</v>
      </c>
      <c r="DB451" s="120">
        <f>(DA451+DC451)/2</f>
        <v>39.599500000000006</v>
      </c>
      <c r="DC451" s="120">
        <f>(DC450+DC452)/2</f>
        <v>40.155500000000004</v>
      </c>
      <c r="DD451" s="120">
        <f>(DC451+DE451)/2</f>
        <v>40.724500000000006</v>
      </c>
      <c r="DE451" s="120">
        <f>(DE450+DE452)/2</f>
        <v>41.293500000000002</v>
      </c>
      <c r="DF451" s="120">
        <f>(DE451+DG451)/2</f>
        <v>41.847750000000005</v>
      </c>
      <c r="DG451" s="122">
        <f>(DG450+DG452)/2</f>
        <v>42.402000000000001</v>
      </c>
    </row>
    <row r="452" spans="54:111" ht="15" customHeight="1" x14ac:dyDescent="0.2">
      <c r="BB452" s="28">
        <v>20</v>
      </c>
      <c r="BC452" s="121">
        <v>7.3920000000000003</v>
      </c>
      <c r="BD452" s="121">
        <v>8.2740000000000009</v>
      </c>
      <c r="BE452" s="121">
        <v>9.1560000000000006</v>
      </c>
      <c r="BF452" s="121">
        <v>10.000500000000001</v>
      </c>
      <c r="BG452" s="121">
        <v>10.845000000000001</v>
      </c>
      <c r="BH452" s="121">
        <v>11.616</v>
      </c>
      <c r="BI452" s="121">
        <v>12.387</v>
      </c>
      <c r="BJ452" s="121">
        <v>13.129000000000001</v>
      </c>
      <c r="BK452" s="121">
        <v>13.871</v>
      </c>
      <c r="BL452" s="121">
        <v>14.605</v>
      </c>
      <c r="BM452" s="121">
        <v>15.339</v>
      </c>
      <c r="BN452" s="121">
        <v>16.0365</v>
      </c>
      <c r="BO452" s="121">
        <v>16.734000000000002</v>
      </c>
      <c r="BP452" s="121">
        <v>17.402000000000001</v>
      </c>
      <c r="BQ452" s="121">
        <v>18.07</v>
      </c>
      <c r="BR452" s="121">
        <f t="array" ref="BR452:BR492">TRANSPOSE(BS451:DG451)</f>
        <v>18.766500000000001</v>
      </c>
      <c r="BS452" s="158">
        <v>19.463000000000001</v>
      </c>
      <c r="BT452" s="120">
        <f>(BU452+BS452)/2</f>
        <v>20.1235</v>
      </c>
      <c r="BU452" s="158">
        <v>20.783999999999999</v>
      </c>
      <c r="BV452" s="120">
        <f>(BW452+BU452)/2</f>
        <v>21.443999999999999</v>
      </c>
      <c r="BW452" s="158">
        <v>22.103999999999999</v>
      </c>
      <c r="BX452" s="120">
        <f>(BY452+BW452)/2</f>
        <v>22.735500000000002</v>
      </c>
      <c r="BY452" s="158">
        <v>23.367000000000001</v>
      </c>
      <c r="BZ452" s="120">
        <f>(CA452+BY452)/2</f>
        <v>24.0275</v>
      </c>
      <c r="CA452" s="158">
        <v>24.687999999999999</v>
      </c>
      <c r="CB452" s="120">
        <f>(CC452+CA452)/2</f>
        <v>25.311499999999999</v>
      </c>
      <c r="CC452" s="158">
        <v>25.934999999999999</v>
      </c>
      <c r="CD452" s="120">
        <f>(CE452+CC452)/2</f>
        <v>26.558499999999999</v>
      </c>
      <c r="CE452" s="158">
        <v>27.181999999999999</v>
      </c>
      <c r="CF452" s="120">
        <f>(CG452+CE452)/2</f>
        <v>27.812999999999999</v>
      </c>
      <c r="CG452" s="158">
        <v>28.443999999999999</v>
      </c>
      <c r="CH452" s="120">
        <f>(CI452+CG452)/2</f>
        <v>29.067</v>
      </c>
      <c r="CI452" s="158">
        <v>29.69</v>
      </c>
      <c r="CJ452" s="120">
        <f>(CK452+CI452)/2</f>
        <v>30.313500000000001</v>
      </c>
      <c r="CK452" s="158">
        <v>30.937000000000001</v>
      </c>
      <c r="CL452" s="120">
        <f>(CM452+CK452)/2</f>
        <v>31.531500000000001</v>
      </c>
      <c r="CM452" s="158">
        <v>32.125999999999998</v>
      </c>
      <c r="CN452" s="120">
        <f>(CO452+CM452)/2</f>
        <v>32.749499999999998</v>
      </c>
      <c r="CO452" s="158">
        <v>33.372999999999998</v>
      </c>
      <c r="CP452" s="120">
        <f>(CQ452+CO452)/2</f>
        <v>33.959000000000003</v>
      </c>
      <c r="CQ452" s="158">
        <v>34.545000000000002</v>
      </c>
      <c r="CR452" s="120">
        <f>(CS452+CQ452)/2</f>
        <v>35.168999999999997</v>
      </c>
      <c r="CS452" s="158">
        <v>35.792999999999999</v>
      </c>
      <c r="CT452" s="120">
        <f>(CU452+CS452)/2</f>
        <v>36.387</v>
      </c>
      <c r="CU452" s="158">
        <v>36.981000000000002</v>
      </c>
      <c r="CV452" s="120">
        <f>(CW452+CU452)/2</f>
        <v>37.567</v>
      </c>
      <c r="CW452" s="158">
        <v>38.152999999999999</v>
      </c>
      <c r="CX452" s="120">
        <f>(CY452+CW452)/2</f>
        <v>38.739999999999995</v>
      </c>
      <c r="CY452" s="158">
        <v>39.326999999999998</v>
      </c>
      <c r="CZ452" s="120">
        <f>(DA452+CY452)/2</f>
        <v>39.920999999999999</v>
      </c>
      <c r="DA452" s="158">
        <v>40.515000000000001</v>
      </c>
      <c r="DB452" s="120">
        <f>(DC452+DA452)/2</f>
        <v>41.101500000000001</v>
      </c>
      <c r="DC452" s="158">
        <v>41.688000000000002</v>
      </c>
      <c r="DD452" s="120">
        <f>(DE452+DC452)/2</f>
        <v>42.275000000000006</v>
      </c>
      <c r="DE452" s="158">
        <v>42.862000000000002</v>
      </c>
      <c r="DF452" s="120">
        <f>(DG452+DE452)/2</f>
        <v>43.448499999999996</v>
      </c>
      <c r="DG452" s="159">
        <v>44.034999999999997</v>
      </c>
    </row>
    <row r="453" spans="54:111" ht="15" customHeight="1" x14ac:dyDescent="0.2">
      <c r="BB453" s="28">
        <v>21</v>
      </c>
      <c r="BC453" s="121">
        <v>7.6005000000000003</v>
      </c>
      <c r="BD453" s="121">
        <v>8.5310000000000006</v>
      </c>
      <c r="BE453" s="121">
        <v>9.4615000000000009</v>
      </c>
      <c r="BF453" s="121">
        <v>10.327500000000001</v>
      </c>
      <c r="BG453" s="121">
        <v>11.1935</v>
      </c>
      <c r="BH453" s="121">
        <v>11.982250000000001</v>
      </c>
      <c r="BI453" s="121">
        <v>12.771000000000001</v>
      </c>
      <c r="BJ453" s="121">
        <v>13.545500000000001</v>
      </c>
      <c r="BK453" s="121">
        <v>14.32</v>
      </c>
      <c r="BL453" s="121">
        <v>15.0755</v>
      </c>
      <c r="BM453" s="121">
        <v>15.831</v>
      </c>
      <c r="BN453" s="121">
        <v>16.558500000000002</v>
      </c>
      <c r="BO453" s="121">
        <v>17.286000000000001</v>
      </c>
      <c r="BP453" s="121">
        <v>17.99025</v>
      </c>
      <c r="BQ453" s="121">
        <v>18.694499999999998</v>
      </c>
      <c r="BR453" s="121">
        <v>19.408999999999999</v>
      </c>
      <c r="BS453" s="121">
        <f t="array" ref="BS453:BS492">TRANSPOSE(BT452:DG452)</f>
        <v>20.1235</v>
      </c>
      <c r="BT453" s="120">
        <f>(BS453+BU453)/2</f>
        <v>20.801749999999998</v>
      </c>
      <c r="BU453" s="120">
        <f>(BU452+BU454)/2</f>
        <v>21.479999999999997</v>
      </c>
      <c r="BV453" s="120">
        <f>(BU453+BW453)/2</f>
        <v>22.161499999999997</v>
      </c>
      <c r="BW453" s="120">
        <f>(BW452+BW454)/2</f>
        <v>22.843</v>
      </c>
      <c r="BX453" s="120">
        <f>(BW453+BY453)/2</f>
        <v>23.51925</v>
      </c>
      <c r="BY453" s="120">
        <f>(BY452+BY454)/2</f>
        <v>24.195500000000003</v>
      </c>
      <c r="BZ453" s="120">
        <f>(BY453+CA453)/2</f>
        <v>24.877500000000001</v>
      </c>
      <c r="CA453" s="120">
        <f>(CA452+CA454)/2</f>
        <v>25.5595</v>
      </c>
      <c r="CB453" s="120">
        <f>(CA453+CC453)/2</f>
        <v>26.201000000000001</v>
      </c>
      <c r="CC453" s="120">
        <f>(CC452+CC454)/2</f>
        <v>26.842500000000001</v>
      </c>
      <c r="CD453" s="120">
        <f>(CC453+CE453)/2</f>
        <v>27.505749999999999</v>
      </c>
      <c r="CE453" s="120">
        <f>(CE452+CE454)/2</f>
        <v>28.168999999999997</v>
      </c>
      <c r="CF453" s="120">
        <f>(CE453+CG453)/2</f>
        <v>28.814</v>
      </c>
      <c r="CG453" s="120">
        <f>(CG452+CG454)/2</f>
        <v>29.459</v>
      </c>
      <c r="CH453" s="120">
        <f>(CG453+CI453)/2</f>
        <v>30.112499999999997</v>
      </c>
      <c r="CI453" s="120">
        <f>(CI452+CI454)/2</f>
        <v>30.765999999999998</v>
      </c>
      <c r="CJ453" s="120">
        <f>(CI453+CK453)/2</f>
        <v>31.41075</v>
      </c>
      <c r="CK453" s="120">
        <f>(CK452+CK454)/2</f>
        <v>32.055500000000002</v>
      </c>
      <c r="CL453" s="120">
        <f>(CK453+CM453)/2</f>
        <v>32.664000000000001</v>
      </c>
      <c r="CM453" s="120">
        <f>(CM452+CM454)/2</f>
        <v>33.272499999999994</v>
      </c>
      <c r="CN453" s="120">
        <f>(CM453+CO453)/2</f>
        <v>33.917499999999997</v>
      </c>
      <c r="CO453" s="120">
        <f>(CO452+CO454)/2</f>
        <v>34.5625</v>
      </c>
      <c r="CP453" s="120">
        <f>(CO453+CQ453)/2</f>
        <v>35.185249999999996</v>
      </c>
      <c r="CQ453" s="120">
        <f>(CQ452+CQ454)/2</f>
        <v>35.808</v>
      </c>
      <c r="CR453" s="120">
        <f>(CQ453+CS453)/2</f>
        <v>36.443249999999999</v>
      </c>
      <c r="CS453" s="120">
        <f>(CS452+CS454)/2</f>
        <v>37.078499999999998</v>
      </c>
      <c r="CT453" s="120">
        <f>(CS453+CU453)/2</f>
        <v>37.690249999999999</v>
      </c>
      <c r="CU453" s="120">
        <f>(CU452+CU454)/2</f>
        <v>38.302</v>
      </c>
      <c r="CV453" s="120">
        <f>(CU453+CW453)/2</f>
        <v>38.924499999999995</v>
      </c>
      <c r="CW453" s="120">
        <f>(CW452+CW454)/2</f>
        <v>39.546999999999997</v>
      </c>
      <c r="CX453" s="120">
        <f>(CW453+CY453)/2</f>
        <v>40.155249999999995</v>
      </c>
      <c r="CY453" s="120">
        <f>(CY452+CY454)/2</f>
        <v>40.763500000000001</v>
      </c>
      <c r="CZ453" s="120">
        <f>(CY453+DA453)/2</f>
        <v>41.371750000000006</v>
      </c>
      <c r="DA453" s="120">
        <f>(DA452+DA454)/2</f>
        <v>41.980000000000004</v>
      </c>
      <c r="DB453" s="120">
        <f>(DA453+DC453)/2</f>
        <v>42.59675</v>
      </c>
      <c r="DC453" s="120">
        <f>(DC452+DC454)/2</f>
        <v>43.213499999999996</v>
      </c>
      <c r="DD453" s="120">
        <f>(DC453+DE453)/2</f>
        <v>43.821749999999994</v>
      </c>
      <c r="DE453" s="120">
        <f>(DE452+DE454)/2</f>
        <v>44.43</v>
      </c>
      <c r="DF453" s="120">
        <f>(DE453+DG453)/2</f>
        <v>45.033999999999999</v>
      </c>
      <c r="DG453" s="122">
        <f>(DG452+DG454)/2</f>
        <v>45.637999999999998</v>
      </c>
    </row>
    <row r="454" spans="54:111" ht="15" customHeight="1" x14ac:dyDescent="0.2">
      <c r="BB454" s="28">
        <v>22</v>
      </c>
      <c r="BC454" s="121">
        <v>7.8090000000000002</v>
      </c>
      <c r="BD454" s="121">
        <v>8.7880000000000003</v>
      </c>
      <c r="BE454" s="121">
        <v>9.7669999999999995</v>
      </c>
      <c r="BF454" s="121">
        <v>10.654499999999999</v>
      </c>
      <c r="BG454" s="121">
        <v>11.542</v>
      </c>
      <c r="BH454" s="121">
        <v>12.3485</v>
      </c>
      <c r="BI454" s="121">
        <v>13.154999999999999</v>
      </c>
      <c r="BJ454" s="121">
        <v>13.962</v>
      </c>
      <c r="BK454" s="121">
        <v>14.769</v>
      </c>
      <c r="BL454" s="121">
        <v>15.545999999999999</v>
      </c>
      <c r="BM454" s="121">
        <v>16.323</v>
      </c>
      <c r="BN454" s="121">
        <v>17.080500000000001</v>
      </c>
      <c r="BO454" s="121">
        <v>17.838000000000001</v>
      </c>
      <c r="BP454" s="121">
        <v>18.578499999999998</v>
      </c>
      <c r="BQ454" s="121">
        <v>19.318999999999999</v>
      </c>
      <c r="BR454" s="121">
        <v>20.051499999999997</v>
      </c>
      <c r="BS454" s="121">
        <v>20.783999999999999</v>
      </c>
      <c r="BT454" s="121">
        <f t="array" ref="BT454:BT492">TRANSPOSE(BU453:DG453)</f>
        <v>21.479999999999997</v>
      </c>
      <c r="BU454" s="158">
        <v>22.175999999999998</v>
      </c>
      <c r="BV454" s="120">
        <f>(BW454+BU454)/2</f>
        <v>22.878999999999998</v>
      </c>
      <c r="BW454" s="158">
        <v>23.582000000000001</v>
      </c>
      <c r="BX454" s="120">
        <f>(BY454+BW454)/2</f>
        <v>24.303000000000001</v>
      </c>
      <c r="BY454" s="158">
        <v>25.024000000000001</v>
      </c>
      <c r="BZ454" s="120">
        <f>(CA454+BY454)/2</f>
        <v>25.727499999999999</v>
      </c>
      <c r="CA454" s="158">
        <v>26.431000000000001</v>
      </c>
      <c r="CB454" s="120">
        <f>(CC454+CA454)/2</f>
        <v>27.090499999999999</v>
      </c>
      <c r="CC454" s="158">
        <v>27.75</v>
      </c>
      <c r="CD454" s="120">
        <f>(CE454+CC454)/2</f>
        <v>28.452999999999999</v>
      </c>
      <c r="CE454" s="158">
        <v>29.155999999999999</v>
      </c>
      <c r="CF454" s="120">
        <f>(CG454+CE454)/2</f>
        <v>29.814999999999998</v>
      </c>
      <c r="CG454" s="158">
        <v>30.474</v>
      </c>
      <c r="CH454" s="120">
        <f>(CI454+CG454)/2</f>
        <v>31.158000000000001</v>
      </c>
      <c r="CI454" s="158">
        <v>31.841999999999999</v>
      </c>
      <c r="CJ454" s="120">
        <f>(CK454+CI454)/2</f>
        <v>32.507999999999996</v>
      </c>
      <c r="CK454" s="158">
        <v>33.173999999999999</v>
      </c>
      <c r="CL454" s="120">
        <f>(CM454+CK454)/2</f>
        <v>33.796499999999995</v>
      </c>
      <c r="CM454" s="158">
        <v>34.418999999999997</v>
      </c>
      <c r="CN454" s="120">
        <f>(CO454+CM454)/2</f>
        <v>35.085499999999996</v>
      </c>
      <c r="CO454" s="158">
        <v>35.752000000000002</v>
      </c>
      <c r="CP454" s="120">
        <f>(CQ454+CO454)/2</f>
        <v>36.411500000000004</v>
      </c>
      <c r="CQ454" s="158">
        <v>37.070999999999998</v>
      </c>
      <c r="CR454" s="120">
        <f>(CS454+CQ454)/2</f>
        <v>37.717500000000001</v>
      </c>
      <c r="CS454" s="158">
        <v>38.363999999999997</v>
      </c>
      <c r="CT454" s="120">
        <f>(CU454+CS454)/2</f>
        <v>38.993499999999997</v>
      </c>
      <c r="CU454" s="158">
        <v>39.622999999999998</v>
      </c>
      <c r="CV454" s="120">
        <f>(CW454+CU454)/2</f>
        <v>40.281999999999996</v>
      </c>
      <c r="CW454" s="158">
        <v>40.941000000000003</v>
      </c>
      <c r="CX454" s="120">
        <f>(CY454+CW454)/2</f>
        <v>41.570500000000003</v>
      </c>
      <c r="CY454" s="158">
        <v>42.2</v>
      </c>
      <c r="CZ454" s="120">
        <f>(DA454+CY454)/2</f>
        <v>42.822500000000005</v>
      </c>
      <c r="DA454" s="158">
        <v>43.445</v>
      </c>
      <c r="DB454" s="120">
        <f>(DC454+DA454)/2</f>
        <v>44.091999999999999</v>
      </c>
      <c r="DC454" s="158">
        <v>44.738999999999997</v>
      </c>
      <c r="DD454" s="120">
        <f>(DE454+DC454)/2</f>
        <v>45.368499999999997</v>
      </c>
      <c r="DE454" s="158">
        <v>45.997999999999998</v>
      </c>
      <c r="DF454" s="120">
        <f>(DG454+DE454)/2</f>
        <v>46.619500000000002</v>
      </c>
      <c r="DG454" s="159">
        <v>47.241</v>
      </c>
    </row>
    <row r="455" spans="54:111" ht="15" customHeight="1" x14ac:dyDescent="0.2">
      <c r="BB455" s="28">
        <v>23</v>
      </c>
      <c r="BC455" s="121">
        <v>8.0785</v>
      </c>
      <c r="BD455" s="121">
        <v>9.0667500000000008</v>
      </c>
      <c r="BE455" s="121">
        <v>10.055</v>
      </c>
      <c r="BF455" s="121">
        <v>10.96875</v>
      </c>
      <c r="BG455" s="121">
        <v>11.8825</v>
      </c>
      <c r="BH455" s="121">
        <v>12.72925</v>
      </c>
      <c r="BI455" s="121">
        <v>13.576000000000001</v>
      </c>
      <c r="BJ455" s="121">
        <v>14.40075</v>
      </c>
      <c r="BK455" s="121">
        <v>15.2255</v>
      </c>
      <c r="BL455" s="121">
        <v>16.032499999999999</v>
      </c>
      <c r="BM455" s="121">
        <v>16.839500000000001</v>
      </c>
      <c r="BN455" s="121">
        <v>17.621000000000002</v>
      </c>
      <c r="BO455" s="121">
        <v>18.4025</v>
      </c>
      <c r="BP455" s="121">
        <v>19.172999999999998</v>
      </c>
      <c r="BQ455" s="121">
        <v>19.9435</v>
      </c>
      <c r="BR455" s="121">
        <v>20.693749999999998</v>
      </c>
      <c r="BS455" s="121">
        <v>21.443999999999999</v>
      </c>
      <c r="BT455" s="121">
        <v>22.161499999999997</v>
      </c>
      <c r="BU455" s="121">
        <f t="array" ref="BU455:BU492">TRANSPOSE(BV454:DG454)</f>
        <v>22.878999999999998</v>
      </c>
      <c r="BV455" s="120">
        <f>(BU455+BW455)/2</f>
        <v>23.627499999999998</v>
      </c>
      <c r="BW455" s="120">
        <f>(BW454+BW456)/2</f>
        <v>24.376000000000001</v>
      </c>
      <c r="BX455" s="120">
        <f>(BW455+BY455)/2</f>
        <v>25.10575</v>
      </c>
      <c r="BY455" s="120">
        <f>(BY454+BY456)/2</f>
        <v>25.8355</v>
      </c>
      <c r="BZ455" s="120">
        <f>(BY455+CA455)/2</f>
        <v>26.5505</v>
      </c>
      <c r="CA455" s="120">
        <f>(CA454+CA456)/2</f>
        <v>27.265500000000003</v>
      </c>
      <c r="CB455" s="120">
        <f>(CA455+CC455)/2</f>
        <v>27.961000000000002</v>
      </c>
      <c r="CC455" s="120">
        <f>(CC454+CC456)/2</f>
        <v>28.656500000000001</v>
      </c>
      <c r="CD455" s="120">
        <f>(CC455+CE455)/2</f>
        <v>29.359000000000002</v>
      </c>
      <c r="CE455" s="120">
        <f>(CE454+CE456)/2</f>
        <v>30.061499999999999</v>
      </c>
      <c r="CF455" s="120">
        <f>(CE455+CG455)/2</f>
        <v>30.76925</v>
      </c>
      <c r="CG455" s="120">
        <f>(CG454+CG456)/2</f>
        <v>31.476999999999997</v>
      </c>
      <c r="CH455" s="120">
        <f>(CG455+CI455)/2</f>
        <v>32.170249999999996</v>
      </c>
      <c r="CI455" s="120">
        <f>(CI454+CI456)/2</f>
        <v>32.863500000000002</v>
      </c>
      <c r="CJ455" s="120">
        <f>(CI455+CK455)/2</f>
        <v>33.556249999999999</v>
      </c>
      <c r="CK455" s="120">
        <f>(CK454+CK456)/2</f>
        <v>34.248999999999995</v>
      </c>
      <c r="CL455" s="120">
        <f>(CK455+CM455)/2</f>
        <v>34.911249999999995</v>
      </c>
      <c r="CM455" s="120">
        <f>(CM454+CM456)/2</f>
        <v>35.573499999999996</v>
      </c>
      <c r="CN455" s="120">
        <f>(CM455+CO455)/2</f>
        <v>36.253749999999997</v>
      </c>
      <c r="CO455" s="120">
        <f>(CO454+CO456)/2</f>
        <v>36.933999999999997</v>
      </c>
      <c r="CP455" s="120">
        <f>(CO455+CQ455)/2</f>
        <v>37.608750000000001</v>
      </c>
      <c r="CQ455" s="120">
        <f>(CQ454+CQ456)/2</f>
        <v>38.283500000000004</v>
      </c>
      <c r="CR455" s="120">
        <f>(CQ455+CS455)/2</f>
        <v>38.954250000000002</v>
      </c>
      <c r="CS455" s="120">
        <f>(CS454+CS456)/2</f>
        <v>39.625</v>
      </c>
      <c r="CT455" s="120">
        <f>(CS455+CU455)/2</f>
        <v>40.303249999999998</v>
      </c>
      <c r="CU455" s="120">
        <f>(CU454+CU456)/2</f>
        <v>40.981499999999997</v>
      </c>
      <c r="CV455" s="120">
        <f>(CU455+CW455)/2</f>
        <v>41.639749999999999</v>
      </c>
      <c r="CW455" s="120">
        <f>(CW454+CW456)/2</f>
        <v>42.298000000000002</v>
      </c>
      <c r="CX455" s="120">
        <f>(CW455+CY455)/2</f>
        <v>42.963750000000005</v>
      </c>
      <c r="CY455" s="120">
        <f>(CY454+CY456)/2</f>
        <v>43.6295</v>
      </c>
      <c r="CZ455" s="120">
        <f>(CY455+DA455)/2</f>
        <v>44.281999999999996</v>
      </c>
      <c r="DA455" s="120">
        <f>(DA454+DA456)/2</f>
        <v>44.9345</v>
      </c>
      <c r="DB455" s="120">
        <f>(DA455+DC455)/2</f>
        <v>45.590499999999999</v>
      </c>
      <c r="DC455" s="120">
        <f>(DC454+DC456)/2</f>
        <v>46.246499999999997</v>
      </c>
      <c r="DD455" s="120">
        <f>(DC455+DE455)/2</f>
        <v>46.905999999999999</v>
      </c>
      <c r="DE455" s="120">
        <f>(DE454+DE456)/2</f>
        <v>47.5655</v>
      </c>
      <c r="DF455" s="120">
        <f>(DE455+DG455)/2</f>
        <v>48.205249999999999</v>
      </c>
      <c r="DG455" s="122">
        <f>(DG454+DG456)/2</f>
        <v>48.844999999999999</v>
      </c>
    </row>
    <row r="456" spans="54:111" ht="15" customHeight="1" x14ac:dyDescent="0.2">
      <c r="BB456" s="28">
        <v>24</v>
      </c>
      <c r="BC456" s="121">
        <v>8.3480000000000008</v>
      </c>
      <c r="BD456" s="121">
        <v>9.3455000000000013</v>
      </c>
      <c r="BE456" s="121">
        <v>10.343</v>
      </c>
      <c r="BF456" s="121">
        <v>11.283000000000001</v>
      </c>
      <c r="BG456" s="121">
        <v>12.223000000000001</v>
      </c>
      <c r="BH456" s="121">
        <v>13.11</v>
      </c>
      <c r="BI456" s="121">
        <v>13.997</v>
      </c>
      <c r="BJ456" s="121">
        <v>14.839500000000001</v>
      </c>
      <c r="BK456" s="121">
        <v>15.682</v>
      </c>
      <c r="BL456" s="121">
        <v>16.519000000000002</v>
      </c>
      <c r="BM456" s="121">
        <v>17.356000000000002</v>
      </c>
      <c r="BN456" s="121">
        <v>18.1615</v>
      </c>
      <c r="BO456" s="121">
        <v>18.966999999999999</v>
      </c>
      <c r="BP456" s="121">
        <v>19.767499999999998</v>
      </c>
      <c r="BQ456" s="121">
        <v>20.568000000000001</v>
      </c>
      <c r="BR456" s="121">
        <v>21.335999999999999</v>
      </c>
      <c r="BS456" s="121">
        <v>22.103999999999999</v>
      </c>
      <c r="BT456" s="121">
        <v>22.843</v>
      </c>
      <c r="BU456" s="121">
        <v>23.582000000000001</v>
      </c>
      <c r="BV456" s="121">
        <f t="array" ref="BV456:BV492">TRANSPOSE(BW455:DG455)</f>
        <v>24.376000000000001</v>
      </c>
      <c r="BW456" s="158">
        <v>25.17</v>
      </c>
      <c r="BX456" s="120">
        <f>(BY456+BW456)/2</f>
        <v>25.9085</v>
      </c>
      <c r="BY456" s="158">
        <v>26.646999999999998</v>
      </c>
      <c r="BZ456" s="120">
        <f>(CA456+BY456)/2</f>
        <v>27.3735</v>
      </c>
      <c r="CA456" s="158">
        <v>28.1</v>
      </c>
      <c r="CB456" s="120">
        <f>(CC456+CA456)/2</f>
        <v>28.831499999999998</v>
      </c>
      <c r="CC456" s="158">
        <v>29.562999999999999</v>
      </c>
      <c r="CD456" s="120">
        <f>(CE456+CC456)/2</f>
        <v>30.265000000000001</v>
      </c>
      <c r="CE456" s="158">
        <v>30.966999999999999</v>
      </c>
      <c r="CF456" s="120">
        <f>(CG456+CE456)/2</f>
        <v>31.723499999999998</v>
      </c>
      <c r="CG456" s="158">
        <v>32.479999999999997</v>
      </c>
      <c r="CH456" s="120">
        <f>(CI456+CG456)/2</f>
        <v>33.182499999999997</v>
      </c>
      <c r="CI456" s="158">
        <v>33.884999999999998</v>
      </c>
      <c r="CJ456" s="120">
        <f>(CK456+CI456)/2</f>
        <v>34.604500000000002</v>
      </c>
      <c r="CK456" s="158">
        <v>35.323999999999998</v>
      </c>
      <c r="CL456" s="120">
        <f>(CM456+CK456)/2</f>
        <v>36.025999999999996</v>
      </c>
      <c r="CM456" s="158">
        <v>36.728000000000002</v>
      </c>
      <c r="CN456" s="120">
        <f>(CO456+CM456)/2</f>
        <v>37.421999999999997</v>
      </c>
      <c r="CO456" s="158">
        <v>38.116</v>
      </c>
      <c r="CP456" s="120">
        <f>(CQ456+CO456)/2</f>
        <v>38.805999999999997</v>
      </c>
      <c r="CQ456" s="158">
        <v>39.496000000000002</v>
      </c>
      <c r="CR456" s="120">
        <f>(CS456+CQ456)/2</f>
        <v>40.191000000000003</v>
      </c>
      <c r="CS456" s="158">
        <v>40.886000000000003</v>
      </c>
      <c r="CT456" s="120">
        <f>(CU456+CS456)/2</f>
        <v>41.613</v>
      </c>
      <c r="CU456" s="158">
        <v>42.34</v>
      </c>
      <c r="CV456" s="120">
        <f>(CW456+CU456)/2</f>
        <v>42.997500000000002</v>
      </c>
      <c r="CW456" s="158">
        <v>43.655000000000001</v>
      </c>
      <c r="CX456" s="120">
        <f>(CY456+CW456)/2</f>
        <v>44.356999999999999</v>
      </c>
      <c r="CY456" s="158">
        <v>45.058999999999997</v>
      </c>
      <c r="CZ456" s="120">
        <f>(DA456+CY456)/2</f>
        <v>45.741500000000002</v>
      </c>
      <c r="DA456" s="158">
        <v>46.423999999999999</v>
      </c>
      <c r="DB456" s="120">
        <f>(DC456+DA456)/2</f>
        <v>47.088999999999999</v>
      </c>
      <c r="DC456" s="158">
        <v>47.753999999999998</v>
      </c>
      <c r="DD456" s="120">
        <f>(DE456+DC456)/2</f>
        <v>48.4435</v>
      </c>
      <c r="DE456" s="158">
        <v>49.133000000000003</v>
      </c>
      <c r="DF456" s="120">
        <f>(DG456+DE456)/2</f>
        <v>49.790999999999997</v>
      </c>
      <c r="DG456" s="159">
        <v>50.448999999999998</v>
      </c>
    </row>
    <row r="457" spans="54:111" ht="15" customHeight="1" x14ac:dyDescent="0.2">
      <c r="BB457" s="28">
        <v>25</v>
      </c>
      <c r="BC457" s="121">
        <v>8.5564999999999998</v>
      </c>
      <c r="BD457" s="121">
        <v>9.6025000000000009</v>
      </c>
      <c r="BE457" s="121">
        <v>10.6485</v>
      </c>
      <c r="BF457" s="121">
        <v>11.598000000000001</v>
      </c>
      <c r="BG457" s="121">
        <v>12.547499999999999</v>
      </c>
      <c r="BH457" s="121">
        <v>13.4605</v>
      </c>
      <c r="BI457" s="121">
        <v>14.3735</v>
      </c>
      <c r="BJ457" s="121">
        <v>15.26825</v>
      </c>
      <c r="BK457" s="121">
        <v>16.163</v>
      </c>
      <c r="BL457" s="121">
        <v>17.005749999999999</v>
      </c>
      <c r="BM457" s="121">
        <v>17.848500000000001</v>
      </c>
      <c r="BN457" s="121">
        <v>18.683999999999997</v>
      </c>
      <c r="BO457" s="121">
        <v>19.519500000000001</v>
      </c>
      <c r="BP457" s="121">
        <v>20.325249999999997</v>
      </c>
      <c r="BQ457" s="121">
        <v>21.131</v>
      </c>
      <c r="BR457" s="121">
        <v>21.933250000000001</v>
      </c>
      <c r="BS457" s="121">
        <v>22.735500000000002</v>
      </c>
      <c r="BT457" s="121">
        <v>23.51925</v>
      </c>
      <c r="BU457" s="121">
        <v>24.303000000000001</v>
      </c>
      <c r="BV457" s="121">
        <v>25.10575</v>
      </c>
      <c r="BW457" s="121">
        <f t="array" ref="BW457:BW492">TRANSPOSE(BX456:DG456)</f>
        <v>25.9085</v>
      </c>
      <c r="BX457" s="120">
        <f>(BW457+BY457)/2</f>
        <v>26.677500000000002</v>
      </c>
      <c r="BY457" s="120">
        <f>(BY456+BY458)/2</f>
        <v>27.4465</v>
      </c>
      <c r="BZ457" s="120">
        <f>(BY457+CA457)/2</f>
        <v>28.193000000000001</v>
      </c>
      <c r="CA457" s="120">
        <f>(CA456+CA458)/2</f>
        <v>28.939500000000002</v>
      </c>
      <c r="CB457" s="120">
        <f>(CA457+CC457)/2</f>
        <v>29.705000000000002</v>
      </c>
      <c r="CC457" s="120">
        <f>(CC456+CC458)/2</f>
        <v>30.470500000000001</v>
      </c>
      <c r="CD457" s="120">
        <f>(CC457+CE457)/2</f>
        <v>31.202750000000002</v>
      </c>
      <c r="CE457" s="120">
        <f>(CE456+CE458)/2</f>
        <v>31.934999999999999</v>
      </c>
      <c r="CF457" s="120">
        <f>(CE457+CG457)/2</f>
        <v>32.696750000000002</v>
      </c>
      <c r="CG457" s="120">
        <f>(CG456+CG458)/2</f>
        <v>33.458500000000001</v>
      </c>
      <c r="CH457" s="120">
        <f>(CG457+CI457)/2</f>
        <v>34.190750000000001</v>
      </c>
      <c r="CI457" s="120">
        <f>(CI456+CI458)/2</f>
        <v>34.923000000000002</v>
      </c>
      <c r="CJ457" s="120">
        <f>(CI457+CK457)/2</f>
        <v>35.651499999999999</v>
      </c>
      <c r="CK457" s="120">
        <f>(CK456+CK458)/2</f>
        <v>36.379999999999995</v>
      </c>
      <c r="CL457" s="120">
        <f>(CK457+CM457)/2</f>
        <v>37.108750000000001</v>
      </c>
      <c r="CM457" s="120">
        <f>(CM456+CM458)/2</f>
        <v>37.837500000000006</v>
      </c>
      <c r="CN457" s="120">
        <f>(CM457+CO457)/2</f>
        <v>38.565750000000001</v>
      </c>
      <c r="CO457" s="120">
        <f>(CO456+CO458)/2</f>
        <v>39.293999999999997</v>
      </c>
      <c r="CP457" s="120">
        <f>(CO457+CQ457)/2</f>
        <v>40.007750000000001</v>
      </c>
      <c r="CQ457" s="120">
        <f>(CQ456+CQ458)/2</f>
        <v>40.721500000000006</v>
      </c>
      <c r="CR457" s="120">
        <f>(CQ457+CS457)/2</f>
        <v>41.446250000000006</v>
      </c>
      <c r="CS457" s="120">
        <f>(CS456+CS458)/2</f>
        <v>42.171000000000006</v>
      </c>
      <c r="CT457" s="120">
        <f>(CS457+CU457)/2</f>
        <v>42.903500000000008</v>
      </c>
      <c r="CU457" s="120">
        <f>(CU456+CU458)/2</f>
        <v>43.636000000000003</v>
      </c>
      <c r="CV457" s="120">
        <f>(CU457+CW457)/2</f>
        <v>44.327500000000001</v>
      </c>
      <c r="CW457" s="120">
        <f>(CW456+CW458)/2</f>
        <v>45.019000000000005</v>
      </c>
      <c r="CX457" s="120">
        <f>(CW457+CY457)/2</f>
        <v>45.747500000000002</v>
      </c>
      <c r="CY457" s="120">
        <f>(CY456+CY458)/2</f>
        <v>46.475999999999999</v>
      </c>
      <c r="CZ457" s="120">
        <f>(CY457+DA457)/2</f>
        <v>47.167249999999996</v>
      </c>
      <c r="DA457" s="120">
        <f>(DA456+DA458)/2</f>
        <v>47.858499999999999</v>
      </c>
      <c r="DB457" s="120">
        <f>(DA457+DC457)/2</f>
        <v>48.554000000000002</v>
      </c>
      <c r="DC457" s="120">
        <f>(DC456+DC458)/2</f>
        <v>49.249499999999998</v>
      </c>
      <c r="DD457" s="120">
        <f>(DC457+DE457)/2</f>
        <v>49.959499999999998</v>
      </c>
      <c r="DE457" s="120">
        <f>(DE456+DE458)/2</f>
        <v>50.669499999999999</v>
      </c>
      <c r="DF457" s="120">
        <f>(DE457+DG457)/2</f>
        <v>51.360999999999997</v>
      </c>
      <c r="DG457" s="122">
        <f>(DG456+DG458)/2</f>
        <v>52.052499999999995</v>
      </c>
    </row>
    <row r="458" spans="54:111" ht="15" customHeight="1" x14ac:dyDescent="0.2">
      <c r="BB458" s="28">
        <v>26</v>
      </c>
      <c r="BC458" s="121">
        <v>8.7650000000000006</v>
      </c>
      <c r="BD458" s="121">
        <v>9.8595000000000006</v>
      </c>
      <c r="BE458" s="121">
        <v>10.954000000000001</v>
      </c>
      <c r="BF458" s="121">
        <v>11.913</v>
      </c>
      <c r="BG458" s="121">
        <v>12.872</v>
      </c>
      <c r="BH458" s="121">
        <v>13.811</v>
      </c>
      <c r="BI458" s="121">
        <v>14.75</v>
      </c>
      <c r="BJ458" s="121">
        <v>15.696999999999999</v>
      </c>
      <c r="BK458" s="121">
        <v>16.643999999999998</v>
      </c>
      <c r="BL458" s="121">
        <v>17.4925</v>
      </c>
      <c r="BM458" s="121">
        <v>18.341000000000001</v>
      </c>
      <c r="BN458" s="121">
        <v>19.206499999999998</v>
      </c>
      <c r="BO458" s="121">
        <v>20.071999999999999</v>
      </c>
      <c r="BP458" s="121">
        <v>20.882999999999999</v>
      </c>
      <c r="BQ458" s="121">
        <v>21.693999999999999</v>
      </c>
      <c r="BR458" s="121">
        <v>22.5305</v>
      </c>
      <c r="BS458" s="121">
        <v>23.367000000000001</v>
      </c>
      <c r="BT458" s="121">
        <v>24.195500000000003</v>
      </c>
      <c r="BU458" s="121">
        <v>25.024000000000001</v>
      </c>
      <c r="BV458" s="121">
        <v>25.8355</v>
      </c>
      <c r="BW458" s="121">
        <v>26.646999999999998</v>
      </c>
      <c r="BX458" s="121">
        <f t="array" ref="BX458:BX492">TRANSPOSE(BY457:DG457)</f>
        <v>27.4465</v>
      </c>
      <c r="BY458" s="158">
        <v>28.245999999999999</v>
      </c>
      <c r="BZ458" s="120">
        <f>(CA458+BY458)/2</f>
        <v>29.012499999999999</v>
      </c>
      <c r="CA458" s="158">
        <v>29.779</v>
      </c>
      <c r="CB458" s="120">
        <f>(CC458+CA458)/2</f>
        <v>30.578499999999998</v>
      </c>
      <c r="CC458" s="158">
        <v>31.378</v>
      </c>
      <c r="CD458" s="120">
        <f>(CE458+CC458)/2</f>
        <v>32.140500000000003</v>
      </c>
      <c r="CE458" s="158">
        <v>32.902999999999999</v>
      </c>
      <c r="CF458" s="120">
        <f>(CG458+CE458)/2</f>
        <v>33.67</v>
      </c>
      <c r="CG458" s="158">
        <v>34.436999999999998</v>
      </c>
      <c r="CH458" s="120">
        <f>(CI458+CG458)/2</f>
        <v>35.198999999999998</v>
      </c>
      <c r="CI458" s="158">
        <v>35.960999999999999</v>
      </c>
      <c r="CJ458" s="120">
        <f>(CK458+CI458)/2</f>
        <v>36.698499999999996</v>
      </c>
      <c r="CK458" s="158">
        <v>37.436</v>
      </c>
      <c r="CL458" s="120">
        <f>(CM458+CK458)/2</f>
        <v>38.191500000000005</v>
      </c>
      <c r="CM458" s="158">
        <v>38.947000000000003</v>
      </c>
      <c r="CN458" s="120">
        <f>(CO458+CM458)/2</f>
        <v>39.709500000000006</v>
      </c>
      <c r="CO458" s="158">
        <v>40.472000000000001</v>
      </c>
      <c r="CP458" s="120">
        <f>(CQ458+CO458)/2</f>
        <v>41.209500000000006</v>
      </c>
      <c r="CQ458" s="158">
        <v>41.947000000000003</v>
      </c>
      <c r="CR458" s="120">
        <f>(CS458+CQ458)/2</f>
        <v>42.701500000000003</v>
      </c>
      <c r="CS458" s="158">
        <v>43.456000000000003</v>
      </c>
      <c r="CT458" s="120">
        <f>(CU458+CS458)/2</f>
        <v>44.194000000000003</v>
      </c>
      <c r="CU458" s="158">
        <v>44.932000000000002</v>
      </c>
      <c r="CV458" s="120">
        <f>(CW458+CU458)/2</f>
        <v>45.657499999999999</v>
      </c>
      <c r="CW458" s="158">
        <v>46.383000000000003</v>
      </c>
      <c r="CX458" s="120">
        <f>(CY458+CW458)/2</f>
        <v>47.138000000000005</v>
      </c>
      <c r="CY458" s="158">
        <v>47.893000000000001</v>
      </c>
      <c r="CZ458" s="120">
        <f>(DA458+CY458)/2</f>
        <v>48.593000000000004</v>
      </c>
      <c r="DA458" s="158">
        <v>49.292999999999999</v>
      </c>
      <c r="DB458" s="120">
        <f>(DC458+DA458)/2</f>
        <v>50.018999999999998</v>
      </c>
      <c r="DC458" s="158">
        <v>50.744999999999997</v>
      </c>
      <c r="DD458" s="120">
        <f>(DE458+DC458)/2</f>
        <v>51.475499999999997</v>
      </c>
      <c r="DE458" s="158">
        <v>52.206000000000003</v>
      </c>
      <c r="DF458" s="120">
        <f>(DG458+DE458)/2</f>
        <v>52.930999999999997</v>
      </c>
      <c r="DG458" s="159">
        <v>53.655999999999999</v>
      </c>
    </row>
    <row r="459" spans="54:111" ht="15" customHeight="1" x14ac:dyDescent="0.2">
      <c r="BB459" s="28">
        <v>27</v>
      </c>
      <c r="BC459" s="121">
        <v>9.0055000000000014</v>
      </c>
      <c r="BD459" s="121">
        <v>10.101750000000001</v>
      </c>
      <c r="BE459" s="121">
        <v>11.198</v>
      </c>
      <c r="BF459" s="121">
        <v>12.205500000000001</v>
      </c>
      <c r="BG459" s="121">
        <v>13.213000000000001</v>
      </c>
      <c r="BH459" s="121">
        <v>14.192</v>
      </c>
      <c r="BI459" s="121">
        <v>15.170999999999999</v>
      </c>
      <c r="BJ459" s="121">
        <v>16.117249999999999</v>
      </c>
      <c r="BK459" s="121">
        <v>17.063499999999998</v>
      </c>
      <c r="BL459" s="121">
        <v>17.9605</v>
      </c>
      <c r="BM459" s="121">
        <v>18.857500000000002</v>
      </c>
      <c r="BN459" s="121">
        <v>19.728499999999997</v>
      </c>
      <c r="BO459" s="121">
        <v>20.599499999999999</v>
      </c>
      <c r="BP459" s="121">
        <v>21.459499999999998</v>
      </c>
      <c r="BQ459" s="121">
        <v>22.319499999999998</v>
      </c>
      <c r="BR459" s="121">
        <v>23.173499999999997</v>
      </c>
      <c r="BS459" s="121">
        <v>24.0275</v>
      </c>
      <c r="BT459" s="121">
        <v>24.877500000000001</v>
      </c>
      <c r="BU459" s="121">
        <v>25.727499999999999</v>
      </c>
      <c r="BV459" s="121">
        <v>26.5505</v>
      </c>
      <c r="BW459" s="121">
        <v>27.3735</v>
      </c>
      <c r="BX459" s="121">
        <v>28.193000000000001</v>
      </c>
      <c r="BY459" s="121">
        <f t="array" ref="BY459:BY492">TRANSPOSE(BZ458:DG458)</f>
        <v>29.012499999999999</v>
      </c>
      <c r="BZ459" s="120">
        <f>(BY459+CA459)/2</f>
        <v>29.813499999999998</v>
      </c>
      <c r="CA459" s="120">
        <f>(CA458+CA460)/2</f>
        <v>30.6145</v>
      </c>
      <c r="CB459" s="120">
        <f>(CA459+CC459)/2</f>
        <v>31.4315</v>
      </c>
      <c r="CC459" s="120">
        <f>(CC458+CC460)/2</f>
        <v>32.2485</v>
      </c>
      <c r="CD459" s="120">
        <f>(CC459+CE459)/2</f>
        <v>33.047250000000005</v>
      </c>
      <c r="CE459" s="120">
        <f>(CE458+CE460)/2</f>
        <v>33.846000000000004</v>
      </c>
      <c r="CF459" s="120">
        <f>(CE459+CG459)/2</f>
        <v>34.624749999999999</v>
      </c>
      <c r="CG459" s="120">
        <f>(CG458+CG460)/2</f>
        <v>35.403499999999994</v>
      </c>
      <c r="CH459" s="120">
        <f>(CG459+CI459)/2</f>
        <v>36.189249999999994</v>
      </c>
      <c r="CI459" s="120">
        <f>(CI458+CI460)/2</f>
        <v>36.974999999999994</v>
      </c>
      <c r="CJ459" s="120">
        <f>(CI459+CK459)/2</f>
        <v>37.742999999999995</v>
      </c>
      <c r="CK459" s="120">
        <f>(CK458+CK460)/2</f>
        <v>38.510999999999996</v>
      </c>
      <c r="CL459" s="120">
        <f>(CK459+CM459)/2</f>
        <v>39.287499999999994</v>
      </c>
      <c r="CM459" s="120">
        <f>(CM458+CM460)/2</f>
        <v>40.064</v>
      </c>
      <c r="CN459" s="120">
        <f>(CM459+CO459)/2</f>
        <v>40.844499999999996</v>
      </c>
      <c r="CO459" s="120">
        <f>(CO458+CO460)/2</f>
        <v>41.625</v>
      </c>
      <c r="CP459" s="120">
        <f>(CO459+CQ459)/2</f>
        <v>42.389000000000003</v>
      </c>
      <c r="CQ459" s="120">
        <f>(CQ458+CQ460)/2</f>
        <v>43.153000000000006</v>
      </c>
      <c r="CR459" s="120">
        <f>(CQ459+CS459)/2</f>
        <v>43.916500000000006</v>
      </c>
      <c r="CS459" s="120">
        <f>(CS458+CS460)/2</f>
        <v>44.680000000000007</v>
      </c>
      <c r="CT459" s="120">
        <f>(CS459+CU459)/2</f>
        <v>45.448250000000002</v>
      </c>
      <c r="CU459" s="120">
        <f>(CU458+CU460)/2</f>
        <v>46.216499999999996</v>
      </c>
      <c r="CV459" s="120">
        <f>(CU459+CW459)/2</f>
        <v>46.977999999999994</v>
      </c>
      <c r="CW459" s="120">
        <f>(CW458+CW460)/2</f>
        <v>47.7395</v>
      </c>
      <c r="CX459" s="120">
        <f>(CW459+CY459)/2</f>
        <v>48.497749999999996</v>
      </c>
      <c r="CY459" s="120">
        <f>(CY458+CY460)/2</f>
        <v>49.256</v>
      </c>
      <c r="CZ459" s="120">
        <f>(CY459+DA459)/2</f>
        <v>50.001249999999999</v>
      </c>
      <c r="DA459" s="120">
        <f>(DA458+DA460)/2</f>
        <v>50.746499999999997</v>
      </c>
      <c r="DB459" s="120">
        <f>(DA459+DC459)/2</f>
        <v>51.477499999999999</v>
      </c>
      <c r="DC459" s="120">
        <f>(DC458+DC460)/2</f>
        <v>52.208500000000001</v>
      </c>
      <c r="DD459" s="120">
        <f>(DC459+DE459)/2</f>
        <v>52.972750000000005</v>
      </c>
      <c r="DE459" s="120">
        <f>(DE458+DE460)/2</f>
        <v>53.737000000000002</v>
      </c>
      <c r="DF459" s="120">
        <f>(DE459+DG459)/2</f>
        <v>54.480000000000004</v>
      </c>
      <c r="DG459" s="122">
        <f>(DG458+DG460)/2</f>
        <v>55.222999999999999</v>
      </c>
    </row>
    <row r="460" spans="54:111" ht="15" customHeight="1" x14ac:dyDescent="0.2">
      <c r="BB460" s="28">
        <v>28</v>
      </c>
      <c r="BC460" s="121">
        <v>9.2460000000000004</v>
      </c>
      <c r="BD460" s="121">
        <v>10.344000000000001</v>
      </c>
      <c r="BE460" s="121">
        <v>11.442</v>
      </c>
      <c r="BF460" s="121">
        <v>12.498000000000001</v>
      </c>
      <c r="BG460" s="121">
        <v>13.554</v>
      </c>
      <c r="BH460" s="121">
        <v>14.573</v>
      </c>
      <c r="BI460" s="121">
        <v>15.592000000000001</v>
      </c>
      <c r="BJ460" s="121">
        <v>16.537500000000001</v>
      </c>
      <c r="BK460" s="121">
        <v>17.483000000000001</v>
      </c>
      <c r="BL460" s="121">
        <v>18.4285</v>
      </c>
      <c r="BM460" s="121">
        <v>19.373999999999999</v>
      </c>
      <c r="BN460" s="121">
        <v>20.250499999999999</v>
      </c>
      <c r="BO460" s="121">
        <v>21.126999999999999</v>
      </c>
      <c r="BP460" s="121">
        <v>22.036000000000001</v>
      </c>
      <c r="BQ460" s="121">
        <v>22.945</v>
      </c>
      <c r="BR460" s="121">
        <v>23.816499999999998</v>
      </c>
      <c r="BS460" s="121">
        <v>24.687999999999999</v>
      </c>
      <c r="BT460" s="121">
        <v>25.5595</v>
      </c>
      <c r="BU460" s="121">
        <v>26.431000000000001</v>
      </c>
      <c r="BV460" s="121">
        <v>27.265500000000003</v>
      </c>
      <c r="BW460" s="121">
        <v>28.1</v>
      </c>
      <c r="BX460" s="121">
        <v>28.939500000000002</v>
      </c>
      <c r="BY460" s="121">
        <v>29.779</v>
      </c>
      <c r="BZ460" s="121">
        <f t="array" ref="BZ460:BZ492">TRANSPOSE(CA459:DG459)</f>
        <v>30.6145</v>
      </c>
      <c r="CA460" s="158">
        <v>31.45</v>
      </c>
      <c r="CB460" s="120">
        <f>(CC460+CA460)/2</f>
        <v>32.284500000000001</v>
      </c>
      <c r="CC460" s="158">
        <v>33.119</v>
      </c>
      <c r="CD460" s="120">
        <f>(CE460+CC460)/2</f>
        <v>33.954000000000001</v>
      </c>
      <c r="CE460" s="158">
        <v>34.789000000000001</v>
      </c>
      <c r="CF460" s="120">
        <f>(CG460+CE460)/2</f>
        <v>35.579499999999996</v>
      </c>
      <c r="CG460" s="158">
        <v>36.369999999999997</v>
      </c>
      <c r="CH460" s="120">
        <f>(CI460+CG460)/2</f>
        <v>37.179499999999997</v>
      </c>
      <c r="CI460" s="158">
        <v>37.988999999999997</v>
      </c>
      <c r="CJ460" s="120">
        <f>(CK460+CI460)/2</f>
        <v>38.787499999999994</v>
      </c>
      <c r="CK460" s="158">
        <v>39.585999999999999</v>
      </c>
      <c r="CL460" s="120">
        <f>(CM460+CK460)/2</f>
        <v>40.383499999999998</v>
      </c>
      <c r="CM460" s="158">
        <v>41.180999999999997</v>
      </c>
      <c r="CN460" s="120">
        <f>(CO460+CM460)/2</f>
        <v>41.979500000000002</v>
      </c>
      <c r="CO460" s="158">
        <v>42.777999999999999</v>
      </c>
      <c r="CP460" s="120">
        <f>(CQ460+CO460)/2</f>
        <v>43.5685</v>
      </c>
      <c r="CQ460" s="158">
        <v>44.359000000000002</v>
      </c>
      <c r="CR460" s="120">
        <f>(CS460+CQ460)/2</f>
        <v>45.131500000000003</v>
      </c>
      <c r="CS460" s="158">
        <v>45.904000000000003</v>
      </c>
      <c r="CT460" s="120">
        <f>(CU460+CS460)/2</f>
        <v>46.702500000000001</v>
      </c>
      <c r="CU460" s="158">
        <v>47.500999999999998</v>
      </c>
      <c r="CV460" s="120">
        <f>(CW460+CU460)/2</f>
        <v>48.298499999999997</v>
      </c>
      <c r="CW460" s="158">
        <v>49.095999999999997</v>
      </c>
      <c r="CX460" s="120">
        <f>(CY460+CW460)/2</f>
        <v>49.857500000000002</v>
      </c>
      <c r="CY460" s="158">
        <v>50.619</v>
      </c>
      <c r="CZ460" s="120">
        <f>(DA460+CY460)/2</f>
        <v>51.409500000000001</v>
      </c>
      <c r="DA460" s="158">
        <v>52.2</v>
      </c>
      <c r="DB460" s="120">
        <f>(DC460+DA460)/2</f>
        <v>52.936</v>
      </c>
      <c r="DC460" s="158">
        <v>53.671999999999997</v>
      </c>
      <c r="DD460" s="120">
        <f>(DE460+DC460)/2</f>
        <v>54.47</v>
      </c>
      <c r="DE460" s="158">
        <v>55.268000000000001</v>
      </c>
      <c r="DF460" s="120">
        <f>(DG460+DE460)/2</f>
        <v>56.028999999999996</v>
      </c>
      <c r="DG460" s="159">
        <v>56.79</v>
      </c>
    </row>
    <row r="461" spans="54:111" ht="15" customHeight="1" x14ac:dyDescent="0.2">
      <c r="BB461" s="28">
        <v>29</v>
      </c>
      <c r="BC461" s="121">
        <v>9.4544999999999995</v>
      </c>
      <c r="BD461" s="121">
        <v>10.604500000000002</v>
      </c>
      <c r="BE461" s="121">
        <v>11.7545</v>
      </c>
      <c r="BF461" s="121">
        <v>12.8285</v>
      </c>
      <c r="BG461" s="121">
        <v>13.9025</v>
      </c>
      <c r="BH461" s="121">
        <v>14.939249999999999</v>
      </c>
      <c r="BI461" s="121">
        <v>15.975999999999999</v>
      </c>
      <c r="BJ461" s="121">
        <v>16.939500000000002</v>
      </c>
      <c r="BK461" s="121">
        <v>17.902999999999999</v>
      </c>
      <c r="BL461" s="121">
        <v>18.862500000000001</v>
      </c>
      <c r="BM461" s="121">
        <v>19.821999999999999</v>
      </c>
      <c r="BN461" s="121">
        <v>20.750500000000002</v>
      </c>
      <c r="BO461" s="121">
        <v>21.679000000000002</v>
      </c>
      <c r="BP461" s="121">
        <v>22.60575</v>
      </c>
      <c r="BQ461" s="121">
        <v>23.532499999999999</v>
      </c>
      <c r="BR461" s="121">
        <v>24.421999999999997</v>
      </c>
      <c r="BS461" s="121">
        <v>25.311499999999999</v>
      </c>
      <c r="BT461" s="121">
        <v>26.201000000000001</v>
      </c>
      <c r="BU461" s="121">
        <v>27.090499999999999</v>
      </c>
      <c r="BV461" s="121">
        <v>27.961000000000002</v>
      </c>
      <c r="BW461" s="121">
        <v>28.831499999999998</v>
      </c>
      <c r="BX461" s="121">
        <v>29.705000000000002</v>
      </c>
      <c r="BY461" s="121">
        <v>30.578499999999998</v>
      </c>
      <c r="BZ461" s="121">
        <v>31.4315</v>
      </c>
      <c r="CA461" s="121">
        <f t="array" ref="CA461:CA492">TRANSPOSE(CB460:DG460)</f>
        <v>32.284500000000001</v>
      </c>
      <c r="CB461" s="120">
        <f>(CA461+CC461)/2</f>
        <v>33.137</v>
      </c>
      <c r="CC461" s="120">
        <f>(CC460+CC462)/2</f>
        <v>33.9895</v>
      </c>
      <c r="CD461" s="120">
        <f>(CC461+CE461)/2</f>
        <v>34.84225</v>
      </c>
      <c r="CE461" s="120">
        <f>(CE460+CE462)/2</f>
        <v>35.695</v>
      </c>
      <c r="CF461" s="120">
        <f>(CE461+CG461)/2</f>
        <v>36.52525</v>
      </c>
      <c r="CG461" s="120">
        <f>(CG460+CG462)/2</f>
        <v>37.355499999999999</v>
      </c>
      <c r="CH461" s="120">
        <f>(CG461+CI461)/2</f>
        <v>38.177</v>
      </c>
      <c r="CI461" s="120">
        <f>(CI460+CI462)/2</f>
        <v>38.9985</v>
      </c>
      <c r="CJ461" s="120">
        <f>(CI461+CK461)/2</f>
        <v>39.829250000000002</v>
      </c>
      <c r="CK461" s="120">
        <f>(CK460+CK462)/2</f>
        <v>40.659999999999997</v>
      </c>
      <c r="CL461" s="120">
        <f>(CK461+CM461)/2</f>
        <v>41.475499999999997</v>
      </c>
      <c r="CM461" s="120">
        <f>(CM460+CM462)/2</f>
        <v>42.290999999999997</v>
      </c>
      <c r="CN461" s="120">
        <f>(CM461+CO461)/2</f>
        <v>43.106999999999999</v>
      </c>
      <c r="CO461" s="120">
        <f>(CO460+CO462)/2</f>
        <v>43.923000000000002</v>
      </c>
      <c r="CP461" s="120">
        <f>(CO461+CQ461)/2</f>
        <v>44.734750000000005</v>
      </c>
      <c r="CQ461" s="120">
        <f>(CQ460+CQ462)/2</f>
        <v>45.546500000000002</v>
      </c>
      <c r="CR461" s="120">
        <f>(CQ461+CS461)/2</f>
        <v>46.34975</v>
      </c>
      <c r="CS461" s="120">
        <f>(CS460+CS462)/2</f>
        <v>47.153000000000006</v>
      </c>
      <c r="CT461" s="120">
        <f>(CS461+CU461)/2</f>
        <v>47.969000000000001</v>
      </c>
      <c r="CU461" s="120">
        <f>(CU460+CU462)/2</f>
        <v>48.784999999999997</v>
      </c>
      <c r="CV461" s="120">
        <f>(CU461+CW461)/2</f>
        <v>49.600499999999997</v>
      </c>
      <c r="CW461" s="120">
        <f>(CW460+CW462)/2</f>
        <v>50.415999999999997</v>
      </c>
      <c r="CX461" s="120">
        <f>(CW461+CY461)/2</f>
        <v>51.213250000000002</v>
      </c>
      <c r="CY461" s="120">
        <f>(CY460+CY462)/2</f>
        <v>52.0105</v>
      </c>
      <c r="CZ461" s="120">
        <f>(CY461+DA461)/2</f>
        <v>52.822500000000005</v>
      </c>
      <c r="DA461" s="120">
        <f>(DA460+DA462)/2</f>
        <v>53.634500000000003</v>
      </c>
      <c r="DB461" s="120">
        <f>(DA461+DC461)/2</f>
        <v>54.400999999999996</v>
      </c>
      <c r="DC461" s="120">
        <f>(DC460+DC462)/2</f>
        <v>55.167499999999997</v>
      </c>
      <c r="DD461" s="120">
        <f>(DC461+DE461)/2</f>
        <v>55.983249999999998</v>
      </c>
      <c r="DE461" s="120">
        <f>(DE460+DE462)/2</f>
        <v>56.798999999999999</v>
      </c>
      <c r="DF461" s="120">
        <f>(DE461+DG461)/2</f>
        <v>57.577500000000001</v>
      </c>
      <c r="DG461" s="122">
        <f>(DG460+DG462)/2</f>
        <v>58.355999999999995</v>
      </c>
    </row>
    <row r="462" spans="54:111" ht="15" customHeight="1" x14ac:dyDescent="0.2">
      <c r="BB462" s="28">
        <v>30</v>
      </c>
      <c r="BC462" s="121">
        <v>9.6630000000000003</v>
      </c>
      <c r="BD462" s="121">
        <v>10.865</v>
      </c>
      <c r="BE462" s="121">
        <v>12.067</v>
      </c>
      <c r="BF462" s="121">
        <v>13.158999999999999</v>
      </c>
      <c r="BG462" s="121">
        <v>14.250999999999999</v>
      </c>
      <c r="BH462" s="121">
        <v>15.305499999999999</v>
      </c>
      <c r="BI462" s="121">
        <v>16.36</v>
      </c>
      <c r="BJ462" s="121">
        <v>17.3415</v>
      </c>
      <c r="BK462" s="121">
        <v>18.323</v>
      </c>
      <c r="BL462" s="121">
        <v>19.296500000000002</v>
      </c>
      <c r="BM462" s="121">
        <v>20.27</v>
      </c>
      <c r="BN462" s="121">
        <v>21.250500000000002</v>
      </c>
      <c r="BO462" s="121">
        <v>22.231000000000002</v>
      </c>
      <c r="BP462" s="121">
        <v>23.1755</v>
      </c>
      <c r="BQ462" s="121">
        <v>24.12</v>
      </c>
      <c r="BR462" s="121">
        <v>25.0275</v>
      </c>
      <c r="BS462" s="121">
        <v>25.934999999999999</v>
      </c>
      <c r="BT462" s="121">
        <v>26.842500000000001</v>
      </c>
      <c r="BU462" s="121">
        <v>27.75</v>
      </c>
      <c r="BV462" s="121">
        <v>28.656500000000001</v>
      </c>
      <c r="BW462" s="121">
        <v>29.562999999999999</v>
      </c>
      <c r="BX462" s="121">
        <v>30.470500000000001</v>
      </c>
      <c r="BY462" s="121">
        <v>31.378</v>
      </c>
      <c r="BZ462" s="121">
        <v>32.2485</v>
      </c>
      <c r="CA462" s="121">
        <v>33.119</v>
      </c>
      <c r="CB462" s="121">
        <f t="array" ref="CB462:CB492">TRANSPOSE(CC461:DG461)</f>
        <v>33.9895</v>
      </c>
      <c r="CC462" s="158">
        <v>34.86</v>
      </c>
      <c r="CD462" s="120">
        <f>(CE462+CC462)/2</f>
        <v>35.730499999999999</v>
      </c>
      <c r="CE462" s="158">
        <v>36.600999999999999</v>
      </c>
      <c r="CF462" s="120">
        <f>(CG462+CE462)/2</f>
        <v>37.471000000000004</v>
      </c>
      <c r="CG462" s="158">
        <v>38.341000000000001</v>
      </c>
      <c r="CH462" s="120">
        <f>(CI462+CG462)/2</f>
        <v>39.174500000000002</v>
      </c>
      <c r="CI462" s="158">
        <v>40.008000000000003</v>
      </c>
      <c r="CJ462" s="120">
        <f>(CK462+CI462)/2</f>
        <v>40.871000000000002</v>
      </c>
      <c r="CK462" s="158">
        <v>41.734000000000002</v>
      </c>
      <c r="CL462" s="120">
        <f>(CM462+CK462)/2</f>
        <v>42.567500000000003</v>
      </c>
      <c r="CM462" s="158">
        <v>43.401000000000003</v>
      </c>
      <c r="CN462" s="120">
        <f>(CO462+CM462)/2</f>
        <v>44.234499999999997</v>
      </c>
      <c r="CO462" s="158">
        <v>45.067999999999998</v>
      </c>
      <c r="CP462" s="120">
        <f>(CQ462+CO462)/2</f>
        <v>45.900999999999996</v>
      </c>
      <c r="CQ462" s="158">
        <v>46.734000000000002</v>
      </c>
      <c r="CR462" s="120">
        <f>(CS462+CQ462)/2</f>
        <v>47.567999999999998</v>
      </c>
      <c r="CS462" s="158">
        <v>48.402000000000001</v>
      </c>
      <c r="CT462" s="120">
        <f>(CU462+CS462)/2</f>
        <v>49.235500000000002</v>
      </c>
      <c r="CU462" s="158">
        <v>50.069000000000003</v>
      </c>
      <c r="CV462" s="120">
        <f>(CW462+CU462)/2</f>
        <v>50.902500000000003</v>
      </c>
      <c r="CW462" s="158">
        <v>51.735999999999997</v>
      </c>
      <c r="CX462" s="120">
        <f>(CY462+CW462)/2</f>
        <v>52.569000000000003</v>
      </c>
      <c r="CY462" s="158">
        <v>53.402000000000001</v>
      </c>
      <c r="CZ462" s="120">
        <f>(DA462+CY462)/2</f>
        <v>54.235500000000002</v>
      </c>
      <c r="DA462" s="158">
        <v>55.069000000000003</v>
      </c>
      <c r="DB462" s="120">
        <f>(DC462+DA462)/2</f>
        <v>55.866</v>
      </c>
      <c r="DC462" s="158">
        <v>56.662999999999997</v>
      </c>
      <c r="DD462" s="120">
        <f>(DE462+DC462)/2</f>
        <v>57.496499999999997</v>
      </c>
      <c r="DE462" s="158">
        <v>58.33</v>
      </c>
      <c r="DF462" s="120">
        <f>(DG462+DE462)/2</f>
        <v>59.125999999999998</v>
      </c>
      <c r="DG462" s="159">
        <v>59.921999999999997</v>
      </c>
    </row>
    <row r="463" spans="54:111" ht="15" customHeight="1" x14ac:dyDescent="0.2">
      <c r="BB463" s="28">
        <v>31</v>
      </c>
      <c r="BC463" s="121">
        <v>9.8710000000000004</v>
      </c>
      <c r="BD463" s="121">
        <v>11.103000000000002</v>
      </c>
      <c r="BE463" s="121">
        <v>12.335000000000001</v>
      </c>
      <c r="BF463" s="121">
        <v>13.4635</v>
      </c>
      <c r="BG463" s="121">
        <v>14.591999999999999</v>
      </c>
      <c r="BH463" s="121">
        <v>15.664499999999999</v>
      </c>
      <c r="BI463" s="121">
        <v>16.737000000000002</v>
      </c>
      <c r="BJ463" s="121">
        <v>17.754249999999999</v>
      </c>
      <c r="BK463" s="121">
        <v>18.7715</v>
      </c>
      <c r="BL463" s="121">
        <v>19.766750000000002</v>
      </c>
      <c r="BM463" s="121">
        <v>20.762</v>
      </c>
      <c r="BN463" s="121">
        <v>21.773000000000003</v>
      </c>
      <c r="BO463" s="121">
        <v>22.783999999999999</v>
      </c>
      <c r="BP463" s="121">
        <v>23.745999999999999</v>
      </c>
      <c r="BQ463" s="121">
        <v>24.707999999999998</v>
      </c>
      <c r="BR463" s="121">
        <v>25.633249999999997</v>
      </c>
      <c r="BS463" s="121">
        <v>26.558499999999999</v>
      </c>
      <c r="BT463" s="121">
        <v>27.505749999999999</v>
      </c>
      <c r="BU463" s="121">
        <v>28.452999999999999</v>
      </c>
      <c r="BV463" s="121">
        <v>29.359000000000002</v>
      </c>
      <c r="BW463" s="121">
        <v>30.265000000000001</v>
      </c>
      <c r="BX463" s="121">
        <v>31.202750000000002</v>
      </c>
      <c r="BY463" s="121">
        <v>32.140500000000003</v>
      </c>
      <c r="BZ463" s="121">
        <v>33.047250000000005</v>
      </c>
      <c r="CA463" s="121">
        <v>33.954000000000001</v>
      </c>
      <c r="CB463" s="121">
        <v>34.84225</v>
      </c>
      <c r="CC463" s="121">
        <f t="array" ref="CC463:CC492">TRANSPOSE(CD462:DG462)</f>
        <v>35.730499999999999</v>
      </c>
      <c r="CD463" s="120">
        <f>(CC463+CE463)/2</f>
        <v>36.618749999999999</v>
      </c>
      <c r="CE463" s="120">
        <f>(CE462+CE464)/2</f>
        <v>37.506999999999998</v>
      </c>
      <c r="CF463" s="120">
        <f>(CE463+CG463)/2</f>
        <v>38.394750000000002</v>
      </c>
      <c r="CG463" s="120">
        <f>(CG462+CG464)/2</f>
        <v>39.282499999999999</v>
      </c>
      <c r="CH463" s="120">
        <f>(CG463+CI463)/2</f>
        <v>40.164749999999998</v>
      </c>
      <c r="CI463" s="120">
        <f>(CI462+CI464)/2</f>
        <v>41.046999999999997</v>
      </c>
      <c r="CJ463" s="120">
        <f>(CI463+CK463)/2</f>
        <v>41.912999999999997</v>
      </c>
      <c r="CK463" s="120">
        <f>(CK462+CK464)/2</f>
        <v>42.778999999999996</v>
      </c>
      <c r="CL463" s="120">
        <f>(CK463+CM463)/2</f>
        <v>43.648499999999999</v>
      </c>
      <c r="CM463" s="120">
        <f>(CM462+CM464)/2</f>
        <v>44.518000000000001</v>
      </c>
      <c r="CN463" s="120">
        <f>(CM463+CO463)/2</f>
        <v>45.369500000000002</v>
      </c>
      <c r="CO463" s="120">
        <f>(CO462+CO464)/2</f>
        <v>46.221000000000004</v>
      </c>
      <c r="CP463" s="120">
        <f>(CO463+CQ463)/2</f>
        <v>47.072000000000003</v>
      </c>
      <c r="CQ463" s="120">
        <f>(CQ462+CQ464)/2</f>
        <v>47.923000000000002</v>
      </c>
      <c r="CR463" s="120">
        <f>(CQ463+CS463)/2</f>
        <v>48.786749999999998</v>
      </c>
      <c r="CS463" s="120">
        <f>(CS462+CS464)/2</f>
        <v>49.650500000000001</v>
      </c>
      <c r="CT463" s="120">
        <f>(CS463+CU463)/2</f>
        <v>50.501999999999995</v>
      </c>
      <c r="CU463" s="120">
        <f>(CU462+CU464)/2</f>
        <v>51.353499999999997</v>
      </c>
      <c r="CV463" s="120">
        <f>(CU463+CW463)/2</f>
        <v>52.204749999999997</v>
      </c>
      <c r="CW463" s="120">
        <f>(CW462+CW464)/2</f>
        <v>53.055999999999997</v>
      </c>
      <c r="CX463" s="120">
        <f>(CW463+CY463)/2</f>
        <v>53.906999999999996</v>
      </c>
      <c r="CY463" s="120">
        <f>(CY462+CY464)/2</f>
        <v>54.757999999999996</v>
      </c>
      <c r="CZ463" s="120">
        <f>(CY463+DA463)/2</f>
        <v>55.609249999999996</v>
      </c>
      <c r="DA463" s="120">
        <f>(DA462+DA464)/2</f>
        <v>56.460499999999996</v>
      </c>
      <c r="DB463" s="120">
        <f>(DA463+DC463)/2</f>
        <v>57.305749999999996</v>
      </c>
      <c r="DC463" s="120">
        <f>(DC462+DC464)/2</f>
        <v>58.150999999999996</v>
      </c>
      <c r="DD463" s="120">
        <f>(DC463+DE463)/2</f>
        <v>58.983999999999995</v>
      </c>
      <c r="DE463" s="120">
        <f>(DE462+DE464)/2</f>
        <v>59.817</v>
      </c>
      <c r="DF463" s="120">
        <f>(DE463+DG463)/2</f>
        <v>60.649500000000003</v>
      </c>
      <c r="DG463" s="122">
        <f>(DG462+DG464)/2</f>
        <v>61.481999999999999</v>
      </c>
    </row>
    <row r="464" spans="54:111" ht="15" customHeight="1" x14ac:dyDescent="0.2">
      <c r="BB464" s="28">
        <v>32</v>
      </c>
      <c r="BC464" s="121">
        <v>10.079000000000001</v>
      </c>
      <c r="BD464" s="121">
        <v>11.341000000000001</v>
      </c>
      <c r="BE464" s="121">
        <v>12.603</v>
      </c>
      <c r="BF464" s="121">
        <v>13.768000000000001</v>
      </c>
      <c r="BG464" s="121">
        <v>14.933</v>
      </c>
      <c r="BH464" s="121">
        <v>16.023499999999999</v>
      </c>
      <c r="BI464" s="121">
        <v>17.114000000000001</v>
      </c>
      <c r="BJ464" s="121">
        <v>18.167000000000002</v>
      </c>
      <c r="BK464" s="121">
        <v>19.22</v>
      </c>
      <c r="BL464" s="121">
        <v>20.237000000000002</v>
      </c>
      <c r="BM464" s="121">
        <v>21.254000000000001</v>
      </c>
      <c r="BN464" s="121">
        <v>22.295500000000001</v>
      </c>
      <c r="BO464" s="121">
        <v>23.337</v>
      </c>
      <c r="BP464" s="121">
        <v>24.316499999999998</v>
      </c>
      <c r="BQ464" s="121">
        <v>25.295999999999999</v>
      </c>
      <c r="BR464" s="121">
        <v>26.238999999999997</v>
      </c>
      <c r="BS464" s="121">
        <v>27.181999999999999</v>
      </c>
      <c r="BT464" s="121">
        <v>28.168999999999997</v>
      </c>
      <c r="BU464" s="121">
        <v>29.155999999999999</v>
      </c>
      <c r="BV464" s="121">
        <v>30.061499999999999</v>
      </c>
      <c r="BW464" s="121">
        <v>30.966999999999999</v>
      </c>
      <c r="BX464" s="121">
        <v>31.934999999999999</v>
      </c>
      <c r="BY464" s="121">
        <v>32.902999999999999</v>
      </c>
      <c r="BZ464" s="121">
        <v>33.846000000000004</v>
      </c>
      <c r="CA464" s="121">
        <v>34.789000000000001</v>
      </c>
      <c r="CB464" s="121">
        <v>35.695</v>
      </c>
      <c r="CC464" s="121">
        <v>36.600999999999999</v>
      </c>
      <c r="CD464" s="121">
        <f t="array" ref="CD464:CD492">TRANSPOSE(CE463:DG463)</f>
        <v>37.506999999999998</v>
      </c>
      <c r="CE464" s="158">
        <v>38.412999999999997</v>
      </c>
      <c r="CF464" s="120">
        <f>(CG464+CE464)/2</f>
        <v>39.3185</v>
      </c>
      <c r="CG464" s="158">
        <v>40.223999999999997</v>
      </c>
      <c r="CH464" s="120">
        <f>(CI464+CG464)/2</f>
        <v>41.155000000000001</v>
      </c>
      <c r="CI464" s="158">
        <v>42.085999999999999</v>
      </c>
      <c r="CJ464" s="120">
        <f>(CK464+CI464)/2</f>
        <v>42.954999999999998</v>
      </c>
      <c r="CK464" s="158">
        <v>43.823999999999998</v>
      </c>
      <c r="CL464" s="120">
        <f>(CM464+CK464)/2</f>
        <v>44.729500000000002</v>
      </c>
      <c r="CM464" s="158">
        <v>45.634999999999998</v>
      </c>
      <c r="CN464" s="120">
        <f>(CO464+CM464)/2</f>
        <v>46.5045</v>
      </c>
      <c r="CO464" s="158">
        <v>47.374000000000002</v>
      </c>
      <c r="CP464" s="120">
        <f>(CQ464+CO464)/2</f>
        <v>48.243000000000002</v>
      </c>
      <c r="CQ464" s="158">
        <v>49.112000000000002</v>
      </c>
      <c r="CR464" s="120">
        <f>(CS464+CQ464)/2</f>
        <v>50.005499999999998</v>
      </c>
      <c r="CS464" s="158">
        <v>50.899000000000001</v>
      </c>
      <c r="CT464" s="120">
        <f>(CU464+CS464)/2</f>
        <v>51.768500000000003</v>
      </c>
      <c r="CU464" s="158">
        <v>52.637999999999998</v>
      </c>
      <c r="CV464" s="120">
        <f>(CW464+CU464)/2</f>
        <v>53.506999999999998</v>
      </c>
      <c r="CW464" s="158">
        <v>54.375999999999998</v>
      </c>
      <c r="CX464" s="120">
        <f>(CY464+CW464)/2</f>
        <v>55.244999999999997</v>
      </c>
      <c r="CY464" s="158">
        <v>56.113999999999997</v>
      </c>
      <c r="CZ464" s="120">
        <f>(DA464+CY464)/2</f>
        <v>56.982999999999997</v>
      </c>
      <c r="DA464" s="158">
        <v>57.851999999999997</v>
      </c>
      <c r="DB464" s="120">
        <f>(DC464+DA464)/2</f>
        <v>58.7455</v>
      </c>
      <c r="DC464" s="158">
        <v>59.639000000000003</v>
      </c>
      <c r="DD464" s="120">
        <f>(DE464+DC464)/2</f>
        <v>60.471500000000006</v>
      </c>
      <c r="DE464" s="158">
        <v>61.304000000000002</v>
      </c>
      <c r="DF464" s="120">
        <f>(DG464+DE464)/2</f>
        <v>62.173000000000002</v>
      </c>
      <c r="DG464" s="159">
        <v>63.042000000000002</v>
      </c>
    </row>
    <row r="465" spans="54:111" ht="15" customHeight="1" x14ac:dyDescent="0.2">
      <c r="BB465" s="28">
        <v>33</v>
      </c>
      <c r="BC465" s="121">
        <v>10.312000000000001</v>
      </c>
      <c r="BD465" s="121">
        <v>11.583500000000001</v>
      </c>
      <c r="BE465" s="121">
        <v>12.855</v>
      </c>
      <c r="BF465" s="121">
        <v>14.04975</v>
      </c>
      <c r="BG465" s="121">
        <v>15.244499999999999</v>
      </c>
      <c r="BH465" s="121">
        <v>16.37125</v>
      </c>
      <c r="BI465" s="121">
        <v>17.498000000000001</v>
      </c>
      <c r="BJ465" s="121">
        <v>18.569000000000003</v>
      </c>
      <c r="BK465" s="121">
        <v>19.64</v>
      </c>
      <c r="BL465" s="121">
        <v>20.687000000000001</v>
      </c>
      <c r="BM465" s="121">
        <v>21.734000000000002</v>
      </c>
      <c r="BN465" s="121">
        <v>22.780749999999998</v>
      </c>
      <c r="BO465" s="121">
        <v>23.827500000000001</v>
      </c>
      <c r="BP465" s="121">
        <v>24.841249999999999</v>
      </c>
      <c r="BQ465" s="121">
        <v>25.855</v>
      </c>
      <c r="BR465" s="121">
        <v>26.834</v>
      </c>
      <c r="BS465" s="121">
        <v>27.812999999999999</v>
      </c>
      <c r="BT465" s="121">
        <v>28.814</v>
      </c>
      <c r="BU465" s="121">
        <v>29.814999999999998</v>
      </c>
      <c r="BV465" s="121">
        <v>30.76925</v>
      </c>
      <c r="BW465" s="121">
        <v>31.723499999999998</v>
      </c>
      <c r="BX465" s="121">
        <v>32.696750000000002</v>
      </c>
      <c r="BY465" s="121">
        <v>33.67</v>
      </c>
      <c r="BZ465" s="121">
        <v>34.624749999999999</v>
      </c>
      <c r="CA465" s="121">
        <v>35.579499999999996</v>
      </c>
      <c r="CB465" s="121">
        <v>36.52525</v>
      </c>
      <c r="CC465" s="121">
        <v>37.471000000000004</v>
      </c>
      <c r="CD465" s="121">
        <v>38.394750000000002</v>
      </c>
      <c r="CE465" s="121">
        <f t="array" ref="CE465:CE492">TRANSPOSE(CF464:DG464)</f>
        <v>39.3185</v>
      </c>
      <c r="CF465" s="120">
        <f>(CE465+CG465)/2</f>
        <v>40.2545</v>
      </c>
      <c r="CG465" s="120">
        <f>(CG464+CG466)/2</f>
        <v>41.1905</v>
      </c>
      <c r="CH465" s="120">
        <f>(CG465+CI465)/2</f>
        <v>42.126750000000001</v>
      </c>
      <c r="CI465" s="120">
        <f>(CI464+CI466)/2</f>
        <v>43.063000000000002</v>
      </c>
      <c r="CJ465" s="120">
        <f>(CI465+CK465)/2</f>
        <v>43.98075</v>
      </c>
      <c r="CK465" s="120">
        <f>(CK464+CK466)/2</f>
        <v>44.898499999999999</v>
      </c>
      <c r="CL465" s="120">
        <f>(CK465+CM465)/2</f>
        <v>45.807000000000002</v>
      </c>
      <c r="CM465" s="120">
        <f>(CM464+CM466)/2</f>
        <v>46.715499999999999</v>
      </c>
      <c r="CN465" s="120">
        <f>(CM465+CO465)/2</f>
        <v>47.621250000000003</v>
      </c>
      <c r="CO465" s="120">
        <f>(CO464+CO466)/2</f>
        <v>48.527000000000001</v>
      </c>
      <c r="CP465" s="120">
        <f>(CO465+CQ465)/2</f>
        <v>49.426000000000002</v>
      </c>
      <c r="CQ465" s="120">
        <f>(CQ464+CQ466)/2</f>
        <v>50.325000000000003</v>
      </c>
      <c r="CR465" s="120">
        <f>(CQ465+CS465)/2</f>
        <v>51.224000000000004</v>
      </c>
      <c r="CS465" s="120">
        <f>(CS464+CS466)/2</f>
        <v>52.123000000000005</v>
      </c>
      <c r="CT465" s="120">
        <f>(CS465+CU465)/2</f>
        <v>53.022500000000001</v>
      </c>
      <c r="CU465" s="120">
        <f>(CU464+CU466)/2</f>
        <v>53.921999999999997</v>
      </c>
      <c r="CV465" s="120">
        <f>(CU465+CW465)/2</f>
        <v>54.808749999999996</v>
      </c>
      <c r="CW465" s="120">
        <f>(CW464+CW466)/2</f>
        <v>55.695499999999996</v>
      </c>
      <c r="CX465" s="120">
        <f>(CW465+CY465)/2</f>
        <v>56.58625</v>
      </c>
      <c r="CY465" s="120">
        <f>(CY464+CY466)/2</f>
        <v>57.477000000000004</v>
      </c>
      <c r="CZ465" s="120">
        <f>(CY465+DA465)/2</f>
        <v>58.376000000000005</v>
      </c>
      <c r="DA465" s="120">
        <f>(DA464+DA466)/2</f>
        <v>59.274999999999999</v>
      </c>
      <c r="DB465" s="120">
        <f>(DA465+DC465)/2</f>
        <v>60.174250000000001</v>
      </c>
      <c r="DC465" s="120">
        <f>(DC464+DC466)/2</f>
        <v>61.073500000000003</v>
      </c>
      <c r="DD465" s="120">
        <f>(DC465+DE465)/2</f>
        <v>61.954250000000002</v>
      </c>
      <c r="DE465" s="120">
        <f>(DE464+DE466)/2</f>
        <v>62.835000000000001</v>
      </c>
      <c r="DF465" s="120">
        <f>(DE465+DG465)/2</f>
        <v>63.703249999999997</v>
      </c>
      <c r="DG465" s="122">
        <f>(DG464+DG466)/2</f>
        <v>64.5715</v>
      </c>
    </row>
    <row r="466" spans="54:111" ht="15" customHeight="1" x14ac:dyDescent="0.2">
      <c r="BB466" s="28">
        <v>34</v>
      </c>
      <c r="BC466" s="121">
        <v>10.545</v>
      </c>
      <c r="BD466" s="121">
        <v>11.826000000000001</v>
      </c>
      <c r="BE466" s="121">
        <v>13.106999999999999</v>
      </c>
      <c r="BF466" s="121">
        <v>14.331499999999998</v>
      </c>
      <c r="BG466" s="121">
        <v>15.555999999999999</v>
      </c>
      <c r="BH466" s="121">
        <v>16.719000000000001</v>
      </c>
      <c r="BI466" s="121">
        <v>17.882000000000001</v>
      </c>
      <c r="BJ466" s="121">
        <v>18.971</v>
      </c>
      <c r="BK466" s="121">
        <v>20.059999999999999</v>
      </c>
      <c r="BL466" s="121">
        <v>21.137</v>
      </c>
      <c r="BM466" s="121">
        <v>22.213999999999999</v>
      </c>
      <c r="BN466" s="121">
        <v>23.265999999999998</v>
      </c>
      <c r="BO466" s="121">
        <v>24.318000000000001</v>
      </c>
      <c r="BP466" s="121">
        <v>25.366</v>
      </c>
      <c r="BQ466" s="121">
        <v>26.414000000000001</v>
      </c>
      <c r="BR466" s="121">
        <v>27.429000000000002</v>
      </c>
      <c r="BS466" s="121">
        <v>28.443999999999999</v>
      </c>
      <c r="BT466" s="121">
        <v>29.459</v>
      </c>
      <c r="BU466" s="121">
        <v>30.474</v>
      </c>
      <c r="BV466" s="121">
        <v>31.476999999999997</v>
      </c>
      <c r="BW466" s="121">
        <v>32.479999999999997</v>
      </c>
      <c r="BX466" s="121">
        <v>33.458500000000001</v>
      </c>
      <c r="BY466" s="121">
        <v>34.436999999999998</v>
      </c>
      <c r="BZ466" s="121">
        <v>35.403499999999994</v>
      </c>
      <c r="CA466" s="121">
        <v>36.369999999999997</v>
      </c>
      <c r="CB466" s="121">
        <v>37.355499999999999</v>
      </c>
      <c r="CC466" s="121">
        <v>38.341000000000001</v>
      </c>
      <c r="CD466" s="121">
        <v>39.282499999999999</v>
      </c>
      <c r="CE466" s="121">
        <v>40.223999999999997</v>
      </c>
      <c r="CF466" s="121">
        <f t="array" ref="CF466:CF492">TRANSPOSE(CG465:DG465)</f>
        <v>41.1905</v>
      </c>
      <c r="CG466" s="158">
        <v>42.156999999999996</v>
      </c>
      <c r="CH466" s="120">
        <f>(CI466+CG466)/2</f>
        <v>43.098500000000001</v>
      </c>
      <c r="CI466" s="158">
        <v>44.04</v>
      </c>
      <c r="CJ466" s="120">
        <f>(CK466+CI466)/2</f>
        <v>45.006500000000003</v>
      </c>
      <c r="CK466" s="158">
        <v>45.972999999999999</v>
      </c>
      <c r="CL466" s="120">
        <f>(CM466+CK466)/2</f>
        <v>46.884500000000003</v>
      </c>
      <c r="CM466" s="158">
        <v>47.795999999999999</v>
      </c>
      <c r="CN466" s="120">
        <f>(CO466+CM466)/2</f>
        <v>48.738</v>
      </c>
      <c r="CO466" s="158">
        <v>49.68</v>
      </c>
      <c r="CP466" s="120">
        <f>(CQ466+CO466)/2</f>
        <v>50.608999999999995</v>
      </c>
      <c r="CQ466" s="158">
        <v>51.537999999999997</v>
      </c>
      <c r="CR466" s="120">
        <f>(CS466+CQ466)/2</f>
        <v>52.442499999999995</v>
      </c>
      <c r="CS466" s="158">
        <v>53.347000000000001</v>
      </c>
      <c r="CT466" s="120">
        <f>(CU466+CS466)/2</f>
        <v>54.276499999999999</v>
      </c>
      <c r="CU466" s="158">
        <v>55.206000000000003</v>
      </c>
      <c r="CV466" s="120">
        <f>(CW466+CU466)/2</f>
        <v>56.110500000000002</v>
      </c>
      <c r="CW466" s="158">
        <v>57.015000000000001</v>
      </c>
      <c r="CX466" s="120">
        <f>(CY466+CW466)/2</f>
        <v>57.927500000000002</v>
      </c>
      <c r="CY466" s="158">
        <v>58.84</v>
      </c>
      <c r="CZ466" s="120">
        <f>(DA466+CY466)/2</f>
        <v>59.769000000000005</v>
      </c>
      <c r="DA466" s="158">
        <v>60.698</v>
      </c>
      <c r="DB466" s="120">
        <f>(DC466+DA466)/2</f>
        <v>61.603000000000002</v>
      </c>
      <c r="DC466" s="158">
        <v>62.508000000000003</v>
      </c>
      <c r="DD466" s="120">
        <f>(DE466+DC466)/2</f>
        <v>63.436999999999998</v>
      </c>
      <c r="DE466" s="158">
        <v>64.366</v>
      </c>
      <c r="DF466" s="120">
        <f>(DG466+DE466)/2</f>
        <v>65.233499999999992</v>
      </c>
      <c r="DG466" s="159">
        <v>66.100999999999999</v>
      </c>
    </row>
    <row r="467" spans="54:111" ht="15" customHeight="1" x14ac:dyDescent="0.2">
      <c r="BB467" s="28">
        <v>35</v>
      </c>
      <c r="BC467" s="121">
        <v>10.760999999999999</v>
      </c>
      <c r="BD467" s="121">
        <v>12.08675</v>
      </c>
      <c r="BE467" s="121">
        <v>13.4125</v>
      </c>
      <c r="BF467" s="121">
        <v>14.642499999999998</v>
      </c>
      <c r="BG467" s="121">
        <v>15.872499999999999</v>
      </c>
      <c r="BH467" s="121">
        <v>17.050750000000001</v>
      </c>
      <c r="BI467" s="121">
        <v>18.228999999999999</v>
      </c>
      <c r="BJ467" s="121">
        <v>19.366500000000002</v>
      </c>
      <c r="BK467" s="121">
        <v>20.503999999999998</v>
      </c>
      <c r="BL467" s="121">
        <v>21.605</v>
      </c>
      <c r="BM467" s="121">
        <v>22.706</v>
      </c>
      <c r="BN467" s="121">
        <v>23.788249999999998</v>
      </c>
      <c r="BO467" s="121">
        <v>24.8705</v>
      </c>
      <c r="BP467" s="121">
        <v>25.923749999999998</v>
      </c>
      <c r="BQ467" s="121">
        <v>26.977</v>
      </c>
      <c r="BR467" s="121">
        <v>28.022000000000002</v>
      </c>
      <c r="BS467" s="121">
        <v>29.067</v>
      </c>
      <c r="BT467" s="121">
        <v>30.112499999999997</v>
      </c>
      <c r="BU467" s="121">
        <v>31.158000000000001</v>
      </c>
      <c r="BV467" s="121">
        <v>32.170249999999996</v>
      </c>
      <c r="BW467" s="121">
        <v>33.182499999999997</v>
      </c>
      <c r="BX467" s="121">
        <v>34.190750000000001</v>
      </c>
      <c r="BY467" s="121">
        <v>35.198999999999998</v>
      </c>
      <c r="BZ467" s="121">
        <v>36.189249999999994</v>
      </c>
      <c r="CA467" s="121">
        <v>37.179499999999997</v>
      </c>
      <c r="CB467" s="121">
        <v>38.177</v>
      </c>
      <c r="CC467" s="121">
        <v>39.174500000000002</v>
      </c>
      <c r="CD467" s="121">
        <v>40.164749999999998</v>
      </c>
      <c r="CE467" s="121">
        <v>41.155000000000001</v>
      </c>
      <c r="CF467" s="121">
        <v>42.126750000000001</v>
      </c>
      <c r="CG467" s="121">
        <f t="array" ref="CG467:CG492">TRANSPOSE(CH466:DG466)</f>
        <v>43.098500000000001</v>
      </c>
      <c r="CH467" s="120">
        <f>(CG467+CI467)/2</f>
        <v>44.070250000000001</v>
      </c>
      <c r="CI467" s="120">
        <f>(CI466+CI468)/2</f>
        <v>45.042000000000002</v>
      </c>
      <c r="CJ467" s="120">
        <f>(CI467+CK467)/2</f>
        <v>45.999000000000002</v>
      </c>
      <c r="CK467" s="120">
        <f>(CK466+CK468)/2</f>
        <v>46.956000000000003</v>
      </c>
      <c r="CL467" s="120">
        <f>(CK467+CM467)/2</f>
        <v>47.931250000000006</v>
      </c>
      <c r="CM467" s="120">
        <f>(CM466+CM468)/2</f>
        <v>48.906500000000001</v>
      </c>
      <c r="CN467" s="120">
        <f>(CM467+CO467)/2</f>
        <v>49.859750000000005</v>
      </c>
      <c r="CO467" s="120">
        <f>(CO466+CO468)/2</f>
        <v>50.813000000000002</v>
      </c>
      <c r="CP467" s="120">
        <f>(CO467+CQ467)/2</f>
        <v>51.751249999999999</v>
      </c>
      <c r="CQ467" s="120">
        <f>(CQ466+CQ468)/2</f>
        <v>52.689499999999995</v>
      </c>
      <c r="CR467" s="120">
        <f>(CQ467+CS467)/2</f>
        <v>53.624249999999996</v>
      </c>
      <c r="CS467" s="120">
        <f>(CS466+CS468)/2</f>
        <v>54.558999999999997</v>
      </c>
      <c r="CT467" s="120">
        <f>(CS467+CU467)/2</f>
        <v>55.530749999999998</v>
      </c>
      <c r="CU467" s="120">
        <f>(CU466+CU468)/2</f>
        <v>56.502499999999998</v>
      </c>
      <c r="CV467" s="120">
        <f>(CU467+CW467)/2</f>
        <v>57.440750000000001</v>
      </c>
      <c r="CW467" s="120">
        <f>(CW466+CW468)/2</f>
        <v>58.379000000000005</v>
      </c>
      <c r="CX467" s="120">
        <f>(CW467+CY467)/2</f>
        <v>59.317750000000004</v>
      </c>
      <c r="CY467" s="120">
        <f>(CY466+CY468)/2</f>
        <v>60.256500000000003</v>
      </c>
      <c r="CZ467" s="120">
        <f>(CY467+DA467)/2</f>
        <v>61.191749999999999</v>
      </c>
      <c r="DA467" s="120">
        <f>(DA466+DA468)/2</f>
        <v>62.126999999999995</v>
      </c>
      <c r="DB467" s="120">
        <f>(DA467+DC467)/2</f>
        <v>63.064999999999998</v>
      </c>
      <c r="DC467" s="120">
        <f>(DC466+DC468)/2</f>
        <v>64.003</v>
      </c>
      <c r="DD467" s="120">
        <f>(DC467+DE467)/2</f>
        <v>64.900749999999988</v>
      </c>
      <c r="DE467" s="120">
        <f>(DE466+DE468)/2</f>
        <v>65.79849999999999</v>
      </c>
      <c r="DF467" s="120">
        <f>(DE467+DG467)/2</f>
        <v>66.714499999999987</v>
      </c>
      <c r="DG467" s="122">
        <f>(DG466+DG468)/2</f>
        <v>67.630499999999998</v>
      </c>
    </row>
    <row r="468" spans="54:111" ht="15" customHeight="1" x14ac:dyDescent="0.2">
      <c r="BB468" s="28">
        <v>36</v>
      </c>
      <c r="BC468" s="121">
        <v>10.977</v>
      </c>
      <c r="BD468" s="121">
        <v>12.3475</v>
      </c>
      <c r="BE468" s="121">
        <v>13.718</v>
      </c>
      <c r="BF468" s="121">
        <v>14.9535</v>
      </c>
      <c r="BG468" s="121">
        <v>16.189</v>
      </c>
      <c r="BH468" s="121">
        <v>17.3825</v>
      </c>
      <c r="BI468" s="121">
        <v>18.576000000000001</v>
      </c>
      <c r="BJ468" s="121">
        <v>19.762</v>
      </c>
      <c r="BK468" s="121">
        <v>20.948</v>
      </c>
      <c r="BL468" s="121">
        <v>22.073</v>
      </c>
      <c r="BM468" s="121">
        <v>23.198</v>
      </c>
      <c r="BN468" s="121">
        <v>24.310499999999998</v>
      </c>
      <c r="BO468" s="121">
        <v>25.422999999999998</v>
      </c>
      <c r="BP468" s="121">
        <v>26.481499999999997</v>
      </c>
      <c r="BQ468" s="121">
        <v>27.54</v>
      </c>
      <c r="BR468" s="121">
        <v>28.615000000000002</v>
      </c>
      <c r="BS468" s="121">
        <v>29.69</v>
      </c>
      <c r="BT468" s="121">
        <v>30.765999999999998</v>
      </c>
      <c r="BU468" s="121">
        <v>31.841999999999999</v>
      </c>
      <c r="BV468" s="121">
        <v>32.863500000000002</v>
      </c>
      <c r="BW468" s="121">
        <v>33.884999999999998</v>
      </c>
      <c r="BX468" s="121">
        <v>34.923000000000002</v>
      </c>
      <c r="BY468" s="121">
        <v>35.960999999999999</v>
      </c>
      <c r="BZ468" s="121">
        <v>36.974999999999994</v>
      </c>
      <c r="CA468" s="121">
        <v>37.988999999999997</v>
      </c>
      <c r="CB468" s="121">
        <v>38.9985</v>
      </c>
      <c r="CC468" s="121">
        <v>40.008000000000003</v>
      </c>
      <c r="CD468" s="121">
        <v>41.046999999999997</v>
      </c>
      <c r="CE468" s="121">
        <v>42.085999999999999</v>
      </c>
      <c r="CF468" s="121">
        <v>43.063000000000002</v>
      </c>
      <c r="CG468" s="121">
        <v>44.04</v>
      </c>
      <c r="CH468" s="121">
        <f t="array" ref="CH468:CH492">TRANSPOSE(CI467:DG467)</f>
        <v>45.042000000000002</v>
      </c>
      <c r="CI468" s="158">
        <v>46.043999999999997</v>
      </c>
      <c r="CJ468" s="120">
        <f>(CK468+CI468)/2</f>
        <v>46.991500000000002</v>
      </c>
      <c r="CK468" s="158">
        <v>47.939</v>
      </c>
      <c r="CL468" s="120">
        <f>(CM468+CK468)/2</f>
        <v>48.978000000000002</v>
      </c>
      <c r="CM468" s="158">
        <v>50.017000000000003</v>
      </c>
      <c r="CN468" s="120">
        <f>(CO468+CM468)/2</f>
        <v>50.981499999999997</v>
      </c>
      <c r="CO468" s="158">
        <v>51.945999999999998</v>
      </c>
      <c r="CP468" s="120">
        <f>(CQ468+CO468)/2</f>
        <v>52.893500000000003</v>
      </c>
      <c r="CQ468" s="158">
        <v>53.841000000000001</v>
      </c>
      <c r="CR468" s="120">
        <f>(CS468+CQ468)/2</f>
        <v>54.805999999999997</v>
      </c>
      <c r="CS468" s="158">
        <v>55.771000000000001</v>
      </c>
      <c r="CT468" s="120">
        <f>(CU468+CS468)/2</f>
        <v>56.784999999999997</v>
      </c>
      <c r="CU468" s="158">
        <v>57.798999999999999</v>
      </c>
      <c r="CV468" s="120">
        <f>(CW468+CU468)/2</f>
        <v>58.771000000000001</v>
      </c>
      <c r="CW468" s="158">
        <v>59.743000000000002</v>
      </c>
      <c r="CX468" s="120">
        <f>(CY468+CW468)/2</f>
        <v>60.707999999999998</v>
      </c>
      <c r="CY468" s="158">
        <v>61.673000000000002</v>
      </c>
      <c r="CZ468" s="120">
        <f>(DA468+CY468)/2</f>
        <v>62.6145</v>
      </c>
      <c r="DA468" s="158">
        <v>63.555999999999997</v>
      </c>
      <c r="DB468" s="120">
        <f>(DC468+DA468)/2</f>
        <v>64.527000000000001</v>
      </c>
      <c r="DC468" s="158">
        <v>65.498000000000005</v>
      </c>
      <c r="DD468" s="120">
        <f>(DE468+DC468)/2</f>
        <v>66.364499999999992</v>
      </c>
      <c r="DE468" s="158">
        <v>67.230999999999995</v>
      </c>
      <c r="DF468" s="120">
        <f>(DG468+DE468)/2</f>
        <v>68.195499999999996</v>
      </c>
      <c r="DG468" s="159">
        <v>69.16</v>
      </c>
    </row>
    <row r="469" spans="54:111" ht="15" customHeight="1" x14ac:dyDescent="0.2">
      <c r="BB469" s="28">
        <v>37</v>
      </c>
      <c r="BC469" s="121">
        <v>11.2095</v>
      </c>
      <c r="BD469" s="121">
        <v>12.5855</v>
      </c>
      <c r="BE469" s="121">
        <v>13.961500000000001</v>
      </c>
      <c r="BF469" s="121">
        <v>15.23075</v>
      </c>
      <c r="BG469" s="121">
        <v>16.5</v>
      </c>
      <c r="BH469" s="121">
        <v>17.72625</v>
      </c>
      <c r="BI469" s="121">
        <v>18.952500000000001</v>
      </c>
      <c r="BJ469" s="121">
        <v>20.160250000000001</v>
      </c>
      <c r="BK469" s="121">
        <v>21.368000000000002</v>
      </c>
      <c r="BL469" s="121">
        <v>22.522750000000002</v>
      </c>
      <c r="BM469" s="121">
        <v>23.677500000000002</v>
      </c>
      <c r="BN469" s="121">
        <v>24.795749999999998</v>
      </c>
      <c r="BO469" s="121">
        <v>25.914000000000001</v>
      </c>
      <c r="BP469" s="121">
        <v>27.02075</v>
      </c>
      <c r="BQ469" s="121">
        <v>28.127499999999998</v>
      </c>
      <c r="BR469" s="121">
        <v>29.220500000000001</v>
      </c>
      <c r="BS469" s="121">
        <v>30.313500000000001</v>
      </c>
      <c r="BT469" s="121">
        <v>31.41075</v>
      </c>
      <c r="BU469" s="121">
        <v>32.507999999999996</v>
      </c>
      <c r="BV469" s="121">
        <v>33.556249999999999</v>
      </c>
      <c r="BW469" s="121">
        <v>34.604500000000002</v>
      </c>
      <c r="BX469" s="121">
        <v>35.651499999999999</v>
      </c>
      <c r="BY469" s="121">
        <v>36.698499999999996</v>
      </c>
      <c r="BZ469" s="121">
        <v>37.742999999999995</v>
      </c>
      <c r="CA469" s="121">
        <v>38.787499999999994</v>
      </c>
      <c r="CB469" s="121">
        <v>39.829250000000002</v>
      </c>
      <c r="CC469" s="121">
        <v>40.871000000000002</v>
      </c>
      <c r="CD469" s="121">
        <v>41.912999999999997</v>
      </c>
      <c r="CE469" s="121">
        <v>42.954999999999998</v>
      </c>
      <c r="CF469" s="121">
        <v>43.98075</v>
      </c>
      <c r="CG469" s="121">
        <v>45.006500000000003</v>
      </c>
      <c r="CH469" s="121">
        <v>45.999000000000002</v>
      </c>
      <c r="CI469" s="121">
        <f t="array" ref="CI469:CI492">TRANSPOSE(CJ468:DG468)</f>
        <v>46.991500000000002</v>
      </c>
      <c r="CJ469" s="120">
        <f>(CI469+CK469)/2</f>
        <v>48.002250000000004</v>
      </c>
      <c r="CK469" s="120">
        <f>(CK468+CK470)/2</f>
        <v>49.013000000000005</v>
      </c>
      <c r="CL469" s="120">
        <f>(CK469+CM469)/2</f>
        <v>50.036500000000004</v>
      </c>
      <c r="CM469" s="120">
        <f>(CM468+CM470)/2</f>
        <v>51.06</v>
      </c>
      <c r="CN469" s="120">
        <f>(CM469+CO469)/2</f>
        <v>52.079250000000002</v>
      </c>
      <c r="CO469" s="120">
        <f>(CO468+CO470)/2</f>
        <v>53.098500000000001</v>
      </c>
      <c r="CP469" s="120">
        <f>(CO469+CQ469)/2</f>
        <v>54.076500000000003</v>
      </c>
      <c r="CQ469" s="120">
        <f>(CQ468+CQ470)/2</f>
        <v>55.054500000000004</v>
      </c>
      <c r="CR469" s="120">
        <f>(CQ469+CS469)/2</f>
        <v>56.024750000000004</v>
      </c>
      <c r="CS469" s="120">
        <f>(CS468+CS470)/2</f>
        <v>56.995000000000005</v>
      </c>
      <c r="CT469" s="120">
        <f>(CS469+CU469)/2</f>
        <v>58.002250000000004</v>
      </c>
      <c r="CU469" s="120">
        <f>(CU468+CU470)/2</f>
        <v>59.009500000000003</v>
      </c>
      <c r="CV469" s="120">
        <f>(CU469+CW469)/2</f>
        <v>59.999250000000004</v>
      </c>
      <c r="CW469" s="120">
        <f>(CW468+CW470)/2</f>
        <v>60.989000000000004</v>
      </c>
      <c r="CX469" s="120">
        <f>(CW469+CY469)/2</f>
        <v>61.972000000000001</v>
      </c>
      <c r="CY469" s="120">
        <f>(CY468+CY470)/2</f>
        <v>62.954999999999998</v>
      </c>
      <c r="CZ469" s="120">
        <f>(CY469+DA469)/2</f>
        <v>63.966500000000003</v>
      </c>
      <c r="DA469" s="120">
        <f>(DA468+DA470)/2</f>
        <v>64.978000000000009</v>
      </c>
      <c r="DB469" s="120">
        <f>(DA469+DC469)/2</f>
        <v>65.951250000000002</v>
      </c>
      <c r="DC469" s="120">
        <f>(DC468+DC470)/2</f>
        <v>66.924499999999995</v>
      </c>
      <c r="DD469" s="120">
        <f>(DC469+DE469)/2</f>
        <v>67.824999999999989</v>
      </c>
      <c r="DE469" s="120">
        <f>(DE468+DE470)/2</f>
        <v>68.725499999999997</v>
      </c>
      <c r="DF469" s="120">
        <f>(DE469+DG469)/2</f>
        <v>69.877250000000004</v>
      </c>
      <c r="DG469" s="122">
        <f>(DG468+DG470)/2</f>
        <v>71.028999999999996</v>
      </c>
    </row>
    <row r="470" spans="54:111" ht="15" customHeight="1" x14ac:dyDescent="0.2">
      <c r="BB470" s="28">
        <v>38</v>
      </c>
      <c r="BC470" s="121">
        <v>11.442</v>
      </c>
      <c r="BD470" s="121">
        <v>12.823499999999999</v>
      </c>
      <c r="BE470" s="121">
        <v>14.205</v>
      </c>
      <c r="BF470" s="121">
        <v>15.507999999999999</v>
      </c>
      <c r="BG470" s="121">
        <v>16.811</v>
      </c>
      <c r="BH470" s="121">
        <v>18.07</v>
      </c>
      <c r="BI470" s="121">
        <v>19.329000000000001</v>
      </c>
      <c r="BJ470" s="121">
        <v>20.558500000000002</v>
      </c>
      <c r="BK470" s="121">
        <v>21.788</v>
      </c>
      <c r="BL470" s="121">
        <v>22.9725</v>
      </c>
      <c r="BM470" s="121">
        <v>24.157</v>
      </c>
      <c r="BN470" s="121">
        <v>25.280999999999999</v>
      </c>
      <c r="BO470" s="121">
        <v>26.405000000000001</v>
      </c>
      <c r="BP470" s="121">
        <v>27.560000000000002</v>
      </c>
      <c r="BQ470" s="121">
        <v>28.715</v>
      </c>
      <c r="BR470" s="121">
        <v>29.826000000000001</v>
      </c>
      <c r="BS470" s="121">
        <v>30.937000000000001</v>
      </c>
      <c r="BT470" s="121">
        <v>32.055500000000002</v>
      </c>
      <c r="BU470" s="121">
        <v>33.173999999999999</v>
      </c>
      <c r="BV470" s="121">
        <v>34.248999999999995</v>
      </c>
      <c r="BW470" s="121">
        <v>35.323999999999998</v>
      </c>
      <c r="BX470" s="121">
        <v>36.379999999999995</v>
      </c>
      <c r="BY470" s="121">
        <v>37.436</v>
      </c>
      <c r="BZ470" s="121">
        <v>38.510999999999996</v>
      </c>
      <c r="CA470" s="121">
        <v>39.585999999999999</v>
      </c>
      <c r="CB470" s="121">
        <v>40.659999999999997</v>
      </c>
      <c r="CC470" s="121">
        <v>41.734000000000002</v>
      </c>
      <c r="CD470" s="121">
        <v>42.778999999999996</v>
      </c>
      <c r="CE470" s="121">
        <v>43.823999999999998</v>
      </c>
      <c r="CF470" s="121">
        <v>44.898499999999999</v>
      </c>
      <c r="CG470" s="121">
        <v>45.972999999999999</v>
      </c>
      <c r="CH470" s="121">
        <v>46.956000000000003</v>
      </c>
      <c r="CI470" s="121">
        <v>47.939</v>
      </c>
      <c r="CJ470" s="121">
        <f t="array" ref="CJ470:CJ492">TRANSPOSE(CK469:DG469)</f>
        <v>49.013000000000005</v>
      </c>
      <c r="CK470" s="158">
        <v>50.087000000000003</v>
      </c>
      <c r="CL470" s="120">
        <f>(CM470+CK470)/2</f>
        <v>51.094999999999999</v>
      </c>
      <c r="CM470" s="158">
        <v>52.103000000000002</v>
      </c>
      <c r="CN470" s="120">
        <f>(CO470+CM470)/2</f>
        <v>53.177</v>
      </c>
      <c r="CO470" s="158">
        <v>54.250999999999998</v>
      </c>
      <c r="CP470" s="120">
        <f>(CQ470+CO470)/2</f>
        <v>55.259500000000003</v>
      </c>
      <c r="CQ470" s="158">
        <v>56.268000000000001</v>
      </c>
      <c r="CR470" s="120">
        <f>(CS470+CQ470)/2</f>
        <v>57.243499999999997</v>
      </c>
      <c r="CS470" s="158">
        <v>58.219000000000001</v>
      </c>
      <c r="CT470" s="120">
        <f>(CU470+CS470)/2</f>
        <v>59.219499999999996</v>
      </c>
      <c r="CU470" s="158">
        <v>60.22</v>
      </c>
      <c r="CV470" s="120">
        <f>(CW470+CU470)/2</f>
        <v>61.227499999999999</v>
      </c>
      <c r="CW470" s="158">
        <v>62.234999999999999</v>
      </c>
      <c r="CX470" s="120">
        <f>(CY470+CW470)/2</f>
        <v>63.235999999999997</v>
      </c>
      <c r="CY470" s="158">
        <v>64.236999999999995</v>
      </c>
      <c r="CZ470" s="120">
        <f>(DA470+CY470)/2</f>
        <v>65.3185</v>
      </c>
      <c r="DA470" s="158">
        <v>66.400000000000006</v>
      </c>
      <c r="DB470" s="120">
        <f>(DC470+DA470)/2</f>
        <v>67.375500000000002</v>
      </c>
      <c r="DC470" s="158">
        <v>68.350999999999999</v>
      </c>
      <c r="DD470" s="120">
        <f>(DE470+DC470)/2</f>
        <v>69.285499999999999</v>
      </c>
      <c r="DE470" s="158">
        <v>70.22</v>
      </c>
      <c r="DF470" s="120">
        <f>(DG470+DE470)/2</f>
        <v>71.558999999999997</v>
      </c>
      <c r="DG470" s="159">
        <v>72.897999999999996</v>
      </c>
    </row>
    <row r="471" spans="54:111" ht="15" customHeight="1" x14ac:dyDescent="0.2">
      <c r="BB471" s="28">
        <v>39</v>
      </c>
      <c r="BC471" s="121">
        <v>11.650500000000001</v>
      </c>
      <c r="BD471" s="121">
        <v>13.065999999999999</v>
      </c>
      <c r="BE471" s="121">
        <v>14.4815</v>
      </c>
      <c r="BF471" s="121">
        <v>15.816999999999998</v>
      </c>
      <c r="BG471" s="121">
        <v>17.1525</v>
      </c>
      <c r="BH471" s="121">
        <v>18.432749999999999</v>
      </c>
      <c r="BI471" s="121">
        <v>19.713000000000001</v>
      </c>
      <c r="BJ471" s="121">
        <v>20.956250000000001</v>
      </c>
      <c r="BK471" s="121">
        <v>22.1995</v>
      </c>
      <c r="BL471" s="121">
        <v>23.405999999999999</v>
      </c>
      <c r="BM471" s="121">
        <v>24.612500000000001</v>
      </c>
      <c r="BN471" s="121">
        <v>25.766249999999999</v>
      </c>
      <c r="BO471" s="121">
        <v>26.92</v>
      </c>
      <c r="BP471" s="121">
        <v>28.093</v>
      </c>
      <c r="BQ471" s="121">
        <v>29.265999999999998</v>
      </c>
      <c r="BR471" s="121">
        <v>30.39875</v>
      </c>
      <c r="BS471" s="121">
        <v>31.531500000000001</v>
      </c>
      <c r="BT471" s="121">
        <v>32.664000000000001</v>
      </c>
      <c r="BU471" s="121">
        <v>33.796499999999995</v>
      </c>
      <c r="BV471" s="121">
        <v>34.911249999999995</v>
      </c>
      <c r="BW471" s="121">
        <v>36.025999999999996</v>
      </c>
      <c r="BX471" s="121">
        <v>37.108750000000001</v>
      </c>
      <c r="BY471" s="121">
        <v>38.191500000000005</v>
      </c>
      <c r="BZ471" s="121">
        <v>39.287499999999994</v>
      </c>
      <c r="CA471" s="121">
        <v>40.383499999999998</v>
      </c>
      <c r="CB471" s="121">
        <v>41.475499999999997</v>
      </c>
      <c r="CC471" s="121">
        <v>42.567500000000003</v>
      </c>
      <c r="CD471" s="121">
        <v>43.648499999999999</v>
      </c>
      <c r="CE471" s="121">
        <v>44.729500000000002</v>
      </c>
      <c r="CF471" s="121">
        <v>45.807000000000002</v>
      </c>
      <c r="CG471" s="121">
        <v>46.884500000000003</v>
      </c>
      <c r="CH471" s="121">
        <v>47.931250000000006</v>
      </c>
      <c r="CI471" s="121">
        <v>48.978000000000002</v>
      </c>
      <c r="CJ471" s="121">
        <v>50.036500000000004</v>
      </c>
      <c r="CK471" s="121">
        <f t="array" ref="CK471:CK492">TRANSPOSE(CL470:DG470)</f>
        <v>51.094999999999999</v>
      </c>
      <c r="CL471" s="120">
        <f>(CK471+CM471)/2</f>
        <v>52.153750000000002</v>
      </c>
      <c r="CM471" s="120">
        <f>(CM470+CM472)/2</f>
        <v>53.212500000000006</v>
      </c>
      <c r="CN471" s="120">
        <f>(CM471+CO471)/2</f>
        <v>54.271500000000003</v>
      </c>
      <c r="CO471" s="120">
        <f>(CO470+CO472)/2</f>
        <v>55.330500000000001</v>
      </c>
      <c r="CP471" s="120">
        <f>(CO471+CQ471)/2</f>
        <v>56.35275</v>
      </c>
      <c r="CQ471" s="120">
        <f>(CQ470+CQ472)/2</f>
        <v>57.375</v>
      </c>
      <c r="CR471" s="120">
        <f>(CQ471+CS471)/2</f>
        <v>58.421250000000001</v>
      </c>
      <c r="CS471" s="120">
        <f>(CS470+CS472)/2</f>
        <v>59.467500000000001</v>
      </c>
      <c r="CT471" s="120">
        <f>(CS471+CU471)/2</f>
        <v>60.485749999999996</v>
      </c>
      <c r="CU471" s="120">
        <f>(CU470+CU472)/2</f>
        <v>61.503999999999998</v>
      </c>
      <c r="CV471" s="120">
        <f>(CU471+CW471)/2</f>
        <v>62.529499999999999</v>
      </c>
      <c r="CW471" s="120">
        <f>(CW470+CW472)/2</f>
        <v>63.555</v>
      </c>
      <c r="CX471" s="120">
        <f>(CW471+CY471)/2</f>
        <v>64.577250000000006</v>
      </c>
      <c r="CY471" s="120">
        <f>(CY470+CY472)/2</f>
        <v>65.599500000000006</v>
      </c>
      <c r="CZ471" s="120">
        <f>(CY471+DA471)/2</f>
        <v>66.65825000000001</v>
      </c>
      <c r="DA471" s="120">
        <f>(DA470+DA472)/2</f>
        <v>67.717000000000013</v>
      </c>
      <c r="DB471" s="120">
        <f>(DA471+DC471)/2</f>
        <v>68.726500000000001</v>
      </c>
      <c r="DC471" s="120">
        <f>(DC470+DC472)/2</f>
        <v>69.73599999999999</v>
      </c>
      <c r="DD471" s="120">
        <f>(DC471+DE471)/2</f>
        <v>70.721499999999992</v>
      </c>
      <c r="DE471" s="120">
        <f>(DE470+DE472)/2</f>
        <v>71.706999999999994</v>
      </c>
      <c r="DF471" s="120">
        <f>(DE471+DG471)/2</f>
        <v>72.897999999999996</v>
      </c>
      <c r="DG471" s="122">
        <f>(DG470+DG472)/2</f>
        <v>74.088999999999999</v>
      </c>
    </row>
    <row r="472" spans="54:111" ht="15" customHeight="1" x14ac:dyDescent="0.2">
      <c r="BB472" s="28">
        <v>40</v>
      </c>
      <c r="BC472" s="121">
        <v>11.859</v>
      </c>
      <c r="BD472" s="121">
        <v>13.308499999999999</v>
      </c>
      <c r="BE472" s="121">
        <v>14.757999999999999</v>
      </c>
      <c r="BF472" s="121">
        <v>16.125999999999998</v>
      </c>
      <c r="BG472" s="121">
        <v>17.494</v>
      </c>
      <c r="BH472" s="121">
        <v>18.795500000000001</v>
      </c>
      <c r="BI472" s="121">
        <v>20.097000000000001</v>
      </c>
      <c r="BJ472" s="121">
        <v>21.353999999999999</v>
      </c>
      <c r="BK472" s="121">
        <v>22.611000000000001</v>
      </c>
      <c r="BL472" s="121">
        <v>23.839500000000001</v>
      </c>
      <c r="BM472" s="121">
        <v>25.068000000000001</v>
      </c>
      <c r="BN472" s="121">
        <v>26.2515</v>
      </c>
      <c r="BO472" s="121">
        <v>27.434999999999999</v>
      </c>
      <c r="BP472" s="121">
        <v>28.625999999999998</v>
      </c>
      <c r="BQ472" s="121">
        <v>29.817</v>
      </c>
      <c r="BR472" s="121">
        <v>30.971499999999999</v>
      </c>
      <c r="BS472" s="121">
        <v>32.125999999999998</v>
      </c>
      <c r="BT472" s="121">
        <v>33.272499999999994</v>
      </c>
      <c r="BU472" s="121">
        <v>34.418999999999997</v>
      </c>
      <c r="BV472" s="121">
        <v>35.573499999999996</v>
      </c>
      <c r="BW472" s="121">
        <v>36.728000000000002</v>
      </c>
      <c r="BX472" s="121">
        <v>37.837500000000006</v>
      </c>
      <c r="BY472" s="121">
        <v>38.947000000000003</v>
      </c>
      <c r="BZ472" s="121">
        <v>40.064</v>
      </c>
      <c r="CA472" s="121">
        <v>41.180999999999997</v>
      </c>
      <c r="CB472" s="121">
        <v>42.290999999999997</v>
      </c>
      <c r="CC472" s="121">
        <v>43.401000000000003</v>
      </c>
      <c r="CD472" s="121">
        <v>44.518000000000001</v>
      </c>
      <c r="CE472" s="121">
        <v>45.634999999999998</v>
      </c>
      <c r="CF472" s="121">
        <v>46.715499999999999</v>
      </c>
      <c r="CG472" s="121">
        <v>47.795999999999999</v>
      </c>
      <c r="CH472" s="121">
        <v>48.906500000000001</v>
      </c>
      <c r="CI472" s="121">
        <v>50.017000000000003</v>
      </c>
      <c r="CJ472" s="121">
        <v>51.06</v>
      </c>
      <c r="CK472" s="121">
        <v>52.103000000000002</v>
      </c>
      <c r="CL472" s="121">
        <f t="array" ref="CL472:CL492">TRANSPOSE(CM471:DG471)</f>
        <v>53.212500000000006</v>
      </c>
      <c r="CM472" s="158">
        <v>54.322000000000003</v>
      </c>
      <c r="CN472" s="120">
        <f>(CO472+CM472)/2</f>
        <v>55.366</v>
      </c>
      <c r="CO472" s="158">
        <v>56.41</v>
      </c>
      <c r="CP472" s="120">
        <f>(CQ472+CO472)/2</f>
        <v>57.445999999999998</v>
      </c>
      <c r="CQ472" s="158">
        <v>58.481999999999999</v>
      </c>
      <c r="CR472" s="120">
        <f>(CS472+CQ472)/2</f>
        <v>59.599000000000004</v>
      </c>
      <c r="CS472" s="158">
        <v>60.716000000000001</v>
      </c>
      <c r="CT472" s="120">
        <f>(CU472+CS472)/2</f>
        <v>61.751999999999995</v>
      </c>
      <c r="CU472" s="158">
        <v>62.787999999999997</v>
      </c>
      <c r="CV472" s="120">
        <f>(CW472+CU472)/2</f>
        <v>63.831499999999998</v>
      </c>
      <c r="CW472" s="158">
        <v>64.875</v>
      </c>
      <c r="CX472" s="120">
        <f>(CY472+CW472)/2</f>
        <v>65.918499999999995</v>
      </c>
      <c r="CY472" s="158">
        <v>66.962000000000003</v>
      </c>
      <c r="CZ472" s="120">
        <f>(DA472+CY472)/2</f>
        <v>67.998000000000005</v>
      </c>
      <c r="DA472" s="158">
        <v>69.034000000000006</v>
      </c>
      <c r="DB472" s="120">
        <f>(DC472+DA472)/2</f>
        <v>70.077500000000001</v>
      </c>
      <c r="DC472" s="158">
        <v>71.120999999999995</v>
      </c>
      <c r="DD472" s="120">
        <f>(DE472+DC472)/2</f>
        <v>72.157499999999999</v>
      </c>
      <c r="DE472" s="158">
        <v>73.194000000000003</v>
      </c>
      <c r="DF472" s="120">
        <f>(DG472+DE472)/2</f>
        <v>74.236999999999995</v>
      </c>
      <c r="DG472" s="159">
        <v>75.28</v>
      </c>
    </row>
    <row r="473" spans="54:111" ht="15" customHeight="1" x14ac:dyDescent="0.2">
      <c r="BB473" s="28">
        <v>41</v>
      </c>
      <c r="BC473" s="121">
        <v>12.030999999999999</v>
      </c>
      <c r="BD473" s="121">
        <v>13.528499999999999</v>
      </c>
      <c r="BE473" s="121">
        <v>15.026</v>
      </c>
      <c r="BF473" s="121">
        <v>16.415499999999998</v>
      </c>
      <c r="BG473" s="121">
        <v>17.805</v>
      </c>
      <c r="BH473" s="121">
        <v>19.121000000000002</v>
      </c>
      <c r="BI473" s="121">
        <v>20.437000000000001</v>
      </c>
      <c r="BJ473" s="121">
        <v>21.734249999999999</v>
      </c>
      <c r="BK473" s="121">
        <v>23.031500000000001</v>
      </c>
      <c r="BL473" s="121">
        <v>24.277250000000002</v>
      </c>
      <c r="BM473" s="121">
        <v>25.523000000000003</v>
      </c>
      <c r="BN473" s="121">
        <v>26.74025</v>
      </c>
      <c r="BO473" s="121">
        <v>27.9575</v>
      </c>
      <c r="BP473" s="121">
        <v>29.163</v>
      </c>
      <c r="BQ473" s="121">
        <v>30.368500000000001</v>
      </c>
      <c r="BR473" s="121">
        <v>31.559000000000001</v>
      </c>
      <c r="BS473" s="121">
        <v>32.749499999999998</v>
      </c>
      <c r="BT473" s="121">
        <v>33.917499999999997</v>
      </c>
      <c r="BU473" s="121">
        <v>35.085499999999996</v>
      </c>
      <c r="BV473" s="121">
        <v>36.253749999999997</v>
      </c>
      <c r="BW473" s="121">
        <v>37.421999999999997</v>
      </c>
      <c r="BX473" s="121">
        <v>38.565750000000001</v>
      </c>
      <c r="BY473" s="121">
        <v>39.709500000000006</v>
      </c>
      <c r="BZ473" s="121">
        <v>40.844499999999996</v>
      </c>
      <c r="CA473" s="121">
        <v>41.979500000000002</v>
      </c>
      <c r="CB473" s="121">
        <v>43.106999999999999</v>
      </c>
      <c r="CC473" s="121">
        <v>44.234499999999997</v>
      </c>
      <c r="CD473" s="121">
        <v>45.369500000000002</v>
      </c>
      <c r="CE473" s="121">
        <v>46.5045</v>
      </c>
      <c r="CF473" s="121">
        <v>47.621250000000003</v>
      </c>
      <c r="CG473" s="121">
        <v>48.738</v>
      </c>
      <c r="CH473" s="121">
        <v>49.859750000000005</v>
      </c>
      <c r="CI473" s="121">
        <v>50.981499999999997</v>
      </c>
      <c r="CJ473" s="121">
        <v>52.079250000000002</v>
      </c>
      <c r="CK473" s="121">
        <v>53.177</v>
      </c>
      <c r="CL473" s="121">
        <v>54.271500000000003</v>
      </c>
      <c r="CM473" s="121">
        <f t="array" ref="CM473:CM492">TRANSPOSE(CN472:DG472)</f>
        <v>55.366</v>
      </c>
      <c r="CN473" s="120">
        <f>(CM473+CO473)/2</f>
        <v>56.460499999999996</v>
      </c>
      <c r="CO473" s="120">
        <f>(CO472+CO474)/2</f>
        <v>57.555</v>
      </c>
      <c r="CP473" s="120">
        <f>(CO473+CQ473)/2</f>
        <v>58.612499999999997</v>
      </c>
      <c r="CQ473" s="120">
        <f>(CQ472+CQ474)/2</f>
        <v>59.67</v>
      </c>
      <c r="CR473" s="120">
        <f>(CQ473+CS473)/2</f>
        <v>60.780500000000004</v>
      </c>
      <c r="CS473" s="120">
        <f>(CS472+CS474)/2</f>
        <v>61.891000000000005</v>
      </c>
      <c r="CT473" s="120">
        <f>(CS473+CU473)/2</f>
        <v>62.985250000000001</v>
      </c>
      <c r="CU473" s="120">
        <f>(CU472+CU474)/2</f>
        <v>64.079499999999996</v>
      </c>
      <c r="CV473" s="120">
        <f>(CU473+CW473)/2</f>
        <v>65.137500000000003</v>
      </c>
      <c r="CW473" s="120">
        <f>(CW472+CW474)/2</f>
        <v>66.19550000000001</v>
      </c>
      <c r="CX473" s="120">
        <f>(CW473+CY473)/2</f>
        <v>67.256500000000003</v>
      </c>
      <c r="CY473" s="120">
        <f>(CY472+CY474)/2</f>
        <v>68.317499999999995</v>
      </c>
      <c r="CZ473" s="120">
        <f>(CY473+DA473)/2</f>
        <v>69.375</v>
      </c>
      <c r="DA473" s="120">
        <f>(DA472+DA474)/2</f>
        <v>70.432500000000005</v>
      </c>
      <c r="DB473" s="120">
        <f>(DA473+DC473)/2</f>
        <v>71.502499999999998</v>
      </c>
      <c r="DC473" s="120">
        <f>(DC472+DC474)/2</f>
        <v>72.572499999999991</v>
      </c>
      <c r="DD473" s="120">
        <f>(DC473+DE473)/2</f>
        <v>73.63024999999999</v>
      </c>
      <c r="DE473" s="120">
        <f>(DE472+DE474)/2</f>
        <v>74.688000000000002</v>
      </c>
      <c r="DF473" s="120">
        <f>(DE473+DG473)/2</f>
        <v>75.748750000000001</v>
      </c>
      <c r="DG473" s="122">
        <f>(DG472+DG474)/2</f>
        <v>76.8095</v>
      </c>
    </row>
    <row r="474" spans="54:111" ht="15" customHeight="1" x14ac:dyDescent="0.2">
      <c r="BB474" s="28">
        <v>42</v>
      </c>
      <c r="BC474" s="121">
        <v>12.202999999999999</v>
      </c>
      <c r="BD474" s="121">
        <v>13.7485</v>
      </c>
      <c r="BE474" s="121">
        <v>15.294</v>
      </c>
      <c r="BF474" s="121">
        <v>16.704999999999998</v>
      </c>
      <c r="BG474" s="121">
        <v>18.116</v>
      </c>
      <c r="BH474" s="121">
        <v>19.4465</v>
      </c>
      <c r="BI474" s="121">
        <v>20.777000000000001</v>
      </c>
      <c r="BJ474" s="121">
        <v>22.1145</v>
      </c>
      <c r="BK474" s="121">
        <v>23.452000000000002</v>
      </c>
      <c r="BL474" s="121">
        <v>24.715000000000003</v>
      </c>
      <c r="BM474" s="121">
        <v>25.978000000000002</v>
      </c>
      <c r="BN474" s="121">
        <v>27.228999999999999</v>
      </c>
      <c r="BO474" s="121">
        <v>28.48</v>
      </c>
      <c r="BP474" s="121">
        <v>29.700000000000003</v>
      </c>
      <c r="BQ474" s="121">
        <v>30.92</v>
      </c>
      <c r="BR474" s="121">
        <v>32.146500000000003</v>
      </c>
      <c r="BS474" s="121">
        <v>33.372999999999998</v>
      </c>
      <c r="BT474" s="121">
        <v>34.5625</v>
      </c>
      <c r="BU474" s="121">
        <v>35.752000000000002</v>
      </c>
      <c r="BV474" s="121">
        <v>36.933999999999997</v>
      </c>
      <c r="BW474" s="121">
        <v>38.116</v>
      </c>
      <c r="BX474" s="121">
        <v>39.293999999999997</v>
      </c>
      <c r="BY474" s="121">
        <v>40.472000000000001</v>
      </c>
      <c r="BZ474" s="121">
        <v>41.625</v>
      </c>
      <c r="CA474" s="121">
        <v>42.777999999999999</v>
      </c>
      <c r="CB474" s="121">
        <v>43.923000000000002</v>
      </c>
      <c r="CC474" s="121">
        <v>45.067999999999998</v>
      </c>
      <c r="CD474" s="121">
        <v>46.221000000000004</v>
      </c>
      <c r="CE474" s="121">
        <v>47.374000000000002</v>
      </c>
      <c r="CF474" s="121">
        <v>48.527000000000001</v>
      </c>
      <c r="CG474" s="121">
        <v>49.68</v>
      </c>
      <c r="CH474" s="121">
        <v>50.813000000000002</v>
      </c>
      <c r="CI474" s="121">
        <v>51.945999999999998</v>
      </c>
      <c r="CJ474" s="121">
        <v>53.098500000000001</v>
      </c>
      <c r="CK474" s="121">
        <v>54.250999999999998</v>
      </c>
      <c r="CL474" s="121">
        <v>55.330500000000001</v>
      </c>
      <c r="CM474" s="121">
        <v>56.41</v>
      </c>
      <c r="CN474" s="121">
        <f t="array" ref="CN474:CN492">TRANSPOSE(CO473:DG473)</f>
        <v>57.555</v>
      </c>
      <c r="CO474" s="158">
        <v>58.7</v>
      </c>
      <c r="CP474" s="120">
        <f>(CQ474+CO474)/2</f>
        <v>59.778999999999996</v>
      </c>
      <c r="CQ474" s="158">
        <v>60.857999999999997</v>
      </c>
      <c r="CR474" s="120">
        <f>(CS474+CQ474)/2</f>
        <v>61.962000000000003</v>
      </c>
      <c r="CS474" s="158">
        <v>63.066000000000003</v>
      </c>
      <c r="CT474" s="120">
        <f>(CU474+CS474)/2</f>
        <v>64.218500000000006</v>
      </c>
      <c r="CU474" s="158">
        <v>65.370999999999995</v>
      </c>
      <c r="CV474" s="120">
        <f>(CW474+CU474)/2</f>
        <v>66.4435</v>
      </c>
      <c r="CW474" s="158">
        <v>67.516000000000005</v>
      </c>
      <c r="CX474" s="120">
        <f>(CY474+CW474)/2</f>
        <v>68.594500000000011</v>
      </c>
      <c r="CY474" s="158">
        <v>69.673000000000002</v>
      </c>
      <c r="CZ474" s="120">
        <f>(DA474+CY474)/2</f>
        <v>70.75200000000001</v>
      </c>
      <c r="DA474" s="158">
        <v>71.831000000000003</v>
      </c>
      <c r="DB474" s="120">
        <f>(DC474+DA474)/2</f>
        <v>72.927500000000009</v>
      </c>
      <c r="DC474" s="158">
        <v>74.024000000000001</v>
      </c>
      <c r="DD474" s="120">
        <f>(DE474+DC474)/2</f>
        <v>75.103000000000009</v>
      </c>
      <c r="DE474" s="158">
        <v>76.182000000000002</v>
      </c>
      <c r="DF474" s="120">
        <f>(DG474+DE474)/2</f>
        <v>77.260500000000008</v>
      </c>
      <c r="DG474" s="159">
        <v>78.338999999999999</v>
      </c>
    </row>
    <row r="475" spans="54:111" ht="15" customHeight="1" x14ac:dyDescent="0.2">
      <c r="BB475" s="28">
        <v>43</v>
      </c>
      <c r="BC475" s="121">
        <v>12.443</v>
      </c>
      <c r="BD475" s="121">
        <v>13.99075</v>
      </c>
      <c r="BE475" s="121">
        <v>15.538499999999999</v>
      </c>
      <c r="BF475" s="121">
        <v>16.979500000000002</v>
      </c>
      <c r="BG475" s="121">
        <v>18.420500000000001</v>
      </c>
      <c r="BH475" s="121">
        <v>19.790750000000003</v>
      </c>
      <c r="BI475" s="121">
        <v>21.161000000000001</v>
      </c>
      <c r="BJ475" s="121">
        <v>22.497500000000002</v>
      </c>
      <c r="BK475" s="121">
        <v>23.834000000000003</v>
      </c>
      <c r="BL475" s="121">
        <v>25.145750000000003</v>
      </c>
      <c r="BM475" s="121">
        <v>26.457500000000003</v>
      </c>
      <c r="BN475" s="121">
        <v>27.732749999999999</v>
      </c>
      <c r="BO475" s="121">
        <v>29.008000000000003</v>
      </c>
      <c r="BP475" s="121">
        <v>30.257750000000001</v>
      </c>
      <c r="BQ475" s="121">
        <v>31.5075</v>
      </c>
      <c r="BR475" s="121">
        <v>32.733249999999998</v>
      </c>
      <c r="BS475" s="121">
        <v>33.959000000000003</v>
      </c>
      <c r="BT475" s="121">
        <v>35.185249999999996</v>
      </c>
      <c r="BU475" s="121">
        <v>36.411500000000004</v>
      </c>
      <c r="BV475" s="121">
        <v>37.608750000000001</v>
      </c>
      <c r="BW475" s="121">
        <v>38.805999999999997</v>
      </c>
      <c r="BX475" s="121">
        <v>40.007750000000001</v>
      </c>
      <c r="BY475" s="121">
        <v>41.209500000000006</v>
      </c>
      <c r="BZ475" s="121">
        <v>42.389000000000003</v>
      </c>
      <c r="CA475" s="121">
        <v>43.5685</v>
      </c>
      <c r="CB475" s="121">
        <v>44.734750000000005</v>
      </c>
      <c r="CC475" s="121">
        <v>45.900999999999996</v>
      </c>
      <c r="CD475" s="121">
        <v>47.072000000000003</v>
      </c>
      <c r="CE475" s="121">
        <v>48.243000000000002</v>
      </c>
      <c r="CF475" s="121">
        <v>49.426000000000002</v>
      </c>
      <c r="CG475" s="121">
        <v>50.608999999999995</v>
      </c>
      <c r="CH475" s="121">
        <v>51.751249999999999</v>
      </c>
      <c r="CI475" s="121">
        <v>52.893500000000003</v>
      </c>
      <c r="CJ475" s="121">
        <v>54.076500000000003</v>
      </c>
      <c r="CK475" s="121">
        <v>55.259500000000003</v>
      </c>
      <c r="CL475" s="121">
        <v>56.35275</v>
      </c>
      <c r="CM475" s="121">
        <v>57.445999999999998</v>
      </c>
      <c r="CN475" s="121">
        <v>58.612499999999997</v>
      </c>
      <c r="CO475" s="121">
        <f t="array" ref="CO475:CO492">TRANSPOSE(CP474:DG474)</f>
        <v>59.778999999999996</v>
      </c>
      <c r="CP475" s="120">
        <f>(CO475+CQ475)/2</f>
        <v>60.888499999999993</v>
      </c>
      <c r="CQ475" s="120">
        <f>(CQ474+CQ476)/2</f>
        <v>61.997999999999998</v>
      </c>
      <c r="CR475" s="120">
        <f>(CQ475+CS475)/2</f>
        <v>63.143749999999997</v>
      </c>
      <c r="CS475" s="120">
        <f>(CS474+CS476)/2</f>
        <v>64.289500000000004</v>
      </c>
      <c r="CT475" s="120">
        <f>(CS475+CU475)/2</f>
        <v>65.435749999999999</v>
      </c>
      <c r="CU475" s="120">
        <f>(CU474+CU476)/2</f>
        <v>66.581999999999994</v>
      </c>
      <c r="CV475" s="120">
        <f>(CU475+CW475)/2</f>
        <v>67.671750000000003</v>
      </c>
      <c r="CW475" s="120">
        <f>(CW474+CW476)/2</f>
        <v>68.761500000000012</v>
      </c>
      <c r="CX475" s="120">
        <f>(CW475+CY475)/2</f>
        <v>69.89500000000001</v>
      </c>
      <c r="CY475" s="120">
        <f>(CY474+CY476)/2</f>
        <v>71.028500000000008</v>
      </c>
      <c r="CZ475" s="120">
        <f>(CY475+DA475)/2</f>
        <v>72.137750000000011</v>
      </c>
      <c r="DA475" s="120">
        <f>(DA474+DA476)/2</f>
        <v>73.247</v>
      </c>
      <c r="DB475" s="120">
        <f>(DA475+DC475)/2</f>
        <v>74.352499999999992</v>
      </c>
      <c r="DC475" s="120">
        <f>(DC474+DC476)/2</f>
        <v>75.457999999999998</v>
      </c>
      <c r="DD475" s="120">
        <f>(DC475+DE475)/2</f>
        <v>76.567000000000007</v>
      </c>
      <c r="DE475" s="120">
        <f>(DE474+DE476)/2</f>
        <v>77.676000000000002</v>
      </c>
      <c r="DF475" s="120">
        <f>(DE475+DG475)/2</f>
        <v>78.769000000000005</v>
      </c>
      <c r="DG475" s="122">
        <f>(DG474+DG476)/2</f>
        <v>79.861999999999995</v>
      </c>
    </row>
    <row r="476" spans="54:111" ht="15" customHeight="1" x14ac:dyDescent="0.2">
      <c r="BB476" s="28">
        <v>44</v>
      </c>
      <c r="BC476" s="121">
        <v>12.683</v>
      </c>
      <c r="BD476" s="121">
        <v>14.233000000000001</v>
      </c>
      <c r="BE476" s="121">
        <v>15.782999999999999</v>
      </c>
      <c r="BF476" s="121">
        <v>17.254000000000001</v>
      </c>
      <c r="BG476" s="121">
        <v>18.725000000000001</v>
      </c>
      <c r="BH476" s="121">
        <v>20.135000000000002</v>
      </c>
      <c r="BI476" s="121">
        <v>21.545000000000002</v>
      </c>
      <c r="BJ476" s="121">
        <v>22.880500000000001</v>
      </c>
      <c r="BK476" s="121">
        <v>24.216000000000001</v>
      </c>
      <c r="BL476" s="121">
        <v>25.576500000000003</v>
      </c>
      <c r="BM476" s="121">
        <v>26.937000000000001</v>
      </c>
      <c r="BN476" s="121">
        <v>28.236499999999999</v>
      </c>
      <c r="BO476" s="121">
        <v>29.536000000000001</v>
      </c>
      <c r="BP476" s="121">
        <v>30.8155</v>
      </c>
      <c r="BQ476" s="121">
        <v>32.094999999999999</v>
      </c>
      <c r="BR476" s="121">
        <v>33.32</v>
      </c>
      <c r="BS476" s="121">
        <v>34.545000000000002</v>
      </c>
      <c r="BT476" s="121">
        <v>35.808</v>
      </c>
      <c r="BU476" s="121">
        <v>37.070999999999998</v>
      </c>
      <c r="BV476" s="121">
        <v>38.283500000000004</v>
      </c>
      <c r="BW476" s="121">
        <v>39.496000000000002</v>
      </c>
      <c r="BX476" s="121">
        <v>40.721500000000006</v>
      </c>
      <c r="BY476" s="121">
        <v>41.947000000000003</v>
      </c>
      <c r="BZ476" s="121">
        <v>43.153000000000006</v>
      </c>
      <c r="CA476" s="121">
        <v>44.359000000000002</v>
      </c>
      <c r="CB476" s="121">
        <v>45.546500000000002</v>
      </c>
      <c r="CC476" s="121">
        <v>46.734000000000002</v>
      </c>
      <c r="CD476" s="121">
        <v>47.923000000000002</v>
      </c>
      <c r="CE476" s="121">
        <v>49.112000000000002</v>
      </c>
      <c r="CF476" s="121">
        <v>50.325000000000003</v>
      </c>
      <c r="CG476" s="121">
        <v>51.537999999999997</v>
      </c>
      <c r="CH476" s="121">
        <v>52.689499999999995</v>
      </c>
      <c r="CI476" s="121">
        <v>53.841000000000001</v>
      </c>
      <c r="CJ476" s="121">
        <v>55.054500000000004</v>
      </c>
      <c r="CK476" s="121">
        <v>56.268000000000001</v>
      </c>
      <c r="CL476" s="121">
        <v>57.375</v>
      </c>
      <c r="CM476" s="121">
        <v>58.481999999999999</v>
      </c>
      <c r="CN476" s="121">
        <v>59.67</v>
      </c>
      <c r="CO476" s="121">
        <v>60.857999999999997</v>
      </c>
      <c r="CP476" s="121">
        <f t="array" ref="CP476:CP492">TRANSPOSE(CQ475:DG475)</f>
        <v>61.997999999999998</v>
      </c>
      <c r="CQ476" s="158">
        <v>63.137999999999998</v>
      </c>
      <c r="CR476" s="121">
        <f>CS475</f>
        <v>64.289500000000004</v>
      </c>
      <c r="CS476" s="158">
        <v>65.513000000000005</v>
      </c>
      <c r="CT476" s="121">
        <f>CU475</f>
        <v>66.581999999999994</v>
      </c>
      <c r="CU476" s="158">
        <v>67.793000000000006</v>
      </c>
      <c r="CV476" s="121">
        <f>CW475</f>
        <v>68.761500000000012</v>
      </c>
      <c r="CW476" s="158">
        <v>70.007000000000005</v>
      </c>
      <c r="CX476" s="121">
        <f>CY475</f>
        <v>71.028500000000008</v>
      </c>
      <c r="CY476" s="158">
        <v>72.384</v>
      </c>
      <c r="CZ476" s="121">
        <f>DA475</f>
        <v>73.247</v>
      </c>
      <c r="DA476" s="158">
        <v>74.662999999999997</v>
      </c>
      <c r="DB476" s="121">
        <f>DC475</f>
        <v>75.457999999999998</v>
      </c>
      <c r="DC476" s="158">
        <v>76.891999999999996</v>
      </c>
      <c r="DD476" s="121">
        <f>DE475</f>
        <v>77.676000000000002</v>
      </c>
      <c r="DE476" s="158">
        <v>79.17</v>
      </c>
      <c r="DF476" s="121">
        <f>DG475</f>
        <v>79.861999999999995</v>
      </c>
      <c r="DG476" s="159">
        <v>81.385000000000005</v>
      </c>
    </row>
    <row r="477" spans="54:111" ht="15" customHeight="1" x14ac:dyDescent="0.2">
      <c r="BB477" s="28">
        <v>45</v>
      </c>
      <c r="BC477" s="121">
        <v>12.891500000000001</v>
      </c>
      <c r="BD477" s="121">
        <v>14.475</v>
      </c>
      <c r="BE477" s="121">
        <v>16.058499999999999</v>
      </c>
      <c r="BF477" s="121">
        <v>17.553750000000001</v>
      </c>
      <c r="BG477" s="121">
        <v>19.048999999999999</v>
      </c>
      <c r="BH477" s="121">
        <v>20.47025</v>
      </c>
      <c r="BI477" s="121">
        <v>21.891500000000001</v>
      </c>
      <c r="BJ477" s="121">
        <v>23.276000000000003</v>
      </c>
      <c r="BK477" s="121">
        <v>24.660499999999999</v>
      </c>
      <c r="BL477" s="121">
        <v>26.026500000000002</v>
      </c>
      <c r="BM477" s="121">
        <v>27.392499999999998</v>
      </c>
      <c r="BN477" s="121">
        <v>28.722000000000001</v>
      </c>
      <c r="BO477" s="121">
        <v>30.051500000000001</v>
      </c>
      <c r="BP477" s="121">
        <v>31.33625</v>
      </c>
      <c r="BQ477" s="121">
        <v>32.620999999999995</v>
      </c>
      <c r="BR477" s="121">
        <v>33.894999999999996</v>
      </c>
      <c r="BS477" s="121">
        <v>35.168999999999997</v>
      </c>
      <c r="BT477" s="121">
        <v>36.443249999999999</v>
      </c>
      <c r="BU477" s="121">
        <v>37.717500000000001</v>
      </c>
      <c r="BV477" s="121">
        <v>38.954250000000002</v>
      </c>
      <c r="BW477" s="121">
        <v>40.191000000000003</v>
      </c>
      <c r="BX477" s="121">
        <v>41.446250000000006</v>
      </c>
      <c r="BY477" s="121">
        <v>42.701500000000003</v>
      </c>
      <c r="BZ477" s="121">
        <v>43.916500000000006</v>
      </c>
      <c r="CA477" s="121">
        <v>45.131500000000003</v>
      </c>
      <c r="CB477" s="121">
        <v>46.34975</v>
      </c>
      <c r="CC477" s="121">
        <v>47.567999999999998</v>
      </c>
      <c r="CD477" s="121">
        <v>48.786749999999998</v>
      </c>
      <c r="CE477" s="121">
        <v>50.005499999999998</v>
      </c>
      <c r="CF477" s="121">
        <v>51.224000000000004</v>
      </c>
      <c r="CG477" s="121">
        <v>52.442499999999995</v>
      </c>
      <c r="CH477" s="121">
        <v>53.624249999999996</v>
      </c>
      <c r="CI477" s="121">
        <v>54.805999999999997</v>
      </c>
      <c r="CJ477" s="121">
        <v>56.024750000000004</v>
      </c>
      <c r="CK477" s="121">
        <v>57.243499999999997</v>
      </c>
      <c r="CL477" s="121">
        <v>58.421250000000001</v>
      </c>
      <c r="CM477" s="121">
        <v>59.599000000000004</v>
      </c>
      <c r="CN477" s="121">
        <v>60.780500000000004</v>
      </c>
      <c r="CO477" s="121">
        <v>61.962000000000003</v>
      </c>
      <c r="CP477" s="121">
        <v>63.143749999999997</v>
      </c>
      <c r="CQ477" s="121">
        <f t="array" ref="CQ477:CQ492">TRANSPOSE(CR476:DG476)</f>
        <v>64.289500000000004</v>
      </c>
      <c r="CR477" s="120">
        <f>(CQ477+CS477)/2</f>
        <v>65.489000000000004</v>
      </c>
      <c r="CS477" s="120">
        <f>(CS476+CS478)/2</f>
        <v>66.688500000000005</v>
      </c>
      <c r="CT477" s="120">
        <f>(CS477+CU477)/2</f>
        <v>67.870249999999999</v>
      </c>
      <c r="CU477" s="120">
        <f>(CU476+CU478)/2</f>
        <v>69.052000000000007</v>
      </c>
      <c r="CV477" s="120">
        <f>(CU477+CW477)/2</f>
        <v>70.193250000000006</v>
      </c>
      <c r="CW477" s="120">
        <f>(CW476+CW478)/2</f>
        <v>71.334500000000006</v>
      </c>
      <c r="CX477" s="120">
        <f>(CW477+CY477)/2</f>
        <v>72.515999999999991</v>
      </c>
      <c r="CY477" s="120">
        <f>(CY476+CY478)/2</f>
        <v>73.697499999999991</v>
      </c>
      <c r="CZ477" s="120">
        <f>(CY477+DA477)/2</f>
        <v>74.83874999999999</v>
      </c>
      <c r="DA477" s="120">
        <f>(DA476+DA478)/2</f>
        <v>75.97999999999999</v>
      </c>
      <c r="DB477" s="120">
        <f>(DA477+DC477)/2</f>
        <v>77.16149999999999</v>
      </c>
      <c r="DC477" s="120">
        <f>(DC476+DC478)/2</f>
        <v>78.342999999999989</v>
      </c>
      <c r="DD477" s="120">
        <f>(DC477+DE477)/2</f>
        <v>79.487749999999991</v>
      </c>
      <c r="DE477" s="120">
        <f>(DE476+DE478)/2</f>
        <v>80.632499999999993</v>
      </c>
      <c r="DF477" s="120">
        <f>(DE477+DG477)/2</f>
        <v>81.773499999999999</v>
      </c>
      <c r="DG477" s="122">
        <f>(DG476+DG478)/2</f>
        <v>82.914500000000004</v>
      </c>
    </row>
    <row r="478" spans="54:111" ht="15" customHeight="1" x14ac:dyDescent="0.2">
      <c r="BB478" s="28">
        <v>46</v>
      </c>
      <c r="BC478" s="121">
        <v>13.1</v>
      </c>
      <c r="BD478" s="121">
        <v>14.716999999999999</v>
      </c>
      <c r="BE478" s="121">
        <v>16.334</v>
      </c>
      <c r="BF478" s="121">
        <v>17.8535</v>
      </c>
      <c r="BG478" s="121">
        <v>19.373000000000001</v>
      </c>
      <c r="BH478" s="121">
        <v>20.805500000000002</v>
      </c>
      <c r="BI478" s="121">
        <v>22.238</v>
      </c>
      <c r="BJ478" s="121">
        <v>23.671500000000002</v>
      </c>
      <c r="BK478" s="121">
        <v>25.105</v>
      </c>
      <c r="BL478" s="121">
        <v>26.476500000000001</v>
      </c>
      <c r="BM478" s="121">
        <v>27.847999999999999</v>
      </c>
      <c r="BN478" s="121">
        <v>29.2075</v>
      </c>
      <c r="BO478" s="121">
        <v>30.567</v>
      </c>
      <c r="BP478" s="121">
        <v>31.856999999999999</v>
      </c>
      <c r="BQ478" s="121">
        <v>33.146999999999998</v>
      </c>
      <c r="BR478" s="121">
        <v>34.47</v>
      </c>
      <c r="BS478" s="121">
        <v>35.792999999999999</v>
      </c>
      <c r="BT478" s="121">
        <v>37.078499999999998</v>
      </c>
      <c r="BU478" s="121">
        <v>38.363999999999997</v>
      </c>
      <c r="BV478" s="121">
        <v>39.625</v>
      </c>
      <c r="BW478" s="121">
        <v>40.886000000000003</v>
      </c>
      <c r="BX478" s="121">
        <v>42.171000000000006</v>
      </c>
      <c r="BY478" s="121">
        <v>43.456000000000003</v>
      </c>
      <c r="BZ478" s="121">
        <v>44.680000000000007</v>
      </c>
      <c r="CA478" s="121">
        <v>45.904000000000003</v>
      </c>
      <c r="CB478" s="121">
        <v>47.153000000000006</v>
      </c>
      <c r="CC478" s="121">
        <v>48.402000000000001</v>
      </c>
      <c r="CD478" s="121">
        <v>49.650500000000001</v>
      </c>
      <c r="CE478" s="121">
        <v>50.899000000000001</v>
      </c>
      <c r="CF478" s="121">
        <v>52.123000000000005</v>
      </c>
      <c r="CG478" s="121">
        <v>53.347000000000001</v>
      </c>
      <c r="CH478" s="121">
        <v>54.558999999999997</v>
      </c>
      <c r="CI478" s="121">
        <v>55.771000000000001</v>
      </c>
      <c r="CJ478" s="121">
        <v>56.995000000000005</v>
      </c>
      <c r="CK478" s="121">
        <v>58.219000000000001</v>
      </c>
      <c r="CL478" s="121">
        <v>59.467500000000001</v>
      </c>
      <c r="CM478" s="121">
        <v>60.716000000000001</v>
      </c>
      <c r="CN478" s="121">
        <v>61.891000000000005</v>
      </c>
      <c r="CO478" s="121">
        <v>63.066000000000003</v>
      </c>
      <c r="CP478" s="121">
        <v>64.289500000000004</v>
      </c>
      <c r="CQ478" s="121">
        <v>65.513000000000005</v>
      </c>
      <c r="CR478" s="150">
        <f t="array" ref="CR478:CR492">TRANSPOSE(CS477:DG477)</f>
        <v>66.688500000000005</v>
      </c>
      <c r="CS478" s="158">
        <v>67.864000000000004</v>
      </c>
      <c r="CT478" s="121">
        <f>CU477</f>
        <v>69.052000000000007</v>
      </c>
      <c r="CU478" s="158">
        <v>70.311000000000007</v>
      </c>
      <c r="CV478" s="121">
        <f>CW477</f>
        <v>71.334500000000006</v>
      </c>
      <c r="CW478" s="158">
        <v>72.662000000000006</v>
      </c>
      <c r="CX478" s="121">
        <f>CY477</f>
        <v>73.697499999999991</v>
      </c>
      <c r="CY478" s="158">
        <v>75.010999999999996</v>
      </c>
      <c r="CZ478" s="121">
        <f>DA477</f>
        <v>75.97999999999999</v>
      </c>
      <c r="DA478" s="158">
        <v>77.296999999999997</v>
      </c>
      <c r="DB478" s="121">
        <f>DC477</f>
        <v>78.342999999999989</v>
      </c>
      <c r="DC478" s="158">
        <v>79.793999999999997</v>
      </c>
      <c r="DD478" s="121">
        <f>DE477</f>
        <v>80.632499999999993</v>
      </c>
      <c r="DE478" s="158">
        <v>82.094999999999999</v>
      </c>
      <c r="DF478" s="121">
        <f>DG477</f>
        <v>82.914500000000004</v>
      </c>
      <c r="DG478" s="159">
        <v>84.444000000000003</v>
      </c>
    </row>
    <row r="479" spans="54:111" ht="15" customHeight="1" x14ac:dyDescent="0.2">
      <c r="BB479" s="28">
        <v>47</v>
      </c>
      <c r="BC479" s="121">
        <v>13.295500000000001</v>
      </c>
      <c r="BD479" s="121">
        <v>14.93675</v>
      </c>
      <c r="BE479" s="121">
        <v>16.577999999999999</v>
      </c>
      <c r="BF479" s="121">
        <v>18.127499999999998</v>
      </c>
      <c r="BG479" s="121">
        <v>19.677</v>
      </c>
      <c r="BH479" s="121">
        <v>21.14575</v>
      </c>
      <c r="BI479" s="121">
        <v>22.6145</v>
      </c>
      <c r="BJ479" s="121">
        <v>24.066000000000003</v>
      </c>
      <c r="BK479" s="121">
        <v>25.517499999999998</v>
      </c>
      <c r="BL479" s="121">
        <v>26.904250000000001</v>
      </c>
      <c r="BM479" s="121">
        <v>28.291</v>
      </c>
      <c r="BN479" s="121">
        <v>29.655749999999998</v>
      </c>
      <c r="BO479" s="121">
        <v>31.020499999999998</v>
      </c>
      <c r="BP479" s="121">
        <v>32.363250000000001</v>
      </c>
      <c r="BQ479" s="121">
        <v>33.706000000000003</v>
      </c>
      <c r="BR479" s="121">
        <v>35.046500000000002</v>
      </c>
      <c r="BS479" s="121">
        <v>36.387</v>
      </c>
      <c r="BT479" s="121">
        <v>37.690249999999999</v>
      </c>
      <c r="BU479" s="121">
        <v>38.993499999999997</v>
      </c>
      <c r="BV479" s="121">
        <v>40.303249999999998</v>
      </c>
      <c r="BW479" s="121">
        <v>41.613</v>
      </c>
      <c r="BX479" s="121">
        <v>42.903500000000008</v>
      </c>
      <c r="BY479" s="121">
        <v>44.194000000000003</v>
      </c>
      <c r="BZ479" s="121">
        <v>45.448250000000002</v>
      </c>
      <c r="CA479" s="121">
        <v>46.702500000000001</v>
      </c>
      <c r="CB479" s="121">
        <v>47.969000000000001</v>
      </c>
      <c r="CC479" s="121">
        <v>49.235500000000002</v>
      </c>
      <c r="CD479" s="121">
        <v>50.501999999999995</v>
      </c>
      <c r="CE479" s="121">
        <v>51.768500000000003</v>
      </c>
      <c r="CF479" s="121">
        <v>53.022500000000001</v>
      </c>
      <c r="CG479" s="121">
        <v>54.276499999999999</v>
      </c>
      <c r="CH479" s="121">
        <v>55.530749999999998</v>
      </c>
      <c r="CI479" s="121">
        <v>56.784999999999997</v>
      </c>
      <c r="CJ479" s="121">
        <v>58.002250000000004</v>
      </c>
      <c r="CK479" s="121">
        <v>59.219499999999996</v>
      </c>
      <c r="CL479" s="121">
        <v>60.485749999999996</v>
      </c>
      <c r="CM479" s="121">
        <v>61.751999999999995</v>
      </c>
      <c r="CN479" s="121">
        <v>62.985250000000001</v>
      </c>
      <c r="CO479" s="121">
        <v>64.218500000000006</v>
      </c>
      <c r="CP479" s="121">
        <v>65.435749999999999</v>
      </c>
      <c r="CQ479" s="121">
        <v>66.581999999999994</v>
      </c>
      <c r="CR479" s="160">
        <v>67.870249999999999</v>
      </c>
      <c r="CS479" s="160">
        <f t="array" ref="CS479:CS492">TRANSPOSE(CT478:DG478)</f>
        <v>69.052000000000007</v>
      </c>
      <c r="CT479" s="120">
        <f>(CS479+CU479)/2</f>
        <v>70.287000000000006</v>
      </c>
      <c r="CU479" s="120">
        <f>(CU478+CU480)/2</f>
        <v>71.522000000000006</v>
      </c>
      <c r="CV479" s="120">
        <f>(CU479+CW479)/2</f>
        <v>72.714750000000009</v>
      </c>
      <c r="CW479" s="120">
        <f>(CW478+CW480)/2</f>
        <v>73.907499999999999</v>
      </c>
      <c r="CX479" s="120">
        <f>(CW479+CY479)/2</f>
        <v>75.137</v>
      </c>
      <c r="CY479" s="120">
        <f>(CY478+CY480)/2</f>
        <v>76.366500000000002</v>
      </c>
      <c r="CZ479" s="120">
        <f>(CY479+DA479)/2</f>
        <v>77.543499999999995</v>
      </c>
      <c r="DA479" s="120">
        <f>(DA478+DA480)/2</f>
        <v>78.720500000000001</v>
      </c>
      <c r="DB479" s="120">
        <f>(DA479+DC479)/2</f>
        <v>79.937250000000006</v>
      </c>
      <c r="DC479" s="120">
        <f>(DC478+DC480)/2</f>
        <v>81.153999999999996</v>
      </c>
      <c r="DD479" s="120">
        <f>(DC479+DE479)/2</f>
        <v>82.33475</v>
      </c>
      <c r="DE479" s="120">
        <f>(DE478+DE480)/2</f>
        <v>83.515500000000003</v>
      </c>
      <c r="DF479" s="120">
        <f>(DE479+DG479)/2</f>
        <v>84.707750000000004</v>
      </c>
      <c r="DG479" s="122">
        <f>(DG478+DG480)/2</f>
        <v>85.9</v>
      </c>
    </row>
    <row r="480" spans="54:111" ht="15" customHeight="1" x14ac:dyDescent="0.2">
      <c r="BB480" s="28">
        <v>48</v>
      </c>
      <c r="BC480" s="121">
        <v>13.491</v>
      </c>
      <c r="BD480" s="121">
        <v>15.156499999999999</v>
      </c>
      <c r="BE480" s="121">
        <v>16.821999999999999</v>
      </c>
      <c r="BF480" s="121">
        <v>18.401499999999999</v>
      </c>
      <c r="BG480" s="121">
        <v>19.981000000000002</v>
      </c>
      <c r="BH480" s="121">
        <v>21.486000000000001</v>
      </c>
      <c r="BI480" s="121">
        <v>22.991</v>
      </c>
      <c r="BJ480" s="121">
        <v>24.4605</v>
      </c>
      <c r="BK480" s="121">
        <v>25.93</v>
      </c>
      <c r="BL480" s="121">
        <v>27.332000000000001</v>
      </c>
      <c r="BM480" s="121">
        <v>28.734000000000002</v>
      </c>
      <c r="BN480" s="121">
        <v>30.103999999999999</v>
      </c>
      <c r="BO480" s="121">
        <v>31.474</v>
      </c>
      <c r="BP480" s="121">
        <v>32.869500000000002</v>
      </c>
      <c r="BQ480" s="121">
        <v>34.265000000000001</v>
      </c>
      <c r="BR480" s="121">
        <v>35.623000000000005</v>
      </c>
      <c r="BS480" s="121">
        <v>36.981000000000002</v>
      </c>
      <c r="BT480" s="121">
        <v>38.302</v>
      </c>
      <c r="BU480" s="121">
        <v>39.622999999999998</v>
      </c>
      <c r="BV480" s="121">
        <v>40.981499999999997</v>
      </c>
      <c r="BW480" s="121">
        <v>42.34</v>
      </c>
      <c r="BX480" s="121">
        <v>43.636000000000003</v>
      </c>
      <c r="BY480" s="121">
        <v>44.932000000000002</v>
      </c>
      <c r="BZ480" s="121">
        <v>46.216499999999996</v>
      </c>
      <c r="CA480" s="121">
        <v>47.500999999999998</v>
      </c>
      <c r="CB480" s="121">
        <v>48.784999999999997</v>
      </c>
      <c r="CC480" s="121">
        <v>50.069000000000003</v>
      </c>
      <c r="CD480" s="121">
        <v>51.353499999999997</v>
      </c>
      <c r="CE480" s="121">
        <v>52.637999999999998</v>
      </c>
      <c r="CF480" s="121">
        <v>53.921999999999997</v>
      </c>
      <c r="CG480" s="121">
        <v>55.206000000000003</v>
      </c>
      <c r="CH480" s="121">
        <v>56.502499999999998</v>
      </c>
      <c r="CI480" s="121">
        <v>57.798999999999999</v>
      </c>
      <c r="CJ480" s="121">
        <v>59.009500000000003</v>
      </c>
      <c r="CK480" s="121">
        <v>60.22</v>
      </c>
      <c r="CL480" s="121">
        <v>61.503999999999998</v>
      </c>
      <c r="CM480" s="121">
        <v>62.787999999999997</v>
      </c>
      <c r="CN480" s="121">
        <v>64.079499999999996</v>
      </c>
      <c r="CO480" s="121">
        <v>65.370999999999995</v>
      </c>
      <c r="CP480" s="121">
        <v>66.581999999999994</v>
      </c>
      <c r="CQ480" s="121">
        <v>67.793000000000006</v>
      </c>
      <c r="CR480" s="160">
        <v>69.052000000000007</v>
      </c>
      <c r="CS480" s="160">
        <v>70.311000000000007</v>
      </c>
      <c r="CT480" s="121">
        <f t="array" ref="CT480:CT492">TRANSPOSE(CU479:DG479)</f>
        <v>71.522000000000006</v>
      </c>
      <c r="CU480" s="158">
        <v>72.733000000000004</v>
      </c>
      <c r="CV480" s="121">
        <f>CW479</f>
        <v>73.907499999999999</v>
      </c>
      <c r="CW480" s="158">
        <v>75.153000000000006</v>
      </c>
      <c r="CX480" s="121">
        <f>CY479</f>
        <v>76.366500000000002</v>
      </c>
      <c r="CY480" s="158">
        <v>77.721999999999994</v>
      </c>
      <c r="CZ480" s="121">
        <f>DA479</f>
        <v>78.720500000000001</v>
      </c>
      <c r="DA480" s="158">
        <v>80.144000000000005</v>
      </c>
      <c r="DB480" s="121">
        <f>DC479</f>
        <v>81.153999999999996</v>
      </c>
      <c r="DC480" s="158">
        <v>82.513999999999996</v>
      </c>
      <c r="DD480" s="121">
        <f>DE479</f>
        <v>83.515500000000003</v>
      </c>
      <c r="DE480" s="158">
        <v>84.936000000000007</v>
      </c>
      <c r="DF480" s="121">
        <f>DG479</f>
        <v>85.9</v>
      </c>
      <c r="DG480" s="159">
        <v>87.355999999999995</v>
      </c>
    </row>
    <row r="481" spans="54:111" ht="15" customHeight="1" x14ac:dyDescent="0.2">
      <c r="BB481" s="28">
        <v>49</v>
      </c>
      <c r="BC481" s="121">
        <v>13.699</v>
      </c>
      <c r="BD481" s="121">
        <v>15.398499999999999</v>
      </c>
      <c r="BE481" s="121">
        <v>17.097999999999999</v>
      </c>
      <c r="BF481" s="121">
        <v>18.695249999999998</v>
      </c>
      <c r="BG481" s="121">
        <v>20.2925</v>
      </c>
      <c r="BH481" s="121">
        <v>21.8155</v>
      </c>
      <c r="BI481" s="121">
        <v>23.3385</v>
      </c>
      <c r="BJ481" s="121">
        <v>24.825499999999998</v>
      </c>
      <c r="BK481" s="121">
        <v>26.3125</v>
      </c>
      <c r="BL481" s="121">
        <v>27.747500000000002</v>
      </c>
      <c r="BM481" s="121">
        <v>29.182500000000001</v>
      </c>
      <c r="BN481" s="121">
        <v>30.58625</v>
      </c>
      <c r="BO481" s="121">
        <v>31.990000000000002</v>
      </c>
      <c r="BP481" s="121">
        <v>33.402999999999999</v>
      </c>
      <c r="BQ481" s="121">
        <v>34.816000000000003</v>
      </c>
      <c r="BR481" s="121">
        <v>36.191500000000005</v>
      </c>
      <c r="BS481" s="121">
        <v>37.567</v>
      </c>
      <c r="BT481" s="121">
        <v>38.924499999999995</v>
      </c>
      <c r="BU481" s="121">
        <v>40.281999999999996</v>
      </c>
      <c r="BV481" s="121">
        <v>41.639749999999999</v>
      </c>
      <c r="BW481" s="121">
        <v>42.997500000000002</v>
      </c>
      <c r="BX481" s="121">
        <v>44.327500000000001</v>
      </c>
      <c r="BY481" s="121">
        <v>45.657499999999999</v>
      </c>
      <c r="BZ481" s="121">
        <v>46.977999999999994</v>
      </c>
      <c r="CA481" s="121">
        <v>48.298499999999997</v>
      </c>
      <c r="CB481" s="121">
        <v>49.600499999999997</v>
      </c>
      <c r="CC481" s="121">
        <v>50.902500000000003</v>
      </c>
      <c r="CD481" s="121">
        <v>52.204749999999997</v>
      </c>
      <c r="CE481" s="121">
        <v>53.506999999999998</v>
      </c>
      <c r="CF481" s="121">
        <v>54.808749999999996</v>
      </c>
      <c r="CG481" s="121">
        <v>56.110500000000002</v>
      </c>
      <c r="CH481" s="121">
        <v>57.440750000000001</v>
      </c>
      <c r="CI481" s="121">
        <v>58.771000000000001</v>
      </c>
      <c r="CJ481" s="121">
        <v>59.999250000000004</v>
      </c>
      <c r="CK481" s="121">
        <v>61.227499999999999</v>
      </c>
      <c r="CL481" s="121">
        <v>62.529499999999999</v>
      </c>
      <c r="CM481" s="121">
        <v>63.831499999999998</v>
      </c>
      <c r="CN481" s="121">
        <v>65.137500000000003</v>
      </c>
      <c r="CO481" s="121">
        <v>66.4435</v>
      </c>
      <c r="CP481" s="121">
        <v>67.671750000000003</v>
      </c>
      <c r="CQ481" s="121">
        <v>68.761500000000012</v>
      </c>
      <c r="CR481" s="160">
        <v>70.193250000000006</v>
      </c>
      <c r="CS481" s="160">
        <v>71.334500000000006</v>
      </c>
      <c r="CT481" s="160">
        <v>72.714750000000009</v>
      </c>
      <c r="CU481" s="160">
        <f t="array" ref="CU481:CU492">TRANSPOSE(CV480:DG480)</f>
        <v>73.907499999999999</v>
      </c>
      <c r="CV481" s="120">
        <f>(CU481+CW481)/2</f>
        <v>75.190250000000006</v>
      </c>
      <c r="CW481" s="120">
        <f>(CW480+CW482)/2</f>
        <v>76.473000000000013</v>
      </c>
      <c r="CX481" s="120">
        <f>(CW481+CY481)/2</f>
        <v>77.738500000000002</v>
      </c>
      <c r="CY481" s="120">
        <f>(CY480+CY482)/2</f>
        <v>79.003999999999991</v>
      </c>
      <c r="CZ481" s="120">
        <f>(CY481+DA481)/2</f>
        <v>80.232249999999993</v>
      </c>
      <c r="DA481" s="120">
        <f>(DA480+DA482)/2</f>
        <v>81.460499999999996</v>
      </c>
      <c r="DB481" s="120">
        <f>(DA481+DC481)/2</f>
        <v>82.71674999999999</v>
      </c>
      <c r="DC481" s="120">
        <f>(DC480+DC482)/2</f>
        <v>83.972999999999999</v>
      </c>
      <c r="DD481" s="120">
        <f>(DC481+DE481)/2</f>
        <v>85.20150000000001</v>
      </c>
      <c r="DE481" s="120">
        <f>(DE480+DE482)/2</f>
        <v>86.43</v>
      </c>
      <c r="DF481" s="120">
        <f>(DE481+DG481)/2</f>
        <v>87.658000000000001</v>
      </c>
      <c r="DG481" s="122">
        <f>(DG480+DG482)/2</f>
        <v>88.885999999999996</v>
      </c>
    </row>
    <row r="482" spans="54:111" ht="15" customHeight="1" x14ac:dyDescent="0.2">
      <c r="BB482" s="28">
        <v>50</v>
      </c>
      <c r="BC482" s="121">
        <v>13.907</v>
      </c>
      <c r="BD482" s="121">
        <v>15.640499999999999</v>
      </c>
      <c r="BE482" s="121">
        <v>17.373999999999999</v>
      </c>
      <c r="BF482" s="121">
        <v>18.988999999999997</v>
      </c>
      <c r="BG482" s="121">
        <v>20.603999999999999</v>
      </c>
      <c r="BH482" s="121">
        <v>22.145</v>
      </c>
      <c r="BI482" s="121">
        <v>23.686</v>
      </c>
      <c r="BJ482" s="121">
        <v>25.1905</v>
      </c>
      <c r="BK482" s="121">
        <v>26.695</v>
      </c>
      <c r="BL482" s="121">
        <v>28.163</v>
      </c>
      <c r="BM482" s="121">
        <v>29.631</v>
      </c>
      <c r="BN482" s="121">
        <v>31.0685</v>
      </c>
      <c r="BO482" s="121">
        <v>32.506</v>
      </c>
      <c r="BP482" s="121">
        <v>33.936499999999995</v>
      </c>
      <c r="BQ482" s="121">
        <v>35.366999999999997</v>
      </c>
      <c r="BR482" s="121">
        <v>36.76</v>
      </c>
      <c r="BS482" s="121">
        <v>38.152999999999999</v>
      </c>
      <c r="BT482" s="121">
        <v>39.546999999999997</v>
      </c>
      <c r="BU482" s="121">
        <v>40.941000000000003</v>
      </c>
      <c r="BV482" s="121">
        <v>42.298000000000002</v>
      </c>
      <c r="BW482" s="121">
        <v>43.655000000000001</v>
      </c>
      <c r="BX482" s="121">
        <v>45.019000000000005</v>
      </c>
      <c r="BY482" s="121">
        <v>46.383000000000003</v>
      </c>
      <c r="BZ482" s="121">
        <v>47.7395</v>
      </c>
      <c r="CA482" s="121">
        <v>49.095999999999997</v>
      </c>
      <c r="CB482" s="121">
        <v>50.415999999999997</v>
      </c>
      <c r="CC482" s="121">
        <v>51.735999999999997</v>
      </c>
      <c r="CD482" s="121">
        <v>53.055999999999997</v>
      </c>
      <c r="CE482" s="121">
        <v>54.375999999999998</v>
      </c>
      <c r="CF482" s="121">
        <v>55.695499999999996</v>
      </c>
      <c r="CG482" s="121">
        <v>57.015000000000001</v>
      </c>
      <c r="CH482" s="121">
        <v>58.379000000000005</v>
      </c>
      <c r="CI482" s="121">
        <v>59.743000000000002</v>
      </c>
      <c r="CJ482" s="121">
        <v>60.989000000000004</v>
      </c>
      <c r="CK482" s="121">
        <v>62.234999999999999</v>
      </c>
      <c r="CL482" s="121">
        <v>63.555</v>
      </c>
      <c r="CM482" s="121">
        <v>64.875</v>
      </c>
      <c r="CN482" s="121">
        <v>66.19550000000001</v>
      </c>
      <c r="CO482" s="121">
        <v>67.516000000000005</v>
      </c>
      <c r="CP482" s="121">
        <v>68.761500000000012</v>
      </c>
      <c r="CQ482" s="121">
        <v>70.007000000000005</v>
      </c>
      <c r="CR482" s="160">
        <v>71.334500000000006</v>
      </c>
      <c r="CS482" s="160">
        <v>72.662000000000006</v>
      </c>
      <c r="CT482" s="160">
        <v>73.907499999999999</v>
      </c>
      <c r="CU482" s="160">
        <v>75.153000000000006</v>
      </c>
      <c r="CV482" s="121">
        <f t="array" ref="CV482:CV492">TRANSPOSE(CW481:DG481)</f>
        <v>76.473000000000013</v>
      </c>
      <c r="CW482" s="158">
        <v>77.793000000000006</v>
      </c>
      <c r="CX482" s="121">
        <f>CY481</f>
        <v>79.003999999999991</v>
      </c>
      <c r="CY482" s="158">
        <v>80.286000000000001</v>
      </c>
      <c r="CZ482" s="121">
        <f>DA481</f>
        <v>81.460499999999996</v>
      </c>
      <c r="DA482" s="158">
        <v>82.777000000000001</v>
      </c>
      <c r="DB482" s="121">
        <f>DC481</f>
        <v>83.972999999999999</v>
      </c>
      <c r="DC482" s="158">
        <v>85.432000000000002</v>
      </c>
      <c r="DD482" s="121">
        <f>DE481</f>
        <v>86.43</v>
      </c>
      <c r="DE482" s="158">
        <v>87.924000000000007</v>
      </c>
      <c r="DF482" s="121">
        <f>DG481</f>
        <v>88.885999999999996</v>
      </c>
      <c r="DG482" s="159">
        <v>90.415999999999997</v>
      </c>
    </row>
    <row r="483" spans="54:111" ht="15" customHeight="1" x14ac:dyDescent="0.2">
      <c r="BB483" s="28">
        <v>51</v>
      </c>
      <c r="BC483" s="121">
        <v>14.086</v>
      </c>
      <c r="BD483" s="121">
        <v>15.86425</v>
      </c>
      <c r="BE483" s="121">
        <v>17.642499999999998</v>
      </c>
      <c r="BF483" s="121">
        <v>19.27525</v>
      </c>
      <c r="BG483" s="121">
        <v>20.908000000000001</v>
      </c>
      <c r="BH483" s="121">
        <v>22.470750000000002</v>
      </c>
      <c r="BI483" s="121">
        <v>24.0335</v>
      </c>
      <c r="BJ483" s="121">
        <v>25.573999999999998</v>
      </c>
      <c r="BK483" s="121">
        <v>27.1145</v>
      </c>
      <c r="BL483" s="121">
        <v>28.6</v>
      </c>
      <c r="BM483" s="121">
        <v>30.0855</v>
      </c>
      <c r="BN483" s="121">
        <v>31.553249999999998</v>
      </c>
      <c r="BO483" s="121">
        <v>33.021000000000001</v>
      </c>
      <c r="BP483" s="121">
        <v>34.469250000000002</v>
      </c>
      <c r="BQ483" s="121">
        <v>35.917500000000004</v>
      </c>
      <c r="BR483" s="121">
        <v>37.328749999999999</v>
      </c>
      <c r="BS483" s="121">
        <v>38.739999999999995</v>
      </c>
      <c r="BT483" s="121">
        <v>40.155249999999995</v>
      </c>
      <c r="BU483" s="121">
        <v>41.570500000000003</v>
      </c>
      <c r="BV483" s="121">
        <v>42.963750000000005</v>
      </c>
      <c r="BW483" s="121">
        <v>44.356999999999999</v>
      </c>
      <c r="BX483" s="121">
        <v>45.747500000000002</v>
      </c>
      <c r="BY483" s="121">
        <v>47.138000000000005</v>
      </c>
      <c r="BZ483" s="121">
        <v>48.497749999999996</v>
      </c>
      <c r="CA483" s="121">
        <v>49.857500000000002</v>
      </c>
      <c r="CB483" s="121">
        <v>51.213250000000002</v>
      </c>
      <c r="CC483" s="121">
        <v>52.569000000000003</v>
      </c>
      <c r="CD483" s="121">
        <v>53.906999999999996</v>
      </c>
      <c r="CE483" s="121">
        <v>55.244999999999997</v>
      </c>
      <c r="CF483" s="121">
        <v>56.58625</v>
      </c>
      <c r="CG483" s="121">
        <v>57.927500000000002</v>
      </c>
      <c r="CH483" s="121">
        <v>59.317750000000004</v>
      </c>
      <c r="CI483" s="121">
        <v>60.707999999999998</v>
      </c>
      <c r="CJ483" s="121">
        <v>61.972000000000001</v>
      </c>
      <c r="CK483" s="121">
        <v>63.235999999999997</v>
      </c>
      <c r="CL483" s="121">
        <v>64.577250000000006</v>
      </c>
      <c r="CM483" s="121">
        <v>65.918499999999995</v>
      </c>
      <c r="CN483" s="121">
        <v>67.256500000000003</v>
      </c>
      <c r="CO483" s="121">
        <v>68.594500000000011</v>
      </c>
      <c r="CP483" s="121">
        <v>69.89500000000001</v>
      </c>
      <c r="CQ483" s="121">
        <v>71.028500000000008</v>
      </c>
      <c r="CR483" s="160">
        <v>72.515999999999991</v>
      </c>
      <c r="CS483" s="160">
        <v>73.697499999999991</v>
      </c>
      <c r="CT483" s="160">
        <v>75.137</v>
      </c>
      <c r="CU483" s="160">
        <v>76.366500000000002</v>
      </c>
      <c r="CV483" s="160">
        <v>77.738500000000002</v>
      </c>
      <c r="CW483" s="160">
        <f t="array" ref="CW483:CW492">TRANSPOSE(CX482:DG482)</f>
        <v>79.003999999999991</v>
      </c>
      <c r="CX483" s="120">
        <f>(CW483+CY483)/2</f>
        <v>80.326249999999987</v>
      </c>
      <c r="CY483" s="120">
        <f>(CY482+CY484)/2</f>
        <v>81.648499999999999</v>
      </c>
      <c r="CZ483" s="120">
        <f>(CY483+DA483)/2</f>
        <v>82.912000000000006</v>
      </c>
      <c r="DA483" s="120">
        <f>(DA482+DA484)/2</f>
        <v>84.1755</v>
      </c>
      <c r="DB483" s="120">
        <f>(DA483+DC483)/2</f>
        <v>85.492500000000007</v>
      </c>
      <c r="DC483" s="120">
        <f>(DC482+DC484)/2</f>
        <v>86.8095</v>
      </c>
      <c r="DD483" s="120">
        <f>(DC483+DE483)/2</f>
        <v>88.076999999999998</v>
      </c>
      <c r="DE483" s="120">
        <f>(DE482+DE484)/2</f>
        <v>89.344500000000011</v>
      </c>
      <c r="DF483" s="120">
        <f>(DE483+DG483)/2</f>
        <v>90.645250000000004</v>
      </c>
      <c r="DG483" s="122">
        <f>(DG482+DG484)/2</f>
        <v>91.945999999999998</v>
      </c>
    </row>
    <row r="484" spans="54:111" ht="15" customHeight="1" x14ac:dyDescent="0.2">
      <c r="BB484" s="28">
        <v>52</v>
      </c>
      <c r="BC484" s="121">
        <v>14.265000000000001</v>
      </c>
      <c r="BD484" s="121">
        <v>16.088000000000001</v>
      </c>
      <c r="BE484" s="121">
        <v>17.911000000000001</v>
      </c>
      <c r="BF484" s="121">
        <v>19.561500000000002</v>
      </c>
      <c r="BG484" s="121">
        <v>21.212</v>
      </c>
      <c r="BH484" s="121">
        <v>22.796500000000002</v>
      </c>
      <c r="BI484" s="121">
        <v>24.381</v>
      </c>
      <c r="BJ484" s="121">
        <v>25.9575</v>
      </c>
      <c r="BK484" s="121">
        <v>27.533999999999999</v>
      </c>
      <c r="BL484" s="121">
        <v>29.036999999999999</v>
      </c>
      <c r="BM484" s="121">
        <v>30.54</v>
      </c>
      <c r="BN484" s="121">
        <v>32.037999999999997</v>
      </c>
      <c r="BO484" s="121">
        <v>33.536000000000001</v>
      </c>
      <c r="BP484" s="121">
        <v>35.002000000000002</v>
      </c>
      <c r="BQ484" s="121">
        <v>36.468000000000004</v>
      </c>
      <c r="BR484" s="121">
        <v>37.897500000000001</v>
      </c>
      <c r="BS484" s="121">
        <v>39.326999999999998</v>
      </c>
      <c r="BT484" s="121">
        <v>40.763500000000001</v>
      </c>
      <c r="BU484" s="121">
        <v>42.2</v>
      </c>
      <c r="BV484" s="121">
        <v>43.6295</v>
      </c>
      <c r="BW484" s="121">
        <v>45.058999999999997</v>
      </c>
      <c r="BX484" s="121">
        <v>46.475999999999999</v>
      </c>
      <c r="BY484" s="121">
        <v>47.893000000000001</v>
      </c>
      <c r="BZ484" s="121">
        <v>49.256</v>
      </c>
      <c r="CA484" s="121">
        <v>50.619</v>
      </c>
      <c r="CB484" s="121">
        <v>52.0105</v>
      </c>
      <c r="CC484" s="121">
        <v>53.402000000000001</v>
      </c>
      <c r="CD484" s="121">
        <v>54.757999999999996</v>
      </c>
      <c r="CE484" s="121">
        <v>56.113999999999997</v>
      </c>
      <c r="CF484" s="121">
        <v>57.477000000000004</v>
      </c>
      <c r="CG484" s="121">
        <v>58.84</v>
      </c>
      <c r="CH484" s="121">
        <v>60.256500000000003</v>
      </c>
      <c r="CI484" s="121">
        <v>61.673000000000002</v>
      </c>
      <c r="CJ484" s="121">
        <v>62.954999999999998</v>
      </c>
      <c r="CK484" s="121">
        <v>64.236999999999995</v>
      </c>
      <c r="CL484" s="121">
        <v>65.599500000000006</v>
      </c>
      <c r="CM484" s="121">
        <v>66.962000000000003</v>
      </c>
      <c r="CN484" s="121">
        <v>68.317499999999995</v>
      </c>
      <c r="CO484" s="121">
        <v>69.673000000000002</v>
      </c>
      <c r="CP484" s="121">
        <v>71.028500000000008</v>
      </c>
      <c r="CQ484" s="121">
        <v>72.384</v>
      </c>
      <c r="CR484" s="160">
        <v>73.697499999999991</v>
      </c>
      <c r="CS484" s="160">
        <v>75.010999999999996</v>
      </c>
      <c r="CT484" s="160">
        <v>76.366500000000002</v>
      </c>
      <c r="CU484" s="160">
        <v>77.721999999999994</v>
      </c>
      <c r="CV484" s="160">
        <v>79.003999999999991</v>
      </c>
      <c r="CW484" s="160">
        <v>80.286000000000001</v>
      </c>
      <c r="CX484" s="121">
        <f t="array" ref="CX484:CX492">TRANSPOSE(CY483:DG483)</f>
        <v>81.648499999999999</v>
      </c>
      <c r="CY484" s="158">
        <v>83.010999999999996</v>
      </c>
      <c r="CZ484" s="121">
        <f>DA483</f>
        <v>84.1755</v>
      </c>
      <c r="DA484" s="158">
        <v>85.573999999999998</v>
      </c>
      <c r="DB484" s="121">
        <f>DC483</f>
        <v>86.8095</v>
      </c>
      <c r="DC484" s="158">
        <v>88.186999999999998</v>
      </c>
      <c r="DD484" s="121">
        <f>DE483</f>
        <v>89.344500000000011</v>
      </c>
      <c r="DE484" s="158">
        <v>90.765000000000001</v>
      </c>
      <c r="DF484" s="121">
        <f>DG483</f>
        <v>91.945999999999998</v>
      </c>
      <c r="DG484" s="159">
        <v>93.475999999999999</v>
      </c>
    </row>
    <row r="485" spans="54:111" ht="15" customHeight="1" x14ac:dyDescent="0.2">
      <c r="BB485" s="28">
        <v>53</v>
      </c>
      <c r="BC485" s="121">
        <v>14.498000000000001</v>
      </c>
      <c r="BD485" s="121">
        <v>16.308</v>
      </c>
      <c r="BE485" s="121">
        <v>18.118000000000002</v>
      </c>
      <c r="BF485" s="121">
        <v>19.82075</v>
      </c>
      <c r="BG485" s="121">
        <v>21.523499999999999</v>
      </c>
      <c r="BH485" s="121">
        <v>23.140500000000003</v>
      </c>
      <c r="BI485" s="121">
        <v>24.7575</v>
      </c>
      <c r="BJ485" s="121">
        <v>26.337249999999997</v>
      </c>
      <c r="BK485" s="121">
        <v>27.917000000000002</v>
      </c>
      <c r="BL485" s="121">
        <v>29.45025</v>
      </c>
      <c r="BM485" s="121">
        <v>30.983499999999999</v>
      </c>
      <c r="BN485" s="121">
        <v>32.505249999999997</v>
      </c>
      <c r="BO485" s="121">
        <v>34.027000000000001</v>
      </c>
      <c r="BP485" s="121">
        <v>35.523499999999999</v>
      </c>
      <c r="BQ485" s="121">
        <v>37.020000000000003</v>
      </c>
      <c r="BR485" s="121">
        <v>38.470500000000001</v>
      </c>
      <c r="BS485" s="121">
        <v>39.920999999999999</v>
      </c>
      <c r="BT485" s="121">
        <v>41.371750000000006</v>
      </c>
      <c r="BU485" s="121">
        <v>42.822500000000005</v>
      </c>
      <c r="BV485" s="121">
        <v>44.281999999999996</v>
      </c>
      <c r="BW485" s="121">
        <v>45.741500000000002</v>
      </c>
      <c r="BX485" s="121">
        <v>47.167249999999996</v>
      </c>
      <c r="BY485" s="121">
        <v>48.593000000000004</v>
      </c>
      <c r="BZ485" s="121">
        <v>50.001249999999999</v>
      </c>
      <c r="CA485" s="121">
        <v>51.409500000000001</v>
      </c>
      <c r="CB485" s="121">
        <v>52.822500000000005</v>
      </c>
      <c r="CC485" s="121">
        <v>54.235500000000002</v>
      </c>
      <c r="CD485" s="121">
        <v>55.609249999999996</v>
      </c>
      <c r="CE485" s="121">
        <v>56.982999999999997</v>
      </c>
      <c r="CF485" s="121">
        <v>58.376000000000005</v>
      </c>
      <c r="CG485" s="121">
        <v>59.769000000000005</v>
      </c>
      <c r="CH485" s="121">
        <v>61.191749999999999</v>
      </c>
      <c r="CI485" s="121">
        <v>62.6145</v>
      </c>
      <c r="CJ485" s="121">
        <v>63.966500000000003</v>
      </c>
      <c r="CK485" s="121">
        <v>65.3185</v>
      </c>
      <c r="CL485" s="121">
        <v>66.65825000000001</v>
      </c>
      <c r="CM485" s="121">
        <v>67.998000000000005</v>
      </c>
      <c r="CN485" s="121">
        <v>69.375</v>
      </c>
      <c r="CO485" s="121">
        <v>70.75200000000001</v>
      </c>
      <c r="CP485" s="121">
        <v>72.137750000000011</v>
      </c>
      <c r="CQ485" s="121">
        <v>73.247</v>
      </c>
      <c r="CR485" s="160">
        <v>74.83874999999999</v>
      </c>
      <c r="CS485" s="160">
        <v>75.97999999999999</v>
      </c>
      <c r="CT485" s="160">
        <v>77.543499999999995</v>
      </c>
      <c r="CU485" s="160">
        <v>78.720500000000001</v>
      </c>
      <c r="CV485" s="160">
        <v>80.232249999999993</v>
      </c>
      <c r="CW485" s="160">
        <v>81.460499999999996</v>
      </c>
      <c r="CX485" s="160">
        <v>82.912000000000006</v>
      </c>
      <c r="CY485" s="160">
        <f t="array" ref="CY485:CY492">TRANSPOSE(CZ484:DG484)</f>
        <v>84.1755</v>
      </c>
      <c r="CZ485" s="120">
        <f>(CY485+DA485)/2</f>
        <v>85.564250000000001</v>
      </c>
      <c r="DA485" s="120">
        <f>(DA484+DA486)/2</f>
        <v>86.953000000000003</v>
      </c>
      <c r="DB485" s="120">
        <f>(DA485+DC485)/2</f>
        <v>88.25</v>
      </c>
      <c r="DC485" s="120">
        <f>(DC484+DC486)/2</f>
        <v>89.546999999999997</v>
      </c>
      <c r="DD485" s="120">
        <f>(DC485+DE485)/2</f>
        <v>90.899500000000003</v>
      </c>
      <c r="DE485" s="120">
        <f>(DE484+DE486)/2</f>
        <v>92.25200000000001</v>
      </c>
      <c r="DF485" s="120">
        <f>(DE485+DG485)/2</f>
        <v>93.573250000000002</v>
      </c>
      <c r="DG485" s="122">
        <f>(DG484+DG486)/2</f>
        <v>94.894499999999994</v>
      </c>
    </row>
    <row r="486" spans="54:111" ht="15" customHeight="1" x14ac:dyDescent="0.2">
      <c r="BB486" s="28">
        <v>54</v>
      </c>
      <c r="BC486" s="121">
        <v>14.731</v>
      </c>
      <c r="BD486" s="121">
        <v>16.527999999999999</v>
      </c>
      <c r="BE486" s="121">
        <v>18.324999999999999</v>
      </c>
      <c r="BF486" s="121">
        <v>20.079999999999998</v>
      </c>
      <c r="BG486" s="121">
        <v>21.835000000000001</v>
      </c>
      <c r="BH486" s="121">
        <v>23.484500000000001</v>
      </c>
      <c r="BI486" s="121">
        <v>25.134</v>
      </c>
      <c r="BJ486" s="121">
        <v>26.716999999999999</v>
      </c>
      <c r="BK486" s="121">
        <v>28.3</v>
      </c>
      <c r="BL486" s="121">
        <v>29.863500000000002</v>
      </c>
      <c r="BM486" s="121">
        <v>31.427</v>
      </c>
      <c r="BN486" s="121">
        <v>32.972499999999997</v>
      </c>
      <c r="BO486" s="121">
        <v>34.518000000000001</v>
      </c>
      <c r="BP486" s="121">
        <v>36.045000000000002</v>
      </c>
      <c r="BQ486" s="121">
        <v>37.572000000000003</v>
      </c>
      <c r="BR486" s="121">
        <v>39.043500000000002</v>
      </c>
      <c r="BS486" s="121">
        <v>40.515000000000001</v>
      </c>
      <c r="BT486" s="121">
        <v>41.980000000000004</v>
      </c>
      <c r="BU486" s="121">
        <v>43.445</v>
      </c>
      <c r="BV486" s="121">
        <v>44.9345</v>
      </c>
      <c r="BW486" s="121">
        <v>46.423999999999999</v>
      </c>
      <c r="BX486" s="121">
        <v>47.858499999999999</v>
      </c>
      <c r="BY486" s="121">
        <v>49.292999999999999</v>
      </c>
      <c r="BZ486" s="121">
        <v>50.746499999999997</v>
      </c>
      <c r="CA486" s="121">
        <v>52.2</v>
      </c>
      <c r="CB486" s="121">
        <v>53.634500000000003</v>
      </c>
      <c r="CC486" s="121">
        <v>55.069000000000003</v>
      </c>
      <c r="CD486" s="121">
        <v>56.460499999999996</v>
      </c>
      <c r="CE486" s="121">
        <v>57.851999999999997</v>
      </c>
      <c r="CF486" s="121">
        <v>59.274999999999999</v>
      </c>
      <c r="CG486" s="121">
        <v>60.698</v>
      </c>
      <c r="CH486" s="121">
        <v>62.126999999999995</v>
      </c>
      <c r="CI486" s="121">
        <v>63.555999999999997</v>
      </c>
      <c r="CJ486" s="121">
        <v>64.978000000000009</v>
      </c>
      <c r="CK486" s="121">
        <v>66.400000000000006</v>
      </c>
      <c r="CL486" s="121">
        <v>67.717000000000013</v>
      </c>
      <c r="CM486" s="121">
        <v>69.034000000000006</v>
      </c>
      <c r="CN486" s="121">
        <v>70.432500000000005</v>
      </c>
      <c r="CO486" s="121">
        <v>71.831000000000003</v>
      </c>
      <c r="CP486" s="121">
        <v>73.247</v>
      </c>
      <c r="CQ486" s="121">
        <v>74.662999999999997</v>
      </c>
      <c r="CR486" s="160">
        <v>75.97999999999999</v>
      </c>
      <c r="CS486" s="160">
        <v>77.296999999999997</v>
      </c>
      <c r="CT486" s="160">
        <v>78.720500000000001</v>
      </c>
      <c r="CU486" s="160">
        <v>80.144000000000005</v>
      </c>
      <c r="CV486" s="160">
        <v>81.460499999999996</v>
      </c>
      <c r="CW486" s="160">
        <v>82.777000000000001</v>
      </c>
      <c r="CX486" s="160">
        <v>84.1755</v>
      </c>
      <c r="CY486" s="160">
        <v>85.573999999999998</v>
      </c>
      <c r="CZ486" s="121">
        <f t="array" ref="CZ486:CZ492">TRANSPOSE(DA485:DG485)</f>
        <v>86.953000000000003</v>
      </c>
      <c r="DA486" s="158">
        <v>88.331999999999994</v>
      </c>
      <c r="DB486" s="121">
        <f>DC485</f>
        <v>89.546999999999997</v>
      </c>
      <c r="DC486" s="158">
        <v>90.906999999999996</v>
      </c>
      <c r="DD486" s="121">
        <f>DE485</f>
        <v>92.25200000000001</v>
      </c>
      <c r="DE486" s="158">
        <v>93.739000000000004</v>
      </c>
      <c r="DF486" s="121">
        <f>DG485</f>
        <v>94.894499999999994</v>
      </c>
      <c r="DG486" s="159">
        <v>96.313000000000002</v>
      </c>
    </row>
    <row r="487" spans="54:111" ht="15" customHeight="1" x14ac:dyDescent="0.2">
      <c r="BB487" s="28">
        <v>55</v>
      </c>
      <c r="BC487" s="121">
        <v>14.9025</v>
      </c>
      <c r="BD487" s="121">
        <v>16.7515</v>
      </c>
      <c r="BE487" s="121">
        <v>18.6005</v>
      </c>
      <c r="BF487" s="121">
        <v>20.357749999999999</v>
      </c>
      <c r="BG487" s="121">
        <v>22.115000000000002</v>
      </c>
      <c r="BH487" s="121">
        <v>23.798250000000003</v>
      </c>
      <c r="BI487" s="121">
        <v>25.4815</v>
      </c>
      <c r="BJ487" s="121">
        <v>27.094249999999999</v>
      </c>
      <c r="BK487" s="121">
        <v>28.707000000000001</v>
      </c>
      <c r="BL487" s="121">
        <v>30.294500000000003</v>
      </c>
      <c r="BM487" s="121">
        <v>31.882000000000001</v>
      </c>
      <c r="BN487" s="121">
        <v>33.457749999999997</v>
      </c>
      <c r="BO487" s="121">
        <v>35.033500000000004</v>
      </c>
      <c r="BP487" s="121">
        <v>36.5655</v>
      </c>
      <c r="BQ487" s="121">
        <v>38.097499999999997</v>
      </c>
      <c r="BR487" s="121">
        <v>39.599500000000006</v>
      </c>
      <c r="BS487" s="121">
        <v>41.101500000000001</v>
      </c>
      <c r="BT487" s="121">
        <v>42.59675</v>
      </c>
      <c r="BU487" s="121">
        <v>44.091999999999999</v>
      </c>
      <c r="BV487" s="121">
        <v>45.590499999999999</v>
      </c>
      <c r="BW487" s="121">
        <v>47.088999999999999</v>
      </c>
      <c r="BX487" s="121">
        <v>48.554000000000002</v>
      </c>
      <c r="BY487" s="121">
        <v>50.018999999999998</v>
      </c>
      <c r="BZ487" s="121">
        <v>51.477499999999999</v>
      </c>
      <c r="CA487" s="121">
        <v>52.936</v>
      </c>
      <c r="CB487" s="121">
        <v>54.400999999999996</v>
      </c>
      <c r="CC487" s="121">
        <v>55.866</v>
      </c>
      <c r="CD487" s="121">
        <v>57.305749999999996</v>
      </c>
      <c r="CE487" s="121">
        <v>58.7455</v>
      </c>
      <c r="CF487" s="121">
        <v>60.174250000000001</v>
      </c>
      <c r="CG487" s="121">
        <v>61.603000000000002</v>
      </c>
      <c r="CH487" s="121">
        <v>63.064999999999998</v>
      </c>
      <c r="CI487" s="121">
        <v>64.527000000000001</v>
      </c>
      <c r="CJ487" s="121">
        <v>65.951250000000002</v>
      </c>
      <c r="CK487" s="121">
        <v>67.375500000000002</v>
      </c>
      <c r="CL487" s="121">
        <v>68.726500000000001</v>
      </c>
      <c r="CM487" s="121">
        <v>70.077500000000001</v>
      </c>
      <c r="CN487" s="121">
        <v>71.502499999999998</v>
      </c>
      <c r="CO487" s="121">
        <v>72.927500000000009</v>
      </c>
      <c r="CP487" s="121">
        <v>74.352499999999992</v>
      </c>
      <c r="CQ487" s="121">
        <v>75.457999999999998</v>
      </c>
      <c r="CR487" s="160">
        <v>77.16149999999999</v>
      </c>
      <c r="CS487" s="160">
        <v>78.342999999999989</v>
      </c>
      <c r="CT487" s="160">
        <v>79.937250000000006</v>
      </c>
      <c r="CU487" s="160">
        <v>81.153999999999996</v>
      </c>
      <c r="CV487" s="160">
        <v>82.71674999999999</v>
      </c>
      <c r="CW487" s="160">
        <v>83.972999999999999</v>
      </c>
      <c r="CX487" s="160">
        <v>85.492500000000007</v>
      </c>
      <c r="CY487" s="160">
        <v>86.8095</v>
      </c>
      <c r="CZ487" s="160">
        <v>88.25</v>
      </c>
      <c r="DA487" s="160">
        <f t="array" ref="DA487:DA492">TRANSPOSE(DB486:DG486)</f>
        <v>89.546999999999997</v>
      </c>
      <c r="DB487" s="120">
        <f>(DA487+DC487)/2</f>
        <v>90.952500000000001</v>
      </c>
      <c r="DC487" s="120">
        <f>(DC486+DC488)/2</f>
        <v>92.358000000000004</v>
      </c>
      <c r="DD487" s="120">
        <f>(DC487+DE487)/2</f>
        <v>93.783000000000001</v>
      </c>
      <c r="DE487" s="120">
        <f>(DE486+DE488)/2</f>
        <v>95.207999999999998</v>
      </c>
      <c r="DF487" s="120">
        <f>(DE487+DG487)/2</f>
        <v>96.525750000000002</v>
      </c>
      <c r="DG487" s="122">
        <f>(DG486+DG488)/2</f>
        <v>97.843500000000006</v>
      </c>
    </row>
    <row r="488" spans="54:111" ht="15" customHeight="1" x14ac:dyDescent="0.2">
      <c r="BB488" s="28">
        <v>56</v>
      </c>
      <c r="BC488" s="121">
        <v>15.074</v>
      </c>
      <c r="BD488" s="121">
        <v>16.975000000000001</v>
      </c>
      <c r="BE488" s="121">
        <v>18.876000000000001</v>
      </c>
      <c r="BF488" s="121">
        <v>20.6355</v>
      </c>
      <c r="BG488" s="121">
        <v>22.395</v>
      </c>
      <c r="BH488" s="121">
        <v>24.112000000000002</v>
      </c>
      <c r="BI488" s="121">
        <v>25.829000000000001</v>
      </c>
      <c r="BJ488" s="121">
        <v>27.471499999999999</v>
      </c>
      <c r="BK488" s="121">
        <v>29.114000000000001</v>
      </c>
      <c r="BL488" s="121">
        <v>30.725500000000004</v>
      </c>
      <c r="BM488" s="121">
        <v>32.337000000000003</v>
      </c>
      <c r="BN488" s="121">
        <v>33.942999999999998</v>
      </c>
      <c r="BO488" s="121">
        <v>35.548999999999999</v>
      </c>
      <c r="BP488" s="121">
        <v>37.085999999999999</v>
      </c>
      <c r="BQ488" s="121">
        <v>38.622999999999998</v>
      </c>
      <c r="BR488" s="121">
        <v>40.155500000000004</v>
      </c>
      <c r="BS488" s="121">
        <v>41.688000000000002</v>
      </c>
      <c r="BT488" s="121">
        <v>43.213499999999996</v>
      </c>
      <c r="BU488" s="121">
        <v>44.738999999999997</v>
      </c>
      <c r="BV488" s="121">
        <v>46.246499999999997</v>
      </c>
      <c r="BW488" s="121">
        <v>47.753999999999998</v>
      </c>
      <c r="BX488" s="121">
        <v>49.249499999999998</v>
      </c>
      <c r="BY488" s="121">
        <v>50.744999999999997</v>
      </c>
      <c r="BZ488" s="121">
        <v>52.208500000000001</v>
      </c>
      <c r="CA488" s="121">
        <v>53.671999999999997</v>
      </c>
      <c r="CB488" s="121">
        <v>55.167499999999997</v>
      </c>
      <c r="CC488" s="121">
        <v>56.662999999999997</v>
      </c>
      <c r="CD488" s="121">
        <v>58.150999999999996</v>
      </c>
      <c r="CE488" s="121">
        <v>59.639000000000003</v>
      </c>
      <c r="CF488" s="121">
        <v>61.073500000000003</v>
      </c>
      <c r="CG488" s="121">
        <v>62.508000000000003</v>
      </c>
      <c r="CH488" s="121">
        <v>64.003</v>
      </c>
      <c r="CI488" s="121">
        <v>65.498000000000005</v>
      </c>
      <c r="CJ488" s="121">
        <v>66.924499999999995</v>
      </c>
      <c r="CK488" s="121">
        <v>68.350999999999999</v>
      </c>
      <c r="CL488" s="121">
        <v>69.73599999999999</v>
      </c>
      <c r="CM488" s="121">
        <v>71.120999999999995</v>
      </c>
      <c r="CN488" s="121">
        <v>72.572499999999991</v>
      </c>
      <c r="CO488" s="121">
        <v>74.024000000000001</v>
      </c>
      <c r="CP488" s="121">
        <v>75.457999999999998</v>
      </c>
      <c r="CQ488" s="121">
        <v>76.891999999999996</v>
      </c>
      <c r="CR488" s="160">
        <v>78.342999999999989</v>
      </c>
      <c r="CS488" s="160">
        <v>79.793999999999997</v>
      </c>
      <c r="CT488" s="160">
        <v>81.153999999999996</v>
      </c>
      <c r="CU488" s="160">
        <v>82.513999999999996</v>
      </c>
      <c r="CV488" s="160">
        <v>83.972999999999999</v>
      </c>
      <c r="CW488" s="160">
        <v>85.432000000000002</v>
      </c>
      <c r="CX488" s="160">
        <v>86.8095</v>
      </c>
      <c r="CY488" s="160">
        <v>88.186999999999998</v>
      </c>
      <c r="CZ488" s="160">
        <v>89.546999999999997</v>
      </c>
      <c r="DA488" s="160">
        <v>90.906999999999996</v>
      </c>
      <c r="DB488" s="121">
        <f t="array" ref="DB488:DB492">TRANSPOSE(DC487:DG487)</f>
        <v>92.358000000000004</v>
      </c>
      <c r="DC488" s="158">
        <v>93.808999999999997</v>
      </c>
      <c r="DD488" s="121">
        <f>DE487</f>
        <v>95.207999999999998</v>
      </c>
      <c r="DE488" s="158">
        <v>96.677000000000007</v>
      </c>
      <c r="DF488" s="121">
        <f>DG487</f>
        <v>97.843500000000006</v>
      </c>
      <c r="DG488" s="159">
        <v>99.373999999999995</v>
      </c>
    </row>
    <row r="489" spans="54:111" ht="15" customHeight="1" x14ac:dyDescent="0.2">
      <c r="BB489" s="28">
        <v>57</v>
      </c>
      <c r="BC489" s="121">
        <v>15.306999999999999</v>
      </c>
      <c r="BD489" s="121">
        <v>17.213750000000001</v>
      </c>
      <c r="BE489" s="121">
        <v>19.1205</v>
      </c>
      <c r="BF489" s="121">
        <v>20.913499999999999</v>
      </c>
      <c r="BG489" s="121">
        <v>22.706499999999998</v>
      </c>
      <c r="BH489" s="121">
        <v>24.441000000000003</v>
      </c>
      <c r="BI489" s="121">
        <v>26.1755</v>
      </c>
      <c r="BJ489" s="121">
        <v>27.850999999999999</v>
      </c>
      <c r="BK489" s="121">
        <v>29.526499999999999</v>
      </c>
      <c r="BL489" s="121">
        <v>31.15325</v>
      </c>
      <c r="BM489" s="121">
        <v>32.78</v>
      </c>
      <c r="BN489" s="121">
        <v>34.391750000000002</v>
      </c>
      <c r="BO489" s="121">
        <v>36.003500000000003</v>
      </c>
      <c r="BP489" s="121">
        <v>37.588749999999997</v>
      </c>
      <c r="BQ489" s="121">
        <v>39.173999999999999</v>
      </c>
      <c r="BR489" s="121">
        <v>40.724500000000006</v>
      </c>
      <c r="BS489" s="121">
        <v>42.275000000000006</v>
      </c>
      <c r="BT489" s="121">
        <v>43.821749999999994</v>
      </c>
      <c r="BU489" s="121">
        <v>45.368499999999997</v>
      </c>
      <c r="BV489" s="121">
        <v>46.905999999999999</v>
      </c>
      <c r="BW489" s="121">
        <v>48.4435</v>
      </c>
      <c r="BX489" s="121">
        <v>49.959499999999998</v>
      </c>
      <c r="BY489" s="121">
        <v>51.475499999999997</v>
      </c>
      <c r="BZ489" s="121">
        <v>52.972750000000005</v>
      </c>
      <c r="CA489" s="121">
        <v>54.47</v>
      </c>
      <c r="CB489" s="121">
        <v>55.983249999999998</v>
      </c>
      <c r="CC489" s="121">
        <v>57.496499999999997</v>
      </c>
      <c r="CD489" s="121">
        <v>58.983999999999995</v>
      </c>
      <c r="CE489" s="121">
        <v>60.471500000000006</v>
      </c>
      <c r="CF489" s="121">
        <v>61.954250000000002</v>
      </c>
      <c r="CG489" s="121">
        <v>63.436999999999998</v>
      </c>
      <c r="CH489" s="121">
        <v>64.900749999999988</v>
      </c>
      <c r="CI489" s="121">
        <v>66.364499999999992</v>
      </c>
      <c r="CJ489" s="121">
        <v>67.824999999999989</v>
      </c>
      <c r="CK489" s="121">
        <v>69.285499999999999</v>
      </c>
      <c r="CL489" s="121">
        <v>70.721499999999992</v>
      </c>
      <c r="CM489" s="121">
        <v>72.157499999999999</v>
      </c>
      <c r="CN489" s="121">
        <v>73.63024999999999</v>
      </c>
      <c r="CO489" s="121">
        <v>75.103000000000009</v>
      </c>
      <c r="CP489" s="121">
        <v>76.567000000000007</v>
      </c>
      <c r="CQ489" s="121">
        <v>77.676000000000002</v>
      </c>
      <c r="CR489" s="160">
        <v>79.487749999999991</v>
      </c>
      <c r="CS489" s="160">
        <v>80.632499999999993</v>
      </c>
      <c r="CT489" s="160">
        <v>82.33475</v>
      </c>
      <c r="CU489" s="160">
        <v>83.515500000000003</v>
      </c>
      <c r="CV489" s="160">
        <v>85.20150000000001</v>
      </c>
      <c r="CW489" s="160">
        <v>86.43</v>
      </c>
      <c r="CX489" s="160">
        <v>88.076999999999998</v>
      </c>
      <c r="CY489" s="160">
        <v>89.344500000000011</v>
      </c>
      <c r="CZ489" s="160">
        <v>90.899500000000003</v>
      </c>
      <c r="DA489" s="160">
        <v>92.25200000000001</v>
      </c>
      <c r="DB489" s="160">
        <v>93.783000000000001</v>
      </c>
      <c r="DC489" s="160">
        <f t="array" ref="DC489:DC492">TRANSPOSE(DD488:DG488)</f>
        <v>95.207999999999998</v>
      </c>
      <c r="DD489" s="120">
        <f>(DC489+DE489)/2</f>
        <v>96.634250000000009</v>
      </c>
      <c r="DE489" s="120">
        <f>(DE488+DE490)/2</f>
        <v>98.060500000000005</v>
      </c>
      <c r="DF489" s="120">
        <f>(DE489+DG489)/2</f>
        <v>99.478250000000003</v>
      </c>
      <c r="DG489" s="122">
        <f>(DG488+DG490)/2</f>
        <v>100.896</v>
      </c>
    </row>
    <row r="490" spans="54:111" ht="15" customHeight="1" x14ac:dyDescent="0.2">
      <c r="BB490" s="28">
        <v>58</v>
      </c>
      <c r="BC490" s="121">
        <v>15.54</v>
      </c>
      <c r="BD490" s="121">
        <v>17.452500000000001</v>
      </c>
      <c r="BE490" s="121">
        <v>19.364999999999998</v>
      </c>
      <c r="BF490" s="121">
        <v>21.191499999999998</v>
      </c>
      <c r="BG490" s="121">
        <v>23.018000000000001</v>
      </c>
      <c r="BH490" s="121">
        <v>24.77</v>
      </c>
      <c r="BI490" s="121">
        <v>26.521999999999998</v>
      </c>
      <c r="BJ490" s="121">
        <v>28.230499999999999</v>
      </c>
      <c r="BK490" s="121">
        <v>29.939</v>
      </c>
      <c r="BL490" s="121">
        <v>31.581</v>
      </c>
      <c r="BM490" s="121">
        <v>33.222999999999999</v>
      </c>
      <c r="BN490" s="121">
        <v>34.840499999999999</v>
      </c>
      <c r="BO490" s="121">
        <v>36.457999999999998</v>
      </c>
      <c r="BP490" s="121">
        <v>38.091499999999996</v>
      </c>
      <c r="BQ490" s="121">
        <v>39.725000000000001</v>
      </c>
      <c r="BR490" s="121">
        <v>41.293500000000002</v>
      </c>
      <c r="BS490" s="121">
        <v>42.862000000000002</v>
      </c>
      <c r="BT490" s="121">
        <v>44.43</v>
      </c>
      <c r="BU490" s="121">
        <v>45.997999999999998</v>
      </c>
      <c r="BV490" s="121">
        <v>47.5655</v>
      </c>
      <c r="BW490" s="121">
        <v>49.133000000000003</v>
      </c>
      <c r="BX490" s="121">
        <v>50.669499999999999</v>
      </c>
      <c r="BY490" s="121">
        <v>52.206000000000003</v>
      </c>
      <c r="BZ490" s="121">
        <v>53.737000000000002</v>
      </c>
      <c r="CA490" s="121">
        <v>55.268000000000001</v>
      </c>
      <c r="CB490" s="121">
        <v>56.798999999999999</v>
      </c>
      <c r="CC490" s="121">
        <v>58.33</v>
      </c>
      <c r="CD490" s="121">
        <v>59.817</v>
      </c>
      <c r="CE490" s="121">
        <v>61.304000000000002</v>
      </c>
      <c r="CF490" s="121">
        <v>62.835000000000001</v>
      </c>
      <c r="CG490" s="121">
        <v>64.366</v>
      </c>
      <c r="CH490" s="121">
        <v>65.79849999999999</v>
      </c>
      <c r="CI490" s="121">
        <v>67.230999999999995</v>
      </c>
      <c r="CJ490" s="121">
        <v>68.725499999999997</v>
      </c>
      <c r="CK490" s="121">
        <v>70.22</v>
      </c>
      <c r="CL490" s="121">
        <v>71.706999999999994</v>
      </c>
      <c r="CM490" s="121">
        <v>73.194000000000003</v>
      </c>
      <c r="CN490" s="121">
        <v>74.688000000000002</v>
      </c>
      <c r="CO490" s="121">
        <v>76.182000000000002</v>
      </c>
      <c r="CP490" s="121">
        <v>77.676000000000002</v>
      </c>
      <c r="CQ490" s="121">
        <v>79.17</v>
      </c>
      <c r="CR490" s="160">
        <v>80.632499999999993</v>
      </c>
      <c r="CS490" s="160">
        <v>82.094999999999999</v>
      </c>
      <c r="CT490" s="160">
        <v>83.515500000000003</v>
      </c>
      <c r="CU490" s="160">
        <v>84.936000000000007</v>
      </c>
      <c r="CV490" s="160">
        <v>86.43</v>
      </c>
      <c r="CW490" s="160">
        <v>87.924000000000007</v>
      </c>
      <c r="CX490" s="160">
        <v>89.344500000000011</v>
      </c>
      <c r="CY490" s="160">
        <v>90.765000000000001</v>
      </c>
      <c r="CZ490" s="160">
        <v>92.25200000000001</v>
      </c>
      <c r="DA490" s="160">
        <v>93.739000000000004</v>
      </c>
      <c r="DB490" s="160">
        <v>95.207999999999998</v>
      </c>
      <c r="DC490" s="160">
        <v>96.677000000000007</v>
      </c>
      <c r="DD490" s="121">
        <f t="array" ref="DD490:DD492">TRANSPOSE(DE489:DG489)</f>
        <v>98.060500000000005</v>
      </c>
      <c r="DE490" s="158">
        <v>99.444000000000003</v>
      </c>
      <c r="DF490" s="121">
        <f>DG489</f>
        <v>100.896</v>
      </c>
      <c r="DG490" s="159">
        <v>102.41800000000001</v>
      </c>
    </row>
    <row r="491" spans="54:111" ht="15" customHeight="1" x14ac:dyDescent="0.2">
      <c r="BB491" s="28">
        <v>59</v>
      </c>
      <c r="BC491" s="121">
        <v>15.718999999999999</v>
      </c>
      <c r="BD491" s="121">
        <v>17.661750000000001</v>
      </c>
      <c r="BE491" s="121">
        <v>19.604500000000002</v>
      </c>
      <c r="BF491" s="121">
        <v>21.463000000000001</v>
      </c>
      <c r="BG491" s="121">
        <v>23.3215</v>
      </c>
      <c r="BH491" s="121">
        <v>25.091749999999998</v>
      </c>
      <c r="BI491" s="121">
        <v>26.862000000000002</v>
      </c>
      <c r="BJ491" s="121">
        <v>28.591750000000001</v>
      </c>
      <c r="BK491" s="121">
        <v>30.3215</v>
      </c>
      <c r="BL491" s="121">
        <v>31.999749999999999</v>
      </c>
      <c r="BM491" s="121">
        <v>33.677999999999997</v>
      </c>
      <c r="BN491" s="121">
        <v>35.325500000000005</v>
      </c>
      <c r="BO491" s="121">
        <v>36.972999999999999</v>
      </c>
      <c r="BP491" s="121">
        <v>38.61</v>
      </c>
      <c r="BQ491" s="121">
        <v>40.247</v>
      </c>
      <c r="BR491" s="121">
        <v>41.847750000000005</v>
      </c>
      <c r="BS491" s="121">
        <v>43.448499999999996</v>
      </c>
      <c r="BT491" s="121">
        <v>45.033999999999999</v>
      </c>
      <c r="BU491" s="121">
        <v>46.619500000000002</v>
      </c>
      <c r="BV491" s="121">
        <v>48.205249999999999</v>
      </c>
      <c r="BW491" s="121">
        <v>49.790999999999997</v>
      </c>
      <c r="BX491" s="121">
        <v>51.360999999999997</v>
      </c>
      <c r="BY491" s="121">
        <v>52.930999999999997</v>
      </c>
      <c r="BZ491" s="121">
        <v>54.480000000000004</v>
      </c>
      <c r="CA491" s="121">
        <v>56.028999999999996</v>
      </c>
      <c r="CB491" s="121">
        <v>57.577500000000001</v>
      </c>
      <c r="CC491" s="121">
        <v>59.125999999999998</v>
      </c>
      <c r="CD491" s="121">
        <v>60.649500000000003</v>
      </c>
      <c r="CE491" s="121">
        <v>62.173000000000002</v>
      </c>
      <c r="CF491" s="121">
        <v>63.703249999999997</v>
      </c>
      <c r="CG491" s="121">
        <v>65.233499999999992</v>
      </c>
      <c r="CH491" s="121">
        <v>66.714499999999987</v>
      </c>
      <c r="CI491" s="121">
        <v>68.195499999999996</v>
      </c>
      <c r="CJ491" s="121">
        <v>69.877250000000004</v>
      </c>
      <c r="CK491" s="121">
        <v>71.558999999999997</v>
      </c>
      <c r="CL491" s="121">
        <v>72.897999999999996</v>
      </c>
      <c r="CM491" s="121">
        <v>74.236999999999995</v>
      </c>
      <c r="CN491" s="121">
        <v>75.748750000000001</v>
      </c>
      <c r="CO491" s="121">
        <v>77.260500000000008</v>
      </c>
      <c r="CP491" s="121">
        <v>78.769000000000005</v>
      </c>
      <c r="CQ491" s="121">
        <v>79.861999999999995</v>
      </c>
      <c r="CR491" s="160">
        <v>81.773499999999999</v>
      </c>
      <c r="CS491" s="160">
        <v>82.914500000000004</v>
      </c>
      <c r="CT491" s="160">
        <v>84.707750000000004</v>
      </c>
      <c r="CU491" s="160">
        <v>85.9</v>
      </c>
      <c r="CV491" s="160">
        <v>87.658000000000001</v>
      </c>
      <c r="CW491" s="160">
        <v>88.885999999999996</v>
      </c>
      <c r="CX491" s="160">
        <v>90.645250000000004</v>
      </c>
      <c r="CY491" s="160">
        <v>91.945999999999998</v>
      </c>
      <c r="CZ491" s="160">
        <v>93.573250000000002</v>
      </c>
      <c r="DA491" s="160">
        <v>94.894499999999994</v>
      </c>
      <c r="DB491" s="160">
        <v>96.525750000000002</v>
      </c>
      <c r="DC491" s="160">
        <v>97.843500000000006</v>
      </c>
      <c r="DD491" s="160">
        <v>99.478250000000003</v>
      </c>
      <c r="DE491" s="160">
        <f t="array" ref="DE491:DE492">TRANSPOSE(DF490:DG490)</f>
        <v>100.896</v>
      </c>
      <c r="DF491" s="120">
        <f>(DE491+DG491)/2</f>
        <v>102.3665</v>
      </c>
      <c r="DG491" s="122">
        <f>(DG490+DG492)/2</f>
        <v>103.837</v>
      </c>
    </row>
    <row r="492" spans="54:111" ht="15" customHeight="1" thickBot="1" x14ac:dyDescent="0.25">
      <c r="BB492" s="149">
        <v>60</v>
      </c>
      <c r="BC492" s="123">
        <v>15.898</v>
      </c>
      <c r="BD492" s="123">
        <v>17.871000000000002</v>
      </c>
      <c r="BE492" s="123">
        <v>19.844000000000001</v>
      </c>
      <c r="BF492" s="123">
        <v>21.734500000000001</v>
      </c>
      <c r="BG492" s="123">
        <v>23.625</v>
      </c>
      <c r="BH492" s="123">
        <v>25.413499999999999</v>
      </c>
      <c r="BI492" s="123">
        <v>27.202000000000002</v>
      </c>
      <c r="BJ492" s="123">
        <v>28.953000000000003</v>
      </c>
      <c r="BK492" s="123">
        <v>30.704000000000001</v>
      </c>
      <c r="BL492" s="123">
        <v>32.418500000000002</v>
      </c>
      <c r="BM492" s="123">
        <v>34.133000000000003</v>
      </c>
      <c r="BN492" s="123">
        <v>35.810500000000005</v>
      </c>
      <c r="BO492" s="123">
        <v>37.488</v>
      </c>
      <c r="BP492" s="123">
        <v>39.128500000000003</v>
      </c>
      <c r="BQ492" s="123">
        <v>40.768999999999998</v>
      </c>
      <c r="BR492" s="123">
        <v>42.402000000000001</v>
      </c>
      <c r="BS492" s="123">
        <v>44.034999999999997</v>
      </c>
      <c r="BT492" s="123">
        <v>45.637999999999998</v>
      </c>
      <c r="BU492" s="123">
        <v>47.241</v>
      </c>
      <c r="BV492" s="123">
        <v>48.844999999999999</v>
      </c>
      <c r="BW492" s="123">
        <v>50.448999999999998</v>
      </c>
      <c r="BX492" s="123">
        <v>52.052499999999995</v>
      </c>
      <c r="BY492" s="123">
        <v>53.655999999999999</v>
      </c>
      <c r="BZ492" s="123">
        <v>55.222999999999999</v>
      </c>
      <c r="CA492" s="123">
        <v>56.79</v>
      </c>
      <c r="CB492" s="123">
        <v>58.355999999999995</v>
      </c>
      <c r="CC492" s="123">
        <v>59.921999999999997</v>
      </c>
      <c r="CD492" s="123">
        <v>61.481999999999999</v>
      </c>
      <c r="CE492" s="123">
        <v>63.042000000000002</v>
      </c>
      <c r="CF492" s="123">
        <v>64.5715</v>
      </c>
      <c r="CG492" s="123">
        <v>66.100999999999999</v>
      </c>
      <c r="CH492" s="123">
        <v>67.630499999999998</v>
      </c>
      <c r="CI492" s="123">
        <v>69.16</v>
      </c>
      <c r="CJ492" s="123">
        <v>71.028999999999996</v>
      </c>
      <c r="CK492" s="123">
        <v>72.897999999999996</v>
      </c>
      <c r="CL492" s="123">
        <v>74.088999999999999</v>
      </c>
      <c r="CM492" s="123">
        <v>75.28</v>
      </c>
      <c r="CN492" s="123">
        <v>76.8095</v>
      </c>
      <c r="CO492" s="123">
        <v>78.338999999999999</v>
      </c>
      <c r="CP492" s="123">
        <v>79.861999999999995</v>
      </c>
      <c r="CQ492" s="123">
        <v>81.385000000000005</v>
      </c>
      <c r="CR492" s="161">
        <v>82.914500000000004</v>
      </c>
      <c r="CS492" s="161">
        <v>84.444000000000003</v>
      </c>
      <c r="CT492" s="161">
        <v>85.9</v>
      </c>
      <c r="CU492" s="161">
        <v>87.355999999999995</v>
      </c>
      <c r="CV492" s="161">
        <v>88.885999999999996</v>
      </c>
      <c r="CW492" s="161">
        <v>90.415999999999997</v>
      </c>
      <c r="CX492" s="161">
        <v>91.945999999999998</v>
      </c>
      <c r="CY492" s="161">
        <v>93.475999999999999</v>
      </c>
      <c r="CZ492" s="161">
        <v>94.894499999999994</v>
      </c>
      <c r="DA492" s="161">
        <v>96.313000000000002</v>
      </c>
      <c r="DB492" s="161">
        <v>97.843500000000006</v>
      </c>
      <c r="DC492" s="161">
        <v>99.373999999999995</v>
      </c>
      <c r="DD492" s="161">
        <v>100.896</v>
      </c>
      <c r="DE492" s="161">
        <v>102.41800000000001</v>
      </c>
      <c r="DF492" s="151">
        <f>DG491</f>
        <v>103.837</v>
      </c>
      <c r="DG492" s="162">
        <v>105.256</v>
      </c>
    </row>
    <row r="493" spans="54:111" ht="15" customHeight="1" thickBot="1" x14ac:dyDescent="0.25">
      <c r="BB493" s="25"/>
      <c r="BC493" s="25"/>
      <c r="BD493" s="25"/>
      <c r="BE493" s="25"/>
      <c r="BF493" s="25"/>
      <c r="BG493" s="25"/>
      <c r="BH493" s="25"/>
      <c r="BI493" s="25"/>
      <c r="BJ493" s="25"/>
      <c r="BK493" s="25"/>
      <c r="BL493" s="25"/>
      <c r="BM493" s="25"/>
      <c r="BN493" s="25"/>
      <c r="BO493" s="25"/>
      <c r="BP493" s="25"/>
      <c r="BQ493" s="25"/>
      <c r="BR493" s="25"/>
      <c r="BS493" s="25"/>
      <c r="BT493" s="25"/>
      <c r="BU493" s="25"/>
      <c r="BV493" s="25"/>
      <c r="BW493" s="25"/>
      <c r="BX493" s="25"/>
      <c r="BY493" s="25"/>
      <c r="BZ493" s="25"/>
      <c r="CA493" s="25"/>
      <c r="CB493" s="25"/>
      <c r="CC493" s="25"/>
      <c r="CD493" s="25"/>
      <c r="CE493" s="25"/>
      <c r="CF493" s="25"/>
      <c r="CG493" s="25"/>
      <c r="CH493" s="25"/>
      <c r="CI493" s="25"/>
      <c r="CJ493" s="25"/>
      <c r="CK493" s="25"/>
      <c r="CL493" s="25"/>
      <c r="CM493" s="25"/>
      <c r="CN493" s="25"/>
      <c r="CO493" s="25"/>
      <c r="CP493" s="25"/>
      <c r="CQ493" s="25"/>
    </row>
    <row r="494" spans="54:111" ht="15" customHeight="1" thickBot="1" x14ac:dyDescent="0.3">
      <c r="BB494" s="1841" t="s">
        <v>302</v>
      </c>
      <c r="BC494" s="1842"/>
      <c r="BD494" s="1842"/>
      <c r="BE494" s="1842"/>
      <c r="BF494" s="1842"/>
      <c r="BG494" s="1842"/>
      <c r="BH494" s="1842"/>
      <c r="BI494" s="1842"/>
      <c r="BJ494" s="1842"/>
      <c r="BK494" s="1842"/>
      <c r="BL494" s="1842"/>
      <c r="BM494" s="1842"/>
      <c r="BN494" s="1842"/>
      <c r="BO494" s="1842"/>
      <c r="BP494" s="1842"/>
      <c r="BQ494" s="1842"/>
      <c r="BR494" s="1842"/>
      <c r="BS494" s="1842"/>
      <c r="BT494" s="1842"/>
      <c r="BU494" s="1842"/>
      <c r="BV494" s="1842"/>
      <c r="BW494" s="1842"/>
      <c r="BX494" s="1842"/>
      <c r="BY494" s="1842"/>
      <c r="BZ494" s="1842"/>
      <c r="CA494" s="1842"/>
      <c r="CB494" s="1842"/>
      <c r="CC494" s="1842"/>
      <c r="CD494" s="1842"/>
      <c r="CE494" s="1842"/>
      <c r="CF494" s="1842"/>
      <c r="CG494" s="1842"/>
      <c r="CH494" s="1842"/>
      <c r="CI494" s="1842"/>
      <c r="CJ494" s="1842"/>
      <c r="CK494" s="1842"/>
      <c r="CL494" s="1842"/>
      <c r="CM494" s="1842"/>
      <c r="CN494" s="1842"/>
      <c r="CO494" s="1842"/>
      <c r="CP494" s="1842"/>
      <c r="CQ494" s="1842"/>
      <c r="CR494" s="1842"/>
      <c r="CS494" s="1842"/>
      <c r="CT494" s="1842"/>
      <c r="CU494" s="1842"/>
      <c r="CV494" s="1842"/>
      <c r="CW494" s="1842"/>
      <c r="CX494" s="1842"/>
      <c r="CY494" s="1842"/>
      <c r="CZ494" s="1842"/>
      <c r="DA494" s="1842"/>
      <c r="DB494" s="1842"/>
      <c r="DC494" s="1842"/>
      <c r="DD494" s="1842"/>
      <c r="DE494" s="1842"/>
      <c r="DF494" s="1842"/>
      <c r="DG494" s="1843"/>
    </row>
    <row r="495" spans="54:111" ht="15" customHeight="1" x14ac:dyDescent="0.2">
      <c r="BB495" s="146"/>
      <c r="BC495" s="147">
        <v>4</v>
      </c>
      <c r="BD495" s="147">
        <v>5</v>
      </c>
      <c r="BE495" s="147">
        <v>6</v>
      </c>
      <c r="BF495" s="147">
        <v>7</v>
      </c>
      <c r="BG495" s="147">
        <v>8</v>
      </c>
      <c r="BH495" s="147">
        <v>9</v>
      </c>
      <c r="BI495" s="147">
        <v>10</v>
      </c>
      <c r="BJ495" s="147">
        <v>11</v>
      </c>
      <c r="BK495" s="147">
        <v>12</v>
      </c>
      <c r="BL495" s="147">
        <v>13</v>
      </c>
      <c r="BM495" s="147">
        <v>14</v>
      </c>
      <c r="BN495" s="147">
        <v>15</v>
      </c>
      <c r="BO495" s="147">
        <v>16</v>
      </c>
      <c r="BP495" s="147">
        <v>17</v>
      </c>
      <c r="BQ495" s="147">
        <v>18</v>
      </c>
      <c r="BR495" s="147">
        <v>19</v>
      </c>
      <c r="BS495" s="147">
        <v>20</v>
      </c>
      <c r="BT495" s="147">
        <v>21</v>
      </c>
      <c r="BU495" s="147">
        <v>22</v>
      </c>
      <c r="BV495" s="147">
        <v>23</v>
      </c>
      <c r="BW495" s="147">
        <v>24</v>
      </c>
      <c r="BX495" s="147">
        <v>25</v>
      </c>
      <c r="BY495" s="147">
        <v>26</v>
      </c>
      <c r="BZ495" s="147">
        <v>27</v>
      </c>
      <c r="CA495" s="147">
        <v>28</v>
      </c>
      <c r="CB495" s="147">
        <v>29</v>
      </c>
      <c r="CC495" s="147">
        <v>30</v>
      </c>
      <c r="CD495" s="147">
        <v>31</v>
      </c>
      <c r="CE495" s="147">
        <v>32</v>
      </c>
      <c r="CF495" s="147">
        <v>33</v>
      </c>
      <c r="CG495" s="147">
        <v>34</v>
      </c>
      <c r="CH495" s="147">
        <v>35</v>
      </c>
      <c r="CI495" s="147">
        <v>36</v>
      </c>
      <c r="CJ495" s="147">
        <v>37</v>
      </c>
      <c r="CK495" s="147">
        <v>38</v>
      </c>
      <c r="CL495" s="147">
        <v>39</v>
      </c>
      <c r="CM495" s="147">
        <v>40</v>
      </c>
      <c r="CN495" s="147">
        <v>41</v>
      </c>
      <c r="CO495" s="147">
        <v>42</v>
      </c>
      <c r="CP495" s="147">
        <v>43</v>
      </c>
      <c r="CQ495" s="147">
        <v>44</v>
      </c>
      <c r="CR495" s="147">
        <v>45</v>
      </c>
      <c r="CS495" s="147">
        <v>46</v>
      </c>
      <c r="CT495" s="147">
        <v>47</v>
      </c>
      <c r="CU495" s="147">
        <v>48</v>
      </c>
      <c r="CV495" s="147">
        <v>49</v>
      </c>
      <c r="CW495" s="147">
        <v>50</v>
      </c>
      <c r="CX495" s="147">
        <v>51</v>
      </c>
      <c r="CY495" s="147">
        <v>52</v>
      </c>
      <c r="CZ495" s="147">
        <v>53</v>
      </c>
      <c r="DA495" s="147">
        <v>54</v>
      </c>
      <c r="DB495" s="147">
        <v>55</v>
      </c>
      <c r="DC495" s="147">
        <v>56</v>
      </c>
      <c r="DD495" s="147">
        <v>57</v>
      </c>
      <c r="DE495" s="147">
        <v>58</v>
      </c>
      <c r="DF495" s="147">
        <v>59</v>
      </c>
      <c r="DG495" s="148">
        <v>60</v>
      </c>
    </row>
    <row r="496" spans="54:111" ht="15" customHeight="1" x14ac:dyDescent="0.2">
      <c r="BB496" s="28">
        <v>4</v>
      </c>
      <c r="BC496" s="156">
        <v>2.5430000000000001</v>
      </c>
      <c r="BD496" s="120">
        <f>(BE496+BC496)/2</f>
        <v>2.8205</v>
      </c>
      <c r="BE496" s="156">
        <v>3.0979999999999999</v>
      </c>
      <c r="BF496" s="120">
        <f>(BG496+BE496)/2</f>
        <v>3.3979999999999997</v>
      </c>
      <c r="BG496" s="156">
        <v>3.698</v>
      </c>
      <c r="BH496" s="120">
        <f>(BI496+BG496)/2</f>
        <v>3.9435000000000002</v>
      </c>
      <c r="BI496" s="156">
        <v>4.1890000000000001</v>
      </c>
      <c r="BJ496" s="120">
        <f>(BK496+BI496)/2</f>
        <v>4.4405000000000001</v>
      </c>
      <c r="BK496" s="156">
        <v>4.6920000000000002</v>
      </c>
      <c r="BL496" s="120">
        <f>(BM496+BK496)/2</f>
        <v>4.9279999999999999</v>
      </c>
      <c r="BM496" s="156">
        <v>5.1639999999999997</v>
      </c>
      <c r="BN496" s="120">
        <f>(BO496+BM496)/2</f>
        <v>5.3769999999999998</v>
      </c>
      <c r="BO496" s="156">
        <v>5.59</v>
      </c>
      <c r="BP496" s="120">
        <f>(BQ496+BO496)/2</f>
        <v>5.8254999999999999</v>
      </c>
      <c r="BQ496" s="156">
        <v>6.0609999999999999</v>
      </c>
      <c r="BR496" s="120">
        <f>(BS496+BQ496)/2</f>
        <v>6.2484999999999999</v>
      </c>
      <c r="BS496" s="156">
        <v>6.4359999999999999</v>
      </c>
      <c r="BT496" s="120">
        <f>(BU496+BS496)/2</f>
        <v>6.65</v>
      </c>
      <c r="BU496" s="156">
        <v>6.8639999999999999</v>
      </c>
      <c r="BV496" s="120">
        <f>(BW496+BU496)/2</f>
        <v>7.0670000000000002</v>
      </c>
      <c r="BW496" s="156">
        <v>7.27</v>
      </c>
      <c r="BX496" s="120">
        <f>(BY496+BW496)/2</f>
        <v>7.4509999999999996</v>
      </c>
      <c r="BY496" s="156">
        <v>7.6319999999999997</v>
      </c>
      <c r="BZ496" s="120">
        <f>(CA496+BY496)/2</f>
        <v>7.8745000000000003</v>
      </c>
      <c r="CA496" s="156">
        <v>8.1170000000000009</v>
      </c>
      <c r="CB496" s="120">
        <f>(CC496+CA496)/2</f>
        <v>8.298</v>
      </c>
      <c r="CC496" s="156">
        <v>8.4789999999999992</v>
      </c>
      <c r="CD496" s="120">
        <f>(CE496+CC496)/2</f>
        <v>8.66</v>
      </c>
      <c r="CE496" s="156">
        <v>8.8409999999999993</v>
      </c>
      <c r="CF496" s="120">
        <f>(CG496+CE496)/2</f>
        <v>9.0444999999999993</v>
      </c>
      <c r="CG496" s="156">
        <v>9.2479999999999993</v>
      </c>
      <c r="CH496" s="120">
        <f>(CI496+CG496)/2</f>
        <v>9.4359999999999999</v>
      </c>
      <c r="CI496" s="156">
        <v>9.6240000000000006</v>
      </c>
      <c r="CJ496" s="120">
        <f>(CK496+CI496)/2</f>
        <v>9.7949999999999999</v>
      </c>
      <c r="CK496" s="156">
        <v>9.9659999999999993</v>
      </c>
      <c r="CL496" s="120">
        <f>(CM496+CK496)/2</f>
        <v>10.146999999999998</v>
      </c>
      <c r="CM496" s="156">
        <v>10.327999999999999</v>
      </c>
      <c r="CN496" s="120">
        <f>(CO496+CM496)/2</f>
        <v>10.51</v>
      </c>
      <c r="CO496" s="156">
        <v>10.692</v>
      </c>
      <c r="CP496" s="120">
        <f>(CQ496+CO496)/2</f>
        <v>10.9015</v>
      </c>
      <c r="CQ496" s="156">
        <v>11.111000000000001</v>
      </c>
      <c r="CR496" s="120">
        <f>(CS496+CQ496)/2</f>
        <v>11.260000000000002</v>
      </c>
      <c r="CS496" s="156">
        <v>11.409000000000001</v>
      </c>
      <c r="CT496" s="120">
        <f>(CU496+CS496)/2</f>
        <v>11.612</v>
      </c>
      <c r="CU496" s="156">
        <v>11.815</v>
      </c>
      <c r="CV496" s="120">
        <f>(CW496+CU496)/2</f>
        <v>11.965</v>
      </c>
      <c r="CW496" s="156">
        <v>12.115</v>
      </c>
      <c r="CX496" s="120">
        <f>(CY496+CW496)/2</f>
        <v>12.3025</v>
      </c>
      <c r="CY496" s="156">
        <v>12.49</v>
      </c>
      <c r="CZ496" s="120">
        <f>(DA496+CY496)/2</f>
        <v>12.661000000000001</v>
      </c>
      <c r="DA496" s="156">
        <v>12.832000000000001</v>
      </c>
      <c r="DB496" s="120">
        <f>(DC496+DA496)/2</f>
        <v>13.013500000000001</v>
      </c>
      <c r="DC496" s="156">
        <v>13.195</v>
      </c>
      <c r="DD496" s="120">
        <f>(DE496+DC496)/2</f>
        <v>13.367000000000001</v>
      </c>
      <c r="DE496" s="156">
        <v>13.539</v>
      </c>
      <c r="DF496" s="120">
        <f>(DG496+DE496)/2</f>
        <v>13.725999999999999</v>
      </c>
      <c r="DG496" s="157">
        <v>13.913</v>
      </c>
    </row>
    <row r="497" spans="54:111" ht="15" customHeight="1" x14ac:dyDescent="0.2">
      <c r="BB497" s="28">
        <v>5</v>
      </c>
      <c r="BC497" s="121">
        <f t="array" ref="BC497:BC552">TRANSPOSE(BD496:DG496)</f>
        <v>2.8205</v>
      </c>
      <c r="BD497" s="120">
        <f>(BC497+BE497)/2</f>
        <v>3.1564999999999999</v>
      </c>
      <c r="BE497" s="120">
        <f>(BE496+BE498)/2</f>
        <v>3.4924999999999997</v>
      </c>
      <c r="BF497" s="120">
        <f>(BE497+BG497)/2</f>
        <v>3.8159999999999998</v>
      </c>
      <c r="BG497" s="120">
        <f>(BG496+BG498)/2</f>
        <v>4.1395</v>
      </c>
      <c r="BH497" s="120">
        <f>(BG497+BI497)/2</f>
        <v>4.4117499999999996</v>
      </c>
      <c r="BI497" s="120">
        <f>(BI496+BI498)/2</f>
        <v>4.6840000000000002</v>
      </c>
      <c r="BJ497" s="120">
        <f>(BI497+BK497)/2</f>
        <v>4.9749999999999996</v>
      </c>
      <c r="BK497" s="120">
        <f>(BK496+BK498)/2</f>
        <v>5.266</v>
      </c>
      <c r="BL497" s="120">
        <f>(BK497+BM497)/2</f>
        <v>5.5252499999999998</v>
      </c>
      <c r="BM497" s="120">
        <f>(BM496+BM498)/2</f>
        <v>5.7844999999999995</v>
      </c>
      <c r="BN497" s="120">
        <f>(BM497+BO497)/2</f>
        <v>6.0242499999999994</v>
      </c>
      <c r="BO497" s="120">
        <f>(BO496+BO498)/2</f>
        <v>6.2639999999999993</v>
      </c>
      <c r="BP497" s="120">
        <f>(BO497+BQ497)/2</f>
        <v>6.5197500000000002</v>
      </c>
      <c r="BQ497" s="120">
        <f>(BQ496+BQ498)/2</f>
        <v>6.7755000000000001</v>
      </c>
      <c r="BR497" s="120">
        <f>(BQ497+BS497)/2</f>
        <v>7.0057499999999999</v>
      </c>
      <c r="BS497" s="120">
        <f>(BS496+BS498)/2</f>
        <v>7.2359999999999998</v>
      </c>
      <c r="BT497" s="120">
        <f>(BS497+BU497)/2</f>
        <v>7.4759999999999991</v>
      </c>
      <c r="BU497" s="120">
        <f>(BU496+BU498)/2</f>
        <v>7.7159999999999993</v>
      </c>
      <c r="BV497" s="120">
        <f>(BU497+BW497)/2</f>
        <v>7.9429999999999996</v>
      </c>
      <c r="BW497" s="120">
        <f>(BW496+BW498)/2</f>
        <v>8.17</v>
      </c>
      <c r="BX497" s="120">
        <f>(BW497+BY497)/2</f>
        <v>8.3775000000000013</v>
      </c>
      <c r="BY497" s="120">
        <f>(BY496+BY498)/2</f>
        <v>8.5850000000000009</v>
      </c>
      <c r="BZ497" s="120">
        <f>(BY497+CA497)/2</f>
        <v>8.8285</v>
      </c>
      <c r="CA497" s="120">
        <f>(CA496+CA498)/2</f>
        <v>9.0719999999999992</v>
      </c>
      <c r="CB497" s="120">
        <f>(CA497+CC497)/2</f>
        <v>9.2827500000000001</v>
      </c>
      <c r="CC497" s="120">
        <f>(CC496+CC498)/2</f>
        <v>9.4934999999999992</v>
      </c>
      <c r="CD497" s="120">
        <f>(CC497+CE497)/2</f>
        <v>9.7169999999999987</v>
      </c>
      <c r="CE497" s="120">
        <f>(CE496+CE498)/2</f>
        <v>9.9405000000000001</v>
      </c>
      <c r="CF497" s="120">
        <f>(CE497+CG497)/2</f>
        <v>10.15175</v>
      </c>
      <c r="CG497" s="120">
        <f>(CG496+CG498)/2</f>
        <v>10.363</v>
      </c>
      <c r="CH497" s="120">
        <f>(CG497+CI497)/2</f>
        <v>10.574</v>
      </c>
      <c r="CI497" s="120">
        <f>(CI496+CI498)/2</f>
        <v>10.785</v>
      </c>
      <c r="CJ497" s="120">
        <f>(CI497+CK497)/2</f>
        <v>10.993</v>
      </c>
      <c r="CK497" s="120">
        <f>(CK496+CK498)/2</f>
        <v>11.201000000000001</v>
      </c>
      <c r="CL497" s="120">
        <f>(CK497+CM497)/2</f>
        <v>11.4115</v>
      </c>
      <c r="CM497" s="120">
        <f>(CM496+CM498)/2</f>
        <v>11.622</v>
      </c>
      <c r="CN497" s="120">
        <f>(CM497+CO497)/2</f>
        <v>11.830249999999999</v>
      </c>
      <c r="CO497" s="120">
        <f>(CO496+CO498)/2</f>
        <v>12.038499999999999</v>
      </c>
      <c r="CP497" s="120">
        <f>(CO497+CQ497)/2</f>
        <v>12.249499999999999</v>
      </c>
      <c r="CQ497" s="120">
        <f>(CQ496+CQ498)/2</f>
        <v>12.4605</v>
      </c>
      <c r="CR497" s="120">
        <f>(CQ497+CS497)/2</f>
        <v>12.655250000000001</v>
      </c>
      <c r="CS497" s="120">
        <f>(CS496+CS498)/2</f>
        <v>12.850000000000001</v>
      </c>
      <c r="CT497" s="120">
        <f>(CS497+CU497)/2</f>
        <v>13.057500000000001</v>
      </c>
      <c r="CU497" s="120">
        <f>(CU496+CU498)/2</f>
        <v>13.265000000000001</v>
      </c>
      <c r="CV497" s="120">
        <f>(CU497+CW497)/2</f>
        <v>13.46025</v>
      </c>
      <c r="CW497" s="120">
        <f>(CW496+CW498)/2</f>
        <v>13.6555</v>
      </c>
      <c r="CX497" s="120">
        <f>(CW497+CY497)/2</f>
        <v>13.8505</v>
      </c>
      <c r="CY497" s="120">
        <f>(CY496+CY498)/2</f>
        <v>14.045500000000001</v>
      </c>
      <c r="CZ497" s="120">
        <f>(CY497+DA497)/2</f>
        <v>14.23725</v>
      </c>
      <c r="DA497" s="120">
        <f>(DA496+DA498)/2</f>
        <v>14.429</v>
      </c>
      <c r="DB497" s="120">
        <f>(DA497+DC497)/2</f>
        <v>14.64</v>
      </c>
      <c r="DC497" s="120">
        <f>(DC496+DC498)/2</f>
        <v>14.851000000000001</v>
      </c>
      <c r="DD497" s="120">
        <f>(DC497+DE497)/2</f>
        <v>15.04325</v>
      </c>
      <c r="DE497" s="120">
        <f>(DE496+DE498)/2</f>
        <v>15.235499999999998</v>
      </c>
      <c r="DF497" s="120">
        <f>(DE497+DG497)/2</f>
        <v>15.433249999999999</v>
      </c>
      <c r="DG497" s="122">
        <f>(DG496+DG498)/2</f>
        <v>15.631</v>
      </c>
    </row>
    <row r="498" spans="54:111" ht="15" customHeight="1" x14ac:dyDescent="0.2">
      <c r="BB498" s="28">
        <v>6</v>
      </c>
      <c r="BC498" s="121">
        <v>3.0979999999999999</v>
      </c>
      <c r="BD498" s="121">
        <f t="array" ref="BD498:BD552">TRANSPOSE(BE497:DG497)</f>
        <v>3.4924999999999997</v>
      </c>
      <c r="BE498" s="158">
        <v>3.887</v>
      </c>
      <c r="BF498" s="120">
        <f>(BG498+BE498)/2</f>
        <v>4.234</v>
      </c>
      <c r="BG498" s="158">
        <v>4.5810000000000004</v>
      </c>
      <c r="BH498" s="120">
        <f>(BI498+BG498)/2</f>
        <v>4.8800000000000008</v>
      </c>
      <c r="BI498" s="158">
        <v>5.1790000000000003</v>
      </c>
      <c r="BJ498" s="120">
        <f>(BK498+BI498)/2</f>
        <v>5.5095000000000001</v>
      </c>
      <c r="BK498" s="158">
        <v>5.84</v>
      </c>
      <c r="BL498" s="120">
        <f>(BM498+BK498)/2</f>
        <v>6.1225000000000005</v>
      </c>
      <c r="BM498" s="158">
        <v>6.4050000000000002</v>
      </c>
      <c r="BN498" s="120">
        <f>(BO498+BM498)/2</f>
        <v>6.6715</v>
      </c>
      <c r="BO498" s="158">
        <v>6.9379999999999997</v>
      </c>
      <c r="BP498" s="120">
        <f>(BQ498+BO498)/2</f>
        <v>7.2140000000000004</v>
      </c>
      <c r="BQ498" s="158">
        <v>7.49</v>
      </c>
      <c r="BR498" s="120">
        <f>(BS498+BQ498)/2</f>
        <v>7.7629999999999999</v>
      </c>
      <c r="BS498" s="158">
        <v>8.0359999999999996</v>
      </c>
      <c r="BT498" s="120">
        <f>(BU498+BS498)/2</f>
        <v>8.3019999999999996</v>
      </c>
      <c r="BU498" s="158">
        <v>8.5679999999999996</v>
      </c>
      <c r="BV498" s="120">
        <f>(BW498+BU498)/2</f>
        <v>8.8189999999999991</v>
      </c>
      <c r="BW498" s="158">
        <v>9.07</v>
      </c>
      <c r="BX498" s="120">
        <f>(BY498+BW498)/2</f>
        <v>9.3040000000000003</v>
      </c>
      <c r="BY498" s="158">
        <v>9.5380000000000003</v>
      </c>
      <c r="BZ498" s="120">
        <f>(CA498+BY498)/2</f>
        <v>9.7824999999999989</v>
      </c>
      <c r="CA498" s="158">
        <v>10.026999999999999</v>
      </c>
      <c r="CB498" s="120">
        <f>(CC498+CA498)/2</f>
        <v>10.267499999999998</v>
      </c>
      <c r="CC498" s="158">
        <v>10.507999999999999</v>
      </c>
      <c r="CD498" s="120">
        <f>(CE498+CC498)/2</f>
        <v>10.773999999999999</v>
      </c>
      <c r="CE498" s="158">
        <v>11.04</v>
      </c>
      <c r="CF498" s="120">
        <f>(CG498+CE498)/2</f>
        <v>11.259</v>
      </c>
      <c r="CG498" s="158">
        <v>11.478</v>
      </c>
      <c r="CH498" s="120">
        <f>(CI498+CG498)/2</f>
        <v>11.712</v>
      </c>
      <c r="CI498" s="158">
        <v>11.946</v>
      </c>
      <c r="CJ498" s="120">
        <f>(CK498+CI498)/2</f>
        <v>12.190999999999999</v>
      </c>
      <c r="CK498" s="158">
        <v>12.436</v>
      </c>
      <c r="CL498" s="120">
        <f>(CM498+CK498)/2</f>
        <v>12.676</v>
      </c>
      <c r="CM498" s="158">
        <v>12.916</v>
      </c>
      <c r="CN498" s="120">
        <f>(CO498+CM498)/2</f>
        <v>13.150500000000001</v>
      </c>
      <c r="CO498" s="158">
        <v>13.385</v>
      </c>
      <c r="CP498" s="120">
        <f>(CQ498+CO498)/2</f>
        <v>13.5975</v>
      </c>
      <c r="CQ498" s="158">
        <v>13.81</v>
      </c>
      <c r="CR498" s="120">
        <f>(CS498+CQ498)/2</f>
        <v>14.0505</v>
      </c>
      <c r="CS498" s="158">
        <v>14.291</v>
      </c>
      <c r="CT498" s="120">
        <f>(CU498+CS498)/2</f>
        <v>14.503</v>
      </c>
      <c r="CU498" s="158">
        <v>14.715</v>
      </c>
      <c r="CV498" s="120">
        <f>(CW498+CU498)/2</f>
        <v>14.955500000000001</v>
      </c>
      <c r="CW498" s="158">
        <v>15.196</v>
      </c>
      <c r="CX498" s="120">
        <f>(CY498+CW498)/2</f>
        <v>15.3985</v>
      </c>
      <c r="CY498" s="158">
        <v>15.601000000000001</v>
      </c>
      <c r="CZ498" s="120">
        <f>(DA498+CY498)/2</f>
        <v>15.813500000000001</v>
      </c>
      <c r="DA498" s="158">
        <v>16.026</v>
      </c>
      <c r="DB498" s="120">
        <f>(DC498+DA498)/2</f>
        <v>16.266500000000001</v>
      </c>
      <c r="DC498" s="158">
        <v>16.507000000000001</v>
      </c>
      <c r="DD498" s="120">
        <f>(DE498+DC498)/2</f>
        <v>16.7195</v>
      </c>
      <c r="DE498" s="158">
        <v>16.931999999999999</v>
      </c>
      <c r="DF498" s="120">
        <f>(DG498+DE498)/2</f>
        <v>17.140499999999999</v>
      </c>
      <c r="DG498" s="159">
        <v>17.349</v>
      </c>
    </row>
    <row r="499" spans="54:111" ht="15" customHeight="1" x14ac:dyDescent="0.2">
      <c r="BB499" s="28">
        <v>7</v>
      </c>
      <c r="BC499" s="121">
        <v>3.3979999999999997</v>
      </c>
      <c r="BD499" s="121">
        <v>3.8159999999999998</v>
      </c>
      <c r="BE499" s="121">
        <f t="array" ref="BE499:BE552">TRANSPOSE(BF498:DG498)</f>
        <v>4.234</v>
      </c>
      <c r="BF499" s="120">
        <f>(BE499+BG499)/2</f>
        <v>4.6087500000000006</v>
      </c>
      <c r="BG499" s="120">
        <f>(BG498+BG500)/2</f>
        <v>4.9835000000000003</v>
      </c>
      <c r="BH499" s="120">
        <f>(BG499+BI499)/2</f>
        <v>5.3125</v>
      </c>
      <c r="BI499" s="120">
        <f>(BI498+BI500)/2</f>
        <v>5.6415000000000006</v>
      </c>
      <c r="BJ499" s="120">
        <f>(BI499+BK499)/2</f>
        <v>5.9875000000000007</v>
      </c>
      <c r="BK499" s="120">
        <f>(BK498+BK500)/2</f>
        <v>6.3334999999999999</v>
      </c>
      <c r="BL499" s="120">
        <f>(BK499+BM499)/2</f>
        <v>6.6587499999999995</v>
      </c>
      <c r="BM499" s="120">
        <f>(BM498+BM500)/2</f>
        <v>6.984</v>
      </c>
      <c r="BN499" s="120">
        <f>(BM499+BO499)/2</f>
        <v>7.2707499999999996</v>
      </c>
      <c r="BO499" s="120">
        <f>(BO498+BO500)/2</f>
        <v>7.5574999999999992</v>
      </c>
      <c r="BP499" s="120">
        <f>(BO499+BQ499)/2</f>
        <v>7.8632499999999999</v>
      </c>
      <c r="BQ499" s="120">
        <f>(BQ498+BQ500)/2</f>
        <v>8.1690000000000005</v>
      </c>
      <c r="BR499" s="120">
        <f>(BQ499+BS499)/2</f>
        <v>8.4540000000000006</v>
      </c>
      <c r="BS499" s="120">
        <f>(BS498+BS500)/2</f>
        <v>8.7390000000000008</v>
      </c>
      <c r="BT499" s="120">
        <f>(BS499+BU499)/2</f>
        <v>9.0400000000000009</v>
      </c>
      <c r="BU499" s="120">
        <f>(BU498+BU500)/2</f>
        <v>9.3410000000000011</v>
      </c>
      <c r="BV499" s="120">
        <f>(BU499+BW499)/2</f>
        <v>9.6150000000000002</v>
      </c>
      <c r="BW499" s="120">
        <f>(BW498+BW500)/2</f>
        <v>9.8889999999999993</v>
      </c>
      <c r="BX499" s="120">
        <f>(BW499+BY499)/2</f>
        <v>10.147</v>
      </c>
      <c r="BY499" s="120">
        <f>(BY498+BY500)/2</f>
        <v>10.405000000000001</v>
      </c>
      <c r="BZ499" s="120">
        <f>(BY499+CA499)/2</f>
        <v>10.6755</v>
      </c>
      <c r="CA499" s="120">
        <f>(CA498+CA500)/2</f>
        <v>10.946</v>
      </c>
      <c r="CB499" s="120">
        <f>(CA499+CC499)/2</f>
        <v>11.219075</v>
      </c>
      <c r="CC499" s="120">
        <f>(CC498+CC500)/2</f>
        <v>11.492149999999999</v>
      </c>
      <c r="CD499" s="120">
        <f>(CC499+CE499)/2</f>
        <v>11.757074999999999</v>
      </c>
      <c r="CE499" s="120">
        <f>(CE498+CE500)/2</f>
        <v>12.021999999999998</v>
      </c>
      <c r="CF499" s="120">
        <f>(CE499+CG499)/2</f>
        <v>12.2835</v>
      </c>
      <c r="CG499" s="120">
        <f>(CG498+CG500)/2</f>
        <v>12.545</v>
      </c>
      <c r="CH499" s="120">
        <f>(CG499+CI499)/2</f>
        <v>12.7995</v>
      </c>
      <c r="CI499" s="120">
        <f>(CI498+CI500)/2</f>
        <v>13.054</v>
      </c>
      <c r="CJ499" s="120">
        <f>(CI499+CK499)/2</f>
        <v>13.312000000000001</v>
      </c>
      <c r="CK499" s="120">
        <f>(CK498+CK500)/2</f>
        <v>13.57</v>
      </c>
      <c r="CL499" s="120">
        <f>(CK499+CM499)/2</f>
        <v>13.838750000000001</v>
      </c>
      <c r="CM499" s="120">
        <f>(CM498+CM500)/2</f>
        <v>14.1075</v>
      </c>
      <c r="CN499" s="120">
        <f>(CM499+CO499)/2</f>
        <v>14.3605</v>
      </c>
      <c r="CO499" s="120">
        <f>(CO498+CO500)/2</f>
        <v>14.6135</v>
      </c>
      <c r="CP499" s="120">
        <f>(CO499+CQ499)/2</f>
        <v>14.852499999999999</v>
      </c>
      <c r="CQ499" s="120">
        <f>(CQ498+CQ500)/2</f>
        <v>15.0915</v>
      </c>
      <c r="CR499" s="120">
        <f>(CQ499+CS499)/2</f>
        <v>15.352499999999999</v>
      </c>
      <c r="CS499" s="120">
        <f>(CS498+CS500)/2</f>
        <v>15.6135</v>
      </c>
      <c r="CT499" s="120">
        <f>(CS499+CU499)/2</f>
        <v>15.851749999999999</v>
      </c>
      <c r="CU499" s="120">
        <f>(CU498+CU500)/2</f>
        <v>16.09</v>
      </c>
      <c r="CV499" s="120">
        <f>(CU499+CW499)/2</f>
        <v>16.346249999999998</v>
      </c>
      <c r="CW499" s="120">
        <f>(CW498+CW500)/2</f>
        <v>16.602499999999999</v>
      </c>
      <c r="CX499" s="120">
        <f>(CW499+CY499)/2</f>
        <v>16.83625</v>
      </c>
      <c r="CY499" s="120">
        <f>(CY498+CY500)/2</f>
        <v>17.07</v>
      </c>
      <c r="CZ499" s="120">
        <f>(CY499+DA499)/2</f>
        <v>17.312000000000001</v>
      </c>
      <c r="DA499" s="120">
        <f>(DA498+DA500)/2</f>
        <v>17.554000000000002</v>
      </c>
      <c r="DB499" s="120">
        <f>(DA499+DC499)/2</f>
        <v>17.795999999999999</v>
      </c>
      <c r="DC499" s="120">
        <f>(DC498+DC500)/2</f>
        <v>18.038</v>
      </c>
      <c r="DD499" s="120">
        <f>(DC499+DE499)/2</f>
        <v>18.27975</v>
      </c>
      <c r="DE499" s="120">
        <f>(DE498+DE500)/2</f>
        <v>18.5215</v>
      </c>
      <c r="DF499" s="120">
        <f>(DE499+DG499)/2</f>
        <v>18.758249999999997</v>
      </c>
      <c r="DG499" s="122">
        <f>(DG498+DG500)/2</f>
        <v>18.994999999999997</v>
      </c>
    </row>
    <row r="500" spans="54:111" ht="15" customHeight="1" x14ac:dyDescent="0.2">
      <c r="BB500" s="28">
        <v>8</v>
      </c>
      <c r="BC500" s="121">
        <v>3.698</v>
      </c>
      <c r="BD500" s="121">
        <v>4.1395</v>
      </c>
      <c r="BE500" s="121">
        <v>4.5810000000000004</v>
      </c>
      <c r="BF500" s="121">
        <f t="array" ref="BF500:BF552">TRANSPOSE(BG499:DG499)</f>
        <v>4.9835000000000003</v>
      </c>
      <c r="BG500" s="158">
        <v>5.3860000000000001</v>
      </c>
      <c r="BH500" s="120">
        <f>(BI500+BG500)/2</f>
        <v>5.7450000000000001</v>
      </c>
      <c r="BI500" s="158">
        <v>6.1040000000000001</v>
      </c>
      <c r="BJ500" s="120">
        <f>(BK500+BI500)/2</f>
        <v>6.4655000000000005</v>
      </c>
      <c r="BK500" s="158">
        <v>6.827</v>
      </c>
      <c r="BL500" s="120">
        <f>(BM500+BK500)/2</f>
        <v>7.1950000000000003</v>
      </c>
      <c r="BM500" s="158">
        <v>7.5629999999999997</v>
      </c>
      <c r="BN500" s="120">
        <f>(BO500+BM500)/2</f>
        <v>7.8699999999999992</v>
      </c>
      <c r="BO500" s="158">
        <v>8.1769999999999996</v>
      </c>
      <c r="BP500" s="120">
        <f>(BQ500+BO500)/2</f>
        <v>8.5124999999999993</v>
      </c>
      <c r="BQ500" s="158">
        <v>8.8480000000000008</v>
      </c>
      <c r="BR500" s="120">
        <f>(BS500+BQ500)/2</f>
        <v>9.1449999999999996</v>
      </c>
      <c r="BS500" s="158">
        <v>9.4420000000000002</v>
      </c>
      <c r="BT500" s="120">
        <f>(BU500+BS500)/2</f>
        <v>9.7780000000000005</v>
      </c>
      <c r="BU500" s="158">
        <v>10.114000000000001</v>
      </c>
      <c r="BV500" s="120">
        <f>(BW500+BU500)/2</f>
        <v>10.411000000000001</v>
      </c>
      <c r="BW500" s="158">
        <v>10.708</v>
      </c>
      <c r="BX500" s="120">
        <f>(BY500+BW500)/2</f>
        <v>10.99</v>
      </c>
      <c r="BY500" s="158">
        <v>11.272</v>
      </c>
      <c r="BZ500" s="120">
        <f>(CA500+BY500)/2</f>
        <v>11.5685</v>
      </c>
      <c r="CA500" s="158">
        <v>11.865</v>
      </c>
      <c r="CB500" s="120">
        <f>(CC500+CA500)/2</f>
        <v>12.17065</v>
      </c>
      <c r="CC500" s="158">
        <v>12.4763</v>
      </c>
      <c r="CD500" s="120">
        <f>(CE500+CC500)/2</f>
        <v>12.74015</v>
      </c>
      <c r="CE500" s="158">
        <v>13.004</v>
      </c>
      <c r="CF500" s="120">
        <f>(CG500+CE500)/2</f>
        <v>13.308</v>
      </c>
      <c r="CG500" s="158">
        <v>13.612</v>
      </c>
      <c r="CH500" s="120">
        <f>(CI500+CG500)/2</f>
        <v>13.887</v>
      </c>
      <c r="CI500" s="158">
        <v>14.162000000000001</v>
      </c>
      <c r="CJ500" s="120">
        <f>(CK500+CI500)/2</f>
        <v>14.433</v>
      </c>
      <c r="CK500" s="158">
        <v>14.704000000000001</v>
      </c>
      <c r="CL500" s="120">
        <f>(CM500+CK500)/2</f>
        <v>15.0015</v>
      </c>
      <c r="CM500" s="158">
        <v>15.298999999999999</v>
      </c>
      <c r="CN500" s="120">
        <f>(CO500+CM500)/2</f>
        <v>15.570499999999999</v>
      </c>
      <c r="CO500" s="158">
        <v>15.842000000000001</v>
      </c>
      <c r="CP500" s="120">
        <f>(CQ500+CO500)/2</f>
        <v>16.107500000000002</v>
      </c>
      <c r="CQ500" s="158">
        <v>16.373000000000001</v>
      </c>
      <c r="CR500" s="120">
        <f>(CS500+CQ500)/2</f>
        <v>16.654499999999999</v>
      </c>
      <c r="CS500" s="158">
        <v>16.936</v>
      </c>
      <c r="CT500" s="120">
        <f>(CU500+CS500)/2</f>
        <v>17.200499999999998</v>
      </c>
      <c r="CU500" s="158">
        <v>17.465</v>
      </c>
      <c r="CV500" s="120">
        <f>(CW500+CU500)/2</f>
        <v>17.737000000000002</v>
      </c>
      <c r="CW500" s="158">
        <v>18.009</v>
      </c>
      <c r="CX500" s="120">
        <f>(CY500+CW500)/2</f>
        <v>18.274000000000001</v>
      </c>
      <c r="CY500" s="158">
        <v>18.539000000000001</v>
      </c>
      <c r="CZ500" s="120">
        <f>(DA500+CY500)/2</f>
        <v>18.810500000000001</v>
      </c>
      <c r="DA500" s="158">
        <v>19.082000000000001</v>
      </c>
      <c r="DB500" s="120">
        <f>(DC500+DA500)/2</f>
        <v>19.325499999999998</v>
      </c>
      <c r="DC500" s="158">
        <v>19.568999999999999</v>
      </c>
      <c r="DD500" s="120">
        <f>(DE500+DC500)/2</f>
        <v>19.84</v>
      </c>
      <c r="DE500" s="158">
        <v>20.111000000000001</v>
      </c>
      <c r="DF500" s="120">
        <f>(DG500+DE500)/2</f>
        <v>20.375999999999998</v>
      </c>
      <c r="DG500" s="159">
        <v>20.640999999999998</v>
      </c>
    </row>
    <row r="501" spans="54:111" ht="15" customHeight="1" x14ac:dyDescent="0.2">
      <c r="BB501" s="28">
        <v>9</v>
      </c>
      <c r="BC501" s="121">
        <v>3.9435000000000002</v>
      </c>
      <c r="BD501" s="121">
        <v>4.4117499999999996</v>
      </c>
      <c r="BE501" s="121">
        <v>4.8800000000000008</v>
      </c>
      <c r="BF501" s="121">
        <v>5.3125</v>
      </c>
      <c r="BG501" s="121">
        <f t="array" ref="BG501:BG552">TRANSPOSE(BH500:DG500)</f>
        <v>5.7450000000000001</v>
      </c>
      <c r="BH501" s="120">
        <f>(BG501+BI501)/2</f>
        <v>6.1367500000000001</v>
      </c>
      <c r="BI501" s="120">
        <f>(BI500+BI502)/2</f>
        <v>6.5285000000000002</v>
      </c>
      <c r="BJ501" s="120">
        <f>(BI501+BK501)/2</f>
        <v>6.9245000000000001</v>
      </c>
      <c r="BK501" s="120">
        <f>(BK500+BK502)/2</f>
        <v>7.3205</v>
      </c>
      <c r="BL501" s="120">
        <f>(BK501+BM501)/2</f>
        <v>7.7007499999999993</v>
      </c>
      <c r="BM501" s="120">
        <f>(BM500+BM502)/2</f>
        <v>8.0809999999999995</v>
      </c>
      <c r="BN501" s="120">
        <f>(BM501+BO501)/2</f>
        <v>8.4175000000000004</v>
      </c>
      <c r="BO501" s="120">
        <f>(BO500+BO502)/2</f>
        <v>8.7539999999999996</v>
      </c>
      <c r="BP501" s="120">
        <f>(BO501+BQ501)/2</f>
        <v>9.1052499999999998</v>
      </c>
      <c r="BQ501" s="120">
        <f>(BQ500+BQ502)/2</f>
        <v>9.4565000000000001</v>
      </c>
      <c r="BR501" s="120">
        <f>(BQ501+BS501)/2</f>
        <v>9.7852500000000013</v>
      </c>
      <c r="BS501" s="120">
        <f>(BS500+BS502)/2</f>
        <v>10.114000000000001</v>
      </c>
      <c r="BT501" s="120">
        <f>(BS501+BU501)/2</f>
        <v>10.465</v>
      </c>
      <c r="BU501" s="120">
        <f>(BU500+BU502)/2</f>
        <v>10.816000000000001</v>
      </c>
      <c r="BV501" s="120">
        <f>(BU501+BW501)/2</f>
        <v>11.148</v>
      </c>
      <c r="BW501" s="120">
        <f>(BW500+BW502)/2</f>
        <v>11.48</v>
      </c>
      <c r="BX501" s="120">
        <f>(BW501+BY501)/2</f>
        <v>11.785</v>
      </c>
      <c r="BY501" s="120">
        <f>(BY500+BY502)/2</f>
        <v>12.09</v>
      </c>
      <c r="BZ501" s="120">
        <f>(BY501+CA501)/2</f>
        <v>12.405749999999999</v>
      </c>
      <c r="CA501" s="120">
        <f>(CA500+CA502)/2</f>
        <v>12.721499999999999</v>
      </c>
      <c r="CB501" s="120">
        <f>(CA501+CC501)/2</f>
        <v>13.057324999999999</v>
      </c>
      <c r="CC501" s="120">
        <f>(CC500+CC502)/2</f>
        <v>13.39315</v>
      </c>
      <c r="CD501" s="120">
        <f>(CC501+CE501)/2</f>
        <v>13.689325</v>
      </c>
      <c r="CE501" s="120">
        <f>(CE500+CE502)/2</f>
        <v>13.9855</v>
      </c>
      <c r="CF501" s="120">
        <f>(CE501+CG501)/2</f>
        <v>14.304500000000001</v>
      </c>
      <c r="CG501" s="120">
        <f>(CG500+CG502)/2</f>
        <v>14.6235</v>
      </c>
      <c r="CH501" s="120">
        <f>(CG501+CI501)/2</f>
        <v>14.9125</v>
      </c>
      <c r="CI501" s="120">
        <f>(CI500+CI502)/2</f>
        <v>15.201499999999999</v>
      </c>
      <c r="CJ501" s="120">
        <f>(CI501+CK501)/2</f>
        <v>15.500999999999999</v>
      </c>
      <c r="CK501" s="120">
        <f>(CK500+CK502)/2</f>
        <v>15.8005</v>
      </c>
      <c r="CL501" s="120">
        <f>(CK501+CM501)/2</f>
        <v>16.116499999999998</v>
      </c>
      <c r="CM501" s="120">
        <f>(CM500+CM502)/2</f>
        <v>16.432499999999997</v>
      </c>
      <c r="CN501" s="120">
        <f>(CM501+CO501)/2</f>
        <v>16.716249999999999</v>
      </c>
      <c r="CO501" s="120">
        <f>(CO500+CO502)/2</f>
        <v>17</v>
      </c>
      <c r="CP501" s="120">
        <f>(CO501+CQ501)/2</f>
        <v>17.3</v>
      </c>
      <c r="CQ501" s="120">
        <f>(CQ500+CQ502)/2</f>
        <v>17.600000000000001</v>
      </c>
      <c r="CR501" s="120">
        <f>(CQ501+CS501)/2</f>
        <v>17.891999999999999</v>
      </c>
      <c r="CS501" s="120">
        <f>(CS500+CS502)/2</f>
        <v>18.183999999999997</v>
      </c>
      <c r="CT501" s="120">
        <f>(CS501+CU501)/2</f>
        <v>18.479999999999997</v>
      </c>
      <c r="CU501" s="120">
        <f>(CU500+CU502)/2</f>
        <v>18.776</v>
      </c>
      <c r="CV501" s="120">
        <f>(CU501+CW501)/2</f>
        <v>19.063499999999998</v>
      </c>
      <c r="CW501" s="120">
        <f>(CW500+CW502)/2</f>
        <v>19.350999999999999</v>
      </c>
      <c r="CX501" s="120">
        <f>(CW501+CY501)/2</f>
        <v>19.650749999999999</v>
      </c>
      <c r="CY501" s="120">
        <f>(CY500+CY502)/2</f>
        <v>19.950499999999998</v>
      </c>
      <c r="CZ501" s="120">
        <f>(CY501+DA501)/2</f>
        <v>20.233999999999998</v>
      </c>
      <c r="DA501" s="120">
        <f>(DA500+DA502)/2</f>
        <v>20.517499999999998</v>
      </c>
      <c r="DB501" s="120">
        <f>(DA501+DC501)/2</f>
        <v>20.790749999999999</v>
      </c>
      <c r="DC501" s="120">
        <f>(DC500+DC502)/2</f>
        <v>21.064</v>
      </c>
      <c r="DD501" s="120">
        <f>(DC501+DE501)/2</f>
        <v>21.3505</v>
      </c>
      <c r="DE501" s="120">
        <f>(DE500+DE502)/2</f>
        <v>21.637</v>
      </c>
      <c r="DF501" s="120">
        <f>(DE501+DG501)/2</f>
        <v>21.9175</v>
      </c>
      <c r="DG501" s="122">
        <f>(DG500+DG502)/2</f>
        <v>22.198</v>
      </c>
    </row>
    <row r="502" spans="54:111" ht="15" customHeight="1" x14ac:dyDescent="0.2">
      <c r="BB502" s="28">
        <v>10</v>
      </c>
      <c r="BC502" s="121">
        <v>4.1890000000000001</v>
      </c>
      <c r="BD502" s="121">
        <v>4.6840000000000002</v>
      </c>
      <c r="BE502" s="121">
        <v>5.1790000000000003</v>
      </c>
      <c r="BF502" s="121">
        <v>5.6415000000000006</v>
      </c>
      <c r="BG502" s="121">
        <v>6.1040000000000001</v>
      </c>
      <c r="BH502" s="121">
        <f t="array" ref="BH502:BH552">TRANSPOSE(BI501:DG501)</f>
        <v>6.5285000000000002</v>
      </c>
      <c r="BI502" s="158">
        <v>6.9530000000000003</v>
      </c>
      <c r="BJ502" s="120">
        <f>(BK502+BI502)/2</f>
        <v>7.3834999999999997</v>
      </c>
      <c r="BK502" s="158">
        <v>7.8140000000000001</v>
      </c>
      <c r="BL502" s="120">
        <f>(BM502+BK502)/2</f>
        <v>8.2065000000000001</v>
      </c>
      <c r="BM502" s="158">
        <v>8.5990000000000002</v>
      </c>
      <c r="BN502" s="120">
        <f>(BO502+BM502)/2</f>
        <v>8.9649999999999999</v>
      </c>
      <c r="BO502" s="158">
        <v>9.3309999999999995</v>
      </c>
      <c r="BP502" s="120">
        <f>(BQ502+BO502)/2</f>
        <v>9.6980000000000004</v>
      </c>
      <c r="BQ502" s="158">
        <v>10.065</v>
      </c>
      <c r="BR502" s="120">
        <f>(BS502+BQ502)/2</f>
        <v>10.4255</v>
      </c>
      <c r="BS502" s="158">
        <v>10.786</v>
      </c>
      <c r="BT502" s="120">
        <f>(BU502+BS502)/2</f>
        <v>11.152000000000001</v>
      </c>
      <c r="BU502" s="158">
        <v>11.518000000000001</v>
      </c>
      <c r="BV502" s="120">
        <f>(BW502+BU502)/2</f>
        <v>11.885000000000002</v>
      </c>
      <c r="BW502" s="158">
        <v>12.252000000000001</v>
      </c>
      <c r="BX502" s="120">
        <f>(BY502+BW502)/2</f>
        <v>12.58</v>
      </c>
      <c r="BY502" s="158">
        <v>12.907999999999999</v>
      </c>
      <c r="BZ502" s="120">
        <f>(CA502+BY502)/2</f>
        <v>13.242999999999999</v>
      </c>
      <c r="CA502" s="158">
        <v>13.577999999999999</v>
      </c>
      <c r="CB502" s="120">
        <f>(CC502+CA502)/2</f>
        <v>13.943999999999999</v>
      </c>
      <c r="CC502" s="158">
        <v>14.31</v>
      </c>
      <c r="CD502" s="120">
        <f>(CE502+CC502)/2</f>
        <v>14.638500000000001</v>
      </c>
      <c r="CE502" s="158">
        <v>14.967000000000001</v>
      </c>
      <c r="CF502" s="120">
        <f>(CG502+CE502)/2</f>
        <v>15.301</v>
      </c>
      <c r="CG502" s="158">
        <v>15.635</v>
      </c>
      <c r="CH502" s="120">
        <f>(CI502+CG502)/2</f>
        <v>15.937999999999999</v>
      </c>
      <c r="CI502" s="158">
        <v>16.241</v>
      </c>
      <c r="CJ502" s="120">
        <f>(CK502+CI502)/2</f>
        <v>16.568999999999999</v>
      </c>
      <c r="CK502" s="158">
        <v>16.896999999999998</v>
      </c>
      <c r="CL502" s="120">
        <f>(CM502+CK502)/2</f>
        <v>17.231499999999997</v>
      </c>
      <c r="CM502" s="158">
        <v>17.565999999999999</v>
      </c>
      <c r="CN502" s="120">
        <f>(CO502+CM502)/2</f>
        <v>17.862000000000002</v>
      </c>
      <c r="CO502" s="158">
        <v>18.158000000000001</v>
      </c>
      <c r="CP502" s="120">
        <f>(CQ502+CO502)/2</f>
        <v>18.4925</v>
      </c>
      <c r="CQ502" s="158">
        <v>18.827000000000002</v>
      </c>
      <c r="CR502" s="120">
        <f>(CS502+CQ502)/2</f>
        <v>19.1295</v>
      </c>
      <c r="CS502" s="158">
        <v>19.431999999999999</v>
      </c>
      <c r="CT502" s="120">
        <f>(CU502+CS502)/2</f>
        <v>19.759499999999999</v>
      </c>
      <c r="CU502" s="158">
        <v>20.087</v>
      </c>
      <c r="CV502" s="120">
        <f>(CW502+CU502)/2</f>
        <v>20.39</v>
      </c>
      <c r="CW502" s="158">
        <v>20.693000000000001</v>
      </c>
      <c r="CX502" s="120">
        <f>(CY502+CW502)/2</f>
        <v>21.0275</v>
      </c>
      <c r="CY502" s="158">
        <v>21.361999999999998</v>
      </c>
      <c r="CZ502" s="120">
        <f>(DA502+CY502)/2</f>
        <v>21.657499999999999</v>
      </c>
      <c r="DA502" s="158">
        <v>21.952999999999999</v>
      </c>
      <c r="DB502" s="120">
        <f>(DC502+DA502)/2</f>
        <v>22.256</v>
      </c>
      <c r="DC502" s="158">
        <v>22.559000000000001</v>
      </c>
      <c r="DD502" s="120">
        <f>(DE502+DC502)/2</f>
        <v>22.861000000000001</v>
      </c>
      <c r="DE502" s="158">
        <v>23.163</v>
      </c>
      <c r="DF502" s="120">
        <f>(DG502+DE502)/2</f>
        <v>23.459</v>
      </c>
      <c r="DG502" s="159">
        <v>23.754999999999999</v>
      </c>
    </row>
    <row r="503" spans="54:111" ht="15" customHeight="1" x14ac:dyDescent="0.2">
      <c r="BB503" s="28">
        <v>11</v>
      </c>
      <c r="BC503" s="121">
        <v>4.4405000000000001</v>
      </c>
      <c r="BD503" s="121">
        <v>4.9749999999999996</v>
      </c>
      <c r="BE503" s="121">
        <v>5.5095000000000001</v>
      </c>
      <c r="BF503" s="121">
        <v>5.9875000000000007</v>
      </c>
      <c r="BG503" s="121">
        <v>6.4655000000000005</v>
      </c>
      <c r="BH503" s="121">
        <v>6.9245000000000001</v>
      </c>
      <c r="BI503" s="121">
        <f t="array" ref="BI503:BI552">TRANSPOSE(BJ502:DG502)</f>
        <v>7.3834999999999997</v>
      </c>
      <c r="BJ503" s="120">
        <f>(BI503+BK503)/2</f>
        <v>7.8297499999999998</v>
      </c>
      <c r="BK503" s="120">
        <f>(BK502+BK504)/2</f>
        <v>8.2759999999999998</v>
      </c>
      <c r="BL503" s="120">
        <f>(BK503+BM503)/2</f>
        <v>8.6837499999999999</v>
      </c>
      <c r="BM503" s="120">
        <f>(BM502+BM504)/2</f>
        <v>9.0914999999999999</v>
      </c>
      <c r="BN503" s="120">
        <f>(BM503+BO503)/2</f>
        <v>9.5</v>
      </c>
      <c r="BO503" s="120">
        <f>(BO502+BO504)/2</f>
        <v>9.9085000000000001</v>
      </c>
      <c r="BP503" s="120">
        <f>(BO503+BQ503)/2</f>
        <v>10.291</v>
      </c>
      <c r="BQ503" s="120">
        <f>(BQ502+BQ504)/2</f>
        <v>10.673500000000001</v>
      </c>
      <c r="BR503" s="120">
        <f>(BQ503+BS503)/2</f>
        <v>11.0685</v>
      </c>
      <c r="BS503" s="120">
        <f>(BS502+BS504)/2</f>
        <v>11.4635</v>
      </c>
      <c r="BT503" s="120">
        <f>(BS503+BU503)/2</f>
        <v>11.84225</v>
      </c>
      <c r="BU503" s="120">
        <f>(BU502+BU504)/2</f>
        <v>12.221</v>
      </c>
      <c r="BV503" s="120">
        <f>(BU503+BW503)/2</f>
        <v>12.603249999999999</v>
      </c>
      <c r="BW503" s="120">
        <f>(BW502+BW504)/2</f>
        <v>12.9855</v>
      </c>
      <c r="BX503" s="120">
        <f>(BW503+BY503)/2</f>
        <v>13.343250000000001</v>
      </c>
      <c r="BY503" s="120">
        <f>(BY502+BY504)/2</f>
        <v>13.701000000000001</v>
      </c>
      <c r="BZ503" s="120">
        <f>(BY503+CA503)/2</f>
        <v>14.067</v>
      </c>
      <c r="CA503" s="120">
        <f>(CA502+CA504)/2</f>
        <v>14.433</v>
      </c>
      <c r="CB503" s="120">
        <f>(CA503+CC503)/2</f>
        <v>14.798999999999999</v>
      </c>
      <c r="CC503" s="120">
        <f>(CC502+CC504)/2</f>
        <v>15.164999999999999</v>
      </c>
      <c r="CD503" s="120">
        <f>(CC503+CE503)/2</f>
        <v>15.5245</v>
      </c>
      <c r="CE503" s="120">
        <f>(CE502+CE504)/2</f>
        <v>15.884</v>
      </c>
      <c r="CF503" s="120">
        <f>(CE503+CG503)/2</f>
        <v>16.233750000000001</v>
      </c>
      <c r="CG503" s="120">
        <f>(CG502+CG504)/2</f>
        <v>16.583500000000001</v>
      </c>
      <c r="CH503" s="120">
        <f>(CG503+CI503)/2</f>
        <v>16.928750000000001</v>
      </c>
      <c r="CI503" s="120">
        <f>(CI502+CI504)/2</f>
        <v>17.274000000000001</v>
      </c>
      <c r="CJ503" s="120">
        <f>(CI503+CK503)/2</f>
        <v>17.620750000000001</v>
      </c>
      <c r="CK503" s="120">
        <f>(CK502+CK504)/2</f>
        <v>17.967500000000001</v>
      </c>
      <c r="CL503" s="120">
        <f>(CK503+CM503)/2</f>
        <v>18.314</v>
      </c>
      <c r="CM503" s="120">
        <f>(CM502+CM504)/2</f>
        <v>18.660499999999999</v>
      </c>
      <c r="CN503" s="120">
        <f>(CM503+CO503)/2</f>
        <v>18.991250000000001</v>
      </c>
      <c r="CO503" s="120">
        <f>(CO502+CO504)/2</f>
        <v>19.322000000000003</v>
      </c>
      <c r="CP503" s="120">
        <f>(CO503+CQ503)/2</f>
        <v>19.656000000000002</v>
      </c>
      <c r="CQ503" s="120">
        <f>(CQ502+CQ504)/2</f>
        <v>19.990000000000002</v>
      </c>
      <c r="CR503" s="120">
        <f>(CQ503+CS503)/2</f>
        <v>20.335000000000001</v>
      </c>
      <c r="CS503" s="120">
        <f>(CS502+CS504)/2</f>
        <v>20.68</v>
      </c>
      <c r="CT503" s="120">
        <f>(CS503+CU503)/2</f>
        <v>21.023</v>
      </c>
      <c r="CU503" s="120">
        <f>(CU502+CU504)/2</f>
        <v>21.366</v>
      </c>
      <c r="CV503" s="120">
        <f>(CU503+CW503)/2</f>
        <v>21.684249999999999</v>
      </c>
      <c r="CW503" s="120">
        <f>(CW502+CW504)/2</f>
        <v>22.002500000000001</v>
      </c>
      <c r="CX503" s="120">
        <f>(CW503+CY503)/2</f>
        <v>22.352499999999999</v>
      </c>
      <c r="CY503" s="120">
        <f>(CY502+CY504)/2</f>
        <v>22.702500000000001</v>
      </c>
      <c r="CZ503" s="120">
        <f>(CY503+DA503)/2</f>
        <v>23.016750000000002</v>
      </c>
      <c r="DA503" s="120">
        <f>(DA502+DA504)/2</f>
        <v>23.331</v>
      </c>
      <c r="DB503" s="120">
        <f>(DA503+DC503)/2</f>
        <v>23.676499999999997</v>
      </c>
      <c r="DC503" s="120">
        <f>(DC502+DC504)/2</f>
        <v>24.021999999999998</v>
      </c>
      <c r="DD503" s="120">
        <f>(DC503+DE503)/2</f>
        <v>24.336500000000001</v>
      </c>
      <c r="DE503" s="120">
        <f>(DE502+DE504)/2</f>
        <v>24.651</v>
      </c>
      <c r="DF503" s="120">
        <f>(DE503+DG503)/2</f>
        <v>24.965499999999999</v>
      </c>
      <c r="DG503" s="122">
        <f>(DG502+DG504)/2</f>
        <v>25.28</v>
      </c>
    </row>
    <row r="504" spans="54:111" ht="15" customHeight="1" x14ac:dyDescent="0.2">
      <c r="BB504" s="28">
        <v>12</v>
      </c>
      <c r="BC504" s="121">
        <v>4.6920000000000002</v>
      </c>
      <c r="BD504" s="121">
        <v>5.266</v>
      </c>
      <c r="BE504" s="121">
        <v>5.84</v>
      </c>
      <c r="BF504" s="121">
        <v>6.3334999999999999</v>
      </c>
      <c r="BG504" s="121">
        <v>6.827</v>
      </c>
      <c r="BH504" s="121">
        <v>7.3205</v>
      </c>
      <c r="BI504" s="121">
        <v>7.8140000000000001</v>
      </c>
      <c r="BJ504" s="121">
        <f t="array" ref="BJ504:BJ552">TRANSPOSE(BK503:DG503)</f>
        <v>8.2759999999999998</v>
      </c>
      <c r="BK504" s="158">
        <v>8.7379999999999995</v>
      </c>
      <c r="BL504" s="120">
        <f>(BM504+BK504)/2</f>
        <v>9.1609999999999996</v>
      </c>
      <c r="BM504" s="158">
        <v>9.5839999999999996</v>
      </c>
      <c r="BN504" s="120">
        <f>(BO504+BM504)/2</f>
        <v>10.035</v>
      </c>
      <c r="BO504" s="158">
        <v>10.486000000000001</v>
      </c>
      <c r="BP504" s="120">
        <f>(BQ504+BO504)/2</f>
        <v>10.884</v>
      </c>
      <c r="BQ504" s="158">
        <v>11.282</v>
      </c>
      <c r="BR504" s="120">
        <f>(BS504+BQ504)/2</f>
        <v>11.711500000000001</v>
      </c>
      <c r="BS504" s="158">
        <v>12.141</v>
      </c>
      <c r="BT504" s="120">
        <f>(BU504+BS504)/2</f>
        <v>12.532499999999999</v>
      </c>
      <c r="BU504" s="158">
        <v>12.923999999999999</v>
      </c>
      <c r="BV504" s="120">
        <f>(BW504+BU504)/2</f>
        <v>13.3215</v>
      </c>
      <c r="BW504" s="158">
        <v>13.718999999999999</v>
      </c>
      <c r="BX504" s="120">
        <f>(BY504+BW504)/2</f>
        <v>14.1065</v>
      </c>
      <c r="BY504" s="158">
        <v>14.494</v>
      </c>
      <c r="BZ504" s="120">
        <f>(CA504+BY504)/2</f>
        <v>14.891</v>
      </c>
      <c r="CA504" s="158">
        <v>15.288</v>
      </c>
      <c r="CB504" s="120">
        <f>(CC504+CA504)/2</f>
        <v>15.654</v>
      </c>
      <c r="CC504" s="158">
        <v>16.02</v>
      </c>
      <c r="CD504" s="120">
        <f>(CE504+CC504)/2</f>
        <v>16.410499999999999</v>
      </c>
      <c r="CE504" s="158">
        <v>16.800999999999998</v>
      </c>
      <c r="CF504" s="120">
        <f>(CG504+CE504)/2</f>
        <v>17.166499999999999</v>
      </c>
      <c r="CG504" s="158">
        <v>17.532</v>
      </c>
      <c r="CH504" s="120">
        <f>(CI504+CG504)/2</f>
        <v>17.919499999999999</v>
      </c>
      <c r="CI504" s="158">
        <v>18.306999999999999</v>
      </c>
      <c r="CJ504" s="120">
        <f>(CK504+CI504)/2</f>
        <v>18.672499999999999</v>
      </c>
      <c r="CK504" s="158">
        <v>19.038</v>
      </c>
      <c r="CL504" s="120">
        <f>(CM504+CK504)/2</f>
        <v>19.3965</v>
      </c>
      <c r="CM504" s="158">
        <v>19.754999999999999</v>
      </c>
      <c r="CN504" s="120">
        <f>(CO504+CM504)/2</f>
        <v>20.1205</v>
      </c>
      <c r="CO504" s="158">
        <v>20.486000000000001</v>
      </c>
      <c r="CP504" s="120">
        <f>(CQ504+CO504)/2</f>
        <v>20.819499999999998</v>
      </c>
      <c r="CQ504" s="158">
        <v>21.152999999999999</v>
      </c>
      <c r="CR504" s="120">
        <f>(CS504+CQ504)/2</f>
        <v>21.540500000000002</v>
      </c>
      <c r="CS504" s="158">
        <v>21.928000000000001</v>
      </c>
      <c r="CT504" s="120">
        <f>(CU504+CS504)/2</f>
        <v>22.2865</v>
      </c>
      <c r="CU504" s="158">
        <v>22.645</v>
      </c>
      <c r="CV504" s="120">
        <f>(CW504+CU504)/2</f>
        <v>22.9785</v>
      </c>
      <c r="CW504" s="158">
        <v>23.312000000000001</v>
      </c>
      <c r="CX504" s="120">
        <f>(CY504+CW504)/2</f>
        <v>23.677500000000002</v>
      </c>
      <c r="CY504" s="158">
        <v>24.042999999999999</v>
      </c>
      <c r="CZ504" s="120">
        <f>(DA504+CY504)/2</f>
        <v>24.375999999999998</v>
      </c>
      <c r="DA504" s="158">
        <v>24.709</v>
      </c>
      <c r="DB504" s="120">
        <f>(DC504+DA504)/2</f>
        <v>25.097000000000001</v>
      </c>
      <c r="DC504" s="158">
        <v>25.484999999999999</v>
      </c>
      <c r="DD504" s="120">
        <f>(DE504+DC504)/2</f>
        <v>25.811999999999998</v>
      </c>
      <c r="DE504" s="158">
        <v>26.138999999999999</v>
      </c>
      <c r="DF504" s="120">
        <f>(DG504+DE504)/2</f>
        <v>26.472000000000001</v>
      </c>
      <c r="DG504" s="159">
        <v>26.805</v>
      </c>
    </row>
    <row r="505" spans="54:111" ht="15" customHeight="1" x14ac:dyDescent="0.2">
      <c r="BB505" s="28">
        <v>13</v>
      </c>
      <c r="BC505" s="121">
        <v>4.9279999999999999</v>
      </c>
      <c r="BD505" s="121">
        <v>5.5252499999999998</v>
      </c>
      <c r="BE505" s="121">
        <v>6.1225000000000005</v>
      </c>
      <c r="BF505" s="121">
        <v>6.6587499999999995</v>
      </c>
      <c r="BG505" s="121">
        <v>7.1950000000000003</v>
      </c>
      <c r="BH505" s="121">
        <v>7.7007499999999993</v>
      </c>
      <c r="BI505" s="121">
        <v>8.2065000000000001</v>
      </c>
      <c r="BJ505" s="121">
        <v>8.6837499999999999</v>
      </c>
      <c r="BK505" s="121">
        <f t="array" ref="BK505:BK552">TRANSPOSE(BL504:DG504)</f>
        <v>9.1609999999999996</v>
      </c>
      <c r="BL505" s="120">
        <f>(BK505+BM505)/2</f>
        <v>9.6297499999999996</v>
      </c>
      <c r="BM505" s="120">
        <f>(BM504+BM506)/2</f>
        <v>10.0985</v>
      </c>
      <c r="BN505" s="120">
        <f>(BM505+BO505)/2</f>
        <v>10.553999999999998</v>
      </c>
      <c r="BO505" s="120">
        <f>(BO504+BO506)/2</f>
        <v>11.009499999999999</v>
      </c>
      <c r="BP505" s="120">
        <f>(BO505+BQ505)/2</f>
        <v>11.45</v>
      </c>
      <c r="BQ505" s="120">
        <f>(BQ504+BQ506)/2</f>
        <v>11.890499999999999</v>
      </c>
      <c r="BR505" s="120">
        <f>(BQ505+BS505)/2</f>
        <v>12.3195</v>
      </c>
      <c r="BS505" s="120">
        <f>(BS504+BS506)/2</f>
        <v>12.7485</v>
      </c>
      <c r="BT505" s="120">
        <f>(BS505+BU505)/2</f>
        <v>13.1745</v>
      </c>
      <c r="BU505" s="120">
        <f>(BU504+BU506)/2</f>
        <v>13.6005</v>
      </c>
      <c r="BV505" s="120">
        <f>(BU505+BW505)/2</f>
        <v>14.02425</v>
      </c>
      <c r="BW505" s="120">
        <f>(BW504+BW506)/2</f>
        <v>14.448</v>
      </c>
      <c r="BX505" s="120">
        <f>(BW505+BY505)/2</f>
        <v>14.856249999999999</v>
      </c>
      <c r="BY505" s="120">
        <f>(BY504+BY506)/2</f>
        <v>15.2645</v>
      </c>
      <c r="BZ505" s="120">
        <f>(BY505+CA505)/2</f>
        <v>15.68825</v>
      </c>
      <c r="CA505" s="120">
        <f>(CA504+CA506)/2</f>
        <v>16.112000000000002</v>
      </c>
      <c r="CB505" s="120">
        <f>(CA505+CC505)/2</f>
        <v>16.489750000000001</v>
      </c>
      <c r="CC505" s="120">
        <f>(CC504+CC506)/2</f>
        <v>16.8675</v>
      </c>
      <c r="CD505" s="120">
        <f>(CC505+CE505)/2</f>
        <v>17.277000000000001</v>
      </c>
      <c r="CE505" s="120">
        <f>(CE504+CE506)/2</f>
        <v>17.686499999999999</v>
      </c>
      <c r="CF505" s="120">
        <f>(CE505+CG505)/2</f>
        <v>18.078249999999997</v>
      </c>
      <c r="CG505" s="120">
        <f>(CG504+CG506)/2</f>
        <v>18.47</v>
      </c>
      <c r="CH505" s="120">
        <f>(CG505+CI505)/2</f>
        <v>18.878</v>
      </c>
      <c r="CI505" s="120">
        <f>(CI504+CI506)/2</f>
        <v>19.286000000000001</v>
      </c>
      <c r="CJ505" s="120">
        <f>(CI505+CK505)/2</f>
        <v>19.67775</v>
      </c>
      <c r="CK505" s="120">
        <f>(CK504+CK506)/2</f>
        <v>20.069499999999998</v>
      </c>
      <c r="CL505" s="120">
        <f>(CK505+CM505)/2</f>
        <v>20.446999999999999</v>
      </c>
      <c r="CM505" s="120">
        <f>(CM504+CM506)/2</f>
        <v>20.8245</v>
      </c>
      <c r="CN505" s="120">
        <f>(CM505+CO505)/2</f>
        <v>21.205249999999999</v>
      </c>
      <c r="CO505" s="120">
        <f>(CO504+CO506)/2</f>
        <v>21.585999999999999</v>
      </c>
      <c r="CP505" s="120">
        <f>(CO505+CQ505)/2</f>
        <v>21.962</v>
      </c>
      <c r="CQ505" s="120">
        <f>(CQ504+CQ506)/2</f>
        <v>22.338000000000001</v>
      </c>
      <c r="CR505" s="120">
        <f>(CQ505+CS505)/2</f>
        <v>22.729750000000003</v>
      </c>
      <c r="CS505" s="120">
        <f>(CS504+CS506)/2</f>
        <v>23.121500000000001</v>
      </c>
      <c r="CT505" s="120">
        <f>(CS505+CU505)/2</f>
        <v>23.509999999999998</v>
      </c>
      <c r="CU505" s="120">
        <f>(CU504+CU506)/2</f>
        <v>23.898499999999999</v>
      </c>
      <c r="CV505" s="120">
        <f>(CU505+CW505)/2</f>
        <v>24.244499999999999</v>
      </c>
      <c r="CW505" s="120">
        <f>(CW504+CW506)/2</f>
        <v>24.590499999999999</v>
      </c>
      <c r="CX505" s="120">
        <f>(CW505+CY505)/2</f>
        <v>24.971249999999998</v>
      </c>
      <c r="CY505" s="120">
        <f>(CY504+CY506)/2</f>
        <v>25.352</v>
      </c>
      <c r="CZ505" s="120">
        <f>(CY505+DA505)/2</f>
        <v>25.72775</v>
      </c>
      <c r="DA505" s="120">
        <f>(DA504+DA506)/2</f>
        <v>26.1035</v>
      </c>
      <c r="DB505" s="120">
        <f>(DA505+DC505)/2</f>
        <v>26.479500000000002</v>
      </c>
      <c r="DC505" s="120">
        <f>(DC504+DC506)/2</f>
        <v>26.855499999999999</v>
      </c>
      <c r="DD505" s="120">
        <f>(DC505+DE505)/2</f>
        <v>27.228249999999999</v>
      </c>
      <c r="DE505" s="120">
        <f>(DE504+DE506)/2</f>
        <v>27.600999999999999</v>
      </c>
      <c r="DF505" s="120">
        <f>(DE505+DG505)/2</f>
        <v>27.9495</v>
      </c>
      <c r="DG505" s="122">
        <f>(DG504+DG506)/2</f>
        <v>28.298000000000002</v>
      </c>
    </row>
    <row r="506" spans="54:111" ht="15" customHeight="1" x14ac:dyDescent="0.2">
      <c r="BB506" s="28">
        <v>14</v>
      </c>
      <c r="BC506" s="121">
        <v>5.1639999999999997</v>
      </c>
      <c r="BD506" s="121">
        <v>5.7844999999999995</v>
      </c>
      <c r="BE506" s="121">
        <v>6.4050000000000002</v>
      </c>
      <c r="BF506" s="121">
        <v>6.984</v>
      </c>
      <c r="BG506" s="121">
        <v>7.5629999999999997</v>
      </c>
      <c r="BH506" s="121">
        <v>8.0809999999999995</v>
      </c>
      <c r="BI506" s="121">
        <v>8.5990000000000002</v>
      </c>
      <c r="BJ506" s="121">
        <v>9.0914999999999999</v>
      </c>
      <c r="BK506" s="121">
        <v>9.5839999999999996</v>
      </c>
      <c r="BL506" s="121">
        <f t="array" ref="BL506:BL552">TRANSPOSE(BM505:DG505)</f>
        <v>10.0985</v>
      </c>
      <c r="BM506" s="158">
        <v>10.613</v>
      </c>
      <c r="BN506" s="120">
        <f>(BO506+BM506)/2</f>
        <v>11.073</v>
      </c>
      <c r="BO506" s="158">
        <v>11.532999999999999</v>
      </c>
      <c r="BP506" s="120">
        <f>(BQ506+BO506)/2</f>
        <v>12.016</v>
      </c>
      <c r="BQ506" s="158">
        <v>12.499000000000001</v>
      </c>
      <c r="BR506" s="120">
        <f>(BS506+BQ506)/2</f>
        <v>12.9275</v>
      </c>
      <c r="BS506" s="158">
        <v>13.356</v>
      </c>
      <c r="BT506" s="120">
        <f>(BU506+BS506)/2</f>
        <v>13.8165</v>
      </c>
      <c r="BU506" s="158">
        <v>14.276999999999999</v>
      </c>
      <c r="BV506" s="120">
        <f>(BW506+BU506)/2</f>
        <v>14.727</v>
      </c>
      <c r="BW506" s="158">
        <v>15.177</v>
      </c>
      <c r="BX506" s="120">
        <f>(BY506+BW506)/2</f>
        <v>15.606</v>
      </c>
      <c r="BY506" s="158">
        <v>16.035</v>
      </c>
      <c r="BZ506" s="120">
        <f>(CA506+BY506)/2</f>
        <v>16.485500000000002</v>
      </c>
      <c r="CA506" s="158">
        <v>16.936</v>
      </c>
      <c r="CB506" s="120">
        <f>(CC506+CA506)/2</f>
        <v>17.325499999999998</v>
      </c>
      <c r="CC506" s="158">
        <v>17.715</v>
      </c>
      <c r="CD506" s="120">
        <f>(CE506+CC506)/2</f>
        <v>18.1435</v>
      </c>
      <c r="CE506" s="158">
        <v>18.571999999999999</v>
      </c>
      <c r="CF506" s="120">
        <f>(CG506+CE506)/2</f>
        <v>18.990000000000002</v>
      </c>
      <c r="CG506" s="158">
        <v>19.408000000000001</v>
      </c>
      <c r="CH506" s="120">
        <f>(CI506+CG506)/2</f>
        <v>19.836500000000001</v>
      </c>
      <c r="CI506" s="158">
        <v>20.265000000000001</v>
      </c>
      <c r="CJ506" s="120">
        <f>(CK506+CI506)/2</f>
        <v>20.683</v>
      </c>
      <c r="CK506" s="158">
        <v>21.100999999999999</v>
      </c>
      <c r="CL506" s="120">
        <f>(CM506+CK506)/2</f>
        <v>21.497499999999999</v>
      </c>
      <c r="CM506" s="158">
        <v>21.893999999999998</v>
      </c>
      <c r="CN506" s="120">
        <f>(CO506+CM506)/2</f>
        <v>22.29</v>
      </c>
      <c r="CO506" s="158">
        <v>22.686</v>
      </c>
      <c r="CP506" s="120">
        <f>(CQ506+CO506)/2</f>
        <v>23.104500000000002</v>
      </c>
      <c r="CQ506" s="158">
        <v>23.523</v>
      </c>
      <c r="CR506" s="120">
        <f>(CS506+CQ506)/2</f>
        <v>23.919</v>
      </c>
      <c r="CS506" s="158">
        <v>24.315000000000001</v>
      </c>
      <c r="CT506" s="120">
        <f>(CU506+CS506)/2</f>
        <v>24.733499999999999</v>
      </c>
      <c r="CU506" s="158">
        <v>25.152000000000001</v>
      </c>
      <c r="CV506" s="120">
        <f>(CW506+CU506)/2</f>
        <v>25.5105</v>
      </c>
      <c r="CW506" s="158">
        <v>25.869</v>
      </c>
      <c r="CX506" s="120">
        <f>(CY506+CW506)/2</f>
        <v>26.265000000000001</v>
      </c>
      <c r="CY506" s="158">
        <v>26.661000000000001</v>
      </c>
      <c r="CZ506" s="120">
        <f>(DA506+CY506)/2</f>
        <v>27.079500000000003</v>
      </c>
      <c r="DA506" s="158">
        <v>27.498000000000001</v>
      </c>
      <c r="DB506" s="120">
        <f>(DC506+DA506)/2</f>
        <v>27.862000000000002</v>
      </c>
      <c r="DC506" s="158">
        <v>28.225999999999999</v>
      </c>
      <c r="DD506" s="120">
        <f>(DE506+DC506)/2</f>
        <v>28.644500000000001</v>
      </c>
      <c r="DE506" s="158">
        <v>29.062999999999999</v>
      </c>
      <c r="DF506" s="120">
        <f>(DG506+DE506)/2</f>
        <v>29.427</v>
      </c>
      <c r="DG506" s="159">
        <v>29.791</v>
      </c>
    </row>
    <row r="507" spans="54:111" ht="15" customHeight="1" x14ac:dyDescent="0.2">
      <c r="BB507" s="28">
        <v>15</v>
      </c>
      <c r="BC507" s="121">
        <v>5.3769999999999998</v>
      </c>
      <c r="BD507" s="121">
        <v>6.0242499999999994</v>
      </c>
      <c r="BE507" s="121">
        <v>6.6715</v>
      </c>
      <c r="BF507" s="121">
        <v>7.2707499999999996</v>
      </c>
      <c r="BG507" s="121">
        <v>7.8699999999999992</v>
      </c>
      <c r="BH507" s="121">
        <v>8.4175000000000004</v>
      </c>
      <c r="BI507" s="121">
        <v>8.9649999999999999</v>
      </c>
      <c r="BJ507" s="121">
        <v>9.5</v>
      </c>
      <c r="BK507" s="121">
        <v>10.035</v>
      </c>
      <c r="BL507" s="121">
        <v>10.553999999999998</v>
      </c>
      <c r="BM507" s="121">
        <f t="array" ref="BM507:BM552">TRANSPOSE(BN506:DG506)</f>
        <v>11.073</v>
      </c>
      <c r="BN507" s="120">
        <f>(BM507+BO507)/2</f>
        <v>11.56</v>
      </c>
      <c r="BO507" s="120">
        <f>(BO506+BO508)/2</f>
        <v>12.047000000000001</v>
      </c>
      <c r="BP507" s="120">
        <f>(BO507+BQ507)/2</f>
        <v>12.55025</v>
      </c>
      <c r="BQ507" s="120">
        <f>(BQ506+BQ508)/2</f>
        <v>13.0535</v>
      </c>
      <c r="BR507" s="120">
        <f>(BQ507+BS507)/2</f>
        <v>13.5245</v>
      </c>
      <c r="BS507" s="120">
        <f>(BS506+BS508)/2</f>
        <v>13.9955</v>
      </c>
      <c r="BT507" s="120">
        <f>(BS507+BU507)/2</f>
        <v>14.466249999999999</v>
      </c>
      <c r="BU507" s="120">
        <f>(BU506+BU508)/2</f>
        <v>14.936999999999999</v>
      </c>
      <c r="BV507" s="120">
        <f>(BU507+BW507)/2</f>
        <v>15.407499999999999</v>
      </c>
      <c r="BW507" s="120">
        <f>(BW506+BW508)/2</f>
        <v>15.878</v>
      </c>
      <c r="BX507" s="120">
        <f>(BW507+BY507)/2</f>
        <v>16.33325</v>
      </c>
      <c r="BY507" s="120">
        <f>(BY506+BY508)/2</f>
        <v>16.788499999999999</v>
      </c>
      <c r="BZ507" s="120">
        <f>(BY507+CA507)/2</f>
        <v>17.243499999999997</v>
      </c>
      <c r="CA507" s="120">
        <f>(CA506+CA508)/2</f>
        <v>17.698499999999999</v>
      </c>
      <c r="CB507" s="120">
        <f>(CA507+CC507)/2</f>
        <v>18.133749999999999</v>
      </c>
      <c r="CC507" s="120">
        <f>(CC506+CC508)/2</f>
        <v>18.568999999999999</v>
      </c>
      <c r="CD507" s="120">
        <f>(CC507+CE507)/2</f>
        <v>19.024000000000001</v>
      </c>
      <c r="CE507" s="120">
        <f>(CE506+CE508)/2</f>
        <v>19.478999999999999</v>
      </c>
      <c r="CF507" s="120">
        <f>(CE507+CG507)/2</f>
        <v>19.901499999999999</v>
      </c>
      <c r="CG507" s="120">
        <f>(CG506+CG508)/2</f>
        <v>20.323999999999998</v>
      </c>
      <c r="CH507" s="120">
        <f>(CG507+CI507)/2</f>
        <v>20.778749999999999</v>
      </c>
      <c r="CI507" s="120">
        <f>(CI506+CI508)/2</f>
        <v>21.233499999999999</v>
      </c>
      <c r="CJ507" s="120">
        <f>(CI507+CK507)/2</f>
        <v>21.65625</v>
      </c>
      <c r="CK507" s="120">
        <f>(CK506+CK508)/2</f>
        <v>22.079000000000001</v>
      </c>
      <c r="CL507" s="120">
        <f>(CK507+CM507)/2</f>
        <v>22.501750000000001</v>
      </c>
      <c r="CM507" s="120">
        <f>(CM506+CM508)/2</f>
        <v>22.924499999999998</v>
      </c>
      <c r="CN507" s="120">
        <f>(CM507+CO507)/2</f>
        <v>23.366500000000002</v>
      </c>
      <c r="CO507" s="120">
        <f>(CO506+CO508)/2</f>
        <v>23.808500000000002</v>
      </c>
      <c r="CP507" s="120">
        <f>(CO507+CQ507)/2</f>
        <v>24.231250000000003</v>
      </c>
      <c r="CQ507" s="120">
        <f>(CQ506+CQ508)/2</f>
        <v>24.654</v>
      </c>
      <c r="CR507" s="120">
        <f>(CQ507+CS507)/2</f>
        <v>25.076999999999998</v>
      </c>
      <c r="CS507" s="120">
        <f>(CS506+CS508)/2</f>
        <v>25.5</v>
      </c>
      <c r="CT507" s="120">
        <f>(CS507+CU507)/2</f>
        <v>25.922750000000001</v>
      </c>
      <c r="CU507" s="120">
        <f>(CU506+CU508)/2</f>
        <v>26.345500000000001</v>
      </c>
      <c r="CV507" s="120">
        <f>(CU507+CW507)/2</f>
        <v>26.74925</v>
      </c>
      <c r="CW507" s="120">
        <f>(CW506+CW508)/2</f>
        <v>27.152999999999999</v>
      </c>
      <c r="CX507" s="120">
        <f>(CW507+CY507)/2</f>
        <v>27.575499999999998</v>
      </c>
      <c r="CY507" s="120">
        <f>(CY506+CY508)/2</f>
        <v>27.998000000000001</v>
      </c>
      <c r="CZ507" s="120">
        <f>(CY507+DA507)/2</f>
        <v>28.40475</v>
      </c>
      <c r="DA507" s="120">
        <f>(DA506+DA508)/2</f>
        <v>28.811500000000002</v>
      </c>
      <c r="DB507" s="120">
        <f>(DA507+DC507)/2</f>
        <v>29.218250000000001</v>
      </c>
      <c r="DC507" s="120">
        <f>(DC506+DC508)/2</f>
        <v>29.625</v>
      </c>
      <c r="DD507" s="120">
        <f>(DC507+DE507)/2</f>
        <v>30.047750000000001</v>
      </c>
      <c r="DE507" s="120">
        <f>(DE506+DE508)/2</f>
        <v>30.470500000000001</v>
      </c>
      <c r="DF507" s="120">
        <f>(DE507+DG507)/2</f>
        <v>30.861250000000002</v>
      </c>
      <c r="DG507" s="122">
        <f>(DG506+DG508)/2</f>
        <v>31.252000000000002</v>
      </c>
    </row>
    <row r="508" spans="54:111" ht="15" customHeight="1" x14ac:dyDescent="0.2">
      <c r="BB508" s="28">
        <v>16</v>
      </c>
      <c r="BC508" s="121">
        <v>5.59</v>
      </c>
      <c r="BD508" s="121">
        <v>6.2639999999999993</v>
      </c>
      <c r="BE508" s="121">
        <v>6.9379999999999997</v>
      </c>
      <c r="BF508" s="121">
        <v>7.5574999999999992</v>
      </c>
      <c r="BG508" s="121">
        <v>8.1769999999999996</v>
      </c>
      <c r="BH508" s="121">
        <v>8.7539999999999996</v>
      </c>
      <c r="BI508" s="121">
        <v>9.3309999999999995</v>
      </c>
      <c r="BJ508" s="121">
        <v>9.9085000000000001</v>
      </c>
      <c r="BK508" s="121">
        <v>10.486000000000001</v>
      </c>
      <c r="BL508" s="121">
        <v>11.009499999999999</v>
      </c>
      <c r="BM508" s="121">
        <v>11.532999999999999</v>
      </c>
      <c r="BN508" s="121">
        <f t="array" ref="BN508:BN552">TRANSPOSE(BO507:DG507)</f>
        <v>12.047000000000001</v>
      </c>
      <c r="BO508" s="158">
        <v>12.561</v>
      </c>
      <c r="BP508" s="120">
        <f>(BQ508+BO508)/2</f>
        <v>13.0845</v>
      </c>
      <c r="BQ508" s="158">
        <v>13.608000000000001</v>
      </c>
      <c r="BR508" s="120">
        <f>(BS508+BQ508)/2</f>
        <v>14.121500000000001</v>
      </c>
      <c r="BS508" s="158">
        <v>14.635</v>
      </c>
      <c r="BT508" s="120">
        <f>(BU508+BS508)/2</f>
        <v>15.116</v>
      </c>
      <c r="BU508" s="158">
        <v>15.597</v>
      </c>
      <c r="BV508" s="120">
        <f>(BW508+BU508)/2</f>
        <v>16.088000000000001</v>
      </c>
      <c r="BW508" s="158">
        <v>16.579000000000001</v>
      </c>
      <c r="BX508" s="120">
        <f>(BY508+BW508)/2</f>
        <v>17.060500000000001</v>
      </c>
      <c r="BY508" s="158">
        <v>17.542000000000002</v>
      </c>
      <c r="BZ508" s="120">
        <f>(CA508+BY508)/2</f>
        <v>18.0015</v>
      </c>
      <c r="CA508" s="158">
        <v>18.460999999999999</v>
      </c>
      <c r="CB508" s="120">
        <f>(CC508+CA508)/2</f>
        <v>18.942</v>
      </c>
      <c r="CC508" s="158">
        <v>19.422999999999998</v>
      </c>
      <c r="CD508" s="120">
        <f>(CE508+CC508)/2</f>
        <v>19.904499999999999</v>
      </c>
      <c r="CE508" s="158">
        <v>20.385999999999999</v>
      </c>
      <c r="CF508" s="120">
        <f>(CG508+CE508)/2</f>
        <v>20.812999999999999</v>
      </c>
      <c r="CG508" s="158">
        <v>21.24</v>
      </c>
      <c r="CH508" s="120">
        <f>(CI508+CG508)/2</f>
        <v>21.721</v>
      </c>
      <c r="CI508" s="158">
        <v>22.202000000000002</v>
      </c>
      <c r="CJ508" s="120">
        <f>(CK508+CI508)/2</f>
        <v>22.6295</v>
      </c>
      <c r="CK508" s="158">
        <v>23.056999999999999</v>
      </c>
      <c r="CL508" s="120">
        <f>(CM508+CK508)/2</f>
        <v>23.506</v>
      </c>
      <c r="CM508" s="158">
        <v>23.954999999999998</v>
      </c>
      <c r="CN508" s="120">
        <f>(CO508+CM508)/2</f>
        <v>24.442999999999998</v>
      </c>
      <c r="CO508" s="158">
        <v>24.931000000000001</v>
      </c>
      <c r="CP508" s="120">
        <f>(CQ508+CO508)/2</f>
        <v>25.358000000000001</v>
      </c>
      <c r="CQ508" s="158">
        <v>25.785</v>
      </c>
      <c r="CR508" s="120">
        <f>(CS508+CQ508)/2</f>
        <v>26.234999999999999</v>
      </c>
      <c r="CS508" s="158">
        <v>26.684999999999999</v>
      </c>
      <c r="CT508" s="120">
        <f>(CU508+CS508)/2</f>
        <v>27.112000000000002</v>
      </c>
      <c r="CU508" s="158">
        <v>27.539000000000001</v>
      </c>
      <c r="CV508" s="120">
        <f>(CW508+CU508)/2</f>
        <v>27.988</v>
      </c>
      <c r="CW508" s="158">
        <v>28.437000000000001</v>
      </c>
      <c r="CX508" s="120">
        <f>(CY508+CW508)/2</f>
        <v>28.886000000000003</v>
      </c>
      <c r="CY508" s="158">
        <v>29.335000000000001</v>
      </c>
      <c r="CZ508" s="120">
        <f>(DA508+CY508)/2</f>
        <v>29.73</v>
      </c>
      <c r="DA508" s="158">
        <v>30.125</v>
      </c>
      <c r="DB508" s="120">
        <f>(DC508+DA508)/2</f>
        <v>30.5745</v>
      </c>
      <c r="DC508" s="158">
        <v>31.024000000000001</v>
      </c>
      <c r="DD508" s="120">
        <f>(DE508+DC508)/2</f>
        <v>31.451000000000001</v>
      </c>
      <c r="DE508" s="158">
        <v>31.878</v>
      </c>
      <c r="DF508" s="120">
        <f>(DG508+DE508)/2</f>
        <v>32.295500000000004</v>
      </c>
      <c r="DG508" s="159">
        <v>32.713000000000001</v>
      </c>
    </row>
    <row r="509" spans="54:111" ht="15" customHeight="1" x14ac:dyDescent="0.2">
      <c r="BB509" s="28">
        <v>17</v>
      </c>
      <c r="BC509" s="121">
        <v>5.8254999999999999</v>
      </c>
      <c r="BD509" s="121">
        <v>6.5197500000000002</v>
      </c>
      <c r="BE509" s="121">
        <v>7.2140000000000004</v>
      </c>
      <c r="BF509" s="121">
        <v>7.8632499999999999</v>
      </c>
      <c r="BG509" s="121">
        <v>8.5124999999999993</v>
      </c>
      <c r="BH509" s="121">
        <v>9.1052499999999998</v>
      </c>
      <c r="BI509" s="121">
        <v>9.6980000000000004</v>
      </c>
      <c r="BJ509" s="121">
        <v>10.291</v>
      </c>
      <c r="BK509" s="121">
        <v>10.884</v>
      </c>
      <c r="BL509" s="121">
        <v>11.45</v>
      </c>
      <c r="BM509" s="121">
        <v>12.016</v>
      </c>
      <c r="BN509" s="121">
        <v>12.55025</v>
      </c>
      <c r="BO509" s="121">
        <f t="array" ref="BO509:BO552">TRANSPOSE(BP508:DG508)</f>
        <v>13.0845</v>
      </c>
      <c r="BP509" s="120">
        <f>(BO509+BQ509)/2</f>
        <v>13.61825</v>
      </c>
      <c r="BQ509" s="120">
        <f>(BQ508+BQ510)/2</f>
        <v>14.152000000000001</v>
      </c>
      <c r="BR509" s="120">
        <f>(BQ509+BS509)/2</f>
        <v>14.68425</v>
      </c>
      <c r="BS509" s="120">
        <f>(BS508+BS510)/2</f>
        <v>15.2165</v>
      </c>
      <c r="BT509" s="120">
        <f>(BS509+BU509)/2</f>
        <v>15.72925</v>
      </c>
      <c r="BU509" s="120">
        <f>(BU508+BU510)/2</f>
        <v>16.242000000000001</v>
      </c>
      <c r="BV509" s="120">
        <f>(BU509+BW509)/2</f>
        <v>16.759250000000002</v>
      </c>
      <c r="BW509" s="120">
        <f>(BW508+BW510)/2</f>
        <v>17.276499999999999</v>
      </c>
      <c r="BX509" s="120">
        <f>(BW509+BY509)/2</f>
        <v>17.762499999999999</v>
      </c>
      <c r="BY509" s="120">
        <f>(BY508+BY510)/2</f>
        <v>18.2485</v>
      </c>
      <c r="BZ509" s="120">
        <f>(BY509+CA509)/2</f>
        <v>18.750250000000001</v>
      </c>
      <c r="CA509" s="120">
        <f>(CA508+CA510)/2</f>
        <v>19.251999999999999</v>
      </c>
      <c r="CB509" s="120">
        <f>(CA509+CC509)/2</f>
        <v>19.7485</v>
      </c>
      <c r="CC509" s="120">
        <f>(CC508+CC510)/2</f>
        <v>20.244999999999997</v>
      </c>
      <c r="CD509" s="120">
        <f>(CC509+CE509)/2</f>
        <v>20.741999999999997</v>
      </c>
      <c r="CE509" s="120">
        <f>(CE508+CE510)/2</f>
        <v>21.238999999999997</v>
      </c>
      <c r="CF509" s="120">
        <f>(CE509+CG509)/2</f>
        <v>21.711749999999999</v>
      </c>
      <c r="CG509" s="120">
        <f>(CG508+CG510)/2</f>
        <v>22.1845</v>
      </c>
      <c r="CH509" s="120">
        <f>(CG509+CI509)/2</f>
        <v>22.654</v>
      </c>
      <c r="CI509" s="120">
        <f>(CI508+CI510)/2</f>
        <v>23.1235</v>
      </c>
      <c r="CJ509" s="120">
        <f>(CI509+CK509)/2</f>
        <v>23.593249999999998</v>
      </c>
      <c r="CK509" s="120">
        <f>(CK508+CK510)/2</f>
        <v>24.062999999999999</v>
      </c>
      <c r="CL509" s="120">
        <f>(CK509+CM509)/2</f>
        <v>24.527749999999997</v>
      </c>
      <c r="CM509" s="120">
        <f>(CM508+CM510)/2</f>
        <v>24.9925</v>
      </c>
      <c r="CN509" s="120">
        <f>(CM509+CO509)/2</f>
        <v>25.492750000000001</v>
      </c>
      <c r="CO509" s="120">
        <f>(CO508+CO510)/2</f>
        <v>25.993000000000002</v>
      </c>
      <c r="CP509" s="120">
        <f>(CO509+CQ509)/2</f>
        <v>26.446249999999999</v>
      </c>
      <c r="CQ509" s="120">
        <f>(CQ508+CQ510)/2</f>
        <v>26.8995</v>
      </c>
      <c r="CR509" s="120">
        <f>(CQ509+CS509)/2</f>
        <v>27.353749999999998</v>
      </c>
      <c r="CS509" s="120">
        <f>(CS508+CS510)/2</f>
        <v>27.808</v>
      </c>
      <c r="CT509" s="120">
        <f>(CS509+CU509)/2</f>
        <v>28.264749999999999</v>
      </c>
      <c r="CU509" s="120">
        <f>(CU508+CU510)/2</f>
        <v>28.721499999999999</v>
      </c>
      <c r="CV509" s="120">
        <f>(CU509+CW509)/2</f>
        <v>29.186</v>
      </c>
      <c r="CW509" s="120">
        <f>(CW508+CW510)/2</f>
        <v>29.650500000000001</v>
      </c>
      <c r="CX509" s="120">
        <f>(CW509+CY509)/2</f>
        <v>30.115000000000002</v>
      </c>
      <c r="CY509" s="120">
        <f>(CY508+CY510)/2</f>
        <v>30.579500000000003</v>
      </c>
      <c r="CZ509" s="120">
        <f>(CY509+DA509)/2</f>
        <v>31.017000000000003</v>
      </c>
      <c r="DA509" s="120">
        <f>(DA508+DA510)/2</f>
        <v>31.454499999999999</v>
      </c>
      <c r="DB509" s="120">
        <f>(DA509+DC509)/2</f>
        <v>31.908250000000002</v>
      </c>
      <c r="DC509" s="120">
        <f>(DC508+DC510)/2</f>
        <v>32.362000000000002</v>
      </c>
      <c r="DD509" s="120">
        <f>(DC509+DE509)/2</f>
        <v>32.815750000000001</v>
      </c>
      <c r="DE509" s="120">
        <f>(DE508+DE510)/2</f>
        <v>33.269500000000001</v>
      </c>
      <c r="DF509" s="120">
        <f>(DE509+DG509)/2</f>
        <v>33.721249999999998</v>
      </c>
      <c r="DG509" s="122">
        <f>(DG508+DG510)/2</f>
        <v>34.173000000000002</v>
      </c>
    </row>
    <row r="510" spans="54:111" ht="15" customHeight="1" x14ac:dyDescent="0.2">
      <c r="BB510" s="28">
        <v>18</v>
      </c>
      <c r="BC510" s="121">
        <v>6.0609999999999999</v>
      </c>
      <c r="BD510" s="121">
        <v>6.7755000000000001</v>
      </c>
      <c r="BE510" s="121">
        <v>7.49</v>
      </c>
      <c r="BF510" s="121">
        <v>8.1690000000000005</v>
      </c>
      <c r="BG510" s="121">
        <v>8.8480000000000008</v>
      </c>
      <c r="BH510" s="121">
        <v>9.4565000000000001</v>
      </c>
      <c r="BI510" s="121">
        <v>10.065</v>
      </c>
      <c r="BJ510" s="121">
        <v>10.673500000000001</v>
      </c>
      <c r="BK510" s="121">
        <v>11.282</v>
      </c>
      <c r="BL510" s="121">
        <v>11.890499999999999</v>
      </c>
      <c r="BM510" s="121">
        <v>12.499000000000001</v>
      </c>
      <c r="BN510" s="121">
        <v>13.0535</v>
      </c>
      <c r="BO510" s="121">
        <v>13.608000000000001</v>
      </c>
      <c r="BP510" s="121">
        <f t="array" ref="BP510:BP552">TRANSPOSE(BQ509:DG509)</f>
        <v>14.152000000000001</v>
      </c>
      <c r="BQ510" s="158">
        <v>14.696</v>
      </c>
      <c r="BR510" s="120">
        <f>(BS510+BQ510)/2</f>
        <v>15.247</v>
      </c>
      <c r="BS510" s="158">
        <v>15.798</v>
      </c>
      <c r="BT510" s="120">
        <f>(BU510+BS510)/2</f>
        <v>16.342500000000001</v>
      </c>
      <c r="BU510" s="158">
        <v>16.887</v>
      </c>
      <c r="BV510" s="120">
        <f>(BW510+BU510)/2</f>
        <v>17.430500000000002</v>
      </c>
      <c r="BW510" s="158">
        <v>17.974</v>
      </c>
      <c r="BX510" s="120">
        <f>(BY510+BW510)/2</f>
        <v>18.464500000000001</v>
      </c>
      <c r="BY510" s="158">
        <v>18.954999999999998</v>
      </c>
      <c r="BZ510" s="120">
        <f>(CA510+BY510)/2</f>
        <v>19.498999999999999</v>
      </c>
      <c r="CA510" s="158">
        <v>20.042999999999999</v>
      </c>
      <c r="CB510" s="120">
        <f>(CC510+CA510)/2</f>
        <v>20.555</v>
      </c>
      <c r="CC510" s="158">
        <v>21.067</v>
      </c>
      <c r="CD510" s="120">
        <f>(CE510+CC510)/2</f>
        <v>21.579499999999999</v>
      </c>
      <c r="CE510" s="158">
        <v>22.091999999999999</v>
      </c>
      <c r="CF510" s="120">
        <f>(CG510+CE510)/2</f>
        <v>22.610500000000002</v>
      </c>
      <c r="CG510" s="158">
        <v>23.129000000000001</v>
      </c>
      <c r="CH510" s="120">
        <f>(CI510+CG510)/2</f>
        <v>23.587000000000003</v>
      </c>
      <c r="CI510" s="158">
        <v>24.045000000000002</v>
      </c>
      <c r="CJ510" s="120">
        <f>(CK510+CI510)/2</f>
        <v>24.557000000000002</v>
      </c>
      <c r="CK510" s="158">
        <v>25.068999999999999</v>
      </c>
      <c r="CL510" s="120">
        <f>(CM510+CK510)/2</f>
        <v>25.549500000000002</v>
      </c>
      <c r="CM510" s="158">
        <v>26.03</v>
      </c>
      <c r="CN510" s="120">
        <f>(CO510+CM510)/2</f>
        <v>26.5425</v>
      </c>
      <c r="CO510" s="158">
        <v>27.055</v>
      </c>
      <c r="CP510" s="120">
        <f>(CQ510+CO510)/2</f>
        <v>27.534500000000001</v>
      </c>
      <c r="CQ510" s="158">
        <v>28.013999999999999</v>
      </c>
      <c r="CR510" s="120">
        <f>(CS510+CQ510)/2</f>
        <v>28.4725</v>
      </c>
      <c r="CS510" s="158">
        <v>28.931000000000001</v>
      </c>
      <c r="CT510" s="120">
        <f>(CU510+CS510)/2</f>
        <v>29.4175</v>
      </c>
      <c r="CU510" s="158">
        <v>29.904</v>
      </c>
      <c r="CV510" s="120">
        <f>(CW510+CU510)/2</f>
        <v>30.384</v>
      </c>
      <c r="CW510" s="158">
        <v>30.864000000000001</v>
      </c>
      <c r="CX510" s="120">
        <f>(CY510+CW510)/2</f>
        <v>31.344000000000001</v>
      </c>
      <c r="CY510" s="158">
        <v>31.824000000000002</v>
      </c>
      <c r="CZ510" s="120">
        <f>(DA510+CY510)/2</f>
        <v>32.304000000000002</v>
      </c>
      <c r="DA510" s="158">
        <v>32.783999999999999</v>
      </c>
      <c r="DB510" s="120">
        <f>(DC510+DA510)/2</f>
        <v>33.242000000000004</v>
      </c>
      <c r="DC510" s="158">
        <v>33.700000000000003</v>
      </c>
      <c r="DD510" s="120">
        <f>(DE510+DC510)/2</f>
        <v>34.180500000000002</v>
      </c>
      <c r="DE510" s="158">
        <v>34.661000000000001</v>
      </c>
      <c r="DF510" s="120">
        <f>(DG510+DE510)/2</f>
        <v>35.147000000000006</v>
      </c>
      <c r="DG510" s="159">
        <v>35.633000000000003</v>
      </c>
    </row>
    <row r="511" spans="54:111" ht="15" customHeight="1" x14ac:dyDescent="0.2">
      <c r="BB511" s="28">
        <v>19</v>
      </c>
      <c r="BC511" s="121">
        <v>6.2484999999999999</v>
      </c>
      <c r="BD511" s="121">
        <v>7.0057499999999999</v>
      </c>
      <c r="BE511" s="121">
        <v>7.7629999999999999</v>
      </c>
      <c r="BF511" s="121">
        <v>8.4540000000000006</v>
      </c>
      <c r="BG511" s="121">
        <v>9.1449999999999996</v>
      </c>
      <c r="BH511" s="121">
        <v>9.7852500000000013</v>
      </c>
      <c r="BI511" s="121">
        <v>10.4255</v>
      </c>
      <c r="BJ511" s="121">
        <v>11.0685</v>
      </c>
      <c r="BK511" s="121">
        <v>11.711500000000001</v>
      </c>
      <c r="BL511" s="121">
        <v>12.3195</v>
      </c>
      <c r="BM511" s="121">
        <v>12.9275</v>
      </c>
      <c r="BN511" s="121">
        <v>13.5245</v>
      </c>
      <c r="BO511" s="121">
        <v>14.121500000000001</v>
      </c>
      <c r="BP511" s="121">
        <v>14.68425</v>
      </c>
      <c r="BQ511" s="121">
        <f t="array" ref="BQ511:BQ552">TRANSPOSE(BR510:DG510)</f>
        <v>15.247</v>
      </c>
      <c r="BR511" s="120">
        <f>(BQ511+BS511)/2</f>
        <v>15.826000000000001</v>
      </c>
      <c r="BS511" s="120">
        <f>(BS510+BS512)/2</f>
        <v>16.405000000000001</v>
      </c>
      <c r="BT511" s="120">
        <f>(BS511+BU511)/2</f>
        <v>16.965</v>
      </c>
      <c r="BU511" s="120">
        <f>(BU510+BU512)/2</f>
        <v>17.524999999999999</v>
      </c>
      <c r="BV511" s="120">
        <f>(BU511+BW511)/2</f>
        <v>18.084</v>
      </c>
      <c r="BW511" s="120">
        <f>(BW510+BW512)/2</f>
        <v>18.643000000000001</v>
      </c>
      <c r="BX511" s="120">
        <f>(BW511+BY511)/2</f>
        <v>19.179000000000002</v>
      </c>
      <c r="BY511" s="120">
        <f>(BY510+BY512)/2</f>
        <v>19.715</v>
      </c>
      <c r="BZ511" s="120">
        <f>(BY511+CA511)/2</f>
        <v>20.258749999999999</v>
      </c>
      <c r="CA511" s="120">
        <f>(CA510+CA512)/2</f>
        <v>20.802500000000002</v>
      </c>
      <c r="CB511" s="120">
        <f>(CA511+CC511)/2</f>
        <v>21.329750000000001</v>
      </c>
      <c r="CC511" s="120">
        <f>(CC510+CC512)/2</f>
        <v>21.856999999999999</v>
      </c>
      <c r="CD511" s="120">
        <f>(CC511+CE511)/2</f>
        <v>22.384999999999998</v>
      </c>
      <c r="CE511" s="120">
        <f>(CE510+CE512)/2</f>
        <v>22.913</v>
      </c>
      <c r="CF511" s="120">
        <f>(CE511+CG511)/2</f>
        <v>23.447000000000003</v>
      </c>
      <c r="CG511" s="120">
        <f>(CG510+CG512)/2</f>
        <v>23.981000000000002</v>
      </c>
      <c r="CH511" s="120">
        <f>(CG511+CI511)/2</f>
        <v>24.4815</v>
      </c>
      <c r="CI511" s="120">
        <f>(CI510+CI512)/2</f>
        <v>24.981999999999999</v>
      </c>
      <c r="CJ511" s="120">
        <f>(CI511+CK511)/2</f>
        <v>25.50975</v>
      </c>
      <c r="CK511" s="120">
        <f>(CK510+CK512)/2</f>
        <v>26.037500000000001</v>
      </c>
      <c r="CL511" s="120">
        <f>(CK511+CM511)/2</f>
        <v>26.552500000000002</v>
      </c>
      <c r="CM511" s="120">
        <f>(CM510+CM512)/2</f>
        <v>27.067500000000003</v>
      </c>
      <c r="CN511" s="120">
        <f>(CM511+CO511)/2</f>
        <v>27.579000000000001</v>
      </c>
      <c r="CO511" s="120">
        <f>(CO510+CO512)/2</f>
        <v>28.090499999999999</v>
      </c>
      <c r="CP511" s="120">
        <f>(CO511+CQ511)/2</f>
        <v>28.602</v>
      </c>
      <c r="CQ511" s="120">
        <f>(CQ510+CQ512)/2</f>
        <v>29.113500000000002</v>
      </c>
      <c r="CR511" s="120">
        <f>(CQ511+CS511)/2</f>
        <v>29.598000000000003</v>
      </c>
      <c r="CS511" s="120">
        <f>(CS510+CS512)/2</f>
        <v>30.082500000000003</v>
      </c>
      <c r="CT511" s="120">
        <f>(CS511+CU511)/2</f>
        <v>30.584750000000003</v>
      </c>
      <c r="CU511" s="120">
        <f>(CU510+CU512)/2</f>
        <v>31.087000000000003</v>
      </c>
      <c r="CV511" s="120">
        <f>(CU511+CW511)/2</f>
        <v>31.59825</v>
      </c>
      <c r="CW511" s="120">
        <f>(CW510+CW512)/2</f>
        <v>32.109499999999997</v>
      </c>
      <c r="CX511" s="120">
        <f>(CW511+CY511)/2</f>
        <v>32.605000000000004</v>
      </c>
      <c r="CY511" s="120">
        <f>(CY510+CY512)/2</f>
        <v>33.100500000000004</v>
      </c>
      <c r="CZ511" s="120">
        <f>(CY511+DA511)/2</f>
        <v>33.599249999999998</v>
      </c>
      <c r="DA511" s="120">
        <f>(DA510+DA512)/2</f>
        <v>34.097999999999999</v>
      </c>
      <c r="DB511" s="120">
        <f>(DA511+DC511)/2</f>
        <v>34.582499999999996</v>
      </c>
      <c r="DC511" s="120">
        <f>(DC510+DC512)/2</f>
        <v>35.067</v>
      </c>
      <c r="DD511" s="120">
        <f>(DC511+DE511)/2</f>
        <v>35.562750000000001</v>
      </c>
      <c r="DE511" s="120">
        <f>(DE510+DE512)/2</f>
        <v>36.058500000000002</v>
      </c>
      <c r="DF511" s="120">
        <f>(DE511+DG511)/2</f>
        <v>36.557249999999996</v>
      </c>
      <c r="DG511" s="122">
        <f>(DG510+DG512)/2</f>
        <v>37.055999999999997</v>
      </c>
    </row>
    <row r="512" spans="54:111" ht="15" customHeight="1" x14ac:dyDescent="0.2">
      <c r="BB512" s="28">
        <v>20</v>
      </c>
      <c r="BC512" s="121">
        <v>6.4359999999999999</v>
      </c>
      <c r="BD512" s="121">
        <v>7.2359999999999998</v>
      </c>
      <c r="BE512" s="121">
        <v>8.0359999999999996</v>
      </c>
      <c r="BF512" s="121">
        <v>8.7390000000000008</v>
      </c>
      <c r="BG512" s="121">
        <v>9.4420000000000002</v>
      </c>
      <c r="BH512" s="121">
        <v>10.114000000000001</v>
      </c>
      <c r="BI512" s="121">
        <v>10.786</v>
      </c>
      <c r="BJ512" s="121">
        <v>11.4635</v>
      </c>
      <c r="BK512" s="121">
        <v>12.141</v>
      </c>
      <c r="BL512" s="121">
        <v>12.7485</v>
      </c>
      <c r="BM512" s="121">
        <v>13.356</v>
      </c>
      <c r="BN512" s="121">
        <v>13.9955</v>
      </c>
      <c r="BO512" s="121">
        <v>14.635</v>
      </c>
      <c r="BP512" s="121">
        <v>15.2165</v>
      </c>
      <c r="BQ512" s="121">
        <v>15.798</v>
      </c>
      <c r="BR512" s="121">
        <f t="array" ref="BR512:BR552">TRANSPOSE(BS511:DG511)</f>
        <v>16.405000000000001</v>
      </c>
      <c r="BS512" s="158">
        <v>17.012</v>
      </c>
      <c r="BT512" s="120">
        <f>(BU512+BS512)/2</f>
        <v>17.587499999999999</v>
      </c>
      <c r="BU512" s="158">
        <v>18.163</v>
      </c>
      <c r="BV512" s="120">
        <f>(BW512+BU512)/2</f>
        <v>18.737500000000001</v>
      </c>
      <c r="BW512" s="158">
        <v>19.312000000000001</v>
      </c>
      <c r="BX512" s="120">
        <f>(BY512+BW512)/2</f>
        <v>19.893500000000003</v>
      </c>
      <c r="BY512" s="158">
        <v>20.475000000000001</v>
      </c>
      <c r="BZ512" s="120">
        <f>(CA512+BY512)/2</f>
        <v>21.018500000000003</v>
      </c>
      <c r="CA512" s="158">
        <v>21.562000000000001</v>
      </c>
      <c r="CB512" s="120">
        <f>(CC512+CA512)/2</f>
        <v>22.104500000000002</v>
      </c>
      <c r="CC512" s="158">
        <v>22.646999999999998</v>
      </c>
      <c r="CD512" s="120">
        <f>(CE512+CC512)/2</f>
        <v>23.1905</v>
      </c>
      <c r="CE512" s="158">
        <v>23.734000000000002</v>
      </c>
      <c r="CF512" s="120">
        <f>(CG512+CE512)/2</f>
        <v>24.2835</v>
      </c>
      <c r="CG512" s="158">
        <v>24.832999999999998</v>
      </c>
      <c r="CH512" s="120">
        <f>(CI512+CG512)/2</f>
        <v>25.375999999999998</v>
      </c>
      <c r="CI512" s="158">
        <v>25.919</v>
      </c>
      <c r="CJ512" s="120">
        <f>(CK512+CI512)/2</f>
        <v>26.462499999999999</v>
      </c>
      <c r="CK512" s="158">
        <v>27.006</v>
      </c>
      <c r="CL512" s="120">
        <f>(CM512+CK512)/2</f>
        <v>27.555500000000002</v>
      </c>
      <c r="CM512" s="158">
        <v>28.105</v>
      </c>
      <c r="CN512" s="120">
        <f>(CO512+CM512)/2</f>
        <v>28.615500000000001</v>
      </c>
      <c r="CO512" s="158">
        <v>29.126000000000001</v>
      </c>
      <c r="CP512" s="120">
        <f>(CQ512+CO512)/2</f>
        <v>29.669499999999999</v>
      </c>
      <c r="CQ512" s="158">
        <v>30.213000000000001</v>
      </c>
      <c r="CR512" s="120">
        <f>(CS512+CQ512)/2</f>
        <v>30.723500000000001</v>
      </c>
      <c r="CS512" s="158">
        <v>31.234000000000002</v>
      </c>
      <c r="CT512" s="120">
        <f>(CU512+CS512)/2</f>
        <v>31.752000000000002</v>
      </c>
      <c r="CU512" s="158">
        <v>32.270000000000003</v>
      </c>
      <c r="CV512" s="120">
        <f>(CW512+CU512)/2</f>
        <v>32.8125</v>
      </c>
      <c r="CW512" s="158">
        <v>33.354999999999997</v>
      </c>
      <c r="CX512" s="120">
        <f>(CY512+CW512)/2</f>
        <v>33.866</v>
      </c>
      <c r="CY512" s="158">
        <v>34.377000000000002</v>
      </c>
      <c r="CZ512" s="120">
        <f>(DA512+CY512)/2</f>
        <v>34.894500000000001</v>
      </c>
      <c r="DA512" s="158">
        <v>35.411999999999999</v>
      </c>
      <c r="DB512" s="120">
        <f>(DC512+DA512)/2</f>
        <v>35.923000000000002</v>
      </c>
      <c r="DC512" s="158">
        <v>36.433999999999997</v>
      </c>
      <c r="DD512" s="120">
        <f>(DE512+DC512)/2</f>
        <v>36.945</v>
      </c>
      <c r="DE512" s="158">
        <v>37.456000000000003</v>
      </c>
      <c r="DF512" s="120">
        <f>(DG512+DE512)/2</f>
        <v>37.967500000000001</v>
      </c>
      <c r="DG512" s="159">
        <v>38.478999999999999</v>
      </c>
    </row>
    <row r="513" spans="54:111" ht="15" customHeight="1" x14ac:dyDescent="0.2">
      <c r="BB513" s="28">
        <v>21</v>
      </c>
      <c r="BC513" s="121">
        <v>6.65</v>
      </c>
      <c r="BD513" s="121">
        <v>7.4759999999999991</v>
      </c>
      <c r="BE513" s="121">
        <v>8.3019999999999996</v>
      </c>
      <c r="BF513" s="121">
        <v>9.0400000000000009</v>
      </c>
      <c r="BG513" s="121">
        <v>9.7780000000000005</v>
      </c>
      <c r="BH513" s="121">
        <v>10.465</v>
      </c>
      <c r="BI513" s="121">
        <v>11.152000000000001</v>
      </c>
      <c r="BJ513" s="121">
        <v>11.84225</v>
      </c>
      <c r="BK513" s="121">
        <v>12.532499999999999</v>
      </c>
      <c r="BL513" s="121">
        <v>13.1745</v>
      </c>
      <c r="BM513" s="121">
        <v>13.8165</v>
      </c>
      <c r="BN513" s="121">
        <v>14.466249999999999</v>
      </c>
      <c r="BO513" s="121">
        <v>15.116</v>
      </c>
      <c r="BP513" s="121">
        <v>15.72925</v>
      </c>
      <c r="BQ513" s="121">
        <v>16.342500000000001</v>
      </c>
      <c r="BR513" s="121">
        <v>16.965</v>
      </c>
      <c r="BS513" s="121">
        <f t="array" ref="BS513:BS552">TRANSPOSE(BT512:DG512)</f>
        <v>17.587499999999999</v>
      </c>
      <c r="BT513" s="120">
        <f>(BS513+BU513)/2</f>
        <v>18.177999999999997</v>
      </c>
      <c r="BU513" s="120">
        <f>(BU512+BU514)/2</f>
        <v>18.7685</v>
      </c>
      <c r="BV513" s="120">
        <f>(BU513+BW513)/2</f>
        <v>19.362000000000002</v>
      </c>
      <c r="BW513" s="120">
        <f>(BW512+BW514)/2</f>
        <v>19.955500000000001</v>
      </c>
      <c r="BX513" s="120">
        <f>(BW513+BY513)/2</f>
        <v>20.56025</v>
      </c>
      <c r="BY513" s="120">
        <f>(BY512+BY514)/2</f>
        <v>21.164999999999999</v>
      </c>
      <c r="BZ513" s="120">
        <f>(BY513+CA513)/2</f>
        <v>21.742999999999999</v>
      </c>
      <c r="CA513" s="120">
        <f>(CA512+CA514)/2</f>
        <v>22.320999999999998</v>
      </c>
      <c r="CB513" s="120">
        <f>(CA513+CC513)/2</f>
        <v>22.878999999999998</v>
      </c>
      <c r="CC513" s="120">
        <f>(CC512+CC514)/2</f>
        <v>23.436999999999998</v>
      </c>
      <c r="CD513" s="120">
        <f>(CC513+CE513)/2</f>
        <v>24.015249999999998</v>
      </c>
      <c r="CE513" s="120">
        <f>(CE512+CE514)/2</f>
        <v>24.593499999999999</v>
      </c>
      <c r="CF513" s="120">
        <f>(CE513+CG513)/2</f>
        <v>25.1555</v>
      </c>
      <c r="CG513" s="120">
        <f>(CG512+CG514)/2</f>
        <v>25.717500000000001</v>
      </c>
      <c r="CH513" s="120">
        <f>(CG513+CI513)/2</f>
        <v>26.286750000000001</v>
      </c>
      <c r="CI513" s="120">
        <f>(CI512+CI514)/2</f>
        <v>26.856000000000002</v>
      </c>
      <c r="CJ513" s="120">
        <f>(CI513+CK513)/2</f>
        <v>27.417999999999999</v>
      </c>
      <c r="CK513" s="120">
        <f>(CK512+CK514)/2</f>
        <v>27.98</v>
      </c>
      <c r="CL513" s="120">
        <f>(CK513+CM513)/2</f>
        <v>28.54175</v>
      </c>
      <c r="CM513" s="120">
        <f>(CM512+CM514)/2</f>
        <v>29.1035</v>
      </c>
      <c r="CN513" s="120">
        <f>(CM513+CO513)/2</f>
        <v>29.632750000000001</v>
      </c>
      <c r="CO513" s="120">
        <f>(CO512+CO514)/2</f>
        <v>30.161999999999999</v>
      </c>
      <c r="CP513" s="120">
        <f>(CO513+CQ513)/2</f>
        <v>30.720749999999999</v>
      </c>
      <c r="CQ513" s="120">
        <f>(CQ512+CQ514)/2</f>
        <v>31.279499999999999</v>
      </c>
      <c r="CR513" s="120">
        <f>(CQ513+CS513)/2</f>
        <v>31.8325</v>
      </c>
      <c r="CS513" s="120">
        <f>(CS512+CS514)/2</f>
        <v>32.3855</v>
      </c>
      <c r="CT513" s="120">
        <f>(CS513+CU513)/2</f>
        <v>32.918999999999997</v>
      </c>
      <c r="CU513" s="120">
        <f>(CU512+CU514)/2</f>
        <v>33.452500000000001</v>
      </c>
      <c r="CV513" s="120">
        <f>(CU513+CW513)/2</f>
        <v>33.994500000000002</v>
      </c>
      <c r="CW513" s="120">
        <f>(CW512+CW514)/2</f>
        <v>34.536500000000004</v>
      </c>
      <c r="CX513" s="120">
        <f>(CW513+CY513)/2</f>
        <v>35.082250000000002</v>
      </c>
      <c r="CY513" s="120">
        <f>(CY512+CY514)/2</f>
        <v>35.628</v>
      </c>
      <c r="CZ513" s="120">
        <f>(CY513+DA513)/2</f>
        <v>36.15775</v>
      </c>
      <c r="DA513" s="120">
        <f>(DA512+DA514)/2</f>
        <v>36.6875</v>
      </c>
      <c r="DB513" s="120">
        <f>(DA513+DC513)/2</f>
        <v>37.225000000000001</v>
      </c>
      <c r="DC513" s="120">
        <f>(DC512+DC514)/2</f>
        <v>37.762500000000003</v>
      </c>
      <c r="DD513" s="120">
        <f>(DC513+DE513)/2</f>
        <v>38.292000000000002</v>
      </c>
      <c r="DE513" s="120">
        <f>(DE512+DE514)/2</f>
        <v>38.8215</v>
      </c>
      <c r="DF513" s="120">
        <f>(DE513+DG513)/2</f>
        <v>39.34825</v>
      </c>
      <c r="DG513" s="122">
        <f>(DG512+DG514)/2</f>
        <v>39.875</v>
      </c>
    </row>
    <row r="514" spans="54:111" ht="15" customHeight="1" x14ac:dyDescent="0.2">
      <c r="BB514" s="28">
        <v>22</v>
      </c>
      <c r="BC514" s="121">
        <v>6.8639999999999999</v>
      </c>
      <c r="BD514" s="121">
        <v>7.7159999999999993</v>
      </c>
      <c r="BE514" s="121">
        <v>8.5679999999999996</v>
      </c>
      <c r="BF514" s="121">
        <v>9.3410000000000011</v>
      </c>
      <c r="BG514" s="121">
        <v>10.114000000000001</v>
      </c>
      <c r="BH514" s="121">
        <v>10.816000000000001</v>
      </c>
      <c r="BI514" s="121">
        <v>11.518000000000001</v>
      </c>
      <c r="BJ514" s="121">
        <v>12.221</v>
      </c>
      <c r="BK514" s="121">
        <v>12.923999999999999</v>
      </c>
      <c r="BL514" s="121">
        <v>13.6005</v>
      </c>
      <c r="BM514" s="121">
        <v>14.276999999999999</v>
      </c>
      <c r="BN514" s="121">
        <v>14.936999999999999</v>
      </c>
      <c r="BO514" s="121">
        <v>15.597</v>
      </c>
      <c r="BP514" s="121">
        <v>16.242000000000001</v>
      </c>
      <c r="BQ514" s="121">
        <v>16.887</v>
      </c>
      <c r="BR514" s="121">
        <v>17.524999999999999</v>
      </c>
      <c r="BS514" s="121">
        <v>18.163</v>
      </c>
      <c r="BT514" s="121">
        <f t="array" ref="BT514:BT552">TRANSPOSE(BU513:DG513)</f>
        <v>18.7685</v>
      </c>
      <c r="BU514" s="158">
        <v>19.373999999999999</v>
      </c>
      <c r="BV514" s="120">
        <f>(BW514+BU514)/2</f>
        <v>19.986499999999999</v>
      </c>
      <c r="BW514" s="158">
        <v>20.599</v>
      </c>
      <c r="BX514" s="120">
        <f>(BY514+BW514)/2</f>
        <v>21.227</v>
      </c>
      <c r="BY514" s="158">
        <v>21.855</v>
      </c>
      <c r="BZ514" s="120">
        <f>(CA514+BY514)/2</f>
        <v>22.467500000000001</v>
      </c>
      <c r="CA514" s="158">
        <v>23.08</v>
      </c>
      <c r="CB514" s="120">
        <f>(CC514+CA514)/2</f>
        <v>23.653500000000001</v>
      </c>
      <c r="CC514" s="158">
        <v>24.227</v>
      </c>
      <c r="CD514" s="120">
        <f>(CE514+CC514)/2</f>
        <v>24.84</v>
      </c>
      <c r="CE514" s="158">
        <v>25.452999999999999</v>
      </c>
      <c r="CF514" s="120">
        <f>(CG514+CE514)/2</f>
        <v>26.0275</v>
      </c>
      <c r="CG514" s="158">
        <v>26.602</v>
      </c>
      <c r="CH514" s="120">
        <f>(CI514+CG514)/2</f>
        <v>27.197499999999998</v>
      </c>
      <c r="CI514" s="158">
        <v>27.792999999999999</v>
      </c>
      <c r="CJ514" s="120">
        <f>(CK514+CI514)/2</f>
        <v>28.3735</v>
      </c>
      <c r="CK514" s="158">
        <v>28.954000000000001</v>
      </c>
      <c r="CL514" s="120">
        <f>(CM514+CK514)/2</f>
        <v>29.527999999999999</v>
      </c>
      <c r="CM514" s="158">
        <v>30.102</v>
      </c>
      <c r="CN514" s="120">
        <f>(CO514+CM514)/2</f>
        <v>30.65</v>
      </c>
      <c r="CO514" s="158">
        <v>31.198</v>
      </c>
      <c r="CP514" s="120">
        <f>(CQ514+CO514)/2</f>
        <v>31.771999999999998</v>
      </c>
      <c r="CQ514" s="158">
        <v>32.345999999999997</v>
      </c>
      <c r="CR514" s="120">
        <f>(CS514+CQ514)/2</f>
        <v>32.941499999999998</v>
      </c>
      <c r="CS514" s="158">
        <v>33.536999999999999</v>
      </c>
      <c r="CT514" s="120">
        <f>(CU514+CS514)/2</f>
        <v>34.085999999999999</v>
      </c>
      <c r="CU514" s="158">
        <v>34.634999999999998</v>
      </c>
      <c r="CV514" s="120">
        <f>(CW514+CU514)/2</f>
        <v>35.176500000000004</v>
      </c>
      <c r="CW514" s="158">
        <v>35.718000000000004</v>
      </c>
      <c r="CX514" s="120">
        <f>(CY514+CW514)/2</f>
        <v>36.298500000000004</v>
      </c>
      <c r="CY514" s="158">
        <v>36.878999999999998</v>
      </c>
      <c r="CZ514" s="120">
        <f>(DA514+CY514)/2</f>
        <v>37.420999999999999</v>
      </c>
      <c r="DA514" s="158">
        <v>37.963000000000001</v>
      </c>
      <c r="DB514" s="120">
        <f>(DC514+DA514)/2</f>
        <v>38.527000000000001</v>
      </c>
      <c r="DC514" s="158">
        <v>39.091000000000001</v>
      </c>
      <c r="DD514" s="120">
        <f>(DE514+DC514)/2</f>
        <v>39.638999999999996</v>
      </c>
      <c r="DE514" s="158">
        <v>40.186999999999998</v>
      </c>
      <c r="DF514" s="120">
        <f>(DG514+DE514)/2</f>
        <v>40.728999999999999</v>
      </c>
      <c r="DG514" s="159">
        <v>41.271000000000001</v>
      </c>
    </row>
    <row r="515" spans="54:111" ht="15" customHeight="1" x14ac:dyDescent="0.2">
      <c r="BB515" s="28">
        <v>23</v>
      </c>
      <c r="BC515" s="121">
        <v>7.0670000000000002</v>
      </c>
      <c r="BD515" s="121">
        <v>7.9429999999999996</v>
      </c>
      <c r="BE515" s="121">
        <v>8.8189999999999991</v>
      </c>
      <c r="BF515" s="121">
        <v>9.6150000000000002</v>
      </c>
      <c r="BG515" s="121">
        <v>10.411000000000001</v>
      </c>
      <c r="BH515" s="121">
        <v>11.148</v>
      </c>
      <c r="BI515" s="121">
        <v>11.885000000000002</v>
      </c>
      <c r="BJ515" s="121">
        <v>12.603249999999999</v>
      </c>
      <c r="BK515" s="121">
        <v>13.3215</v>
      </c>
      <c r="BL515" s="121">
        <v>14.02425</v>
      </c>
      <c r="BM515" s="121">
        <v>14.727</v>
      </c>
      <c r="BN515" s="121">
        <v>15.407499999999999</v>
      </c>
      <c r="BO515" s="121">
        <v>16.088000000000001</v>
      </c>
      <c r="BP515" s="121">
        <v>16.759250000000002</v>
      </c>
      <c r="BQ515" s="121">
        <v>17.430500000000002</v>
      </c>
      <c r="BR515" s="121">
        <v>18.084</v>
      </c>
      <c r="BS515" s="121">
        <v>18.737500000000001</v>
      </c>
      <c r="BT515" s="121">
        <v>19.362000000000002</v>
      </c>
      <c r="BU515" s="121">
        <f t="array" ref="BU515:BU552">TRANSPOSE(BV514:DG514)</f>
        <v>19.986499999999999</v>
      </c>
      <c r="BV515" s="120">
        <f>(BU515+BW515)/2</f>
        <v>20.638249999999999</v>
      </c>
      <c r="BW515" s="120">
        <f>(BW514+BW516)/2</f>
        <v>21.29</v>
      </c>
      <c r="BX515" s="120">
        <f>(BW515+BY515)/2</f>
        <v>21.925750000000001</v>
      </c>
      <c r="BY515" s="120">
        <f>(BY514+BY516)/2</f>
        <v>22.561500000000002</v>
      </c>
      <c r="BZ515" s="120">
        <f>(BY515+CA515)/2</f>
        <v>23.200500000000002</v>
      </c>
      <c r="CA515" s="120">
        <f>(CA514+CA516)/2</f>
        <v>23.839500000000001</v>
      </c>
      <c r="CB515" s="120">
        <f>(CA515+CC515)/2</f>
        <v>24.428750000000001</v>
      </c>
      <c r="CC515" s="120">
        <f>(CC514+CC516)/2</f>
        <v>25.018000000000001</v>
      </c>
      <c r="CD515" s="120">
        <f>(CC515+CE515)/2</f>
        <v>25.646000000000001</v>
      </c>
      <c r="CE515" s="120">
        <f>(CE514+CE516)/2</f>
        <v>26.274000000000001</v>
      </c>
      <c r="CF515" s="120">
        <f>(CE515+CG515)/2</f>
        <v>26.874749999999999</v>
      </c>
      <c r="CG515" s="120">
        <f>(CG514+CG516)/2</f>
        <v>27.4755</v>
      </c>
      <c r="CH515" s="120">
        <f>(CG515+CI515)/2</f>
        <v>28.078749999999999</v>
      </c>
      <c r="CI515" s="120">
        <f>(CI514+CI516)/2</f>
        <v>28.682000000000002</v>
      </c>
      <c r="CJ515" s="120">
        <f>(CI515+CK515)/2</f>
        <v>29.28575</v>
      </c>
      <c r="CK515" s="120">
        <f>(CK514+CK516)/2</f>
        <v>29.889499999999998</v>
      </c>
      <c r="CL515" s="120">
        <f>(CK515+CM515)/2</f>
        <v>30.482250000000001</v>
      </c>
      <c r="CM515" s="120">
        <f>(CM514+CM516)/2</f>
        <v>31.075000000000003</v>
      </c>
      <c r="CN515" s="120">
        <f>(CM515+CO515)/2</f>
        <v>31.651250000000001</v>
      </c>
      <c r="CO515" s="120">
        <f>(CO514+CO516)/2</f>
        <v>32.227499999999999</v>
      </c>
      <c r="CP515" s="120">
        <f>(CO515+CQ515)/2</f>
        <v>32.831249999999997</v>
      </c>
      <c r="CQ515" s="120">
        <f>(CQ514+CQ516)/2</f>
        <v>33.435000000000002</v>
      </c>
      <c r="CR515" s="120">
        <f>(CQ515+CS515)/2</f>
        <v>34.035250000000005</v>
      </c>
      <c r="CS515" s="120">
        <f>(CS514+CS516)/2</f>
        <v>34.6355</v>
      </c>
      <c r="CT515" s="120">
        <f>(CS515+CU515)/2</f>
        <v>35.210750000000004</v>
      </c>
      <c r="CU515" s="120">
        <f>(CU514+CU516)/2</f>
        <v>35.786000000000001</v>
      </c>
      <c r="CV515" s="120">
        <f>(CU515+CW515)/2</f>
        <v>36.359250000000003</v>
      </c>
      <c r="CW515" s="120">
        <f>(CW514+CW516)/2</f>
        <v>36.932500000000005</v>
      </c>
      <c r="CX515" s="120">
        <f>(CW515+CY515)/2</f>
        <v>37.512</v>
      </c>
      <c r="CY515" s="120">
        <f>(CY514+CY516)/2</f>
        <v>38.091499999999996</v>
      </c>
      <c r="CZ515" s="120">
        <f>(CY515+DA515)/2</f>
        <v>38.676000000000002</v>
      </c>
      <c r="DA515" s="120">
        <f>(DA514+DA516)/2</f>
        <v>39.2605</v>
      </c>
      <c r="DB515" s="120">
        <f>(DA515+DC515)/2</f>
        <v>39.832000000000001</v>
      </c>
      <c r="DC515" s="120">
        <f>(DC514+DC516)/2</f>
        <v>40.403500000000001</v>
      </c>
      <c r="DD515" s="120">
        <f>(DC515+DE515)/2</f>
        <v>40.978250000000003</v>
      </c>
      <c r="DE515" s="120">
        <f>(DE514+DE516)/2</f>
        <v>41.552999999999997</v>
      </c>
      <c r="DF515" s="120">
        <f>(DE515+DG515)/2</f>
        <v>42.110250000000001</v>
      </c>
      <c r="DG515" s="122">
        <f>(DG514+DG516)/2</f>
        <v>42.667500000000004</v>
      </c>
    </row>
    <row r="516" spans="54:111" ht="15" customHeight="1" x14ac:dyDescent="0.2">
      <c r="BB516" s="28">
        <v>24</v>
      </c>
      <c r="BC516" s="121">
        <v>7.27</v>
      </c>
      <c r="BD516" s="121">
        <v>8.17</v>
      </c>
      <c r="BE516" s="121">
        <v>9.07</v>
      </c>
      <c r="BF516" s="121">
        <v>9.8889999999999993</v>
      </c>
      <c r="BG516" s="121">
        <v>10.708</v>
      </c>
      <c r="BH516" s="121">
        <v>11.48</v>
      </c>
      <c r="BI516" s="121">
        <v>12.252000000000001</v>
      </c>
      <c r="BJ516" s="121">
        <v>12.9855</v>
      </c>
      <c r="BK516" s="121">
        <v>13.718999999999999</v>
      </c>
      <c r="BL516" s="121">
        <v>14.448</v>
      </c>
      <c r="BM516" s="121">
        <v>15.177</v>
      </c>
      <c r="BN516" s="121">
        <v>15.878</v>
      </c>
      <c r="BO516" s="121">
        <v>16.579000000000001</v>
      </c>
      <c r="BP516" s="121">
        <v>17.276499999999999</v>
      </c>
      <c r="BQ516" s="121">
        <v>17.974</v>
      </c>
      <c r="BR516" s="121">
        <v>18.643000000000001</v>
      </c>
      <c r="BS516" s="121">
        <v>19.312000000000001</v>
      </c>
      <c r="BT516" s="121">
        <v>19.955500000000001</v>
      </c>
      <c r="BU516" s="121">
        <v>20.599</v>
      </c>
      <c r="BV516" s="121">
        <f t="array" ref="BV516:BV552">TRANSPOSE(BW515:DG515)</f>
        <v>21.29</v>
      </c>
      <c r="BW516" s="158">
        <v>21.981000000000002</v>
      </c>
      <c r="BX516" s="120">
        <f>(BY516+BW516)/2</f>
        <v>22.624500000000001</v>
      </c>
      <c r="BY516" s="158">
        <v>23.268000000000001</v>
      </c>
      <c r="BZ516" s="120">
        <f>(CA516+BY516)/2</f>
        <v>23.933500000000002</v>
      </c>
      <c r="CA516" s="158">
        <v>24.599</v>
      </c>
      <c r="CB516" s="120">
        <f>(CC516+CA516)/2</f>
        <v>25.204000000000001</v>
      </c>
      <c r="CC516" s="158">
        <v>25.809000000000001</v>
      </c>
      <c r="CD516" s="120">
        <f>(CE516+CC516)/2</f>
        <v>26.451999999999998</v>
      </c>
      <c r="CE516" s="158">
        <v>27.094999999999999</v>
      </c>
      <c r="CF516" s="120">
        <f>(CG516+CE516)/2</f>
        <v>27.722000000000001</v>
      </c>
      <c r="CG516" s="158">
        <v>28.349</v>
      </c>
      <c r="CH516" s="120">
        <f>(CI516+CG516)/2</f>
        <v>28.96</v>
      </c>
      <c r="CI516" s="158">
        <v>29.571000000000002</v>
      </c>
      <c r="CJ516" s="120">
        <f>(CK516+CI516)/2</f>
        <v>30.198</v>
      </c>
      <c r="CK516" s="158">
        <v>30.824999999999999</v>
      </c>
      <c r="CL516" s="120">
        <f>(CM516+CK516)/2</f>
        <v>31.436500000000002</v>
      </c>
      <c r="CM516" s="158">
        <v>32.048000000000002</v>
      </c>
      <c r="CN516" s="120">
        <f>(CO516+CM516)/2</f>
        <v>32.652500000000003</v>
      </c>
      <c r="CO516" s="158">
        <v>33.256999999999998</v>
      </c>
      <c r="CP516" s="120">
        <f>(CQ516+CO516)/2</f>
        <v>33.890500000000003</v>
      </c>
      <c r="CQ516" s="158">
        <v>34.524000000000001</v>
      </c>
      <c r="CR516" s="120">
        <f>(CS516+CQ516)/2</f>
        <v>35.129000000000005</v>
      </c>
      <c r="CS516" s="158">
        <v>35.734000000000002</v>
      </c>
      <c r="CT516" s="120">
        <f>(CU516+CS516)/2</f>
        <v>36.335499999999996</v>
      </c>
      <c r="CU516" s="158">
        <v>36.936999999999998</v>
      </c>
      <c r="CV516" s="120">
        <f>(CW516+CU516)/2</f>
        <v>37.542000000000002</v>
      </c>
      <c r="CW516" s="158">
        <v>38.146999999999998</v>
      </c>
      <c r="CX516" s="120">
        <f>(CY516+CW516)/2</f>
        <v>38.725499999999997</v>
      </c>
      <c r="CY516" s="158">
        <v>39.304000000000002</v>
      </c>
      <c r="CZ516" s="120">
        <f>(DA516+CY516)/2</f>
        <v>39.930999999999997</v>
      </c>
      <c r="DA516" s="158">
        <v>40.558</v>
      </c>
      <c r="DB516" s="120">
        <f>(DC516+DA516)/2</f>
        <v>41.137</v>
      </c>
      <c r="DC516" s="158">
        <v>41.716000000000001</v>
      </c>
      <c r="DD516" s="120">
        <f>(DE516+DC516)/2</f>
        <v>42.317499999999995</v>
      </c>
      <c r="DE516" s="158">
        <v>42.918999999999997</v>
      </c>
      <c r="DF516" s="120">
        <f>(DG516+DE516)/2</f>
        <v>43.491500000000002</v>
      </c>
      <c r="DG516" s="159">
        <v>44.064</v>
      </c>
    </row>
    <row r="517" spans="54:111" ht="15" customHeight="1" x14ac:dyDescent="0.2">
      <c r="BB517" s="28">
        <v>25</v>
      </c>
      <c r="BC517" s="121">
        <v>7.4509999999999996</v>
      </c>
      <c r="BD517" s="121">
        <v>8.3775000000000013</v>
      </c>
      <c r="BE517" s="121">
        <v>9.3040000000000003</v>
      </c>
      <c r="BF517" s="121">
        <v>10.147</v>
      </c>
      <c r="BG517" s="121">
        <v>10.99</v>
      </c>
      <c r="BH517" s="121">
        <v>11.785</v>
      </c>
      <c r="BI517" s="121">
        <v>12.58</v>
      </c>
      <c r="BJ517" s="121">
        <v>13.343250000000001</v>
      </c>
      <c r="BK517" s="121">
        <v>14.1065</v>
      </c>
      <c r="BL517" s="121">
        <v>14.856249999999999</v>
      </c>
      <c r="BM517" s="121">
        <v>15.606</v>
      </c>
      <c r="BN517" s="121">
        <v>16.33325</v>
      </c>
      <c r="BO517" s="121">
        <v>17.060500000000001</v>
      </c>
      <c r="BP517" s="121">
        <v>17.762499999999999</v>
      </c>
      <c r="BQ517" s="121">
        <v>18.464500000000001</v>
      </c>
      <c r="BR517" s="121">
        <v>19.179000000000002</v>
      </c>
      <c r="BS517" s="121">
        <v>19.893500000000003</v>
      </c>
      <c r="BT517" s="121">
        <v>20.56025</v>
      </c>
      <c r="BU517" s="121">
        <v>21.227</v>
      </c>
      <c r="BV517" s="121">
        <v>21.925750000000001</v>
      </c>
      <c r="BW517" s="121">
        <f t="array" ref="BW517:BW552">TRANSPOSE(BX516:DG516)</f>
        <v>22.624500000000001</v>
      </c>
      <c r="BX517" s="120">
        <f>(BW517+BY517)/2</f>
        <v>23.294249999999998</v>
      </c>
      <c r="BY517" s="120">
        <f>(BY516+BY518)/2</f>
        <v>23.963999999999999</v>
      </c>
      <c r="BZ517" s="120">
        <f>(BY517+CA517)/2</f>
        <v>24.630749999999999</v>
      </c>
      <c r="CA517" s="120">
        <f>(CA516+CA518)/2</f>
        <v>25.297499999999999</v>
      </c>
      <c r="CB517" s="120">
        <f>(CA517+CC517)/2</f>
        <v>25.948250000000002</v>
      </c>
      <c r="CC517" s="120">
        <f>(CC516+CC518)/2</f>
        <v>26.599</v>
      </c>
      <c r="CD517" s="120">
        <f>(CC517+CE517)/2</f>
        <v>27.2685</v>
      </c>
      <c r="CE517" s="120">
        <f>(CE516+CE518)/2</f>
        <v>27.937999999999999</v>
      </c>
      <c r="CF517" s="120">
        <f>(CE517+CG517)/2</f>
        <v>28.569499999999998</v>
      </c>
      <c r="CG517" s="120">
        <f>(CG516+CG518)/2</f>
        <v>29.201000000000001</v>
      </c>
      <c r="CH517" s="120">
        <f>(CG517+CI517)/2</f>
        <v>29.8385</v>
      </c>
      <c r="CI517" s="120">
        <f>(CI516+CI518)/2</f>
        <v>30.475999999999999</v>
      </c>
      <c r="CJ517" s="120">
        <f>(CI517+CK517)/2</f>
        <v>31.1265</v>
      </c>
      <c r="CK517" s="120">
        <f>(CK516+CK518)/2</f>
        <v>31.777000000000001</v>
      </c>
      <c r="CL517" s="120">
        <f>(CK517+CM517)/2</f>
        <v>32.411749999999998</v>
      </c>
      <c r="CM517" s="120">
        <f>(CM516+CM518)/2</f>
        <v>33.046500000000002</v>
      </c>
      <c r="CN517" s="120">
        <f>(CM517+CO517)/2</f>
        <v>33.680750000000003</v>
      </c>
      <c r="CO517" s="120">
        <f>(CO516+CO518)/2</f>
        <v>34.314999999999998</v>
      </c>
      <c r="CP517" s="120">
        <f>(CO517+CQ517)/2</f>
        <v>34.952749999999995</v>
      </c>
      <c r="CQ517" s="120">
        <f>(CQ516+CQ518)/2</f>
        <v>35.590499999999999</v>
      </c>
      <c r="CR517" s="120">
        <f>(CQ517+CS517)/2</f>
        <v>36.206000000000003</v>
      </c>
      <c r="CS517" s="120">
        <f>(CS516+CS518)/2</f>
        <v>36.8215</v>
      </c>
      <c r="CT517" s="120">
        <f>(CS517+CU517)/2</f>
        <v>37.4435</v>
      </c>
      <c r="CU517" s="120">
        <f>(CU516+CU518)/2</f>
        <v>38.0655</v>
      </c>
      <c r="CV517" s="120">
        <f>(CU517+CW517)/2</f>
        <v>38.700000000000003</v>
      </c>
      <c r="CW517" s="120">
        <f>(CW516+CW518)/2</f>
        <v>39.334499999999998</v>
      </c>
      <c r="CX517" s="120">
        <f>(CW517+CY517)/2</f>
        <v>39.936499999999995</v>
      </c>
      <c r="CY517" s="120">
        <f>(CY516+CY518)/2</f>
        <v>40.538499999999999</v>
      </c>
      <c r="CZ517" s="120">
        <f>(CY517+DA517)/2</f>
        <v>41.173249999999996</v>
      </c>
      <c r="DA517" s="120">
        <f>(DA516+DA518)/2</f>
        <v>41.808</v>
      </c>
      <c r="DB517" s="120">
        <f>(DA517+DC517)/2</f>
        <v>42.413250000000005</v>
      </c>
      <c r="DC517" s="120">
        <f>(DC516+DC518)/2</f>
        <v>43.018500000000003</v>
      </c>
      <c r="DD517" s="120">
        <f>(DC517+DE517)/2</f>
        <v>43.637250000000002</v>
      </c>
      <c r="DE517" s="120">
        <f>(DE516+DE518)/2</f>
        <v>44.256</v>
      </c>
      <c r="DF517" s="120">
        <f>(DE517+DG517)/2</f>
        <v>44.96125</v>
      </c>
      <c r="DG517" s="122">
        <f>(DG516+DG518)/2</f>
        <v>45.666499999999999</v>
      </c>
    </row>
    <row r="518" spans="54:111" ht="15" customHeight="1" x14ac:dyDescent="0.2">
      <c r="BB518" s="28">
        <v>26</v>
      </c>
      <c r="BC518" s="121">
        <v>7.6319999999999997</v>
      </c>
      <c r="BD518" s="121">
        <v>8.5850000000000009</v>
      </c>
      <c r="BE518" s="121">
        <v>9.5380000000000003</v>
      </c>
      <c r="BF518" s="121">
        <v>10.405000000000001</v>
      </c>
      <c r="BG518" s="121">
        <v>11.272</v>
      </c>
      <c r="BH518" s="121">
        <v>12.09</v>
      </c>
      <c r="BI518" s="121">
        <v>12.907999999999999</v>
      </c>
      <c r="BJ518" s="121">
        <v>13.701000000000001</v>
      </c>
      <c r="BK518" s="121">
        <v>14.494</v>
      </c>
      <c r="BL518" s="121">
        <v>15.2645</v>
      </c>
      <c r="BM518" s="121">
        <v>16.035</v>
      </c>
      <c r="BN518" s="121">
        <v>16.788499999999999</v>
      </c>
      <c r="BO518" s="121">
        <v>17.542000000000002</v>
      </c>
      <c r="BP518" s="121">
        <v>18.2485</v>
      </c>
      <c r="BQ518" s="121">
        <v>18.954999999999998</v>
      </c>
      <c r="BR518" s="121">
        <v>19.715</v>
      </c>
      <c r="BS518" s="121">
        <v>20.475000000000001</v>
      </c>
      <c r="BT518" s="121">
        <v>21.164999999999999</v>
      </c>
      <c r="BU518" s="121">
        <v>21.855</v>
      </c>
      <c r="BV518" s="121">
        <v>22.561500000000002</v>
      </c>
      <c r="BW518" s="121">
        <v>23.268000000000001</v>
      </c>
      <c r="BX518" s="121">
        <f t="array" ref="BX518:BX552">TRANSPOSE(BY517:DG517)</f>
        <v>23.963999999999999</v>
      </c>
      <c r="BY518" s="158">
        <v>24.66</v>
      </c>
      <c r="BZ518" s="120">
        <f>(CA518+BY518)/2</f>
        <v>25.327999999999999</v>
      </c>
      <c r="CA518" s="158">
        <v>25.995999999999999</v>
      </c>
      <c r="CB518" s="120">
        <f>(CC518+CA518)/2</f>
        <v>26.692499999999999</v>
      </c>
      <c r="CC518" s="158">
        <v>27.388999999999999</v>
      </c>
      <c r="CD518" s="120">
        <f>(CE518+CC518)/2</f>
        <v>28.085000000000001</v>
      </c>
      <c r="CE518" s="158">
        <v>28.780999999999999</v>
      </c>
      <c r="CF518" s="120">
        <f>(CG518+CE518)/2</f>
        <v>29.417000000000002</v>
      </c>
      <c r="CG518" s="158">
        <v>30.053000000000001</v>
      </c>
      <c r="CH518" s="120">
        <f>(CI518+CG518)/2</f>
        <v>30.716999999999999</v>
      </c>
      <c r="CI518" s="158">
        <v>31.381</v>
      </c>
      <c r="CJ518" s="120">
        <f>(CK518+CI518)/2</f>
        <v>32.055</v>
      </c>
      <c r="CK518" s="158">
        <v>32.728999999999999</v>
      </c>
      <c r="CL518" s="120">
        <f>(CM518+CK518)/2</f>
        <v>33.387</v>
      </c>
      <c r="CM518" s="158">
        <v>34.045000000000002</v>
      </c>
      <c r="CN518" s="120">
        <f>(CO518+CM518)/2</f>
        <v>34.709000000000003</v>
      </c>
      <c r="CO518" s="158">
        <v>35.372999999999998</v>
      </c>
      <c r="CP518" s="120">
        <f>(CQ518+CO518)/2</f>
        <v>36.015000000000001</v>
      </c>
      <c r="CQ518" s="158">
        <v>36.656999999999996</v>
      </c>
      <c r="CR518" s="120">
        <f>(CS518+CQ518)/2</f>
        <v>37.283000000000001</v>
      </c>
      <c r="CS518" s="158">
        <v>37.908999999999999</v>
      </c>
      <c r="CT518" s="120">
        <f>(CU518+CS518)/2</f>
        <v>38.551500000000004</v>
      </c>
      <c r="CU518" s="158">
        <v>39.194000000000003</v>
      </c>
      <c r="CV518" s="120">
        <f>(CW518+CU518)/2</f>
        <v>39.858000000000004</v>
      </c>
      <c r="CW518" s="158">
        <v>40.521999999999998</v>
      </c>
      <c r="CX518" s="120">
        <f>(CY518+CW518)/2</f>
        <v>41.147500000000001</v>
      </c>
      <c r="CY518" s="158">
        <v>41.773000000000003</v>
      </c>
      <c r="CZ518" s="120">
        <f>(DA518+CY518)/2</f>
        <v>42.415500000000002</v>
      </c>
      <c r="DA518" s="158">
        <v>43.058</v>
      </c>
      <c r="DB518" s="120">
        <f>(DC518+DA518)/2</f>
        <v>43.689499999999995</v>
      </c>
      <c r="DC518" s="158">
        <v>44.320999999999998</v>
      </c>
      <c r="DD518" s="120">
        <f>(DE518+DC518)/2</f>
        <v>44.957000000000001</v>
      </c>
      <c r="DE518" s="158">
        <v>45.593000000000004</v>
      </c>
      <c r="DF518" s="120">
        <f>(DG518+DE518)/2</f>
        <v>46.430999999999997</v>
      </c>
      <c r="DG518" s="159">
        <v>47.268999999999998</v>
      </c>
    </row>
    <row r="519" spans="54:111" ht="15" customHeight="1" x14ac:dyDescent="0.2">
      <c r="BB519" s="28">
        <v>27</v>
      </c>
      <c r="BC519" s="121">
        <v>7.8745000000000003</v>
      </c>
      <c r="BD519" s="121">
        <v>8.8285</v>
      </c>
      <c r="BE519" s="121">
        <v>9.7824999999999989</v>
      </c>
      <c r="BF519" s="121">
        <v>10.6755</v>
      </c>
      <c r="BG519" s="121">
        <v>11.5685</v>
      </c>
      <c r="BH519" s="121">
        <v>12.405749999999999</v>
      </c>
      <c r="BI519" s="121">
        <v>13.242999999999999</v>
      </c>
      <c r="BJ519" s="121">
        <v>14.067</v>
      </c>
      <c r="BK519" s="121">
        <v>14.891</v>
      </c>
      <c r="BL519" s="121">
        <v>15.68825</v>
      </c>
      <c r="BM519" s="121">
        <v>16.485500000000002</v>
      </c>
      <c r="BN519" s="121">
        <v>17.243499999999997</v>
      </c>
      <c r="BO519" s="121">
        <v>18.0015</v>
      </c>
      <c r="BP519" s="121">
        <v>18.750250000000001</v>
      </c>
      <c r="BQ519" s="121">
        <v>19.498999999999999</v>
      </c>
      <c r="BR519" s="121">
        <v>20.258749999999999</v>
      </c>
      <c r="BS519" s="121">
        <v>21.018500000000003</v>
      </c>
      <c r="BT519" s="121">
        <v>21.742999999999999</v>
      </c>
      <c r="BU519" s="121">
        <v>22.467500000000001</v>
      </c>
      <c r="BV519" s="121">
        <v>23.200500000000002</v>
      </c>
      <c r="BW519" s="121">
        <v>23.933500000000002</v>
      </c>
      <c r="BX519" s="121">
        <v>24.630749999999999</v>
      </c>
      <c r="BY519" s="121">
        <f t="array" ref="BY519:BY552">TRANSPOSE(BZ518:DG518)</f>
        <v>25.327999999999999</v>
      </c>
      <c r="BZ519" s="120">
        <f>(BY519+CA519)/2</f>
        <v>26.025750000000002</v>
      </c>
      <c r="CA519" s="120">
        <f>(CA518+CA520)/2</f>
        <v>26.723500000000001</v>
      </c>
      <c r="CB519" s="120">
        <f>(CA519+CC519)/2</f>
        <v>27.43525</v>
      </c>
      <c r="CC519" s="120">
        <f>(CC518+CC520)/2</f>
        <v>28.146999999999998</v>
      </c>
      <c r="CD519" s="120">
        <f>(CC519+CE519)/2</f>
        <v>28.858499999999999</v>
      </c>
      <c r="CE519" s="120">
        <f>(CE518+CE520)/2</f>
        <v>29.57</v>
      </c>
      <c r="CF519" s="120">
        <f>(CE519+CG519)/2</f>
        <v>30.2485</v>
      </c>
      <c r="CG519" s="120">
        <f>(CG518+CG520)/2</f>
        <v>30.927</v>
      </c>
      <c r="CH519" s="120">
        <f>(CG519+CI519)/2</f>
        <v>31.59525</v>
      </c>
      <c r="CI519" s="120">
        <f>(CI518+CI520)/2</f>
        <v>32.263500000000001</v>
      </c>
      <c r="CJ519" s="120">
        <f>(CI519+CK519)/2</f>
        <v>32.96425</v>
      </c>
      <c r="CK519" s="120">
        <f>(CK518+CK520)/2</f>
        <v>33.664999999999999</v>
      </c>
      <c r="CL519" s="120">
        <f>(CK519+CM519)/2</f>
        <v>34.341499999999996</v>
      </c>
      <c r="CM519" s="120">
        <f>(CM518+CM520)/2</f>
        <v>35.018000000000001</v>
      </c>
      <c r="CN519" s="120">
        <f>(CM519+CO519)/2</f>
        <v>35.697499999999998</v>
      </c>
      <c r="CO519" s="120">
        <f>(CO518+CO520)/2</f>
        <v>36.376999999999995</v>
      </c>
      <c r="CP519" s="120">
        <f>(CO519+CQ519)/2</f>
        <v>37.042499999999997</v>
      </c>
      <c r="CQ519" s="120">
        <f>(CQ518+CQ520)/2</f>
        <v>37.707999999999998</v>
      </c>
      <c r="CR519" s="120">
        <f>(CQ519+CS519)/2</f>
        <v>38.357500000000002</v>
      </c>
      <c r="CS519" s="120">
        <f>(CS518+CS520)/2</f>
        <v>39.006999999999998</v>
      </c>
      <c r="CT519" s="120">
        <f>(CS519+CU519)/2</f>
        <v>39.675749999999994</v>
      </c>
      <c r="CU519" s="120">
        <f>(CU518+CU520)/2</f>
        <v>40.344499999999996</v>
      </c>
      <c r="CV519" s="120">
        <f>(CU519+CW519)/2</f>
        <v>41.024000000000001</v>
      </c>
      <c r="CW519" s="120">
        <f>(CW518+CW520)/2</f>
        <v>41.703499999999998</v>
      </c>
      <c r="CX519" s="120">
        <f>(CW519+CY519)/2</f>
        <v>42.347499999999997</v>
      </c>
      <c r="CY519" s="120">
        <f>(CY518+CY520)/2</f>
        <v>42.991500000000002</v>
      </c>
      <c r="CZ519" s="120">
        <f>(CY519+DA519)/2</f>
        <v>43.657250000000005</v>
      </c>
      <c r="DA519" s="120">
        <f>(DA518+DA520)/2</f>
        <v>44.323</v>
      </c>
      <c r="DB519" s="120">
        <f>(DA519+DC519)/2</f>
        <v>44.959000000000003</v>
      </c>
      <c r="DC519" s="120">
        <f>(DC518+DC520)/2</f>
        <v>45.594999999999999</v>
      </c>
      <c r="DD519" s="120">
        <f>(DC519+DE519)/2</f>
        <v>46.261000000000003</v>
      </c>
      <c r="DE519" s="120">
        <f>(DE518+DE520)/2</f>
        <v>46.927000000000007</v>
      </c>
      <c r="DF519" s="120">
        <f>(DE519+DG519)/2</f>
        <v>47.677500000000002</v>
      </c>
      <c r="DG519" s="122">
        <f>(DG518+DG520)/2</f>
        <v>48.427999999999997</v>
      </c>
    </row>
    <row r="520" spans="54:111" ht="15" customHeight="1" x14ac:dyDescent="0.2">
      <c r="BB520" s="28">
        <v>28</v>
      </c>
      <c r="BC520" s="121">
        <v>8.1170000000000009</v>
      </c>
      <c r="BD520" s="121">
        <v>9.0719999999999992</v>
      </c>
      <c r="BE520" s="121">
        <v>10.026999999999999</v>
      </c>
      <c r="BF520" s="121">
        <v>10.946</v>
      </c>
      <c r="BG520" s="121">
        <v>11.865</v>
      </c>
      <c r="BH520" s="121">
        <v>12.721499999999999</v>
      </c>
      <c r="BI520" s="121">
        <v>13.577999999999999</v>
      </c>
      <c r="BJ520" s="121">
        <v>14.433</v>
      </c>
      <c r="BK520" s="121">
        <v>15.288</v>
      </c>
      <c r="BL520" s="121">
        <v>16.112000000000002</v>
      </c>
      <c r="BM520" s="121">
        <v>16.936</v>
      </c>
      <c r="BN520" s="121">
        <v>17.698499999999999</v>
      </c>
      <c r="BO520" s="121">
        <v>18.460999999999999</v>
      </c>
      <c r="BP520" s="121">
        <v>19.251999999999999</v>
      </c>
      <c r="BQ520" s="121">
        <v>20.042999999999999</v>
      </c>
      <c r="BR520" s="121">
        <v>20.802500000000002</v>
      </c>
      <c r="BS520" s="121">
        <v>21.562000000000001</v>
      </c>
      <c r="BT520" s="121">
        <v>22.320999999999998</v>
      </c>
      <c r="BU520" s="121">
        <v>23.08</v>
      </c>
      <c r="BV520" s="121">
        <v>23.839500000000001</v>
      </c>
      <c r="BW520" s="121">
        <v>24.599</v>
      </c>
      <c r="BX520" s="121">
        <v>25.297499999999999</v>
      </c>
      <c r="BY520" s="121">
        <v>25.995999999999999</v>
      </c>
      <c r="BZ520" s="121">
        <f t="array" ref="BZ520:BZ552">TRANSPOSE(CA519:DG519)</f>
        <v>26.723500000000001</v>
      </c>
      <c r="CA520" s="158">
        <v>27.451000000000001</v>
      </c>
      <c r="CB520" s="120">
        <f>(CC520+CA520)/2</f>
        <v>28.178000000000001</v>
      </c>
      <c r="CC520" s="158">
        <v>28.905000000000001</v>
      </c>
      <c r="CD520" s="120">
        <f>(CE520+CC520)/2</f>
        <v>29.632000000000001</v>
      </c>
      <c r="CE520" s="158">
        <v>30.359000000000002</v>
      </c>
      <c r="CF520" s="120">
        <f>(CG520+CE520)/2</f>
        <v>31.08</v>
      </c>
      <c r="CG520" s="158">
        <v>31.800999999999998</v>
      </c>
      <c r="CH520" s="120">
        <f>(CI520+CG520)/2</f>
        <v>32.473500000000001</v>
      </c>
      <c r="CI520" s="158">
        <v>33.146000000000001</v>
      </c>
      <c r="CJ520" s="120">
        <f>(CK520+CI520)/2</f>
        <v>33.8735</v>
      </c>
      <c r="CK520" s="158">
        <v>34.600999999999999</v>
      </c>
      <c r="CL520" s="120">
        <f>(CM520+CK520)/2</f>
        <v>35.295999999999999</v>
      </c>
      <c r="CM520" s="158">
        <v>35.991</v>
      </c>
      <c r="CN520" s="120">
        <f>(CO520+CM520)/2</f>
        <v>36.686</v>
      </c>
      <c r="CO520" s="158">
        <v>37.381</v>
      </c>
      <c r="CP520" s="120">
        <f>(CQ520+CO520)/2</f>
        <v>38.07</v>
      </c>
      <c r="CQ520" s="158">
        <v>38.759</v>
      </c>
      <c r="CR520" s="120">
        <f>(CS520+CQ520)/2</f>
        <v>39.432000000000002</v>
      </c>
      <c r="CS520" s="158">
        <v>40.104999999999997</v>
      </c>
      <c r="CT520" s="120">
        <f>(CU520+CS520)/2</f>
        <v>40.799999999999997</v>
      </c>
      <c r="CU520" s="158">
        <v>41.494999999999997</v>
      </c>
      <c r="CV520" s="120">
        <f>(CW520+CU520)/2</f>
        <v>42.19</v>
      </c>
      <c r="CW520" s="158">
        <v>42.884999999999998</v>
      </c>
      <c r="CX520" s="120">
        <f>(CY520+CW520)/2</f>
        <v>43.547499999999999</v>
      </c>
      <c r="CY520" s="158">
        <v>44.21</v>
      </c>
      <c r="CZ520" s="120">
        <f>(DA520+CY520)/2</f>
        <v>44.899000000000001</v>
      </c>
      <c r="DA520" s="158">
        <v>45.588000000000001</v>
      </c>
      <c r="DB520" s="120">
        <f>(DC520+DA520)/2</f>
        <v>46.228499999999997</v>
      </c>
      <c r="DC520" s="158">
        <v>46.869</v>
      </c>
      <c r="DD520" s="120">
        <f>(DE520+DC520)/2</f>
        <v>47.564999999999998</v>
      </c>
      <c r="DE520" s="158">
        <v>48.261000000000003</v>
      </c>
      <c r="DF520" s="120">
        <f>(DG520+DE520)/2</f>
        <v>48.924000000000007</v>
      </c>
      <c r="DG520" s="159">
        <v>49.587000000000003</v>
      </c>
    </row>
    <row r="521" spans="54:111" ht="15" customHeight="1" x14ac:dyDescent="0.2">
      <c r="BB521" s="28">
        <v>29</v>
      </c>
      <c r="BC521" s="121">
        <v>8.298</v>
      </c>
      <c r="BD521" s="121">
        <v>9.2827500000000001</v>
      </c>
      <c r="BE521" s="121">
        <v>10.267499999999998</v>
      </c>
      <c r="BF521" s="121">
        <v>11.219075</v>
      </c>
      <c r="BG521" s="121">
        <v>12.17065</v>
      </c>
      <c r="BH521" s="121">
        <v>13.057324999999999</v>
      </c>
      <c r="BI521" s="121">
        <v>13.943999999999999</v>
      </c>
      <c r="BJ521" s="121">
        <v>14.798999999999999</v>
      </c>
      <c r="BK521" s="121">
        <v>15.654</v>
      </c>
      <c r="BL521" s="121">
        <v>16.489750000000001</v>
      </c>
      <c r="BM521" s="121">
        <v>17.325499999999998</v>
      </c>
      <c r="BN521" s="121">
        <v>18.133749999999999</v>
      </c>
      <c r="BO521" s="121">
        <v>18.942</v>
      </c>
      <c r="BP521" s="121">
        <v>19.7485</v>
      </c>
      <c r="BQ521" s="121">
        <v>20.555</v>
      </c>
      <c r="BR521" s="121">
        <v>21.329750000000001</v>
      </c>
      <c r="BS521" s="121">
        <v>22.104500000000002</v>
      </c>
      <c r="BT521" s="121">
        <v>22.878999999999998</v>
      </c>
      <c r="BU521" s="121">
        <v>23.653500000000001</v>
      </c>
      <c r="BV521" s="121">
        <v>24.428750000000001</v>
      </c>
      <c r="BW521" s="121">
        <v>25.204000000000001</v>
      </c>
      <c r="BX521" s="121">
        <v>25.948250000000002</v>
      </c>
      <c r="BY521" s="121">
        <v>26.692499999999999</v>
      </c>
      <c r="BZ521" s="121">
        <v>27.43525</v>
      </c>
      <c r="CA521" s="121">
        <f t="array" ref="CA521:CA552">TRANSPOSE(CB520:DG520)</f>
        <v>28.178000000000001</v>
      </c>
      <c r="CB521" s="120">
        <f>(CA521+CC521)/2</f>
        <v>28.920500000000001</v>
      </c>
      <c r="CC521" s="120">
        <f>(CC520+CC522)/2</f>
        <v>29.663</v>
      </c>
      <c r="CD521" s="120">
        <f>(CC521+CE521)/2</f>
        <v>30.405500000000004</v>
      </c>
      <c r="CE521" s="120">
        <f>(CE520+CE522)/2</f>
        <v>31.148000000000003</v>
      </c>
      <c r="CF521" s="120">
        <f>(CE521+CG521)/2</f>
        <v>31.887250000000002</v>
      </c>
      <c r="CG521" s="120">
        <f>(CG520+CG522)/2</f>
        <v>32.6265</v>
      </c>
      <c r="CH521" s="120">
        <f>(CG521+CI521)/2</f>
        <v>33.341999999999999</v>
      </c>
      <c r="CI521" s="120">
        <f>(CI520+CI522)/2</f>
        <v>34.057500000000005</v>
      </c>
      <c r="CJ521" s="120">
        <f>(CI521+CK521)/2</f>
        <v>34.78125</v>
      </c>
      <c r="CK521" s="120">
        <f>(CK520+CK522)/2</f>
        <v>35.504999999999995</v>
      </c>
      <c r="CL521" s="120">
        <f>(CK521+CM521)/2</f>
        <v>36.231499999999997</v>
      </c>
      <c r="CM521" s="120">
        <f>(CM520+CM522)/2</f>
        <v>36.957999999999998</v>
      </c>
      <c r="CN521" s="120">
        <f>(CM521+CO521)/2</f>
        <v>37.66825</v>
      </c>
      <c r="CO521" s="120">
        <f>(CO520+CO522)/2</f>
        <v>38.378500000000003</v>
      </c>
      <c r="CP521" s="120">
        <f>(CO521+CQ521)/2</f>
        <v>39.085999999999999</v>
      </c>
      <c r="CQ521" s="120">
        <f>(CQ520+CQ522)/2</f>
        <v>39.793500000000002</v>
      </c>
      <c r="CR521" s="120">
        <f>(CQ521+CS521)/2</f>
        <v>40.493250000000003</v>
      </c>
      <c r="CS521" s="120">
        <f>(CS520+CS522)/2</f>
        <v>41.192999999999998</v>
      </c>
      <c r="CT521" s="120">
        <f>(CS521+CU521)/2</f>
        <v>41.90325</v>
      </c>
      <c r="CU521" s="120">
        <f>(CU520+CU522)/2</f>
        <v>42.613500000000002</v>
      </c>
      <c r="CV521" s="120">
        <f>(CU521+CW521)/2</f>
        <v>43.323999999999998</v>
      </c>
      <c r="CW521" s="120">
        <f>(CW520+CW522)/2</f>
        <v>44.034499999999994</v>
      </c>
      <c r="CX521" s="120">
        <f>(CW521+CY521)/2</f>
        <v>44.728499999999997</v>
      </c>
      <c r="CY521" s="120">
        <f>(CY520+CY522)/2</f>
        <v>45.422499999999999</v>
      </c>
      <c r="CZ521" s="120">
        <f>(CY521+DA521)/2</f>
        <v>46.114000000000004</v>
      </c>
      <c r="DA521" s="120">
        <f>(DA520+DA522)/2</f>
        <v>46.805500000000002</v>
      </c>
      <c r="DB521" s="120">
        <f>(DA521+DC521)/2</f>
        <v>47.489000000000004</v>
      </c>
      <c r="DC521" s="120">
        <f>(DC520+DC522)/2</f>
        <v>48.172499999999999</v>
      </c>
      <c r="DD521" s="120">
        <f>(DC521+DE521)/2</f>
        <v>48.883499999999998</v>
      </c>
      <c r="DE521" s="120">
        <f>(DE520+DE522)/2</f>
        <v>49.594499999999996</v>
      </c>
      <c r="DF521" s="120">
        <f>(DE521+DG521)/2</f>
        <v>50.272999999999996</v>
      </c>
      <c r="DG521" s="122">
        <f>(DG520+DG522)/2</f>
        <v>50.951500000000003</v>
      </c>
    </row>
    <row r="522" spans="54:111" ht="15" customHeight="1" x14ac:dyDescent="0.2">
      <c r="BB522" s="28">
        <v>30</v>
      </c>
      <c r="BC522" s="121">
        <v>8.4789999999999992</v>
      </c>
      <c r="BD522" s="121">
        <v>9.4934999999999992</v>
      </c>
      <c r="BE522" s="121">
        <v>10.507999999999999</v>
      </c>
      <c r="BF522" s="121">
        <v>11.492149999999999</v>
      </c>
      <c r="BG522" s="121">
        <v>12.4763</v>
      </c>
      <c r="BH522" s="121">
        <v>13.39315</v>
      </c>
      <c r="BI522" s="121">
        <v>14.31</v>
      </c>
      <c r="BJ522" s="121">
        <v>15.164999999999999</v>
      </c>
      <c r="BK522" s="121">
        <v>16.02</v>
      </c>
      <c r="BL522" s="121">
        <v>16.8675</v>
      </c>
      <c r="BM522" s="121">
        <v>17.715</v>
      </c>
      <c r="BN522" s="121">
        <v>18.568999999999999</v>
      </c>
      <c r="BO522" s="121">
        <v>19.422999999999998</v>
      </c>
      <c r="BP522" s="121">
        <v>20.244999999999997</v>
      </c>
      <c r="BQ522" s="121">
        <v>21.067</v>
      </c>
      <c r="BR522" s="121">
        <v>21.856999999999999</v>
      </c>
      <c r="BS522" s="121">
        <v>22.646999999999998</v>
      </c>
      <c r="BT522" s="121">
        <v>23.436999999999998</v>
      </c>
      <c r="BU522" s="121">
        <v>24.227</v>
      </c>
      <c r="BV522" s="121">
        <v>25.018000000000001</v>
      </c>
      <c r="BW522" s="121">
        <v>25.809000000000001</v>
      </c>
      <c r="BX522" s="121">
        <v>26.599</v>
      </c>
      <c r="BY522" s="121">
        <v>27.388999999999999</v>
      </c>
      <c r="BZ522" s="121">
        <v>28.146999999999998</v>
      </c>
      <c r="CA522" s="121">
        <v>28.905000000000001</v>
      </c>
      <c r="CB522" s="121">
        <f t="array" ref="CB522:CB552">TRANSPOSE(CC521:DG521)</f>
        <v>29.663</v>
      </c>
      <c r="CC522" s="158">
        <v>30.420999999999999</v>
      </c>
      <c r="CD522" s="120">
        <f>(CE522+CC522)/2</f>
        <v>31.179000000000002</v>
      </c>
      <c r="CE522" s="158">
        <v>31.937000000000001</v>
      </c>
      <c r="CF522" s="120">
        <f>(CG522+CE522)/2</f>
        <v>32.694499999999998</v>
      </c>
      <c r="CG522" s="158">
        <v>33.451999999999998</v>
      </c>
      <c r="CH522" s="120">
        <f>(CI522+CG522)/2</f>
        <v>34.210499999999996</v>
      </c>
      <c r="CI522" s="158">
        <v>34.969000000000001</v>
      </c>
      <c r="CJ522" s="120">
        <f>(CK522+CI522)/2</f>
        <v>35.689</v>
      </c>
      <c r="CK522" s="158">
        <v>36.408999999999999</v>
      </c>
      <c r="CL522" s="120">
        <f>(CM522+CK522)/2</f>
        <v>37.167000000000002</v>
      </c>
      <c r="CM522" s="158">
        <v>37.924999999999997</v>
      </c>
      <c r="CN522" s="120">
        <f>(CO522+CM522)/2</f>
        <v>38.650499999999994</v>
      </c>
      <c r="CO522" s="158">
        <v>39.375999999999998</v>
      </c>
      <c r="CP522" s="120">
        <f>(CQ522+CO522)/2</f>
        <v>40.102000000000004</v>
      </c>
      <c r="CQ522" s="158">
        <v>40.828000000000003</v>
      </c>
      <c r="CR522" s="120">
        <f>(CS522+CQ522)/2</f>
        <v>41.554500000000004</v>
      </c>
      <c r="CS522" s="158">
        <v>42.280999999999999</v>
      </c>
      <c r="CT522" s="120">
        <f>(CU522+CS522)/2</f>
        <v>43.006500000000003</v>
      </c>
      <c r="CU522" s="158">
        <v>43.731999999999999</v>
      </c>
      <c r="CV522" s="120">
        <f>(CW522+CU522)/2</f>
        <v>44.457999999999998</v>
      </c>
      <c r="CW522" s="158">
        <v>45.183999999999997</v>
      </c>
      <c r="CX522" s="120">
        <f>(CY522+CW522)/2</f>
        <v>45.909499999999994</v>
      </c>
      <c r="CY522" s="158">
        <v>46.634999999999998</v>
      </c>
      <c r="CZ522" s="120">
        <f>(DA522+CY522)/2</f>
        <v>47.329000000000001</v>
      </c>
      <c r="DA522" s="158">
        <v>48.023000000000003</v>
      </c>
      <c r="DB522" s="120">
        <f>(DC522+DA522)/2</f>
        <v>48.749499999999998</v>
      </c>
      <c r="DC522" s="158">
        <v>49.475999999999999</v>
      </c>
      <c r="DD522" s="120">
        <f>(DE522+DC522)/2</f>
        <v>50.201999999999998</v>
      </c>
      <c r="DE522" s="158">
        <v>50.927999999999997</v>
      </c>
      <c r="DF522" s="120">
        <f>(DG522+DE522)/2</f>
        <v>51.622</v>
      </c>
      <c r="DG522" s="159">
        <v>52.316000000000003</v>
      </c>
    </row>
    <row r="523" spans="54:111" ht="15" customHeight="1" x14ac:dyDescent="0.2">
      <c r="BB523" s="28">
        <v>31</v>
      </c>
      <c r="BC523" s="121">
        <v>8.66</v>
      </c>
      <c r="BD523" s="121">
        <v>9.7169999999999987</v>
      </c>
      <c r="BE523" s="121">
        <v>10.773999999999999</v>
      </c>
      <c r="BF523" s="121">
        <v>11.757074999999999</v>
      </c>
      <c r="BG523" s="121">
        <v>12.74015</v>
      </c>
      <c r="BH523" s="121">
        <v>13.689325</v>
      </c>
      <c r="BI523" s="121">
        <v>14.638500000000001</v>
      </c>
      <c r="BJ523" s="121">
        <v>15.5245</v>
      </c>
      <c r="BK523" s="121">
        <v>16.410499999999999</v>
      </c>
      <c r="BL523" s="121">
        <v>17.277000000000001</v>
      </c>
      <c r="BM523" s="121">
        <v>18.1435</v>
      </c>
      <c r="BN523" s="121">
        <v>19.024000000000001</v>
      </c>
      <c r="BO523" s="121">
        <v>19.904499999999999</v>
      </c>
      <c r="BP523" s="121">
        <v>20.741999999999997</v>
      </c>
      <c r="BQ523" s="121">
        <v>21.579499999999999</v>
      </c>
      <c r="BR523" s="121">
        <v>22.384999999999998</v>
      </c>
      <c r="BS523" s="121">
        <v>23.1905</v>
      </c>
      <c r="BT523" s="121">
        <v>24.015249999999998</v>
      </c>
      <c r="BU523" s="121">
        <v>24.84</v>
      </c>
      <c r="BV523" s="121">
        <v>25.646000000000001</v>
      </c>
      <c r="BW523" s="121">
        <v>26.451999999999998</v>
      </c>
      <c r="BX523" s="121">
        <v>27.2685</v>
      </c>
      <c r="BY523" s="121">
        <v>28.085000000000001</v>
      </c>
      <c r="BZ523" s="121">
        <v>28.858499999999999</v>
      </c>
      <c r="CA523" s="121">
        <v>29.632000000000001</v>
      </c>
      <c r="CB523" s="121">
        <v>30.405500000000004</v>
      </c>
      <c r="CC523" s="121">
        <f t="array" ref="CC523:CC552">TRANSPOSE(CD522:DG522)</f>
        <v>31.179000000000002</v>
      </c>
      <c r="CD523" s="120">
        <f>(CC523+CE523)/2</f>
        <v>31.968500000000002</v>
      </c>
      <c r="CE523" s="120">
        <f>(CE522+CE524)/2</f>
        <v>32.758000000000003</v>
      </c>
      <c r="CF523" s="120">
        <f>(CE523+CG523)/2</f>
        <v>33.515000000000001</v>
      </c>
      <c r="CG523" s="120">
        <f>(CG522+CG524)/2</f>
        <v>34.271999999999998</v>
      </c>
      <c r="CH523" s="120">
        <f>(CG523+CI523)/2</f>
        <v>35.057000000000002</v>
      </c>
      <c r="CI523" s="120">
        <f>(CI522+CI524)/2</f>
        <v>35.841999999999999</v>
      </c>
      <c r="CJ523" s="120">
        <f>(CI523+CK523)/2</f>
        <v>36.596499999999999</v>
      </c>
      <c r="CK523" s="120">
        <f>(CK522+CK524)/2</f>
        <v>37.350999999999999</v>
      </c>
      <c r="CL523" s="120">
        <f>(CK523+CM523)/2</f>
        <v>38.108249999999998</v>
      </c>
      <c r="CM523" s="120">
        <f>(CM522+CM524)/2</f>
        <v>38.865499999999997</v>
      </c>
      <c r="CN523" s="120">
        <f>(CM523+CO523)/2</f>
        <v>39.622749999999996</v>
      </c>
      <c r="CO523" s="120">
        <f>(CO522+CO524)/2</f>
        <v>40.379999999999995</v>
      </c>
      <c r="CP523" s="120">
        <f>(CO523+CQ523)/2</f>
        <v>41.121499999999997</v>
      </c>
      <c r="CQ523" s="120">
        <f>(CQ522+CQ524)/2</f>
        <v>41.863</v>
      </c>
      <c r="CR523" s="120">
        <f>(CQ523+CS523)/2</f>
        <v>42.615499999999997</v>
      </c>
      <c r="CS523" s="120">
        <f>(CS522+CS524)/2</f>
        <v>43.367999999999995</v>
      </c>
      <c r="CT523" s="120">
        <f>(CS523+CU523)/2</f>
        <v>44.109249999999996</v>
      </c>
      <c r="CU523" s="120">
        <f>(CU522+CU524)/2</f>
        <v>44.850499999999997</v>
      </c>
      <c r="CV523" s="120">
        <f>(CU523+CW523)/2</f>
        <v>45.591999999999999</v>
      </c>
      <c r="CW523" s="120">
        <f>(CW522+CW524)/2</f>
        <v>46.333500000000001</v>
      </c>
      <c r="CX523" s="120">
        <f>(CW523+CY523)/2</f>
        <v>47.074750000000002</v>
      </c>
      <c r="CY523" s="120">
        <f>(CY522+CY524)/2</f>
        <v>47.816000000000003</v>
      </c>
      <c r="CZ523" s="120">
        <f>(CY523+DA523)/2</f>
        <v>48.541499999999999</v>
      </c>
      <c r="DA523" s="120">
        <f>(DA522+DA524)/2</f>
        <v>49.267000000000003</v>
      </c>
      <c r="DB523" s="120">
        <f>(DA523+DC523)/2</f>
        <v>50.019500000000001</v>
      </c>
      <c r="DC523" s="120">
        <f>(DC522+DC524)/2</f>
        <v>50.771999999999998</v>
      </c>
      <c r="DD523" s="120">
        <f>(DC523+DE523)/2</f>
        <v>51.497249999999994</v>
      </c>
      <c r="DE523" s="120">
        <f>(DE522+DE524)/2</f>
        <v>52.222499999999997</v>
      </c>
      <c r="DF523" s="120">
        <f>(DE523+DG523)/2</f>
        <v>52.948</v>
      </c>
      <c r="DG523" s="122">
        <f>(DG522+DG524)/2</f>
        <v>53.673500000000004</v>
      </c>
    </row>
    <row r="524" spans="54:111" ht="15" customHeight="1" x14ac:dyDescent="0.2">
      <c r="BB524" s="28">
        <v>32</v>
      </c>
      <c r="BC524" s="121">
        <v>8.8409999999999993</v>
      </c>
      <c r="BD524" s="121">
        <v>9.9405000000000001</v>
      </c>
      <c r="BE524" s="121">
        <v>11.04</v>
      </c>
      <c r="BF524" s="121">
        <v>12.021999999999998</v>
      </c>
      <c r="BG524" s="121">
        <v>13.004</v>
      </c>
      <c r="BH524" s="121">
        <v>13.9855</v>
      </c>
      <c r="BI524" s="121">
        <v>14.967000000000001</v>
      </c>
      <c r="BJ524" s="121">
        <v>15.884</v>
      </c>
      <c r="BK524" s="121">
        <v>16.800999999999998</v>
      </c>
      <c r="BL524" s="121">
        <v>17.686499999999999</v>
      </c>
      <c r="BM524" s="121">
        <v>18.571999999999999</v>
      </c>
      <c r="BN524" s="121">
        <v>19.478999999999999</v>
      </c>
      <c r="BO524" s="121">
        <v>20.385999999999999</v>
      </c>
      <c r="BP524" s="121">
        <v>21.238999999999997</v>
      </c>
      <c r="BQ524" s="121">
        <v>22.091999999999999</v>
      </c>
      <c r="BR524" s="121">
        <v>22.913</v>
      </c>
      <c r="BS524" s="121">
        <v>23.734000000000002</v>
      </c>
      <c r="BT524" s="121">
        <v>24.593499999999999</v>
      </c>
      <c r="BU524" s="121">
        <v>25.452999999999999</v>
      </c>
      <c r="BV524" s="121">
        <v>26.274000000000001</v>
      </c>
      <c r="BW524" s="121">
        <v>27.094999999999999</v>
      </c>
      <c r="BX524" s="121">
        <v>27.937999999999999</v>
      </c>
      <c r="BY524" s="121">
        <v>28.780999999999999</v>
      </c>
      <c r="BZ524" s="121">
        <v>29.57</v>
      </c>
      <c r="CA524" s="121">
        <v>30.359000000000002</v>
      </c>
      <c r="CB524" s="121">
        <v>31.148000000000003</v>
      </c>
      <c r="CC524" s="121">
        <v>31.937000000000001</v>
      </c>
      <c r="CD524" s="121">
        <f t="array" ref="CD524:CD552">TRANSPOSE(CE523:DG523)</f>
        <v>32.758000000000003</v>
      </c>
      <c r="CE524" s="158">
        <v>33.579000000000001</v>
      </c>
      <c r="CF524" s="120">
        <f>(CG524+CE524)/2</f>
        <v>34.335499999999996</v>
      </c>
      <c r="CG524" s="158">
        <v>35.091999999999999</v>
      </c>
      <c r="CH524" s="120">
        <f>(CI524+CG524)/2</f>
        <v>35.903500000000001</v>
      </c>
      <c r="CI524" s="158">
        <v>36.715000000000003</v>
      </c>
      <c r="CJ524" s="120">
        <f>(CK524+CI524)/2</f>
        <v>37.504000000000005</v>
      </c>
      <c r="CK524" s="158">
        <v>38.292999999999999</v>
      </c>
      <c r="CL524" s="120">
        <f>(CM524+CK524)/2</f>
        <v>39.049499999999995</v>
      </c>
      <c r="CM524" s="158">
        <v>39.805999999999997</v>
      </c>
      <c r="CN524" s="120">
        <f>(CO524+CM524)/2</f>
        <v>40.594999999999999</v>
      </c>
      <c r="CO524" s="158">
        <v>41.384</v>
      </c>
      <c r="CP524" s="120">
        <f>(CQ524+CO524)/2</f>
        <v>42.141000000000005</v>
      </c>
      <c r="CQ524" s="158">
        <v>42.898000000000003</v>
      </c>
      <c r="CR524" s="120">
        <f>(CS524+CQ524)/2</f>
        <v>43.676500000000004</v>
      </c>
      <c r="CS524" s="158">
        <v>44.454999999999998</v>
      </c>
      <c r="CT524" s="120">
        <f>(CU524+CS524)/2</f>
        <v>45.212000000000003</v>
      </c>
      <c r="CU524" s="158">
        <v>45.969000000000001</v>
      </c>
      <c r="CV524" s="120">
        <f>(CW524+CU524)/2</f>
        <v>46.725999999999999</v>
      </c>
      <c r="CW524" s="158">
        <v>47.482999999999997</v>
      </c>
      <c r="CX524" s="120">
        <f>(CY524+CW524)/2</f>
        <v>48.239999999999995</v>
      </c>
      <c r="CY524" s="158">
        <v>48.997</v>
      </c>
      <c r="CZ524" s="120">
        <f>(DA524+CY524)/2</f>
        <v>49.754000000000005</v>
      </c>
      <c r="DA524" s="158">
        <v>50.511000000000003</v>
      </c>
      <c r="DB524" s="120">
        <f>(DC524+DA524)/2</f>
        <v>51.289500000000004</v>
      </c>
      <c r="DC524" s="158">
        <v>52.067999999999998</v>
      </c>
      <c r="DD524" s="120">
        <f>(DE524+DC524)/2</f>
        <v>52.792500000000004</v>
      </c>
      <c r="DE524" s="158">
        <v>53.517000000000003</v>
      </c>
      <c r="DF524" s="120">
        <f>(DG524+DE524)/2</f>
        <v>54.274000000000001</v>
      </c>
      <c r="DG524" s="159">
        <v>55.030999999999999</v>
      </c>
    </row>
    <row r="525" spans="54:111" ht="15" customHeight="1" x14ac:dyDescent="0.2">
      <c r="BB525" s="28">
        <v>33</v>
      </c>
      <c r="BC525" s="121">
        <v>9.0444999999999993</v>
      </c>
      <c r="BD525" s="121">
        <v>10.15175</v>
      </c>
      <c r="BE525" s="121">
        <v>11.259</v>
      </c>
      <c r="BF525" s="121">
        <v>12.2835</v>
      </c>
      <c r="BG525" s="121">
        <v>13.308</v>
      </c>
      <c r="BH525" s="121">
        <v>14.304500000000001</v>
      </c>
      <c r="BI525" s="121">
        <v>15.301</v>
      </c>
      <c r="BJ525" s="121">
        <v>16.233750000000001</v>
      </c>
      <c r="BK525" s="121">
        <v>17.166499999999999</v>
      </c>
      <c r="BL525" s="121">
        <v>18.078249999999997</v>
      </c>
      <c r="BM525" s="121">
        <v>18.990000000000002</v>
      </c>
      <c r="BN525" s="121">
        <v>19.901499999999999</v>
      </c>
      <c r="BO525" s="121">
        <v>20.812999999999999</v>
      </c>
      <c r="BP525" s="121">
        <v>21.711749999999999</v>
      </c>
      <c r="BQ525" s="121">
        <v>22.610500000000002</v>
      </c>
      <c r="BR525" s="121">
        <v>23.447000000000003</v>
      </c>
      <c r="BS525" s="121">
        <v>24.2835</v>
      </c>
      <c r="BT525" s="121">
        <v>25.1555</v>
      </c>
      <c r="BU525" s="121">
        <v>26.0275</v>
      </c>
      <c r="BV525" s="121">
        <v>26.874749999999999</v>
      </c>
      <c r="BW525" s="121">
        <v>27.722000000000001</v>
      </c>
      <c r="BX525" s="121">
        <v>28.569499999999998</v>
      </c>
      <c r="BY525" s="121">
        <v>29.417000000000002</v>
      </c>
      <c r="BZ525" s="121">
        <v>30.2485</v>
      </c>
      <c r="CA525" s="121">
        <v>31.08</v>
      </c>
      <c r="CB525" s="121">
        <v>31.887250000000002</v>
      </c>
      <c r="CC525" s="121">
        <v>32.694499999999998</v>
      </c>
      <c r="CD525" s="121">
        <v>33.515000000000001</v>
      </c>
      <c r="CE525" s="121">
        <f t="array" ref="CE525:CE552">TRANSPOSE(CF524:DG524)</f>
        <v>34.335499999999996</v>
      </c>
      <c r="CF525" s="120">
        <f>(CE525+CG525)/2</f>
        <v>35.150999999999996</v>
      </c>
      <c r="CG525" s="120">
        <f>(CG524+CG526)/2</f>
        <v>35.966499999999996</v>
      </c>
      <c r="CH525" s="120">
        <f>(CG525+CI525)/2</f>
        <v>36.766249999999999</v>
      </c>
      <c r="CI525" s="120">
        <f>(CI524+CI526)/2</f>
        <v>37.566000000000003</v>
      </c>
      <c r="CJ525" s="120">
        <f>(CI525+CK525)/2</f>
        <v>38.381250000000001</v>
      </c>
      <c r="CK525" s="120">
        <f>(CK524+CK526)/2</f>
        <v>39.1965</v>
      </c>
      <c r="CL525" s="120">
        <f>(CK525+CM525)/2</f>
        <v>39.987749999999998</v>
      </c>
      <c r="CM525" s="120">
        <f>(CM524+CM526)/2</f>
        <v>40.778999999999996</v>
      </c>
      <c r="CN525" s="120">
        <f>(CM525+CO525)/2</f>
        <v>41.567499999999995</v>
      </c>
      <c r="CO525" s="120">
        <f>(CO524+CO526)/2</f>
        <v>42.356000000000002</v>
      </c>
      <c r="CP525" s="120">
        <f>(CO525+CQ525)/2</f>
        <v>43.155250000000002</v>
      </c>
      <c r="CQ525" s="120">
        <f>(CQ524+CQ526)/2</f>
        <v>43.954500000000003</v>
      </c>
      <c r="CR525" s="120">
        <f>(CQ525+CS525)/2</f>
        <v>44.737499999999997</v>
      </c>
      <c r="CS525" s="120">
        <f>(CS524+CS526)/2</f>
        <v>45.520499999999998</v>
      </c>
      <c r="CT525" s="120">
        <f>(CS525+CU525)/2</f>
        <v>46.304249999999996</v>
      </c>
      <c r="CU525" s="120">
        <f>(CU524+CU526)/2</f>
        <v>47.088000000000001</v>
      </c>
      <c r="CV525" s="120">
        <f>(CU525+CW525)/2</f>
        <v>47.860249999999994</v>
      </c>
      <c r="CW525" s="120">
        <f>(CW524+CW526)/2</f>
        <v>48.632499999999993</v>
      </c>
      <c r="CX525" s="120">
        <f>(CW525+CY525)/2</f>
        <v>49.407999999999994</v>
      </c>
      <c r="CY525" s="120">
        <f>(CY524+CY526)/2</f>
        <v>50.183499999999995</v>
      </c>
      <c r="CZ525" s="120">
        <f>(CY525+DA525)/2</f>
        <v>50.966999999999999</v>
      </c>
      <c r="DA525" s="120">
        <f>(DA524+DA526)/2</f>
        <v>51.750500000000002</v>
      </c>
      <c r="DB525" s="120">
        <f>(DA525+DC525)/2</f>
        <v>52.533749999999998</v>
      </c>
      <c r="DC525" s="120">
        <f>(DC524+DC526)/2</f>
        <v>53.317</v>
      </c>
      <c r="DD525" s="120">
        <f>(DC525+DE525)/2</f>
        <v>54.083749999999995</v>
      </c>
      <c r="DE525" s="120">
        <f>(DE524+DE526)/2</f>
        <v>54.850499999999997</v>
      </c>
      <c r="DF525" s="120">
        <f>(DE525+DG525)/2</f>
        <v>55.606999999999999</v>
      </c>
      <c r="DG525" s="122">
        <f>(DG524+DG526)/2</f>
        <v>56.363500000000002</v>
      </c>
    </row>
    <row r="526" spans="54:111" ht="15" customHeight="1" x14ac:dyDescent="0.2">
      <c r="BB526" s="28">
        <v>34</v>
      </c>
      <c r="BC526" s="121">
        <v>9.2479999999999993</v>
      </c>
      <c r="BD526" s="121">
        <v>10.363</v>
      </c>
      <c r="BE526" s="121">
        <v>11.478</v>
      </c>
      <c r="BF526" s="121">
        <v>12.545</v>
      </c>
      <c r="BG526" s="121">
        <v>13.612</v>
      </c>
      <c r="BH526" s="121">
        <v>14.6235</v>
      </c>
      <c r="BI526" s="121">
        <v>15.635</v>
      </c>
      <c r="BJ526" s="121">
        <v>16.583500000000001</v>
      </c>
      <c r="BK526" s="121">
        <v>17.532</v>
      </c>
      <c r="BL526" s="121">
        <v>18.47</v>
      </c>
      <c r="BM526" s="121">
        <v>19.408000000000001</v>
      </c>
      <c r="BN526" s="121">
        <v>20.323999999999998</v>
      </c>
      <c r="BO526" s="121">
        <v>21.24</v>
      </c>
      <c r="BP526" s="121">
        <v>22.1845</v>
      </c>
      <c r="BQ526" s="121">
        <v>23.129000000000001</v>
      </c>
      <c r="BR526" s="121">
        <v>23.981000000000002</v>
      </c>
      <c r="BS526" s="121">
        <v>24.832999999999998</v>
      </c>
      <c r="BT526" s="121">
        <v>25.717500000000001</v>
      </c>
      <c r="BU526" s="121">
        <v>26.602</v>
      </c>
      <c r="BV526" s="121">
        <v>27.4755</v>
      </c>
      <c r="BW526" s="121">
        <v>28.349</v>
      </c>
      <c r="BX526" s="121">
        <v>29.201000000000001</v>
      </c>
      <c r="BY526" s="121">
        <v>30.053000000000001</v>
      </c>
      <c r="BZ526" s="121">
        <v>30.927</v>
      </c>
      <c r="CA526" s="121">
        <v>31.800999999999998</v>
      </c>
      <c r="CB526" s="121">
        <v>32.6265</v>
      </c>
      <c r="CC526" s="121">
        <v>33.451999999999998</v>
      </c>
      <c r="CD526" s="121">
        <v>34.271999999999998</v>
      </c>
      <c r="CE526" s="121">
        <v>35.091999999999999</v>
      </c>
      <c r="CF526" s="121">
        <f t="array" ref="CF526:CF552">TRANSPOSE(CG525:DG525)</f>
        <v>35.966499999999996</v>
      </c>
      <c r="CG526" s="158">
        <v>36.841000000000001</v>
      </c>
      <c r="CH526" s="120">
        <f>(CI526+CG526)/2</f>
        <v>37.629000000000005</v>
      </c>
      <c r="CI526" s="158">
        <v>38.417000000000002</v>
      </c>
      <c r="CJ526" s="120">
        <f>(CK526+CI526)/2</f>
        <v>39.258499999999998</v>
      </c>
      <c r="CK526" s="158">
        <v>40.1</v>
      </c>
      <c r="CL526" s="120">
        <f>(CM526+CK526)/2</f>
        <v>40.926000000000002</v>
      </c>
      <c r="CM526" s="158">
        <v>41.752000000000002</v>
      </c>
      <c r="CN526" s="120">
        <f>(CO526+CM526)/2</f>
        <v>42.540000000000006</v>
      </c>
      <c r="CO526" s="158">
        <v>43.328000000000003</v>
      </c>
      <c r="CP526" s="120">
        <f>(CQ526+CO526)/2</f>
        <v>44.169499999999999</v>
      </c>
      <c r="CQ526" s="158">
        <v>45.011000000000003</v>
      </c>
      <c r="CR526" s="120">
        <f>(CS526+CQ526)/2</f>
        <v>45.798500000000004</v>
      </c>
      <c r="CS526" s="158">
        <v>46.585999999999999</v>
      </c>
      <c r="CT526" s="120">
        <f>(CU526+CS526)/2</f>
        <v>47.396500000000003</v>
      </c>
      <c r="CU526" s="158">
        <v>48.207000000000001</v>
      </c>
      <c r="CV526" s="120">
        <f>(CW526+CU526)/2</f>
        <v>48.994500000000002</v>
      </c>
      <c r="CW526" s="158">
        <v>49.781999999999996</v>
      </c>
      <c r="CX526" s="120">
        <f>(CY526+CW526)/2</f>
        <v>50.575999999999993</v>
      </c>
      <c r="CY526" s="158">
        <v>51.37</v>
      </c>
      <c r="CZ526" s="120">
        <f>(DA526+CY526)/2</f>
        <v>52.18</v>
      </c>
      <c r="DA526" s="158">
        <v>52.99</v>
      </c>
      <c r="DB526" s="120">
        <f>(DC526+DA526)/2</f>
        <v>53.778000000000006</v>
      </c>
      <c r="DC526" s="158">
        <v>54.566000000000003</v>
      </c>
      <c r="DD526" s="120">
        <f>(DE526+DC526)/2</f>
        <v>55.375</v>
      </c>
      <c r="DE526" s="158">
        <v>56.183999999999997</v>
      </c>
      <c r="DF526" s="120">
        <f>(DG526+DE526)/2</f>
        <v>56.94</v>
      </c>
      <c r="DG526" s="159">
        <v>57.695999999999998</v>
      </c>
    </row>
    <row r="527" spans="54:111" ht="15" customHeight="1" x14ac:dyDescent="0.2">
      <c r="BB527" s="28">
        <v>35</v>
      </c>
      <c r="BC527" s="121">
        <v>9.4359999999999999</v>
      </c>
      <c r="BD527" s="121">
        <v>10.574</v>
      </c>
      <c r="BE527" s="121">
        <v>11.712</v>
      </c>
      <c r="BF527" s="121">
        <v>12.7995</v>
      </c>
      <c r="BG527" s="121">
        <v>13.887</v>
      </c>
      <c r="BH527" s="121">
        <v>14.9125</v>
      </c>
      <c r="BI527" s="121">
        <v>15.937999999999999</v>
      </c>
      <c r="BJ527" s="121">
        <v>16.928750000000001</v>
      </c>
      <c r="BK527" s="121">
        <v>17.919499999999999</v>
      </c>
      <c r="BL527" s="121">
        <v>18.878</v>
      </c>
      <c r="BM527" s="121">
        <v>19.836500000000001</v>
      </c>
      <c r="BN527" s="121">
        <v>20.778749999999999</v>
      </c>
      <c r="BO527" s="121">
        <v>21.721</v>
      </c>
      <c r="BP527" s="121">
        <v>22.654</v>
      </c>
      <c r="BQ527" s="121">
        <v>23.587000000000003</v>
      </c>
      <c r="BR527" s="121">
        <v>24.4815</v>
      </c>
      <c r="BS527" s="121">
        <v>25.375999999999998</v>
      </c>
      <c r="BT527" s="121">
        <v>26.286750000000001</v>
      </c>
      <c r="BU527" s="121">
        <v>27.197499999999998</v>
      </c>
      <c r="BV527" s="121">
        <v>28.078749999999999</v>
      </c>
      <c r="BW527" s="121">
        <v>28.96</v>
      </c>
      <c r="BX527" s="121">
        <v>29.8385</v>
      </c>
      <c r="BY527" s="121">
        <v>30.716999999999999</v>
      </c>
      <c r="BZ527" s="121">
        <v>31.59525</v>
      </c>
      <c r="CA527" s="121">
        <v>32.473500000000001</v>
      </c>
      <c r="CB527" s="121">
        <v>33.341999999999999</v>
      </c>
      <c r="CC527" s="121">
        <v>34.210499999999996</v>
      </c>
      <c r="CD527" s="121">
        <v>35.057000000000002</v>
      </c>
      <c r="CE527" s="121">
        <v>35.903500000000001</v>
      </c>
      <c r="CF527" s="121">
        <v>36.766249999999999</v>
      </c>
      <c r="CG527" s="121">
        <f t="array" ref="CG527:CG552">TRANSPOSE(CH526:DG526)</f>
        <v>37.629000000000005</v>
      </c>
      <c r="CH527" s="120">
        <f>(CG527+CI527)/2</f>
        <v>38.475250000000003</v>
      </c>
      <c r="CI527" s="120">
        <f>(CI526+CI528)/2</f>
        <v>39.3215</v>
      </c>
      <c r="CJ527" s="120">
        <f>(CI527+CK527)/2</f>
        <v>40.154499999999999</v>
      </c>
      <c r="CK527" s="120">
        <f>(CK526+CK528)/2</f>
        <v>40.987499999999997</v>
      </c>
      <c r="CL527" s="120">
        <f>(CK527+CM527)/2</f>
        <v>41.853000000000002</v>
      </c>
      <c r="CM527" s="120">
        <f>(CM526+CM528)/2</f>
        <v>42.718500000000006</v>
      </c>
      <c r="CN527" s="120">
        <f>(CM527+CO527)/2</f>
        <v>43.532750000000007</v>
      </c>
      <c r="CO527" s="120">
        <f>(CO526+CO528)/2</f>
        <v>44.347000000000001</v>
      </c>
      <c r="CP527" s="120">
        <f>(CO527+CQ527)/2</f>
        <v>45.180500000000002</v>
      </c>
      <c r="CQ527" s="120">
        <f>(CQ526+CQ528)/2</f>
        <v>46.014000000000003</v>
      </c>
      <c r="CR527" s="120">
        <f>(CQ527+CS527)/2</f>
        <v>46.828000000000003</v>
      </c>
      <c r="CS527" s="120">
        <f>(CS526+CS528)/2</f>
        <v>47.641999999999996</v>
      </c>
      <c r="CT527" s="120">
        <f>(CS527+CU527)/2</f>
        <v>48.45675</v>
      </c>
      <c r="CU527" s="120">
        <f>(CU526+CU528)/2</f>
        <v>49.271500000000003</v>
      </c>
      <c r="CV527" s="120">
        <f>(CU527+CW527)/2</f>
        <v>50.120750000000001</v>
      </c>
      <c r="CW527" s="120">
        <f>(CW526+CW528)/2</f>
        <v>50.97</v>
      </c>
      <c r="CX527" s="120">
        <f>(CW527+CY527)/2</f>
        <v>51.78725</v>
      </c>
      <c r="CY527" s="120">
        <f>(CY526+CY528)/2</f>
        <v>52.604500000000002</v>
      </c>
      <c r="CZ527" s="120">
        <f>(CY527+DA527)/2</f>
        <v>53.418750000000003</v>
      </c>
      <c r="DA527" s="120">
        <f>(DA526+DA528)/2</f>
        <v>54.233000000000004</v>
      </c>
      <c r="DB527" s="120">
        <f>(DA527+DC527)/2</f>
        <v>55.050750000000001</v>
      </c>
      <c r="DC527" s="120">
        <f>(DC526+DC528)/2</f>
        <v>55.868499999999997</v>
      </c>
      <c r="DD527" s="120">
        <f>(DC527+DE527)/2</f>
        <v>56.682249999999996</v>
      </c>
      <c r="DE527" s="120">
        <f>(DE526+DE528)/2</f>
        <v>57.495999999999995</v>
      </c>
      <c r="DF527" s="120">
        <f>(DE527+DG527)/2</f>
        <v>58.262499999999996</v>
      </c>
      <c r="DG527" s="122">
        <f>(DG526+DG528)/2</f>
        <v>59.028999999999996</v>
      </c>
    </row>
    <row r="528" spans="54:111" ht="15" customHeight="1" x14ac:dyDescent="0.2">
      <c r="BB528" s="28">
        <v>36</v>
      </c>
      <c r="BC528" s="121">
        <v>9.6240000000000006</v>
      </c>
      <c r="BD528" s="121">
        <v>10.785</v>
      </c>
      <c r="BE528" s="121">
        <v>11.946</v>
      </c>
      <c r="BF528" s="121">
        <v>13.054</v>
      </c>
      <c r="BG528" s="121">
        <v>14.162000000000001</v>
      </c>
      <c r="BH528" s="121">
        <v>15.201499999999999</v>
      </c>
      <c r="BI528" s="121">
        <v>16.241</v>
      </c>
      <c r="BJ528" s="121">
        <v>17.274000000000001</v>
      </c>
      <c r="BK528" s="121">
        <v>18.306999999999999</v>
      </c>
      <c r="BL528" s="121">
        <v>19.286000000000001</v>
      </c>
      <c r="BM528" s="121">
        <v>20.265000000000001</v>
      </c>
      <c r="BN528" s="121">
        <v>21.233499999999999</v>
      </c>
      <c r="BO528" s="121">
        <v>22.202000000000002</v>
      </c>
      <c r="BP528" s="121">
        <v>23.1235</v>
      </c>
      <c r="BQ528" s="121">
        <v>24.045000000000002</v>
      </c>
      <c r="BR528" s="121">
        <v>24.981999999999999</v>
      </c>
      <c r="BS528" s="121">
        <v>25.919</v>
      </c>
      <c r="BT528" s="121">
        <v>26.856000000000002</v>
      </c>
      <c r="BU528" s="121">
        <v>27.792999999999999</v>
      </c>
      <c r="BV528" s="121">
        <v>28.682000000000002</v>
      </c>
      <c r="BW528" s="121">
        <v>29.571000000000002</v>
      </c>
      <c r="BX528" s="121">
        <v>30.475999999999999</v>
      </c>
      <c r="BY528" s="121">
        <v>31.381</v>
      </c>
      <c r="BZ528" s="121">
        <v>32.263500000000001</v>
      </c>
      <c r="CA528" s="121">
        <v>33.146000000000001</v>
      </c>
      <c r="CB528" s="121">
        <v>34.057500000000005</v>
      </c>
      <c r="CC528" s="121">
        <v>34.969000000000001</v>
      </c>
      <c r="CD528" s="121">
        <v>35.841999999999999</v>
      </c>
      <c r="CE528" s="121">
        <v>36.715000000000003</v>
      </c>
      <c r="CF528" s="121">
        <v>37.566000000000003</v>
      </c>
      <c r="CG528" s="121">
        <v>38.417000000000002</v>
      </c>
      <c r="CH528" s="121">
        <f t="array" ref="CH528:CH552">TRANSPOSE(CI527:DG527)</f>
        <v>39.3215</v>
      </c>
      <c r="CI528" s="158">
        <v>40.225999999999999</v>
      </c>
      <c r="CJ528" s="120">
        <f>(CK528+CI528)/2</f>
        <v>41.0505</v>
      </c>
      <c r="CK528" s="158">
        <v>41.875</v>
      </c>
      <c r="CL528" s="120">
        <f>(CM528+CK528)/2</f>
        <v>42.78</v>
      </c>
      <c r="CM528" s="158">
        <v>43.685000000000002</v>
      </c>
      <c r="CN528" s="120">
        <f>(CO528+CM528)/2</f>
        <v>44.525500000000001</v>
      </c>
      <c r="CO528" s="158">
        <v>45.366</v>
      </c>
      <c r="CP528" s="120">
        <f>(CQ528+CO528)/2</f>
        <v>46.191500000000005</v>
      </c>
      <c r="CQ528" s="158">
        <v>47.017000000000003</v>
      </c>
      <c r="CR528" s="120">
        <f>(CS528+CQ528)/2</f>
        <v>47.857500000000002</v>
      </c>
      <c r="CS528" s="158">
        <v>48.698</v>
      </c>
      <c r="CT528" s="120">
        <f>(CU528+CS528)/2</f>
        <v>49.516999999999996</v>
      </c>
      <c r="CU528" s="158">
        <v>50.335999999999999</v>
      </c>
      <c r="CV528" s="120">
        <f>(CW528+CU528)/2</f>
        <v>51.247</v>
      </c>
      <c r="CW528" s="158">
        <v>52.158000000000001</v>
      </c>
      <c r="CX528" s="120">
        <f>(CY528+CW528)/2</f>
        <v>52.9985</v>
      </c>
      <c r="CY528" s="158">
        <v>53.838999999999999</v>
      </c>
      <c r="CZ528" s="120">
        <f>(DA528+CY528)/2</f>
        <v>54.657499999999999</v>
      </c>
      <c r="DA528" s="158">
        <v>55.475999999999999</v>
      </c>
      <c r="DB528" s="120">
        <f>(DC528+DA528)/2</f>
        <v>56.323499999999996</v>
      </c>
      <c r="DC528" s="158">
        <v>57.170999999999999</v>
      </c>
      <c r="DD528" s="120">
        <f>(DE528+DC528)/2</f>
        <v>57.9895</v>
      </c>
      <c r="DE528" s="158">
        <v>58.808</v>
      </c>
      <c r="DF528" s="120">
        <f>(DG528+DE528)/2</f>
        <v>59.585000000000001</v>
      </c>
      <c r="DG528" s="159">
        <v>60.362000000000002</v>
      </c>
    </row>
    <row r="529" spans="54:111" ht="15" customHeight="1" x14ac:dyDescent="0.2">
      <c r="BB529" s="28">
        <v>37</v>
      </c>
      <c r="BC529" s="121">
        <v>9.7949999999999999</v>
      </c>
      <c r="BD529" s="121">
        <v>10.993</v>
      </c>
      <c r="BE529" s="121">
        <v>12.190999999999999</v>
      </c>
      <c r="BF529" s="121">
        <v>13.312000000000001</v>
      </c>
      <c r="BG529" s="121">
        <v>14.433</v>
      </c>
      <c r="BH529" s="121">
        <v>15.500999999999999</v>
      </c>
      <c r="BI529" s="121">
        <v>16.568999999999999</v>
      </c>
      <c r="BJ529" s="121">
        <v>17.620750000000001</v>
      </c>
      <c r="BK529" s="121">
        <v>18.672499999999999</v>
      </c>
      <c r="BL529" s="121">
        <v>19.67775</v>
      </c>
      <c r="BM529" s="121">
        <v>20.683</v>
      </c>
      <c r="BN529" s="121">
        <v>21.65625</v>
      </c>
      <c r="BO529" s="121">
        <v>22.6295</v>
      </c>
      <c r="BP529" s="121">
        <v>23.593249999999998</v>
      </c>
      <c r="BQ529" s="121">
        <v>24.557000000000002</v>
      </c>
      <c r="BR529" s="121">
        <v>25.50975</v>
      </c>
      <c r="BS529" s="121">
        <v>26.462499999999999</v>
      </c>
      <c r="BT529" s="121">
        <v>27.417999999999999</v>
      </c>
      <c r="BU529" s="121">
        <v>28.3735</v>
      </c>
      <c r="BV529" s="121">
        <v>29.28575</v>
      </c>
      <c r="BW529" s="121">
        <v>30.198</v>
      </c>
      <c r="BX529" s="121">
        <v>31.1265</v>
      </c>
      <c r="BY529" s="121">
        <v>32.055</v>
      </c>
      <c r="BZ529" s="121">
        <v>32.96425</v>
      </c>
      <c r="CA529" s="121">
        <v>33.8735</v>
      </c>
      <c r="CB529" s="121">
        <v>34.78125</v>
      </c>
      <c r="CC529" s="121">
        <v>35.689</v>
      </c>
      <c r="CD529" s="121">
        <v>36.596499999999999</v>
      </c>
      <c r="CE529" s="121">
        <v>37.504000000000005</v>
      </c>
      <c r="CF529" s="121">
        <v>38.381250000000001</v>
      </c>
      <c r="CG529" s="121">
        <v>39.258499999999998</v>
      </c>
      <c r="CH529" s="121">
        <v>40.154499999999999</v>
      </c>
      <c r="CI529" s="121">
        <f t="array" ref="CI529:CI552">TRANSPOSE(CJ528:DG528)</f>
        <v>41.0505</v>
      </c>
      <c r="CJ529" s="120">
        <f>(CI529+CK529)/2</f>
        <v>41.930750000000003</v>
      </c>
      <c r="CK529" s="120">
        <f>(CK528+CK530)/2</f>
        <v>42.811</v>
      </c>
      <c r="CL529" s="120">
        <f>(CK529+CM529)/2</f>
        <v>43.702500000000001</v>
      </c>
      <c r="CM529" s="120">
        <f>(CM528+CM530)/2</f>
        <v>44.594000000000001</v>
      </c>
      <c r="CN529" s="120">
        <f>(CM529+CO529)/2</f>
        <v>45.481999999999999</v>
      </c>
      <c r="CO529" s="120">
        <f>(CO528+CO530)/2</f>
        <v>46.370000000000005</v>
      </c>
      <c r="CP529" s="120">
        <f>(CO529+CQ529)/2</f>
        <v>47.222000000000001</v>
      </c>
      <c r="CQ529" s="120">
        <f>(CQ528+CQ530)/2</f>
        <v>48.073999999999998</v>
      </c>
      <c r="CR529" s="120">
        <f>(CQ529+CS529)/2</f>
        <v>48.918999999999997</v>
      </c>
      <c r="CS529" s="120">
        <f>(CS528+CS530)/2</f>
        <v>49.763999999999996</v>
      </c>
      <c r="CT529" s="120">
        <f>(CS529+CU529)/2</f>
        <v>50.609249999999996</v>
      </c>
      <c r="CU529" s="120">
        <f>(CU528+CU530)/2</f>
        <v>51.454499999999996</v>
      </c>
      <c r="CV529" s="120">
        <f>(CU529+CW529)/2</f>
        <v>52.348749999999995</v>
      </c>
      <c r="CW529" s="120">
        <f>(CW528+CW530)/2</f>
        <v>53.243000000000002</v>
      </c>
      <c r="CX529" s="120">
        <f>(CW529+CY529)/2</f>
        <v>54.131</v>
      </c>
      <c r="CY529" s="120">
        <f>(CY528+CY530)/2</f>
        <v>55.018999999999998</v>
      </c>
      <c r="CZ529" s="120">
        <f>(CY529+DA529)/2</f>
        <v>55.867249999999999</v>
      </c>
      <c r="DA529" s="120">
        <f>(DA528+DA530)/2</f>
        <v>56.715499999999999</v>
      </c>
      <c r="DB529" s="120">
        <f>(DA529+DC529)/2</f>
        <v>57.564499999999995</v>
      </c>
      <c r="DC529" s="120">
        <f>(DC528+DC530)/2</f>
        <v>58.413499999999999</v>
      </c>
      <c r="DD529" s="120">
        <f>(DC529+DE529)/2</f>
        <v>59.261499999999998</v>
      </c>
      <c r="DE529" s="120">
        <f>(DE528+DE530)/2</f>
        <v>60.109499999999997</v>
      </c>
      <c r="DF529" s="120">
        <f>(DE529+DG529)/2</f>
        <v>60.90175</v>
      </c>
      <c r="DG529" s="122">
        <f>(DG528+DG530)/2</f>
        <v>61.694000000000003</v>
      </c>
    </row>
    <row r="530" spans="54:111" ht="15" customHeight="1" x14ac:dyDescent="0.2">
      <c r="BB530" s="28">
        <v>38</v>
      </c>
      <c r="BC530" s="121">
        <v>9.9659999999999993</v>
      </c>
      <c r="BD530" s="121">
        <v>11.201000000000001</v>
      </c>
      <c r="BE530" s="121">
        <v>12.436</v>
      </c>
      <c r="BF530" s="121">
        <v>13.57</v>
      </c>
      <c r="BG530" s="121">
        <v>14.704000000000001</v>
      </c>
      <c r="BH530" s="121">
        <v>15.8005</v>
      </c>
      <c r="BI530" s="121">
        <v>16.896999999999998</v>
      </c>
      <c r="BJ530" s="121">
        <v>17.967500000000001</v>
      </c>
      <c r="BK530" s="121">
        <v>19.038</v>
      </c>
      <c r="BL530" s="121">
        <v>20.069499999999998</v>
      </c>
      <c r="BM530" s="121">
        <v>21.100999999999999</v>
      </c>
      <c r="BN530" s="121">
        <v>22.079000000000001</v>
      </c>
      <c r="BO530" s="121">
        <v>23.056999999999999</v>
      </c>
      <c r="BP530" s="121">
        <v>24.062999999999999</v>
      </c>
      <c r="BQ530" s="121">
        <v>25.068999999999999</v>
      </c>
      <c r="BR530" s="121">
        <v>26.037500000000001</v>
      </c>
      <c r="BS530" s="121">
        <v>27.006</v>
      </c>
      <c r="BT530" s="121">
        <v>27.98</v>
      </c>
      <c r="BU530" s="121">
        <v>28.954000000000001</v>
      </c>
      <c r="BV530" s="121">
        <v>29.889499999999998</v>
      </c>
      <c r="BW530" s="121">
        <v>30.824999999999999</v>
      </c>
      <c r="BX530" s="121">
        <v>31.777000000000001</v>
      </c>
      <c r="BY530" s="121">
        <v>32.728999999999999</v>
      </c>
      <c r="BZ530" s="121">
        <v>33.664999999999999</v>
      </c>
      <c r="CA530" s="121">
        <v>34.600999999999999</v>
      </c>
      <c r="CB530" s="121">
        <v>35.504999999999995</v>
      </c>
      <c r="CC530" s="121">
        <v>36.408999999999999</v>
      </c>
      <c r="CD530" s="121">
        <v>37.350999999999999</v>
      </c>
      <c r="CE530" s="121">
        <v>38.292999999999999</v>
      </c>
      <c r="CF530" s="121">
        <v>39.1965</v>
      </c>
      <c r="CG530" s="121">
        <v>40.1</v>
      </c>
      <c r="CH530" s="121">
        <v>40.987499999999997</v>
      </c>
      <c r="CI530" s="121">
        <v>41.875</v>
      </c>
      <c r="CJ530" s="121">
        <f t="array" ref="CJ530:CJ552">TRANSPOSE(CK529:DG529)</f>
        <v>42.811</v>
      </c>
      <c r="CK530" s="158">
        <v>43.747</v>
      </c>
      <c r="CL530" s="120">
        <f>(CM530+CK530)/2</f>
        <v>44.625</v>
      </c>
      <c r="CM530" s="158">
        <v>45.503</v>
      </c>
      <c r="CN530" s="120">
        <f>(CO530+CM530)/2</f>
        <v>46.438500000000005</v>
      </c>
      <c r="CO530" s="158">
        <v>47.374000000000002</v>
      </c>
      <c r="CP530" s="120">
        <f>(CQ530+CO530)/2</f>
        <v>48.252499999999998</v>
      </c>
      <c r="CQ530" s="158">
        <v>49.131</v>
      </c>
      <c r="CR530" s="120">
        <f>(CS530+CQ530)/2</f>
        <v>49.980499999999999</v>
      </c>
      <c r="CS530" s="158">
        <v>50.83</v>
      </c>
      <c r="CT530" s="120">
        <f>(CU530+CS530)/2</f>
        <v>51.701499999999996</v>
      </c>
      <c r="CU530" s="158">
        <v>52.573</v>
      </c>
      <c r="CV530" s="120">
        <f>(CW530+CU530)/2</f>
        <v>53.450500000000005</v>
      </c>
      <c r="CW530" s="158">
        <v>54.328000000000003</v>
      </c>
      <c r="CX530" s="120">
        <f>(CY530+CW530)/2</f>
        <v>55.263500000000001</v>
      </c>
      <c r="CY530" s="158">
        <v>56.198999999999998</v>
      </c>
      <c r="CZ530" s="120">
        <f>(DA530+CY530)/2</f>
        <v>57.076999999999998</v>
      </c>
      <c r="DA530" s="158">
        <v>57.954999999999998</v>
      </c>
      <c r="DB530" s="120">
        <f>(DC530+DA530)/2</f>
        <v>58.805499999999995</v>
      </c>
      <c r="DC530" s="158">
        <v>59.655999999999999</v>
      </c>
      <c r="DD530" s="120">
        <f>(DE530+DC530)/2</f>
        <v>60.533500000000004</v>
      </c>
      <c r="DE530" s="158">
        <v>61.411000000000001</v>
      </c>
      <c r="DF530" s="120">
        <f>(DG530+DE530)/2</f>
        <v>62.218500000000006</v>
      </c>
      <c r="DG530" s="159">
        <v>63.026000000000003</v>
      </c>
    </row>
    <row r="531" spans="54:111" ht="15" customHeight="1" x14ac:dyDescent="0.2">
      <c r="BB531" s="28">
        <v>39</v>
      </c>
      <c r="BC531" s="121">
        <v>10.146999999999998</v>
      </c>
      <c r="BD531" s="121">
        <v>11.4115</v>
      </c>
      <c r="BE531" s="121">
        <v>12.676</v>
      </c>
      <c r="BF531" s="121">
        <v>13.838750000000001</v>
      </c>
      <c r="BG531" s="121">
        <v>15.0015</v>
      </c>
      <c r="BH531" s="121">
        <v>16.116499999999998</v>
      </c>
      <c r="BI531" s="121">
        <v>17.231499999999997</v>
      </c>
      <c r="BJ531" s="121">
        <v>18.314</v>
      </c>
      <c r="BK531" s="121">
        <v>19.3965</v>
      </c>
      <c r="BL531" s="121">
        <v>20.446999999999999</v>
      </c>
      <c r="BM531" s="121">
        <v>21.497499999999999</v>
      </c>
      <c r="BN531" s="121">
        <v>22.501750000000001</v>
      </c>
      <c r="BO531" s="121">
        <v>23.506</v>
      </c>
      <c r="BP531" s="121">
        <v>24.527749999999997</v>
      </c>
      <c r="BQ531" s="121">
        <v>25.549500000000002</v>
      </c>
      <c r="BR531" s="121">
        <v>26.552500000000002</v>
      </c>
      <c r="BS531" s="121">
        <v>27.555500000000002</v>
      </c>
      <c r="BT531" s="121">
        <v>28.54175</v>
      </c>
      <c r="BU531" s="121">
        <v>29.527999999999999</v>
      </c>
      <c r="BV531" s="121">
        <v>30.482250000000001</v>
      </c>
      <c r="BW531" s="121">
        <v>31.436500000000002</v>
      </c>
      <c r="BX531" s="121">
        <v>32.411749999999998</v>
      </c>
      <c r="BY531" s="121">
        <v>33.387</v>
      </c>
      <c r="BZ531" s="121">
        <v>34.341499999999996</v>
      </c>
      <c r="CA531" s="121">
        <v>35.295999999999999</v>
      </c>
      <c r="CB531" s="121">
        <v>36.231499999999997</v>
      </c>
      <c r="CC531" s="121">
        <v>37.167000000000002</v>
      </c>
      <c r="CD531" s="121">
        <v>38.108249999999998</v>
      </c>
      <c r="CE531" s="121">
        <v>39.049499999999995</v>
      </c>
      <c r="CF531" s="121">
        <v>39.987749999999998</v>
      </c>
      <c r="CG531" s="121">
        <v>40.926000000000002</v>
      </c>
      <c r="CH531" s="121">
        <v>41.853000000000002</v>
      </c>
      <c r="CI531" s="121">
        <v>42.78</v>
      </c>
      <c r="CJ531" s="121">
        <v>43.702500000000001</v>
      </c>
      <c r="CK531" s="121">
        <f t="array" ref="CK531:CK552">TRANSPOSE(CL530:DG530)</f>
        <v>44.625</v>
      </c>
      <c r="CL531" s="120">
        <f>(CK531+CM531)/2</f>
        <v>45.547249999999998</v>
      </c>
      <c r="CM531" s="120">
        <f>(CM530+CM532)/2</f>
        <v>46.469499999999996</v>
      </c>
      <c r="CN531" s="120">
        <f>(CM531+CO531)/2</f>
        <v>47.391999999999996</v>
      </c>
      <c r="CO531" s="120">
        <f>(CO530+CO532)/2</f>
        <v>48.314500000000002</v>
      </c>
      <c r="CP531" s="120">
        <f>(CO531+CQ531)/2</f>
        <v>49.204750000000004</v>
      </c>
      <c r="CQ531" s="120">
        <f>(CQ530+CQ532)/2</f>
        <v>50.094999999999999</v>
      </c>
      <c r="CR531" s="120">
        <f>(CQ531+CS531)/2</f>
        <v>51.006250000000001</v>
      </c>
      <c r="CS531" s="120">
        <f>(CS530+CS532)/2</f>
        <v>51.917500000000004</v>
      </c>
      <c r="CT531" s="120">
        <f>(CS531+CU531)/2</f>
        <v>52.804500000000004</v>
      </c>
      <c r="CU531" s="120">
        <f>(CU530+CU532)/2</f>
        <v>53.691500000000005</v>
      </c>
      <c r="CV531" s="120">
        <f>(CU531+CW531)/2</f>
        <v>54.584500000000006</v>
      </c>
      <c r="CW531" s="120">
        <f>(CW530+CW532)/2</f>
        <v>55.477500000000006</v>
      </c>
      <c r="CX531" s="120">
        <f>(CW531+CY531)/2</f>
        <v>56.399750000000004</v>
      </c>
      <c r="CY531" s="120">
        <f>(CY530+CY532)/2</f>
        <v>57.322000000000003</v>
      </c>
      <c r="CZ531" s="120">
        <f>(CY531+DA531)/2</f>
        <v>58.212499999999999</v>
      </c>
      <c r="DA531" s="120">
        <f>(DA530+DA532)/2</f>
        <v>59.102999999999994</v>
      </c>
      <c r="DB531" s="120">
        <f>(DA531+DC531)/2</f>
        <v>59.982499999999995</v>
      </c>
      <c r="DC531" s="120">
        <f>(DC530+DC532)/2</f>
        <v>60.861999999999995</v>
      </c>
      <c r="DD531" s="120">
        <f>(DC531+DE531)/2</f>
        <v>61.751999999999995</v>
      </c>
      <c r="DE531" s="120">
        <f>(DE530+DE532)/2</f>
        <v>62.641999999999996</v>
      </c>
      <c r="DF531" s="120">
        <f>(DE531+DG531)/2</f>
        <v>63.500250000000001</v>
      </c>
      <c r="DG531" s="122">
        <f>(DG530+DG532)/2</f>
        <v>64.358500000000006</v>
      </c>
    </row>
    <row r="532" spans="54:111" ht="15" customHeight="1" x14ac:dyDescent="0.2">
      <c r="BB532" s="28">
        <v>40</v>
      </c>
      <c r="BC532" s="121">
        <v>10.327999999999999</v>
      </c>
      <c r="BD532" s="121">
        <v>11.622</v>
      </c>
      <c r="BE532" s="121">
        <v>12.916</v>
      </c>
      <c r="BF532" s="121">
        <v>14.1075</v>
      </c>
      <c r="BG532" s="121">
        <v>15.298999999999999</v>
      </c>
      <c r="BH532" s="121">
        <v>16.432499999999997</v>
      </c>
      <c r="BI532" s="121">
        <v>17.565999999999999</v>
      </c>
      <c r="BJ532" s="121">
        <v>18.660499999999999</v>
      </c>
      <c r="BK532" s="121">
        <v>19.754999999999999</v>
      </c>
      <c r="BL532" s="121">
        <v>20.8245</v>
      </c>
      <c r="BM532" s="121">
        <v>21.893999999999998</v>
      </c>
      <c r="BN532" s="121">
        <v>22.924499999999998</v>
      </c>
      <c r="BO532" s="121">
        <v>23.954999999999998</v>
      </c>
      <c r="BP532" s="121">
        <v>24.9925</v>
      </c>
      <c r="BQ532" s="121">
        <v>26.03</v>
      </c>
      <c r="BR532" s="121">
        <v>27.067500000000003</v>
      </c>
      <c r="BS532" s="121">
        <v>28.105</v>
      </c>
      <c r="BT532" s="121">
        <v>29.1035</v>
      </c>
      <c r="BU532" s="121">
        <v>30.102</v>
      </c>
      <c r="BV532" s="121">
        <v>31.075000000000003</v>
      </c>
      <c r="BW532" s="121">
        <v>32.048000000000002</v>
      </c>
      <c r="BX532" s="121">
        <v>33.046500000000002</v>
      </c>
      <c r="BY532" s="121">
        <v>34.045000000000002</v>
      </c>
      <c r="BZ532" s="121">
        <v>35.018000000000001</v>
      </c>
      <c r="CA532" s="121">
        <v>35.991</v>
      </c>
      <c r="CB532" s="121">
        <v>36.957999999999998</v>
      </c>
      <c r="CC532" s="121">
        <v>37.924999999999997</v>
      </c>
      <c r="CD532" s="121">
        <v>38.865499999999997</v>
      </c>
      <c r="CE532" s="121">
        <v>39.805999999999997</v>
      </c>
      <c r="CF532" s="121">
        <v>40.778999999999996</v>
      </c>
      <c r="CG532" s="121">
        <v>41.752000000000002</v>
      </c>
      <c r="CH532" s="121">
        <v>42.718500000000006</v>
      </c>
      <c r="CI532" s="121">
        <v>43.685000000000002</v>
      </c>
      <c r="CJ532" s="121">
        <v>44.594000000000001</v>
      </c>
      <c r="CK532" s="121">
        <v>45.503</v>
      </c>
      <c r="CL532" s="121">
        <f t="array" ref="CL532:CL552">TRANSPOSE(CM531:DG531)</f>
        <v>46.469499999999996</v>
      </c>
      <c r="CM532" s="158">
        <v>47.436</v>
      </c>
      <c r="CN532" s="120">
        <f>(CO532+CM532)/2</f>
        <v>48.345500000000001</v>
      </c>
      <c r="CO532" s="158">
        <v>49.255000000000003</v>
      </c>
      <c r="CP532" s="120">
        <f>(CQ532+CO532)/2</f>
        <v>50.156999999999996</v>
      </c>
      <c r="CQ532" s="158">
        <v>51.058999999999997</v>
      </c>
      <c r="CR532" s="120">
        <f>(CS532+CQ532)/2</f>
        <v>52.031999999999996</v>
      </c>
      <c r="CS532" s="158">
        <v>53.005000000000003</v>
      </c>
      <c r="CT532" s="120">
        <f>(CU532+CS532)/2</f>
        <v>53.907499999999999</v>
      </c>
      <c r="CU532" s="158">
        <v>54.81</v>
      </c>
      <c r="CV532" s="120">
        <f>(CW532+CU532)/2</f>
        <v>55.718500000000006</v>
      </c>
      <c r="CW532" s="158">
        <v>56.627000000000002</v>
      </c>
      <c r="CX532" s="120">
        <f>(CY532+CW532)/2</f>
        <v>57.536000000000001</v>
      </c>
      <c r="CY532" s="158">
        <v>58.445</v>
      </c>
      <c r="CZ532" s="120">
        <f>(DA532+CY532)/2</f>
        <v>59.347999999999999</v>
      </c>
      <c r="DA532" s="158">
        <v>60.250999999999998</v>
      </c>
      <c r="DB532" s="120">
        <f>(DC532+DA532)/2</f>
        <v>61.159499999999994</v>
      </c>
      <c r="DC532" s="158">
        <v>62.067999999999998</v>
      </c>
      <c r="DD532" s="120">
        <f>(DE532+DC532)/2</f>
        <v>62.970500000000001</v>
      </c>
      <c r="DE532" s="158">
        <v>63.872999999999998</v>
      </c>
      <c r="DF532" s="120">
        <f>(DG532+DE532)/2</f>
        <v>64.781999999999996</v>
      </c>
      <c r="DG532" s="159">
        <v>65.691000000000003</v>
      </c>
    </row>
    <row r="533" spans="54:111" ht="15" customHeight="1" x14ac:dyDescent="0.2">
      <c r="BB533" s="28">
        <v>41</v>
      </c>
      <c r="BC533" s="121">
        <v>10.51</v>
      </c>
      <c r="BD533" s="121">
        <v>11.830249999999999</v>
      </c>
      <c r="BE533" s="121">
        <v>13.150500000000001</v>
      </c>
      <c r="BF533" s="121">
        <v>14.3605</v>
      </c>
      <c r="BG533" s="121">
        <v>15.570499999999999</v>
      </c>
      <c r="BH533" s="121">
        <v>16.716249999999999</v>
      </c>
      <c r="BI533" s="121">
        <v>17.862000000000002</v>
      </c>
      <c r="BJ533" s="121">
        <v>18.991250000000001</v>
      </c>
      <c r="BK533" s="121">
        <v>20.1205</v>
      </c>
      <c r="BL533" s="121">
        <v>21.205249999999999</v>
      </c>
      <c r="BM533" s="121">
        <v>22.29</v>
      </c>
      <c r="BN533" s="121">
        <v>23.366500000000002</v>
      </c>
      <c r="BO533" s="121">
        <v>24.442999999999998</v>
      </c>
      <c r="BP533" s="121">
        <v>25.492750000000001</v>
      </c>
      <c r="BQ533" s="121">
        <v>26.5425</v>
      </c>
      <c r="BR533" s="121">
        <v>27.579000000000001</v>
      </c>
      <c r="BS533" s="121">
        <v>28.615500000000001</v>
      </c>
      <c r="BT533" s="121">
        <v>29.632750000000001</v>
      </c>
      <c r="BU533" s="121">
        <v>30.65</v>
      </c>
      <c r="BV533" s="121">
        <v>31.651250000000001</v>
      </c>
      <c r="BW533" s="121">
        <v>32.652500000000003</v>
      </c>
      <c r="BX533" s="121">
        <v>33.680750000000003</v>
      </c>
      <c r="BY533" s="121">
        <v>34.709000000000003</v>
      </c>
      <c r="BZ533" s="121">
        <v>35.697499999999998</v>
      </c>
      <c r="CA533" s="121">
        <v>36.686</v>
      </c>
      <c r="CB533" s="121">
        <v>37.66825</v>
      </c>
      <c r="CC533" s="121">
        <v>38.650499999999994</v>
      </c>
      <c r="CD533" s="121">
        <v>39.622749999999996</v>
      </c>
      <c r="CE533" s="121">
        <v>40.594999999999999</v>
      </c>
      <c r="CF533" s="121">
        <v>41.567499999999995</v>
      </c>
      <c r="CG533" s="121">
        <v>42.540000000000006</v>
      </c>
      <c r="CH533" s="121">
        <v>43.532750000000007</v>
      </c>
      <c r="CI533" s="121">
        <v>44.525500000000001</v>
      </c>
      <c r="CJ533" s="121">
        <v>45.481999999999999</v>
      </c>
      <c r="CK533" s="121">
        <v>46.438500000000005</v>
      </c>
      <c r="CL533" s="121">
        <v>47.391999999999996</v>
      </c>
      <c r="CM533" s="121">
        <f t="array" ref="CM533:CM552">TRANSPOSE(CN532:DG532)</f>
        <v>48.345500000000001</v>
      </c>
      <c r="CN533" s="120">
        <f>(CM533+CO533)/2</f>
        <v>49.298749999999998</v>
      </c>
      <c r="CO533" s="120">
        <f>(CO532+CO534)/2</f>
        <v>50.252000000000002</v>
      </c>
      <c r="CP533" s="120">
        <f>(CO533+CQ533)/2</f>
        <v>51.172750000000001</v>
      </c>
      <c r="CQ533" s="120">
        <f>(CQ532+CQ534)/2</f>
        <v>52.093499999999999</v>
      </c>
      <c r="CR533" s="120">
        <f>(CQ533+CS533)/2</f>
        <v>53.061</v>
      </c>
      <c r="CS533" s="120">
        <f>(CS532+CS534)/2</f>
        <v>54.028500000000001</v>
      </c>
      <c r="CT533" s="120">
        <f>(CS533+CU533)/2</f>
        <v>54.981750000000005</v>
      </c>
      <c r="CU533" s="120">
        <f>(CU532+CU534)/2</f>
        <v>55.935000000000002</v>
      </c>
      <c r="CV533" s="120">
        <f>(CU533+CW533)/2</f>
        <v>56.856000000000002</v>
      </c>
      <c r="CW533" s="120">
        <f>(CW532+CW534)/2</f>
        <v>57.777000000000001</v>
      </c>
      <c r="CX533" s="120">
        <f>(CW533+CY533)/2</f>
        <v>58.701250000000002</v>
      </c>
      <c r="CY533" s="120">
        <f>(CY532+CY534)/2</f>
        <v>59.625500000000002</v>
      </c>
      <c r="CZ533" s="120">
        <f>(CY533+DA533)/2</f>
        <v>60.546999999999997</v>
      </c>
      <c r="DA533" s="120">
        <f>(DA532+DA534)/2</f>
        <v>61.468499999999999</v>
      </c>
      <c r="DB533" s="120">
        <f>(DA533+DC533)/2</f>
        <v>62.40025</v>
      </c>
      <c r="DC533" s="120">
        <f>(DC532+DC534)/2</f>
        <v>63.332000000000001</v>
      </c>
      <c r="DD533" s="120">
        <f>(DC533+DE533)/2</f>
        <v>64.253249999999994</v>
      </c>
      <c r="DE533" s="120">
        <f>(DE532+DE534)/2</f>
        <v>65.174499999999995</v>
      </c>
      <c r="DF533" s="120">
        <f>(DE533+DG533)/2</f>
        <v>66.098749999999995</v>
      </c>
      <c r="DG533" s="122">
        <f>(DG532+DG534)/2</f>
        <v>67.022999999999996</v>
      </c>
    </row>
    <row r="534" spans="54:111" ht="15" customHeight="1" x14ac:dyDescent="0.2">
      <c r="BB534" s="28">
        <v>42</v>
      </c>
      <c r="BC534" s="121">
        <v>10.692</v>
      </c>
      <c r="BD534" s="121">
        <v>12.038499999999999</v>
      </c>
      <c r="BE534" s="121">
        <v>13.385</v>
      </c>
      <c r="BF534" s="121">
        <v>14.6135</v>
      </c>
      <c r="BG534" s="121">
        <v>15.842000000000001</v>
      </c>
      <c r="BH534" s="121">
        <v>17</v>
      </c>
      <c r="BI534" s="121">
        <v>18.158000000000001</v>
      </c>
      <c r="BJ534" s="121">
        <v>19.322000000000003</v>
      </c>
      <c r="BK534" s="121">
        <v>20.486000000000001</v>
      </c>
      <c r="BL534" s="121">
        <v>21.585999999999999</v>
      </c>
      <c r="BM534" s="121">
        <v>22.686</v>
      </c>
      <c r="BN534" s="121">
        <v>23.808500000000002</v>
      </c>
      <c r="BO534" s="121">
        <v>24.931000000000001</v>
      </c>
      <c r="BP534" s="121">
        <v>25.993000000000002</v>
      </c>
      <c r="BQ534" s="121">
        <v>27.055</v>
      </c>
      <c r="BR534" s="121">
        <v>28.090499999999999</v>
      </c>
      <c r="BS534" s="121">
        <v>29.126000000000001</v>
      </c>
      <c r="BT534" s="121">
        <v>30.161999999999999</v>
      </c>
      <c r="BU534" s="121">
        <v>31.198</v>
      </c>
      <c r="BV534" s="121">
        <v>32.227499999999999</v>
      </c>
      <c r="BW534" s="121">
        <v>33.256999999999998</v>
      </c>
      <c r="BX534" s="121">
        <v>34.314999999999998</v>
      </c>
      <c r="BY534" s="121">
        <v>35.372999999999998</v>
      </c>
      <c r="BZ534" s="121">
        <v>36.376999999999995</v>
      </c>
      <c r="CA534" s="121">
        <v>37.381</v>
      </c>
      <c r="CB534" s="121">
        <v>38.378500000000003</v>
      </c>
      <c r="CC534" s="121">
        <v>39.375999999999998</v>
      </c>
      <c r="CD534" s="121">
        <v>40.379999999999995</v>
      </c>
      <c r="CE534" s="121">
        <v>41.384</v>
      </c>
      <c r="CF534" s="121">
        <v>42.356000000000002</v>
      </c>
      <c r="CG534" s="121">
        <v>43.328000000000003</v>
      </c>
      <c r="CH534" s="121">
        <v>44.347000000000001</v>
      </c>
      <c r="CI534" s="121">
        <v>45.366</v>
      </c>
      <c r="CJ534" s="121">
        <v>46.370000000000005</v>
      </c>
      <c r="CK534" s="121">
        <v>47.374000000000002</v>
      </c>
      <c r="CL534" s="121">
        <v>48.314500000000002</v>
      </c>
      <c r="CM534" s="121">
        <v>49.255000000000003</v>
      </c>
      <c r="CN534" s="121">
        <f t="array" ref="CN534:CN552">TRANSPOSE(CO533:DG533)</f>
        <v>50.252000000000002</v>
      </c>
      <c r="CO534" s="158">
        <v>51.249000000000002</v>
      </c>
      <c r="CP534" s="120">
        <f>(CQ534+CO534)/2</f>
        <v>52.188500000000005</v>
      </c>
      <c r="CQ534" s="158">
        <v>53.128</v>
      </c>
      <c r="CR534" s="120">
        <f>(CS534+CQ534)/2</f>
        <v>54.09</v>
      </c>
      <c r="CS534" s="158">
        <v>55.052</v>
      </c>
      <c r="CT534" s="120">
        <f>(CU534+CS534)/2</f>
        <v>56.055999999999997</v>
      </c>
      <c r="CU534" s="158">
        <v>57.06</v>
      </c>
      <c r="CV534" s="120">
        <f>(CW534+CU534)/2</f>
        <v>57.993499999999997</v>
      </c>
      <c r="CW534" s="158">
        <v>58.927</v>
      </c>
      <c r="CX534" s="120">
        <f>(CY534+CW534)/2</f>
        <v>59.866500000000002</v>
      </c>
      <c r="CY534" s="158">
        <v>60.805999999999997</v>
      </c>
      <c r="CZ534" s="120">
        <f>(DA534+CY534)/2</f>
        <v>61.745999999999995</v>
      </c>
      <c r="DA534" s="158">
        <v>62.686</v>
      </c>
      <c r="DB534" s="120">
        <f>(DC534+DA534)/2</f>
        <v>63.641000000000005</v>
      </c>
      <c r="DC534" s="158">
        <v>64.596000000000004</v>
      </c>
      <c r="DD534" s="120">
        <f>(DE534+DC534)/2</f>
        <v>65.536000000000001</v>
      </c>
      <c r="DE534" s="158">
        <v>66.475999999999999</v>
      </c>
      <c r="DF534" s="120">
        <f>(DG534+DE534)/2</f>
        <v>67.415500000000009</v>
      </c>
      <c r="DG534" s="159">
        <v>68.355000000000004</v>
      </c>
    </row>
    <row r="535" spans="54:111" ht="15" customHeight="1" x14ac:dyDescent="0.2">
      <c r="BB535" s="28">
        <v>43</v>
      </c>
      <c r="BC535" s="121">
        <v>10.9015</v>
      </c>
      <c r="BD535" s="121">
        <v>12.249499999999999</v>
      </c>
      <c r="BE535" s="121">
        <v>13.5975</v>
      </c>
      <c r="BF535" s="121">
        <v>14.852499999999999</v>
      </c>
      <c r="BG535" s="121">
        <v>16.107500000000002</v>
      </c>
      <c r="BH535" s="121">
        <v>17.3</v>
      </c>
      <c r="BI535" s="121">
        <v>18.4925</v>
      </c>
      <c r="BJ535" s="121">
        <v>19.656000000000002</v>
      </c>
      <c r="BK535" s="121">
        <v>20.819499999999998</v>
      </c>
      <c r="BL535" s="121">
        <v>21.962</v>
      </c>
      <c r="BM535" s="121">
        <v>23.104500000000002</v>
      </c>
      <c r="BN535" s="121">
        <v>24.231250000000003</v>
      </c>
      <c r="BO535" s="121">
        <v>25.358000000000001</v>
      </c>
      <c r="BP535" s="121">
        <v>26.446249999999999</v>
      </c>
      <c r="BQ535" s="121">
        <v>27.534500000000001</v>
      </c>
      <c r="BR535" s="121">
        <v>28.602</v>
      </c>
      <c r="BS535" s="121">
        <v>29.669499999999999</v>
      </c>
      <c r="BT535" s="121">
        <v>30.720749999999999</v>
      </c>
      <c r="BU535" s="121">
        <v>31.771999999999998</v>
      </c>
      <c r="BV535" s="121">
        <v>32.831249999999997</v>
      </c>
      <c r="BW535" s="121">
        <v>33.890500000000003</v>
      </c>
      <c r="BX535" s="121">
        <v>34.952749999999995</v>
      </c>
      <c r="BY535" s="121">
        <v>36.015000000000001</v>
      </c>
      <c r="BZ535" s="121">
        <v>37.042499999999997</v>
      </c>
      <c r="CA535" s="121">
        <v>38.07</v>
      </c>
      <c r="CB535" s="121">
        <v>39.085999999999999</v>
      </c>
      <c r="CC535" s="121">
        <v>40.102000000000004</v>
      </c>
      <c r="CD535" s="121">
        <v>41.121499999999997</v>
      </c>
      <c r="CE535" s="121">
        <v>42.141000000000005</v>
      </c>
      <c r="CF535" s="121">
        <v>43.155250000000002</v>
      </c>
      <c r="CG535" s="121">
        <v>44.169499999999999</v>
      </c>
      <c r="CH535" s="121">
        <v>45.180500000000002</v>
      </c>
      <c r="CI535" s="121">
        <v>46.191500000000005</v>
      </c>
      <c r="CJ535" s="121">
        <v>47.222000000000001</v>
      </c>
      <c r="CK535" s="121">
        <v>48.252499999999998</v>
      </c>
      <c r="CL535" s="121">
        <v>49.204750000000004</v>
      </c>
      <c r="CM535" s="121">
        <v>50.156999999999996</v>
      </c>
      <c r="CN535" s="121">
        <v>51.172750000000001</v>
      </c>
      <c r="CO535" s="121">
        <f t="array" ref="CO535:CO552">TRANSPOSE(CP534:DG534)</f>
        <v>52.188500000000005</v>
      </c>
      <c r="CP535" s="120">
        <f>(CO535+CQ535)/2</f>
        <v>53.15475</v>
      </c>
      <c r="CQ535" s="120">
        <f>(CQ534+CQ536)/2</f>
        <v>54.120999999999995</v>
      </c>
      <c r="CR535" s="120">
        <f>(CQ535+CS535)/2</f>
        <v>55.119249999999994</v>
      </c>
      <c r="CS535" s="120">
        <f>(CS534+CS536)/2</f>
        <v>56.1175</v>
      </c>
      <c r="CT535" s="120">
        <f>(CS535+CU535)/2</f>
        <v>57.116</v>
      </c>
      <c r="CU535" s="120">
        <f>(CU534+CU536)/2</f>
        <v>58.1145</v>
      </c>
      <c r="CV535" s="120">
        <f>(CU535+CW535)/2</f>
        <v>59.063249999999996</v>
      </c>
      <c r="CW535" s="120">
        <f>(CW534+CW536)/2</f>
        <v>60.012</v>
      </c>
      <c r="CX535" s="120">
        <f>(CW535+CY535)/2</f>
        <v>60.999250000000004</v>
      </c>
      <c r="CY535" s="120">
        <f>(CY534+CY536)/2</f>
        <v>61.986499999999999</v>
      </c>
      <c r="CZ535" s="120">
        <f>(CY535+DA535)/2</f>
        <v>62.952749999999995</v>
      </c>
      <c r="DA535" s="120">
        <f>(DA534+DA536)/2</f>
        <v>63.918999999999997</v>
      </c>
      <c r="DB535" s="120">
        <f>(DA535+DC535)/2</f>
        <v>64.881750000000011</v>
      </c>
      <c r="DC535" s="120">
        <f>(DC534+DC536)/2</f>
        <v>65.844500000000011</v>
      </c>
      <c r="DD535" s="120">
        <f>(DC535+DE535)/2</f>
        <v>66.811000000000007</v>
      </c>
      <c r="DE535" s="120">
        <f>(DE534+DE536)/2</f>
        <v>67.777500000000003</v>
      </c>
      <c r="DF535" s="120">
        <f>(DE535+DG535)/2</f>
        <v>68.729250000000008</v>
      </c>
      <c r="DG535" s="122">
        <f>(DG534+DG536)/2</f>
        <v>69.681000000000012</v>
      </c>
    </row>
    <row r="536" spans="54:111" ht="15" customHeight="1" x14ac:dyDescent="0.2">
      <c r="BB536" s="28">
        <v>44</v>
      </c>
      <c r="BC536" s="121">
        <v>11.111000000000001</v>
      </c>
      <c r="BD536" s="121">
        <v>12.4605</v>
      </c>
      <c r="BE536" s="121">
        <v>13.81</v>
      </c>
      <c r="BF536" s="121">
        <v>15.0915</v>
      </c>
      <c r="BG536" s="121">
        <v>16.373000000000001</v>
      </c>
      <c r="BH536" s="121">
        <v>17.600000000000001</v>
      </c>
      <c r="BI536" s="121">
        <v>18.827000000000002</v>
      </c>
      <c r="BJ536" s="121">
        <v>19.990000000000002</v>
      </c>
      <c r="BK536" s="121">
        <v>21.152999999999999</v>
      </c>
      <c r="BL536" s="121">
        <v>22.338000000000001</v>
      </c>
      <c r="BM536" s="121">
        <v>23.523</v>
      </c>
      <c r="BN536" s="121">
        <v>24.654</v>
      </c>
      <c r="BO536" s="121">
        <v>25.785</v>
      </c>
      <c r="BP536" s="121">
        <v>26.8995</v>
      </c>
      <c r="BQ536" s="121">
        <v>28.013999999999999</v>
      </c>
      <c r="BR536" s="121">
        <v>29.113500000000002</v>
      </c>
      <c r="BS536" s="121">
        <v>30.213000000000001</v>
      </c>
      <c r="BT536" s="121">
        <v>31.279499999999999</v>
      </c>
      <c r="BU536" s="121">
        <v>32.345999999999997</v>
      </c>
      <c r="BV536" s="121">
        <v>33.435000000000002</v>
      </c>
      <c r="BW536" s="121">
        <v>34.524000000000001</v>
      </c>
      <c r="BX536" s="121">
        <v>35.590499999999999</v>
      </c>
      <c r="BY536" s="121">
        <v>36.656999999999996</v>
      </c>
      <c r="BZ536" s="121">
        <v>37.707999999999998</v>
      </c>
      <c r="CA536" s="121">
        <v>38.759</v>
      </c>
      <c r="CB536" s="121">
        <v>39.793500000000002</v>
      </c>
      <c r="CC536" s="121">
        <v>40.828000000000003</v>
      </c>
      <c r="CD536" s="121">
        <v>41.863</v>
      </c>
      <c r="CE536" s="121">
        <v>42.898000000000003</v>
      </c>
      <c r="CF536" s="121">
        <v>43.954500000000003</v>
      </c>
      <c r="CG536" s="121">
        <v>45.011000000000003</v>
      </c>
      <c r="CH536" s="121">
        <v>46.014000000000003</v>
      </c>
      <c r="CI536" s="121">
        <v>47.017000000000003</v>
      </c>
      <c r="CJ536" s="121">
        <v>48.073999999999998</v>
      </c>
      <c r="CK536" s="121">
        <v>49.131</v>
      </c>
      <c r="CL536" s="121">
        <v>50.094999999999999</v>
      </c>
      <c r="CM536" s="121">
        <v>51.058999999999997</v>
      </c>
      <c r="CN536" s="121">
        <v>52.093499999999999</v>
      </c>
      <c r="CO536" s="121">
        <v>53.128</v>
      </c>
      <c r="CP536" s="121">
        <f t="array" ref="CP536:CP552">TRANSPOSE(CQ535:DG535)</f>
        <v>54.120999999999995</v>
      </c>
      <c r="CQ536" s="158">
        <v>55.113999999999997</v>
      </c>
      <c r="CR536" s="121">
        <f>CS535</f>
        <v>56.1175</v>
      </c>
      <c r="CS536" s="158">
        <v>57.183</v>
      </c>
      <c r="CT536" s="121">
        <f>CU535</f>
        <v>58.1145</v>
      </c>
      <c r="CU536" s="158">
        <v>59.168999999999997</v>
      </c>
      <c r="CV536" s="121">
        <f>CW535</f>
        <v>60.012</v>
      </c>
      <c r="CW536" s="158">
        <v>61.097000000000001</v>
      </c>
      <c r="CX536" s="121">
        <f>CY535</f>
        <v>61.986499999999999</v>
      </c>
      <c r="CY536" s="158">
        <v>63.167000000000002</v>
      </c>
      <c r="CZ536" s="121">
        <f>DA535</f>
        <v>63.918999999999997</v>
      </c>
      <c r="DA536" s="158">
        <v>65.152000000000001</v>
      </c>
      <c r="DB536" s="121">
        <f>DC535</f>
        <v>65.844500000000011</v>
      </c>
      <c r="DC536" s="158">
        <v>67.093000000000004</v>
      </c>
      <c r="DD536" s="121">
        <f>DE535</f>
        <v>67.777500000000003</v>
      </c>
      <c r="DE536" s="158">
        <v>69.078999999999994</v>
      </c>
      <c r="DF536" s="121">
        <f>DG535</f>
        <v>69.681000000000012</v>
      </c>
      <c r="DG536" s="159">
        <v>71.007000000000005</v>
      </c>
    </row>
    <row r="537" spans="54:111" ht="15" customHeight="1" x14ac:dyDescent="0.2">
      <c r="BB537" s="28">
        <v>45</v>
      </c>
      <c r="BC537" s="121">
        <v>11.260000000000002</v>
      </c>
      <c r="BD537" s="121">
        <v>12.655250000000001</v>
      </c>
      <c r="BE537" s="121">
        <v>14.0505</v>
      </c>
      <c r="BF537" s="121">
        <v>15.352499999999999</v>
      </c>
      <c r="BG537" s="121">
        <v>16.654499999999999</v>
      </c>
      <c r="BH537" s="121">
        <v>17.891999999999999</v>
      </c>
      <c r="BI537" s="121">
        <v>19.1295</v>
      </c>
      <c r="BJ537" s="121">
        <v>20.335000000000001</v>
      </c>
      <c r="BK537" s="121">
        <v>21.540500000000002</v>
      </c>
      <c r="BL537" s="121">
        <v>22.729750000000003</v>
      </c>
      <c r="BM537" s="121">
        <v>23.919</v>
      </c>
      <c r="BN537" s="121">
        <v>25.076999999999998</v>
      </c>
      <c r="BO537" s="121">
        <v>26.234999999999999</v>
      </c>
      <c r="BP537" s="121">
        <v>27.353749999999998</v>
      </c>
      <c r="BQ537" s="121">
        <v>28.4725</v>
      </c>
      <c r="BR537" s="121">
        <v>29.598000000000003</v>
      </c>
      <c r="BS537" s="121">
        <v>30.723500000000001</v>
      </c>
      <c r="BT537" s="121">
        <v>31.8325</v>
      </c>
      <c r="BU537" s="121">
        <v>32.941499999999998</v>
      </c>
      <c r="BV537" s="121">
        <v>34.035250000000005</v>
      </c>
      <c r="BW537" s="121">
        <v>35.129000000000005</v>
      </c>
      <c r="BX537" s="121">
        <v>36.206000000000003</v>
      </c>
      <c r="BY537" s="121">
        <v>37.283000000000001</v>
      </c>
      <c r="BZ537" s="121">
        <v>38.357500000000002</v>
      </c>
      <c r="CA537" s="121">
        <v>39.432000000000002</v>
      </c>
      <c r="CB537" s="121">
        <v>40.493250000000003</v>
      </c>
      <c r="CC537" s="121">
        <v>41.554500000000004</v>
      </c>
      <c r="CD537" s="121">
        <v>42.615499999999997</v>
      </c>
      <c r="CE537" s="121">
        <v>43.676500000000004</v>
      </c>
      <c r="CF537" s="121">
        <v>44.737499999999997</v>
      </c>
      <c r="CG537" s="121">
        <v>45.798500000000004</v>
      </c>
      <c r="CH537" s="121">
        <v>46.828000000000003</v>
      </c>
      <c r="CI537" s="121">
        <v>47.857500000000002</v>
      </c>
      <c r="CJ537" s="121">
        <v>48.918999999999997</v>
      </c>
      <c r="CK537" s="121">
        <v>49.980499999999999</v>
      </c>
      <c r="CL537" s="121">
        <v>51.006250000000001</v>
      </c>
      <c r="CM537" s="121">
        <v>52.031999999999996</v>
      </c>
      <c r="CN537" s="121">
        <v>53.061</v>
      </c>
      <c r="CO537" s="121">
        <v>54.09</v>
      </c>
      <c r="CP537" s="121">
        <v>55.119249999999994</v>
      </c>
      <c r="CQ537" s="121">
        <f t="array" ref="CQ537:CQ552">TRANSPOSE(CR536:DG536)</f>
        <v>56.1175</v>
      </c>
      <c r="CR537" s="120">
        <f>(CQ537+CS537)/2</f>
        <v>57.16225</v>
      </c>
      <c r="CS537" s="120">
        <f>(CS536+CS538)/2</f>
        <v>58.207000000000001</v>
      </c>
      <c r="CT537" s="120">
        <f>(CS537+CU537)/2</f>
        <v>59.236249999999998</v>
      </c>
      <c r="CU537" s="120">
        <f>(CU536+CU538)/2</f>
        <v>60.265500000000003</v>
      </c>
      <c r="CV537" s="120">
        <f>(CU537+CW537)/2</f>
        <v>61.259250000000002</v>
      </c>
      <c r="CW537" s="120">
        <f>(CW536+CW538)/2</f>
        <v>62.253</v>
      </c>
      <c r="CX537" s="120">
        <f>(CW537+CY537)/2</f>
        <v>63.282249999999998</v>
      </c>
      <c r="CY537" s="120">
        <f>(CY536+CY538)/2</f>
        <v>64.311499999999995</v>
      </c>
      <c r="CZ537" s="120">
        <f>(CY537+DA537)/2</f>
        <v>65.337500000000006</v>
      </c>
      <c r="DA537" s="120">
        <f>(DA536+DA538)/2</f>
        <v>66.363500000000002</v>
      </c>
      <c r="DB537" s="120">
        <f>(DA537+DC537)/2</f>
        <v>67.360500000000002</v>
      </c>
      <c r="DC537" s="120">
        <f>(DC536+DC538)/2</f>
        <v>68.357500000000002</v>
      </c>
      <c r="DD537" s="120">
        <f>(DC537+DE537)/2</f>
        <v>69.354749999999996</v>
      </c>
      <c r="DE537" s="120">
        <f>(DE536+DE538)/2</f>
        <v>70.352000000000004</v>
      </c>
      <c r="DF537" s="120">
        <f>(DE537+DG537)/2</f>
        <v>71.345500000000001</v>
      </c>
      <c r="DG537" s="122">
        <f>(DG536+DG538)/2</f>
        <v>72.338999999999999</v>
      </c>
    </row>
    <row r="538" spans="54:111" ht="15" customHeight="1" x14ac:dyDescent="0.2">
      <c r="BB538" s="28">
        <v>46</v>
      </c>
      <c r="BC538" s="121">
        <v>11.409000000000001</v>
      </c>
      <c r="BD538" s="121">
        <v>12.850000000000001</v>
      </c>
      <c r="BE538" s="121">
        <v>14.291</v>
      </c>
      <c r="BF538" s="121">
        <v>15.6135</v>
      </c>
      <c r="BG538" s="121">
        <v>16.936</v>
      </c>
      <c r="BH538" s="121">
        <v>18.183999999999997</v>
      </c>
      <c r="BI538" s="121">
        <v>19.431999999999999</v>
      </c>
      <c r="BJ538" s="121">
        <v>20.68</v>
      </c>
      <c r="BK538" s="121">
        <v>21.928000000000001</v>
      </c>
      <c r="BL538" s="121">
        <v>23.121500000000001</v>
      </c>
      <c r="BM538" s="121">
        <v>24.315000000000001</v>
      </c>
      <c r="BN538" s="121">
        <v>25.5</v>
      </c>
      <c r="BO538" s="121">
        <v>26.684999999999999</v>
      </c>
      <c r="BP538" s="121">
        <v>27.808</v>
      </c>
      <c r="BQ538" s="121">
        <v>28.931000000000001</v>
      </c>
      <c r="BR538" s="121">
        <v>30.082500000000003</v>
      </c>
      <c r="BS538" s="121">
        <v>31.234000000000002</v>
      </c>
      <c r="BT538" s="121">
        <v>32.3855</v>
      </c>
      <c r="BU538" s="121">
        <v>33.536999999999999</v>
      </c>
      <c r="BV538" s="121">
        <v>34.6355</v>
      </c>
      <c r="BW538" s="121">
        <v>35.734000000000002</v>
      </c>
      <c r="BX538" s="121">
        <v>36.8215</v>
      </c>
      <c r="BY538" s="121">
        <v>37.908999999999999</v>
      </c>
      <c r="BZ538" s="121">
        <v>39.006999999999998</v>
      </c>
      <c r="CA538" s="121">
        <v>40.104999999999997</v>
      </c>
      <c r="CB538" s="121">
        <v>41.192999999999998</v>
      </c>
      <c r="CC538" s="121">
        <v>42.280999999999999</v>
      </c>
      <c r="CD538" s="121">
        <v>43.367999999999995</v>
      </c>
      <c r="CE538" s="121">
        <v>44.454999999999998</v>
      </c>
      <c r="CF538" s="121">
        <v>45.520499999999998</v>
      </c>
      <c r="CG538" s="121">
        <v>46.585999999999999</v>
      </c>
      <c r="CH538" s="121">
        <v>47.641999999999996</v>
      </c>
      <c r="CI538" s="121">
        <v>48.698</v>
      </c>
      <c r="CJ538" s="121">
        <v>49.763999999999996</v>
      </c>
      <c r="CK538" s="121">
        <v>50.83</v>
      </c>
      <c r="CL538" s="121">
        <v>51.917500000000004</v>
      </c>
      <c r="CM538" s="121">
        <v>53.005000000000003</v>
      </c>
      <c r="CN538" s="121">
        <v>54.028500000000001</v>
      </c>
      <c r="CO538" s="121">
        <v>55.052</v>
      </c>
      <c r="CP538" s="121">
        <v>56.1175</v>
      </c>
      <c r="CQ538" s="121">
        <v>57.183</v>
      </c>
      <c r="CR538" s="150">
        <f t="array" ref="CR538:CR552">TRANSPOSE(CS537:DG537)</f>
        <v>58.207000000000001</v>
      </c>
      <c r="CS538" s="158">
        <v>59.231000000000002</v>
      </c>
      <c r="CT538" s="121">
        <f>CU537</f>
        <v>60.265500000000003</v>
      </c>
      <c r="CU538" s="158">
        <v>61.362000000000002</v>
      </c>
      <c r="CV538" s="121">
        <f>CW537</f>
        <v>62.253</v>
      </c>
      <c r="CW538" s="158">
        <v>63.408999999999999</v>
      </c>
      <c r="CX538" s="121">
        <f>CY537</f>
        <v>64.311499999999995</v>
      </c>
      <c r="CY538" s="158">
        <v>65.456000000000003</v>
      </c>
      <c r="CZ538" s="121">
        <f>DA537</f>
        <v>66.363500000000002</v>
      </c>
      <c r="DA538" s="158">
        <v>67.575000000000003</v>
      </c>
      <c r="DB538" s="121">
        <f>DC537</f>
        <v>68.357500000000002</v>
      </c>
      <c r="DC538" s="158">
        <v>69.622</v>
      </c>
      <c r="DD538" s="121">
        <f>DE537</f>
        <v>70.352000000000004</v>
      </c>
      <c r="DE538" s="158">
        <v>71.625</v>
      </c>
      <c r="DF538" s="121">
        <f>DG537</f>
        <v>72.338999999999999</v>
      </c>
      <c r="DG538" s="159">
        <v>73.671000000000006</v>
      </c>
    </row>
    <row r="539" spans="54:111" ht="15" customHeight="1" x14ac:dyDescent="0.2">
      <c r="BB539" s="28">
        <v>47</v>
      </c>
      <c r="BC539" s="121">
        <v>11.612</v>
      </c>
      <c r="BD539" s="121">
        <v>13.057500000000001</v>
      </c>
      <c r="BE539" s="121">
        <v>14.503</v>
      </c>
      <c r="BF539" s="121">
        <v>15.851749999999999</v>
      </c>
      <c r="BG539" s="121">
        <v>17.200499999999998</v>
      </c>
      <c r="BH539" s="121">
        <v>18.479999999999997</v>
      </c>
      <c r="BI539" s="121">
        <v>19.759499999999999</v>
      </c>
      <c r="BJ539" s="121">
        <v>21.023</v>
      </c>
      <c r="BK539" s="121">
        <v>22.2865</v>
      </c>
      <c r="BL539" s="121">
        <v>23.509999999999998</v>
      </c>
      <c r="BM539" s="121">
        <v>24.733499999999999</v>
      </c>
      <c r="BN539" s="121">
        <v>25.922750000000001</v>
      </c>
      <c r="BO539" s="121">
        <v>27.112000000000002</v>
      </c>
      <c r="BP539" s="121">
        <v>28.264749999999999</v>
      </c>
      <c r="BQ539" s="121">
        <v>29.4175</v>
      </c>
      <c r="BR539" s="121">
        <v>30.584750000000003</v>
      </c>
      <c r="BS539" s="121">
        <v>31.752000000000002</v>
      </c>
      <c r="BT539" s="121">
        <v>32.918999999999997</v>
      </c>
      <c r="BU539" s="121">
        <v>34.085999999999999</v>
      </c>
      <c r="BV539" s="121">
        <v>35.210750000000004</v>
      </c>
      <c r="BW539" s="121">
        <v>36.335499999999996</v>
      </c>
      <c r="BX539" s="121">
        <v>37.4435</v>
      </c>
      <c r="BY539" s="121">
        <v>38.551500000000004</v>
      </c>
      <c r="BZ539" s="121">
        <v>39.675749999999994</v>
      </c>
      <c r="CA539" s="121">
        <v>40.799999999999997</v>
      </c>
      <c r="CB539" s="121">
        <v>41.90325</v>
      </c>
      <c r="CC539" s="121">
        <v>43.006500000000003</v>
      </c>
      <c r="CD539" s="121">
        <v>44.109249999999996</v>
      </c>
      <c r="CE539" s="121">
        <v>45.212000000000003</v>
      </c>
      <c r="CF539" s="121">
        <v>46.304249999999996</v>
      </c>
      <c r="CG539" s="121">
        <v>47.396500000000003</v>
      </c>
      <c r="CH539" s="121">
        <v>48.45675</v>
      </c>
      <c r="CI539" s="121">
        <v>49.516999999999996</v>
      </c>
      <c r="CJ539" s="121">
        <v>50.609249999999996</v>
      </c>
      <c r="CK539" s="121">
        <v>51.701499999999996</v>
      </c>
      <c r="CL539" s="121">
        <v>52.804500000000004</v>
      </c>
      <c r="CM539" s="121">
        <v>53.907499999999999</v>
      </c>
      <c r="CN539" s="121">
        <v>54.981750000000005</v>
      </c>
      <c r="CO539" s="121">
        <v>56.055999999999997</v>
      </c>
      <c r="CP539" s="121">
        <v>57.116</v>
      </c>
      <c r="CQ539" s="121">
        <v>58.1145</v>
      </c>
      <c r="CR539" s="160">
        <v>59.236249999999998</v>
      </c>
      <c r="CS539" s="160">
        <f t="array" ref="CS539:CS552">TRANSPOSE(CT538:DG538)</f>
        <v>60.265500000000003</v>
      </c>
      <c r="CT539" s="120">
        <f>(CS539+CU539)/2</f>
        <v>61.341000000000001</v>
      </c>
      <c r="CU539" s="120">
        <f>(CU538+CU540)/2</f>
        <v>62.416499999999999</v>
      </c>
      <c r="CV539" s="120">
        <f>(CU539+CW539)/2</f>
        <v>63.455500000000001</v>
      </c>
      <c r="CW539" s="120">
        <f>(CW538+CW540)/2</f>
        <v>64.494500000000002</v>
      </c>
      <c r="CX539" s="120">
        <f>(CW539+CY539)/2</f>
        <v>65.5655</v>
      </c>
      <c r="CY539" s="120">
        <f>(CY538+CY540)/2</f>
        <v>66.636499999999998</v>
      </c>
      <c r="CZ539" s="120">
        <f>(CY539+DA539)/2</f>
        <v>67.6935</v>
      </c>
      <c r="DA539" s="120">
        <f>(DA538+DA540)/2</f>
        <v>68.750500000000002</v>
      </c>
      <c r="DB539" s="120">
        <f>(DA539+DC539)/2</f>
        <v>69.778500000000008</v>
      </c>
      <c r="DC539" s="120">
        <f>(DC538+DC540)/2</f>
        <v>70.8065</v>
      </c>
      <c r="DD539" s="120">
        <f>(DC539+DE539)/2</f>
        <v>71.866500000000002</v>
      </c>
      <c r="DE539" s="120">
        <f>(DE538+DE540)/2</f>
        <v>72.926500000000004</v>
      </c>
      <c r="DF539" s="120">
        <f>(DE539+DG539)/2</f>
        <v>73.965000000000003</v>
      </c>
      <c r="DG539" s="122">
        <f>(DG538+DG540)/2</f>
        <v>75.003500000000003</v>
      </c>
    </row>
    <row r="540" spans="54:111" ht="15" customHeight="1" x14ac:dyDescent="0.2">
      <c r="BB540" s="28">
        <v>48</v>
      </c>
      <c r="BC540" s="121">
        <v>11.815</v>
      </c>
      <c r="BD540" s="121">
        <v>13.265000000000001</v>
      </c>
      <c r="BE540" s="121">
        <v>14.715</v>
      </c>
      <c r="BF540" s="121">
        <v>16.09</v>
      </c>
      <c r="BG540" s="121">
        <v>17.465</v>
      </c>
      <c r="BH540" s="121">
        <v>18.776</v>
      </c>
      <c r="BI540" s="121">
        <v>20.087</v>
      </c>
      <c r="BJ540" s="121">
        <v>21.366</v>
      </c>
      <c r="BK540" s="121">
        <v>22.645</v>
      </c>
      <c r="BL540" s="121">
        <v>23.898499999999999</v>
      </c>
      <c r="BM540" s="121">
        <v>25.152000000000001</v>
      </c>
      <c r="BN540" s="121">
        <v>26.345500000000001</v>
      </c>
      <c r="BO540" s="121">
        <v>27.539000000000001</v>
      </c>
      <c r="BP540" s="121">
        <v>28.721499999999999</v>
      </c>
      <c r="BQ540" s="121">
        <v>29.904</v>
      </c>
      <c r="BR540" s="121">
        <v>31.087000000000003</v>
      </c>
      <c r="BS540" s="121">
        <v>32.270000000000003</v>
      </c>
      <c r="BT540" s="121">
        <v>33.452500000000001</v>
      </c>
      <c r="BU540" s="121">
        <v>34.634999999999998</v>
      </c>
      <c r="BV540" s="121">
        <v>35.786000000000001</v>
      </c>
      <c r="BW540" s="121">
        <v>36.936999999999998</v>
      </c>
      <c r="BX540" s="121">
        <v>38.0655</v>
      </c>
      <c r="BY540" s="121">
        <v>39.194000000000003</v>
      </c>
      <c r="BZ540" s="121">
        <v>40.344499999999996</v>
      </c>
      <c r="CA540" s="121">
        <v>41.494999999999997</v>
      </c>
      <c r="CB540" s="121">
        <v>42.613500000000002</v>
      </c>
      <c r="CC540" s="121">
        <v>43.731999999999999</v>
      </c>
      <c r="CD540" s="121">
        <v>44.850499999999997</v>
      </c>
      <c r="CE540" s="121">
        <v>45.969000000000001</v>
      </c>
      <c r="CF540" s="121">
        <v>47.088000000000001</v>
      </c>
      <c r="CG540" s="121">
        <v>48.207000000000001</v>
      </c>
      <c r="CH540" s="121">
        <v>49.271500000000003</v>
      </c>
      <c r="CI540" s="121">
        <v>50.335999999999999</v>
      </c>
      <c r="CJ540" s="121">
        <v>51.454499999999996</v>
      </c>
      <c r="CK540" s="121">
        <v>52.573</v>
      </c>
      <c r="CL540" s="121">
        <v>53.691500000000005</v>
      </c>
      <c r="CM540" s="121">
        <v>54.81</v>
      </c>
      <c r="CN540" s="121">
        <v>55.935000000000002</v>
      </c>
      <c r="CO540" s="121">
        <v>57.06</v>
      </c>
      <c r="CP540" s="121">
        <v>58.1145</v>
      </c>
      <c r="CQ540" s="121">
        <v>59.168999999999997</v>
      </c>
      <c r="CR540" s="160">
        <v>60.265500000000003</v>
      </c>
      <c r="CS540" s="160">
        <v>61.362000000000002</v>
      </c>
      <c r="CT540" s="121">
        <f t="array" ref="CT540:CT552">TRANSPOSE(CU539:DG539)</f>
        <v>62.416499999999999</v>
      </c>
      <c r="CU540" s="158">
        <v>63.470999999999997</v>
      </c>
      <c r="CV540" s="121">
        <f>CW539</f>
        <v>64.494500000000002</v>
      </c>
      <c r="CW540" s="158">
        <v>65.58</v>
      </c>
      <c r="CX540" s="121">
        <f>CY539</f>
        <v>66.636499999999998</v>
      </c>
      <c r="CY540" s="158">
        <v>67.816999999999993</v>
      </c>
      <c r="CZ540" s="121">
        <f>DA539</f>
        <v>68.750500000000002</v>
      </c>
      <c r="DA540" s="158">
        <v>69.926000000000002</v>
      </c>
      <c r="DB540" s="121">
        <f>DC539</f>
        <v>70.8065</v>
      </c>
      <c r="DC540" s="158">
        <v>71.991</v>
      </c>
      <c r="DD540" s="121">
        <f>DE539</f>
        <v>72.926500000000004</v>
      </c>
      <c r="DE540" s="158">
        <v>74.227999999999994</v>
      </c>
      <c r="DF540" s="121">
        <f>DG539</f>
        <v>75.003500000000003</v>
      </c>
      <c r="DG540" s="159">
        <v>76.335999999999999</v>
      </c>
    </row>
    <row r="541" spans="54:111" ht="15" customHeight="1" x14ac:dyDescent="0.2">
      <c r="BB541" s="28">
        <v>49</v>
      </c>
      <c r="BC541" s="121">
        <v>11.965</v>
      </c>
      <c r="BD541" s="121">
        <v>13.46025</v>
      </c>
      <c r="BE541" s="121">
        <v>14.955500000000001</v>
      </c>
      <c r="BF541" s="121">
        <v>16.346249999999998</v>
      </c>
      <c r="BG541" s="121">
        <v>17.737000000000002</v>
      </c>
      <c r="BH541" s="121">
        <v>19.063499999999998</v>
      </c>
      <c r="BI541" s="121">
        <v>20.39</v>
      </c>
      <c r="BJ541" s="121">
        <v>21.684249999999999</v>
      </c>
      <c r="BK541" s="121">
        <v>22.9785</v>
      </c>
      <c r="BL541" s="121">
        <v>24.244499999999999</v>
      </c>
      <c r="BM541" s="121">
        <v>25.5105</v>
      </c>
      <c r="BN541" s="121">
        <v>26.74925</v>
      </c>
      <c r="BO541" s="121">
        <v>27.988</v>
      </c>
      <c r="BP541" s="121">
        <v>29.186</v>
      </c>
      <c r="BQ541" s="121">
        <v>30.384</v>
      </c>
      <c r="BR541" s="121">
        <v>31.59825</v>
      </c>
      <c r="BS541" s="121">
        <v>32.8125</v>
      </c>
      <c r="BT541" s="121">
        <v>33.994500000000002</v>
      </c>
      <c r="BU541" s="121">
        <v>35.176500000000004</v>
      </c>
      <c r="BV541" s="121">
        <v>36.359250000000003</v>
      </c>
      <c r="BW541" s="121">
        <v>37.542000000000002</v>
      </c>
      <c r="BX541" s="121">
        <v>38.700000000000003</v>
      </c>
      <c r="BY541" s="121">
        <v>39.858000000000004</v>
      </c>
      <c r="BZ541" s="121">
        <v>41.024000000000001</v>
      </c>
      <c r="CA541" s="121">
        <v>42.19</v>
      </c>
      <c r="CB541" s="121">
        <v>43.323999999999998</v>
      </c>
      <c r="CC541" s="121">
        <v>44.457999999999998</v>
      </c>
      <c r="CD541" s="121">
        <v>45.591999999999999</v>
      </c>
      <c r="CE541" s="121">
        <v>46.725999999999999</v>
      </c>
      <c r="CF541" s="121">
        <v>47.860249999999994</v>
      </c>
      <c r="CG541" s="121">
        <v>48.994500000000002</v>
      </c>
      <c r="CH541" s="121">
        <v>50.120750000000001</v>
      </c>
      <c r="CI541" s="121">
        <v>51.247</v>
      </c>
      <c r="CJ541" s="121">
        <v>52.348749999999995</v>
      </c>
      <c r="CK541" s="121">
        <v>53.450500000000005</v>
      </c>
      <c r="CL541" s="121">
        <v>54.584500000000006</v>
      </c>
      <c r="CM541" s="121">
        <v>55.718500000000006</v>
      </c>
      <c r="CN541" s="121">
        <v>56.856000000000002</v>
      </c>
      <c r="CO541" s="121">
        <v>57.993499999999997</v>
      </c>
      <c r="CP541" s="121">
        <v>59.063249999999996</v>
      </c>
      <c r="CQ541" s="121">
        <v>60.012</v>
      </c>
      <c r="CR541" s="160">
        <v>61.259250000000002</v>
      </c>
      <c r="CS541" s="160">
        <v>62.253</v>
      </c>
      <c r="CT541" s="160">
        <v>63.455500000000001</v>
      </c>
      <c r="CU541" s="160">
        <f t="array" ref="CU541:CU552">TRANSPOSE(CV540:DG540)</f>
        <v>64.494500000000002</v>
      </c>
      <c r="CV541" s="120">
        <f>(CU541+CW541)/2</f>
        <v>65.611999999999995</v>
      </c>
      <c r="CW541" s="120">
        <f>(CW540+CW542)/2</f>
        <v>66.729500000000002</v>
      </c>
      <c r="CX541" s="120">
        <f>(CW541+CY541)/2</f>
        <v>67.831500000000005</v>
      </c>
      <c r="CY541" s="120">
        <f>(CY540+CY542)/2</f>
        <v>68.933499999999995</v>
      </c>
      <c r="CZ541" s="120">
        <f>(CY541+DA541)/2</f>
        <v>70.035249999999991</v>
      </c>
      <c r="DA541" s="120">
        <f>(DA540+DA542)/2</f>
        <v>71.137</v>
      </c>
      <c r="DB541" s="120">
        <f>(DA541+DC541)/2</f>
        <v>72.199250000000006</v>
      </c>
      <c r="DC541" s="120">
        <f>(DC540+DC542)/2</f>
        <v>73.261499999999998</v>
      </c>
      <c r="DD541" s="120">
        <f>(DC541+DE541)/2</f>
        <v>74.363249999999994</v>
      </c>
      <c r="DE541" s="120">
        <f>(DE540+DE542)/2</f>
        <v>75.465000000000003</v>
      </c>
      <c r="DF541" s="120">
        <f>(DE541+DG541)/2</f>
        <v>76.534999999999997</v>
      </c>
      <c r="DG541" s="122">
        <f>(DG540+DG542)/2</f>
        <v>77.60499999999999</v>
      </c>
    </row>
    <row r="542" spans="54:111" ht="15" customHeight="1" x14ac:dyDescent="0.2">
      <c r="BB542" s="28">
        <v>50</v>
      </c>
      <c r="BC542" s="121">
        <v>12.115</v>
      </c>
      <c r="BD542" s="121">
        <v>13.6555</v>
      </c>
      <c r="BE542" s="121">
        <v>15.196</v>
      </c>
      <c r="BF542" s="121">
        <v>16.602499999999999</v>
      </c>
      <c r="BG542" s="121">
        <v>18.009</v>
      </c>
      <c r="BH542" s="121">
        <v>19.350999999999999</v>
      </c>
      <c r="BI542" s="121">
        <v>20.693000000000001</v>
      </c>
      <c r="BJ542" s="121">
        <v>22.002500000000001</v>
      </c>
      <c r="BK542" s="121">
        <v>23.312000000000001</v>
      </c>
      <c r="BL542" s="121">
        <v>24.590499999999999</v>
      </c>
      <c r="BM542" s="121">
        <v>25.869</v>
      </c>
      <c r="BN542" s="121">
        <v>27.152999999999999</v>
      </c>
      <c r="BO542" s="121">
        <v>28.437000000000001</v>
      </c>
      <c r="BP542" s="121">
        <v>29.650500000000001</v>
      </c>
      <c r="BQ542" s="121">
        <v>30.864000000000001</v>
      </c>
      <c r="BR542" s="121">
        <v>32.109499999999997</v>
      </c>
      <c r="BS542" s="121">
        <v>33.354999999999997</v>
      </c>
      <c r="BT542" s="121">
        <v>34.536500000000004</v>
      </c>
      <c r="BU542" s="121">
        <v>35.718000000000004</v>
      </c>
      <c r="BV542" s="121">
        <v>36.932500000000005</v>
      </c>
      <c r="BW542" s="121">
        <v>38.146999999999998</v>
      </c>
      <c r="BX542" s="121">
        <v>39.334499999999998</v>
      </c>
      <c r="BY542" s="121">
        <v>40.521999999999998</v>
      </c>
      <c r="BZ542" s="121">
        <v>41.703499999999998</v>
      </c>
      <c r="CA542" s="121">
        <v>42.884999999999998</v>
      </c>
      <c r="CB542" s="121">
        <v>44.034499999999994</v>
      </c>
      <c r="CC542" s="121">
        <v>45.183999999999997</v>
      </c>
      <c r="CD542" s="121">
        <v>46.333500000000001</v>
      </c>
      <c r="CE542" s="121">
        <v>47.482999999999997</v>
      </c>
      <c r="CF542" s="121">
        <v>48.632499999999993</v>
      </c>
      <c r="CG542" s="121">
        <v>49.781999999999996</v>
      </c>
      <c r="CH542" s="121">
        <v>50.97</v>
      </c>
      <c r="CI542" s="121">
        <v>52.158000000000001</v>
      </c>
      <c r="CJ542" s="121">
        <v>53.243000000000002</v>
      </c>
      <c r="CK542" s="121">
        <v>54.328000000000003</v>
      </c>
      <c r="CL542" s="121">
        <v>55.477500000000006</v>
      </c>
      <c r="CM542" s="121">
        <v>56.627000000000002</v>
      </c>
      <c r="CN542" s="121">
        <v>57.777000000000001</v>
      </c>
      <c r="CO542" s="121">
        <v>58.927</v>
      </c>
      <c r="CP542" s="121">
        <v>60.012</v>
      </c>
      <c r="CQ542" s="121">
        <v>61.097000000000001</v>
      </c>
      <c r="CR542" s="160">
        <v>62.253</v>
      </c>
      <c r="CS542" s="160">
        <v>63.408999999999999</v>
      </c>
      <c r="CT542" s="160">
        <v>64.494500000000002</v>
      </c>
      <c r="CU542" s="160">
        <v>65.58</v>
      </c>
      <c r="CV542" s="121">
        <f t="array" ref="CV542:CV552">TRANSPOSE(CW541:DG541)</f>
        <v>66.729500000000002</v>
      </c>
      <c r="CW542" s="158">
        <v>67.879000000000005</v>
      </c>
      <c r="CX542" s="121">
        <f>CY541</f>
        <v>68.933499999999995</v>
      </c>
      <c r="CY542" s="158">
        <v>70.05</v>
      </c>
      <c r="CZ542" s="121">
        <f>DA541</f>
        <v>71.137</v>
      </c>
      <c r="DA542" s="158">
        <v>72.347999999999999</v>
      </c>
      <c r="DB542" s="121">
        <f>DC541</f>
        <v>73.261499999999998</v>
      </c>
      <c r="DC542" s="158">
        <v>74.531999999999996</v>
      </c>
      <c r="DD542" s="121">
        <f>DE541</f>
        <v>75.465000000000003</v>
      </c>
      <c r="DE542" s="158">
        <v>76.701999999999998</v>
      </c>
      <c r="DF542" s="121">
        <f>DG541</f>
        <v>77.60499999999999</v>
      </c>
      <c r="DG542" s="159">
        <v>78.873999999999995</v>
      </c>
    </row>
    <row r="543" spans="54:111" ht="15" customHeight="1" x14ac:dyDescent="0.2">
      <c r="BB543" s="28">
        <v>51</v>
      </c>
      <c r="BC543" s="121">
        <v>12.3025</v>
      </c>
      <c r="BD543" s="121">
        <v>13.8505</v>
      </c>
      <c r="BE543" s="121">
        <v>15.3985</v>
      </c>
      <c r="BF543" s="121">
        <v>16.83625</v>
      </c>
      <c r="BG543" s="121">
        <v>18.274000000000001</v>
      </c>
      <c r="BH543" s="121">
        <v>19.650749999999999</v>
      </c>
      <c r="BI543" s="121">
        <v>21.0275</v>
      </c>
      <c r="BJ543" s="121">
        <v>22.352499999999999</v>
      </c>
      <c r="BK543" s="121">
        <v>23.677500000000002</v>
      </c>
      <c r="BL543" s="121">
        <v>24.971249999999998</v>
      </c>
      <c r="BM543" s="121">
        <v>26.265000000000001</v>
      </c>
      <c r="BN543" s="121">
        <v>27.575499999999998</v>
      </c>
      <c r="BO543" s="121">
        <v>28.886000000000003</v>
      </c>
      <c r="BP543" s="121">
        <v>30.115000000000002</v>
      </c>
      <c r="BQ543" s="121">
        <v>31.344000000000001</v>
      </c>
      <c r="BR543" s="121">
        <v>32.605000000000004</v>
      </c>
      <c r="BS543" s="121">
        <v>33.866</v>
      </c>
      <c r="BT543" s="121">
        <v>35.082250000000002</v>
      </c>
      <c r="BU543" s="121">
        <v>36.298500000000004</v>
      </c>
      <c r="BV543" s="121">
        <v>37.512</v>
      </c>
      <c r="BW543" s="121">
        <v>38.725499999999997</v>
      </c>
      <c r="BX543" s="121">
        <v>39.936499999999995</v>
      </c>
      <c r="BY543" s="121">
        <v>41.147500000000001</v>
      </c>
      <c r="BZ543" s="121">
        <v>42.347499999999997</v>
      </c>
      <c r="CA543" s="121">
        <v>43.547499999999999</v>
      </c>
      <c r="CB543" s="121">
        <v>44.728499999999997</v>
      </c>
      <c r="CC543" s="121">
        <v>45.909499999999994</v>
      </c>
      <c r="CD543" s="121">
        <v>47.074750000000002</v>
      </c>
      <c r="CE543" s="121">
        <v>48.239999999999995</v>
      </c>
      <c r="CF543" s="121">
        <v>49.407999999999994</v>
      </c>
      <c r="CG543" s="121">
        <v>50.575999999999993</v>
      </c>
      <c r="CH543" s="121">
        <v>51.78725</v>
      </c>
      <c r="CI543" s="121">
        <v>52.9985</v>
      </c>
      <c r="CJ543" s="121">
        <v>54.131</v>
      </c>
      <c r="CK543" s="121">
        <v>55.263500000000001</v>
      </c>
      <c r="CL543" s="121">
        <v>56.399750000000004</v>
      </c>
      <c r="CM543" s="121">
        <v>57.536000000000001</v>
      </c>
      <c r="CN543" s="121">
        <v>58.701250000000002</v>
      </c>
      <c r="CO543" s="121">
        <v>59.866500000000002</v>
      </c>
      <c r="CP543" s="121">
        <v>60.999250000000004</v>
      </c>
      <c r="CQ543" s="121">
        <v>61.986499999999999</v>
      </c>
      <c r="CR543" s="160">
        <v>63.282249999999998</v>
      </c>
      <c r="CS543" s="160">
        <v>64.311499999999995</v>
      </c>
      <c r="CT543" s="160">
        <v>65.5655</v>
      </c>
      <c r="CU543" s="160">
        <v>66.636499999999998</v>
      </c>
      <c r="CV543" s="160">
        <v>67.831500000000005</v>
      </c>
      <c r="CW543" s="160">
        <f t="array" ref="CW543:CW552">TRANSPOSE(CX542:DG542)</f>
        <v>68.933499999999995</v>
      </c>
      <c r="CX543" s="120">
        <f>(CW543+CY543)/2</f>
        <v>70.085000000000008</v>
      </c>
      <c r="CY543" s="120">
        <f>(CY542+CY544)/2</f>
        <v>71.236500000000007</v>
      </c>
      <c r="CZ543" s="120">
        <f>(CY543+DA543)/2</f>
        <v>72.369250000000008</v>
      </c>
      <c r="DA543" s="120">
        <f>(DA542+DA544)/2</f>
        <v>73.50200000000001</v>
      </c>
      <c r="DB543" s="120">
        <f>(DA543+DC543)/2</f>
        <v>74.616749999999996</v>
      </c>
      <c r="DC543" s="120">
        <f>(DC542+DC544)/2</f>
        <v>75.731499999999997</v>
      </c>
      <c r="DD543" s="120">
        <f>(DC543+DE543)/2</f>
        <v>76.867750000000001</v>
      </c>
      <c r="DE543" s="120">
        <f>(DE542+DE544)/2</f>
        <v>78.003999999999991</v>
      </c>
      <c r="DF543" s="120">
        <f>(DE543+DG543)/2</f>
        <v>79.10499999999999</v>
      </c>
      <c r="DG543" s="122">
        <f>(DG542+DG544)/2</f>
        <v>80.205999999999989</v>
      </c>
    </row>
    <row r="544" spans="54:111" ht="15" customHeight="1" x14ac:dyDescent="0.2">
      <c r="BB544" s="28">
        <v>52</v>
      </c>
      <c r="BC544" s="121">
        <v>12.49</v>
      </c>
      <c r="BD544" s="121">
        <v>14.045500000000001</v>
      </c>
      <c r="BE544" s="121">
        <v>15.601000000000001</v>
      </c>
      <c r="BF544" s="121">
        <v>17.07</v>
      </c>
      <c r="BG544" s="121">
        <v>18.539000000000001</v>
      </c>
      <c r="BH544" s="121">
        <v>19.950499999999998</v>
      </c>
      <c r="BI544" s="121">
        <v>21.361999999999998</v>
      </c>
      <c r="BJ544" s="121">
        <v>22.702500000000001</v>
      </c>
      <c r="BK544" s="121">
        <v>24.042999999999999</v>
      </c>
      <c r="BL544" s="121">
        <v>25.352</v>
      </c>
      <c r="BM544" s="121">
        <v>26.661000000000001</v>
      </c>
      <c r="BN544" s="121">
        <v>27.998000000000001</v>
      </c>
      <c r="BO544" s="121">
        <v>29.335000000000001</v>
      </c>
      <c r="BP544" s="121">
        <v>30.579500000000003</v>
      </c>
      <c r="BQ544" s="121">
        <v>31.824000000000002</v>
      </c>
      <c r="BR544" s="121">
        <v>33.100500000000004</v>
      </c>
      <c r="BS544" s="121">
        <v>34.377000000000002</v>
      </c>
      <c r="BT544" s="121">
        <v>35.628</v>
      </c>
      <c r="BU544" s="121">
        <v>36.878999999999998</v>
      </c>
      <c r="BV544" s="121">
        <v>38.091499999999996</v>
      </c>
      <c r="BW544" s="121">
        <v>39.304000000000002</v>
      </c>
      <c r="BX544" s="121">
        <v>40.538499999999999</v>
      </c>
      <c r="BY544" s="121">
        <v>41.773000000000003</v>
      </c>
      <c r="BZ544" s="121">
        <v>42.991500000000002</v>
      </c>
      <c r="CA544" s="121">
        <v>44.21</v>
      </c>
      <c r="CB544" s="121">
        <v>45.422499999999999</v>
      </c>
      <c r="CC544" s="121">
        <v>46.634999999999998</v>
      </c>
      <c r="CD544" s="121">
        <v>47.816000000000003</v>
      </c>
      <c r="CE544" s="121">
        <v>48.997</v>
      </c>
      <c r="CF544" s="121">
        <v>50.183499999999995</v>
      </c>
      <c r="CG544" s="121">
        <v>51.37</v>
      </c>
      <c r="CH544" s="121">
        <v>52.604500000000002</v>
      </c>
      <c r="CI544" s="121">
        <v>53.838999999999999</v>
      </c>
      <c r="CJ544" s="121">
        <v>55.018999999999998</v>
      </c>
      <c r="CK544" s="121">
        <v>56.198999999999998</v>
      </c>
      <c r="CL544" s="121">
        <v>57.322000000000003</v>
      </c>
      <c r="CM544" s="121">
        <v>58.445</v>
      </c>
      <c r="CN544" s="121">
        <v>59.625500000000002</v>
      </c>
      <c r="CO544" s="121">
        <v>60.805999999999997</v>
      </c>
      <c r="CP544" s="121">
        <v>61.986499999999999</v>
      </c>
      <c r="CQ544" s="121">
        <v>63.167000000000002</v>
      </c>
      <c r="CR544" s="160">
        <v>64.311499999999995</v>
      </c>
      <c r="CS544" s="160">
        <v>65.456000000000003</v>
      </c>
      <c r="CT544" s="160">
        <v>66.636499999999998</v>
      </c>
      <c r="CU544" s="160">
        <v>67.816999999999993</v>
      </c>
      <c r="CV544" s="160">
        <v>68.933499999999995</v>
      </c>
      <c r="CW544" s="160">
        <v>70.05</v>
      </c>
      <c r="CX544" s="121">
        <f t="array" ref="CX544:CX552">TRANSPOSE(CY543:DG543)</f>
        <v>71.236500000000007</v>
      </c>
      <c r="CY544" s="158">
        <v>72.423000000000002</v>
      </c>
      <c r="CZ544" s="121">
        <f>DA543</f>
        <v>73.50200000000001</v>
      </c>
      <c r="DA544" s="158">
        <v>74.656000000000006</v>
      </c>
      <c r="DB544" s="121">
        <f>DC543</f>
        <v>75.731499999999997</v>
      </c>
      <c r="DC544" s="158">
        <v>76.930999999999997</v>
      </c>
      <c r="DD544" s="121">
        <f>DE543</f>
        <v>78.003999999999991</v>
      </c>
      <c r="DE544" s="158">
        <v>79.305999999999997</v>
      </c>
      <c r="DF544" s="121">
        <f>DG543</f>
        <v>80.205999999999989</v>
      </c>
      <c r="DG544" s="159">
        <v>81.537999999999997</v>
      </c>
    </row>
    <row r="545" spans="54:111" ht="15" customHeight="1" x14ac:dyDescent="0.2">
      <c r="BB545" s="28">
        <v>53</v>
      </c>
      <c r="BC545" s="121">
        <v>12.661000000000001</v>
      </c>
      <c r="BD545" s="121">
        <v>14.23725</v>
      </c>
      <c r="BE545" s="121">
        <v>15.813500000000001</v>
      </c>
      <c r="BF545" s="121">
        <v>17.312000000000001</v>
      </c>
      <c r="BG545" s="121">
        <v>18.810500000000001</v>
      </c>
      <c r="BH545" s="121">
        <v>20.233999999999998</v>
      </c>
      <c r="BI545" s="121">
        <v>21.657499999999999</v>
      </c>
      <c r="BJ545" s="121">
        <v>23.016750000000002</v>
      </c>
      <c r="BK545" s="121">
        <v>24.375999999999998</v>
      </c>
      <c r="BL545" s="121">
        <v>25.72775</v>
      </c>
      <c r="BM545" s="121">
        <v>27.079500000000003</v>
      </c>
      <c r="BN545" s="121">
        <v>28.40475</v>
      </c>
      <c r="BO545" s="121">
        <v>29.73</v>
      </c>
      <c r="BP545" s="121">
        <v>31.017000000000003</v>
      </c>
      <c r="BQ545" s="121">
        <v>32.304000000000002</v>
      </c>
      <c r="BR545" s="121">
        <v>33.599249999999998</v>
      </c>
      <c r="BS545" s="121">
        <v>34.894500000000001</v>
      </c>
      <c r="BT545" s="121">
        <v>36.15775</v>
      </c>
      <c r="BU545" s="121">
        <v>37.420999999999999</v>
      </c>
      <c r="BV545" s="121">
        <v>38.676000000000002</v>
      </c>
      <c r="BW545" s="121">
        <v>39.930999999999997</v>
      </c>
      <c r="BX545" s="121">
        <v>41.173249999999996</v>
      </c>
      <c r="BY545" s="121">
        <v>42.415500000000002</v>
      </c>
      <c r="BZ545" s="121">
        <v>43.657250000000005</v>
      </c>
      <c r="CA545" s="121">
        <v>44.899000000000001</v>
      </c>
      <c r="CB545" s="121">
        <v>46.114000000000004</v>
      </c>
      <c r="CC545" s="121">
        <v>47.329000000000001</v>
      </c>
      <c r="CD545" s="121">
        <v>48.541499999999999</v>
      </c>
      <c r="CE545" s="121">
        <v>49.754000000000005</v>
      </c>
      <c r="CF545" s="121">
        <v>50.966999999999999</v>
      </c>
      <c r="CG545" s="121">
        <v>52.18</v>
      </c>
      <c r="CH545" s="121">
        <v>53.418750000000003</v>
      </c>
      <c r="CI545" s="121">
        <v>54.657499999999999</v>
      </c>
      <c r="CJ545" s="121">
        <v>55.867249999999999</v>
      </c>
      <c r="CK545" s="121">
        <v>57.076999999999998</v>
      </c>
      <c r="CL545" s="121">
        <v>58.212499999999999</v>
      </c>
      <c r="CM545" s="121">
        <v>59.347999999999999</v>
      </c>
      <c r="CN545" s="121">
        <v>60.546999999999997</v>
      </c>
      <c r="CO545" s="121">
        <v>61.745999999999995</v>
      </c>
      <c r="CP545" s="121">
        <v>62.952749999999995</v>
      </c>
      <c r="CQ545" s="121">
        <v>63.918999999999997</v>
      </c>
      <c r="CR545" s="160">
        <v>65.337500000000006</v>
      </c>
      <c r="CS545" s="160">
        <v>66.363500000000002</v>
      </c>
      <c r="CT545" s="160">
        <v>67.6935</v>
      </c>
      <c r="CU545" s="160">
        <v>68.750500000000002</v>
      </c>
      <c r="CV545" s="160">
        <v>70.035249999999991</v>
      </c>
      <c r="CW545" s="160">
        <v>71.137</v>
      </c>
      <c r="CX545" s="160">
        <v>72.369250000000008</v>
      </c>
      <c r="CY545" s="160">
        <f t="array" ref="CY545:CY552">TRANSPOSE(CZ544:DG544)</f>
        <v>73.50200000000001</v>
      </c>
      <c r="CZ545" s="120">
        <f>(CY545+DA545)/2</f>
        <v>74.69550000000001</v>
      </c>
      <c r="DA545" s="120">
        <f>(DA544+DA546)/2</f>
        <v>75.88900000000001</v>
      </c>
      <c r="DB545" s="120">
        <f>(DA545+DC545)/2</f>
        <v>77.018500000000003</v>
      </c>
      <c r="DC545" s="120">
        <f>(DC544+DC546)/2</f>
        <v>78.147999999999996</v>
      </c>
      <c r="DD545" s="120">
        <f>(DC545+DE545)/2</f>
        <v>79.358499999999992</v>
      </c>
      <c r="DE545" s="120">
        <f>(DE544+DE546)/2</f>
        <v>80.568999999999988</v>
      </c>
      <c r="DF545" s="120">
        <f>(DE545+DG545)/2</f>
        <v>81.687749999999994</v>
      </c>
      <c r="DG545" s="122">
        <f>(DG544+DG546)/2</f>
        <v>82.8065</v>
      </c>
    </row>
    <row r="546" spans="54:111" ht="15" customHeight="1" x14ac:dyDescent="0.2">
      <c r="BB546" s="28">
        <v>54</v>
      </c>
      <c r="BC546" s="121">
        <v>12.832000000000001</v>
      </c>
      <c r="BD546" s="121">
        <v>14.429</v>
      </c>
      <c r="BE546" s="121">
        <v>16.026</v>
      </c>
      <c r="BF546" s="121">
        <v>17.554000000000002</v>
      </c>
      <c r="BG546" s="121">
        <v>19.082000000000001</v>
      </c>
      <c r="BH546" s="121">
        <v>20.517499999999998</v>
      </c>
      <c r="BI546" s="121">
        <v>21.952999999999999</v>
      </c>
      <c r="BJ546" s="121">
        <v>23.331</v>
      </c>
      <c r="BK546" s="121">
        <v>24.709</v>
      </c>
      <c r="BL546" s="121">
        <v>26.1035</v>
      </c>
      <c r="BM546" s="121">
        <v>27.498000000000001</v>
      </c>
      <c r="BN546" s="121">
        <v>28.811500000000002</v>
      </c>
      <c r="BO546" s="121">
        <v>30.125</v>
      </c>
      <c r="BP546" s="121">
        <v>31.454499999999999</v>
      </c>
      <c r="BQ546" s="121">
        <v>32.783999999999999</v>
      </c>
      <c r="BR546" s="121">
        <v>34.097999999999999</v>
      </c>
      <c r="BS546" s="121">
        <v>35.411999999999999</v>
      </c>
      <c r="BT546" s="121">
        <v>36.6875</v>
      </c>
      <c r="BU546" s="121">
        <v>37.963000000000001</v>
      </c>
      <c r="BV546" s="121">
        <v>39.2605</v>
      </c>
      <c r="BW546" s="121">
        <v>40.558</v>
      </c>
      <c r="BX546" s="121">
        <v>41.808</v>
      </c>
      <c r="BY546" s="121">
        <v>43.058</v>
      </c>
      <c r="BZ546" s="121">
        <v>44.323</v>
      </c>
      <c r="CA546" s="121">
        <v>45.588000000000001</v>
      </c>
      <c r="CB546" s="121">
        <v>46.805500000000002</v>
      </c>
      <c r="CC546" s="121">
        <v>48.023000000000003</v>
      </c>
      <c r="CD546" s="121">
        <v>49.267000000000003</v>
      </c>
      <c r="CE546" s="121">
        <v>50.511000000000003</v>
      </c>
      <c r="CF546" s="121">
        <v>51.750500000000002</v>
      </c>
      <c r="CG546" s="121">
        <v>52.99</v>
      </c>
      <c r="CH546" s="121">
        <v>54.233000000000004</v>
      </c>
      <c r="CI546" s="121">
        <v>55.475999999999999</v>
      </c>
      <c r="CJ546" s="121">
        <v>56.715499999999999</v>
      </c>
      <c r="CK546" s="121">
        <v>57.954999999999998</v>
      </c>
      <c r="CL546" s="121">
        <v>59.102999999999994</v>
      </c>
      <c r="CM546" s="121">
        <v>60.250999999999998</v>
      </c>
      <c r="CN546" s="121">
        <v>61.468499999999999</v>
      </c>
      <c r="CO546" s="121">
        <v>62.686</v>
      </c>
      <c r="CP546" s="121">
        <v>63.918999999999997</v>
      </c>
      <c r="CQ546" s="121">
        <v>65.152000000000001</v>
      </c>
      <c r="CR546" s="160">
        <v>66.363500000000002</v>
      </c>
      <c r="CS546" s="160">
        <v>67.575000000000003</v>
      </c>
      <c r="CT546" s="160">
        <v>68.750500000000002</v>
      </c>
      <c r="CU546" s="160">
        <v>69.926000000000002</v>
      </c>
      <c r="CV546" s="160">
        <v>71.137</v>
      </c>
      <c r="CW546" s="160">
        <v>72.347999999999999</v>
      </c>
      <c r="CX546" s="160">
        <v>73.50200000000001</v>
      </c>
      <c r="CY546" s="160">
        <v>74.656000000000006</v>
      </c>
      <c r="CZ546" s="121">
        <f t="array" ref="CZ546:CZ552">TRANSPOSE(DA545:DG545)</f>
        <v>75.88900000000001</v>
      </c>
      <c r="DA546" s="158">
        <v>77.122</v>
      </c>
      <c r="DB546" s="121">
        <f>DC545</f>
        <v>78.147999999999996</v>
      </c>
      <c r="DC546" s="158">
        <v>79.364999999999995</v>
      </c>
      <c r="DD546" s="121">
        <f>DE545</f>
        <v>80.568999999999988</v>
      </c>
      <c r="DE546" s="158">
        <v>81.831999999999994</v>
      </c>
      <c r="DF546" s="121">
        <f>DG545</f>
        <v>82.8065</v>
      </c>
      <c r="DG546" s="159">
        <v>84.075000000000003</v>
      </c>
    </row>
    <row r="547" spans="54:111" ht="15" customHeight="1" x14ac:dyDescent="0.2">
      <c r="BB547" s="28">
        <v>55</v>
      </c>
      <c r="BC547" s="121">
        <v>13.013500000000001</v>
      </c>
      <c r="BD547" s="121">
        <v>14.64</v>
      </c>
      <c r="BE547" s="121">
        <v>16.266500000000001</v>
      </c>
      <c r="BF547" s="121">
        <v>17.795999999999999</v>
      </c>
      <c r="BG547" s="121">
        <v>19.325499999999998</v>
      </c>
      <c r="BH547" s="121">
        <v>20.790749999999999</v>
      </c>
      <c r="BI547" s="121">
        <v>22.256</v>
      </c>
      <c r="BJ547" s="121">
        <v>23.676499999999997</v>
      </c>
      <c r="BK547" s="121">
        <v>25.097000000000001</v>
      </c>
      <c r="BL547" s="121">
        <v>26.479500000000002</v>
      </c>
      <c r="BM547" s="121">
        <v>27.862000000000002</v>
      </c>
      <c r="BN547" s="121">
        <v>29.218250000000001</v>
      </c>
      <c r="BO547" s="121">
        <v>30.5745</v>
      </c>
      <c r="BP547" s="121">
        <v>31.908250000000002</v>
      </c>
      <c r="BQ547" s="121">
        <v>33.242000000000004</v>
      </c>
      <c r="BR547" s="121">
        <v>34.582499999999996</v>
      </c>
      <c r="BS547" s="121">
        <v>35.923000000000002</v>
      </c>
      <c r="BT547" s="121">
        <v>37.225000000000001</v>
      </c>
      <c r="BU547" s="121">
        <v>38.527000000000001</v>
      </c>
      <c r="BV547" s="121">
        <v>39.832000000000001</v>
      </c>
      <c r="BW547" s="121">
        <v>41.137</v>
      </c>
      <c r="BX547" s="121">
        <v>42.413250000000005</v>
      </c>
      <c r="BY547" s="121">
        <v>43.689499999999995</v>
      </c>
      <c r="BZ547" s="121">
        <v>44.959000000000003</v>
      </c>
      <c r="CA547" s="121">
        <v>46.228499999999997</v>
      </c>
      <c r="CB547" s="121">
        <v>47.489000000000004</v>
      </c>
      <c r="CC547" s="121">
        <v>48.749499999999998</v>
      </c>
      <c r="CD547" s="121">
        <v>50.019500000000001</v>
      </c>
      <c r="CE547" s="121">
        <v>51.289500000000004</v>
      </c>
      <c r="CF547" s="121">
        <v>52.533749999999998</v>
      </c>
      <c r="CG547" s="121">
        <v>53.778000000000006</v>
      </c>
      <c r="CH547" s="121">
        <v>55.050750000000001</v>
      </c>
      <c r="CI547" s="121">
        <v>56.323499999999996</v>
      </c>
      <c r="CJ547" s="121">
        <v>57.564499999999995</v>
      </c>
      <c r="CK547" s="121">
        <v>58.805499999999995</v>
      </c>
      <c r="CL547" s="121">
        <v>59.982499999999995</v>
      </c>
      <c r="CM547" s="121">
        <v>61.159499999999994</v>
      </c>
      <c r="CN547" s="121">
        <v>62.40025</v>
      </c>
      <c r="CO547" s="121">
        <v>63.641000000000005</v>
      </c>
      <c r="CP547" s="121">
        <v>64.881750000000011</v>
      </c>
      <c r="CQ547" s="121">
        <v>65.844500000000011</v>
      </c>
      <c r="CR547" s="160">
        <v>67.360500000000002</v>
      </c>
      <c r="CS547" s="160">
        <v>68.357500000000002</v>
      </c>
      <c r="CT547" s="160">
        <v>69.778500000000008</v>
      </c>
      <c r="CU547" s="160">
        <v>70.8065</v>
      </c>
      <c r="CV547" s="160">
        <v>72.199250000000006</v>
      </c>
      <c r="CW547" s="160">
        <v>73.261499999999998</v>
      </c>
      <c r="CX547" s="160">
        <v>74.616749999999996</v>
      </c>
      <c r="CY547" s="160">
        <v>75.731499999999997</v>
      </c>
      <c r="CZ547" s="160">
        <v>77.018500000000003</v>
      </c>
      <c r="DA547" s="160">
        <f t="array" ref="DA547:DA552">TRANSPOSE(DB546:DG546)</f>
        <v>78.147999999999996</v>
      </c>
      <c r="DB547" s="120">
        <f>(DA547+DC547)/2</f>
        <v>79.388499999999993</v>
      </c>
      <c r="DC547" s="120">
        <f>(DC546+DC548)/2</f>
        <v>80.628999999999991</v>
      </c>
      <c r="DD547" s="120">
        <f>(DC547+DE547)/2</f>
        <v>81.821999999999989</v>
      </c>
      <c r="DE547" s="120">
        <f>(DE546+DE548)/2</f>
        <v>83.014999999999986</v>
      </c>
      <c r="DF547" s="120">
        <f>(DE547+DG547)/2</f>
        <v>84.210999999999999</v>
      </c>
      <c r="DG547" s="122">
        <f>(DG546+DG548)/2</f>
        <v>85.407000000000011</v>
      </c>
    </row>
    <row r="548" spans="54:111" ht="15" customHeight="1" x14ac:dyDescent="0.2">
      <c r="BB548" s="28">
        <v>56</v>
      </c>
      <c r="BC548" s="121">
        <v>13.195</v>
      </c>
      <c r="BD548" s="121">
        <v>14.851000000000001</v>
      </c>
      <c r="BE548" s="121">
        <v>16.507000000000001</v>
      </c>
      <c r="BF548" s="121">
        <v>18.038</v>
      </c>
      <c r="BG548" s="121">
        <v>19.568999999999999</v>
      </c>
      <c r="BH548" s="121">
        <v>21.064</v>
      </c>
      <c r="BI548" s="121">
        <v>22.559000000000001</v>
      </c>
      <c r="BJ548" s="121">
        <v>24.021999999999998</v>
      </c>
      <c r="BK548" s="121">
        <v>25.484999999999999</v>
      </c>
      <c r="BL548" s="121">
        <v>26.855499999999999</v>
      </c>
      <c r="BM548" s="121">
        <v>28.225999999999999</v>
      </c>
      <c r="BN548" s="121">
        <v>29.625</v>
      </c>
      <c r="BO548" s="121">
        <v>31.024000000000001</v>
      </c>
      <c r="BP548" s="121">
        <v>32.362000000000002</v>
      </c>
      <c r="BQ548" s="121">
        <v>33.700000000000003</v>
      </c>
      <c r="BR548" s="121">
        <v>35.067</v>
      </c>
      <c r="BS548" s="121">
        <v>36.433999999999997</v>
      </c>
      <c r="BT548" s="121">
        <v>37.762500000000003</v>
      </c>
      <c r="BU548" s="121">
        <v>39.091000000000001</v>
      </c>
      <c r="BV548" s="121">
        <v>40.403500000000001</v>
      </c>
      <c r="BW548" s="121">
        <v>41.716000000000001</v>
      </c>
      <c r="BX548" s="121">
        <v>43.018500000000003</v>
      </c>
      <c r="BY548" s="121">
        <v>44.320999999999998</v>
      </c>
      <c r="BZ548" s="121">
        <v>45.594999999999999</v>
      </c>
      <c r="CA548" s="121">
        <v>46.869</v>
      </c>
      <c r="CB548" s="121">
        <v>48.172499999999999</v>
      </c>
      <c r="CC548" s="121">
        <v>49.475999999999999</v>
      </c>
      <c r="CD548" s="121">
        <v>50.771999999999998</v>
      </c>
      <c r="CE548" s="121">
        <v>52.067999999999998</v>
      </c>
      <c r="CF548" s="121">
        <v>53.317</v>
      </c>
      <c r="CG548" s="121">
        <v>54.566000000000003</v>
      </c>
      <c r="CH548" s="121">
        <v>55.868499999999997</v>
      </c>
      <c r="CI548" s="121">
        <v>57.170999999999999</v>
      </c>
      <c r="CJ548" s="121">
        <v>58.413499999999999</v>
      </c>
      <c r="CK548" s="121">
        <v>59.655999999999999</v>
      </c>
      <c r="CL548" s="121">
        <v>60.861999999999995</v>
      </c>
      <c r="CM548" s="121">
        <v>62.067999999999998</v>
      </c>
      <c r="CN548" s="121">
        <v>63.332000000000001</v>
      </c>
      <c r="CO548" s="121">
        <v>64.596000000000004</v>
      </c>
      <c r="CP548" s="121">
        <v>65.844500000000011</v>
      </c>
      <c r="CQ548" s="121">
        <v>67.093000000000004</v>
      </c>
      <c r="CR548" s="160">
        <v>68.357500000000002</v>
      </c>
      <c r="CS548" s="160">
        <v>69.622</v>
      </c>
      <c r="CT548" s="160">
        <v>70.8065</v>
      </c>
      <c r="CU548" s="160">
        <v>71.991</v>
      </c>
      <c r="CV548" s="160">
        <v>73.261499999999998</v>
      </c>
      <c r="CW548" s="160">
        <v>74.531999999999996</v>
      </c>
      <c r="CX548" s="160">
        <v>75.731499999999997</v>
      </c>
      <c r="CY548" s="160">
        <v>76.930999999999997</v>
      </c>
      <c r="CZ548" s="160">
        <v>78.147999999999996</v>
      </c>
      <c r="DA548" s="160">
        <v>79.364999999999995</v>
      </c>
      <c r="DB548" s="121">
        <f t="array" ref="DB548:DB552">TRANSPOSE(DC547:DG547)</f>
        <v>80.628999999999991</v>
      </c>
      <c r="DC548" s="158">
        <v>81.893000000000001</v>
      </c>
      <c r="DD548" s="121">
        <f>DE547</f>
        <v>83.014999999999986</v>
      </c>
      <c r="DE548" s="158">
        <v>84.197999999999993</v>
      </c>
      <c r="DF548" s="121">
        <f>DG547</f>
        <v>85.407000000000011</v>
      </c>
      <c r="DG548" s="159">
        <v>86.739000000000004</v>
      </c>
    </row>
    <row r="549" spans="54:111" ht="15" customHeight="1" x14ac:dyDescent="0.2">
      <c r="BB549" s="28">
        <v>57</v>
      </c>
      <c r="BC549" s="121">
        <v>13.367000000000001</v>
      </c>
      <c r="BD549" s="121">
        <v>15.04325</v>
      </c>
      <c r="BE549" s="121">
        <v>16.7195</v>
      </c>
      <c r="BF549" s="121">
        <v>18.27975</v>
      </c>
      <c r="BG549" s="121">
        <v>19.84</v>
      </c>
      <c r="BH549" s="121">
        <v>21.3505</v>
      </c>
      <c r="BI549" s="121">
        <v>22.861000000000001</v>
      </c>
      <c r="BJ549" s="121">
        <v>24.336500000000001</v>
      </c>
      <c r="BK549" s="121">
        <v>25.811999999999998</v>
      </c>
      <c r="BL549" s="121">
        <v>27.228249999999999</v>
      </c>
      <c r="BM549" s="121">
        <v>28.644500000000001</v>
      </c>
      <c r="BN549" s="121">
        <v>30.047750000000001</v>
      </c>
      <c r="BO549" s="121">
        <v>31.451000000000001</v>
      </c>
      <c r="BP549" s="121">
        <v>32.815750000000001</v>
      </c>
      <c r="BQ549" s="121">
        <v>34.180500000000002</v>
      </c>
      <c r="BR549" s="121">
        <v>35.562750000000001</v>
      </c>
      <c r="BS549" s="121">
        <v>36.945</v>
      </c>
      <c r="BT549" s="121">
        <v>38.292000000000002</v>
      </c>
      <c r="BU549" s="121">
        <v>39.638999999999996</v>
      </c>
      <c r="BV549" s="121">
        <v>40.978250000000003</v>
      </c>
      <c r="BW549" s="121">
        <v>42.317499999999995</v>
      </c>
      <c r="BX549" s="121">
        <v>43.637250000000002</v>
      </c>
      <c r="BY549" s="121">
        <v>44.957000000000001</v>
      </c>
      <c r="BZ549" s="121">
        <v>46.261000000000003</v>
      </c>
      <c r="CA549" s="121">
        <v>47.564999999999998</v>
      </c>
      <c r="CB549" s="121">
        <v>48.883499999999998</v>
      </c>
      <c r="CC549" s="121">
        <v>50.201999999999998</v>
      </c>
      <c r="CD549" s="121">
        <v>51.497249999999994</v>
      </c>
      <c r="CE549" s="121">
        <v>52.792500000000004</v>
      </c>
      <c r="CF549" s="121">
        <v>54.083749999999995</v>
      </c>
      <c r="CG549" s="121">
        <v>55.375</v>
      </c>
      <c r="CH549" s="121">
        <v>56.682249999999996</v>
      </c>
      <c r="CI549" s="121">
        <v>57.9895</v>
      </c>
      <c r="CJ549" s="121">
        <v>59.261499999999998</v>
      </c>
      <c r="CK549" s="121">
        <v>60.533500000000004</v>
      </c>
      <c r="CL549" s="121">
        <v>61.751999999999995</v>
      </c>
      <c r="CM549" s="121">
        <v>62.970500000000001</v>
      </c>
      <c r="CN549" s="121">
        <v>64.253249999999994</v>
      </c>
      <c r="CO549" s="121">
        <v>65.536000000000001</v>
      </c>
      <c r="CP549" s="121">
        <v>66.811000000000007</v>
      </c>
      <c r="CQ549" s="121">
        <v>67.777500000000003</v>
      </c>
      <c r="CR549" s="160">
        <v>69.354749999999996</v>
      </c>
      <c r="CS549" s="160">
        <v>70.352000000000004</v>
      </c>
      <c r="CT549" s="160">
        <v>71.866500000000002</v>
      </c>
      <c r="CU549" s="160">
        <v>72.926500000000004</v>
      </c>
      <c r="CV549" s="160">
        <v>74.363249999999994</v>
      </c>
      <c r="CW549" s="160">
        <v>75.465000000000003</v>
      </c>
      <c r="CX549" s="160">
        <v>76.867750000000001</v>
      </c>
      <c r="CY549" s="160">
        <v>78.003999999999991</v>
      </c>
      <c r="CZ549" s="160">
        <v>79.358499999999992</v>
      </c>
      <c r="DA549" s="160">
        <v>80.568999999999988</v>
      </c>
      <c r="DB549" s="160">
        <v>81.821999999999989</v>
      </c>
      <c r="DC549" s="160">
        <f t="array" ref="DC549:DC552">TRANSPOSE(DD548:DG548)</f>
        <v>83.014999999999986</v>
      </c>
      <c r="DD549" s="120">
        <f>(DC549+DE549)/2</f>
        <v>84.257249999999999</v>
      </c>
      <c r="DE549" s="120">
        <f>(DE548+DE550)/2</f>
        <v>85.499499999999998</v>
      </c>
      <c r="DF549" s="120">
        <f>(DE549+DG549)/2</f>
        <v>86.782250000000005</v>
      </c>
      <c r="DG549" s="122">
        <f>(DG548+DG550)/2</f>
        <v>88.064999999999998</v>
      </c>
    </row>
    <row r="550" spans="54:111" ht="15" customHeight="1" x14ac:dyDescent="0.2">
      <c r="BB550" s="28">
        <v>58</v>
      </c>
      <c r="BC550" s="121">
        <v>13.539</v>
      </c>
      <c r="BD550" s="121">
        <v>15.235499999999998</v>
      </c>
      <c r="BE550" s="121">
        <v>16.931999999999999</v>
      </c>
      <c r="BF550" s="121">
        <v>18.5215</v>
      </c>
      <c r="BG550" s="121">
        <v>20.111000000000001</v>
      </c>
      <c r="BH550" s="121">
        <v>21.637</v>
      </c>
      <c r="BI550" s="121">
        <v>23.163</v>
      </c>
      <c r="BJ550" s="121">
        <v>24.651</v>
      </c>
      <c r="BK550" s="121">
        <v>26.138999999999999</v>
      </c>
      <c r="BL550" s="121">
        <v>27.600999999999999</v>
      </c>
      <c r="BM550" s="121">
        <v>29.062999999999999</v>
      </c>
      <c r="BN550" s="121">
        <v>30.470500000000001</v>
      </c>
      <c r="BO550" s="121">
        <v>31.878</v>
      </c>
      <c r="BP550" s="121">
        <v>33.269500000000001</v>
      </c>
      <c r="BQ550" s="121">
        <v>34.661000000000001</v>
      </c>
      <c r="BR550" s="121">
        <v>36.058500000000002</v>
      </c>
      <c r="BS550" s="121">
        <v>37.456000000000003</v>
      </c>
      <c r="BT550" s="121">
        <v>38.8215</v>
      </c>
      <c r="BU550" s="121">
        <v>40.186999999999998</v>
      </c>
      <c r="BV550" s="121">
        <v>41.552999999999997</v>
      </c>
      <c r="BW550" s="121">
        <v>42.918999999999997</v>
      </c>
      <c r="BX550" s="121">
        <v>44.256</v>
      </c>
      <c r="BY550" s="121">
        <v>45.593000000000004</v>
      </c>
      <c r="BZ550" s="121">
        <v>46.927000000000007</v>
      </c>
      <c r="CA550" s="121">
        <v>48.261000000000003</v>
      </c>
      <c r="CB550" s="121">
        <v>49.594499999999996</v>
      </c>
      <c r="CC550" s="121">
        <v>50.927999999999997</v>
      </c>
      <c r="CD550" s="121">
        <v>52.222499999999997</v>
      </c>
      <c r="CE550" s="121">
        <v>53.517000000000003</v>
      </c>
      <c r="CF550" s="121">
        <v>54.850499999999997</v>
      </c>
      <c r="CG550" s="121">
        <v>56.183999999999997</v>
      </c>
      <c r="CH550" s="121">
        <v>57.495999999999995</v>
      </c>
      <c r="CI550" s="121">
        <v>58.808</v>
      </c>
      <c r="CJ550" s="121">
        <v>60.109499999999997</v>
      </c>
      <c r="CK550" s="121">
        <v>61.411000000000001</v>
      </c>
      <c r="CL550" s="121">
        <v>62.641999999999996</v>
      </c>
      <c r="CM550" s="121">
        <v>63.872999999999998</v>
      </c>
      <c r="CN550" s="121">
        <v>65.174499999999995</v>
      </c>
      <c r="CO550" s="121">
        <v>66.475999999999999</v>
      </c>
      <c r="CP550" s="121">
        <v>67.777500000000003</v>
      </c>
      <c r="CQ550" s="121">
        <v>69.078999999999994</v>
      </c>
      <c r="CR550" s="160">
        <v>70.352000000000004</v>
      </c>
      <c r="CS550" s="160">
        <v>71.625</v>
      </c>
      <c r="CT550" s="160">
        <v>72.926500000000004</v>
      </c>
      <c r="CU550" s="160">
        <v>74.227999999999994</v>
      </c>
      <c r="CV550" s="160">
        <v>75.465000000000003</v>
      </c>
      <c r="CW550" s="160">
        <v>76.701999999999998</v>
      </c>
      <c r="CX550" s="160">
        <v>78.003999999999991</v>
      </c>
      <c r="CY550" s="160">
        <v>79.305999999999997</v>
      </c>
      <c r="CZ550" s="160">
        <v>80.568999999999988</v>
      </c>
      <c r="DA550" s="160">
        <v>81.831999999999994</v>
      </c>
      <c r="DB550" s="160">
        <v>83.014999999999986</v>
      </c>
      <c r="DC550" s="160">
        <v>84.197999999999993</v>
      </c>
      <c r="DD550" s="121">
        <f t="array" ref="DD550:DD552">TRANSPOSE(DE549:DG549)</f>
        <v>85.499499999999998</v>
      </c>
      <c r="DE550" s="158">
        <v>86.801000000000002</v>
      </c>
      <c r="DF550" s="121">
        <f>DG549</f>
        <v>88.064999999999998</v>
      </c>
      <c r="DG550" s="159">
        <v>89.391000000000005</v>
      </c>
    </row>
    <row r="551" spans="54:111" ht="15" customHeight="1" x14ac:dyDescent="0.2">
      <c r="BB551" s="28">
        <v>59</v>
      </c>
      <c r="BC551" s="121">
        <v>13.725999999999999</v>
      </c>
      <c r="BD551" s="121">
        <v>15.433249999999999</v>
      </c>
      <c r="BE551" s="121">
        <v>17.140499999999999</v>
      </c>
      <c r="BF551" s="121">
        <v>18.758249999999997</v>
      </c>
      <c r="BG551" s="121">
        <v>20.375999999999998</v>
      </c>
      <c r="BH551" s="121">
        <v>21.9175</v>
      </c>
      <c r="BI551" s="121">
        <v>23.459</v>
      </c>
      <c r="BJ551" s="121">
        <v>24.965499999999999</v>
      </c>
      <c r="BK551" s="121">
        <v>26.472000000000001</v>
      </c>
      <c r="BL551" s="121">
        <v>27.9495</v>
      </c>
      <c r="BM551" s="121">
        <v>29.427</v>
      </c>
      <c r="BN551" s="121">
        <v>30.861250000000002</v>
      </c>
      <c r="BO551" s="121">
        <v>32.295500000000004</v>
      </c>
      <c r="BP551" s="121">
        <v>33.721249999999998</v>
      </c>
      <c r="BQ551" s="121">
        <v>35.147000000000006</v>
      </c>
      <c r="BR551" s="121">
        <v>36.557249999999996</v>
      </c>
      <c r="BS551" s="121">
        <v>37.967500000000001</v>
      </c>
      <c r="BT551" s="121">
        <v>39.34825</v>
      </c>
      <c r="BU551" s="121">
        <v>40.728999999999999</v>
      </c>
      <c r="BV551" s="121">
        <v>42.110250000000001</v>
      </c>
      <c r="BW551" s="121">
        <v>43.491500000000002</v>
      </c>
      <c r="BX551" s="121">
        <v>44.96125</v>
      </c>
      <c r="BY551" s="121">
        <v>46.430999999999997</v>
      </c>
      <c r="BZ551" s="121">
        <v>47.677500000000002</v>
      </c>
      <c r="CA551" s="121">
        <v>48.924000000000007</v>
      </c>
      <c r="CB551" s="121">
        <v>50.272999999999996</v>
      </c>
      <c r="CC551" s="121">
        <v>51.622</v>
      </c>
      <c r="CD551" s="121">
        <v>52.948</v>
      </c>
      <c r="CE551" s="121">
        <v>54.274000000000001</v>
      </c>
      <c r="CF551" s="121">
        <v>55.606999999999999</v>
      </c>
      <c r="CG551" s="121">
        <v>56.94</v>
      </c>
      <c r="CH551" s="121">
        <v>58.262499999999996</v>
      </c>
      <c r="CI551" s="121">
        <v>59.585000000000001</v>
      </c>
      <c r="CJ551" s="121">
        <v>60.90175</v>
      </c>
      <c r="CK551" s="121">
        <v>62.218500000000006</v>
      </c>
      <c r="CL551" s="121">
        <v>63.500250000000001</v>
      </c>
      <c r="CM551" s="121">
        <v>64.781999999999996</v>
      </c>
      <c r="CN551" s="121">
        <v>66.098749999999995</v>
      </c>
      <c r="CO551" s="121">
        <v>67.415500000000009</v>
      </c>
      <c r="CP551" s="121">
        <v>68.729250000000008</v>
      </c>
      <c r="CQ551" s="121">
        <v>69.681000000000012</v>
      </c>
      <c r="CR551" s="160">
        <v>71.345500000000001</v>
      </c>
      <c r="CS551" s="160">
        <v>72.338999999999999</v>
      </c>
      <c r="CT551" s="160">
        <v>73.965000000000003</v>
      </c>
      <c r="CU551" s="160">
        <v>75.003500000000003</v>
      </c>
      <c r="CV551" s="160">
        <v>76.534999999999997</v>
      </c>
      <c r="CW551" s="160">
        <v>77.60499999999999</v>
      </c>
      <c r="CX551" s="160">
        <v>79.10499999999999</v>
      </c>
      <c r="CY551" s="160">
        <v>80.205999999999989</v>
      </c>
      <c r="CZ551" s="160">
        <v>81.687749999999994</v>
      </c>
      <c r="DA551" s="160">
        <v>82.8065</v>
      </c>
      <c r="DB551" s="160">
        <v>84.210999999999999</v>
      </c>
      <c r="DC551" s="160">
        <v>85.407000000000011</v>
      </c>
      <c r="DD551" s="160">
        <v>86.782250000000005</v>
      </c>
      <c r="DE551" s="160">
        <f t="array" ref="DE551:DE552">TRANSPOSE(DF550:DG550)</f>
        <v>88.064999999999998</v>
      </c>
      <c r="DF551" s="120">
        <f>(DE551+DG551)/2</f>
        <v>89.346249999999998</v>
      </c>
      <c r="DG551" s="122">
        <f>(DG550+DG552)/2</f>
        <v>90.627499999999998</v>
      </c>
    </row>
    <row r="552" spans="54:111" ht="15" customHeight="1" thickBot="1" x14ac:dyDescent="0.25">
      <c r="BB552" s="149">
        <v>60</v>
      </c>
      <c r="BC552" s="123">
        <v>13.913</v>
      </c>
      <c r="BD552" s="123">
        <v>15.631</v>
      </c>
      <c r="BE552" s="123">
        <v>17.349</v>
      </c>
      <c r="BF552" s="123">
        <v>18.994999999999997</v>
      </c>
      <c r="BG552" s="123">
        <v>20.640999999999998</v>
      </c>
      <c r="BH552" s="123">
        <v>22.198</v>
      </c>
      <c r="BI552" s="123">
        <v>23.754999999999999</v>
      </c>
      <c r="BJ552" s="123">
        <v>25.28</v>
      </c>
      <c r="BK552" s="123">
        <v>26.805</v>
      </c>
      <c r="BL552" s="123">
        <v>28.298000000000002</v>
      </c>
      <c r="BM552" s="123">
        <v>29.791</v>
      </c>
      <c r="BN552" s="123">
        <v>31.252000000000002</v>
      </c>
      <c r="BO552" s="123">
        <v>32.713000000000001</v>
      </c>
      <c r="BP552" s="123">
        <v>34.173000000000002</v>
      </c>
      <c r="BQ552" s="123">
        <v>35.633000000000003</v>
      </c>
      <c r="BR552" s="123">
        <v>37.055999999999997</v>
      </c>
      <c r="BS552" s="123">
        <v>38.478999999999999</v>
      </c>
      <c r="BT552" s="123">
        <v>39.875</v>
      </c>
      <c r="BU552" s="123">
        <v>41.271000000000001</v>
      </c>
      <c r="BV552" s="123">
        <v>42.667500000000004</v>
      </c>
      <c r="BW552" s="123">
        <v>44.064</v>
      </c>
      <c r="BX552" s="123">
        <v>45.666499999999999</v>
      </c>
      <c r="BY552" s="123">
        <v>47.268999999999998</v>
      </c>
      <c r="BZ552" s="123">
        <v>48.427999999999997</v>
      </c>
      <c r="CA552" s="123">
        <v>49.587000000000003</v>
      </c>
      <c r="CB552" s="123">
        <v>50.951500000000003</v>
      </c>
      <c r="CC552" s="123">
        <v>52.316000000000003</v>
      </c>
      <c r="CD552" s="123">
        <v>53.673500000000004</v>
      </c>
      <c r="CE552" s="123">
        <v>55.030999999999999</v>
      </c>
      <c r="CF552" s="123">
        <v>56.363500000000002</v>
      </c>
      <c r="CG552" s="123">
        <v>57.695999999999998</v>
      </c>
      <c r="CH552" s="123">
        <v>59.028999999999996</v>
      </c>
      <c r="CI552" s="123">
        <v>60.362000000000002</v>
      </c>
      <c r="CJ552" s="123">
        <v>61.694000000000003</v>
      </c>
      <c r="CK552" s="123">
        <v>63.026000000000003</v>
      </c>
      <c r="CL552" s="123">
        <v>64.358500000000006</v>
      </c>
      <c r="CM552" s="123">
        <v>65.691000000000003</v>
      </c>
      <c r="CN552" s="123">
        <v>67.022999999999996</v>
      </c>
      <c r="CO552" s="123">
        <v>68.355000000000004</v>
      </c>
      <c r="CP552" s="123">
        <v>69.681000000000012</v>
      </c>
      <c r="CQ552" s="123">
        <v>71.007000000000005</v>
      </c>
      <c r="CR552" s="161">
        <v>72.338999999999999</v>
      </c>
      <c r="CS552" s="161">
        <v>73.671000000000006</v>
      </c>
      <c r="CT552" s="161">
        <v>75.003500000000003</v>
      </c>
      <c r="CU552" s="161">
        <v>76.335999999999999</v>
      </c>
      <c r="CV552" s="161">
        <v>77.60499999999999</v>
      </c>
      <c r="CW552" s="161">
        <v>78.873999999999995</v>
      </c>
      <c r="CX552" s="161">
        <v>80.205999999999989</v>
      </c>
      <c r="CY552" s="161">
        <v>81.537999999999997</v>
      </c>
      <c r="CZ552" s="161">
        <v>82.8065</v>
      </c>
      <c r="DA552" s="161">
        <v>84.075000000000003</v>
      </c>
      <c r="DB552" s="161">
        <v>85.407000000000011</v>
      </c>
      <c r="DC552" s="161">
        <v>86.739000000000004</v>
      </c>
      <c r="DD552" s="161">
        <v>88.064999999999998</v>
      </c>
      <c r="DE552" s="161">
        <v>89.391000000000005</v>
      </c>
      <c r="DF552" s="151">
        <f>DG551</f>
        <v>90.627499999999998</v>
      </c>
      <c r="DG552" s="162">
        <v>91.864000000000004</v>
      </c>
    </row>
    <row r="553" spans="54:111" ht="15" customHeight="1" x14ac:dyDescent="0.2">
      <c r="BB553" s="25"/>
      <c r="BC553" s="25"/>
      <c r="BD553" s="25"/>
      <c r="BE553" s="25"/>
      <c r="BF553" s="25"/>
      <c r="BG553" s="25"/>
      <c r="BH553" s="25"/>
      <c r="BI553" s="25"/>
      <c r="BJ553" s="25"/>
      <c r="BK553" s="25"/>
      <c r="BL553" s="25"/>
      <c r="BM553" s="25"/>
      <c r="BN553" s="25"/>
      <c r="BO553" s="25"/>
      <c r="BP553" s="25"/>
      <c r="BQ553" s="25"/>
      <c r="BR553" s="25"/>
      <c r="BS553" s="25"/>
      <c r="BT553" s="25"/>
      <c r="BU553" s="25"/>
      <c r="BV553" s="25"/>
      <c r="BW553" s="25"/>
      <c r="BX553" s="25"/>
      <c r="BY553" s="25"/>
      <c r="BZ553" s="25"/>
      <c r="CA553" s="25"/>
      <c r="CB553" s="25"/>
      <c r="CC553" s="25"/>
      <c r="CD553" s="25"/>
      <c r="CE553" s="25"/>
      <c r="CF553" s="25"/>
      <c r="CG553" s="25"/>
      <c r="CH553" s="25"/>
      <c r="CI553" s="25"/>
      <c r="CJ553" s="25"/>
      <c r="CK553" s="25"/>
      <c r="CL553" s="25"/>
      <c r="CM553" s="25"/>
      <c r="CN553" s="25"/>
      <c r="CO553" s="25"/>
      <c r="CP553" s="25"/>
      <c r="CQ553" s="25"/>
    </row>
    <row r="554" spans="54:111" ht="15" customHeight="1" x14ac:dyDescent="0.2">
      <c r="BB554" s="124"/>
      <c r="BC554" s="124"/>
      <c r="BD554" s="124"/>
      <c r="BE554" s="124"/>
      <c r="BF554" s="124"/>
      <c r="BG554" s="124"/>
      <c r="BH554" s="124"/>
      <c r="BI554" s="124"/>
      <c r="BJ554" s="124"/>
      <c r="BK554" s="124"/>
      <c r="BL554" s="124"/>
      <c r="BM554" s="124"/>
      <c r="BN554" s="124"/>
      <c r="BO554" s="124"/>
      <c r="BP554" s="124"/>
      <c r="BQ554" s="124"/>
      <c r="BR554" s="124"/>
      <c r="BS554" s="124"/>
      <c r="BT554" s="124"/>
      <c r="BU554" s="124"/>
      <c r="BV554" s="124"/>
      <c r="BW554" s="124"/>
      <c r="BX554" s="124"/>
      <c r="BY554" s="124"/>
      <c r="BZ554" s="124"/>
      <c r="CA554" s="124"/>
      <c r="CB554" s="124"/>
      <c r="CC554" s="124"/>
      <c r="CD554" s="124"/>
      <c r="CE554" s="124"/>
      <c r="CF554" s="124"/>
      <c r="CG554" s="124"/>
      <c r="CH554" s="124"/>
      <c r="CI554" s="124"/>
      <c r="CJ554" s="124"/>
      <c r="CK554" s="124"/>
      <c r="CL554" s="124"/>
      <c r="CM554" s="124"/>
      <c r="CN554" s="124"/>
      <c r="CO554" s="124"/>
      <c r="CP554" s="124"/>
      <c r="CQ554" s="124"/>
      <c r="CR554" s="163"/>
      <c r="CS554" s="163"/>
      <c r="CT554" s="163"/>
      <c r="CU554" s="163"/>
      <c r="CV554" s="163"/>
      <c r="CW554" s="163"/>
      <c r="CX554" s="163"/>
      <c r="CY554" s="163"/>
      <c r="CZ554" s="163"/>
      <c r="DA554" s="163"/>
      <c r="DB554" s="163"/>
      <c r="DC554" s="163"/>
      <c r="DD554" s="163"/>
      <c r="DE554" s="163"/>
      <c r="DF554" s="163"/>
      <c r="DG554" s="163"/>
    </row>
    <row r="555" spans="54:111" ht="15" customHeight="1" thickBot="1" x14ac:dyDescent="0.25">
      <c r="BB555" s="25"/>
      <c r="BC555" s="25"/>
      <c r="BD555" s="25"/>
      <c r="BE555" s="25"/>
      <c r="BF555" s="25"/>
      <c r="BG555" s="25"/>
      <c r="BH555" s="25"/>
      <c r="BI555" s="25"/>
      <c r="BJ555" s="25"/>
      <c r="BK555" s="25"/>
      <c r="BL555" s="25"/>
      <c r="BM555" s="25"/>
      <c r="BN555" s="25"/>
      <c r="BO555" s="25"/>
      <c r="BP555" s="25"/>
      <c r="BQ555" s="25"/>
      <c r="BR555" s="25"/>
      <c r="BS555" s="25"/>
      <c r="BT555" s="25"/>
      <c r="BU555" s="25"/>
      <c r="BV555" s="25"/>
      <c r="BW555" s="25"/>
      <c r="BX555" s="25"/>
      <c r="BY555" s="25"/>
      <c r="BZ555" s="25"/>
      <c r="CA555" s="25"/>
      <c r="CB555" s="25"/>
      <c r="CC555" s="25"/>
      <c r="CD555" s="25"/>
      <c r="CE555" s="25"/>
      <c r="CF555" s="25"/>
      <c r="CG555" s="25"/>
      <c r="CH555" s="25"/>
      <c r="CI555" s="25"/>
      <c r="CJ555" s="25"/>
      <c r="CK555" s="25"/>
      <c r="CL555" s="25"/>
      <c r="CM555" s="25"/>
      <c r="CN555" s="25"/>
      <c r="CO555" s="25"/>
      <c r="CP555" s="25"/>
      <c r="CQ555" s="25"/>
    </row>
    <row r="556" spans="54:111" ht="15" customHeight="1" thickBot="1" x14ac:dyDescent="0.3">
      <c r="BB556" s="1830" t="s">
        <v>303</v>
      </c>
      <c r="BC556" s="1831"/>
      <c r="BD556" s="1831"/>
      <c r="BE556" s="1831"/>
      <c r="BF556" s="1831"/>
      <c r="BG556" s="1831"/>
      <c r="BH556" s="1831"/>
      <c r="BI556" s="1831"/>
      <c r="BJ556" s="1831"/>
      <c r="BK556" s="1831"/>
      <c r="BL556" s="1831"/>
      <c r="BM556" s="1831"/>
      <c r="BN556" s="1831"/>
      <c r="BO556" s="1831"/>
      <c r="BP556" s="1831"/>
      <c r="BQ556" s="1831"/>
      <c r="BR556" s="1831"/>
      <c r="BS556" s="1831"/>
      <c r="BT556" s="1831"/>
      <c r="BU556" s="1831"/>
      <c r="BV556" s="1831"/>
      <c r="BW556" s="1831"/>
      <c r="BX556" s="1831"/>
      <c r="BY556" s="1831"/>
      <c r="BZ556" s="1831"/>
      <c r="CA556" s="1831"/>
      <c r="CB556" s="1831"/>
      <c r="CC556" s="1831"/>
      <c r="CD556" s="1831"/>
      <c r="CE556" s="1831"/>
      <c r="CF556" s="1831"/>
      <c r="CG556" s="1831"/>
      <c r="CH556" s="1831"/>
      <c r="CI556" s="1831"/>
      <c r="CJ556" s="1831"/>
      <c r="CK556" s="1831"/>
      <c r="CL556" s="1831"/>
      <c r="CM556" s="1831"/>
      <c r="CN556" s="1831"/>
      <c r="CO556" s="1831"/>
      <c r="CP556" s="1831"/>
      <c r="CQ556" s="1831"/>
      <c r="CR556" s="1831"/>
      <c r="CS556" s="1831"/>
      <c r="CT556" s="1831"/>
      <c r="CU556" s="1831"/>
      <c r="CV556" s="1831"/>
      <c r="CW556" s="1831"/>
      <c r="CX556" s="1831"/>
      <c r="CY556" s="1831"/>
      <c r="CZ556" s="1831"/>
      <c r="DA556" s="1831"/>
      <c r="DB556" s="1831"/>
      <c r="DC556" s="1831"/>
      <c r="DD556" s="1831"/>
      <c r="DE556" s="1831"/>
      <c r="DF556" s="1831"/>
      <c r="DG556" s="1832"/>
    </row>
    <row r="557" spans="54:111" ht="15" customHeight="1" x14ac:dyDescent="0.2">
      <c r="BB557" s="26"/>
      <c r="BC557" s="27">
        <v>4</v>
      </c>
      <c r="BD557" s="27">
        <v>5</v>
      </c>
      <c r="BE557" s="27">
        <v>6</v>
      </c>
      <c r="BF557" s="27">
        <v>7</v>
      </c>
      <c r="BG557" s="27">
        <v>8</v>
      </c>
      <c r="BH557" s="27">
        <v>9</v>
      </c>
      <c r="BI557" s="27">
        <v>10</v>
      </c>
      <c r="BJ557" s="27">
        <v>11</v>
      </c>
      <c r="BK557" s="27">
        <v>12</v>
      </c>
      <c r="BL557" s="27">
        <v>13</v>
      </c>
      <c r="BM557" s="27">
        <v>14</v>
      </c>
      <c r="BN557" s="27">
        <v>15</v>
      </c>
      <c r="BO557" s="27">
        <v>16</v>
      </c>
      <c r="BP557" s="27">
        <v>17</v>
      </c>
      <c r="BQ557" s="27">
        <v>18</v>
      </c>
      <c r="BR557" s="27">
        <v>19</v>
      </c>
      <c r="BS557" s="27">
        <v>20</v>
      </c>
      <c r="BT557" s="27">
        <v>21</v>
      </c>
      <c r="BU557" s="27">
        <v>22</v>
      </c>
      <c r="BV557" s="27">
        <v>23</v>
      </c>
      <c r="BW557" s="27">
        <v>24</v>
      </c>
      <c r="BX557" s="27">
        <v>25</v>
      </c>
      <c r="BY557" s="27">
        <v>26</v>
      </c>
      <c r="BZ557" s="27">
        <v>27</v>
      </c>
      <c r="CA557" s="27">
        <v>28</v>
      </c>
      <c r="CB557" s="27">
        <v>29</v>
      </c>
      <c r="CC557" s="27">
        <v>30</v>
      </c>
      <c r="CD557" s="27">
        <v>31</v>
      </c>
      <c r="CE557" s="27">
        <v>32</v>
      </c>
      <c r="CF557" s="27">
        <v>33</v>
      </c>
      <c r="CG557" s="27">
        <v>34</v>
      </c>
      <c r="CH557" s="27">
        <v>35</v>
      </c>
      <c r="CI557" s="27">
        <v>36</v>
      </c>
      <c r="CJ557" s="27">
        <v>37</v>
      </c>
      <c r="CK557" s="27">
        <v>38</v>
      </c>
      <c r="CL557" s="27">
        <v>39</v>
      </c>
      <c r="CM557" s="27">
        <v>40</v>
      </c>
      <c r="CN557" s="27">
        <v>41</v>
      </c>
      <c r="CO557" s="27">
        <v>42</v>
      </c>
      <c r="CP557" s="27">
        <v>43</v>
      </c>
      <c r="CQ557" s="27">
        <v>44</v>
      </c>
      <c r="CR557" s="27">
        <v>45</v>
      </c>
      <c r="CS557" s="27">
        <v>46</v>
      </c>
      <c r="CT557" s="27">
        <v>47</v>
      </c>
      <c r="CU557" s="27">
        <v>48</v>
      </c>
      <c r="CV557" s="27">
        <v>49</v>
      </c>
      <c r="CW557" s="27">
        <v>50</v>
      </c>
      <c r="CX557" s="27">
        <v>51</v>
      </c>
      <c r="CY557" s="27">
        <v>52</v>
      </c>
      <c r="CZ557" s="27">
        <v>53</v>
      </c>
      <c r="DA557" s="27">
        <v>54</v>
      </c>
      <c r="DB557" s="27">
        <v>55</v>
      </c>
      <c r="DC557" s="27">
        <v>56</v>
      </c>
      <c r="DD557" s="27">
        <v>57</v>
      </c>
      <c r="DE557" s="27">
        <v>58</v>
      </c>
      <c r="DF557" s="27">
        <v>59</v>
      </c>
      <c r="DG557" s="142">
        <v>60</v>
      </c>
    </row>
    <row r="558" spans="54:111" ht="15" customHeight="1" x14ac:dyDescent="0.2">
      <c r="BB558" s="28">
        <v>4</v>
      </c>
      <c r="BC558" s="164">
        <v>3.44</v>
      </c>
      <c r="BD558" s="152">
        <f>(BE558+BC558)/2</f>
        <v>3.8704999999999998</v>
      </c>
      <c r="BE558" s="165">
        <v>4.3010000000000002</v>
      </c>
      <c r="BF558" s="152">
        <f>(BG558+BE558)/2</f>
        <v>4.673</v>
      </c>
      <c r="BG558" s="165">
        <v>5.0449999999999999</v>
      </c>
      <c r="BH558" s="152">
        <f>(BI558+BG558)/2</f>
        <v>5.3469999999999995</v>
      </c>
      <c r="BI558" s="165">
        <v>5.649</v>
      </c>
      <c r="BJ558" s="152">
        <f>(BK558+BI558)/2</f>
        <v>6.0209999999999999</v>
      </c>
      <c r="BK558" s="165">
        <v>6.3929999999999998</v>
      </c>
      <c r="BL558" s="152">
        <f>(BM558+BK558)/2</f>
        <v>6.7065000000000001</v>
      </c>
      <c r="BM558" s="165">
        <v>7.02</v>
      </c>
      <c r="BN558" s="152">
        <f>(BO558+BM558)/2</f>
        <v>7.3215000000000003</v>
      </c>
      <c r="BO558" s="165">
        <v>7.6230000000000002</v>
      </c>
      <c r="BP558" s="152">
        <f>(BQ558+BO558)/2</f>
        <v>7.9365000000000006</v>
      </c>
      <c r="BQ558" s="165">
        <v>8.25</v>
      </c>
      <c r="BR558" s="152">
        <f>(BS558+BQ558)/2</f>
        <v>8.5629999999999988</v>
      </c>
      <c r="BS558" s="165">
        <v>8.8759999999999994</v>
      </c>
      <c r="BT558" s="152">
        <f>(BU558+BS558)/2</f>
        <v>9.1185000000000009</v>
      </c>
      <c r="BU558" s="165">
        <v>9.3610000000000007</v>
      </c>
      <c r="BV558" s="152">
        <f>(BW558+BU558)/2</f>
        <v>9.6750000000000007</v>
      </c>
      <c r="BW558" s="165">
        <v>9.9890000000000008</v>
      </c>
      <c r="BX558" s="152">
        <f>(BY558+BW558)/2</f>
        <v>10.3025</v>
      </c>
      <c r="BY558" s="165">
        <v>10.616</v>
      </c>
      <c r="BZ558" s="152">
        <f>(CA558+BY558)/2</f>
        <v>10.849</v>
      </c>
      <c r="CA558" s="165">
        <v>11.082000000000001</v>
      </c>
      <c r="CB558" s="152">
        <f>(CC558+CA558)/2</f>
        <v>11.406000000000001</v>
      </c>
      <c r="CC558" s="165">
        <v>11.73</v>
      </c>
      <c r="CD558" s="152">
        <f>(CE558+CC558)/2</f>
        <v>11.984999999999999</v>
      </c>
      <c r="CE558" s="165">
        <v>12.24</v>
      </c>
      <c r="CF558" s="152">
        <f>(CG558+CE558)/2</f>
        <v>12.472999999999999</v>
      </c>
      <c r="CG558" s="165">
        <v>12.706</v>
      </c>
      <c r="CH558" s="152">
        <f>(CI558+CG558)/2</f>
        <v>12.971</v>
      </c>
      <c r="CI558" s="165">
        <v>13.236000000000001</v>
      </c>
      <c r="CJ558" s="152">
        <f>(CK558+CI558)/2</f>
        <v>13.5495</v>
      </c>
      <c r="CK558" s="165">
        <v>13.863</v>
      </c>
      <c r="CL558" s="152">
        <f>(CM558+CK558)/2</f>
        <v>14.096</v>
      </c>
      <c r="CM558" s="165">
        <v>14.329000000000001</v>
      </c>
      <c r="CN558" s="152">
        <f>(CO558+CM558)/2</f>
        <v>14.593500000000001</v>
      </c>
      <c r="CO558" s="165">
        <v>14.858000000000001</v>
      </c>
      <c r="CP558" s="152">
        <f>(CQ558+CO558)/2</f>
        <v>15.3285</v>
      </c>
      <c r="CQ558" s="165">
        <v>15.798999999999999</v>
      </c>
      <c r="CR558" s="120">
        <f>(CS558+CQ558)/2</f>
        <v>15.817</v>
      </c>
      <c r="CS558" s="156">
        <v>15.835000000000001</v>
      </c>
      <c r="CT558" s="120">
        <f>(CU558+CS558)/2</f>
        <v>16.100000000000001</v>
      </c>
      <c r="CU558" s="156">
        <v>16.364999999999998</v>
      </c>
      <c r="CV558" s="120">
        <f>(CW558+CU558)/2</f>
        <v>16.6205</v>
      </c>
      <c r="CW558" s="156">
        <v>16.876000000000001</v>
      </c>
      <c r="CX558" s="120">
        <f>(CY558+CW558)/2</f>
        <v>17.1675</v>
      </c>
      <c r="CY558" s="156">
        <v>17.459</v>
      </c>
      <c r="CZ558" s="120">
        <f>(DA558+CY558)/2</f>
        <v>17.723500000000001</v>
      </c>
      <c r="DA558" s="156">
        <v>17.988</v>
      </c>
      <c r="DB558" s="120">
        <f>(DC558+DA558)/2</f>
        <v>18.243000000000002</v>
      </c>
      <c r="DC558" s="156">
        <v>18.498000000000001</v>
      </c>
      <c r="DD558" s="120">
        <f>(DE558+DC558)/2</f>
        <v>18.673000000000002</v>
      </c>
      <c r="DE558" s="156">
        <v>18.847999999999999</v>
      </c>
      <c r="DF558" s="120">
        <f>(DG558+DE558)/2</f>
        <v>19.112499999999997</v>
      </c>
      <c r="DG558" s="157">
        <v>19.376999999999999</v>
      </c>
    </row>
    <row r="559" spans="54:111" ht="15" customHeight="1" x14ac:dyDescent="0.2">
      <c r="BB559" s="28">
        <v>5</v>
      </c>
      <c r="BC559" s="121">
        <f t="array" ref="BC559:BC614">TRANSPOSE(BD558:DG558)</f>
        <v>3.8704999999999998</v>
      </c>
      <c r="BD559" s="120">
        <f>(BC559+BE559)/2</f>
        <v>4.3162500000000001</v>
      </c>
      <c r="BE559" s="120">
        <f>(BE558+BE560)/2</f>
        <v>4.7620000000000005</v>
      </c>
      <c r="BF559" s="120">
        <f>(BE559+BG559)/2</f>
        <v>5.1835000000000004</v>
      </c>
      <c r="BG559" s="120">
        <f>(BG558+BG560)/2</f>
        <v>5.6050000000000004</v>
      </c>
      <c r="BH559" s="120">
        <f>(BG559+BI559)/2</f>
        <v>5.9575000000000005</v>
      </c>
      <c r="BI559" s="120">
        <f>(BI558+BI560)/2</f>
        <v>6.3100000000000005</v>
      </c>
      <c r="BJ559" s="120">
        <f>(BI559+BK559)/2</f>
        <v>6.702</v>
      </c>
      <c r="BK559" s="120">
        <f>(BK558+BK560)/2</f>
        <v>7.0939999999999994</v>
      </c>
      <c r="BL559" s="120">
        <f>(BK559+BM559)/2</f>
        <v>7.4517499999999997</v>
      </c>
      <c r="BM559" s="120">
        <f>(BM558+BM560)/2</f>
        <v>7.8094999999999999</v>
      </c>
      <c r="BN559" s="120">
        <f>(BM559+BO559)/2</f>
        <v>8.1370000000000005</v>
      </c>
      <c r="BO559" s="120">
        <f>(BO558+BO560)/2</f>
        <v>8.4644999999999992</v>
      </c>
      <c r="BP559" s="120">
        <f>(BO559+BQ559)/2</f>
        <v>8.7932500000000005</v>
      </c>
      <c r="BQ559" s="120">
        <f>(BQ558+BQ560)/2</f>
        <v>9.1219999999999999</v>
      </c>
      <c r="BR559" s="120">
        <f>(BQ559+BS559)/2</f>
        <v>9.48475</v>
      </c>
      <c r="BS559" s="120">
        <f>(BS558+BS560)/2</f>
        <v>9.8475000000000001</v>
      </c>
      <c r="BT559" s="120">
        <f>(BS559+BU559)/2</f>
        <v>10.140750000000001</v>
      </c>
      <c r="BU559" s="120">
        <f>(BU558+BU560)/2</f>
        <v>10.434000000000001</v>
      </c>
      <c r="BV559" s="120">
        <f>(BU559+BW559)/2</f>
        <v>10.7385</v>
      </c>
      <c r="BW559" s="120">
        <f>(BW558+BW560)/2</f>
        <v>11.042999999999999</v>
      </c>
      <c r="BX559" s="120">
        <f>(BW559+BY559)/2</f>
        <v>11.372</v>
      </c>
      <c r="BY559" s="120">
        <f>(BY558+BY560)/2</f>
        <v>11.701000000000001</v>
      </c>
      <c r="BZ559" s="120">
        <f>(BY559+CA559)/2</f>
        <v>11.994250000000001</v>
      </c>
      <c r="CA559" s="120">
        <f>(CA558+CA560)/2</f>
        <v>12.287500000000001</v>
      </c>
      <c r="CB559" s="120">
        <f>(CA559+CC559)/2</f>
        <v>12.621500000000001</v>
      </c>
      <c r="CC559" s="120">
        <f>(CC558+CC560)/2</f>
        <v>12.955500000000001</v>
      </c>
      <c r="CD559" s="120">
        <f>(CC559+CE559)/2</f>
        <v>13.23075</v>
      </c>
      <c r="CE559" s="120">
        <f>(CE558+CE560)/2</f>
        <v>13.506</v>
      </c>
      <c r="CF559" s="120">
        <f>(CE559+CG559)/2</f>
        <v>13.794499999999999</v>
      </c>
      <c r="CG559" s="120">
        <f>(CG558+CG560)/2</f>
        <v>14.083</v>
      </c>
      <c r="CH559" s="120">
        <f>(CG559+CI559)/2</f>
        <v>14.392250000000001</v>
      </c>
      <c r="CI559" s="120">
        <f>(CI558+CI560)/2</f>
        <v>14.701500000000001</v>
      </c>
      <c r="CJ559" s="120">
        <f>(CI559+CK559)/2</f>
        <v>15.001000000000001</v>
      </c>
      <c r="CK559" s="120">
        <f>(CK558+CK560)/2</f>
        <v>15.3005</v>
      </c>
      <c r="CL559" s="120">
        <f>(CK559+CM559)/2</f>
        <v>15.564499999999999</v>
      </c>
      <c r="CM559" s="120">
        <f>(CM558+CM560)/2</f>
        <v>15.8285</v>
      </c>
      <c r="CN559" s="120">
        <f>(CM559+CO559)/2</f>
        <v>16.132999999999999</v>
      </c>
      <c r="CO559" s="120">
        <f>(CO558+CO560)/2</f>
        <v>16.4375</v>
      </c>
      <c r="CP559" s="120">
        <f>(CO559+CQ559)/2</f>
        <v>16.820499999999999</v>
      </c>
      <c r="CQ559" s="120">
        <f>(CQ558+CQ560)/2</f>
        <v>17.203499999999998</v>
      </c>
      <c r="CR559" s="120">
        <f>(CQ559+CS559)/2</f>
        <v>17.384499999999999</v>
      </c>
      <c r="CS559" s="120">
        <f>(CS558+CS560)/2</f>
        <v>17.5655</v>
      </c>
      <c r="CT559" s="120">
        <f>(CS559+CU559)/2</f>
        <v>17.845500000000001</v>
      </c>
      <c r="CU559" s="120">
        <f>(CU558+CU560)/2</f>
        <v>18.125499999999999</v>
      </c>
      <c r="CV559" s="120">
        <f>(CU559+CW559)/2</f>
        <v>18.396000000000001</v>
      </c>
      <c r="CW559" s="120">
        <f>(CW558+CW560)/2</f>
        <v>18.666499999999999</v>
      </c>
      <c r="CX559" s="120">
        <f>(CW559+CY559)/2</f>
        <v>18.954999999999998</v>
      </c>
      <c r="CY559" s="120">
        <f>(CY558+CY560)/2</f>
        <v>19.243499999999997</v>
      </c>
      <c r="CZ559" s="120">
        <f>(CY559+DA559)/2</f>
        <v>19.55275</v>
      </c>
      <c r="DA559" s="120">
        <f>(DA558+DA560)/2</f>
        <v>19.862000000000002</v>
      </c>
      <c r="DB559" s="120">
        <f>(DA559+DC559)/2</f>
        <v>20.132249999999999</v>
      </c>
      <c r="DC559" s="120">
        <f>(DC558+DC560)/2</f>
        <v>20.4025</v>
      </c>
      <c r="DD559" s="120">
        <f>(DC559+DE559)/2</f>
        <v>20.637499999999999</v>
      </c>
      <c r="DE559" s="120">
        <f>(DE558+DE560)/2</f>
        <v>20.872499999999999</v>
      </c>
      <c r="DF559" s="120">
        <f>(DE559+DG559)/2</f>
        <v>21.147750000000002</v>
      </c>
      <c r="DG559" s="122">
        <f>(DG558+DG560)/2</f>
        <v>21.423000000000002</v>
      </c>
    </row>
    <row r="560" spans="54:111" ht="15" customHeight="1" x14ac:dyDescent="0.2">
      <c r="BB560" s="28">
        <v>6</v>
      </c>
      <c r="BC560" s="121">
        <v>4.3010000000000002</v>
      </c>
      <c r="BD560" s="121">
        <f t="array" ref="BD560:BD614">TRANSPOSE(BE559:DG559)</f>
        <v>4.7620000000000005</v>
      </c>
      <c r="BE560" s="158">
        <v>5.2229999999999999</v>
      </c>
      <c r="BF560" s="120">
        <f>(BG560+BE560)/2</f>
        <v>5.694</v>
      </c>
      <c r="BG560" s="158">
        <v>6.165</v>
      </c>
      <c r="BH560" s="120">
        <f>(BI560+BG560)/2</f>
        <v>6.5679999999999996</v>
      </c>
      <c r="BI560" s="158">
        <v>6.9710000000000001</v>
      </c>
      <c r="BJ560" s="120">
        <f>(BK560+BI560)/2</f>
        <v>7.383</v>
      </c>
      <c r="BK560" s="158">
        <v>7.7949999999999999</v>
      </c>
      <c r="BL560" s="120">
        <f>(BM560+BK560)/2</f>
        <v>8.1969999999999992</v>
      </c>
      <c r="BM560" s="158">
        <v>8.5990000000000002</v>
      </c>
      <c r="BN560" s="120">
        <f>(BO560+BM560)/2</f>
        <v>8.9525000000000006</v>
      </c>
      <c r="BO560" s="158">
        <v>9.3059999999999992</v>
      </c>
      <c r="BP560" s="120">
        <f>(BQ560+BO560)/2</f>
        <v>9.6499999999999986</v>
      </c>
      <c r="BQ560" s="158">
        <v>9.9939999999999998</v>
      </c>
      <c r="BR560" s="120">
        <f>(BS560+BQ560)/2</f>
        <v>10.406500000000001</v>
      </c>
      <c r="BS560" s="158">
        <v>10.819000000000001</v>
      </c>
      <c r="BT560" s="120">
        <f>(BU560+BS560)/2</f>
        <v>11.163</v>
      </c>
      <c r="BU560" s="158">
        <v>11.507</v>
      </c>
      <c r="BV560" s="120">
        <f>(BW560+BU560)/2</f>
        <v>11.802</v>
      </c>
      <c r="BW560" s="158">
        <v>12.097</v>
      </c>
      <c r="BX560" s="120">
        <f>(BY560+BW560)/2</f>
        <v>12.4415</v>
      </c>
      <c r="BY560" s="158">
        <v>12.786</v>
      </c>
      <c r="BZ560" s="120">
        <f>(CA560+BY560)/2</f>
        <v>13.1395</v>
      </c>
      <c r="CA560" s="158">
        <v>13.493</v>
      </c>
      <c r="CB560" s="120">
        <f>(CC560+CA560)/2</f>
        <v>13.837</v>
      </c>
      <c r="CC560" s="158">
        <v>14.180999999999999</v>
      </c>
      <c r="CD560" s="120">
        <f>(CE560+CC560)/2</f>
        <v>14.4765</v>
      </c>
      <c r="CE560" s="158">
        <v>14.772</v>
      </c>
      <c r="CF560" s="120">
        <f>(CG560+CE560)/2</f>
        <v>15.116</v>
      </c>
      <c r="CG560" s="158">
        <v>15.46</v>
      </c>
      <c r="CH560" s="120">
        <f>(CI560+CG560)/2</f>
        <v>15.813500000000001</v>
      </c>
      <c r="CI560" s="158">
        <v>16.167000000000002</v>
      </c>
      <c r="CJ560" s="120">
        <f>(CK560+CI560)/2</f>
        <v>16.452500000000001</v>
      </c>
      <c r="CK560" s="158">
        <v>16.738</v>
      </c>
      <c r="CL560" s="120">
        <f>(CM560+CK560)/2</f>
        <v>17.033000000000001</v>
      </c>
      <c r="CM560" s="158">
        <v>17.327999999999999</v>
      </c>
      <c r="CN560" s="120">
        <f>(CO560+CM560)/2</f>
        <v>17.672499999999999</v>
      </c>
      <c r="CO560" s="158">
        <v>18.016999999999999</v>
      </c>
      <c r="CP560" s="120">
        <f>(CQ560+CO560)/2</f>
        <v>18.3125</v>
      </c>
      <c r="CQ560" s="158">
        <v>18.608000000000001</v>
      </c>
      <c r="CR560" s="120">
        <f>(CS560+CQ560)/2</f>
        <v>18.951999999999998</v>
      </c>
      <c r="CS560" s="158">
        <v>19.295999999999999</v>
      </c>
      <c r="CT560" s="120">
        <f>(CU560+CS560)/2</f>
        <v>19.591000000000001</v>
      </c>
      <c r="CU560" s="158">
        <v>19.885999999999999</v>
      </c>
      <c r="CV560" s="120">
        <f>(CW560+CU560)/2</f>
        <v>20.171500000000002</v>
      </c>
      <c r="CW560" s="158">
        <v>20.457000000000001</v>
      </c>
      <c r="CX560" s="120">
        <f>(CY560+CW560)/2</f>
        <v>20.7425</v>
      </c>
      <c r="CY560" s="158">
        <v>21.027999999999999</v>
      </c>
      <c r="CZ560" s="120">
        <f>(DA560+CY560)/2</f>
        <v>21.381999999999998</v>
      </c>
      <c r="DA560" s="158">
        <v>21.736000000000001</v>
      </c>
      <c r="DB560" s="120">
        <f>(DC560+DA560)/2</f>
        <v>22.0215</v>
      </c>
      <c r="DC560" s="158">
        <v>22.306999999999999</v>
      </c>
      <c r="DD560" s="120">
        <f>(DE560+DC560)/2</f>
        <v>22.601999999999997</v>
      </c>
      <c r="DE560" s="158">
        <v>22.896999999999998</v>
      </c>
      <c r="DF560" s="120">
        <f>(DG560+DE560)/2</f>
        <v>23.183</v>
      </c>
      <c r="DG560" s="159">
        <v>23.469000000000001</v>
      </c>
    </row>
    <row r="561" spans="54:111" ht="15" customHeight="1" x14ac:dyDescent="0.2">
      <c r="BB561" s="28">
        <v>7</v>
      </c>
      <c r="BC561" s="121">
        <v>4.673</v>
      </c>
      <c r="BD561" s="121">
        <v>5.1835000000000004</v>
      </c>
      <c r="BE561" s="121">
        <f t="array" ref="BE561:BE614">TRANSPOSE(BF560:DG560)</f>
        <v>5.694</v>
      </c>
      <c r="BF561" s="120">
        <f>(BE561+BG561)/2</f>
        <v>6.18</v>
      </c>
      <c r="BG561" s="120">
        <f>(BG560+BG562)/2</f>
        <v>6.6660000000000004</v>
      </c>
      <c r="BH561" s="120">
        <f>(BG561+BI561)/2</f>
        <v>7.1240000000000006</v>
      </c>
      <c r="BI561" s="120">
        <f>(BI560+BI562)/2</f>
        <v>7.5819999999999999</v>
      </c>
      <c r="BJ561" s="120">
        <f>(BI561+BK561)/2</f>
        <v>8.0092499999999998</v>
      </c>
      <c r="BK561" s="120">
        <f>(BK560+BK562)/2</f>
        <v>8.4364999999999988</v>
      </c>
      <c r="BL561" s="120">
        <f>(BK561+BM561)/2</f>
        <v>8.8539999999999992</v>
      </c>
      <c r="BM561" s="120">
        <f>(BM560+BM562)/2</f>
        <v>9.2714999999999996</v>
      </c>
      <c r="BN561" s="120">
        <f>(BM561+BO561)/2</f>
        <v>9.6807499999999997</v>
      </c>
      <c r="BO561" s="120">
        <f>(BO560+BO562)/2</f>
        <v>10.09</v>
      </c>
      <c r="BP561" s="120">
        <f>(BO561+BQ561)/2</f>
        <v>10.454000000000001</v>
      </c>
      <c r="BQ561" s="120">
        <f>(BQ560+BQ562)/2</f>
        <v>10.818</v>
      </c>
      <c r="BR561" s="120">
        <f>(BQ561+BS561)/2</f>
        <v>11.240749999999998</v>
      </c>
      <c r="BS561" s="120">
        <f>(BS560+BS562)/2</f>
        <v>11.663499999999999</v>
      </c>
      <c r="BT561" s="120">
        <f>(BS561+BU561)/2</f>
        <v>12.038499999999999</v>
      </c>
      <c r="BU561" s="120">
        <f>(BU560+BU562)/2</f>
        <v>12.413499999999999</v>
      </c>
      <c r="BV561" s="120">
        <f>(BU561+BW561)/2</f>
        <v>12.75325</v>
      </c>
      <c r="BW561" s="120">
        <f>(BW560+BW562)/2</f>
        <v>13.093</v>
      </c>
      <c r="BX561" s="120">
        <f>(BW561+BY561)/2</f>
        <v>13.48175</v>
      </c>
      <c r="BY561" s="120">
        <f>(BY560+BY562)/2</f>
        <v>13.8705</v>
      </c>
      <c r="BZ561" s="120">
        <f>(BY561+CA561)/2</f>
        <v>14.250249999999999</v>
      </c>
      <c r="CA561" s="120">
        <f>(CA560+CA562)/2</f>
        <v>14.629999999999999</v>
      </c>
      <c r="CB561" s="120">
        <f>(CA561+CC561)/2</f>
        <v>14.964749999999999</v>
      </c>
      <c r="CC561" s="120">
        <f>(CC560+CC562)/2</f>
        <v>15.299499999999998</v>
      </c>
      <c r="CD561" s="120">
        <f>(CC561+CE561)/2</f>
        <v>15.634749999999999</v>
      </c>
      <c r="CE561" s="120">
        <f>(CE560+CE562)/2</f>
        <v>15.969999999999999</v>
      </c>
      <c r="CF561" s="120">
        <f>(CE561+CG561)/2</f>
        <v>16.344999999999999</v>
      </c>
      <c r="CG561" s="120">
        <f>(CG560+CG562)/2</f>
        <v>16.72</v>
      </c>
      <c r="CH561" s="120">
        <f>(CG561+CI561)/2</f>
        <v>17.088750000000001</v>
      </c>
      <c r="CI561" s="120">
        <f>(CI560+CI562)/2</f>
        <v>17.457500000000003</v>
      </c>
      <c r="CJ561" s="120">
        <f>(CI561+CK561)/2</f>
        <v>17.787500000000001</v>
      </c>
      <c r="CK561" s="120">
        <f>(CK560+CK562)/2</f>
        <v>18.1175</v>
      </c>
      <c r="CL561" s="120">
        <f>(CK561+CM561)/2</f>
        <v>18.439</v>
      </c>
      <c r="CM561" s="120">
        <f>(CM560+CM562)/2</f>
        <v>18.7605</v>
      </c>
      <c r="CN561" s="120">
        <f>(CM561+CO561)/2</f>
        <v>19.12</v>
      </c>
      <c r="CO561" s="120">
        <f>(CO560+CO562)/2</f>
        <v>19.479500000000002</v>
      </c>
      <c r="CP561" s="120">
        <f>(CO561+CQ561)/2</f>
        <v>19.79</v>
      </c>
      <c r="CQ561" s="120">
        <f>(CQ560+CQ562)/2</f>
        <v>20.1005</v>
      </c>
      <c r="CR561" s="120">
        <f>(CQ561+CS561)/2</f>
        <v>20.475250000000003</v>
      </c>
      <c r="CS561" s="120">
        <f>(CS560+CS562)/2</f>
        <v>20.85</v>
      </c>
      <c r="CT561" s="120">
        <f>(CS561+CU561)/2</f>
        <v>21.1555</v>
      </c>
      <c r="CU561" s="120">
        <f>(CU560+CU562)/2</f>
        <v>21.460999999999999</v>
      </c>
      <c r="CV561" s="120">
        <f>(CU561+CW561)/2</f>
        <v>21.795999999999999</v>
      </c>
      <c r="CW561" s="120">
        <f>(CW560+CW562)/2</f>
        <v>22.131</v>
      </c>
      <c r="CX561" s="120">
        <f>(CW561+CY561)/2</f>
        <v>22.447499999999998</v>
      </c>
      <c r="CY561" s="120">
        <f>(CY560+CY562)/2</f>
        <v>22.763999999999999</v>
      </c>
      <c r="CZ561" s="120">
        <f>(CY561+DA561)/2</f>
        <v>23.128250000000001</v>
      </c>
      <c r="DA561" s="120">
        <f>(DA560+DA562)/2</f>
        <v>23.4925</v>
      </c>
      <c r="DB561" s="120">
        <f>(DA561+DC561)/2</f>
        <v>23.797999999999998</v>
      </c>
      <c r="DC561" s="120">
        <f>(DC560+DC562)/2</f>
        <v>24.103499999999997</v>
      </c>
      <c r="DD561" s="120">
        <f>(DC561+DE561)/2</f>
        <v>24.424999999999997</v>
      </c>
      <c r="DE561" s="120">
        <f>(DE560+DE562)/2</f>
        <v>24.746499999999997</v>
      </c>
      <c r="DF561" s="120">
        <f>(DE561+DG561)/2</f>
        <v>25.076749999999997</v>
      </c>
      <c r="DG561" s="122">
        <f>(DG560+DG562)/2</f>
        <v>25.407</v>
      </c>
    </row>
    <row r="562" spans="54:111" ht="15" customHeight="1" x14ac:dyDescent="0.2">
      <c r="BB562" s="28">
        <v>8</v>
      </c>
      <c r="BC562" s="121">
        <v>5.0449999999999999</v>
      </c>
      <c r="BD562" s="121">
        <v>5.6050000000000004</v>
      </c>
      <c r="BE562" s="121">
        <v>6.165</v>
      </c>
      <c r="BF562" s="121">
        <f t="array" ref="BF562:BF614">TRANSPOSE(BG561:DG561)</f>
        <v>6.6660000000000004</v>
      </c>
      <c r="BG562" s="158">
        <v>7.1669999999999998</v>
      </c>
      <c r="BH562" s="120">
        <f>(BI562+BG562)/2</f>
        <v>7.68</v>
      </c>
      <c r="BI562" s="158">
        <v>8.1929999999999996</v>
      </c>
      <c r="BJ562" s="120">
        <f>(BK562+BI562)/2</f>
        <v>8.6355000000000004</v>
      </c>
      <c r="BK562" s="158">
        <v>9.0779999999999994</v>
      </c>
      <c r="BL562" s="120">
        <f>(BM562+BK562)/2</f>
        <v>9.5109999999999992</v>
      </c>
      <c r="BM562" s="158">
        <v>9.9440000000000008</v>
      </c>
      <c r="BN562" s="120">
        <f>(BO562+BM562)/2</f>
        <v>10.409000000000001</v>
      </c>
      <c r="BO562" s="158">
        <v>10.874000000000001</v>
      </c>
      <c r="BP562" s="120">
        <f>(BQ562+BO562)/2</f>
        <v>11.257999999999999</v>
      </c>
      <c r="BQ562" s="158">
        <v>11.641999999999999</v>
      </c>
      <c r="BR562" s="120">
        <f>(BS562+BQ562)/2</f>
        <v>12.074999999999999</v>
      </c>
      <c r="BS562" s="158">
        <v>12.507999999999999</v>
      </c>
      <c r="BT562" s="120">
        <f>(BU562+BS562)/2</f>
        <v>12.914</v>
      </c>
      <c r="BU562" s="158">
        <v>13.32</v>
      </c>
      <c r="BV562" s="120">
        <f>(BW562+BU562)/2</f>
        <v>13.704499999999999</v>
      </c>
      <c r="BW562" s="158">
        <v>14.089</v>
      </c>
      <c r="BX562" s="120">
        <f>(BY562+BW562)/2</f>
        <v>14.522</v>
      </c>
      <c r="BY562" s="158">
        <v>14.955</v>
      </c>
      <c r="BZ562" s="120">
        <f>(CA562+BY562)/2</f>
        <v>15.361000000000001</v>
      </c>
      <c r="CA562" s="158">
        <v>15.766999999999999</v>
      </c>
      <c r="CB562" s="120">
        <f>(CC562+CA562)/2</f>
        <v>16.092500000000001</v>
      </c>
      <c r="CC562" s="158">
        <v>16.417999999999999</v>
      </c>
      <c r="CD562" s="120">
        <f>(CE562+CC562)/2</f>
        <v>16.792999999999999</v>
      </c>
      <c r="CE562" s="158">
        <v>17.167999999999999</v>
      </c>
      <c r="CF562" s="120">
        <f>(CG562+CE562)/2</f>
        <v>17.573999999999998</v>
      </c>
      <c r="CG562" s="158">
        <v>17.98</v>
      </c>
      <c r="CH562" s="120">
        <f>(CI562+CG562)/2</f>
        <v>18.364000000000001</v>
      </c>
      <c r="CI562" s="158">
        <v>18.748000000000001</v>
      </c>
      <c r="CJ562" s="120">
        <f>(CK562+CI562)/2</f>
        <v>19.122500000000002</v>
      </c>
      <c r="CK562" s="158">
        <v>19.497</v>
      </c>
      <c r="CL562" s="120">
        <f>(CM562+CK562)/2</f>
        <v>19.844999999999999</v>
      </c>
      <c r="CM562" s="158">
        <v>20.193000000000001</v>
      </c>
      <c r="CN562" s="120">
        <f>(CO562+CM562)/2</f>
        <v>20.567500000000003</v>
      </c>
      <c r="CO562" s="158">
        <v>20.942</v>
      </c>
      <c r="CP562" s="120">
        <f>(CQ562+CO562)/2</f>
        <v>21.267499999999998</v>
      </c>
      <c r="CQ562" s="158">
        <v>21.593</v>
      </c>
      <c r="CR562" s="120">
        <f>(CS562+CQ562)/2</f>
        <v>21.9985</v>
      </c>
      <c r="CS562" s="158">
        <v>22.404</v>
      </c>
      <c r="CT562" s="120">
        <f>(CU562+CS562)/2</f>
        <v>22.72</v>
      </c>
      <c r="CU562" s="158">
        <v>23.036000000000001</v>
      </c>
      <c r="CV562" s="120">
        <f>(CW562+CU562)/2</f>
        <v>23.420500000000001</v>
      </c>
      <c r="CW562" s="158">
        <v>23.805</v>
      </c>
      <c r="CX562" s="120">
        <f>(CY562+CW562)/2</f>
        <v>24.1525</v>
      </c>
      <c r="CY562" s="158">
        <v>24.5</v>
      </c>
      <c r="CZ562" s="120">
        <f>(DA562+CY562)/2</f>
        <v>24.874499999999998</v>
      </c>
      <c r="DA562" s="158">
        <v>25.248999999999999</v>
      </c>
      <c r="DB562" s="120">
        <f>(DC562+DA562)/2</f>
        <v>25.5745</v>
      </c>
      <c r="DC562" s="158">
        <v>25.9</v>
      </c>
      <c r="DD562" s="120">
        <f>(DE562+DC562)/2</f>
        <v>26.247999999999998</v>
      </c>
      <c r="DE562" s="158">
        <v>26.596</v>
      </c>
      <c r="DF562" s="120">
        <f>(DG562+DE562)/2</f>
        <v>26.970500000000001</v>
      </c>
      <c r="DG562" s="159">
        <v>27.344999999999999</v>
      </c>
    </row>
    <row r="563" spans="54:111" ht="15" customHeight="1" x14ac:dyDescent="0.2">
      <c r="BB563" s="28">
        <v>9</v>
      </c>
      <c r="BC563" s="121">
        <v>5.3469999999999995</v>
      </c>
      <c r="BD563" s="121">
        <v>5.9575000000000005</v>
      </c>
      <c r="BE563" s="121">
        <v>6.5679999999999996</v>
      </c>
      <c r="BF563" s="121">
        <v>7.1240000000000006</v>
      </c>
      <c r="BG563" s="121">
        <f t="array" ref="BG563:BG614">TRANSPOSE(BH562:DG562)</f>
        <v>7.68</v>
      </c>
      <c r="BH563" s="120">
        <f>(BG563+BI563)/2</f>
        <v>8.2022499999999994</v>
      </c>
      <c r="BI563" s="120">
        <f>(BI562+BI564)/2</f>
        <v>8.724499999999999</v>
      </c>
      <c r="BJ563" s="120">
        <f>(BI563+BK563)/2</f>
        <v>9.2227499999999996</v>
      </c>
      <c r="BK563" s="120">
        <f>(BK562+BK564)/2</f>
        <v>9.7210000000000001</v>
      </c>
      <c r="BL563" s="120">
        <f>(BK563+BM563)/2</f>
        <v>10.185</v>
      </c>
      <c r="BM563" s="120">
        <f>(BM562+BM564)/2</f>
        <v>10.649000000000001</v>
      </c>
      <c r="BN563" s="120">
        <f>(BM563+BO563)/2</f>
        <v>11.113</v>
      </c>
      <c r="BO563" s="120">
        <f>(BO562+BO564)/2</f>
        <v>11.577</v>
      </c>
      <c r="BP563" s="120">
        <f>(BO563+BQ563)/2</f>
        <v>12.016500000000001</v>
      </c>
      <c r="BQ563" s="120">
        <f>(BQ562+BQ564)/2</f>
        <v>12.456</v>
      </c>
      <c r="BR563" s="120">
        <f>(BQ563+BS563)/2</f>
        <v>12.891</v>
      </c>
      <c r="BS563" s="120">
        <f>(BS562+BS564)/2</f>
        <v>13.326000000000001</v>
      </c>
      <c r="BT563" s="120">
        <f>(BS563+BU563)/2</f>
        <v>13.765499999999999</v>
      </c>
      <c r="BU563" s="120">
        <f>(BU562+BU564)/2</f>
        <v>14.205</v>
      </c>
      <c r="BV563" s="120">
        <f>(BU563+BW563)/2</f>
        <v>14.615500000000001</v>
      </c>
      <c r="BW563" s="120">
        <f>(BW562+BW564)/2</f>
        <v>15.026</v>
      </c>
      <c r="BX563" s="120">
        <f>(BW563+BY563)/2</f>
        <v>15.485250000000001</v>
      </c>
      <c r="BY563" s="120">
        <f>(BY562+BY564)/2</f>
        <v>15.944500000000001</v>
      </c>
      <c r="BZ563" s="120">
        <f>(BY563+CA563)/2</f>
        <v>16.354750000000003</v>
      </c>
      <c r="CA563" s="120">
        <f>(CA562+CA564)/2</f>
        <v>16.765000000000001</v>
      </c>
      <c r="CB563" s="120">
        <f>(CA563+CC563)/2</f>
        <v>17.146000000000001</v>
      </c>
      <c r="CC563" s="120">
        <f>(CC562+CC564)/2</f>
        <v>17.527000000000001</v>
      </c>
      <c r="CD563" s="120">
        <f>(CC563+CE563)/2</f>
        <v>17.933</v>
      </c>
      <c r="CE563" s="120">
        <f>(CE562+CE564)/2</f>
        <v>18.338999999999999</v>
      </c>
      <c r="CF563" s="120">
        <f>(CE563+CG563)/2</f>
        <v>18.74925</v>
      </c>
      <c r="CG563" s="120">
        <f>(CG562+CG564)/2</f>
        <v>19.159500000000001</v>
      </c>
      <c r="CH563" s="120">
        <f>(CG563+CI563)/2</f>
        <v>19.56475</v>
      </c>
      <c r="CI563" s="120">
        <f>(CI562+CI564)/2</f>
        <v>19.97</v>
      </c>
      <c r="CJ563" s="120">
        <f>(CI563+CK563)/2</f>
        <v>20.375499999999999</v>
      </c>
      <c r="CK563" s="120">
        <f>(CK562+CK564)/2</f>
        <v>20.780999999999999</v>
      </c>
      <c r="CL563" s="120">
        <f>(CK563+CM563)/2</f>
        <v>21.162500000000001</v>
      </c>
      <c r="CM563" s="120">
        <f>(CM562+CM564)/2</f>
        <v>21.544</v>
      </c>
      <c r="CN563" s="120">
        <f>(CM563+CO563)/2</f>
        <v>21.9495</v>
      </c>
      <c r="CO563" s="120">
        <f>(CO562+CO564)/2</f>
        <v>22.355</v>
      </c>
      <c r="CP563" s="120">
        <f>(CO563+CQ563)/2</f>
        <v>22.706499999999998</v>
      </c>
      <c r="CQ563" s="120">
        <f>(CQ562+CQ564)/2</f>
        <v>23.058</v>
      </c>
      <c r="CR563" s="120">
        <f>(CQ563+CS563)/2</f>
        <v>23.463249999999999</v>
      </c>
      <c r="CS563" s="120">
        <f>(CS562+CS564)/2</f>
        <v>23.868499999999997</v>
      </c>
      <c r="CT563" s="120">
        <f>(CS563+CU563)/2</f>
        <v>24.244999999999997</v>
      </c>
      <c r="CU563" s="120">
        <f>(CU562+CU564)/2</f>
        <v>24.621500000000001</v>
      </c>
      <c r="CV563" s="120">
        <f>(CU563+CW563)/2</f>
        <v>25.002749999999999</v>
      </c>
      <c r="CW563" s="120">
        <f>(CW562+CW564)/2</f>
        <v>25.384</v>
      </c>
      <c r="CX563" s="120">
        <f>(CW563+CY563)/2</f>
        <v>25.765000000000001</v>
      </c>
      <c r="CY563" s="120">
        <f>(CY562+CY564)/2</f>
        <v>26.146000000000001</v>
      </c>
      <c r="CZ563" s="120">
        <f>(CY563+DA563)/2</f>
        <v>26.52225</v>
      </c>
      <c r="DA563" s="120">
        <f>(DA562+DA564)/2</f>
        <v>26.898499999999999</v>
      </c>
      <c r="DB563" s="120">
        <f>(DA563+DC563)/2</f>
        <v>27.274749999999997</v>
      </c>
      <c r="DC563" s="120">
        <f>(DC562+DC564)/2</f>
        <v>27.651</v>
      </c>
      <c r="DD563" s="120">
        <f>(DC563+DE563)/2</f>
        <v>28.003</v>
      </c>
      <c r="DE563" s="120">
        <f>(DE562+DE564)/2</f>
        <v>28.355</v>
      </c>
      <c r="DF563" s="120">
        <f>(DE563+DG563)/2</f>
        <v>28.7605</v>
      </c>
      <c r="DG563" s="122">
        <f>(DG562+DG564)/2</f>
        <v>29.165999999999997</v>
      </c>
    </row>
    <row r="564" spans="54:111" ht="15" customHeight="1" x14ac:dyDescent="0.2">
      <c r="BB564" s="28">
        <v>10</v>
      </c>
      <c r="BC564" s="121">
        <v>5.649</v>
      </c>
      <c r="BD564" s="121">
        <v>6.3100000000000005</v>
      </c>
      <c r="BE564" s="121">
        <v>6.9710000000000001</v>
      </c>
      <c r="BF564" s="121">
        <v>7.5819999999999999</v>
      </c>
      <c r="BG564" s="121">
        <v>8.1929999999999996</v>
      </c>
      <c r="BH564" s="121">
        <f t="array" ref="BH564:BH614">TRANSPOSE(BI563:DG563)</f>
        <v>8.724499999999999</v>
      </c>
      <c r="BI564" s="158">
        <v>9.2560000000000002</v>
      </c>
      <c r="BJ564" s="120">
        <f>(BK564+BI564)/2</f>
        <v>9.81</v>
      </c>
      <c r="BK564" s="158">
        <v>10.364000000000001</v>
      </c>
      <c r="BL564" s="120">
        <f>(BM564+BK564)/2</f>
        <v>10.859</v>
      </c>
      <c r="BM564" s="158">
        <v>11.353999999999999</v>
      </c>
      <c r="BN564" s="120">
        <f>(BO564+BM564)/2</f>
        <v>11.817</v>
      </c>
      <c r="BO564" s="158">
        <v>12.28</v>
      </c>
      <c r="BP564" s="120">
        <f>(BQ564+BO564)/2</f>
        <v>12.774999999999999</v>
      </c>
      <c r="BQ564" s="158">
        <v>13.27</v>
      </c>
      <c r="BR564" s="120">
        <f>(BS564+BQ564)/2</f>
        <v>13.707000000000001</v>
      </c>
      <c r="BS564" s="158">
        <v>14.144</v>
      </c>
      <c r="BT564" s="120">
        <f>(BU564+BS564)/2</f>
        <v>14.617000000000001</v>
      </c>
      <c r="BU564" s="158">
        <v>15.09</v>
      </c>
      <c r="BV564" s="120">
        <f>(BW564+BU564)/2</f>
        <v>15.526499999999999</v>
      </c>
      <c r="BW564" s="158">
        <v>15.962999999999999</v>
      </c>
      <c r="BX564" s="120">
        <f>(BY564+BW564)/2</f>
        <v>16.448499999999999</v>
      </c>
      <c r="BY564" s="158">
        <v>16.934000000000001</v>
      </c>
      <c r="BZ564" s="120">
        <f>(CA564+BY564)/2</f>
        <v>17.348500000000001</v>
      </c>
      <c r="CA564" s="158">
        <v>17.763000000000002</v>
      </c>
      <c r="CB564" s="120">
        <f>(CC564+CA564)/2</f>
        <v>18.1995</v>
      </c>
      <c r="CC564" s="158">
        <v>18.635999999999999</v>
      </c>
      <c r="CD564" s="120">
        <f>(CE564+CC564)/2</f>
        <v>19.073</v>
      </c>
      <c r="CE564" s="158">
        <v>19.510000000000002</v>
      </c>
      <c r="CF564" s="120">
        <f>(CG564+CE564)/2</f>
        <v>19.924500000000002</v>
      </c>
      <c r="CG564" s="158">
        <v>20.338999999999999</v>
      </c>
      <c r="CH564" s="120">
        <f>(CI564+CG564)/2</f>
        <v>20.765499999999999</v>
      </c>
      <c r="CI564" s="158">
        <v>21.192</v>
      </c>
      <c r="CJ564" s="120">
        <f>(CK564+CI564)/2</f>
        <v>21.628500000000003</v>
      </c>
      <c r="CK564" s="158">
        <v>22.065000000000001</v>
      </c>
      <c r="CL564" s="120">
        <f>(CM564+CK564)/2</f>
        <v>22.48</v>
      </c>
      <c r="CM564" s="158">
        <v>22.895</v>
      </c>
      <c r="CN564" s="120">
        <f>(CO564+CM564)/2</f>
        <v>23.331499999999998</v>
      </c>
      <c r="CO564" s="158">
        <v>23.768000000000001</v>
      </c>
      <c r="CP564" s="120">
        <f>(CQ564+CO564)/2</f>
        <v>24.145499999999998</v>
      </c>
      <c r="CQ564" s="158">
        <v>24.523</v>
      </c>
      <c r="CR564" s="120">
        <f>(CS564+CQ564)/2</f>
        <v>24.927999999999997</v>
      </c>
      <c r="CS564" s="158">
        <v>25.332999999999998</v>
      </c>
      <c r="CT564" s="120">
        <f>(CU564+CS564)/2</f>
        <v>25.77</v>
      </c>
      <c r="CU564" s="158">
        <v>26.207000000000001</v>
      </c>
      <c r="CV564" s="120">
        <f>(CW564+CU564)/2</f>
        <v>26.585000000000001</v>
      </c>
      <c r="CW564" s="158">
        <v>26.963000000000001</v>
      </c>
      <c r="CX564" s="120">
        <f>(CY564+CW564)/2</f>
        <v>27.377500000000001</v>
      </c>
      <c r="CY564" s="158">
        <v>27.792000000000002</v>
      </c>
      <c r="CZ564" s="120">
        <f>(DA564+CY564)/2</f>
        <v>28.17</v>
      </c>
      <c r="DA564" s="158">
        <v>28.547999999999998</v>
      </c>
      <c r="DB564" s="120">
        <f>(DC564+DA564)/2</f>
        <v>28.975000000000001</v>
      </c>
      <c r="DC564" s="158">
        <v>29.402000000000001</v>
      </c>
      <c r="DD564" s="120">
        <f>(DE564+DC564)/2</f>
        <v>29.758000000000003</v>
      </c>
      <c r="DE564" s="158">
        <v>30.114000000000001</v>
      </c>
      <c r="DF564" s="120">
        <f>(DG564+DE564)/2</f>
        <v>30.5505</v>
      </c>
      <c r="DG564" s="159">
        <v>30.986999999999998</v>
      </c>
    </row>
    <row r="565" spans="54:111" ht="15" customHeight="1" x14ac:dyDescent="0.2">
      <c r="BB565" s="28">
        <v>11</v>
      </c>
      <c r="BC565" s="121">
        <v>6.0209999999999999</v>
      </c>
      <c r="BD565" s="121">
        <v>6.702</v>
      </c>
      <c r="BE565" s="121">
        <v>7.383</v>
      </c>
      <c r="BF565" s="121">
        <v>8.0092499999999998</v>
      </c>
      <c r="BG565" s="121">
        <v>8.6355000000000004</v>
      </c>
      <c r="BH565" s="121">
        <v>9.2227499999999996</v>
      </c>
      <c r="BI565" s="121">
        <f t="array" ref="BI565:BI614">TRANSPOSE(BJ564:DG564)</f>
        <v>9.81</v>
      </c>
      <c r="BJ565" s="120">
        <f>(BI565+BK565)/2</f>
        <v>10.349499999999999</v>
      </c>
      <c r="BK565" s="120">
        <f>(BK564+BK566)/2</f>
        <v>10.888999999999999</v>
      </c>
      <c r="BL565" s="120">
        <f>(BK565+BM565)/2</f>
        <v>11.4285</v>
      </c>
      <c r="BM565" s="120">
        <f>(BM564+BM566)/2</f>
        <v>11.968</v>
      </c>
      <c r="BN565" s="120">
        <f>(BM565+BO565)/2</f>
        <v>12.4625</v>
      </c>
      <c r="BO565" s="120">
        <f>(BO564+BO566)/2</f>
        <v>12.957000000000001</v>
      </c>
      <c r="BP565" s="120">
        <f>(BO565+BQ565)/2</f>
        <v>13.49625</v>
      </c>
      <c r="BQ565" s="120">
        <f>(BQ564+BQ566)/2</f>
        <v>14.035499999999999</v>
      </c>
      <c r="BR565" s="120">
        <f>(BQ565+BS565)/2</f>
        <v>14.487499999999999</v>
      </c>
      <c r="BS565" s="120">
        <f>(BS564+BS566)/2</f>
        <v>14.939499999999999</v>
      </c>
      <c r="BT565" s="120">
        <f>(BS565+BU565)/2</f>
        <v>15.439</v>
      </c>
      <c r="BU565" s="120">
        <f>(BU564+BU566)/2</f>
        <v>15.938499999999999</v>
      </c>
      <c r="BV565" s="120">
        <f>(BU565+BW565)/2</f>
        <v>16.419249999999998</v>
      </c>
      <c r="BW565" s="120">
        <f>(BW564+BW566)/2</f>
        <v>16.899999999999999</v>
      </c>
      <c r="BX565" s="120">
        <f>(BW565+BY565)/2</f>
        <v>17.371499999999997</v>
      </c>
      <c r="BY565" s="120">
        <f>(BY564+BY566)/2</f>
        <v>17.843</v>
      </c>
      <c r="BZ565" s="120">
        <f>(BY565+CA565)/2</f>
        <v>18.313000000000002</v>
      </c>
      <c r="CA565" s="120">
        <f>(CA564+CA566)/2</f>
        <v>18.783000000000001</v>
      </c>
      <c r="CB565" s="120">
        <f>(CA565+CC565)/2</f>
        <v>19.234749999999998</v>
      </c>
      <c r="CC565" s="120">
        <f>(CC564+CC566)/2</f>
        <v>19.686499999999999</v>
      </c>
      <c r="CD565" s="120">
        <f>(CC565+CE565)/2</f>
        <v>20.138500000000001</v>
      </c>
      <c r="CE565" s="120">
        <f>(CE564+CE566)/2</f>
        <v>20.590499999999999</v>
      </c>
      <c r="CF565" s="120">
        <f>(CE565+CG565)/2</f>
        <v>21.03125</v>
      </c>
      <c r="CG565" s="120">
        <f>(CG564+CG566)/2</f>
        <v>21.472000000000001</v>
      </c>
      <c r="CH565" s="120">
        <f>(CG565+CI565)/2</f>
        <v>21.948</v>
      </c>
      <c r="CI565" s="120">
        <f>(CI564+CI566)/2</f>
        <v>22.423999999999999</v>
      </c>
      <c r="CJ565" s="120">
        <f>(CI565+CK565)/2</f>
        <v>22.87575</v>
      </c>
      <c r="CK565" s="120">
        <f>(CK564+CK566)/2</f>
        <v>23.327500000000001</v>
      </c>
      <c r="CL565" s="120">
        <f>(CK565+CM565)/2</f>
        <v>23.7685</v>
      </c>
      <c r="CM565" s="120">
        <f>(CM564+CM566)/2</f>
        <v>24.209499999999998</v>
      </c>
      <c r="CN565" s="120">
        <f>(CM565+CO565)/2</f>
        <v>24.631999999999998</v>
      </c>
      <c r="CO565" s="120">
        <f>(CO564+CO566)/2</f>
        <v>25.054500000000001</v>
      </c>
      <c r="CP565" s="120">
        <f>(CO565+CQ565)/2</f>
        <v>25.476500000000001</v>
      </c>
      <c r="CQ565" s="120">
        <f>(CQ564+CQ566)/2</f>
        <v>25.898499999999999</v>
      </c>
      <c r="CR565" s="120">
        <f>(CQ565+CS565)/2</f>
        <v>26.33475</v>
      </c>
      <c r="CS565" s="120">
        <f>(CS564+CS566)/2</f>
        <v>26.771000000000001</v>
      </c>
      <c r="CT565" s="120">
        <f>(CS565+CU565)/2</f>
        <v>27.222999999999999</v>
      </c>
      <c r="CU565" s="120">
        <f>(CU564+CU566)/2</f>
        <v>27.675000000000001</v>
      </c>
      <c r="CV565" s="120">
        <f>(CU565+CW565)/2</f>
        <v>28.097250000000003</v>
      </c>
      <c r="CW565" s="120">
        <f>(CW564+CW566)/2</f>
        <v>28.519500000000001</v>
      </c>
      <c r="CX565" s="120">
        <f>(CW565+CY565)/2</f>
        <v>28.931249999999999</v>
      </c>
      <c r="CY565" s="120">
        <f>(CY564+CY566)/2</f>
        <v>29.343</v>
      </c>
      <c r="CZ565" s="120">
        <f>(CY565+DA565)/2</f>
        <v>29.765250000000002</v>
      </c>
      <c r="DA565" s="120">
        <f>(DA564+DA566)/2</f>
        <v>30.1875</v>
      </c>
      <c r="DB565" s="120">
        <f>(DA565+DC565)/2</f>
        <v>30.634500000000003</v>
      </c>
      <c r="DC565" s="120">
        <f>(DC564+DC566)/2</f>
        <v>31.081500000000002</v>
      </c>
      <c r="DD565" s="120">
        <f>(DC565+DE565)/2</f>
        <v>31.463999999999999</v>
      </c>
      <c r="DE565" s="120">
        <f>(DE564+DE566)/2</f>
        <v>31.846499999999999</v>
      </c>
      <c r="DF565" s="120">
        <f>(DE565+DG565)/2</f>
        <v>32.298000000000002</v>
      </c>
      <c r="DG565" s="122">
        <f>(DG564+DG566)/2</f>
        <v>32.749499999999998</v>
      </c>
    </row>
    <row r="566" spans="54:111" ht="15" customHeight="1" x14ac:dyDescent="0.2">
      <c r="BB566" s="28">
        <v>12</v>
      </c>
      <c r="BC566" s="121">
        <v>6.3929999999999998</v>
      </c>
      <c r="BD566" s="121">
        <v>7.0939999999999994</v>
      </c>
      <c r="BE566" s="121">
        <v>7.7949999999999999</v>
      </c>
      <c r="BF566" s="121">
        <v>8.4364999999999988</v>
      </c>
      <c r="BG566" s="121">
        <v>9.0779999999999994</v>
      </c>
      <c r="BH566" s="121">
        <v>9.7210000000000001</v>
      </c>
      <c r="BI566" s="121">
        <v>10.364000000000001</v>
      </c>
      <c r="BJ566" s="121">
        <f t="array" ref="BJ566:BJ614">TRANSPOSE(BK565:DG565)</f>
        <v>10.888999999999999</v>
      </c>
      <c r="BK566" s="158">
        <v>11.414</v>
      </c>
      <c r="BL566" s="120">
        <f>(BM566+BK566)/2</f>
        <v>11.998000000000001</v>
      </c>
      <c r="BM566" s="158">
        <v>12.582000000000001</v>
      </c>
      <c r="BN566" s="120">
        <f>(BO566+BM566)/2</f>
        <v>13.108000000000001</v>
      </c>
      <c r="BO566" s="158">
        <v>13.634</v>
      </c>
      <c r="BP566" s="120">
        <f>(BQ566+BO566)/2</f>
        <v>14.217500000000001</v>
      </c>
      <c r="BQ566" s="158">
        <v>14.801</v>
      </c>
      <c r="BR566" s="120">
        <f>(BS566+BQ566)/2</f>
        <v>15.268000000000001</v>
      </c>
      <c r="BS566" s="158">
        <v>15.734999999999999</v>
      </c>
      <c r="BT566" s="120">
        <f>(BU566+BS566)/2</f>
        <v>16.260999999999999</v>
      </c>
      <c r="BU566" s="158">
        <v>16.786999999999999</v>
      </c>
      <c r="BV566" s="120">
        <f>(BW566+BU566)/2</f>
        <v>17.311999999999998</v>
      </c>
      <c r="BW566" s="158">
        <v>17.837</v>
      </c>
      <c r="BX566" s="120">
        <f>(BY566+BW566)/2</f>
        <v>18.294499999999999</v>
      </c>
      <c r="BY566" s="158">
        <v>18.751999999999999</v>
      </c>
      <c r="BZ566" s="120">
        <f>(CA566+BY566)/2</f>
        <v>19.2775</v>
      </c>
      <c r="CA566" s="158">
        <v>19.803000000000001</v>
      </c>
      <c r="CB566" s="120">
        <f>(CC566+CA566)/2</f>
        <v>20.27</v>
      </c>
      <c r="CC566" s="158">
        <v>20.736999999999998</v>
      </c>
      <c r="CD566" s="120">
        <f>(CE566+CC566)/2</f>
        <v>21.204000000000001</v>
      </c>
      <c r="CE566" s="158">
        <v>21.670999999999999</v>
      </c>
      <c r="CF566" s="120">
        <f>(CG566+CE566)/2</f>
        <v>22.137999999999998</v>
      </c>
      <c r="CG566" s="158">
        <v>22.605</v>
      </c>
      <c r="CH566" s="120">
        <f>(CI566+CG566)/2</f>
        <v>23.130499999999998</v>
      </c>
      <c r="CI566" s="158">
        <v>23.655999999999999</v>
      </c>
      <c r="CJ566" s="120">
        <f>(CK566+CI566)/2</f>
        <v>24.122999999999998</v>
      </c>
      <c r="CK566" s="158">
        <v>24.59</v>
      </c>
      <c r="CL566" s="120">
        <f>(CM566+CK566)/2</f>
        <v>25.057000000000002</v>
      </c>
      <c r="CM566" s="158">
        <v>25.524000000000001</v>
      </c>
      <c r="CN566" s="120">
        <f>(CO566+CM566)/2</f>
        <v>25.932500000000001</v>
      </c>
      <c r="CO566" s="158">
        <v>26.341000000000001</v>
      </c>
      <c r="CP566" s="120">
        <f>(CQ566+CO566)/2</f>
        <v>26.807500000000001</v>
      </c>
      <c r="CQ566" s="158">
        <v>27.274000000000001</v>
      </c>
      <c r="CR566" s="120">
        <f>(CS566+CQ566)/2</f>
        <v>27.741500000000002</v>
      </c>
      <c r="CS566" s="158">
        <v>28.209</v>
      </c>
      <c r="CT566" s="120">
        <f>(CU566+CS566)/2</f>
        <v>28.676000000000002</v>
      </c>
      <c r="CU566" s="158">
        <v>29.143000000000001</v>
      </c>
      <c r="CV566" s="120">
        <f>(CW566+CU566)/2</f>
        <v>29.609500000000001</v>
      </c>
      <c r="CW566" s="158">
        <v>30.076000000000001</v>
      </c>
      <c r="CX566" s="120">
        <f>(CY566+CW566)/2</f>
        <v>30.484999999999999</v>
      </c>
      <c r="CY566" s="158">
        <v>30.893999999999998</v>
      </c>
      <c r="CZ566" s="120">
        <f>(DA566+CY566)/2</f>
        <v>31.360500000000002</v>
      </c>
      <c r="DA566" s="158">
        <v>31.827000000000002</v>
      </c>
      <c r="DB566" s="120">
        <f>(DC566+DA566)/2</f>
        <v>32.294000000000004</v>
      </c>
      <c r="DC566" s="158">
        <v>32.761000000000003</v>
      </c>
      <c r="DD566" s="120">
        <f>(DE566+DC566)/2</f>
        <v>33.17</v>
      </c>
      <c r="DE566" s="158">
        <v>33.579000000000001</v>
      </c>
      <c r="DF566" s="120">
        <f>(DG566+DE566)/2</f>
        <v>34.045500000000004</v>
      </c>
      <c r="DG566" s="159">
        <v>34.512</v>
      </c>
    </row>
    <row r="567" spans="54:111" ht="15" customHeight="1" x14ac:dyDescent="0.2">
      <c r="BB567" s="28">
        <v>13</v>
      </c>
      <c r="BC567" s="121">
        <v>6.7065000000000001</v>
      </c>
      <c r="BD567" s="121">
        <v>7.4517499999999997</v>
      </c>
      <c r="BE567" s="121">
        <v>8.1969999999999992</v>
      </c>
      <c r="BF567" s="121">
        <v>8.8539999999999992</v>
      </c>
      <c r="BG567" s="121">
        <v>9.5109999999999992</v>
      </c>
      <c r="BH567" s="121">
        <v>10.185</v>
      </c>
      <c r="BI567" s="121">
        <v>10.859</v>
      </c>
      <c r="BJ567" s="121">
        <v>11.4285</v>
      </c>
      <c r="BK567" s="121">
        <f t="array" ref="BK567:BK614">TRANSPOSE(BL566:DG566)</f>
        <v>11.998000000000001</v>
      </c>
      <c r="BL567" s="120">
        <f>(BK567+BM567)/2</f>
        <v>12.5975</v>
      </c>
      <c r="BM567" s="120">
        <f>(BM566+BM568)/2</f>
        <v>13.196999999999999</v>
      </c>
      <c r="BN567" s="120">
        <f>(BM567+BO567)/2</f>
        <v>13.777999999999999</v>
      </c>
      <c r="BO567" s="120">
        <f>(BO566+BO568)/2</f>
        <v>14.359</v>
      </c>
      <c r="BP567" s="120">
        <f>(BO567+BQ567)/2</f>
        <v>14.928750000000001</v>
      </c>
      <c r="BQ567" s="120">
        <f>(BQ566+BQ568)/2</f>
        <v>15.4985</v>
      </c>
      <c r="BR567" s="120">
        <f>(BQ567+BS567)/2</f>
        <v>16.009999999999998</v>
      </c>
      <c r="BS567" s="120">
        <f>(BS566+BS568)/2</f>
        <v>16.5215</v>
      </c>
      <c r="BT567" s="120">
        <f>(BS567+BU567)/2</f>
        <v>17.073250000000002</v>
      </c>
      <c r="BU567" s="120">
        <f>(BU566+BU568)/2</f>
        <v>17.625</v>
      </c>
      <c r="BV567" s="120">
        <f>(BU567+BW567)/2</f>
        <v>18.165749999999999</v>
      </c>
      <c r="BW567" s="120">
        <f>(BW566+BW568)/2</f>
        <v>18.706499999999998</v>
      </c>
      <c r="BX567" s="120">
        <f>(BW567+BY567)/2</f>
        <v>19.188499999999998</v>
      </c>
      <c r="BY567" s="120">
        <f>(BY566+BY568)/2</f>
        <v>19.670499999999997</v>
      </c>
      <c r="BZ567" s="120">
        <f>(BY567+CA567)/2</f>
        <v>20.222499999999997</v>
      </c>
      <c r="CA567" s="120">
        <f>(CA566+CA568)/2</f>
        <v>20.7745</v>
      </c>
      <c r="CB567" s="120">
        <f>(CA567+CC567)/2</f>
        <v>21.28575</v>
      </c>
      <c r="CC567" s="120">
        <f>(CC566+CC568)/2</f>
        <v>21.796999999999997</v>
      </c>
      <c r="CD567" s="120">
        <f>(CC567+CE567)/2</f>
        <v>22.279249999999998</v>
      </c>
      <c r="CE567" s="120">
        <f>(CE566+CE568)/2</f>
        <v>22.761499999999998</v>
      </c>
      <c r="CF567" s="120">
        <f>(CE567+CG567)/2</f>
        <v>23.254749999999998</v>
      </c>
      <c r="CG567" s="120">
        <f>(CG566+CG568)/2</f>
        <v>23.747999999999998</v>
      </c>
      <c r="CH567" s="120">
        <f>(CG567+CI567)/2</f>
        <v>24.259499999999999</v>
      </c>
      <c r="CI567" s="120">
        <f>(CI566+CI568)/2</f>
        <v>24.771000000000001</v>
      </c>
      <c r="CJ567" s="120">
        <f>(CI567+CK567)/2</f>
        <v>25.282250000000001</v>
      </c>
      <c r="CK567" s="120">
        <f>(CK566+CK568)/2</f>
        <v>25.793500000000002</v>
      </c>
      <c r="CL567" s="120">
        <f>(CK567+CM567)/2</f>
        <v>26.286750000000001</v>
      </c>
      <c r="CM567" s="120">
        <f>(CM566+CM568)/2</f>
        <v>26.78</v>
      </c>
      <c r="CN567" s="120">
        <f>(CM567+CO567)/2</f>
        <v>27.237750000000002</v>
      </c>
      <c r="CO567" s="120">
        <f>(CO566+CO568)/2</f>
        <v>27.695500000000003</v>
      </c>
      <c r="CP567" s="120">
        <f>(CO567+CQ567)/2</f>
        <v>28.177500000000002</v>
      </c>
      <c r="CQ567" s="120">
        <f>(CQ566+CQ568)/2</f>
        <v>28.659500000000001</v>
      </c>
      <c r="CR567" s="120">
        <f>(CQ567+CS567)/2</f>
        <v>29.152999999999999</v>
      </c>
      <c r="CS567" s="120">
        <f>(CS566+CS568)/2</f>
        <v>29.6465</v>
      </c>
      <c r="CT567" s="120">
        <f>(CS567+CU567)/2</f>
        <v>30.128500000000003</v>
      </c>
      <c r="CU567" s="120">
        <f>(CU566+CU568)/2</f>
        <v>30.610500000000002</v>
      </c>
      <c r="CV567" s="120">
        <f>(CU567+CW567)/2</f>
        <v>31.063500000000001</v>
      </c>
      <c r="CW567" s="120">
        <f>(CW566+CW568)/2</f>
        <v>31.516500000000001</v>
      </c>
      <c r="CX567" s="120">
        <f>(CW567+CY567)/2</f>
        <v>31.980499999999999</v>
      </c>
      <c r="CY567" s="120">
        <f>(CY566+CY568)/2</f>
        <v>32.444499999999998</v>
      </c>
      <c r="CZ567" s="120">
        <f>(CY567+DA567)/2</f>
        <v>32.926500000000004</v>
      </c>
      <c r="DA567" s="120">
        <f>(DA566+DA568)/2</f>
        <v>33.408500000000004</v>
      </c>
      <c r="DB567" s="120">
        <f>(DA567+DC567)/2</f>
        <v>33.890750000000004</v>
      </c>
      <c r="DC567" s="120">
        <f>(DC566+DC568)/2</f>
        <v>34.373000000000005</v>
      </c>
      <c r="DD567" s="120">
        <f>(DC567+DE567)/2</f>
        <v>34.837000000000003</v>
      </c>
      <c r="DE567" s="120">
        <f>(DE566+DE568)/2</f>
        <v>35.301000000000002</v>
      </c>
      <c r="DF567" s="120">
        <f>(DE567+DG567)/2</f>
        <v>35.758749999999999</v>
      </c>
      <c r="DG567" s="122">
        <f>(DG566+DG568)/2</f>
        <v>36.216499999999996</v>
      </c>
    </row>
    <row r="568" spans="54:111" ht="15" customHeight="1" x14ac:dyDescent="0.2">
      <c r="BB568" s="28">
        <v>14</v>
      </c>
      <c r="BC568" s="121">
        <v>7.02</v>
      </c>
      <c r="BD568" s="121">
        <v>7.8094999999999999</v>
      </c>
      <c r="BE568" s="121">
        <v>8.5990000000000002</v>
      </c>
      <c r="BF568" s="121">
        <v>9.2714999999999996</v>
      </c>
      <c r="BG568" s="121">
        <v>9.9440000000000008</v>
      </c>
      <c r="BH568" s="121">
        <v>10.649000000000001</v>
      </c>
      <c r="BI568" s="121">
        <v>11.353999999999999</v>
      </c>
      <c r="BJ568" s="121">
        <v>11.968</v>
      </c>
      <c r="BK568" s="121">
        <v>12.582000000000001</v>
      </c>
      <c r="BL568" s="121">
        <f t="array" ref="BL568:BL614">TRANSPOSE(BM567:DG567)</f>
        <v>13.196999999999999</v>
      </c>
      <c r="BM568" s="158">
        <v>13.811999999999999</v>
      </c>
      <c r="BN568" s="120">
        <f>(BO568+BM568)/2</f>
        <v>14.448</v>
      </c>
      <c r="BO568" s="158">
        <v>15.084</v>
      </c>
      <c r="BP568" s="120">
        <f>(BQ568+BO568)/2</f>
        <v>15.64</v>
      </c>
      <c r="BQ568" s="158">
        <v>16.196000000000002</v>
      </c>
      <c r="BR568" s="120">
        <f>(BS568+BQ568)/2</f>
        <v>16.752000000000002</v>
      </c>
      <c r="BS568" s="158">
        <v>17.308</v>
      </c>
      <c r="BT568" s="120">
        <f>(BU568+BS568)/2</f>
        <v>17.8855</v>
      </c>
      <c r="BU568" s="158">
        <v>18.463000000000001</v>
      </c>
      <c r="BV568" s="120">
        <f>(BW568+BU568)/2</f>
        <v>19.019500000000001</v>
      </c>
      <c r="BW568" s="158">
        <v>19.576000000000001</v>
      </c>
      <c r="BX568" s="120">
        <f>(BY568+BW568)/2</f>
        <v>20.0825</v>
      </c>
      <c r="BY568" s="158">
        <v>20.588999999999999</v>
      </c>
      <c r="BZ568" s="120">
        <f>(CA568+BY568)/2</f>
        <v>21.167499999999997</v>
      </c>
      <c r="CA568" s="158">
        <v>21.745999999999999</v>
      </c>
      <c r="CB568" s="120">
        <f>(CC568+CA568)/2</f>
        <v>22.301499999999997</v>
      </c>
      <c r="CC568" s="158">
        <v>22.856999999999999</v>
      </c>
      <c r="CD568" s="120">
        <f>(CE568+CC568)/2</f>
        <v>23.354500000000002</v>
      </c>
      <c r="CE568" s="158">
        <v>23.852</v>
      </c>
      <c r="CF568" s="120">
        <f>(CG568+CE568)/2</f>
        <v>24.371499999999997</v>
      </c>
      <c r="CG568" s="158">
        <v>24.890999999999998</v>
      </c>
      <c r="CH568" s="120">
        <f>(CI568+CG568)/2</f>
        <v>25.388500000000001</v>
      </c>
      <c r="CI568" s="158">
        <v>25.885999999999999</v>
      </c>
      <c r="CJ568" s="120">
        <f>(CK568+CI568)/2</f>
        <v>26.441499999999998</v>
      </c>
      <c r="CK568" s="158">
        <v>26.997</v>
      </c>
      <c r="CL568" s="120">
        <f>(CM568+CK568)/2</f>
        <v>27.516500000000001</v>
      </c>
      <c r="CM568" s="158">
        <v>28.036000000000001</v>
      </c>
      <c r="CN568" s="120">
        <f>(CO568+CM568)/2</f>
        <v>28.542999999999999</v>
      </c>
      <c r="CO568" s="158">
        <v>29.05</v>
      </c>
      <c r="CP568" s="120">
        <f>(CQ568+CO568)/2</f>
        <v>29.547499999999999</v>
      </c>
      <c r="CQ568" s="158">
        <v>30.045000000000002</v>
      </c>
      <c r="CR568" s="120">
        <f>(CS568+CQ568)/2</f>
        <v>30.564500000000002</v>
      </c>
      <c r="CS568" s="158">
        <v>31.084</v>
      </c>
      <c r="CT568" s="120">
        <f>(CU568+CS568)/2</f>
        <v>31.581000000000003</v>
      </c>
      <c r="CU568" s="158">
        <v>32.078000000000003</v>
      </c>
      <c r="CV568" s="120">
        <f>(CW568+CU568)/2</f>
        <v>32.517499999999998</v>
      </c>
      <c r="CW568" s="158">
        <v>32.957000000000001</v>
      </c>
      <c r="CX568" s="120">
        <f>(CY568+CW568)/2</f>
        <v>33.475999999999999</v>
      </c>
      <c r="CY568" s="158">
        <v>33.994999999999997</v>
      </c>
      <c r="CZ568" s="120">
        <f>(DA568+CY568)/2</f>
        <v>34.4925</v>
      </c>
      <c r="DA568" s="158">
        <v>34.99</v>
      </c>
      <c r="DB568" s="120">
        <f>(DC568+DA568)/2</f>
        <v>35.487499999999997</v>
      </c>
      <c r="DC568" s="158">
        <v>35.984999999999999</v>
      </c>
      <c r="DD568" s="120">
        <f>(DE568+DC568)/2</f>
        <v>36.504000000000005</v>
      </c>
      <c r="DE568" s="158">
        <v>37.023000000000003</v>
      </c>
      <c r="DF568" s="120">
        <f>(DG568+DE568)/2</f>
        <v>37.472000000000001</v>
      </c>
      <c r="DG568" s="159">
        <v>37.920999999999999</v>
      </c>
    </row>
    <row r="569" spans="54:111" ht="15" customHeight="1" x14ac:dyDescent="0.2">
      <c r="BB569" s="28">
        <v>15</v>
      </c>
      <c r="BC569" s="121">
        <v>7.3215000000000003</v>
      </c>
      <c r="BD569" s="121">
        <v>8.1370000000000005</v>
      </c>
      <c r="BE569" s="121">
        <v>8.9525000000000006</v>
      </c>
      <c r="BF569" s="121">
        <v>9.6807499999999997</v>
      </c>
      <c r="BG569" s="121">
        <v>10.409000000000001</v>
      </c>
      <c r="BH569" s="121">
        <v>11.113</v>
      </c>
      <c r="BI569" s="121">
        <v>11.817</v>
      </c>
      <c r="BJ569" s="121">
        <v>12.4625</v>
      </c>
      <c r="BK569" s="121">
        <v>13.108000000000001</v>
      </c>
      <c r="BL569" s="121">
        <v>13.777999999999999</v>
      </c>
      <c r="BM569" s="121">
        <f t="array" ref="BM569:BM614">TRANSPOSE(BN568:DG568)</f>
        <v>14.448</v>
      </c>
      <c r="BN569" s="120">
        <f>(BM569+BO569)/2</f>
        <v>15.05925</v>
      </c>
      <c r="BO569" s="120">
        <f>(BO568+BO570)/2</f>
        <v>15.670500000000001</v>
      </c>
      <c r="BP569" s="120">
        <f>(BO569+BQ569)/2</f>
        <v>16.286749999999998</v>
      </c>
      <c r="BQ569" s="120">
        <f>(BQ568+BQ570)/2</f>
        <v>16.902999999999999</v>
      </c>
      <c r="BR569" s="120">
        <f>(BQ569+BS569)/2</f>
        <v>17.485250000000001</v>
      </c>
      <c r="BS569" s="120">
        <f>(BS568+BS570)/2</f>
        <v>18.067500000000003</v>
      </c>
      <c r="BT569" s="120">
        <f>(BS569+BU569)/2</f>
        <v>18.649250000000002</v>
      </c>
      <c r="BU569" s="120">
        <f>(BU568+BU570)/2</f>
        <v>19.231000000000002</v>
      </c>
      <c r="BV569" s="120">
        <f>(BU569+BW569)/2</f>
        <v>19.81325</v>
      </c>
      <c r="BW569" s="120">
        <f>(BW568+BW570)/2</f>
        <v>20.395499999999998</v>
      </c>
      <c r="BX569" s="120">
        <f>(BW569+BY569)/2</f>
        <v>20.957999999999998</v>
      </c>
      <c r="BY569" s="120">
        <f>(BY568+BY570)/2</f>
        <v>21.520499999999998</v>
      </c>
      <c r="BZ569" s="120">
        <f>(BY569+CA569)/2</f>
        <v>22.10275</v>
      </c>
      <c r="CA569" s="120">
        <f>(CA568+CA570)/2</f>
        <v>22.684999999999999</v>
      </c>
      <c r="CB569" s="120">
        <f>(CA569+CC569)/2</f>
        <v>23.266999999999999</v>
      </c>
      <c r="CC569" s="120">
        <f>(CC568+CC570)/2</f>
        <v>23.849</v>
      </c>
      <c r="CD569" s="120">
        <f>(CC569+CE569)/2</f>
        <v>24.37275</v>
      </c>
      <c r="CE569" s="120">
        <f>(CE568+CE570)/2</f>
        <v>24.8965</v>
      </c>
      <c r="CF569" s="120">
        <f>(CE569+CG569)/2</f>
        <v>25.454250000000002</v>
      </c>
      <c r="CG569" s="120">
        <f>(CG568+CG570)/2</f>
        <v>26.012</v>
      </c>
      <c r="CH569" s="120">
        <f>(CG569+CI569)/2</f>
        <v>26.535499999999999</v>
      </c>
      <c r="CI569" s="120">
        <f>(CI568+CI570)/2</f>
        <v>27.058999999999997</v>
      </c>
      <c r="CJ569" s="120">
        <f>(CI569+CK569)/2</f>
        <v>27.611499999999999</v>
      </c>
      <c r="CK569" s="120">
        <f>(CK568+CK570)/2</f>
        <v>28.164000000000001</v>
      </c>
      <c r="CL569" s="120">
        <f>(CK569+CM569)/2</f>
        <v>28.69275</v>
      </c>
      <c r="CM569" s="120">
        <f>(CM568+CM570)/2</f>
        <v>29.221499999999999</v>
      </c>
      <c r="CN569" s="120">
        <f>(CM569+CO569)/2</f>
        <v>29.779</v>
      </c>
      <c r="CO569" s="120">
        <f>(CO568+CO570)/2</f>
        <v>30.336500000000001</v>
      </c>
      <c r="CP569" s="120">
        <f>(CO569+CQ569)/2</f>
        <v>30.860250000000001</v>
      </c>
      <c r="CQ569" s="120">
        <f>(CQ568+CQ570)/2</f>
        <v>31.384</v>
      </c>
      <c r="CR569" s="120">
        <f>(CQ569+CS569)/2</f>
        <v>31.90775</v>
      </c>
      <c r="CS569" s="120">
        <f>(CS568+CS570)/2</f>
        <v>32.4315</v>
      </c>
      <c r="CT569" s="120">
        <f>(CS569+CU569)/2</f>
        <v>32.95975</v>
      </c>
      <c r="CU569" s="120">
        <f>(CU568+CU570)/2</f>
        <v>33.488</v>
      </c>
      <c r="CV569" s="120">
        <f>(CU569+CW569)/2</f>
        <v>33.982500000000002</v>
      </c>
      <c r="CW569" s="120">
        <f>(CW568+CW570)/2</f>
        <v>34.477000000000004</v>
      </c>
      <c r="CX569" s="120">
        <f>(CW569+CY569)/2</f>
        <v>35.000500000000002</v>
      </c>
      <c r="CY569" s="120">
        <f>(CY568+CY570)/2</f>
        <v>35.524000000000001</v>
      </c>
      <c r="CZ569" s="120">
        <f>(CY569+DA569)/2</f>
        <v>36.052500000000002</v>
      </c>
      <c r="DA569" s="120">
        <f>(DA568+DA570)/2</f>
        <v>36.581000000000003</v>
      </c>
      <c r="DB569" s="120">
        <f>(DA569+DC569)/2</f>
        <v>37.075500000000005</v>
      </c>
      <c r="DC569" s="120">
        <f>(DC568+DC570)/2</f>
        <v>37.57</v>
      </c>
      <c r="DD569" s="120">
        <f>(DC569+DE569)/2</f>
        <v>38.093000000000004</v>
      </c>
      <c r="DE569" s="120">
        <f>(DE568+DE570)/2</f>
        <v>38.616</v>
      </c>
      <c r="DF569" s="120">
        <f>(DE569+DG569)/2</f>
        <v>39.115499999999997</v>
      </c>
      <c r="DG569" s="122">
        <f>(DG568+DG570)/2</f>
        <v>39.614999999999995</v>
      </c>
    </row>
    <row r="570" spans="54:111" ht="15" customHeight="1" x14ac:dyDescent="0.2">
      <c r="BB570" s="28">
        <v>16</v>
      </c>
      <c r="BC570" s="121">
        <v>7.6230000000000002</v>
      </c>
      <c r="BD570" s="121">
        <v>8.4644999999999992</v>
      </c>
      <c r="BE570" s="121">
        <v>9.3059999999999992</v>
      </c>
      <c r="BF570" s="121">
        <v>10.09</v>
      </c>
      <c r="BG570" s="121">
        <v>10.874000000000001</v>
      </c>
      <c r="BH570" s="121">
        <v>11.577</v>
      </c>
      <c r="BI570" s="121">
        <v>12.28</v>
      </c>
      <c r="BJ570" s="121">
        <v>12.957000000000001</v>
      </c>
      <c r="BK570" s="121">
        <v>13.634</v>
      </c>
      <c r="BL570" s="121">
        <v>14.359</v>
      </c>
      <c r="BM570" s="121">
        <v>15.084</v>
      </c>
      <c r="BN570" s="121">
        <f t="array" ref="BN570:BN614">TRANSPOSE(BO569:DG569)</f>
        <v>15.670500000000001</v>
      </c>
      <c r="BO570" s="158">
        <v>16.257000000000001</v>
      </c>
      <c r="BP570" s="120">
        <f>(BQ570+BO570)/2</f>
        <v>16.933500000000002</v>
      </c>
      <c r="BQ570" s="158">
        <v>17.61</v>
      </c>
      <c r="BR570" s="120">
        <f>(BS570+BQ570)/2</f>
        <v>18.218499999999999</v>
      </c>
      <c r="BS570" s="158">
        <v>18.827000000000002</v>
      </c>
      <c r="BT570" s="120">
        <f>(BU570+BS570)/2</f>
        <v>19.413</v>
      </c>
      <c r="BU570" s="158">
        <v>19.998999999999999</v>
      </c>
      <c r="BV570" s="120">
        <f>(BW570+BU570)/2</f>
        <v>20.606999999999999</v>
      </c>
      <c r="BW570" s="158">
        <v>21.215</v>
      </c>
      <c r="BX570" s="120">
        <f>(BY570+BW570)/2</f>
        <v>21.833500000000001</v>
      </c>
      <c r="BY570" s="158">
        <v>22.452000000000002</v>
      </c>
      <c r="BZ570" s="120">
        <f>(CA570+BY570)/2</f>
        <v>23.038</v>
      </c>
      <c r="CA570" s="158">
        <v>23.623999999999999</v>
      </c>
      <c r="CB570" s="120">
        <f>(CC570+CA570)/2</f>
        <v>24.232500000000002</v>
      </c>
      <c r="CC570" s="158">
        <v>24.841000000000001</v>
      </c>
      <c r="CD570" s="120">
        <f>(CE570+CC570)/2</f>
        <v>25.390999999999998</v>
      </c>
      <c r="CE570" s="158">
        <v>25.940999999999999</v>
      </c>
      <c r="CF570" s="120">
        <f>(CG570+CE570)/2</f>
        <v>26.536999999999999</v>
      </c>
      <c r="CG570" s="158">
        <v>27.132999999999999</v>
      </c>
      <c r="CH570" s="120">
        <f>(CI570+CG570)/2</f>
        <v>27.682499999999997</v>
      </c>
      <c r="CI570" s="158">
        <v>28.231999999999999</v>
      </c>
      <c r="CJ570" s="120">
        <f>(CK570+CI570)/2</f>
        <v>28.781500000000001</v>
      </c>
      <c r="CK570" s="158">
        <v>29.331</v>
      </c>
      <c r="CL570" s="120">
        <f>(CM570+CK570)/2</f>
        <v>29.869</v>
      </c>
      <c r="CM570" s="158">
        <v>30.407</v>
      </c>
      <c r="CN570" s="120">
        <f>(CO570+CM570)/2</f>
        <v>31.015000000000001</v>
      </c>
      <c r="CO570" s="158">
        <v>31.623000000000001</v>
      </c>
      <c r="CP570" s="120">
        <f>(CQ570+CO570)/2</f>
        <v>32.173000000000002</v>
      </c>
      <c r="CQ570" s="158">
        <v>32.722999999999999</v>
      </c>
      <c r="CR570" s="120">
        <f>(CS570+CQ570)/2</f>
        <v>33.251000000000005</v>
      </c>
      <c r="CS570" s="158">
        <v>33.779000000000003</v>
      </c>
      <c r="CT570" s="120">
        <f>(CU570+CS570)/2</f>
        <v>34.338500000000003</v>
      </c>
      <c r="CU570" s="158">
        <v>34.898000000000003</v>
      </c>
      <c r="CV570" s="120">
        <f>(CW570+CU570)/2</f>
        <v>35.447500000000005</v>
      </c>
      <c r="CW570" s="158">
        <v>35.997</v>
      </c>
      <c r="CX570" s="120">
        <f>(CY570+CW570)/2</f>
        <v>36.524999999999999</v>
      </c>
      <c r="CY570" s="158">
        <v>37.052999999999997</v>
      </c>
      <c r="CZ570" s="120">
        <f>(DA570+CY570)/2</f>
        <v>37.612499999999997</v>
      </c>
      <c r="DA570" s="158">
        <v>38.171999999999997</v>
      </c>
      <c r="DB570" s="120">
        <f>(DC570+DA570)/2</f>
        <v>38.663499999999999</v>
      </c>
      <c r="DC570" s="158">
        <v>39.155000000000001</v>
      </c>
      <c r="DD570" s="120">
        <f>(DE570+DC570)/2</f>
        <v>39.682000000000002</v>
      </c>
      <c r="DE570" s="158">
        <v>40.209000000000003</v>
      </c>
      <c r="DF570" s="120">
        <f>(DG570+DE570)/2</f>
        <v>40.759</v>
      </c>
      <c r="DG570" s="159">
        <v>41.308999999999997</v>
      </c>
    </row>
    <row r="571" spans="54:111" ht="15" customHeight="1" x14ac:dyDescent="0.2">
      <c r="BB571" s="28">
        <v>17</v>
      </c>
      <c r="BC571" s="121">
        <v>7.9365000000000006</v>
      </c>
      <c r="BD571" s="121">
        <v>8.7932500000000005</v>
      </c>
      <c r="BE571" s="121">
        <v>9.6499999999999986</v>
      </c>
      <c r="BF571" s="121">
        <v>10.454000000000001</v>
      </c>
      <c r="BG571" s="121">
        <v>11.257999999999999</v>
      </c>
      <c r="BH571" s="121">
        <v>12.016500000000001</v>
      </c>
      <c r="BI571" s="121">
        <v>12.774999999999999</v>
      </c>
      <c r="BJ571" s="121">
        <v>13.49625</v>
      </c>
      <c r="BK571" s="121">
        <v>14.217500000000001</v>
      </c>
      <c r="BL571" s="121">
        <v>14.928750000000001</v>
      </c>
      <c r="BM571" s="121">
        <v>15.64</v>
      </c>
      <c r="BN571" s="121">
        <v>16.286749999999998</v>
      </c>
      <c r="BO571" s="121">
        <f t="array" ref="BO571:BO614">TRANSPOSE(BP570:DG570)</f>
        <v>16.933500000000002</v>
      </c>
      <c r="BP571" s="120">
        <f>(BO571+BQ571)/2</f>
        <v>17.6205</v>
      </c>
      <c r="BQ571" s="120">
        <f>(BQ570+BQ572)/2</f>
        <v>18.307499999999997</v>
      </c>
      <c r="BR571" s="120">
        <f>(BQ571+BS571)/2</f>
        <v>18.930999999999997</v>
      </c>
      <c r="BS571" s="120">
        <f>(BS570+BS572)/2</f>
        <v>19.554500000000001</v>
      </c>
      <c r="BT571" s="120">
        <f>(BS571+BU571)/2</f>
        <v>20.171750000000003</v>
      </c>
      <c r="BU571" s="120">
        <f>(BU570+BU572)/2</f>
        <v>20.789000000000001</v>
      </c>
      <c r="BV571" s="120">
        <f>(BU571+BW571)/2</f>
        <v>21.441500000000001</v>
      </c>
      <c r="BW571" s="120">
        <f>(BW570+BW572)/2</f>
        <v>22.094000000000001</v>
      </c>
      <c r="BX571" s="120">
        <f>(BW571+BY571)/2</f>
        <v>22.727499999999999</v>
      </c>
      <c r="BY571" s="120">
        <f>(BY570+BY572)/2</f>
        <v>23.361000000000001</v>
      </c>
      <c r="BZ571" s="120">
        <f>(BY571+CA571)/2</f>
        <v>23.944000000000003</v>
      </c>
      <c r="CA571" s="120">
        <f>(CA570+CA572)/2</f>
        <v>24.527000000000001</v>
      </c>
      <c r="CB571" s="120">
        <f>(CA571+CC571)/2</f>
        <v>25.1555</v>
      </c>
      <c r="CC571" s="120">
        <f>(CC570+CC572)/2</f>
        <v>25.783999999999999</v>
      </c>
      <c r="CD571" s="120">
        <f>(CC571+CE571)/2</f>
        <v>26.378499999999999</v>
      </c>
      <c r="CE571" s="120">
        <f>(CE570+CE572)/2</f>
        <v>26.972999999999999</v>
      </c>
      <c r="CF571" s="120">
        <f>(CE571+CG571)/2</f>
        <v>27.561</v>
      </c>
      <c r="CG571" s="120">
        <f>(CG570+CG572)/2</f>
        <v>28.149000000000001</v>
      </c>
      <c r="CH571" s="120">
        <f>(CG571+CI571)/2</f>
        <v>28.748000000000001</v>
      </c>
      <c r="CI571" s="120">
        <f>(CI570+CI572)/2</f>
        <v>29.347000000000001</v>
      </c>
      <c r="CJ571" s="120">
        <f>(CI571+CK571)/2</f>
        <v>29.911750000000001</v>
      </c>
      <c r="CK571" s="120">
        <f>(CK570+CK572)/2</f>
        <v>30.476500000000001</v>
      </c>
      <c r="CL571" s="120">
        <f>(CK571+CM571)/2</f>
        <v>31.069749999999999</v>
      </c>
      <c r="CM571" s="120">
        <f>(CM570+CM572)/2</f>
        <v>31.662999999999997</v>
      </c>
      <c r="CN571" s="120">
        <f>(CM571+CO571)/2</f>
        <v>32.256999999999998</v>
      </c>
      <c r="CO571" s="120">
        <f>(CO570+CO572)/2</f>
        <v>32.850999999999999</v>
      </c>
      <c r="CP571" s="120">
        <f>(CO571+CQ571)/2</f>
        <v>33.420999999999999</v>
      </c>
      <c r="CQ571" s="120">
        <f>(CQ570+CQ572)/2</f>
        <v>33.991</v>
      </c>
      <c r="CR571" s="120">
        <f>(CQ571+CS571)/2</f>
        <v>34.545250000000003</v>
      </c>
      <c r="CS571" s="120">
        <f>(CS570+CS572)/2</f>
        <v>35.099500000000006</v>
      </c>
      <c r="CT571" s="120">
        <f>(CS571+CU571)/2</f>
        <v>35.703250000000004</v>
      </c>
      <c r="CU571" s="120">
        <f>(CU570+CU572)/2</f>
        <v>36.307000000000002</v>
      </c>
      <c r="CV571" s="120">
        <f>(CU571+CW571)/2</f>
        <v>36.872</v>
      </c>
      <c r="CW571" s="120">
        <f>(CW570+CW572)/2</f>
        <v>37.436999999999998</v>
      </c>
      <c r="CX571" s="120">
        <f>(CW571+CY571)/2</f>
        <v>37.991</v>
      </c>
      <c r="CY571" s="120">
        <f>(CY570+CY572)/2</f>
        <v>38.545000000000002</v>
      </c>
      <c r="CZ571" s="120">
        <f>(CY571+DA571)/2</f>
        <v>39.119749999999996</v>
      </c>
      <c r="DA571" s="120">
        <f>(DA570+DA572)/2</f>
        <v>39.694499999999998</v>
      </c>
      <c r="DB571" s="120">
        <f>(DA571+DC571)/2</f>
        <v>40.230249999999998</v>
      </c>
      <c r="DC571" s="120">
        <f>(DC570+DC572)/2</f>
        <v>40.766000000000005</v>
      </c>
      <c r="DD571" s="120">
        <f>(DC571+DE571)/2</f>
        <v>41.3245</v>
      </c>
      <c r="DE571" s="120">
        <f>(DE570+DE572)/2</f>
        <v>41.883000000000003</v>
      </c>
      <c r="DF571" s="120">
        <f>(DE571+DG571)/2</f>
        <v>42.418750000000003</v>
      </c>
      <c r="DG571" s="122">
        <f>(DG570+DG572)/2</f>
        <v>42.954499999999996</v>
      </c>
    </row>
    <row r="572" spans="54:111" ht="15" customHeight="1" x14ac:dyDescent="0.2">
      <c r="BB572" s="28">
        <v>18</v>
      </c>
      <c r="BC572" s="121">
        <v>8.25</v>
      </c>
      <c r="BD572" s="121">
        <v>9.1219999999999999</v>
      </c>
      <c r="BE572" s="121">
        <v>9.9939999999999998</v>
      </c>
      <c r="BF572" s="121">
        <v>10.818</v>
      </c>
      <c r="BG572" s="121">
        <v>11.641999999999999</v>
      </c>
      <c r="BH572" s="121">
        <v>12.456</v>
      </c>
      <c r="BI572" s="121">
        <v>13.27</v>
      </c>
      <c r="BJ572" s="121">
        <v>14.035499999999999</v>
      </c>
      <c r="BK572" s="121">
        <v>14.801</v>
      </c>
      <c r="BL572" s="121">
        <v>15.4985</v>
      </c>
      <c r="BM572" s="121">
        <v>16.196000000000002</v>
      </c>
      <c r="BN572" s="121">
        <v>16.902999999999999</v>
      </c>
      <c r="BO572" s="121">
        <v>17.61</v>
      </c>
      <c r="BP572" s="121">
        <f t="array" ref="BP572:BP614">TRANSPOSE(BQ571:DG571)</f>
        <v>18.307499999999997</v>
      </c>
      <c r="BQ572" s="158">
        <v>19.004999999999999</v>
      </c>
      <c r="BR572" s="120">
        <f>(BS572+BQ572)/2</f>
        <v>19.6435</v>
      </c>
      <c r="BS572" s="158">
        <v>20.282</v>
      </c>
      <c r="BT572" s="120">
        <f>(BU572+BS572)/2</f>
        <v>20.930500000000002</v>
      </c>
      <c r="BU572" s="158">
        <v>21.579000000000001</v>
      </c>
      <c r="BV572" s="120">
        <f>(BW572+BU572)/2</f>
        <v>22.276</v>
      </c>
      <c r="BW572" s="158">
        <v>22.972999999999999</v>
      </c>
      <c r="BX572" s="120">
        <f>(BY572+BW572)/2</f>
        <v>23.621499999999997</v>
      </c>
      <c r="BY572" s="158">
        <v>24.27</v>
      </c>
      <c r="BZ572" s="120">
        <f>(CA572+BY572)/2</f>
        <v>24.85</v>
      </c>
      <c r="CA572" s="158">
        <v>25.43</v>
      </c>
      <c r="CB572" s="120">
        <f>(CC572+CA572)/2</f>
        <v>26.078499999999998</v>
      </c>
      <c r="CC572" s="158">
        <v>26.727</v>
      </c>
      <c r="CD572" s="120">
        <f>(CE572+CC572)/2</f>
        <v>27.366</v>
      </c>
      <c r="CE572" s="158">
        <v>28.004999999999999</v>
      </c>
      <c r="CF572" s="120">
        <f>(CG572+CE572)/2</f>
        <v>28.585000000000001</v>
      </c>
      <c r="CG572" s="158">
        <v>29.164999999999999</v>
      </c>
      <c r="CH572" s="120">
        <f>(CI572+CG572)/2</f>
        <v>29.813499999999998</v>
      </c>
      <c r="CI572" s="158">
        <v>30.462</v>
      </c>
      <c r="CJ572" s="120">
        <f>(CK572+CI572)/2</f>
        <v>31.042000000000002</v>
      </c>
      <c r="CK572" s="158">
        <v>31.622</v>
      </c>
      <c r="CL572" s="120">
        <f>(CM572+CK572)/2</f>
        <v>32.270499999999998</v>
      </c>
      <c r="CM572" s="158">
        <v>32.918999999999997</v>
      </c>
      <c r="CN572" s="120">
        <f>(CO572+CM572)/2</f>
        <v>33.498999999999995</v>
      </c>
      <c r="CO572" s="158">
        <v>34.079000000000001</v>
      </c>
      <c r="CP572" s="120">
        <f>(CQ572+CO572)/2</f>
        <v>34.668999999999997</v>
      </c>
      <c r="CQ572" s="158">
        <v>35.259</v>
      </c>
      <c r="CR572" s="120">
        <f>(CS572+CQ572)/2</f>
        <v>35.839500000000001</v>
      </c>
      <c r="CS572" s="158">
        <v>36.42</v>
      </c>
      <c r="CT572" s="120">
        <f>(CU572+CS572)/2</f>
        <v>37.067999999999998</v>
      </c>
      <c r="CU572" s="158">
        <v>37.716000000000001</v>
      </c>
      <c r="CV572" s="120">
        <f>(CW572+CU572)/2</f>
        <v>38.296500000000002</v>
      </c>
      <c r="CW572" s="158">
        <v>38.877000000000002</v>
      </c>
      <c r="CX572" s="120">
        <f>(CY572+CW572)/2</f>
        <v>39.457000000000001</v>
      </c>
      <c r="CY572" s="158">
        <v>40.036999999999999</v>
      </c>
      <c r="CZ572" s="120">
        <f>(DA572+CY572)/2</f>
        <v>40.626999999999995</v>
      </c>
      <c r="DA572" s="158">
        <v>41.216999999999999</v>
      </c>
      <c r="DB572" s="120">
        <f>(DC572+DA572)/2</f>
        <v>41.796999999999997</v>
      </c>
      <c r="DC572" s="158">
        <v>42.377000000000002</v>
      </c>
      <c r="DD572" s="120">
        <f>(DE572+DC572)/2</f>
        <v>42.966999999999999</v>
      </c>
      <c r="DE572" s="158">
        <v>43.557000000000002</v>
      </c>
      <c r="DF572" s="120">
        <f>(DG572+DE572)/2</f>
        <v>44.078500000000005</v>
      </c>
      <c r="DG572" s="159">
        <v>44.6</v>
      </c>
    </row>
    <row r="573" spans="54:111" ht="15" customHeight="1" x14ac:dyDescent="0.2">
      <c r="BB573" s="28">
        <v>19</v>
      </c>
      <c r="BC573" s="121">
        <v>8.5629999999999988</v>
      </c>
      <c r="BD573" s="121">
        <v>9.48475</v>
      </c>
      <c r="BE573" s="121">
        <v>10.406500000000001</v>
      </c>
      <c r="BF573" s="121">
        <v>11.240749999999998</v>
      </c>
      <c r="BG573" s="121">
        <v>12.074999999999999</v>
      </c>
      <c r="BH573" s="121">
        <v>12.891</v>
      </c>
      <c r="BI573" s="121">
        <v>13.707000000000001</v>
      </c>
      <c r="BJ573" s="121">
        <v>14.487499999999999</v>
      </c>
      <c r="BK573" s="121">
        <v>15.268000000000001</v>
      </c>
      <c r="BL573" s="121">
        <v>16.009999999999998</v>
      </c>
      <c r="BM573" s="121">
        <v>16.752000000000002</v>
      </c>
      <c r="BN573" s="121">
        <v>17.485250000000001</v>
      </c>
      <c r="BO573" s="121">
        <v>18.218499999999999</v>
      </c>
      <c r="BP573" s="121">
        <v>18.930999999999997</v>
      </c>
      <c r="BQ573" s="121">
        <f t="array" ref="BQ573:BQ614">TRANSPOSE(BR572:DG572)</f>
        <v>19.6435</v>
      </c>
      <c r="BR573" s="120">
        <f>(BQ573+BS573)/2</f>
        <v>20.331499999999998</v>
      </c>
      <c r="BS573" s="120">
        <f>(BS572+BS574)/2</f>
        <v>21.019500000000001</v>
      </c>
      <c r="BT573" s="120">
        <f>(BS573+BU573)/2</f>
        <v>21.694000000000003</v>
      </c>
      <c r="BU573" s="120">
        <f>(BU572+BU574)/2</f>
        <v>22.368500000000001</v>
      </c>
      <c r="BV573" s="120">
        <f>(BU573+BW573)/2</f>
        <v>23.081000000000003</v>
      </c>
      <c r="BW573" s="120">
        <f>(BW572+BW574)/2</f>
        <v>23.793500000000002</v>
      </c>
      <c r="BX573" s="120">
        <f>(BW573+BY573)/2</f>
        <v>24.457000000000001</v>
      </c>
      <c r="BY573" s="120">
        <f>(BY572+BY574)/2</f>
        <v>25.1205</v>
      </c>
      <c r="BZ573" s="120">
        <f>(BY573+CA573)/2</f>
        <v>25.756250000000001</v>
      </c>
      <c r="CA573" s="120">
        <f>(CA572+CA574)/2</f>
        <v>26.391999999999999</v>
      </c>
      <c r="CB573" s="120">
        <f>(CA573+CC573)/2</f>
        <v>27.055250000000001</v>
      </c>
      <c r="CC573" s="120">
        <f>(CC572+CC574)/2</f>
        <v>27.718499999999999</v>
      </c>
      <c r="CD573" s="120">
        <f>(CC573+CE573)/2</f>
        <v>28.34825</v>
      </c>
      <c r="CE573" s="120">
        <f>(CE572+CE574)/2</f>
        <v>28.978000000000002</v>
      </c>
      <c r="CF573" s="120">
        <f>(CE573+CG573)/2</f>
        <v>29.613500000000002</v>
      </c>
      <c r="CG573" s="120">
        <f>(CG572+CG574)/2</f>
        <v>30.248999999999999</v>
      </c>
      <c r="CH573" s="120">
        <f>(CG573+CI573)/2</f>
        <v>30.912750000000003</v>
      </c>
      <c r="CI573" s="120">
        <f>(CI572+CI574)/2</f>
        <v>31.576500000000003</v>
      </c>
      <c r="CJ573" s="120">
        <f>(CI573+CK573)/2</f>
        <v>32.171999999999997</v>
      </c>
      <c r="CK573" s="120">
        <f>(CK572+CK574)/2</f>
        <v>32.767499999999998</v>
      </c>
      <c r="CL573" s="120">
        <f>(CK573+CM573)/2</f>
        <v>33.442</v>
      </c>
      <c r="CM573" s="120">
        <f>(CM572+CM574)/2</f>
        <v>34.116500000000002</v>
      </c>
      <c r="CN573" s="120">
        <f>(CM573+CO573)/2</f>
        <v>34.716750000000005</v>
      </c>
      <c r="CO573" s="120">
        <f>(CO572+CO574)/2</f>
        <v>35.317</v>
      </c>
      <c r="CP573" s="120">
        <f>(CO573+CQ573)/2</f>
        <v>35.9465</v>
      </c>
      <c r="CQ573" s="120">
        <f>(CQ572+CQ574)/2</f>
        <v>36.576000000000001</v>
      </c>
      <c r="CR573" s="120">
        <f>(CQ573+CS573)/2</f>
        <v>37.187250000000006</v>
      </c>
      <c r="CS573" s="120">
        <f>(CS572+CS574)/2</f>
        <v>37.798500000000004</v>
      </c>
      <c r="CT573" s="120">
        <f>(CS573+CU573)/2</f>
        <v>38.427750000000003</v>
      </c>
      <c r="CU573" s="120">
        <f>(CU572+CU574)/2</f>
        <v>39.057000000000002</v>
      </c>
      <c r="CV573" s="120">
        <f>(CU573+CW573)/2</f>
        <v>39.657499999999999</v>
      </c>
      <c r="CW573" s="120">
        <f>(CW572+CW574)/2</f>
        <v>40.258000000000003</v>
      </c>
      <c r="CX573" s="120">
        <f>(CW573+CY573)/2</f>
        <v>40.869250000000001</v>
      </c>
      <c r="CY573" s="120">
        <f>(CY572+CY574)/2</f>
        <v>41.480499999999999</v>
      </c>
      <c r="CZ573" s="120">
        <f>(CY573+DA573)/2</f>
        <v>42.080749999999995</v>
      </c>
      <c r="DA573" s="120">
        <f>(DA572+DA574)/2</f>
        <v>42.680999999999997</v>
      </c>
      <c r="DB573" s="120">
        <f>(DA573+DC573)/2</f>
        <v>43.28125</v>
      </c>
      <c r="DC573" s="120">
        <f>(DC572+DC574)/2</f>
        <v>43.881500000000003</v>
      </c>
      <c r="DD573" s="120">
        <f>(DC573+DE573)/2</f>
        <v>44.522000000000006</v>
      </c>
      <c r="DE573" s="120">
        <f>(DE572+DE574)/2</f>
        <v>45.162500000000001</v>
      </c>
      <c r="DF573" s="120">
        <f>(DE573+DG573)/2</f>
        <v>45.704250000000002</v>
      </c>
      <c r="DG573" s="122">
        <f>(DG572+DG574)/2</f>
        <v>46.246000000000002</v>
      </c>
    </row>
    <row r="574" spans="54:111" ht="15" customHeight="1" x14ac:dyDescent="0.2">
      <c r="BB574" s="28">
        <v>20</v>
      </c>
      <c r="BC574" s="121">
        <v>8.8759999999999994</v>
      </c>
      <c r="BD574" s="121">
        <v>9.8475000000000001</v>
      </c>
      <c r="BE574" s="121">
        <v>10.819000000000001</v>
      </c>
      <c r="BF574" s="121">
        <v>11.663499999999999</v>
      </c>
      <c r="BG574" s="121">
        <v>12.507999999999999</v>
      </c>
      <c r="BH574" s="121">
        <v>13.326000000000001</v>
      </c>
      <c r="BI574" s="121">
        <v>14.144</v>
      </c>
      <c r="BJ574" s="121">
        <v>14.939499999999999</v>
      </c>
      <c r="BK574" s="121">
        <v>15.734999999999999</v>
      </c>
      <c r="BL574" s="121">
        <v>16.5215</v>
      </c>
      <c r="BM574" s="121">
        <v>17.308</v>
      </c>
      <c r="BN574" s="121">
        <v>18.067500000000003</v>
      </c>
      <c r="BO574" s="121">
        <v>18.827000000000002</v>
      </c>
      <c r="BP574" s="121">
        <v>19.554500000000001</v>
      </c>
      <c r="BQ574" s="121">
        <v>20.282</v>
      </c>
      <c r="BR574" s="121">
        <f t="array" ref="BR574:BR614">TRANSPOSE(BS573:DG573)</f>
        <v>21.019500000000001</v>
      </c>
      <c r="BS574" s="158">
        <v>21.757000000000001</v>
      </c>
      <c r="BT574" s="120">
        <f>(BU574+BS574)/2</f>
        <v>22.457500000000003</v>
      </c>
      <c r="BU574" s="158">
        <v>23.158000000000001</v>
      </c>
      <c r="BV574" s="120">
        <f>(BW574+BU574)/2</f>
        <v>23.886000000000003</v>
      </c>
      <c r="BW574" s="158">
        <v>24.614000000000001</v>
      </c>
      <c r="BX574" s="120">
        <f>(BY574+BW574)/2</f>
        <v>25.2925</v>
      </c>
      <c r="BY574" s="158">
        <v>25.971</v>
      </c>
      <c r="BZ574" s="120">
        <f>(CA574+BY574)/2</f>
        <v>26.662500000000001</v>
      </c>
      <c r="CA574" s="158">
        <v>27.353999999999999</v>
      </c>
      <c r="CB574" s="120">
        <f>(CC574+CA574)/2</f>
        <v>28.032</v>
      </c>
      <c r="CC574" s="158">
        <v>28.71</v>
      </c>
      <c r="CD574" s="120">
        <f>(CE574+CC574)/2</f>
        <v>29.330500000000001</v>
      </c>
      <c r="CE574" s="158">
        <v>29.951000000000001</v>
      </c>
      <c r="CF574" s="120">
        <f>(CG574+CE574)/2</f>
        <v>30.641999999999999</v>
      </c>
      <c r="CG574" s="158">
        <v>31.332999999999998</v>
      </c>
      <c r="CH574" s="120">
        <f>(CI574+CG574)/2</f>
        <v>32.012</v>
      </c>
      <c r="CI574" s="158">
        <v>32.691000000000003</v>
      </c>
      <c r="CJ574" s="120">
        <f>(CK574+CI574)/2</f>
        <v>33.302</v>
      </c>
      <c r="CK574" s="158">
        <v>33.912999999999997</v>
      </c>
      <c r="CL574" s="120">
        <f>(CM574+CK574)/2</f>
        <v>34.613500000000002</v>
      </c>
      <c r="CM574" s="158">
        <v>35.314</v>
      </c>
      <c r="CN574" s="120">
        <f>(CO574+CM574)/2</f>
        <v>35.9345</v>
      </c>
      <c r="CO574" s="158">
        <v>36.555</v>
      </c>
      <c r="CP574" s="120">
        <f>(CQ574+CO574)/2</f>
        <v>37.224000000000004</v>
      </c>
      <c r="CQ574" s="158">
        <v>37.893000000000001</v>
      </c>
      <c r="CR574" s="120">
        <f>(CS574+CQ574)/2</f>
        <v>38.534999999999997</v>
      </c>
      <c r="CS574" s="158">
        <v>39.177</v>
      </c>
      <c r="CT574" s="120">
        <f>(CU574+CS574)/2</f>
        <v>39.787500000000001</v>
      </c>
      <c r="CU574" s="158">
        <v>40.398000000000003</v>
      </c>
      <c r="CV574" s="120">
        <f>(CW574+CU574)/2</f>
        <v>41.018500000000003</v>
      </c>
      <c r="CW574" s="158">
        <v>41.639000000000003</v>
      </c>
      <c r="CX574" s="120">
        <f>(CY574+CW574)/2</f>
        <v>42.281500000000001</v>
      </c>
      <c r="CY574" s="158">
        <v>42.923999999999999</v>
      </c>
      <c r="CZ574" s="120">
        <f>(DA574+CY574)/2</f>
        <v>43.534500000000001</v>
      </c>
      <c r="DA574" s="158">
        <v>44.145000000000003</v>
      </c>
      <c r="DB574" s="120">
        <f>(DC574+DA574)/2</f>
        <v>44.765500000000003</v>
      </c>
      <c r="DC574" s="158">
        <v>45.386000000000003</v>
      </c>
      <c r="DD574" s="120">
        <f>(DE574+DC574)/2</f>
        <v>46.076999999999998</v>
      </c>
      <c r="DE574" s="158">
        <v>46.768000000000001</v>
      </c>
      <c r="DF574" s="120">
        <f>(DG574+DE574)/2</f>
        <v>47.33</v>
      </c>
      <c r="DG574" s="159">
        <v>47.892000000000003</v>
      </c>
    </row>
    <row r="575" spans="54:111" ht="15" customHeight="1" x14ac:dyDescent="0.2">
      <c r="BB575" s="28">
        <v>21</v>
      </c>
      <c r="BC575" s="121">
        <v>9.1185000000000009</v>
      </c>
      <c r="BD575" s="121">
        <v>10.140750000000001</v>
      </c>
      <c r="BE575" s="121">
        <v>11.163</v>
      </c>
      <c r="BF575" s="121">
        <v>12.038499999999999</v>
      </c>
      <c r="BG575" s="121">
        <v>12.914</v>
      </c>
      <c r="BH575" s="121">
        <v>13.765499999999999</v>
      </c>
      <c r="BI575" s="121">
        <v>14.617000000000001</v>
      </c>
      <c r="BJ575" s="121">
        <v>15.439</v>
      </c>
      <c r="BK575" s="121">
        <v>16.260999999999999</v>
      </c>
      <c r="BL575" s="121">
        <v>17.073250000000002</v>
      </c>
      <c r="BM575" s="121">
        <v>17.8855</v>
      </c>
      <c r="BN575" s="121">
        <v>18.649250000000002</v>
      </c>
      <c r="BO575" s="121">
        <v>19.413</v>
      </c>
      <c r="BP575" s="121">
        <v>20.171750000000003</v>
      </c>
      <c r="BQ575" s="121">
        <v>20.930500000000002</v>
      </c>
      <c r="BR575" s="121">
        <v>21.694000000000003</v>
      </c>
      <c r="BS575" s="121">
        <f t="array" ref="BS575:BS614">TRANSPOSE(BT574:DG574)</f>
        <v>22.457500000000003</v>
      </c>
      <c r="BT575" s="120">
        <f>(BS575+BU575)/2</f>
        <v>23.186750000000004</v>
      </c>
      <c r="BU575" s="120">
        <f>(BU574+BU576)/2</f>
        <v>23.916</v>
      </c>
      <c r="BV575" s="120">
        <f>(BU575+BW575)/2</f>
        <v>24.645499999999998</v>
      </c>
      <c r="BW575" s="120">
        <f>(BW574+BW576)/2</f>
        <v>25.375</v>
      </c>
      <c r="BX575" s="120">
        <f>(BW575+BY575)/2</f>
        <v>26.109249999999999</v>
      </c>
      <c r="BY575" s="120">
        <f>(BY574+BY576)/2</f>
        <v>26.843499999999999</v>
      </c>
      <c r="BZ575" s="120">
        <f>(BY575+CA575)/2</f>
        <v>27.544</v>
      </c>
      <c r="CA575" s="120">
        <f>(CA574+CA576)/2</f>
        <v>28.244500000000002</v>
      </c>
      <c r="CB575" s="120">
        <f>(CA575+CC575)/2</f>
        <v>28.94425</v>
      </c>
      <c r="CC575" s="120">
        <f>(CC574+CC576)/2</f>
        <v>29.643999999999998</v>
      </c>
      <c r="CD575" s="120">
        <f>(CC575+CE575)/2</f>
        <v>30.319749999999999</v>
      </c>
      <c r="CE575" s="120">
        <f>(CE574+CE576)/2</f>
        <v>30.9955</v>
      </c>
      <c r="CF575" s="120">
        <f>(CE575+CG575)/2</f>
        <v>31.695499999999999</v>
      </c>
      <c r="CG575" s="120">
        <f>(CG574+CG576)/2</f>
        <v>32.395499999999998</v>
      </c>
      <c r="CH575" s="120">
        <f>(CG575+CI575)/2</f>
        <v>33.0715</v>
      </c>
      <c r="CI575" s="120">
        <f>(CI574+CI576)/2</f>
        <v>33.747500000000002</v>
      </c>
      <c r="CJ575" s="120">
        <f>(CI575+CK575)/2</f>
        <v>34.414000000000001</v>
      </c>
      <c r="CK575" s="120">
        <f>(CK574+CK576)/2</f>
        <v>35.080500000000001</v>
      </c>
      <c r="CL575" s="120">
        <f>(CK575+CM575)/2</f>
        <v>35.784999999999997</v>
      </c>
      <c r="CM575" s="120">
        <f>(CM574+CM576)/2</f>
        <v>36.4895</v>
      </c>
      <c r="CN575" s="120">
        <f>(CM575+CO575)/2</f>
        <v>37.135999999999996</v>
      </c>
      <c r="CO575" s="120">
        <f>(CO574+CO576)/2</f>
        <v>37.782499999999999</v>
      </c>
      <c r="CP575" s="120">
        <f>(CO575+CQ575)/2</f>
        <v>38.453499999999998</v>
      </c>
      <c r="CQ575" s="120">
        <f>(CQ574+CQ576)/2</f>
        <v>39.124499999999998</v>
      </c>
      <c r="CR575" s="120">
        <f>(CQ575+CS575)/2</f>
        <v>39.795249999999996</v>
      </c>
      <c r="CS575" s="120">
        <f>(CS574+CS576)/2</f>
        <v>40.466000000000001</v>
      </c>
      <c r="CT575" s="120">
        <f>(CS575+CU575)/2</f>
        <v>41.107749999999996</v>
      </c>
      <c r="CU575" s="120">
        <f>(CU574+CU576)/2</f>
        <v>41.749499999999998</v>
      </c>
      <c r="CV575" s="120">
        <f>(CU575+CW575)/2</f>
        <v>42.39575</v>
      </c>
      <c r="CW575" s="120">
        <f>(CW574+CW576)/2</f>
        <v>43.042000000000002</v>
      </c>
      <c r="CX575" s="120">
        <f>(CW575+CY575)/2</f>
        <v>43.718000000000004</v>
      </c>
      <c r="CY575" s="120">
        <f>(CY574+CY576)/2</f>
        <v>44.393999999999998</v>
      </c>
      <c r="CZ575" s="120">
        <f>(CY575+DA575)/2</f>
        <v>45.03575</v>
      </c>
      <c r="DA575" s="120">
        <f>(DA574+DA576)/2</f>
        <v>45.677500000000002</v>
      </c>
      <c r="DB575" s="120">
        <f>(DA575+DC575)/2</f>
        <v>46.319249999999997</v>
      </c>
      <c r="DC575" s="120">
        <f>(DC574+DC576)/2</f>
        <v>46.960999999999999</v>
      </c>
      <c r="DD575" s="120">
        <f>(DC575+DE575)/2</f>
        <v>47.631999999999998</v>
      </c>
      <c r="DE575" s="120">
        <f>(DE574+DE576)/2</f>
        <v>48.302999999999997</v>
      </c>
      <c r="DF575" s="120">
        <f>(DE575+DG575)/2</f>
        <v>48.92</v>
      </c>
      <c r="DG575" s="122">
        <f>(DG574+DG576)/2</f>
        <v>49.537000000000006</v>
      </c>
    </row>
    <row r="576" spans="54:111" ht="15" customHeight="1" x14ac:dyDescent="0.2">
      <c r="BB576" s="28">
        <v>22</v>
      </c>
      <c r="BC576" s="121">
        <v>9.3610000000000007</v>
      </c>
      <c r="BD576" s="121">
        <v>10.434000000000001</v>
      </c>
      <c r="BE576" s="121">
        <v>11.507</v>
      </c>
      <c r="BF576" s="121">
        <v>12.413499999999999</v>
      </c>
      <c r="BG576" s="121">
        <v>13.32</v>
      </c>
      <c r="BH576" s="121">
        <v>14.205</v>
      </c>
      <c r="BI576" s="121">
        <v>15.09</v>
      </c>
      <c r="BJ576" s="121">
        <v>15.938499999999999</v>
      </c>
      <c r="BK576" s="121">
        <v>16.786999999999999</v>
      </c>
      <c r="BL576" s="121">
        <v>17.625</v>
      </c>
      <c r="BM576" s="121">
        <v>18.463000000000001</v>
      </c>
      <c r="BN576" s="121">
        <v>19.231000000000002</v>
      </c>
      <c r="BO576" s="121">
        <v>19.998999999999999</v>
      </c>
      <c r="BP576" s="121">
        <v>20.789000000000001</v>
      </c>
      <c r="BQ576" s="121">
        <v>21.579000000000001</v>
      </c>
      <c r="BR576" s="121">
        <v>22.368500000000001</v>
      </c>
      <c r="BS576" s="121">
        <v>23.158000000000001</v>
      </c>
      <c r="BT576" s="121">
        <f t="array" ref="BT576:BT614">TRANSPOSE(BU575:DG575)</f>
        <v>23.916</v>
      </c>
      <c r="BU576" s="158">
        <v>24.673999999999999</v>
      </c>
      <c r="BV576" s="120">
        <f>(BW576+BU576)/2</f>
        <v>25.405000000000001</v>
      </c>
      <c r="BW576" s="158">
        <v>26.135999999999999</v>
      </c>
      <c r="BX576" s="120">
        <f>(BY576+BW576)/2</f>
        <v>26.926000000000002</v>
      </c>
      <c r="BY576" s="158">
        <v>27.716000000000001</v>
      </c>
      <c r="BZ576" s="120">
        <f>(CA576+BY576)/2</f>
        <v>28.4255</v>
      </c>
      <c r="CA576" s="158">
        <v>29.135000000000002</v>
      </c>
      <c r="CB576" s="120">
        <f>(CC576+CA576)/2</f>
        <v>29.8565</v>
      </c>
      <c r="CC576" s="158">
        <v>30.577999999999999</v>
      </c>
      <c r="CD576" s="120">
        <f>(CE576+CC576)/2</f>
        <v>31.308999999999997</v>
      </c>
      <c r="CE576" s="158">
        <v>32.04</v>
      </c>
      <c r="CF576" s="120">
        <f>(CG576+CE576)/2</f>
        <v>32.748999999999995</v>
      </c>
      <c r="CG576" s="158">
        <v>33.457999999999998</v>
      </c>
      <c r="CH576" s="120">
        <f>(CI576+CG576)/2</f>
        <v>34.131</v>
      </c>
      <c r="CI576" s="158">
        <v>34.804000000000002</v>
      </c>
      <c r="CJ576" s="120">
        <f>(CK576+CI576)/2</f>
        <v>35.525999999999996</v>
      </c>
      <c r="CK576" s="158">
        <v>36.247999999999998</v>
      </c>
      <c r="CL576" s="120">
        <f>(CM576+CK576)/2</f>
        <v>36.956499999999998</v>
      </c>
      <c r="CM576" s="158">
        <v>37.664999999999999</v>
      </c>
      <c r="CN576" s="120">
        <f>(CO576+CM576)/2</f>
        <v>38.337499999999999</v>
      </c>
      <c r="CO576" s="158">
        <v>39.01</v>
      </c>
      <c r="CP576" s="120">
        <f>(CQ576+CO576)/2</f>
        <v>39.683</v>
      </c>
      <c r="CQ576" s="158">
        <v>40.356000000000002</v>
      </c>
      <c r="CR576" s="120">
        <f>(CS576+CQ576)/2</f>
        <v>41.055500000000002</v>
      </c>
      <c r="CS576" s="158">
        <v>41.755000000000003</v>
      </c>
      <c r="CT576" s="120">
        <f>(CU576+CS576)/2</f>
        <v>42.427999999999997</v>
      </c>
      <c r="CU576" s="158">
        <v>43.100999999999999</v>
      </c>
      <c r="CV576" s="120">
        <f>(CW576+CU576)/2</f>
        <v>43.772999999999996</v>
      </c>
      <c r="CW576" s="158">
        <v>44.445</v>
      </c>
      <c r="CX576" s="120">
        <f>(CY576+CW576)/2</f>
        <v>45.154499999999999</v>
      </c>
      <c r="CY576" s="158">
        <v>45.863999999999997</v>
      </c>
      <c r="CZ576" s="120">
        <f>(DA576+CY576)/2</f>
        <v>46.536999999999999</v>
      </c>
      <c r="DA576" s="158">
        <v>47.21</v>
      </c>
      <c r="DB576" s="120">
        <f>(DC576+DA576)/2</f>
        <v>47.873000000000005</v>
      </c>
      <c r="DC576" s="158">
        <v>48.536000000000001</v>
      </c>
      <c r="DD576" s="120">
        <f>(DE576+DC576)/2</f>
        <v>49.186999999999998</v>
      </c>
      <c r="DE576" s="158">
        <v>49.838000000000001</v>
      </c>
      <c r="DF576" s="120">
        <f>(DG576+DE576)/2</f>
        <v>50.510000000000005</v>
      </c>
      <c r="DG576" s="159">
        <v>51.182000000000002</v>
      </c>
    </row>
    <row r="577" spans="54:111" ht="15" customHeight="1" x14ac:dyDescent="0.2">
      <c r="BB577" s="28">
        <v>23</v>
      </c>
      <c r="BC577" s="121">
        <v>9.6750000000000007</v>
      </c>
      <c r="BD577" s="121">
        <v>10.7385</v>
      </c>
      <c r="BE577" s="121">
        <v>11.802</v>
      </c>
      <c r="BF577" s="121">
        <v>12.75325</v>
      </c>
      <c r="BG577" s="121">
        <v>13.704499999999999</v>
      </c>
      <c r="BH577" s="121">
        <v>14.615500000000001</v>
      </c>
      <c r="BI577" s="121">
        <v>15.526499999999999</v>
      </c>
      <c r="BJ577" s="121">
        <v>16.419249999999998</v>
      </c>
      <c r="BK577" s="121">
        <v>17.311999999999998</v>
      </c>
      <c r="BL577" s="121">
        <v>18.165749999999999</v>
      </c>
      <c r="BM577" s="121">
        <v>19.019500000000001</v>
      </c>
      <c r="BN577" s="121">
        <v>19.81325</v>
      </c>
      <c r="BO577" s="121">
        <v>20.606999999999999</v>
      </c>
      <c r="BP577" s="121">
        <v>21.441500000000001</v>
      </c>
      <c r="BQ577" s="121">
        <v>22.276</v>
      </c>
      <c r="BR577" s="121">
        <v>23.081000000000003</v>
      </c>
      <c r="BS577" s="121">
        <v>23.886000000000003</v>
      </c>
      <c r="BT577" s="121">
        <v>24.645499999999998</v>
      </c>
      <c r="BU577" s="121">
        <f t="array" ref="BU577:BU614">TRANSPOSE(BV576:DG576)</f>
        <v>25.405000000000001</v>
      </c>
      <c r="BV577" s="120">
        <f>(BU577+BW577)/2</f>
        <v>26.18075</v>
      </c>
      <c r="BW577" s="120">
        <f>(BW576+BW578)/2</f>
        <v>26.956499999999998</v>
      </c>
      <c r="BX577" s="120">
        <f>(BW577+BY577)/2</f>
        <v>27.732250000000001</v>
      </c>
      <c r="BY577" s="120">
        <f>(BY576+BY578)/2</f>
        <v>28.508000000000003</v>
      </c>
      <c r="BZ577" s="120">
        <f>(BY577+CA577)/2</f>
        <v>29.272750000000002</v>
      </c>
      <c r="CA577" s="120">
        <f>(CA576+CA578)/2</f>
        <v>30.037500000000001</v>
      </c>
      <c r="CB577" s="120">
        <f>(CA577+CC577)/2</f>
        <v>30.779250000000001</v>
      </c>
      <c r="CC577" s="120">
        <f>(CC576+CC578)/2</f>
        <v>31.521000000000001</v>
      </c>
      <c r="CD577" s="120">
        <f>(CC577+CE577)/2</f>
        <v>32.267250000000004</v>
      </c>
      <c r="CE577" s="120">
        <f>(CE576+CE578)/2</f>
        <v>33.013500000000001</v>
      </c>
      <c r="CF577" s="120">
        <f>(CE577+CG577)/2</f>
        <v>33.748750000000001</v>
      </c>
      <c r="CG577" s="120">
        <f>(CG576+CG578)/2</f>
        <v>34.483999999999995</v>
      </c>
      <c r="CH577" s="120">
        <f>(CG577+CI577)/2</f>
        <v>35.201499999999996</v>
      </c>
      <c r="CI577" s="120">
        <f>(CI576+CI578)/2</f>
        <v>35.918999999999997</v>
      </c>
      <c r="CJ577" s="120">
        <f>(CI577+CK577)/2</f>
        <v>36.6265</v>
      </c>
      <c r="CK577" s="120">
        <f>(CK576+CK578)/2</f>
        <v>37.334000000000003</v>
      </c>
      <c r="CL577" s="120">
        <f>(CK577+CM577)/2</f>
        <v>38.069000000000003</v>
      </c>
      <c r="CM577" s="120">
        <f>(CM576+CM578)/2</f>
        <v>38.804000000000002</v>
      </c>
      <c r="CN577" s="120">
        <f>(CM577+CO577)/2</f>
        <v>39.521000000000001</v>
      </c>
      <c r="CO577" s="120">
        <f>(CO576+CO578)/2</f>
        <v>40.238</v>
      </c>
      <c r="CP577" s="120">
        <f>(CO577+CQ577)/2</f>
        <v>40.926249999999996</v>
      </c>
      <c r="CQ577" s="120">
        <f>(CQ576+CQ578)/2</f>
        <v>41.6145</v>
      </c>
      <c r="CR577" s="120">
        <f>(CQ577+CS577)/2</f>
        <v>42.344999999999999</v>
      </c>
      <c r="CS577" s="120">
        <f>(CS576+CS578)/2</f>
        <v>43.075500000000005</v>
      </c>
      <c r="CT577" s="120">
        <f>(CS577+CU577)/2</f>
        <v>43.763500000000001</v>
      </c>
      <c r="CU577" s="120">
        <f>(CU576+CU578)/2</f>
        <v>44.451499999999996</v>
      </c>
      <c r="CV577" s="120">
        <f>(CU577+CW577)/2</f>
        <v>45.139249999999997</v>
      </c>
      <c r="CW577" s="120">
        <f>(CW576+CW578)/2</f>
        <v>45.826999999999998</v>
      </c>
      <c r="CX577" s="120">
        <f>(CW577+CY577)/2</f>
        <v>46.562249999999999</v>
      </c>
      <c r="CY577" s="120">
        <f>(CY576+CY578)/2</f>
        <v>47.297499999999999</v>
      </c>
      <c r="CZ577" s="120">
        <f>(CY577+DA577)/2</f>
        <v>47.985749999999996</v>
      </c>
      <c r="DA577" s="120">
        <f>(DA576+DA578)/2</f>
        <v>48.673999999999999</v>
      </c>
      <c r="DB577" s="120">
        <f>(DA577+DC577)/2</f>
        <v>49.357250000000001</v>
      </c>
      <c r="DC577" s="120">
        <f>(DC576+DC578)/2</f>
        <v>50.040500000000002</v>
      </c>
      <c r="DD577" s="120">
        <f>(DC577+DE577)/2</f>
        <v>50.717250000000007</v>
      </c>
      <c r="DE577" s="120">
        <f>(DE576+DE578)/2</f>
        <v>51.394000000000005</v>
      </c>
      <c r="DF577" s="120">
        <f>(DE577+DG577)/2</f>
        <v>52.111000000000004</v>
      </c>
      <c r="DG577" s="122">
        <f>(DG576+DG578)/2</f>
        <v>52.828000000000003</v>
      </c>
    </row>
    <row r="578" spans="54:111" ht="15" customHeight="1" x14ac:dyDescent="0.2">
      <c r="BB578" s="28">
        <v>24</v>
      </c>
      <c r="BC578" s="121">
        <v>9.9890000000000008</v>
      </c>
      <c r="BD578" s="121">
        <v>11.042999999999999</v>
      </c>
      <c r="BE578" s="121">
        <v>12.097</v>
      </c>
      <c r="BF578" s="121">
        <v>13.093</v>
      </c>
      <c r="BG578" s="121">
        <v>14.089</v>
      </c>
      <c r="BH578" s="121">
        <v>15.026</v>
      </c>
      <c r="BI578" s="121">
        <v>15.962999999999999</v>
      </c>
      <c r="BJ578" s="121">
        <v>16.899999999999999</v>
      </c>
      <c r="BK578" s="121">
        <v>17.837</v>
      </c>
      <c r="BL578" s="121">
        <v>18.706499999999998</v>
      </c>
      <c r="BM578" s="121">
        <v>19.576000000000001</v>
      </c>
      <c r="BN578" s="121">
        <v>20.395499999999998</v>
      </c>
      <c r="BO578" s="121">
        <v>21.215</v>
      </c>
      <c r="BP578" s="121">
        <v>22.094000000000001</v>
      </c>
      <c r="BQ578" s="121">
        <v>22.972999999999999</v>
      </c>
      <c r="BR578" s="121">
        <v>23.793500000000002</v>
      </c>
      <c r="BS578" s="121">
        <v>24.614000000000001</v>
      </c>
      <c r="BT578" s="121">
        <v>25.375</v>
      </c>
      <c r="BU578" s="121">
        <v>26.135999999999999</v>
      </c>
      <c r="BV578" s="121">
        <f t="array" ref="BV578:BV614">TRANSPOSE(BW577:DG577)</f>
        <v>26.956499999999998</v>
      </c>
      <c r="BW578" s="158">
        <v>27.777000000000001</v>
      </c>
      <c r="BX578" s="120">
        <f>(BY578+BW578)/2</f>
        <v>28.538499999999999</v>
      </c>
      <c r="BY578" s="158">
        <v>29.3</v>
      </c>
      <c r="BZ578" s="120">
        <f>(CA578+BY578)/2</f>
        <v>30.12</v>
      </c>
      <c r="CA578" s="158">
        <v>30.94</v>
      </c>
      <c r="CB578" s="120">
        <f>(CC578+CA578)/2</f>
        <v>31.701999999999998</v>
      </c>
      <c r="CC578" s="158">
        <v>32.463999999999999</v>
      </c>
      <c r="CD578" s="120">
        <f>(CE578+CC578)/2</f>
        <v>33.225499999999997</v>
      </c>
      <c r="CE578" s="158">
        <v>33.987000000000002</v>
      </c>
      <c r="CF578" s="120">
        <f>(CG578+CE578)/2</f>
        <v>34.7485</v>
      </c>
      <c r="CG578" s="158">
        <v>35.51</v>
      </c>
      <c r="CH578" s="120">
        <f>(CI578+CG578)/2</f>
        <v>36.271999999999998</v>
      </c>
      <c r="CI578" s="158">
        <v>37.033999999999999</v>
      </c>
      <c r="CJ578" s="120">
        <f>(CK578+CI578)/2</f>
        <v>37.727000000000004</v>
      </c>
      <c r="CK578" s="158">
        <v>38.42</v>
      </c>
      <c r="CL578" s="120">
        <f>(CM578+CK578)/2</f>
        <v>39.1815</v>
      </c>
      <c r="CM578" s="158">
        <v>39.942999999999998</v>
      </c>
      <c r="CN578" s="120">
        <f>(CO578+CM578)/2</f>
        <v>40.704499999999996</v>
      </c>
      <c r="CO578" s="158">
        <v>41.466000000000001</v>
      </c>
      <c r="CP578" s="120">
        <f>(CQ578+CO578)/2</f>
        <v>42.169499999999999</v>
      </c>
      <c r="CQ578" s="158">
        <v>42.872999999999998</v>
      </c>
      <c r="CR578" s="120">
        <f>(CS578+CQ578)/2</f>
        <v>43.634500000000003</v>
      </c>
      <c r="CS578" s="158">
        <v>44.396000000000001</v>
      </c>
      <c r="CT578" s="120">
        <f>(CU578+CS578)/2</f>
        <v>45.099000000000004</v>
      </c>
      <c r="CU578" s="158">
        <v>45.802</v>
      </c>
      <c r="CV578" s="120">
        <f>(CW578+CU578)/2</f>
        <v>46.505499999999998</v>
      </c>
      <c r="CW578" s="158">
        <v>47.209000000000003</v>
      </c>
      <c r="CX578" s="120">
        <f>(CY578+CW578)/2</f>
        <v>47.97</v>
      </c>
      <c r="CY578" s="158">
        <v>48.731000000000002</v>
      </c>
      <c r="CZ578" s="120">
        <f>(DA578+CY578)/2</f>
        <v>49.4345</v>
      </c>
      <c r="DA578" s="158">
        <v>50.137999999999998</v>
      </c>
      <c r="DB578" s="120">
        <f>(DC578+DA578)/2</f>
        <v>50.841499999999996</v>
      </c>
      <c r="DC578" s="158">
        <v>51.545000000000002</v>
      </c>
      <c r="DD578" s="120">
        <f>(DE578+DC578)/2</f>
        <v>52.247500000000002</v>
      </c>
      <c r="DE578" s="158">
        <v>52.95</v>
      </c>
      <c r="DF578" s="120">
        <f>(DG578+DE578)/2</f>
        <v>53.712000000000003</v>
      </c>
      <c r="DG578" s="159">
        <v>54.473999999999997</v>
      </c>
    </row>
    <row r="579" spans="54:111" ht="15" customHeight="1" x14ac:dyDescent="0.2">
      <c r="BB579" s="28">
        <v>25</v>
      </c>
      <c r="BC579" s="121">
        <v>10.3025</v>
      </c>
      <c r="BD579" s="121">
        <v>11.372</v>
      </c>
      <c r="BE579" s="121">
        <v>12.4415</v>
      </c>
      <c r="BF579" s="121">
        <v>13.48175</v>
      </c>
      <c r="BG579" s="121">
        <v>14.522</v>
      </c>
      <c r="BH579" s="121">
        <v>15.485250000000001</v>
      </c>
      <c r="BI579" s="121">
        <v>16.448499999999999</v>
      </c>
      <c r="BJ579" s="121">
        <v>17.371499999999997</v>
      </c>
      <c r="BK579" s="121">
        <v>18.294499999999999</v>
      </c>
      <c r="BL579" s="121">
        <v>19.188499999999998</v>
      </c>
      <c r="BM579" s="121">
        <v>20.0825</v>
      </c>
      <c r="BN579" s="121">
        <v>20.957999999999998</v>
      </c>
      <c r="BO579" s="121">
        <v>21.833500000000001</v>
      </c>
      <c r="BP579" s="121">
        <v>22.727499999999999</v>
      </c>
      <c r="BQ579" s="121">
        <v>23.621499999999997</v>
      </c>
      <c r="BR579" s="121">
        <v>24.457000000000001</v>
      </c>
      <c r="BS579" s="121">
        <v>25.2925</v>
      </c>
      <c r="BT579" s="121">
        <v>26.109249999999999</v>
      </c>
      <c r="BU579" s="121">
        <v>26.926000000000002</v>
      </c>
      <c r="BV579" s="121">
        <v>27.732250000000001</v>
      </c>
      <c r="BW579" s="121">
        <f t="array" ref="BW579:BW614">TRANSPOSE(BX578:DG578)</f>
        <v>28.538499999999999</v>
      </c>
      <c r="BX579" s="120">
        <f>(BW579+BY579)/2</f>
        <v>29.3445</v>
      </c>
      <c r="BY579" s="120">
        <f>(BY578+BY580)/2</f>
        <v>30.150500000000001</v>
      </c>
      <c r="BZ579" s="120">
        <f>(BY579+CA579)/2</f>
        <v>30.967500000000001</v>
      </c>
      <c r="CA579" s="120">
        <f>(CA578+CA580)/2</f>
        <v>31.784500000000001</v>
      </c>
      <c r="CB579" s="120">
        <f>(CA579+CC579)/2</f>
        <v>32.591000000000001</v>
      </c>
      <c r="CC579" s="120">
        <f>(CC578+CC580)/2</f>
        <v>33.397500000000001</v>
      </c>
      <c r="CD579" s="120">
        <f>(CC579+CE579)/2</f>
        <v>34.174250000000001</v>
      </c>
      <c r="CE579" s="120">
        <f>(CE578+CE580)/2</f>
        <v>34.951000000000001</v>
      </c>
      <c r="CF579" s="120">
        <f>(CE579+CG579)/2</f>
        <v>35.738749999999996</v>
      </c>
      <c r="CG579" s="120">
        <f>(CG578+CG580)/2</f>
        <v>36.526499999999999</v>
      </c>
      <c r="CH579" s="120">
        <f>(CG579+CI579)/2</f>
        <v>37.303249999999998</v>
      </c>
      <c r="CI579" s="120">
        <f>(CI578+CI580)/2</f>
        <v>38.08</v>
      </c>
      <c r="CJ579" s="120">
        <f>(CI579+CK579)/2</f>
        <v>38.827500000000001</v>
      </c>
      <c r="CK579" s="120">
        <f>(CK578+CK580)/2</f>
        <v>39.575000000000003</v>
      </c>
      <c r="CL579" s="120">
        <f>(CK579+CM579)/2</f>
        <v>40.333500000000001</v>
      </c>
      <c r="CM579" s="120">
        <f>(CM578+CM580)/2</f>
        <v>41.091999999999999</v>
      </c>
      <c r="CN579" s="120">
        <f>(CM579+CO579)/2</f>
        <v>41.868499999999997</v>
      </c>
      <c r="CO579" s="120">
        <f>(CO578+CO580)/2</f>
        <v>42.644999999999996</v>
      </c>
      <c r="CP579" s="120">
        <f>(CO579+CQ579)/2</f>
        <v>43.393000000000001</v>
      </c>
      <c r="CQ579" s="120">
        <f>(CQ578+CQ580)/2</f>
        <v>44.140999999999998</v>
      </c>
      <c r="CR579" s="120">
        <f>(CQ579+CS579)/2</f>
        <v>44.899500000000003</v>
      </c>
      <c r="CS579" s="120">
        <f>(CS578+CS580)/2</f>
        <v>45.658000000000001</v>
      </c>
      <c r="CT579" s="120">
        <f>(CS579+CU579)/2</f>
        <v>46.405500000000004</v>
      </c>
      <c r="CU579" s="120">
        <f>(CU578+CU580)/2</f>
        <v>47.152999999999999</v>
      </c>
      <c r="CV579" s="120">
        <f>(CU579+CW579)/2</f>
        <v>47.871499999999997</v>
      </c>
      <c r="CW579" s="120">
        <f>(CW578+CW580)/2</f>
        <v>48.59</v>
      </c>
      <c r="CX579" s="120">
        <f>(CW579+CY579)/2</f>
        <v>49.377750000000006</v>
      </c>
      <c r="CY579" s="120">
        <f>(CY578+CY580)/2</f>
        <v>50.165500000000002</v>
      </c>
      <c r="CZ579" s="120">
        <f>(CY579+DA579)/2</f>
        <v>50.884</v>
      </c>
      <c r="DA579" s="120">
        <f>(DA578+DA580)/2</f>
        <v>51.602499999999999</v>
      </c>
      <c r="DB579" s="120">
        <f>(DA579+DC579)/2</f>
        <v>52.320999999999998</v>
      </c>
      <c r="DC579" s="120">
        <f>(DC578+DC580)/2</f>
        <v>53.039500000000004</v>
      </c>
      <c r="DD579" s="120">
        <f>(DC579+DE579)/2</f>
        <v>53.797750000000001</v>
      </c>
      <c r="DE579" s="120">
        <f>(DE578+DE580)/2</f>
        <v>54.555999999999997</v>
      </c>
      <c r="DF579" s="120">
        <f>(DE579+DG579)/2</f>
        <v>55.303749999999994</v>
      </c>
      <c r="DG579" s="122">
        <f>(DG578+DG580)/2</f>
        <v>56.051499999999997</v>
      </c>
    </row>
    <row r="580" spans="54:111" ht="15" customHeight="1" x14ac:dyDescent="0.2">
      <c r="BB580" s="28">
        <v>26</v>
      </c>
      <c r="BC580" s="121">
        <v>10.616</v>
      </c>
      <c r="BD580" s="121">
        <v>11.701000000000001</v>
      </c>
      <c r="BE580" s="121">
        <v>12.786</v>
      </c>
      <c r="BF580" s="121">
        <v>13.8705</v>
      </c>
      <c r="BG580" s="121">
        <v>14.955</v>
      </c>
      <c r="BH580" s="121">
        <v>15.944500000000001</v>
      </c>
      <c r="BI580" s="121">
        <v>16.934000000000001</v>
      </c>
      <c r="BJ580" s="121">
        <v>17.843</v>
      </c>
      <c r="BK580" s="121">
        <v>18.751999999999999</v>
      </c>
      <c r="BL580" s="121">
        <v>19.670499999999997</v>
      </c>
      <c r="BM580" s="121">
        <v>20.588999999999999</v>
      </c>
      <c r="BN580" s="121">
        <v>21.520499999999998</v>
      </c>
      <c r="BO580" s="121">
        <v>22.452000000000002</v>
      </c>
      <c r="BP580" s="121">
        <v>23.361000000000001</v>
      </c>
      <c r="BQ580" s="121">
        <v>24.27</v>
      </c>
      <c r="BR580" s="121">
        <v>25.1205</v>
      </c>
      <c r="BS580" s="121">
        <v>25.971</v>
      </c>
      <c r="BT580" s="121">
        <v>26.843499999999999</v>
      </c>
      <c r="BU580" s="121">
        <v>27.716000000000001</v>
      </c>
      <c r="BV580" s="121">
        <v>28.508000000000003</v>
      </c>
      <c r="BW580" s="121">
        <v>29.3</v>
      </c>
      <c r="BX580" s="121">
        <f t="array" ref="BX580:BX614">TRANSPOSE(BY579:DG579)</f>
        <v>30.150500000000001</v>
      </c>
      <c r="BY580" s="158">
        <v>31.001000000000001</v>
      </c>
      <c r="BZ580" s="120">
        <f>(CA580+BY580)/2</f>
        <v>31.814999999999998</v>
      </c>
      <c r="CA580" s="158">
        <v>32.628999999999998</v>
      </c>
      <c r="CB580" s="120">
        <f>(CC580+CA580)/2</f>
        <v>33.480000000000004</v>
      </c>
      <c r="CC580" s="158">
        <v>34.331000000000003</v>
      </c>
      <c r="CD580" s="120">
        <f>(CE580+CC580)/2</f>
        <v>35.123000000000005</v>
      </c>
      <c r="CE580" s="158">
        <v>35.914999999999999</v>
      </c>
      <c r="CF580" s="120">
        <f>(CG580+CE580)/2</f>
        <v>36.728999999999999</v>
      </c>
      <c r="CG580" s="158">
        <v>37.542999999999999</v>
      </c>
      <c r="CH580" s="120">
        <f>(CI580+CG580)/2</f>
        <v>38.334499999999998</v>
      </c>
      <c r="CI580" s="158">
        <v>39.125999999999998</v>
      </c>
      <c r="CJ580" s="120">
        <f>(CK580+CI580)/2</f>
        <v>39.927999999999997</v>
      </c>
      <c r="CK580" s="158">
        <v>40.729999999999997</v>
      </c>
      <c r="CL580" s="120">
        <f>(CM580+CK580)/2</f>
        <v>41.485500000000002</v>
      </c>
      <c r="CM580" s="158">
        <v>42.241</v>
      </c>
      <c r="CN580" s="120">
        <f>(CO580+CM580)/2</f>
        <v>43.032499999999999</v>
      </c>
      <c r="CO580" s="158">
        <v>43.823999999999998</v>
      </c>
      <c r="CP580" s="120">
        <f>(CQ580+CO580)/2</f>
        <v>44.616500000000002</v>
      </c>
      <c r="CQ580" s="158">
        <v>45.408999999999999</v>
      </c>
      <c r="CR580" s="120">
        <f>(CS580+CQ580)/2</f>
        <v>46.164500000000004</v>
      </c>
      <c r="CS580" s="158">
        <v>46.92</v>
      </c>
      <c r="CT580" s="120">
        <f>(CU580+CS580)/2</f>
        <v>47.712000000000003</v>
      </c>
      <c r="CU580" s="158">
        <v>48.503999999999998</v>
      </c>
      <c r="CV580" s="120">
        <f>(CW580+CU580)/2</f>
        <v>49.237499999999997</v>
      </c>
      <c r="CW580" s="158">
        <v>49.970999999999997</v>
      </c>
      <c r="CX580" s="120">
        <f>(CY580+CW580)/2</f>
        <v>50.785499999999999</v>
      </c>
      <c r="CY580" s="158">
        <v>51.6</v>
      </c>
      <c r="CZ580" s="120">
        <f>(DA580+CY580)/2</f>
        <v>52.333500000000001</v>
      </c>
      <c r="DA580" s="158">
        <v>53.067</v>
      </c>
      <c r="DB580" s="120">
        <f>(DC580+DA580)/2</f>
        <v>53.8005</v>
      </c>
      <c r="DC580" s="158">
        <v>54.533999999999999</v>
      </c>
      <c r="DD580" s="120">
        <f>(DE580+DC580)/2</f>
        <v>55.347999999999999</v>
      </c>
      <c r="DE580" s="158">
        <v>56.161999999999999</v>
      </c>
      <c r="DF580" s="120">
        <f>(DG580+DE580)/2</f>
        <v>56.895499999999998</v>
      </c>
      <c r="DG580" s="159">
        <v>57.628999999999998</v>
      </c>
    </row>
    <row r="581" spans="54:111" ht="15" customHeight="1" x14ac:dyDescent="0.2">
      <c r="BB581" s="28">
        <v>27</v>
      </c>
      <c r="BC581" s="121">
        <v>10.849</v>
      </c>
      <c r="BD581" s="121">
        <v>11.994250000000001</v>
      </c>
      <c r="BE581" s="121">
        <v>13.1395</v>
      </c>
      <c r="BF581" s="121">
        <v>14.250249999999999</v>
      </c>
      <c r="BG581" s="121">
        <v>15.361000000000001</v>
      </c>
      <c r="BH581" s="121">
        <v>16.354750000000003</v>
      </c>
      <c r="BI581" s="121">
        <v>17.348500000000001</v>
      </c>
      <c r="BJ581" s="121">
        <v>18.313000000000002</v>
      </c>
      <c r="BK581" s="121">
        <v>19.2775</v>
      </c>
      <c r="BL581" s="121">
        <v>20.222499999999997</v>
      </c>
      <c r="BM581" s="121">
        <v>21.167499999999997</v>
      </c>
      <c r="BN581" s="121">
        <v>22.10275</v>
      </c>
      <c r="BO581" s="121">
        <v>23.038</v>
      </c>
      <c r="BP581" s="121">
        <v>23.944000000000003</v>
      </c>
      <c r="BQ581" s="121">
        <v>24.85</v>
      </c>
      <c r="BR581" s="121">
        <v>25.756250000000001</v>
      </c>
      <c r="BS581" s="121">
        <v>26.662500000000001</v>
      </c>
      <c r="BT581" s="121">
        <v>27.544</v>
      </c>
      <c r="BU581" s="121">
        <v>28.4255</v>
      </c>
      <c r="BV581" s="121">
        <v>29.272750000000002</v>
      </c>
      <c r="BW581" s="121">
        <v>30.12</v>
      </c>
      <c r="BX581" s="121">
        <v>30.967500000000001</v>
      </c>
      <c r="BY581" s="121">
        <f t="array" ref="BY581:BY614">TRANSPOSE(BZ580:DG580)</f>
        <v>31.814999999999998</v>
      </c>
      <c r="BZ581" s="120">
        <f>(BY581+CA581)/2</f>
        <v>32.662750000000003</v>
      </c>
      <c r="CA581" s="120">
        <f>(CA580+CA582)/2</f>
        <v>33.5105</v>
      </c>
      <c r="CB581" s="120">
        <f>(CA581+CC581)/2</f>
        <v>34.363</v>
      </c>
      <c r="CC581" s="120">
        <f>(CC580+CC582)/2</f>
        <v>35.215500000000006</v>
      </c>
      <c r="CD581" s="120">
        <f>(CC581+CE581)/2</f>
        <v>36.033750000000005</v>
      </c>
      <c r="CE581" s="120">
        <f>(CE580+CE582)/2</f>
        <v>36.852000000000004</v>
      </c>
      <c r="CF581" s="120">
        <f>(CE581+CG581)/2</f>
        <v>37.698999999999998</v>
      </c>
      <c r="CG581" s="120">
        <f>(CG580+CG582)/2</f>
        <v>38.545999999999999</v>
      </c>
      <c r="CH581" s="120">
        <f>(CG581+CI581)/2</f>
        <v>39.364249999999998</v>
      </c>
      <c r="CI581" s="120">
        <f>(CI580+CI582)/2</f>
        <v>40.182499999999997</v>
      </c>
      <c r="CJ581" s="120">
        <f>(CI581+CK581)/2</f>
        <v>41.010499999999993</v>
      </c>
      <c r="CK581" s="120">
        <f>(CK580+CK582)/2</f>
        <v>41.838499999999996</v>
      </c>
      <c r="CL581" s="120">
        <f>(CK581+CM581)/2</f>
        <v>42.59825</v>
      </c>
      <c r="CM581" s="120">
        <f>(CM580+CM582)/2</f>
        <v>43.358000000000004</v>
      </c>
      <c r="CN581" s="120">
        <f>(CM581+CO581)/2</f>
        <v>44.176000000000002</v>
      </c>
      <c r="CO581" s="120">
        <f>(CO580+CO582)/2</f>
        <v>44.994</v>
      </c>
      <c r="CP581" s="120">
        <f>(CO581+CQ581)/2</f>
        <v>45.8125</v>
      </c>
      <c r="CQ581" s="120">
        <f>(CQ580+CQ582)/2</f>
        <v>46.631</v>
      </c>
      <c r="CR581" s="120">
        <f>(CQ581+CS581)/2</f>
        <v>47.424750000000003</v>
      </c>
      <c r="CS581" s="120">
        <f>(CS580+CS582)/2</f>
        <v>48.218500000000006</v>
      </c>
      <c r="CT581" s="120">
        <f>(CS581+CU581)/2</f>
        <v>49.0075</v>
      </c>
      <c r="CU581" s="120">
        <f>(CU580+CU582)/2</f>
        <v>49.796499999999995</v>
      </c>
      <c r="CV581" s="120">
        <f>(CU581+CW581)/2</f>
        <v>50.585749999999997</v>
      </c>
      <c r="CW581" s="120">
        <f>(CW580+CW582)/2</f>
        <v>51.375</v>
      </c>
      <c r="CX581" s="120">
        <f>(CW581+CY581)/2</f>
        <v>52.164000000000001</v>
      </c>
      <c r="CY581" s="120">
        <f>(CY580+CY582)/2</f>
        <v>52.953000000000003</v>
      </c>
      <c r="CZ581" s="120">
        <f>(CY581+DA581)/2</f>
        <v>53.742000000000004</v>
      </c>
      <c r="DA581" s="120">
        <f>(DA580+DA582)/2</f>
        <v>54.530999999999999</v>
      </c>
      <c r="DB581" s="120">
        <f>(DA581+DC581)/2</f>
        <v>55.295500000000004</v>
      </c>
      <c r="DC581" s="120">
        <f>(DC580+DC582)/2</f>
        <v>56.06</v>
      </c>
      <c r="DD581" s="120">
        <f>(DC581+DE581)/2</f>
        <v>56.849249999999998</v>
      </c>
      <c r="DE581" s="120">
        <f>(DE580+DE582)/2</f>
        <v>57.638500000000001</v>
      </c>
      <c r="DF581" s="120">
        <f>(DE581+DG581)/2</f>
        <v>58.427250000000001</v>
      </c>
      <c r="DG581" s="122">
        <f>(DG580+DG582)/2</f>
        <v>59.215999999999994</v>
      </c>
    </row>
    <row r="582" spans="54:111" ht="15" customHeight="1" x14ac:dyDescent="0.2">
      <c r="BB582" s="28">
        <v>28</v>
      </c>
      <c r="BC582" s="121">
        <v>11.082000000000001</v>
      </c>
      <c r="BD582" s="121">
        <v>12.287500000000001</v>
      </c>
      <c r="BE582" s="121">
        <v>13.493</v>
      </c>
      <c r="BF582" s="121">
        <v>14.629999999999999</v>
      </c>
      <c r="BG582" s="121">
        <v>15.766999999999999</v>
      </c>
      <c r="BH582" s="121">
        <v>16.765000000000001</v>
      </c>
      <c r="BI582" s="121">
        <v>17.763000000000002</v>
      </c>
      <c r="BJ582" s="121">
        <v>18.783000000000001</v>
      </c>
      <c r="BK582" s="121">
        <v>19.803000000000001</v>
      </c>
      <c r="BL582" s="121">
        <v>20.7745</v>
      </c>
      <c r="BM582" s="121">
        <v>21.745999999999999</v>
      </c>
      <c r="BN582" s="121">
        <v>22.684999999999999</v>
      </c>
      <c r="BO582" s="121">
        <v>23.623999999999999</v>
      </c>
      <c r="BP582" s="121">
        <v>24.527000000000001</v>
      </c>
      <c r="BQ582" s="121">
        <v>25.43</v>
      </c>
      <c r="BR582" s="121">
        <v>26.391999999999999</v>
      </c>
      <c r="BS582" s="121">
        <v>27.353999999999999</v>
      </c>
      <c r="BT582" s="121">
        <v>28.244500000000002</v>
      </c>
      <c r="BU582" s="121">
        <v>29.135000000000002</v>
      </c>
      <c r="BV582" s="121">
        <v>30.037500000000001</v>
      </c>
      <c r="BW582" s="121">
        <v>30.94</v>
      </c>
      <c r="BX582" s="121">
        <v>31.784500000000001</v>
      </c>
      <c r="BY582" s="121">
        <v>32.628999999999998</v>
      </c>
      <c r="BZ582" s="121">
        <f t="array" ref="BZ582:BZ614">TRANSPOSE(CA581:DG581)</f>
        <v>33.5105</v>
      </c>
      <c r="CA582" s="158">
        <v>34.392000000000003</v>
      </c>
      <c r="CB582" s="120">
        <f>(CC582+CA582)/2</f>
        <v>35.246000000000002</v>
      </c>
      <c r="CC582" s="158">
        <v>36.1</v>
      </c>
      <c r="CD582" s="120">
        <f>(CE582+CC582)/2</f>
        <v>36.944500000000005</v>
      </c>
      <c r="CE582" s="158">
        <v>37.789000000000001</v>
      </c>
      <c r="CF582" s="120">
        <f>(CG582+CE582)/2</f>
        <v>38.668999999999997</v>
      </c>
      <c r="CG582" s="158">
        <v>39.548999999999999</v>
      </c>
      <c r="CH582" s="120">
        <f>(CI582+CG582)/2</f>
        <v>40.393999999999998</v>
      </c>
      <c r="CI582" s="158">
        <v>41.238999999999997</v>
      </c>
      <c r="CJ582" s="120">
        <f>(CK582+CI582)/2</f>
        <v>42.093000000000004</v>
      </c>
      <c r="CK582" s="158">
        <v>42.947000000000003</v>
      </c>
      <c r="CL582" s="120">
        <f>(CM582+CK582)/2</f>
        <v>43.710999999999999</v>
      </c>
      <c r="CM582" s="158">
        <v>44.475000000000001</v>
      </c>
      <c r="CN582" s="120">
        <f>(CO582+CM582)/2</f>
        <v>45.319500000000005</v>
      </c>
      <c r="CO582" s="158">
        <v>46.164000000000001</v>
      </c>
      <c r="CP582" s="120">
        <f>(CQ582+CO582)/2</f>
        <v>47.008499999999998</v>
      </c>
      <c r="CQ582" s="158">
        <v>47.853000000000002</v>
      </c>
      <c r="CR582" s="120">
        <f>(CS582+CQ582)/2</f>
        <v>48.685000000000002</v>
      </c>
      <c r="CS582" s="158">
        <v>49.517000000000003</v>
      </c>
      <c r="CT582" s="120">
        <f>(CU582+CS582)/2</f>
        <v>50.302999999999997</v>
      </c>
      <c r="CU582" s="158">
        <v>51.088999999999999</v>
      </c>
      <c r="CV582" s="120">
        <f>(CW582+CU582)/2</f>
        <v>51.933999999999997</v>
      </c>
      <c r="CW582" s="158">
        <v>52.779000000000003</v>
      </c>
      <c r="CX582" s="120">
        <f>(CY582+CW582)/2</f>
        <v>53.542500000000004</v>
      </c>
      <c r="CY582" s="158">
        <v>54.305999999999997</v>
      </c>
      <c r="CZ582" s="120">
        <f>(DA582+CY582)/2</f>
        <v>55.150499999999994</v>
      </c>
      <c r="DA582" s="158">
        <v>55.994999999999997</v>
      </c>
      <c r="DB582" s="120">
        <f>(DC582+DA582)/2</f>
        <v>56.790499999999994</v>
      </c>
      <c r="DC582" s="158">
        <v>57.585999999999999</v>
      </c>
      <c r="DD582" s="120">
        <f>(DE582+DC582)/2</f>
        <v>58.350499999999997</v>
      </c>
      <c r="DE582" s="158">
        <v>59.115000000000002</v>
      </c>
      <c r="DF582" s="120">
        <f>(DG582+DE582)/2</f>
        <v>59.959000000000003</v>
      </c>
      <c r="DG582" s="159">
        <v>60.802999999999997</v>
      </c>
    </row>
    <row r="583" spans="54:111" ht="15" customHeight="1" x14ac:dyDescent="0.2">
      <c r="BB583" s="28">
        <v>29</v>
      </c>
      <c r="BC583" s="121">
        <v>11.406000000000001</v>
      </c>
      <c r="BD583" s="121">
        <v>12.621500000000001</v>
      </c>
      <c r="BE583" s="121">
        <v>13.837</v>
      </c>
      <c r="BF583" s="121">
        <v>14.964749999999999</v>
      </c>
      <c r="BG583" s="121">
        <v>16.092500000000001</v>
      </c>
      <c r="BH583" s="121">
        <v>17.146000000000001</v>
      </c>
      <c r="BI583" s="121">
        <v>18.1995</v>
      </c>
      <c r="BJ583" s="121">
        <v>19.234749999999998</v>
      </c>
      <c r="BK583" s="121">
        <v>20.27</v>
      </c>
      <c r="BL583" s="121">
        <v>21.28575</v>
      </c>
      <c r="BM583" s="121">
        <v>22.301499999999997</v>
      </c>
      <c r="BN583" s="121">
        <v>23.266999999999999</v>
      </c>
      <c r="BO583" s="121">
        <v>24.232500000000002</v>
      </c>
      <c r="BP583" s="121">
        <v>25.1555</v>
      </c>
      <c r="BQ583" s="121">
        <v>26.078499999999998</v>
      </c>
      <c r="BR583" s="121">
        <v>27.055250000000001</v>
      </c>
      <c r="BS583" s="121">
        <v>28.032</v>
      </c>
      <c r="BT583" s="121">
        <v>28.94425</v>
      </c>
      <c r="BU583" s="121">
        <v>29.8565</v>
      </c>
      <c r="BV583" s="121">
        <v>30.779250000000001</v>
      </c>
      <c r="BW583" s="121">
        <v>31.701999999999998</v>
      </c>
      <c r="BX583" s="121">
        <v>32.591000000000001</v>
      </c>
      <c r="BY583" s="121">
        <v>33.480000000000004</v>
      </c>
      <c r="BZ583" s="121">
        <v>34.363</v>
      </c>
      <c r="CA583" s="121">
        <f t="array" ref="CA583:CA614">TRANSPOSE(CB582:DG582)</f>
        <v>35.246000000000002</v>
      </c>
      <c r="CB583" s="120">
        <f>(CA583+CC583)/2</f>
        <v>36.139499999999998</v>
      </c>
      <c r="CC583" s="120">
        <f>(CC582+CC584)/2</f>
        <v>37.033000000000001</v>
      </c>
      <c r="CD583" s="120">
        <f>(CC583+CE583)/2</f>
        <v>37.892499999999998</v>
      </c>
      <c r="CE583" s="120">
        <f>(CE582+CE584)/2</f>
        <v>38.752000000000002</v>
      </c>
      <c r="CF583" s="120">
        <f>(CE583+CG583)/2</f>
        <v>39.634250000000002</v>
      </c>
      <c r="CG583" s="120">
        <f>(CG582+CG584)/2</f>
        <v>40.516500000000001</v>
      </c>
      <c r="CH583" s="120">
        <f>(CG583+CI583)/2</f>
        <v>41.3765</v>
      </c>
      <c r="CI583" s="120">
        <f>(CI582+CI584)/2</f>
        <v>42.236499999999999</v>
      </c>
      <c r="CJ583" s="120">
        <f>(CI583+CK583)/2</f>
        <v>43.135000000000005</v>
      </c>
      <c r="CK583" s="120">
        <f>(CK582+CK584)/2</f>
        <v>44.033500000000004</v>
      </c>
      <c r="CL583" s="120">
        <f>(CK583+CM583)/2</f>
        <v>44.823999999999998</v>
      </c>
      <c r="CM583" s="120">
        <f>(CM582+CM584)/2</f>
        <v>45.6145</v>
      </c>
      <c r="CN583" s="120">
        <f>(CM583+CO583)/2</f>
        <v>46.474249999999998</v>
      </c>
      <c r="CO583" s="120">
        <f>(CO582+CO584)/2</f>
        <v>47.334000000000003</v>
      </c>
      <c r="CP583" s="120">
        <f>(CO583+CQ583)/2</f>
        <v>48.198250000000002</v>
      </c>
      <c r="CQ583" s="120">
        <f>(CQ582+CQ584)/2</f>
        <v>49.0625</v>
      </c>
      <c r="CR583" s="120">
        <f>(CQ583+CS583)/2</f>
        <v>49.915999999999997</v>
      </c>
      <c r="CS583" s="120">
        <f>(CS582+CS584)/2</f>
        <v>50.769500000000001</v>
      </c>
      <c r="CT583" s="120">
        <f>(CS583+CU583)/2</f>
        <v>51.604749999999996</v>
      </c>
      <c r="CU583" s="120">
        <f>(CU582+CU584)/2</f>
        <v>52.44</v>
      </c>
      <c r="CV583" s="120">
        <f>(CU583+CW583)/2</f>
        <v>53.27075</v>
      </c>
      <c r="CW583" s="120">
        <f>(CW582+CW584)/2</f>
        <v>54.101500000000001</v>
      </c>
      <c r="CX583" s="120">
        <f>(CW583+CY583)/2</f>
        <v>54.920749999999998</v>
      </c>
      <c r="CY583" s="120">
        <f>(CY582+CY584)/2</f>
        <v>55.739999999999995</v>
      </c>
      <c r="CZ583" s="120">
        <f>(CY583+DA583)/2</f>
        <v>56.575249999999997</v>
      </c>
      <c r="DA583" s="120">
        <f>(DA582+DA584)/2</f>
        <v>57.410499999999999</v>
      </c>
      <c r="DB583" s="120">
        <f>(DA583+DC583)/2</f>
        <v>58.2455</v>
      </c>
      <c r="DC583" s="120">
        <f>(DC582+DC584)/2</f>
        <v>59.080500000000001</v>
      </c>
      <c r="DD583" s="120">
        <f>(DC583+DE583)/2</f>
        <v>59.876000000000005</v>
      </c>
      <c r="DE583" s="120">
        <f>(DE582+DE584)/2</f>
        <v>60.671500000000002</v>
      </c>
      <c r="DF583" s="120">
        <f>(DE583+DG583)/2</f>
        <v>61.501750000000001</v>
      </c>
      <c r="DG583" s="122">
        <f>(DG582+DG584)/2</f>
        <v>62.331999999999994</v>
      </c>
    </row>
    <row r="584" spans="54:111" ht="15" customHeight="1" x14ac:dyDescent="0.2">
      <c r="BB584" s="28">
        <v>30</v>
      </c>
      <c r="BC584" s="121">
        <v>11.73</v>
      </c>
      <c r="BD584" s="121">
        <v>12.955500000000001</v>
      </c>
      <c r="BE584" s="121">
        <v>14.180999999999999</v>
      </c>
      <c r="BF584" s="121">
        <v>15.299499999999998</v>
      </c>
      <c r="BG584" s="121">
        <v>16.417999999999999</v>
      </c>
      <c r="BH584" s="121">
        <v>17.527000000000001</v>
      </c>
      <c r="BI584" s="121">
        <v>18.635999999999999</v>
      </c>
      <c r="BJ584" s="121">
        <v>19.686499999999999</v>
      </c>
      <c r="BK584" s="121">
        <v>20.736999999999998</v>
      </c>
      <c r="BL584" s="121">
        <v>21.796999999999997</v>
      </c>
      <c r="BM584" s="121">
        <v>22.856999999999999</v>
      </c>
      <c r="BN584" s="121">
        <v>23.849</v>
      </c>
      <c r="BO584" s="121">
        <v>24.841000000000001</v>
      </c>
      <c r="BP584" s="121">
        <v>25.783999999999999</v>
      </c>
      <c r="BQ584" s="121">
        <v>26.727</v>
      </c>
      <c r="BR584" s="121">
        <v>27.718499999999999</v>
      </c>
      <c r="BS584" s="121">
        <v>28.71</v>
      </c>
      <c r="BT584" s="121">
        <v>29.643999999999998</v>
      </c>
      <c r="BU584" s="121">
        <v>30.577999999999999</v>
      </c>
      <c r="BV584" s="121">
        <v>31.521000000000001</v>
      </c>
      <c r="BW584" s="121">
        <v>32.463999999999999</v>
      </c>
      <c r="BX584" s="121">
        <v>33.397500000000001</v>
      </c>
      <c r="BY584" s="121">
        <v>34.331000000000003</v>
      </c>
      <c r="BZ584" s="121">
        <v>35.215500000000006</v>
      </c>
      <c r="CA584" s="121">
        <v>36.1</v>
      </c>
      <c r="CB584" s="121">
        <f t="array" ref="CB584:CB614">TRANSPOSE(CC583:DG583)</f>
        <v>37.033000000000001</v>
      </c>
      <c r="CC584" s="158">
        <v>37.966000000000001</v>
      </c>
      <c r="CD584" s="120">
        <f>(CE584+CC584)/2</f>
        <v>38.840500000000006</v>
      </c>
      <c r="CE584" s="158">
        <v>39.715000000000003</v>
      </c>
      <c r="CF584" s="120">
        <f>(CG584+CE584)/2</f>
        <v>40.599500000000006</v>
      </c>
      <c r="CG584" s="158">
        <v>41.484000000000002</v>
      </c>
      <c r="CH584" s="120">
        <f>(CI584+CG584)/2</f>
        <v>42.359000000000002</v>
      </c>
      <c r="CI584" s="158">
        <v>43.234000000000002</v>
      </c>
      <c r="CJ584" s="120">
        <f>(CK584+CI584)/2</f>
        <v>44.177</v>
      </c>
      <c r="CK584" s="158">
        <v>45.12</v>
      </c>
      <c r="CL584" s="120">
        <f>(CM584+CK584)/2</f>
        <v>45.936999999999998</v>
      </c>
      <c r="CM584" s="158">
        <v>46.753999999999998</v>
      </c>
      <c r="CN584" s="120">
        <f>(CO584+CM584)/2</f>
        <v>47.628999999999998</v>
      </c>
      <c r="CO584" s="158">
        <v>48.503999999999998</v>
      </c>
      <c r="CP584" s="120">
        <f>(CQ584+CO584)/2</f>
        <v>49.387999999999998</v>
      </c>
      <c r="CQ584" s="158">
        <v>50.271999999999998</v>
      </c>
      <c r="CR584" s="120">
        <f>(CS584+CQ584)/2</f>
        <v>51.146999999999998</v>
      </c>
      <c r="CS584" s="158">
        <v>52.021999999999998</v>
      </c>
      <c r="CT584" s="120">
        <f>(CU584+CS584)/2</f>
        <v>52.906499999999994</v>
      </c>
      <c r="CU584" s="158">
        <v>53.790999999999997</v>
      </c>
      <c r="CV584" s="120">
        <f>(CW584+CU584)/2</f>
        <v>54.607500000000002</v>
      </c>
      <c r="CW584" s="158">
        <v>55.423999999999999</v>
      </c>
      <c r="CX584" s="120">
        <f>(CY584+CW584)/2</f>
        <v>56.298999999999999</v>
      </c>
      <c r="CY584" s="158">
        <v>57.173999999999999</v>
      </c>
      <c r="CZ584" s="120">
        <f>(DA584+CY584)/2</f>
        <v>58</v>
      </c>
      <c r="DA584" s="158">
        <v>58.826000000000001</v>
      </c>
      <c r="DB584" s="120">
        <f>(DC584+DA584)/2</f>
        <v>59.700500000000005</v>
      </c>
      <c r="DC584" s="158">
        <v>60.575000000000003</v>
      </c>
      <c r="DD584" s="120">
        <f>(DE584+DC584)/2</f>
        <v>61.401499999999999</v>
      </c>
      <c r="DE584" s="158">
        <v>62.228000000000002</v>
      </c>
      <c r="DF584" s="120">
        <f>(DG584+DE584)/2</f>
        <v>63.044499999999999</v>
      </c>
      <c r="DG584" s="159">
        <v>63.860999999999997</v>
      </c>
    </row>
    <row r="585" spans="54:111" ht="15" customHeight="1" x14ac:dyDescent="0.2">
      <c r="BB585" s="28">
        <v>31</v>
      </c>
      <c r="BC585" s="121">
        <v>11.984999999999999</v>
      </c>
      <c r="BD585" s="121">
        <v>13.23075</v>
      </c>
      <c r="BE585" s="121">
        <v>14.4765</v>
      </c>
      <c r="BF585" s="121">
        <v>15.634749999999999</v>
      </c>
      <c r="BG585" s="121">
        <v>16.792999999999999</v>
      </c>
      <c r="BH585" s="121">
        <v>17.933</v>
      </c>
      <c r="BI585" s="121">
        <v>19.073</v>
      </c>
      <c r="BJ585" s="121">
        <v>20.138500000000001</v>
      </c>
      <c r="BK585" s="121">
        <v>21.204000000000001</v>
      </c>
      <c r="BL585" s="121">
        <v>22.279249999999998</v>
      </c>
      <c r="BM585" s="121">
        <v>23.354500000000002</v>
      </c>
      <c r="BN585" s="121">
        <v>24.37275</v>
      </c>
      <c r="BO585" s="121">
        <v>25.390999999999998</v>
      </c>
      <c r="BP585" s="121">
        <v>26.378499999999999</v>
      </c>
      <c r="BQ585" s="121">
        <v>27.366</v>
      </c>
      <c r="BR585" s="121">
        <v>28.34825</v>
      </c>
      <c r="BS585" s="121">
        <v>29.330500000000001</v>
      </c>
      <c r="BT585" s="121">
        <v>30.319749999999999</v>
      </c>
      <c r="BU585" s="121">
        <v>31.308999999999997</v>
      </c>
      <c r="BV585" s="121">
        <v>32.267250000000004</v>
      </c>
      <c r="BW585" s="121">
        <v>33.225499999999997</v>
      </c>
      <c r="BX585" s="121">
        <v>34.174250000000001</v>
      </c>
      <c r="BY585" s="121">
        <v>35.123000000000005</v>
      </c>
      <c r="BZ585" s="121">
        <v>36.033750000000005</v>
      </c>
      <c r="CA585" s="121">
        <v>36.944500000000005</v>
      </c>
      <c r="CB585" s="121">
        <v>37.892499999999998</v>
      </c>
      <c r="CC585" s="121">
        <f t="array" ref="CC585:CC614">TRANSPOSE(CD584:DG584)</f>
        <v>38.840500000000006</v>
      </c>
      <c r="CD585" s="120">
        <f>(CC585+CE585)/2</f>
        <v>39.764500000000005</v>
      </c>
      <c r="CE585" s="120">
        <f>(CE584+CE586)/2</f>
        <v>40.688500000000005</v>
      </c>
      <c r="CF585" s="120">
        <f>(CE585+CG585)/2</f>
        <v>41.599250000000005</v>
      </c>
      <c r="CG585" s="120">
        <f>(CG584+CG586)/2</f>
        <v>42.510000000000005</v>
      </c>
      <c r="CH585" s="120">
        <f>(CG585+CI585)/2</f>
        <v>43.40025</v>
      </c>
      <c r="CI585" s="120">
        <f>(CI584+CI586)/2</f>
        <v>44.290500000000002</v>
      </c>
      <c r="CJ585" s="120">
        <f>(CI585+CK585)/2</f>
        <v>45.219499999999996</v>
      </c>
      <c r="CK585" s="120">
        <f>(CK584+CK586)/2</f>
        <v>46.148499999999999</v>
      </c>
      <c r="CL585" s="120">
        <f>(CK585+CM585)/2</f>
        <v>47.02075</v>
      </c>
      <c r="CM585" s="120">
        <f>(CM584+CM586)/2</f>
        <v>47.893000000000001</v>
      </c>
      <c r="CN585" s="120">
        <f>(CM585+CO585)/2</f>
        <v>48.787999999999997</v>
      </c>
      <c r="CO585" s="120">
        <f>(CO584+CO586)/2</f>
        <v>49.683</v>
      </c>
      <c r="CP585" s="120">
        <f>(CO585+CQ585)/2</f>
        <v>50.577749999999995</v>
      </c>
      <c r="CQ585" s="120">
        <f>(CQ584+CQ586)/2</f>
        <v>51.472499999999997</v>
      </c>
      <c r="CR585" s="120">
        <f>(CQ585+CS585)/2</f>
        <v>52.351500000000001</v>
      </c>
      <c r="CS585" s="120">
        <f>(CS584+CS586)/2</f>
        <v>53.230499999999999</v>
      </c>
      <c r="CT585" s="120">
        <f>(CS585+CU585)/2</f>
        <v>54.152249999999995</v>
      </c>
      <c r="CU585" s="120">
        <f>(CU584+CU586)/2</f>
        <v>55.073999999999998</v>
      </c>
      <c r="CV585" s="120">
        <f>(CU585+CW585)/2</f>
        <v>55.910499999999999</v>
      </c>
      <c r="CW585" s="120">
        <f>(CW584+CW586)/2</f>
        <v>56.747</v>
      </c>
      <c r="CX585" s="120">
        <f>(CW585+CY585)/2</f>
        <v>57.652749999999997</v>
      </c>
      <c r="CY585" s="120">
        <f>(CY584+CY586)/2</f>
        <v>58.558499999999995</v>
      </c>
      <c r="CZ585" s="120">
        <f>(CY585+DA585)/2</f>
        <v>59.424250000000001</v>
      </c>
      <c r="DA585" s="120">
        <f>(DA584+DA586)/2</f>
        <v>60.29</v>
      </c>
      <c r="DB585" s="120">
        <f>(DA585+DC585)/2</f>
        <v>61.155500000000004</v>
      </c>
      <c r="DC585" s="120">
        <f>(DC584+DC586)/2</f>
        <v>62.021000000000001</v>
      </c>
      <c r="DD585" s="120">
        <f>(DC585+DE585)/2</f>
        <v>62.898000000000003</v>
      </c>
      <c r="DE585" s="120">
        <f>(DE584+DE586)/2</f>
        <v>63.775000000000006</v>
      </c>
      <c r="DF585" s="120">
        <f>(DE585+DG585)/2</f>
        <v>64.611500000000007</v>
      </c>
      <c r="DG585" s="122">
        <f>(DG584+DG586)/2</f>
        <v>65.447999999999993</v>
      </c>
    </row>
    <row r="586" spans="54:111" ht="15" customHeight="1" x14ac:dyDescent="0.2">
      <c r="BB586" s="28">
        <v>32</v>
      </c>
      <c r="BC586" s="121">
        <v>12.24</v>
      </c>
      <c r="BD586" s="121">
        <v>13.506</v>
      </c>
      <c r="BE586" s="121">
        <v>14.772</v>
      </c>
      <c r="BF586" s="121">
        <v>15.969999999999999</v>
      </c>
      <c r="BG586" s="121">
        <v>17.167999999999999</v>
      </c>
      <c r="BH586" s="121">
        <v>18.338999999999999</v>
      </c>
      <c r="BI586" s="121">
        <v>19.510000000000002</v>
      </c>
      <c r="BJ586" s="121">
        <v>20.590499999999999</v>
      </c>
      <c r="BK586" s="121">
        <v>21.670999999999999</v>
      </c>
      <c r="BL586" s="121">
        <v>22.761499999999998</v>
      </c>
      <c r="BM586" s="121">
        <v>23.852</v>
      </c>
      <c r="BN586" s="121">
        <v>24.8965</v>
      </c>
      <c r="BO586" s="121">
        <v>25.940999999999999</v>
      </c>
      <c r="BP586" s="121">
        <v>26.972999999999999</v>
      </c>
      <c r="BQ586" s="121">
        <v>28.004999999999999</v>
      </c>
      <c r="BR586" s="121">
        <v>28.978000000000002</v>
      </c>
      <c r="BS586" s="121">
        <v>29.951000000000001</v>
      </c>
      <c r="BT586" s="121">
        <v>30.9955</v>
      </c>
      <c r="BU586" s="121">
        <v>32.04</v>
      </c>
      <c r="BV586" s="121">
        <v>33.013500000000001</v>
      </c>
      <c r="BW586" s="121">
        <v>33.987000000000002</v>
      </c>
      <c r="BX586" s="121">
        <v>34.951000000000001</v>
      </c>
      <c r="BY586" s="121">
        <v>35.914999999999999</v>
      </c>
      <c r="BZ586" s="121">
        <v>36.852000000000004</v>
      </c>
      <c r="CA586" s="121">
        <v>37.789000000000001</v>
      </c>
      <c r="CB586" s="121">
        <v>38.752000000000002</v>
      </c>
      <c r="CC586" s="121">
        <v>39.715000000000003</v>
      </c>
      <c r="CD586" s="121">
        <f t="array" ref="CD586:CD614">TRANSPOSE(CE585:DG585)</f>
        <v>40.688500000000005</v>
      </c>
      <c r="CE586" s="158">
        <v>41.661999999999999</v>
      </c>
      <c r="CF586" s="120">
        <f>(CG586+CE586)/2</f>
        <v>42.599000000000004</v>
      </c>
      <c r="CG586" s="158">
        <v>43.536000000000001</v>
      </c>
      <c r="CH586" s="120">
        <f>(CI586+CG586)/2</f>
        <v>44.441500000000005</v>
      </c>
      <c r="CI586" s="158">
        <v>45.347000000000001</v>
      </c>
      <c r="CJ586" s="120">
        <f>(CK586+CI586)/2</f>
        <v>46.262</v>
      </c>
      <c r="CK586" s="158">
        <v>47.177</v>
      </c>
      <c r="CL586" s="120">
        <f>(CM586+CK586)/2</f>
        <v>48.104500000000002</v>
      </c>
      <c r="CM586" s="158">
        <v>49.031999999999996</v>
      </c>
      <c r="CN586" s="120">
        <f>(CO586+CM586)/2</f>
        <v>49.947000000000003</v>
      </c>
      <c r="CO586" s="158">
        <v>50.862000000000002</v>
      </c>
      <c r="CP586" s="120">
        <f>(CQ586+CO586)/2</f>
        <v>51.767499999999998</v>
      </c>
      <c r="CQ586" s="158">
        <v>52.673000000000002</v>
      </c>
      <c r="CR586" s="120">
        <f>(CS586+CQ586)/2</f>
        <v>53.555999999999997</v>
      </c>
      <c r="CS586" s="158">
        <v>54.439</v>
      </c>
      <c r="CT586" s="120">
        <f>(CU586+CS586)/2</f>
        <v>55.397999999999996</v>
      </c>
      <c r="CU586" s="158">
        <v>56.356999999999999</v>
      </c>
      <c r="CV586" s="120">
        <f>(CW586+CU586)/2</f>
        <v>57.213499999999996</v>
      </c>
      <c r="CW586" s="158">
        <v>58.07</v>
      </c>
      <c r="CX586" s="120">
        <f>(CY586+CW586)/2</f>
        <v>59.006500000000003</v>
      </c>
      <c r="CY586" s="158">
        <v>59.942999999999998</v>
      </c>
      <c r="CZ586" s="120">
        <f>(DA586+CY586)/2</f>
        <v>60.848500000000001</v>
      </c>
      <c r="DA586" s="158">
        <v>61.753999999999998</v>
      </c>
      <c r="DB586" s="120">
        <f>(DC586+DA586)/2</f>
        <v>62.610500000000002</v>
      </c>
      <c r="DC586" s="158">
        <v>63.466999999999999</v>
      </c>
      <c r="DD586" s="120">
        <f>(DE586+DC586)/2</f>
        <v>64.394499999999994</v>
      </c>
      <c r="DE586" s="158">
        <v>65.322000000000003</v>
      </c>
      <c r="DF586" s="120">
        <f>(DG586+DE586)/2</f>
        <v>66.1785</v>
      </c>
      <c r="DG586" s="159">
        <v>67.034999999999997</v>
      </c>
    </row>
    <row r="587" spans="54:111" ht="15" customHeight="1" x14ac:dyDescent="0.2">
      <c r="BB587" s="28">
        <v>33</v>
      </c>
      <c r="BC587" s="121">
        <v>12.472999999999999</v>
      </c>
      <c r="BD587" s="121">
        <v>13.794499999999999</v>
      </c>
      <c r="BE587" s="121">
        <v>15.116</v>
      </c>
      <c r="BF587" s="121">
        <v>16.344999999999999</v>
      </c>
      <c r="BG587" s="121">
        <v>17.573999999999998</v>
      </c>
      <c r="BH587" s="121">
        <v>18.74925</v>
      </c>
      <c r="BI587" s="121">
        <v>19.924500000000002</v>
      </c>
      <c r="BJ587" s="121">
        <v>21.03125</v>
      </c>
      <c r="BK587" s="121">
        <v>22.137999999999998</v>
      </c>
      <c r="BL587" s="121">
        <v>23.254749999999998</v>
      </c>
      <c r="BM587" s="121">
        <v>24.371499999999997</v>
      </c>
      <c r="BN587" s="121">
        <v>25.454250000000002</v>
      </c>
      <c r="BO587" s="121">
        <v>26.536999999999999</v>
      </c>
      <c r="BP587" s="121">
        <v>27.561</v>
      </c>
      <c r="BQ587" s="121">
        <v>28.585000000000001</v>
      </c>
      <c r="BR587" s="121">
        <v>29.613500000000002</v>
      </c>
      <c r="BS587" s="121">
        <v>30.641999999999999</v>
      </c>
      <c r="BT587" s="121">
        <v>31.695499999999999</v>
      </c>
      <c r="BU587" s="121">
        <v>32.748999999999995</v>
      </c>
      <c r="BV587" s="121">
        <v>33.748750000000001</v>
      </c>
      <c r="BW587" s="121">
        <v>34.7485</v>
      </c>
      <c r="BX587" s="121">
        <v>35.738749999999996</v>
      </c>
      <c r="BY587" s="121">
        <v>36.728999999999999</v>
      </c>
      <c r="BZ587" s="121">
        <v>37.698999999999998</v>
      </c>
      <c r="CA587" s="121">
        <v>38.668999999999997</v>
      </c>
      <c r="CB587" s="121">
        <v>39.634250000000002</v>
      </c>
      <c r="CC587" s="121">
        <v>40.599500000000006</v>
      </c>
      <c r="CD587" s="121">
        <v>41.599250000000005</v>
      </c>
      <c r="CE587" s="121">
        <f t="array" ref="CE587:CE614">TRANSPOSE(CF586:DG586)</f>
        <v>42.599000000000004</v>
      </c>
      <c r="CF587" s="120">
        <f>(CE587+CG587)/2</f>
        <v>43.535499999999999</v>
      </c>
      <c r="CG587" s="120">
        <f>(CG586+CG588)/2</f>
        <v>44.472000000000001</v>
      </c>
      <c r="CH587" s="120">
        <f>(CG587+CI587)/2</f>
        <v>45.437750000000001</v>
      </c>
      <c r="CI587" s="120">
        <f>(CI586+CI588)/2</f>
        <v>46.403500000000001</v>
      </c>
      <c r="CJ587" s="120">
        <f>(CI587+CK587)/2</f>
        <v>47.344499999999996</v>
      </c>
      <c r="CK587" s="120">
        <f>(CK586+CK588)/2</f>
        <v>48.285499999999999</v>
      </c>
      <c r="CL587" s="120">
        <f>(CK587+CM587)/2</f>
        <v>49.21725</v>
      </c>
      <c r="CM587" s="120">
        <f>(CM586+CM588)/2</f>
        <v>50.149000000000001</v>
      </c>
      <c r="CN587" s="120">
        <f>(CM587+CO587)/2</f>
        <v>51.090249999999997</v>
      </c>
      <c r="CO587" s="120">
        <f>(CO586+CO588)/2</f>
        <v>52.031500000000001</v>
      </c>
      <c r="CP587" s="120">
        <f>(CO587+CQ587)/2</f>
        <v>52.968000000000004</v>
      </c>
      <c r="CQ587" s="120">
        <f>(CQ586+CQ588)/2</f>
        <v>53.904499999999999</v>
      </c>
      <c r="CR587" s="120">
        <f>(CQ587+CS587)/2</f>
        <v>54.8185</v>
      </c>
      <c r="CS587" s="120">
        <f>(CS586+CS588)/2</f>
        <v>55.732500000000002</v>
      </c>
      <c r="CT587" s="120">
        <f>(CS587+CU587)/2</f>
        <v>56.691000000000003</v>
      </c>
      <c r="CU587" s="120">
        <f>(CU586+CU588)/2</f>
        <v>57.649500000000003</v>
      </c>
      <c r="CV587" s="120">
        <f>(CU587+CW587)/2</f>
        <v>58.561500000000002</v>
      </c>
      <c r="CW587" s="120">
        <f>(CW586+CW588)/2</f>
        <v>59.473500000000001</v>
      </c>
      <c r="CX587" s="120">
        <f>(CW587+CY587)/2</f>
        <v>60.385249999999999</v>
      </c>
      <c r="CY587" s="120">
        <f>(CY586+CY588)/2</f>
        <v>61.296999999999997</v>
      </c>
      <c r="CZ587" s="120">
        <f>(CY587+DA587)/2</f>
        <v>62.228499999999997</v>
      </c>
      <c r="DA587" s="120">
        <f>(DA586+DA588)/2</f>
        <v>63.16</v>
      </c>
      <c r="DB587" s="120">
        <f>(DA587+DC587)/2</f>
        <v>64.042749999999998</v>
      </c>
      <c r="DC587" s="120">
        <f>(DC586+DC588)/2</f>
        <v>64.9255</v>
      </c>
      <c r="DD587" s="120">
        <f>(DC587+DE587)/2</f>
        <v>65.861999999999995</v>
      </c>
      <c r="DE587" s="120">
        <f>(DE586+DE588)/2</f>
        <v>66.798500000000004</v>
      </c>
      <c r="DF587" s="120">
        <f>(DE587+DG587)/2</f>
        <v>67.681250000000006</v>
      </c>
      <c r="DG587" s="122">
        <f>(DG586+DG588)/2</f>
        <v>68.563999999999993</v>
      </c>
    </row>
    <row r="588" spans="54:111" ht="15" customHeight="1" x14ac:dyDescent="0.2">
      <c r="BB588" s="28">
        <v>34</v>
      </c>
      <c r="BC588" s="121">
        <v>12.706</v>
      </c>
      <c r="BD588" s="121">
        <v>14.083</v>
      </c>
      <c r="BE588" s="121">
        <v>15.46</v>
      </c>
      <c r="BF588" s="121">
        <v>16.72</v>
      </c>
      <c r="BG588" s="121">
        <v>17.98</v>
      </c>
      <c r="BH588" s="121">
        <v>19.159500000000001</v>
      </c>
      <c r="BI588" s="121">
        <v>20.338999999999999</v>
      </c>
      <c r="BJ588" s="121">
        <v>21.472000000000001</v>
      </c>
      <c r="BK588" s="121">
        <v>22.605</v>
      </c>
      <c r="BL588" s="121">
        <v>23.747999999999998</v>
      </c>
      <c r="BM588" s="121">
        <v>24.890999999999998</v>
      </c>
      <c r="BN588" s="121">
        <v>26.012</v>
      </c>
      <c r="BO588" s="121">
        <v>27.132999999999999</v>
      </c>
      <c r="BP588" s="121">
        <v>28.149000000000001</v>
      </c>
      <c r="BQ588" s="121">
        <v>29.164999999999999</v>
      </c>
      <c r="BR588" s="121">
        <v>30.248999999999999</v>
      </c>
      <c r="BS588" s="121">
        <v>31.332999999999998</v>
      </c>
      <c r="BT588" s="121">
        <v>32.395499999999998</v>
      </c>
      <c r="BU588" s="121">
        <v>33.457999999999998</v>
      </c>
      <c r="BV588" s="121">
        <v>34.483999999999995</v>
      </c>
      <c r="BW588" s="121">
        <v>35.51</v>
      </c>
      <c r="BX588" s="121">
        <v>36.526499999999999</v>
      </c>
      <c r="BY588" s="121">
        <v>37.542999999999999</v>
      </c>
      <c r="BZ588" s="121">
        <v>38.545999999999999</v>
      </c>
      <c r="CA588" s="121">
        <v>39.548999999999999</v>
      </c>
      <c r="CB588" s="121">
        <v>40.516500000000001</v>
      </c>
      <c r="CC588" s="121">
        <v>41.484000000000002</v>
      </c>
      <c r="CD588" s="121">
        <v>42.510000000000005</v>
      </c>
      <c r="CE588" s="121">
        <v>43.536000000000001</v>
      </c>
      <c r="CF588" s="121">
        <f t="array" ref="CF588:CF614">TRANSPOSE(CG587:DG587)</f>
        <v>44.472000000000001</v>
      </c>
      <c r="CG588" s="158">
        <v>45.408000000000001</v>
      </c>
      <c r="CH588" s="120">
        <f>(CI588+CG588)/2</f>
        <v>46.433999999999997</v>
      </c>
      <c r="CI588" s="158">
        <v>47.46</v>
      </c>
      <c r="CJ588" s="120">
        <f>(CK588+CI588)/2</f>
        <v>48.427</v>
      </c>
      <c r="CK588" s="158">
        <v>49.393999999999998</v>
      </c>
      <c r="CL588" s="120">
        <f>(CM588+CK588)/2</f>
        <v>50.33</v>
      </c>
      <c r="CM588" s="158">
        <v>51.265999999999998</v>
      </c>
      <c r="CN588" s="120">
        <f>(CO588+CM588)/2</f>
        <v>52.233499999999999</v>
      </c>
      <c r="CO588" s="158">
        <v>53.201000000000001</v>
      </c>
      <c r="CP588" s="120">
        <f>(CQ588+CO588)/2</f>
        <v>54.168500000000002</v>
      </c>
      <c r="CQ588" s="158">
        <v>55.136000000000003</v>
      </c>
      <c r="CR588" s="120">
        <f>(CS588+CQ588)/2</f>
        <v>56.081000000000003</v>
      </c>
      <c r="CS588" s="158">
        <v>57.026000000000003</v>
      </c>
      <c r="CT588" s="120">
        <f>(CU588+CS588)/2</f>
        <v>57.984000000000002</v>
      </c>
      <c r="CU588" s="158">
        <v>58.942</v>
      </c>
      <c r="CV588" s="120">
        <f>(CW588+CU588)/2</f>
        <v>59.909500000000001</v>
      </c>
      <c r="CW588" s="158">
        <v>60.877000000000002</v>
      </c>
      <c r="CX588" s="120">
        <f>(CY588+CW588)/2</f>
        <v>61.764000000000003</v>
      </c>
      <c r="CY588" s="158">
        <v>62.651000000000003</v>
      </c>
      <c r="CZ588" s="120">
        <f>(DA588+CY588)/2</f>
        <v>63.608500000000006</v>
      </c>
      <c r="DA588" s="158">
        <v>64.566000000000003</v>
      </c>
      <c r="DB588" s="120">
        <f>(DC588+DA588)/2</f>
        <v>65.474999999999994</v>
      </c>
      <c r="DC588" s="158">
        <v>66.384</v>
      </c>
      <c r="DD588" s="120">
        <f>(DE588+DC588)/2</f>
        <v>67.329499999999996</v>
      </c>
      <c r="DE588" s="158">
        <v>68.275000000000006</v>
      </c>
      <c r="DF588" s="120">
        <f>(DG588+DE588)/2</f>
        <v>69.183999999999997</v>
      </c>
      <c r="DG588" s="159">
        <v>70.093000000000004</v>
      </c>
    </row>
    <row r="589" spans="54:111" ht="15" customHeight="1" x14ac:dyDescent="0.2">
      <c r="BB589" s="28">
        <v>35</v>
      </c>
      <c r="BC589" s="121">
        <v>12.971</v>
      </c>
      <c r="BD589" s="121">
        <v>14.392250000000001</v>
      </c>
      <c r="BE589" s="121">
        <v>15.813500000000001</v>
      </c>
      <c r="BF589" s="121">
        <v>17.088750000000001</v>
      </c>
      <c r="BG589" s="121">
        <v>18.364000000000001</v>
      </c>
      <c r="BH589" s="121">
        <v>19.56475</v>
      </c>
      <c r="BI589" s="121">
        <v>20.765499999999999</v>
      </c>
      <c r="BJ589" s="121">
        <v>21.948</v>
      </c>
      <c r="BK589" s="121">
        <v>23.130499999999998</v>
      </c>
      <c r="BL589" s="121">
        <v>24.259499999999999</v>
      </c>
      <c r="BM589" s="121">
        <v>25.388500000000001</v>
      </c>
      <c r="BN589" s="121">
        <v>26.535499999999999</v>
      </c>
      <c r="BO589" s="121">
        <v>27.682499999999997</v>
      </c>
      <c r="BP589" s="121">
        <v>28.748000000000001</v>
      </c>
      <c r="BQ589" s="121">
        <v>29.813499999999998</v>
      </c>
      <c r="BR589" s="121">
        <v>30.912750000000003</v>
      </c>
      <c r="BS589" s="121">
        <v>32.012</v>
      </c>
      <c r="BT589" s="121">
        <v>33.0715</v>
      </c>
      <c r="BU589" s="121">
        <v>34.131</v>
      </c>
      <c r="BV589" s="121">
        <v>35.201499999999996</v>
      </c>
      <c r="BW589" s="121">
        <v>36.271999999999998</v>
      </c>
      <c r="BX589" s="121">
        <v>37.303249999999998</v>
      </c>
      <c r="BY589" s="121">
        <v>38.334499999999998</v>
      </c>
      <c r="BZ589" s="121">
        <v>39.364249999999998</v>
      </c>
      <c r="CA589" s="121">
        <v>40.393999999999998</v>
      </c>
      <c r="CB589" s="121">
        <v>41.3765</v>
      </c>
      <c r="CC589" s="121">
        <v>42.359000000000002</v>
      </c>
      <c r="CD589" s="121">
        <v>43.40025</v>
      </c>
      <c r="CE589" s="121">
        <v>44.441500000000005</v>
      </c>
      <c r="CF589" s="121">
        <v>45.437750000000001</v>
      </c>
      <c r="CG589" s="121">
        <f t="array" ref="CG589:CG614">TRANSPOSE(CH588:DG588)</f>
        <v>46.433999999999997</v>
      </c>
      <c r="CH589" s="120">
        <f>(CG589+CI589)/2</f>
        <v>47.475000000000001</v>
      </c>
      <c r="CI589" s="120">
        <f>(CI588+CI590)/2</f>
        <v>48.516000000000005</v>
      </c>
      <c r="CJ589" s="120">
        <f>(CI589+CK589)/2</f>
        <v>49.469250000000002</v>
      </c>
      <c r="CK589" s="120">
        <f>(CK588+CK590)/2</f>
        <v>50.422499999999999</v>
      </c>
      <c r="CL589" s="120">
        <f>(CK589+CM589)/2</f>
        <v>51.418500000000002</v>
      </c>
      <c r="CM589" s="120">
        <f>(CM588+CM590)/2</f>
        <v>52.414500000000004</v>
      </c>
      <c r="CN589" s="120">
        <f>(CM589+CO589)/2</f>
        <v>53.363250000000001</v>
      </c>
      <c r="CO589" s="120">
        <f>(CO588+CO590)/2</f>
        <v>54.311999999999998</v>
      </c>
      <c r="CP589" s="120">
        <f>(CO589+CQ589)/2</f>
        <v>55.323999999999998</v>
      </c>
      <c r="CQ589" s="120">
        <f>(CQ588+CQ590)/2</f>
        <v>56.335999999999999</v>
      </c>
      <c r="CR589" s="120">
        <f>(CQ589+CS589)/2</f>
        <v>57.277999999999999</v>
      </c>
      <c r="CS589" s="120">
        <f>(CS588+CS590)/2</f>
        <v>58.22</v>
      </c>
      <c r="CT589" s="120">
        <f>(CS589+CU589)/2</f>
        <v>59.227249999999998</v>
      </c>
      <c r="CU589" s="120">
        <f>(CU588+CU590)/2</f>
        <v>60.234499999999997</v>
      </c>
      <c r="CV589" s="120">
        <f>(CU589+CW589)/2</f>
        <v>61.187750000000001</v>
      </c>
      <c r="CW589" s="120">
        <f>(CW588+CW590)/2</f>
        <v>62.141000000000005</v>
      </c>
      <c r="CX589" s="120">
        <f>(CW589+CY589)/2</f>
        <v>63.112750000000005</v>
      </c>
      <c r="CY589" s="120">
        <f>(CY588+CY590)/2</f>
        <v>64.084500000000006</v>
      </c>
      <c r="CZ589" s="120">
        <f>(CY589+DA589)/2</f>
        <v>65.033000000000015</v>
      </c>
      <c r="DA589" s="120">
        <f>(DA588+DA590)/2</f>
        <v>65.981500000000011</v>
      </c>
      <c r="DB589" s="120">
        <f>(DA589+DC589)/2</f>
        <v>66.905500000000004</v>
      </c>
      <c r="DC589" s="120">
        <f>(DC588+DC590)/2</f>
        <v>67.829499999999996</v>
      </c>
      <c r="DD589" s="120">
        <f>(DC589+DE589)/2</f>
        <v>68.830500000000001</v>
      </c>
      <c r="DE589" s="120">
        <f>(DE588+DE590)/2</f>
        <v>69.831500000000005</v>
      </c>
      <c r="DF589" s="120">
        <f>(DE589+DG589)/2</f>
        <v>70.750750000000011</v>
      </c>
      <c r="DG589" s="122">
        <f>(DG588+DG590)/2</f>
        <v>71.67</v>
      </c>
    </row>
    <row r="590" spans="54:111" ht="15" customHeight="1" x14ac:dyDescent="0.2">
      <c r="BB590" s="28">
        <v>36</v>
      </c>
      <c r="BC590" s="121">
        <v>13.236000000000001</v>
      </c>
      <c r="BD590" s="121">
        <v>14.701500000000001</v>
      </c>
      <c r="BE590" s="121">
        <v>16.167000000000002</v>
      </c>
      <c r="BF590" s="121">
        <v>17.457500000000003</v>
      </c>
      <c r="BG590" s="121">
        <v>18.748000000000001</v>
      </c>
      <c r="BH590" s="121">
        <v>19.97</v>
      </c>
      <c r="BI590" s="121">
        <v>21.192</v>
      </c>
      <c r="BJ590" s="121">
        <v>22.423999999999999</v>
      </c>
      <c r="BK590" s="121">
        <v>23.655999999999999</v>
      </c>
      <c r="BL590" s="121">
        <v>24.771000000000001</v>
      </c>
      <c r="BM590" s="121">
        <v>25.885999999999999</v>
      </c>
      <c r="BN590" s="121">
        <v>27.058999999999997</v>
      </c>
      <c r="BO590" s="121">
        <v>28.231999999999999</v>
      </c>
      <c r="BP590" s="121">
        <v>29.347000000000001</v>
      </c>
      <c r="BQ590" s="121">
        <v>30.462</v>
      </c>
      <c r="BR590" s="121">
        <v>31.576500000000003</v>
      </c>
      <c r="BS590" s="121">
        <v>32.691000000000003</v>
      </c>
      <c r="BT590" s="121">
        <v>33.747500000000002</v>
      </c>
      <c r="BU590" s="121">
        <v>34.804000000000002</v>
      </c>
      <c r="BV590" s="121">
        <v>35.918999999999997</v>
      </c>
      <c r="BW590" s="121">
        <v>37.033999999999999</v>
      </c>
      <c r="BX590" s="121">
        <v>38.08</v>
      </c>
      <c r="BY590" s="121">
        <v>39.125999999999998</v>
      </c>
      <c r="BZ590" s="121">
        <v>40.182499999999997</v>
      </c>
      <c r="CA590" s="121">
        <v>41.238999999999997</v>
      </c>
      <c r="CB590" s="121">
        <v>42.236499999999999</v>
      </c>
      <c r="CC590" s="121">
        <v>43.234000000000002</v>
      </c>
      <c r="CD590" s="121">
        <v>44.290500000000002</v>
      </c>
      <c r="CE590" s="121">
        <v>45.347000000000001</v>
      </c>
      <c r="CF590" s="121">
        <v>46.403500000000001</v>
      </c>
      <c r="CG590" s="121">
        <v>47.46</v>
      </c>
      <c r="CH590" s="121">
        <f t="array" ref="CH590:CH614">TRANSPOSE(CI589:DG589)</f>
        <v>48.516000000000005</v>
      </c>
      <c r="CI590" s="158">
        <v>49.572000000000003</v>
      </c>
      <c r="CJ590" s="120">
        <f>(CK590+CI590)/2</f>
        <v>50.511499999999998</v>
      </c>
      <c r="CK590" s="158">
        <v>51.451000000000001</v>
      </c>
      <c r="CL590" s="120">
        <f>(CM590+CK590)/2</f>
        <v>52.507000000000005</v>
      </c>
      <c r="CM590" s="158">
        <v>53.563000000000002</v>
      </c>
      <c r="CN590" s="120">
        <f>(CO590+CM590)/2</f>
        <v>54.493000000000002</v>
      </c>
      <c r="CO590" s="158">
        <v>55.423000000000002</v>
      </c>
      <c r="CP590" s="120">
        <f>(CQ590+CO590)/2</f>
        <v>56.479500000000002</v>
      </c>
      <c r="CQ590" s="158">
        <v>57.536000000000001</v>
      </c>
      <c r="CR590" s="120">
        <f>(CS590+CQ590)/2</f>
        <v>58.475000000000001</v>
      </c>
      <c r="CS590" s="158">
        <v>59.414000000000001</v>
      </c>
      <c r="CT590" s="120">
        <f>(CU590+CS590)/2</f>
        <v>60.470500000000001</v>
      </c>
      <c r="CU590" s="158">
        <v>61.527000000000001</v>
      </c>
      <c r="CV590" s="120">
        <f>(CW590+CU590)/2</f>
        <v>62.466000000000001</v>
      </c>
      <c r="CW590" s="158">
        <v>63.405000000000001</v>
      </c>
      <c r="CX590" s="120">
        <f>(CY590+CW590)/2</f>
        <v>64.461500000000001</v>
      </c>
      <c r="CY590" s="158">
        <v>65.518000000000001</v>
      </c>
      <c r="CZ590" s="120">
        <f>(DA590+CY590)/2</f>
        <v>66.45750000000001</v>
      </c>
      <c r="DA590" s="158">
        <v>67.397000000000006</v>
      </c>
      <c r="DB590" s="120">
        <f>(DC590+DA590)/2</f>
        <v>68.336000000000013</v>
      </c>
      <c r="DC590" s="158">
        <v>69.275000000000006</v>
      </c>
      <c r="DD590" s="120">
        <f>(DE590+DC590)/2</f>
        <v>70.331500000000005</v>
      </c>
      <c r="DE590" s="158">
        <v>71.388000000000005</v>
      </c>
      <c r="DF590" s="120">
        <f>(DG590+DE590)/2</f>
        <v>72.317499999999995</v>
      </c>
      <c r="DG590" s="159">
        <v>73.247</v>
      </c>
    </row>
    <row r="591" spans="54:111" ht="15" customHeight="1" x14ac:dyDescent="0.2">
      <c r="BB591" s="28">
        <v>37</v>
      </c>
      <c r="BC591" s="121">
        <v>13.5495</v>
      </c>
      <c r="BD591" s="121">
        <v>15.001000000000001</v>
      </c>
      <c r="BE591" s="121">
        <v>16.452500000000001</v>
      </c>
      <c r="BF591" s="121">
        <v>17.787500000000001</v>
      </c>
      <c r="BG591" s="121">
        <v>19.122500000000002</v>
      </c>
      <c r="BH591" s="121">
        <v>20.375499999999999</v>
      </c>
      <c r="BI591" s="121">
        <v>21.628500000000003</v>
      </c>
      <c r="BJ591" s="121">
        <v>22.87575</v>
      </c>
      <c r="BK591" s="121">
        <v>24.122999999999998</v>
      </c>
      <c r="BL591" s="121">
        <v>25.282250000000001</v>
      </c>
      <c r="BM591" s="121">
        <v>26.441499999999998</v>
      </c>
      <c r="BN591" s="121">
        <v>27.611499999999999</v>
      </c>
      <c r="BO591" s="121">
        <v>28.781500000000001</v>
      </c>
      <c r="BP591" s="121">
        <v>29.911750000000001</v>
      </c>
      <c r="BQ591" s="121">
        <v>31.042000000000002</v>
      </c>
      <c r="BR591" s="121">
        <v>32.171999999999997</v>
      </c>
      <c r="BS591" s="121">
        <v>33.302</v>
      </c>
      <c r="BT591" s="121">
        <v>34.414000000000001</v>
      </c>
      <c r="BU591" s="121">
        <v>35.525999999999996</v>
      </c>
      <c r="BV591" s="121">
        <v>36.6265</v>
      </c>
      <c r="BW591" s="121">
        <v>37.727000000000004</v>
      </c>
      <c r="BX591" s="121">
        <v>38.827500000000001</v>
      </c>
      <c r="BY591" s="121">
        <v>39.927999999999997</v>
      </c>
      <c r="BZ591" s="121">
        <v>41.010499999999993</v>
      </c>
      <c r="CA591" s="121">
        <v>42.093000000000004</v>
      </c>
      <c r="CB591" s="121">
        <v>43.135000000000005</v>
      </c>
      <c r="CC591" s="121">
        <v>44.177</v>
      </c>
      <c r="CD591" s="121">
        <v>45.219499999999996</v>
      </c>
      <c r="CE591" s="121">
        <v>46.262</v>
      </c>
      <c r="CF591" s="121">
        <v>47.344499999999996</v>
      </c>
      <c r="CG591" s="121">
        <v>48.427</v>
      </c>
      <c r="CH591" s="121">
        <v>49.469250000000002</v>
      </c>
      <c r="CI591" s="121">
        <f t="array" ref="CI591:CI614">TRANSPOSE(CJ590:DG590)</f>
        <v>50.511499999999998</v>
      </c>
      <c r="CJ591" s="120">
        <f>(CI591+CK591)/2</f>
        <v>51.524500000000003</v>
      </c>
      <c r="CK591" s="120">
        <f>(CK590+CK592)/2</f>
        <v>52.537500000000001</v>
      </c>
      <c r="CL591" s="120">
        <f>(CK591+CM591)/2</f>
        <v>53.620000000000005</v>
      </c>
      <c r="CM591" s="120">
        <f>(CM590+CM592)/2</f>
        <v>54.702500000000001</v>
      </c>
      <c r="CN591" s="120">
        <f>(CM591+CO591)/2</f>
        <v>55.652250000000002</v>
      </c>
      <c r="CO591" s="120">
        <f>(CO590+CO592)/2</f>
        <v>56.602000000000004</v>
      </c>
      <c r="CP591" s="120">
        <f>(CO591+CQ591)/2</f>
        <v>57.673500000000004</v>
      </c>
      <c r="CQ591" s="120">
        <f>(CQ590+CQ592)/2</f>
        <v>58.745000000000005</v>
      </c>
      <c r="CR591" s="120">
        <f>(CQ591+CS591)/2</f>
        <v>59.710500000000003</v>
      </c>
      <c r="CS591" s="120">
        <f>(CS590+CS592)/2</f>
        <v>60.676000000000002</v>
      </c>
      <c r="CT591" s="120">
        <f>(CS591+CU591)/2</f>
        <v>61.747500000000002</v>
      </c>
      <c r="CU591" s="120">
        <f>(CU590+CU592)/2</f>
        <v>62.819000000000003</v>
      </c>
      <c r="CV591" s="120">
        <f>(CU591+CW591)/2</f>
        <v>63.77375</v>
      </c>
      <c r="CW591" s="120">
        <f>(CW590+CW592)/2</f>
        <v>64.728499999999997</v>
      </c>
      <c r="CX591" s="120">
        <f>(CW591+CY591)/2</f>
        <v>65.811000000000007</v>
      </c>
      <c r="CY591" s="120">
        <f>(CY590+CY592)/2</f>
        <v>66.893500000000003</v>
      </c>
      <c r="CZ591" s="120">
        <f>(CY591+DA591)/2</f>
        <v>67.848250000000007</v>
      </c>
      <c r="DA591" s="120">
        <f>(DA590+DA592)/2</f>
        <v>68.802999999999997</v>
      </c>
      <c r="DB591" s="120">
        <f>(DA591+DC591)/2</f>
        <v>69.757249999999999</v>
      </c>
      <c r="DC591" s="120">
        <f>(DC590+DC592)/2</f>
        <v>70.711500000000001</v>
      </c>
      <c r="DD591" s="120">
        <f>(DC591+DE591)/2</f>
        <v>71.794250000000005</v>
      </c>
      <c r="DE591" s="120">
        <f>(DE590+DE592)/2</f>
        <v>72.87700000000001</v>
      </c>
      <c r="DF591" s="120">
        <f>(DE591+DG591)/2</f>
        <v>73.82650000000001</v>
      </c>
      <c r="DG591" s="122">
        <f>(DG590+DG592)/2</f>
        <v>74.77600000000001</v>
      </c>
    </row>
    <row r="592" spans="54:111" ht="15" customHeight="1" x14ac:dyDescent="0.2">
      <c r="BB592" s="28">
        <v>38</v>
      </c>
      <c r="BC592" s="121">
        <v>13.863</v>
      </c>
      <c r="BD592" s="121">
        <v>15.3005</v>
      </c>
      <c r="BE592" s="121">
        <v>16.738</v>
      </c>
      <c r="BF592" s="121">
        <v>18.1175</v>
      </c>
      <c r="BG592" s="121">
        <v>19.497</v>
      </c>
      <c r="BH592" s="121">
        <v>20.780999999999999</v>
      </c>
      <c r="BI592" s="121">
        <v>22.065000000000001</v>
      </c>
      <c r="BJ592" s="121">
        <v>23.327500000000001</v>
      </c>
      <c r="BK592" s="121">
        <v>24.59</v>
      </c>
      <c r="BL592" s="121">
        <v>25.793500000000002</v>
      </c>
      <c r="BM592" s="121">
        <v>26.997</v>
      </c>
      <c r="BN592" s="121">
        <v>28.164000000000001</v>
      </c>
      <c r="BO592" s="121">
        <v>29.331</v>
      </c>
      <c r="BP592" s="121">
        <v>30.476500000000001</v>
      </c>
      <c r="BQ592" s="121">
        <v>31.622</v>
      </c>
      <c r="BR592" s="121">
        <v>32.767499999999998</v>
      </c>
      <c r="BS592" s="121">
        <v>33.912999999999997</v>
      </c>
      <c r="BT592" s="121">
        <v>35.080500000000001</v>
      </c>
      <c r="BU592" s="121">
        <v>36.247999999999998</v>
      </c>
      <c r="BV592" s="121">
        <v>37.334000000000003</v>
      </c>
      <c r="BW592" s="121">
        <v>38.42</v>
      </c>
      <c r="BX592" s="121">
        <v>39.575000000000003</v>
      </c>
      <c r="BY592" s="121">
        <v>40.729999999999997</v>
      </c>
      <c r="BZ592" s="121">
        <v>41.838499999999996</v>
      </c>
      <c r="CA592" s="121">
        <v>42.947000000000003</v>
      </c>
      <c r="CB592" s="121">
        <v>44.033500000000004</v>
      </c>
      <c r="CC592" s="121">
        <v>45.12</v>
      </c>
      <c r="CD592" s="121">
        <v>46.148499999999999</v>
      </c>
      <c r="CE592" s="121">
        <v>47.177</v>
      </c>
      <c r="CF592" s="121">
        <v>48.285499999999999</v>
      </c>
      <c r="CG592" s="121">
        <v>49.393999999999998</v>
      </c>
      <c r="CH592" s="121">
        <v>50.422499999999999</v>
      </c>
      <c r="CI592" s="121">
        <v>51.451000000000001</v>
      </c>
      <c r="CJ592" s="121">
        <f t="array" ref="CJ592:CJ614">TRANSPOSE(CK591:DG591)</f>
        <v>52.537500000000001</v>
      </c>
      <c r="CK592" s="158">
        <v>53.624000000000002</v>
      </c>
      <c r="CL592" s="120">
        <f>(CM592+CK592)/2</f>
        <v>54.733000000000004</v>
      </c>
      <c r="CM592" s="158">
        <v>55.841999999999999</v>
      </c>
      <c r="CN592" s="120">
        <f>(CO592+CM592)/2</f>
        <v>56.811499999999995</v>
      </c>
      <c r="CO592" s="158">
        <v>57.780999999999999</v>
      </c>
      <c r="CP592" s="120">
        <f>(CQ592+CO592)/2</f>
        <v>58.8675</v>
      </c>
      <c r="CQ592" s="158">
        <v>59.954000000000001</v>
      </c>
      <c r="CR592" s="120">
        <f>(CS592+CQ592)/2</f>
        <v>60.945999999999998</v>
      </c>
      <c r="CS592" s="158">
        <v>61.938000000000002</v>
      </c>
      <c r="CT592" s="120">
        <f>(CU592+CS592)/2</f>
        <v>63.024500000000003</v>
      </c>
      <c r="CU592" s="158">
        <v>64.111000000000004</v>
      </c>
      <c r="CV592" s="120">
        <f>(CW592+CU592)/2</f>
        <v>65.081500000000005</v>
      </c>
      <c r="CW592" s="158">
        <v>66.052000000000007</v>
      </c>
      <c r="CX592" s="120">
        <f>(CY592+CW592)/2</f>
        <v>67.160500000000013</v>
      </c>
      <c r="CY592" s="158">
        <v>68.269000000000005</v>
      </c>
      <c r="CZ592" s="120">
        <f>(DA592+CY592)/2</f>
        <v>69.239000000000004</v>
      </c>
      <c r="DA592" s="158">
        <v>70.209000000000003</v>
      </c>
      <c r="DB592" s="120">
        <f>(DC592+DA592)/2</f>
        <v>71.1785</v>
      </c>
      <c r="DC592" s="158">
        <v>72.147999999999996</v>
      </c>
      <c r="DD592" s="120">
        <f>(DE592+DC592)/2</f>
        <v>73.257000000000005</v>
      </c>
      <c r="DE592" s="158">
        <v>74.366</v>
      </c>
      <c r="DF592" s="120">
        <f>(DG592+DE592)/2</f>
        <v>75.335499999999996</v>
      </c>
      <c r="DG592" s="159">
        <v>76.305000000000007</v>
      </c>
    </row>
    <row r="593" spans="54:111" ht="15" customHeight="1" x14ac:dyDescent="0.2">
      <c r="BB593" s="28">
        <v>39</v>
      </c>
      <c r="BC593" s="121">
        <v>14.096</v>
      </c>
      <c r="BD593" s="121">
        <v>15.564499999999999</v>
      </c>
      <c r="BE593" s="121">
        <v>17.033000000000001</v>
      </c>
      <c r="BF593" s="121">
        <v>18.439</v>
      </c>
      <c r="BG593" s="121">
        <v>19.844999999999999</v>
      </c>
      <c r="BH593" s="121">
        <v>21.162500000000001</v>
      </c>
      <c r="BI593" s="121">
        <v>22.48</v>
      </c>
      <c r="BJ593" s="121">
        <v>23.7685</v>
      </c>
      <c r="BK593" s="121">
        <v>25.057000000000002</v>
      </c>
      <c r="BL593" s="121">
        <v>26.286750000000001</v>
      </c>
      <c r="BM593" s="121">
        <v>27.516500000000001</v>
      </c>
      <c r="BN593" s="121">
        <v>28.69275</v>
      </c>
      <c r="BO593" s="121">
        <v>29.869</v>
      </c>
      <c r="BP593" s="121">
        <v>31.069749999999999</v>
      </c>
      <c r="BQ593" s="121">
        <v>32.270499999999998</v>
      </c>
      <c r="BR593" s="121">
        <v>33.442</v>
      </c>
      <c r="BS593" s="121">
        <v>34.613500000000002</v>
      </c>
      <c r="BT593" s="121">
        <v>35.784999999999997</v>
      </c>
      <c r="BU593" s="121">
        <v>36.956499999999998</v>
      </c>
      <c r="BV593" s="121">
        <v>38.069000000000003</v>
      </c>
      <c r="BW593" s="121">
        <v>39.1815</v>
      </c>
      <c r="BX593" s="121">
        <v>40.333500000000001</v>
      </c>
      <c r="BY593" s="121">
        <v>41.485500000000002</v>
      </c>
      <c r="BZ593" s="121">
        <v>42.59825</v>
      </c>
      <c r="CA593" s="121">
        <v>43.710999999999999</v>
      </c>
      <c r="CB593" s="121">
        <v>44.823999999999998</v>
      </c>
      <c r="CC593" s="121">
        <v>45.936999999999998</v>
      </c>
      <c r="CD593" s="121">
        <v>47.02075</v>
      </c>
      <c r="CE593" s="121">
        <v>48.104500000000002</v>
      </c>
      <c r="CF593" s="121">
        <v>49.21725</v>
      </c>
      <c r="CG593" s="121">
        <v>50.33</v>
      </c>
      <c r="CH593" s="121">
        <v>51.418500000000002</v>
      </c>
      <c r="CI593" s="121">
        <v>52.507000000000005</v>
      </c>
      <c r="CJ593" s="121">
        <v>53.620000000000005</v>
      </c>
      <c r="CK593" s="121">
        <f t="array" ref="CK593:CK614">TRANSPOSE(CL592:DG592)</f>
        <v>54.733000000000004</v>
      </c>
      <c r="CL593" s="120">
        <f>(CK593+CM593)/2</f>
        <v>55.787500000000001</v>
      </c>
      <c r="CM593" s="120">
        <f>(CM592+CM594)/2</f>
        <v>56.841999999999999</v>
      </c>
      <c r="CN593" s="120">
        <f>(CM593+CO593)/2</f>
        <v>57.896249999999995</v>
      </c>
      <c r="CO593" s="120">
        <f>(CO592+CO594)/2</f>
        <v>58.950499999999998</v>
      </c>
      <c r="CP593" s="120">
        <f>(CO593+CQ593)/2</f>
        <v>60.004750000000001</v>
      </c>
      <c r="CQ593" s="120">
        <f>(CQ592+CQ594)/2</f>
        <v>61.058999999999997</v>
      </c>
      <c r="CR593" s="120">
        <f>(CQ593+CS593)/2</f>
        <v>62.118749999999999</v>
      </c>
      <c r="CS593" s="120">
        <f>(CS592+CS594)/2</f>
        <v>63.1785</v>
      </c>
      <c r="CT593" s="120">
        <f>(CS593+CU593)/2</f>
        <v>64.291249999999991</v>
      </c>
      <c r="CU593" s="120">
        <f>(CU592+CU594)/2</f>
        <v>65.403999999999996</v>
      </c>
      <c r="CV593" s="120">
        <f>(CU593+CW593)/2</f>
        <v>66.40025</v>
      </c>
      <c r="CW593" s="120">
        <f>(CW592+CW594)/2</f>
        <v>67.396500000000003</v>
      </c>
      <c r="CX593" s="120">
        <f>(CW593+CY593)/2</f>
        <v>68.450749999999999</v>
      </c>
      <c r="CY593" s="120">
        <f>(CY592+CY594)/2</f>
        <v>69.504999999999995</v>
      </c>
      <c r="CZ593" s="120">
        <f>(CY593+DA593)/2</f>
        <v>70.559749999999994</v>
      </c>
      <c r="DA593" s="120">
        <f>(DA592+DA594)/2</f>
        <v>71.614499999999992</v>
      </c>
      <c r="DB593" s="120">
        <f>(DA593+DC593)/2</f>
        <v>72.614999999999995</v>
      </c>
      <c r="DC593" s="120">
        <f>(DC592+DC594)/2</f>
        <v>73.615499999999997</v>
      </c>
      <c r="DD593" s="120">
        <f>(DC593+DE593)/2</f>
        <v>74.728499999999997</v>
      </c>
      <c r="DE593" s="120">
        <f>(DE592+DE594)/2</f>
        <v>75.841499999999996</v>
      </c>
      <c r="DF593" s="120">
        <f>(DE593+DG593)/2</f>
        <v>76.837500000000006</v>
      </c>
      <c r="DG593" s="122">
        <f>(DG592+DG594)/2</f>
        <v>77.833500000000001</v>
      </c>
    </row>
    <row r="594" spans="54:111" ht="15" customHeight="1" x14ac:dyDescent="0.2">
      <c r="BB594" s="28">
        <v>40</v>
      </c>
      <c r="BC594" s="121">
        <v>14.329000000000001</v>
      </c>
      <c r="BD594" s="121">
        <v>15.8285</v>
      </c>
      <c r="BE594" s="121">
        <v>17.327999999999999</v>
      </c>
      <c r="BF594" s="121">
        <v>18.7605</v>
      </c>
      <c r="BG594" s="121">
        <v>20.193000000000001</v>
      </c>
      <c r="BH594" s="121">
        <v>21.544</v>
      </c>
      <c r="BI594" s="121">
        <v>22.895</v>
      </c>
      <c r="BJ594" s="121">
        <v>24.209499999999998</v>
      </c>
      <c r="BK594" s="121">
        <v>25.524000000000001</v>
      </c>
      <c r="BL594" s="121">
        <v>26.78</v>
      </c>
      <c r="BM594" s="121">
        <v>28.036000000000001</v>
      </c>
      <c r="BN594" s="121">
        <v>29.221499999999999</v>
      </c>
      <c r="BO594" s="121">
        <v>30.407</v>
      </c>
      <c r="BP594" s="121">
        <v>31.662999999999997</v>
      </c>
      <c r="BQ594" s="121">
        <v>32.918999999999997</v>
      </c>
      <c r="BR594" s="121">
        <v>34.116500000000002</v>
      </c>
      <c r="BS594" s="121">
        <v>35.314</v>
      </c>
      <c r="BT594" s="121">
        <v>36.4895</v>
      </c>
      <c r="BU594" s="121">
        <v>37.664999999999999</v>
      </c>
      <c r="BV594" s="121">
        <v>38.804000000000002</v>
      </c>
      <c r="BW594" s="121">
        <v>39.942999999999998</v>
      </c>
      <c r="BX594" s="121">
        <v>41.091999999999999</v>
      </c>
      <c r="BY594" s="121">
        <v>42.241</v>
      </c>
      <c r="BZ594" s="121">
        <v>43.358000000000004</v>
      </c>
      <c r="CA594" s="121">
        <v>44.475000000000001</v>
      </c>
      <c r="CB594" s="121">
        <v>45.6145</v>
      </c>
      <c r="CC594" s="121">
        <v>46.753999999999998</v>
      </c>
      <c r="CD594" s="121">
        <v>47.893000000000001</v>
      </c>
      <c r="CE594" s="121">
        <v>49.031999999999996</v>
      </c>
      <c r="CF594" s="121">
        <v>50.149000000000001</v>
      </c>
      <c r="CG594" s="121">
        <v>51.265999999999998</v>
      </c>
      <c r="CH594" s="121">
        <v>52.414500000000004</v>
      </c>
      <c r="CI594" s="121">
        <v>53.563000000000002</v>
      </c>
      <c r="CJ594" s="121">
        <v>54.702500000000001</v>
      </c>
      <c r="CK594" s="121">
        <v>55.841999999999999</v>
      </c>
      <c r="CL594" s="121">
        <f t="array" ref="CL594:CL614">TRANSPOSE(CM593:DG593)</f>
        <v>56.841999999999999</v>
      </c>
      <c r="CM594" s="158">
        <v>57.841999999999999</v>
      </c>
      <c r="CN594" s="120">
        <f>(CO594+CM594)/2</f>
        <v>58.980999999999995</v>
      </c>
      <c r="CO594" s="158">
        <v>60.12</v>
      </c>
      <c r="CP594" s="120">
        <f>(CQ594+CO594)/2</f>
        <v>61.141999999999996</v>
      </c>
      <c r="CQ594" s="158">
        <v>62.164000000000001</v>
      </c>
      <c r="CR594" s="120">
        <f>(CS594+CQ594)/2</f>
        <v>63.291499999999999</v>
      </c>
      <c r="CS594" s="158">
        <v>64.418999999999997</v>
      </c>
      <c r="CT594" s="120">
        <f>(CU594+CS594)/2</f>
        <v>65.557999999999993</v>
      </c>
      <c r="CU594" s="158">
        <v>66.697000000000003</v>
      </c>
      <c r="CV594" s="120">
        <f>(CW594+CU594)/2</f>
        <v>67.718999999999994</v>
      </c>
      <c r="CW594" s="158">
        <v>68.741</v>
      </c>
      <c r="CX594" s="120">
        <f>(CY594+CW594)/2</f>
        <v>69.741</v>
      </c>
      <c r="CY594" s="158">
        <v>70.741</v>
      </c>
      <c r="CZ594" s="120">
        <f>(DA594+CY594)/2</f>
        <v>71.880499999999998</v>
      </c>
      <c r="DA594" s="158">
        <v>73.02</v>
      </c>
      <c r="DB594" s="120">
        <f>(DC594+DA594)/2</f>
        <v>74.051500000000004</v>
      </c>
      <c r="DC594" s="158">
        <v>75.082999999999998</v>
      </c>
      <c r="DD594" s="120">
        <f>(DE594+DC594)/2</f>
        <v>76.199999999999989</v>
      </c>
      <c r="DE594" s="158">
        <v>77.316999999999993</v>
      </c>
      <c r="DF594" s="120">
        <f>(DG594+DE594)/2</f>
        <v>78.339499999999987</v>
      </c>
      <c r="DG594" s="159">
        <v>79.361999999999995</v>
      </c>
    </row>
    <row r="595" spans="54:111" ht="15" customHeight="1" x14ac:dyDescent="0.2">
      <c r="BB595" s="28">
        <v>41</v>
      </c>
      <c r="BC595" s="121">
        <v>14.593500000000001</v>
      </c>
      <c r="BD595" s="121">
        <v>16.132999999999999</v>
      </c>
      <c r="BE595" s="121">
        <v>17.672499999999999</v>
      </c>
      <c r="BF595" s="121">
        <v>19.12</v>
      </c>
      <c r="BG595" s="121">
        <v>20.567500000000003</v>
      </c>
      <c r="BH595" s="121">
        <v>21.9495</v>
      </c>
      <c r="BI595" s="121">
        <v>23.331499999999998</v>
      </c>
      <c r="BJ595" s="121">
        <v>24.631999999999998</v>
      </c>
      <c r="BK595" s="121">
        <v>25.932500000000001</v>
      </c>
      <c r="BL595" s="121">
        <v>27.237750000000002</v>
      </c>
      <c r="BM595" s="121">
        <v>28.542999999999999</v>
      </c>
      <c r="BN595" s="121">
        <v>29.779</v>
      </c>
      <c r="BO595" s="121">
        <v>31.015000000000001</v>
      </c>
      <c r="BP595" s="121">
        <v>32.256999999999998</v>
      </c>
      <c r="BQ595" s="121">
        <v>33.498999999999995</v>
      </c>
      <c r="BR595" s="121">
        <v>34.716750000000005</v>
      </c>
      <c r="BS595" s="121">
        <v>35.9345</v>
      </c>
      <c r="BT595" s="121">
        <v>37.135999999999996</v>
      </c>
      <c r="BU595" s="121">
        <v>38.337499999999999</v>
      </c>
      <c r="BV595" s="121">
        <v>39.521000000000001</v>
      </c>
      <c r="BW595" s="121">
        <v>40.704499999999996</v>
      </c>
      <c r="BX595" s="121">
        <v>41.868499999999997</v>
      </c>
      <c r="BY595" s="121">
        <v>43.032499999999999</v>
      </c>
      <c r="BZ595" s="121">
        <v>44.176000000000002</v>
      </c>
      <c r="CA595" s="121">
        <v>45.319500000000005</v>
      </c>
      <c r="CB595" s="121">
        <v>46.474249999999998</v>
      </c>
      <c r="CC595" s="121">
        <v>47.628999999999998</v>
      </c>
      <c r="CD595" s="121">
        <v>48.787999999999997</v>
      </c>
      <c r="CE595" s="121">
        <v>49.947000000000003</v>
      </c>
      <c r="CF595" s="121">
        <v>51.090249999999997</v>
      </c>
      <c r="CG595" s="121">
        <v>52.233499999999999</v>
      </c>
      <c r="CH595" s="121">
        <v>53.363250000000001</v>
      </c>
      <c r="CI595" s="121">
        <v>54.493000000000002</v>
      </c>
      <c r="CJ595" s="121">
        <v>55.652250000000002</v>
      </c>
      <c r="CK595" s="121">
        <v>56.811499999999995</v>
      </c>
      <c r="CL595" s="121">
        <v>57.896249999999995</v>
      </c>
      <c r="CM595" s="121">
        <f t="array" ref="CM595:CM614">TRANSPOSE(CN594:DG594)</f>
        <v>58.980999999999995</v>
      </c>
      <c r="CN595" s="120">
        <f>(CM595+CO595)/2</f>
        <v>60.140249999999995</v>
      </c>
      <c r="CO595" s="120">
        <f>(CO594+CO596)/2</f>
        <v>61.299499999999995</v>
      </c>
      <c r="CP595" s="120">
        <f>(CO595+CQ595)/2</f>
        <v>62.336749999999995</v>
      </c>
      <c r="CQ595" s="120">
        <f>(CQ594+CQ596)/2</f>
        <v>63.374000000000002</v>
      </c>
      <c r="CR595" s="120">
        <f>(CQ595+CS595)/2</f>
        <v>64.486999999999995</v>
      </c>
      <c r="CS595" s="120">
        <f>(CS594+CS596)/2</f>
        <v>65.599999999999994</v>
      </c>
      <c r="CT595" s="120">
        <f>(CS595+CU595)/2</f>
        <v>66.736249999999998</v>
      </c>
      <c r="CU595" s="120">
        <f>(CU594+CU596)/2</f>
        <v>67.872500000000002</v>
      </c>
      <c r="CV595" s="120">
        <f>(CU595+CW595)/2</f>
        <v>68.968249999999998</v>
      </c>
      <c r="CW595" s="120">
        <f>(CW594+CW596)/2</f>
        <v>70.063999999999993</v>
      </c>
      <c r="CX595" s="120">
        <f>(CW595+CY595)/2</f>
        <v>71.090249999999997</v>
      </c>
      <c r="CY595" s="120">
        <f>(CY594+CY596)/2</f>
        <v>72.116500000000002</v>
      </c>
      <c r="CZ595" s="120">
        <f>(CY595+DA595)/2</f>
        <v>73.275999999999996</v>
      </c>
      <c r="DA595" s="120">
        <f>(DA594+DA596)/2</f>
        <v>74.43549999999999</v>
      </c>
      <c r="DB595" s="120">
        <f>(DA595+DC595)/2</f>
        <v>75.477499999999992</v>
      </c>
      <c r="DC595" s="120">
        <f>(DC594+DC596)/2</f>
        <v>76.519499999999994</v>
      </c>
      <c r="DD595" s="120">
        <f>(DC595+DE595)/2</f>
        <v>77.662749999999988</v>
      </c>
      <c r="DE595" s="120">
        <f>(DE594+DE596)/2</f>
        <v>78.805999999999997</v>
      </c>
      <c r="DF595" s="120">
        <f>(DE595+DG595)/2</f>
        <v>79.848250000000007</v>
      </c>
      <c r="DG595" s="122">
        <f>(DG594+DG596)/2</f>
        <v>80.890500000000003</v>
      </c>
    </row>
    <row r="596" spans="54:111" ht="15" customHeight="1" x14ac:dyDescent="0.2">
      <c r="BB596" s="28">
        <v>42</v>
      </c>
      <c r="BC596" s="121">
        <v>14.858000000000001</v>
      </c>
      <c r="BD596" s="121">
        <v>16.4375</v>
      </c>
      <c r="BE596" s="121">
        <v>18.016999999999999</v>
      </c>
      <c r="BF596" s="121">
        <v>19.479500000000002</v>
      </c>
      <c r="BG596" s="121">
        <v>20.942</v>
      </c>
      <c r="BH596" s="121">
        <v>22.355</v>
      </c>
      <c r="BI596" s="121">
        <v>23.768000000000001</v>
      </c>
      <c r="BJ596" s="121">
        <v>25.054500000000001</v>
      </c>
      <c r="BK596" s="121">
        <v>26.341000000000001</v>
      </c>
      <c r="BL596" s="121">
        <v>27.695500000000003</v>
      </c>
      <c r="BM596" s="121">
        <v>29.05</v>
      </c>
      <c r="BN596" s="121">
        <v>30.336500000000001</v>
      </c>
      <c r="BO596" s="121">
        <v>31.623000000000001</v>
      </c>
      <c r="BP596" s="121">
        <v>32.850999999999999</v>
      </c>
      <c r="BQ596" s="121">
        <v>34.079000000000001</v>
      </c>
      <c r="BR596" s="121">
        <v>35.317</v>
      </c>
      <c r="BS596" s="121">
        <v>36.555</v>
      </c>
      <c r="BT596" s="121">
        <v>37.782499999999999</v>
      </c>
      <c r="BU596" s="121">
        <v>39.01</v>
      </c>
      <c r="BV596" s="121">
        <v>40.238</v>
      </c>
      <c r="BW596" s="121">
        <v>41.466000000000001</v>
      </c>
      <c r="BX596" s="121">
        <v>42.644999999999996</v>
      </c>
      <c r="BY596" s="121">
        <v>43.823999999999998</v>
      </c>
      <c r="BZ596" s="121">
        <v>44.994</v>
      </c>
      <c r="CA596" s="121">
        <v>46.164000000000001</v>
      </c>
      <c r="CB596" s="121">
        <v>47.334000000000003</v>
      </c>
      <c r="CC596" s="121">
        <v>48.503999999999998</v>
      </c>
      <c r="CD596" s="121">
        <v>49.683</v>
      </c>
      <c r="CE596" s="121">
        <v>50.862000000000002</v>
      </c>
      <c r="CF596" s="121">
        <v>52.031500000000001</v>
      </c>
      <c r="CG596" s="121">
        <v>53.201000000000001</v>
      </c>
      <c r="CH596" s="121">
        <v>54.311999999999998</v>
      </c>
      <c r="CI596" s="121">
        <v>55.423000000000002</v>
      </c>
      <c r="CJ596" s="121">
        <v>56.602000000000004</v>
      </c>
      <c r="CK596" s="121">
        <v>57.780999999999999</v>
      </c>
      <c r="CL596" s="121">
        <v>58.950499999999998</v>
      </c>
      <c r="CM596" s="121">
        <v>60.12</v>
      </c>
      <c r="CN596" s="121">
        <f t="array" ref="CN596:CN614">TRANSPOSE(CO595:DG595)</f>
        <v>61.299499999999995</v>
      </c>
      <c r="CO596" s="158">
        <v>62.478999999999999</v>
      </c>
      <c r="CP596" s="120">
        <f>(CQ596+CO596)/2</f>
        <v>63.531500000000001</v>
      </c>
      <c r="CQ596" s="158">
        <v>64.584000000000003</v>
      </c>
      <c r="CR596" s="120">
        <f>(CS596+CQ596)/2</f>
        <v>65.682500000000005</v>
      </c>
      <c r="CS596" s="158">
        <v>66.781000000000006</v>
      </c>
      <c r="CT596" s="120">
        <f>(CU596+CS596)/2</f>
        <v>67.914500000000004</v>
      </c>
      <c r="CU596" s="158">
        <v>69.048000000000002</v>
      </c>
      <c r="CV596" s="120">
        <f>(CW596+CU596)/2</f>
        <v>70.217500000000001</v>
      </c>
      <c r="CW596" s="158">
        <v>71.387</v>
      </c>
      <c r="CX596" s="120">
        <f>(CY596+CW596)/2</f>
        <v>72.43950000000001</v>
      </c>
      <c r="CY596" s="158">
        <v>73.492000000000004</v>
      </c>
      <c r="CZ596" s="120">
        <f>(DA596+CY596)/2</f>
        <v>74.671500000000009</v>
      </c>
      <c r="DA596" s="158">
        <v>75.850999999999999</v>
      </c>
      <c r="DB596" s="120">
        <f>(DC596+DA596)/2</f>
        <v>76.903500000000008</v>
      </c>
      <c r="DC596" s="158">
        <v>77.956000000000003</v>
      </c>
      <c r="DD596" s="120">
        <f>(DE596+DC596)/2</f>
        <v>79.125500000000002</v>
      </c>
      <c r="DE596" s="158">
        <v>80.295000000000002</v>
      </c>
      <c r="DF596" s="120">
        <f>(DG596+DE596)/2</f>
        <v>81.356999999999999</v>
      </c>
      <c r="DG596" s="159">
        <v>82.418999999999997</v>
      </c>
    </row>
    <row r="597" spans="54:111" ht="15" customHeight="1" x14ac:dyDescent="0.2">
      <c r="BB597" s="28">
        <v>43</v>
      </c>
      <c r="BC597" s="121">
        <v>15.3285</v>
      </c>
      <c r="BD597" s="121">
        <v>16.820499999999999</v>
      </c>
      <c r="BE597" s="121">
        <v>18.3125</v>
      </c>
      <c r="BF597" s="121">
        <v>19.79</v>
      </c>
      <c r="BG597" s="121">
        <v>21.267499999999998</v>
      </c>
      <c r="BH597" s="121">
        <v>22.706499999999998</v>
      </c>
      <c r="BI597" s="121">
        <v>24.145499999999998</v>
      </c>
      <c r="BJ597" s="121">
        <v>25.476500000000001</v>
      </c>
      <c r="BK597" s="121">
        <v>26.807500000000001</v>
      </c>
      <c r="BL597" s="121">
        <v>28.177500000000002</v>
      </c>
      <c r="BM597" s="121">
        <v>29.547499999999999</v>
      </c>
      <c r="BN597" s="121">
        <v>30.860250000000001</v>
      </c>
      <c r="BO597" s="121">
        <v>32.173000000000002</v>
      </c>
      <c r="BP597" s="121">
        <v>33.420999999999999</v>
      </c>
      <c r="BQ597" s="121">
        <v>34.668999999999997</v>
      </c>
      <c r="BR597" s="121">
        <v>35.9465</v>
      </c>
      <c r="BS597" s="121">
        <v>37.224000000000004</v>
      </c>
      <c r="BT597" s="121">
        <v>38.453499999999998</v>
      </c>
      <c r="BU597" s="121">
        <v>39.683</v>
      </c>
      <c r="BV597" s="121">
        <v>40.926249999999996</v>
      </c>
      <c r="BW597" s="121">
        <v>42.169499999999999</v>
      </c>
      <c r="BX597" s="121">
        <v>43.393000000000001</v>
      </c>
      <c r="BY597" s="121">
        <v>44.616500000000002</v>
      </c>
      <c r="BZ597" s="121">
        <v>45.8125</v>
      </c>
      <c r="CA597" s="121">
        <v>47.008499999999998</v>
      </c>
      <c r="CB597" s="121">
        <v>48.198250000000002</v>
      </c>
      <c r="CC597" s="121">
        <v>49.387999999999998</v>
      </c>
      <c r="CD597" s="121">
        <v>50.577749999999995</v>
      </c>
      <c r="CE597" s="121">
        <v>51.767499999999998</v>
      </c>
      <c r="CF597" s="121">
        <v>52.968000000000004</v>
      </c>
      <c r="CG597" s="121">
        <v>54.168500000000002</v>
      </c>
      <c r="CH597" s="121">
        <v>55.323999999999998</v>
      </c>
      <c r="CI597" s="121">
        <v>56.479500000000002</v>
      </c>
      <c r="CJ597" s="121">
        <v>57.673500000000004</v>
      </c>
      <c r="CK597" s="121">
        <v>58.8675</v>
      </c>
      <c r="CL597" s="121">
        <v>60.004750000000001</v>
      </c>
      <c r="CM597" s="121">
        <v>61.141999999999996</v>
      </c>
      <c r="CN597" s="121">
        <v>62.336749999999995</v>
      </c>
      <c r="CO597" s="121">
        <f t="array" ref="CO597:CO614">TRANSPOSE(CP596:DG596)</f>
        <v>63.531500000000001</v>
      </c>
      <c r="CP597" s="120">
        <f>(CO597+CQ597)/2</f>
        <v>64.657749999999993</v>
      </c>
      <c r="CQ597" s="120">
        <f>(CQ596+CQ598)/2</f>
        <v>65.783999999999992</v>
      </c>
      <c r="CR597" s="120">
        <f>(CQ597+CS597)/2</f>
        <v>66.890500000000003</v>
      </c>
      <c r="CS597" s="120">
        <f>(CS596+CS598)/2</f>
        <v>67.997</v>
      </c>
      <c r="CT597" s="120">
        <f>(CS597+CU597)/2</f>
        <v>69.163749999999993</v>
      </c>
      <c r="CU597" s="120">
        <f>(CU596+CU598)/2</f>
        <v>70.330500000000001</v>
      </c>
      <c r="CV597" s="120">
        <f>(CU597+CW597)/2</f>
        <v>71.520250000000004</v>
      </c>
      <c r="CW597" s="120">
        <f>(CW596+CW598)/2</f>
        <v>72.710000000000008</v>
      </c>
      <c r="CX597" s="120">
        <f>(CW597+CY597)/2</f>
        <v>73.793500000000009</v>
      </c>
      <c r="CY597" s="120">
        <f>(CY596+CY598)/2</f>
        <v>74.87700000000001</v>
      </c>
      <c r="CZ597" s="120">
        <f>(CY597+DA597)/2</f>
        <v>76.066750000000013</v>
      </c>
      <c r="DA597" s="120">
        <f>(DA596+DA598)/2</f>
        <v>77.256500000000003</v>
      </c>
      <c r="DB597" s="120">
        <f>(DA597+DC597)/2</f>
        <v>78.329000000000008</v>
      </c>
      <c r="DC597" s="120">
        <f>(DC596+DC598)/2</f>
        <v>79.401499999999999</v>
      </c>
      <c r="DD597" s="120">
        <f>(DC597+DE597)/2</f>
        <v>80.539000000000001</v>
      </c>
      <c r="DE597" s="120">
        <f>(DE596+DE598)/2</f>
        <v>81.676500000000004</v>
      </c>
      <c r="DF597" s="120">
        <f>(DE597+DG597)/2</f>
        <v>82.812250000000006</v>
      </c>
      <c r="DG597" s="122">
        <f>(DG596+DG598)/2</f>
        <v>83.948000000000008</v>
      </c>
    </row>
    <row r="598" spans="54:111" ht="15" customHeight="1" x14ac:dyDescent="0.2">
      <c r="BB598" s="28">
        <v>44</v>
      </c>
      <c r="BC598" s="121">
        <v>15.798999999999999</v>
      </c>
      <c r="BD598" s="121">
        <v>17.203499999999998</v>
      </c>
      <c r="BE598" s="121">
        <v>18.608000000000001</v>
      </c>
      <c r="BF598" s="121">
        <v>20.1005</v>
      </c>
      <c r="BG598" s="121">
        <v>21.593</v>
      </c>
      <c r="BH598" s="121">
        <v>23.058</v>
      </c>
      <c r="BI598" s="121">
        <v>24.523</v>
      </c>
      <c r="BJ598" s="121">
        <v>25.898499999999999</v>
      </c>
      <c r="BK598" s="121">
        <v>27.274000000000001</v>
      </c>
      <c r="BL598" s="121">
        <v>28.659500000000001</v>
      </c>
      <c r="BM598" s="121">
        <v>30.045000000000002</v>
      </c>
      <c r="BN598" s="121">
        <v>31.384</v>
      </c>
      <c r="BO598" s="121">
        <v>32.722999999999999</v>
      </c>
      <c r="BP598" s="121">
        <v>33.991</v>
      </c>
      <c r="BQ598" s="121">
        <v>35.259</v>
      </c>
      <c r="BR598" s="121">
        <v>36.576000000000001</v>
      </c>
      <c r="BS598" s="121">
        <v>37.893000000000001</v>
      </c>
      <c r="BT598" s="121">
        <v>39.124499999999998</v>
      </c>
      <c r="BU598" s="121">
        <v>40.356000000000002</v>
      </c>
      <c r="BV598" s="121">
        <v>41.6145</v>
      </c>
      <c r="BW598" s="121">
        <v>42.872999999999998</v>
      </c>
      <c r="BX598" s="121">
        <v>44.140999999999998</v>
      </c>
      <c r="BY598" s="121">
        <v>45.408999999999999</v>
      </c>
      <c r="BZ598" s="121">
        <v>46.631</v>
      </c>
      <c r="CA598" s="121">
        <v>47.853000000000002</v>
      </c>
      <c r="CB598" s="121">
        <v>49.0625</v>
      </c>
      <c r="CC598" s="121">
        <v>50.271999999999998</v>
      </c>
      <c r="CD598" s="121">
        <v>51.472499999999997</v>
      </c>
      <c r="CE598" s="121">
        <v>52.673000000000002</v>
      </c>
      <c r="CF598" s="121">
        <v>53.904499999999999</v>
      </c>
      <c r="CG598" s="121">
        <v>55.136000000000003</v>
      </c>
      <c r="CH598" s="121">
        <v>56.335999999999999</v>
      </c>
      <c r="CI598" s="121">
        <v>57.536000000000001</v>
      </c>
      <c r="CJ598" s="121">
        <v>58.745000000000005</v>
      </c>
      <c r="CK598" s="121">
        <v>59.954000000000001</v>
      </c>
      <c r="CL598" s="121">
        <v>61.058999999999997</v>
      </c>
      <c r="CM598" s="121">
        <v>62.164000000000001</v>
      </c>
      <c r="CN598" s="121">
        <v>63.374000000000002</v>
      </c>
      <c r="CO598" s="121">
        <v>64.584000000000003</v>
      </c>
      <c r="CP598" s="121">
        <f t="array" ref="CP598:CP614">TRANSPOSE(CQ597:DG597)</f>
        <v>65.783999999999992</v>
      </c>
      <c r="CQ598" s="158">
        <v>66.983999999999995</v>
      </c>
      <c r="CR598" s="121">
        <f>CS597</f>
        <v>67.997</v>
      </c>
      <c r="CS598" s="158">
        <v>69.212999999999994</v>
      </c>
      <c r="CT598" s="121">
        <f>CU597</f>
        <v>70.330500000000001</v>
      </c>
      <c r="CU598" s="158">
        <v>71.613</v>
      </c>
      <c r="CV598" s="121">
        <f>CW597</f>
        <v>72.710000000000008</v>
      </c>
      <c r="CW598" s="158">
        <v>74.033000000000001</v>
      </c>
      <c r="CX598" s="121">
        <f>CY597</f>
        <v>74.87700000000001</v>
      </c>
      <c r="CY598" s="158">
        <v>76.262</v>
      </c>
      <c r="CZ598" s="121">
        <f>DA597</f>
        <v>77.256500000000003</v>
      </c>
      <c r="DA598" s="158">
        <v>78.662000000000006</v>
      </c>
      <c r="DB598" s="121">
        <f>DC597</f>
        <v>79.401499999999999</v>
      </c>
      <c r="DC598" s="158">
        <v>80.846999999999994</v>
      </c>
      <c r="DD598" s="121">
        <f>DE597</f>
        <v>81.676500000000004</v>
      </c>
      <c r="DE598" s="158">
        <v>83.058000000000007</v>
      </c>
      <c r="DF598" s="121">
        <f>DG597</f>
        <v>83.948000000000008</v>
      </c>
      <c r="DG598" s="159">
        <v>85.477000000000004</v>
      </c>
    </row>
    <row r="599" spans="54:111" ht="15" customHeight="1" x14ac:dyDescent="0.2">
      <c r="BB599" s="28">
        <v>45</v>
      </c>
      <c r="BC599" s="121">
        <v>15.817</v>
      </c>
      <c r="BD599" s="121">
        <v>17.384499999999999</v>
      </c>
      <c r="BE599" s="121">
        <v>18.951999999999998</v>
      </c>
      <c r="BF599" s="121">
        <v>20.475250000000003</v>
      </c>
      <c r="BG599" s="121">
        <v>21.9985</v>
      </c>
      <c r="BH599" s="121">
        <v>23.463249999999999</v>
      </c>
      <c r="BI599" s="121">
        <v>24.927999999999997</v>
      </c>
      <c r="BJ599" s="121">
        <v>26.33475</v>
      </c>
      <c r="BK599" s="121">
        <v>27.741500000000002</v>
      </c>
      <c r="BL599" s="121">
        <v>29.152999999999999</v>
      </c>
      <c r="BM599" s="121">
        <v>30.564500000000002</v>
      </c>
      <c r="BN599" s="121">
        <v>31.90775</v>
      </c>
      <c r="BO599" s="121">
        <v>33.251000000000005</v>
      </c>
      <c r="BP599" s="121">
        <v>34.545250000000003</v>
      </c>
      <c r="BQ599" s="121">
        <v>35.839500000000001</v>
      </c>
      <c r="BR599" s="121">
        <v>37.187250000000006</v>
      </c>
      <c r="BS599" s="121">
        <v>38.534999999999997</v>
      </c>
      <c r="BT599" s="121">
        <v>39.795249999999996</v>
      </c>
      <c r="BU599" s="121">
        <v>41.055500000000002</v>
      </c>
      <c r="BV599" s="121">
        <v>42.344999999999999</v>
      </c>
      <c r="BW599" s="121">
        <v>43.634500000000003</v>
      </c>
      <c r="BX599" s="121">
        <v>44.899500000000003</v>
      </c>
      <c r="BY599" s="121">
        <v>46.164500000000004</v>
      </c>
      <c r="BZ599" s="121">
        <v>47.424750000000003</v>
      </c>
      <c r="CA599" s="121">
        <v>48.685000000000002</v>
      </c>
      <c r="CB599" s="121">
        <v>49.915999999999997</v>
      </c>
      <c r="CC599" s="121">
        <v>51.146999999999998</v>
      </c>
      <c r="CD599" s="121">
        <v>52.351500000000001</v>
      </c>
      <c r="CE599" s="121">
        <v>53.555999999999997</v>
      </c>
      <c r="CF599" s="121">
        <v>54.8185</v>
      </c>
      <c r="CG599" s="121">
        <v>56.081000000000003</v>
      </c>
      <c r="CH599" s="121">
        <v>57.277999999999999</v>
      </c>
      <c r="CI599" s="121">
        <v>58.475000000000001</v>
      </c>
      <c r="CJ599" s="121">
        <v>59.710500000000003</v>
      </c>
      <c r="CK599" s="121">
        <v>60.945999999999998</v>
      </c>
      <c r="CL599" s="121">
        <v>62.118749999999999</v>
      </c>
      <c r="CM599" s="121">
        <v>63.291499999999999</v>
      </c>
      <c r="CN599" s="121">
        <v>64.486999999999995</v>
      </c>
      <c r="CO599" s="121">
        <v>65.682500000000005</v>
      </c>
      <c r="CP599" s="121">
        <v>66.890500000000003</v>
      </c>
      <c r="CQ599" s="121">
        <f t="array" ref="CQ599:CQ614">TRANSPOSE(CR598:DG598)</f>
        <v>67.997</v>
      </c>
      <c r="CR599" s="120">
        <f>(CQ599+CS599)/2</f>
        <v>69.225249999999988</v>
      </c>
      <c r="CS599" s="120">
        <f>(CS598+CS600)/2</f>
        <v>70.453499999999991</v>
      </c>
      <c r="CT599" s="120">
        <f>(CS599+CU599)/2</f>
        <v>71.679749999999999</v>
      </c>
      <c r="CU599" s="120">
        <f>(CU598+CU600)/2</f>
        <v>72.906000000000006</v>
      </c>
      <c r="CV599" s="120">
        <f>(CU599+CW599)/2</f>
        <v>74.083500000000001</v>
      </c>
      <c r="CW599" s="120">
        <f>(CW598+CW600)/2</f>
        <v>75.260999999999996</v>
      </c>
      <c r="CX599" s="120">
        <f>(CW599+CY599)/2</f>
        <v>76.438000000000002</v>
      </c>
      <c r="CY599" s="120">
        <f>(CY598+CY600)/2</f>
        <v>77.615000000000009</v>
      </c>
      <c r="CZ599" s="120">
        <f>(CY599+DA599)/2</f>
        <v>78.783000000000001</v>
      </c>
      <c r="DA599" s="120">
        <f>(DA598+DA600)/2</f>
        <v>79.950999999999993</v>
      </c>
      <c r="DB599" s="120">
        <f>(DA599+DC599)/2</f>
        <v>81.128249999999994</v>
      </c>
      <c r="DC599" s="120">
        <f>(DC598+DC600)/2</f>
        <v>82.305499999999995</v>
      </c>
      <c r="DD599" s="120">
        <f>(DC599+DE599)/2</f>
        <v>83.419749999999993</v>
      </c>
      <c r="DE599" s="120">
        <f>(DE598+DE600)/2</f>
        <v>84.534000000000006</v>
      </c>
      <c r="DF599" s="120">
        <f>(DE599+DG599)/2</f>
        <v>85.764749999999992</v>
      </c>
      <c r="DG599" s="122">
        <f>(DG598+DG600)/2</f>
        <v>86.995499999999993</v>
      </c>
    </row>
    <row r="600" spans="54:111" ht="15" customHeight="1" x14ac:dyDescent="0.2">
      <c r="BB600" s="28">
        <v>46</v>
      </c>
      <c r="BC600" s="121">
        <v>15.835000000000001</v>
      </c>
      <c r="BD600" s="121">
        <v>17.5655</v>
      </c>
      <c r="BE600" s="121">
        <v>19.295999999999999</v>
      </c>
      <c r="BF600" s="121">
        <v>20.85</v>
      </c>
      <c r="BG600" s="121">
        <v>22.404</v>
      </c>
      <c r="BH600" s="121">
        <v>23.868499999999997</v>
      </c>
      <c r="BI600" s="121">
        <v>25.332999999999998</v>
      </c>
      <c r="BJ600" s="121">
        <v>26.771000000000001</v>
      </c>
      <c r="BK600" s="121">
        <v>28.209</v>
      </c>
      <c r="BL600" s="121">
        <v>29.6465</v>
      </c>
      <c r="BM600" s="121">
        <v>31.084</v>
      </c>
      <c r="BN600" s="121">
        <v>32.4315</v>
      </c>
      <c r="BO600" s="121">
        <v>33.779000000000003</v>
      </c>
      <c r="BP600" s="121">
        <v>35.099500000000006</v>
      </c>
      <c r="BQ600" s="121">
        <v>36.42</v>
      </c>
      <c r="BR600" s="121">
        <v>37.798500000000004</v>
      </c>
      <c r="BS600" s="121">
        <v>39.177</v>
      </c>
      <c r="BT600" s="121">
        <v>40.466000000000001</v>
      </c>
      <c r="BU600" s="121">
        <v>41.755000000000003</v>
      </c>
      <c r="BV600" s="121">
        <v>43.075500000000005</v>
      </c>
      <c r="BW600" s="121">
        <v>44.396000000000001</v>
      </c>
      <c r="BX600" s="121">
        <v>45.658000000000001</v>
      </c>
      <c r="BY600" s="121">
        <v>46.92</v>
      </c>
      <c r="BZ600" s="121">
        <v>48.218500000000006</v>
      </c>
      <c r="CA600" s="121">
        <v>49.517000000000003</v>
      </c>
      <c r="CB600" s="121">
        <v>50.769500000000001</v>
      </c>
      <c r="CC600" s="121">
        <v>52.021999999999998</v>
      </c>
      <c r="CD600" s="121">
        <v>53.230499999999999</v>
      </c>
      <c r="CE600" s="121">
        <v>54.439</v>
      </c>
      <c r="CF600" s="121">
        <v>55.732500000000002</v>
      </c>
      <c r="CG600" s="121">
        <v>57.026000000000003</v>
      </c>
      <c r="CH600" s="121">
        <v>58.22</v>
      </c>
      <c r="CI600" s="121">
        <v>59.414000000000001</v>
      </c>
      <c r="CJ600" s="121">
        <v>60.676000000000002</v>
      </c>
      <c r="CK600" s="121">
        <v>61.938000000000002</v>
      </c>
      <c r="CL600" s="121">
        <v>63.1785</v>
      </c>
      <c r="CM600" s="121">
        <v>64.418999999999997</v>
      </c>
      <c r="CN600" s="121">
        <v>65.599999999999994</v>
      </c>
      <c r="CO600" s="121">
        <v>66.781000000000006</v>
      </c>
      <c r="CP600" s="121">
        <v>67.997</v>
      </c>
      <c r="CQ600" s="121">
        <v>69.212999999999994</v>
      </c>
      <c r="CR600" s="150">
        <f t="array" ref="CR600:CR614">TRANSPOSE(CS599:DG599)</f>
        <v>70.453499999999991</v>
      </c>
      <c r="CS600" s="158">
        <v>71.694000000000003</v>
      </c>
      <c r="CT600" s="121">
        <f>CU599</f>
        <v>72.906000000000006</v>
      </c>
      <c r="CU600" s="158">
        <v>74.198999999999998</v>
      </c>
      <c r="CV600" s="121">
        <f>CW599</f>
        <v>75.260999999999996</v>
      </c>
      <c r="CW600" s="158">
        <v>76.489000000000004</v>
      </c>
      <c r="CX600" s="121">
        <f>CY599</f>
        <v>77.615000000000009</v>
      </c>
      <c r="CY600" s="158">
        <v>78.968000000000004</v>
      </c>
      <c r="CZ600" s="121">
        <f>DA599</f>
        <v>79.950999999999993</v>
      </c>
      <c r="DA600" s="158">
        <v>81.239999999999995</v>
      </c>
      <c r="DB600" s="121">
        <f>DC599</f>
        <v>82.305499999999995</v>
      </c>
      <c r="DC600" s="158">
        <v>83.763999999999996</v>
      </c>
      <c r="DD600" s="121">
        <f>DE599</f>
        <v>84.534000000000006</v>
      </c>
      <c r="DE600" s="158">
        <v>86.01</v>
      </c>
      <c r="DF600" s="121">
        <f>DG599</f>
        <v>86.995499999999993</v>
      </c>
      <c r="DG600" s="159">
        <v>88.513999999999996</v>
      </c>
    </row>
    <row r="601" spans="54:111" ht="15" customHeight="1" x14ac:dyDescent="0.2">
      <c r="BB601" s="28">
        <v>47</v>
      </c>
      <c r="BC601" s="121">
        <v>16.100000000000001</v>
      </c>
      <c r="BD601" s="121">
        <v>17.845500000000001</v>
      </c>
      <c r="BE601" s="121">
        <v>19.591000000000001</v>
      </c>
      <c r="BF601" s="121">
        <v>21.1555</v>
      </c>
      <c r="BG601" s="121">
        <v>22.72</v>
      </c>
      <c r="BH601" s="121">
        <v>24.244999999999997</v>
      </c>
      <c r="BI601" s="121">
        <v>25.77</v>
      </c>
      <c r="BJ601" s="121">
        <v>27.222999999999999</v>
      </c>
      <c r="BK601" s="121">
        <v>28.676000000000002</v>
      </c>
      <c r="BL601" s="121">
        <v>30.128500000000003</v>
      </c>
      <c r="BM601" s="121">
        <v>31.581000000000003</v>
      </c>
      <c r="BN601" s="121">
        <v>32.95975</v>
      </c>
      <c r="BO601" s="121">
        <v>34.338500000000003</v>
      </c>
      <c r="BP601" s="121">
        <v>35.703250000000004</v>
      </c>
      <c r="BQ601" s="121">
        <v>37.067999999999998</v>
      </c>
      <c r="BR601" s="121">
        <v>38.427750000000003</v>
      </c>
      <c r="BS601" s="121">
        <v>39.787500000000001</v>
      </c>
      <c r="BT601" s="121">
        <v>41.107749999999996</v>
      </c>
      <c r="BU601" s="121">
        <v>42.427999999999997</v>
      </c>
      <c r="BV601" s="121">
        <v>43.763500000000001</v>
      </c>
      <c r="BW601" s="121">
        <v>45.099000000000004</v>
      </c>
      <c r="BX601" s="121">
        <v>46.405500000000004</v>
      </c>
      <c r="BY601" s="121">
        <v>47.712000000000003</v>
      </c>
      <c r="BZ601" s="121">
        <v>49.0075</v>
      </c>
      <c r="CA601" s="121">
        <v>50.302999999999997</v>
      </c>
      <c r="CB601" s="121">
        <v>51.604749999999996</v>
      </c>
      <c r="CC601" s="121">
        <v>52.906499999999994</v>
      </c>
      <c r="CD601" s="121">
        <v>54.152249999999995</v>
      </c>
      <c r="CE601" s="121">
        <v>55.397999999999996</v>
      </c>
      <c r="CF601" s="121">
        <v>56.691000000000003</v>
      </c>
      <c r="CG601" s="121">
        <v>57.984000000000002</v>
      </c>
      <c r="CH601" s="121">
        <v>59.227249999999998</v>
      </c>
      <c r="CI601" s="121">
        <v>60.470500000000001</v>
      </c>
      <c r="CJ601" s="121">
        <v>61.747500000000002</v>
      </c>
      <c r="CK601" s="121">
        <v>63.024500000000003</v>
      </c>
      <c r="CL601" s="121">
        <v>64.291249999999991</v>
      </c>
      <c r="CM601" s="121">
        <v>65.557999999999993</v>
      </c>
      <c r="CN601" s="121">
        <v>66.736249999999998</v>
      </c>
      <c r="CO601" s="121">
        <v>67.914500000000004</v>
      </c>
      <c r="CP601" s="121">
        <v>69.163749999999993</v>
      </c>
      <c r="CQ601" s="121">
        <v>70.330500000000001</v>
      </c>
      <c r="CR601" s="160">
        <v>71.679749999999999</v>
      </c>
      <c r="CS601" s="160">
        <f t="array" ref="CS601:CS614">TRANSPOSE(CT600:DG600)</f>
        <v>72.906000000000006</v>
      </c>
      <c r="CT601" s="120">
        <f>(CS601+CU601)/2</f>
        <v>74.14</v>
      </c>
      <c r="CU601" s="120">
        <f>(CU600+CU602)/2</f>
        <v>75.373999999999995</v>
      </c>
      <c r="CV601" s="120">
        <f>(CU601+CW601)/2</f>
        <v>76.592749999999995</v>
      </c>
      <c r="CW601" s="120">
        <f>(CW600+CW602)/2</f>
        <v>77.811499999999995</v>
      </c>
      <c r="CX601" s="120">
        <f>(CW601+CY601)/2</f>
        <v>79.077749999999995</v>
      </c>
      <c r="CY601" s="120">
        <f>(CY600+CY602)/2</f>
        <v>80.343999999999994</v>
      </c>
      <c r="CZ601" s="120">
        <f>(CY601+DA601)/2</f>
        <v>81.499499999999998</v>
      </c>
      <c r="DA601" s="120">
        <f>(DA600+DA602)/2</f>
        <v>82.655000000000001</v>
      </c>
      <c r="DB601" s="120">
        <f>(DA601+DC601)/2</f>
        <v>83.932500000000005</v>
      </c>
      <c r="DC601" s="120">
        <f>(DC600+DC602)/2</f>
        <v>85.210000000000008</v>
      </c>
      <c r="DD601" s="120">
        <f>(DC601+DE601)/2</f>
        <v>86.354250000000008</v>
      </c>
      <c r="DE601" s="120">
        <f>(DE600+DE602)/2</f>
        <v>87.498500000000007</v>
      </c>
      <c r="DF601" s="120">
        <f>(DE601+DG601)/2</f>
        <v>88.770499999999998</v>
      </c>
      <c r="DG601" s="122">
        <f>(DG600+DG602)/2</f>
        <v>90.04249999999999</v>
      </c>
    </row>
    <row r="602" spans="54:111" ht="15" customHeight="1" x14ac:dyDescent="0.2">
      <c r="BB602" s="28">
        <v>48</v>
      </c>
      <c r="BC602" s="121">
        <v>16.364999999999998</v>
      </c>
      <c r="BD602" s="121">
        <v>18.125499999999999</v>
      </c>
      <c r="BE602" s="121">
        <v>19.885999999999999</v>
      </c>
      <c r="BF602" s="121">
        <v>21.460999999999999</v>
      </c>
      <c r="BG602" s="121">
        <v>23.036000000000001</v>
      </c>
      <c r="BH602" s="121">
        <v>24.621500000000001</v>
      </c>
      <c r="BI602" s="121">
        <v>26.207000000000001</v>
      </c>
      <c r="BJ602" s="121">
        <v>27.675000000000001</v>
      </c>
      <c r="BK602" s="121">
        <v>29.143000000000001</v>
      </c>
      <c r="BL602" s="121">
        <v>30.610500000000002</v>
      </c>
      <c r="BM602" s="121">
        <v>32.078000000000003</v>
      </c>
      <c r="BN602" s="121">
        <v>33.488</v>
      </c>
      <c r="BO602" s="121">
        <v>34.898000000000003</v>
      </c>
      <c r="BP602" s="121">
        <v>36.307000000000002</v>
      </c>
      <c r="BQ602" s="121">
        <v>37.716000000000001</v>
      </c>
      <c r="BR602" s="121">
        <v>39.057000000000002</v>
      </c>
      <c r="BS602" s="121">
        <v>40.398000000000003</v>
      </c>
      <c r="BT602" s="121">
        <v>41.749499999999998</v>
      </c>
      <c r="BU602" s="121">
        <v>43.100999999999999</v>
      </c>
      <c r="BV602" s="121">
        <v>44.451499999999996</v>
      </c>
      <c r="BW602" s="121">
        <v>45.802</v>
      </c>
      <c r="BX602" s="121">
        <v>47.152999999999999</v>
      </c>
      <c r="BY602" s="121">
        <v>48.503999999999998</v>
      </c>
      <c r="BZ602" s="121">
        <v>49.796499999999995</v>
      </c>
      <c r="CA602" s="121">
        <v>51.088999999999999</v>
      </c>
      <c r="CB602" s="121">
        <v>52.44</v>
      </c>
      <c r="CC602" s="121">
        <v>53.790999999999997</v>
      </c>
      <c r="CD602" s="121">
        <v>55.073999999999998</v>
      </c>
      <c r="CE602" s="121">
        <v>56.356999999999999</v>
      </c>
      <c r="CF602" s="121">
        <v>57.649500000000003</v>
      </c>
      <c r="CG602" s="121">
        <v>58.942</v>
      </c>
      <c r="CH602" s="121">
        <v>60.234499999999997</v>
      </c>
      <c r="CI602" s="121">
        <v>61.527000000000001</v>
      </c>
      <c r="CJ602" s="121">
        <v>62.819000000000003</v>
      </c>
      <c r="CK602" s="121">
        <v>64.111000000000004</v>
      </c>
      <c r="CL602" s="121">
        <v>65.403999999999996</v>
      </c>
      <c r="CM602" s="121">
        <v>66.697000000000003</v>
      </c>
      <c r="CN602" s="121">
        <v>67.872500000000002</v>
      </c>
      <c r="CO602" s="121">
        <v>69.048000000000002</v>
      </c>
      <c r="CP602" s="121">
        <v>70.330500000000001</v>
      </c>
      <c r="CQ602" s="121">
        <v>71.613</v>
      </c>
      <c r="CR602" s="160">
        <v>72.906000000000006</v>
      </c>
      <c r="CS602" s="160">
        <v>74.198999999999998</v>
      </c>
      <c r="CT602" s="121">
        <f t="array" ref="CT602:CT614">TRANSPOSE(CU601:DG601)</f>
        <v>75.373999999999995</v>
      </c>
      <c r="CU602" s="158">
        <v>76.549000000000007</v>
      </c>
      <c r="CV602" s="121">
        <f>CW601</f>
        <v>77.811499999999995</v>
      </c>
      <c r="CW602" s="158">
        <v>79.134</v>
      </c>
      <c r="CX602" s="121">
        <f>CY601</f>
        <v>80.343999999999994</v>
      </c>
      <c r="CY602" s="158">
        <v>81.72</v>
      </c>
      <c r="CZ602" s="121">
        <f>DA601</f>
        <v>82.655000000000001</v>
      </c>
      <c r="DA602" s="158">
        <v>84.07</v>
      </c>
      <c r="DB602" s="121">
        <f>DC601</f>
        <v>85.210000000000008</v>
      </c>
      <c r="DC602" s="158">
        <v>86.656000000000006</v>
      </c>
      <c r="DD602" s="121">
        <f>DE601</f>
        <v>87.498500000000007</v>
      </c>
      <c r="DE602" s="158">
        <v>88.986999999999995</v>
      </c>
      <c r="DF602" s="121">
        <f>DG601</f>
        <v>90.04249999999999</v>
      </c>
      <c r="DG602" s="159">
        <v>91.570999999999998</v>
      </c>
    </row>
    <row r="603" spans="54:111" ht="15" customHeight="1" x14ac:dyDescent="0.2">
      <c r="BB603" s="28">
        <v>49</v>
      </c>
      <c r="BC603" s="121">
        <v>16.6205</v>
      </c>
      <c r="BD603" s="121">
        <v>18.396000000000001</v>
      </c>
      <c r="BE603" s="121">
        <v>20.171500000000002</v>
      </c>
      <c r="BF603" s="121">
        <v>21.795999999999999</v>
      </c>
      <c r="BG603" s="121">
        <v>23.420500000000001</v>
      </c>
      <c r="BH603" s="121">
        <v>25.002749999999999</v>
      </c>
      <c r="BI603" s="121">
        <v>26.585000000000001</v>
      </c>
      <c r="BJ603" s="121">
        <v>28.097250000000003</v>
      </c>
      <c r="BK603" s="121">
        <v>29.609500000000001</v>
      </c>
      <c r="BL603" s="121">
        <v>31.063500000000001</v>
      </c>
      <c r="BM603" s="121">
        <v>32.517499999999998</v>
      </c>
      <c r="BN603" s="121">
        <v>33.982500000000002</v>
      </c>
      <c r="BO603" s="121">
        <v>35.447500000000005</v>
      </c>
      <c r="BP603" s="121">
        <v>36.872</v>
      </c>
      <c r="BQ603" s="121">
        <v>38.296500000000002</v>
      </c>
      <c r="BR603" s="121">
        <v>39.657499999999999</v>
      </c>
      <c r="BS603" s="121">
        <v>41.018500000000003</v>
      </c>
      <c r="BT603" s="121">
        <v>42.39575</v>
      </c>
      <c r="BU603" s="121">
        <v>43.772999999999996</v>
      </c>
      <c r="BV603" s="121">
        <v>45.139249999999997</v>
      </c>
      <c r="BW603" s="121">
        <v>46.505499999999998</v>
      </c>
      <c r="BX603" s="121">
        <v>47.871499999999997</v>
      </c>
      <c r="BY603" s="121">
        <v>49.237499999999997</v>
      </c>
      <c r="BZ603" s="121">
        <v>50.585749999999997</v>
      </c>
      <c r="CA603" s="121">
        <v>51.933999999999997</v>
      </c>
      <c r="CB603" s="121">
        <v>53.27075</v>
      </c>
      <c r="CC603" s="121">
        <v>54.607500000000002</v>
      </c>
      <c r="CD603" s="121">
        <v>55.910499999999999</v>
      </c>
      <c r="CE603" s="121">
        <v>57.213499999999996</v>
      </c>
      <c r="CF603" s="121">
        <v>58.561500000000002</v>
      </c>
      <c r="CG603" s="121">
        <v>59.909500000000001</v>
      </c>
      <c r="CH603" s="121">
        <v>61.187750000000001</v>
      </c>
      <c r="CI603" s="121">
        <v>62.466000000000001</v>
      </c>
      <c r="CJ603" s="121">
        <v>63.77375</v>
      </c>
      <c r="CK603" s="121">
        <v>65.081500000000005</v>
      </c>
      <c r="CL603" s="121">
        <v>66.40025</v>
      </c>
      <c r="CM603" s="121">
        <v>67.718999999999994</v>
      </c>
      <c r="CN603" s="121">
        <v>68.968249999999998</v>
      </c>
      <c r="CO603" s="121">
        <v>70.217500000000001</v>
      </c>
      <c r="CP603" s="121">
        <v>71.520250000000004</v>
      </c>
      <c r="CQ603" s="121">
        <v>72.710000000000008</v>
      </c>
      <c r="CR603" s="160">
        <v>74.083500000000001</v>
      </c>
      <c r="CS603" s="160">
        <v>75.260999999999996</v>
      </c>
      <c r="CT603" s="160">
        <v>76.592749999999995</v>
      </c>
      <c r="CU603" s="160">
        <f t="array" ref="CU603:CU614">TRANSPOSE(CV602:DG602)</f>
        <v>77.811499999999995</v>
      </c>
      <c r="CV603" s="120">
        <f>(CU603+CW603)/2</f>
        <v>79.134249999999994</v>
      </c>
      <c r="CW603" s="120">
        <f>(CW602+CW604)/2</f>
        <v>80.456999999999994</v>
      </c>
      <c r="CX603" s="120">
        <f>(CW603+CY603)/2</f>
        <v>81.717500000000001</v>
      </c>
      <c r="CY603" s="120">
        <f>(CY602+CY604)/2</f>
        <v>82.978000000000009</v>
      </c>
      <c r="CZ603" s="120">
        <f>(CY603+DA603)/2</f>
        <v>84.227000000000004</v>
      </c>
      <c r="DA603" s="120">
        <f>(DA602+DA604)/2</f>
        <v>85.475999999999999</v>
      </c>
      <c r="DB603" s="120">
        <f>(DA603+DC603)/2</f>
        <v>86.725499999999997</v>
      </c>
      <c r="DC603" s="120">
        <f>(DC602+DC604)/2</f>
        <v>87.974999999999994</v>
      </c>
      <c r="DD603" s="120">
        <f>(DC603+DE603)/2</f>
        <v>89.229749999999996</v>
      </c>
      <c r="DE603" s="120">
        <f>(DE602+DE604)/2</f>
        <v>90.484499999999997</v>
      </c>
      <c r="DF603" s="120">
        <f>(DE603+DG603)/2</f>
        <v>91.733499999999992</v>
      </c>
      <c r="DG603" s="122">
        <f>(DG602+DG604)/2</f>
        <v>92.982500000000002</v>
      </c>
    </row>
    <row r="604" spans="54:111" ht="15" customHeight="1" x14ac:dyDescent="0.2">
      <c r="BB604" s="28">
        <v>50</v>
      </c>
      <c r="BC604" s="121">
        <v>16.876000000000001</v>
      </c>
      <c r="BD604" s="121">
        <v>18.666499999999999</v>
      </c>
      <c r="BE604" s="121">
        <v>20.457000000000001</v>
      </c>
      <c r="BF604" s="121">
        <v>22.131</v>
      </c>
      <c r="BG604" s="121">
        <v>23.805</v>
      </c>
      <c r="BH604" s="121">
        <v>25.384</v>
      </c>
      <c r="BI604" s="121">
        <v>26.963000000000001</v>
      </c>
      <c r="BJ604" s="121">
        <v>28.519500000000001</v>
      </c>
      <c r="BK604" s="121">
        <v>30.076000000000001</v>
      </c>
      <c r="BL604" s="121">
        <v>31.516500000000001</v>
      </c>
      <c r="BM604" s="121">
        <v>32.957000000000001</v>
      </c>
      <c r="BN604" s="121">
        <v>34.477000000000004</v>
      </c>
      <c r="BO604" s="121">
        <v>35.997</v>
      </c>
      <c r="BP604" s="121">
        <v>37.436999999999998</v>
      </c>
      <c r="BQ604" s="121">
        <v>38.877000000000002</v>
      </c>
      <c r="BR604" s="121">
        <v>40.258000000000003</v>
      </c>
      <c r="BS604" s="121">
        <v>41.639000000000003</v>
      </c>
      <c r="BT604" s="121">
        <v>43.042000000000002</v>
      </c>
      <c r="BU604" s="121">
        <v>44.445</v>
      </c>
      <c r="BV604" s="121">
        <v>45.826999999999998</v>
      </c>
      <c r="BW604" s="121">
        <v>47.209000000000003</v>
      </c>
      <c r="BX604" s="121">
        <v>48.59</v>
      </c>
      <c r="BY604" s="121">
        <v>49.970999999999997</v>
      </c>
      <c r="BZ604" s="121">
        <v>51.375</v>
      </c>
      <c r="CA604" s="121">
        <v>52.779000000000003</v>
      </c>
      <c r="CB604" s="121">
        <v>54.101500000000001</v>
      </c>
      <c r="CC604" s="121">
        <v>55.423999999999999</v>
      </c>
      <c r="CD604" s="121">
        <v>56.747</v>
      </c>
      <c r="CE604" s="121">
        <v>58.07</v>
      </c>
      <c r="CF604" s="121">
        <v>59.473500000000001</v>
      </c>
      <c r="CG604" s="121">
        <v>60.877000000000002</v>
      </c>
      <c r="CH604" s="121">
        <v>62.141000000000005</v>
      </c>
      <c r="CI604" s="121">
        <v>63.405000000000001</v>
      </c>
      <c r="CJ604" s="121">
        <v>64.728499999999997</v>
      </c>
      <c r="CK604" s="121">
        <v>66.052000000000007</v>
      </c>
      <c r="CL604" s="121">
        <v>67.396500000000003</v>
      </c>
      <c r="CM604" s="121">
        <v>68.741</v>
      </c>
      <c r="CN604" s="121">
        <v>70.063999999999993</v>
      </c>
      <c r="CO604" s="121">
        <v>71.387</v>
      </c>
      <c r="CP604" s="121">
        <v>72.710000000000008</v>
      </c>
      <c r="CQ604" s="121">
        <v>74.033000000000001</v>
      </c>
      <c r="CR604" s="160">
        <v>75.260999999999996</v>
      </c>
      <c r="CS604" s="160">
        <v>76.489000000000004</v>
      </c>
      <c r="CT604" s="160">
        <v>77.811499999999995</v>
      </c>
      <c r="CU604" s="160">
        <v>79.134</v>
      </c>
      <c r="CV604" s="121">
        <f t="array" ref="CV604:CV614">TRANSPOSE(CW603:DG603)</f>
        <v>80.456999999999994</v>
      </c>
      <c r="CW604" s="158">
        <v>81.78</v>
      </c>
      <c r="CX604" s="121">
        <f>CY603</f>
        <v>82.978000000000009</v>
      </c>
      <c r="CY604" s="158">
        <v>84.236000000000004</v>
      </c>
      <c r="CZ604" s="121">
        <f>DA603</f>
        <v>85.475999999999999</v>
      </c>
      <c r="DA604" s="158">
        <v>86.882000000000005</v>
      </c>
      <c r="DB604" s="121">
        <f>DC603</f>
        <v>87.974999999999994</v>
      </c>
      <c r="DC604" s="158">
        <v>89.293999999999997</v>
      </c>
      <c r="DD604" s="121">
        <f>DE603</f>
        <v>90.484499999999997</v>
      </c>
      <c r="DE604" s="158">
        <v>91.981999999999999</v>
      </c>
      <c r="DF604" s="121">
        <f>DG603</f>
        <v>92.982500000000002</v>
      </c>
      <c r="DG604" s="159">
        <v>94.394000000000005</v>
      </c>
    </row>
    <row r="605" spans="54:111" ht="15" customHeight="1" x14ac:dyDescent="0.2">
      <c r="BB605" s="28">
        <v>51</v>
      </c>
      <c r="BC605" s="121">
        <v>17.1675</v>
      </c>
      <c r="BD605" s="121">
        <v>18.954999999999998</v>
      </c>
      <c r="BE605" s="121">
        <v>20.7425</v>
      </c>
      <c r="BF605" s="121">
        <v>22.447499999999998</v>
      </c>
      <c r="BG605" s="121">
        <v>24.1525</v>
      </c>
      <c r="BH605" s="121">
        <v>25.765000000000001</v>
      </c>
      <c r="BI605" s="121">
        <v>27.377500000000001</v>
      </c>
      <c r="BJ605" s="121">
        <v>28.931249999999999</v>
      </c>
      <c r="BK605" s="121">
        <v>30.484999999999999</v>
      </c>
      <c r="BL605" s="121">
        <v>31.980499999999999</v>
      </c>
      <c r="BM605" s="121">
        <v>33.475999999999999</v>
      </c>
      <c r="BN605" s="121">
        <v>35.000500000000002</v>
      </c>
      <c r="BO605" s="121">
        <v>36.524999999999999</v>
      </c>
      <c r="BP605" s="121">
        <v>37.991</v>
      </c>
      <c r="BQ605" s="121">
        <v>39.457000000000001</v>
      </c>
      <c r="BR605" s="121">
        <v>40.869250000000001</v>
      </c>
      <c r="BS605" s="121">
        <v>42.281500000000001</v>
      </c>
      <c r="BT605" s="121">
        <v>43.718000000000004</v>
      </c>
      <c r="BU605" s="121">
        <v>45.154499999999999</v>
      </c>
      <c r="BV605" s="121">
        <v>46.562249999999999</v>
      </c>
      <c r="BW605" s="121">
        <v>47.97</v>
      </c>
      <c r="BX605" s="121">
        <v>49.377750000000006</v>
      </c>
      <c r="BY605" s="121">
        <v>50.785499999999999</v>
      </c>
      <c r="BZ605" s="121">
        <v>52.164000000000001</v>
      </c>
      <c r="CA605" s="121">
        <v>53.542500000000004</v>
      </c>
      <c r="CB605" s="121">
        <v>54.920749999999998</v>
      </c>
      <c r="CC605" s="121">
        <v>56.298999999999999</v>
      </c>
      <c r="CD605" s="121">
        <v>57.652749999999997</v>
      </c>
      <c r="CE605" s="121">
        <v>59.006500000000003</v>
      </c>
      <c r="CF605" s="121">
        <v>60.385249999999999</v>
      </c>
      <c r="CG605" s="121">
        <v>61.764000000000003</v>
      </c>
      <c r="CH605" s="121">
        <v>63.112750000000005</v>
      </c>
      <c r="CI605" s="121">
        <v>64.461500000000001</v>
      </c>
      <c r="CJ605" s="121">
        <v>65.811000000000007</v>
      </c>
      <c r="CK605" s="121">
        <v>67.160500000000013</v>
      </c>
      <c r="CL605" s="121">
        <v>68.450749999999999</v>
      </c>
      <c r="CM605" s="121">
        <v>69.741</v>
      </c>
      <c r="CN605" s="121">
        <v>71.090249999999997</v>
      </c>
      <c r="CO605" s="121">
        <v>72.43950000000001</v>
      </c>
      <c r="CP605" s="121">
        <v>73.793500000000009</v>
      </c>
      <c r="CQ605" s="121">
        <v>74.87700000000001</v>
      </c>
      <c r="CR605" s="160">
        <v>76.438000000000002</v>
      </c>
      <c r="CS605" s="160">
        <v>77.615000000000009</v>
      </c>
      <c r="CT605" s="160">
        <v>79.077749999999995</v>
      </c>
      <c r="CU605" s="160">
        <v>80.343999999999994</v>
      </c>
      <c r="CV605" s="160">
        <v>81.717500000000001</v>
      </c>
      <c r="CW605" s="160">
        <f t="array" ref="CW605:CW614">TRANSPOSE(CX604:DG604)</f>
        <v>82.978000000000009</v>
      </c>
      <c r="CX605" s="120">
        <f>(CW605+CY605)/2</f>
        <v>84.283749999999998</v>
      </c>
      <c r="CY605" s="120">
        <f>(CY604+CY606)/2</f>
        <v>85.589500000000001</v>
      </c>
      <c r="CZ605" s="120">
        <f>(CY605+DA605)/2</f>
        <v>86.88</v>
      </c>
      <c r="DA605" s="120">
        <f>(DA604+DA606)/2</f>
        <v>88.170500000000004</v>
      </c>
      <c r="DB605" s="120">
        <f>(DA605+DC605)/2</f>
        <v>89.461250000000007</v>
      </c>
      <c r="DC605" s="120">
        <f>(DC604+DC606)/2</f>
        <v>90.751999999999995</v>
      </c>
      <c r="DD605" s="120">
        <f>(DC605+DE605)/2</f>
        <v>92.105249999999998</v>
      </c>
      <c r="DE605" s="120">
        <f>(DE604+DE606)/2</f>
        <v>93.458500000000001</v>
      </c>
      <c r="DF605" s="120">
        <f>(DE605+DG605)/2</f>
        <v>94.690750000000008</v>
      </c>
      <c r="DG605" s="122">
        <f>(DG604+DG606)/2</f>
        <v>95.923000000000002</v>
      </c>
    </row>
    <row r="606" spans="54:111" ht="15" customHeight="1" x14ac:dyDescent="0.2">
      <c r="BB606" s="28">
        <v>52</v>
      </c>
      <c r="BC606" s="121">
        <v>17.459</v>
      </c>
      <c r="BD606" s="121">
        <v>19.243499999999997</v>
      </c>
      <c r="BE606" s="121">
        <v>21.027999999999999</v>
      </c>
      <c r="BF606" s="121">
        <v>22.763999999999999</v>
      </c>
      <c r="BG606" s="121">
        <v>24.5</v>
      </c>
      <c r="BH606" s="121">
        <v>26.146000000000001</v>
      </c>
      <c r="BI606" s="121">
        <v>27.792000000000002</v>
      </c>
      <c r="BJ606" s="121">
        <v>29.343</v>
      </c>
      <c r="BK606" s="121">
        <v>30.893999999999998</v>
      </c>
      <c r="BL606" s="121">
        <v>32.444499999999998</v>
      </c>
      <c r="BM606" s="121">
        <v>33.994999999999997</v>
      </c>
      <c r="BN606" s="121">
        <v>35.524000000000001</v>
      </c>
      <c r="BO606" s="121">
        <v>37.052999999999997</v>
      </c>
      <c r="BP606" s="121">
        <v>38.545000000000002</v>
      </c>
      <c r="BQ606" s="121">
        <v>40.036999999999999</v>
      </c>
      <c r="BR606" s="121">
        <v>41.480499999999999</v>
      </c>
      <c r="BS606" s="121">
        <v>42.923999999999999</v>
      </c>
      <c r="BT606" s="121">
        <v>44.393999999999998</v>
      </c>
      <c r="BU606" s="121">
        <v>45.863999999999997</v>
      </c>
      <c r="BV606" s="121">
        <v>47.297499999999999</v>
      </c>
      <c r="BW606" s="121">
        <v>48.731000000000002</v>
      </c>
      <c r="BX606" s="121">
        <v>50.165500000000002</v>
      </c>
      <c r="BY606" s="121">
        <v>51.6</v>
      </c>
      <c r="BZ606" s="121">
        <v>52.953000000000003</v>
      </c>
      <c r="CA606" s="121">
        <v>54.305999999999997</v>
      </c>
      <c r="CB606" s="121">
        <v>55.739999999999995</v>
      </c>
      <c r="CC606" s="121">
        <v>57.173999999999999</v>
      </c>
      <c r="CD606" s="121">
        <v>58.558499999999995</v>
      </c>
      <c r="CE606" s="121">
        <v>59.942999999999998</v>
      </c>
      <c r="CF606" s="121">
        <v>61.296999999999997</v>
      </c>
      <c r="CG606" s="121">
        <v>62.651000000000003</v>
      </c>
      <c r="CH606" s="121">
        <v>64.084500000000006</v>
      </c>
      <c r="CI606" s="121">
        <v>65.518000000000001</v>
      </c>
      <c r="CJ606" s="121">
        <v>66.893500000000003</v>
      </c>
      <c r="CK606" s="121">
        <v>68.269000000000005</v>
      </c>
      <c r="CL606" s="121">
        <v>69.504999999999995</v>
      </c>
      <c r="CM606" s="121">
        <v>70.741</v>
      </c>
      <c r="CN606" s="121">
        <v>72.116500000000002</v>
      </c>
      <c r="CO606" s="121">
        <v>73.492000000000004</v>
      </c>
      <c r="CP606" s="121">
        <v>74.87700000000001</v>
      </c>
      <c r="CQ606" s="121">
        <v>76.262</v>
      </c>
      <c r="CR606" s="160">
        <v>77.615000000000009</v>
      </c>
      <c r="CS606" s="160">
        <v>78.968000000000004</v>
      </c>
      <c r="CT606" s="160">
        <v>80.343999999999994</v>
      </c>
      <c r="CU606" s="160">
        <v>81.72</v>
      </c>
      <c r="CV606" s="160">
        <v>82.978000000000009</v>
      </c>
      <c r="CW606" s="160">
        <v>84.236000000000004</v>
      </c>
      <c r="CX606" s="121">
        <f t="array" ref="CX606:CX614">TRANSPOSE(CY605:DG605)</f>
        <v>85.589500000000001</v>
      </c>
      <c r="CY606" s="158">
        <v>86.942999999999998</v>
      </c>
      <c r="CZ606" s="121">
        <f>DA605</f>
        <v>88.170500000000004</v>
      </c>
      <c r="DA606" s="158">
        <v>89.459000000000003</v>
      </c>
      <c r="DB606" s="121">
        <f>DC605</f>
        <v>90.751999999999995</v>
      </c>
      <c r="DC606" s="158">
        <v>92.21</v>
      </c>
      <c r="DD606" s="121">
        <f>DE605</f>
        <v>93.458500000000001</v>
      </c>
      <c r="DE606" s="158">
        <v>94.935000000000002</v>
      </c>
      <c r="DF606" s="121">
        <f>DG605</f>
        <v>95.923000000000002</v>
      </c>
      <c r="DG606" s="159">
        <v>97.451999999999998</v>
      </c>
    </row>
    <row r="607" spans="54:111" ht="15" customHeight="1" x14ac:dyDescent="0.2">
      <c r="BB607" s="28">
        <v>53</v>
      </c>
      <c r="BC607" s="121">
        <v>17.723500000000001</v>
      </c>
      <c r="BD607" s="121">
        <v>19.55275</v>
      </c>
      <c r="BE607" s="121">
        <v>21.381999999999998</v>
      </c>
      <c r="BF607" s="121">
        <v>23.128250000000001</v>
      </c>
      <c r="BG607" s="121">
        <v>24.874499999999998</v>
      </c>
      <c r="BH607" s="121">
        <v>26.52225</v>
      </c>
      <c r="BI607" s="121">
        <v>28.17</v>
      </c>
      <c r="BJ607" s="121">
        <v>29.765250000000002</v>
      </c>
      <c r="BK607" s="121">
        <v>31.360500000000002</v>
      </c>
      <c r="BL607" s="121">
        <v>32.926500000000004</v>
      </c>
      <c r="BM607" s="121">
        <v>34.4925</v>
      </c>
      <c r="BN607" s="121">
        <v>36.052500000000002</v>
      </c>
      <c r="BO607" s="121">
        <v>37.612499999999997</v>
      </c>
      <c r="BP607" s="121">
        <v>39.119749999999996</v>
      </c>
      <c r="BQ607" s="121">
        <v>40.626999999999995</v>
      </c>
      <c r="BR607" s="121">
        <v>42.080749999999995</v>
      </c>
      <c r="BS607" s="121">
        <v>43.534500000000001</v>
      </c>
      <c r="BT607" s="121">
        <v>45.03575</v>
      </c>
      <c r="BU607" s="121">
        <v>46.536999999999999</v>
      </c>
      <c r="BV607" s="121">
        <v>47.985749999999996</v>
      </c>
      <c r="BW607" s="121">
        <v>49.4345</v>
      </c>
      <c r="BX607" s="121">
        <v>50.884</v>
      </c>
      <c r="BY607" s="121">
        <v>52.333500000000001</v>
      </c>
      <c r="BZ607" s="121">
        <v>53.742000000000004</v>
      </c>
      <c r="CA607" s="121">
        <v>55.150499999999994</v>
      </c>
      <c r="CB607" s="121">
        <v>56.575249999999997</v>
      </c>
      <c r="CC607" s="121">
        <v>58</v>
      </c>
      <c r="CD607" s="121">
        <v>59.424250000000001</v>
      </c>
      <c r="CE607" s="121">
        <v>60.848500000000001</v>
      </c>
      <c r="CF607" s="121">
        <v>62.228499999999997</v>
      </c>
      <c r="CG607" s="121">
        <v>63.608500000000006</v>
      </c>
      <c r="CH607" s="121">
        <v>65.033000000000015</v>
      </c>
      <c r="CI607" s="121">
        <v>66.45750000000001</v>
      </c>
      <c r="CJ607" s="121">
        <v>67.848250000000007</v>
      </c>
      <c r="CK607" s="121">
        <v>69.239000000000004</v>
      </c>
      <c r="CL607" s="121">
        <v>70.559749999999994</v>
      </c>
      <c r="CM607" s="121">
        <v>71.880499999999998</v>
      </c>
      <c r="CN607" s="121">
        <v>73.275999999999996</v>
      </c>
      <c r="CO607" s="121">
        <v>74.671500000000009</v>
      </c>
      <c r="CP607" s="121">
        <v>76.066750000000013</v>
      </c>
      <c r="CQ607" s="121">
        <v>77.256500000000003</v>
      </c>
      <c r="CR607" s="160">
        <v>78.783000000000001</v>
      </c>
      <c r="CS607" s="160">
        <v>79.950999999999993</v>
      </c>
      <c r="CT607" s="160">
        <v>81.499499999999998</v>
      </c>
      <c r="CU607" s="160">
        <v>82.655000000000001</v>
      </c>
      <c r="CV607" s="160">
        <v>84.227000000000004</v>
      </c>
      <c r="CW607" s="160">
        <v>85.475999999999999</v>
      </c>
      <c r="CX607" s="160">
        <v>86.88</v>
      </c>
      <c r="CY607" s="160">
        <f t="array" ref="CY607:CY614">TRANSPOSE(CZ606:DG606)</f>
        <v>88.170500000000004</v>
      </c>
      <c r="CZ607" s="120">
        <f>(CY607+DA607)/2</f>
        <v>89.551500000000004</v>
      </c>
      <c r="DA607" s="120">
        <f>(DA606+DA608)/2</f>
        <v>90.932500000000005</v>
      </c>
      <c r="DB607" s="120">
        <f>(DA607+DC607)/2</f>
        <v>92.293750000000003</v>
      </c>
      <c r="DC607" s="120">
        <f>(DC606+DC608)/2</f>
        <v>93.655000000000001</v>
      </c>
      <c r="DD607" s="120">
        <f>(DC607+DE607)/2</f>
        <v>95.010324999999995</v>
      </c>
      <c r="DE607" s="120">
        <f>(DE606+DE608)/2</f>
        <v>96.365650000000002</v>
      </c>
      <c r="DF607" s="120">
        <f>(DE607+DG607)/2</f>
        <v>97.673075000000011</v>
      </c>
      <c r="DG607" s="122">
        <f>(DG606+DG608)/2</f>
        <v>98.980500000000006</v>
      </c>
    </row>
    <row r="608" spans="54:111" ht="15" customHeight="1" x14ac:dyDescent="0.2">
      <c r="BB608" s="28">
        <v>54</v>
      </c>
      <c r="BC608" s="121">
        <v>17.988</v>
      </c>
      <c r="BD608" s="121">
        <v>19.862000000000002</v>
      </c>
      <c r="BE608" s="121">
        <v>21.736000000000001</v>
      </c>
      <c r="BF608" s="121">
        <v>23.4925</v>
      </c>
      <c r="BG608" s="121">
        <v>25.248999999999999</v>
      </c>
      <c r="BH608" s="121">
        <v>26.898499999999999</v>
      </c>
      <c r="BI608" s="121">
        <v>28.547999999999998</v>
      </c>
      <c r="BJ608" s="121">
        <v>30.1875</v>
      </c>
      <c r="BK608" s="121">
        <v>31.827000000000002</v>
      </c>
      <c r="BL608" s="121">
        <v>33.408500000000004</v>
      </c>
      <c r="BM608" s="121">
        <v>34.99</v>
      </c>
      <c r="BN608" s="121">
        <v>36.581000000000003</v>
      </c>
      <c r="BO608" s="121">
        <v>38.171999999999997</v>
      </c>
      <c r="BP608" s="121">
        <v>39.694499999999998</v>
      </c>
      <c r="BQ608" s="121">
        <v>41.216999999999999</v>
      </c>
      <c r="BR608" s="121">
        <v>42.680999999999997</v>
      </c>
      <c r="BS608" s="121">
        <v>44.145000000000003</v>
      </c>
      <c r="BT608" s="121">
        <v>45.677500000000002</v>
      </c>
      <c r="BU608" s="121">
        <v>47.21</v>
      </c>
      <c r="BV608" s="121">
        <v>48.673999999999999</v>
      </c>
      <c r="BW608" s="121">
        <v>50.137999999999998</v>
      </c>
      <c r="BX608" s="121">
        <v>51.602499999999999</v>
      </c>
      <c r="BY608" s="121">
        <v>53.067</v>
      </c>
      <c r="BZ608" s="121">
        <v>54.530999999999999</v>
      </c>
      <c r="CA608" s="121">
        <v>55.994999999999997</v>
      </c>
      <c r="CB608" s="121">
        <v>57.410499999999999</v>
      </c>
      <c r="CC608" s="121">
        <v>58.826000000000001</v>
      </c>
      <c r="CD608" s="121">
        <v>60.29</v>
      </c>
      <c r="CE608" s="121">
        <v>61.753999999999998</v>
      </c>
      <c r="CF608" s="121">
        <v>63.16</v>
      </c>
      <c r="CG608" s="121">
        <v>64.566000000000003</v>
      </c>
      <c r="CH608" s="121">
        <v>65.981500000000011</v>
      </c>
      <c r="CI608" s="121">
        <v>67.397000000000006</v>
      </c>
      <c r="CJ608" s="121">
        <v>68.802999999999997</v>
      </c>
      <c r="CK608" s="121">
        <v>70.209000000000003</v>
      </c>
      <c r="CL608" s="121">
        <v>71.614499999999992</v>
      </c>
      <c r="CM608" s="121">
        <v>73.02</v>
      </c>
      <c r="CN608" s="121">
        <v>74.43549999999999</v>
      </c>
      <c r="CO608" s="121">
        <v>75.850999999999999</v>
      </c>
      <c r="CP608" s="121">
        <v>77.256500000000003</v>
      </c>
      <c r="CQ608" s="121">
        <v>78.662000000000006</v>
      </c>
      <c r="CR608" s="160">
        <v>79.950999999999993</v>
      </c>
      <c r="CS608" s="160">
        <v>81.239999999999995</v>
      </c>
      <c r="CT608" s="160">
        <v>82.655000000000001</v>
      </c>
      <c r="CU608" s="160">
        <v>84.07</v>
      </c>
      <c r="CV608" s="160">
        <v>85.475999999999999</v>
      </c>
      <c r="CW608" s="160">
        <v>86.882000000000005</v>
      </c>
      <c r="CX608" s="160">
        <v>88.170500000000004</v>
      </c>
      <c r="CY608" s="160">
        <v>89.459000000000003</v>
      </c>
      <c r="CZ608" s="121">
        <f t="array" ref="CZ608:CZ614">TRANSPOSE(DA607:DG607)</f>
        <v>90.932500000000005</v>
      </c>
      <c r="DA608" s="158">
        <v>92.406000000000006</v>
      </c>
      <c r="DB608" s="121">
        <f>DC607</f>
        <v>93.655000000000001</v>
      </c>
      <c r="DC608" s="158">
        <v>95.1</v>
      </c>
      <c r="DD608" s="121">
        <f>DE607</f>
        <v>96.365650000000002</v>
      </c>
      <c r="DE608" s="158">
        <v>97.796300000000002</v>
      </c>
      <c r="DF608" s="121">
        <f>DG607</f>
        <v>98.980500000000006</v>
      </c>
      <c r="DG608" s="159">
        <v>100.509</v>
      </c>
    </row>
    <row r="609" spans="54:111" ht="15" customHeight="1" x14ac:dyDescent="0.2">
      <c r="BB609" s="28">
        <v>55</v>
      </c>
      <c r="BC609" s="121">
        <v>18.243000000000002</v>
      </c>
      <c r="BD609" s="121">
        <v>20.132249999999999</v>
      </c>
      <c r="BE609" s="121">
        <v>22.0215</v>
      </c>
      <c r="BF609" s="121">
        <v>23.797999999999998</v>
      </c>
      <c r="BG609" s="121">
        <v>25.5745</v>
      </c>
      <c r="BH609" s="121">
        <v>27.274749999999997</v>
      </c>
      <c r="BI609" s="121">
        <v>28.975000000000001</v>
      </c>
      <c r="BJ609" s="121">
        <v>30.634500000000003</v>
      </c>
      <c r="BK609" s="121">
        <v>32.294000000000004</v>
      </c>
      <c r="BL609" s="121">
        <v>33.890750000000004</v>
      </c>
      <c r="BM609" s="121">
        <v>35.487499999999997</v>
      </c>
      <c r="BN609" s="121">
        <v>37.075500000000005</v>
      </c>
      <c r="BO609" s="121">
        <v>38.663499999999999</v>
      </c>
      <c r="BP609" s="121">
        <v>40.230249999999998</v>
      </c>
      <c r="BQ609" s="121">
        <v>41.796999999999997</v>
      </c>
      <c r="BR609" s="121">
        <v>43.28125</v>
      </c>
      <c r="BS609" s="121">
        <v>44.765500000000003</v>
      </c>
      <c r="BT609" s="121">
        <v>46.319249999999997</v>
      </c>
      <c r="BU609" s="121">
        <v>47.873000000000005</v>
      </c>
      <c r="BV609" s="121">
        <v>49.357250000000001</v>
      </c>
      <c r="BW609" s="121">
        <v>50.841499999999996</v>
      </c>
      <c r="BX609" s="121">
        <v>52.320999999999998</v>
      </c>
      <c r="BY609" s="121">
        <v>53.8005</v>
      </c>
      <c r="BZ609" s="121">
        <v>55.295500000000004</v>
      </c>
      <c r="CA609" s="121">
        <v>56.790499999999994</v>
      </c>
      <c r="CB609" s="121">
        <v>58.2455</v>
      </c>
      <c r="CC609" s="121">
        <v>59.700500000000005</v>
      </c>
      <c r="CD609" s="121">
        <v>61.155500000000004</v>
      </c>
      <c r="CE609" s="121">
        <v>62.610500000000002</v>
      </c>
      <c r="CF609" s="121">
        <v>64.042749999999998</v>
      </c>
      <c r="CG609" s="121">
        <v>65.474999999999994</v>
      </c>
      <c r="CH609" s="121">
        <v>66.905500000000004</v>
      </c>
      <c r="CI609" s="121">
        <v>68.336000000000013</v>
      </c>
      <c r="CJ609" s="121">
        <v>69.757249999999999</v>
      </c>
      <c r="CK609" s="121">
        <v>71.1785</v>
      </c>
      <c r="CL609" s="121">
        <v>72.614999999999995</v>
      </c>
      <c r="CM609" s="121">
        <v>74.051500000000004</v>
      </c>
      <c r="CN609" s="121">
        <v>75.477499999999992</v>
      </c>
      <c r="CO609" s="121">
        <v>76.903500000000008</v>
      </c>
      <c r="CP609" s="121">
        <v>78.329000000000008</v>
      </c>
      <c r="CQ609" s="121">
        <v>79.401499999999999</v>
      </c>
      <c r="CR609" s="160">
        <v>81.128249999999994</v>
      </c>
      <c r="CS609" s="160">
        <v>82.305499999999995</v>
      </c>
      <c r="CT609" s="160">
        <v>83.932500000000005</v>
      </c>
      <c r="CU609" s="160">
        <v>85.210000000000008</v>
      </c>
      <c r="CV609" s="160">
        <v>86.725499999999997</v>
      </c>
      <c r="CW609" s="160">
        <v>87.974999999999994</v>
      </c>
      <c r="CX609" s="160">
        <v>89.461250000000007</v>
      </c>
      <c r="CY609" s="160">
        <v>90.751999999999995</v>
      </c>
      <c r="CZ609" s="160">
        <v>92.293750000000003</v>
      </c>
      <c r="DA609" s="160">
        <f t="array" ref="DA609:DA614">TRANSPOSE(DB608:DG608)</f>
        <v>93.655000000000001</v>
      </c>
      <c r="DB609" s="120">
        <f>(DA609+DC609)/2</f>
        <v>95.066499999999991</v>
      </c>
      <c r="DC609" s="120">
        <f>(DC608+DC610)/2</f>
        <v>96.477999999999994</v>
      </c>
      <c r="DD609" s="120">
        <f>(DC609+DE609)/2</f>
        <v>97.856574999999992</v>
      </c>
      <c r="DE609" s="120">
        <f>(DE608+DE610)/2</f>
        <v>99.235150000000004</v>
      </c>
      <c r="DF609" s="120">
        <f>(DE609+DG609)/2</f>
        <v>100.60232500000001</v>
      </c>
      <c r="DG609" s="122">
        <f>(DG608+DG610)/2</f>
        <v>101.96950000000001</v>
      </c>
    </row>
    <row r="610" spans="54:111" ht="15" customHeight="1" x14ac:dyDescent="0.2">
      <c r="BB610" s="28">
        <v>56</v>
      </c>
      <c r="BC610" s="121">
        <v>18.498000000000001</v>
      </c>
      <c r="BD610" s="121">
        <v>20.4025</v>
      </c>
      <c r="BE610" s="121">
        <v>22.306999999999999</v>
      </c>
      <c r="BF610" s="121">
        <v>24.103499999999997</v>
      </c>
      <c r="BG610" s="121">
        <v>25.9</v>
      </c>
      <c r="BH610" s="121">
        <v>27.651</v>
      </c>
      <c r="BI610" s="121">
        <v>29.402000000000001</v>
      </c>
      <c r="BJ610" s="121">
        <v>31.081500000000002</v>
      </c>
      <c r="BK610" s="121">
        <v>32.761000000000003</v>
      </c>
      <c r="BL610" s="121">
        <v>34.373000000000005</v>
      </c>
      <c r="BM610" s="121">
        <v>35.984999999999999</v>
      </c>
      <c r="BN610" s="121">
        <v>37.57</v>
      </c>
      <c r="BO610" s="121">
        <v>39.155000000000001</v>
      </c>
      <c r="BP610" s="121">
        <v>40.766000000000005</v>
      </c>
      <c r="BQ610" s="121">
        <v>42.377000000000002</v>
      </c>
      <c r="BR610" s="121">
        <v>43.881500000000003</v>
      </c>
      <c r="BS610" s="121">
        <v>45.386000000000003</v>
      </c>
      <c r="BT610" s="121">
        <v>46.960999999999999</v>
      </c>
      <c r="BU610" s="121">
        <v>48.536000000000001</v>
      </c>
      <c r="BV610" s="121">
        <v>50.040500000000002</v>
      </c>
      <c r="BW610" s="121">
        <v>51.545000000000002</v>
      </c>
      <c r="BX610" s="121">
        <v>53.039500000000004</v>
      </c>
      <c r="BY610" s="121">
        <v>54.533999999999999</v>
      </c>
      <c r="BZ610" s="121">
        <v>56.06</v>
      </c>
      <c r="CA610" s="121">
        <v>57.585999999999999</v>
      </c>
      <c r="CB610" s="121">
        <v>59.080500000000001</v>
      </c>
      <c r="CC610" s="121">
        <v>60.575000000000003</v>
      </c>
      <c r="CD610" s="121">
        <v>62.021000000000001</v>
      </c>
      <c r="CE610" s="121">
        <v>63.466999999999999</v>
      </c>
      <c r="CF610" s="121">
        <v>64.9255</v>
      </c>
      <c r="CG610" s="121">
        <v>66.384</v>
      </c>
      <c r="CH610" s="121">
        <v>67.829499999999996</v>
      </c>
      <c r="CI610" s="121">
        <v>69.275000000000006</v>
      </c>
      <c r="CJ610" s="121">
        <v>70.711500000000001</v>
      </c>
      <c r="CK610" s="121">
        <v>72.147999999999996</v>
      </c>
      <c r="CL610" s="121">
        <v>73.615499999999997</v>
      </c>
      <c r="CM610" s="121">
        <v>75.082999999999998</v>
      </c>
      <c r="CN610" s="121">
        <v>76.519499999999994</v>
      </c>
      <c r="CO610" s="121">
        <v>77.956000000000003</v>
      </c>
      <c r="CP610" s="121">
        <v>79.401499999999999</v>
      </c>
      <c r="CQ610" s="121">
        <v>80.846999999999994</v>
      </c>
      <c r="CR610" s="160">
        <v>82.305499999999995</v>
      </c>
      <c r="CS610" s="160">
        <v>83.763999999999996</v>
      </c>
      <c r="CT610" s="160">
        <v>85.210000000000008</v>
      </c>
      <c r="CU610" s="160">
        <v>86.656000000000006</v>
      </c>
      <c r="CV610" s="160">
        <v>87.974999999999994</v>
      </c>
      <c r="CW610" s="160">
        <v>89.293999999999997</v>
      </c>
      <c r="CX610" s="160">
        <v>90.751999999999995</v>
      </c>
      <c r="CY610" s="160">
        <v>92.21</v>
      </c>
      <c r="CZ610" s="160">
        <v>93.655000000000001</v>
      </c>
      <c r="DA610" s="160">
        <v>95.1</v>
      </c>
      <c r="DB610" s="121">
        <f t="array" ref="DB610:DB614">TRANSPOSE(DC609:DG609)</f>
        <v>96.477999999999994</v>
      </c>
      <c r="DC610" s="158">
        <v>97.855999999999995</v>
      </c>
      <c r="DD610" s="121">
        <f>DE609</f>
        <v>99.235150000000004</v>
      </c>
      <c r="DE610" s="158">
        <v>100.67400000000001</v>
      </c>
      <c r="DF610" s="121">
        <f>DG609</f>
        <v>101.96950000000001</v>
      </c>
      <c r="DG610" s="159">
        <v>103.43</v>
      </c>
    </row>
    <row r="611" spans="54:111" ht="15" customHeight="1" x14ac:dyDescent="0.2">
      <c r="BB611" s="28">
        <v>57</v>
      </c>
      <c r="BC611" s="121">
        <v>18.673000000000002</v>
      </c>
      <c r="BD611" s="121">
        <v>20.637499999999999</v>
      </c>
      <c r="BE611" s="121">
        <v>22.601999999999997</v>
      </c>
      <c r="BF611" s="121">
        <v>24.424999999999997</v>
      </c>
      <c r="BG611" s="121">
        <v>26.247999999999998</v>
      </c>
      <c r="BH611" s="121">
        <v>28.003</v>
      </c>
      <c r="BI611" s="121">
        <v>29.758000000000003</v>
      </c>
      <c r="BJ611" s="121">
        <v>31.463999999999999</v>
      </c>
      <c r="BK611" s="121">
        <v>33.17</v>
      </c>
      <c r="BL611" s="121">
        <v>34.837000000000003</v>
      </c>
      <c r="BM611" s="121">
        <v>36.504000000000005</v>
      </c>
      <c r="BN611" s="121">
        <v>38.093000000000004</v>
      </c>
      <c r="BO611" s="121">
        <v>39.682000000000002</v>
      </c>
      <c r="BP611" s="121">
        <v>41.3245</v>
      </c>
      <c r="BQ611" s="121">
        <v>42.966999999999999</v>
      </c>
      <c r="BR611" s="121">
        <v>44.522000000000006</v>
      </c>
      <c r="BS611" s="121">
        <v>46.076999999999998</v>
      </c>
      <c r="BT611" s="121">
        <v>47.631999999999998</v>
      </c>
      <c r="BU611" s="121">
        <v>49.186999999999998</v>
      </c>
      <c r="BV611" s="121">
        <v>50.717250000000007</v>
      </c>
      <c r="BW611" s="121">
        <v>52.247500000000002</v>
      </c>
      <c r="BX611" s="121">
        <v>53.797750000000001</v>
      </c>
      <c r="BY611" s="121">
        <v>55.347999999999999</v>
      </c>
      <c r="BZ611" s="121">
        <v>56.849249999999998</v>
      </c>
      <c r="CA611" s="121">
        <v>58.350499999999997</v>
      </c>
      <c r="CB611" s="121">
        <v>59.876000000000005</v>
      </c>
      <c r="CC611" s="121">
        <v>61.401499999999999</v>
      </c>
      <c r="CD611" s="121">
        <v>62.898000000000003</v>
      </c>
      <c r="CE611" s="121">
        <v>64.394499999999994</v>
      </c>
      <c r="CF611" s="121">
        <v>65.861999999999995</v>
      </c>
      <c r="CG611" s="121">
        <v>67.329499999999996</v>
      </c>
      <c r="CH611" s="121">
        <v>68.830500000000001</v>
      </c>
      <c r="CI611" s="121">
        <v>70.331500000000005</v>
      </c>
      <c r="CJ611" s="121">
        <v>71.794250000000005</v>
      </c>
      <c r="CK611" s="121">
        <v>73.257000000000005</v>
      </c>
      <c r="CL611" s="121">
        <v>74.728499999999997</v>
      </c>
      <c r="CM611" s="121">
        <v>76.199999999999989</v>
      </c>
      <c r="CN611" s="121">
        <v>77.662749999999988</v>
      </c>
      <c r="CO611" s="121">
        <v>79.125500000000002</v>
      </c>
      <c r="CP611" s="121">
        <v>80.539000000000001</v>
      </c>
      <c r="CQ611" s="121">
        <v>81.676500000000004</v>
      </c>
      <c r="CR611" s="160">
        <v>83.419749999999993</v>
      </c>
      <c r="CS611" s="160">
        <v>84.534000000000006</v>
      </c>
      <c r="CT611" s="160">
        <v>86.354250000000008</v>
      </c>
      <c r="CU611" s="160">
        <v>87.498500000000007</v>
      </c>
      <c r="CV611" s="160">
        <v>89.229749999999996</v>
      </c>
      <c r="CW611" s="160">
        <v>90.484499999999997</v>
      </c>
      <c r="CX611" s="160">
        <v>92.105249999999998</v>
      </c>
      <c r="CY611" s="160">
        <v>93.458500000000001</v>
      </c>
      <c r="CZ611" s="160">
        <v>95.010324999999995</v>
      </c>
      <c r="DA611" s="160">
        <v>96.365650000000002</v>
      </c>
      <c r="DB611" s="160">
        <v>97.856574999999992</v>
      </c>
      <c r="DC611" s="160">
        <f t="array" ref="DC611:DC614">TRANSPOSE(DD610:DG610)</f>
        <v>99.235150000000004</v>
      </c>
      <c r="DD611" s="120">
        <f>(DC611+DE611)/2</f>
        <v>100.66357500000001</v>
      </c>
      <c r="DE611" s="120">
        <f>(DE610+DE612)/2</f>
        <v>102.09200000000001</v>
      </c>
      <c r="DF611" s="120">
        <f>(DE611+DG611)/2</f>
        <v>103.49625</v>
      </c>
      <c r="DG611" s="122">
        <f>(DG610+DG612)/2</f>
        <v>104.90049999999999</v>
      </c>
    </row>
    <row r="612" spans="54:111" ht="15" customHeight="1" x14ac:dyDescent="0.2">
      <c r="BB612" s="28">
        <v>58</v>
      </c>
      <c r="BC612" s="121">
        <v>18.847999999999999</v>
      </c>
      <c r="BD612" s="121">
        <v>20.872499999999999</v>
      </c>
      <c r="BE612" s="121">
        <v>22.896999999999998</v>
      </c>
      <c r="BF612" s="121">
        <v>24.746499999999997</v>
      </c>
      <c r="BG612" s="121">
        <v>26.596</v>
      </c>
      <c r="BH612" s="121">
        <v>28.355</v>
      </c>
      <c r="BI612" s="121">
        <v>30.114000000000001</v>
      </c>
      <c r="BJ612" s="121">
        <v>31.846499999999999</v>
      </c>
      <c r="BK612" s="121">
        <v>33.579000000000001</v>
      </c>
      <c r="BL612" s="121">
        <v>35.301000000000002</v>
      </c>
      <c r="BM612" s="121">
        <v>37.023000000000003</v>
      </c>
      <c r="BN612" s="121">
        <v>38.616</v>
      </c>
      <c r="BO612" s="121">
        <v>40.209000000000003</v>
      </c>
      <c r="BP612" s="121">
        <v>41.883000000000003</v>
      </c>
      <c r="BQ612" s="121">
        <v>43.557000000000002</v>
      </c>
      <c r="BR612" s="121">
        <v>45.162500000000001</v>
      </c>
      <c r="BS612" s="121">
        <v>46.768000000000001</v>
      </c>
      <c r="BT612" s="121">
        <v>48.302999999999997</v>
      </c>
      <c r="BU612" s="121">
        <v>49.838000000000001</v>
      </c>
      <c r="BV612" s="121">
        <v>51.394000000000005</v>
      </c>
      <c r="BW612" s="121">
        <v>52.95</v>
      </c>
      <c r="BX612" s="121">
        <v>54.555999999999997</v>
      </c>
      <c r="BY612" s="121">
        <v>56.161999999999999</v>
      </c>
      <c r="BZ612" s="121">
        <v>57.638500000000001</v>
      </c>
      <c r="CA612" s="121">
        <v>59.115000000000002</v>
      </c>
      <c r="CB612" s="121">
        <v>60.671500000000002</v>
      </c>
      <c r="CC612" s="121">
        <v>62.228000000000002</v>
      </c>
      <c r="CD612" s="121">
        <v>63.775000000000006</v>
      </c>
      <c r="CE612" s="121">
        <v>65.322000000000003</v>
      </c>
      <c r="CF612" s="121">
        <v>66.798500000000004</v>
      </c>
      <c r="CG612" s="121">
        <v>68.275000000000006</v>
      </c>
      <c r="CH612" s="121">
        <v>69.831500000000005</v>
      </c>
      <c r="CI612" s="121">
        <v>71.388000000000005</v>
      </c>
      <c r="CJ612" s="121">
        <v>72.87700000000001</v>
      </c>
      <c r="CK612" s="121">
        <v>74.366</v>
      </c>
      <c r="CL612" s="121">
        <v>75.841499999999996</v>
      </c>
      <c r="CM612" s="121">
        <v>77.316999999999993</v>
      </c>
      <c r="CN612" s="121">
        <v>78.805999999999997</v>
      </c>
      <c r="CO612" s="121">
        <v>80.295000000000002</v>
      </c>
      <c r="CP612" s="121">
        <v>81.676500000000004</v>
      </c>
      <c r="CQ612" s="121">
        <v>83.058000000000007</v>
      </c>
      <c r="CR612" s="160">
        <v>84.534000000000006</v>
      </c>
      <c r="CS612" s="160">
        <v>86.01</v>
      </c>
      <c r="CT612" s="160">
        <v>87.498500000000007</v>
      </c>
      <c r="CU612" s="160">
        <v>88.986999999999995</v>
      </c>
      <c r="CV612" s="160">
        <v>90.484499999999997</v>
      </c>
      <c r="CW612" s="160">
        <v>91.981999999999999</v>
      </c>
      <c r="CX612" s="160">
        <v>93.458500000000001</v>
      </c>
      <c r="CY612" s="160">
        <v>94.935000000000002</v>
      </c>
      <c r="CZ612" s="160">
        <v>96.365650000000002</v>
      </c>
      <c r="DA612" s="160">
        <v>97.796300000000002</v>
      </c>
      <c r="DB612" s="160">
        <v>99.235150000000004</v>
      </c>
      <c r="DC612" s="160">
        <v>100.67400000000001</v>
      </c>
      <c r="DD612" s="121">
        <f t="array" ref="DD612:DD614">TRANSPOSE(DE611:DG611)</f>
        <v>102.09200000000001</v>
      </c>
      <c r="DE612" s="158">
        <v>103.51</v>
      </c>
      <c r="DF612" s="121">
        <f>DG611</f>
        <v>104.90049999999999</v>
      </c>
      <c r="DG612" s="159">
        <v>106.371</v>
      </c>
    </row>
    <row r="613" spans="54:111" ht="15" customHeight="1" x14ac:dyDescent="0.2">
      <c r="BB613" s="28">
        <v>59</v>
      </c>
      <c r="BC613" s="121">
        <v>19.112499999999997</v>
      </c>
      <c r="BD613" s="121">
        <v>21.147750000000002</v>
      </c>
      <c r="BE613" s="121">
        <v>23.183</v>
      </c>
      <c r="BF613" s="121">
        <v>25.076749999999997</v>
      </c>
      <c r="BG613" s="121">
        <v>26.970500000000001</v>
      </c>
      <c r="BH613" s="121">
        <v>28.7605</v>
      </c>
      <c r="BI613" s="121">
        <v>30.5505</v>
      </c>
      <c r="BJ613" s="121">
        <v>32.298000000000002</v>
      </c>
      <c r="BK613" s="121">
        <v>34.045500000000004</v>
      </c>
      <c r="BL613" s="121">
        <v>35.758749999999999</v>
      </c>
      <c r="BM613" s="121">
        <v>37.472000000000001</v>
      </c>
      <c r="BN613" s="121">
        <v>39.115499999999997</v>
      </c>
      <c r="BO613" s="121">
        <v>40.759</v>
      </c>
      <c r="BP613" s="121">
        <v>42.418750000000003</v>
      </c>
      <c r="BQ613" s="121">
        <v>44.078500000000005</v>
      </c>
      <c r="BR613" s="121">
        <v>45.704250000000002</v>
      </c>
      <c r="BS613" s="121">
        <v>47.33</v>
      </c>
      <c r="BT613" s="121">
        <v>48.92</v>
      </c>
      <c r="BU613" s="121">
        <v>50.510000000000005</v>
      </c>
      <c r="BV613" s="121">
        <v>52.111000000000004</v>
      </c>
      <c r="BW613" s="121">
        <v>53.712000000000003</v>
      </c>
      <c r="BX613" s="121">
        <v>55.303749999999994</v>
      </c>
      <c r="BY613" s="121">
        <v>56.895499999999998</v>
      </c>
      <c r="BZ613" s="121">
        <v>58.427250000000001</v>
      </c>
      <c r="CA613" s="121">
        <v>59.959000000000003</v>
      </c>
      <c r="CB613" s="121">
        <v>61.501750000000001</v>
      </c>
      <c r="CC613" s="121">
        <v>63.044499999999999</v>
      </c>
      <c r="CD613" s="121">
        <v>64.611500000000007</v>
      </c>
      <c r="CE613" s="121">
        <v>66.1785</v>
      </c>
      <c r="CF613" s="121">
        <v>67.681250000000006</v>
      </c>
      <c r="CG613" s="121">
        <v>69.183999999999997</v>
      </c>
      <c r="CH613" s="121">
        <v>70.750750000000011</v>
      </c>
      <c r="CI613" s="121">
        <v>72.317499999999995</v>
      </c>
      <c r="CJ613" s="121">
        <v>73.82650000000001</v>
      </c>
      <c r="CK613" s="121">
        <v>75.335499999999996</v>
      </c>
      <c r="CL613" s="121">
        <v>76.837500000000006</v>
      </c>
      <c r="CM613" s="121">
        <v>78.339499999999987</v>
      </c>
      <c r="CN613" s="121">
        <v>79.848250000000007</v>
      </c>
      <c r="CO613" s="121">
        <v>81.356999999999999</v>
      </c>
      <c r="CP613" s="121">
        <v>82.812250000000006</v>
      </c>
      <c r="CQ613" s="121">
        <v>83.948000000000008</v>
      </c>
      <c r="CR613" s="160">
        <v>85.764749999999992</v>
      </c>
      <c r="CS613" s="160">
        <v>86.995499999999993</v>
      </c>
      <c r="CT613" s="160">
        <v>88.770499999999998</v>
      </c>
      <c r="CU613" s="160">
        <v>90.04249999999999</v>
      </c>
      <c r="CV613" s="160">
        <v>91.733499999999992</v>
      </c>
      <c r="CW613" s="160">
        <v>92.982500000000002</v>
      </c>
      <c r="CX613" s="160">
        <v>94.690750000000008</v>
      </c>
      <c r="CY613" s="160">
        <v>95.923000000000002</v>
      </c>
      <c r="CZ613" s="160">
        <v>97.673075000000011</v>
      </c>
      <c r="DA613" s="160">
        <v>98.980500000000006</v>
      </c>
      <c r="DB613" s="160">
        <v>100.60232500000001</v>
      </c>
      <c r="DC613" s="160">
        <v>101.96950000000001</v>
      </c>
      <c r="DD613" s="160">
        <v>103.49625</v>
      </c>
      <c r="DE613" s="160">
        <f t="array" ref="DE613:DE614">TRANSPOSE(DF612:DG612)</f>
        <v>104.90049999999999</v>
      </c>
      <c r="DF613" s="120">
        <f>(DE613+DG613)/2</f>
        <v>106.37049999999999</v>
      </c>
      <c r="DG613" s="122">
        <f>(DG612+DG614)/2</f>
        <v>107.84049999999999</v>
      </c>
    </row>
    <row r="614" spans="54:111" ht="15" customHeight="1" thickBot="1" x14ac:dyDescent="0.25">
      <c r="BB614" s="149">
        <v>60</v>
      </c>
      <c r="BC614" s="123">
        <v>19.376999999999999</v>
      </c>
      <c r="BD614" s="123">
        <v>21.423000000000002</v>
      </c>
      <c r="BE614" s="123">
        <v>23.469000000000001</v>
      </c>
      <c r="BF614" s="123">
        <v>25.407</v>
      </c>
      <c r="BG614" s="123">
        <v>27.344999999999999</v>
      </c>
      <c r="BH614" s="123">
        <v>29.165999999999997</v>
      </c>
      <c r="BI614" s="123">
        <v>30.986999999999998</v>
      </c>
      <c r="BJ614" s="123">
        <v>32.749499999999998</v>
      </c>
      <c r="BK614" s="123">
        <v>34.512</v>
      </c>
      <c r="BL614" s="123">
        <v>36.216499999999996</v>
      </c>
      <c r="BM614" s="123">
        <v>37.920999999999999</v>
      </c>
      <c r="BN614" s="123">
        <v>39.614999999999995</v>
      </c>
      <c r="BO614" s="123">
        <v>41.308999999999997</v>
      </c>
      <c r="BP614" s="123">
        <v>42.954499999999996</v>
      </c>
      <c r="BQ614" s="123">
        <v>44.6</v>
      </c>
      <c r="BR614" s="123">
        <v>46.246000000000002</v>
      </c>
      <c r="BS614" s="123">
        <v>47.892000000000003</v>
      </c>
      <c r="BT614" s="123">
        <v>49.537000000000006</v>
      </c>
      <c r="BU614" s="123">
        <v>51.182000000000002</v>
      </c>
      <c r="BV614" s="123">
        <v>52.828000000000003</v>
      </c>
      <c r="BW614" s="123">
        <v>54.473999999999997</v>
      </c>
      <c r="BX614" s="123">
        <v>56.051499999999997</v>
      </c>
      <c r="BY614" s="123">
        <v>57.628999999999998</v>
      </c>
      <c r="BZ614" s="123">
        <v>59.215999999999994</v>
      </c>
      <c r="CA614" s="123">
        <v>60.802999999999997</v>
      </c>
      <c r="CB614" s="123">
        <v>62.331999999999994</v>
      </c>
      <c r="CC614" s="123">
        <v>63.860999999999997</v>
      </c>
      <c r="CD614" s="123">
        <v>65.447999999999993</v>
      </c>
      <c r="CE614" s="123">
        <v>67.034999999999997</v>
      </c>
      <c r="CF614" s="123">
        <v>68.563999999999993</v>
      </c>
      <c r="CG614" s="123">
        <v>70.093000000000004</v>
      </c>
      <c r="CH614" s="123">
        <v>71.67</v>
      </c>
      <c r="CI614" s="123">
        <v>73.247</v>
      </c>
      <c r="CJ614" s="123">
        <v>74.77600000000001</v>
      </c>
      <c r="CK614" s="123">
        <v>76.305000000000007</v>
      </c>
      <c r="CL614" s="123">
        <v>77.833500000000001</v>
      </c>
      <c r="CM614" s="123">
        <v>79.361999999999995</v>
      </c>
      <c r="CN614" s="123">
        <v>80.890500000000003</v>
      </c>
      <c r="CO614" s="123">
        <v>82.418999999999997</v>
      </c>
      <c r="CP614" s="123">
        <v>83.948000000000008</v>
      </c>
      <c r="CQ614" s="123">
        <v>85.477000000000004</v>
      </c>
      <c r="CR614" s="161">
        <v>86.995499999999993</v>
      </c>
      <c r="CS614" s="161">
        <v>88.513999999999996</v>
      </c>
      <c r="CT614" s="161">
        <v>90.04249999999999</v>
      </c>
      <c r="CU614" s="161">
        <v>91.570999999999998</v>
      </c>
      <c r="CV614" s="161">
        <v>92.982500000000002</v>
      </c>
      <c r="CW614" s="161">
        <v>94.394000000000005</v>
      </c>
      <c r="CX614" s="161">
        <v>95.923000000000002</v>
      </c>
      <c r="CY614" s="161">
        <v>97.451999999999998</v>
      </c>
      <c r="CZ614" s="161">
        <v>98.980500000000006</v>
      </c>
      <c r="DA614" s="161">
        <v>100.509</v>
      </c>
      <c r="DB614" s="161">
        <v>101.96950000000001</v>
      </c>
      <c r="DC614" s="161">
        <v>103.43</v>
      </c>
      <c r="DD614" s="161">
        <v>104.90049999999999</v>
      </c>
      <c r="DE614" s="161">
        <v>106.371</v>
      </c>
      <c r="DF614" s="151">
        <f>DG613</f>
        <v>107.84049999999999</v>
      </c>
      <c r="DG614" s="162">
        <v>109.31</v>
      </c>
    </row>
    <row r="615" spans="54:111" ht="15" customHeight="1" thickBot="1" x14ac:dyDescent="0.25">
      <c r="BB615" s="25"/>
      <c r="BC615" s="25"/>
      <c r="BD615" s="25"/>
      <c r="BE615" s="25"/>
      <c r="BF615" s="25"/>
      <c r="BG615" s="25"/>
      <c r="BH615" s="25"/>
      <c r="BI615" s="25"/>
      <c r="BJ615" s="25"/>
      <c r="BK615" s="25"/>
      <c r="BL615" s="25"/>
      <c r="BM615" s="25"/>
      <c r="BN615" s="25"/>
      <c r="BO615" s="25"/>
      <c r="BP615" s="25"/>
      <c r="BQ615" s="25"/>
      <c r="BR615" s="25"/>
      <c r="BS615" s="25"/>
      <c r="BT615" s="25"/>
      <c r="BU615" s="25"/>
      <c r="BV615" s="25"/>
      <c r="BW615" s="25"/>
      <c r="BX615" s="25"/>
      <c r="BY615" s="25"/>
      <c r="BZ615" s="25"/>
      <c r="CA615" s="25"/>
      <c r="CB615" s="25"/>
      <c r="CC615" s="25"/>
      <c r="CD615" s="25"/>
      <c r="CE615" s="25"/>
      <c r="CF615" s="25"/>
      <c r="CG615" s="25"/>
      <c r="CH615" s="25"/>
      <c r="CI615" s="25"/>
      <c r="CJ615" s="25"/>
      <c r="CK615" s="25"/>
      <c r="CL615" s="25"/>
      <c r="CM615" s="25"/>
      <c r="CN615" s="25"/>
      <c r="CO615" s="25"/>
      <c r="CP615" s="25"/>
      <c r="CQ615" s="25"/>
    </row>
    <row r="616" spans="54:111" ht="15" customHeight="1" thickBot="1" x14ac:dyDescent="0.3">
      <c r="BB616" s="1830" t="s">
        <v>304</v>
      </c>
      <c r="BC616" s="1831"/>
      <c r="BD616" s="1831"/>
      <c r="BE616" s="1831"/>
      <c r="BF616" s="1831"/>
      <c r="BG616" s="1831"/>
      <c r="BH616" s="1831"/>
      <c r="BI616" s="1831"/>
      <c r="BJ616" s="1831"/>
      <c r="BK616" s="1831"/>
      <c r="BL616" s="1831"/>
      <c r="BM616" s="1831"/>
      <c r="BN616" s="1831"/>
      <c r="BO616" s="1831"/>
      <c r="BP616" s="1831"/>
      <c r="BQ616" s="1831"/>
      <c r="BR616" s="1831"/>
      <c r="BS616" s="1831"/>
      <c r="BT616" s="1831"/>
      <c r="BU616" s="1831"/>
      <c r="BV616" s="1831"/>
      <c r="BW616" s="1831"/>
      <c r="BX616" s="1831"/>
      <c r="BY616" s="1831"/>
      <c r="BZ616" s="1831"/>
      <c r="CA616" s="1831"/>
      <c r="CB616" s="1831"/>
      <c r="CC616" s="1831"/>
      <c r="CD616" s="1831"/>
      <c r="CE616" s="1831"/>
      <c r="CF616" s="1831"/>
      <c r="CG616" s="1831"/>
      <c r="CH616" s="1831"/>
      <c r="CI616" s="1831"/>
      <c r="CJ616" s="1831"/>
      <c r="CK616" s="1831"/>
      <c r="CL616" s="1831"/>
      <c r="CM616" s="1831"/>
      <c r="CN616" s="1831"/>
      <c r="CO616" s="1831"/>
      <c r="CP616" s="1831"/>
      <c r="CQ616" s="1831"/>
      <c r="CR616" s="1831"/>
      <c r="CS616" s="1831"/>
      <c r="CT616" s="1831"/>
      <c r="CU616" s="1831"/>
      <c r="CV616" s="1831"/>
      <c r="CW616" s="1831"/>
      <c r="CX616" s="1831"/>
      <c r="CY616" s="1831"/>
      <c r="CZ616" s="1831"/>
      <c r="DA616" s="1831"/>
      <c r="DB616" s="1831"/>
      <c r="DC616" s="1831"/>
      <c r="DD616" s="1831"/>
      <c r="DE616" s="1831"/>
      <c r="DF616" s="1831"/>
      <c r="DG616" s="1832"/>
    </row>
    <row r="617" spans="54:111" ht="15" customHeight="1" x14ac:dyDescent="0.2">
      <c r="BB617" s="26"/>
      <c r="BC617" s="27">
        <v>4</v>
      </c>
      <c r="BD617" s="27">
        <v>5</v>
      </c>
      <c r="BE617" s="27">
        <v>6</v>
      </c>
      <c r="BF617" s="27">
        <v>7</v>
      </c>
      <c r="BG617" s="27">
        <v>8</v>
      </c>
      <c r="BH617" s="27">
        <v>9</v>
      </c>
      <c r="BI617" s="27">
        <v>10</v>
      </c>
      <c r="BJ617" s="27">
        <v>11</v>
      </c>
      <c r="BK617" s="27">
        <v>12</v>
      </c>
      <c r="BL617" s="27">
        <v>13</v>
      </c>
      <c r="BM617" s="27">
        <v>14</v>
      </c>
      <c r="BN617" s="27">
        <v>15</v>
      </c>
      <c r="BO617" s="27">
        <v>16</v>
      </c>
      <c r="BP617" s="27">
        <v>17</v>
      </c>
      <c r="BQ617" s="27">
        <v>18</v>
      </c>
      <c r="BR617" s="27">
        <v>19</v>
      </c>
      <c r="BS617" s="27">
        <v>20</v>
      </c>
      <c r="BT617" s="27">
        <v>21</v>
      </c>
      <c r="BU617" s="27">
        <v>22</v>
      </c>
      <c r="BV617" s="27">
        <v>23</v>
      </c>
      <c r="BW617" s="27">
        <v>24</v>
      </c>
      <c r="BX617" s="27">
        <v>25</v>
      </c>
      <c r="BY617" s="27">
        <v>26</v>
      </c>
      <c r="BZ617" s="27">
        <v>27</v>
      </c>
      <c r="CA617" s="27">
        <v>28</v>
      </c>
      <c r="CB617" s="27">
        <v>29</v>
      </c>
      <c r="CC617" s="27">
        <v>30</v>
      </c>
      <c r="CD617" s="27">
        <v>31</v>
      </c>
      <c r="CE617" s="27">
        <v>32</v>
      </c>
      <c r="CF617" s="27">
        <v>33</v>
      </c>
      <c r="CG617" s="27">
        <v>34</v>
      </c>
      <c r="CH617" s="27">
        <v>35</v>
      </c>
      <c r="CI617" s="27">
        <v>36</v>
      </c>
      <c r="CJ617" s="27">
        <v>37</v>
      </c>
      <c r="CK617" s="27">
        <v>38</v>
      </c>
      <c r="CL617" s="27">
        <v>39</v>
      </c>
      <c r="CM617" s="27">
        <v>40</v>
      </c>
      <c r="CN617" s="27">
        <v>41</v>
      </c>
      <c r="CO617" s="27">
        <v>42</v>
      </c>
      <c r="CP617" s="27">
        <v>43</v>
      </c>
      <c r="CQ617" s="27">
        <v>44</v>
      </c>
      <c r="CR617" s="27">
        <v>45</v>
      </c>
      <c r="CS617" s="27">
        <v>46</v>
      </c>
      <c r="CT617" s="27">
        <v>47</v>
      </c>
      <c r="CU617" s="27">
        <v>48</v>
      </c>
      <c r="CV617" s="27">
        <v>49</v>
      </c>
      <c r="CW617" s="27">
        <v>50</v>
      </c>
      <c r="CX617" s="27">
        <v>51</v>
      </c>
      <c r="CY617" s="27">
        <v>52</v>
      </c>
      <c r="CZ617" s="27">
        <v>53</v>
      </c>
      <c r="DA617" s="27">
        <v>54</v>
      </c>
      <c r="DB617" s="27">
        <v>55</v>
      </c>
      <c r="DC617" s="27">
        <v>56</v>
      </c>
      <c r="DD617" s="27">
        <v>57</v>
      </c>
      <c r="DE617" s="27">
        <v>58</v>
      </c>
      <c r="DF617" s="27">
        <v>59</v>
      </c>
      <c r="DG617" s="142">
        <v>60</v>
      </c>
    </row>
    <row r="618" spans="54:111" ht="15" customHeight="1" x14ac:dyDescent="0.2">
      <c r="BB618" s="28">
        <v>4</v>
      </c>
      <c r="BC618" s="164">
        <v>3.6110000000000002</v>
      </c>
      <c r="BD618" s="152">
        <f>(BE618+BC618)/2</f>
        <v>4.0765000000000002</v>
      </c>
      <c r="BE618" s="165">
        <v>4.5419999999999998</v>
      </c>
      <c r="BF618" s="152">
        <f>(BG618+BE618)/2</f>
        <v>4.9435000000000002</v>
      </c>
      <c r="BG618" s="165">
        <v>5.3449999999999998</v>
      </c>
      <c r="BH618" s="152">
        <f>(BI618+BG618)/2</f>
        <v>5.6705000000000005</v>
      </c>
      <c r="BI618" s="165">
        <v>5.9960000000000004</v>
      </c>
      <c r="BJ618" s="152">
        <f>(BK618+BI618)/2</f>
        <v>6.3975000000000009</v>
      </c>
      <c r="BK618" s="165">
        <v>6.7990000000000004</v>
      </c>
      <c r="BL618" s="152">
        <f>(BM618+BK618)/2</f>
        <v>7.1370000000000005</v>
      </c>
      <c r="BM618" s="165">
        <v>7.4749999999999996</v>
      </c>
      <c r="BN618" s="152">
        <f>(BO618+BM618)/2</f>
        <v>7.8004999999999995</v>
      </c>
      <c r="BO618" s="165">
        <v>8.1259999999999994</v>
      </c>
      <c r="BP618" s="152">
        <f>(BQ618+BO618)/2</f>
        <v>8.4639999999999986</v>
      </c>
      <c r="BQ618" s="165">
        <v>8.8019999999999996</v>
      </c>
      <c r="BR618" s="152">
        <f>(BS618+BQ618)/2</f>
        <v>9.0760000000000005</v>
      </c>
      <c r="BS618" s="165">
        <v>9.35</v>
      </c>
      <c r="BT618" s="152">
        <f>(BU618+BS618)/2</f>
        <v>9.6760000000000002</v>
      </c>
      <c r="BU618" s="165">
        <v>10.002000000000001</v>
      </c>
      <c r="BV618" s="152">
        <f>(BW618+BU618)/2</f>
        <v>10.276</v>
      </c>
      <c r="BW618" s="165">
        <v>10.55</v>
      </c>
      <c r="BX618" s="152">
        <f>(BY618+BW618)/2</f>
        <v>10.887</v>
      </c>
      <c r="BY618" s="165">
        <v>11.224</v>
      </c>
      <c r="BZ618" s="152">
        <f>(CA618+BY618)/2</f>
        <v>11.475999999999999</v>
      </c>
      <c r="CA618" s="165">
        <v>11.728</v>
      </c>
      <c r="CB618" s="152">
        <f>(CC618+CA618)/2</f>
        <v>12.0755</v>
      </c>
      <c r="CC618" s="165">
        <v>12.423</v>
      </c>
      <c r="CD618" s="152">
        <f>(CE618+CC618)/2</f>
        <v>12.696999999999999</v>
      </c>
      <c r="CE618" s="165">
        <v>12.971</v>
      </c>
      <c r="CF618" s="152">
        <f>(CG618+CE618)/2</f>
        <v>13.222999999999999</v>
      </c>
      <c r="CG618" s="165">
        <v>13.475</v>
      </c>
      <c r="CH618" s="152">
        <f>(CI618+CG618)/2</f>
        <v>13.8225</v>
      </c>
      <c r="CI618" s="165">
        <v>14.17</v>
      </c>
      <c r="CJ618" s="152">
        <f>(CK618+CI618)/2</f>
        <v>14.443999999999999</v>
      </c>
      <c r="CK618" s="165">
        <v>14.718</v>
      </c>
      <c r="CL618" s="152">
        <f>(CM618+CK618)/2</f>
        <v>14.9695</v>
      </c>
      <c r="CM618" s="165">
        <v>15.221</v>
      </c>
      <c r="CN618" s="152">
        <f>(CO618+CM618)/2</f>
        <v>15.5055</v>
      </c>
      <c r="CO618" s="165">
        <v>15.79</v>
      </c>
      <c r="CP618" s="152">
        <f>(CQ618+CO618)/2</f>
        <v>16.063499999999998</v>
      </c>
      <c r="CQ618" s="165">
        <v>16.337</v>
      </c>
      <c r="CR618" s="120">
        <f>(CS618+CQ618)/2</f>
        <v>16.588999999999999</v>
      </c>
      <c r="CS618" s="156">
        <v>16.841000000000001</v>
      </c>
      <c r="CT618" s="120">
        <f>(CU618+CS618)/2</f>
        <v>17.125</v>
      </c>
      <c r="CU618" s="156">
        <v>17.408999999999999</v>
      </c>
      <c r="CV618" s="120">
        <f>(CW618+CU618)/2</f>
        <v>17.681999999999999</v>
      </c>
      <c r="CW618" s="156">
        <v>17.954999999999998</v>
      </c>
      <c r="CX618" s="120">
        <f>(CY618+CW618)/2</f>
        <v>18.207000000000001</v>
      </c>
      <c r="CY618" s="156">
        <v>18.459</v>
      </c>
      <c r="CZ618" s="120">
        <f>(DA618+CY618)/2</f>
        <v>18.743000000000002</v>
      </c>
      <c r="DA618" s="156">
        <v>19.027000000000001</v>
      </c>
      <c r="DB618" s="120">
        <f>(DC618+DA618)/2</f>
        <v>19.301000000000002</v>
      </c>
      <c r="DC618" s="156">
        <v>19.574999999999999</v>
      </c>
      <c r="DD618" s="120">
        <f>(DE618+DC618)/2</f>
        <v>19.826499999999999</v>
      </c>
      <c r="DE618" s="156">
        <v>20.077999999999999</v>
      </c>
      <c r="DF618" s="120">
        <f>(DG618+DE618)/2</f>
        <v>20.362499999999997</v>
      </c>
      <c r="DG618" s="157">
        <v>20.646999999999998</v>
      </c>
    </row>
    <row r="619" spans="54:111" ht="15" customHeight="1" x14ac:dyDescent="0.2">
      <c r="BB619" s="28">
        <v>5</v>
      </c>
      <c r="BC619" s="121">
        <f t="array" ref="BC619:BC674">TRANSPOSE(BD618:DG618)</f>
        <v>4.0765000000000002</v>
      </c>
      <c r="BD619" s="120">
        <f>(BC619+BE619)/2</f>
        <v>4.5579999999999998</v>
      </c>
      <c r="BE619" s="120">
        <f>(BE618+BE620)/2</f>
        <v>5.0395000000000003</v>
      </c>
      <c r="BF619" s="120">
        <f>(BE619+BG619)/2</f>
        <v>5.4942500000000001</v>
      </c>
      <c r="BG619" s="120">
        <f>(BG618+BG620)/2</f>
        <v>5.9489999999999998</v>
      </c>
      <c r="BH619" s="120">
        <f>(BG619+BI619)/2</f>
        <v>6.3287500000000003</v>
      </c>
      <c r="BI619" s="120">
        <f>(BI618+BI620)/2</f>
        <v>6.7085000000000008</v>
      </c>
      <c r="BJ619" s="120">
        <f>(BI619+BK619)/2</f>
        <v>7.1312500000000005</v>
      </c>
      <c r="BK619" s="120">
        <f>(BK618+BK620)/2</f>
        <v>7.5540000000000003</v>
      </c>
      <c r="BL619" s="120">
        <f>(BK619+BM619)/2</f>
        <v>7.9080000000000004</v>
      </c>
      <c r="BM619" s="120">
        <f>(BM618+BM620)/2</f>
        <v>8.2620000000000005</v>
      </c>
      <c r="BN619" s="120">
        <f>(BM619+BO619)/2</f>
        <v>8.6152499999999996</v>
      </c>
      <c r="BO619" s="120">
        <f>(BO618+BO620)/2</f>
        <v>8.9684999999999988</v>
      </c>
      <c r="BP619" s="120">
        <f>(BO619+BQ619)/2</f>
        <v>9.3542500000000004</v>
      </c>
      <c r="BQ619" s="120">
        <f>(BQ618+BQ620)/2</f>
        <v>9.74</v>
      </c>
      <c r="BR619" s="120">
        <f>(BQ619+BS619)/2</f>
        <v>10.067</v>
      </c>
      <c r="BS619" s="120">
        <f>(BS618+BS620)/2</f>
        <v>10.394</v>
      </c>
      <c r="BT619" s="120">
        <f>(BS619+BU619)/2</f>
        <v>10.742000000000001</v>
      </c>
      <c r="BU619" s="120">
        <f>(BU618+BU620)/2</f>
        <v>11.09</v>
      </c>
      <c r="BV619" s="120">
        <f>(BU619+BW619)/2</f>
        <v>11.417</v>
      </c>
      <c r="BW619" s="120">
        <f>(BW618+BW620)/2</f>
        <v>11.744</v>
      </c>
      <c r="BX619" s="120">
        <f>(BW619+BY619)/2</f>
        <v>12.0655</v>
      </c>
      <c r="BY619" s="120">
        <f>(BY618+BY620)/2</f>
        <v>12.387</v>
      </c>
      <c r="BZ619" s="120">
        <f>(BY619+CA619)/2</f>
        <v>12.703250000000001</v>
      </c>
      <c r="CA619" s="120">
        <f>(CA618+CA620)/2</f>
        <v>13.019500000000001</v>
      </c>
      <c r="CB619" s="120">
        <f>(CA619+CC619)/2</f>
        <v>13.378500000000001</v>
      </c>
      <c r="CC619" s="120">
        <f>(CC618+CC620)/2</f>
        <v>13.737500000000001</v>
      </c>
      <c r="CD619" s="120">
        <f>(CC619+CE619)/2</f>
        <v>14.032500000000001</v>
      </c>
      <c r="CE619" s="120">
        <f>(CE618+CE620)/2</f>
        <v>14.327500000000001</v>
      </c>
      <c r="CF619" s="120">
        <f>(CE619+CG619)/2</f>
        <v>14.638249999999999</v>
      </c>
      <c r="CG619" s="120">
        <f>(CG618+CG620)/2</f>
        <v>14.948999999999998</v>
      </c>
      <c r="CH619" s="120">
        <f>(CG619+CI619)/2</f>
        <v>15.280999999999999</v>
      </c>
      <c r="CI619" s="120">
        <f>(CI618+CI620)/2</f>
        <v>15.613</v>
      </c>
      <c r="CJ619" s="120">
        <f>(CI619+CK619)/2</f>
        <v>15.934999999999999</v>
      </c>
      <c r="CK619" s="120">
        <f>(CK618+CK620)/2</f>
        <v>16.256999999999998</v>
      </c>
      <c r="CL619" s="120">
        <f>(CK619+CM619)/2</f>
        <v>16.540999999999997</v>
      </c>
      <c r="CM619" s="120">
        <f>(CM618+CM620)/2</f>
        <v>16.824999999999999</v>
      </c>
      <c r="CN619" s="120">
        <f>(CM619+CO619)/2</f>
        <v>17.1205</v>
      </c>
      <c r="CO619" s="120">
        <f>(CO618+CO620)/2</f>
        <v>17.416</v>
      </c>
      <c r="CP619" s="120">
        <f>(CO619+CQ619)/2</f>
        <v>17.7425</v>
      </c>
      <c r="CQ619" s="120">
        <f>(CQ618+CQ620)/2</f>
        <v>18.068999999999999</v>
      </c>
      <c r="CR619" s="120">
        <f>(CQ619+CS619)/2</f>
        <v>18.347999999999999</v>
      </c>
      <c r="CS619" s="120">
        <f>(CS618+CS620)/2</f>
        <v>18.627000000000002</v>
      </c>
      <c r="CT619" s="120">
        <f>(CS619+CU619)/2</f>
        <v>18.927250000000001</v>
      </c>
      <c r="CU619" s="120">
        <f>(CU618+CU620)/2</f>
        <v>19.227499999999999</v>
      </c>
      <c r="CV619" s="120">
        <f>(CU619+CW619)/2</f>
        <v>19.516999999999999</v>
      </c>
      <c r="CW619" s="120">
        <f>(CW618+CW620)/2</f>
        <v>19.8065</v>
      </c>
      <c r="CX619" s="120">
        <f>(CW619+CY619)/2</f>
        <v>20.1175</v>
      </c>
      <c r="CY619" s="120">
        <f>(CY618+CY620)/2</f>
        <v>20.4285</v>
      </c>
      <c r="CZ619" s="120">
        <f>(CY619+DA619)/2</f>
        <v>20.801000000000002</v>
      </c>
      <c r="DA619" s="120">
        <f>(DA618+DA620)/2</f>
        <v>21.173500000000001</v>
      </c>
      <c r="DB619" s="120">
        <f>(DA619+DC619)/2</f>
        <v>21.391249999999999</v>
      </c>
      <c r="DC619" s="120">
        <f>(DC618+DC620)/2</f>
        <v>21.609000000000002</v>
      </c>
      <c r="DD619" s="120">
        <f>(DC619+DE619)/2</f>
        <v>21.892749999999999</v>
      </c>
      <c r="DE619" s="120">
        <f>(DE618+DE620)/2</f>
        <v>22.176499999999997</v>
      </c>
      <c r="DF619" s="120">
        <f>(DE619+DG619)/2</f>
        <v>22.471999999999998</v>
      </c>
      <c r="DG619" s="122">
        <f>(DG618+DG620)/2</f>
        <v>22.767499999999998</v>
      </c>
    </row>
    <row r="620" spans="54:111" ht="15" customHeight="1" x14ac:dyDescent="0.2">
      <c r="BB620" s="28">
        <v>6</v>
      </c>
      <c r="BC620" s="121">
        <v>4.5419999999999998</v>
      </c>
      <c r="BD620" s="121">
        <f t="array" ref="BD620:BD674">TRANSPOSE(BE619:DG619)</f>
        <v>5.0395000000000003</v>
      </c>
      <c r="BE620" s="158">
        <v>5.5369999999999999</v>
      </c>
      <c r="BF620" s="120">
        <f>(BG620+BE620)/2</f>
        <v>6.0449999999999999</v>
      </c>
      <c r="BG620" s="158">
        <v>6.5529999999999999</v>
      </c>
      <c r="BH620" s="120">
        <f>(BI620+BG620)/2</f>
        <v>6.9870000000000001</v>
      </c>
      <c r="BI620" s="158">
        <v>7.4210000000000003</v>
      </c>
      <c r="BJ620" s="120">
        <f>(BK620+BI620)/2</f>
        <v>7.8650000000000002</v>
      </c>
      <c r="BK620" s="158">
        <v>8.3089999999999993</v>
      </c>
      <c r="BL620" s="120">
        <f>(BM620+BK620)/2</f>
        <v>8.6789999999999985</v>
      </c>
      <c r="BM620" s="158">
        <v>9.0489999999999995</v>
      </c>
      <c r="BN620" s="120">
        <f>(BO620+BM620)/2</f>
        <v>9.43</v>
      </c>
      <c r="BO620" s="158">
        <v>9.8109999999999999</v>
      </c>
      <c r="BP620" s="120">
        <f>(BQ620+BO620)/2</f>
        <v>10.2445</v>
      </c>
      <c r="BQ620" s="158">
        <v>10.678000000000001</v>
      </c>
      <c r="BR620" s="120">
        <f>(BS620+BQ620)/2</f>
        <v>11.058</v>
      </c>
      <c r="BS620" s="158">
        <v>11.438000000000001</v>
      </c>
      <c r="BT620" s="120">
        <f>(BU620+BS620)/2</f>
        <v>11.808</v>
      </c>
      <c r="BU620" s="158">
        <v>12.178000000000001</v>
      </c>
      <c r="BV620" s="120">
        <f>(BW620+BU620)/2</f>
        <v>12.558</v>
      </c>
      <c r="BW620" s="158">
        <v>12.938000000000001</v>
      </c>
      <c r="BX620" s="120">
        <f>(BY620+BW620)/2</f>
        <v>13.244</v>
      </c>
      <c r="BY620" s="158">
        <v>13.55</v>
      </c>
      <c r="BZ620" s="120">
        <f>(CA620+BY620)/2</f>
        <v>13.9305</v>
      </c>
      <c r="CA620" s="158">
        <v>14.311</v>
      </c>
      <c r="CB620" s="120">
        <f>(CC620+CA620)/2</f>
        <v>14.6815</v>
      </c>
      <c r="CC620" s="158">
        <v>15.052</v>
      </c>
      <c r="CD620" s="120">
        <f>(CE620+CC620)/2</f>
        <v>15.367999999999999</v>
      </c>
      <c r="CE620" s="158">
        <v>15.683999999999999</v>
      </c>
      <c r="CF620" s="120">
        <f>(CG620+CE620)/2</f>
        <v>16.0535</v>
      </c>
      <c r="CG620" s="158">
        <v>16.422999999999998</v>
      </c>
      <c r="CH620" s="120">
        <f>(CI620+CG620)/2</f>
        <v>16.7395</v>
      </c>
      <c r="CI620" s="158">
        <v>17.056000000000001</v>
      </c>
      <c r="CJ620" s="120">
        <f>(CK620+CI620)/2</f>
        <v>17.426000000000002</v>
      </c>
      <c r="CK620" s="158">
        <v>17.795999999999999</v>
      </c>
      <c r="CL620" s="120">
        <f>(CM620+CK620)/2</f>
        <v>18.112499999999997</v>
      </c>
      <c r="CM620" s="158">
        <v>18.428999999999998</v>
      </c>
      <c r="CN620" s="120">
        <f>(CO620+CM620)/2</f>
        <v>18.735500000000002</v>
      </c>
      <c r="CO620" s="158">
        <v>19.042000000000002</v>
      </c>
      <c r="CP620" s="120">
        <f>(CQ620+CO620)/2</f>
        <v>19.421500000000002</v>
      </c>
      <c r="CQ620" s="158">
        <v>19.800999999999998</v>
      </c>
      <c r="CR620" s="120">
        <f>(CS620+CQ620)/2</f>
        <v>20.106999999999999</v>
      </c>
      <c r="CS620" s="158">
        <v>20.413</v>
      </c>
      <c r="CT620" s="120">
        <f>(CU620+CS620)/2</f>
        <v>20.729500000000002</v>
      </c>
      <c r="CU620" s="158">
        <v>21.045999999999999</v>
      </c>
      <c r="CV620" s="120">
        <f>(CW620+CU620)/2</f>
        <v>21.352</v>
      </c>
      <c r="CW620" s="158">
        <v>21.658000000000001</v>
      </c>
      <c r="CX620" s="120">
        <f>(CY620+CW620)/2</f>
        <v>22.027999999999999</v>
      </c>
      <c r="CY620" s="158">
        <v>22.398</v>
      </c>
      <c r="CZ620" s="120">
        <f>(DA620+CY620)/2</f>
        <v>22.859000000000002</v>
      </c>
      <c r="DA620" s="158">
        <v>23.32</v>
      </c>
      <c r="DB620" s="120">
        <f>(DC620+DA620)/2</f>
        <v>23.4815</v>
      </c>
      <c r="DC620" s="158">
        <v>23.643000000000001</v>
      </c>
      <c r="DD620" s="120">
        <f>(DE620+DC620)/2</f>
        <v>23.959</v>
      </c>
      <c r="DE620" s="158">
        <v>24.274999999999999</v>
      </c>
      <c r="DF620" s="120">
        <f>(DG620+DE620)/2</f>
        <v>24.581499999999998</v>
      </c>
      <c r="DG620" s="159">
        <v>24.888000000000002</v>
      </c>
    </row>
    <row r="621" spans="54:111" ht="15" customHeight="1" x14ac:dyDescent="0.2">
      <c r="BB621" s="28">
        <v>7</v>
      </c>
      <c r="BC621" s="121">
        <v>4.9435000000000002</v>
      </c>
      <c r="BD621" s="121">
        <v>5.4942500000000001</v>
      </c>
      <c r="BE621" s="121">
        <f t="array" ref="BE621:BE674">TRANSPOSE(BF620:DG620)</f>
        <v>6.0449999999999999</v>
      </c>
      <c r="BF621" s="120">
        <f>(BE621+BG621)/2</f>
        <v>6.5692500000000003</v>
      </c>
      <c r="BG621" s="120">
        <f>(BG620+BG622)/2</f>
        <v>7.0935000000000006</v>
      </c>
      <c r="BH621" s="120">
        <f>(BG621+BI621)/2</f>
        <v>7.5545</v>
      </c>
      <c r="BI621" s="120">
        <f>(BI620+BI622)/2</f>
        <v>8.0154999999999994</v>
      </c>
      <c r="BJ621" s="120">
        <f>(BI621+BK621)/2</f>
        <v>8.4759999999999991</v>
      </c>
      <c r="BK621" s="120">
        <f>(BK620+BK622)/2</f>
        <v>8.9364999999999988</v>
      </c>
      <c r="BL621" s="120">
        <f>(BK621+BM621)/2</f>
        <v>9.3544999999999998</v>
      </c>
      <c r="BM621" s="120">
        <f>(BM620+BM622)/2</f>
        <v>9.7725000000000009</v>
      </c>
      <c r="BN621" s="120">
        <f>(BM621+BO621)/2</f>
        <v>10.212250000000001</v>
      </c>
      <c r="BO621" s="120">
        <f>(BO620+BO622)/2</f>
        <v>10.652000000000001</v>
      </c>
      <c r="BP621" s="120">
        <f>(BO621+BQ621)/2</f>
        <v>11.106750000000002</v>
      </c>
      <c r="BQ621" s="120">
        <f>(BQ620+BQ622)/2</f>
        <v>11.561500000000001</v>
      </c>
      <c r="BR621" s="120">
        <f>(BQ621+BS621)/2</f>
        <v>11.952750000000002</v>
      </c>
      <c r="BS621" s="120">
        <f>(BS620+BS622)/2</f>
        <v>12.344000000000001</v>
      </c>
      <c r="BT621" s="120">
        <f>(BS621+BU621)/2</f>
        <v>12.746500000000001</v>
      </c>
      <c r="BU621" s="120">
        <f>(BU620+BU622)/2</f>
        <v>13.149000000000001</v>
      </c>
      <c r="BV621" s="120">
        <f>(BU621+BW621)/2</f>
        <v>13.545250000000001</v>
      </c>
      <c r="BW621" s="120">
        <f>(BW620+BW622)/2</f>
        <v>13.941500000000001</v>
      </c>
      <c r="BX621" s="120">
        <f>(BW621+BY621)/2</f>
        <v>14.295250000000001</v>
      </c>
      <c r="BY621" s="120">
        <f>(BY620+BY622)/2</f>
        <v>14.649000000000001</v>
      </c>
      <c r="BZ621" s="120">
        <f>(BY621+CA621)/2</f>
        <v>15.056750000000001</v>
      </c>
      <c r="CA621" s="120">
        <f>(CA620+CA622)/2</f>
        <v>15.464499999999999</v>
      </c>
      <c r="CB621" s="120">
        <f>(CA621+CC621)/2</f>
        <v>15.856249999999999</v>
      </c>
      <c r="CC621" s="120">
        <f>(CC620+CC622)/2</f>
        <v>16.247999999999998</v>
      </c>
      <c r="CD621" s="120">
        <f>(CC621+CE621)/2</f>
        <v>16.606999999999999</v>
      </c>
      <c r="CE621" s="120">
        <f>(CE620+CE622)/2</f>
        <v>16.966000000000001</v>
      </c>
      <c r="CF621" s="120">
        <f>(CE621+CG621)/2</f>
        <v>17.335750000000001</v>
      </c>
      <c r="CG621" s="120">
        <f>(CG620+CG622)/2</f>
        <v>17.705500000000001</v>
      </c>
      <c r="CH621" s="120">
        <f>(CG621+CI621)/2</f>
        <v>18.070250000000001</v>
      </c>
      <c r="CI621" s="120">
        <f>(CI620+CI622)/2</f>
        <v>18.435000000000002</v>
      </c>
      <c r="CJ621" s="120">
        <f>(CI621+CK621)/2</f>
        <v>18.821249999999999</v>
      </c>
      <c r="CK621" s="120">
        <f>(CK620+CK622)/2</f>
        <v>19.2075</v>
      </c>
      <c r="CL621" s="120">
        <f>(CK621+CM621)/2</f>
        <v>19.55125</v>
      </c>
      <c r="CM621" s="120">
        <f>(CM620+CM622)/2</f>
        <v>19.895</v>
      </c>
      <c r="CN621" s="120">
        <f>(CM621+CO621)/2</f>
        <v>20.249000000000002</v>
      </c>
      <c r="CO621" s="120">
        <f>(CO620+CO622)/2</f>
        <v>20.603000000000002</v>
      </c>
      <c r="CP621" s="120">
        <f>(CO621+CQ621)/2</f>
        <v>20.966999999999999</v>
      </c>
      <c r="CQ621" s="120">
        <f>(CQ620+CQ622)/2</f>
        <v>21.331</v>
      </c>
      <c r="CR621" s="120">
        <f>(CQ621+CS621)/2</f>
        <v>21.701500000000003</v>
      </c>
      <c r="CS621" s="120">
        <f>(CS620+CS622)/2</f>
        <v>22.072000000000003</v>
      </c>
      <c r="CT621" s="120">
        <f>(CS621+CU621)/2</f>
        <v>22.399500000000003</v>
      </c>
      <c r="CU621" s="120">
        <f>(CU620+CU622)/2</f>
        <v>22.727</v>
      </c>
      <c r="CV621" s="120">
        <f>(CU621+CW621)/2</f>
        <v>23.08625</v>
      </c>
      <c r="CW621" s="120">
        <f>(CW620+CW622)/2</f>
        <v>23.445500000000003</v>
      </c>
      <c r="CX621" s="120">
        <f>(CW621+CY621)/2</f>
        <v>23.815750000000001</v>
      </c>
      <c r="CY621" s="120">
        <f>(CY620+CY622)/2</f>
        <v>24.186</v>
      </c>
      <c r="CZ621" s="120">
        <f>(CY621+DA621)/2</f>
        <v>24.585750000000001</v>
      </c>
      <c r="DA621" s="120">
        <f>(DA620+DA622)/2</f>
        <v>24.985500000000002</v>
      </c>
      <c r="DB621" s="120">
        <f>(DA621+DC621)/2</f>
        <v>25.272500000000001</v>
      </c>
      <c r="DC621" s="120">
        <f>(DC620+DC622)/2</f>
        <v>25.5595</v>
      </c>
      <c r="DD621" s="120">
        <f>(DC621+DE621)/2</f>
        <v>25.902749999999997</v>
      </c>
      <c r="DE621" s="120">
        <f>(DE620+DE622)/2</f>
        <v>26.245999999999999</v>
      </c>
      <c r="DF621" s="120">
        <f>(DE621+DG621)/2</f>
        <v>26.5685</v>
      </c>
      <c r="DG621" s="122">
        <f>(DG620+DG622)/2</f>
        <v>26.890999999999998</v>
      </c>
    </row>
    <row r="622" spans="54:111" ht="15" customHeight="1" x14ac:dyDescent="0.2">
      <c r="BB622" s="28">
        <v>8</v>
      </c>
      <c r="BC622" s="121">
        <v>5.3449999999999998</v>
      </c>
      <c r="BD622" s="121">
        <v>5.9489999999999998</v>
      </c>
      <c r="BE622" s="121">
        <v>6.5529999999999999</v>
      </c>
      <c r="BF622" s="121">
        <f t="array" ref="BF622:BF674">TRANSPOSE(BG621:DG621)</f>
        <v>7.0935000000000006</v>
      </c>
      <c r="BG622" s="158">
        <v>7.6340000000000003</v>
      </c>
      <c r="BH622" s="120">
        <f>(BI622+BG622)/2</f>
        <v>8.1219999999999999</v>
      </c>
      <c r="BI622" s="158">
        <v>8.61</v>
      </c>
      <c r="BJ622" s="120">
        <f>(BK622+BI622)/2</f>
        <v>9.0869999999999997</v>
      </c>
      <c r="BK622" s="158">
        <v>9.5640000000000001</v>
      </c>
      <c r="BL622" s="120">
        <f>(BM622+BK622)/2</f>
        <v>10.030000000000001</v>
      </c>
      <c r="BM622" s="158">
        <v>10.496</v>
      </c>
      <c r="BN622" s="120">
        <f>(BO622+BM622)/2</f>
        <v>10.9945</v>
      </c>
      <c r="BO622" s="158">
        <v>11.493</v>
      </c>
      <c r="BP622" s="120">
        <f>(BQ622+BO622)/2</f>
        <v>11.969000000000001</v>
      </c>
      <c r="BQ622" s="158">
        <v>12.445</v>
      </c>
      <c r="BR622" s="120">
        <f>(BS622+BQ622)/2</f>
        <v>12.8475</v>
      </c>
      <c r="BS622" s="158">
        <v>13.25</v>
      </c>
      <c r="BT622" s="120">
        <f>(BU622+BS622)/2</f>
        <v>13.684999999999999</v>
      </c>
      <c r="BU622" s="158">
        <v>14.12</v>
      </c>
      <c r="BV622" s="120">
        <f>(BW622+BU622)/2</f>
        <v>14.532499999999999</v>
      </c>
      <c r="BW622" s="158">
        <v>14.945</v>
      </c>
      <c r="BX622" s="120">
        <f>(BY622+BW622)/2</f>
        <v>15.346499999999999</v>
      </c>
      <c r="BY622" s="158">
        <v>15.747999999999999</v>
      </c>
      <c r="BZ622" s="120">
        <f>(CA622+BY622)/2</f>
        <v>16.183</v>
      </c>
      <c r="CA622" s="158">
        <v>16.617999999999999</v>
      </c>
      <c r="CB622" s="120">
        <f>(CC622+CA622)/2</f>
        <v>17.030999999999999</v>
      </c>
      <c r="CC622" s="158">
        <v>17.443999999999999</v>
      </c>
      <c r="CD622" s="120">
        <f>(CE622+CC622)/2</f>
        <v>17.846</v>
      </c>
      <c r="CE622" s="158">
        <v>18.248000000000001</v>
      </c>
      <c r="CF622" s="120">
        <f>(CG622+CE622)/2</f>
        <v>18.618000000000002</v>
      </c>
      <c r="CG622" s="158">
        <v>18.988</v>
      </c>
      <c r="CH622" s="120">
        <f>(CI622+CG622)/2</f>
        <v>19.401</v>
      </c>
      <c r="CI622" s="158">
        <v>19.814</v>
      </c>
      <c r="CJ622" s="120">
        <f>(CK622+CI622)/2</f>
        <v>20.2165</v>
      </c>
      <c r="CK622" s="158">
        <v>20.619</v>
      </c>
      <c r="CL622" s="120">
        <f>(CM622+CK622)/2</f>
        <v>20.990000000000002</v>
      </c>
      <c r="CM622" s="158">
        <v>21.361000000000001</v>
      </c>
      <c r="CN622" s="120">
        <f>(CO622+CM622)/2</f>
        <v>21.762500000000003</v>
      </c>
      <c r="CO622" s="158">
        <v>22.164000000000001</v>
      </c>
      <c r="CP622" s="120">
        <f>(CQ622+CO622)/2</f>
        <v>22.512500000000003</v>
      </c>
      <c r="CQ622" s="158">
        <v>22.861000000000001</v>
      </c>
      <c r="CR622" s="120">
        <f>(CS622+CQ622)/2</f>
        <v>23.295999999999999</v>
      </c>
      <c r="CS622" s="158">
        <v>23.731000000000002</v>
      </c>
      <c r="CT622" s="120">
        <f>(CU622+CS622)/2</f>
        <v>24.069500000000001</v>
      </c>
      <c r="CU622" s="158">
        <v>24.408000000000001</v>
      </c>
      <c r="CV622" s="120">
        <f>(CW622+CU622)/2</f>
        <v>24.820500000000003</v>
      </c>
      <c r="CW622" s="158">
        <v>25.233000000000001</v>
      </c>
      <c r="CX622" s="120">
        <f>(CY622+CW622)/2</f>
        <v>25.6035</v>
      </c>
      <c r="CY622" s="158">
        <v>25.974</v>
      </c>
      <c r="CZ622" s="120">
        <f>(DA622+CY622)/2</f>
        <v>26.3125</v>
      </c>
      <c r="DA622" s="158">
        <v>26.651</v>
      </c>
      <c r="DB622" s="120">
        <f>(DC622+DA622)/2</f>
        <v>27.063499999999998</v>
      </c>
      <c r="DC622" s="158">
        <v>27.475999999999999</v>
      </c>
      <c r="DD622" s="120">
        <f>(DE622+DC622)/2</f>
        <v>27.846499999999999</v>
      </c>
      <c r="DE622" s="158">
        <v>28.216999999999999</v>
      </c>
      <c r="DF622" s="120">
        <f>(DG622+DE622)/2</f>
        <v>28.555499999999999</v>
      </c>
      <c r="DG622" s="159">
        <v>28.893999999999998</v>
      </c>
    </row>
    <row r="623" spans="54:111" ht="15" customHeight="1" x14ac:dyDescent="0.2">
      <c r="BB623" s="28">
        <v>9</v>
      </c>
      <c r="BC623" s="121">
        <v>5.6705000000000005</v>
      </c>
      <c r="BD623" s="121">
        <v>6.3287500000000003</v>
      </c>
      <c r="BE623" s="121">
        <v>6.9870000000000001</v>
      </c>
      <c r="BF623" s="121">
        <v>7.5545</v>
      </c>
      <c r="BG623" s="121">
        <f t="array" ref="BG623:BG674">TRANSPOSE(BH622:DG622)</f>
        <v>8.1219999999999999</v>
      </c>
      <c r="BH623" s="120">
        <f>(BG623+BI623)/2</f>
        <v>8.6524999999999999</v>
      </c>
      <c r="BI623" s="120">
        <f>(BI622+BI624)/2</f>
        <v>9.1829999999999998</v>
      </c>
      <c r="BJ623" s="120">
        <f>(BI623+BK623)/2</f>
        <v>9.71875</v>
      </c>
      <c r="BK623" s="120">
        <f>(BK622+BK624)/2</f>
        <v>10.2545</v>
      </c>
      <c r="BL623" s="120">
        <f>(BK623+BM623)/2</f>
        <v>10.753</v>
      </c>
      <c r="BM623" s="120">
        <f>(BM622+BM624)/2</f>
        <v>11.2515</v>
      </c>
      <c r="BN623" s="120">
        <f>(BM623+BO623)/2</f>
        <v>11.75</v>
      </c>
      <c r="BO623" s="120">
        <f>(BO622+BO624)/2</f>
        <v>12.2485</v>
      </c>
      <c r="BP623" s="120">
        <f>(BO623+BQ623)/2</f>
        <v>12.752000000000001</v>
      </c>
      <c r="BQ623" s="120">
        <f>(BQ622+BQ624)/2</f>
        <v>13.255500000000001</v>
      </c>
      <c r="BR623" s="120">
        <f>(BQ623+BS623)/2</f>
        <v>13.68975</v>
      </c>
      <c r="BS623" s="120">
        <f>(BS622+BS624)/2</f>
        <v>14.123999999999999</v>
      </c>
      <c r="BT623" s="120">
        <f>(BS623+BU623)/2</f>
        <v>14.59625</v>
      </c>
      <c r="BU623" s="120">
        <f>(BU622+BU624)/2</f>
        <v>15.0685</v>
      </c>
      <c r="BV623" s="120">
        <f>(BU623+BW623)/2</f>
        <v>15.50825</v>
      </c>
      <c r="BW623" s="120">
        <f>(BW622+BW624)/2</f>
        <v>15.948</v>
      </c>
      <c r="BX623" s="120">
        <f>(BW623+BY623)/2</f>
        <v>16.376750000000001</v>
      </c>
      <c r="BY623" s="120">
        <f>(BY622+BY624)/2</f>
        <v>16.805499999999999</v>
      </c>
      <c r="BZ623" s="120">
        <f>(BY623+CA623)/2</f>
        <v>17.2455</v>
      </c>
      <c r="CA623" s="120">
        <f>(CA622+CA624)/2</f>
        <v>17.685499999999998</v>
      </c>
      <c r="CB623" s="120">
        <f>(CA623+CC623)/2</f>
        <v>18.125499999999999</v>
      </c>
      <c r="CC623" s="120">
        <f>(CC622+CC624)/2</f>
        <v>18.5655</v>
      </c>
      <c r="CD623" s="120">
        <f>(CC623+CE623)/2</f>
        <v>19</v>
      </c>
      <c r="CE623" s="120">
        <f>(CE622+CE624)/2</f>
        <v>19.4345</v>
      </c>
      <c r="CF623" s="120">
        <f>(CE623+CG623)/2</f>
        <v>19.841750000000001</v>
      </c>
      <c r="CG623" s="120">
        <f>(CG622+CG624)/2</f>
        <v>20.249000000000002</v>
      </c>
      <c r="CH623" s="120">
        <f>(CG623+CI623)/2</f>
        <v>20.684000000000001</v>
      </c>
      <c r="CI623" s="120">
        <f>(CI622+CI624)/2</f>
        <v>21.119</v>
      </c>
      <c r="CJ623" s="120">
        <f>(CI623+CK623)/2</f>
        <v>21.5535</v>
      </c>
      <c r="CK623" s="120">
        <f>(CK622+CK624)/2</f>
        <v>21.988</v>
      </c>
      <c r="CL623" s="120">
        <f>(CK623+CM623)/2</f>
        <v>22.396250000000002</v>
      </c>
      <c r="CM623" s="120">
        <f>(CM622+CM624)/2</f>
        <v>22.804500000000001</v>
      </c>
      <c r="CN623" s="120">
        <f>(CM623+CO623)/2</f>
        <v>23.206499999999998</v>
      </c>
      <c r="CO623" s="120">
        <f>(CO622+CO624)/2</f>
        <v>23.608499999999999</v>
      </c>
      <c r="CP623" s="120">
        <f>(CO623+CQ623)/2</f>
        <v>24.015999999999998</v>
      </c>
      <c r="CQ623" s="120">
        <f>(CQ622+CQ624)/2</f>
        <v>24.423500000000001</v>
      </c>
      <c r="CR623" s="120">
        <f>(CQ623+CS623)/2</f>
        <v>24.858499999999999</v>
      </c>
      <c r="CS623" s="120">
        <f>(CS622+CS624)/2</f>
        <v>25.293500000000002</v>
      </c>
      <c r="CT623" s="120">
        <f>(CS623+CU623)/2</f>
        <v>25.664250000000003</v>
      </c>
      <c r="CU623" s="120">
        <f>(CU622+CU624)/2</f>
        <v>26.035</v>
      </c>
      <c r="CV623" s="120">
        <f>(CU623+CW623)/2</f>
        <v>26.474499999999999</v>
      </c>
      <c r="CW623" s="120">
        <f>(CW622+CW624)/2</f>
        <v>26.914000000000001</v>
      </c>
      <c r="CX623" s="120">
        <f>(CW623+CY623)/2</f>
        <v>27.289750000000002</v>
      </c>
      <c r="CY623" s="120">
        <f>(CY622+CY624)/2</f>
        <v>27.665500000000002</v>
      </c>
      <c r="CZ623" s="120">
        <f>(CY623+DA623)/2</f>
        <v>28.068249999999999</v>
      </c>
      <c r="DA623" s="120">
        <f>(DA622+DA624)/2</f>
        <v>28.471</v>
      </c>
      <c r="DB623" s="120">
        <f>(DA623+DC623)/2</f>
        <v>28.8735</v>
      </c>
      <c r="DC623" s="120">
        <f>(DC622+DC624)/2</f>
        <v>29.276</v>
      </c>
      <c r="DD623" s="120">
        <f>(DC623+DE623)/2</f>
        <v>29.683999999999997</v>
      </c>
      <c r="DE623" s="120">
        <f>(DE622+DE624)/2</f>
        <v>30.091999999999999</v>
      </c>
      <c r="DF623" s="120">
        <f>(DE623+DG623)/2</f>
        <v>30.462499999999999</v>
      </c>
      <c r="DG623" s="122">
        <f>(DG622+DG624)/2</f>
        <v>30.832999999999998</v>
      </c>
    </row>
    <row r="624" spans="54:111" ht="15" customHeight="1" x14ac:dyDescent="0.2">
      <c r="BB624" s="28">
        <v>10</v>
      </c>
      <c r="BC624" s="121">
        <v>5.9960000000000004</v>
      </c>
      <c r="BD624" s="121">
        <v>6.7085000000000008</v>
      </c>
      <c r="BE624" s="121">
        <v>7.4210000000000003</v>
      </c>
      <c r="BF624" s="121">
        <v>8.0154999999999994</v>
      </c>
      <c r="BG624" s="121">
        <v>8.61</v>
      </c>
      <c r="BH624" s="121">
        <f t="array" ref="BH624:BH674">TRANSPOSE(BI623:DG623)</f>
        <v>9.1829999999999998</v>
      </c>
      <c r="BI624" s="158">
        <v>9.7560000000000002</v>
      </c>
      <c r="BJ624" s="120">
        <f>(BK624+BI624)/2</f>
        <v>10.3505</v>
      </c>
      <c r="BK624" s="158">
        <v>10.945</v>
      </c>
      <c r="BL624" s="120">
        <f>(BM624+BK624)/2</f>
        <v>11.475999999999999</v>
      </c>
      <c r="BM624" s="158">
        <v>12.007</v>
      </c>
      <c r="BN624" s="120">
        <f>(BO624+BM624)/2</f>
        <v>12.5055</v>
      </c>
      <c r="BO624" s="158">
        <v>13.004</v>
      </c>
      <c r="BP624" s="120">
        <f>(BQ624+BO624)/2</f>
        <v>13.535</v>
      </c>
      <c r="BQ624" s="158">
        <v>14.066000000000001</v>
      </c>
      <c r="BR624" s="120">
        <f>(BS624+BQ624)/2</f>
        <v>14.532</v>
      </c>
      <c r="BS624" s="158">
        <v>14.997999999999999</v>
      </c>
      <c r="BT624" s="120">
        <f>(BU624+BS624)/2</f>
        <v>15.5075</v>
      </c>
      <c r="BU624" s="158">
        <v>16.016999999999999</v>
      </c>
      <c r="BV624" s="120">
        <f>(BW624+BU624)/2</f>
        <v>16.484000000000002</v>
      </c>
      <c r="BW624" s="158">
        <v>16.951000000000001</v>
      </c>
      <c r="BX624" s="120">
        <f>(BY624+BW624)/2</f>
        <v>17.407</v>
      </c>
      <c r="BY624" s="158">
        <v>17.863</v>
      </c>
      <c r="BZ624" s="120">
        <f>(CA624+BY624)/2</f>
        <v>18.308</v>
      </c>
      <c r="CA624" s="158">
        <v>18.753</v>
      </c>
      <c r="CB624" s="120">
        <f>(CC624+CA624)/2</f>
        <v>19.22</v>
      </c>
      <c r="CC624" s="158">
        <v>19.687000000000001</v>
      </c>
      <c r="CD624" s="120">
        <f>(CE624+CC624)/2</f>
        <v>20.154</v>
      </c>
      <c r="CE624" s="158">
        <v>20.620999999999999</v>
      </c>
      <c r="CF624" s="120">
        <f>(CG624+CE624)/2</f>
        <v>21.0655</v>
      </c>
      <c r="CG624" s="158">
        <v>21.51</v>
      </c>
      <c r="CH624" s="120">
        <f>(CI624+CG624)/2</f>
        <v>21.966999999999999</v>
      </c>
      <c r="CI624" s="158">
        <v>22.423999999999999</v>
      </c>
      <c r="CJ624" s="120">
        <f>(CK624+CI624)/2</f>
        <v>22.890499999999999</v>
      </c>
      <c r="CK624" s="158">
        <v>23.356999999999999</v>
      </c>
      <c r="CL624" s="120">
        <f>(CM624+CK624)/2</f>
        <v>23.802500000000002</v>
      </c>
      <c r="CM624" s="158">
        <v>24.248000000000001</v>
      </c>
      <c r="CN624" s="120">
        <f>(CO624+CM624)/2</f>
        <v>24.650500000000001</v>
      </c>
      <c r="CO624" s="158">
        <v>25.053000000000001</v>
      </c>
      <c r="CP624" s="120">
        <f>(CQ624+CO624)/2</f>
        <v>25.519500000000001</v>
      </c>
      <c r="CQ624" s="158">
        <v>25.986000000000001</v>
      </c>
      <c r="CR624" s="120">
        <f>(CS624+CQ624)/2</f>
        <v>26.420999999999999</v>
      </c>
      <c r="CS624" s="158">
        <v>26.856000000000002</v>
      </c>
      <c r="CT624" s="120">
        <f>(CU624+CS624)/2</f>
        <v>27.259</v>
      </c>
      <c r="CU624" s="158">
        <v>27.661999999999999</v>
      </c>
      <c r="CV624" s="120">
        <f>(CW624+CU624)/2</f>
        <v>28.128499999999999</v>
      </c>
      <c r="CW624" s="158">
        <v>28.594999999999999</v>
      </c>
      <c r="CX624" s="120">
        <f>(CY624+CW624)/2</f>
        <v>28.975999999999999</v>
      </c>
      <c r="CY624" s="158">
        <v>29.356999999999999</v>
      </c>
      <c r="CZ624" s="120">
        <f>(DA624+CY624)/2</f>
        <v>29.823999999999998</v>
      </c>
      <c r="DA624" s="158">
        <v>30.291</v>
      </c>
      <c r="DB624" s="120">
        <f>(DC624+DA624)/2</f>
        <v>30.683500000000002</v>
      </c>
      <c r="DC624" s="158">
        <v>31.076000000000001</v>
      </c>
      <c r="DD624" s="120">
        <f>(DE624+DC624)/2</f>
        <v>31.5215</v>
      </c>
      <c r="DE624" s="158">
        <v>31.966999999999999</v>
      </c>
      <c r="DF624" s="120">
        <f>(DG624+DE624)/2</f>
        <v>32.369500000000002</v>
      </c>
      <c r="DG624" s="159">
        <v>32.771999999999998</v>
      </c>
    </row>
    <row r="625" spans="54:111" ht="15" customHeight="1" x14ac:dyDescent="0.2">
      <c r="BB625" s="28">
        <v>11</v>
      </c>
      <c r="BC625" s="121">
        <v>6.3975000000000009</v>
      </c>
      <c r="BD625" s="121">
        <v>7.1312500000000005</v>
      </c>
      <c r="BE625" s="121">
        <v>7.8650000000000002</v>
      </c>
      <c r="BF625" s="121">
        <v>8.4759999999999991</v>
      </c>
      <c r="BG625" s="121">
        <v>9.0869999999999997</v>
      </c>
      <c r="BH625" s="121">
        <v>9.71875</v>
      </c>
      <c r="BI625" s="121">
        <f t="array" ref="BI625:BI674">TRANSPOSE(BJ624:DG624)</f>
        <v>10.3505</v>
      </c>
      <c r="BJ625" s="120">
        <f>(BI625+BK625)/2</f>
        <v>10.96125</v>
      </c>
      <c r="BK625" s="120">
        <f>(BK624+BK626)/2</f>
        <v>11.571999999999999</v>
      </c>
      <c r="BL625" s="120">
        <f>(BK625+BM625)/2</f>
        <v>12.119249999999999</v>
      </c>
      <c r="BM625" s="120">
        <f>(BM624+BM626)/2</f>
        <v>12.666499999999999</v>
      </c>
      <c r="BN625" s="120">
        <f>(BM625+BO625)/2</f>
        <v>13.19725</v>
      </c>
      <c r="BO625" s="120">
        <f>(BO624+BO626)/2</f>
        <v>13.728</v>
      </c>
      <c r="BP625" s="120">
        <f>(BO625+BQ625)/2</f>
        <v>14.524999999999999</v>
      </c>
      <c r="BQ625" s="120">
        <f>(BQ624+BQ626)/2</f>
        <v>15.321999999999999</v>
      </c>
      <c r="BR625" s="120">
        <f>(BQ625+BS625)/2</f>
        <v>15.586749999999999</v>
      </c>
      <c r="BS625" s="120">
        <f>(BS624+BS626)/2</f>
        <v>15.851499999999998</v>
      </c>
      <c r="BT625" s="120">
        <f>(BS625+BU625)/2</f>
        <v>16.387499999999996</v>
      </c>
      <c r="BU625" s="120">
        <f>(BU624+BU626)/2</f>
        <v>16.923499999999997</v>
      </c>
      <c r="BV625" s="120">
        <f>(BU625+BW625)/2</f>
        <v>17.406499999999998</v>
      </c>
      <c r="BW625" s="120">
        <f>(BW624+BW626)/2</f>
        <v>17.889499999999998</v>
      </c>
      <c r="BX625" s="120">
        <f>(BW625+BY625)/2</f>
        <v>18.393999999999998</v>
      </c>
      <c r="BY625" s="120">
        <f>(BY624+BY626)/2</f>
        <v>18.898499999999999</v>
      </c>
      <c r="BZ625" s="120">
        <f>(BY625+CA625)/2</f>
        <v>19.3705</v>
      </c>
      <c r="CA625" s="120">
        <f>(CA624+CA626)/2</f>
        <v>19.842500000000001</v>
      </c>
      <c r="CB625" s="120">
        <f>(CA625+CC625)/2</f>
        <v>20.325749999999999</v>
      </c>
      <c r="CC625" s="120">
        <f>(CC624+CC626)/2</f>
        <v>20.809000000000001</v>
      </c>
      <c r="CD625" s="120">
        <f>(CC625+CE625)/2</f>
        <v>21.292000000000002</v>
      </c>
      <c r="CE625" s="120">
        <f>(CE624+CE626)/2</f>
        <v>21.774999999999999</v>
      </c>
      <c r="CF625" s="120">
        <f>(CE625+CG625)/2</f>
        <v>22.247</v>
      </c>
      <c r="CG625" s="120">
        <f>(CG624+CG626)/2</f>
        <v>22.719000000000001</v>
      </c>
      <c r="CH625" s="120">
        <f>(CG625+CI625)/2</f>
        <v>23.196999999999999</v>
      </c>
      <c r="CI625" s="120">
        <f>(CI624+CI626)/2</f>
        <v>23.674999999999997</v>
      </c>
      <c r="CJ625" s="120">
        <f>(CI625+CK625)/2</f>
        <v>24.15775</v>
      </c>
      <c r="CK625" s="120">
        <f>(CK624+CK626)/2</f>
        <v>24.640499999999999</v>
      </c>
      <c r="CL625" s="120">
        <f>(CK625+CM625)/2</f>
        <v>25.113</v>
      </c>
      <c r="CM625" s="120">
        <f>(CM624+CM626)/2</f>
        <v>25.5855</v>
      </c>
      <c r="CN625" s="120">
        <f>(CM625+CO625)/2</f>
        <v>26.036250000000003</v>
      </c>
      <c r="CO625" s="120">
        <f>(CO624+CO626)/2</f>
        <v>26.487000000000002</v>
      </c>
      <c r="CP625" s="120">
        <f>(CO625+CQ625)/2</f>
        <v>26.969750000000001</v>
      </c>
      <c r="CQ625" s="120">
        <f>(CQ624+CQ626)/2</f>
        <v>27.452500000000001</v>
      </c>
      <c r="CR625" s="120">
        <f>(CQ625+CS625)/2</f>
        <v>27.919750000000001</v>
      </c>
      <c r="CS625" s="120">
        <f>(CS624+CS626)/2</f>
        <v>28.387</v>
      </c>
      <c r="CT625" s="120">
        <f>(CS625+CU625)/2</f>
        <v>28.806249999999999</v>
      </c>
      <c r="CU625" s="120">
        <f>(CU624+CU626)/2</f>
        <v>29.2255</v>
      </c>
      <c r="CV625" s="120">
        <f>(CU625+CW625)/2</f>
        <v>29.707999999999998</v>
      </c>
      <c r="CW625" s="120">
        <f>(CW624+CW626)/2</f>
        <v>30.1905</v>
      </c>
      <c r="CX625" s="120">
        <f>(CW625+CY625)/2</f>
        <v>30.630499999999998</v>
      </c>
      <c r="CY625" s="120">
        <f>(CY624+CY626)/2</f>
        <v>31.070499999999999</v>
      </c>
      <c r="CZ625" s="120">
        <f>(CY625+DA625)/2</f>
        <v>31.521749999999997</v>
      </c>
      <c r="DA625" s="120">
        <f>(DA624+DA626)/2</f>
        <v>31.972999999999999</v>
      </c>
      <c r="DB625" s="120">
        <f>(DA625+DC625)/2</f>
        <v>32.418750000000003</v>
      </c>
      <c r="DC625" s="120">
        <f>(DC624+DC626)/2</f>
        <v>32.8645</v>
      </c>
      <c r="DD625" s="120">
        <f>(DC625+DE625)/2</f>
        <v>33.305</v>
      </c>
      <c r="DE625" s="120">
        <f>(DE624+DE626)/2</f>
        <v>33.7455</v>
      </c>
      <c r="DF625" s="120">
        <f>(DE625+DG625)/2</f>
        <v>34.196249999999999</v>
      </c>
      <c r="DG625" s="122">
        <f>(DG624+DG626)/2</f>
        <v>34.646999999999998</v>
      </c>
    </row>
    <row r="626" spans="54:111" ht="15" customHeight="1" x14ac:dyDescent="0.2">
      <c r="BB626" s="28">
        <v>12</v>
      </c>
      <c r="BC626" s="121">
        <v>6.7990000000000004</v>
      </c>
      <c r="BD626" s="121">
        <v>7.5540000000000003</v>
      </c>
      <c r="BE626" s="121">
        <v>8.3089999999999993</v>
      </c>
      <c r="BF626" s="121">
        <v>8.9364999999999988</v>
      </c>
      <c r="BG626" s="121">
        <v>9.5640000000000001</v>
      </c>
      <c r="BH626" s="121">
        <v>10.2545</v>
      </c>
      <c r="BI626" s="121">
        <v>10.945</v>
      </c>
      <c r="BJ626" s="121">
        <f t="array" ref="BJ626:BJ674">TRANSPOSE(BK625:DG625)</f>
        <v>11.571999999999999</v>
      </c>
      <c r="BK626" s="158">
        <v>12.199</v>
      </c>
      <c r="BL626" s="120">
        <f>(BM626+BK626)/2</f>
        <v>12.762499999999999</v>
      </c>
      <c r="BM626" s="158">
        <v>13.326000000000001</v>
      </c>
      <c r="BN626" s="120">
        <f>(BO626+BM626)/2</f>
        <v>13.888999999999999</v>
      </c>
      <c r="BO626" s="158">
        <v>14.452</v>
      </c>
      <c r="BP626" s="120">
        <f>(BQ626+BO626)/2</f>
        <v>15.515000000000001</v>
      </c>
      <c r="BQ626" s="158">
        <v>16.577999999999999</v>
      </c>
      <c r="BR626" s="120">
        <f>(BS626+BQ626)/2</f>
        <v>16.641500000000001</v>
      </c>
      <c r="BS626" s="158">
        <v>16.704999999999998</v>
      </c>
      <c r="BT626" s="120">
        <f>(BU626+BS626)/2</f>
        <v>17.267499999999998</v>
      </c>
      <c r="BU626" s="158">
        <v>17.829999999999998</v>
      </c>
      <c r="BV626" s="120">
        <f>(BW626+BU626)/2</f>
        <v>18.329000000000001</v>
      </c>
      <c r="BW626" s="158">
        <v>18.827999999999999</v>
      </c>
      <c r="BX626" s="120">
        <f>(BY626+BW626)/2</f>
        <v>19.381</v>
      </c>
      <c r="BY626" s="158">
        <v>19.934000000000001</v>
      </c>
      <c r="BZ626" s="120">
        <f>(CA626+BY626)/2</f>
        <v>20.433</v>
      </c>
      <c r="CA626" s="158">
        <v>20.931999999999999</v>
      </c>
      <c r="CB626" s="120">
        <f>(CC626+CA626)/2</f>
        <v>21.4315</v>
      </c>
      <c r="CC626" s="158">
        <v>21.931000000000001</v>
      </c>
      <c r="CD626" s="120">
        <f>(CE626+CC626)/2</f>
        <v>22.43</v>
      </c>
      <c r="CE626" s="158">
        <v>22.928999999999998</v>
      </c>
      <c r="CF626" s="120">
        <f>(CG626+CE626)/2</f>
        <v>23.4285</v>
      </c>
      <c r="CG626" s="158">
        <v>23.928000000000001</v>
      </c>
      <c r="CH626" s="120">
        <f>(CI626+CG626)/2</f>
        <v>24.427</v>
      </c>
      <c r="CI626" s="158">
        <v>24.925999999999998</v>
      </c>
      <c r="CJ626" s="120">
        <f>(CK626+CI626)/2</f>
        <v>25.424999999999997</v>
      </c>
      <c r="CK626" s="158">
        <v>25.923999999999999</v>
      </c>
      <c r="CL626" s="120">
        <f>(CM626+CK626)/2</f>
        <v>26.423499999999997</v>
      </c>
      <c r="CM626" s="158">
        <v>26.922999999999998</v>
      </c>
      <c r="CN626" s="120">
        <f>(CO626+CM626)/2</f>
        <v>27.421999999999997</v>
      </c>
      <c r="CO626" s="158">
        <v>27.920999999999999</v>
      </c>
      <c r="CP626" s="120">
        <f>(CQ626+CO626)/2</f>
        <v>28.42</v>
      </c>
      <c r="CQ626" s="158">
        <v>28.919</v>
      </c>
      <c r="CR626" s="120">
        <f>(CS626+CQ626)/2</f>
        <v>29.418500000000002</v>
      </c>
      <c r="CS626" s="158">
        <v>29.917999999999999</v>
      </c>
      <c r="CT626" s="120">
        <f>(CU626+CS626)/2</f>
        <v>30.3535</v>
      </c>
      <c r="CU626" s="158">
        <v>30.789000000000001</v>
      </c>
      <c r="CV626" s="120">
        <f>(CW626+CU626)/2</f>
        <v>31.287500000000001</v>
      </c>
      <c r="CW626" s="158">
        <v>31.786000000000001</v>
      </c>
      <c r="CX626" s="120">
        <f>(CY626+CW626)/2</f>
        <v>32.284999999999997</v>
      </c>
      <c r="CY626" s="158">
        <v>32.783999999999999</v>
      </c>
      <c r="CZ626" s="120">
        <f>(DA626+CY626)/2</f>
        <v>33.219499999999996</v>
      </c>
      <c r="DA626" s="158">
        <v>33.655000000000001</v>
      </c>
      <c r="DB626" s="120">
        <f>(DC626+DA626)/2</f>
        <v>34.153999999999996</v>
      </c>
      <c r="DC626" s="158">
        <v>34.652999999999999</v>
      </c>
      <c r="DD626" s="120">
        <f>(DE626+DC626)/2</f>
        <v>35.088499999999996</v>
      </c>
      <c r="DE626" s="158">
        <v>35.524000000000001</v>
      </c>
      <c r="DF626" s="120">
        <f>(DG626+DE626)/2</f>
        <v>36.022999999999996</v>
      </c>
      <c r="DG626" s="159">
        <v>36.521999999999998</v>
      </c>
    </row>
    <row r="627" spans="54:111" ht="15" customHeight="1" x14ac:dyDescent="0.2">
      <c r="BB627" s="28">
        <v>13</v>
      </c>
      <c r="BC627" s="121">
        <v>7.1370000000000005</v>
      </c>
      <c r="BD627" s="121">
        <v>7.9080000000000004</v>
      </c>
      <c r="BE627" s="121">
        <v>8.6789999999999985</v>
      </c>
      <c r="BF627" s="121">
        <v>9.3544999999999998</v>
      </c>
      <c r="BG627" s="121">
        <v>10.030000000000001</v>
      </c>
      <c r="BH627" s="121">
        <v>10.753</v>
      </c>
      <c r="BI627" s="121">
        <v>11.475999999999999</v>
      </c>
      <c r="BJ627" s="121">
        <v>12.119249999999999</v>
      </c>
      <c r="BK627" s="121">
        <f t="array" ref="BK627:BK674">TRANSPOSE(BL626:DG626)</f>
        <v>12.762499999999999</v>
      </c>
      <c r="BL627" s="120">
        <f>(BK627+BM627)/2</f>
        <v>13.3735</v>
      </c>
      <c r="BM627" s="120">
        <f>(BM626+BM628)/2</f>
        <v>13.984500000000001</v>
      </c>
      <c r="BN627" s="120">
        <f>(BM627+BO627)/2</f>
        <v>14.574999999999999</v>
      </c>
      <c r="BO627" s="120">
        <f>(BO626+BO628)/2</f>
        <v>15.1655</v>
      </c>
      <c r="BP627" s="120">
        <f>(BO627+BQ627)/2</f>
        <v>15.99475</v>
      </c>
      <c r="BQ627" s="120">
        <f>(BQ626+BQ628)/2</f>
        <v>16.823999999999998</v>
      </c>
      <c r="BR627" s="120">
        <f>(BQ627+BS627)/2</f>
        <v>17.15325</v>
      </c>
      <c r="BS627" s="120">
        <f>(BS626+BS628)/2</f>
        <v>17.482500000000002</v>
      </c>
      <c r="BT627" s="120">
        <f>(BS627+BU627)/2</f>
        <v>18.072500000000002</v>
      </c>
      <c r="BU627" s="120">
        <f>(BU626+BU628)/2</f>
        <v>18.662500000000001</v>
      </c>
      <c r="BV627" s="120">
        <f>(BU627+BW627)/2</f>
        <v>19.20975</v>
      </c>
      <c r="BW627" s="120">
        <f>(BW626+BW628)/2</f>
        <v>19.756999999999998</v>
      </c>
      <c r="BX627" s="120">
        <f>(BW627+BY627)/2</f>
        <v>20.30425</v>
      </c>
      <c r="BY627" s="120">
        <f>(BY626+BY628)/2</f>
        <v>20.851500000000001</v>
      </c>
      <c r="BZ627" s="120">
        <f>(BY627+CA627)/2</f>
        <v>21.41</v>
      </c>
      <c r="CA627" s="120">
        <f>(CA626+CA628)/2</f>
        <v>21.968499999999999</v>
      </c>
      <c r="CB627" s="120">
        <f>(CA627+CC627)/2</f>
        <v>22.483750000000001</v>
      </c>
      <c r="CC627" s="120">
        <f>(CC626+CC628)/2</f>
        <v>22.999000000000002</v>
      </c>
      <c r="CD627" s="120">
        <f>(CC627+CE627)/2</f>
        <v>23.546250000000001</v>
      </c>
      <c r="CE627" s="120">
        <f>(CE626+CE628)/2</f>
        <v>24.093499999999999</v>
      </c>
      <c r="CF627" s="120">
        <f>(CE627+CG627)/2</f>
        <v>24.619999999999997</v>
      </c>
      <c r="CG627" s="120">
        <f>(CG626+CG628)/2</f>
        <v>25.1465</v>
      </c>
      <c r="CH627" s="120">
        <f>(CG627+CI627)/2</f>
        <v>25.661749999999998</v>
      </c>
      <c r="CI627" s="120">
        <f>(CI626+CI628)/2</f>
        <v>26.177</v>
      </c>
      <c r="CJ627" s="120">
        <f>(CI627+CK627)/2</f>
        <v>26.692</v>
      </c>
      <c r="CK627" s="120">
        <f>(CK626+CK628)/2</f>
        <v>27.207000000000001</v>
      </c>
      <c r="CL627" s="120">
        <f>(CK627+CM627)/2</f>
        <v>27.733750000000001</v>
      </c>
      <c r="CM627" s="120">
        <f>(CM626+CM628)/2</f>
        <v>28.2605</v>
      </c>
      <c r="CN627" s="120">
        <f>(CM627+CO627)/2</f>
        <v>28.780750000000001</v>
      </c>
      <c r="CO627" s="120">
        <f>(CO626+CO628)/2</f>
        <v>29.301000000000002</v>
      </c>
      <c r="CP627" s="120">
        <f>(CO627+CQ627)/2</f>
        <v>29.81625</v>
      </c>
      <c r="CQ627" s="120">
        <f>(CQ626+CQ628)/2</f>
        <v>30.331499999999998</v>
      </c>
      <c r="CR627" s="120">
        <f>(CQ627+CS627)/2</f>
        <v>30.857999999999997</v>
      </c>
      <c r="CS627" s="120">
        <f>(CS626+CS628)/2</f>
        <v>31.384499999999999</v>
      </c>
      <c r="CT627" s="120">
        <f>(CS627+CU627)/2</f>
        <v>31.868000000000002</v>
      </c>
      <c r="CU627" s="120">
        <f>(CU626+CU628)/2</f>
        <v>32.351500000000001</v>
      </c>
      <c r="CV627" s="120">
        <f>(CU627+CW627)/2</f>
        <v>32.834499999999998</v>
      </c>
      <c r="CW627" s="120">
        <f>(CW626+CW628)/2</f>
        <v>33.317499999999995</v>
      </c>
      <c r="CX627" s="120">
        <f>(CW627+CY627)/2</f>
        <v>33.84375</v>
      </c>
      <c r="CY627" s="120">
        <f>(CY626+CY628)/2</f>
        <v>34.370000000000005</v>
      </c>
      <c r="CZ627" s="120">
        <f>(CY627+DA627)/2</f>
        <v>34.853500000000004</v>
      </c>
      <c r="DA627" s="120">
        <f>(DA626+DA628)/2</f>
        <v>35.337000000000003</v>
      </c>
      <c r="DB627" s="120">
        <f>(DA627+DC627)/2</f>
        <v>35.852249999999998</v>
      </c>
      <c r="DC627" s="120">
        <f>(DC626+DC628)/2</f>
        <v>36.3675</v>
      </c>
      <c r="DD627" s="120">
        <f>(DC627+DE627)/2</f>
        <v>36.830249999999999</v>
      </c>
      <c r="DE627" s="120">
        <f>(DE626+DE628)/2</f>
        <v>37.292999999999999</v>
      </c>
      <c r="DF627" s="120">
        <f>(DE627+DG627)/2</f>
        <v>37.813249999999996</v>
      </c>
      <c r="DG627" s="122">
        <f>(DG626+DG628)/2</f>
        <v>38.333500000000001</v>
      </c>
    </row>
    <row r="628" spans="54:111" ht="15" customHeight="1" x14ac:dyDescent="0.2">
      <c r="BB628" s="28">
        <v>14</v>
      </c>
      <c r="BC628" s="121">
        <v>7.4749999999999996</v>
      </c>
      <c r="BD628" s="121">
        <v>8.2620000000000005</v>
      </c>
      <c r="BE628" s="121">
        <v>9.0489999999999995</v>
      </c>
      <c r="BF628" s="121">
        <v>9.7725000000000009</v>
      </c>
      <c r="BG628" s="121">
        <v>10.496</v>
      </c>
      <c r="BH628" s="121">
        <v>11.2515</v>
      </c>
      <c r="BI628" s="121">
        <v>12.007</v>
      </c>
      <c r="BJ628" s="121">
        <v>12.666499999999999</v>
      </c>
      <c r="BK628" s="121">
        <v>13.326000000000001</v>
      </c>
      <c r="BL628" s="121">
        <f t="array" ref="BL628:BL674">TRANSPOSE(BM627:DG627)</f>
        <v>13.984500000000001</v>
      </c>
      <c r="BM628" s="158">
        <v>14.643000000000001</v>
      </c>
      <c r="BN628" s="120">
        <f>(BO628+BM628)/2</f>
        <v>15.260999999999999</v>
      </c>
      <c r="BO628" s="158">
        <v>15.879</v>
      </c>
      <c r="BP628" s="120">
        <f>(BQ628+BO628)/2</f>
        <v>16.474499999999999</v>
      </c>
      <c r="BQ628" s="158">
        <v>17.07</v>
      </c>
      <c r="BR628" s="120">
        <f>(BS628+BQ628)/2</f>
        <v>17.664999999999999</v>
      </c>
      <c r="BS628" s="158">
        <v>18.260000000000002</v>
      </c>
      <c r="BT628" s="120">
        <f>(BU628+BS628)/2</f>
        <v>18.877500000000001</v>
      </c>
      <c r="BU628" s="158">
        <v>19.495000000000001</v>
      </c>
      <c r="BV628" s="120">
        <f>(BW628+BU628)/2</f>
        <v>20.090499999999999</v>
      </c>
      <c r="BW628" s="158">
        <v>20.686</v>
      </c>
      <c r="BX628" s="120">
        <f>(BY628+BW628)/2</f>
        <v>21.227499999999999</v>
      </c>
      <c r="BY628" s="158">
        <v>21.768999999999998</v>
      </c>
      <c r="BZ628" s="120">
        <f>(CA628+BY628)/2</f>
        <v>22.387</v>
      </c>
      <c r="CA628" s="158">
        <v>23.004999999999999</v>
      </c>
      <c r="CB628" s="120">
        <f>(CC628+CA628)/2</f>
        <v>23.536000000000001</v>
      </c>
      <c r="CC628" s="158">
        <v>24.067</v>
      </c>
      <c r="CD628" s="120">
        <f>(CE628+CC628)/2</f>
        <v>24.662500000000001</v>
      </c>
      <c r="CE628" s="158">
        <v>25.257999999999999</v>
      </c>
      <c r="CF628" s="120">
        <f>(CG628+CE628)/2</f>
        <v>25.811499999999999</v>
      </c>
      <c r="CG628" s="158">
        <v>26.364999999999998</v>
      </c>
      <c r="CH628" s="120">
        <f>(CI628+CG628)/2</f>
        <v>26.8965</v>
      </c>
      <c r="CI628" s="158">
        <v>27.428000000000001</v>
      </c>
      <c r="CJ628" s="120">
        <f>(CK628+CI628)/2</f>
        <v>27.959</v>
      </c>
      <c r="CK628" s="158">
        <v>28.49</v>
      </c>
      <c r="CL628" s="120">
        <f>(CM628+CK628)/2</f>
        <v>29.043999999999997</v>
      </c>
      <c r="CM628" s="158">
        <v>29.597999999999999</v>
      </c>
      <c r="CN628" s="120">
        <f>(CO628+CM628)/2</f>
        <v>30.139499999999998</v>
      </c>
      <c r="CO628" s="158">
        <v>30.681000000000001</v>
      </c>
      <c r="CP628" s="120">
        <f>(CQ628+CO628)/2</f>
        <v>31.212499999999999</v>
      </c>
      <c r="CQ628" s="158">
        <v>31.744</v>
      </c>
      <c r="CR628" s="120">
        <f>(CS628+CQ628)/2</f>
        <v>32.297499999999999</v>
      </c>
      <c r="CS628" s="158">
        <v>32.850999999999999</v>
      </c>
      <c r="CT628" s="120">
        <f>(CU628+CS628)/2</f>
        <v>33.3825</v>
      </c>
      <c r="CU628" s="158">
        <v>33.914000000000001</v>
      </c>
      <c r="CV628" s="120">
        <f>(CW628+CU628)/2</f>
        <v>34.381500000000003</v>
      </c>
      <c r="CW628" s="158">
        <v>34.848999999999997</v>
      </c>
      <c r="CX628" s="120">
        <f>(CY628+CW628)/2</f>
        <v>35.402500000000003</v>
      </c>
      <c r="CY628" s="158">
        <v>35.956000000000003</v>
      </c>
      <c r="CZ628" s="120">
        <f>(DA628+CY628)/2</f>
        <v>36.487499999999997</v>
      </c>
      <c r="DA628" s="158">
        <v>37.018999999999998</v>
      </c>
      <c r="DB628" s="120">
        <f>(DC628+DA628)/2</f>
        <v>37.5505</v>
      </c>
      <c r="DC628" s="158">
        <v>38.082000000000001</v>
      </c>
      <c r="DD628" s="120">
        <f>(DE628+DC628)/2</f>
        <v>38.572000000000003</v>
      </c>
      <c r="DE628" s="158">
        <v>39.061999999999998</v>
      </c>
      <c r="DF628" s="120">
        <f>(DG628+DE628)/2</f>
        <v>39.603499999999997</v>
      </c>
      <c r="DG628" s="159">
        <v>40.145000000000003</v>
      </c>
    </row>
    <row r="629" spans="54:111" ht="15" customHeight="1" x14ac:dyDescent="0.2">
      <c r="BB629" s="28">
        <v>15</v>
      </c>
      <c r="BC629" s="121">
        <v>7.8004999999999995</v>
      </c>
      <c r="BD629" s="121">
        <v>8.6152499999999996</v>
      </c>
      <c r="BE629" s="121">
        <v>9.43</v>
      </c>
      <c r="BF629" s="121">
        <v>10.212250000000001</v>
      </c>
      <c r="BG629" s="121">
        <v>10.9945</v>
      </c>
      <c r="BH629" s="121">
        <v>11.75</v>
      </c>
      <c r="BI629" s="121">
        <v>12.5055</v>
      </c>
      <c r="BJ629" s="121">
        <v>13.19725</v>
      </c>
      <c r="BK629" s="121">
        <v>13.888999999999999</v>
      </c>
      <c r="BL629" s="121">
        <v>14.574999999999999</v>
      </c>
      <c r="BM629" s="121">
        <f t="array" ref="BM629:BM674">TRANSPOSE(BN628:DG628)</f>
        <v>15.260999999999999</v>
      </c>
      <c r="BN629" s="120">
        <f>(BM629+BO629)/2</f>
        <v>15.91525</v>
      </c>
      <c r="BO629" s="120">
        <f>(BO628+BO630)/2</f>
        <v>16.569500000000001</v>
      </c>
      <c r="BP629" s="120">
        <f>(BO629+BQ629)/2</f>
        <v>17.197749999999999</v>
      </c>
      <c r="BQ629" s="120">
        <f>(BQ628+BQ630)/2</f>
        <v>17.826000000000001</v>
      </c>
      <c r="BR629" s="120">
        <f>(BQ629+BS629)/2</f>
        <v>18.448500000000003</v>
      </c>
      <c r="BS629" s="120">
        <f>(BS628+BS630)/2</f>
        <v>19.071000000000002</v>
      </c>
      <c r="BT629" s="120">
        <f>(BS629+BU629)/2</f>
        <v>19.693249999999999</v>
      </c>
      <c r="BU629" s="120">
        <f>(BU628+BU630)/2</f>
        <v>20.3155</v>
      </c>
      <c r="BV629" s="120">
        <f>(BU629+BW629)/2</f>
        <v>20.93825</v>
      </c>
      <c r="BW629" s="120">
        <f>(BW628+BW630)/2</f>
        <v>21.561</v>
      </c>
      <c r="BX629" s="120">
        <f>(BW629+BY629)/2</f>
        <v>22.161749999999998</v>
      </c>
      <c r="BY629" s="120">
        <f>(BY628+BY630)/2</f>
        <v>22.762499999999999</v>
      </c>
      <c r="BZ629" s="120">
        <f>(BY629+CA629)/2</f>
        <v>23.3855</v>
      </c>
      <c r="CA629" s="120">
        <f>(CA628+CA630)/2</f>
        <v>24.008499999999998</v>
      </c>
      <c r="CB629" s="120">
        <f>(CA629+CC629)/2</f>
        <v>24.567</v>
      </c>
      <c r="CC629" s="120">
        <f>(CC628+CC630)/2</f>
        <v>25.125500000000002</v>
      </c>
      <c r="CD629" s="120">
        <f>(CC629+CE629)/2</f>
        <v>25.748000000000001</v>
      </c>
      <c r="CE629" s="120">
        <f>(CE628+CE630)/2</f>
        <v>26.3705</v>
      </c>
      <c r="CF629" s="120">
        <f>(CE629+CG629)/2</f>
        <v>26.934249999999999</v>
      </c>
      <c r="CG629" s="120">
        <f>(CG628+CG630)/2</f>
        <v>27.497999999999998</v>
      </c>
      <c r="CH629" s="120">
        <f>(CG629+CI629)/2</f>
        <v>28.056750000000001</v>
      </c>
      <c r="CI629" s="120">
        <f>(CI628+CI630)/2</f>
        <v>28.615500000000001</v>
      </c>
      <c r="CJ629" s="120">
        <f>(CI629+CK629)/2</f>
        <v>29.173749999999998</v>
      </c>
      <c r="CK629" s="120">
        <f>(CK628+CK630)/2</f>
        <v>29.731999999999999</v>
      </c>
      <c r="CL629" s="120">
        <f>(CK629+CM629)/2</f>
        <v>30.327999999999999</v>
      </c>
      <c r="CM629" s="120">
        <f>(CM628+CM630)/2</f>
        <v>30.923999999999999</v>
      </c>
      <c r="CN629" s="120">
        <f>(CM629+CO629)/2</f>
        <v>31.487500000000001</v>
      </c>
      <c r="CO629" s="120">
        <f>(CO628+CO630)/2</f>
        <v>32.051000000000002</v>
      </c>
      <c r="CP629" s="120">
        <f>(CO629+CQ629)/2</f>
        <v>32.609750000000005</v>
      </c>
      <c r="CQ629" s="120">
        <f>(CQ628+CQ630)/2</f>
        <v>33.168500000000002</v>
      </c>
      <c r="CR629" s="120">
        <f>(CQ629+CS629)/2</f>
        <v>33.727000000000004</v>
      </c>
      <c r="CS629" s="120">
        <f>(CS628+CS630)/2</f>
        <v>34.285499999999999</v>
      </c>
      <c r="CT629" s="120">
        <f>(CS629+CU629)/2</f>
        <v>34.849249999999998</v>
      </c>
      <c r="CU629" s="120">
        <f>(CU628+CU630)/2</f>
        <v>35.412999999999997</v>
      </c>
      <c r="CV629" s="120">
        <f>(CU629+CW629)/2</f>
        <v>35.94</v>
      </c>
      <c r="CW629" s="120">
        <f>(CW628+CW630)/2</f>
        <v>36.466999999999999</v>
      </c>
      <c r="CX629" s="120">
        <f>(CW629+CY629)/2</f>
        <v>36.993499999999997</v>
      </c>
      <c r="CY629" s="120">
        <f>(CY628+CY630)/2</f>
        <v>37.520000000000003</v>
      </c>
      <c r="CZ629" s="120">
        <f>(CY629+DA629)/2</f>
        <v>38.083750000000002</v>
      </c>
      <c r="DA629" s="120">
        <f>(DA628+DA630)/2</f>
        <v>38.647500000000001</v>
      </c>
      <c r="DB629" s="120">
        <f>(DA629+DC629)/2</f>
        <v>39.206000000000003</v>
      </c>
      <c r="DC629" s="120">
        <f>(DC628+DC630)/2</f>
        <v>39.764499999999998</v>
      </c>
      <c r="DD629" s="120">
        <f>(DC629+DE629)/2</f>
        <v>40.291499999999999</v>
      </c>
      <c r="DE629" s="120">
        <f>(DE628+DE630)/2</f>
        <v>40.8185</v>
      </c>
      <c r="DF629" s="120">
        <f>(DE629+DG629)/2</f>
        <v>41.350250000000003</v>
      </c>
      <c r="DG629" s="122">
        <f>(DG628+DG630)/2</f>
        <v>41.882000000000005</v>
      </c>
    </row>
    <row r="630" spans="54:111" ht="15" customHeight="1" x14ac:dyDescent="0.2">
      <c r="BB630" s="28">
        <v>16</v>
      </c>
      <c r="BC630" s="121">
        <v>8.1259999999999994</v>
      </c>
      <c r="BD630" s="121">
        <v>8.9684999999999988</v>
      </c>
      <c r="BE630" s="121">
        <v>9.8109999999999999</v>
      </c>
      <c r="BF630" s="121">
        <v>10.652000000000001</v>
      </c>
      <c r="BG630" s="121">
        <v>11.493</v>
      </c>
      <c r="BH630" s="121">
        <v>12.2485</v>
      </c>
      <c r="BI630" s="121">
        <v>13.004</v>
      </c>
      <c r="BJ630" s="121">
        <v>13.728</v>
      </c>
      <c r="BK630" s="121">
        <v>14.452</v>
      </c>
      <c r="BL630" s="121">
        <v>15.1655</v>
      </c>
      <c r="BM630" s="121">
        <v>15.879</v>
      </c>
      <c r="BN630" s="121">
        <f t="array" ref="BN630:BN674">TRANSPOSE(BO629:DG629)</f>
        <v>16.569500000000001</v>
      </c>
      <c r="BO630" s="158">
        <v>17.260000000000002</v>
      </c>
      <c r="BP630" s="120">
        <f>(BQ630+BO630)/2</f>
        <v>17.920999999999999</v>
      </c>
      <c r="BQ630" s="158">
        <v>18.582000000000001</v>
      </c>
      <c r="BR630" s="120">
        <f>(BS630+BQ630)/2</f>
        <v>19.231999999999999</v>
      </c>
      <c r="BS630" s="158">
        <v>19.882000000000001</v>
      </c>
      <c r="BT630" s="120">
        <f>(BU630+BS630)/2</f>
        <v>20.509</v>
      </c>
      <c r="BU630" s="158">
        <v>21.135999999999999</v>
      </c>
      <c r="BV630" s="120">
        <f>(BW630+BU630)/2</f>
        <v>21.786000000000001</v>
      </c>
      <c r="BW630" s="158">
        <v>22.436</v>
      </c>
      <c r="BX630" s="120">
        <f>(BY630+BW630)/2</f>
        <v>23.096</v>
      </c>
      <c r="BY630" s="158">
        <v>23.756</v>
      </c>
      <c r="BZ630" s="120">
        <f>(CA630+BY630)/2</f>
        <v>24.384</v>
      </c>
      <c r="CA630" s="158">
        <v>25.012</v>
      </c>
      <c r="CB630" s="120">
        <f>(CC630+CA630)/2</f>
        <v>25.597999999999999</v>
      </c>
      <c r="CC630" s="158">
        <v>26.184000000000001</v>
      </c>
      <c r="CD630" s="120">
        <f>(CE630+CC630)/2</f>
        <v>26.833500000000001</v>
      </c>
      <c r="CE630" s="158">
        <v>27.483000000000001</v>
      </c>
      <c r="CF630" s="120">
        <f>(CG630+CE630)/2</f>
        <v>28.057000000000002</v>
      </c>
      <c r="CG630" s="158">
        <v>28.631</v>
      </c>
      <c r="CH630" s="120">
        <f>(CI630+CG630)/2</f>
        <v>29.216999999999999</v>
      </c>
      <c r="CI630" s="158">
        <v>29.803000000000001</v>
      </c>
      <c r="CJ630" s="120">
        <f>(CK630+CI630)/2</f>
        <v>30.388500000000001</v>
      </c>
      <c r="CK630" s="158">
        <v>30.974</v>
      </c>
      <c r="CL630" s="120">
        <f>(CM630+CK630)/2</f>
        <v>31.612000000000002</v>
      </c>
      <c r="CM630" s="158">
        <v>32.25</v>
      </c>
      <c r="CN630" s="120">
        <f>(CO630+CM630)/2</f>
        <v>32.835499999999996</v>
      </c>
      <c r="CO630" s="158">
        <v>33.420999999999999</v>
      </c>
      <c r="CP630" s="120">
        <f>(CQ630+CO630)/2</f>
        <v>34.007000000000005</v>
      </c>
      <c r="CQ630" s="158">
        <v>34.593000000000004</v>
      </c>
      <c r="CR630" s="120">
        <f>(CS630+CQ630)/2</f>
        <v>35.156500000000001</v>
      </c>
      <c r="CS630" s="158">
        <v>35.72</v>
      </c>
      <c r="CT630" s="120">
        <f>(CU630+CS630)/2</f>
        <v>36.316000000000003</v>
      </c>
      <c r="CU630" s="158">
        <v>36.911999999999999</v>
      </c>
      <c r="CV630" s="120">
        <f>(CW630+CU630)/2</f>
        <v>37.4985</v>
      </c>
      <c r="CW630" s="158">
        <v>38.085000000000001</v>
      </c>
      <c r="CX630" s="120">
        <f>(CY630+CW630)/2</f>
        <v>38.584500000000006</v>
      </c>
      <c r="CY630" s="158">
        <v>39.084000000000003</v>
      </c>
      <c r="CZ630" s="120">
        <f>(DA630+CY630)/2</f>
        <v>39.680000000000007</v>
      </c>
      <c r="DA630" s="158">
        <v>40.276000000000003</v>
      </c>
      <c r="DB630" s="120">
        <f>(DC630+DA630)/2</f>
        <v>40.861500000000007</v>
      </c>
      <c r="DC630" s="158">
        <v>41.447000000000003</v>
      </c>
      <c r="DD630" s="120">
        <f>(DE630+DC630)/2</f>
        <v>42.011000000000003</v>
      </c>
      <c r="DE630" s="158">
        <v>42.575000000000003</v>
      </c>
      <c r="DF630" s="120">
        <f>(DG630+DE630)/2</f>
        <v>43.097000000000001</v>
      </c>
      <c r="DG630" s="159">
        <v>43.619</v>
      </c>
    </row>
    <row r="631" spans="54:111" ht="15" customHeight="1" x14ac:dyDescent="0.2">
      <c r="BB631" s="28">
        <v>17</v>
      </c>
      <c r="BC631" s="121">
        <v>8.4639999999999986</v>
      </c>
      <c r="BD631" s="121">
        <v>9.3542500000000004</v>
      </c>
      <c r="BE631" s="121">
        <v>10.2445</v>
      </c>
      <c r="BF631" s="121">
        <v>11.106750000000002</v>
      </c>
      <c r="BG631" s="121">
        <v>11.969000000000001</v>
      </c>
      <c r="BH631" s="121">
        <v>12.752000000000001</v>
      </c>
      <c r="BI631" s="121">
        <v>13.535</v>
      </c>
      <c r="BJ631" s="121">
        <v>14.524999999999999</v>
      </c>
      <c r="BK631" s="121">
        <v>15.515000000000001</v>
      </c>
      <c r="BL631" s="121">
        <v>15.99475</v>
      </c>
      <c r="BM631" s="121">
        <v>16.474499999999999</v>
      </c>
      <c r="BN631" s="121">
        <v>17.197749999999999</v>
      </c>
      <c r="BO631" s="121">
        <f t="array" ref="BO631:BO674">TRANSPOSE(BP630:DG630)</f>
        <v>17.920999999999999</v>
      </c>
      <c r="BP631" s="120">
        <f>(BO631+BQ631)/2</f>
        <v>18.624749999999999</v>
      </c>
      <c r="BQ631" s="120">
        <f>(BQ630+BQ632)/2</f>
        <v>19.328499999999998</v>
      </c>
      <c r="BR631" s="120">
        <f>(BQ631+BS631)/2</f>
        <v>19.994250000000001</v>
      </c>
      <c r="BS631" s="120">
        <f>(BS630+BS632)/2</f>
        <v>20.66</v>
      </c>
      <c r="BT631" s="120">
        <f>(BS631+BU631)/2</f>
        <v>21.319749999999999</v>
      </c>
      <c r="BU631" s="120">
        <f>(BU630+BU632)/2</f>
        <v>21.979500000000002</v>
      </c>
      <c r="BV631" s="120">
        <f>(BU631+BW631)/2</f>
        <v>22.645500000000002</v>
      </c>
      <c r="BW631" s="120">
        <f>(BW630+BW632)/2</f>
        <v>23.311500000000002</v>
      </c>
      <c r="BX631" s="120">
        <f>(BW631+BY631)/2</f>
        <v>23.987500000000001</v>
      </c>
      <c r="BY631" s="120">
        <f>(BY630+BY632)/2</f>
        <v>24.663499999999999</v>
      </c>
      <c r="BZ631" s="120">
        <f>(BY631+CA631)/2</f>
        <v>25.3185</v>
      </c>
      <c r="CA631" s="120">
        <f>(CA630+CA632)/2</f>
        <v>25.973500000000001</v>
      </c>
      <c r="CB631" s="120">
        <f>(CA631+CC631)/2</f>
        <v>26.612750000000002</v>
      </c>
      <c r="CC631" s="120">
        <f>(CC630+CC632)/2</f>
        <v>27.252000000000002</v>
      </c>
      <c r="CD631" s="120">
        <f>(CC631+CE631)/2</f>
        <v>27.886000000000003</v>
      </c>
      <c r="CE631" s="120">
        <f>(CE630+CE632)/2</f>
        <v>28.52</v>
      </c>
      <c r="CF631" s="120">
        <f>(CE631+CG631)/2</f>
        <v>29.147500000000001</v>
      </c>
      <c r="CG631" s="120">
        <f>(CG630+CG632)/2</f>
        <v>29.774999999999999</v>
      </c>
      <c r="CH631" s="120">
        <f>(CG631+CI631)/2</f>
        <v>30.3825</v>
      </c>
      <c r="CI631" s="120">
        <f>(CI630+CI632)/2</f>
        <v>30.990000000000002</v>
      </c>
      <c r="CJ631" s="120">
        <f>(CI631+CK631)/2</f>
        <v>31.591750000000001</v>
      </c>
      <c r="CK631" s="120">
        <f>(CK630+CK632)/2</f>
        <v>32.1935</v>
      </c>
      <c r="CL631" s="120">
        <f>(CK631+CM631)/2</f>
        <v>32.858499999999999</v>
      </c>
      <c r="CM631" s="120">
        <f>(CM630+CM632)/2</f>
        <v>33.523499999999999</v>
      </c>
      <c r="CN631" s="120">
        <f>(CM631+CO631)/2</f>
        <v>34.125250000000001</v>
      </c>
      <c r="CO631" s="120">
        <f>(CO630+CO632)/2</f>
        <v>34.727000000000004</v>
      </c>
      <c r="CP631" s="120">
        <f>(CO631+CQ631)/2</f>
        <v>35.334500000000006</v>
      </c>
      <c r="CQ631" s="120">
        <f>(CQ630+CQ632)/2</f>
        <v>35.942</v>
      </c>
      <c r="CR631" s="120">
        <f>(CQ631+CS631)/2</f>
        <v>36.532499999999999</v>
      </c>
      <c r="CS631" s="120">
        <f>(CS630+CS632)/2</f>
        <v>37.123000000000005</v>
      </c>
      <c r="CT631" s="120">
        <f>(CS631+CU631)/2</f>
        <v>37.735250000000001</v>
      </c>
      <c r="CU631" s="120">
        <f>(CU630+CU632)/2</f>
        <v>38.347499999999997</v>
      </c>
      <c r="CV631" s="120">
        <f>(CU631+CW631)/2</f>
        <v>38.949749999999995</v>
      </c>
      <c r="CW631" s="120">
        <f>(CW630+CW632)/2</f>
        <v>39.552</v>
      </c>
      <c r="CX631" s="120">
        <f>(CW631+CY631)/2</f>
        <v>40.110749999999996</v>
      </c>
      <c r="CY631" s="120">
        <f>(CY630+CY632)/2</f>
        <v>40.669499999999999</v>
      </c>
      <c r="CZ631" s="120">
        <f>(CY631+DA631)/2</f>
        <v>41.281750000000002</v>
      </c>
      <c r="DA631" s="120">
        <f>(DA630+DA632)/2</f>
        <v>41.894000000000005</v>
      </c>
      <c r="DB631" s="120">
        <f>(DA631+DC631)/2</f>
        <v>42.495750000000001</v>
      </c>
      <c r="DC631" s="120">
        <f>(DC630+DC632)/2</f>
        <v>43.097499999999997</v>
      </c>
      <c r="DD631" s="120">
        <f>(DC631+DE631)/2</f>
        <v>43.6935</v>
      </c>
      <c r="DE631" s="120">
        <f>(DE630+DE632)/2</f>
        <v>44.289500000000004</v>
      </c>
      <c r="DF631" s="120">
        <f>(DE631+DG631)/2</f>
        <v>44.859750000000005</v>
      </c>
      <c r="DG631" s="122">
        <f>(DG630+DG632)/2</f>
        <v>45.43</v>
      </c>
    </row>
    <row r="632" spans="54:111" ht="15" customHeight="1" x14ac:dyDescent="0.2">
      <c r="BB632" s="28">
        <v>18</v>
      </c>
      <c r="BC632" s="121">
        <v>8.8019999999999996</v>
      </c>
      <c r="BD632" s="121">
        <v>9.74</v>
      </c>
      <c r="BE632" s="121">
        <v>10.678000000000001</v>
      </c>
      <c r="BF632" s="121">
        <v>11.561500000000001</v>
      </c>
      <c r="BG632" s="121">
        <v>12.445</v>
      </c>
      <c r="BH632" s="121">
        <v>13.255500000000001</v>
      </c>
      <c r="BI632" s="121">
        <v>14.066000000000001</v>
      </c>
      <c r="BJ632" s="121">
        <v>15.321999999999999</v>
      </c>
      <c r="BK632" s="121">
        <v>16.577999999999999</v>
      </c>
      <c r="BL632" s="121">
        <v>16.823999999999998</v>
      </c>
      <c r="BM632" s="121">
        <v>17.07</v>
      </c>
      <c r="BN632" s="121">
        <v>17.826000000000001</v>
      </c>
      <c r="BO632" s="121">
        <v>18.582000000000001</v>
      </c>
      <c r="BP632" s="121">
        <f t="array" ref="BP632:BP674">TRANSPOSE(BQ631:DG631)</f>
        <v>19.328499999999998</v>
      </c>
      <c r="BQ632" s="158">
        <v>20.074999999999999</v>
      </c>
      <c r="BR632" s="120">
        <f>(BS632+BQ632)/2</f>
        <v>20.756499999999999</v>
      </c>
      <c r="BS632" s="158">
        <v>21.437999999999999</v>
      </c>
      <c r="BT632" s="120">
        <f>(BU632+BS632)/2</f>
        <v>22.130499999999998</v>
      </c>
      <c r="BU632" s="158">
        <v>22.823</v>
      </c>
      <c r="BV632" s="120">
        <f>(BW632+BU632)/2</f>
        <v>23.505000000000003</v>
      </c>
      <c r="BW632" s="158">
        <v>24.187000000000001</v>
      </c>
      <c r="BX632" s="120">
        <f>(BY632+BW632)/2</f>
        <v>24.879000000000001</v>
      </c>
      <c r="BY632" s="158">
        <v>25.571000000000002</v>
      </c>
      <c r="BZ632" s="120">
        <f>(CA632+BY632)/2</f>
        <v>26.253</v>
      </c>
      <c r="CA632" s="158">
        <v>26.934999999999999</v>
      </c>
      <c r="CB632" s="120">
        <f>(CC632+CA632)/2</f>
        <v>27.627499999999998</v>
      </c>
      <c r="CC632" s="158">
        <v>28.32</v>
      </c>
      <c r="CD632" s="120">
        <f>(CE632+CC632)/2</f>
        <v>28.938499999999998</v>
      </c>
      <c r="CE632" s="158">
        <v>29.556999999999999</v>
      </c>
      <c r="CF632" s="120">
        <f>(CG632+CE632)/2</f>
        <v>30.238</v>
      </c>
      <c r="CG632" s="158">
        <v>30.919</v>
      </c>
      <c r="CH632" s="120">
        <f>(CI632+CG632)/2</f>
        <v>31.548000000000002</v>
      </c>
      <c r="CI632" s="158">
        <v>32.177</v>
      </c>
      <c r="CJ632" s="120">
        <f>(CK632+CI632)/2</f>
        <v>32.795000000000002</v>
      </c>
      <c r="CK632" s="158">
        <v>33.412999999999997</v>
      </c>
      <c r="CL632" s="120">
        <f>(CM632+CK632)/2</f>
        <v>34.104999999999997</v>
      </c>
      <c r="CM632" s="158">
        <v>34.796999999999997</v>
      </c>
      <c r="CN632" s="120">
        <f>(CO632+CM632)/2</f>
        <v>35.414999999999999</v>
      </c>
      <c r="CO632" s="158">
        <v>36.033000000000001</v>
      </c>
      <c r="CP632" s="120">
        <f>(CQ632+CO632)/2</f>
        <v>36.661999999999999</v>
      </c>
      <c r="CQ632" s="158">
        <v>37.290999999999997</v>
      </c>
      <c r="CR632" s="120">
        <f>(CS632+CQ632)/2</f>
        <v>37.908500000000004</v>
      </c>
      <c r="CS632" s="158">
        <v>38.526000000000003</v>
      </c>
      <c r="CT632" s="120">
        <f>(CU632+CS632)/2</f>
        <v>39.154499999999999</v>
      </c>
      <c r="CU632" s="158">
        <v>39.783000000000001</v>
      </c>
      <c r="CV632" s="120">
        <f>(CW632+CU632)/2</f>
        <v>40.400999999999996</v>
      </c>
      <c r="CW632" s="158">
        <v>41.018999999999998</v>
      </c>
      <c r="CX632" s="120">
        <f>(CY632+CW632)/2</f>
        <v>41.637</v>
      </c>
      <c r="CY632" s="158">
        <v>42.255000000000003</v>
      </c>
      <c r="CZ632" s="120">
        <f>(DA632+CY632)/2</f>
        <v>42.883499999999998</v>
      </c>
      <c r="DA632" s="158">
        <v>43.512</v>
      </c>
      <c r="DB632" s="120">
        <f>(DC632+DA632)/2</f>
        <v>44.129999999999995</v>
      </c>
      <c r="DC632" s="158">
        <v>44.747999999999998</v>
      </c>
      <c r="DD632" s="120">
        <f>(DE632+DC632)/2</f>
        <v>45.375999999999998</v>
      </c>
      <c r="DE632" s="158">
        <v>46.003999999999998</v>
      </c>
      <c r="DF632" s="120">
        <f>(DG632+DE632)/2</f>
        <v>46.622500000000002</v>
      </c>
      <c r="DG632" s="159">
        <v>47.241</v>
      </c>
    </row>
    <row r="633" spans="54:111" ht="15" customHeight="1" x14ac:dyDescent="0.2">
      <c r="BB633" s="28">
        <v>19</v>
      </c>
      <c r="BC633" s="121">
        <v>9.0760000000000005</v>
      </c>
      <c r="BD633" s="121">
        <v>10.067</v>
      </c>
      <c r="BE633" s="121">
        <v>11.058</v>
      </c>
      <c r="BF633" s="121">
        <v>11.952750000000002</v>
      </c>
      <c r="BG633" s="121">
        <v>12.8475</v>
      </c>
      <c r="BH633" s="121">
        <v>13.68975</v>
      </c>
      <c r="BI633" s="121">
        <v>14.532</v>
      </c>
      <c r="BJ633" s="121">
        <v>15.586749999999999</v>
      </c>
      <c r="BK633" s="121">
        <v>16.641500000000001</v>
      </c>
      <c r="BL633" s="121">
        <v>17.15325</v>
      </c>
      <c r="BM633" s="121">
        <v>17.664999999999999</v>
      </c>
      <c r="BN633" s="121">
        <v>18.448500000000003</v>
      </c>
      <c r="BO633" s="121">
        <v>19.231999999999999</v>
      </c>
      <c r="BP633" s="121">
        <v>19.994250000000001</v>
      </c>
      <c r="BQ633" s="121">
        <f t="array" ref="BQ633:BQ674">TRANSPOSE(BR632:DG632)</f>
        <v>20.756499999999999</v>
      </c>
      <c r="BR633" s="120">
        <f>(BQ633+BS633)/2</f>
        <v>21.491749999999996</v>
      </c>
      <c r="BS633" s="120">
        <f>(BS632+BS634)/2</f>
        <v>22.226999999999997</v>
      </c>
      <c r="BT633" s="120">
        <f>(BS633+BU633)/2</f>
        <v>22.946249999999999</v>
      </c>
      <c r="BU633" s="120">
        <f>(BU632+BU634)/2</f>
        <v>23.665500000000002</v>
      </c>
      <c r="BV633" s="120">
        <f>(BU633+BW633)/2</f>
        <v>24.363750000000003</v>
      </c>
      <c r="BW633" s="120">
        <f>(BW632+BW634)/2</f>
        <v>25.062000000000001</v>
      </c>
      <c r="BX633" s="120">
        <f>(BW633+BY633)/2</f>
        <v>25.770000000000003</v>
      </c>
      <c r="BY633" s="120">
        <f>(BY632+BY634)/2</f>
        <v>26.478000000000002</v>
      </c>
      <c r="BZ633" s="120">
        <f>(BY633+CA633)/2</f>
        <v>27.1875</v>
      </c>
      <c r="CA633" s="120">
        <f>(CA632+CA634)/2</f>
        <v>27.896999999999998</v>
      </c>
      <c r="CB633" s="120">
        <f>(CA633+CC633)/2</f>
        <v>28.605499999999999</v>
      </c>
      <c r="CC633" s="120">
        <f>(CC632+CC634)/2</f>
        <v>29.314</v>
      </c>
      <c r="CD633" s="120">
        <f>(CC633+CE633)/2</f>
        <v>29.985500000000002</v>
      </c>
      <c r="CE633" s="120">
        <f>(CE632+CE634)/2</f>
        <v>30.657</v>
      </c>
      <c r="CF633" s="120">
        <f>(CE633+CG633)/2</f>
        <v>31.333750000000002</v>
      </c>
      <c r="CG633" s="120">
        <f>(CG632+CG634)/2</f>
        <v>32.0105</v>
      </c>
      <c r="CH633" s="120">
        <f>(CG633+CI633)/2</f>
        <v>32.687250000000006</v>
      </c>
      <c r="CI633" s="120">
        <f>(CI632+CI634)/2</f>
        <v>33.364000000000004</v>
      </c>
      <c r="CJ633" s="120">
        <f>(CI633+CK633)/2</f>
        <v>33.998000000000005</v>
      </c>
      <c r="CK633" s="120">
        <f>(CK632+CK634)/2</f>
        <v>34.631999999999998</v>
      </c>
      <c r="CL633" s="120">
        <f>(CK633+CM633)/2</f>
        <v>35.351500000000001</v>
      </c>
      <c r="CM633" s="120">
        <f>(CM632+CM634)/2</f>
        <v>36.070999999999998</v>
      </c>
      <c r="CN633" s="120">
        <f>(CM633+CO633)/2</f>
        <v>36.710499999999996</v>
      </c>
      <c r="CO633" s="120">
        <f>(CO632+CO634)/2</f>
        <v>37.35</v>
      </c>
      <c r="CP633" s="120">
        <f>(CO633+CQ633)/2</f>
        <v>37.9895</v>
      </c>
      <c r="CQ633" s="120">
        <f>(CQ632+CQ634)/2</f>
        <v>38.628999999999998</v>
      </c>
      <c r="CR633" s="120">
        <f>(CQ633+CS633)/2</f>
        <v>39.278999999999996</v>
      </c>
      <c r="CS633" s="120">
        <f>(CS632+CS634)/2</f>
        <v>39.929000000000002</v>
      </c>
      <c r="CT633" s="120">
        <f>(CS633+CU633)/2</f>
        <v>40.5685</v>
      </c>
      <c r="CU633" s="120">
        <f>(CU632+CU634)/2</f>
        <v>41.207999999999998</v>
      </c>
      <c r="CV633" s="120">
        <f>(CU633+CW633)/2</f>
        <v>41.879249999999999</v>
      </c>
      <c r="CW633" s="120">
        <f>(CW632+CW634)/2</f>
        <v>42.5505</v>
      </c>
      <c r="CX633" s="120">
        <f>(CW633+CY633)/2</f>
        <v>43.200749999999999</v>
      </c>
      <c r="CY633" s="120">
        <f>(CY632+CY634)/2</f>
        <v>43.850999999999999</v>
      </c>
      <c r="CZ633" s="120">
        <f>(CY633+DA633)/2</f>
        <v>44.490499999999997</v>
      </c>
      <c r="DA633" s="120">
        <f>(DA632+DA634)/2</f>
        <v>45.129999999999995</v>
      </c>
      <c r="DB633" s="120">
        <f>(DA633+DC633)/2</f>
        <v>45.768999999999998</v>
      </c>
      <c r="DC633" s="120">
        <f>(DC632+DC634)/2</f>
        <v>46.408000000000001</v>
      </c>
      <c r="DD633" s="120">
        <f>(DC633+DE633)/2</f>
        <v>47.058500000000002</v>
      </c>
      <c r="DE633" s="120">
        <f>(DE632+DE634)/2</f>
        <v>47.709000000000003</v>
      </c>
      <c r="DF633" s="120">
        <f>(DE633+DG633)/2</f>
        <v>48.316749999999999</v>
      </c>
      <c r="DG633" s="122">
        <f>(DG632+DG634)/2</f>
        <v>48.924499999999995</v>
      </c>
    </row>
    <row r="634" spans="54:111" ht="15" customHeight="1" x14ac:dyDescent="0.2">
      <c r="BB634" s="28">
        <v>20</v>
      </c>
      <c r="BC634" s="121">
        <v>9.35</v>
      </c>
      <c r="BD634" s="121">
        <v>10.394</v>
      </c>
      <c r="BE634" s="121">
        <v>11.438000000000001</v>
      </c>
      <c r="BF634" s="121">
        <v>12.344000000000001</v>
      </c>
      <c r="BG634" s="121">
        <v>13.25</v>
      </c>
      <c r="BH634" s="121">
        <v>14.123999999999999</v>
      </c>
      <c r="BI634" s="121">
        <v>14.997999999999999</v>
      </c>
      <c r="BJ634" s="121">
        <v>15.851499999999998</v>
      </c>
      <c r="BK634" s="121">
        <v>16.704999999999998</v>
      </c>
      <c r="BL634" s="121">
        <v>17.482500000000002</v>
      </c>
      <c r="BM634" s="121">
        <v>18.260000000000002</v>
      </c>
      <c r="BN634" s="121">
        <v>19.071000000000002</v>
      </c>
      <c r="BO634" s="121">
        <v>19.882000000000001</v>
      </c>
      <c r="BP634" s="121">
        <v>20.66</v>
      </c>
      <c r="BQ634" s="121">
        <v>21.437999999999999</v>
      </c>
      <c r="BR634" s="121">
        <f t="array" ref="BR634:BR674">TRANSPOSE(BS633:DG633)</f>
        <v>22.226999999999997</v>
      </c>
      <c r="BS634" s="158">
        <v>23.015999999999998</v>
      </c>
      <c r="BT634" s="120">
        <f>(BU634+BS634)/2</f>
        <v>23.762</v>
      </c>
      <c r="BU634" s="158">
        <v>24.507999999999999</v>
      </c>
      <c r="BV634" s="120">
        <f>(BW634+BU634)/2</f>
        <v>25.2225</v>
      </c>
      <c r="BW634" s="158">
        <v>25.937000000000001</v>
      </c>
      <c r="BX634" s="120">
        <f>(BY634+BW634)/2</f>
        <v>26.661000000000001</v>
      </c>
      <c r="BY634" s="158">
        <v>27.385000000000002</v>
      </c>
      <c r="BZ634" s="120">
        <f>(CA634+BY634)/2</f>
        <v>28.122</v>
      </c>
      <c r="CA634" s="158">
        <v>28.859000000000002</v>
      </c>
      <c r="CB634" s="120">
        <f>(CC634+CA634)/2</f>
        <v>29.583500000000001</v>
      </c>
      <c r="CC634" s="158">
        <v>30.308</v>
      </c>
      <c r="CD634" s="120">
        <f>(CE634+CC634)/2</f>
        <v>31.032499999999999</v>
      </c>
      <c r="CE634" s="158">
        <v>31.757000000000001</v>
      </c>
      <c r="CF634" s="120">
        <f>(CG634+CE634)/2</f>
        <v>32.429499999999997</v>
      </c>
      <c r="CG634" s="158">
        <v>33.101999999999997</v>
      </c>
      <c r="CH634" s="120">
        <f>(CI634+CG634)/2</f>
        <v>33.826499999999996</v>
      </c>
      <c r="CI634" s="158">
        <v>34.551000000000002</v>
      </c>
      <c r="CJ634" s="120">
        <f>(CK634+CI634)/2</f>
        <v>35.201000000000001</v>
      </c>
      <c r="CK634" s="158">
        <v>35.850999999999999</v>
      </c>
      <c r="CL634" s="120">
        <f>(CM634+CK634)/2</f>
        <v>36.597999999999999</v>
      </c>
      <c r="CM634" s="158">
        <v>37.344999999999999</v>
      </c>
      <c r="CN634" s="120">
        <f>(CO634+CM634)/2</f>
        <v>38.006</v>
      </c>
      <c r="CO634" s="158">
        <v>38.667000000000002</v>
      </c>
      <c r="CP634" s="120">
        <f>(CQ634+CO634)/2</f>
        <v>39.317</v>
      </c>
      <c r="CQ634" s="158">
        <v>39.966999999999999</v>
      </c>
      <c r="CR634" s="120">
        <f>(CS634+CQ634)/2</f>
        <v>40.649500000000003</v>
      </c>
      <c r="CS634" s="158">
        <v>41.332000000000001</v>
      </c>
      <c r="CT634" s="120">
        <f>(CU634+CS634)/2</f>
        <v>41.982500000000002</v>
      </c>
      <c r="CU634" s="158">
        <v>42.633000000000003</v>
      </c>
      <c r="CV634" s="120">
        <f>(CW634+CU634)/2</f>
        <v>43.357500000000002</v>
      </c>
      <c r="CW634" s="158">
        <v>44.082000000000001</v>
      </c>
      <c r="CX634" s="120">
        <f>(CY634+CW634)/2</f>
        <v>44.764499999999998</v>
      </c>
      <c r="CY634" s="158">
        <v>45.447000000000003</v>
      </c>
      <c r="CZ634" s="120">
        <f>(DA634+CY634)/2</f>
        <v>46.097499999999997</v>
      </c>
      <c r="DA634" s="158">
        <v>46.747999999999998</v>
      </c>
      <c r="DB634" s="120">
        <f>(DC634+DA634)/2</f>
        <v>47.408000000000001</v>
      </c>
      <c r="DC634" s="158">
        <v>48.067999999999998</v>
      </c>
      <c r="DD634" s="120">
        <f>(DE634+DC634)/2</f>
        <v>48.741</v>
      </c>
      <c r="DE634" s="158">
        <v>49.414000000000001</v>
      </c>
      <c r="DF634" s="120">
        <f>(DG634+DE634)/2</f>
        <v>50.010999999999996</v>
      </c>
      <c r="DG634" s="159">
        <v>50.607999999999997</v>
      </c>
    </row>
    <row r="635" spans="54:111" ht="15" customHeight="1" x14ac:dyDescent="0.2">
      <c r="BB635" s="28">
        <v>21</v>
      </c>
      <c r="BC635" s="121">
        <v>9.6760000000000002</v>
      </c>
      <c r="BD635" s="121">
        <v>10.742000000000001</v>
      </c>
      <c r="BE635" s="121">
        <v>11.808</v>
      </c>
      <c r="BF635" s="121">
        <v>12.746500000000001</v>
      </c>
      <c r="BG635" s="121">
        <v>13.684999999999999</v>
      </c>
      <c r="BH635" s="121">
        <v>14.59625</v>
      </c>
      <c r="BI635" s="121">
        <v>15.5075</v>
      </c>
      <c r="BJ635" s="121">
        <v>16.387499999999996</v>
      </c>
      <c r="BK635" s="121">
        <v>17.267499999999998</v>
      </c>
      <c r="BL635" s="121">
        <v>18.072500000000002</v>
      </c>
      <c r="BM635" s="121">
        <v>18.877500000000001</v>
      </c>
      <c r="BN635" s="121">
        <v>19.693249999999999</v>
      </c>
      <c r="BO635" s="121">
        <v>20.509</v>
      </c>
      <c r="BP635" s="121">
        <v>21.319749999999999</v>
      </c>
      <c r="BQ635" s="121">
        <v>22.130499999999998</v>
      </c>
      <c r="BR635" s="121">
        <v>22.946249999999999</v>
      </c>
      <c r="BS635" s="121">
        <f t="array" ref="BS635:BS674">TRANSPOSE(BT634:DG634)</f>
        <v>23.762</v>
      </c>
      <c r="BT635" s="120">
        <f>(BS635+BU635)/2</f>
        <v>24.508499999999998</v>
      </c>
      <c r="BU635" s="120">
        <f>(BU634+BU636)/2</f>
        <v>25.254999999999999</v>
      </c>
      <c r="BV635" s="120">
        <f>(BU635+BW635)/2</f>
        <v>26.0335</v>
      </c>
      <c r="BW635" s="120">
        <f>(BW634+BW636)/2</f>
        <v>26.812000000000001</v>
      </c>
      <c r="BX635" s="120">
        <f>(BW635+BY635)/2</f>
        <v>27.563749999999999</v>
      </c>
      <c r="BY635" s="120">
        <f>(BY634+BY636)/2</f>
        <v>28.3155</v>
      </c>
      <c r="BZ635" s="120">
        <f>(BY635+CA635)/2</f>
        <v>29.062000000000001</v>
      </c>
      <c r="CA635" s="120">
        <f>(CA634+CA636)/2</f>
        <v>29.808500000000002</v>
      </c>
      <c r="CB635" s="120">
        <f>(CA635+CC635)/2</f>
        <v>30.555250000000001</v>
      </c>
      <c r="CC635" s="120">
        <f>(CC634+CC636)/2</f>
        <v>31.302</v>
      </c>
      <c r="CD635" s="120">
        <f>(CC635+CE635)/2</f>
        <v>32.053750000000001</v>
      </c>
      <c r="CE635" s="120">
        <f>(CE634+CE636)/2</f>
        <v>32.805500000000002</v>
      </c>
      <c r="CF635" s="120">
        <f>(CE635+CG635)/2</f>
        <v>33.488</v>
      </c>
      <c r="CG635" s="120">
        <f>(CG634+CG636)/2</f>
        <v>34.170499999999997</v>
      </c>
      <c r="CH635" s="120">
        <f>(CG635+CI635)/2</f>
        <v>34.922499999999999</v>
      </c>
      <c r="CI635" s="120">
        <f>(CI634+CI636)/2</f>
        <v>35.674500000000002</v>
      </c>
      <c r="CJ635" s="120">
        <f>(CI635+CK635)/2</f>
        <v>36.383750000000006</v>
      </c>
      <c r="CK635" s="120">
        <f>(CK634+CK636)/2</f>
        <v>37.093000000000004</v>
      </c>
      <c r="CL635" s="120">
        <f>(CK635+CM635)/2</f>
        <v>37.812750000000001</v>
      </c>
      <c r="CM635" s="120">
        <f>(CM634+CM636)/2</f>
        <v>38.532499999999999</v>
      </c>
      <c r="CN635" s="120">
        <f>(CM635+CO635)/2</f>
        <v>39.252499999999998</v>
      </c>
      <c r="CO635" s="120">
        <f>(CO634+CO636)/2</f>
        <v>39.972499999999997</v>
      </c>
      <c r="CP635" s="120">
        <f>(CO635+CQ635)/2</f>
        <v>40.655000000000001</v>
      </c>
      <c r="CQ635" s="120">
        <f>(CQ634+CQ636)/2</f>
        <v>41.337499999999999</v>
      </c>
      <c r="CR635" s="120">
        <f>(CQ635+CS635)/2</f>
        <v>42.019999999999996</v>
      </c>
      <c r="CS635" s="120">
        <f>(CS634+CS636)/2</f>
        <v>42.702500000000001</v>
      </c>
      <c r="CT635" s="120">
        <f>(CS635+CU635)/2</f>
        <v>43.3855</v>
      </c>
      <c r="CU635" s="120">
        <f>(CU634+CU636)/2</f>
        <v>44.0685</v>
      </c>
      <c r="CV635" s="120">
        <f>(CU635+CW635)/2</f>
        <v>44.820250000000001</v>
      </c>
      <c r="CW635" s="120">
        <f>(CW634+CW636)/2</f>
        <v>45.572000000000003</v>
      </c>
      <c r="CX635" s="120">
        <f>(CW635+CY635)/2</f>
        <v>46.259500000000003</v>
      </c>
      <c r="CY635" s="120">
        <f>(CY634+CY636)/2</f>
        <v>46.947000000000003</v>
      </c>
      <c r="CZ635" s="120">
        <f>(CY635+DA635)/2</f>
        <v>47.6295</v>
      </c>
      <c r="DA635" s="120">
        <f>(DA634+DA636)/2</f>
        <v>48.311999999999998</v>
      </c>
      <c r="DB635" s="120">
        <f>(DA635+DC635)/2</f>
        <v>48.994500000000002</v>
      </c>
      <c r="DC635" s="120">
        <f>(DC634+DC636)/2</f>
        <v>49.677</v>
      </c>
      <c r="DD635" s="120">
        <f>(DC635+DE635)/2</f>
        <v>50.360250000000001</v>
      </c>
      <c r="DE635" s="120">
        <f>(DE634+DE636)/2</f>
        <v>51.043500000000002</v>
      </c>
      <c r="DF635" s="120">
        <f>(DE635+DG635)/2</f>
        <v>51.699249999999999</v>
      </c>
      <c r="DG635" s="122">
        <f>(DG634+DG636)/2</f>
        <v>52.354999999999997</v>
      </c>
    </row>
    <row r="636" spans="54:111" ht="15" customHeight="1" x14ac:dyDescent="0.2">
      <c r="BB636" s="28">
        <v>22</v>
      </c>
      <c r="BC636" s="121">
        <v>10.002000000000001</v>
      </c>
      <c r="BD636" s="121">
        <v>11.09</v>
      </c>
      <c r="BE636" s="121">
        <v>12.178000000000001</v>
      </c>
      <c r="BF636" s="121">
        <v>13.149000000000001</v>
      </c>
      <c r="BG636" s="121">
        <v>14.12</v>
      </c>
      <c r="BH636" s="121">
        <v>15.0685</v>
      </c>
      <c r="BI636" s="121">
        <v>16.016999999999999</v>
      </c>
      <c r="BJ636" s="121">
        <v>16.923499999999997</v>
      </c>
      <c r="BK636" s="121">
        <v>17.829999999999998</v>
      </c>
      <c r="BL636" s="121">
        <v>18.662500000000001</v>
      </c>
      <c r="BM636" s="121">
        <v>19.495000000000001</v>
      </c>
      <c r="BN636" s="121">
        <v>20.3155</v>
      </c>
      <c r="BO636" s="121">
        <v>21.135999999999999</v>
      </c>
      <c r="BP636" s="121">
        <v>21.979500000000002</v>
      </c>
      <c r="BQ636" s="121">
        <v>22.823</v>
      </c>
      <c r="BR636" s="121">
        <v>23.665500000000002</v>
      </c>
      <c r="BS636" s="121">
        <v>24.507999999999999</v>
      </c>
      <c r="BT636" s="121">
        <f t="array" ref="BT636:BT674">TRANSPOSE(BU635:DG635)</f>
        <v>25.254999999999999</v>
      </c>
      <c r="BU636" s="158">
        <v>26.001999999999999</v>
      </c>
      <c r="BV636" s="120">
        <f>(BW636+BU636)/2</f>
        <v>26.8445</v>
      </c>
      <c r="BW636" s="158">
        <v>27.687000000000001</v>
      </c>
      <c r="BX636" s="120">
        <f>(BY636+BW636)/2</f>
        <v>28.4665</v>
      </c>
      <c r="BY636" s="158">
        <v>29.245999999999999</v>
      </c>
      <c r="BZ636" s="120">
        <f>(CA636+BY636)/2</f>
        <v>30.001999999999999</v>
      </c>
      <c r="CA636" s="158">
        <v>30.757999999999999</v>
      </c>
      <c r="CB636" s="120">
        <f>(CC636+CA636)/2</f>
        <v>31.527000000000001</v>
      </c>
      <c r="CC636" s="158">
        <v>32.295999999999999</v>
      </c>
      <c r="CD636" s="120">
        <f>(CE636+CC636)/2</f>
        <v>33.075000000000003</v>
      </c>
      <c r="CE636" s="158">
        <v>33.853999999999999</v>
      </c>
      <c r="CF636" s="120">
        <f>(CG636+CE636)/2</f>
        <v>34.546499999999995</v>
      </c>
      <c r="CG636" s="158">
        <v>35.238999999999997</v>
      </c>
      <c r="CH636" s="120">
        <f>(CI636+CG636)/2</f>
        <v>36.018500000000003</v>
      </c>
      <c r="CI636" s="158">
        <v>36.798000000000002</v>
      </c>
      <c r="CJ636" s="120">
        <f>(CK636+CI636)/2</f>
        <v>37.566500000000005</v>
      </c>
      <c r="CK636" s="158">
        <v>38.335000000000001</v>
      </c>
      <c r="CL636" s="120">
        <f>(CM636+CK636)/2</f>
        <v>39.027500000000003</v>
      </c>
      <c r="CM636" s="158">
        <v>39.72</v>
      </c>
      <c r="CN636" s="120">
        <f>(CO636+CM636)/2</f>
        <v>40.498999999999995</v>
      </c>
      <c r="CO636" s="158">
        <v>41.277999999999999</v>
      </c>
      <c r="CP636" s="120">
        <f>(CQ636+CO636)/2</f>
        <v>41.992999999999995</v>
      </c>
      <c r="CQ636" s="158">
        <v>42.707999999999998</v>
      </c>
      <c r="CR636" s="120">
        <f>(CS636+CQ636)/2</f>
        <v>43.390500000000003</v>
      </c>
      <c r="CS636" s="158">
        <v>44.073</v>
      </c>
      <c r="CT636" s="120">
        <f>(CU636+CS636)/2</f>
        <v>44.788499999999999</v>
      </c>
      <c r="CU636" s="158">
        <v>45.503999999999998</v>
      </c>
      <c r="CV636" s="120">
        <f>(CW636+CU636)/2</f>
        <v>46.283000000000001</v>
      </c>
      <c r="CW636" s="158">
        <v>47.061999999999998</v>
      </c>
      <c r="CX636" s="120">
        <f>(CY636+CW636)/2</f>
        <v>47.7545</v>
      </c>
      <c r="CY636" s="158">
        <v>48.447000000000003</v>
      </c>
      <c r="CZ636" s="120">
        <f>(DA636+CY636)/2</f>
        <v>49.161500000000004</v>
      </c>
      <c r="DA636" s="158">
        <v>49.875999999999998</v>
      </c>
      <c r="DB636" s="120">
        <f>(DC636+DA636)/2</f>
        <v>50.581000000000003</v>
      </c>
      <c r="DC636" s="158">
        <v>51.286000000000001</v>
      </c>
      <c r="DD636" s="120">
        <f>(DE636+DC636)/2</f>
        <v>51.979500000000002</v>
      </c>
      <c r="DE636" s="158">
        <v>52.673000000000002</v>
      </c>
      <c r="DF636" s="120">
        <f>(DG636+DE636)/2</f>
        <v>53.387500000000003</v>
      </c>
      <c r="DG636" s="159">
        <v>54.101999999999997</v>
      </c>
    </row>
    <row r="637" spans="54:111" ht="15" customHeight="1" x14ac:dyDescent="0.2">
      <c r="BB637" s="28">
        <v>23</v>
      </c>
      <c r="BC637" s="121">
        <v>10.276</v>
      </c>
      <c r="BD637" s="121">
        <v>11.417</v>
      </c>
      <c r="BE637" s="121">
        <v>12.558</v>
      </c>
      <c r="BF637" s="121">
        <v>13.545250000000001</v>
      </c>
      <c r="BG637" s="121">
        <v>14.532499999999999</v>
      </c>
      <c r="BH637" s="121">
        <v>15.50825</v>
      </c>
      <c r="BI637" s="121">
        <v>16.484000000000002</v>
      </c>
      <c r="BJ637" s="121">
        <v>17.406499999999998</v>
      </c>
      <c r="BK637" s="121">
        <v>18.329000000000001</v>
      </c>
      <c r="BL637" s="121">
        <v>19.20975</v>
      </c>
      <c r="BM637" s="121">
        <v>20.090499999999999</v>
      </c>
      <c r="BN637" s="121">
        <v>20.93825</v>
      </c>
      <c r="BO637" s="121">
        <v>21.786000000000001</v>
      </c>
      <c r="BP637" s="121">
        <v>22.645500000000002</v>
      </c>
      <c r="BQ637" s="121">
        <v>23.505000000000003</v>
      </c>
      <c r="BR637" s="121">
        <v>24.363750000000003</v>
      </c>
      <c r="BS637" s="121">
        <v>25.2225</v>
      </c>
      <c r="BT637" s="121">
        <v>26.0335</v>
      </c>
      <c r="BU637" s="121">
        <f t="array" ref="BU637:BU674">TRANSPOSE(BV636:DG636)</f>
        <v>26.8445</v>
      </c>
      <c r="BV637" s="120">
        <f>(BU637+BW637)/2</f>
        <v>27.671500000000002</v>
      </c>
      <c r="BW637" s="120">
        <f>(BW636+BW638)/2</f>
        <v>28.4985</v>
      </c>
      <c r="BX637" s="120">
        <f>(BW637+BY637)/2</f>
        <v>29.325749999999999</v>
      </c>
      <c r="BY637" s="120">
        <f>(BY636+BY638)/2</f>
        <v>30.152999999999999</v>
      </c>
      <c r="BZ637" s="120">
        <f>(BY637+CA637)/2</f>
        <v>30.936499999999999</v>
      </c>
      <c r="CA637" s="120">
        <f>(CA636+CA638)/2</f>
        <v>31.72</v>
      </c>
      <c r="CB637" s="120">
        <f>(CA637+CC637)/2</f>
        <v>32.51</v>
      </c>
      <c r="CC637" s="120">
        <f>(CC636+CC638)/2</f>
        <v>33.299999999999997</v>
      </c>
      <c r="CD637" s="120">
        <f>(CC637+CE637)/2</f>
        <v>34.09525</v>
      </c>
      <c r="CE637" s="120">
        <f>(CE636+CE638)/2</f>
        <v>34.890500000000003</v>
      </c>
      <c r="CF637" s="120">
        <f>(CE637+CG637)/2</f>
        <v>35.642250000000004</v>
      </c>
      <c r="CG637" s="120">
        <f>(CG636+CG638)/2</f>
        <v>36.393999999999998</v>
      </c>
      <c r="CH637" s="120">
        <f>(CG637+CI637)/2</f>
        <v>37.157499999999999</v>
      </c>
      <c r="CI637" s="120">
        <f>(CI636+CI638)/2</f>
        <v>37.920999999999999</v>
      </c>
      <c r="CJ637" s="120">
        <f>(CI637+CK637)/2</f>
        <v>38.705500000000001</v>
      </c>
      <c r="CK637" s="120">
        <f>(CK636+CK638)/2</f>
        <v>39.49</v>
      </c>
      <c r="CL637" s="120">
        <f>(CK637+CM637)/2</f>
        <v>40.210250000000002</v>
      </c>
      <c r="CM637" s="120">
        <f>(CM636+CM638)/2</f>
        <v>40.930499999999995</v>
      </c>
      <c r="CN637" s="120">
        <f>(CM637+CO637)/2</f>
        <v>41.725249999999996</v>
      </c>
      <c r="CO637" s="120">
        <f>(CO636+CO638)/2</f>
        <v>42.519999999999996</v>
      </c>
      <c r="CP637" s="120">
        <f>(CO637+CQ637)/2</f>
        <v>43.2515</v>
      </c>
      <c r="CQ637" s="120">
        <f>(CQ636+CQ638)/2</f>
        <v>43.983000000000004</v>
      </c>
      <c r="CR637" s="120">
        <f>(CQ637+CS637)/2</f>
        <v>44.729750000000003</v>
      </c>
      <c r="CS637" s="120">
        <f>(CS636+CS638)/2</f>
        <v>45.476500000000001</v>
      </c>
      <c r="CT637" s="120">
        <f>(CS637+CU637)/2</f>
        <v>46.207499999999996</v>
      </c>
      <c r="CU637" s="120">
        <f>(CU636+CU638)/2</f>
        <v>46.938499999999998</v>
      </c>
      <c r="CV637" s="120">
        <f>(CU637+CW637)/2</f>
        <v>47.701999999999998</v>
      </c>
      <c r="CW637" s="120">
        <f>(CW636+CW638)/2</f>
        <v>48.465499999999999</v>
      </c>
      <c r="CX637" s="120">
        <f>(CW637+CY637)/2</f>
        <v>49.21725</v>
      </c>
      <c r="CY637" s="120">
        <f>(CY636+CY638)/2</f>
        <v>49.969000000000001</v>
      </c>
      <c r="CZ637" s="120">
        <f>(CY637+DA637)/2</f>
        <v>50.699749999999995</v>
      </c>
      <c r="DA637" s="120">
        <f>(DA636+DA638)/2</f>
        <v>51.430499999999995</v>
      </c>
      <c r="DB637" s="120">
        <f>(DA637+DC637)/2</f>
        <v>52.156749999999995</v>
      </c>
      <c r="DC637" s="120">
        <f>(DC636+DC638)/2</f>
        <v>52.882999999999996</v>
      </c>
      <c r="DD637" s="120">
        <f>(DC637+DE637)/2</f>
        <v>53.603499999999997</v>
      </c>
      <c r="DE637" s="120">
        <f>(DE636+DE638)/2</f>
        <v>54.323999999999998</v>
      </c>
      <c r="DF637" s="120">
        <f>(DE637+DG637)/2</f>
        <v>55.054749999999999</v>
      </c>
      <c r="DG637" s="122">
        <f>(DG636+DG638)/2</f>
        <v>55.785499999999999</v>
      </c>
    </row>
    <row r="638" spans="54:111" ht="15" customHeight="1" x14ac:dyDescent="0.2">
      <c r="BB638" s="28">
        <v>24</v>
      </c>
      <c r="BC638" s="121">
        <v>10.55</v>
      </c>
      <c r="BD638" s="121">
        <v>11.744</v>
      </c>
      <c r="BE638" s="121">
        <v>12.938000000000001</v>
      </c>
      <c r="BF638" s="121">
        <v>13.941500000000001</v>
      </c>
      <c r="BG638" s="121">
        <v>14.945</v>
      </c>
      <c r="BH638" s="121">
        <v>15.948</v>
      </c>
      <c r="BI638" s="121">
        <v>16.951000000000001</v>
      </c>
      <c r="BJ638" s="121">
        <v>17.889499999999998</v>
      </c>
      <c r="BK638" s="121">
        <v>18.827999999999999</v>
      </c>
      <c r="BL638" s="121">
        <v>19.756999999999998</v>
      </c>
      <c r="BM638" s="121">
        <v>20.686</v>
      </c>
      <c r="BN638" s="121">
        <v>21.561</v>
      </c>
      <c r="BO638" s="121">
        <v>22.436</v>
      </c>
      <c r="BP638" s="121">
        <v>23.311500000000002</v>
      </c>
      <c r="BQ638" s="121">
        <v>24.187000000000001</v>
      </c>
      <c r="BR638" s="121">
        <v>25.062000000000001</v>
      </c>
      <c r="BS638" s="121">
        <v>25.937000000000001</v>
      </c>
      <c r="BT638" s="121">
        <v>26.812000000000001</v>
      </c>
      <c r="BU638" s="121">
        <v>27.687000000000001</v>
      </c>
      <c r="BV638" s="121">
        <f t="array" ref="BV638:BV674">TRANSPOSE(BW637:DG637)</f>
        <v>28.4985</v>
      </c>
      <c r="BW638" s="158">
        <v>29.31</v>
      </c>
      <c r="BX638" s="120">
        <f>(BY638+BW638)/2</f>
        <v>30.184999999999999</v>
      </c>
      <c r="BY638" s="158">
        <v>31.06</v>
      </c>
      <c r="BZ638" s="120">
        <f>(CA638+BY638)/2</f>
        <v>31.871000000000002</v>
      </c>
      <c r="CA638" s="158">
        <v>32.682000000000002</v>
      </c>
      <c r="CB638" s="120">
        <f>(CC638+CA638)/2</f>
        <v>33.493000000000002</v>
      </c>
      <c r="CC638" s="158">
        <v>34.304000000000002</v>
      </c>
      <c r="CD638" s="120">
        <f>(CE638+CC638)/2</f>
        <v>35.115499999999997</v>
      </c>
      <c r="CE638" s="158">
        <v>35.927</v>
      </c>
      <c r="CF638" s="120">
        <f>(CG638+CE638)/2</f>
        <v>36.738</v>
      </c>
      <c r="CG638" s="158">
        <v>37.548999999999999</v>
      </c>
      <c r="CH638" s="120">
        <f>(CI638+CG638)/2</f>
        <v>38.296499999999995</v>
      </c>
      <c r="CI638" s="158">
        <v>39.043999999999997</v>
      </c>
      <c r="CJ638" s="120">
        <f>(CK638+CI638)/2</f>
        <v>39.844499999999996</v>
      </c>
      <c r="CK638" s="158">
        <v>40.645000000000003</v>
      </c>
      <c r="CL638" s="120">
        <f>(CM638+CK638)/2</f>
        <v>41.393000000000001</v>
      </c>
      <c r="CM638" s="158">
        <v>42.140999999999998</v>
      </c>
      <c r="CN638" s="120">
        <f>(CO638+CM638)/2</f>
        <v>42.951499999999996</v>
      </c>
      <c r="CO638" s="158">
        <v>43.762</v>
      </c>
      <c r="CP638" s="120">
        <f>(CQ638+CO638)/2</f>
        <v>44.510000000000005</v>
      </c>
      <c r="CQ638" s="158">
        <v>45.258000000000003</v>
      </c>
      <c r="CR638" s="120">
        <f>(CS638+CQ638)/2</f>
        <v>46.069000000000003</v>
      </c>
      <c r="CS638" s="158">
        <v>46.88</v>
      </c>
      <c r="CT638" s="120">
        <f>(CU638+CS638)/2</f>
        <v>47.6265</v>
      </c>
      <c r="CU638" s="158">
        <v>48.372999999999998</v>
      </c>
      <c r="CV638" s="120">
        <f>(CW638+CU638)/2</f>
        <v>49.120999999999995</v>
      </c>
      <c r="CW638" s="158">
        <v>49.869</v>
      </c>
      <c r="CX638" s="120">
        <f>(CY638+CW638)/2</f>
        <v>50.68</v>
      </c>
      <c r="CY638" s="158">
        <v>51.491</v>
      </c>
      <c r="CZ638" s="120">
        <f>(DA638+CY638)/2</f>
        <v>52.238</v>
      </c>
      <c r="DA638" s="158">
        <v>52.984999999999999</v>
      </c>
      <c r="DB638" s="120">
        <f>(DC638+DA638)/2</f>
        <v>53.732500000000002</v>
      </c>
      <c r="DC638" s="158">
        <v>54.48</v>
      </c>
      <c r="DD638" s="120">
        <f>(DE638+DC638)/2</f>
        <v>55.227499999999999</v>
      </c>
      <c r="DE638" s="158">
        <v>55.975000000000001</v>
      </c>
      <c r="DF638" s="120">
        <f>(DG638+DE638)/2</f>
        <v>56.722000000000001</v>
      </c>
      <c r="DG638" s="159">
        <v>57.469000000000001</v>
      </c>
    </row>
    <row r="639" spans="54:111" ht="15" customHeight="1" x14ac:dyDescent="0.2">
      <c r="BB639" s="28">
        <v>25</v>
      </c>
      <c r="BC639" s="121">
        <v>10.887</v>
      </c>
      <c r="BD639" s="121">
        <v>12.0655</v>
      </c>
      <c r="BE639" s="121">
        <v>13.244</v>
      </c>
      <c r="BF639" s="121">
        <v>14.295250000000001</v>
      </c>
      <c r="BG639" s="121">
        <v>15.346499999999999</v>
      </c>
      <c r="BH639" s="121">
        <v>16.376750000000001</v>
      </c>
      <c r="BI639" s="121">
        <v>17.407</v>
      </c>
      <c r="BJ639" s="121">
        <v>18.393999999999998</v>
      </c>
      <c r="BK639" s="121">
        <v>19.381</v>
      </c>
      <c r="BL639" s="121">
        <v>20.30425</v>
      </c>
      <c r="BM639" s="121">
        <v>21.227499999999999</v>
      </c>
      <c r="BN639" s="121">
        <v>22.161749999999998</v>
      </c>
      <c r="BO639" s="121">
        <v>23.096</v>
      </c>
      <c r="BP639" s="121">
        <v>23.987500000000001</v>
      </c>
      <c r="BQ639" s="121">
        <v>24.879000000000001</v>
      </c>
      <c r="BR639" s="121">
        <v>25.770000000000003</v>
      </c>
      <c r="BS639" s="121">
        <v>26.661000000000001</v>
      </c>
      <c r="BT639" s="121">
        <v>27.563749999999999</v>
      </c>
      <c r="BU639" s="121">
        <v>28.4665</v>
      </c>
      <c r="BV639" s="121">
        <v>29.325749999999999</v>
      </c>
      <c r="BW639" s="121">
        <f t="array" ref="BW639:BW674">TRANSPOSE(BX638:DG638)</f>
        <v>30.184999999999999</v>
      </c>
      <c r="BX639" s="120">
        <f>(BW639+BY639)/2</f>
        <v>31.044249999999998</v>
      </c>
      <c r="BY639" s="120">
        <f>(BY638+BY640)/2</f>
        <v>31.903500000000001</v>
      </c>
      <c r="BZ639" s="120">
        <f>(BY639+CA639)/2</f>
        <v>32.741749999999996</v>
      </c>
      <c r="CA639" s="120">
        <f>(CA638+CA640)/2</f>
        <v>33.58</v>
      </c>
      <c r="CB639" s="120">
        <f>(CA639+CC639)/2</f>
        <v>34.407249999999998</v>
      </c>
      <c r="CC639" s="120">
        <f>(CC638+CC640)/2</f>
        <v>35.234499999999997</v>
      </c>
      <c r="CD639" s="120">
        <f>(CC639+CE639)/2</f>
        <v>36.061999999999998</v>
      </c>
      <c r="CE639" s="120">
        <f>(CE638+CE640)/2</f>
        <v>36.889499999999998</v>
      </c>
      <c r="CF639" s="120">
        <f>(CE639+CG639)/2</f>
        <v>37.72775</v>
      </c>
      <c r="CG639" s="120">
        <f>(CG638+CG640)/2</f>
        <v>38.566000000000003</v>
      </c>
      <c r="CH639" s="120">
        <f>(CG639+CI639)/2</f>
        <v>39.361499999999999</v>
      </c>
      <c r="CI639" s="120">
        <f>(CI638+CI640)/2</f>
        <v>40.156999999999996</v>
      </c>
      <c r="CJ639" s="120">
        <f>(CI639+CK639)/2</f>
        <v>40.983999999999995</v>
      </c>
      <c r="CK639" s="120">
        <f>(CK638+CK640)/2</f>
        <v>41.811</v>
      </c>
      <c r="CL639" s="120">
        <f>(CK639+CM639)/2</f>
        <v>42.617750000000001</v>
      </c>
      <c r="CM639" s="120">
        <f>(CM638+CM640)/2</f>
        <v>43.424499999999995</v>
      </c>
      <c r="CN639" s="120">
        <f>(CM639+CO639)/2</f>
        <v>44.219749999999998</v>
      </c>
      <c r="CO639" s="120">
        <f>(CO638+CO640)/2</f>
        <v>45.015000000000001</v>
      </c>
      <c r="CP639" s="120">
        <f>(CO639+CQ639)/2</f>
        <v>45.810500000000005</v>
      </c>
      <c r="CQ639" s="120">
        <f>(CQ638+CQ640)/2</f>
        <v>46.606000000000002</v>
      </c>
      <c r="CR639" s="120">
        <f>(CQ639+CS639)/2</f>
        <v>47.412500000000001</v>
      </c>
      <c r="CS639" s="120">
        <f>(CS638+CS640)/2</f>
        <v>48.219000000000001</v>
      </c>
      <c r="CT639" s="120">
        <f>(CS639+CU639)/2</f>
        <v>49.013999999999996</v>
      </c>
      <c r="CU639" s="120">
        <f>(CU638+CU640)/2</f>
        <v>49.808999999999997</v>
      </c>
      <c r="CV639" s="120">
        <f>(CU639+CW639)/2</f>
        <v>50.572499999999998</v>
      </c>
      <c r="CW639" s="120">
        <f>(CW638+CW640)/2</f>
        <v>51.335999999999999</v>
      </c>
      <c r="CX639" s="120">
        <f>(CW639+CY639)/2</f>
        <v>52.142499999999998</v>
      </c>
      <c r="CY639" s="120">
        <f>(CY638+CY640)/2</f>
        <v>52.948999999999998</v>
      </c>
      <c r="CZ639" s="120">
        <f>(CY639+DA639)/2</f>
        <v>53.744250000000001</v>
      </c>
      <c r="DA639" s="120">
        <f>(DA638+DA640)/2</f>
        <v>54.539500000000004</v>
      </c>
      <c r="DB639" s="120">
        <f>(DA639+DC639)/2</f>
        <v>55.302750000000003</v>
      </c>
      <c r="DC639" s="120">
        <f>(DC638+DC640)/2</f>
        <v>56.066000000000003</v>
      </c>
      <c r="DD639" s="120">
        <f>(DC639+DE639)/2</f>
        <v>56.84075</v>
      </c>
      <c r="DE639" s="120">
        <f>(DE638+DE640)/2</f>
        <v>57.615499999999997</v>
      </c>
      <c r="DF639" s="120">
        <f>(DE639+DG639)/2</f>
        <v>58.378749999999997</v>
      </c>
      <c r="DG639" s="122">
        <f>(DG638+DG640)/2</f>
        <v>59.141999999999996</v>
      </c>
    </row>
    <row r="640" spans="54:111" ht="15" customHeight="1" x14ac:dyDescent="0.2">
      <c r="BB640" s="28">
        <v>26</v>
      </c>
      <c r="BC640" s="121">
        <v>11.224</v>
      </c>
      <c r="BD640" s="121">
        <v>12.387</v>
      </c>
      <c r="BE640" s="121">
        <v>13.55</v>
      </c>
      <c r="BF640" s="121">
        <v>14.649000000000001</v>
      </c>
      <c r="BG640" s="121">
        <v>15.747999999999999</v>
      </c>
      <c r="BH640" s="121">
        <v>16.805499999999999</v>
      </c>
      <c r="BI640" s="121">
        <v>17.863</v>
      </c>
      <c r="BJ640" s="121">
        <v>18.898499999999999</v>
      </c>
      <c r="BK640" s="121">
        <v>19.934000000000001</v>
      </c>
      <c r="BL640" s="121">
        <v>20.851500000000001</v>
      </c>
      <c r="BM640" s="121">
        <v>21.768999999999998</v>
      </c>
      <c r="BN640" s="121">
        <v>22.762499999999999</v>
      </c>
      <c r="BO640" s="121">
        <v>23.756</v>
      </c>
      <c r="BP640" s="121">
        <v>24.663499999999999</v>
      </c>
      <c r="BQ640" s="121">
        <v>25.571000000000002</v>
      </c>
      <c r="BR640" s="121">
        <v>26.478000000000002</v>
      </c>
      <c r="BS640" s="121">
        <v>27.385000000000002</v>
      </c>
      <c r="BT640" s="121">
        <v>28.3155</v>
      </c>
      <c r="BU640" s="121">
        <v>29.245999999999999</v>
      </c>
      <c r="BV640" s="121">
        <v>30.152999999999999</v>
      </c>
      <c r="BW640" s="121">
        <v>31.06</v>
      </c>
      <c r="BX640" s="121">
        <f t="array" ref="BX640:BX674">TRANSPOSE(BY639:DG639)</f>
        <v>31.903500000000001</v>
      </c>
      <c r="BY640" s="158">
        <v>32.747</v>
      </c>
      <c r="BZ640" s="120">
        <f>(CA640+BY640)/2</f>
        <v>33.612499999999997</v>
      </c>
      <c r="CA640" s="158">
        <v>34.478000000000002</v>
      </c>
      <c r="CB640" s="120">
        <f>(CC640+CA640)/2</f>
        <v>35.3215</v>
      </c>
      <c r="CC640" s="158">
        <v>36.164999999999999</v>
      </c>
      <c r="CD640" s="120">
        <f>(CE640+CC640)/2</f>
        <v>37.008499999999998</v>
      </c>
      <c r="CE640" s="158">
        <v>37.851999999999997</v>
      </c>
      <c r="CF640" s="120">
        <f>(CG640+CE640)/2</f>
        <v>38.717500000000001</v>
      </c>
      <c r="CG640" s="158">
        <v>39.582999999999998</v>
      </c>
      <c r="CH640" s="120">
        <f>(CI640+CG640)/2</f>
        <v>40.426500000000004</v>
      </c>
      <c r="CI640" s="158">
        <v>41.27</v>
      </c>
      <c r="CJ640" s="120">
        <f>(CK640+CI640)/2</f>
        <v>42.1235</v>
      </c>
      <c r="CK640" s="158">
        <v>42.976999999999997</v>
      </c>
      <c r="CL640" s="120">
        <f>(CM640+CK640)/2</f>
        <v>43.842500000000001</v>
      </c>
      <c r="CM640" s="158">
        <v>44.707999999999998</v>
      </c>
      <c r="CN640" s="120">
        <f>(CO640+CM640)/2</f>
        <v>45.488</v>
      </c>
      <c r="CO640" s="158">
        <v>46.268000000000001</v>
      </c>
      <c r="CP640" s="120">
        <f>(CQ640+CO640)/2</f>
        <v>47.111000000000004</v>
      </c>
      <c r="CQ640" s="158">
        <v>47.954000000000001</v>
      </c>
      <c r="CR640" s="120">
        <f>(CS640+CQ640)/2</f>
        <v>48.756</v>
      </c>
      <c r="CS640" s="158">
        <v>49.558</v>
      </c>
      <c r="CT640" s="120">
        <f>(CU640+CS640)/2</f>
        <v>50.401499999999999</v>
      </c>
      <c r="CU640" s="158">
        <v>51.244999999999997</v>
      </c>
      <c r="CV640" s="120">
        <f>(CW640+CU640)/2</f>
        <v>52.024000000000001</v>
      </c>
      <c r="CW640" s="158">
        <v>52.802999999999997</v>
      </c>
      <c r="CX640" s="120">
        <f>(CY640+CW640)/2</f>
        <v>53.604999999999997</v>
      </c>
      <c r="CY640" s="158">
        <v>54.406999999999996</v>
      </c>
      <c r="CZ640" s="120">
        <f>(DA640+CY640)/2</f>
        <v>55.250500000000002</v>
      </c>
      <c r="DA640" s="158">
        <v>56.094000000000001</v>
      </c>
      <c r="DB640" s="120">
        <f>(DC640+DA640)/2</f>
        <v>56.873000000000005</v>
      </c>
      <c r="DC640" s="158">
        <v>57.652000000000001</v>
      </c>
      <c r="DD640" s="120">
        <f>(DE640+DC640)/2</f>
        <v>58.454000000000001</v>
      </c>
      <c r="DE640" s="158">
        <v>59.256</v>
      </c>
      <c r="DF640" s="120">
        <f>(DG640+DE640)/2</f>
        <v>60.035499999999999</v>
      </c>
      <c r="DG640" s="159">
        <v>60.814999999999998</v>
      </c>
    </row>
    <row r="641" spans="54:111" ht="15" customHeight="1" x14ac:dyDescent="0.2">
      <c r="BB641" s="28">
        <v>27</v>
      </c>
      <c r="BC641" s="121">
        <v>11.475999999999999</v>
      </c>
      <c r="BD641" s="121">
        <v>12.703250000000001</v>
      </c>
      <c r="BE641" s="121">
        <v>13.9305</v>
      </c>
      <c r="BF641" s="121">
        <v>15.056750000000001</v>
      </c>
      <c r="BG641" s="121">
        <v>16.183</v>
      </c>
      <c r="BH641" s="121">
        <v>17.2455</v>
      </c>
      <c r="BI641" s="121">
        <v>18.308</v>
      </c>
      <c r="BJ641" s="121">
        <v>19.3705</v>
      </c>
      <c r="BK641" s="121">
        <v>20.433</v>
      </c>
      <c r="BL641" s="121">
        <v>21.41</v>
      </c>
      <c r="BM641" s="121">
        <v>22.387</v>
      </c>
      <c r="BN641" s="121">
        <v>23.3855</v>
      </c>
      <c r="BO641" s="121">
        <v>24.384</v>
      </c>
      <c r="BP641" s="121">
        <v>25.3185</v>
      </c>
      <c r="BQ641" s="121">
        <v>26.253</v>
      </c>
      <c r="BR641" s="121">
        <v>27.1875</v>
      </c>
      <c r="BS641" s="121">
        <v>28.122</v>
      </c>
      <c r="BT641" s="121">
        <v>29.062000000000001</v>
      </c>
      <c r="BU641" s="121">
        <v>30.001999999999999</v>
      </c>
      <c r="BV641" s="121">
        <v>30.936499999999999</v>
      </c>
      <c r="BW641" s="121">
        <v>31.871000000000002</v>
      </c>
      <c r="BX641" s="121">
        <v>32.741749999999996</v>
      </c>
      <c r="BY641" s="121">
        <f t="array" ref="BY641:BY674">TRANSPOSE(BZ640:DG640)</f>
        <v>33.612499999999997</v>
      </c>
      <c r="BZ641" s="120">
        <f>(BY641+CA641)/2</f>
        <v>34.515000000000001</v>
      </c>
      <c r="CA641" s="120">
        <f>(CA640+CA642)/2</f>
        <v>35.417500000000004</v>
      </c>
      <c r="CB641" s="120">
        <f>(CA641+CC641)/2</f>
        <v>36.293500000000002</v>
      </c>
      <c r="CC641" s="120">
        <f>(CC640+CC642)/2</f>
        <v>37.169499999999999</v>
      </c>
      <c r="CD641" s="120">
        <f>(CC641+CE641)/2</f>
        <v>38.039749999999998</v>
      </c>
      <c r="CE641" s="120">
        <f>(CE640+CE642)/2</f>
        <v>38.909999999999997</v>
      </c>
      <c r="CF641" s="120">
        <f>(CE641+CG641)/2</f>
        <v>39.780999999999999</v>
      </c>
      <c r="CG641" s="120">
        <f>(CG640+CG642)/2</f>
        <v>40.652000000000001</v>
      </c>
      <c r="CH641" s="120">
        <f>(CG641+CI641)/2</f>
        <v>41.522500000000001</v>
      </c>
      <c r="CI641" s="120">
        <f>(CI640+CI642)/2</f>
        <v>42.393000000000001</v>
      </c>
      <c r="CJ641" s="120">
        <f>(CI641+CK641)/2</f>
        <v>43.27375</v>
      </c>
      <c r="CK641" s="120">
        <f>(CK640+CK642)/2</f>
        <v>44.154499999999999</v>
      </c>
      <c r="CL641" s="120">
        <f>(CK641+CM641)/2</f>
        <v>45.024999999999999</v>
      </c>
      <c r="CM641" s="120">
        <f>(CM640+CM642)/2</f>
        <v>45.895499999999998</v>
      </c>
      <c r="CN641" s="120">
        <f>(CM641+CO641)/2</f>
        <v>46.702750000000002</v>
      </c>
      <c r="CO641" s="120">
        <f>(CO640+CO642)/2</f>
        <v>47.510000000000005</v>
      </c>
      <c r="CP641" s="120">
        <f>(CO641+CQ641)/2</f>
        <v>48.380250000000004</v>
      </c>
      <c r="CQ641" s="120">
        <f>(CQ640+CQ642)/2</f>
        <v>49.250500000000002</v>
      </c>
      <c r="CR641" s="120">
        <f>(CQ641+CS641)/2</f>
        <v>50.062750000000001</v>
      </c>
      <c r="CS641" s="120">
        <f>(CS640+CS642)/2</f>
        <v>50.875</v>
      </c>
      <c r="CT641" s="120">
        <f>(CS641+CU641)/2</f>
        <v>51.7455</v>
      </c>
      <c r="CU641" s="120">
        <f>(CU640+CU642)/2</f>
        <v>52.616</v>
      </c>
      <c r="CV641" s="120">
        <f>(CU641+CW641)/2</f>
        <v>53.422499999999999</v>
      </c>
      <c r="CW641" s="120">
        <f>(CW640+CW642)/2</f>
        <v>54.228999999999999</v>
      </c>
      <c r="CX641" s="120">
        <f>(CW641+CY641)/2</f>
        <v>55.067749999999997</v>
      </c>
      <c r="CY641" s="120">
        <f>(CY640+CY642)/2</f>
        <v>55.906499999999994</v>
      </c>
      <c r="CZ641" s="120">
        <f>(CY641+DA641)/2</f>
        <v>56.745249999999999</v>
      </c>
      <c r="DA641" s="120">
        <f>(DA640+DA642)/2</f>
        <v>57.584000000000003</v>
      </c>
      <c r="DB641" s="120">
        <f>(DA641+DC641)/2</f>
        <v>58.39575</v>
      </c>
      <c r="DC641" s="120">
        <f>(DC640+DC642)/2</f>
        <v>59.207499999999996</v>
      </c>
      <c r="DD641" s="120">
        <f>(DC641+DE641)/2</f>
        <v>60.046250000000001</v>
      </c>
      <c r="DE641" s="120">
        <f>(DE640+DE642)/2</f>
        <v>60.885000000000005</v>
      </c>
      <c r="DF641" s="120">
        <f>(DE641+DG641)/2</f>
        <v>61.691500000000005</v>
      </c>
      <c r="DG641" s="122">
        <f>(DG640+DG642)/2</f>
        <v>62.497999999999998</v>
      </c>
    </row>
    <row r="642" spans="54:111" ht="15" customHeight="1" x14ac:dyDescent="0.2">
      <c r="BB642" s="28">
        <v>28</v>
      </c>
      <c r="BC642" s="121">
        <v>11.728</v>
      </c>
      <c r="BD642" s="121">
        <v>13.019500000000001</v>
      </c>
      <c r="BE642" s="121">
        <v>14.311</v>
      </c>
      <c r="BF642" s="121">
        <v>15.464499999999999</v>
      </c>
      <c r="BG642" s="121">
        <v>16.617999999999999</v>
      </c>
      <c r="BH642" s="121">
        <v>17.685499999999998</v>
      </c>
      <c r="BI642" s="121">
        <v>18.753</v>
      </c>
      <c r="BJ642" s="121">
        <v>19.842500000000001</v>
      </c>
      <c r="BK642" s="121">
        <v>20.931999999999999</v>
      </c>
      <c r="BL642" s="121">
        <v>21.968499999999999</v>
      </c>
      <c r="BM642" s="121">
        <v>23.004999999999999</v>
      </c>
      <c r="BN642" s="121">
        <v>24.008499999999998</v>
      </c>
      <c r="BO642" s="121">
        <v>25.012</v>
      </c>
      <c r="BP642" s="121">
        <v>25.973500000000001</v>
      </c>
      <c r="BQ642" s="121">
        <v>26.934999999999999</v>
      </c>
      <c r="BR642" s="121">
        <v>27.896999999999998</v>
      </c>
      <c r="BS642" s="121">
        <v>28.859000000000002</v>
      </c>
      <c r="BT642" s="121">
        <v>29.808500000000002</v>
      </c>
      <c r="BU642" s="121">
        <v>30.757999999999999</v>
      </c>
      <c r="BV642" s="121">
        <v>31.72</v>
      </c>
      <c r="BW642" s="121">
        <v>32.682000000000002</v>
      </c>
      <c r="BX642" s="121">
        <v>33.58</v>
      </c>
      <c r="BY642" s="121">
        <v>34.478000000000002</v>
      </c>
      <c r="BZ642" s="121">
        <f t="array" ref="BZ642:BZ674">TRANSPOSE(CA641:DG641)</f>
        <v>35.417500000000004</v>
      </c>
      <c r="CA642" s="158">
        <v>36.356999999999999</v>
      </c>
      <c r="CB642" s="120">
        <f>(CC642+CA642)/2</f>
        <v>37.265500000000003</v>
      </c>
      <c r="CC642" s="158">
        <v>38.173999999999999</v>
      </c>
      <c r="CD642" s="120">
        <f>(CE642+CC642)/2</f>
        <v>39.070999999999998</v>
      </c>
      <c r="CE642" s="158">
        <v>39.968000000000004</v>
      </c>
      <c r="CF642" s="120">
        <f>(CG642+CE642)/2</f>
        <v>40.844499999999996</v>
      </c>
      <c r="CG642" s="158">
        <v>41.720999999999997</v>
      </c>
      <c r="CH642" s="120">
        <f>(CI642+CG642)/2</f>
        <v>42.618499999999997</v>
      </c>
      <c r="CI642" s="158">
        <v>43.515999999999998</v>
      </c>
      <c r="CJ642" s="120">
        <f>(CK642+CI642)/2</f>
        <v>44.423999999999999</v>
      </c>
      <c r="CK642" s="158">
        <v>45.332000000000001</v>
      </c>
      <c r="CL642" s="120">
        <f>(CM642+CK642)/2</f>
        <v>46.207499999999996</v>
      </c>
      <c r="CM642" s="158">
        <v>47.082999999999998</v>
      </c>
      <c r="CN642" s="120">
        <f>(CO642+CM642)/2</f>
        <v>47.917500000000004</v>
      </c>
      <c r="CO642" s="158">
        <v>48.752000000000002</v>
      </c>
      <c r="CP642" s="120">
        <f>(CQ642+CO642)/2</f>
        <v>49.649500000000003</v>
      </c>
      <c r="CQ642" s="158">
        <v>50.546999999999997</v>
      </c>
      <c r="CR642" s="120">
        <f>(CS642+CQ642)/2</f>
        <v>51.369500000000002</v>
      </c>
      <c r="CS642" s="158">
        <v>52.192</v>
      </c>
      <c r="CT642" s="120">
        <f>(CU642+CS642)/2</f>
        <v>53.089500000000001</v>
      </c>
      <c r="CU642" s="158">
        <v>53.987000000000002</v>
      </c>
      <c r="CV642" s="120">
        <f>(CW642+CU642)/2</f>
        <v>54.820999999999998</v>
      </c>
      <c r="CW642" s="158">
        <v>55.655000000000001</v>
      </c>
      <c r="CX642" s="120">
        <f>(CY642+CW642)/2</f>
        <v>56.530500000000004</v>
      </c>
      <c r="CY642" s="158">
        <v>57.405999999999999</v>
      </c>
      <c r="CZ642" s="120">
        <f>(DA642+CY642)/2</f>
        <v>58.239999999999995</v>
      </c>
      <c r="DA642" s="158">
        <v>59.073999999999998</v>
      </c>
      <c r="DB642" s="120">
        <f>(DC642+DA642)/2</f>
        <v>59.918499999999995</v>
      </c>
      <c r="DC642" s="158">
        <v>60.762999999999998</v>
      </c>
      <c r="DD642" s="120">
        <f>(DE642+DC642)/2</f>
        <v>61.638500000000001</v>
      </c>
      <c r="DE642" s="158">
        <v>62.514000000000003</v>
      </c>
      <c r="DF642" s="120">
        <f>(DG642+DE642)/2</f>
        <v>63.347499999999997</v>
      </c>
      <c r="DG642" s="159">
        <v>64.180999999999997</v>
      </c>
    </row>
    <row r="643" spans="54:111" ht="15" customHeight="1" x14ac:dyDescent="0.2">
      <c r="BB643" s="28">
        <v>29</v>
      </c>
      <c r="BC643" s="121">
        <v>12.0755</v>
      </c>
      <c r="BD643" s="121">
        <v>13.378500000000001</v>
      </c>
      <c r="BE643" s="121">
        <v>14.6815</v>
      </c>
      <c r="BF643" s="121">
        <v>15.856249999999999</v>
      </c>
      <c r="BG643" s="121">
        <v>17.030999999999999</v>
      </c>
      <c r="BH643" s="121">
        <v>18.125499999999999</v>
      </c>
      <c r="BI643" s="121">
        <v>19.22</v>
      </c>
      <c r="BJ643" s="121">
        <v>20.325749999999999</v>
      </c>
      <c r="BK643" s="121">
        <v>21.4315</v>
      </c>
      <c r="BL643" s="121">
        <v>22.483750000000001</v>
      </c>
      <c r="BM643" s="121">
        <v>23.536000000000001</v>
      </c>
      <c r="BN643" s="121">
        <v>24.567</v>
      </c>
      <c r="BO643" s="121">
        <v>25.597999999999999</v>
      </c>
      <c r="BP643" s="121">
        <v>26.612750000000002</v>
      </c>
      <c r="BQ643" s="121">
        <v>27.627499999999998</v>
      </c>
      <c r="BR643" s="121">
        <v>28.605499999999999</v>
      </c>
      <c r="BS643" s="121">
        <v>29.583500000000001</v>
      </c>
      <c r="BT643" s="121">
        <v>30.555250000000001</v>
      </c>
      <c r="BU643" s="121">
        <v>31.527000000000001</v>
      </c>
      <c r="BV643" s="121">
        <v>32.51</v>
      </c>
      <c r="BW643" s="121">
        <v>33.493000000000002</v>
      </c>
      <c r="BX643" s="121">
        <v>34.407249999999998</v>
      </c>
      <c r="BY643" s="121">
        <v>35.3215</v>
      </c>
      <c r="BZ643" s="121">
        <v>36.293500000000002</v>
      </c>
      <c r="CA643" s="121">
        <f t="array" ref="CA643:CA674">TRANSPOSE(CB642:DG642)</f>
        <v>37.265500000000003</v>
      </c>
      <c r="CB643" s="120">
        <f>(CA643+CC643)/2</f>
        <v>38.1845</v>
      </c>
      <c r="CC643" s="120">
        <f>(CC642+CC644)/2</f>
        <v>39.103499999999997</v>
      </c>
      <c r="CD643" s="120">
        <f>(CC643+CE643)/2</f>
        <v>40.017249999999997</v>
      </c>
      <c r="CE643" s="120">
        <f>(CE642+CE644)/2</f>
        <v>40.930999999999997</v>
      </c>
      <c r="CF643" s="120">
        <f>(CE643+CG643)/2</f>
        <v>41.871249999999996</v>
      </c>
      <c r="CG643" s="120">
        <f>(CG642+CG644)/2</f>
        <v>42.811499999999995</v>
      </c>
      <c r="CH643" s="120">
        <f>(CG643+CI643)/2</f>
        <v>43.725499999999997</v>
      </c>
      <c r="CI643" s="120">
        <f>(CI642+CI644)/2</f>
        <v>44.639499999999998</v>
      </c>
      <c r="CJ643" s="120">
        <f>(CI643+CK643)/2</f>
        <v>45.563499999999998</v>
      </c>
      <c r="CK643" s="120">
        <f>(CK642+CK644)/2</f>
        <v>46.487499999999997</v>
      </c>
      <c r="CL643" s="120">
        <f>(CK643+CM643)/2</f>
        <v>47.358499999999999</v>
      </c>
      <c r="CM643" s="120">
        <f>(CM642+CM644)/2</f>
        <v>48.229500000000002</v>
      </c>
      <c r="CN643" s="120">
        <f>(CM643+CO643)/2</f>
        <v>49.111750000000001</v>
      </c>
      <c r="CO643" s="120">
        <f>(CO642+CO644)/2</f>
        <v>49.994</v>
      </c>
      <c r="CP643" s="120">
        <f>(CO643+CQ643)/2</f>
        <v>50.912750000000003</v>
      </c>
      <c r="CQ643" s="120">
        <f>(CQ642+CQ644)/2</f>
        <v>51.831499999999998</v>
      </c>
      <c r="CR643" s="120">
        <f>(CQ643+CS643)/2</f>
        <v>52.707999999999998</v>
      </c>
      <c r="CS643" s="120">
        <f>(CS642+CS644)/2</f>
        <v>53.584499999999998</v>
      </c>
      <c r="CT643" s="120">
        <f>(CS643+CU643)/2</f>
        <v>54.471499999999999</v>
      </c>
      <c r="CU643" s="120">
        <f>(CU642+CU644)/2</f>
        <v>55.358499999999999</v>
      </c>
      <c r="CV643" s="120">
        <f>(CU643+CW643)/2</f>
        <v>56.240499999999997</v>
      </c>
      <c r="CW643" s="120">
        <f>(CW642+CW644)/2</f>
        <v>57.122500000000002</v>
      </c>
      <c r="CX643" s="120">
        <f>(CW643+CY643)/2</f>
        <v>57.993250000000003</v>
      </c>
      <c r="CY643" s="120">
        <f>(CY642+CY644)/2</f>
        <v>58.864000000000004</v>
      </c>
      <c r="CZ643" s="120">
        <f>(CY643+DA643)/2</f>
        <v>59.719250000000002</v>
      </c>
      <c r="DA643" s="120">
        <f>(DA642+DA644)/2</f>
        <v>60.5745</v>
      </c>
      <c r="DB643" s="120">
        <f>(DA643+DC643)/2</f>
        <v>61.461750000000002</v>
      </c>
      <c r="DC643" s="120">
        <f>(DC642+DC644)/2</f>
        <v>62.349000000000004</v>
      </c>
      <c r="DD643" s="120">
        <f>(DC643+DE643)/2</f>
        <v>63.225000000000001</v>
      </c>
      <c r="DE643" s="120">
        <f>(DE642+DE644)/2</f>
        <v>64.100999999999999</v>
      </c>
      <c r="DF643" s="120">
        <f>(DE643+DG643)/2</f>
        <v>64.950999999999993</v>
      </c>
      <c r="DG643" s="122">
        <f>(DG642+DG644)/2</f>
        <v>65.801000000000002</v>
      </c>
    </row>
    <row r="644" spans="54:111" ht="15" customHeight="1" x14ac:dyDescent="0.2">
      <c r="BB644" s="28">
        <v>30</v>
      </c>
      <c r="BC644" s="121">
        <v>12.423</v>
      </c>
      <c r="BD644" s="121">
        <v>13.737500000000001</v>
      </c>
      <c r="BE644" s="121">
        <v>15.052</v>
      </c>
      <c r="BF644" s="121">
        <v>16.247999999999998</v>
      </c>
      <c r="BG644" s="121">
        <v>17.443999999999999</v>
      </c>
      <c r="BH644" s="121">
        <v>18.5655</v>
      </c>
      <c r="BI644" s="121">
        <v>19.687000000000001</v>
      </c>
      <c r="BJ644" s="121">
        <v>20.809000000000001</v>
      </c>
      <c r="BK644" s="121">
        <v>21.931000000000001</v>
      </c>
      <c r="BL644" s="121">
        <v>22.999000000000002</v>
      </c>
      <c r="BM644" s="121">
        <v>24.067</v>
      </c>
      <c r="BN644" s="121">
        <v>25.125500000000002</v>
      </c>
      <c r="BO644" s="121">
        <v>26.184000000000001</v>
      </c>
      <c r="BP644" s="121">
        <v>27.252000000000002</v>
      </c>
      <c r="BQ644" s="121">
        <v>28.32</v>
      </c>
      <c r="BR644" s="121">
        <v>29.314</v>
      </c>
      <c r="BS644" s="121">
        <v>30.308</v>
      </c>
      <c r="BT644" s="121">
        <v>31.302</v>
      </c>
      <c r="BU644" s="121">
        <v>32.295999999999999</v>
      </c>
      <c r="BV644" s="121">
        <v>33.299999999999997</v>
      </c>
      <c r="BW644" s="121">
        <v>34.304000000000002</v>
      </c>
      <c r="BX644" s="121">
        <v>35.234499999999997</v>
      </c>
      <c r="BY644" s="121">
        <v>36.164999999999999</v>
      </c>
      <c r="BZ644" s="121">
        <v>37.169499999999999</v>
      </c>
      <c r="CA644" s="121">
        <v>38.173999999999999</v>
      </c>
      <c r="CB644" s="121">
        <f t="array" ref="CB644:CB674">TRANSPOSE(CC643:DG643)</f>
        <v>39.103499999999997</v>
      </c>
      <c r="CC644" s="158">
        <v>40.033000000000001</v>
      </c>
      <c r="CD644" s="120">
        <f>(CE644+CC644)/2</f>
        <v>40.963499999999996</v>
      </c>
      <c r="CE644" s="158">
        <v>41.893999999999998</v>
      </c>
      <c r="CF644" s="120">
        <f>(CG644+CE644)/2</f>
        <v>42.897999999999996</v>
      </c>
      <c r="CG644" s="158">
        <v>43.902000000000001</v>
      </c>
      <c r="CH644" s="120">
        <f>(CI644+CG644)/2</f>
        <v>44.832499999999996</v>
      </c>
      <c r="CI644" s="158">
        <v>45.762999999999998</v>
      </c>
      <c r="CJ644" s="120">
        <f>(CK644+CI644)/2</f>
        <v>46.703000000000003</v>
      </c>
      <c r="CK644" s="158">
        <v>47.643000000000001</v>
      </c>
      <c r="CL644" s="120">
        <f>(CM644+CK644)/2</f>
        <v>48.509500000000003</v>
      </c>
      <c r="CM644" s="158">
        <v>49.375999999999998</v>
      </c>
      <c r="CN644" s="120">
        <f>(CO644+CM644)/2</f>
        <v>50.305999999999997</v>
      </c>
      <c r="CO644" s="158">
        <v>51.235999999999997</v>
      </c>
      <c r="CP644" s="120">
        <f>(CQ644+CO644)/2</f>
        <v>52.176000000000002</v>
      </c>
      <c r="CQ644" s="158">
        <v>53.116</v>
      </c>
      <c r="CR644" s="120">
        <f>(CS644+CQ644)/2</f>
        <v>54.046499999999995</v>
      </c>
      <c r="CS644" s="158">
        <v>54.976999999999997</v>
      </c>
      <c r="CT644" s="120">
        <f>(CU644+CS644)/2</f>
        <v>55.853499999999997</v>
      </c>
      <c r="CU644" s="158">
        <v>56.73</v>
      </c>
      <c r="CV644" s="120">
        <f>(CW644+CU644)/2</f>
        <v>57.66</v>
      </c>
      <c r="CW644" s="158">
        <v>58.59</v>
      </c>
      <c r="CX644" s="120">
        <f>(CY644+CW644)/2</f>
        <v>59.456000000000003</v>
      </c>
      <c r="CY644" s="158">
        <v>60.322000000000003</v>
      </c>
      <c r="CZ644" s="120">
        <f>(DA644+CY644)/2</f>
        <v>61.198500000000003</v>
      </c>
      <c r="DA644" s="158">
        <v>62.075000000000003</v>
      </c>
      <c r="DB644" s="120">
        <f>(DC644+DA644)/2</f>
        <v>63.005000000000003</v>
      </c>
      <c r="DC644" s="158">
        <v>63.935000000000002</v>
      </c>
      <c r="DD644" s="120">
        <f>(DE644+DC644)/2</f>
        <v>64.811499999999995</v>
      </c>
      <c r="DE644" s="158">
        <v>65.688000000000002</v>
      </c>
      <c r="DF644" s="120">
        <f>(DG644+DE644)/2</f>
        <v>66.554500000000004</v>
      </c>
      <c r="DG644" s="159">
        <v>67.421000000000006</v>
      </c>
    </row>
    <row r="645" spans="54:111" ht="15" customHeight="1" x14ac:dyDescent="0.2">
      <c r="BB645" s="28">
        <v>31</v>
      </c>
      <c r="BC645" s="121">
        <v>12.696999999999999</v>
      </c>
      <c r="BD645" s="121">
        <v>14.032500000000001</v>
      </c>
      <c r="BE645" s="121">
        <v>15.367999999999999</v>
      </c>
      <c r="BF645" s="121">
        <v>16.606999999999999</v>
      </c>
      <c r="BG645" s="121">
        <v>17.846</v>
      </c>
      <c r="BH645" s="121">
        <v>19</v>
      </c>
      <c r="BI645" s="121">
        <v>20.154</v>
      </c>
      <c r="BJ645" s="121">
        <v>21.292000000000002</v>
      </c>
      <c r="BK645" s="121">
        <v>22.43</v>
      </c>
      <c r="BL645" s="121">
        <v>23.546250000000001</v>
      </c>
      <c r="BM645" s="121">
        <v>24.662500000000001</v>
      </c>
      <c r="BN645" s="121">
        <v>25.748000000000001</v>
      </c>
      <c r="BO645" s="121">
        <v>26.833500000000001</v>
      </c>
      <c r="BP645" s="121">
        <v>27.886000000000003</v>
      </c>
      <c r="BQ645" s="121">
        <v>28.938499999999998</v>
      </c>
      <c r="BR645" s="121">
        <v>29.985500000000002</v>
      </c>
      <c r="BS645" s="121">
        <v>31.032499999999999</v>
      </c>
      <c r="BT645" s="121">
        <v>32.053750000000001</v>
      </c>
      <c r="BU645" s="121">
        <v>33.075000000000003</v>
      </c>
      <c r="BV645" s="121">
        <v>34.09525</v>
      </c>
      <c r="BW645" s="121">
        <v>35.115499999999997</v>
      </c>
      <c r="BX645" s="121">
        <v>36.061999999999998</v>
      </c>
      <c r="BY645" s="121">
        <v>37.008499999999998</v>
      </c>
      <c r="BZ645" s="121">
        <v>38.039749999999998</v>
      </c>
      <c r="CA645" s="121">
        <v>39.070999999999998</v>
      </c>
      <c r="CB645" s="121">
        <v>40.017249999999997</v>
      </c>
      <c r="CC645" s="121">
        <f t="array" ref="CC645:CC674">TRANSPOSE(CD644:DG644)</f>
        <v>40.963499999999996</v>
      </c>
      <c r="CD645" s="120">
        <f>(CC645+CE645)/2</f>
        <v>41.946999999999996</v>
      </c>
      <c r="CE645" s="120">
        <f>(CE644+CE646)/2</f>
        <v>42.930499999999995</v>
      </c>
      <c r="CF645" s="120">
        <f>(CE645+CG645)/2</f>
        <v>43.93</v>
      </c>
      <c r="CG645" s="120">
        <f>(CG644+CG646)/2</f>
        <v>44.929500000000004</v>
      </c>
      <c r="CH645" s="120">
        <f>(CG645+CI645)/2</f>
        <v>45.875750000000004</v>
      </c>
      <c r="CI645" s="120">
        <f>(CI644+CI646)/2</f>
        <v>46.822000000000003</v>
      </c>
      <c r="CJ645" s="120">
        <f>(CI645+CK645)/2</f>
        <v>47.77825</v>
      </c>
      <c r="CK645" s="120">
        <f>(CK644+CK646)/2</f>
        <v>48.734499999999997</v>
      </c>
      <c r="CL645" s="120">
        <f>(CK645+CM645)/2</f>
        <v>49.660249999999998</v>
      </c>
      <c r="CM645" s="120">
        <f>(CM644+CM646)/2</f>
        <v>50.585999999999999</v>
      </c>
      <c r="CN645" s="120">
        <f>(CM645+CO645)/2</f>
        <v>51.53725</v>
      </c>
      <c r="CO645" s="120">
        <f>(CO644+CO646)/2</f>
        <v>52.488500000000002</v>
      </c>
      <c r="CP645" s="120">
        <f>(CO645+CQ645)/2</f>
        <v>53.439750000000004</v>
      </c>
      <c r="CQ645" s="120">
        <f>(CQ644+CQ646)/2</f>
        <v>54.390999999999998</v>
      </c>
      <c r="CR645" s="120">
        <f>(CQ645+CS645)/2</f>
        <v>55.3215</v>
      </c>
      <c r="CS645" s="120">
        <f>(CS644+CS646)/2</f>
        <v>56.251999999999995</v>
      </c>
      <c r="CT645" s="120">
        <f>(CS645+CU645)/2</f>
        <v>57.171250000000001</v>
      </c>
      <c r="CU645" s="120">
        <f>(CU644+CU646)/2</f>
        <v>58.090499999999999</v>
      </c>
      <c r="CV645" s="120">
        <f>(CU645+CW645)/2</f>
        <v>59.042000000000002</v>
      </c>
      <c r="CW645" s="120">
        <f>(CW644+CW646)/2</f>
        <v>59.993499999999997</v>
      </c>
      <c r="CX645" s="120">
        <f>(CW645+CY645)/2</f>
        <v>60.891750000000002</v>
      </c>
      <c r="CY645" s="120">
        <f>(CY644+CY646)/2</f>
        <v>61.790000000000006</v>
      </c>
      <c r="CZ645" s="120">
        <f>(CY645+DA645)/2</f>
        <v>62.70975</v>
      </c>
      <c r="DA645" s="120">
        <f>(DA644+DA646)/2</f>
        <v>63.6295</v>
      </c>
      <c r="DB645" s="120">
        <f>(DA645+DC645)/2</f>
        <v>64.548749999999998</v>
      </c>
      <c r="DC645" s="120">
        <f>(DC644+DC646)/2</f>
        <v>65.468000000000004</v>
      </c>
      <c r="DD645" s="120">
        <f>(DC645+DE645)/2</f>
        <v>66.366250000000008</v>
      </c>
      <c r="DE645" s="120">
        <f>(DE644+DE646)/2</f>
        <v>67.264499999999998</v>
      </c>
      <c r="DF645" s="120">
        <f>(DE645+DG645)/2</f>
        <v>68.184250000000006</v>
      </c>
      <c r="DG645" s="122">
        <f>(DG644+DG646)/2</f>
        <v>69.104000000000013</v>
      </c>
    </row>
    <row r="646" spans="54:111" ht="15" customHeight="1" x14ac:dyDescent="0.2">
      <c r="BB646" s="28">
        <v>32</v>
      </c>
      <c r="BC646" s="121">
        <v>12.971</v>
      </c>
      <c r="BD646" s="121">
        <v>14.327500000000001</v>
      </c>
      <c r="BE646" s="121">
        <v>15.683999999999999</v>
      </c>
      <c r="BF646" s="121">
        <v>16.966000000000001</v>
      </c>
      <c r="BG646" s="121">
        <v>18.248000000000001</v>
      </c>
      <c r="BH646" s="121">
        <v>19.4345</v>
      </c>
      <c r="BI646" s="121">
        <v>20.620999999999999</v>
      </c>
      <c r="BJ646" s="121">
        <v>21.774999999999999</v>
      </c>
      <c r="BK646" s="121">
        <v>22.928999999999998</v>
      </c>
      <c r="BL646" s="121">
        <v>24.093499999999999</v>
      </c>
      <c r="BM646" s="121">
        <v>25.257999999999999</v>
      </c>
      <c r="BN646" s="121">
        <v>26.3705</v>
      </c>
      <c r="BO646" s="121">
        <v>27.483000000000001</v>
      </c>
      <c r="BP646" s="121">
        <v>28.52</v>
      </c>
      <c r="BQ646" s="121">
        <v>29.556999999999999</v>
      </c>
      <c r="BR646" s="121">
        <v>30.657</v>
      </c>
      <c r="BS646" s="121">
        <v>31.757000000000001</v>
      </c>
      <c r="BT646" s="121">
        <v>32.805500000000002</v>
      </c>
      <c r="BU646" s="121">
        <v>33.853999999999999</v>
      </c>
      <c r="BV646" s="121">
        <v>34.890500000000003</v>
      </c>
      <c r="BW646" s="121">
        <v>35.927</v>
      </c>
      <c r="BX646" s="121">
        <v>36.889499999999998</v>
      </c>
      <c r="BY646" s="121">
        <v>37.851999999999997</v>
      </c>
      <c r="BZ646" s="121">
        <v>38.909999999999997</v>
      </c>
      <c r="CA646" s="121">
        <v>39.968000000000004</v>
      </c>
      <c r="CB646" s="121">
        <v>40.930999999999997</v>
      </c>
      <c r="CC646" s="121">
        <v>41.893999999999998</v>
      </c>
      <c r="CD646" s="121">
        <f t="array" ref="CD646:CD674">TRANSPOSE(CE645:DG645)</f>
        <v>42.930499999999995</v>
      </c>
      <c r="CE646" s="158">
        <v>43.966999999999999</v>
      </c>
      <c r="CF646" s="120">
        <f>(CG646+CE646)/2</f>
        <v>44.962000000000003</v>
      </c>
      <c r="CG646" s="158">
        <v>45.957000000000001</v>
      </c>
      <c r="CH646" s="120">
        <f>(CI646+CG646)/2</f>
        <v>46.918999999999997</v>
      </c>
      <c r="CI646" s="158">
        <v>47.881</v>
      </c>
      <c r="CJ646" s="120">
        <f>(CK646+CI646)/2</f>
        <v>48.853499999999997</v>
      </c>
      <c r="CK646" s="158">
        <v>49.826000000000001</v>
      </c>
      <c r="CL646" s="120">
        <f>(CM646+CK646)/2</f>
        <v>50.811</v>
      </c>
      <c r="CM646" s="158">
        <v>51.795999999999999</v>
      </c>
      <c r="CN646" s="120">
        <f>(CO646+CM646)/2</f>
        <v>52.768500000000003</v>
      </c>
      <c r="CO646" s="158">
        <v>53.741</v>
      </c>
      <c r="CP646" s="120">
        <f>(CQ646+CO646)/2</f>
        <v>54.703499999999998</v>
      </c>
      <c r="CQ646" s="158">
        <v>55.665999999999997</v>
      </c>
      <c r="CR646" s="120">
        <f>(CS646+CQ646)/2</f>
        <v>56.596499999999999</v>
      </c>
      <c r="CS646" s="158">
        <v>57.527000000000001</v>
      </c>
      <c r="CT646" s="120">
        <f>(CU646+CS646)/2</f>
        <v>58.489000000000004</v>
      </c>
      <c r="CU646" s="158">
        <v>59.451000000000001</v>
      </c>
      <c r="CV646" s="120">
        <f>(CW646+CU646)/2</f>
        <v>60.423999999999999</v>
      </c>
      <c r="CW646" s="158">
        <v>61.396999999999998</v>
      </c>
      <c r="CX646" s="120">
        <f>(CY646+CW646)/2</f>
        <v>62.327500000000001</v>
      </c>
      <c r="CY646" s="158">
        <v>63.258000000000003</v>
      </c>
      <c r="CZ646" s="120">
        <f>(DA646+CY646)/2</f>
        <v>64.221000000000004</v>
      </c>
      <c r="DA646" s="158">
        <v>65.183999999999997</v>
      </c>
      <c r="DB646" s="120">
        <f>(DC646+DA646)/2</f>
        <v>66.092500000000001</v>
      </c>
      <c r="DC646" s="158">
        <v>67.001000000000005</v>
      </c>
      <c r="DD646" s="120">
        <f>(DE646+DC646)/2</f>
        <v>67.920999999999992</v>
      </c>
      <c r="DE646" s="158">
        <v>68.840999999999994</v>
      </c>
      <c r="DF646" s="120">
        <f>(DG646+DE646)/2</f>
        <v>69.813999999999993</v>
      </c>
      <c r="DG646" s="159">
        <v>70.787000000000006</v>
      </c>
    </row>
    <row r="647" spans="54:111" ht="15" customHeight="1" x14ac:dyDescent="0.2">
      <c r="BB647" s="28">
        <v>33</v>
      </c>
      <c r="BC647" s="121">
        <v>13.222999999999999</v>
      </c>
      <c r="BD647" s="121">
        <v>14.638249999999999</v>
      </c>
      <c r="BE647" s="121">
        <v>16.0535</v>
      </c>
      <c r="BF647" s="121">
        <v>17.335750000000001</v>
      </c>
      <c r="BG647" s="121">
        <v>18.618000000000002</v>
      </c>
      <c r="BH647" s="121">
        <v>19.841750000000001</v>
      </c>
      <c r="BI647" s="121">
        <v>21.0655</v>
      </c>
      <c r="BJ647" s="121">
        <v>22.247</v>
      </c>
      <c r="BK647" s="121">
        <v>23.4285</v>
      </c>
      <c r="BL647" s="121">
        <v>24.619999999999997</v>
      </c>
      <c r="BM647" s="121">
        <v>25.811499999999999</v>
      </c>
      <c r="BN647" s="121">
        <v>26.934249999999999</v>
      </c>
      <c r="BO647" s="121">
        <v>28.057000000000002</v>
      </c>
      <c r="BP647" s="121">
        <v>29.147500000000001</v>
      </c>
      <c r="BQ647" s="121">
        <v>30.238</v>
      </c>
      <c r="BR647" s="121">
        <v>31.333750000000002</v>
      </c>
      <c r="BS647" s="121">
        <v>32.429499999999997</v>
      </c>
      <c r="BT647" s="121">
        <v>33.488</v>
      </c>
      <c r="BU647" s="121">
        <v>34.546499999999995</v>
      </c>
      <c r="BV647" s="121">
        <v>35.642250000000004</v>
      </c>
      <c r="BW647" s="121">
        <v>36.738</v>
      </c>
      <c r="BX647" s="121">
        <v>37.72775</v>
      </c>
      <c r="BY647" s="121">
        <v>38.717500000000001</v>
      </c>
      <c r="BZ647" s="121">
        <v>39.780999999999999</v>
      </c>
      <c r="CA647" s="121">
        <v>40.844499999999996</v>
      </c>
      <c r="CB647" s="121">
        <v>41.871249999999996</v>
      </c>
      <c r="CC647" s="121">
        <v>42.897999999999996</v>
      </c>
      <c r="CD647" s="121">
        <v>43.93</v>
      </c>
      <c r="CE647" s="121">
        <f t="array" ref="CE647:CE674">TRANSPOSE(CF646:DG646)</f>
        <v>44.962000000000003</v>
      </c>
      <c r="CF647" s="120">
        <f>(CE647+CG647)/2</f>
        <v>45.956500000000005</v>
      </c>
      <c r="CG647" s="120">
        <f>(CG646+CG648)/2</f>
        <v>46.951000000000001</v>
      </c>
      <c r="CH647" s="120">
        <f>(CG647+CI647)/2</f>
        <v>47.97775</v>
      </c>
      <c r="CI647" s="120">
        <f>(CI646+CI648)/2</f>
        <v>49.0045</v>
      </c>
      <c r="CJ647" s="120">
        <f>(CI647+CK647)/2</f>
        <v>50.004000000000005</v>
      </c>
      <c r="CK647" s="120">
        <f>(CK646+CK648)/2</f>
        <v>51.003500000000003</v>
      </c>
      <c r="CL647" s="120">
        <f>(CK647+CM647)/2</f>
        <v>51.993499999999997</v>
      </c>
      <c r="CM647" s="120">
        <f>(CM646+CM648)/2</f>
        <v>52.983499999999999</v>
      </c>
      <c r="CN647" s="120">
        <f>(CM647+CO647)/2</f>
        <v>53.983499999999999</v>
      </c>
      <c r="CO647" s="120">
        <f>(CO646+CO648)/2</f>
        <v>54.983499999999999</v>
      </c>
      <c r="CP647" s="120">
        <f>(CO647+CQ647)/2</f>
        <v>55.945999999999998</v>
      </c>
      <c r="CQ647" s="120">
        <f>(CQ646+CQ648)/2</f>
        <v>56.908500000000004</v>
      </c>
      <c r="CR647" s="120">
        <f>(CQ647+CS647)/2</f>
        <v>57.876249999999999</v>
      </c>
      <c r="CS647" s="120">
        <f>(CS646+CS648)/2</f>
        <v>58.844000000000001</v>
      </c>
      <c r="CT647" s="120">
        <f>(CS647+CU647)/2</f>
        <v>59.833500000000001</v>
      </c>
      <c r="CU647" s="120">
        <f>(CU646+CU648)/2</f>
        <v>60.823</v>
      </c>
      <c r="CV647" s="120">
        <f>(CU647+CW647)/2</f>
        <v>61.822749999999999</v>
      </c>
      <c r="CW647" s="120">
        <f>(CW646+CW648)/2</f>
        <v>62.822500000000005</v>
      </c>
      <c r="CX647" s="120">
        <f>(CW647+CY647)/2</f>
        <v>63.758500000000005</v>
      </c>
      <c r="CY647" s="120">
        <f>(CY646+CY648)/2</f>
        <v>64.694500000000005</v>
      </c>
      <c r="CZ647" s="120">
        <f>(CY647+DA647)/2</f>
        <v>65.684250000000006</v>
      </c>
      <c r="DA647" s="120">
        <f>(DA646+DA648)/2</f>
        <v>66.674000000000007</v>
      </c>
      <c r="DB647" s="120">
        <f>(DA647+DC647)/2</f>
        <v>67.609750000000005</v>
      </c>
      <c r="DC647" s="120">
        <f>(DC646+DC648)/2</f>
        <v>68.545500000000004</v>
      </c>
      <c r="DD647" s="120">
        <f>(DC647+DE647)/2</f>
        <v>69.508250000000004</v>
      </c>
      <c r="DE647" s="120">
        <f>(DE646+DE648)/2</f>
        <v>70.471000000000004</v>
      </c>
      <c r="DF647" s="120">
        <f>(DE647+DG647)/2</f>
        <v>71.438749999999999</v>
      </c>
      <c r="DG647" s="122">
        <f>(DG646+DG648)/2</f>
        <v>72.406499999999994</v>
      </c>
    </row>
    <row r="648" spans="54:111" ht="15" customHeight="1" x14ac:dyDescent="0.2">
      <c r="BB648" s="28">
        <v>34</v>
      </c>
      <c r="BC648" s="121">
        <v>13.475</v>
      </c>
      <c r="BD648" s="121">
        <v>14.948999999999998</v>
      </c>
      <c r="BE648" s="121">
        <v>16.422999999999998</v>
      </c>
      <c r="BF648" s="121">
        <v>17.705500000000001</v>
      </c>
      <c r="BG648" s="121">
        <v>18.988</v>
      </c>
      <c r="BH648" s="121">
        <v>20.249000000000002</v>
      </c>
      <c r="BI648" s="121">
        <v>21.51</v>
      </c>
      <c r="BJ648" s="121">
        <v>22.719000000000001</v>
      </c>
      <c r="BK648" s="121">
        <v>23.928000000000001</v>
      </c>
      <c r="BL648" s="121">
        <v>25.1465</v>
      </c>
      <c r="BM648" s="121">
        <v>26.364999999999998</v>
      </c>
      <c r="BN648" s="121">
        <v>27.497999999999998</v>
      </c>
      <c r="BO648" s="121">
        <v>28.631</v>
      </c>
      <c r="BP648" s="121">
        <v>29.774999999999999</v>
      </c>
      <c r="BQ648" s="121">
        <v>30.919</v>
      </c>
      <c r="BR648" s="121">
        <v>32.0105</v>
      </c>
      <c r="BS648" s="121">
        <v>33.101999999999997</v>
      </c>
      <c r="BT648" s="121">
        <v>34.170499999999997</v>
      </c>
      <c r="BU648" s="121">
        <v>35.238999999999997</v>
      </c>
      <c r="BV648" s="121">
        <v>36.393999999999998</v>
      </c>
      <c r="BW648" s="121">
        <v>37.548999999999999</v>
      </c>
      <c r="BX648" s="121">
        <v>38.566000000000003</v>
      </c>
      <c r="BY648" s="121">
        <v>39.582999999999998</v>
      </c>
      <c r="BZ648" s="121">
        <v>40.652000000000001</v>
      </c>
      <c r="CA648" s="121">
        <v>41.720999999999997</v>
      </c>
      <c r="CB648" s="121">
        <v>42.811499999999995</v>
      </c>
      <c r="CC648" s="121">
        <v>43.902000000000001</v>
      </c>
      <c r="CD648" s="121">
        <v>44.929500000000004</v>
      </c>
      <c r="CE648" s="121">
        <v>45.957000000000001</v>
      </c>
      <c r="CF648" s="121">
        <f t="array" ref="CF648:CF674">TRANSPOSE(CG647:DG647)</f>
        <v>46.951000000000001</v>
      </c>
      <c r="CG648" s="158">
        <v>47.945</v>
      </c>
      <c r="CH648" s="120">
        <f>(CI648+CG648)/2</f>
        <v>49.036500000000004</v>
      </c>
      <c r="CI648" s="158">
        <v>50.128</v>
      </c>
      <c r="CJ648" s="120">
        <f>(CK648+CI648)/2</f>
        <v>51.154499999999999</v>
      </c>
      <c r="CK648" s="158">
        <v>52.180999999999997</v>
      </c>
      <c r="CL648" s="120">
        <f>(CM648+CK648)/2</f>
        <v>53.176000000000002</v>
      </c>
      <c r="CM648" s="158">
        <v>54.170999999999999</v>
      </c>
      <c r="CN648" s="120">
        <f>(CO648+CM648)/2</f>
        <v>55.198499999999996</v>
      </c>
      <c r="CO648" s="158">
        <v>56.225999999999999</v>
      </c>
      <c r="CP648" s="120">
        <f>(CQ648+CO648)/2</f>
        <v>57.188500000000005</v>
      </c>
      <c r="CQ648" s="158">
        <v>58.151000000000003</v>
      </c>
      <c r="CR648" s="120">
        <f>(CS648+CQ648)/2</f>
        <v>59.156000000000006</v>
      </c>
      <c r="CS648" s="158">
        <v>60.161000000000001</v>
      </c>
      <c r="CT648" s="120">
        <f>(CU648+CS648)/2</f>
        <v>61.177999999999997</v>
      </c>
      <c r="CU648" s="158">
        <v>62.195</v>
      </c>
      <c r="CV648" s="120">
        <f>(CW648+CU648)/2</f>
        <v>63.221500000000006</v>
      </c>
      <c r="CW648" s="158">
        <v>64.248000000000005</v>
      </c>
      <c r="CX648" s="120">
        <f>(CY648+CW648)/2</f>
        <v>65.18950000000001</v>
      </c>
      <c r="CY648" s="158">
        <v>66.131</v>
      </c>
      <c r="CZ648" s="120">
        <f>(DA648+CY648)/2</f>
        <v>67.147500000000008</v>
      </c>
      <c r="DA648" s="158">
        <v>68.164000000000001</v>
      </c>
      <c r="DB648" s="120">
        <f>(DC648+DA648)/2</f>
        <v>69.12700000000001</v>
      </c>
      <c r="DC648" s="158">
        <v>70.09</v>
      </c>
      <c r="DD648" s="120">
        <f>(DE648+DC648)/2</f>
        <v>71.095500000000001</v>
      </c>
      <c r="DE648" s="158">
        <v>72.100999999999999</v>
      </c>
      <c r="DF648" s="120">
        <f>(DG648+DE648)/2</f>
        <v>73.063500000000005</v>
      </c>
      <c r="DG648" s="159">
        <v>74.025999999999996</v>
      </c>
    </row>
    <row r="649" spans="54:111" ht="15" customHeight="1" x14ac:dyDescent="0.2">
      <c r="BB649" s="28">
        <v>35</v>
      </c>
      <c r="BC649" s="121">
        <v>13.8225</v>
      </c>
      <c r="BD649" s="121">
        <v>15.280999999999999</v>
      </c>
      <c r="BE649" s="121">
        <v>16.7395</v>
      </c>
      <c r="BF649" s="121">
        <v>18.070250000000001</v>
      </c>
      <c r="BG649" s="121">
        <v>19.401</v>
      </c>
      <c r="BH649" s="121">
        <v>20.684000000000001</v>
      </c>
      <c r="BI649" s="121">
        <v>21.966999999999999</v>
      </c>
      <c r="BJ649" s="121">
        <v>23.196999999999999</v>
      </c>
      <c r="BK649" s="121">
        <v>24.427</v>
      </c>
      <c r="BL649" s="121">
        <v>25.661749999999998</v>
      </c>
      <c r="BM649" s="121">
        <v>26.8965</v>
      </c>
      <c r="BN649" s="121">
        <v>28.056750000000001</v>
      </c>
      <c r="BO649" s="121">
        <v>29.216999999999999</v>
      </c>
      <c r="BP649" s="121">
        <v>30.3825</v>
      </c>
      <c r="BQ649" s="121">
        <v>31.548000000000002</v>
      </c>
      <c r="BR649" s="121">
        <v>32.687250000000006</v>
      </c>
      <c r="BS649" s="121">
        <v>33.826499999999996</v>
      </c>
      <c r="BT649" s="121">
        <v>34.922499999999999</v>
      </c>
      <c r="BU649" s="121">
        <v>36.018500000000003</v>
      </c>
      <c r="BV649" s="121">
        <v>37.157499999999999</v>
      </c>
      <c r="BW649" s="121">
        <v>38.296499999999995</v>
      </c>
      <c r="BX649" s="121">
        <v>39.361499999999999</v>
      </c>
      <c r="BY649" s="121">
        <v>40.426500000000004</v>
      </c>
      <c r="BZ649" s="121">
        <v>41.522500000000001</v>
      </c>
      <c r="CA649" s="121">
        <v>42.618499999999997</v>
      </c>
      <c r="CB649" s="121">
        <v>43.725499999999997</v>
      </c>
      <c r="CC649" s="121">
        <v>44.832499999999996</v>
      </c>
      <c r="CD649" s="121">
        <v>45.875750000000004</v>
      </c>
      <c r="CE649" s="121">
        <v>46.918999999999997</v>
      </c>
      <c r="CF649" s="121">
        <v>47.97775</v>
      </c>
      <c r="CG649" s="121">
        <f t="array" ref="CG649:CG674">TRANSPOSE(CH648:DG648)</f>
        <v>49.036500000000004</v>
      </c>
      <c r="CH649" s="120">
        <f>(CG649+CI649)/2</f>
        <v>50.111750000000001</v>
      </c>
      <c r="CI649" s="120">
        <f>(CI648+CI650)/2</f>
        <v>51.186999999999998</v>
      </c>
      <c r="CJ649" s="120">
        <f>(CI649+CK649)/2</f>
        <v>52.197749999999999</v>
      </c>
      <c r="CK649" s="120">
        <f>(CK648+CK650)/2</f>
        <v>53.208500000000001</v>
      </c>
      <c r="CL649" s="120">
        <f>(CK649+CM649)/2</f>
        <v>54.267749999999999</v>
      </c>
      <c r="CM649" s="120">
        <f>(CM648+CM650)/2</f>
        <v>55.326999999999998</v>
      </c>
      <c r="CN649" s="120">
        <f>(CM649+CO649)/2</f>
        <v>56.39725</v>
      </c>
      <c r="CO649" s="120">
        <f>(CO648+CO650)/2</f>
        <v>57.467500000000001</v>
      </c>
      <c r="CP649" s="120">
        <f>(CO649+CQ649)/2</f>
        <v>58.4465</v>
      </c>
      <c r="CQ649" s="120">
        <f>(CQ648+CQ650)/2</f>
        <v>59.4255</v>
      </c>
      <c r="CR649" s="120">
        <f>(CQ649+CS649)/2</f>
        <v>60.425750000000001</v>
      </c>
      <c r="CS649" s="120">
        <f>(CS648+CS650)/2</f>
        <v>61.426000000000002</v>
      </c>
      <c r="CT649" s="120">
        <f>(CS649+CU649)/2</f>
        <v>62.496000000000002</v>
      </c>
      <c r="CU649" s="120">
        <f>(CU648+CU650)/2</f>
        <v>63.566000000000003</v>
      </c>
      <c r="CV649" s="120">
        <f>(CU649+CW649)/2</f>
        <v>64.576999999999998</v>
      </c>
      <c r="CW649" s="120">
        <f>(CW648+CW650)/2</f>
        <v>65.587999999999994</v>
      </c>
      <c r="CX649" s="120">
        <f>(CW649+CY649)/2</f>
        <v>66.620249999999999</v>
      </c>
      <c r="CY649" s="120">
        <f>(CY648+CY650)/2</f>
        <v>67.652500000000003</v>
      </c>
      <c r="CZ649" s="120">
        <f>(CY649+DA649)/2</f>
        <v>68.658500000000004</v>
      </c>
      <c r="DA649" s="120">
        <f>(DA648+DA650)/2</f>
        <v>69.664500000000004</v>
      </c>
      <c r="DB649" s="120">
        <f>(DA649+DC649)/2</f>
        <v>70.643750000000011</v>
      </c>
      <c r="DC649" s="120">
        <f>(DC648+DC650)/2</f>
        <v>71.623000000000005</v>
      </c>
      <c r="DD649" s="120">
        <f>(DC649+DE649)/2</f>
        <v>72.623250000000013</v>
      </c>
      <c r="DE649" s="120">
        <f>(DE648+DE650)/2</f>
        <v>73.623500000000007</v>
      </c>
      <c r="DF649" s="120">
        <f>(DE649+DG649)/2</f>
        <v>74.661249999999995</v>
      </c>
      <c r="DG649" s="122">
        <f>(DG648+DG650)/2</f>
        <v>75.698999999999998</v>
      </c>
    </row>
    <row r="650" spans="54:111" ht="15" customHeight="1" x14ac:dyDescent="0.2">
      <c r="BB650" s="28">
        <v>36</v>
      </c>
      <c r="BC650" s="121">
        <v>14.17</v>
      </c>
      <c r="BD650" s="121">
        <v>15.613</v>
      </c>
      <c r="BE650" s="121">
        <v>17.056000000000001</v>
      </c>
      <c r="BF650" s="121">
        <v>18.435000000000002</v>
      </c>
      <c r="BG650" s="121">
        <v>19.814</v>
      </c>
      <c r="BH650" s="121">
        <v>21.119</v>
      </c>
      <c r="BI650" s="121">
        <v>22.423999999999999</v>
      </c>
      <c r="BJ650" s="121">
        <v>23.674999999999997</v>
      </c>
      <c r="BK650" s="121">
        <v>24.925999999999998</v>
      </c>
      <c r="BL650" s="121">
        <v>26.177</v>
      </c>
      <c r="BM650" s="121">
        <v>27.428000000000001</v>
      </c>
      <c r="BN650" s="121">
        <v>28.615500000000001</v>
      </c>
      <c r="BO650" s="121">
        <v>29.803000000000001</v>
      </c>
      <c r="BP650" s="121">
        <v>30.990000000000002</v>
      </c>
      <c r="BQ650" s="121">
        <v>32.177</v>
      </c>
      <c r="BR650" s="121">
        <v>33.364000000000004</v>
      </c>
      <c r="BS650" s="121">
        <v>34.551000000000002</v>
      </c>
      <c r="BT650" s="121">
        <v>35.674500000000002</v>
      </c>
      <c r="BU650" s="121">
        <v>36.798000000000002</v>
      </c>
      <c r="BV650" s="121">
        <v>37.920999999999999</v>
      </c>
      <c r="BW650" s="121">
        <v>39.043999999999997</v>
      </c>
      <c r="BX650" s="121">
        <v>40.156999999999996</v>
      </c>
      <c r="BY650" s="121">
        <v>41.27</v>
      </c>
      <c r="BZ650" s="121">
        <v>42.393000000000001</v>
      </c>
      <c r="CA650" s="121">
        <v>43.515999999999998</v>
      </c>
      <c r="CB650" s="121">
        <v>44.639499999999998</v>
      </c>
      <c r="CC650" s="121">
        <v>45.762999999999998</v>
      </c>
      <c r="CD650" s="121">
        <v>46.822000000000003</v>
      </c>
      <c r="CE650" s="121">
        <v>47.881</v>
      </c>
      <c r="CF650" s="121">
        <v>49.0045</v>
      </c>
      <c r="CG650" s="121">
        <v>50.128</v>
      </c>
      <c r="CH650" s="121">
        <f t="array" ref="CH650:CH674">TRANSPOSE(CI649:DG649)</f>
        <v>51.186999999999998</v>
      </c>
      <c r="CI650" s="158">
        <v>52.246000000000002</v>
      </c>
      <c r="CJ650" s="120">
        <f>(CK650+CI650)/2</f>
        <v>53.241</v>
      </c>
      <c r="CK650" s="158">
        <v>54.235999999999997</v>
      </c>
      <c r="CL650" s="120">
        <f>(CM650+CK650)/2</f>
        <v>55.359499999999997</v>
      </c>
      <c r="CM650" s="158">
        <v>56.482999999999997</v>
      </c>
      <c r="CN650" s="120">
        <f>(CO650+CM650)/2</f>
        <v>57.596000000000004</v>
      </c>
      <c r="CO650" s="158">
        <v>58.709000000000003</v>
      </c>
      <c r="CP650" s="120">
        <f>(CQ650+CO650)/2</f>
        <v>59.704500000000003</v>
      </c>
      <c r="CQ650" s="158">
        <v>60.7</v>
      </c>
      <c r="CR650" s="120">
        <f>(CS650+CQ650)/2</f>
        <v>61.695500000000003</v>
      </c>
      <c r="CS650" s="158">
        <v>62.691000000000003</v>
      </c>
      <c r="CT650" s="120">
        <f>(CU650+CS650)/2</f>
        <v>63.814</v>
      </c>
      <c r="CU650" s="158">
        <v>64.936999999999998</v>
      </c>
      <c r="CV650" s="120">
        <f>(CW650+CU650)/2</f>
        <v>65.932500000000005</v>
      </c>
      <c r="CW650" s="158">
        <v>66.927999999999997</v>
      </c>
      <c r="CX650" s="120">
        <f>(CY650+CW650)/2</f>
        <v>68.051000000000002</v>
      </c>
      <c r="CY650" s="158">
        <v>69.174000000000007</v>
      </c>
      <c r="CZ650" s="120">
        <f>(DA650+CY650)/2</f>
        <v>70.169499999999999</v>
      </c>
      <c r="DA650" s="158">
        <v>71.165000000000006</v>
      </c>
      <c r="DB650" s="120">
        <f>(DC650+DA650)/2</f>
        <v>72.160500000000013</v>
      </c>
      <c r="DC650" s="158">
        <v>73.156000000000006</v>
      </c>
      <c r="DD650" s="120">
        <f>(DE650+DC650)/2</f>
        <v>74.15100000000001</v>
      </c>
      <c r="DE650" s="158">
        <v>75.146000000000001</v>
      </c>
      <c r="DF650" s="120">
        <f>(DG650+DE650)/2</f>
        <v>76.259</v>
      </c>
      <c r="DG650" s="159">
        <v>77.372</v>
      </c>
    </row>
    <row r="651" spans="54:111" ht="15" customHeight="1" x14ac:dyDescent="0.2">
      <c r="BB651" s="28">
        <v>37</v>
      </c>
      <c r="BC651" s="121">
        <v>14.443999999999999</v>
      </c>
      <c r="BD651" s="121">
        <v>15.934999999999999</v>
      </c>
      <c r="BE651" s="121">
        <v>17.426000000000002</v>
      </c>
      <c r="BF651" s="121">
        <v>18.821249999999999</v>
      </c>
      <c r="BG651" s="121">
        <v>20.2165</v>
      </c>
      <c r="BH651" s="121">
        <v>21.5535</v>
      </c>
      <c r="BI651" s="121">
        <v>22.890499999999999</v>
      </c>
      <c r="BJ651" s="121">
        <v>24.15775</v>
      </c>
      <c r="BK651" s="121">
        <v>25.424999999999997</v>
      </c>
      <c r="BL651" s="121">
        <v>26.692</v>
      </c>
      <c r="BM651" s="121">
        <v>27.959</v>
      </c>
      <c r="BN651" s="121">
        <v>29.173749999999998</v>
      </c>
      <c r="BO651" s="121">
        <v>30.388500000000001</v>
      </c>
      <c r="BP651" s="121">
        <v>31.591750000000001</v>
      </c>
      <c r="BQ651" s="121">
        <v>32.795000000000002</v>
      </c>
      <c r="BR651" s="121">
        <v>33.998000000000005</v>
      </c>
      <c r="BS651" s="121">
        <v>35.201000000000001</v>
      </c>
      <c r="BT651" s="121">
        <v>36.383750000000006</v>
      </c>
      <c r="BU651" s="121">
        <v>37.566500000000005</v>
      </c>
      <c r="BV651" s="121">
        <v>38.705500000000001</v>
      </c>
      <c r="BW651" s="121">
        <v>39.844499999999996</v>
      </c>
      <c r="BX651" s="121">
        <v>40.983999999999995</v>
      </c>
      <c r="BY651" s="121">
        <v>42.1235</v>
      </c>
      <c r="BZ651" s="121">
        <v>43.27375</v>
      </c>
      <c r="CA651" s="121">
        <v>44.423999999999999</v>
      </c>
      <c r="CB651" s="121">
        <v>45.563499999999998</v>
      </c>
      <c r="CC651" s="121">
        <v>46.703000000000003</v>
      </c>
      <c r="CD651" s="121">
        <v>47.77825</v>
      </c>
      <c r="CE651" s="121">
        <v>48.853499999999997</v>
      </c>
      <c r="CF651" s="121">
        <v>50.004000000000005</v>
      </c>
      <c r="CG651" s="121">
        <v>51.154499999999999</v>
      </c>
      <c r="CH651" s="121">
        <v>52.197749999999999</v>
      </c>
      <c r="CI651" s="121">
        <f t="array" ref="CI651:CI674">TRANSPOSE(CJ650:DG650)</f>
        <v>53.241</v>
      </c>
      <c r="CJ651" s="120">
        <f>(CI651+CK651)/2</f>
        <v>54.316499999999998</v>
      </c>
      <c r="CK651" s="120">
        <f>(CK650+CK652)/2</f>
        <v>55.391999999999996</v>
      </c>
      <c r="CL651" s="120">
        <f>(CK651+CM651)/2</f>
        <v>56.542499999999997</v>
      </c>
      <c r="CM651" s="120">
        <f>(CM650+CM652)/2</f>
        <v>57.692999999999998</v>
      </c>
      <c r="CN651" s="120">
        <f>(CM651+CO651)/2</f>
        <v>58.763249999999999</v>
      </c>
      <c r="CO651" s="120">
        <f>(CO650+CO652)/2</f>
        <v>59.833500000000001</v>
      </c>
      <c r="CP651" s="120">
        <f>(CO651+CQ651)/2</f>
        <v>60.908999999999999</v>
      </c>
      <c r="CQ651" s="120">
        <f>(CQ650+CQ652)/2</f>
        <v>61.984499999999997</v>
      </c>
      <c r="CR651" s="120">
        <f>(CQ651+CS651)/2</f>
        <v>63.006999999999998</v>
      </c>
      <c r="CS651" s="120">
        <f>(CS650+CS652)/2</f>
        <v>64.029499999999999</v>
      </c>
      <c r="CT651" s="120">
        <f>(CS651+CU651)/2</f>
        <v>65.169000000000011</v>
      </c>
      <c r="CU651" s="120">
        <f>(CU650+CU652)/2</f>
        <v>66.308500000000009</v>
      </c>
      <c r="CV651" s="120">
        <f>(CU651+CW651)/2</f>
        <v>67.320000000000007</v>
      </c>
      <c r="CW651" s="120">
        <f>(CW650+CW652)/2</f>
        <v>68.331500000000005</v>
      </c>
      <c r="CX651" s="120">
        <f>(CW651+CY651)/2</f>
        <v>69.418000000000006</v>
      </c>
      <c r="CY651" s="120">
        <f>(CY650+CY652)/2</f>
        <v>70.504500000000007</v>
      </c>
      <c r="CZ651" s="120">
        <f>(CY651+DA651)/2</f>
        <v>71.579750000000004</v>
      </c>
      <c r="DA651" s="120">
        <f>(DA650+DA652)/2</f>
        <v>72.655000000000001</v>
      </c>
      <c r="DB651" s="120">
        <f>(DA651+DC651)/2</f>
        <v>73.666750000000008</v>
      </c>
      <c r="DC651" s="120">
        <f>(DC650+DC652)/2</f>
        <v>74.6785</v>
      </c>
      <c r="DD651" s="120">
        <f>(DC651+DE651)/2</f>
        <v>75.700749999999999</v>
      </c>
      <c r="DE651" s="120">
        <f>(DE650+DE652)/2</f>
        <v>76.722999999999999</v>
      </c>
      <c r="DF651" s="120">
        <f>(DE651+DG651)/2</f>
        <v>77.857249999999993</v>
      </c>
      <c r="DG651" s="122">
        <f>(DG650+DG652)/2</f>
        <v>78.991500000000002</v>
      </c>
    </row>
    <row r="652" spans="54:111" ht="15" customHeight="1" x14ac:dyDescent="0.2">
      <c r="BB652" s="28">
        <v>38</v>
      </c>
      <c r="BC652" s="121">
        <v>14.718</v>
      </c>
      <c r="BD652" s="121">
        <v>16.256999999999998</v>
      </c>
      <c r="BE652" s="121">
        <v>17.795999999999999</v>
      </c>
      <c r="BF652" s="121">
        <v>19.2075</v>
      </c>
      <c r="BG652" s="121">
        <v>20.619</v>
      </c>
      <c r="BH652" s="121">
        <v>21.988</v>
      </c>
      <c r="BI652" s="121">
        <v>23.356999999999999</v>
      </c>
      <c r="BJ652" s="121">
        <v>24.640499999999999</v>
      </c>
      <c r="BK652" s="121">
        <v>25.923999999999999</v>
      </c>
      <c r="BL652" s="121">
        <v>27.207000000000001</v>
      </c>
      <c r="BM652" s="121">
        <v>28.49</v>
      </c>
      <c r="BN652" s="121">
        <v>29.731999999999999</v>
      </c>
      <c r="BO652" s="121">
        <v>30.974</v>
      </c>
      <c r="BP652" s="121">
        <v>32.1935</v>
      </c>
      <c r="BQ652" s="121">
        <v>33.412999999999997</v>
      </c>
      <c r="BR652" s="121">
        <v>34.631999999999998</v>
      </c>
      <c r="BS652" s="121">
        <v>35.850999999999999</v>
      </c>
      <c r="BT652" s="121">
        <v>37.093000000000004</v>
      </c>
      <c r="BU652" s="121">
        <v>38.335000000000001</v>
      </c>
      <c r="BV652" s="121">
        <v>39.49</v>
      </c>
      <c r="BW652" s="121">
        <v>40.645000000000003</v>
      </c>
      <c r="BX652" s="121">
        <v>41.811</v>
      </c>
      <c r="BY652" s="121">
        <v>42.976999999999997</v>
      </c>
      <c r="BZ652" s="121">
        <v>44.154499999999999</v>
      </c>
      <c r="CA652" s="121">
        <v>45.332000000000001</v>
      </c>
      <c r="CB652" s="121">
        <v>46.487499999999997</v>
      </c>
      <c r="CC652" s="121">
        <v>47.643000000000001</v>
      </c>
      <c r="CD652" s="121">
        <v>48.734499999999997</v>
      </c>
      <c r="CE652" s="121">
        <v>49.826000000000001</v>
      </c>
      <c r="CF652" s="121">
        <v>51.003500000000003</v>
      </c>
      <c r="CG652" s="121">
        <v>52.180999999999997</v>
      </c>
      <c r="CH652" s="121">
        <v>53.208500000000001</v>
      </c>
      <c r="CI652" s="121">
        <v>54.235999999999997</v>
      </c>
      <c r="CJ652" s="121">
        <f t="array" ref="CJ652:CJ674">TRANSPOSE(CK651:DG651)</f>
        <v>55.391999999999996</v>
      </c>
      <c r="CK652" s="158">
        <v>56.548000000000002</v>
      </c>
      <c r="CL652" s="120">
        <f>(CM652+CK652)/2</f>
        <v>57.725499999999997</v>
      </c>
      <c r="CM652" s="158">
        <v>58.902999999999999</v>
      </c>
      <c r="CN652" s="120">
        <f>(CO652+CM652)/2</f>
        <v>59.930499999999995</v>
      </c>
      <c r="CO652" s="158">
        <v>60.957999999999998</v>
      </c>
      <c r="CP652" s="120">
        <f>(CQ652+CO652)/2</f>
        <v>62.113500000000002</v>
      </c>
      <c r="CQ652" s="158">
        <v>63.268999999999998</v>
      </c>
      <c r="CR652" s="120">
        <f>(CS652+CQ652)/2</f>
        <v>64.3185</v>
      </c>
      <c r="CS652" s="158">
        <v>65.367999999999995</v>
      </c>
      <c r="CT652" s="120">
        <f>(CU652+CS652)/2</f>
        <v>66.524000000000001</v>
      </c>
      <c r="CU652" s="158">
        <v>67.680000000000007</v>
      </c>
      <c r="CV652" s="120">
        <f>(CW652+CU652)/2</f>
        <v>68.70750000000001</v>
      </c>
      <c r="CW652" s="158">
        <v>69.734999999999999</v>
      </c>
      <c r="CX652" s="120">
        <f>(CY652+CW652)/2</f>
        <v>70.784999999999997</v>
      </c>
      <c r="CY652" s="158">
        <v>71.834999999999994</v>
      </c>
      <c r="CZ652" s="120">
        <f>(DA652+CY652)/2</f>
        <v>72.989999999999995</v>
      </c>
      <c r="DA652" s="158">
        <v>74.144999999999996</v>
      </c>
      <c r="DB652" s="120">
        <f>(DC652+DA652)/2</f>
        <v>75.173000000000002</v>
      </c>
      <c r="DC652" s="158">
        <v>76.200999999999993</v>
      </c>
      <c r="DD652" s="120">
        <f>(DE652+DC652)/2</f>
        <v>77.250499999999988</v>
      </c>
      <c r="DE652" s="158">
        <v>78.3</v>
      </c>
      <c r="DF652" s="120">
        <f>(DG652+DE652)/2</f>
        <v>79.455500000000001</v>
      </c>
      <c r="DG652" s="159">
        <v>80.611000000000004</v>
      </c>
    </row>
    <row r="653" spans="54:111" ht="15" customHeight="1" x14ac:dyDescent="0.2">
      <c r="BB653" s="28">
        <v>39</v>
      </c>
      <c r="BC653" s="121">
        <v>14.9695</v>
      </c>
      <c r="BD653" s="121">
        <v>16.540999999999997</v>
      </c>
      <c r="BE653" s="121">
        <v>18.112499999999997</v>
      </c>
      <c r="BF653" s="121">
        <v>19.55125</v>
      </c>
      <c r="BG653" s="121">
        <v>20.990000000000002</v>
      </c>
      <c r="BH653" s="121">
        <v>22.396250000000002</v>
      </c>
      <c r="BI653" s="121">
        <v>23.802500000000002</v>
      </c>
      <c r="BJ653" s="121">
        <v>25.113</v>
      </c>
      <c r="BK653" s="121">
        <v>26.423499999999997</v>
      </c>
      <c r="BL653" s="121">
        <v>27.733750000000001</v>
      </c>
      <c r="BM653" s="121">
        <v>29.043999999999997</v>
      </c>
      <c r="BN653" s="121">
        <v>30.327999999999999</v>
      </c>
      <c r="BO653" s="121">
        <v>31.612000000000002</v>
      </c>
      <c r="BP653" s="121">
        <v>32.858499999999999</v>
      </c>
      <c r="BQ653" s="121">
        <v>34.104999999999997</v>
      </c>
      <c r="BR653" s="121">
        <v>35.351500000000001</v>
      </c>
      <c r="BS653" s="121">
        <v>36.597999999999999</v>
      </c>
      <c r="BT653" s="121">
        <v>37.812750000000001</v>
      </c>
      <c r="BU653" s="121">
        <v>39.027500000000003</v>
      </c>
      <c r="BV653" s="121">
        <v>40.210250000000002</v>
      </c>
      <c r="BW653" s="121">
        <v>41.393000000000001</v>
      </c>
      <c r="BX653" s="121">
        <v>42.617750000000001</v>
      </c>
      <c r="BY653" s="121">
        <v>43.842500000000001</v>
      </c>
      <c r="BZ653" s="121">
        <v>45.024999999999999</v>
      </c>
      <c r="CA653" s="121">
        <v>46.207499999999996</v>
      </c>
      <c r="CB653" s="121">
        <v>47.358499999999999</v>
      </c>
      <c r="CC653" s="121">
        <v>48.509500000000003</v>
      </c>
      <c r="CD653" s="121">
        <v>49.660249999999998</v>
      </c>
      <c r="CE653" s="121">
        <v>50.811</v>
      </c>
      <c r="CF653" s="121">
        <v>51.993499999999997</v>
      </c>
      <c r="CG653" s="121">
        <v>53.176000000000002</v>
      </c>
      <c r="CH653" s="121">
        <v>54.267749999999999</v>
      </c>
      <c r="CI653" s="121">
        <v>55.359499999999997</v>
      </c>
      <c r="CJ653" s="121">
        <v>56.542499999999997</v>
      </c>
      <c r="CK653" s="121">
        <f t="array" ref="CK653:CK674">TRANSPOSE(CL652:DG652)</f>
        <v>57.725499999999997</v>
      </c>
      <c r="CL653" s="120">
        <f>(CK653+CM653)/2</f>
        <v>58.844250000000002</v>
      </c>
      <c r="CM653" s="120">
        <f>(CM652+CM654)/2</f>
        <v>59.963000000000001</v>
      </c>
      <c r="CN653" s="120">
        <f>(CM653+CO653)/2</f>
        <v>61.081500000000005</v>
      </c>
      <c r="CO653" s="120">
        <f>(CO652+CO654)/2</f>
        <v>62.2</v>
      </c>
      <c r="CP653" s="120">
        <f>(CO653+CQ653)/2</f>
        <v>63.319000000000003</v>
      </c>
      <c r="CQ653" s="120">
        <f>(CQ652+CQ654)/2</f>
        <v>64.438000000000002</v>
      </c>
      <c r="CR653" s="120">
        <f>(CQ653+CS653)/2</f>
        <v>65.561499999999995</v>
      </c>
      <c r="CS653" s="120">
        <f>(CS652+CS654)/2</f>
        <v>66.685000000000002</v>
      </c>
      <c r="CT653" s="120">
        <f>(CS653+CU653)/2</f>
        <v>67.804000000000002</v>
      </c>
      <c r="CU653" s="120">
        <f>(CU652+CU654)/2</f>
        <v>68.923000000000002</v>
      </c>
      <c r="CV653" s="120">
        <f>(CU653+CW653)/2</f>
        <v>70.041750000000008</v>
      </c>
      <c r="CW653" s="120">
        <f>(CW652+CW654)/2</f>
        <v>71.160499999999999</v>
      </c>
      <c r="CX653" s="120">
        <f>(CW653+CY653)/2</f>
        <v>72.215249999999997</v>
      </c>
      <c r="CY653" s="120">
        <f>(CY652+CY654)/2</f>
        <v>73.27</v>
      </c>
      <c r="CZ653" s="120">
        <f>(CY653+DA653)/2</f>
        <v>74.452750000000009</v>
      </c>
      <c r="DA653" s="120">
        <f>(DA652+DA654)/2</f>
        <v>75.635500000000008</v>
      </c>
      <c r="DB653" s="120">
        <f>(DA653+DC653)/2</f>
        <v>76.695750000000004</v>
      </c>
      <c r="DC653" s="120">
        <f>(DC652+DC654)/2</f>
        <v>77.756</v>
      </c>
      <c r="DD653" s="120">
        <f>(DC653+DE653)/2</f>
        <v>78.810500000000005</v>
      </c>
      <c r="DE653" s="120">
        <f>(DE652+DE654)/2</f>
        <v>79.865000000000009</v>
      </c>
      <c r="DF653" s="120">
        <f>(DE653+DG653)/2</f>
        <v>81.047750000000008</v>
      </c>
      <c r="DG653" s="122">
        <f>(DG652+DG654)/2</f>
        <v>82.230500000000006</v>
      </c>
    </row>
    <row r="654" spans="54:111" ht="15" customHeight="1" x14ac:dyDescent="0.2">
      <c r="BB654" s="28">
        <v>40</v>
      </c>
      <c r="BC654" s="121">
        <v>15.221</v>
      </c>
      <c r="BD654" s="121">
        <v>16.824999999999999</v>
      </c>
      <c r="BE654" s="121">
        <v>18.428999999999998</v>
      </c>
      <c r="BF654" s="121">
        <v>19.895</v>
      </c>
      <c r="BG654" s="121">
        <v>21.361000000000001</v>
      </c>
      <c r="BH654" s="121">
        <v>22.804500000000001</v>
      </c>
      <c r="BI654" s="121">
        <v>24.248000000000001</v>
      </c>
      <c r="BJ654" s="121">
        <v>25.5855</v>
      </c>
      <c r="BK654" s="121">
        <v>26.922999999999998</v>
      </c>
      <c r="BL654" s="121">
        <v>28.2605</v>
      </c>
      <c r="BM654" s="121">
        <v>29.597999999999999</v>
      </c>
      <c r="BN654" s="121">
        <v>30.923999999999999</v>
      </c>
      <c r="BO654" s="121">
        <v>32.25</v>
      </c>
      <c r="BP654" s="121">
        <v>33.523499999999999</v>
      </c>
      <c r="BQ654" s="121">
        <v>34.796999999999997</v>
      </c>
      <c r="BR654" s="121">
        <v>36.070999999999998</v>
      </c>
      <c r="BS654" s="121">
        <v>37.344999999999999</v>
      </c>
      <c r="BT654" s="121">
        <v>38.532499999999999</v>
      </c>
      <c r="BU654" s="121">
        <v>39.72</v>
      </c>
      <c r="BV654" s="121">
        <v>40.930499999999995</v>
      </c>
      <c r="BW654" s="121">
        <v>42.140999999999998</v>
      </c>
      <c r="BX654" s="121">
        <v>43.424499999999995</v>
      </c>
      <c r="BY654" s="121">
        <v>44.707999999999998</v>
      </c>
      <c r="BZ654" s="121">
        <v>45.895499999999998</v>
      </c>
      <c r="CA654" s="121">
        <v>47.082999999999998</v>
      </c>
      <c r="CB654" s="121">
        <v>48.229500000000002</v>
      </c>
      <c r="CC654" s="121">
        <v>49.375999999999998</v>
      </c>
      <c r="CD654" s="121">
        <v>50.585999999999999</v>
      </c>
      <c r="CE654" s="121">
        <v>51.795999999999999</v>
      </c>
      <c r="CF654" s="121">
        <v>52.983499999999999</v>
      </c>
      <c r="CG654" s="121">
        <v>54.170999999999999</v>
      </c>
      <c r="CH654" s="121">
        <v>55.326999999999998</v>
      </c>
      <c r="CI654" s="121">
        <v>56.482999999999997</v>
      </c>
      <c r="CJ654" s="121">
        <v>57.692999999999998</v>
      </c>
      <c r="CK654" s="121">
        <v>58.902999999999999</v>
      </c>
      <c r="CL654" s="121">
        <f t="array" ref="CL654:CL674">TRANSPOSE(CM653:DG653)</f>
        <v>59.963000000000001</v>
      </c>
      <c r="CM654" s="158">
        <v>61.023000000000003</v>
      </c>
      <c r="CN654" s="120">
        <f>(CO654+CM654)/2</f>
        <v>62.232500000000002</v>
      </c>
      <c r="CO654" s="158">
        <v>63.442</v>
      </c>
      <c r="CP654" s="120">
        <f>(CQ654+CO654)/2</f>
        <v>64.524500000000003</v>
      </c>
      <c r="CQ654" s="158">
        <v>65.606999999999999</v>
      </c>
      <c r="CR654" s="120">
        <f>(CS654+CQ654)/2</f>
        <v>66.80449999999999</v>
      </c>
      <c r="CS654" s="158">
        <v>68.001999999999995</v>
      </c>
      <c r="CT654" s="120">
        <f>(CU654+CS654)/2</f>
        <v>69.084000000000003</v>
      </c>
      <c r="CU654" s="158">
        <v>70.165999999999997</v>
      </c>
      <c r="CV654" s="120">
        <f>(CW654+CU654)/2</f>
        <v>71.376000000000005</v>
      </c>
      <c r="CW654" s="158">
        <v>72.585999999999999</v>
      </c>
      <c r="CX654" s="120">
        <f>(CY654+CW654)/2</f>
        <v>73.645499999999998</v>
      </c>
      <c r="CY654" s="158">
        <v>74.704999999999998</v>
      </c>
      <c r="CZ654" s="120">
        <f>(DA654+CY654)/2</f>
        <v>75.915500000000009</v>
      </c>
      <c r="DA654" s="158">
        <v>77.126000000000005</v>
      </c>
      <c r="DB654" s="120">
        <f>(DC654+DA654)/2</f>
        <v>78.218500000000006</v>
      </c>
      <c r="DC654" s="158">
        <v>79.311000000000007</v>
      </c>
      <c r="DD654" s="120">
        <f>(DE654+DC654)/2</f>
        <v>80.370500000000007</v>
      </c>
      <c r="DE654" s="158">
        <v>81.430000000000007</v>
      </c>
      <c r="DF654" s="120">
        <f>(DG654+DE654)/2</f>
        <v>82.64</v>
      </c>
      <c r="DG654" s="159">
        <v>83.85</v>
      </c>
    </row>
    <row r="655" spans="54:111" ht="15" customHeight="1" x14ac:dyDescent="0.2">
      <c r="BB655" s="28">
        <v>41</v>
      </c>
      <c r="BC655" s="121">
        <v>15.5055</v>
      </c>
      <c r="BD655" s="121">
        <v>17.1205</v>
      </c>
      <c r="BE655" s="121">
        <v>18.735500000000002</v>
      </c>
      <c r="BF655" s="121">
        <v>20.249000000000002</v>
      </c>
      <c r="BG655" s="121">
        <v>21.762500000000003</v>
      </c>
      <c r="BH655" s="121">
        <v>23.206499999999998</v>
      </c>
      <c r="BI655" s="121">
        <v>24.650500000000001</v>
      </c>
      <c r="BJ655" s="121">
        <v>26.036250000000003</v>
      </c>
      <c r="BK655" s="121">
        <v>27.421999999999997</v>
      </c>
      <c r="BL655" s="121">
        <v>28.780750000000001</v>
      </c>
      <c r="BM655" s="121">
        <v>30.139499999999998</v>
      </c>
      <c r="BN655" s="121">
        <v>31.487500000000001</v>
      </c>
      <c r="BO655" s="121">
        <v>32.835499999999996</v>
      </c>
      <c r="BP655" s="121">
        <v>34.125250000000001</v>
      </c>
      <c r="BQ655" s="121">
        <v>35.414999999999999</v>
      </c>
      <c r="BR655" s="121">
        <v>36.710499999999996</v>
      </c>
      <c r="BS655" s="121">
        <v>38.006</v>
      </c>
      <c r="BT655" s="121">
        <v>39.252499999999998</v>
      </c>
      <c r="BU655" s="121">
        <v>40.498999999999995</v>
      </c>
      <c r="BV655" s="121">
        <v>41.725249999999996</v>
      </c>
      <c r="BW655" s="121">
        <v>42.951499999999996</v>
      </c>
      <c r="BX655" s="121">
        <v>44.219749999999998</v>
      </c>
      <c r="BY655" s="121">
        <v>45.488</v>
      </c>
      <c r="BZ655" s="121">
        <v>46.702750000000002</v>
      </c>
      <c r="CA655" s="121">
        <v>47.917500000000004</v>
      </c>
      <c r="CB655" s="121">
        <v>49.111750000000001</v>
      </c>
      <c r="CC655" s="121">
        <v>50.305999999999997</v>
      </c>
      <c r="CD655" s="121">
        <v>51.53725</v>
      </c>
      <c r="CE655" s="121">
        <v>52.768500000000003</v>
      </c>
      <c r="CF655" s="121">
        <v>53.983499999999999</v>
      </c>
      <c r="CG655" s="121">
        <v>55.198499999999996</v>
      </c>
      <c r="CH655" s="121">
        <v>56.39725</v>
      </c>
      <c r="CI655" s="121">
        <v>57.596000000000004</v>
      </c>
      <c r="CJ655" s="121">
        <v>58.763249999999999</v>
      </c>
      <c r="CK655" s="121">
        <v>59.930499999999995</v>
      </c>
      <c r="CL655" s="121">
        <v>61.081500000000005</v>
      </c>
      <c r="CM655" s="121">
        <f t="array" ref="CM655:CM674">TRANSPOSE(CN654:DG654)</f>
        <v>62.232500000000002</v>
      </c>
      <c r="CN655" s="120">
        <f>(CM655+CO655)/2</f>
        <v>63.463749999999997</v>
      </c>
      <c r="CO655" s="120">
        <f>(CO654+CO656)/2</f>
        <v>64.694999999999993</v>
      </c>
      <c r="CP655" s="120">
        <f>(CO655+CQ655)/2</f>
        <v>65.792999999999992</v>
      </c>
      <c r="CQ655" s="120">
        <f>(CQ654+CQ656)/2</f>
        <v>66.890999999999991</v>
      </c>
      <c r="CR655" s="120">
        <f>(CQ655+CS655)/2</f>
        <v>68.11099999999999</v>
      </c>
      <c r="CS655" s="120">
        <f>(CS654+CS656)/2</f>
        <v>69.330999999999989</v>
      </c>
      <c r="CT655" s="120">
        <f>(CS655+CU655)/2</f>
        <v>70.434499999999986</v>
      </c>
      <c r="CU655" s="120">
        <f>(CU654+CU656)/2</f>
        <v>71.537999999999997</v>
      </c>
      <c r="CV655" s="120">
        <f>(CU655+CW655)/2</f>
        <v>72.763749999999987</v>
      </c>
      <c r="CW655" s="120">
        <f>(CW654+CW656)/2</f>
        <v>73.989499999999992</v>
      </c>
      <c r="CX655" s="120">
        <f>(CW655+CY655)/2</f>
        <v>75.076499999999996</v>
      </c>
      <c r="CY655" s="120">
        <f>(CY654+CY656)/2</f>
        <v>76.163499999999999</v>
      </c>
      <c r="CZ655" s="120">
        <f>(CY655+DA655)/2</f>
        <v>77.331249999999997</v>
      </c>
      <c r="DA655" s="120">
        <f>(DA654+DA656)/2</f>
        <v>78.498999999999995</v>
      </c>
      <c r="DB655" s="120">
        <f>(DA655+DC655)/2</f>
        <v>79.666249999999991</v>
      </c>
      <c r="DC655" s="120">
        <f>(DC654+DC656)/2</f>
        <v>80.833500000000001</v>
      </c>
      <c r="DD655" s="120">
        <f>(DC655+DE655)/2</f>
        <v>81.92025000000001</v>
      </c>
      <c r="DE655" s="120">
        <f>(DE654+DE656)/2</f>
        <v>83.007000000000005</v>
      </c>
      <c r="DF655" s="120">
        <f>(DE655+DG655)/2</f>
        <v>84.174000000000007</v>
      </c>
      <c r="DG655" s="122">
        <f>(DG654+DG656)/2</f>
        <v>85.340999999999994</v>
      </c>
    </row>
    <row r="656" spans="54:111" ht="15" customHeight="1" x14ac:dyDescent="0.2">
      <c r="BB656" s="28">
        <v>42</v>
      </c>
      <c r="BC656" s="121">
        <v>15.79</v>
      </c>
      <c r="BD656" s="121">
        <v>17.416</v>
      </c>
      <c r="BE656" s="121">
        <v>19.042000000000002</v>
      </c>
      <c r="BF656" s="121">
        <v>20.603000000000002</v>
      </c>
      <c r="BG656" s="121">
        <v>22.164000000000001</v>
      </c>
      <c r="BH656" s="121">
        <v>23.608499999999999</v>
      </c>
      <c r="BI656" s="121">
        <v>25.053000000000001</v>
      </c>
      <c r="BJ656" s="121">
        <v>26.487000000000002</v>
      </c>
      <c r="BK656" s="121">
        <v>27.920999999999999</v>
      </c>
      <c r="BL656" s="121">
        <v>29.301000000000002</v>
      </c>
      <c r="BM656" s="121">
        <v>30.681000000000001</v>
      </c>
      <c r="BN656" s="121">
        <v>32.051000000000002</v>
      </c>
      <c r="BO656" s="121">
        <v>33.420999999999999</v>
      </c>
      <c r="BP656" s="121">
        <v>34.727000000000004</v>
      </c>
      <c r="BQ656" s="121">
        <v>36.033000000000001</v>
      </c>
      <c r="BR656" s="121">
        <v>37.35</v>
      </c>
      <c r="BS656" s="121">
        <v>38.667000000000002</v>
      </c>
      <c r="BT656" s="121">
        <v>39.972499999999997</v>
      </c>
      <c r="BU656" s="121">
        <v>41.277999999999999</v>
      </c>
      <c r="BV656" s="121">
        <v>42.519999999999996</v>
      </c>
      <c r="BW656" s="121">
        <v>43.762</v>
      </c>
      <c r="BX656" s="121">
        <v>45.015000000000001</v>
      </c>
      <c r="BY656" s="121">
        <v>46.268000000000001</v>
      </c>
      <c r="BZ656" s="121">
        <v>47.510000000000005</v>
      </c>
      <c r="CA656" s="121">
        <v>48.752000000000002</v>
      </c>
      <c r="CB656" s="121">
        <v>49.994</v>
      </c>
      <c r="CC656" s="121">
        <v>51.235999999999997</v>
      </c>
      <c r="CD656" s="121">
        <v>52.488500000000002</v>
      </c>
      <c r="CE656" s="121">
        <v>53.741</v>
      </c>
      <c r="CF656" s="121">
        <v>54.983499999999999</v>
      </c>
      <c r="CG656" s="121">
        <v>56.225999999999999</v>
      </c>
      <c r="CH656" s="121">
        <v>57.467500000000001</v>
      </c>
      <c r="CI656" s="121">
        <v>58.709000000000003</v>
      </c>
      <c r="CJ656" s="121">
        <v>59.833500000000001</v>
      </c>
      <c r="CK656" s="121">
        <v>60.957999999999998</v>
      </c>
      <c r="CL656" s="121">
        <v>62.2</v>
      </c>
      <c r="CM656" s="121">
        <v>63.442</v>
      </c>
      <c r="CN656" s="121">
        <f t="array" ref="CN656:CN674">TRANSPOSE(CO655:DG655)</f>
        <v>64.694999999999993</v>
      </c>
      <c r="CO656" s="158">
        <v>65.947999999999993</v>
      </c>
      <c r="CP656" s="120">
        <f>(CQ656+CO656)/2</f>
        <v>67.061499999999995</v>
      </c>
      <c r="CQ656" s="158">
        <v>68.174999999999997</v>
      </c>
      <c r="CR656" s="120">
        <f>(CS656+CQ656)/2</f>
        <v>69.41749999999999</v>
      </c>
      <c r="CS656" s="158">
        <v>70.66</v>
      </c>
      <c r="CT656" s="120">
        <f>(CU656+CS656)/2</f>
        <v>71.784999999999997</v>
      </c>
      <c r="CU656" s="158">
        <v>72.91</v>
      </c>
      <c r="CV656" s="120">
        <f>(CW656+CU656)/2</f>
        <v>74.151499999999999</v>
      </c>
      <c r="CW656" s="158">
        <v>75.393000000000001</v>
      </c>
      <c r="CX656" s="120">
        <f>(CY656+CW656)/2</f>
        <v>76.507499999999993</v>
      </c>
      <c r="CY656" s="158">
        <v>77.622</v>
      </c>
      <c r="CZ656" s="120">
        <f>(DA656+CY656)/2</f>
        <v>78.747</v>
      </c>
      <c r="DA656" s="158">
        <v>79.872</v>
      </c>
      <c r="DB656" s="120">
        <f>(DC656+DA656)/2</f>
        <v>81.114000000000004</v>
      </c>
      <c r="DC656" s="158">
        <v>82.355999999999995</v>
      </c>
      <c r="DD656" s="120">
        <f>(DE656+DC656)/2</f>
        <v>83.47</v>
      </c>
      <c r="DE656" s="158">
        <v>84.584000000000003</v>
      </c>
      <c r="DF656" s="120">
        <f>(DG656+DE656)/2</f>
        <v>85.707999999999998</v>
      </c>
      <c r="DG656" s="159">
        <v>86.831999999999994</v>
      </c>
    </row>
    <row r="657" spans="54:111" ht="15" customHeight="1" x14ac:dyDescent="0.2">
      <c r="BB657" s="28">
        <v>43</v>
      </c>
      <c r="BC657" s="121">
        <v>16.063499999999998</v>
      </c>
      <c r="BD657" s="121">
        <v>17.7425</v>
      </c>
      <c r="BE657" s="121">
        <v>19.421500000000002</v>
      </c>
      <c r="BF657" s="121">
        <v>20.966999999999999</v>
      </c>
      <c r="BG657" s="121">
        <v>22.512500000000003</v>
      </c>
      <c r="BH657" s="121">
        <v>24.015999999999998</v>
      </c>
      <c r="BI657" s="121">
        <v>25.519500000000001</v>
      </c>
      <c r="BJ657" s="121">
        <v>26.969750000000001</v>
      </c>
      <c r="BK657" s="121">
        <v>28.42</v>
      </c>
      <c r="BL657" s="121">
        <v>29.81625</v>
      </c>
      <c r="BM657" s="121">
        <v>31.212499999999999</v>
      </c>
      <c r="BN657" s="121">
        <v>32.609750000000005</v>
      </c>
      <c r="BO657" s="121">
        <v>34.007000000000005</v>
      </c>
      <c r="BP657" s="121">
        <v>35.334500000000006</v>
      </c>
      <c r="BQ657" s="121">
        <v>36.661999999999999</v>
      </c>
      <c r="BR657" s="121">
        <v>37.9895</v>
      </c>
      <c r="BS657" s="121">
        <v>39.317</v>
      </c>
      <c r="BT657" s="121">
        <v>40.655000000000001</v>
      </c>
      <c r="BU657" s="121">
        <v>41.992999999999995</v>
      </c>
      <c r="BV657" s="121">
        <v>43.2515</v>
      </c>
      <c r="BW657" s="121">
        <v>44.510000000000005</v>
      </c>
      <c r="BX657" s="121">
        <v>45.810500000000005</v>
      </c>
      <c r="BY657" s="121">
        <v>47.111000000000004</v>
      </c>
      <c r="BZ657" s="121">
        <v>48.380250000000004</v>
      </c>
      <c r="CA657" s="121">
        <v>49.649500000000003</v>
      </c>
      <c r="CB657" s="121">
        <v>50.912750000000003</v>
      </c>
      <c r="CC657" s="121">
        <v>52.176000000000002</v>
      </c>
      <c r="CD657" s="121">
        <v>53.439750000000004</v>
      </c>
      <c r="CE657" s="121">
        <v>54.703499999999998</v>
      </c>
      <c r="CF657" s="121">
        <v>55.945999999999998</v>
      </c>
      <c r="CG657" s="121">
        <v>57.188500000000005</v>
      </c>
      <c r="CH657" s="121">
        <v>58.4465</v>
      </c>
      <c r="CI657" s="121">
        <v>59.704500000000003</v>
      </c>
      <c r="CJ657" s="121">
        <v>60.908999999999999</v>
      </c>
      <c r="CK657" s="121">
        <v>62.113500000000002</v>
      </c>
      <c r="CL657" s="121">
        <v>63.319000000000003</v>
      </c>
      <c r="CM657" s="121">
        <v>64.524500000000003</v>
      </c>
      <c r="CN657" s="121">
        <v>65.792999999999992</v>
      </c>
      <c r="CO657" s="121">
        <f t="array" ref="CO657:CO674">TRANSPOSE(CP656:DG656)</f>
        <v>67.061499999999995</v>
      </c>
      <c r="CP657" s="120">
        <f>(CO657+CQ657)/2</f>
        <v>68.255749999999992</v>
      </c>
      <c r="CQ657" s="120">
        <f>(CQ656+CQ658)/2</f>
        <v>69.449999999999989</v>
      </c>
      <c r="CR657" s="120">
        <f>(CQ657+CS657)/2</f>
        <v>70.660749999999993</v>
      </c>
      <c r="CS657" s="120">
        <f>(CS656+CS658)/2</f>
        <v>71.871499999999997</v>
      </c>
      <c r="CT657" s="120">
        <f>(CS657+CU657)/2</f>
        <v>73.070999999999998</v>
      </c>
      <c r="CU657" s="120">
        <f>(CU656+CU658)/2</f>
        <v>74.270499999999998</v>
      </c>
      <c r="CV657" s="120">
        <f>(CU657+CW657)/2</f>
        <v>75.469750000000005</v>
      </c>
      <c r="CW657" s="120">
        <f>(CW656+CW658)/2</f>
        <v>76.668999999999997</v>
      </c>
      <c r="CX657" s="120">
        <f>(CW657+CY657)/2</f>
        <v>77.879500000000007</v>
      </c>
      <c r="CY657" s="120">
        <f>(CY656+CY658)/2</f>
        <v>79.09</v>
      </c>
      <c r="CZ657" s="120">
        <f>(CY657+DA657)/2</f>
        <v>80.225750000000005</v>
      </c>
      <c r="DA657" s="120">
        <f>(DA656+DA658)/2</f>
        <v>81.361500000000007</v>
      </c>
      <c r="DB657" s="120">
        <f>(DA657+DC657)/2</f>
        <v>82.624750000000006</v>
      </c>
      <c r="DC657" s="120">
        <f>(DC656+DC658)/2</f>
        <v>83.888000000000005</v>
      </c>
      <c r="DD657" s="120">
        <f>(DC657+DE657)/2</f>
        <v>85.029499999999999</v>
      </c>
      <c r="DE657" s="120">
        <f>(DE656+DE658)/2</f>
        <v>86.170999999999992</v>
      </c>
      <c r="DF657" s="120">
        <f>(DE657+DG657)/2</f>
        <v>87.311499999999995</v>
      </c>
      <c r="DG657" s="122">
        <f>(DG656+DG658)/2</f>
        <v>88.451999999999998</v>
      </c>
    </row>
    <row r="658" spans="54:111" ht="15" customHeight="1" x14ac:dyDescent="0.2">
      <c r="BB658" s="28">
        <v>44</v>
      </c>
      <c r="BC658" s="121">
        <v>16.337</v>
      </c>
      <c r="BD658" s="121">
        <v>18.068999999999999</v>
      </c>
      <c r="BE658" s="121">
        <v>19.800999999999998</v>
      </c>
      <c r="BF658" s="121">
        <v>21.331</v>
      </c>
      <c r="BG658" s="121">
        <v>22.861000000000001</v>
      </c>
      <c r="BH658" s="121">
        <v>24.423500000000001</v>
      </c>
      <c r="BI658" s="121">
        <v>25.986000000000001</v>
      </c>
      <c r="BJ658" s="121">
        <v>27.452500000000001</v>
      </c>
      <c r="BK658" s="121">
        <v>28.919</v>
      </c>
      <c r="BL658" s="121">
        <v>30.331499999999998</v>
      </c>
      <c r="BM658" s="121">
        <v>31.744</v>
      </c>
      <c r="BN658" s="121">
        <v>33.168500000000002</v>
      </c>
      <c r="BO658" s="121">
        <v>34.593000000000004</v>
      </c>
      <c r="BP658" s="121">
        <v>35.942</v>
      </c>
      <c r="BQ658" s="121">
        <v>37.290999999999997</v>
      </c>
      <c r="BR658" s="121">
        <v>38.628999999999998</v>
      </c>
      <c r="BS658" s="121">
        <v>39.966999999999999</v>
      </c>
      <c r="BT658" s="121">
        <v>41.337499999999999</v>
      </c>
      <c r="BU658" s="121">
        <v>42.707999999999998</v>
      </c>
      <c r="BV658" s="121">
        <v>43.983000000000004</v>
      </c>
      <c r="BW658" s="121">
        <v>45.258000000000003</v>
      </c>
      <c r="BX658" s="121">
        <v>46.606000000000002</v>
      </c>
      <c r="BY658" s="121">
        <v>47.954000000000001</v>
      </c>
      <c r="BZ658" s="121">
        <v>49.250500000000002</v>
      </c>
      <c r="CA658" s="121">
        <v>50.546999999999997</v>
      </c>
      <c r="CB658" s="121">
        <v>51.831499999999998</v>
      </c>
      <c r="CC658" s="121">
        <v>53.116</v>
      </c>
      <c r="CD658" s="121">
        <v>54.390999999999998</v>
      </c>
      <c r="CE658" s="121">
        <v>55.665999999999997</v>
      </c>
      <c r="CF658" s="121">
        <v>56.908500000000004</v>
      </c>
      <c r="CG658" s="121">
        <v>58.151000000000003</v>
      </c>
      <c r="CH658" s="121">
        <v>59.4255</v>
      </c>
      <c r="CI658" s="121">
        <v>60.7</v>
      </c>
      <c r="CJ658" s="121">
        <v>61.984499999999997</v>
      </c>
      <c r="CK658" s="121">
        <v>63.268999999999998</v>
      </c>
      <c r="CL658" s="121">
        <v>64.438000000000002</v>
      </c>
      <c r="CM658" s="121">
        <v>65.606999999999999</v>
      </c>
      <c r="CN658" s="121">
        <v>66.890999999999991</v>
      </c>
      <c r="CO658" s="121">
        <v>68.174999999999997</v>
      </c>
      <c r="CP658" s="121">
        <f t="array" ref="CP658:CP674">TRANSPOSE(CQ657:DG657)</f>
        <v>69.449999999999989</v>
      </c>
      <c r="CQ658" s="158">
        <v>70.724999999999994</v>
      </c>
      <c r="CR658" s="121">
        <f>CS657</f>
        <v>71.871499999999997</v>
      </c>
      <c r="CS658" s="158">
        <v>73.082999999999998</v>
      </c>
      <c r="CT658" s="121">
        <f>CU657</f>
        <v>74.270499999999998</v>
      </c>
      <c r="CU658" s="158">
        <v>75.631</v>
      </c>
      <c r="CV658" s="121">
        <f>CW657</f>
        <v>76.668999999999997</v>
      </c>
      <c r="CW658" s="158">
        <v>77.944999999999993</v>
      </c>
      <c r="CX658" s="121">
        <f>CY657</f>
        <v>79.09</v>
      </c>
      <c r="CY658" s="158">
        <v>80.558000000000007</v>
      </c>
      <c r="CZ658" s="121">
        <f>DA657</f>
        <v>81.361500000000007</v>
      </c>
      <c r="DA658" s="158">
        <v>82.850999999999999</v>
      </c>
      <c r="DB658" s="121">
        <f>DC657</f>
        <v>83.888000000000005</v>
      </c>
      <c r="DC658" s="158">
        <v>85.42</v>
      </c>
      <c r="DD658" s="121">
        <f>DE657</f>
        <v>86.170999999999992</v>
      </c>
      <c r="DE658" s="158">
        <v>87.757999999999996</v>
      </c>
      <c r="DF658" s="121">
        <f>DG657</f>
        <v>88.451999999999998</v>
      </c>
      <c r="DG658" s="159">
        <v>90.072000000000003</v>
      </c>
    </row>
    <row r="659" spans="54:111" ht="15" customHeight="1" x14ac:dyDescent="0.2">
      <c r="BB659" s="28">
        <v>45</v>
      </c>
      <c r="BC659" s="121">
        <v>16.588999999999999</v>
      </c>
      <c r="BD659" s="121">
        <v>18.347999999999999</v>
      </c>
      <c r="BE659" s="121">
        <v>20.106999999999999</v>
      </c>
      <c r="BF659" s="121">
        <v>21.701500000000003</v>
      </c>
      <c r="BG659" s="121">
        <v>23.295999999999999</v>
      </c>
      <c r="BH659" s="121">
        <v>24.858499999999999</v>
      </c>
      <c r="BI659" s="121">
        <v>26.420999999999999</v>
      </c>
      <c r="BJ659" s="121">
        <v>27.919750000000001</v>
      </c>
      <c r="BK659" s="121">
        <v>29.418500000000002</v>
      </c>
      <c r="BL659" s="121">
        <v>30.857999999999997</v>
      </c>
      <c r="BM659" s="121">
        <v>32.297499999999999</v>
      </c>
      <c r="BN659" s="121">
        <v>33.727000000000004</v>
      </c>
      <c r="BO659" s="121">
        <v>35.156500000000001</v>
      </c>
      <c r="BP659" s="121">
        <v>36.532499999999999</v>
      </c>
      <c r="BQ659" s="121">
        <v>37.908500000000004</v>
      </c>
      <c r="BR659" s="121">
        <v>39.278999999999996</v>
      </c>
      <c r="BS659" s="121">
        <v>40.649500000000003</v>
      </c>
      <c r="BT659" s="121">
        <v>42.019999999999996</v>
      </c>
      <c r="BU659" s="121">
        <v>43.390500000000003</v>
      </c>
      <c r="BV659" s="121">
        <v>44.729750000000003</v>
      </c>
      <c r="BW659" s="121">
        <v>46.069000000000003</v>
      </c>
      <c r="BX659" s="121">
        <v>47.412500000000001</v>
      </c>
      <c r="BY659" s="121">
        <v>48.756</v>
      </c>
      <c r="BZ659" s="121">
        <v>50.062750000000001</v>
      </c>
      <c r="CA659" s="121">
        <v>51.369500000000002</v>
      </c>
      <c r="CB659" s="121">
        <v>52.707999999999998</v>
      </c>
      <c r="CC659" s="121">
        <v>54.046499999999995</v>
      </c>
      <c r="CD659" s="121">
        <v>55.3215</v>
      </c>
      <c r="CE659" s="121">
        <v>56.596499999999999</v>
      </c>
      <c r="CF659" s="121">
        <v>57.876249999999999</v>
      </c>
      <c r="CG659" s="121">
        <v>59.156000000000006</v>
      </c>
      <c r="CH659" s="121">
        <v>60.425750000000001</v>
      </c>
      <c r="CI659" s="121">
        <v>61.695500000000003</v>
      </c>
      <c r="CJ659" s="121">
        <v>63.006999999999998</v>
      </c>
      <c r="CK659" s="121">
        <v>64.3185</v>
      </c>
      <c r="CL659" s="121">
        <v>65.561499999999995</v>
      </c>
      <c r="CM659" s="121">
        <v>66.80449999999999</v>
      </c>
      <c r="CN659" s="121">
        <v>68.11099999999999</v>
      </c>
      <c r="CO659" s="121">
        <v>69.41749999999999</v>
      </c>
      <c r="CP659" s="121">
        <v>70.660749999999993</v>
      </c>
      <c r="CQ659" s="121">
        <f t="array" ref="CQ659:CQ674">TRANSPOSE(CR658:DG658)</f>
        <v>71.871499999999997</v>
      </c>
      <c r="CR659" s="120">
        <f>(CQ659+CS659)/2</f>
        <v>73.135750000000002</v>
      </c>
      <c r="CS659" s="120">
        <f>(CS658+CS660)/2</f>
        <v>74.400000000000006</v>
      </c>
      <c r="CT659" s="120">
        <f>(CS659+CU659)/2</f>
        <v>75.637500000000003</v>
      </c>
      <c r="CU659" s="120">
        <f>(CU658+CU660)/2</f>
        <v>76.875</v>
      </c>
      <c r="CV659" s="120">
        <f>(CU659+CW659)/2</f>
        <v>78.122749999999996</v>
      </c>
      <c r="CW659" s="120">
        <f>(CW658+CW660)/2</f>
        <v>79.370499999999993</v>
      </c>
      <c r="CX659" s="120">
        <f>(CW659+CY659)/2</f>
        <v>80.618250000000003</v>
      </c>
      <c r="CY659" s="120">
        <f>(CY658+CY660)/2</f>
        <v>81.866000000000014</v>
      </c>
      <c r="CZ659" s="120">
        <f>(CY659+DA659)/2</f>
        <v>83.103500000000011</v>
      </c>
      <c r="DA659" s="120">
        <f>(DA658+DA660)/2</f>
        <v>84.341000000000008</v>
      </c>
      <c r="DB659" s="120">
        <f>(DA659+DC659)/2</f>
        <v>85.588999999999999</v>
      </c>
      <c r="DC659" s="120">
        <f>(DC658+DC660)/2</f>
        <v>86.837000000000003</v>
      </c>
      <c r="DD659" s="120">
        <f>(DC659+DE659)/2</f>
        <v>88.080250000000007</v>
      </c>
      <c r="DE659" s="120">
        <f>(DE658+DE660)/2</f>
        <v>89.323499999999996</v>
      </c>
      <c r="DF659" s="120">
        <f>(DE659+DG659)/2</f>
        <v>90.502250000000004</v>
      </c>
      <c r="DG659" s="122">
        <f>(DG658+DG660)/2</f>
        <v>91.681000000000012</v>
      </c>
    </row>
    <row r="660" spans="54:111" ht="15" customHeight="1" x14ac:dyDescent="0.2">
      <c r="BB660" s="28">
        <v>46</v>
      </c>
      <c r="BC660" s="121">
        <v>16.841000000000001</v>
      </c>
      <c r="BD660" s="121">
        <v>18.627000000000002</v>
      </c>
      <c r="BE660" s="121">
        <v>20.413</v>
      </c>
      <c r="BF660" s="121">
        <v>22.072000000000003</v>
      </c>
      <c r="BG660" s="121">
        <v>23.731000000000002</v>
      </c>
      <c r="BH660" s="121">
        <v>25.293500000000002</v>
      </c>
      <c r="BI660" s="121">
        <v>26.856000000000002</v>
      </c>
      <c r="BJ660" s="121">
        <v>28.387</v>
      </c>
      <c r="BK660" s="121">
        <v>29.917999999999999</v>
      </c>
      <c r="BL660" s="121">
        <v>31.384499999999999</v>
      </c>
      <c r="BM660" s="121">
        <v>32.850999999999999</v>
      </c>
      <c r="BN660" s="121">
        <v>34.285499999999999</v>
      </c>
      <c r="BO660" s="121">
        <v>35.72</v>
      </c>
      <c r="BP660" s="121">
        <v>37.123000000000005</v>
      </c>
      <c r="BQ660" s="121">
        <v>38.526000000000003</v>
      </c>
      <c r="BR660" s="121">
        <v>39.929000000000002</v>
      </c>
      <c r="BS660" s="121">
        <v>41.332000000000001</v>
      </c>
      <c r="BT660" s="121">
        <v>42.702500000000001</v>
      </c>
      <c r="BU660" s="121">
        <v>44.073</v>
      </c>
      <c r="BV660" s="121">
        <v>45.476500000000001</v>
      </c>
      <c r="BW660" s="121">
        <v>46.88</v>
      </c>
      <c r="BX660" s="121">
        <v>48.219000000000001</v>
      </c>
      <c r="BY660" s="121">
        <v>49.558</v>
      </c>
      <c r="BZ660" s="121">
        <v>50.875</v>
      </c>
      <c r="CA660" s="121">
        <v>52.192</v>
      </c>
      <c r="CB660" s="121">
        <v>53.584499999999998</v>
      </c>
      <c r="CC660" s="121">
        <v>54.976999999999997</v>
      </c>
      <c r="CD660" s="121">
        <v>56.251999999999995</v>
      </c>
      <c r="CE660" s="121">
        <v>57.527000000000001</v>
      </c>
      <c r="CF660" s="121">
        <v>58.844000000000001</v>
      </c>
      <c r="CG660" s="121">
        <v>60.161000000000001</v>
      </c>
      <c r="CH660" s="121">
        <v>61.426000000000002</v>
      </c>
      <c r="CI660" s="121">
        <v>62.691000000000003</v>
      </c>
      <c r="CJ660" s="121">
        <v>64.029499999999999</v>
      </c>
      <c r="CK660" s="121">
        <v>65.367999999999995</v>
      </c>
      <c r="CL660" s="121">
        <v>66.685000000000002</v>
      </c>
      <c r="CM660" s="121">
        <v>68.001999999999995</v>
      </c>
      <c r="CN660" s="121">
        <v>69.330999999999989</v>
      </c>
      <c r="CO660" s="121">
        <v>70.66</v>
      </c>
      <c r="CP660" s="121">
        <v>71.871499999999997</v>
      </c>
      <c r="CQ660" s="121">
        <v>73.082999999999998</v>
      </c>
      <c r="CR660" s="150">
        <f t="array" ref="CR660:CR674">TRANSPOSE(CS659:DG659)</f>
        <v>74.400000000000006</v>
      </c>
      <c r="CS660" s="158">
        <v>75.716999999999999</v>
      </c>
      <c r="CT660" s="121">
        <f>CU659</f>
        <v>76.875</v>
      </c>
      <c r="CU660" s="158">
        <v>78.119</v>
      </c>
      <c r="CV660" s="121">
        <f>CW659</f>
        <v>79.370499999999993</v>
      </c>
      <c r="CW660" s="158">
        <v>80.796000000000006</v>
      </c>
      <c r="CX660" s="121">
        <f>CY659</f>
        <v>81.866000000000014</v>
      </c>
      <c r="CY660" s="158">
        <v>83.174000000000007</v>
      </c>
      <c r="CZ660" s="121">
        <f>DA659</f>
        <v>84.341000000000008</v>
      </c>
      <c r="DA660" s="158">
        <v>85.831000000000003</v>
      </c>
      <c r="DB660" s="121">
        <f>DC659</f>
        <v>86.837000000000003</v>
      </c>
      <c r="DC660" s="158">
        <v>88.254000000000005</v>
      </c>
      <c r="DD660" s="121">
        <f>DE659</f>
        <v>89.323499999999996</v>
      </c>
      <c r="DE660" s="158">
        <v>90.888999999999996</v>
      </c>
      <c r="DF660" s="121">
        <f>DG659</f>
        <v>91.681000000000012</v>
      </c>
      <c r="DG660" s="159">
        <v>93.29</v>
      </c>
    </row>
    <row r="661" spans="54:111" ht="15" customHeight="1" x14ac:dyDescent="0.2">
      <c r="BB661" s="28">
        <v>47</v>
      </c>
      <c r="BC661" s="121">
        <v>17.125</v>
      </c>
      <c r="BD661" s="121">
        <v>18.927250000000001</v>
      </c>
      <c r="BE661" s="121">
        <v>20.729500000000002</v>
      </c>
      <c r="BF661" s="121">
        <v>22.399500000000003</v>
      </c>
      <c r="BG661" s="121">
        <v>24.069500000000001</v>
      </c>
      <c r="BH661" s="121">
        <v>25.664250000000003</v>
      </c>
      <c r="BI661" s="121">
        <v>27.259</v>
      </c>
      <c r="BJ661" s="121">
        <v>28.806249999999999</v>
      </c>
      <c r="BK661" s="121">
        <v>30.3535</v>
      </c>
      <c r="BL661" s="121">
        <v>31.868000000000002</v>
      </c>
      <c r="BM661" s="121">
        <v>33.3825</v>
      </c>
      <c r="BN661" s="121">
        <v>34.849249999999998</v>
      </c>
      <c r="BO661" s="121">
        <v>36.316000000000003</v>
      </c>
      <c r="BP661" s="121">
        <v>37.735250000000001</v>
      </c>
      <c r="BQ661" s="121">
        <v>39.154499999999999</v>
      </c>
      <c r="BR661" s="121">
        <v>40.5685</v>
      </c>
      <c r="BS661" s="121">
        <v>41.982500000000002</v>
      </c>
      <c r="BT661" s="121">
        <v>43.3855</v>
      </c>
      <c r="BU661" s="121">
        <v>44.788499999999999</v>
      </c>
      <c r="BV661" s="121">
        <v>46.207499999999996</v>
      </c>
      <c r="BW661" s="121">
        <v>47.6265</v>
      </c>
      <c r="BX661" s="121">
        <v>49.013999999999996</v>
      </c>
      <c r="BY661" s="121">
        <v>50.401499999999999</v>
      </c>
      <c r="BZ661" s="121">
        <v>51.7455</v>
      </c>
      <c r="CA661" s="121">
        <v>53.089500000000001</v>
      </c>
      <c r="CB661" s="121">
        <v>54.471499999999999</v>
      </c>
      <c r="CC661" s="121">
        <v>55.853499999999997</v>
      </c>
      <c r="CD661" s="121">
        <v>57.171250000000001</v>
      </c>
      <c r="CE661" s="121">
        <v>58.489000000000004</v>
      </c>
      <c r="CF661" s="121">
        <v>59.833500000000001</v>
      </c>
      <c r="CG661" s="121">
        <v>61.177999999999997</v>
      </c>
      <c r="CH661" s="121">
        <v>62.496000000000002</v>
      </c>
      <c r="CI661" s="121">
        <v>63.814</v>
      </c>
      <c r="CJ661" s="121">
        <v>65.169000000000011</v>
      </c>
      <c r="CK661" s="121">
        <v>66.524000000000001</v>
      </c>
      <c r="CL661" s="121">
        <v>67.804000000000002</v>
      </c>
      <c r="CM661" s="121">
        <v>69.084000000000003</v>
      </c>
      <c r="CN661" s="121">
        <v>70.434499999999986</v>
      </c>
      <c r="CO661" s="121">
        <v>71.784999999999997</v>
      </c>
      <c r="CP661" s="121">
        <v>73.070999999999998</v>
      </c>
      <c r="CQ661" s="121">
        <v>74.270499999999998</v>
      </c>
      <c r="CR661" s="160">
        <v>75.637500000000003</v>
      </c>
      <c r="CS661" s="160">
        <f t="array" ref="CS661:CS674">TRANSPOSE(CT660:DG660)</f>
        <v>76.875</v>
      </c>
      <c r="CT661" s="120">
        <f>(CS661+CU661)/2</f>
        <v>78.182249999999996</v>
      </c>
      <c r="CU661" s="120">
        <f>(CU660+CU662)/2</f>
        <v>79.489499999999992</v>
      </c>
      <c r="CV661" s="120">
        <f>(CU661+CW661)/2</f>
        <v>80.844750000000005</v>
      </c>
      <c r="CW661" s="120">
        <f>(CW660+CW662)/2</f>
        <v>82.2</v>
      </c>
      <c r="CX661" s="120">
        <f>(CW661+CY661)/2</f>
        <v>83.415999999999997</v>
      </c>
      <c r="CY661" s="120">
        <f>(CY660+CY662)/2</f>
        <v>84.632000000000005</v>
      </c>
      <c r="CZ661" s="120">
        <f>(CY661+DA661)/2</f>
        <v>85.982250000000008</v>
      </c>
      <c r="DA661" s="120">
        <f>(DA660+DA662)/2</f>
        <v>87.33250000000001</v>
      </c>
      <c r="DB661" s="120">
        <f>(DA661+DC661)/2</f>
        <v>88.559750000000008</v>
      </c>
      <c r="DC661" s="120">
        <f>(DC660+DC662)/2</f>
        <v>89.787000000000006</v>
      </c>
      <c r="DD661" s="120">
        <f>(DC661+DE661)/2</f>
        <v>91.062250000000006</v>
      </c>
      <c r="DE661" s="120">
        <f>(DE660+DE662)/2</f>
        <v>92.337500000000006</v>
      </c>
      <c r="DF661" s="120">
        <f>(DE661+DG661)/2</f>
        <v>93.623500000000007</v>
      </c>
      <c r="DG661" s="122">
        <f>(DG660+DG662)/2</f>
        <v>94.909500000000008</v>
      </c>
    </row>
    <row r="662" spans="54:111" ht="15" customHeight="1" x14ac:dyDescent="0.2">
      <c r="BB662" s="28">
        <v>48</v>
      </c>
      <c r="BC662" s="121">
        <v>17.408999999999999</v>
      </c>
      <c r="BD662" s="121">
        <v>19.227499999999999</v>
      </c>
      <c r="BE662" s="121">
        <v>21.045999999999999</v>
      </c>
      <c r="BF662" s="121">
        <v>22.727</v>
      </c>
      <c r="BG662" s="121">
        <v>24.408000000000001</v>
      </c>
      <c r="BH662" s="121">
        <v>26.035</v>
      </c>
      <c r="BI662" s="121">
        <v>27.661999999999999</v>
      </c>
      <c r="BJ662" s="121">
        <v>29.2255</v>
      </c>
      <c r="BK662" s="121">
        <v>30.789000000000001</v>
      </c>
      <c r="BL662" s="121">
        <v>32.351500000000001</v>
      </c>
      <c r="BM662" s="121">
        <v>33.914000000000001</v>
      </c>
      <c r="BN662" s="121">
        <v>35.412999999999997</v>
      </c>
      <c r="BO662" s="121">
        <v>36.911999999999999</v>
      </c>
      <c r="BP662" s="121">
        <v>38.347499999999997</v>
      </c>
      <c r="BQ662" s="121">
        <v>39.783000000000001</v>
      </c>
      <c r="BR662" s="121">
        <v>41.207999999999998</v>
      </c>
      <c r="BS662" s="121">
        <v>42.633000000000003</v>
      </c>
      <c r="BT662" s="121">
        <v>44.0685</v>
      </c>
      <c r="BU662" s="121">
        <v>45.503999999999998</v>
      </c>
      <c r="BV662" s="121">
        <v>46.938499999999998</v>
      </c>
      <c r="BW662" s="121">
        <v>48.372999999999998</v>
      </c>
      <c r="BX662" s="121">
        <v>49.808999999999997</v>
      </c>
      <c r="BY662" s="121">
        <v>51.244999999999997</v>
      </c>
      <c r="BZ662" s="121">
        <v>52.616</v>
      </c>
      <c r="CA662" s="121">
        <v>53.987000000000002</v>
      </c>
      <c r="CB662" s="121">
        <v>55.358499999999999</v>
      </c>
      <c r="CC662" s="121">
        <v>56.73</v>
      </c>
      <c r="CD662" s="121">
        <v>58.090499999999999</v>
      </c>
      <c r="CE662" s="121">
        <v>59.451000000000001</v>
      </c>
      <c r="CF662" s="121">
        <v>60.823</v>
      </c>
      <c r="CG662" s="121">
        <v>62.195</v>
      </c>
      <c r="CH662" s="121">
        <v>63.566000000000003</v>
      </c>
      <c r="CI662" s="121">
        <v>64.936999999999998</v>
      </c>
      <c r="CJ662" s="121">
        <v>66.308500000000009</v>
      </c>
      <c r="CK662" s="121">
        <v>67.680000000000007</v>
      </c>
      <c r="CL662" s="121">
        <v>68.923000000000002</v>
      </c>
      <c r="CM662" s="121">
        <v>70.165999999999997</v>
      </c>
      <c r="CN662" s="121">
        <v>71.537999999999997</v>
      </c>
      <c r="CO662" s="121">
        <v>72.91</v>
      </c>
      <c r="CP662" s="121">
        <v>74.270499999999998</v>
      </c>
      <c r="CQ662" s="121">
        <v>75.631</v>
      </c>
      <c r="CR662" s="160">
        <v>76.875</v>
      </c>
      <c r="CS662" s="160">
        <v>78.119</v>
      </c>
      <c r="CT662" s="121">
        <f t="array" ref="CT662:CT674">TRANSPOSE(CU661:DG661)</f>
        <v>79.489499999999992</v>
      </c>
      <c r="CU662" s="158">
        <v>80.86</v>
      </c>
      <c r="CV662" s="121">
        <f>CW661</f>
        <v>82.2</v>
      </c>
      <c r="CW662" s="158">
        <v>83.603999999999999</v>
      </c>
      <c r="CX662" s="121">
        <f>CY661</f>
        <v>84.632000000000005</v>
      </c>
      <c r="CY662" s="158">
        <v>86.09</v>
      </c>
      <c r="CZ662" s="121">
        <f>DA661</f>
        <v>87.33250000000001</v>
      </c>
      <c r="DA662" s="158">
        <v>88.834000000000003</v>
      </c>
      <c r="DB662" s="121">
        <f>DC661</f>
        <v>89.787000000000006</v>
      </c>
      <c r="DC662" s="158">
        <v>91.32</v>
      </c>
      <c r="DD662" s="121">
        <f>DE661</f>
        <v>92.337500000000006</v>
      </c>
      <c r="DE662" s="158">
        <v>93.786000000000001</v>
      </c>
      <c r="DF662" s="121">
        <f>DG661</f>
        <v>94.909500000000008</v>
      </c>
      <c r="DG662" s="159">
        <v>96.528999999999996</v>
      </c>
    </row>
    <row r="663" spans="54:111" ht="15" customHeight="1" x14ac:dyDescent="0.2">
      <c r="BB663" s="28">
        <v>49</v>
      </c>
      <c r="BC663" s="121">
        <v>17.681999999999999</v>
      </c>
      <c r="BD663" s="121">
        <v>19.516999999999999</v>
      </c>
      <c r="BE663" s="121">
        <v>21.352</v>
      </c>
      <c r="BF663" s="121">
        <v>23.08625</v>
      </c>
      <c r="BG663" s="121">
        <v>24.820500000000003</v>
      </c>
      <c r="BH663" s="121">
        <v>26.474499999999999</v>
      </c>
      <c r="BI663" s="121">
        <v>28.128499999999999</v>
      </c>
      <c r="BJ663" s="121">
        <v>29.707999999999998</v>
      </c>
      <c r="BK663" s="121">
        <v>31.287500000000001</v>
      </c>
      <c r="BL663" s="121">
        <v>32.834499999999998</v>
      </c>
      <c r="BM663" s="121">
        <v>34.381500000000003</v>
      </c>
      <c r="BN663" s="121">
        <v>35.94</v>
      </c>
      <c r="BO663" s="121">
        <v>37.4985</v>
      </c>
      <c r="BP663" s="121">
        <v>38.949749999999995</v>
      </c>
      <c r="BQ663" s="121">
        <v>40.400999999999996</v>
      </c>
      <c r="BR663" s="121">
        <v>41.879249999999999</v>
      </c>
      <c r="BS663" s="121">
        <v>43.357500000000002</v>
      </c>
      <c r="BT663" s="121">
        <v>44.820250000000001</v>
      </c>
      <c r="BU663" s="121">
        <v>46.283000000000001</v>
      </c>
      <c r="BV663" s="121">
        <v>47.701999999999998</v>
      </c>
      <c r="BW663" s="121">
        <v>49.120999999999995</v>
      </c>
      <c r="BX663" s="121">
        <v>50.572499999999998</v>
      </c>
      <c r="BY663" s="121">
        <v>52.024000000000001</v>
      </c>
      <c r="BZ663" s="121">
        <v>53.422499999999999</v>
      </c>
      <c r="CA663" s="121">
        <v>54.820999999999998</v>
      </c>
      <c r="CB663" s="121">
        <v>56.240499999999997</v>
      </c>
      <c r="CC663" s="121">
        <v>57.66</v>
      </c>
      <c r="CD663" s="121">
        <v>59.042000000000002</v>
      </c>
      <c r="CE663" s="121">
        <v>60.423999999999999</v>
      </c>
      <c r="CF663" s="121">
        <v>61.822749999999999</v>
      </c>
      <c r="CG663" s="121">
        <v>63.221500000000006</v>
      </c>
      <c r="CH663" s="121">
        <v>64.576999999999998</v>
      </c>
      <c r="CI663" s="121">
        <v>65.932500000000005</v>
      </c>
      <c r="CJ663" s="121">
        <v>67.320000000000007</v>
      </c>
      <c r="CK663" s="121">
        <v>68.70750000000001</v>
      </c>
      <c r="CL663" s="121">
        <v>70.041750000000008</v>
      </c>
      <c r="CM663" s="121">
        <v>71.376000000000005</v>
      </c>
      <c r="CN663" s="121">
        <v>72.763749999999987</v>
      </c>
      <c r="CO663" s="121">
        <v>74.151499999999999</v>
      </c>
      <c r="CP663" s="121">
        <v>75.469750000000005</v>
      </c>
      <c r="CQ663" s="121">
        <v>76.668999999999997</v>
      </c>
      <c r="CR663" s="160">
        <v>78.122749999999996</v>
      </c>
      <c r="CS663" s="160">
        <v>79.370499999999993</v>
      </c>
      <c r="CT663" s="160">
        <v>80.844750000000005</v>
      </c>
      <c r="CU663" s="160">
        <f t="array" ref="CU663:CU674">TRANSPOSE(CV662:DG662)</f>
        <v>82.2</v>
      </c>
      <c r="CV663" s="120">
        <f>(CU663+CW663)/2</f>
        <v>83.539749999999998</v>
      </c>
      <c r="CW663" s="120">
        <f>(CW662+CW664)/2</f>
        <v>84.879500000000007</v>
      </c>
      <c r="CX663" s="120">
        <f>(CW663+CY663)/2</f>
        <v>86.213999999999999</v>
      </c>
      <c r="CY663" s="120">
        <f>(CY662+CY664)/2</f>
        <v>87.548500000000004</v>
      </c>
      <c r="CZ663" s="120">
        <f>(CY663+DA663)/2</f>
        <v>88.872250000000008</v>
      </c>
      <c r="DA663" s="120">
        <f>(DA662+DA664)/2</f>
        <v>90.195999999999998</v>
      </c>
      <c r="DB663" s="120">
        <f>(DA663+DC663)/2</f>
        <v>91.51925</v>
      </c>
      <c r="DC663" s="120">
        <f>(DC662+DC664)/2</f>
        <v>92.842500000000001</v>
      </c>
      <c r="DD663" s="120">
        <f>(DC663+DE663)/2</f>
        <v>94.108000000000004</v>
      </c>
      <c r="DE663" s="120">
        <f>(DE662+DE664)/2</f>
        <v>95.373500000000007</v>
      </c>
      <c r="DF663" s="120">
        <f>(DE663+DG663)/2</f>
        <v>96.760750000000002</v>
      </c>
      <c r="DG663" s="122">
        <f>(DG662+DG664)/2</f>
        <v>98.147999999999996</v>
      </c>
    </row>
    <row r="664" spans="54:111" ht="15" customHeight="1" x14ac:dyDescent="0.2">
      <c r="BB664" s="28">
        <v>50</v>
      </c>
      <c r="BC664" s="121">
        <v>17.954999999999998</v>
      </c>
      <c r="BD664" s="121">
        <v>19.8065</v>
      </c>
      <c r="BE664" s="121">
        <v>21.658000000000001</v>
      </c>
      <c r="BF664" s="121">
        <v>23.445500000000003</v>
      </c>
      <c r="BG664" s="121">
        <v>25.233000000000001</v>
      </c>
      <c r="BH664" s="121">
        <v>26.914000000000001</v>
      </c>
      <c r="BI664" s="121">
        <v>28.594999999999999</v>
      </c>
      <c r="BJ664" s="121">
        <v>30.1905</v>
      </c>
      <c r="BK664" s="121">
        <v>31.786000000000001</v>
      </c>
      <c r="BL664" s="121">
        <v>33.317499999999995</v>
      </c>
      <c r="BM664" s="121">
        <v>34.848999999999997</v>
      </c>
      <c r="BN664" s="121">
        <v>36.466999999999999</v>
      </c>
      <c r="BO664" s="121">
        <v>38.085000000000001</v>
      </c>
      <c r="BP664" s="121">
        <v>39.552</v>
      </c>
      <c r="BQ664" s="121">
        <v>41.018999999999998</v>
      </c>
      <c r="BR664" s="121">
        <v>42.5505</v>
      </c>
      <c r="BS664" s="121">
        <v>44.082000000000001</v>
      </c>
      <c r="BT664" s="121">
        <v>45.572000000000003</v>
      </c>
      <c r="BU664" s="121">
        <v>47.061999999999998</v>
      </c>
      <c r="BV664" s="121">
        <v>48.465499999999999</v>
      </c>
      <c r="BW664" s="121">
        <v>49.869</v>
      </c>
      <c r="BX664" s="121">
        <v>51.335999999999999</v>
      </c>
      <c r="BY664" s="121">
        <v>52.802999999999997</v>
      </c>
      <c r="BZ664" s="121">
        <v>54.228999999999999</v>
      </c>
      <c r="CA664" s="121">
        <v>55.655000000000001</v>
      </c>
      <c r="CB664" s="121">
        <v>57.122500000000002</v>
      </c>
      <c r="CC664" s="121">
        <v>58.59</v>
      </c>
      <c r="CD664" s="121">
        <v>59.993499999999997</v>
      </c>
      <c r="CE664" s="121">
        <v>61.396999999999998</v>
      </c>
      <c r="CF664" s="121">
        <v>62.822500000000005</v>
      </c>
      <c r="CG664" s="121">
        <v>64.248000000000005</v>
      </c>
      <c r="CH664" s="121">
        <v>65.587999999999994</v>
      </c>
      <c r="CI664" s="121">
        <v>66.927999999999997</v>
      </c>
      <c r="CJ664" s="121">
        <v>68.331500000000005</v>
      </c>
      <c r="CK664" s="121">
        <v>69.734999999999999</v>
      </c>
      <c r="CL664" s="121">
        <v>71.160499999999999</v>
      </c>
      <c r="CM664" s="121">
        <v>72.585999999999999</v>
      </c>
      <c r="CN664" s="121">
        <v>73.989499999999992</v>
      </c>
      <c r="CO664" s="121">
        <v>75.393000000000001</v>
      </c>
      <c r="CP664" s="121">
        <v>76.668999999999997</v>
      </c>
      <c r="CQ664" s="121">
        <v>77.944999999999993</v>
      </c>
      <c r="CR664" s="160">
        <v>79.370499999999993</v>
      </c>
      <c r="CS664" s="160">
        <v>80.796000000000006</v>
      </c>
      <c r="CT664" s="160">
        <v>82.2</v>
      </c>
      <c r="CU664" s="160">
        <v>83.603999999999999</v>
      </c>
      <c r="CV664" s="121">
        <f t="array" ref="CV664:CV674">TRANSPOSE(CW663:DG663)</f>
        <v>84.879500000000007</v>
      </c>
      <c r="CW664" s="158">
        <v>86.155000000000001</v>
      </c>
      <c r="CX664" s="121">
        <f>CY663</f>
        <v>87.548500000000004</v>
      </c>
      <c r="CY664" s="158">
        <v>89.007000000000005</v>
      </c>
      <c r="CZ664" s="121">
        <f>DA663</f>
        <v>90.195999999999998</v>
      </c>
      <c r="DA664" s="158">
        <v>91.558000000000007</v>
      </c>
      <c r="DB664" s="121">
        <f>DC663</f>
        <v>92.842500000000001</v>
      </c>
      <c r="DC664" s="158">
        <v>94.364999999999995</v>
      </c>
      <c r="DD664" s="121">
        <f>DE663</f>
        <v>95.373500000000007</v>
      </c>
      <c r="DE664" s="158">
        <v>96.960999999999999</v>
      </c>
      <c r="DF664" s="121">
        <f>DG663</f>
        <v>98.147999999999996</v>
      </c>
      <c r="DG664" s="159">
        <v>99.766999999999996</v>
      </c>
    </row>
    <row r="665" spans="54:111" ht="15" customHeight="1" x14ac:dyDescent="0.2">
      <c r="BB665" s="28">
        <v>51</v>
      </c>
      <c r="BC665" s="121">
        <v>18.207000000000001</v>
      </c>
      <c r="BD665" s="121">
        <v>20.1175</v>
      </c>
      <c r="BE665" s="121">
        <v>22.027999999999999</v>
      </c>
      <c r="BF665" s="121">
        <v>23.815750000000001</v>
      </c>
      <c r="BG665" s="121">
        <v>25.6035</v>
      </c>
      <c r="BH665" s="121">
        <v>27.289750000000002</v>
      </c>
      <c r="BI665" s="121">
        <v>28.975999999999999</v>
      </c>
      <c r="BJ665" s="121">
        <v>30.630499999999998</v>
      </c>
      <c r="BK665" s="121">
        <v>32.284999999999997</v>
      </c>
      <c r="BL665" s="121">
        <v>33.84375</v>
      </c>
      <c r="BM665" s="121">
        <v>35.402500000000003</v>
      </c>
      <c r="BN665" s="121">
        <v>36.993499999999997</v>
      </c>
      <c r="BO665" s="121">
        <v>38.584500000000006</v>
      </c>
      <c r="BP665" s="121">
        <v>40.110749999999996</v>
      </c>
      <c r="BQ665" s="121">
        <v>41.637</v>
      </c>
      <c r="BR665" s="121">
        <v>43.200749999999999</v>
      </c>
      <c r="BS665" s="121">
        <v>44.764499999999998</v>
      </c>
      <c r="BT665" s="121">
        <v>46.259500000000003</v>
      </c>
      <c r="BU665" s="121">
        <v>47.7545</v>
      </c>
      <c r="BV665" s="121">
        <v>49.21725</v>
      </c>
      <c r="BW665" s="121">
        <v>50.68</v>
      </c>
      <c r="BX665" s="121">
        <v>52.142499999999998</v>
      </c>
      <c r="BY665" s="121">
        <v>53.604999999999997</v>
      </c>
      <c r="BZ665" s="121">
        <v>55.067749999999997</v>
      </c>
      <c r="CA665" s="121">
        <v>56.530500000000004</v>
      </c>
      <c r="CB665" s="121">
        <v>57.993250000000003</v>
      </c>
      <c r="CC665" s="121">
        <v>59.456000000000003</v>
      </c>
      <c r="CD665" s="121">
        <v>60.891750000000002</v>
      </c>
      <c r="CE665" s="121">
        <v>62.327500000000001</v>
      </c>
      <c r="CF665" s="121">
        <v>63.758500000000005</v>
      </c>
      <c r="CG665" s="121">
        <v>65.18950000000001</v>
      </c>
      <c r="CH665" s="121">
        <v>66.620249999999999</v>
      </c>
      <c r="CI665" s="121">
        <v>68.051000000000002</v>
      </c>
      <c r="CJ665" s="121">
        <v>69.418000000000006</v>
      </c>
      <c r="CK665" s="121">
        <v>70.784999999999997</v>
      </c>
      <c r="CL665" s="121">
        <v>72.215249999999997</v>
      </c>
      <c r="CM665" s="121">
        <v>73.645499999999998</v>
      </c>
      <c r="CN665" s="121">
        <v>75.076499999999996</v>
      </c>
      <c r="CO665" s="121">
        <v>76.507499999999993</v>
      </c>
      <c r="CP665" s="121">
        <v>77.879500000000007</v>
      </c>
      <c r="CQ665" s="121">
        <v>79.09</v>
      </c>
      <c r="CR665" s="160">
        <v>80.618250000000003</v>
      </c>
      <c r="CS665" s="160">
        <v>81.866000000000014</v>
      </c>
      <c r="CT665" s="160">
        <v>83.415999999999997</v>
      </c>
      <c r="CU665" s="160">
        <v>84.632000000000005</v>
      </c>
      <c r="CV665" s="160">
        <v>86.213999999999999</v>
      </c>
      <c r="CW665" s="160">
        <f t="array" ref="CW665:CW674">TRANSPOSE(CX664:DG664)</f>
        <v>87.548500000000004</v>
      </c>
      <c r="CX665" s="120">
        <f>(CW665+CY665)/2</f>
        <v>88.9315</v>
      </c>
      <c r="CY665" s="120">
        <f>(CY664+CY666)/2</f>
        <v>90.31450000000001</v>
      </c>
      <c r="CZ665" s="120">
        <f>(CY665+DA665)/2</f>
        <v>91.681250000000006</v>
      </c>
      <c r="DA665" s="120">
        <f>(DA664+DA666)/2</f>
        <v>93.048000000000002</v>
      </c>
      <c r="DB665" s="120">
        <f>(DA665+DC665)/2</f>
        <v>94.414999999999992</v>
      </c>
      <c r="DC665" s="120">
        <f>(DC664+DC666)/2</f>
        <v>95.781999999999996</v>
      </c>
      <c r="DD665" s="120">
        <f>(DC665+DE665)/2</f>
        <v>97.153750000000002</v>
      </c>
      <c r="DE665" s="120">
        <f>(DE664+DE666)/2</f>
        <v>98.525499999999994</v>
      </c>
      <c r="DF665" s="120">
        <f>(DE665+DG665)/2</f>
        <v>99.89224999999999</v>
      </c>
      <c r="DG665" s="122">
        <f>(DG664+DG666)/2</f>
        <v>101.259</v>
      </c>
    </row>
    <row r="666" spans="54:111" ht="15" customHeight="1" x14ac:dyDescent="0.2">
      <c r="BB666" s="28">
        <v>52</v>
      </c>
      <c r="BC666" s="121">
        <v>18.459</v>
      </c>
      <c r="BD666" s="121">
        <v>20.4285</v>
      </c>
      <c r="BE666" s="121">
        <v>22.398</v>
      </c>
      <c r="BF666" s="121">
        <v>24.186</v>
      </c>
      <c r="BG666" s="121">
        <v>25.974</v>
      </c>
      <c r="BH666" s="121">
        <v>27.665500000000002</v>
      </c>
      <c r="BI666" s="121">
        <v>29.356999999999999</v>
      </c>
      <c r="BJ666" s="121">
        <v>31.070499999999999</v>
      </c>
      <c r="BK666" s="121">
        <v>32.783999999999999</v>
      </c>
      <c r="BL666" s="121">
        <v>34.370000000000005</v>
      </c>
      <c r="BM666" s="121">
        <v>35.956000000000003</v>
      </c>
      <c r="BN666" s="121">
        <v>37.520000000000003</v>
      </c>
      <c r="BO666" s="121">
        <v>39.084000000000003</v>
      </c>
      <c r="BP666" s="121">
        <v>40.669499999999999</v>
      </c>
      <c r="BQ666" s="121">
        <v>42.255000000000003</v>
      </c>
      <c r="BR666" s="121">
        <v>43.850999999999999</v>
      </c>
      <c r="BS666" s="121">
        <v>45.447000000000003</v>
      </c>
      <c r="BT666" s="121">
        <v>46.947000000000003</v>
      </c>
      <c r="BU666" s="121">
        <v>48.447000000000003</v>
      </c>
      <c r="BV666" s="121">
        <v>49.969000000000001</v>
      </c>
      <c r="BW666" s="121">
        <v>51.491</v>
      </c>
      <c r="BX666" s="121">
        <v>52.948999999999998</v>
      </c>
      <c r="BY666" s="121">
        <v>54.406999999999996</v>
      </c>
      <c r="BZ666" s="121">
        <v>55.906499999999994</v>
      </c>
      <c r="CA666" s="121">
        <v>57.405999999999999</v>
      </c>
      <c r="CB666" s="121">
        <v>58.864000000000004</v>
      </c>
      <c r="CC666" s="121">
        <v>60.322000000000003</v>
      </c>
      <c r="CD666" s="121">
        <v>61.790000000000006</v>
      </c>
      <c r="CE666" s="121">
        <v>63.258000000000003</v>
      </c>
      <c r="CF666" s="121">
        <v>64.694500000000005</v>
      </c>
      <c r="CG666" s="121">
        <v>66.131</v>
      </c>
      <c r="CH666" s="121">
        <v>67.652500000000003</v>
      </c>
      <c r="CI666" s="121">
        <v>69.174000000000007</v>
      </c>
      <c r="CJ666" s="121">
        <v>70.504500000000007</v>
      </c>
      <c r="CK666" s="121">
        <v>71.834999999999994</v>
      </c>
      <c r="CL666" s="121">
        <v>73.27</v>
      </c>
      <c r="CM666" s="121">
        <v>74.704999999999998</v>
      </c>
      <c r="CN666" s="121">
        <v>76.163499999999999</v>
      </c>
      <c r="CO666" s="121">
        <v>77.622</v>
      </c>
      <c r="CP666" s="121">
        <v>79.09</v>
      </c>
      <c r="CQ666" s="121">
        <v>80.558000000000007</v>
      </c>
      <c r="CR666" s="160">
        <v>81.866000000000014</v>
      </c>
      <c r="CS666" s="160">
        <v>83.174000000000007</v>
      </c>
      <c r="CT666" s="160">
        <v>84.632000000000005</v>
      </c>
      <c r="CU666" s="160">
        <v>86.09</v>
      </c>
      <c r="CV666" s="160">
        <v>87.548500000000004</v>
      </c>
      <c r="CW666" s="160">
        <v>89.007000000000005</v>
      </c>
      <c r="CX666" s="121">
        <f t="array" ref="CX666:CX674">TRANSPOSE(CY665:DG665)</f>
        <v>90.31450000000001</v>
      </c>
      <c r="CY666" s="158">
        <v>91.622</v>
      </c>
      <c r="CZ666" s="121">
        <f>DA665</f>
        <v>93.048000000000002</v>
      </c>
      <c r="DA666" s="158">
        <v>94.537999999999997</v>
      </c>
      <c r="DB666" s="121">
        <f>DC665</f>
        <v>95.781999999999996</v>
      </c>
      <c r="DC666" s="158">
        <v>97.198999999999998</v>
      </c>
      <c r="DD666" s="121">
        <f>DE665</f>
        <v>98.525499999999994</v>
      </c>
      <c r="DE666" s="158">
        <v>100.09</v>
      </c>
      <c r="DF666" s="121">
        <f>DG665</f>
        <v>101.259</v>
      </c>
      <c r="DG666" s="159">
        <v>102.751</v>
      </c>
    </row>
    <row r="667" spans="54:111" ht="15" customHeight="1" x14ac:dyDescent="0.2">
      <c r="BB667" s="28">
        <v>53</v>
      </c>
      <c r="BC667" s="121">
        <v>18.743000000000002</v>
      </c>
      <c r="BD667" s="121">
        <v>20.801000000000002</v>
      </c>
      <c r="BE667" s="121">
        <v>22.859000000000002</v>
      </c>
      <c r="BF667" s="121">
        <v>24.585750000000001</v>
      </c>
      <c r="BG667" s="121">
        <v>26.3125</v>
      </c>
      <c r="BH667" s="121">
        <v>28.068249999999999</v>
      </c>
      <c r="BI667" s="121">
        <v>29.823999999999998</v>
      </c>
      <c r="BJ667" s="121">
        <v>31.521749999999997</v>
      </c>
      <c r="BK667" s="121">
        <v>33.219499999999996</v>
      </c>
      <c r="BL667" s="121">
        <v>34.853500000000004</v>
      </c>
      <c r="BM667" s="121">
        <v>36.487499999999997</v>
      </c>
      <c r="BN667" s="121">
        <v>38.083750000000002</v>
      </c>
      <c r="BO667" s="121">
        <v>39.680000000000007</v>
      </c>
      <c r="BP667" s="121">
        <v>41.281750000000002</v>
      </c>
      <c r="BQ667" s="121">
        <v>42.883499999999998</v>
      </c>
      <c r="BR667" s="121">
        <v>44.490499999999997</v>
      </c>
      <c r="BS667" s="121">
        <v>46.097499999999997</v>
      </c>
      <c r="BT667" s="121">
        <v>47.6295</v>
      </c>
      <c r="BU667" s="121">
        <v>49.161500000000004</v>
      </c>
      <c r="BV667" s="121">
        <v>50.699749999999995</v>
      </c>
      <c r="BW667" s="121">
        <v>52.238</v>
      </c>
      <c r="BX667" s="121">
        <v>53.744250000000001</v>
      </c>
      <c r="BY667" s="121">
        <v>55.250500000000002</v>
      </c>
      <c r="BZ667" s="121">
        <v>56.745249999999999</v>
      </c>
      <c r="CA667" s="121">
        <v>58.239999999999995</v>
      </c>
      <c r="CB667" s="121">
        <v>59.719250000000002</v>
      </c>
      <c r="CC667" s="121">
        <v>61.198500000000003</v>
      </c>
      <c r="CD667" s="121">
        <v>62.70975</v>
      </c>
      <c r="CE667" s="121">
        <v>64.221000000000004</v>
      </c>
      <c r="CF667" s="121">
        <v>65.684250000000006</v>
      </c>
      <c r="CG667" s="121">
        <v>67.147500000000008</v>
      </c>
      <c r="CH667" s="121">
        <v>68.658500000000004</v>
      </c>
      <c r="CI667" s="121">
        <v>70.169499999999999</v>
      </c>
      <c r="CJ667" s="121">
        <v>71.579750000000004</v>
      </c>
      <c r="CK667" s="121">
        <v>72.989999999999995</v>
      </c>
      <c r="CL667" s="121">
        <v>74.452750000000009</v>
      </c>
      <c r="CM667" s="121">
        <v>75.915500000000009</v>
      </c>
      <c r="CN667" s="121">
        <v>77.331249999999997</v>
      </c>
      <c r="CO667" s="121">
        <v>78.747</v>
      </c>
      <c r="CP667" s="121">
        <v>80.225750000000005</v>
      </c>
      <c r="CQ667" s="121">
        <v>81.361500000000007</v>
      </c>
      <c r="CR667" s="160">
        <v>83.103500000000011</v>
      </c>
      <c r="CS667" s="160">
        <v>84.341000000000008</v>
      </c>
      <c r="CT667" s="160">
        <v>85.982250000000008</v>
      </c>
      <c r="CU667" s="160">
        <v>87.33250000000001</v>
      </c>
      <c r="CV667" s="160">
        <v>88.872250000000008</v>
      </c>
      <c r="CW667" s="160">
        <v>90.195999999999998</v>
      </c>
      <c r="CX667" s="160">
        <v>91.681250000000006</v>
      </c>
      <c r="CY667" s="160">
        <f t="array" ref="CY667:CY674">TRANSPOSE(CZ666:DG666)</f>
        <v>93.048000000000002</v>
      </c>
      <c r="CZ667" s="120">
        <f>(CY667+DA667)/2</f>
        <v>94.479250000000008</v>
      </c>
      <c r="DA667" s="120">
        <f>(DA666+DA668)/2</f>
        <v>95.910499999999999</v>
      </c>
      <c r="DB667" s="120">
        <f>(DA667+DC667)/2</f>
        <v>97.288999999999987</v>
      </c>
      <c r="DC667" s="120">
        <f>(DC666+DC668)/2</f>
        <v>98.66749999999999</v>
      </c>
      <c r="DD667" s="120">
        <f>(DC667+DE667)/2</f>
        <v>100.1035</v>
      </c>
      <c r="DE667" s="120">
        <f>(DE666+DE668)/2</f>
        <v>101.5395</v>
      </c>
      <c r="DF667" s="120">
        <f>(DE667+DG667)/2</f>
        <v>102.923</v>
      </c>
      <c r="DG667" s="122">
        <f>(DG666+DG668)/2</f>
        <v>104.3065</v>
      </c>
    </row>
    <row r="668" spans="54:111" ht="15" customHeight="1" x14ac:dyDescent="0.2">
      <c r="BB668" s="28">
        <v>54</v>
      </c>
      <c r="BC668" s="121">
        <v>19.027000000000001</v>
      </c>
      <c r="BD668" s="121">
        <v>21.173500000000001</v>
      </c>
      <c r="BE668" s="121">
        <v>23.32</v>
      </c>
      <c r="BF668" s="121">
        <v>24.985500000000002</v>
      </c>
      <c r="BG668" s="121">
        <v>26.651</v>
      </c>
      <c r="BH668" s="121">
        <v>28.471</v>
      </c>
      <c r="BI668" s="121">
        <v>30.291</v>
      </c>
      <c r="BJ668" s="121">
        <v>31.972999999999999</v>
      </c>
      <c r="BK668" s="121">
        <v>33.655000000000001</v>
      </c>
      <c r="BL668" s="121">
        <v>35.337000000000003</v>
      </c>
      <c r="BM668" s="121">
        <v>37.018999999999998</v>
      </c>
      <c r="BN668" s="121">
        <v>38.647500000000001</v>
      </c>
      <c r="BO668" s="121">
        <v>40.276000000000003</v>
      </c>
      <c r="BP668" s="121">
        <v>41.894000000000005</v>
      </c>
      <c r="BQ668" s="121">
        <v>43.512</v>
      </c>
      <c r="BR668" s="121">
        <v>45.129999999999995</v>
      </c>
      <c r="BS668" s="121">
        <v>46.747999999999998</v>
      </c>
      <c r="BT668" s="121">
        <v>48.311999999999998</v>
      </c>
      <c r="BU668" s="121">
        <v>49.875999999999998</v>
      </c>
      <c r="BV668" s="121">
        <v>51.430499999999995</v>
      </c>
      <c r="BW668" s="121">
        <v>52.984999999999999</v>
      </c>
      <c r="BX668" s="121">
        <v>54.539500000000004</v>
      </c>
      <c r="BY668" s="121">
        <v>56.094000000000001</v>
      </c>
      <c r="BZ668" s="121">
        <v>57.584000000000003</v>
      </c>
      <c r="CA668" s="121">
        <v>59.073999999999998</v>
      </c>
      <c r="CB668" s="121">
        <v>60.5745</v>
      </c>
      <c r="CC668" s="121">
        <v>62.075000000000003</v>
      </c>
      <c r="CD668" s="121">
        <v>63.6295</v>
      </c>
      <c r="CE668" s="121">
        <v>65.183999999999997</v>
      </c>
      <c r="CF668" s="121">
        <v>66.674000000000007</v>
      </c>
      <c r="CG668" s="121">
        <v>68.164000000000001</v>
      </c>
      <c r="CH668" s="121">
        <v>69.664500000000004</v>
      </c>
      <c r="CI668" s="121">
        <v>71.165000000000006</v>
      </c>
      <c r="CJ668" s="121">
        <v>72.655000000000001</v>
      </c>
      <c r="CK668" s="121">
        <v>74.144999999999996</v>
      </c>
      <c r="CL668" s="121">
        <v>75.635500000000008</v>
      </c>
      <c r="CM668" s="121">
        <v>77.126000000000005</v>
      </c>
      <c r="CN668" s="121">
        <v>78.498999999999995</v>
      </c>
      <c r="CO668" s="121">
        <v>79.872</v>
      </c>
      <c r="CP668" s="121">
        <v>81.361500000000007</v>
      </c>
      <c r="CQ668" s="121">
        <v>82.850999999999999</v>
      </c>
      <c r="CR668" s="160">
        <v>84.341000000000008</v>
      </c>
      <c r="CS668" s="160">
        <v>85.831000000000003</v>
      </c>
      <c r="CT668" s="160">
        <v>87.33250000000001</v>
      </c>
      <c r="CU668" s="160">
        <v>88.834000000000003</v>
      </c>
      <c r="CV668" s="160">
        <v>90.195999999999998</v>
      </c>
      <c r="CW668" s="160">
        <v>91.558000000000007</v>
      </c>
      <c r="CX668" s="160">
        <v>93.048000000000002</v>
      </c>
      <c r="CY668" s="160">
        <v>94.537999999999997</v>
      </c>
      <c r="CZ668" s="121">
        <f t="array" ref="CZ668:CZ674">TRANSPOSE(DA667:DG667)</f>
        <v>95.910499999999999</v>
      </c>
      <c r="DA668" s="158">
        <v>97.283000000000001</v>
      </c>
      <c r="DB668" s="121">
        <f>DC667</f>
        <v>98.66749999999999</v>
      </c>
      <c r="DC668" s="158">
        <v>100.136</v>
      </c>
      <c r="DD668" s="121">
        <f>DE667</f>
        <v>101.5395</v>
      </c>
      <c r="DE668" s="158">
        <v>102.989</v>
      </c>
      <c r="DF668" s="121">
        <f>DG667</f>
        <v>104.3065</v>
      </c>
      <c r="DG668" s="159">
        <v>105.86199999999999</v>
      </c>
    </row>
    <row r="669" spans="54:111" ht="15" customHeight="1" x14ac:dyDescent="0.2">
      <c r="BB669" s="28">
        <v>55</v>
      </c>
      <c r="BC669" s="121">
        <v>19.301000000000002</v>
      </c>
      <c r="BD669" s="121">
        <v>21.391249999999999</v>
      </c>
      <c r="BE669" s="121">
        <v>23.4815</v>
      </c>
      <c r="BF669" s="121">
        <v>25.272500000000001</v>
      </c>
      <c r="BG669" s="121">
        <v>27.063499999999998</v>
      </c>
      <c r="BH669" s="121">
        <v>28.8735</v>
      </c>
      <c r="BI669" s="121">
        <v>30.683500000000002</v>
      </c>
      <c r="BJ669" s="121">
        <v>32.418750000000003</v>
      </c>
      <c r="BK669" s="121">
        <v>34.153999999999996</v>
      </c>
      <c r="BL669" s="121">
        <v>35.852249999999998</v>
      </c>
      <c r="BM669" s="121">
        <v>37.5505</v>
      </c>
      <c r="BN669" s="121">
        <v>39.206000000000003</v>
      </c>
      <c r="BO669" s="121">
        <v>40.861500000000007</v>
      </c>
      <c r="BP669" s="121">
        <v>42.495750000000001</v>
      </c>
      <c r="BQ669" s="121">
        <v>44.129999999999995</v>
      </c>
      <c r="BR669" s="121">
        <v>45.768999999999998</v>
      </c>
      <c r="BS669" s="121">
        <v>47.408000000000001</v>
      </c>
      <c r="BT669" s="121">
        <v>48.994500000000002</v>
      </c>
      <c r="BU669" s="121">
        <v>50.581000000000003</v>
      </c>
      <c r="BV669" s="121">
        <v>52.156749999999995</v>
      </c>
      <c r="BW669" s="121">
        <v>53.732500000000002</v>
      </c>
      <c r="BX669" s="121">
        <v>55.302750000000003</v>
      </c>
      <c r="BY669" s="121">
        <v>56.873000000000005</v>
      </c>
      <c r="BZ669" s="121">
        <v>58.39575</v>
      </c>
      <c r="CA669" s="121">
        <v>59.918499999999995</v>
      </c>
      <c r="CB669" s="121">
        <v>61.461750000000002</v>
      </c>
      <c r="CC669" s="121">
        <v>63.005000000000003</v>
      </c>
      <c r="CD669" s="121">
        <v>64.548749999999998</v>
      </c>
      <c r="CE669" s="121">
        <v>66.092500000000001</v>
      </c>
      <c r="CF669" s="121">
        <v>67.609750000000005</v>
      </c>
      <c r="CG669" s="121">
        <v>69.12700000000001</v>
      </c>
      <c r="CH669" s="121">
        <v>70.643750000000011</v>
      </c>
      <c r="CI669" s="121">
        <v>72.160500000000013</v>
      </c>
      <c r="CJ669" s="121">
        <v>73.666750000000008</v>
      </c>
      <c r="CK669" s="121">
        <v>75.173000000000002</v>
      </c>
      <c r="CL669" s="121">
        <v>76.695750000000004</v>
      </c>
      <c r="CM669" s="121">
        <v>78.218500000000006</v>
      </c>
      <c r="CN669" s="121">
        <v>79.666249999999991</v>
      </c>
      <c r="CO669" s="121">
        <v>81.114000000000004</v>
      </c>
      <c r="CP669" s="121">
        <v>82.624750000000006</v>
      </c>
      <c r="CQ669" s="121">
        <v>83.888000000000005</v>
      </c>
      <c r="CR669" s="160">
        <v>85.588999999999999</v>
      </c>
      <c r="CS669" s="160">
        <v>86.837000000000003</v>
      </c>
      <c r="CT669" s="160">
        <v>88.559750000000008</v>
      </c>
      <c r="CU669" s="160">
        <v>89.787000000000006</v>
      </c>
      <c r="CV669" s="160">
        <v>91.51925</v>
      </c>
      <c r="CW669" s="160">
        <v>92.842500000000001</v>
      </c>
      <c r="CX669" s="160">
        <v>94.414999999999992</v>
      </c>
      <c r="CY669" s="160">
        <v>95.781999999999996</v>
      </c>
      <c r="CZ669" s="160">
        <v>97.288999999999987</v>
      </c>
      <c r="DA669" s="160">
        <f t="array" ref="DA669:DA674">TRANSPOSE(DB668:DG668)</f>
        <v>98.66749999999999</v>
      </c>
      <c r="DB669" s="120">
        <f>(DA669+DC669)/2</f>
        <v>100.131</v>
      </c>
      <c r="DC669" s="120">
        <f>(DC668+DC670)/2</f>
        <v>101.5945</v>
      </c>
      <c r="DD669" s="120">
        <f>(DC669+DE669)/2</f>
        <v>103.05324999999999</v>
      </c>
      <c r="DE669" s="120">
        <f>(DE668+DE670)/2</f>
        <v>104.512</v>
      </c>
      <c r="DF669" s="120">
        <f>(DE669+DG669)/2</f>
        <v>105.95949999999999</v>
      </c>
      <c r="DG669" s="122">
        <f>(DG668+DG670)/2</f>
        <v>107.407</v>
      </c>
    </row>
    <row r="670" spans="54:111" ht="15" customHeight="1" x14ac:dyDescent="0.2">
      <c r="BB670" s="28">
        <v>56</v>
      </c>
      <c r="BC670" s="121">
        <v>19.574999999999999</v>
      </c>
      <c r="BD670" s="121">
        <v>21.609000000000002</v>
      </c>
      <c r="BE670" s="121">
        <v>23.643000000000001</v>
      </c>
      <c r="BF670" s="121">
        <v>25.5595</v>
      </c>
      <c r="BG670" s="121">
        <v>27.475999999999999</v>
      </c>
      <c r="BH670" s="121">
        <v>29.276</v>
      </c>
      <c r="BI670" s="121">
        <v>31.076000000000001</v>
      </c>
      <c r="BJ670" s="121">
        <v>32.8645</v>
      </c>
      <c r="BK670" s="121">
        <v>34.652999999999999</v>
      </c>
      <c r="BL670" s="121">
        <v>36.3675</v>
      </c>
      <c r="BM670" s="121">
        <v>38.082000000000001</v>
      </c>
      <c r="BN670" s="121">
        <v>39.764499999999998</v>
      </c>
      <c r="BO670" s="121">
        <v>41.447000000000003</v>
      </c>
      <c r="BP670" s="121">
        <v>43.097499999999997</v>
      </c>
      <c r="BQ670" s="121">
        <v>44.747999999999998</v>
      </c>
      <c r="BR670" s="121">
        <v>46.408000000000001</v>
      </c>
      <c r="BS670" s="121">
        <v>48.067999999999998</v>
      </c>
      <c r="BT670" s="121">
        <v>49.677</v>
      </c>
      <c r="BU670" s="121">
        <v>51.286000000000001</v>
      </c>
      <c r="BV670" s="121">
        <v>52.882999999999996</v>
      </c>
      <c r="BW670" s="121">
        <v>54.48</v>
      </c>
      <c r="BX670" s="121">
        <v>56.066000000000003</v>
      </c>
      <c r="BY670" s="121">
        <v>57.652000000000001</v>
      </c>
      <c r="BZ670" s="121">
        <v>59.207499999999996</v>
      </c>
      <c r="CA670" s="121">
        <v>60.762999999999998</v>
      </c>
      <c r="CB670" s="121">
        <v>62.349000000000004</v>
      </c>
      <c r="CC670" s="121">
        <v>63.935000000000002</v>
      </c>
      <c r="CD670" s="121">
        <v>65.468000000000004</v>
      </c>
      <c r="CE670" s="121">
        <v>67.001000000000005</v>
      </c>
      <c r="CF670" s="121">
        <v>68.545500000000004</v>
      </c>
      <c r="CG670" s="121">
        <v>70.09</v>
      </c>
      <c r="CH670" s="121">
        <v>71.623000000000005</v>
      </c>
      <c r="CI670" s="121">
        <v>73.156000000000006</v>
      </c>
      <c r="CJ670" s="121">
        <v>74.6785</v>
      </c>
      <c r="CK670" s="121">
        <v>76.200999999999993</v>
      </c>
      <c r="CL670" s="121">
        <v>77.756</v>
      </c>
      <c r="CM670" s="121">
        <v>79.311000000000007</v>
      </c>
      <c r="CN670" s="121">
        <v>80.833500000000001</v>
      </c>
      <c r="CO670" s="121">
        <v>82.355999999999995</v>
      </c>
      <c r="CP670" s="121">
        <v>83.888000000000005</v>
      </c>
      <c r="CQ670" s="121">
        <v>85.42</v>
      </c>
      <c r="CR670" s="160">
        <v>86.837000000000003</v>
      </c>
      <c r="CS670" s="160">
        <v>88.254000000000005</v>
      </c>
      <c r="CT670" s="160">
        <v>89.787000000000006</v>
      </c>
      <c r="CU670" s="160">
        <v>91.32</v>
      </c>
      <c r="CV670" s="160">
        <v>92.842500000000001</v>
      </c>
      <c r="CW670" s="160">
        <v>94.364999999999995</v>
      </c>
      <c r="CX670" s="160">
        <v>95.781999999999996</v>
      </c>
      <c r="CY670" s="160">
        <v>97.198999999999998</v>
      </c>
      <c r="CZ670" s="160">
        <v>98.66749999999999</v>
      </c>
      <c r="DA670" s="160">
        <v>100.136</v>
      </c>
      <c r="DB670" s="121">
        <f t="array" ref="DB670:DB674">TRANSPOSE(DC669:DG669)</f>
        <v>101.5945</v>
      </c>
      <c r="DC670" s="158">
        <v>103.053</v>
      </c>
      <c r="DD670" s="121">
        <f>DE669</f>
        <v>104.512</v>
      </c>
      <c r="DE670" s="158">
        <v>106.035</v>
      </c>
      <c r="DF670" s="121">
        <f>DG669</f>
        <v>107.407</v>
      </c>
      <c r="DG670" s="159">
        <v>108.952</v>
      </c>
    </row>
    <row r="671" spans="54:111" ht="15" customHeight="1" x14ac:dyDescent="0.2">
      <c r="BB671" s="28">
        <v>57</v>
      </c>
      <c r="BC671" s="121">
        <v>19.826499999999999</v>
      </c>
      <c r="BD671" s="121">
        <v>21.892749999999999</v>
      </c>
      <c r="BE671" s="121">
        <v>23.959</v>
      </c>
      <c r="BF671" s="121">
        <v>25.902749999999997</v>
      </c>
      <c r="BG671" s="121">
        <v>27.846499999999999</v>
      </c>
      <c r="BH671" s="121">
        <v>29.683999999999997</v>
      </c>
      <c r="BI671" s="121">
        <v>31.5215</v>
      </c>
      <c r="BJ671" s="121">
        <v>33.305</v>
      </c>
      <c r="BK671" s="121">
        <v>35.088499999999996</v>
      </c>
      <c r="BL671" s="121">
        <v>36.830249999999999</v>
      </c>
      <c r="BM671" s="121">
        <v>38.572000000000003</v>
      </c>
      <c r="BN671" s="121">
        <v>40.291499999999999</v>
      </c>
      <c r="BO671" s="121">
        <v>42.011000000000003</v>
      </c>
      <c r="BP671" s="121">
        <v>43.6935</v>
      </c>
      <c r="BQ671" s="121">
        <v>45.375999999999998</v>
      </c>
      <c r="BR671" s="121">
        <v>47.058500000000002</v>
      </c>
      <c r="BS671" s="121">
        <v>48.741</v>
      </c>
      <c r="BT671" s="121">
        <v>50.360250000000001</v>
      </c>
      <c r="BU671" s="121">
        <v>51.979500000000002</v>
      </c>
      <c r="BV671" s="121">
        <v>53.603499999999997</v>
      </c>
      <c r="BW671" s="121">
        <v>55.227499999999999</v>
      </c>
      <c r="BX671" s="121">
        <v>56.84075</v>
      </c>
      <c r="BY671" s="121">
        <v>58.454000000000001</v>
      </c>
      <c r="BZ671" s="121">
        <v>60.046250000000001</v>
      </c>
      <c r="CA671" s="121">
        <v>61.638500000000001</v>
      </c>
      <c r="CB671" s="121">
        <v>63.225000000000001</v>
      </c>
      <c r="CC671" s="121">
        <v>64.811499999999995</v>
      </c>
      <c r="CD671" s="121">
        <v>66.366250000000008</v>
      </c>
      <c r="CE671" s="121">
        <v>67.920999999999992</v>
      </c>
      <c r="CF671" s="121">
        <v>69.508250000000004</v>
      </c>
      <c r="CG671" s="121">
        <v>71.095500000000001</v>
      </c>
      <c r="CH671" s="121">
        <v>72.623250000000013</v>
      </c>
      <c r="CI671" s="121">
        <v>74.15100000000001</v>
      </c>
      <c r="CJ671" s="121">
        <v>75.700749999999999</v>
      </c>
      <c r="CK671" s="121">
        <v>77.250499999999988</v>
      </c>
      <c r="CL671" s="121">
        <v>78.810500000000005</v>
      </c>
      <c r="CM671" s="121">
        <v>80.370500000000007</v>
      </c>
      <c r="CN671" s="121">
        <v>81.92025000000001</v>
      </c>
      <c r="CO671" s="121">
        <v>83.47</v>
      </c>
      <c r="CP671" s="121">
        <v>85.029499999999999</v>
      </c>
      <c r="CQ671" s="121">
        <v>86.170999999999992</v>
      </c>
      <c r="CR671" s="160">
        <v>88.080250000000007</v>
      </c>
      <c r="CS671" s="160">
        <v>89.323499999999996</v>
      </c>
      <c r="CT671" s="160">
        <v>91.062250000000006</v>
      </c>
      <c r="CU671" s="160">
        <v>92.337500000000006</v>
      </c>
      <c r="CV671" s="160">
        <v>94.108000000000004</v>
      </c>
      <c r="CW671" s="160">
        <v>95.373500000000007</v>
      </c>
      <c r="CX671" s="160">
        <v>97.153750000000002</v>
      </c>
      <c r="CY671" s="160">
        <v>98.525499999999994</v>
      </c>
      <c r="CZ671" s="160">
        <v>100.1035</v>
      </c>
      <c r="DA671" s="160">
        <v>101.5395</v>
      </c>
      <c r="DB671" s="160">
        <v>103.05324999999999</v>
      </c>
      <c r="DC671" s="160">
        <f t="array" ref="DC671:DC674">TRANSPOSE(DD670:DG670)</f>
        <v>104.512</v>
      </c>
      <c r="DD671" s="120">
        <f>(DC671+DE671)/2</f>
        <v>106.02424999999999</v>
      </c>
      <c r="DE671" s="120">
        <f>(DE670+DE672)/2</f>
        <v>107.53649999999999</v>
      </c>
      <c r="DF671" s="120">
        <f>(DE671+DG671)/2</f>
        <v>109.02199999999999</v>
      </c>
      <c r="DG671" s="122">
        <f>(DG670+DG672)/2</f>
        <v>110.50749999999999</v>
      </c>
    </row>
    <row r="672" spans="54:111" ht="15" customHeight="1" x14ac:dyDescent="0.2">
      <c r="BB672" s="28">
        <v>58</v>
      </c>
      <c r="BC672" s="121">
        <v>20.077999999999999</v>
      </c>
      <c r="BD672" s="121">
        <v>22.176499999999997</v>
      </c>
      <c r="BE672" s="121">
        <v>24.274999999999999</v>
      </c>
      <c r="BF672" s="121">
        <v>26.245999999999999</v>
      </c>
      <c r="BG672" s="121">
        <v>28.216999999999999</v>
      </c>
      <c r="BH672" s="121">
        <v>30.091999999999999</v>
      </c>
      <c r="BI672" s="121">
        <v>31.966999999999999</v>
      </c>
      <c r="BJ672" s="121">
        <v>33.7455</v>
      </c>
      <c r="BK672" s="121">
        <v>35.524000000000001</v>
      </c>
      <c r="BL672" s="121">
        <v>37.292999999999999</v>
      </c>
      <c r="BM672" s="121">
        <v>39.061999999999998</v>
      </c>
      <c r="BN672" s="121">
        <v>40.8185</v>
      </c>
      <c r="BO672" s="121">
        <v>42.575000000000003</v>
      </c>
      <c r="BP672" s="121">
        <v>44.289500000000004</v>
      </c>
      <c r="BQ672" s="121">
        <v>46.003999999999998</v>
      </c>
      <c r="BR672" s="121">
        <v>47.709000000000003</v>
      </c>
      <c r="BS672" s="121">
        <v>49.414000000000001</v>
      </c>
      <c r="BT672" s="121">
        <v>51.043500000000002</v>
      </c>
      <c r="BU672" s="121">
        <v>52.673000000000002</v>
      </c>
      <c r="BV672" s="121">
        <v>54.323999999999998</v>
      </c>
      <c r="BW672" s="121">
        <v>55.975000000000001</v>
      </c>
      <c r="BX672" s="121">
        <v>57.615499999999997</v>
      </c>
      <c r="BY672" s="121">
        <v>59.256</v>
      </c>
      <c r="BZ672" s="121">
        <v>60.885000000000005</v>
      </c>
      <c r="CA672" s="121">
        <v>62.514000000000003</v>
      </c>
      <c r="CB672" s="121">
        <v>64.100999999999999</v>
      </c>
      <c r="CC672" s="121">
        <v>65.688000000000002</v>
      </c>
      <c r="CD672" s="121">
        <v>67.264499999999998</v>
      </c>
      <c r="CE672" s="121">
        <v>68.840999999999994</v>
      </c>
      <c r="CF672" s="121">
        <v>70.471000000000004</v>
      </c>
      <c r="CG672" s="121">
        <v>72.100999999999999</v>
      </c>
      <c r="CH672" s="121">
        <v>73.623500000000007</v>
      </c>
      <c r="CI672" s="121">
        <v>75.146000000000001</v>
      </c>
      <c r="CJ672" s="121">
        <v>76.722999999999999</v>
      </c>
      <c r="CK672" s="121">
        <v>78.3</v>
      </c>
      <c r="CL672" s="121">
        <v>79.865000000000009</v>
      </c>
      <c r="CM672" s="121">
        <v>81.430000000000007</v>
      </c>
      <c r="CN672" s="121">
        <v>83.007000000000005</v>
      </c>
      <c r="CO672" s="121">
        <v>84.584000000000003</v>
      </c>
      <c r="CP672" s="121">
        <v>86.170999999999992</v>
      </c>
      <c r="CQ672" s="121">
        <v>87.757999999999996</v>
      </c>
      <c r="CR672" s="160">
        <v>89.323499999999996</v>
      </c>
      <c r="CS672" s="160">
        <v>90.888999999999996</v>
      </c>
      <c r="CT672" s="160">
        <v>92.337500000000006</v>
      </c>
      <c r="CU672" s="160">
        <v>93.786000000000001</v>
      </c>
      <c r="CV672" s="160">
        <v>95.373500000000007</v>
      </c>
      <c r="CW672" s="160">
        <v>96.960999999999999</v>
      </c>
      <c r="CX672" s="160">
        <v>98.525499999999994</v>
      </c>
      <c r="CY672" s="160">
        <v>100.09</v>
      </c>
      <c r="CZ672" s="160">
        <v>101.5395</v>
      </c>
      <c r="DA672" s="160">
        <v>102.989</v>
      </c>
      <c r="DB672" s="160">
        <v>104.512</v>
      </c>
      <c r="DC672" s="160">
        <v>106.035</v>
      </c>
      <c r="DD672" s="121">
        <f t="array" ref="DD672:DD674">TRANSPOSE(DE671:DG671)</f>
        <v>107.53649999999999</v>
      </c>
      <c r="DE672" s="158">
        <v>109.038</v>
      </c>
      <c r="DF672" s="121">
        <f>DG671</f>
        <v>110.50749999999999</v>
      </c>
      <c r="DG672" s="159">
        <v>112.063</v>
      </c>
    </row>
    <row r="673" spans="54:111" ht="15" customHeight="1" x14ac:dyDescent="0.2">
      <c r="BB673" s="28">
        <v>59</v>
      </c>
      <c r="BC673" s="121">
        <v>20.362499999999997</v>
      </c>
      <c r="BD673" s="121">
        <v>22.471999999999998</v>
      </c>
      <c r="BE673" s="121">
        <v>24.581499999999998</v>
      </c>
      <c r="BF673" s="121">
        <v>26.5685</v>
      </c>
      <c r="BG673" s="121">
        <v>28.555499999999999</v>
      </c>
      <c r="BH673" s="121">
        <v>30.462499999999999</v>
      </c>
      <c r="BI673" s="121">
        <v>32.369500000000002</v>
      </c>
      <c r="BJ673" s="121">
        <v>34.196249999999999</v>
      </c>
      <c r="BK673" s="121">
        <v>36.022999999999996</v>
      </c>
      <c r="BL673" s="121">
        <v>37.813249999999996</v>
      </c>
      <c r="BM673" s="121">
        <v>39.603499999999997</v>
      </c>
      <c r="BN673" s="121">
        <v>41.350250000000003</v>
      </c>
      <c r="BO673" s="121">
        <v>43.097000000000001</v>
      </c>
      <c r="BP673" s="121">
        <v>44.859750000000005</v>
      </c>
      <c r="BQ673" s="121">
        <v>46.622500000000002</v>
      </c>
      <c r="BR673" s="121">
        <v>48.316749999999999</v>
      </c>
      <c r="BS673" s="121">
        <v>50.010999999999996</v>
      </c>
      <c r="BT673" s="121">
        <v>51.699249999999999</v>
      </c>
      <c r="BU673" s="121">
        <v>53.387500000000003</v>
      </c>
      <c r="BV673" s="121">
        <v>55.054749999999999</v>
      </c>
      <c r="BW673" s="121">
        <v>56.722000000000001</v>
      </c>
      <c r="BX673" s="121">
        <v>58.378749999999997</v>
      </c>
      <c r="BY673" s="121">
        <v>60.035499999999999</v>
      </c>
      <c r="BZ673" s="121">
        <v>61.691500000000005</v>
      </c>
      <c r="CA673" s="121">
        <v>63.347499999999997</v>
      </c>
      <c r="CB673" s="121">
        <v>64.950999999999993</v>
      </c>
      <c r="CC673" s="121">
        <v>66.554500000000004</v>
      </c>
      <c r="CD673" s="121">
        <v>68.184250000000006</v>
      </c>
      <c r="CE673" s="121">
        <v>69.813999999999993</v>
      </c>
      <c r="CF673" s="121">
        <v>71.438749999999999</v>
      </c>
      <c r="CG673" s="121">
        <v>73.063500000000005</v>
      </c>
      <c r="CH673" s="121">
        <v>74.661249999999995</v>
      </c>
      <c r="CI673" s="121">
        <v>76.259</v>
      </c>
      <c r="CJ673" s="121">
        <v>77.857249999999993</v>
      </c>
      <c r="CK673" s="121">
        <v>79.455500000000001</v>
      </c>
      <c r="CL673" s="121">
        <v>81.047750000000008</v>
      </c>
      <c r="CM673" s="121">
        <v>82.64</v>
      </c>
      <c r="CN673" s="121">
        <v>84.174000000000007</v>
      </c>
      <c r="CO673" s="121">
        <v>85.707999999999998</v>
      </c>
      <c r="CP673" s="121">
        <v>87.311499999999995</v>
      </c>
      <c r="CQ673" s="121">
        <v>88.451999999999998</v>
      </c>
      <c r="CR673" s="160">
        <v>90.502250000000004</v>
      </c>
      <c r="CS673" s="160">
        <v>91.681000000000012</v>
      </c>
      <c r="CT673" s="160">
        <v>93.623500000000007</v>
      </c>
      <c r="CU673" s="160">
        <v>94.909500000000008</v>
      </c>
      <c r="CV673" s="160">
        <v>96.760750000000002</v>
      </c>
      <c r="CW673" s="160">
        <v>98.147999999999996</v>
      </c>
      <c r="CX673" s="160">
        <v>99.89224999999999</v>
      </c>
      <c r="CY673" s="160">
        <v>101.259</v>
      </c>
      <c r="CZ673" s="160">
        <v>102.923</v>
      </c>
      <c r="DA673" s="160">
        <v>104.3065</v>
      </c>
      <c r="DB673" s="160">
        <v>105.95949999999999</v>
      </c>
      <c r="DC673" s="160">
        <v>107.407</v>
      </c>
      <c r="DD673" s="160">
        <v>109.02199999999999</v>
      </c>
      <c r="DE673" s="160">
        <f t="array" ref="DE673:DE674">TRANSPOSE(DF672:DG672)</f>
        <v>110.50749999999999</v>
      </c>
      <c r="DF673" s="120">
        <f>(DE673+DG673)/2</f>
        <v>112.063</v>
      </c>
      <c r="DG673" s="122">
        <f>(DG672+DG674)/2</f>
        <v>113.61850000000001</v>
      </c>
    </row>
    <row r="674" spans="54:111" ht="15" customHeight="1" thickBot="1" x14ac:dyDescent="0.25">
      <c r="BB674" s="149">
        <v>60</v>
      </c>
      <c r="BC674" s="123">
        <v>20.646999999999998</v>
      </c>
      <c r="BD674" s="123">
        <v>22.767499999999998</v>
      </c>
      <c r="BE674" s="123">
        <v>24.888000000000002</v>
      </c>
      <c r="BF674" s="123">
        <v>26.890999999999998</v>
      </c>
      <c r="BG674" s="123">
        <v>28.893999999999998</v>
      </c>
      <c r="BH674" s="123">
        <v>30.832999999999998</v>
      </c>
      <c r="BI674" s="123">
        <v>32.771999999999998</v>
      </c>
      <c r="BJ674" s="123">
        <v>34.646999999999998</v>
      </c>
      <c r="BK674" s="123">
        <v>36.521999999999998</v>
      </c>
      <c r="BL674" s="123">
        <v>38.333500000000001</v>
      </c>
      <c r="BM674" s="123">
        <v>40.145000000000003</v>
      </c>
      <c r="BN674" s="123">
        <v>41.882000000000005</v>
      </c>
      <c r="BO674" s="123">
        <v>43.619</v>
      </c>
      <c r="BP674" s="123">
        <v>45.43</v>
      </c>
      <c r="BQ674" s="123">
        <v>47.241</v>
      </c>
      <c r="BR674" s="123">
        <v>48.924499999999995</v>
      </c>
      <c r="BS674" s="123">
        <v>50.607999999999997</v>
      </c>
      <c r="BT674" s="123">
        <v>52.354999999999997</v>
      </c>
      <c r="BU674" s="123">
        <v>54.101999999999997</v>
      </c>
      <c r="BV674" s="123">
        <v>55.785499999999999</v>
      </c>
      <c r="BW674" s="123">
        <v>57.469000000000001</v>
      </c>
      <c r="BX674" s="123">
        <v>59.141999999999996</v>
      </c>
      <c r="BY674" s="123">
        <v>60.814999999999998</v>
      </c>
      <c r="BZ674" s="123">
        <v>62.497999999999998</v>
      </c>
      <c r="CA674" s="123">
        <v>64.180999999999997</v>
      </c>
      <c r="CB674" s="123">
        <v>65.801000000000002</v>
      </c>
      <c r="CC674" s="123">
        <v>67.421000000000006</v>
      </c>
      <c r="CD674" s="123">
        <v>69.104000000000013</v>
      </c>
      <c r="CE674" s="123">
        <v>70.787000000000006</v>
      </c>
      <c r="CF674" s="123">
        <v>72.406499999999994</v>
      </c>
      <c r="CG674" s="123">
        <v>74.025999999999996</v>
      </c>
      <c r="CH674" s="123">
        <v>75.698999999999998</v>
      </c>
      <c r="CI674" s="123">
        <v>77.372</v>
      </c>
      <c r="CJ674" s="123">
        <v>78.991500000000002</v>
      </c>
      <c r="CK674" s="123">
        <v>80.611000000000004</v>
      </c>
      <c r="CL674" s="123">
        <v>82.230500000000006</v>
      </c>
      <c r="CM674" s="123">
        <v>83.85</v>
      </c>
      <c r="CN674" s="123">
        <v>85.340999999999994</v>
      </c>
      <c r="CO674" s="123">
        <v>86.831999999999994</v>
      </c>
      <c r="CP674" s="123">
        <v>88.451999999999998</v>
      </c>
      <c r="CQ674" s="123">
        <v>90.072000000000003</v>
      </c>
      <c r="CR674" s="161">
        <v>91.681000000000012</v>
      </c>
      <c r="CS674" s="161">
        <v>93.29</v>
      </c>
      <c r="CT674" s="161">
        <v>94.909500000000008</v>
      </c>
      <c r="CU674" s="161">
        <v>96.528999999999996</v>
      </c>
      <c r="CV674" s="161">
        <v>98.147999999999996</v>
      </c>
      <c r="CW674" s="161">
        <v>99.766999999999996</v>
      </c>
      <c r="CX674" s="161">
        <v>101.259</v>
      </c>
      <c r="CY674" s="161">
        <v>102.751</v>
      </c>
      <c r="CZ674" s="161">
        <v>104.3065</v>
      </c>
      <c r="DA674" s="161">
        <v>105.86199999999999</v>
      </c>
      <c r="DB674" s="161">
        <v>107.407</v>
      </c>
      <c r="DC674" s="161">
        <v>108.952</v>
      </c>
      <c r="DD674" s="161">
        <v>110.50749999999999</v>
      </c>
      <c r="DE674" s="161">
        <v>112.063</v>
      </c>
      <c r="DF674" s="151">
        <f>DG673</f>
        <v>113.61850000000001</v>
      </c>
      <c r="DG674" s="162">
        <v>115.17400000000001</v>
      </c>
    </row>
    <row r="675" spans="54:111" ht="15" customHeight="1" thickBot="1" x14ac:dyDescent="0.25">
      <c r="BB675" s="25"/>
      <c r="BC675" s="25"/>
      <c r="BD675" s="25"/>
      <c r="BE675" s="25"/>
      <c r="BF675" s="25"/>
      <c r="BG675" s="25"/>
      <c r="BH675" s="25"/>
      <c r="BI675" s="25"/>
      <c r="BJ675" s="25"/>
      <c r="BK675" s="25"/>
      <c r="BL675" s="25"/>
      <c r="BM675" s="25"/>
      <c r="BN675" s="25"/>
      <c r="BO675" s="25"/>
      <c r="BP675" s="25"/>
      <c r="BQ675" s="25"/>
      <c r="BR675" s="25"/>
      <c r="BS675" s="25"/>
      <c r="BT675" s="25"/>
      <c r="BU675" s="25"/>
      <c r="BV675" s="25"/>
      <c r="BW675" s="25"/>
      <c r="BX675" s="25"/>
      <c r="BY675" s="25"/>
      <c r="BZ675" s="25"/>
      <c r="CA675" s="25"/>
      <c r="CB675" s="25"/>
      <c r="CC675" s="25"/>
      <c r="CD675" s="25"/>
      <c r="CE675" s="25"/>
      <c r="CF675" s="25"/>
      <c r="CG675" s="25"/>
      <c r="CH675" s="25"/>
      <c r="CI675" s="25"/>
      <c r="CJ675" s="25"/>
      <c r="CK675" s="25"/>
      <c r="CL675" s="25"/>
      <c r="CM675" s="25"/>
      <c r="CN675" s="25"/>
      <c r="CO675" s="25"/>
      <c r="CP675" s="25"/>
      <c r="CQ675" s="25"/>
    </row>
    <row r="676" spans="54:111" ht="15" customHeight="1" thickBot="1" x14ac:dyDescent="0.3">
      <c r="BB676" s="1841" t="s">
        <v>305</v>
      </c>
      <c r="BC676" s="1842"/>
      <c r="BD676" s="1842"/>
      <c r="BE676" s="1842"/>
      <c r="BF676" s="1842"/>
      <c r="BG676" s="1842"/>
      <c r="BH676" s="1842"/>
      <c r="BI676" s="1842"/>
      <c r="BJ676" s="1842"/>
      <c r="BK676" s="1842"/>
      <c r="BL676" s="1842"/>
      <c r="BM676" s="1842"/>
      <c r="BN676" s="1842"/>
      <c r="BO676" s="1842"/>
      <c r="BP676" s="1842"/>
      <c r="BQ676" s="1842"/>
      <c r="BR676" s="1842"/>
      <c r="BS676" s="1842"/>
      <c r="BT676" s="1842"/>
      <c r="BU676" s="1842"/>
      <c r="BV676" s="1842"/>
      <c r="BW676" s="1842"/>
      <c r="BX676" s="1842"/>
      <c r="BY676" s="1842"/>
      <c r="BZ676" s="1842"/>
      <c r="CA676" s="1842"/>
      <c r="CB676" s="1842"/>
      <c r="CC676" s="1842"/>
      <c r="CD676" s="1842"/>
      <c r="CE676" s="1842"/>
      <c r="CF676" s="1842"/>
      <c r="CG676" s="1842"/>
      <c r="CH676" s="1842"/>
      <c r="CI676" s="1842"/>
      <c r="CJ676" s="1842"/>
      <c r="CK676" s="1842"/>
      <c r="CL676" s="1842"/>
      <c r="CM676" s="1842"/>
      <c r="CN676" s="1842"/>
      <c r="CO676" s="1842"/>
      <c r="CP676" s="1842"/>
      <c r="CQ676" s="1842"/>
      <c r="CR676" s="1842"/>
      <c r="CS676" s="1842"/>
      <c r="CT676" s="1842"/>
      <c r="CU676" s="1842"/>
      <c r="CV676" s="1842"/>
      <c r="CW676" s="1842"/>
      <c r="CX676" s="1842"/>
      <c r="CY676" s="1842"/>
      <c r="CZ676" s="1842"/>
      <c r="DA676" s="1842"/>
      <c r="DB676" s="1842"/>
      <c r="DC676" s="1842"/>
      <c r="DD676" s="1842"/>
      <c r="DE676" s="1842"/>
      <c r="DF676" s="1842"/>
      <c r="DG676" s="1843"/>
    </row>
    <row r="677" spans="54:111" ht="15" customHeight="1" x14ac:dyDescent="0.2">
      <c r="BB677" s="26"/>
      <c r="BC677" s="27">
        <v>4</v>
      </c>
      <c r="BD677" s="27">
        <v>5</v>
      </c>
      <c r="BE677" s="27">
        <v>6</v>
      </c>
      <c r="BF677" s="27">
        <v>7</v>
      </c>
      <c r="BG677" s="27">
        <v>8</v>
      </c>
      <c r="BH677" s="27">
        <v>9</v>
      </c>
      <c r="BI677" s="27">
        <v>10</v>
      </c>
      <c r="BJ677" s="27">
        <v>11</v>
      </c>
      <c r="BK677" s="27">
        <v>12</v>
      </c>
      <c r="BL677" s="27">
        <v>13</v>
      </c>
      <c r="BM677" s="27">
        <v>14</v>
      </c>
      <c r="BN677" s="27">
        <v>15</v>
      </c>
      <c r="BO677" s="27">
        <v>16</v>
      </c>
      <c r="BP677" s="27">
        <v>17</v>
      </c>
      <c r="BQ677" s="27">
        <v>18</v>
      </c>
      <c r="BR677" s="27">
        <v>19</v>
      </c>
      <c r="BS677" s="27">
        <v>20</v>
      </c>
      <c r="BT677" s="27">
        <v>21</v>
      </c>
      <c r="BU677" s="27">
        <v>22</v>
      </c>
      <c r="BV677" s="27">
        <v>23</v>
      </c>
      <c r="BW677" s="27">
        <v>24</v>
      </c>
      <c r="BX677" s="27">
        <v>25</v>
      </c>
      <c r="BY677" s="27">
        <v>26</v>
      </c>
      <c r="BZ677" s="27">
        <v>27</v>
      </c>
      <c r="CA677" s="27">
        <v>28</v>
      </c>
      <c r="CB677" s="27">
        <v>29</v>
      </c>
      <c r="CC677" s="27">
        <v>30</v>
      </c>
      <c r="CD677" s="27">
        <v>31</v>
      </c>
      <c r="CE677" s="27">
        <v>32</v>
      </c>
      <c r="CF677" s="27">
        <v>33</v>
      </c>
      <c r="CG677" s="27">
        <v>34</v>
      </c>
      <c r="CH677" s="27">
        <v>35</v>
      </c>
      <c r="CI677" s="27">
        <v>36</v>
      </c>
      <c r="CJ677" s="27">
        <v>37</v>
      </c>
      <c r="CK677" s="27">
        <v>38</v>
      </c>
      <c r="CL677" s="27">
        <v>39</v>
      </c>
      <c r="CM677" s="27">
        <v>40</v>
      </c>
      <c r="CN677" s="27">
        <v>41</v>
      </c>
      <c r="CO677" s="27">
        <v>42</v>
      </c>
      <c r="CP677" s="27">
        <v>43</v>
      </c>
      <c r="CQ677" s="27">
        <v>44</v>
      </c>
      <c r="CR677" s="27">
        <v>45</v>
      </c>
      <c r="CS677" s="27">
        <v>46</v>
      </c>
      <c r="CT677" s="27">
        <v>47</v>
      </c>
      <c r="CU677" s="27">
        <v>48</v>
      </c>
      <c r="CV677" s="27">
        <v>49</v>
      </c>
      <c r="CW677" s="27">
        <v>50</v>
      </c>
      <c r="CX677" s="27">
        <v>51</v>
      </c>
      <c r="CY677" s="27">
        <v>52</v>
      </c>
      <c r="CZ677" s="27">
        <v>53</v>
      </c>
      <c r="DA677" s="27">
        <v>54</v>
      </c>
      <c r="DB677" s="27">
        <v>55</v>
      </c>
      <c r="DC677" s="27">
        <v>56</v>
      </c>
      <c r="DD677" s="27">
        <v>57</v>
      </c>
      <c r="DE677" s="27">
        <v>58</v>
      </c>
      <c r="DF677" s="27">
        <v>59</v>
      </c>
      <c r="DG677" s="142">
        <v>60</v>
      </c>
    </row>
    <row r="678" spans="54:111" ht="15" customHeight="1" x14ac:dyDescent="0.2">
      <c r="BB678" s="28">
        <v>4</v>
      </c>
      <c r="BC678" s="156">
        <v>3.327</v>
      </c>
      <c r="BD678" s="120">
        <f>(BE678+BC678)/2</f>
        <v>3.7389999999999999</v>
      </c>
      <c r="BE678" s="156">
        <v>4.1509999999999998</v>
      </c>
      <c r="BF678" s="120">
        <f>(BG678+BE678)/2</f>
        <v>4.4994999999999994</v>
      </c>
      <c r="BG678" s="156">
        <v>4.8479999999999999</v>
      </c>
      <c r="BH678" s="120">
        <f>(BI678+BG678)/2</f>
        <v>5.1909999999999998</v>
      </c>
      <c r="BI678" s="156">
        <v>5.5339999999999998</v>
      </c>
      <c r="BJ678" s="120">
        <f>(BK678+BI678)/2</f>
        <v>5.8439999999999994</v>
      </c>
      <c r="BK678" s="156">
        <v>6.1539999999999999</v>
      </c>
      <c r="BL678" s="120">
        <f>(BM678+BK678)/2</f>
        <v>6.4889999999999999</v>
      </c>
      <c r="BM678" s="156">
        <v>6.8239999999999998</v>
      </c>
      <c r="BN678" s="120">
        <f>(BO678+BM678)/2</f>
        <v>7.1035000000000004</v>
      </c>
      <c r="BO678" s="156">
        <v>7.383</v>
      </c>
      <c r="BP678" s="120">
        <f>(BQ678+BO678)/2</f>
        <v>7.6795</v>
      </c>
      <c r="BQ678" s="156">
        <v>7.976</v>
      </c>
      <c r="BR678" s="120">
        <f>(BS678+BQ678)/2</f>
        <v>8.2475000000000005</v>
      </c>
      <c r="BS678" s="156">
        <v>8.5190000000000001</v>
      </c>
      <c r="BT678" s="120">
        <f>(BU678+BS678)/2</f>
        <v>8.7850000000000001</v>
      </c>
      <c r="BU678" s="156">
        <v>9.0510000000000002</v>
      </c>
      <c r="BV678" s="120">
        <f>(BW678+BU678)/2</f>
        <v>9.3230000000000004</v>
      </c>
      <c r="BW678" s="156">
        <v>9.5950000000000006</v>
      </c>
      <c r="BX678" s="120">
        <f>(BY678+BW678)/2</f>
        <v>9.8530000000000015</v>
      </c>
      <c r="BY678" s="156">
        <v>10.111000000000001</v>
      </c>
      <c r="BZ678" s="120">
        <f>(CA678+BY678)/2</f>
        <v>10.3825</v>
      </c>
      <c r="CA678" s="156">
        <v>10.654</v>
      </c>
      <c r="CB678" s="120">
        <f>(CC678+CA678)/2</f>
        <v>10.92</v>
      </c>
      <c r="CC678" s="156">
        <v>11.186</v>
      </c>
      <c r="CD678" s="120">
        <f>(CE678+CC678)/2</f>
        <v>11.419</v>
      </c>
      <c r="CE678" s="156">
        <v>11.651999999999999</v>
      </c>
      <c r="CF678" s="120">
        <f>(CG678+CE678)/2</f>
        <v>11.91</v>
      </c>
      <c r="CG678" s="156">
        <v>12.167999999999999</v>
      </c>
      <c r="CH678" s="120">
        <f>(CI678+CG678)/2</f>
        <v>12.408999999999999</v>
      </c>
      <c r="CI678" s="156">
        <v>12.65</v>
      </c>
      <c r="CJ678" s="120">
        <f>(CK678+CI678)/2</f>
        <v>12.907499999999999</v>
      </c>
      <c r="CK678" s="156">
        <v>13.164999999999999</v>
      </c>
      <c r="CL678" s="120">
        <f>(CM678+CK678)/2</f>
        <v>13.398499999999999</v>
      </c>
      <c r="CM678" s="156">
        <v>13.632</v>
      </c>
      <c r="CN678" s="120">
        <f>(CO678+CM678)/2</f>
        <v>13.897500000000001</v>
      </c>
      <c r="CO678" s="156">
        <v>14.163</v>
      </c>
      <c r="CP678" s="120">
        <f>(CQ678+CO678)/2</f>
        <v>14.3965</v>
      </c>
      <c r="CQ678" s="156">
        <v>14.63</v>
      </c>
      <c r="CR678" s="120">
        <f>(CS678+CQ678)/2</f>
        <v>14.888000000000002</v>
      </c>
      <c r="CS678" s="156">
        <v>15.146000000000001</v>
      </c>
      <c r="CT678" s="120">
        <f>(CU678+CS678)/2</f>
        <v>15.348500000000001</v>
      </c>
      <c r="CU678" s="156">
        <v>15.551</v>
      </c>
      <c r="CV678" s="120">
        <f>(CW678+CU678)/2</f>
        <v>15.808499999999999</v>
      </c>
      <c r="CW678" s="156">
        <v>16.065999999999999</v>
      </c>
      <c r="CX678" s="120">
        <f>(CY678+CW678)/2</f>
        <v>16.299500000000002</v>
      </c>
      <c r="CY678" s="156">
        <v>16.533000000000001</v>
      </c>
      <c r="CZ678" s="120">
        <f>(DA678+CY678)/2</f>
        <v>16.759999999999998</v>
      </c>
      <c r="DA678" s="156">
        <v>16.986999999999998</v>
      </c>
      <c r="DB678" s="120">
        <f>(DC678+DA678)/2</f>
        <v>17.220500000000001</v>
      </c>
      <c r="DC678" s="156">
        <v>17.454000000000001</v>
      </c>
      <c r="DD678" s="120">
        <f>(DE678+DC678)/2</f>
        <v>17.712</v>
      </c>
      <c r="DE678" s="156">
        <v>17.97</v>
      </c>
      <c r="DF678" s="120">
        <f>(DG678+DE678)/2</f>
        <v>18.172499999999999</v>
      </c>
      <c r="DG678" s="157">
        <v>18.375</v>
      </c>
    </row>
    <row r="679" spans="54:111" ht="15" customHeight="1" x14ac:dyDescent="0.2">
      <c r="BB679" s="28">
        <v>5</v>
      </c>
      <c r="BC679" s="121">
        <f t="array" ref="BC679:BC734">TRANSPOSE(BD678:DG678)</f>
        <v>3.7389999999999999</v>
      </c>
      <c r="BD679" s="120">
        <f>(BC679+BE679)/2</f>
        <v>4.1764999999999999</v>
      </c>
      <c r="BE679" s="120">
        <f>(BE678+BE680)/2</f>
        <v>4.6139999999999999</v>
      </c>
      <c r="BF679" s="120">
        <f>(BE679+BG679)/2</f>
        <v>5.01675</v>
      </c>
      <c r="BG679" s="120">
        <f>(BG678+BG680)/2</f>
        <v>5.4194999999999993</v>
      </c>
      <c r="BH679" s="120">
        <f>(BG679+BI679)/2</f>
        <v>5.7962499999999997</v>
      </c>
      <c r="BI679" s="120">
        <f>(BI678+BI680)/2</f>
        <v>6.173</v>
      </c>
      <c r="BJ679" s="120">
        <f>(BI679+BK679)/2</f>
        <v>6.5369999999999999</v>
      </c>
      <c r="BK679" s="120">
        <f>(BK678+BK680)/2</f>
        <v>6.9009999999999998</v>
      </c>
      <c r="BL679" s="120">
        <f>(BK679+BM679)/2</f>
        <v>7.2424999999999997</v>
      </c>
      <c r="BM679" s="120">
        <f>(BM678+BM680)/2</f>
        <v>7.5839999999999996</v>
      </c>
      <c r="BN679" s="120">
        <f>(BM679+BO679)/2</f>
        <v>7.9137499999999994</v>
      </c>
      <c r="BO679" s="120">
        <f>(BO678+BO680)/2</f>
        <v>8.2434999999999992</v>
      </c>
      <c r="BP679" s="120">
        <f>(BO679+BQ679)/2</f>
        <v>8.57775</v>
      </c>
      <c r="BQ679" s="120">
        <f>(BQ678+BQ680)/2</f>
        <v>8.9120000000000008</v>
      </c>
      <c r="BR679" s="120">
        <f>(BQ679+BS679)/2</f>
        <v>9.2185000000000006</v>
      </c>
      <c r="BS679" s="120">
        <f>(BS678+BS680)/2</f>
        <v>9.5250000000000004</v>
      </c>
      <c r="BT679" s="120">
        <f>(BS679+BU679)/2</f>
        <v>9.8125</v>
      </c>
      <c r="BU679" s="120">
        <f>(BU678+BU680)/2</f>
        <v>10.1</v>
      </c>
      <c r="BV679" s="120">
        <f>(BU679+BW679)/2</f>
        <v>10.406749999999999</v>
      </c>
      <c r="BW679" s="120">
        <f>(BW678+BW680)/2</f>
        <v>10.7135</v>
      </c>
      <c r="BX679" s="120">
        <f>(BW679+BY679)/2</f>
        <v>11.00925</v>
      </c>
      <c r="BY679" s="120">
        <f>(BY678+BY680)/2</f>
        <v>11.305</v>
      </c>
      <c r="BZ679" s="120">
        <f>(BY679+CA679)/2</f>
        <v>11.61125</v>
      </c>
      <c r="CA679" s="120">
        <f>(CA678+CA680)/2</f>
        <v>11.9175</v>
      </c>
      <c r="CB679" s="120">
        <f>(CA679+CC679)/2</f>
        <v>12.205249999999999</v>
      </c>
      <c r="CC679" s="120">
        <f>(CC678+CC680)/2</f>
        <v>12.493</v>
      </c>
      <c r="CD679" s="120">
        <f>(CC679+CE679)/2</f>
        <v>12.76075</v>
      </c>
      <c r="CE679" s="120">
        <f>(CE678+CE680)/2</f>
        <v>13.028499999999999</v>
      </c>
      <c r="CF679" s="120">
        <f>(CE679+CG679)/2</f>
        <v>13.324249999999999</v>
      </c>
      <c r="CG679" s="120">
        <f>(CG678+CG680)/2</f>
        <v>13.62</v>
      </c>
      <c r="CH679" s="120">
        <f>(CG679+CI679)/2</f>
        <v>13.891999999999999</v>
      </c>
      <c r="CI679" s="120">
        <f>(CI678+CI680)/2</f>
        <v>14.164000000000001</v>
      </c>
      <c r="CJ679" s="120">
        <f>(CI679+CK679)/2</f>
        <v>14.44725</v>
      </c>
      <c r="CK679" s="120">
        <f>(CK678+CK680)/2</f>
        <v>14.730499999999999</v>
      </c>
      <c r="CL679" s="120">
        <f>(CK679+CM679)/2</f>
        <v>14.998749999999999</v>
      </c>
      <c r="CM679" s="120">
        <f>(CM678+CM680)/2</f>
        <v>15.266999999999999</v>
      </c>
      <c r="CN679" s="120">
        <f>(CM679+CO679)/2</f>
        <v>15.54725</v>
      </c>
      <c r="CO679" s="120">
        <f>(CO678+CO680)/2</f>
        <v>15.827500000000001</v>
      </c>
      <c r="CP679" s="120">
        <f>(CO679+CQ679)/2</f>
        <v>16.095500000000001</v>
      </c>
      <c r="CQ679" s="120">
        <f>(CQ678+CQ680)/2</f>
        <v>16.363500000000002</v>
      </c>
      <c r="CR679" s="120">
        <f>(CQ679+CS679)/2</f>
        <v>16.647000000000002</v>
      </c>
      <c r="CS679" s="120">
        <f>(CS678+CS680)/2</f>
        <v>16.930500000000002</v>
      </c>
      <c r="CT679" s="120">
        <f>(CS679+CU679)/2</f>
        <v>17.183250000000001</v>
      </c>
      <c r="CU679" s="120">
        <f>(CU678+CU680)/2</f>
        <v>17.436</v>
      </c>
      <c r="CV679" s="120">
        <f>(CU679+CW679)/2</f>
        <v>17.712250000000001</v>
      </c>
      <c r="CW679" s="120">
        <f>(CW678+CW680)/2</f>
        <v>17.988500000000002</v>
      </c>
      <c r="CX679" s="120">
        <f>(CW679+CY679)/2</f>
        <v>18.253</v>
      </c>
      <c r="CY679" s="120">
        <f>(CY678+CY680)/2</f>
        <v>18.517499999999998</v>
      </c>
      <c r="CZ679" s="120">
        <f>(CY679+DA679)/2</f>
        <v>18.769749999999998</v>
      </c>
      <c r="DA679" s="120">
        <f>(DA678+DA680)/2</f>
        <v>19.021999999999998</v>
      </c>
      <c r="DB679" s="120">
        <f>(DA679+DC679)/2</f>
        <v>19.267250000000001</v>
      </c>
      <c r="DC679" s="120">
        <f>(DC678+DC680)/2</f>
        <v>19.512500000000003</v>
      </c>
      <c r="DD679" s="120">
        <f>(DC679+DE679)/2</f>
        <v>19.792999999999999</v>
      </c>
      <c r="DE679" s="120">
        <f>(DE678+DE680)/2</f>
        <v>20.073499999999999</v>
      </c>
      <c r="DF679" s="120">
        <f>(DE679+DG679)/2</f>
        <v>20.322249999999997</v>
      </c>
      <c r="DG679" s="122">
        <f>(DG678+DG680)/2</f>
        <v>20.570999999999998</v>
      </c>
    </row>
    <row r="680" spans="54:111" ht="15" customHeight="1" x14ac:dyDescent="0.2">
      <c r="BB680" s="28">
        <v>6</v>
      </c>
      <c r="BC680" s="121">
        <v>4.1509999999999998</v>
      </c>
      <c r="BD680" s="121">
        <f t="array" ref="BD680:BD734">TRANSPOSE(BE679:DG679)</f>
        <v>4.6139999999999999</v>
      </c>
      <c r="BE680" s="158">
        <v>5.077</v>
      </c>
      <c r="BF680" s="120">
        <f>(BG680+BE680)/2</f>
        <v>5.5339999999999998</v>
      </c>
      <c r="BG680" s="158">
        <v>5.9909999999999997</v>
      </c>
      <c r="BH680" s="120">
        <f>(BI680+BG680)/2</f>
        <v>6.4015000000000004</v>
      </c>
      <c r="BI680" s="158">
        <v>6.8120000000000003</v>
      </c>
      <c r="BJ680" s="120">
        <f>(BK680+BI680)/2</f>
        <v>7.23</v>
      </c>
      <c r="BK680" s="158">
        <v>7.6479999999999997</v>
      </c>
      <c r="BL680" s="120">
        <f>(BM680+BK680)/2</f>
        <v>7.9959999999999996</v>
      </c>
      <c r="BM680" s="158">
        <v>8.3439999999999994</v>
      </c>
      <c r="BN680" s="120">
        <f>(BO680+BM680)/2</f>
        <v>8.7240000000000002</v>
      </c>
      <c r="BO680" s="158">
        <v>9.1039999999999992</v>
      </c>
      <c r="BP680" s="120">
        <f>(BQ680+BO680)/2</f>
        <v>9.4759999999999991</v>
      </c>
      <c r="BQ680" s="158">
        <v>9.8480000000000008</v>
      </c>
      <c r="BR680" s="120">
        <f>(BS680+BQ680)/2</f>
        <v>10.189500000000001</v>
      </c>
      <c r="BS680" s="158">
        <v>10.531000000000001</v>
      </c>
      <c r="BT680" s="120">
        <f>(BU680+BS680)/2</f>
        <v>10.84</v>
      </c>
      <c r="BU680" s="158">
        <v>11.148999999999999</v>
      </c>
      <c r="BV680" s="120">
        <f>(BW680+BU680)/2</f>
        <v>11.490500000000001</v>
      </c>
      <c r="BW680" s="158">
        <v>11.832000000000001</v>
      </c>
      <c r="BX680" s="120">
        <f>(BY680+BW680)/2</f>
        <v>12.165500000000002</v>
      </c>
      <c r="BY680" s="158">
        <v>12.499000000000001</v>
      </c>
      <c r="BZ680" s="120">
        <f>(CA680+BY680)/2</f>
        <v>12.84</v>
      </c>
      <c r="CA680" s="158">
        <v>13.180999999999999</v>
      </c>
      <c r="CB680" s="120">
        <f>(CC680+CA680)/2</f>
        <v>13.490500000000001</v>
      </c>
      <c r="CC680" s="158">
        <v>13.8</v>
      </c>
      <c r="CD680" s="120">
        <f>(CE680+CC680)/2</f>
        <v>14.102499999999999</v>
      </c>
      <c r="CE680" s="158">
        <v>14.404999999999999</v>
      </c>
      <c r="CF680" s="120">
        <f>(CG680+CE680)/2</f>
        <v>14.738499999999998</v>
      </c>
      <c r="CG680" s="158">
        <v>15.071999999999999</v>
      </c>
      <c r="CH680" s="120">
        <f>(CI680+CG680)/2</f>
        <v>15.375</v>
      </c>
      <c r="CI680" s="158">
        <v>15.678000000000001</v>
      </c>
      <c r="CJ680" s="120">
        <f>(CK680+CI680)/2</f>
        <v>15.987</v>
      </c>
      <c r="CK680" s="158">
        <v>16.295999999999999</v>
      </c>
      <c r="CL680" s="120">
        <f>(CM680+CK680)/2</f>
        <v>16.599</v>
      </c>
      <c r="CM680" s="158">
        <v>16.902000000000001</v>
      </c>
      <c r="CN680" s="120">
        <f>(CO680+CM680)/2</f>
        <v>17.197000000000003</v>
      </c>
      <c r="CO680" s="158">
        <v>17.492000000000001</v>
      </c>
      <c r="CP680" s="120">
        <f>(CQ680+CO680)/2</f>
        <v>17.794499999999999</v>
      </c>
      <c r="CQ680" s="158">
        <v>18.097000000000001</v>
      </c>
      <c r="CR680" s="120">
        <f>(CS680+CQ680)/2</f>
        <v>18.405999999999999</v>
      </c>
      <c r="CS680" s="158">
        <v>18.715</v>
      </c>
      <c r="CT680" s="120">
        <f>(CU680+CS680)/2</f>
        <v>19.018000000000001</v>
      </c>
      <c r="CU680" s="158">
        <v>19.321000000000002</v>
      </c>
      <c r="CV680" s="120">
        <f>(CW680+CU680)/2</f>
        <v>19.616</v>
      </c>
      <c r="CW680" s="158">
        <v>19.911000000000001</v>
      </c>
      <c r="CX680" s="120">
        <f>(CY680+CW680)/2</f>
        <v>20.206499999999998</v>
      </c>
      <c r="CY680" s="158">
        <v>20.501999999999999</v>
      </c>
      <c r="CZ680" s="120">
        <f>(DA680+CY680)/2</f>
        <v>20.779499999999999</v>
      </c>
      <c r="DA680" s="158">
        <v>21.056999999999999</v>
      </c>
      <c r="DB680" s="120">
        <f>(DC680+DA680)/2</f>
        <v>21.314</v>
      </c>
      <c r="DC680" s="158">
        <v>21.571000000000002</v>
      </c>
      <c r="DD680" s="120">
        <f>(DE680+DC680)/2</f>
        <v>21.874000000000002</v>
      </c>
      <c r="DE680" s="158">
        <v>22.177</v>
      </c>
      <c r="DF680" s="120">
        <f>(DG680+DE680)/2</f>
        <v>22.472000000000001</v>
      </c>
      <c r="DG680" s="159">
        <v>22.766999999999999</v>
      </c>
    </row>
    <row r="681" spans="54:111" ht="15" customHeight="1" x14ac:dyDescent="0.2">
      <c r="BB681" s="28">
        <v>7</v>
      </c>
      <c r="BC681" s="121">
        <v>4.4994999999999994</v>
      </c>
      <c r="BD681" s="121">
        <v>5.01675</v>
      </c>
      <c r="BE681" s="121">
        <f t="array" ref="BE681:BE734">TRANSPOSE(BF680:DG680)</f>
        <v>5.5339999999999998</v>
      </c>
      <c r="BF681" s="120">
        <f>(BE681+BG681)/2</f>
        <v>6.0287500000000005</v>
      </c>
      <c r="BG681" s="120">
        <f>(BG680+BG682)/2</f>
        <v>6.5235000000000003</v>
      </c>
      <c r="BH681" s="120">
        <f>(BG681+BI681)/2</f>
        <v>6.9717500000000001</v>
      </c>
      <c r="BI681" s="120">
        <f>(BI680+BI682)/2</f>
        <v>7.42</v>
      </c>
      <c r="BJ681" s="120">
        <f>(BI681+BK681)/2</f>
        <v>7.8570000000000002</v>
      </c>
      <c r="BK681" s="120">
        <f>(BK680+BK682)/2</f>
        <v>8.2940000000000005</v>
      </c>
      <c r="BL681" s="120">
        <f>(BK681+BM681)/2</f>
        <v>8.6920000000000002</v>
      </c>
      <c r="BM681" s="120">
        <f>(BM680+BM682)/2</f>
        <v>9.09</v>
      </c>
      <c r="BN681" s="120">
        <f>(BM681+BO681)/2</f>
        <v>9.4885000000000002</v>
      </c>
      <c r="BO681" s="120">
        <f>(BO680+BO682)/2</f>
        <v>9.8870000000000005</v>
      </c>
      <c r="BP681" s="120">
        <f>(BO681+BQ681)/2</f>
        <v>10.281500000000001</v>
      </c>
      <c r="BQ681" s="120">
        <f>(BQ680+BQ682)/2</f>
        <v>10.676</v>
      </c>
      <c r="BR681" s="120">
        <f>(BQ681+BS681)/2</f>
        <v>11.05125</v>
      </c>
      <c r="BS681" s="120">
        <f>(BS680+BS682)/2</f>
        <v>11.426500000000001</v>
      </c>
      <c r="BT681" s="120">
        <f>(BS681+BU681)/2</f>
        <v>11.78975</v>
      </c>
      <c r="BU681" s="120">
        <f>(BU680+BU682)/2</f>
        <v>12.152999999999999</v>
      </c>
      <c r="BV681" s="120">
        <f>(BU681+BW681)/2</f>
        <v>12.513</v>
      </c>
      <c r="BW681" s="120">
        <f>(BW680+BW682)/2</f>
        <v>12.873000000000001</v>
      </c>
      <c r="BX681" s="120">
        <f>(BW681+BY681)/2</f>
        <v>13.244250000000001</v>
      </c>
      <c r="BY681" s="120">
        <f>(BY680+BY682)/2</f>
        <v>13.615500000000001</v>
      </c>
      <c r="BZ681" s="120">
        <f>(BY681+CA681)/2</f>
        <v>13.9755</v>
      </c>
      <c r="CA681" s="120">
        <f>(CA680+CA682)/2</f>
        <v>14.3355</v>
      </c>
      <c r="CB681" s="120">
        <f>(CA681+CC681)/2</f>
        <v>14.679500000000001</v>
      </c>
      <c r="CC681" s="120">
        <f>(CC680+CC682)/2</f>
        <v>15.0235</v>
      </c>
      <c r="CD681" s="120">
        <f>(CC681+CE681)/2</f>
        <v>15.36</v>
      </c>
      <c r="CE681" s="120">
        <f>(CE680+CE682)/2</f>
        <v>15.6965</v>
      </c>
      <c r="CF681" s="120">
        <f>(CE681+CG681)/2</f>
        <v>16.052500000000002</v>
      </c>
      <c r="CG681" s="120">
        <f>(CG680+CG682)/2</f>
        <v>16.4085</v>
      </c>
      <c r="CH681" s="120">
        <f>(CG681+CI681)/2</f>
        <v>16.749499999999998</v>
      </c>
      <c r="CI681" s="120">
        <f>(CI680+CI682)/2</f>
        <v>17.090499999999999</v>
      </c>
      <c r="CJ681" s="120">
        <f>(CI681+CK681)/2</f>
        <v>17.411000000000001</v>
      </c>
      <c r="CK681" s="120">
        <f>(CK680+CK682)/2</f>
        <v>17.7315</v>
      </c>
      <c r="CL681" s="120">
        <f>(CK681+CM681)/2</f>
        <v>18.07225</v>
      </c>
      <c r="CM681" s="120">
        <f>(CM680+CM682)/2</f>
        <v>18.413</v>
      </c>
      <c r="CN681" s="120">
        <f>(CM681+CO681)/2</f>
        <v>18.726500000000001</v>
      </c>
      <c r="CO681" s="120">
        <f>(CO680+CO682)/2</f>
        <v>19.04</v>
      </c>
      <c r="CP681" s="120">
        <f>(CO681+CQ681)/2</f>
        <v>19.380749999999999</v>
      </c>
      <c r="CQ681" s="120">
        <f>(CQ680+CQ682)/2</f>
        <v>19.721499999999999</v>
      </c>
      <c r="CR681" s="120">
        <f>(CQ681+CS681)/2</f>
        <v>20.045999999999999</v>
      </c>
      <c r="CS681" s="120">
        <f>(CS680+CS682)/2</f>
        <v>20.3705</v>
      </c>
      <c r="CT681" s="120">
        <f>(CS681+CU681)/2</f>
        <v>20.707250000000002</v>
      </c>
      <c r="CU681" s="120">
        <f>(CU680+CU682)/2</f>
        <v>21.044</v>
      </c>
      <c r="CV681" s="120">
        <f>(CU681+CW681)/2</f>
        <v>21.361750000000001</v>
      </c>
      <c r="CW681" s="120">
        <f>(CW680+CW682)/2</f>
        <v>21.679500000000001</v>
      </c>
      <c r="CX681" s="120">
        <f>(CW681+CY681)/2</f>
        <v>21.997325</v>
      </c>
      <c r="CY681" s="120">
        <f>(CY680+CY682)/2</f>
        <v>22.315149999999999</v>
      </c>
      <c r="CZ681" s="120">
        <f>(CY681+DA681)/2</f>
        <v>22.619824999999999</v>
      </c>
      <c r="DA681" s="120">
        <f>(DA680+DA682)/2</f>
        <v>22.924500000000002</v>
      </c>
      <c r="DB681" s="120">
        <f>(DA681+DC681)/2</f>
        <v>23.242250000000002</v>
      </c>
      <c r="DC681" s="120">
        <f>(DC680+DC682)/2</f>
        <v>23.560000000000002</v>
      </c>
      <c r="DD681" s="120">
        <f>(DC681+DE681)/2</f>
        <v>23.88175</v>
      </c>
      <c r="DE681" s="120">
        <f>(DE680+DE682)/2</f>
        <v>24.203499999999998</v>
      </c>
      <c r="DF681" s="120">
        <f>(DE681+DG681)/2</f>
        <v>24.516999999999999</v>
      </c>
      <c r="DG681" s="122">
        <f>(DG680+DG682)/2</f>
        <v>24.830500000000001</v>
      </c>
    </row>
    <row r="682" spans="54:111" ht="15" customHeight="1" x14ac:dyDescent="0.2">
      <c r="BB682" s="28">
        <v>8</v>
      </c>
      <c r="BC682" s="121">
        <v>4.8479999999999999</v>
      </c>
      <c r="BD682" s="121">
        <v>5.4194999999999993</v>
      </c>
      <c r="BE682" s="121">
        <v>5.9909999999999997</v>
      </c>
      <c r="BF682" s="121">
        <f t="array" ref="BF682:BF734">TRANSPOSE(BG681:DG681)</f>
        <v>6.5235000000000003</v>
      </c>
      <c r="BG682" s="158">
        <v>7.056</v>
      </c>
      <c r="BH682" s="120">
        <f>(BI682+BG682)/2</f>
        <v>7.5419999999999998</v>
      </c>
      <c r="BI682" s="158">
        <v>8.0280000000000005</v>
      </c>
      <c r="BJ682" s="120">
        <f>(BK682+BI682)/2</f>
        <v>8.484</v>
      </c>
      <c r="BK682" s="158">
        <v>8.94</v>
      </c>
      <c r="BL682" s="120">
        <f>(BM682+BK682)/2</f>
        <v>9.3879999999999999</v>
      </c>
      <c r="BM682" s="158">
        <v>9.8360000000000003</v>
      </c>
      <c r="BN682" s="120">
        <f>(BO682+BM682)/2</f>
        <v>10.253</v>
      </c>
      <c r="BO682" s="158">
        <v>10.67</v>
      </c>
      <c r="BP682" s="120">
        <f>(BQ682+BO682)/2</f>
        <v>11.087</v>
      </c>
      <c r="BQ682" s="158">
        <v>11.504</v>
      </c>
      <c r="BR682" s="120">
        <f>(BS682+BQ682)/2</f>
        <v>11.913</v>
      </c>
      <c r="BS682" s="158">
        <v>12.321999999999999</v>
      </c>
      <c r="BT682" s="120">
        <f>(BU682+BS682)/2</f>
        <v>12.7395</v>
      </c>
      <c r="BU682" s="158">
        <v>13.157</v>
      </c>
      <c r="BV682" s="120">
        <f>(BW682+BU682)/2</f>
        <v>13.535499999999999</v>
      </c>
      <c r="BW682" s="158">
        <v>13.914</v>
      </c>
      <c r="BX682" s="120">
        <f>(BY682+BW682)/2</f>
        <v>14.323</v>
      </c>
      <c r="BY682" s="158">
        <v>14.731999999999999</v>
      </c>
      <c r="BZ682" s="120">
        <f>(CA682+BY682)/2</f>
        <v>15.111000000000001</v>
      </c>
      <c r="CA682" s="158">
        <v>15.49</v>
      </c>
      <c r="CB682" s="120">
        <f>(CC682+CA682)/2</f>
        <v>15.868500000000001</v>
      </c>
      <c r="CC682" s="158">
        <v>16.247</v>
      </c>
      <c r="CD682" s="120">
        <f>(CE682+CC682)/2</f>
        <v>16.6175</v>
      </c>
      <c r="CE682" s="158">
        <v>16.988</v>
      </c>
      <c r="CF682" s="120">
        <f>(CG682+CE682)/2</f>
        <v>17.366500000000002</v>
      </c>
      <c r="CG682" s="158">
        <v>17.745000000000001</v>
      </c>
      <c r="CH682" s="120">
        <f>(CI682+CG682)/2</f>
        <v>18.124000000000002</v>
      </c>
      <c r="CI682" s="158">
        <v>18.503</v>
      </c>
      <c r="CJ682" s="120">
        <f>(CK682+CI682)/2</f>
        <v>18.835000000000001</v>
      </c>
      <c r="CK682" s="158">
        <v>19.167000000000002</v>
      </c>
      <c r="CL682" s="120">
        <f>(CM682+CK682)/2</f>
        <v>19.545500000000001</v>
      </c>
      <c r="CM682" s="158">
        <v>19.923999999999999</v>
      </c>
      <c r="CN682" s="120">
        <f>(CO682+CM682)/2</f>
        <v>20.256</v>
      </c>
      <c r="CO682" s="158">
        <v>20.588000000000001</v>
      </c>
      <c r="CP682" s="120">
        <f>(CQ682+CO682)/2</f>
        <v>20.966999999999999</v>
      </c>
      <c r="CQ682" s="158">
        <v>21.346</v>
      </c>
      <c r="CR682" s="120">
        <f>(CS682+CQ682)/2</f>
        <v>21.686</v>
      </c>
      <c r="CS682" s="158">
        <v>22.026</v>
      </c>
      <c r="CT682" s="120">
        <f>(CU682+CS682)/2</f>
        <v>22.3965</v>
      </c>
      <c r="CU682" s="158">
        <v>22.766999999999999</v>
      </c>
      <c r="CV682" s="120">
        <f>(CW682+CU682)/2</f>
        <v>23.107500000000002</v>
      </c>
      <c r="CW682" s="158">
        <v>23.448</v>
      </c>
      <c r="CX682" s="120">
        <f>(CY682+CW682)/2</f>
        <v>23.788150000000002</v>
      </c>
      <c r="CY682" s="158">
        <v>24.128299999999999</v>
      </c>
      <c r="CZ682" s="120">
        <f>(DA682+CY682)/2</f>
        <v>24.460149999999999</v>
      </c>
      <c r="DA682" s="158">
        <v>24.792000000000002</v>
      </c>
      <c r="DB682" s="120">
        <f>(DC682+DA682)/2</f>
        <v>25.170500000000001</v>
      </c>
      <c r="DC682" s="158">
        <v>25.548999999999999</v>
      </c>
      <c r="DD682" s="120">
        <f>(DE682+DC682)/2</f>
        <v>25.889499999999998</v>
      </c>
      <c r="DE682" s="158">
        <v>26.23</v>
      </c>
      <c r="DF682" s="120">
        <f>(DG682+DE682)/2</f>
        <v>26.561999999999998</v>
      </c>
      <c r="DG682" s="159">
        <v>26.893999999999998</v>
      </c>
    </row>
    <row r="683" spans="54:111" ht="15" customHeight="1" x14ac:dyDescent="0.2">
      <c r="BB683" s="28">
        <v>9</v>
      </c>
      <c r="BC683" s="121">
        <v>5.1909999999999998</v>
      </c>
      <c r="BD683" s="121">
        <v>5.7962499999999997</v>
      </c>
      <c r="BE683" s="121">
        <v>6.4015000000000004</v>
      </c>
      <c r="BF683" s="121">
        <v>6.9717500000000001</v>
      </c>
      <c r="BG683" s="121">
        <f t="array" ref="BG683:BG734">TRANSPOSE(BH682:DG682)</f>
        <v>7.5419999999999998</v>
      </c>
      <c r="BH683" s="120">
        <f>(BG683+BI683)/2</f>
        <v>8.0507500000000007</v>
      </c>
      <c r="BI683" s="120">
        <f>(BI682+BI684)/2</f>
        <v>8.5594999999999999</v>
      </c>
      <c r="BJ683" s="120">
        <f>(BI683+BK683)/2</f>
        <v>9.0655000000000001</v>
      </c>
      <c r="BK683" s="120">
        <f>(BK682+BK684)/2</f>
        <v>9.5715000000000003</v>
      </c>
      <c r="BL683" s="120">
        <f>(BK683+BM683)/2</f>
        <v>10.042</v>
      </c>
      <c r="BM683" s="120">
        <f>(BM682+BM684)/2</f>
        <v>10.512499999999999</v>
      </c>
      <c r="BN683" s="120">
        <f>(BM683+BO683)/2</f>
        <v>10.9635</v>
      </c>
      <c r="BO683" s="120">
        <f>(BO682+BO684)/2</f>
        <v>11.4145</v>
      </c>
      <c r="BP683" s="120">
        <f>(BO683+BQ683)/2</f>
        <v>11.8695</v>
      </c>
      <c r="BQ683" s="120">
        <f>(BQ682+BQ684)/2</f>
        <v>12.3245</v>
      </c>
      <c r="BR683" s="120">
        <f>(BQ683+BS683)/2</f>
        <v>12.76825</v>
      </c>
      <c r="BS683" s="120">
        <f>(BS682+BS684)/2</f>
        <v>13.212</v>
      </c>
      <c r="BT683" s="120">
        <f>(BS683+BU683)/2</f>
        <v>13.64775</v>
      </c>
      <c r="BU683" s="120">
        <f>(BU682+BU684)/2</f>
        <v>14.083500000000001</v>
      </c>
      <c r="BV683" s="120">
        <f>(BU683+BW683)/2</f>
        <v>14.5</v>
      </c>
      <c r="BW683" s="120">
        <f>(BW682+BW684)/2</f>
        <v>14.916499999999999</v>
      </c>
      <c r="BX683" s="120">
        <f>(BW683+BY683)/2</f>
        <v>15.3445</v>
      </c>
      <c r="BY683" s="120">
        <f>(BY682+BY684)/2</f>
        <v>15.772499999999999</v>
      </c>
      <c r="BZ683" s="120">
        <f>(BY683+CA683)/2</f>
        <v>16.181999999999999</v>
      </c>
      <c r="CA683" s="120">
        <f>(CA682+CA684)/2</f>
        <v>16.5915</v>
      </c>
      <c r="CB683" s="120">
        <f>(CA683+CC683)/2</f>
        <v>17.008000000000003</v>
      </c>
      <c r="CC683" s="120">
        <f>(CC682+CC684)/2</f>
        <v>17.424500000000002</v>
      </c>
      <c r="CD683" s="120">
        <f>(CC683+CE683)/2</f>
        <v>17.817500000000003</v>
      </c>
      <c r="CE683" s="120">
        <f>(CE682+CE684)/2</f>
        <v>18.2105</v>
      </c>
      <c r="CF683" s="120">
        <f>(CE683+CG683)/2</f>
        <v>18.607500000000002</v>
      </c>
      <c r="CG683" s="120">
        <f>(CG682+CG684)/2</f>
        <v>19.0045</v>
      </c>
      <c r="CH683" s="120">
        <f>(CG683+CI683)/2</f>
        <v>19.410499999999999</v>
      </c>
      <c r="CI683" s="120">
        <f>(CI682+CI684)/2</f>
        <v>19.816499999999998</v>
      </c>
      <c r="CJ683" s="120">
        <f>(CI683+CK683)/2</f>
        <v>20.1905</v>
      </c>
      <c r="CK683" s="120">
        <f>(CK682+CK684)/2</f>
        <v>20.564500000000002</v>
      </c>
      <c r="CL683" s="120">
        <f>(CK683+CM683)/2</f>
        <v>20.961500000000001</v>
      </c>
      <c r="CM683" s="120">
        <f>(CM682+CM684)/2</f>
        <v>21.358499999999999</v>
      </c>
      <c r="CN683" s="120">
        <f>(CM683+CO683)/2</f>
        <v>21.732250000000001</v>
      </c>
      <c r="CO683" s="120">
        <f>(CO682+CO684)/2</f>
        <v>22.106000000000002</v>
      </c>
      <c r="CP683" s="120">
        <f>(CO683+CQ683)/2</f>
        <v>22.515750000000001</v>
      </c>
      <c r="CQ683" s="120">
        <f>(CQ682+CQ684)/2</f>
        <v>22.9255</v>
      </c>
      <c r="CR683" s="120">
        <f>(CQ683+CS683)/2</f>
        <v>23.280249999999999</v>
      </c>
      <c r="CS683" s="120">
        <f>(CS682+CS684)/2</f>
        <v>23.634999999999998</v>
      </c>
      <c r="CT683" s="120">
        <f>(CS683+CU683)/2</f>
        <v>24.02825</v>
      </c>
      <c r="CU683" s="120">
        <f>(CU682+CU684)/2</f>
        <v>24.421500000000002</v>
      </c>
      <c r="CV683" s="120">
        <f>(CU683+CW683)/2</f>
        <v>24.780250000000002</v>
      </c>
      <c r="CW683" s="120">
        <f>(CW682+CW684)/2</f>
        <v>25.138999999999999</v>
      </c>
      <c r="CX683" s="120">
        <f>(CW683+CY683)/2</f>
        <v>25.529325</v>
      </c>
      <c r="CY683" s="120">
        <f>(CY682+CY684)/2</f>
        <v>25.919649999999997</v>
      </c>
      <c r="CZ683" s="120">
        <f>(CY683+DA683)/2</f>
        <v>26.274075</v>
      </c>
      <c r="DA683" s="120">
        <f>(DA682+DA684)/2</f>
        <v>26.628500000000003</v>
      </c>
      <c r="DB683" s="120">
        <f>(DA683+DC683)/2</f>
        <v>27.021750000000001</v>
      </c>
      <c r="DC683" s="120">
        <f>(DC682+DC684)/2</f>
        <v>27.414999999999999</v>
      </c>
      <c r="DD683" s="120">
        <f>(DC683+DE683)/2</f>
        <v>27.774000000000001</v>
      </c>
      <c r="DE683" s="120">
        <f>(DE682+DE684)/2</f>
        <v>28.133000000000003</v>
      </c>
      <c r="DF683" s="120">
        <f>(DE683+DG683)/2</f>
        <v>28.5</v>
      </c>
      <c r="DG683" s="122">
        <f>(DG682+DG684)/2</f>
        <v>28.866999999999997</v>
      </c>
    </row>
    <row r="684" spans="54:111" ht="15" customHeight="1" x14ac:dyDescent="0.2">
      <c r="BB684" s="28">
        <v>10</v>
      </c>
      <c r="BC684" s="121">
        <v>5.5339999999999998</v>
      </c>
      <c r="BD684" s="121">
        <v>6.173</v>
      </c>
      <c r="BE684" s="121">
        <v>6.8120000000000003</v>
      </c>
      <c r="BF684" s="121">
        <v>7.42</v>
      </c>
      <c r="BG684" s="121">
        <v>8.0280000000000005</v>
      </c>
      <c r="BH684" s="121">
        <f t="array" ref="BH684:BH734">TRANSPOSE(BI683:DG683)</f>
        <v>8.5594999999999999</v>
      </c>
      <c r="BI684" s="158">
        <v>9.0909999999999993</v>
      </c>
      <c r="BJ684" s="120">
        <f>(BK684+BI684)/2</f>
        <v>9.6469999999999985</v>
      </c>
      <c r="BK684" s="158">
        <v>10.202999999999999</v>
      </c>
      <c r="BL684" s="120">
        <f>(BM684+BK684)/2</f>
        <v>10.696</v>
      </c>
      <c r="BM684" s="158">
        <v>11.189</v>
      </c>
      <c r="BN684" s="120">
        <f>(BO684+BM684)/2</f>
        <v>11.673999999999999</v>
      </c>
      <c r="BO684" s="158">
        <v>12.159000000000001</v>
      </c>
      <c r="BP684" s="120">
        <f>(BQ684+BO684)/2</f>
        <v>12.652000000000001</v>
      </c>
      <c r="BQ684" s="158">
        <v>13.145</v>
      </c>
      <c r="BR684" s="120">
        <f>(BS684+BQ684)/2</f>
        <v>13.6235</v>
      </c>
      <c r="BS684" s="158">
        <v>14.102</v>
      </c>
      <c r="BT684" s="120">
        <f>(BU684+BS684)/2</f>
        <v>14.556000000000001</v>
      </c>
      <c r="BU684" s="158">
        <v>15.01</v>
      </c>
      <c r="BV684" s="120">
        <f>(BW684+BU684)/2</f>
        <v>15.464500000000001</v>
      </c>
      <c r="BW684" s="158">
        <v>15.919</v>
      </c>
      <c r="BX684" s="120">
        <f>(BY684+BW684)/2</f>
        <v>16.366</v>
      </c>
      <c r="BY684" s="158">
        <v>16.812999999999999</v>
      </c>
      <c r="BZ684" s="120">
        <f>(CA684+BY684)/2</f>
        <v>17.253</v>
      </c>
      <c r="CA684" s="158">
        <v>17.693000000000001</v>
      </c>
      <c r="CB684" s="120">
        <f>(CC684+CA684)/2</f>
        <v>18.147500000000001</v>
      </c>
      <c r="CC684" s="158">
        <v>18.602</v>
      </c>
      <c r="CD684" s="120">
        <f>(CE684+CC684)/2</f>
        <v>19.017499999999998</v>
      </c>
      <c r="CE684" s="158">
        <v>19.433</v>
      </c>
      <c r="CF684" s="120">
        <f>(CG684+CE684)/2</f>
        <v>19.848500000000001</v>
      </c>
      <c r="CG684" s="158">
        <v>20.263999999999999</v>
      </c>
      <c r="CH684" s="120">
        <f>(CI684+CG684)/2</f>
        <v>20.696999999999999</v>
      </c>
      <c r="CI684" s="158">
        <v>21.13</v>
      </c>
      <c r="CJ684" s="120">
        <f>(CK684+CI684)/2</f>
        <v>21.545999999999999</v>
      </c>
      <c r="CK684" s="158">
        <v>21.962</v>
      </c>
      <c r="CL684" s="120">
        <f>(CM684+CK684)/2</f>
        <v>22.377499999999998</v>
      </c>
      <c r="CM684" s="158">
        <v>22.792999999999999</v>
      </c>
      <c r="CN684" s="120">
        <f>(CO684+CM684)/2</f>
        <v>23.208500000000001</v>
      </c>
      <c r="CO684" s="158">
        <v>23.623999999999999</v>
      </c>
      <c r="CP684" s="120">
        <f>(CQ684+CO684)/2</f>
        <v>24.064499999999999</v>
      </c>
      <c r="CQ684" s="158">
        <v>24.504999999999999</v>
      </c>
      <c r="CR684" s="120">
        <f>(CS684+CQ684)/2</f>
        <v>24.874499999999998</v>
      </c>
      <c r="CS684" s="158">
        <v>25.244</v>
      </c>
      <c r="CT684" s="120">
        <f>(CU684+CS684)/2</f>
        <v>25.66</v>
      </c>
      <c r="CU684" s="158">
        <v>26.076000000000001</v>
      </c>
      <c r="CV684" s="120">
        <f>(CW684+CU684)/2</f>
        <v>26.452999999999999</v>
      </c>
      <c r="CW684" s="158">
        <v>26.83</v>
      </c>
      <c r="CX684" s="120">
        <f>(CY684+CW684)/2</f>
        <v>27.270499999999998</v>
      </c>
      <c r="CY684" s="158">
        <v>27.710999999999999</v>
      </c>
      <c r="CZ684" s="120">
        <f>(DA684+CY684)/2</f>
        <v>28.088000000000001</v>
      </c>
      <c r="DA684" s="158">
        <v>28.465</v>
      </c>
      <c r="DB684" s="120">
        <f>(DC684+DA684)/2</f>
        <v>28.872999999999998</v>
      </c>
      <c r="DC684" s="158">
        <v>29.280999999999999</v>
      </c>
      <c r="DD684" s="120">
        <f>(DE684+DC684)/2</f>
        <v>29.6585</v>
      </c>
      <c r="DE684" s="158">
        <v>30.036000000000001</v>
      </c>
      <c r="DF684" s="120">
        <f>(DG684+DE684)/2</f>
        <v>30.438000000000002</v>
      </c>
      <c r="DG684" s="159">
        <v>30.84</v>
      </c>
    </row>
    <row r="685" spans="54:111" ht="15" customHeight="1" x14ac:dyDescent="0.2">
      <c r="BB685" s="28">
        <v>11</v>
      </c>
      <c r="BC685" s="121">
        <v>5.8439999999999994</v>
      </c>
      <c r="BD685" s="121">
        <v>6.5369999999999999</v>
      </c>
      <c r="BE685" s="121">
        <v>7.23</v>
      </c>
      <c r="BF685" s="121">
        <v>7.8570000000000002</v>
      </c>
      <c r="BG685" s="121">
        <v>8.484</v>
      </c>
      <c r="BH685" s="121">
        <v>9.0655000000000001</v>
      </c>
      <c r="BI685" s="121">
        <f t="array" ref="BI685:BI734">TRANSPOSE(BJ684:DG684)</f>
        <v>9.6469999999999985</v>
      </c>
      <c r="BJ685" s="120">
        <f>(BI685+BK685)/2</f>
        <v>10.209499999999998</v>
      </c>
      <c r="BK685" s="120">
        <f>(BK684+BK686)/2</f>
        <v>10.771999999999998</v>
      </c>
      <c r="BL685" s="120">
        <f>(BK685+BM685)/2</f>
        <v>11.315</v>
      </c>
      <c r="BM685" s="120">
        <f>(BM684+BM686)/2</f>
        <v>11.858000000000001</v>
      </c>
      <c r="BN685" s="120">
        <f>(BM685+BO685)/2</f>
        <v>12.365500000000001</v>
      </c>
      <c r="BO685" s="120">
        <f>(BO684+BO686)/2</f>
        <v>12.873000000000001</v>
      </c>
      <c r="BP685" s="120">
        <f>(BO685+BQ685)/2</f>
        <v>13.396750000000001</v>
      </c>
      <c r="BQ685" s="120">
        <f>(BQ684+BQ686)/2</f>
        <v>13.920500000000001</v>
      </c>
      <c r="BR685" s="120">
        <f>(BQ685+BS685)/2</f>
        <v>14.42475</v>
      </c>
      <c r="BS685" s="120">
        <f>(BS684+BS686)/2</f>
        <v>14.929</v>
      </c>
      <c r="BT685" s="120">
        <f>(BS685+BU685)/2</f>
        <v>15.414000000000001</v>
      </c>
      <c r="BU685" s="120">
        <f>(BU684+BU686)/2</f>
        <v>15.899000000000001</v>
      </c>
      <c r="BV685" s="120">
        <f>(BU685+BW685)/2</f>
        <v>16.391249999999999</v>
      </c>
      <c r="BW685" s="120">
        <f>(BW684+BW686)/2</f>
        <v>16.883499999999998</v>
      </c>
      <c r="BX685" s="120">
        <f>(BW685+BY685)/2</f>
        <v>17.361249999999998</v>
      </c>
      <c r="BY685" s="120">
        <f>(BY684+BY686)/2</f>
        <v>17.838999999999999</v>
      </c>
      <c r="BZ685" s="120">
        <f>(BY685+CA685)/2</f>
        <v>18.285249999999998</v>
      </c>
      <c r="CA685" s="120">
        <f>(CA684+CA686)/2</f>
        <v>18.7315</v>
      </c>
      <c r="CB685" s="120">
        <f>(CA685+CC685)/2</f>
        <v>19.216999999999999</v>
      </c>
      <c r="CC685" s="120">
        <f>(CC684+CC686)/2</f>
        <v>19.702500000000001</v>
      </c>
      <c r="CD685" s="120">
        <f>(CC685+CE685)/2</f>
        <v>20.155750000000001</v>
      </c>
      <c r="CE685" s="120">
        <f>(CE684+CE686)/2</f>
        <v>20.609000000000002</v>
      </c>
      <c r="CF685" s="120">
        <f>(CE685+CG685)/2</f>
        <v>21.05575</v>
      </c>
      <c r="CG685" s="120">
        <f>(CG684+CG686)/2</f>
        <v>21.502499999999998</v>
      </c>
      <c r="CH685" s="120">
        <f>(CG685+CI685)/2</f>
        <v>21.945249999999998</v>
      </c>
      <c r="CI685" s="120">
        <f>(CI684+CI686)/2</f>
        <v>22.387999999999998</v>
      </c>
      <c r="CJ685" s="120">
        <f>(CI685+CK685)/2</f>
        <v>22.85425</v>
      </c>
      <c r="CK685" s="120">
        <f>(CK684+CK686)/2</f>
        <v>23.320499999999999</v>
      </c>
      <c r="CL685" s="120">
        <f>(CK685+CM685)/2</f>
        <v>23.7545</v>
      </c>
      <c r="CM685" s="120">
        <f>(CM684+CM686)/2</f>
        <v>24.188499999999998</v>
      </c>
      <c r="CN685" s="120">
        <f>(CM685+CO685)/2</f>
        <v>24.635249999999999</v>
      </c>
      <c r="CO685" s="120">
        <f>(CO684+CO686)/2</f>
        <v>25.082000000000001</v>
      </c>
      <c r="CP685" s="120">
        <f>(CO685+CQ685)/2</f>
        <v>25.528750000000002</v>
      </c>
      <c r="CQ685" s="120">
        <f>(CQ684+CQ686)/2</f>
        <v>25.9755</v>
      </c>
      <c r="CR685" s="120">
        <f>(CQ685+CS685)/2</f>
        <v>26.399000000000001</v>
      </c>
      <c r="CS685" s="120">
        <f>(CS684+CS686)/2</f>
        <v>26.822499999999998</v>
      </c>
      <c r="CT685" s="120">
        <f>(CS685+CU685)/2</f>
        <v>27.256999999999998</v>
      </c>
      <c r="CU685" s="120">
        <f>(CU684+CU686)/2</f>
        <v>27.691499999999998</v>
      </c>
      <c r="CV685" s="120">
        <f>(CU685+CW685)/2</f>
        <v>28.099499999999999</v>
      </c>
      <c r="CW685" s="120">
        <f>(CW684+CW686)/2</f>
        <v>28.5075</v>
      </c>
      <c r="CX685" s="120">
        <f>(CW685+CY685)/2</f>
        <v>28.954250000000002</v>
      </c>
      <c r="CY685" s="120">
        <f>(CY684+CY686)/2</f>
        <v>29.401</v>
      </c>
      <c r="CZ685" s="120">
        <f>(CY685+DA685)/2</f>
        <v>29.828249999999997</v>
      </c>
      <c r="DA685" s="120">
        <f>(DA684+DA686)/2</f>
        <v>30.255499999999998</v>
      </c>
      <c r="DB685" s="120">
        <f>(DA685+DC685)/2</f>
        <v>30.66675</v>
      </c>
      <c r="DC685" s="120">
        <f>(DC684+DC686)/2</f>
        <v>31.077999999999999</v>
      </c>
      <c r="DD685" s="120">
        <f>(DC685+DE685)/2</f>
        <v>31.505499999999998</v>
      </c>
      <c r="DE685" s="120">
        <f>(DE684+DE686)/2</f>
        <v>31.933</v>
      </c>
      <c r="DF685" s="120">
        <f>(DE685+DG685)/2</f>
        <v>32.341250000000002</v>
      </c>
      <c r="DG685" s="122">
        <f>(DG684+DG686)/2</f>
        <v>32.749499999999998</v>
      </c>
    </row>
    <row r="686" spans="54:111" ht="15" customHeight="1" x14ac:dyDescent="0.2">
      <c r="BB686" s="28">
        <v>12</v>
      </c>
      <c r="BC686" s="121">
        <v>6.1539999999999999</v>
      </c>
      <c r="BD686" s="121">
        <v>6.9009999999999998</v>
      </c>
      <c r="BE686" s="121">
        <v>7.6479999999999997</v>
      </c>
      <c r="BF686" s="121">
        <v>8.2940000000000005</v>
      </c>
      <c r="BG686" s="121">
        <v>8.94</v>
      </c>
      <c r="BH686" s="121">
        <v>9.5715000000000003</v>
      </c>
      <c r="BI686" s="121">
        <v>10.202999999999999</v>
      </c>
      <c r="BJ686" s="121">
        <f t="array" ref="BJ686:BJ734">TRANSPOSE(BK685:DG685)</f>
        <v>10.771999999999998</v>
      </c>
      <c r="BK686" s="158">
        <v>11.340999999999999</v>
      </c>
      <c r="BL686" s="120">
        <f>(BM686+BK686)/2</f>
        <v>11.933999999999999</v>
      </c>
      <c r="BM686" s="158">
        <v>12.526999999999999</v>
      </c>
      <c r="BN686" s="120">
        <f>(BO686+BM686)/2</f>
        <v>13.056999999999999</v>
      </c>
      <c r="BO686" s="158">
        <v>13.587</v>
      </c>
      <c r="BP686" s="120">
        <f>(BQ686+BO686)/2</f>
        <v>14.141500000000001</v>
      </c>
      <c r="BQ686" s="158">
        <v>14.696</v>
      </c>
      <c r="BR686" s="120">
        <f>(BS686+BQ686)/2</f>
        <v>15.225999999999999</v>
      </c>
      <c r="BS686" s="158">
        <v>15.756</v>
      </c>
      <c r="BT686" s="120">
        <f>(BU686+BS686)/2</f>
        <v>16.271999999999998</v>
      </c>
      <c r="BU686" s="158">
        <v>16.788</v>
      </c>
      <c r="BV686" s="120">
        <f>(BW686+BU686)/2</f>
        <v>17.317999999999998</v>
      </c>
      <c r="BW686" s="158">
        <v>17.847999999999999</v>
      </c>
      <c r="BX686" s="120">
        <f>(BY686+BW686)/2</f>
        <v>18.356499999999997</v>
      </c>
      <c r="BY686" s="158">
        <v>18.864999999999998</v>
      </c>
      <c r="BZ686" s="120">
        <f>(CA686+BY686)/2</f>
        <v>19.317499999999999</v>
      </c>
      <c r="CA686" s="158">
        <v>19.77</v>
      </c>
      <c r="CB686" s="120">
        <f>(CC686+CA686)/2</f>
        <v>20.2865</v>
      </c>
      <c r="CC686" s="158">
        <v>20.803000000000001</v>
      </c>
      <c r="CD686" s="120">
        <f>(CE686+CC686)/2</f>
        <v>21.294</v>
      </c>
      <c r="CE686" s="158">
        <v>21.785</v>
      </c>
      <c r="CF686" s="120">
        <f>(CG686+CE686)/2</f>
        <v>22.262999999999998</v>
      </c>
      <c r="CG686" s="158">
        <v>22.741</v>
      </c>
      <c r="CH686" s="120">
        <f>(CI686+CG686)/2</f>
        <v>23.1935</v>
      </c>
      <c r="CI686" s="158">
        <v>23.646000000000001</v>
      </c>
      <c r="CJ686" s="120">
        <f>(CK686+CI686)/2</f>
        <v>24.162500000000001</v>
      </c>
      <c r="CK686" s="158">
        <v>24.678999999999998</v>
      </c>
      <c r="CL686" s="120">
        <f>(CM686+CK686)/2</f>
        <v>25.131499999999999</v>
      </c>
      <c r="CM686" s="158">
        <v>25.584</v>
      </c>
      <c r="CN686" s="120">
        <f>(CO686+CM686)/2</f>
        <v>26.061999999999998</v>
      </c>
      <c r="CO686" s="158">
        <v>26.54</v>
      </c>
      <c r="CP686" s="120">
        <f>(CQ686+CO686)/2</f>
        <v>26.993000000000002</v>
      </c>
      <c r="CQ686" s="158">
        <v>27.446000000000002</v>
      </c>
      <c r="CR686" s="120">
        <f>(CS686+CQ686)/2</f>
        <v>27.923500000000001</v>
      </c>
      <c r="CS686" s="158">
        <v>28.401</v>
      </c>
      <c r="CT686" s="120">
        <f>(CU686+CS686)/2</f>
        <v>28.853999999999999</v>
      </c>
      <c r="CU686" s="158">
        <v>29.306999999999999</v>
      </c>
      <c r="CV686" s="120">
        <f>(CW686+CU686)/2</f>
        <v>29.745999999999999</v>
      </c>
      <c r="CW686" s="158">
        <v>30.184999999999999</v>
      </c>
      <c r="CX686" s="120">
        <f>(CY686+CW686)/2</f>
        <v>30.637999999999998</v>
      </c>
      <c r="CY686" s="158">
        <v>31.091000000000001</v>
      </c>
      <c r="CZ686" s="120">
        <f>(DA686+CY686)/2</f>
        <v>31.5685</v>
      </c>
      <c r="DA686" s="158">
        <v>32.045999999999999</v>
      </c>
      <c r="DB686" s="120">
        <f>(DC686+DA686)/2</f>
        <v>32.460499999999996</v>
      </c>
      <c r="DC686" s="158">
        <v>32.875</v>
      </c>
      <c r="DD686" s="120">
        <f>(DE686+DC686)/2</f>
        <v>33.352499999999999</v>
      </c>
      <c r="DE686" s="158">
        <v>33.83</v>
      </c>
      <c r="DF686" s="120">
        <f>(DG686+DE686)/2</f>
        <v>34.244500000000002</v>
      </c>
      <c r="DG686" s="159">
        <v>34.658999999999999</v>
      </c>
    </row>
    <row r="687" spans="54:111" ht="15" customHeight="1" x14ac:dyDescent="0.2">
      <c r="BB687" s="28">
        <v>13</v>
      </c>
      <c r="BC687" s="121">
        <v>6.4889999999999999</v>
      </c>
      <c r="BD687" s="121">
        <v>7.2424999999999997</v>
      </c>
      <c r="BE687" s="121">
        <v>7.9959999999999996</v>
      </c>
      <c r="BF687" s="121">
        <v>8.6920000000000002</v>
      </c>
      <c r="BG687" s="121">
        <v>9.3879999999999999</v>
      </c>
      <c r="BH687" s="121">
        <v>10.042</v>
      </c>
      <c r="BI687" s="121">
        <v>10.696</v>
      </c>
      <c r="BJ687" s="121">
        <v>11.315</v>
      </c>
      <c r="BK687" s="121">
        <f t="array" ref="BK687:BK734">TRANSPOSE(BL686:DG686)</f>
        <v>11.933999999999999</v>
      </c>
      <c r="BL687" s="120">
        <f>(BK687+BM687)/2</f>
        <v>12.533249999999999</v>
      </c>
      <c r="BM687" s="120">
        <f>(BM686+BM688)/2</f>
        <v>13.1325</v>
      </c>
      <c r="BN687" s="120">
        <f>(BM687+BO687)/2</f>
        <v>13.71275</v>
      </c>
      <c r="BO687" s="120">
        <f>(BO686+BO688)/2</f>
        <v>14.292999999999999</v>
      </c>
      <c r="BP687" s="120">
        <f>(BO687+BQ687)/2</f>
        <v>14.866</v>
      </c>
      <c r="BQ687" s="120">
        <f>(BQ686+BQ688)/2</f>
        <v>15.439</v>
      </c>
      <c r="BR687" s="120">
        <f>(BQ687+BS687)/2</f>
        <v>15.999749999999999</v>
      </c>
      <c r="BS687" s="120">
        <f>(BS686+BS688)/2</f>
        <v>16.560499999999998</v>
      </c>
      <c r="BT687" s="120">
        <f>(BS687+BU687)/2</f>
        <v>17.102249999999998</v>
      </c>
      <c r="BU687" s="120">
        <f>(BU686+BU688)/2</f>
        <v>17.643999999999998</v>
      </c>
      <c r="BV687" s="120">
        <f>(BU687+BW687)/2</f>
        <v>18.185499999999998</v>
      </c>
      <c r="BW687" s="120">
        <f>(BW686+BW688)/2</f>
        <v>18.727</v>
      </c>
      <c r="BX687" s="120">
        <f>(BW687+BY687)/2</f>
        <v>19.280999999999999</v>
      </c>
      <c r="BY687" s="120">
        <f>(BY686+BY688)/2</f>
        <v>19.835000000000001</v>
      </c>
      <c r="BZ687" s="120">
        <f>(BY687+CA687)/2</f>
        <v>20.338000000000001</v>
      </c>
      <c r="CA687" s="120">
        <f>(CA686+CA688)/2</f>
        <v>20.841000000000001</v>
      </c>
      <c r="CB687" s="120">
        <f>(CA687+CC687)/2</f>
        <v>21.363500000000002</v>
      </c>
      <c r="CC687" s="120">
        <f>(CC686+CC688)/2</f>
        <v>21.886000000000003</v>
      </c>
      <c r="CD687" s="120">
        <f>(CC687+CE687)/2</f>
        <v>22.408250000000002</v>
      </c>
      <c r="CE687" s="120">
        <f>(CE686+CE688)/2</f>
        <v>22.930500000000002</v>
      </c>
      <c r="CF687" s="120">
        <f>(CE687+CG687)/2</f>
        <v>23.427</v>
      </c>
      <c r="CG687" s="120">
        <f>(CG686+CG688)/2</f>
        <v>23.923500000000001</v>
      </c>
      <c r="CH687" s="120">
        <f>(CG687+CI687)/2</f>
        <v>24.426250000000003</v>
      </c>
      <c r="CI687" s="120">
        <f>(CI686+CI688)/2</f>
        <v>24.929000000000002</v>
      </c>
      <c r="CJ687" s="120">
        <f>(CI687+CK687)/2</f>
        <v>25.432500000000001</v>
      </c>
      <c r="CK687" s="120">
        <f>(CK686+CK688)/2</f>
        <v>25.936</v>
      </c>
      <c r="CL687" s="120">
        <f>(CK687+CM687)/2</f>
        <v>26.438749999999999</v>
      </c>
      <c r="CM687" s="120">
        <f>(CM686+CM688)/2</f>
        <v>26.941499999999998</v>
      </c>
      <c r="CN687" s="120">
        <f>(CM687+CO687)/2</f>
        <v>27.441749999999999</v>
      </c>
      <c r="CO687" s="120">
        <f>(CO686+CO688)/2</f>
        <v>27.942</v>
      </c>
      <c r="CP687" s="120">
        <f>(CO687+CQ687)/2</f>
        <v>28.426000000000002</v>
      </c>
      <c r="CQ687" s="120">
        <f>(CQ686+CQ688)/2</f>
        <v>28.91</v>
      </c>
      <c r="CR687" s="120">
        <f>(CQ687+CS687)/2</f>
        <v>29.393749999999997</v>
      </c>
      <c r="CS687" s="120">
        <f>(CS686+CS688)/2</f>
        <v>29.877499999999998</v>
      </c>
      <c r="CT687" s="120">
        <f>(CS687+CU687)/2</f>
        <v>30.361499999999999</v>
      </c>
      <c r="CU687" s="120">
        <f>(CU686+CU688)/2</f>
        <v>30.845500000000001</v>
      </c>
      <c r="CV687" s="120">
        <f>(CU687+CW687)/2</f>
        <v>31.322500000000002</v>
      </c>
      <c r="CW687" s="120">
        <f>(CW686+CW688)/2</f>
        <v>31.799500000000002</v>
      </c>
      <c r="CX687" s="120">
        <f>(CW687+CY687)/2</f>
        <v>32.283249999999995</v>
      </c>
      <c r="CY687" s="120">
        <f>(CY686+CY688)/2</f>
        <v>32.766999999999996</v>
      </c>
      <c r="CZ687" s="120">
        <f>(CY687+DA687)/2</f>
        <v>33.250999999999998</v>
      </c>
      <c r="DA687" s="120">
        <f>(DA686+DA688)/2</f>
        <v>33.734999999999999</v>
      </c>
      <c r="DB687" s="120">
        <f>(DA687+DC687)/2</f>
        <v>34.1995</v>
      </c>
      <c r="DC687" s="120">
        <f>(DC686+DC688)/2</f>
        <v>34.664000000000001</v>
      </c>
      <c r="DD687" s="120">
        <f>(DC687+DE687)/2</f>
        <v>35.140999999999998</v>
      </c>
      <c r="DE687" s="120">
        <f>(DE686+DE688)/2</f>
        <v>35.617999999999995</v>
      </c>
      <c r="DF687" s="120">
        <f>(DE687+DG687)/2</f>
        <v>36.086500000000001</v>
      </c>
      <c r="DG687" s="122">
        <f>(DG686+DG688)/2</f>
        <v>36.555</v>
      </c>
    </row>
    <row r="688" spans="54:111" ht="15" customHeight="1" x14ac:dyDescent="0.2">
      <c r="BB688" s="28">
        <v>14</v>
      </c>
      <c r="BC688" s="121">
        <v>6.8239999999999998</v>
      </c>
      <c r="BD688" s="121">
        <v>7.5839999999999996</v>
      </c>
      <c r="BE688" s="121">
        <v>8.3439999999999994</v>
      </c>
      <c r="BF688" s="121">
        <v>9.09</v>
      </c>
      <c r="BG688" s="121">
        <v>9.8360000000000003</v>
      </c>
      <c r="BH688" s="121">
        <v>10.512499999999999</v>
      </c>
      <c r="BI688" s="121">
        <v>11.189</v>
      </c>
      <c r="BJ688" s="121">
        <v>11.858000000000001</v>
      </c>
      <c r="BK688" s="121">
        <v>12.526999999999999</v>
      </c>
      <c r="BL688" s="121">
        <f t="array" ref="BL688:BL734">TRANSPOSE(BM687:DG687)</f>
        <v>13.1325</v>
      </c>
      <c r="BM688" s="158">
        <v>13.738</v>
      </c>
      <c r="BN688" s="120">
        <f>(BO688+BM688)/2</f>
        <v>14.368500000000001</v>
      </c>
      <c r="BO688" s="158">
        <v>14.999000000000001</v>
      </c>
      <c r="BP688" s="120">
        <f>(BQ688+BO688)/2</f>
        <v>15.590499999999999</v>
      </c>
      <c r="BQ688" s="158">
        <v>16.181999999999999</v>
      </c>
      <c r="BR688" s="120">
        <f>(BS688+BQ688)/2</f>
        <v>16.773499999999999</v>
      </c>
      <c r="BS688" s="158">
        <v>17.364999999999998</v>
      </c>
      <c r="BT688" s="120">
        <f>(BU688+BS688)/2</f>
        <v>17.932499999999997</v>
      </c>
      <c r="BU688" s="158">
        <v>18.5</v>
      </c>
      <c r="BV688" s="120">
        <f>(BW688+BU688)/2</f>
        <v>19.053000000000001</v>
      </c>
      <c r="BW688" s="158">
        <v>19.606000000000002</v>
      </c>
      <c r="BX688" s="120">
        <f>(BY688+BW688)/2</f>
        <v>20.205500000000001</v>
      </c>
      <c r="BY688" s="158">
        <v>20.805</v>
      </c>
      <c r="BZ688" s="120">
        <f>(CA688+BY688)/2</f>
        <v>21.358499999999999</v>
      </c>
      <c r="CA688" s="158">
        <v>21.911999999999999</v>
      </c>
      <c r="CB688" s="120">
        <f>(CC688+CA688)/2</f>
        <v>22.4405</v>
      </c>
      <c r="CC688" s="158">
        <v>22.969000000000001</v>
      </c>
      <c r="CD688" s="120">
        <f>(CE688+CC688)/2</f>
        <v>23.522500000000001</v>
      </c>
      <c r="CE688" s="158">
        <v>24.076000000000001</v>
      </c>
      <c r="CF688" s="120">
        <f>(CG688+CE688)/2</f>
        <v>24.591000000000001</v>
      </c>
      <c r="CG688" s="158">
        <v>25.106000000000002</v>
      </c>
      <c r="CH688" s="120">
        <f>(CI688+CG688)/2</f>
        <v>25.658999999999999</v>
      </c>
      <c r="CI688" s="158">
        <v>26.212</v>
      </c>
      <c r="CJ688" s="120">
        <f>(CK688+CI688)/2</f>
        <v>26.702500000000001</v>
      </c>
      <c r="CK688" s="158">
        <v>27.193000000000001</v>
      </c>
      <c r="CL688" s="120">
        <f>(CM688+CK688)/2</f>
        <v>27.746000000000002</v>
      </c>
      <c r="CM688" s="158">
        <v>28.298999999999999</v>
      </c>
      <c r="CN688" s="120">
        <f>(CO688+CM688)/2</f>
        <v>28.8215</v>
      </c>
      <c r="CO688" s="158">
        <v>29.344000000000001</v>
      </c>
      <c r="CP688" s="120">
        <f>(CQ688+CO688)/2</f>
        <v>29.859000000000002</v>
      </c>
      <c r="CQ688" s="158">
        <v>30.373999999999999</v>
      </c>
      <c r="CR688" s="120">
        <f>(CS688+CQ688)/2</f>
        <v>30.863999999999997</v>
      </c>
      <c r="CS688" s="158">
        <v>31.353999999999999</v>
      </c>
      <c r="CT688" s="120">
        <f>(CU688+CS688)/2</f>
        <v>31.869</v>
      </c>
      <c r="CU688" s="158">
        <v>32.384</v>
      </c>
      <c r="CV688" s="120">
        <f>(CW688+CU688)/2</f>
        <v>32.899000000000001</v>
      </c>
      <c r="CW688" s="158">
        <v>33.414000000000001</v>
      </c>
      <c r="CX688" s="120">
        <f>(CY688+CW688)/2</f>
        <v>33.9285</v>
      </c>
      <c r="CY688" s="158">
        <v>34.442999999999998</v>
      </c>
      <c r="CZ688" s="120">
        <f>(DA688+CY688)/2</f>
        <v>34.933499999999995</v>
      </c>
      <c r="DA688" s="158">
        <v>35.423999999999999</v>
      </c>
      <c r="DB688" s="120">
        <f>(DC688+DA688)/2</f>
        <v>35.938500000000005</v>
      </c>
      <c r="DC688" s="158">
        <v>36.453000000000003</v>
      </c>
      <c r="DD688" s="120">
        <f>(DE688+DC688)/2</f>
        <v>36.929500000000004</v>
      </c>
      <c r="DE688" s="158">
        <v>37.405999999999999</v>
      </c>
      <c r="DF688" s="120">
        <f>(DG688+DE688)/2</f>
        <v>37.9285</v>
      </c>
      <c r="DG688" s="159">
        <v>38.451000000000001</v>
      </c>
    </row>
    <row r="689" spans="54:111" ht="15" customHeight="1" x14ac:dyDescent="0.2">
      <c r="BB689" s="28">
        <v>15</v>
      </c>
      <c r="BC689" s="121">
        <v>7.1035000000000004</v>
      </c>
      <c r="BD689" s="121">
        <v>7.9137499999999994</v>
      </c>
      <c r="BE689" s="121">
        <v>8.7240000000000002</v>
      </c>
      <c r="BF689" s="121">
        <v>9.4885000000000002</v>
      </c>
      <c r="BG689" s="121">
        <v>10.253</v>
      </c>
      <c r="BH689" s="121">
        <v>10.9635</v>
      </c>
      <c r="BI689" s="121">
        <v>11.673999999999999</v>
      </c>
      <c r="BJ689" s="121">
        <v>12.365500000000001</v>
      </c>
      <c r="BK689" s="121">
        <v>13.056999999999999</v>
      </c>
      <c r="BL689" s="121">
        <v>13.71275</v>
      </c>
      <c r="BM689" s="121">
        <f t="array" ref="BM689:BM734">TRANSPOSE(BN688:DG688)</f>
        <v>14.368500000000001</v>
      </c>
      <c r="BN689" s="120">
        <f>(BM689+BO689)/2</f>
        <v>15.017250000000001</v>
      </c>
      <c r="BO689" s="120">
        <f>(BO688+BO690)/2</f>
        <v>15.666</v>
      </c>
      <c r="BP689" s="120">
        <f>(BO689+BQ689)/2</f>
        <v>16.299500000000002</v>
      </c>
      <c r="BQ689" s="120">
        <f>(BQ688+BQ690)/2</f>
        <v>16.933</v>
      </c>
      <c r="BR689" s="120">
        <f>(BQ689+BS689)/2</f>
        <v>17.54325</v>
      </c>
      <c r="BS689" s="120">
        <f>(BS688+BS690)/2</f>
        <v>18.153500000000001</v>
      </c>
      <c r="BT689" s="120">
        <f>(BS689+BU689)/2</f>
        <v>18.751750000000001</v>
      </c>
      <c r="BU689" s="120">
        <f>(BU688+BU690)/2</f>
        <v>19.350000000000001</v>
      </c>
      <c r="BV689" s="120">
        <f>(BU689+BW689)/2</f>
        <v>19.941000000000003</v>
      </c>
      <c r="BW689" s="120">
        <f>(BW688+BW690)/2</f>
        <v>20.532</v>
      </c>
      <c r="BX689" s="120">
        <f>(BW689+BY689)/2</f>
        <v>21.131</v>
      </c>
      <c r="BY689" s="120">
        <f>(BY688+BY690)/2</f>
        <v>21.73</v>
      </c>
      <c r="BZ689" s="120">
        <f>(BY689+CA689)/2</f>
        <v>22.321249999999999</v>
      </c>
      <c r="CA689" s="120">
        <f>(CA688+CA690)/2</f>
        <v>22.912500000000001</v>
      </c>
      <c r="CB689" s="120">
        <f>(CA689+CC689)/2</f>
        <v>23.47175</v>
      </c>
      <c r="CC689" s="120">
        <f>(CC688+CC690)/2</f>
        <v>24.030999999999999</v>
      </c>
      <c r="CD689" s="120">
        <f>(CC689+CE689)/2</f>
        <v>24.603000000000002</v>
      </c>
      <c r="CE689" s="120">
        <f>(CE688+CE690)/2</f>
        <v>25.175000000000001</v>
      </c>
      <c r="CF689" s="120">
        <f>(CE689+CG689)/2</f>
        <v>25.731749999999998</v>
      </c>
      <c r="CG689" s="120">
        <f>(CG688+CG690)/2</f>
        <v>26.288499999999999</v>
      </c>
      <c r="CH689" s="120">
        <f>(CG689+CI689)/2</f>
        <v>26.860250000000001</v>
      </c>
      <c r="CI689" s="120">
        <f>(CI688+CI690)/2</f>
        <v>27.432000000000002</v>
      </c>
      <c r="CJ689" s="120">
        <f>(CI689+CK689)/2</f>
        <v>27.953250000000001</v>
      </c>
      <c r="CK689" s="120">
        <f>(CK688+CK690)/2</f>
        <v>28.474499999999999</v>
      </c>
      <c r="CL689" s="120">
        <f>(CK689+CM689)/2</f>
        <v>29.050249999999998</v>
      </c>
      <c r="CM689" s="120">
        <f>(CM688+CM690)/2</f>
        <v>29.625999999999998</v>
      </c>
      <c r="CN689" s="120">
        <f>(CM689+CO689)/2</f>
        <v>30.163249999999998</v>
      </c>
      <c r="CO689" s="120">
        <f>(CO688+CO690)/2</f>
        <v>30.700500000000002</v>
      </c>
      <c r="CP689" s="120">
        <f>(CO689+CQ689)/2</f>
        <v>31.253</v>
      </c>
      <c r="CQ689" s="120">
        <f>(CQ688+CQ690)/2</f>
        <v>31.805500000000002</v>
      </c>
      <c r="CR689" s="120">
        <f>(CQ689+CS689)/2</f>
        <v>32.326750000000004</v>
      </c>
      <c r="CS689" s="120">
        <f>(CS688+CS690)/2</f>
        <v>32.847999999999999</v>
      </c>
      <c r="CT689" s="120">
        <f>(CS689+CU689)/2</f>
        <v>33.385249999999999</v>
      </c>
      <c r="CU689" s="120">
        <f>(CU688+CU690)/2</f>
        <v>33.922499999999999</v>
      </c>
      <c r="CV689" s="120">
        <f>(CU689+CW689)/2</f>
        <v>34.456000000000003</v>
      </c>
      <c r="CW689" s="120">
        <f>(CW688+CW690)/2</f>
        <v>34.9895</v>
      </c>
      <c r="CX689" s="120">
        <f>(CW689+CY689)/2</f>
        <v>35.522750000000002</v>
      </c>
      <c r="CY689" s="120">
        <f>(CY688+CY690)/2</f>
        <v>36.055999999999997</v>
      </c>
      <c r="CZ689" s="120">
        <f>(CY689+DA689)/2</f>
        <v>36.581249999999997</v>
      </c>
      <c r="DA689" s="120">
        <f>(DA688+DA690)/2</f>
        <v>37.106499999999997</v>
      </c>
      <c r="DB689" s="120">
        <f>(DA689+DC689)/2</f>
        <v>37.639749999999999</v>
      </c>
      <c r="DC689" s="120">
        <f>(DC688+DC690)/2</f>
        <v>38.173000000000002</v>
      </c>
      <c r="DD689" s="120">
        <f>(DC689+DE689)/2</f>
        <v>38.687249999999999</v>
      </c>
      <c r="DE689" s="120">
        <f>(DE688+DE690)/2</f>
        <v>39.201499999999996</v>
      </c>
      <c r="DF689" s="120">
        <f>(DE689+DG689)/2</f>
        <v>39.738749999999996</v>
      </c>
      <c r="DG689" s="122">
        <f>(DG688+DG690)/2</f>
        <v>40.275999999999996</v>
      </c>
    </row>
    <row r="690" spans="54:111" ht="15" customHeight="1" x14ac:dyDescent="0.2">
      <c r="BB690" s="28">
        <v>16</v>
      </c>
      <c r="BC690" s="121">
        <v>7.383</v>
      </c>
      <c r="BD690" s="121">
        <v>8.2434999999999992</v>
      </c>
      <c r="BE690" s="121">
        <v>9.1039999999999992</v>
      </c>
      <c r="BF690" s="121">
        <v>9.8870000000000005</v>
      </c>
      <c r="BG690" s="121">
        <v>10.67</v>
      </c>
      <c r="BH690" s="121">
        <v>11.4145</v>
      </c>
      <c r="BI690" s="121">
        <v>12.159000000000001</v>
      </c>
      <c r="BJ690" s="121">
        <v>12.873000000000001</v>
      </c>
      <c r="BK690" s="121">
        <v>13.587</v>
      </c>
      <c r="BL690" s="121">
        <v>14.292999999999999</v>
      </c>
      <c r="BM690" s="121">
        <v>14.999000000000001</v>
      </c>
      <c r="BN690" s="121">
        <f t="array" ref="BN690:BN734">TRANSPOSE(BO689:DG689)</f>
        <v>15.666</v>
      </c>
      <c r="BO690" s="158">
        <v>16.332999999999998</v>
      </c>
      <c r="BP690" s="120">
        <f>(BQ690+BO690)/2</f>
        <v>17.008499999999998</v>
      </c>
      <c r="BQ690" s="158">
        <v>17.684000000000001</v>
      </c>
      <c r="BR690" s="120">
        <f>(BS690+BQ690)/2</f>
        <v>18.313000000000002</v>
      </c>
      <c r="BS690" s="158">
        <v>18.942</v>
      </c>
      <c r="BT690" s="120">
        <f>(BU690+BS690)/2</f>
        <v>19.570999999999998</v>
      </c>
      <c r="BU690" s="158">
        <v>20.2</v>
      </c>
      <c r="BV690" s="120">
        <f>(BW690+BU690)/2</f>
        <v>20.829000000000001</v>
      </c>
      <c r="BW690" s="158">
        <v>21.457999999999998</v>
      </c>
      <c r="BX690" s="120">
        <f>(BY690+BW690)/2</f>
        <v>22.0565</v>
      </c>
      <c r="BY690" s="158">
        <v>22.655000000000001</v>
      </c>
      <c r="BZ690" s="120">
        <f>(CA690+BY690)/2</f>
        <v>23.283999999999999</v>
      </c>
      <c r="CA690" s="158">
        <v>23.913</v>
      </c>
      <c r="CB690" s="120">
        <f>(CC690+CA690)/2</f>
        <v>24.503</v>
      </c>
      <c r="CC690" s="158">
        <v>25.093</v>
      </c>
      <c r="CD690" s="120">
        <f>(CE690+CC690)/2</f>
        <v>25.683500000000002</v>
      </c>
      <c r="CE690" s="158">
        <v>26.274000000000001</v>
      </c>
      <c r="CF690" s="120">
        <f>(CG690+CE690)/2</f>
        <v>26.872500000000002</v>
      </c>
      <c r="CG690" s="158">
        <v>27.471</v>
      </c>
      <c r="CH690" s="120">
        <f>(CI690+CG690)/2</f>
        <v>28.061500000000002</v>
      </c>
      <c r="CI690" s="158">
        <v>28.652000000000001</v>
      </c>
      <c r="CJ690" s="120">
        <f>(CK690+CI690)/2</f>
        <v>29.204000000000001</v>
      </c>
      <c r="CK690" s="158">
        <v>29.756</v>
      </c>
      <c r="CL690" s="120">
        <f>(CM690+CK690)/2</f>
        <v>30.354500000000002</v>
      </c>
      <c r="CM690" s="158">
        <v>30.952999999999999</v>
      </c>
      <c r="CN690" s="120">
        <f>(CO690+CM690)/2</f>
        <v>31.505000000000003</v>
      </c>
      <c r="CO690" s="158">
        <v>32.057000000000002</v>
      </c>
      <c r="CP690" s="120">
        <f>(CQ690+CO690)/2</f>
        <v>32.647000000000006</v>
      </c>
      <c r="CQ690" s="158">
        <v>33.237000000000002</v>
      </c>
      <c r="CR690" s="120">
        <f>(CS690+CQ690)/2</f>
        <v>33.789500000000004</v>
      </c>
      <c r="CS690" s="158">
        <v>34.341999999999999</v>
      </c>
      <c r="CT690" s="120">
        <f>(CU690+CS690)/2</f>
        <v>34.901499999999999</v>
      </c>
      <c r="CU690" s="158">
        <v>35.460999999999999</v>
      </c>
      <c r="CV690" s="120">
        <f>(CW690+CU690)/2</f>
        <v>36.012999999999998</v>
      </c>
      <c r="CW690" s="158">
        <v>36.564999999999998</v>
      </c>
      <c r="CX690" s="120">
        <f>(CY690+CW690)/2</f>
        <v>37.116999999999997</v>
      </c>
      <c r="CY690" s="158">
        <v>37.668999999999997</v>
      </c>
      <c r="CZ690" s="120">
        <f>(DA690+CY690)/2</f>
        <v>38.228999999999999</v>
      </c>
      <c r="DA690" s="158">
        <v>38.789000000000001</v>
      </c>
      <c r="DB690" s="120">
        <f>(DC690+DA690)/2</f>
        <v>39.341000000000001</v>
      </c>
      <c r="DC690" s="158">
        <v>39.893000000000001</v>
      </c>
      <c r="DD690" s="120">
        <f>(DE690+DC690)/2</f>
        <v>40.445</v>
      </c>
      <c r="DE690" s="158">
        <v>40.997</v>
      </c>
      <c r="DF690" s="120">
        <f>(DG690+DE690)/2</f>
        <v>41.548999999999999</v>
      </c>
      <c r="DG690" s="159">
        <v>42.100999999999999</v>
      </c>
    </row>
    <row r="691" spans="54:111" ht="15" customHeight="1" x14ac:dyDescent="0.2">
      <c r="BB691" s="28">
        <v>17</v>
      </c>
      <c r="BC691" s="121">
        <v>7.6795</v>
      </c>
      <c r="BD691" s="121">
        <v>8.57775</v>
      </c>
      <c r="BE691" s="121">
        <v>9.4759999999999991</v>
      </c>
      <c r="BF691" s="121">
        <v>10.281500000000001</v>
      </c>
      <c r="BG691" s="121">
        <v>11.087</v>
      </c>
      <c r="BH691" s="121">
        <v>11.8695</v>
      </c>
      <c r="BI691" s="121">
        <v>12.652000000000001</v>
      </c>
      <c r="BJ691" s="121">
        <v>13.396750000000001</v>
      </c>
      <c r="BK691" s="121">
        <v>14.141500000000001</v>
      </c>
      <c r="BL691" s="121">
        <v>14.866</v>
      </c>
      <c r="BM691" s="121">
        <v>15.590499999999999</v>
      </c>
      <c r="BN691" s="121">
        <v>16.299500000000002</v>
      </c>
      <c r="BO691" s="121">
        <f t="array" ref="BO691:BO734">TRANSPOSE(BP690:DG690)</f>
        <v>17.008499999999998</v>
      </c>
      <c r="BP691" s="120">
        <f>(BO691+BQ691)/2</f>
        <v>17.698499999999999</v>
      </c>
      <c r="BQ691" s="120">
        <f>(BQ690+BQ692)/2</f>
        <v>18.388500000000001</v>
      </c>
      <c r="BR691" s="120">
        <f>(BQ691+BS691)/2</f>
        <v>19.048749999999998</v>
      </c>
      <c r="BS691" s="120">
        <f>(BS690+BS692)/2</f>
        <v>19.709</v>
      </c>
      <c r="BT691" s="120">
        <f>(BS691+BU691)/2</f>
        <v>20.360500000000002</v>
      </c>
      <c r="BU691" s="120">
        <f>(BU690+BU692)/2</f>
        <v>21.012</v>
      </c>
      <c r="BV691" s="120">
        <f>(BU691+BW691)/2</f>
        <v>21.65925</v>
      </c>
      <c r="BW691" s="120">
        <f>(BW690+BW692)/2</f>
        <v>22.3065</v>
      </c>
      <c r="BX691" s="120">
        <f>(BW691+BY691)/2</f>
        <v>22.94275</v>
      </c>
      <c r="BY691" s="120">
        <f>(BY690+BY692)/2</f>
        <v>23.579000000000001</v>
      </c>
      <c r="BZ691" s="120">
        <f>(BY691+CA691)/2</f>
        <v>24.239000000000001</v>
      </c>
      <c r="CA691" s="120">
        <f>(CA690+CA692)/2</f>
        <v>24.899000000000001</v>
      </c>
      <c r="CB691" s="120">
        <f>(CA691+CC691)/2</f>
        <v>25.511749999999999</v>
      </c>
      <c r="CC691" s="120">
        <f>(CC690+CC692)/2</f>
        <v>26.124499999999998</v>
      </c>
      <c r="CD691" s="120">
        <f>(CC691+CE691)/2</f>
        <v>26.752749999999999</v>
      </c>
      <c r="CE691" s="120">
        <f>(CE690+CE692)/2</f>
        <v>27.381</v>
      </c>
      <c r="CF691" s="120">
        <f>(CE691+CG691)/2</f>
        <v>27.994250000000001</v>
      </c>
      <c r="CG691" s="120">
        <f>(CG690+CG692)/2</f>
        <v>28.607500000000002</v>
      </c>
      <c r="CH691" s="120">
        <f>(CG691+CI691)/2</f>
        <v>29.232750000000003</v>
      </c>
      <c r="CI691" s="120">
        <f>(CI690+CI692)/2</f>
        <v>29.858000000000001</v>
      </c>
      <c r="CJ691" s="120">
        <f>(CI691+CK691)/2</f>
        <v>30.448</v>
      </c>
      <c r="CK691" s="120">
        <f>(CK690+CK692)/2</f>
        <v>31.038</v>
      </c>
      <c r="CL691" s="120">
        <f>(CK691+CM691)/2</f>
        <v>31.6355</v>
      </c>
      <c r="CM691" s="120">
        <f>(CM690+CM692)/2</f>
        <v>32.232999999999997</v>
      </c>
      <c r="CN691" s="120">
        <f>(CM691+CO691)/2</f>
        <v>32.822999999999993</v>
      </c>
      <c r="CO691" s="120">
        <f>(CO690+CO692)/2</f>
        <v>33.412999999999997</v>
      </c>
      <c r="CP691" s="120">
        <f>(CO691+CQ691)/2</f>
        <v>34.037999999999997</v>
      </c>
      <c r="CQ691" s="120">
        <f>(CQ690+CQ692)/2</f>
        <v>34.662999999999997</v>
      </c>
      <c r="CR691" s="120">
        <f>(CQ691+CS691)/2</f>
        <v>35.233999999999995</v>
      </c>
      <c r="CS691" s="120">
        <f>(CS690+CS692)/2</f>
        <v>35.805</v>
      </c>
      <c r="CT691" s="120">
        <f>(CS691+CU691)/2</f>
        <v>36.382999999999996</v>
      </c>
      <c r="CU691" s="120">
        <f>(CU690+CU692)/2</f>
        <v>36.960999999999999</v>
      </c>
      <c r="CV691" s="120">
        <f>(CU691+CW691)/2</f>
        <v>37.551000000000002</v>
      </c>
      <c r="CW691" s="120">
        <f>(CW690+CW692)/2</f>
        <v>38.140999999999998</v>
      </c>
      <c r="CX691" s="120">
        <f>(CW691+CY691)/2</f>
        <v>38.724000000000004</v>
      </c>
      <c r="CY691" s="120">
        <f>(CY690+CY692)/2</f>
        <v>39.307000000000002</v>
      </c>
      <c r="CZ691" s="120">
        <f>(CY691+DA691)/2</f>
        <v>39.8855</v>
      </c>
      <c r="DA691" s="120">
        <f>(DA690+DA692)/2</f>
        <v>40.463999999999999</v>
      </c>
      <c r="DB691" s="120">
        <f>(DA691+DC691)/2</f>
        <v>41.03425</v>
      </c>
      <c r="DC691" s="120">
        <f>(DC690+DC692)/2</f>
        <v>41.604500000000002</v>
      </c>
      <c r="DD691" s="120">
        <f>(DC691+DE691)/2</f>
        <v>42.179000000000002</v>
      </c>
      <c r="DE691" s="120">
        <f>(DE690+DE692)/2</f>
        <v>42.753500000000003</v>
      </c>
      <c r="DF691" s="120">
        <f>(DE691+DG691)/2</f>
        <v>43.337000000000003</v>
      </c>
      <c r="DG691" s="122">
        <f>(DG690+DG692)/2</f>
        <v>43.920500000000004</v>
      </c>
    </row>
    <row r="692" spans="54:111" ht="15" customHeight="1" x14ac:dyDescent="0.2">
      <c r="BB692" s="28">
        <v>18</v>
      </c>
      <c r="BC692" s="121">
        <v>7.976</v>
      </c>
      <c r="BD692" s="121">
        <v>8.9120000000000008</v>
      </c>
      <c r="BE692" s="121">
        <v>9.8480000000000008</v>
      </c>
      <c r="BF692" s="121">
        <v>10.676</v>
      </c>
      <c r="BG692" s="121">
        <v>11.504</v>
      </c>
      <c r="BH692" s="121">
        <v>12.3245</v>
      </c>
      <c r="BI692" s="121">
        <v>13.145</v>
      </c>
      <c r="BJ692" s="121">
        <v>13.920500000000001</v>
      </c>
      <c r="BK692" s="121">
        <v>14.696</v>
      </c>
      <c r="BL692" s="121">
        <v>15.439</v>
      </c>
      <c r="BM692" s="121">
        <v>16.181999999999999</v>
      </c>
      <c r="BN692" s="121">
        <v>16.933</v>
      </c>
      <c r="BO692" s="121">
        <v>17.684000000000001</v>
      </c>
      <c r="BP692" s="121">
        <f t="array" ref="BP692:BP734">TRANSPOSE(BQ691:DG691)</f>
        <v>18.388500000000001</v>
      </c>
      <c r="BQ692" s="158">
        <v>19.093</v>
      </c>
      <c r="BR692" s="120">
        <f>(BS692+BQ692)/2</f>
        <v>19.784500000000001</v>
      </c>
      <c r="BS692" s="158">
        <v>20.475999999999999</v>
      </c>
      <c r="BT692" s="120">
        <f>(BU692+BS692)/2</f>
        <v>21.15</v>
      </c>
      <c r="BU692" s="158">
        <v>21.824000000000002</v>
      </c>
      <c r="BV692" s="120">
        <f>(BW692+BU692)/2</f>
        <v>22.4895</v>
      </c>
      <c r="BW692" s="158">
        <v>23.155000000000001</v>
      </c>
      <c r="BX692" s="120">
        <f>(BY692+BW692)/2</f>
        <v>23.829000000000001</v>
      </c>
      <c r="BY692" s="158">
        <v>24.503</v>
      </c>
      <c r="BZ692" s="120">
        <f>(CA692+BY692)/2</f>
        <v>25.194000000000003</v>
      </c>
      <c r="CA692" s="158">
        <v>25.885000000000002</v>
      </c>
      <c r="CB692" s="120">
        <f>(CC692+CA692)/2</f>
        <v>26.520499999999998</v>
      </c>
      <c r="CC692" s="158">
        <v>27.155999999999999</v>
      </c>
      <c r="CD692" s="120">
        <f>(CE692+CC692)/2</f>
        <v>27.821999999999999</v>
      </c>
      <c r="CE692" s="158">
        <v>28.488</v>
      </c>
      <c r="CF692" s="120">
        <f>(CG692+CE692)/2</f>
        <v>29.116</v>
      </c>
      <c r="CG692" s="158">
        <v>29.744</v>
      </c>
      <c r="CH692" s="120">
        <f>(CI692+CG692)/2</f>
        <v>30.404</v>
      </c>
      <c r="CI692" s="158">
        <v>31.064</v>
      </c>
      <c r="CJ692" s="120">
        <f>(CK692+CI692)/2</f>
        <v>31.692</v>
      </c>
      <c r="CK692" s="158">
        <v>32.32</v>
      </c>
      <c r="CL692" s="120">
        <f>(CM692+CK692)/2</f>
        <v>32.916499999999999</v>
      </c>
      <c r="CM692" s="158">
        <v>33.512999999999998</v>
      </c>
      <c r="CN692" s="120">
        <f>(CO692+CM692)/2</f>
        <v>34.140999999999998</v>
      </c>
      <c r="CO692" s="158">
        <v>34.768999999999998</v>
      </c>
      <c r="CP692" s="120">
        <f>(CQ692+CO692)/2</f>
        <v>35.429000000000002</v>
      </c>
      <c r="CQ692" s="158">
        <v>36.088999999999999</v>
      </c>
      <c r="CR692" s="120">
        <f>(CS692+CQ692)/2</f>
        <v>36.6785</v>
      </c>
      <c r="CS692" s="158">
        <v>37.268000000000001</v>
      </c>
      <c r="CT692" s="120">
        <f>(CU692+CS692)/2</f>
        <v>37.8645</v>
      </c>
      <c r="CU692" s="158">
        <v>38.460999999999999</v>
      </c>
      <c r="CV692" s="120">
        <f>(CW692+CU692)/2</f>
        <v>39.088999999999999</v>
      </c>
      <c r="CW692" s="158">
        <v>39.716999999999999</v>
      </c>
      <c r="CX692" s="120">
        <f>(CY692+CW692)/2</f>
        <v>40.331000000000003</v>
      </c>
      <c r="CY692" s="158">
        <v>40.945</v>
      </c>
      <c r="CZ692" s="120">
        <f>(DA692+CY692)/2</f>
        <v>41.542000000000002</v>
      </c>
      <c r="DA692" s="158">
        <v>42.139000000000003</v>
      </c>
      <c r="DB692" s="120">
        <f>(DC692+DA692)/2</f>
        <v>42.727500000000006</v>
      </c>
      <c r="DC692" s="158">
        <v>43.316000000000003</v>
      </c>
      <c r="DD692" s="120">
        <f>(DE692+DC692)/2</f>
        <v>43.912999999999997</v>
      </c>
      <c r="DE692" s="158">
        <v>44.51</v>
      </c>
      <c r="DF692" s="120">
        <f>(DG692+DE692)/2</f>
        <v>45.125</v>
      </c>
      <c r="DG692" s="159">
        <v>45.74</v>
      </c>
    </row>
    <row r="693" spans="54:111" ht="15" customHeight="1" x14ac:dyDescent="0.2">
      <c r="BB693" s="28">
        <v>19</v>
      </c>
      <c r="BC693" s="121">
        <v>8.2475000000000005</v>
      </c>
      <c r="BD693" s="121">
        <v>9.2185000000000006</v>
      </c>
      <c r="BE693" s="121">
        <v>10.189500000000001</v>
      </c>
      <c r="BF693" s="121">
        <v>11.05125</v>
      </c>
      <c r="BG693" s="121">
        <v>11.913</v>
      </c>
      <c r="BH693" s="121">
        <v>12.76825</v>
      </c>
      <c r="BI693" s="121">
        <v>13.6235</v>
      </c>
      <c r="BJ693" s="121">
        <v>14.42475</v>
      </c>
      <c r="BK693" s="121">
        <v>15.225999999999999</v>
      </c>
      <c r="BL693" s="121">
        <v>15.999749999999999</v>
      </c>
      <c r="BM693" s="121">
        <v>16.773499999999999</v>
      </c>
      <c r="BN693" s="121">
        <v>17.54325</v>
      </c>
      <c r="BO693" s="121">
        <v>18.313000000000002</v>
      </c>
      <c r="BP693" s="121">
        <v>19.048749999999998</v>
      </c>
      <c r="BQ693" s="121">
        <f t="array" ref="BQ693:BQ734">TRANSPOSE(BR692:DG692)</f>
        <v>19.784500000000001</v>
      </c>
      <c r="BR693" s="120">
        <f>(BQ693+BS693)/2</f>
        <v>20.504750000000001</v>
      </c>
      <c r="BS693" s="120">
        <f>(BS692+BS694)/2</f>
        <v>21.225000000000001</v>
      </c>
      <c r="BT693" s="120">
        <f>(BS693+BU693)/2</f>
        <v>21.949249999999999</v>
      </c>
      <c r="BU693" s="120">
        <f>(BU692+BU694)/2</f>
        <v>22.673500000000001</v>
      </c>
      <c r="BV693" s="120">
        <f>(BU693+BW693)/2</f>
        <v>23.358000000000001</v>
      </c>
      <c r="BW693" s="120">
        <f>(BW692+BW694)/2</f>
        <v>24.0425</v>
      </c>
      <c r="BX693" s="120">
        <f>(BW693+BY693)/2</f>
        <v>24.747250000000001</v>
      </c>
      <c r="BY693" s="120">
        <f>(BY692+BY694)/2</f>
        <v>25.451999999999998</v>
      </c>
      <c r="BZ693" s="120">
        <f>(BY693+CA693)/2</f>
        <v>26.149249999999999</v>
      </c>
      <c r="CA693" s="120">
        <f>(CA692+CA694)/2</f>
        <v>26.846499999999999</v>
      </c>
      <c r="CB693" s="120">
        <f>(CA693+CC693)/2</f>
        <v>27.512999999999998</v>
      </c>
      <c r="CC693" s="120">
        <f>(CC692+CC694)/2</f>
        <v>28.179499999999997</v>
      </c>
      <c r="CD693" s="120">
        <f>(CC693+CE693)/2</f>
        <v>28.867999999999999</v>
      </c>
      <c r="CE693" s="120">
        <f>(CE692+CE694)/2</f>
        <v>29.5565</v>
      </c>
      <c r="CF693" s="120">
        <f>(CE693+CG693)/2</f>
        <v>30.215499999999999</v>
      </c>
      <c r="CG693" s="120">
        <f>(CG692+CG694)/2</f>
        <v>30.874500000000001</v>
      </c>
      <c r="CH693" s="120">
        <f>(CG693+CI693)/2</f>
        <v>31.540750000000003</v>
      </c>
      <c r="CI693" s="120">
        <f>(CI692+CI694)/2</f>
        <v>32.207000000000001</v>
      </c>
      <c r="CJ693" s="120">
        <f>(CI693+CK693)/2</f>
        <v>32.865750000000006</v>
      </c>
      <c r="CK693" s="120">
        <f>(CK692+CK694)/2</f>
        <v>33.524500000000003</v>
      </c>
      <c r="CL693" s="120">
        <f>(CK693+CM693)/2</f>
        <v>34.158999999999999</v>
      </c>
      <c r="CM693" s="120">
        <f>(CM692+CM694)/2</f>
        <v>34.793499999999995</v>
      </c>
      <c r="CN693" s="120">
        <f>(CM693+CO693)/2</f>
        <v>35.456249999999997</v>
      </c>
      <c r="CO693" s="120">
        <f>(CO692+CO694)/2</f>
        <v>36.119</v>
      </c>
      <c r="CP693" s="120">
        <f>(CO693+CQ693)/2</f>
        <v>36.78125</v>
      </c>
      <c r="CQ693" s="120">
        <f>(CQ692+CQ694)/2</f>
        <v>37.4435</v>
      </c>
      <c r="CR693" s="120">
        <f>(CQ693+CS693)/2</f>
        <v>38.067750000000004</v>
      </c>
      <c r="CS693" s="120">
        <f>(CS692+CS694)/2</f>
        <v>38.692</v>
      </c>
      <c r="CT693" s="120">
        <f>(CS693+CU693)/2</f>
        <v>39.323</v>
      </c>
      <c r="CU693" s="120">
        <f>(CU692+CU694)/2</f>
        <v>39.954000000000001</v>
      </c>
      <c r="CV693" s="120">
        <f>(CU693+CW693)/2</f>
        <v>40.596999999999994</v>
      </c>
      <c r="CW693" s="120">
        <f>(CW692+CW694)/2</f>
        <v>41.239999999999995</v>
      </c>
      <c r="CX693" s="120">
        <f>(CW693+CY693)/2</f>
        <v>41.883499999999998</v>
      </c>
      <c r="CY693" s="120">
        <f>(CY692+CY694)/2</f>
        <v>42.527000000000001</v>
      </c>
      <c r="CZ693" s="120">
        <f>(CY693+DA693)/2</f>
        <v>43.151499999999999</v>
      </c>
      <c r="DA693" s="120">
        <f>(DA692+DA694)/2</f>
        <v>43.775999999999996</v>
      </c>
      <c r="DB693" s="120">
        <f>(DA693+DC693)/2</f>
        <v>44.387</v>
      </c>
      <c r="DC693" s="120">
        <f>(DC692+DC694)/2</f>
        <v>44.998000000000005</v>
      </c>
      <c r="DD693" s="120">
        <f>(DC693+DE693)/2</f>
        <v>45.641500000000001</v>
      </c>
      <c r="DE693" s="120">
        <f>(DE692+DE694)/2</f>
        <v>46.284999999999997</v>
      </c>
      <c r="DF693" s="120">
        <f>(DE693+DG693)/2</f>
        <v>46.909500000000001</v>
      </c>
      <c r="DG693" s="122">
        <f>(DG692+DG694)/2</f>
        <v>47.534000000000006</v>
      </c>
    </row>
    <row r="694" spans="54:111" ht="15" customHeight="1" x14ac:dyDescent="0.2">
      <c r="BB694" s="28">
        <v>20</v>
      </c>
      <c r="BC694" s="121">
        <v>8.5190000000000001</v>
      </c>
      <c r="BD694" s="121">
        <v>9.5250000000000004</v>
      </c>
      <c r="BE694" s="121">
        <v>10.531000000000001</v>
      </c>
      <c r="BF694" s="121">
        <v>11.426500000000001</v>
      </c>
      <c r="BG694" s="121">
        <v>12.321999999999999</v>
      </c>
      <c r="BH694" s="121">
        <v>13.212</v>
      </c>
      <c r="BI694" s="121">
        <v>14.102</v>
      </c>
      <c r="BJ694" s="121">
        <v>14.929</v>
      </c>
      <c r="BK694" s="121">
        <v>15.756</v>
      </c>
      <c r="BL694" s="121">
        <v>16.560499999999998</v>
      </c>
      <c r="BM694" s="121">
        <v>17.364999999999998</v>
      </c>
      <c r="BN694" s="121">
        <v>18.153500000000001</v>
      </c>
      <c r="BO694" s="121">
        <v>18.942</v>
      </c>
      <c r="BP694" s="121">
        <v>19.709</v>
      </c>
      <c r="BQ694" s="121">
        <v>20.475999999999999</v>
      </c>
      <c r="BR694" s="121">
        <f t="array" ref="BR694:BR734">TRANSPOSE(BS693:DG693)</f>
        <v>21.225000000000001</v>
      </c>
      <c r="BS694" s="158">
        <v>21.974</v>
      </c>
      <c r="BT694" s="120">
        <f>(BU694+BS694)/2</f>
        <v>22.7485</v>
      </c>
      <c r="BU694" s="158">
        <v>23.523</v>
      </c>
      <c r="BV694" s="120">
        <f>(BW694+BU694)/2</f>
        <v>24.226500000000001</v>
      </c>
      <c r="BW694" s="158">
        <v>24.93</v>
      </c>
      <c r="BX694" s="120">
        <f>(BY694+BW694)/2</f>
        <v>25.665500000000002</v>
      </c>
      <c r="BY694" s="158">
        <v>26.401</v>
      </c>
      <c r="BZ694" s="120">
        <f>(CA694+BY694)/2</f>
        <v>27.104500000000002</v>
      </c>
      <c r="CA694" s="158">
        <v>27.808</v>
      </c>
      <c r="CB694" s="120">
        <f>(CC694+CA694)/2</f>
        <v>28.505499999999998</v>
      </c>
      <c r="CC694" s="158">
        <v>29.202999999999999</v>
      </c>
      <c r="CD694" s="120">
        <f>(CE694+CC694)/2</f>
        <v>29.914000000000001</v>
      </c>
      <c r="CE694" s="158">
        <v>30.625</v>
      </c>
      <c r="CF694" s="120">
        <f>(CG694+CE694)/2</f>
        <v>31.315000000000001</v>
      </c>
      <c r="CG694" s="158">
        <v>32.005000000000003</v>
      </c>
      <c r="CH694" s="120">
        <f>(CI694+CG694)/2</f>
        <v>32.677500000000002</v>
      </c>
      <c r="CI694" s="158">
        <v>33.35</v>
      </c>
      <c r="CJ694" s="120">
        <f>(CK694+CI694)/2</f>
        <v>34.039500000000004</v>
      </c>
      <c r="CK694" s="158">
        <v>34.728999999999999</v>
      </c>
      <c r="CL694" s="120">
        <f>(CM694+CK694)/2</f>
        <v>35.401499999999999</v>
      </c>
      <c r="CM694" s="158">
        <v>36.073999999999998</v>
      </c>
      <c r="CN694" s="120">
        <f>(CO694+CM694)/2</f>
        <v>36.771500000000003</v>
      </c>
      <c r="CO694" s="158">
        <v>37.469000000000001</v>
      </c>
      <c r="CP694" s="120">
        <f>(CQ694+CO694)/2</f>
        <v>38.133499999999998</v>
      </c>
      <c r="CQ694" s="158">
        <v>38.798000000000002</v>
      </c>
      <c r="CR694" s="120">
        <f>(CS694+CQ694)/2</f>
        <v>39.457000000000001</v>
      </c>
      <c r="CS694" s="158">
        <v>40.116</v>
      </c>
      <c r="CT694" s="120">
        <f>(CU694+CS694)/2</f>
        <v>40.781500000000001</v>
      </c>
      <c r="CU694" s="158">
        <v>41.447000000000003</v>
      </c>
      <c r="CV694" s="120">
        <f>(CW694+CU694)/2</f>
        <v>42.105000000000004</v>
      </c>
      <c r="CW694" s="158">
        <v>42.762999999999998</v>
      </c>
      <c r="CX694" s="120">
        <f>(CY694+CW694)/2</f>
        <v>43.436</v>
      </c>
      <c r="CY694" s="158">
        <v>44.109000000000002</v>
      </c>
      <c r="CZ694" s="120">
        <f>(DA694+CY694)/2</f>
        <v>44.760999999999996</v>
      </c>
      <c r="DA694" s="158">
        <v>45.412999999999997</v>
      </c>
      <c r="DB694" s="120">
        <f>(DC694+DA694)/2</f>
        <v>46.046499999999995</v>
      </c>
      <c r="DC694" s="158">
        <v>46.68</v>
      </c>
      <c r="DD694" s="120">
        <f>(DE694+DC694)/2</f>
        <v>47.370000000000005</v>
      </c>
      <c r="DE694" s="158">
        <v>48.06</v>
      </c>
      <c r="DF694" s="120">
        <f>(DG694+DE694)/2</f>
        <v>48.694000000000003</v>
      </c>
      <c r="DG694" s="159">
        <v>49.328000000000003</v>
      </c>
    </row>
    <row r="695" spans="54:111" ht="15" customHeight="1" x14ac:dyDescent="0.2">
      <c r="BB695" s="28">
        <v>21</v>
      </c>
      <c r="BC695" s="121">
        <v>8.7850000000000001</v>
      </c>
      <c r="BD695" s="121">
        <v>9.8125</v>
      </c>
      <c r="BE695" s="121">
        <v>10.84</v>
      </c>
      <c r="BF695" s="121">
        <v>11.78975</v>
      </c>
      <c r="BG695" s="121">
        <v>12.7395</v>
      </c>
      <c r="BH695" s="121">
        <v>13.64775</v>
      </c>
      <c r="BI695" s="121">
        <v>14.556000000000001</v>
      </c>
      <c r="BJ695" s="121">
        <v>15.414000000000001</v>
      </c>
      <c r="BK695" s="121">
        <v>16.271999999999998</v>
      </c>
      <c r="BL695" s="121">
        <v>17.102249999999998</v>
      </c>
      <c r="BM695" s="121">
        <v>17.932499999999997</v>
      </c>
      <c r="BN695" s="121">
        <v>18.751750000000001</v>
      </c>
      <c r="BO695" s="121">
        <v>19.570999999999998</v>
      </c>
      <c r="BP695" s="121">
        <v>20.360500000000002</v>
      </c>
      <c r="BQ695" s="121">
        <v>21.15</v>
      </c>
      <c r="BR695" s="121">
        <v>21.949249999999999</v>
      </c>
      <c r="BS695" s="121">
        <f t="array" ref="BS695:BS734">TRANSPOSE(BT694:DG694)</f>
        <v>22.7485</v>
      </c>
      <c r="BT695" s="120">
        <f>(BS695+BU695)/2</f>
        <v>23.506250000000001</v>
      </c>
      <c r="BU695" s="120">
        <f>(BU694+BU696)/2</f>
        <v>24.263999999999999</v>
      </c>
      <c r="BV695" s="120">
        <f>(BU695+BW695)/2</f>
        <v>25.021250000000002</v>
      </c>
      <c r="BW695" s="120">
        <f>(BW694+BW696)/2</f>
        <v>25.778500000000001</v>
      </c>
      <c r="BX695" s="120">
        <f>(BW695+BY695)/2</f>
        <v>26.533000000000001</v>
      </c>
      <c r="BY695" s="120">
        <f>(BY694+BY696)/2</f>
        <v>27.287500000000001</v>
      </c>
      <c r="BZ695" s="120">
        <f>(BY695+CA695)/2</f>
        <v>28.025500000000001</v>
      </c>
      <c r="CA695" s="120">
        <f>(CA694+CA696)/2</f>
        <v>28.763500000000001</v>
      </c>
      <c r="CB695" s="120">
        <f>(CA695+CC695)/2</f>
        <v>29.482749999999999</v>
      </c>
      <c r="CC695" s="120">
        <f>(CC694+CC696)/2</f>
        <v>30.201999999999998</v>
      </c>
      <c r="CD695" s="120">
        <f>(CC695+CE695)/2</f>
        <v>30.943750000000001</v>
      </c>
      <c r="CE695" s="120">
        <f>(CE694+CE696)/2</f>
        <v>31.685500000000001</v>
      </c>
      <c r="CF695" s="120">
        <f>(CE695+CG695)/2</f>
        <v>32.398000000000003</v>
      </c>
      <c r="CG695" s="120">
        <f>(CG694+CG696)/2</f>
        <v>33.110500000000002</v>
      </c>
      <c r="CH695" s="120">
        <f>(CG695+CI695)/2</f>
        <v>33.83325</v>
      </c>
      <c r="CI695" s="120">
        <f>(CI694+CI696)/2</f>
        <v>34.555999999999997</v>
      </c>
      <c r="CJ695" s="120">
        <f>(CI695+CK695)/2</f>
        <v>35.251750000000001</v>
      </c>
      <c r="CK695" s="120">
        <f>(CK694+CK696)/2</f>
        <v>35.947499999999998</v>
      </c>
      <c r="CL695" s="120">
        <f>(CK695+CM695)/2</f>
        <v>36.650999999999996</v>
      </c>
      <c r="CM695" s="120">
        <f>(CM694+CM696)/2</f>
        <v>37.354500000000002</v>
      </c>
      <c r="CN695" s="120">
        <f>(CM695+CO695)/2</f>
        <v>38.070500000000003</v>
      </c>
      <c r="CO695" s="120">
        <f>(CO694+CO696)/2</f>
        <v>38.786500000000004</v>
      </c>
      <c r="CP695" s="120">
        <f>(CO695+CQ695)/2</f>
        <v>39.486000000000004</v>
      </c>
      <c r="CQ695" s="120">
        <f>(CQ694+CQ696)/2</f>
        <v>40.185500000000005</v>
      </c>
      <c r="CR695" s="120">
        <f>(CQ695+CS695)/2</f>
        <v>40.866</v>
      </c>
      <c r="CS695" s="120">
        <f>(CS694+CS696)/2</f>
        <v>41.546499999999995</v>
      </c>
      <c r="CT695" s="120">
        <f>(CS695+CU695)/2</f>
        <v>42.227249999999998</v>
      </c>
      <c r="CU695" s="120">
        <f>(CU694+CU696)/2</f>
        <v>42.908000000000001</v>
      </c>
      <c r="CV695" s="120">
        <f>(CU695+CW695)/2</f>
        <v>43.604500000000002</v>
      </c>
      <c r="CW695" s="120">
        <f>(CW694+CW696)/2</f>
        <v>44.301000000000002</v>
      </c>
      <c r="CX695" s="120">
        <f>(CW695+CY695)/2</f>
        <v>44.985500000000002</v>
      </c>
      <c r="CY695" s="120">
        <f>(CY694+CY696)/2</f>
        <v>45.67</v>
      </c>
      <c r="CZ695" s="120">
        <f>(CY695+DA695)/2</f>
        <v>46.350999999999999</v>
      </c>
      <c r="DA695" s="120">
        <f>(DA694+DA696)/2</f>
        <v>47.031999999999996</v>
      </c>
      <c r="DB695" s="120">
        <f>(DA695+DC695)/2</f>
        <v>47.692749999999997</v>
      </c>
      <c r="DC695" s="120">
        <f>(DC694+DC696)/2</f>
        <v>48.353499999999997</v>
      </c>
      <c r="DD695" s="120">
        <f>(DC695+DE695)/2</f>
        <v>49.066000000000003</v>
      </c>
      <c r="DE695" s="120">
        <f>(DE694+DE696)/2</f>
        <v>49.778500000000001</v>
      </c>
      <c r="DF695" s="120">
        <f>(DE695+DG695)/2</f>
        <v>50.443250000000006</v>
      </c>
      <c r="DG695" s="122">
        <f>(DG694+DG696)/2</f>
        <v>51.108000000000004</v>
      </c>
    </row>
    <row r="696" spans="54:111" ht="15" customHeight="1" x14ac:dyDescent="0.2">
      <c r="BB696" s="28">
        <v>22</v>
      </c>
      <c r="BC696" s="121">
        <v>9.0510000000000002</v>
      </c>
      <c r="BD696" s="121">
        <v>10.1</v>
      </c>
      <c r="BE696" s="121">
        <v>11.148999999999999</v>
      </c>
      <c r="BF696" s="121">
        <v>12.152999999999999</v>
      </c>
      <c r="BG696" s="121">
        <v>13.157</v>
      </c>
      <c r="BH696" s="121">
        <v>14.083500000000001</v>
      </c>
      <c r="BI696" s="121">
        <v>15.01</v>
      </c>
      <c r="BJ696" s="121">
        <v>15.899000000000001</v>
      </c>
      <c r="BK696" s="121">
        <v>16.788</v>
      </c>
      <c r="BL696" s="121">
        <v>17.643999999999998</v>
      </c>
      <c r="BM696" s="121">
        <v>18.5</v>
      </c>
      <c r="BN696" s="121">
        <v>19.350000000000001</v>
      </c>
      <c r="BO696" s="121">
        <v>20.2</v>
      </c>
      <c r="BP696" s="121">
        <v>21.012</v>
      </c>
      <c r="BQ696" s="121">
        <v>21.824000000000002</v>
      </c>
      <c r="BR696" s="121">
        <v>22.673500000000001</v>
      </c>
      <c r="BS696" s="121">
        <v>23.523</v>
      </c>
      <c r="BT696" s="121">
        <f t="array" ref="BT696:BT734">TRANSPOSE(BU695:DG695)</f>
        <v>24.263999999999999</v>
      </c>
      <c r="BU696" s="158">
        <v>25.004999999999999</v>
      </c>
      <c r="BV696" s="120">
        <f>(BW696+BU696)/2</f>
        <v>25.815999999999999</v>
      </c>
      <c r="BW696" s="158">
        <v>26.626999999999999</v>
      </c>
      <c r="BX696" s="120">
        <f>(BY696+BW696)/2</f>
        <v>27.400500000000001</v>
      </c>
      <c r="BY696" s="158">
        <v>28.173999999999999</v>
      </c>
      <c r="BZ696" s="120">
        <f>(CA696+BY696)/2</f>
        <v>28.9465</v>
      </c>
      <c r="CA696" s="158">
        <v>29.719000000000001</v>
      </c>
      <c r="CB696" s="120">
        <f>(CC696+CA696)/2</f>
        <v>30.46</v>
      </c>
      <c r="CC696" s="158">
        <v>31.201000000000001</v>
      </c>
      <c r="CD696" s="120">
        <f>(CE696+CC696)/2</f>
        <v>31.973500000000001</v>
      </c>
      <c r="CE696" s="158">
        <v>32.746000000000002</v>
      </c>
      <c r="CF696" s="120">
        <f>(CG696+CE696)/2</f>
        <v>33.481000000000002</v>
      </c>
      <c r="CG696" s="158">
        <v>34.216000000000001</v>
      </c>
      <c r="CH696" s="120">
        <f>(CI696+CG696)/2</f>
        <v>34.989000000000004</v>
      </c>
      <c r="CI696" s="158">
        <v>35.762</v>
      </c>
      <c r="CJ696" s="120">
        <f>(CK696+CI696)/2</f>
        <v>36.463999999999999</v>
      </c>
      <c r="CK696" s="158">
        <v>37.165999999999997</v>
      </c>
      <c r="CL696" s="120">
        <f>(CM696+CK696)/2</f>
        <v>37.900499999999994</v>
      </c>
      <c r="CM696" s="158">
        <v>38.634999999999998</v>
      </c>
      <c r="CN696" s="120">
        <f>(CO696+CM696)/2</f>
        <v>39.369500000000002</v>
      </c>
      <c r="CO696" s="158">
        <v>40.103999999999999</v>
      </c>
      <c r="CP696" s="120">
        <f>(CQ696+CO696)/2</f>
        <v>40.838499999999996</v>
      </c>
      <c r="CQ696" s="158">
        <v>41.573</v>
      </c>
      <c r="CR696" s="120">
        <f>(CS696+CQ696)/2</f>
        <v>42.274999999999999</v>
      </c>
      <c r="CS696" s="158">
        <v>42.976999999999997</v>
      </c>
      <c r="CT696" s="120">
        <f>(CU696+CS696)/2</f>
        <v>43.673000000000002</v>
      </c>
      <c r="CU696" s="158">
        <v>44.369</v>
      </c>
      <c r="CV696" s="120">
        <f>(CW696+CU696)/2</f>
        <v>45.103999999999999</v>
      </c>
      <c r="CW696" s="158">
        <v>45.838999999999999</v>
      </c>
      <c r="CX696" s="120">
        <f>(CY696+CW696)/2</f>
        <v>46.534999999999997</v>
      </c>
      <c r="CY696" s="158">
        <v>47.231000000000002</v>
      </c>
      <c r="CZ696" s="120">
        <f>(DA696+CY696)/2</f>
        <v>47.941000000000003</v>
      </c>
      <c r="DA696" s="158">
        <v>48.651000000000003</v>
      </c>
      <c r="DB696" s="120">
        <f>(DC696+DA696)/2</f>
        <v>49.338999999999999</v>
      </c>
      <c r="DC696" s="158">
        <v>50.027000000000001</v>
      </c>
      <c r="DD696" s="120">
        <f>(DE696+DC696)/2</f>
        <v>50.762</v>
      </c>
      <c r="DE696" s="158">
        <v>51.497</v>
      </c>
      <c r="DF696" s="120">
        <f>(DG696+DE696)/2</f>
        <v>52.192499999999995</v>
      </c>
      <c r="DG696" s="159">
        <v>52.887999999999998</v>
      </c>
    </row>
    <row r="697" spans="54:111" ht="15" customHeight="1" x14ac:dyDescent="0.2">
      <c r="BB697" s="28">
        <v>23</v>
      </c>
      <c r="BC697" s="121">
        <v>9.3230000000000004</v>
      </c>
      <c r="BD697" s="121">
        <v>10.406749999999999</v>
      </c>
      <c r="BE697" s="121">
        <v>11.490500000000001</v>
      </c>
      <c r="BF697" s="121">
        <v>12.513</v>
      </c>
      <c r="BG697" s="121">
        <v>13.535499999999999</v>
      </c>
      <c r="BH697" s="121">
        <v>14.5</v>
      </c>
      <c r="BI697" s="121">
        <v>15.464500000000001</v>
      </c>
      <c r="BJ697" s="121">
        <v>16.391249999999999</v>
      </c>
      <c r="BK697" s="121">
        <v>17.317999999999998</v>
      </c>
      <c r="BL697" s="121">
        <v>18.185499999999998</v>
      </c>
      <c r="BM697" s="121">
        <v>19.053000000000001</v>
      </c>
      <c r="BN697" s="121">
        <v>19.941000000000003</v>
      </c>
      <c r="BO697" s="121">
        <v>20.829000000000001</v>
      </c>
      <c r="BP697" s="121">
        <v>21.65925</v>
      </c>
      <c r="BQ697" s="121">
        <v>22.4895</v>
      </c>
      <c r="BR697" s="121">
        <v>23.358000000000001</v>
      </c>
      <c r="BS697" s="121">
        <v>24.226500000000001</v>
      </c>
      <c r="BT697" s="121">
        <v>25.021250000000002</v>
      </c>
      <c r="BU697" s="121">
        <f t="array" ref="BU697:BU734">TRANSPOSE(BV696:DG696)</f>
        <v>25.815999999999999</v>
      </c>
      <c r="BV697" s="120">
        <f>(BU697+BW697)/2</f>
        <v>26.646000000000001</v>
      </c>
      <c r="BW697" s="120">
        <f>(BW696+BW698)/2</f>
        <v>27.475999999999999</v>
      </c>
      <c r="BX697" s="120">
        <f>(BW697+BY697)/2</f>
        <v>28.267749999999999</v>
      </c>
      <c r="BY697" s="120">
        <f>(BY696+BY698)/2</f>
        <v>29.0595</v>
      </c>
      <c r="BZ697" s="120">
        <f>(BY697+CA697)/2</f>
        <v>29.850999999999999</v>
      </c>
      <c r="CA697" s="120">
        <f>(CA696+CA698)/2</f>
        <v>30.642499999999998</v>
      </c>
      <c r="CB697" s="120">
        <f>(CA697+CC697)/2</f>
        <v>31.417999999999999</v>
      </c>
      <c r="CC697" s="120">
        <f>(CC696+CC698)/2</f>
        <v>32.1935</v>
      </c>
      <c r="CD697" s="120">
        <f>(CC697+CE697)/2</f>
        <v>32.984749999999998</v>
      </c>
      <c r="CE697" s="120">
        <f>(CE696+CE698)/2</f>
        <v>33.775999999999996</v>
      </c>
      <c r="CF697" s="120">
        <f>(CE697+CG697)/2</f>
        <v>34.548749999999998</v>
      </c>
      <c r="CG697" s="120">
        <f>(CG696+CG698)/2</f>
        <v>35.3215</v>
      </c>
      <c r="CH697" s="120">
        <f>(CG697+CI697)/2</f>
        <v>36.09375</v>
      </c>
      <c r="CI697" s="120">
        <f>(CI696+CI698)/2</f>
        <v>36.866</v>
      </c>
      <c r="CJ697" s="120">
        <f>(CI697+CK697)/2</f>
        <v>37.618499999999997</v>
      </c>
      <c r="CK697" s="120">
        <f>(CK696+CK698)/2</f>
        <v>38.370999999999995</v>
      </c>
      <c r="CL697" s="120">
        <f>(CK697+CM697)/2</f>
        <v>39.123999999999995</v>
      </c>
      <c r="CM697" s="120">
        <f>(CM696+CM698)/2</f>
        <v>39.876999999999995</v>
      </c>
      <c r="CN697" s="120">
        <f>(CM697+CO697)/2</f>
        <v>40.629999999999995</v>
      </c>
      <c r="CO697" s="120">
        <f>(CO696+CO698)/2</f>
        <v>41.382999999999996</v>
      </c>
      <c r="CP697" s="120">
        <f>(CO697+CQ697)/2</f>
        <v>42.135999999999996</v>
      </c>
      <c r="CQ697" s="120">
        <f>(CQ696+CQ698)/2</f>
        <v>42.888999999999996</v>
      </c>
      <c r="CR697" s="120">
        <f>(CQ697+CS697)/2</f>
        <v>43.626249999999999</v>
      </c>
      <c r="CS697" s="120">
        <f>(CS696+CS698)/2</f>
        <v>44.363500000000002</v>
      </c>
      <c r="CT697" s="120">
        <f>(CS697+CU697)/2</f>
        <v>45.097250000000003</v>
      </c>
      <c r="CU697" s="120">
        <f>(CU696+CU698)/2</f>
        <v>45.831000000000003</v>
      </c>
      <c r="CV697" s="120">
        <f>(CU697+CW697)/2</f>
        <v>46.584500000000006</v>
      </c>
      <c r="CW697" s="120">
        <f>(CW696+CW698)/2</f>
        <v>47.338000000000001</v>
      </c>
      <c r="CX697" s="120">
        <f>(CW697+CY697)/2</f>
        <v>48.052499999999995</v>
      </c>
      <c r="CY697" s="120">
        <f>(CY696+CY698)/2</f>
        <v>48.766999999999996</v>
      </c>
      <c r="CZ697" s="120">
        <f>(CY697+DA697)/2</f>
        <v>49.507999999999996</v>
      </c>
      <c r="DA697" s="120">
        <f>(DA696+DA698)/2</f>
        <v>50.249000000000002</v>
      </c>
      <c r="DB697" s="120">
        <f>(DA697+DC697)/2</f>
        <v>50.978750000000005</v>
      </c>
      <c r="DC697" s="120">
        <f>(DC696+DC698)/2</f>
        <v>51.708500000000001</v>
      </c>
      <c r="DD697" s="120">
        <f>(DC697+DE697)/2</f>
        <v>52.442500000000003</v>
      </c>
      <c r="DE697" s="120">
        <f>(DE696+DE698)/2</f>
        <v>53.176500000000004</v>
      </c>
      <c r="DF697" s="120">
        <f>(DE697+DG697)/2</f>
        <v>53.891000000000005</v>
      </c>
      <c r="DG697" s="122">
        <f>(DG696+DG698)/2</f>
        <v>54.605499999999999</v>
      </c>
    </row>
    <row r="698" spans="54:111" ht="15" customHeight="1" x14ac:dyDescent="0.2">
      <c r="BB698" s="28">
        <v>24</v>
      </c>
      <c r="BC698" s="121">
        <v>9.5950000000000006</v>
      </c>
      <c r="BD698" s="121">
        <v>10.7135</v>
      </c>
      <c r="BE698" s="121">
        <v>11.832000000000001</v>
      </c>
      <c r="BF698" s="121">
        <v>12.873000000000001</v>
      </c>
      <c r="BG698" s="121">
        <v>13.914</v>
      </c>
      <c r="BH698" s="121">
        <v>14.916499999999999</v>
      </c>
      <c r="BI698" s="121">
        <v>15.919</v>
      </c>
      <c r="BJ698" s="121">
        <v>16.883499999999998</v>
      </c>
      <c r="BK698" s="121">
        <v>17.847999999999999</v>
      </c>
      <c r="BL698" s="121">
        <v>18.727</v>
      </c>
      <c r="BM698" s="121">
        <v>19.606000000000002</v>
      </c>
      <c r="BN698" s="121">
        <v>20.532</v>
      </c>
      <c r="BO698" s="121">
        <v>21.457999999999998</v>
      </c>
      <c r="BP698" s="121">
        <v>22.3065</v>
      </c>
      <c r="BQ698" s="121">
        <v>23.155000000000001</v>
      </c>
      <c r="BR698" s="121">
        <v>24.0425</v>
      </c>
      <c r="BS698" s="121">
        <v>24.93</v>
      </c>
      <c r="BT698" s="121">
        <v>25.778500000000001</v>
      </c>
      <c r="BU698" s="121">
        <v>26.626999999999999</v>
      </c>
      <c r="BV698" s="121">
        <f t="array" ref="BV698:BV734">TRANSPOSE(BW697:DG697)</f>
        <v>27.475999999999999</v>
      </c>
      <c r="BW698" s="158">
        <v>28.324999999999999</v>
      </c>
      <c r="BX698" s="120">
        <f>(BY698+BW698)/2</f>
        <v>29.134999999999998</v>
      </c>
      <c r="BY698" s="158">
        <v>29.945</v>
      </c>
      <c r="BZ698" s="120">
        <f>(CA698+BY698)/2</f>
        <v>30.755499999999998</v>
      </c>
      <c r="CA698" s="158">
        <v>31.565999999999999</v>
      </c>
      <c r="CB698" s="120">
        <f>(CC698+CA698)/2</f>
        <v>32.375999999999998</v>
      </c>
      <c r="CC698" s="158">
        <v>33.186</v>
      </c>
      <c r="CD698" s="120">
        <f>(CE698+CC698)/2</f>
        <v>33.995999999999995</v>
      </c>
      <c r="CE698" s="158">
        <v>34.805999999999997</v>
      </c>
      <c r="CF698" s="120">
        <f>(CG698+CE698)/2</f>
        <v>35.616500000000002</v>
      </c>
      <c r="CG698" s="158">
        <v>36.427</v>
      </c>
      <c r="CH698" s="120">
        <f>(CI698+CG698)/2</f>
        <v>37.198499999999996</v>
      </c>
      <c r="CI698" s="158">
        <v>37.97</v>
      </c>
      <c r="CJ698" s="120">
        <f>(CK698+CI698)/2</f>
        <v>38.772999999999996</v>
      </c>
      <c r="CK698" s="158">
        <v>39.576000000000001</v>
      </c>
      <c r="CL698" s="120">
        <f>(CM698+CK698)/2</f>
        <v>40.347499999999997</v>
      </c>
      <c r="CM698" s="158">
        <v>41.119</v>
      </c>
      <c r="CN698" s="120">
        <f>(CO698+CM698)/2</f>
        <v>41.890500000000003</v>
      </c>
      <c r="CO698" s="158">
        <v>42.661999999999999</v>
      </c>
      <c r="CP698" s="120">
        <f>(CQ698+CO698)/2</f>
        <v>43.433499999999995</v>
      </c>
      <c r="CQ698" s="158">
        <v>44.204999999999998</v>
      </c>
      <c r="CR698" s="120">
        <f>(CS698+CQ698)/2</f>
        <v>44.977499999999999</v>
      </c>
      <c r="CS698" s="158">
        <v>45.75</v>
      </c>
      <c r="CT698" s="120">
        <f>(CU698+CS698)/2</f>
        <v>46.521500000000003</v>
      </c>
      <c r="CU698" s="158">
        <v>47.292999999999999</v>
      </c>
      <c r="CV698" s="120">
        <f>(CW698+CU698)/2</f>
        <v>48.064999999999998</v>
      </c>
      <c r="CW698" s="158">
        <v>48.837000000000003</v>
      </c>
      <c r="CX698" s="120">
        <f>(CY698+CW698)/2</f>
        <v>49.57</v>
      </c>
      <c r="CY698" s="158">
        <v>50.302999999999997</v>
      </c>
      <c r="CZ698" s="120">
        <f>(DA698+CY698)/2</f>
        <v>51.075000000000003</v>
      </c>
      <c r="DA698" s="158">
        <v>51.847000000000001</v>
      </c>
      <c r="DB698" s="120">
        <f>(DC698+DA698)/2</f>
        <v>52.618499999999997</v>
      </c>
      <c r="DC698" s="158">
        <v>53.39</v>
      </c>
      <c r="DD698" s="120">
        <f>(DE698+DC698)/2</f>
        <v>54.123000000000005</v>
      </c>
      <c r="DE698" s="158">
        <v>54.856000000000002</v>
      </c>
      <c r="DF698" s="120">
        <f>(DG698+DE698)/2</f>
        <v>55.589500000000001</v>
      </c>
      <c r="DG698" s="159">
        <v>56.323</v>
      </c>
    </row>
    <row r="699" spans="54:111" ht="15" customHeight="1" x14ac:dyDescent="0.2">
      <c r="BB699" s="28">
        <v>25</v>
      </c>
      <c r="BC699" s="121">
        <v>9.8530000000000015</v>
      </c>
      <c r="BD699" s="121">
        <v>11.00925</v>
      </c>
      <c r="BE699" s="121">
        <v>12.165500000000002</v>
      </c>
      <c r="BF699" s="121">
        <v>13.244250000000001</v>
      </c>
      <c r="BG699" s="121">
        <v>14.323</v>
      </c>
      <c r="BH699" s="121">
        <v>15.3445</v>
      </c>
      <c r="BI699" s="121">
        <v>16.366</v>
      </c>
      <c r="BJ699" s="121">
        <v>17.361249999999998</v>
      </c>
      <c r="BK699" s="121">
        <v>18.356499999999997</v>
      </c>
      <c r="BL699" s="121">
        <v>19.280999999999999</v>
      </c>
      <c r="BM699" s="121">
        <v>20.205500000000001</v>
      </c>
      <c r="BN699" s="121">
        <v>21.131</v>
      </c>
      <c r="BO699" s="121">
        <v>22.0565</v>
      </c>
      <c r="BP699" s="121">
        <v>22.94275</v>
      </c>
      <c r="BQ699" s="121">
        <v>23.829000000000001</v>
      </c>
      <c r="BR699" s="121">
        <v>24.747250000000001</v>
      </c>
      <c r="BS699" s="121">
        <v>25.665500000000002</v>
      </c>
      <c r="BT699" s="121">
        <v>26.533000000000001</v>
      </c>
      <c r="BU699" s="121">
        <v>27.400500000000001</v>
      </c>
      <c r="BV699" s="121">
        <v>28.267749999999999</v>
      </c>
      <c r="BW699" s="121">
        <f t="array" ref="BW699:BW734">TRANSPOSE(BX698:DG698)</f>
        <v>29.134999999999998</v>
      </c>
      <c r="BX699" s="120">
        <f>(BW699+BY699)/2</f>
        <v>29.982999999999997</v>
      </c>
      <c r="BY699" s="120">
        <f>(BY698+BY700)/2</f>
        <v>30.831</v>
      </c>
      <c r="BZ699" s="120">
        <f>(BY699+CA699)/2</f>
        <v>31.672249999999998</v>
      </c>
      <c r="CA699" s="120">
        <f>(CA698+CA700)/2</f>
        <v>32.513500000000001</v>
      </c>
      <c r="CB699" s="120">
        <f>(CA699+CC699)/2</f>
        <v>33.34225</v>
      </c>
      <c r="CC699" s="120">
        <f>(CC698+CC700)/2</f>
        <v>34.170999999999999</v>
      </c>
      <c r="CD699" s="120">
        <f>(CC699+CE699)/2</f>
        <v>34.999749999999999</v>
      </c>
      <c r="CE699" s="120">
        <f>(CE698+CE700)/2</f>
        <v>35.828499999999998</v>
      </c>
      <c r="CF699" s="120">
        <f>(CE699+CG699)/2</f>
        <v>36.657499999999999</v>
      </c>
      <c r="CG699" s="120">
        <f>(CG698+CG700)/2</f>
        <v>37.486499999999999</v>
      </c>
      <c r="CH699" s="120">
        <f>(CG699+CI699)/2</f>
        <v>38.308250000000001</v>
      </c>
      <c r="CI699" s="120">
        <f>(CI698+CI700)/2</f>
        <v>39.129999999999995</v>
      </c>
      <c r="CJ699" s="120">
        <f>(CI699+CK699)/2</f>
        <v>39.939749999999997</v>
      </c>
      <c r="CK699" s="120">
        <f>(CK698+CK700)/2</f>
        <v>40.749499999999998</v>
      </c>
      <c r="CL699" s="120">
        <f>(CK699+CM699)/2</f>
        <v>41.558999999999997</v>
      </c>
      <c r="CM699" s="120">
        <f>(CM698+CM700)/2</f>
        <v>42.368499999999997</v>
      </c>
      <c r="CN699" s="120">
        <f>(CM699+CO699)/2</f>
        <v>43.158749999999998</v>
      </c>
      <c r="CO699" s="120">
        <f>(CO698+CO700)/2</f>
        <v>43.948999999999998</v>
      </c>
      <c r="CP699" s="120">
        <f>(CO699+CQ699)/2</f>
        <v>44.751750000000001</v>
      </c>
      <c r="CQ699" s="120">
        <f>(CQ698+CQ700)/2</f>
        <v>45.554500000000004</v>
      </c>
      <c r="CR699" s="120">
        <f>(CQ699+CS699)/2</f>
        <v>46.34525</v>
      </c>
      <c r="CS699" s="120">
        <f>(CS698+CS700)/2</f>
        <v>47.135999999999996</v>
      </c>
      <c r="CT699" s="120">
        <f>(CS699+CU699)/2</f>
        <v>47.926000000000002</v>
      </c>
      <c r="CU699" s="120">
        <f>(CU698+CU700)/2</f>
        <v>48.716000000000001</v>
      </c>
      <c r="CV699" s="120">
        <f>(CU699+CW699)/2</f>
        <v>49.506749999999997</v>
      </c>
      <c r="CW699" s="120">
        <f>(CW698+CW700)/2</f>
        <v>50.297499999999999</v>
      </c>
      <c r="CX699" s="120">
        <f>(CW699+CY699)/2</f>
        <v>51.080749999999995</v>
      </c>
      <c r="CY699" s="120">
        <f>(CY698+CY700)/2</f>
        <v>51.863999999999997</v>
      </c>
      <c r="CZ699" s="120">
        <f>(CY699+DA699)/2</f>
        <v>52.654250000000005</v>
      </c>
      <c r="DA699" s="120">
        <f>(DA698+DA700)/2</f>
        <v>53.444500000000005</v>
      </c>
      <c r="DB699" s="120">
        <f>(DA699+DC699)/2</f>
        <v>54.234750000000005</v>
      </c>
      <c r="DC699" s="120">
        <f>(DC698+DC700)/2</f>
        <v>55.024999999999999</v>
      </c>
      <c r="DD699" s="120">
        <f>(DC699+DE699)/2</f>
        <v>55.77675</v>
      </c>
      <c r="DE699" s="120">
        <f>(DE698+DE700)/2</f>
        <v>56.528500000000001</v>
      </c>
      <c r="DF699" s="120">
        <f>(DE699+DG699)/2</f>
        <v>57.311999999999998</v>
      </c>
      <c r="DG699" s="122">
        <f>(DG698+DG700)/2</f>
        <v>58.095500000000001</v>
      </c>
    </row>
    <row r="700" spans="54:111" ht="15" customHeight="1" x14ac:dyDescent="0.2">
      <c r="BB700" s="28">
        <v>26</v>
      </c>
      <c r="BC700" s="121">
        <v>10.111000000000001</v>
      </c>
      <c r="BD700" s="121">
        <v>11.305</v>
      </c>
      <c r="BE700" s="121">
        <v>12.499000000000001</v>
      </c>
      <c r="BF700" s="121">
        <v>13.615500000000001</v>
      </c>
      <c r="BG700" s="121">
        <v>14.731999999999999</v>
      </c>
      <c r="BH700" s="121">
        <v>15.772499999999999</v>
      </c>
      <c r="BI700" s="121">
        <v>16.812999999999999</v>
      </c>
      <c r="BJ700" s="121">
        <v>17.838999999999999</v>
      </c>
      <c r="BK700" s="121">
        <v>18.864999999999998</v>
      </c>
      <c r="BL700" s="121">
        <v>19.835000000000001</v>
      </c>
      <c r="BM700" s="121">
        <v>20.805</v>
      </c>
      <c r="BN700" s="121">
        <v>21.73</v>
      </c>
      <c r="BO700" s="121">
        <v>22.655000000000001</v>
      </c>
      <c r="BP700" s="121">
        <v>23.579000000000001</v>
      </c>
      <c r="BQ700" s="121">
        <v>24.503</v>
      </c>
      <c r="BR700" s="121">
        <v>25.451999999999998</v>
      </c>
      <c r="BS700" s="121">
        <v>26.401</v>
      </c>
      <c r="BT700" s="121">
        <v>27.287500000000001</v>
      </c>
      <c r="BU700" s="121">
        <v>28.173999999999999</v>
      </c>
      <c r="BV700" s="121">
        <v>29.0595</v>
      </c>
      <c r="BW700" s="121">
        <v>29.945</v>
      </c>
      <c r="BX700" s="121">
        <f t="array" ref="BX700:BX734">TRANSPOSE(BY699:DG699)</f>
        <v>30.831</v>
      </c>
      <c r="BY700" s="158">
        <v>31.716999999999999</v>
      </c>
      <c r="BZ700" s="120">
        <f>(CA700+BY700)/2</f>
        <v>32.588999999999999</v>
      </c>
      <c r="CA700" s="158">
        <v>33.460999999999999</v>
      </c>
      <c r="CB700" s="120">
        <f>(CC700+CA700)/2</f>
        <v>34.308499999999995</v>
      </c>
      <c r="CC700" s="158">
        <v>35.155999999999999</v>
      </c>
      <c r="CD700" s="120">
        <f>(CE700+CC700)/2</f>
        <v>36.003500000000003</v>
      </c>
      <c r="CE700" s="158">
        <v>36.850999999999999</v>
      </c>
      <c r="CF700" s="120">
        <f>(CG700+CE700)/2</f>
        <v>37.698499999999996</v>
      </c>
      <c r="CG700" s="158">
        <v>38.545999999999999</v>
      </c>
      <c r="CH700" s="120">
        <f>(CI700+CG700)/2</f>
        <v>39.417999999999999</v>
      </c>
      <c r="CI700" s="158">
        <v>40.29</v>
      </c>
      <c r="CJ700" s="120">
        <f>(CK700+CI700)/2</f>
        <v>41.106499999999997</v>
      </c>
      <c r="CK700" s="158">
        <v>41.923000000000002</v>
      </c>
      <c r="CL700" s="120">
        <f>(CM700+CK700)/2</f>
        <v>42.770499999999998</v>
      </c>
      <c r="CM700" s="158">
        <v>43.618000000000002</v>
      </c>
      <c r="CN700" s="120">
        <f>(CO700+CM700)/2</f>
        <v>44.427</v>
      </c>
      <c r="CO700" s="158">
        <v>45.235999999999997</v>
      </c>
      <c r="CP700" s="120">
        <f>(CQ700+CO700)/2</f>
        <v>46.07</v>
      </c>
      <c r="CQ700" s="158">
        <v>46.904000000000003</v>
      </c>
      <c r="CR700" s="120">
        <f>(CS700+CQ700)/2</f>
        <v>47.713000000000001</v>
      </c>
      <c r="CS700" s="158">
        <v>48.521999999999998</v>
      </c>
      <c r="CT700" s="120">
        <f>(CU700+CS700)/2</f>
        <v>49.330500000000001</v>
      </c>
      <c r="CU700" s="158">
        <v>50.139000000000003</v>
      </c>
      <c r="CV700" s="120">
        <f>(CW700+CU700)/2</f>
        <v>50.948500000000003</v>
      </c>
      <c r="CW700" s="158">
        <v>51.758000000000003</v>
      </c>
      <c r="CX700" s="120">
        <f>(CY700+CW700)/2</f>
        <v>52.591499999999996</v>
      </c>
      <c r="CY700" s="158">
        <v>53.424999999999997</v>
      </c>
      <c r="CZ700" s="120">
        <f>(DA700+CY700)/2</f>
        <v>54.233499999999999</v>
      </c>
      <c r="DA700" s="158">
        <v>55.042000000000002</v>
      </c>
      <c r="DB700" s="120">
        <f>(DC700+DA700)/2</f>
        <v>55.850999999999999</v>
      </c>
      <c r="DC700" s="158">
        <v>56.66</v>
      </c>
      <c r="DD700" s="120">
        <f>(DE700+DC700)/2</f>
        <v>57.430499999999995</v>
      </c>
      <c r="DE700" s="158">
        <v>58.201000000000001</v>
      </c>
      <c r="DF700" s="120">
        <f>(DG700+DE700)/2</f>
        <v>59.034500000000001</v>
      </c>
      <c r="DG700" s="159">
        <v>59.868000000000002</v>
      </c>
    </row>
    <row r="701" spans="54:111" ht="15" customHeight="1" x14ac:dyDescent="0.2">
      <c r="BB701" s="28">
        <v>27</v>
      </c>
      <c r="BC701" s="121">
        <v>10.3825</v>
      </c>
      <c r="BD701" s="121">
        <v>11.61125</v>
      </c>
      <c r="BE701" s="121">
        <v>12.84</v>
      </c>
      <c r="BF701" s="121">
        <v>13.9755</v>
      </c>
      <c r="BG701" s="121">
        <v>15.111000000000001</v>
      </c>
      <c r="BH701" s="121">
        <v>16.181999999999999</v>
      </c>
      <c r="BI701" s="121">
        <v>17.253</v>
      </c>
      <c r="BJ701" s="121">
        <v>18.285249999999998</v>
      </c>
      <c r="BK701" s="121">
        <v>19.317499999999999</v>
      </c>
      <c r="BL701" s="121">
        <v>20.338000000000001</v>
      </c>
      <c r="BM701" s="121">
        <v>21.358499999999999</v>
      </c>
      <c r="BN701" s="121">
        <v>22.321249999999999</v>
      </c>
      <c r="BO701" s="121">
        <v>23.283999999999999</v>
      </c>
      <c r="BP701" s="121">
        <v>24.239000000000001</v>
      </c>
      <c r="BQ701" s="121">
        <v>25.194000000000003</v>
      </c>
      <c r="BR701" s="121">
        <v>26.149249999999999</v>
      </c>
      <c r="BS701" s="121">
        <v>27.104500000000002</v>
      </c>
      <c r="BT701" s="121">
        <v>28.025500000000001</v>
      </c>
      <c r="BU701" s="121">
        <v>28.9465</v>
      </c>
      <c r="BV701" s="121">
        <v>29.850999999999999</v>
      </c>
      <c r="BW701" s="121">
        <v>30.755499999999998</v>
      </c>
      <c r="BX701" s="121">
        <v>31.672249999999998</v>
      </c>
      <c r="BY701" s="121">
        <f t="array" ref="BY701:BY734">TRANSPOSE(BZ700:DG700)</f>
        <v>32.588999999999999</v>
      </c>
      <c r="BZ701" s="120">
        <f>(BY701+CA701)/2</f>
        <v>33.486499999999999</v>
      </c>
      <c r="CA701" s="120">
        <f>(CA700+CA702)/2</f>
        <v>34.384</v>
      </c>
      <c r="CB701" s="120">
        <f>(CA701+CC701)/2</f>
        <v>35.266249999999999</v>
      </c>
      <c r="CC701" s="120">
        <f>(CC700+CC702)/2</f>
        <v>36.148499999999999</v>
      </c>
      <c r="CD701" s="120">
        <f>(CC701+CE701)/2</f>
        <v>37.014749999999999</v>
      </c>
      <c r="CE701" s="120">
        <f>(CE700+CE702)/2</f>
        <v>37.881</v>
      </c>
      <c r="CF701" s="120">
        <f>(CE701+CG701)/2</f>
        <v>38.759250000000002</v>
      </c>
      <c r="CG701" s="120">
        <f>(CG700+CG702)/2</f>
        <v>39.637500000000003</v>
      </c>
      <c r="CH701" s="120">
        <f>(CG701+CI701)/2</f>
        <v>40.515749999999997</v>
      </c>
      <c r="CI701" s="120">
        <f>(CI700+CI702)/2</f>
        <v>41.393999999999998</v>
      </c>
      <c r="CJ701" s="120">
        <f>(CI701+CK701)/2</f>
        <v>42.260750000000002</v>
      </c>
      <c r="CK701" s="120">
        <f>(CK700+CK702)/2</f>
        <v>43.127499999999998</v>
      </c>
      <c r="CL701" s="120">
        <f>(CK701+CM701)/2</f>
        <v>43.97475</v>
      </c>
      <c r="CM701" s="120">
        <f>(CM700+CM702)/2</f>
        <v>44.822000000000003</v>
      </c>
      <c r="CN701" s="120">
        <f>(CM701+CO701)/2</f>
        <v>45.680999999999997</v>
      </c>
      <c r="CO701" s="120">
        <f>(CO700+CO702)/2</f>
        <v>46.54</v>
      </c>
      <c r="CP701" s="120">
        <f>(CO701+CQ701)/2</f>
        <v>47.379999999999995</v>
      </c>
      <c r="CQ701" s="120">
        <f>(CQ700+CQ702)/2</f>
        <v>48.22</v>
      </c>
      <c r="CR701" s="120">
        <f>(CQ701+CS701)/2</f>
        <v>49.063749999999999</v>
      </c>
      <c r="CS701" s="120">
        <f>(CS700+CS702)/2</f>
        <v>49.907499999999999</v>
      </c>
      <c r="CT701" s="120">
        <f>(CS701+CU701)/2</f>
        <v>50.754249999999999</v>
      </c>
      <c r="CU701" s="120">
        <f>(CU700+CU702)/2</f>
        <v>51.600999999999999</v>
      </c>
      <c r="CV701" s="120">
        <f>(CU701+CW701)/2</f>
        <v>52.441000000000003</v>
      </c>
      <c r="CW701" s="120">
        <f>(CW700+CW702)/2</f>
        <v>53.281000000000006</v>
      </c>
      <c r="CX701" s="120">
        <f>(CW701+CY701)/2</f>
        <v>54.120750000000001</v>
      </c>
      <c r="CY701" s="120">
        <f>(CY700+CY702)/2</f>
        <v>54.960499999999996</v>
      </c>
      <c r="CZ701" s="120">
        <f>(CY701+DA701)/2</f>
        <v>55.780999999999999</v>
      </c>
      <c r="DA701" s="120">
        <f>(DA700+DA702)/2</f>
        <v>56.601500000000001</v>
      </c>
      <c r="DB701" s="120">
        <f>(DA701+DC701)/2</f>
        <v>57.433</v>
      </c>
      <c r="DC701" s="120">
        <f>(DC700+DC702)/2</f>
        <v>58.264499999999998</v>
      </c>
      <c r="DD701" s="120">
        <f>(DC701+DE701)/2</f>
        <v>59.085000000000001</v>
      </c>
      <c r="DE701" s="120">
        <f>(DE700+DE702)/2</f>
        <v>59.905500000000004</v>
      </c>
      <c r="DF701" s="120">
        <f>(DE701+DG701)/2</f>
        <v>60.745249999999999</v>
      </c>
      <c r="DG701" s="122">
        <f>(DG700+DG702)/2</f>
        <v>61.585000000000001</v>
      </c>
    </row>
    <row r="702" spans="54:111" ht="15" customHeight="1" x14ac:dyDescent="0.2">
      <c r="BB702" s="28">
        <v>28</v>
      </c>
      <c r="BC702" s="121">
        <v>10.654</v>
      </c>
      <c r="BD702" s="121">
        <v>11.9175</v>
      </c>
      <c r="BE702" s="121">
        <v>13.180999999999999</v>
      </c>
      <c r="BF702" s="121">
        <v>14.3355</v>
      </c>
      <c r="BG702" s="121">
        <v>15.49</v>
      </c>
      <c r="BH702" s="121">
        <v>16.5915</v>
      </c>
      <c r="BI702" s="121">
        <v>17.693000000000001</v>
      </c>
      <c r="BJ702" s="121">
        <v>18.7315</v>
      </c>
      <c r="BK702" s="121">
        <v>19.77</v>
      </c>
      <c r="BL702" s="121">
        <v>20.841000000000001</v>
      </c>
      <c r="BM702" s="121">
        <v>21.911999999999999</v>
      </c>
      <c r="BN702" s="121">
        <v>22.912500000000001</v>
      </c>
      <c r="BO702" s="121">
        <v>23.913</v>
      </c>
      <c r="BP702" s="121">
        <v>24.899000000000001</v>
      </c>
      <c r="BQ702" s="121">
        <v>25.885000000000002</v>
      </c>
      <c r="BR702" s="121">
        <v>26.846499999999999</v>
      </c>
      <c r="BS702" s="121">
        <v>27.808</v>
      </c>
      <c r="BT702" s="121">
        <v>28.763500000000001</v>
      </c>
      <c r="BU702" s="121">
        <v>29.719000000000001</v>
      </c>
      <c r="BV702" s="121">
        <v>30.642499999999998</v>
      </c>
      <c r="BW702" s="121">
        <v>31.565999999999999</v>
      </c>
      <c r="BX702" s="121">
        <v>32.513500000000001</v>
      </c>
      <c r="BY702" s="121">
        <v>33.460999999999999</v>
      </c>
      <c r="BZ702" s="121">
        <f t="array" ref="BZ702:BZ734">TRANSPOSE(CA701:DG701)</f>
        <v>34.384</v>
      </c>
      <c r="CA702" s="158">
        <v>35.307000000000002</v>
      </c>
      <c r="CB702" s="120">
        <f>(CC702+CA702)/2</f>
        <v>36.224000000000004</v>
      </c>
      <c r="CC702" s="158">
        <v>37.140999999999998</v>
      </c>
      <c r="CD702" s="120">
        <f>(CE702+CC702)/2</f>
        <v>38.025999999999996</v>
      </c>
      <c r="CE702" s="158">
        <v>38.911000000000001</v>
      </c>
      <c r="CF702" s="120">
        <f>(CG702+CE702)/2</f>
        <v>39.82</v>
      </c>
      <c r="CG702" s="158">
        <v>40.728999999999999</v>
      </c>
      <c r="CH702" s="120">
        <f>(CI702+CG702)/2</f>
        <v>41.613500000000002</v>
      </c>
      <c r="CI702" s="158">
        <v>42.497999999999998</v>
      </c>
      <c r="CJ702" s="120">
        <f>(CK702+CI702)/2</f>
        <v>43.414999999999999</v>
      </c>
      <c r="CK702" s="158">
        <v>44.332000000000001</v>
      </c>
      <c r="CL702" s="120">
        <f>(CM702+CK702)/2</f>
        <v>45.179000000000002</v>
      </c>
      <c r="CM702" s="158">
        <v>46.026000000000003</v>
      </c>
      <c r="CN702" s="120">
        <f>(CO702+CM702)/2</f>
        <v>46.935000000000002</v>
      </c>
      <c r="CO702" s="158">
        <v>47.844000000000001</v>
      </c>
      <c r="CP702" s="120">
        <f>(CQ702+CO702)/2</f>
        <v>48.69</v>
      </c>
      <c r="CQ702" s="158">
        <v>49.536000000000001</v>
      </c>
      <c r="CR702" s="120">
        <f>(CS702+CQ702)/2</f>
        <v>50.414500000000004</v>
      </c>
      <c r="CS702" s="158">
        <v>51.292999999999999</v>
      </c>
      <c r="CT702" s="120">
        <f>(CU702+CS702)/2</f>
        <v>52.177999999999997</v>
      </c>
      <c r="CU702" s="158">
        <v>53.063000000000002</v>
      </c>
      <c r="CV702" s="120">
        <f>(CW702+CU702)/2</f>
        <v>53.933500000000002</v>
      </c>
      <c r="CW702" s="158">
        <v>54.804000000000002</v>
      </c>
      <c r="CX702" s="120">
        <f>(CY702+CW702)/2</f>
        <v>55.650000000000006</v>
      </c>
      <c r="CY702" s="158">
        <v>56.496000000000002</v>
      </c>
      <c r="CZ702" s="120">
        <f>(DA702+CY702)/2</f>
        <v>57.328500000000005</v>
      </c>
      <c r="DA702" s="158">
        <v>58.161000000000001</v>
      </c>
      <c r="DB702" s="120">
        <f>(DC702+DA702)/2</f>
        <v>59.015000000000001</v>
      </c>
      <c r="DC702" s="158">
        <v>59.869</v>
      </c>
      <c r="DD702" s="120">
        <f>(DE702+DC702)/2</f>
        <v>60.7395</v>
      </c>
      <c r="DE702" s="158">
        <v>61.61</v>
      </c>
      <c r="DF702" s="120">
        <f>(DG702+DE702)/2</f>
        <v>62.456000000000003</v>
      </c>
      <c r="DG702" s="159">
        <v>63.302</v>
      </c>
    </row>
    <row r="703" spans="54:111" ht="15" customHeight="1" x14ac:dyDescent="0.2">
      <c r="BB703" s="28">
        <v>29</v>
      </c>
      <c r="BC703" s="121">
        <v>10.92</v>
      </c>
      <c r="BD703" s="121">
        <v>12.205249999999999</v>
      </c>
      <c r="BE703" s="121">
        <v>13.490500000000001</v>
      </c>
      <c r="BF703" s="121">
        <v>14.679500000000001</v>
      </c>
      <c r="BG703" s="121">
        <v>15.868500000000001</v>
      </c>
      <c r="BH703" s="121">
        <v>17.008000000000003</v>
      </c>
      <c r="BI703" s="121">
        <v>18.147500000000001</v>
      </c>
      <c r="BJ703" s="121">
        <v>19.216999999999999</v>
      </c>
      <c r="BK703" s="121">
        <v>20.2865</v>
      </c>
      <c r="BL703" s="121">
        <v>21.363500000000002</v>
      </c>
      <c r="BM703" s="121">
        <v>22.4405</v>
      </c>
      <c r="BN703" s="121">
        <v>23.47175</v>
      </c>
      <c r="BO703" s="121">
        <v>24.503</v>
      </c>
      <c r="BP703" s="121">
        <v>25.511749999999999</v>
      </c>
      <c r="BQ703" s="121">
        <v>26.520499999999998</v>
      </c>
      <c r="BR703" s="121">
        <v>27.512999999999998</v>
      </c>
      <c r="BS703" s="121">
        <v>28.505499999999998</v>
      </c>
      <c r="BT703" s="121">
        <v>29.482749999999999</v>
      </c>
      <c r="BU703" s="121">
        <v>30.46</v>
      </c>
      <c r="BV703" s="121">
        <v>31.417999999999999</v>
      </c>
      <c r="BW703" s="121">
        <v>32.375999999999998</v>
      </c>
      <c r="BX703" s="121">
        <v>33.34225</v>
      </c>
      <c r="BY703" s="121">
        <v>34.308499999999995</v>
      </c>
      <c r="BZ703" s="121">
        <v>35.266249999999999</v>
      </c>
      <c r="CA703" s="121">
        <f t="array" ref="CA703:CA734">TRANSPOSE(CB702:DG702)</f>
        <v>36.224000000000004</v>
      </c>
      <c r="CB703" s="120">
        <f>(CA703+CC703)/2</f>
        <v>37.162750000000003</v>
      </c>
      <c r="CC703" s="120">
        <f>(CC702+CC704)/2</f>
        <v>38.101500000000001</v>
      </c>
      <c r="CD703" s="120">
        <f>(CC703+CE703)/2</f>
        <v>39.017499999999998</v>
      </c>
      <c r="CE703" s="120">
        <f>(CE702+CE704)/2</f>
        <v>39.933500000000002</v>
      </c>
      <c r="CF703" s="120">
        <f>(CE703+CG703)/2</f>
        <v>40.864999999999995</v>
      </c>
      <c r="CG703" s="120">
        <f>(CG702+CG704)/2</f>
        <v>41.796499999999995</v>
      </c>
      <c r="CH703" s="120">
        <f>(CG703+CI703)/2</f>
        <v>42.712249999999997</v>
      </c>
      <c r="CI703" s="120">
        <f>(CI702+CI704)/2</f>
        <v>43.628</v>
      </c>
      <c r="CJ703" s="120">
        <f>(CI703+CK703)/2</f>
        <v>44.551000000000002</v>
      </c>
      <c r="CK703" s="120">
        <f>(CK702+CK704)/2</f>
        <v>45.474000000000004</v>
      </c>
      <c r="CL703" s="120">
        <f>(CK703+CM703)/2</f>
        <v>46.370750000000001</v>
      </c>
      <c r="CM703" s="120">
        <f>(CM702+CM704)/2</f>
        <v>47.267499999999998</v>
      </c>
      <c r="CN703" s="120">
        <f>(CM703+CO703)/2</f>
        <v>48.176000000000002</v>
      </c>
      <c r="CO703" s="120">
        <f>(CO702+CO704)/2</f>
        <v>49.084500000000006</v>
      </c>
      <c r="CP703" s="120">
        <f>(CO703+CQ703)/2</f>
        <v>49.984750000000005</v>
      </c>
      <c r="CQ703" s="120">
        <f>(CQ702+CQ704)/2</f>
        <v>50.885000000000005</v>
      </c>
      <c r="CR703" s="120">
        <f>(CQ703+CS703)/2</f>
        <v>51.766000000000005</v>
      </c>
      <c r="CS703" s="120">
        <f>(CS702+CS704)/2</f>
        <v>52.646999999999998</v>
      </c>
      <c r="CT703" s="120">
        <f>(CS703+CU703)/2</f>
        <v>53.547250000000005</v>
      </c>
      <c r="CU703" s="120">
        <f>(CU702+CU704)/2</f>
        <v>54.447500000000005</v>
      </c>
      <c r="CV703" s="120">
        <f>(CU703+CW703)/2</f>
        <v>55.356000000000002</v>
      </c>
      <c r="CW703" s="120">
        <f>(CW702+CW704)/2</f>
        <v>56.264499999999998</v>
      </c>
      <c r="CX703" s="120">
        <f>(CW703+CY703)/2</f>
        <v>57.141500000000001</v>
      </c>
      <c r="CY703" s="120">
        <f>(CY702+CY704)/2</f>
        <v>58.018500000000003</v>
      </c>
      <c r="CZ703" s="120">
        <f>(CY703+DA703)/2</f>
        <v>58.88</v>
      </c>
      <c r="DA703" s="120">
        <f>(DA702+DA704)/2</f>
        <v>59.741500000000002</v>
      </c>
      <c r="DB703" s="120">
        <f>(DA703+DC703)/2</f>
        <v>60.622500000000002</v>
      </c>
      <c r="DC703" s="120">
        <f>(DC702+DC704)/2</f>
        <v>61.503500000000003</v>
      </c>
      <c r="DD703" s="120">
        <f>(DC703+DE703)/2</f>
        <v>62.377750000000006</v>
      </c>
      <c r="DE703" s="120">
        <f>(DE702+DE704)/2</f>
        <v>63.252000000000002</v>
      </c>
      <c r="DF703" s="120">
        <f>(DE703+DG703)/2</f>
        <v>64.129000000000005</v>
      </c>
      <c r="DG703" s="122">
        <f>(DG702+DG704)/2</f>
        <v>65.006</v>
      </c>
    </row>
    <row r="704" spans="54:111" ht="15" customHeight="1" x14ac:dyDescent="0.2">
      <c r="BB704" s="28">
        <v>30</v>
      </c>
      <c r="BC704" s="121">
        <v>11.186</v>
      </c>
      <c r="BD704" s="121">
        <v>12.493</v>
      </c>
      <c r="BE704" s="121">
        <v>13.8</v>
      </c>
      <c r="BF704" s="121">
        <v>15.0235</v>
      </c>
      <c r="BG704" s="121">
        <v>16.247</v>
      </c>
      <c r="BH704" s="121">
        <v>17.424500000000002</v>
      </c>
      <c r="BI704" s="121">
        <v>18.602</v>
      </c>
      <c r="BJ704" s="121">
        <v>19.702500000000001</v>
      </c>
      <c r="BK704" s="121">
        <v>20.803000000000001</v>
      </c>
      <c r="BL704" s="121">
        <v>21.886000000000003</v>
      </c>
      <c r="BM704" s="121">
        <v>22.969000000000001</v>
      </c>
      <c r="BN704" s="121">
        <v>24.030999999999999</v>
      </c>
      <c r="BO704" s="121">
        <v>25.093</v>
      </c>
      <c r="BP704" s="121">
        <v>26.124499999999998</v>
      </c>
      <c r="BQ704" s="121">
        <v>27.155999999999999</v>
      </c>
      <c r="BR704" s="121">
        <v>28.179499999999997</v>
      </c>
      <c r="BS704" s="121">
        <v>29.202999999999999</v>
      </c>
      <c r="BT704" s="121">
        <v>30.201999999999998</v>
      </c>
      <c r="BU704" s="121">
        <v>31.201000000000001</v>
      </c>
      <c r="BV704" s="121">
        <v>32.1935</v>
      </c>
      <c r="BW704" s="121">
        <v>33.186</v>
      </c>
      <c r="BX704" s="121">
        <v>34.170999999999999</v>
      </c>
      <c r="BY704" s="121">
        <v>35.155999999999999</v>
      </c>
      <c r="BZ704" s="121">
        <v>36.148499999999999</v>
      </c>
      <c r="CA704" s="121">
        <v>37.140999999999998</v>
      </c>
      <c r="CB704" s="121">
        <f t="array" ref="CB704:CB734">TRANSPOSE(CC703:DG703)</f>
        <v>38.101500000000001</v>
      </c>
      <c r="CC704" s="158">
        <v>39.061999999999998</v>
      </c>
      <c r="CD704" s="120">
        <f>(CE704+CC704)/2</f>
        <v>40.009</v>
      </c>
      <c r="CE704" s="158">
        <v>40.956000000000003</v>
      </c>
      <c r="CF704" s="120">
        <f>(CG704+CE704)/2</f>
        <v>41.91</v>
      </c>
      <c r="CG704" s="158">
        <v>42.863999999999997</v>
      </c>
      <c r="CH704" s="120">
        <f>(CI704+CG704)/2</f>
        <v>43.811</v>
      </c>
      <c r="CI704" s="158">
        <v>44.758000000000003</v>
      </c>
      <c r="CJ704" s="120">
        <f>(CK704+CI704)/2</f>
        <v>45.686999999999998</v>
      </c>
      <c r="CK704" s="158">
        <v>46.616</v>
      </c>
      <c r="CL704" s="120">
        <f>(CM704+CK704)/2</f>
        <v>47.5625</v>
      </c>
      <c r="CM704" s="158">
        <v>48.509</v>
      </c>
      <c r="CN704" s="120">
        <f>(CO704+CM704)/2</f>
        <v>49.417000000000002</v>
      </c>
      <c r="CO704" s="158">
        <v>50.325000000000003</v>
      </c>
      <c r="CP704" s="120">
        <f>(CQ704+CO704)/2</f>
        <v>51.279499999999999</v>
      </c>
      <c r="CQ704" s="158">
        <v>52.234000000000002</v>
      </c>
      <c r="CR704" s="120">
        <f>(CS704+CQ704)/2</f>
        <v>53.1175</v>
      </c>
      <c r="CS704" s="158">
        <v>54.000999999999998</v>
      </c>
      <c r="CT704" s="120">
        <f>(CU704+CS704)/2</f>
        <v>54.916499999999999</v>
      </c>
      <c r="CU704" s="158">
        <v>55.832000000000001</v>
      </c>
      <c r="CV704" s="120">
        <f>(CW704+CU704)/2</f>
        <v>56.778500000000001</v>
      </c>
      <c r="CW704" s="158">
        <v>57.725000000000001</v>
      </c>
      <c r="CX704" s="120">
        <f>(CY704+CW704)/2</f>
        <v>58.632999999999996</v>
      </c>
      <c r="CY704" s="158">
        <v>59.540999999999997</v>
      </c>
      <c r="CZ704" s="120">
        <f>(DA704+CY704)/2</f>
        <v>60.4315</v>
      </c>
      <c r="DA704" s="158">
        <v>61.322000000000003</v>
      </c>
      <c r="DB704" s="120">
        <f>(DC704+DA704)/2</f>
        <v>62.230000000000004</v>
      </c>
      <c r="DC704" s="158">
        <v>63.137999999999998</v>
      </c>
      <c r="DD704" s="120">
        <f>(DE704+DC704)/2</f>
        <v>64.016000000000005</v>
      </c>
      <c r="DE704" s="158">
        <v>64.894000000000005</v>
      </c>
      <c r="DF704" s="120">
        <f>(DG704+DE704)/2</f>
        <v>65.801999999999992</v>
      </c>
      <c r="DG704" s="159">
        <v>66.709999999999994</v>
      </c>
    </row>
    <row r="705" spans="54:111" ht="15" customHeight="1" x14ac:dyDescent="0.2">
      <c r="BB705" s="28">
        <v>31</v>
      </c>
      <c r="BC705" s="121">
        <v>11.419</v>
      </c>
      <c r="BD705" s="121">
        <v>12.76075</v>
      </c>
      <c r="BE705" s="121">
        <v>14.102499999999999</v>
      </c>
      <c r="BF705" s="121">
        <v>15.36</v>
      </c>
      <c r="BG705" s="121">
        <v>16.6175</v>
      </c>
      <c r="BH705" s="121">
        <v>17.817500000000003</v>
      </c>
      <c r="BI705" s="121">
        <v>19.017499999999998</v>
      </c>
      <c r="BJ705" s="121">
        <v>20.155750000000001</v>
      </c>
      <c r="BK705" s="121">
        <v>21.294</v>
      </c>
      <c r="BL705" s="121">
        <v>22.408250000000002</v>
      </c>
      <c r="BM705" s="121">
        <v>23.522500000000001</v>
      </c>
      <c r="BN705" s="121">
        <v>24.603000000000002</v>
      </c>
      <c r="BO705" s="121">
        <v>25.683500000000002</v>
      </c>
      <c r="BP705" s="121">
        <v>26.752749999999999</v>
      </c>
      <c r="BQ705" s="121">
        <v>27.821999999999999</v>
      </c>
      <c r="BR705" s="121">
        <v>28.867999999999999</v>
      </c>
      <c r="BS705" s="121">
        <v>29.914000000000001</v>
      </c>
      <c r="BT705" s="121">
        <v>30.943750000000001</v>
      </c>
      <c r="BU705" s="121">
        <v>31.973500000000001</v>
      </c>
      <c r="BV705" s="121">
        <v>32.984749999999998</v>
      </c>
      <c r="BW705" s="121">
        <v>33.995999999999995</v>
      </c>
      <c r="BX705" s="121">
        <v>34.999749999999999</v>
      </c>
      <c r="BY705" s="121">
        <v>36.003500000000003</v>
      </c>
      <c r="BZ705" s="121">
        <v>37.014749999999999</v>
      </c>
      <c r="CA705" s="121">
        <v>38.025999999999996</v>
      </c>
      <c r="CB705" s="121">
        <v>39.017499999999998</v>
      </c>
      <c r="CC705" s="121">
        <f t="array" ref="CC705:CC734">TRANSPOSE(CD704:DG704)</f>
        <v>40.009</v>
      </c>
      <c r="CD705" s="120">
        <f>(CC705+CE705)/2</f>
        <v>40.997250000000001</v>
      </c>
      <c r="CE705" s="120">
        <f>(CE704+CE706)/2</f>
        <v>41.985500000000002</v>
      </c>
      <c r="CF705" s="120">
        <f>(CE705+CG705)/2</f>
        <v>42.958500000000001</v>
      </c>
      <c r="CG705" s="120">
        <f>(CG704+CG706)/2</f>
        <v>43.9315</v>
      </c>
      <c r="CH705" s="120">
        <f>(CG705+CI705)/2</f>
        <v>44.896749999999997</v>
      </c>
      <c r="CI705" s="120">
        <f>(CI704+CI706)/2</f>
        <v>45.862000000000002</v>
      </c>
      <c r="CJ705" s="120">
        <f>(CI705+CK705)/2</f>
        <v>46.822249999999997</v>
      </c>
      <c r="CK705" s="120">
        <f>(CK704+CK706)/2</f>
        <v>47.782499999999999</v>
      </c>
      <c r="CL705" s="120">
        <f>(CK705+CM705)/2</f>
        <v>48.747500000000002</v>
      </c>
      <c r="CM705" s="120">
        <f>(CM704+CM706)/2</f>
        <v>49.712499999999999</v>
      </c>
      <c r="CN705" s="120">
        <f>(CM705+CO705)/2</f>
        <v>50.66225</v>
      </c>
      <c r="CO705" s="120">
        <f>(CO704+CO706)/2</f>
        <v>51.612000000000002</v>
      </c>
      <c r="CP705" s="120">
        <f>(CO705+CQ705)/2</f>
        <v>52.561999999999998</v>
      </c>
      <c r="CQ705" s="120">
        <f>(CQ704+CQ706)/2</f>
        <v>53.512</v>
      </c>
      <c r="CR705" s="120">
        <f>(CQ705+CS705)/2</f>
        <v>54.449249999999999</v>
      </c>
      <c r="CS705" s="120">
        <f>(CS704+CS706)/2</f>
        <v>55.386499999999998</v>
      </c>
      <c r="CT705" s="120">
        <f>(CS705+CU705)/2</f>
        <v>56.317</v>
      </c>
      <c r="CU705" s="120">
        <f>(CU704+CU706)/2</f>
        <v>57.247500000000002</v>
      </c>
      <c r="CV705" s="120">
        <f>(CU705+CW705)/2</f>
        <v>58.197000000000003</v>
      </c>
      <c r="CW705" s="120">
        <f>(CW704+CW706)/2</f>
        <v>59.146500000000003</v>
      </c>
      <c r="CX705" s="120">
        <f>(CW705+CY705)/2</f>
        <v>60.096249999999998</v>
      </c>
      <c r="CY705" s="120">
        <f>(CY704+CY706)/2</f>
        <v>61.045999999999999</v>
      </c>
      <c r="CZ705" s="120">
        <f>(CY705+DA705)/2</f>
        <v>61.963750000000005</v>
      </c>
      <c r="DA705" s="120">
        <f>(DA704+DA706)/2</f>
        <v>62.881500000000003</v>
      </c>
      <c r="DB705" s="120">
        <f>(DA705+DC705)/2</f>
        <v>63.811999999999998</v>
      </c>
      <c r="DC705" s="120">
        <f>(DC704+DC706)/2</f>
        <v>64.742499999999993</v>
      </c>
      <c r="DD705" s="120">
        <f>(DC705+DE705)/2</f>
        <v>65.653999999999996</v>
      </c>
      <c r="DE705" s="120">
        <f>(DE704+DE706)/2</f>
        <v>66.5655</v>
      </c>
      <c r="DF705" s="120">
        <f>(DE705+DG705)/2</f>
        <v>67.47675000000001</v>
      </c>
      <c r="DG705" s="122">
        <f>(DG704+DG706)/2</f>
        <v>68.388000000000005</v>
      </c>
    </row>
    <row r="706" spans="54:111" ht="15" customHeight="1" x14ac:dyDescent="0.2">
      <c r="BB706" s="28">
        <v>32</v>
      </c>
      <c r="BC706" s="121">
        <v>11.651999999999999</v>
      </c>
      <c r="BD706" s="121">
        <v>13.028499999999999</v>
      </c>
      <c r="BE706" s="121">
        <v>14.404999999999999</v>
      </c>
      <c r="BF706" s="121">
        <v>15.6965</v>
      </c>
      <c r="BG706" s="121">
        <v>16.988</v>
      </c>
      <c r="BH706" s="121">
        <v>18.2105</v>
      </c>
      <c r="BI706" s="121">
        <v>19.433</v>
      </c>
      <c r="BJ706" s="121">
        <v>20.609000000000002</v>
      </c>
      <c r="BK706" s="121">
        <v>21.785</v>
      </c>
      <c r="BL706" s="121">
        <v>22.930500000000002</v>
      </c>
      <c r="BM706" s="121">
        <v>24.076000000000001</v>
      </c>
      <c r="BN706" s="121">
        <v>25.175000000000001</v>
      </c>
      <c r="BO706" s="121">
        <v>26.274000000000001</v>
      </c>
      <c r="BP706" s="121">
        <v>27.381</v>
      </c>
      <c r="BQ706" s="121">
        <v>28.488</v>
      </c>
      <c r="BR706" s="121">
        <v>29.5565</v>
      </c>
      <c r="BS706" s="121">
        <v>30.625</v>
      </c>
      <c r="BT706" s="121">
        <v>31.685500000000001</v>
      </c>
      <c r="BU706" s="121">
        <v>32.746000000000002</v>
      </c>
      <c r="BV706" s="121">
        <v>33.775999999999996</v>
      </c>
      <c r="BW706" s="121">
        <v>34.805999999999997</v>
      </c>
      <c r="BX706" s="121">
        <v>35.828499999999998</v>
      </c>
      <c r="BY706" s="121">
        <v>36.850999999999999</v>
      </c>
      <c r="BZ706" s="121">
        <v>37.881</v>
      </c>
      <c r="CA706" s="121">
        <v>38.911000000000001</v>
      </c>
      <c r="CB706" s="121">
        <v>39.933500000000002</v>
      </c>
      <c r="CC706" s="121">
        <v>40.956000000000003</v>
      </c>
      <c r="CD706" s="121">
        <f t="array" ref="CD706:CD734">TRANSPOSE(CE705:DG705)</f>
        <v>41.985500000000002</v>
      </c>
      <c r="CE706" s="158">
        <v>43.015000000000001</v>
      </c>
      <c r="CF706" s="120">
        <f>(CG706+CE706)/2</f>
        <v>44.007000000000005</v>
      </c>
      <c r="CG706" s="158">
        <v>44.999000000000002</v>
      </c>
      <c r="CH706" s="120">
        <f>(CI706+CG706)/2</f>
        <v>45.982500000000002</v>
      </c>
      <c r="CI706" s="158">
        <v>46.966000000000001</v>
      </c>
      <c r="CJ706" s="120">
        <f>(CK706+CI706)/2</f>
        <v>47.957499999999996</v>
      </c>
      <c r="CK706" s="158">
        <v>48.948999999999998</v>
      </c>
      <c r="CL706" s="120">
        <f>(CM706+CK706)/2</f>
        <v>49.932499999999997</v>
      </c>
      <c r="CM706" s="158">
        <v>50.915999999999997</v>
      </c>
      <c r="CN706" s="120">
        <f>(CO706+CM706)/2</f>
        <v>51.907499999999999</v>
      </c>
      <c r="CO706" s="158">
        <v>52.899000000000001</v>
      </c>
      <c r="CP706" s="120">
        <f>(CQ706+CO706)/2</f>
        <v>53.844499999999996</v>
      </c>
      <c r="CQ706" s="158">
        <v>54.79</v>
      </c>
      <c r="CR706" s="120">
        <f>(CS706+CQ706)/2</f>
        <v>55.780999999999999</v>
      </c>
      <c r="CS706" s="158">
        <v>56.771999999999998</v>
      </c>
      <c r="CT706" s="120">
        <f>(CU706+CS706)/2</f>
        <v>57.717500000000001</v>
      </c>
      <c r="CU706" s="158">
        <v>58.662999999999997</v>
      </c>
      <c r="CV706" s="120">
        <f>(CW706+CU706)/2</f>
        <v>59.615499999999997</v>
      </c>
      <c r="CW706" s="158">
        <v>60.567999999999998</v>
      </c>
      <c r="CX706" s="120">
        <f>(CY706+CW706)/2</f>
        <v>61.5595</v>
      </c>
      <c r="CY706" s="158">
        <v>62.551000000000002</v>
      </c>
      <c r="CZ706" s="120">
        <f>(DA706+CY706)/2</f>
        <v>63.496000000000002</v>
      </c>
      <c r="DA706" s="158">
        <v>64.441000000000003</v>
      </c>
      <c r="DB706" s="120">
        <f>(DC706+DA706)/2</f>
        <v>65.394000000000005</v>
      </c>
      <c r="DC706" s="158">
        <v>66.346999999999994</v>
      </c>
      <c r="DD706" s="120">
        <f>(DE706+DC706)/2</f>
        <v>67.292000000000002</v>
      </c>
      <c r="DE706" s="158">
        <v>68.236999999999995</v>
      </c>
      <c r="DF706" s="120">
        <f>(DG706+DE706)/2</f>
        <v>69.151499999999999</v>
      </c>
      <c r="DG706" s="159">
        <v>70.066000000000003</v>
      </c>
    </row>
    <row r="707" spans="54:111" ht="15" customHeight="1" x14ac:dyDescent="0.2">
      <c r="BB707" s="28">
        <v>33</v>
      </c>
      <c r="BC707" s="121">
        <v>11.91</v>
      </c>
      <c r="BD707" s="121">
        <v>13.324249999999999</v>
      </c>
      <c r="BE707" s="121">
        <v>14.738499999999998</v>
      </c>
      <c r="BF707" s="121">
        <v>16.052500000000002</v>
      </c>
      <c r="BG707" s="121">
        <v>17.366500000000002</v>
      </c>
      <c r="BH707" s="121">
        <v>18.607500000000002</v>
      </c>
      <c r="BI707" s="121">
        <v>19.848500000000001</v>
      </c>
      <c r="BJ707" s="121">
        <v>21.05575</v>
      </c>
      <c r="BK707" s="121">
        <v>22.262999999999998</v>
      </c>
      <c r="BL707" s="121">
        <v>23.427</v>
      </c>
      <c r="BM707" s="121">
        <v>24.591000000000001</v>
      </c>
      <c r="BN707" s="121">
        <v>25.731749999999998</v>
      </c>
      <c r="BO707" s="121">
        <v>26.872500000000002</v>
      </c>
      <c r="BP707" s="121">
        <v>27.994250000000001</v>
      </c>
      <c r="BQ707" s="121">
        <v>29.116</v>
      </c>
      <c r="BR707" s="121">
        <v>30.215499999999999</v>
      </c>
      <c r="BS707" s="121">
        <v>31.315000000000001</v>
      </c>
      <c r="BT707" s="121">
        <v>32.398000000000003</v>
      </c>
      <c r="BU707" s="121">
        <v>33.481000000000002</v>
      </c>
      <c r="BV707" s="121">
        <v>34.548749999999998</v>
      </c>
      <c r="BW707" s="121">
        <v>35.616500000000002</v>
      </c>
      <c r="BX707" s="121">
        <v>36.657499999999999</v>
      </c>
      <c r="BY707" s="121">
        <v>37.698499999999996</v>
      </c>
      <c r="BZ707" s="121">
        <v>38.759250000000002</v>
      </c>
      <c r="CA707" s="121">
        <v>39.82</v>
      </c>
      <c r="CB707" s="121">
        <v>40.864999999999995</v>
      </c>
      <c r="CC707" s="121">
        <v>41.91</v>
      </c>
      <c r="CD707" s="121">
        <v>42.958500000000001</v>
      </c>
      <c r="CE707" s="121">
        <f t="array" ref="CE707:CE734">TRANSPOSE(CF706:DG706)</f>
        <v>44.007000000000005</v>
      </c>
      <c r="CF707" s="120">
        <f>(CE707+CG707)/2</f>
        <v>45.013500000000001</v>
      </c>
      <c r="CG707" s="120">
        <f>(CG706+CG708)/2</f>
        <v>46.019999999999996</v>
      </c>
      <c r="CH707" s="120">
        <f>(CG707+CI707)/2</f>
        <v>47.057499999999997</v>
      </c>
      <c r="CI707" s="120">
        <f>(CI706+CI708)/2</f>
        <v>48.094999999999999</v>
      </c>
      <c r="CJ707" s="120">
        <f>(CI707+CK707)/2</f>
        <v>49.105249999999998</v>
      </c>
      <c r="CK707" s="120">
        <f>(CK706+CK708)/2</f>
        <v>50.115499999999997</v>
      </c>
      <c r="CL707" s="120">
        <f>(CK707+CM707)/2</f>
        <v>51.117750000000001</v>
      </c>
      <c r="CM707" s="120">
        <f>(CM706+CM708)/2</f>
        <v>52.12</v>
      </c>
      <c r="CN707" s="120">
        <f>(CM707+CO707)/2</f>
        <v>53.129750000000001</v>
      </c>
      <c r="CO707" s="120">
        <f>(CO706+CO708)/2</f>
        <v>54.139499999999998</v>
      </c>
      <c r="CP707" s="120">
        <f>(CO707+CQ707)/2</f>
        <v>55.119500000000002</v>
      </c>
      <c r="CQ707" s="120">
        <f>(CQ706+CQ708)/2</f>
        <v>56.099499999999999</v>
      </c>
      <c r="CR707" s="120">
        <f>(CQ707+CS707)/2</f>
        <v>57.109250000000003</v>
      </c>
      <c r="CS707" s="120">
        <f>(CS706+CS708)/2</f>
        <v>58.119</v>
      </c>
      <c r="CT707" s="120">
        <f>(CS707+CU707)/2</f>
        <v>59.08325</v>
      </c>
      <c r="CU707" s="120">
        <f>(CU706+CU708)/2</f>
        <v>60.047499999999999</v>
      </c>
      <c r="CV707" s="120">
        <f>(CU707+CW707)/2</f>
        <v>61.037999999999997</v>
      </c>
      <c r="CW707" s="120">
        <f>(CW706+CW708)/2</f>
        <v>62.028499999999994</v>
      </c>
      <c r="CX707" s="120">
        <f>(CW707+CY707)/2</f>
        <v>63.031500000000001</v>
      </c>
      <c r="CY707" s="120">
        <f>(CY706+CY708)/2</f>
        <v>64.034500000000008</v>
      </c>
      <c r="CZ707" s="120">
        <f>(CY707+DA707)/2</f>
        <v>64.998250000000013</v>
      </c>
      <c r="DA707" s="120">
        <f>(DA706+DA708)/2</f>
        <v>65.962000000000003</v>
      </c>
      <c r="DB707" s="120">
        <f>(DA707+DC707)/2</f>
        <v>66.952750000000009</v>
      </c>
      <c r="DC707" s="120">
        <f>(DC706+DC708)/2</f>
        <v>67.9435</v>
      </c>
      <c r="DD707" s="120">
        <f>(DC707+DE707)/2</f>
        <v>68.911249999999995</v>
      </c>
      <c r="DE707" s="120">
        <f>(DE706+DE708)/2</f>
        <v>69.878999999999991</v>
      </c>
      <c r="DF707" s="120">
        <f>(DE707+DG707)/2</f>
        <v>70.843499999999992</v>
      </c>
      <c r="DG707" s="122">
        <f>(DG706+DG708)/2</f>
        <v>71.807999999999993</v>
      </c>
    </row>
    <row r="708" spans="54:111" ht="15" customHeight="1" x14ac:dyDescent="0.2">
      <c r="BB708" s="28">
        <v>34</v>
      </c>
      <c r="BC708" s="121">
        <v>12.167999999999999</v>
      </c>
      <c r="BD708" s="121">
        <v>13.62</v>
      </c>
      <c r="BE708" s="121">
        <v>15.071999999999999</v>
      </c>
      <c r="BF708" s="121">
        <v>16.4085</v>
      </c>
      <c r="BG708" s="121">
        <v>17.745000000000001</v>
      </c>
      <c r="BH708" s="121">
        <v>19.0045</v>
      </c>
      <c r="BI708" s="121">
        <v>20.263999999999999</v>
      </c>
      <c r="BJ708" s="121">
        <v>21.502499999999998</v>
      </c>
      <c r="BK708" s="121">
        <v>22.741</v>
      </c>
      <c r="BL708" s="121">
        <v>23.923500000000001</v>
      </c>
      <c r="BM708" s="121">
        <v>25.106000000000002</v>
      </c>
      <c r="BN708" s="121">
        <v>26.288499999999999</v>
      </c>
      <c r="BO708" s="121">
        <v>27.471</v>
      </c>
      <c r="BP708" s="121">
        <v>28.607500000000002</v>
      </c>
      <c r="BQ708" s="121">
        <v>29.744</v>
      </c>
      <c r="BR708" s="121">
        <v>30.874500000000001</v>
      </c>
      <c r="BS708" s="121">
        <v>32.005000000000003</v>
      </c>
      <c r="BT708" s="121">
        <v>33.110500000000002</v>
      </c>
      <c r="BU708" s="121">
        <v>34.216000000000001</v>
      </c>
      <c r="BV708" s="121">
        <v>35.3215</v>
      </c>
      <c r="BW708" s="121">
        <v>36.427</v>
      </c>
      <c r="BX708" s="121">
        <v>37.486499999999999</v>
      </c>
      <c r="BY708" s="121">
        <v>38.545999999999999</v>
      </c>
      <c r="BZ708" s="121">
        <v>39.637500000000003</v>
      </c>
      <c r="CA708" s="121">
        <v>40.728999999999999</v>
      </c>
      <c r="CB708" s="121">
        <v>41.796499999999995</v>
      </c>
      <c r="CC708" s="121">
        <v>42.863999999999997</v>
      </c>
      <c r="CD708" s="121">
        <v>43.9315</v>
      </c>
      <c r="CE708" s="121">
        <v>44.999000000000002</v>
      </c>
      <c r="CF708" s="121">
        <f t="array" ref="CF708:CF734">TRANSPOSE(CG707:DG707)</f>
        <v>46.019999999999996</v>
      </c>
      <c r="CG708" s="158">
        <v>47.040999999999997</v>
      </c>
      <c r="CH708" s="120">
        <f>(CI708+CG708)/2</f>
        <v>48.132499999999993</v>
      </c>
      <c r="CI708" s="158">
        <v>49.223999999999997</v>
      </c>
      <c r="CJ708" s="120">
        <f>(CK708+CI708)/2</f>
        <v>50.253</v>
      </c>
      <c r="CK708" s="158">
        <v>51.281999999999996</v>
      </c>
      <c r="CL708" s="120">
        <f>(CM708+CK708)/2</f>
        <v>52.302999999999997</v>
      </c>
      <c r="CM708" s="158">
        <v>53.323999999999998</v>
      </c>
      <c r="CN708" s="120">
        <f>(CO708+CM708)/2</f>
        <v>54.352000000000004</v>
      </c>
      <c r="CO708" s="158">
        <v>55.38</v>
      </c>
      <c r="CP708" s="120">
        <f>(CQ708+CO708)/2</f>
        <v>56.394500000000001</v>
      </c>
      <c r="CQ708" s="158">
        <v>57.408999999999999</v>
      </c>
      <c r="CR708" s="120">
        <f>(CS708+CQ708)/2</f>
        <v>58.4375</v>
      </c>
      <c r="CS708" s="158">
        <v>59.466000000000001</v>
      </c>
      <c r="CT708" s="120">
        <f>(CU708+CS708)/2</f>
        <v>60.448999999999998</v>
      </c>
      <c r="CU708" s="158">
        <v>61.432000000000002</v>
      </c>
      <c r="CV708" s="120">
        <f>(CW708+CU708)/2</f>
        <v>62.460499999999996</v>
      </c>
      <c r="CW708" s="158">
        <v>63.488999999999997</v>
      </c>
      <c r="CX708" s="120">
        <f>(CY708+CW708)/2</f>
        <v>64.503500000000003</v>
      </c>
      <c r="CY708" s="158">
        <v>65.518000000000001</v>
      </c>
      <c r="CZ708" s="120">
        <f>(DA708+CY708)/2</f>
        <v>66.500500000000002</v>
      </c>
      <c r="DA708" s="158">
        <v>67.483000000000004</v>
      </c>
      <c r="DB708" s="120">
        <f>(DC708+DA708)/2</f>
        <v>68.511500000000012</v>
      </c>
      <c r="DC708" s="158">
        <v>69.540000000000006</v>
      </c>
      <c r="DD708" s="120">
        <f>(DE708+DC708)/2</f>
        <v>70.530500000000004</v>
      </c>
      <c r="DE708" s="158">
        <v>71.521000000000001</v>
      </c>
      <c r="DF708" s="120">
        <f>(DG708+DE708)/2</f>
        <v>72.535499999999999</v>
      </c>
      <c r="DG708" s="159">
        <v>73.55</v>
      </c>
    </row>
    <row r="709" spans="54:111" ht="15" customHeight="1" x14ac:dyDescent="0.2">
      <c r="BB709" s="28">
        <v>35</v>
      </c>
      <c r="BC709" s="121">
        <v>12.408999999999999</v>
      </c>
      <c r="BD709" s="121">
        <v>13.891999999999999</v>
      </c>
      <c r="BE709" s="121">
        <v>15.375</v>
      </c>
      <c r="BF709" s="121">
        <v>16.749499999999998</v>
      </c>
      <c r="BG709" s="121">
        <v>18.124000000000002</v>
      </c>
      <c r="BH709" s="121">
        <v>19.410499999999999</v>
      </c>
      <c r="BI709" s="121">
        <v>20.696999999999999</v>
      </c>
      <c r="BJ709" s="121">
        <v>21.945249999999998</v>
      </c>
      <c r="BK709" s="121">
        <v>23.1935</v>
      </c>
      <c r="BL709" s="121">
        <v>24.426250000000003</v>
      </c>
      <c r="BM709" s="121">
        <v>25.658999999999999</v>
      </c>
      <c r="BN709" s="121">
        <v>26.860250000000001</v>
      </c>
      <c r="BO709" s="121">
        <v>28.061500000000002</v>
      </c>
      <c r="BP709" s="121">
        <v>29.232750000000003</v>
      </c>
      <c r="BQ709" s="121">
        <v>30.404</v>
      </c>
      <c r="BR709" s="121">
        <v>31.540750000000003</v>
      </c>
      <c r="BS709" s="121">
        <v>32.677500000000002</v>
      </c>
      <c r="BT709" s="121">
        <v>33.83325</v>
      </c>
      <c r="BU709" s="121">
        <v>34.989000000000004</v>
      </c>
      <c r="BV709" s="121">
        <v>36.09375</v>
      </c>
      <c r="BW709" s="121">
        <v>37.198499999999996</v>
      </c>
      <c r="BX709" s="121">
        <v>38.308250000000001</v>
      </c>
      <c r="BY709" s="121">
        <v>39.417999999999999</v>
      </c>
      <c r="BZ709" s="121">
        <v>40.515749999999997</v>
      </c>
      <c r="CA709" s="121">
        <v>41.613500000000002</v>
      </c>
      <c r="CB709" s="121">
        <v>42.712249999999997</v>
      </c>
      <c r="CC709" s="121">
        <v>43.811</v>
      </c>
      <c r="CD709" s="121">
        <v>44.896749999999997</v>
      </c>
      <c r="CE709" s="121">
        <v>45.982500000000002</v>
      </c>
      <c r="CF709" s="121">
        <v>47.057499999999997</v>
      </c>
      <c r="CG709" s="121">
        <f t="array" ref="CG709:CG734">TRANSPOSE(CH708:DG708)</f>
        <v>48.132499999999993</v>
      </c>
      <c r="CH709" s="120">
        <f>(CG709+CI709)/2</f>
        <v>49.230249999999998</v>
      </c>
      <c r="CI709" s="120">
        <f>(CI708+CI710)/2</f>
        <v>50.328000000000003</v>
      </c>
      <c r="CJ709" s="120">
        <f>(CI709+CK709)/2</f>
        <v>51.368499999999997</v>
      </c>
      <c r="CK709" s="120">
        <f>(CK708+CK710)/2</f>
        <v>52.408999999999999</v>
      </c>
      <c r="CL709" s="120">
        <f>(CK709+CM709)/2</f>
        <v>53.47175</v>
      </c>
      <c r="CM709" s="120">
        <f>(CM708+CM710)/2</f>
        <v>54.534499999999994</v>
      </c>
      <c r="CN709" s="120">
        <f>(CM709+CO709)/2</f>
        <v>55.570749999999997</v>
      </c>
      <c r="CO709" s="120">
        <f>(CO708+CO710)/2</f>
        <v>56.606999999999999</v>
      </c>
      <c r="CP709" s="120">
        <f>(CO709+CQ709)/2</f>
        <v>57.666499999999999</v>
      </c>
      <c r="CQ709" s="120">
        <f>(CQ708+CQ710)/2</f>
        <v>58.725999999999999</v>
      </c>
      <c r="CR709" s="120">
        <f>(CQ709+CS709)/2</f>
        <v>59.766249999999999</v>
      </c>
      <c r="CS709" s="120">
        <f>(CS708+CS710)/2</f>
        <v>60.8065</v>
      </c>
      <c r="CT709" s="120">
        <f>(CS709+CU709)/2</f>
        <v>61.811499999999995</v>
      </c>
      <c r="CU709" s="120">
        <f>(CU708+CU710)/2</f>
        <v>62.816499999999998</v>
      </c>
      <c r="CV709" s="120">
        <f>(CU709+CW709)/2</f>
        <v>63.895250000000004</v>
      </c>
      <c r="CW709" s="120">
        <f>(CW708+CW710)/2</f>
        <v>64.974000000000004</v>
      </c>
      <c r="CX709" s="120">
        <f>(CW709+CY709)/2</f>
        <v>65.99475000000001</v>
      </c>
      <c r="CY709" s="120">
        <f>(CY708+CY710)/2</f>
        <v>67.015500000000003</v>
      </c>
      <c r="CZ709" s="120">
        <f>(CY709+DA709)/2</f>
        <v>68.032750000000007</v>
      </c>
      <c r="DA709" s="120">
        <f>(DA708+DA710)/2</f>
        <v>69.050000000000011</v>
      </c>
      <c r="DB709" s="120">
        <f>(DA709+DC709)/2</f>
        <v>70.078000000000003</v>
      </c>
      <c r="DC709" s="120">
        <f>(DC708+DC710)/2</f>
        <v>71.105999999999995</v>
      </c>
      <c r="DD709" s="120">
        <f>(DC709+DE709)/2</f>
        <v>72.127250000000004</v>
      </c>
      <c r="DE709" s="120">
        <f>(DE708+DE710)/2</f>
        <v>73.148499999999999</v>
      </c>
      <c r="DF709" s="120">
        <f>(DE709+DG709)/2</f>
        <v>74.165750000000003</v>
      </c>
      <c r="DG709" s="122">
        <f>(DG708+DG710)/2</f>
        <v>75.182999999999993</v>
      </c>
    </row>
    <row r="710" spans="54:111" ht="15" customHeight="1" x14ac:dyDescent="0.2">
      <c r="BB710" s="28">
        <v>36</v>
      </c>
      <c r="BC710" s="121">
        <v>12.65</v>
      </c>
      <c r="BD710" s="121">
        <v>14.164000000000001</v>
      </c>
      <c r="BE710" s="121">
        <v>15.678000000000001</v>
      </c>
      <c r="BF710" s="121">
        <v>17.090499999999999</v>
      </c>
      <c r="BG710" s="121">
        <v>18.503</v>
      </c>
      <c r="BH710" s="121">
        <v>19.816499999999998</v>
      </c>
      <c r="BI710" s="121">
        <v>21.13</v>
      </c>
      <c r="BJ710" s="121">
        <v>22.387999999999998</v>
      </c>
      <c r="BK710" s="121">
        <v>23.646000000000001</v>
      </c>
      <c r="BL710" s="121">
        <v>24.929000000000002</v>
      </c>
      <c r="BM710" s="121">
        <v>26.212</v>
      </c>
      <c r="BN710" s="121">
        <v>27.432000000000002</v>
      </c>
      <c r="BO710" s="121">
        <v>28.652000000000001</v>
      </c>
      <c r="BP710" s="121">
        <v>29.858000000000001</v>
      </c>
      <c r="BQ710" s="121">
        <v>31.064</v>
      </c>
      <c r="BR710" s="121">
        <v>32.207000000000001</v>
      </c>
      <c r="BS710" s="121">
        <v>33.35</v>
      </c>
      <c r="BT710" s="121">
        <v>34.555999999999997</v>
      </c>
      <c r="BU710" s="121">
        <v>35.762</v>
      </c>
      <c r="BV710" s="121">
        <v>36.866</v>
      </c>
      <c r="BW710" s="121">
        <v>37.97</v>
      </c>
      <c r="BX710" s="121">
        <v>39.129999999999995</v>
      </c>
      <c r="BY710" s="121">
        <v>40.29</v>
      </c>
      <c r="BZ710" s="121">
        <v>41.393999999999998</v>
      </c>
      <c r="CA710" s="121">
        <v>42.497999999999998</v>
      </c>
      <c r="CB710" s="121">
        <v>43.628</v>
      </c>
      <c r="CC710" s="121">
        <v>44.758000000000003</v>
      </c>
      <c r="CD710" s="121">
        <v>45.862000000000002</v>
      </c>
      <c r="CE710" s="121">
        <v>46.966000000000001</v>
      </c>
      <c r="CF710" s="121">
        <v>48.094999999999999</v>
      </c>
      <c r="CG710" s="121">
        <v>49.223999999999997</v>
      </c>
      <c r="CH710" s="121">
        <f t="array" ref="CH710:CH734">TRANSPOSE(CI709:DG709)</f>
        <v>50.328000000000003</v>
      </c>
      <c r="CI710" s="158">
        <v>51.432000000000002</v>
      </c>
      <c r="CJ710" s="120">
        <f>(CK710+CI710)/2</f>
        <v>52.484000000000002</v>
      </c>
      <c r="CK710" s="158">
        <v>53.536000000000001</v>
      </c>
      <c r="CL710" s="120">
        <f>(CM710+CK710)/2</f>
        <v>54.640500000000003</v>
      </c>
      <c r="CM710" s="158">
        <v>55.744999999999997</v>
      </c>
      <c r="CN710" s="120">
        <f>(CO710+CM710)/2</f>
        <v>56.789500000000004</v>
      </c>
      <c r="CO710" s="158">
        <v>57.834000000000003</v>
      </c>
      <c r="CP710" s="120">
        <f>(CQ710+CO710)/2</f>
        <v>58.938500000000005</v>
      </c>
      <c r="CQ710" s="158">
        <v>60.042999999999999</v>
      </c>
      <c r="CR710" s="120">
        <f>(CS710+CQ710)/2</f>
        <v>61.094999999999999</v>
      </c>
      <c r="CS710" s="158">
        <v>62.146999999999998</v>
      </c>
      <c r="CT710" s="120">
        <f>(CU710+CS710)/2</f>
        <v>63.173999999999992</v>
      </c>
      <c r="CU710" s="158">
        <v>64.200999999999993</v>
      </c>
      <c r="CV710" s="120">
        <f>(CW710+CU710)/2</f>
        <v>65.33</v>
      </c>
      <c r="CW710" s="158">
        <v>66.459000000000003</v>
      </c>
      <c r="CX710" s="120">
        <f>(CY710+CW710)/2</f>
        <v>67.486000000000004</v>
      </c>
      <c r="CY710" s="158">
        <v>68.513000000000005</v>
      </c>
      <c r="CZ710" s="120">
        <f>(DA710+CY710)/2</f>
        <v>69.564999999999998</v>
      </c>
      <c r="DA710" s="158">
        <v>70.617000000000004</v>
      </c>
      <c r="DB710" s="120">
        <f>(DC710+DA710)/2</f>
        <v>71.644499999999994</v>
      </c>
      <c r="DC710" s="158">
        <v>72.671999999999997</v>
      </c>
      <c r="DD710" s="120">
        <f>(DE710+DC710)/2</f>
        <v>73.72399999999999</v>
      </c>
      <c r="DE710" s="158">
        <v>74.775999999999996</v>
      </c>
      <c r="DF710" s="120">
        <f>(DG710+DE710)/2</f>
        <v>75.795999999999992</v>
      </c>
      <c r="DG710" s="159">
        <v>76.816000000000003</v>
      </c>
    </row>
    <row r="711" spans="54:111" ht="15" customHeight="1" x14ac:dyDescent="0.2">
      <c r="BB711" s="28">
        <v>37</v>
      </c>
      <c r="BC711" s="121">
        <v>12.907499999999999</v>
      </c>
      <c r="BD711" s="121">
        <v>14.44725</v>
      </c>
      <c r="BE711" s="121">
        <v>15.987</v>
      </c>
      <c r="BF711" s="121">
        <v>17.411000000000001</v>
      </c>
      <c r="BG711" s="121">
        <v>18.835000000000001</v>
      </c>
      <c r="BH711" s="121">
        <v>20.1905</v>
      </c>
      <c r="BI711" s="121">
        <v>21.545999999999999</v>
      </c>
      <c r="BJ711" s="121">
        <v>22.85425</v>
      </c>
      <c r="BK711" s="121">
        <v>24.162500000000001</v>
      </c>
      <c r="BL711" s="121">
        <v>25.432500000000001</v>
      </c>
      <c r="BM711" s="121">
        <v>26.702500000000001</v>
      </c>
      <c r="BN711" s="121">
        <v>27.953250000000001</v>
      </c>
      <c r="BO711" s="121">
        <v>29.204000000000001</v>
      </c>
      <c r="BP711" s="121">
        <v>30.448</v>
      </c>
      <c r="BQ711" s="121">
        <v>31.692</v>
      </c>
      <c r="BR711" s="121">
        <v>32.865750000000006</v>
      </c>
      <c r="BS711" s="121">
        <v>34.039500000000004</v>
      </c>
      <c r="BT711" s="121">
        <v>35.251750000000001</v>
      </c>
      <c r="BU711" s="121">
        <v>36.463999999999999</v>
      </c>
      <c r="BV711" s="121">
        <v>37.618499999999997</v>
      </c>
      <c r="BW711" s="121">
        <v>38.772999999999996</v>
      </c>
      <c r="BX711" s="121">
        <v>39.939749999999997</v>
      </c>
      <c r="BY711" s="121">
        <v>41.106499999999997</v>
      </c>
      <c r="BZ711" s="121">
        <v>42.260750000000002</v>
      </c>
      <c r="CA711" s="121">
        <v>43.414999999999999</v>
      </c>
      <c r="CB711" s="121">
        <v>44.551000000000002</v>
      </c>
      <c r="CC711" s="121">
        <v>45.686999999999998</v>
      </c>
      <c r="CD711" s="121">
        <v>46.822249999999997</v>
      </c>
      <c r="CE711" s="121">
        <v>47.957499999999996</v>
      </c>
      <c r="CF711" s="121">
        <v>49.105249999999998</v>
      </c>
      <c r="CG711" s="121">
        <v>50.253</v>
      </c>
      <c r="CH711" s="121">
        <v>51.368499999999997</v>
      </c>
      <c r="CI711" s="121">
        <f t="array" ref="CI711:CI734">TRANSPOSE(CJ710:DG710)</f>
        <v>52.484000000000002</v>
      </c>
      <c r="CJ711" s="120">
        <f>(CI711+CK711)/2</f>
        <v>53.580750000000002</v>
      </c>
      <c r="CK711" s="120">
        <f>(CK710+CK712)/2</f>
        <v>54.677500000000002</v>
      </c>
      <c r="CL711" s="120">
        <f>(CK711+CM711)/2</f>
        <v>55.813000000000002</v>
      </c>
      <c r="CM711" s="120">
        <f>(CM710+CM712)/2</f>
        <v>56.948499999999996</v>
      </c>
      <c r="CN711" s="120">
        <f>(CM711+CO711)/2</f>
        <v>58.015500000000003</v>
      </c>
      <c r="CO711" s="120">
        <f>(CO710+CO712)/2</f>
        <v>59.082500000000003</v>
      </c>
      <c r="CP711" s="120">
        <f>(CO711+CQ711)/2</f>
        <v>60.217500000000001</v>
      </c>
      <c r="CQ711" s="120">
        <f>(CQ710+CQ712)/2</f>
        <v>61.352499999999999</v>
      </c>
      <c r="CR711" s="120">
        <f>(CQ711+CS711)/2</f>
        <v>62.411000000000001</v>
      </c>
      <c r="CS711" s="120">
        <f>(CS710+CS712)/2</f>
        <v>63.469499999999996</v>
      </c>
      <c r="CT711" s="120">
        <f>(CS711+CU711)/2</f>
        <v>64.527500000000003</v>
      </c>
      <c r="CU711" s="120">
        <f>(CU710+CU712)/2</f>
        <v>65.585499999999996</v>
      </c>
      <c r="CV711" s="120">
        <f>(CU711+CW711)/2</f>
        <v>66.733249999999998</v>
      </c>
      <c r="CW711" s="120">
        <f>(CW710+CW712)/2</f>
        <v>67.881</v>
      </c>
      <c r="CX711" s="120">
        <f>(CW711+CY711)/2</f>
        <v>68.938999999999993</v>
      </c>
      <c r="CY711" s="120">
        <f>(CY710+CY712)/2</f>
        <v>69.997</v>
      </c>
      <c r="CZ711" s="120">
        <f>(CY711+DA711)/2</f>
        <v>71.055250000000001</v>
      </c>
      <c r="DA711" s="120">
        <f>(DA710+DA712)/2</f>
        <v>72.113500000000002</v>
      </c>
      <c r="DB711" s="120">
        <f>(DA711+DC711)/2</f>
        <v>73.171750000000003</v>
      </c>
      <c r="DC711" s="120">
        <f>(DC710+DC712)/2</f>
        <v>74.22999999999999</v>
      </c>
      <c r="DD711" s="120">
        <f>(DC711+DE711)/2</f>
        <v>75.3005</v>
      </c>
      <c r="DE711" s="120">
        <f>(DE710+DE712)/2</f>
        <v>76.370999999999995</v>
      </c>
      <c r="DF711" s="120">
        <f>(DE711+DG711)/2</f>
        <v>77.464249999999993</v>
      </c>
      <c r="DG711" s="122">
        <f>(DG710+DG712)/2</f>
        <v>78.557500000000005</v>
      </c>
    </row>
    <row r="712" spans="54:111" ht="15" customHeight="1" x14ac:dyDescent="0.2">
      <c r="BB712" s="28">
        <v>38</v>
      </c>
      <c r="BC712" s="121">
        <v>13.164999999999999</v>
      </c>
      <c r="BD712" s="121">
        <v>14.730499999999999</v>
      </c>
      <c r="BE712" s="121">
        <v>16.295999999999999</v>
      </c>
      <c r="BF712" s="121">
        <v>17.7315</v>
      </c>
      <c r="BG712" s="121">
        <v>19.167000000000002</v>
      </c>
      <c r="BH712" s="121">
        <v>20.564500000000002</v>
      </c>
      <c r="BI712" s="121">
        <v>21.962</v>
      </c>
      <c r="BJ712" s="121">
        <v>23.320499999999999</v>
      </c>
      <c r="BK712" s="121">
        <v>24.678999999999998</v>
      </c>
      <c r="BL712" s="121">
        <v>25.936</v>
      </c>
      <c r="BM712" s="121">
        <v>27.193000000000001</v>
      </c>
      <c r="BN712" s="121">
        <v>28.474499999999999</v>
      </c>
      <c r="BO712" s="121">
        <v>29.756</v>
      </c>
      <c r="BP712" s="121">
        <v>31.038</v>
      </c>
      <c r="BQ712" s="121">
        <v>32.32</v>
      </c>
      <c r="BR712" s="121">
        <v>33.524500000000003</v>
      </c>
      <c r="BS712" s="121">
        <v>34.728999999999999</v>
      </c>
      <c r="BT712" s="121">
        <v>35.947499999999998</v>
      </c>
      <c r="BU712" s="121">
        <v>37.165999999999997</v>
      </c>
      <c r="BV712" s="121">
        <v>38.370999999999995</v>
      </c>
      <c r="BW712" s="121">
        <v>39.576000000000001</v>
      </c>
      <c r="BX712" s="121">
        <v>40.749499999999998</v>
      </c>
      <c r="BY712" s="121">
        <v>41.923000000000002</v>
      </c>
      <c r="BZ712" s="121">
        <v>43.127499999999998</v>
      </c>
      <c r="CA712" s="121">
        <v>44.332000000000001</v>
      </c>
      <c r="CB712" s="121">
        <v>45.474000000000004</v>
      </c>
      <c r="CC712" s="121">
        <v>46.616</v>
      </c>
      <c r="CD712" s="121">
        <v>47.782499999999999</v>
      </c>
      <c r="CE712" s="121">
        <v>48.948999999999998</v>
      </c>
      <c r="CF712" s="121">
        <v>50.115499999999997</v>
      </c>
      <c r="CG712" s="121">
        <v>51.281999999999996</v>
      </c>
      <c r="CH712" s="121">
        <v>52.408999999999999</v>
      </c>
      <c r="CI712" s="121">
        <v>53.536000000000001</v>
      </c>
      <c r="CJ712" s="121">
        <f t="array" ref="CJ712:CJ734">TRANSPOSE(CK711:DG711)</f>
        <v>54.677500000000002</v>
      </c>
      <c r="CK712" s="158">
        <v>55.819000000000003</v>
      </c>
      <c r="CL712" s="120">
        <f>(CM712+CK712)/2</f>
        <v>56.985500000000002</v>
      </c>
      <c r="CM712" s="158">
        <v>58.152000000000001</v>
      </c>
      <c r="CN712" s="120">
        <f>(CO712+CM712)/2</f>
        <v>59.241500000000002</v>
      </c>
      <c r="CO712" s="158">
        <v>60.331000000000003</v>
      </c>
      <c r="CP712" s="120">
        <f>(CQ712+CO712)/2</f>
        <v>61.496499999999997</v>
      </c>
      <c r="CQ712" s="158">
        <v>62.661999999999999</v>
      </c>
      <c r="CR712" s="120">
        <f>(CS712+CQ712)/2</f>
        <v>63.727000000000004</v>
      </c>
      <c r="CS712" s="158">
        <v>64.792000000000002</v>
      </c>
      <c r="CT712" s="120">
        <f>(CU712+CS712)/2</f>
        <v>65.881</v>
      </c>
      <c r="CU712" s="158">
        <v>66.97</v>
      </c>
      <c r="CV712" s="120">
        <f>(CW712+CU712)/2</f>
        <v>68.136499999999998</v>
      </c>
      <c r="CW712" s="158">
        <v>69.302999999999997</v>
      </c>
      <c r="CX712" s="120">
        <f>(CY712+CW712)/2</f>
        <v>70.391999999999996</v>
      </c>
      <c r="CY712" s="158">
        <v>71.480999999999995</v>
      </c>
      <c r="CZ712" s="120">
        <f>(DA712+CY712)/2</f>
        <v>72.545500000000004</v>
      </c>
      <c r="DA712" s="158">
        <v>73.61</v>
      </c>
      <c r="DB712" s="120">
        <f>(DC712+DA712)/2</f>
        <v>74.698999999999998</v>
      </c>
      <c r="DC712" s="158">
        <v>75.787999999999997</v>
      </c>
      <c r="DD712" s="120">
        <f>(DE712+DC712)/2</f>
        <v>76.876999999999995</v>
      </c>
      <c r="DE712" s="158">
        <v>77.965999999999994</v>
      </c>
      <c r="DF712" s="120">
        <f>(DG712+DE712)/2</f>
        <v>79.132499999999993</v>
      </c>
      <c r="DG712" s="159">
        <v>80.299000000000007</v>
      </c>
    </row>
    <row r="713" spans="54:111" ht="15" customHeight="1" x14ac:dyDescent="0.2">
      <c r="BB713" s="28">
        <v>39</v>
      </c>
      <c r="BC713" s="121">
        <v>13.398499999999999</v>
      </c>
      <c r="BD713" s="121">
        <v>14.998749999999999</v>
      </c>
      <c r="BE713" s="121">
        <v>16.599</v>
      </c>
      <c r="BF713" s="121">
        <v>18.07225</v>
      </c>
      <c r="BG713" s="121">
        <v>19.545500000000001</v>
      </c>
      <c r="BH713" s="121">
        <v>20.961500000000001</v>
      </c>
      <c r="BI713" s="121">
        <v>22.377499999999998</v>
      </c>
      <c r="BJ713" s="121">
        <v>23.7545</v>
      </c>
      <c r="BK713" s="121">
        <v>25.131499999999999</v>
      </c>
      <c r="BL713" s="121">
        <v>26.438749999999999</v>
      </c>
      <c r="BM713" s="121">
        <v>27.746000000000002</v>
      </c>
      <c r="BN713" s="121">
        <v>29.050249999999998</v>
      </c>
      <c r="BO713" s="121">
        <v>30.354500000000002</v>
      </c>
      <c r="BP713" s="121">
        <v>31.6355</v>
      </c>
      <c r="BQ713" s="121">
        <v>32.916499999999999</v>
      </c>
      <c r="BR713" s="121">
        <v>34.158999999999999</v>
      </c>
      <c r="BS713" s="121">
        <v>35.401499999999999</v>
      </c>
      <c r="BT713" s="121">
        <v>36.650999999999996</v>
      </c>
      <c r="BU713" s="121">
        <v>37.900499999999994</v>
      </c>
      <c r="BV713" s="121">
        <v>39.123999999999995</v>
      </c>
      <c r="BW713" s="121">
        <v>40.347499999999997</v>
      </c>
      <c r="BX713" s="121">
        <v>41.558999999999997</v>
      </c>
      <c r="BY713" s="121">
        <v>42.770499999999998</v>
      </c>
      <c r="BZ713" s="121">
        <v>43.97475</v>
      </c>
      <c r="CA713" s="121">
        <v>45.179000000000002</v>
      </c>
      <c r="CB713" s="121">
        <v>46.370750000000001</v>
      </c>
      <c r="CC713" s="121">
        <v>47.5625</v>
      </c>
      <c r="CD713" s="121">
        <v>48.747500000000002</v>
      </c>
      <c r="CE713" s="121">
        <v>49.932499999999997</v>
      </c>
      <c r="CF713" s="121">
        <v>51.117750000000001</v>
      </c>
      <c r="CG713" s="121">
        <v>52.302999999999997</v>
      </c>
      <c r="CH713" s="121">
        <v>53.47175</v>
      </c>
      <c r="CI713" s="121">
        <v>54.640500000000003</v>
      </c>
      <c r="CJ713" s="121">
        <v>55.813000000000002</v>
      </c>
      <c r="CK713" s="121">
        <f t="array" ref="CK713:CK734">TRANSPOSE(CL712:DG712)</f>
        <v>56.985500000000002</v>
      </c>
      <c r="CL713" s="120">
        <f>(CK713+CM713)/2</f>
        <v>58.131750000000004</v>
      </c>
      <c r="CM713" s="120">
        <f>(CM712+CM714)/2</f>
        <v>59.278000000000006</v>
      </c>
      <c r="CN713" s="120">
        <f>(CM713+CO713)/2</f>
        <v>60.424500000000002</v>
      </c>
      <c r="CO713" s="120">
        <f>(CO712+CO714)/2</f>
        <v>61.570999999999998</v>
      </c>
      <c r="CP713" s="120">
        <f>(CO713+CQ713)/2</f>
        <v>62.71725</v>
      </c>
      <c r="CQ713" s="120">
        <f>(CQ712+CQ714)/2</f>
        <v>63.863500000000002</v>
      </c>
      <c r="CR713" s="120">
        <f>(CQ713+CS713)/2</f>
        <v>65.001249999999999</v>
      </c>
      <c r="CS713" s="120">
        <f>(CS712+CS714)/2</f>
        <v>66.13900000000001</v>
      </c>
      <c r="CT713" s="120">
        <f>(CS713+CU713)/2</f>
        <v>67.246750000000006</v>
      </c>
      <c r="CU713" s="120">
        <f>(CU712+CU714)/2</f>
        <v>68.354500000000002</v>
      </c>
      <c r="CV713" s="120">
        <f>(CU713+CW713)/2</f>
        <v>69.539500000000004</v>
      </c>
      <c r="CW713" s="120">
        <f>(CW712+CW714)/2</f>
        <v>70.724500000000006</v>
      </c>
      <c r="CX713" s="120">
        <f>(CW713+CY713)/2</f>
        <v>71.831999999999994</v>
      </c>
      <c r="CY713" s="120">
        <f>(CY712+CY714)/2</f>
        <v>72.939499999999995</v>
      </c>
      <c r="CZ713" s="120">
        <f>(CY713+DA713)/2</f>
        <v>74.035249999999991</v>
      </c>
      <c r="DA713" s="120">
        <f>(DA712+DA714)/2</f>
        <v>75.131</v>
      </c>
      <c r="DB713" s="120">
        <f>(DA713+DC713)/2</f>
        <v>76.242500000000007</v>
      </c>
      <c r="DC713" s="120">
        <f>(DC712+DC714)/2</f>
        <v>77.353999999999999</v>
      </c>
      <c r="DD713" s="120">
        <f>(DC713+DE713)/2</f>
        <v>78.5</v>
      </c>
      <c r="DE713" s="120">
        <f>(DE712+DE714)/2</f>
        <v>79.645999999999987</v>
      </c>
      <c r="DF713" s="120">
        <f>(DE713+DG713)/2</f>
        <v>80.79249999999999</v>
      </c>
      <c r="DG713" s="122">
        <f>(DG712+DG714)/2</f>
        <v>81.938999999999993</v>
      </c>
    </row>
    <row r="714" spans="54:111" ht="15" customHeight="1" x14ac:dyDescent="0.2">
      <c r="BB714" s="28">
        <v>40</v>
      </c>
      <c r="BC714" s="121">
        <v>13.632</v>
      </c>
      <c r="BD714" s="121">
        <v>15.266999999999999</v>
      </c>
      <c r="BE714" s="121">
        <v>16.902000000000001</v>
      </c>
      <c r="BF714" s="121">
        <v>18.413</v>
      </c>
      <c r="BG714" s="121">
        <v>19.923999999999999</v>
      </c>
      <c r="BH714" s="121">
        <v>21.358499999999999</v>
      </c>
      <c r="BI714" s="121">
        <v>22.792999999999999</v>
      </c>
      <c r="BJ714" s="121">
        <v>24.188499999999998</v>
      </c>
      <c r="BK714" s="121">
        <v>25.584</v>
      </c>
      <c r="BL714" s="121">
        <v>26.941499999999998</v>
      </c>
      <c r="BM714" s="121">
        <v>28.298999999999999</v>
      </c>
      <c r="BN714" s="121">
        <v>29.625999999999998</v>
      </c>
      <c r="BO714" s="121">
        <v>30.952999999999999</v>
      </c>
      <c r="BP714" s="121">
        <v>32.232999999999997</v>
      </c>
      <c r="BQ714" s="121">
        <v>33.512999999999998</v>
      </c>
      <c r="BR714" s="121">
        <v>34.793499999999995</v>
      </c>
      <c r="BS714" s="121">
        <v>36.073999999999998</v>
      </c>
      <c r="BT714" s="121">
        <v>37.354500000000002</v>
      </c>
      <c r="BU714" s="121">
        <v>38.634999999999998</v>
      </c>
      <c r="BV714" s="121">
        <v>39.876999999999995</v>
      </c>
      <c r="BW714" s="121">
        <v>41.119</v>
      </c>
      <c r="BX714" s="121">
        <v>42.368499999999997</v>
      </c>
      <c r="BY714" s="121">
        <v>43.618000000000002</v>
      </c>
      <c r="BZ714" s="121">
        <v>44.822000000000003</v>
      </c>
      <c r="CA714" s="121">
        <v>46.026000000000003</v>
      </c>
      <c r="CB714" s="121">
        <v>47.267499999999998</v>
      </c>
      <c r="CC714" s="121">
        <v>48.509</v>
      </c>
      <c r="CD714" s="121">
        <v>49.712499999999999</v>
      </c>
      <c r="CE714" s="121">
        <v>50.915999999999997</v>
      </c>
      <c r="CF714" s="121">
        <v>52.12</v>
      </c>
      <c r="CG714" s="121">
        <v>53.323999999999998</v>
      </c>
      <c r="CH714" s="121">
        <v>54.534499999999994</v>
      </c>
      <c r="CI714" s="121">
        <v>55.744999999999997</v>
      </c>
      <c r="CJ714" s="121">
        <v>56.948499999999996</v>
      </c>
      <c r="CK714" s="121">
        <v>58.152000000000001</v>
      </c>
      <c r="CL714" s="121">
        <f t="array" ref="CL714:CL734">TRANSPOSE(CM713:DG713)</f>
        <v>59.278000000000006</v>
      </c>
      <c r="CM714" s="158">
        <v>60.404000000000003</v>
      </c>
      <c r="CN714" s="120">
        <f>(CO714+CM714)/2</f>
        <v>61.607500000000002</v>
      </c>
      <c r="CO714" s="158">
        <v>62.811</v>
      </c>
      <c r="CP714" s="120">
        <f>(CQ714+CO714)/2</f>
        <v>63.938000000000002</v>
      </c>
      <c r="CQ714" s="158">
        <v>65.064999999999998</v>
      </c>
      <c r="CR714" s="120">
        <f>(CS714+CQ714)/2</f>
        <v>66.275499999999994</v>
      </c>
      <c r="CS714" s="158">
        <v>67.486000000000004</v>
      </c>
      <c r="CT714" s="120">
        <f>(CU714+CS714)/2</f>
        <v>68.612500000000011</v>
      </c>
      <c r="CU714" s="158">
        <v>69.739000000000004</v>
      </c>
      <c r="CV714" s="120">
        <f>(CW714+CU714)/2</f>
        <v>70.942499999999995</v>
      </c>
      <c r="CW714" s="158">
        <v>72.146000000000001</v>
      </c>
      <c r="CX714" s="120">
        <f>(CY714+CW714)/2</f>
        <v>73.271999999999991</v>
      </c>
      <c r="CY714" s="158">
        <v>74.397999999999996</v>
      </c>
      <c r="CZ714" s="120">
        <f>(DA714+CY714)/2</f>
        <v>75.525000000000006</v>
      </c>
      <c r="DA714" s="158">
        <v>76.652000000000001</v>
      </c>
      <c r="DB714" s="120">
        <f>(DC714+DA714)/2</f>
        <v>77.786000000000001</v>
      </c>
      <c r="DC714" s="158">
        <v>78.92</v>
      </c>
      <c r="DD714" s="120">
        <f>(DE714+DC714)/2</f>
        <v>80.12299999999999</v>
      </c>
      <c r="DE714" s="158">
        <v>81.325999999999993</v>
      </c>
      <c r="DF714" s="120">
        <f>(DG714+DE714)/2</f>
        <v>82.452499999999986</v>
      </c>
      <c r="DG714" s="159">
        <v>83.578999999999994</v>
      </c>
    </row>
    <row r="715" spans="54:111" ht="15" customHeight="1" x14ac:dyDescent="0.2">
      <c r="BB715" s="28">
        <v>41</v>
      </c>
      <c r="BC715" s="121">
        <v>13.897500000000001</v>
      </c>
      <c r="BD715" s="121">
        <v>15.54725</v>
      </c>
      <c r="BE715" s="121">
        <v>17.197000000000003</v>
      </c>
      <c r="BF715" s="121">
        <v>18.726500000000001</v>
      </c>
      <c r="BG715" s="121">
        <v>20.256</v>
      </c>
      <c r="BH715" s="121">
        <v>21.732250000000001</v>
      </c>
      <c r="BI715" s="121">
        <v>23.208500000000001</v>
      </c>
      <c r="BJ715" s="121">
        <v>24.635249999999999</v>
      </c>
      <c r="BK715" s="121">
        <v>26.061999999999998</v>
      </c>
      <c r="BL715" s="121">
        <v>27.441749999999999</v>
      </c>
      <c r="BM715" s="121">
        <v>28.8215</v>
      </c>
      <c r="BN715" s="121">
        <v>30.163249999999998</v>
      </c>
      <c r="BO715" s="121">
        <v>31.505000000000003</v>
      </c>
      <c r="BP715" s="121">
        <v>32.822999999999993</v>
      </c>
      <c r="BQ715" s="121">
        <v>34.140999999999998</v>
      </c>
      <c r="BR715" s="121">
        <v>35.456249999999997</v>
      </c>
      <c r="BS715" s="121">
        <v>36.771500000000003</v>
      </c>
      <c r="BT715" s="121">
        <v>38.070500000000003</v>
      </c>
      <c r="BU715" s="121">
        <v>39.369500000000002</v>
      </c>
      <c r="BV715" s="121">
        <v>40.629999999999995</v>
      </c>
      <c r="BW715" s="121">
        <v>41.890500000000003</v>
      </c>
      <c r="BX715" s="121">
        <v>43.158749999999998</v>
      </c>
      <c r="BY715" s="121">
        <v>44.427</v>
      </c>
      <c r="BZ715" s="121">
        <v>45.680999999999997</v>
      </c>
      <c r="CA715" s="121">
        <v>46.935000000000002</v>
      </c>
      <c r="CB715" s="121">
        <v>48.176000000000002</v>
      </c>
      <c r="CC715" s="121">
        <v>49.417000000000002</v>
      </c>
      <c r="CD715" s="121">
        <v>50.66225</v>
      </c>
      <c r="CE715" s="121">
        <v>51.907499999999999</v>
      </c>
      <c r="CF715" s="121">
        <v>53.129750000000001</v>
      </c>
      <c r="CG715" s="121">
        <v>54.352000000000004</v>
      </c>
      <c r="CH715" s="121">
        <v>55.570749999999997</v>
      </c>
      <c r="CI715" s="121">
        <v>56.789500000000004</v>
      </c>
      <c r="CJ715" s="121">
        <v>58.015500000000003</v>
      </c>
      <c r="CK715" s="121">
        <v>59.241500000000002</v>
      </c>
      <c r="CL715" s="121">
        <v>60.424500000000002</v>
      </c>
      <c r="CM715" s="121">
        <f t="array" ref="CM715:CM734">TRANSPOSE(CN714:DG714)</f>
        <v>61.607500000000002</v>
      </c>
      <c r="CN715" s="120">
        <f>(CM715+CO715)/2</f>
        <v>62.795000000000002</v>
      </c>
      <c r="CO715" s="120">
        <f>(CO714+CO716)/2</f>
        <v>63.982500000000002</v>
      </c>
      <c r="CP715" s="120">
        <f>(CO715+CQ715)/2</f>
        <v>65.1785</v>
      </c>
      <c r="CQ715" s="120">
        <f>(CQ714+CQ716)/2</f>
        <v>66.374499999999998</v>
      </c>
      <c r="CR715" s="120">
        <f>(CQ715+CS715)/2</f>
        <v>67.600249999999988</v>
      </c>
      <c r="CS715" s="120">
        <f>(CS714+CS716)/2</f>
        <v>68.825999999999993</v>
      </c>
      <c r="CT715" s="120">
        <f>(CS715+CU715)/2</f>
        <v>69.97475</v>
      </c>
      <c r="CU715" s="120">
        <f>(CU714+CU716)/2</f>
        <v>71.123500000000007</v>
      </c>
      <c r="CV715" s="120">
        <f>(CU715+CW715)/2</f>
        <v>72.34575000000001</v>
      </c>
      <c r="CW715" s="120">
        <f>(CW714+CW716)/2</f>
        <v>73.567999999999998</v>
      </c>
      <c r="CX715" s="120">
        <f>(CW715+CY715)/2</f>
        <v>74.724999999999994</v>
      </c>
      <c r="CY715" s="120">
        <f>(CY714+CY716)/2</f>
        <v>75.882000000000005</v>
      </c>
      <c r="CZ715" s="120">
        <f>(CY715+DA715)/2</f>
        <v>77.03125</v>
      </c>
      <c r="DA715" s="120">
        <f>(DA714+DA716)/2</f>
        <v>78.180499999999995</v>
      </c>
      <c r="DB715" s="120">
        <f>(DA715+DC715)/2</f>
        <v>79.328999999999994</v>
      </c>
      <c r="DC715" s="120">
        <f>(DC714+DC716)/2</f>
        <v>80.477499999999992</v>
      </c>
      <c r="DD715" s="120">
        <f>(DC715+DE715)/2</f>
        <v>81.6995</v>
      </c>
      <c r="DE715" s="120">
        <f>(DE714+DE716)/2</f>
        <v>82.921499999999995</v>
      </c>
      <c r="DF715" s="120">
        <f>(DE715+DG715)/2</f>
        <v>84.082499999999996</v>
      </c>
      <c r="DG715" s="122">
        <f>(DG714+DG716)/2</f>
        <v>85.243499999999997</v>
      </c>
    </row>
    <row r="716" spans="54:111" ht="15" customHeight="1" x14ac:dyDescent="0.2">
      <c r="BB716" s="28">
        <v>42</v>
      </c>
      <c r="BC716" s="121">
        <v>14.163</v>
      </c>
      <c r="BD716" s="121">
        <v>15.827500000000001</v>
      </c>
      <c r="BE716" s="121">
        <v>17.492000000000001</v>
      </c>
      <c r="BF716" s="121">
        <v>19.04</v>
      </c>
      <c r="BG716" s="121">
        <v>20.588000000000001</v>
      </c>
      <c r="BH716" s="121">
        <v>22.106000000000002</v>
      </c>
      <c r="BI716" s="121">
        <v>23.623999999999999</v>
      </c>
      <c r="BJ716" s="121">
        <v>25.082000000000001</v>
      </c>
      <c r="BK716" s="121">
        <v>26.54</v>
      </c>
      <c r="BL716" s="121">
        <v>27.942</v>
      </c>
      <c r="BM716" s="121">
        <v>29.344000000000001</v>
      </c>
      <c r="BN716" s="121">
        <v>30.700500000000002</v>
      </c>
      <c r="BO716" s="121">
        <v>32.057000000000002</v>
      </c>
      <c r="BP716" s="121">
        <v>33.412999999999997</v>
      </c>
      <c r="BQ716" s="121">
        <v>34.768999999999998</v>
      </c>
      <c r="BR716" s="121">
        <v>36.119</v>
      </c>
      <c r="BS716" s="121">
        <v>37.469000000000001</v>
      </c>
      <c r="BT716" s="121">
        <v>38.786500000000004</v>
      </c>
      <c r="BU716" s="121">
        <v>40.103999999999999</v>
      </c>
      <c r="BV716" s="121">
        <v>41.382999999999996</v>
      </c>
      <c r="BW716" s="121">
        <v>42.661999999999999</v>
      </c>
      <c r="BX716" s="121">
        <v>43.948999999999998</v>
      </c>
      <c r="BY716" s="121">
        <v>45.235999999999997</v>
      </c>
      <c r="BZ716" s="121">
        <v>46.54</v>
      </c>
      <c r="CA716" s="121">
        <v>47.844000000000001</v>
      </c>
      <c r="CB716" s="121">
        <v>49.084500000000006</v>
      </c>
      <c r="CC716" s="121">
        <v>50.325000000000003</v>
      </c>
      <c r="CD716" s="121">
        <v>51.612000000000002</v>
      </c>
      <c r="CE716" s="121">
        <v>52.899000000000001</v>
      </c>
      <c r="CF716" s="121">
        <v>54.139499999999998</v>
      </c>
      <c r="CG716" s="121">
        <v>55.38</v>
      </c>
      <c r="CH716" s="121">
        <v>56.606999999999999</v>
      </c>
      <c r="CI716" s="121">
        <v>57.834000000000003</v>
      </c>
      <c r="CJ716" s="121">
        <v>59.082500000000003</v>
      </c>
      <c r="CK716" s="121">
        <v>60.331000000000003</v>
      </c>
      <c r="CL716" s="121">
        <v>61.570999999999998</v>
      </c>
      <c r="CM716" s="121">
        <v>62.811</v>
      </c>
      <c r="CN716" s="121">
        <f t="array" ref="CN716:CN734">TRANSPOSE(CO715:DG715)</f>
        <v>63.982500000000002</v>
      </c>
      <c r="CO716" s="158">
        <v>65.153999999999996</v>
      </c>
      <c r="CP716" s="120">
        <f>(CQ716+CO716)/2</f>
        <v>66.418999999999997</v>
      </c>
      <c r="CQ716" s="158">
        <v>67.683999999999997</v>
      </c>
      <c r="CR716" s="120">
        <f>(CS716+CQ716)/2</f>
        <v>68.924999999999997</v>
      </c>
      <c r="CS716" s="158">
        <v>70.165999999999997</v>
      </c>
      <c r="CT716" s="120">
        <f>(CU716+CS716)/2</f>
        <v>71.336999999999989</v>
      </c>
      <c r="CU716" s="158">
        <v>72.507999999999996</v>
      </c>
      <c r="CV716" s="120">
        <f>(CW716+CU716)/2</f>
        <v>73.748999999999995</v>
      </c>
      <c r="CW716" s="158">
        <v>74.989999999999995</v>
      </c>
      <c r="CX716" s="120">
        <f>(CY716+CW716)/2</f>
        <v>76.177999999999997</v>
      </c>
      <c r="CY716" s="158">
        <v>77.366</v>
      </c>
      <c r="CZ716" s="120">
        <f>(DA716+CY716)/2</f>
        <v>78.537499999999994</v>
      </c>
      <c r="DA716" s="158">
        <v>79.709000000000003</v>
      </c>
      <c r="DB716" s="120">
        <f>(DC716+DA716)/2</f>
        <v>80.872</v>
      </c>
      <c r="DC716" s="158">
        <v>82.034999999999997</v>
      </c>
      <c r="DD716" s="120">
        <f>(DE716+DC716)/2</f>
        <v>83.275999999999996</v>
      </c>
      <c r="DE716" s="158">
        <v>84.516999999999996</v>
      </c>
      <c r="DF716" s="120">
        <f>(DG716+DE716)/2</f>
        <v>85.712500000000006</v>
      </c>
      <c r="DG716" s="159">
        <v>86.908000000000001</v>
      </c>
    </row>
    <row r="717" spans="54:111" ht="15" customHeight="1" x14ac:dyDescent="0.2">
      <c r="BB717" s="28">
        <v>43</v>
      </c>
      <c r="BC717" s="121">
        <v>14.3965</v>
      </c>
      <c r="BD717" s="121">
        <v>16.095500000000001</v>
      </c>
      <c r="BE717" s="121">
        <v>17.794499999999999</v>
      </c>
      <c r="BF717" s="121">
        <v>19.380749999999999</v>
      </c>
      <c r="BG717" s="121">
        <v>20.966999999999999</v>
      </c>
      <c r="BH717" s="121">
        <v>22.515750000000001</v>
      </c>
      <c r="BI717" s="121">
        <v>24.064499999999999</v>
      </c>
      <c r="BJ717" s="121">
        <v>25.528750000000002</v>
      </c>
      <c r="BK717" s="121">
        <v>26.993000000000002</v>
      </c>
      <c r="BL717" s="121">
        <v>28.426000000000002</v>
      </c>
      <c r="BM717" s="121">
        <v>29.859000000000002</v>
      </c>
      <c r="BN717" s="121">
        <v>31.253</v>
      </c>
      <c r="BO717" s="121">
        <v>32.647000000000006</v>
      </c>
      <c r="BP717" s="121">
        <v>34.037999999999997</v>
      </c>
      <c r="BQ717" s="121">
        <v>35.429000000000002</v>
      </c>
      <c r="BR717" s="121">
        <v>36.78125</v>
      </c>
      <c r="BS717" s="121">
        <v>38.133499999999998</v>
      </c>
      <c r="BT717" s="121">
        <v>39.486000000000004</v>
      </c>
      <c r="BU717" s="121">
        <v>40.838499999999996</v>
      </c>
      <c r="BV717" s="121">
        <v>42.135999999999996</v>
      </c>
      <c r="BW717" s="121">
        <v>43.433499999999995</v>
      </c>
      <c r="BX717" s="121">
        <v>44.751750000000001</v>
      </c>
      <c r="BY717" s="121">
        <v>46.07</v>
      </c>
      <c r="BZ717" s="121">
        <v>47.379999999999995</v>
      </c>
      <c r="CA717" s="121">
        <v>48.69</v>
      </c>
      <c r="CB717" s="121">
        <v>49.984750000000005</v>
      </c>
      <c r="CC717" s="121">
        <v>51.279499999999999</v>
      </c>
      <c r="CD717" s="121">
        <v>52.561999999999998</v>
      </c>
      <c r="CE717" s="121">
        <v>53.844499999999996</v>
      </c>
      <c r="CF717" s="121">
        <v>55.119500000000002</v>
      </c>
      <c r="CG717" s="121">
        <v>56.394500000000001</v>
      </c>
      <c r="CH717" s="121">
        <v>57.666499999999999</v>
      </c>
      <c r="CI717" s="121">
        <v>58.938500000000005</v>
      </c>
      <c r="CJ717" s="121">
        <v>60.217500000000001</v>
      </c>
      <c r="CK717" s="121">
        <v>61.496499999999997</v>
      </c>
      <c r="CL717" s="121">
        <v>62.71725</v>
      </c>
      <c r="CM717" s="121">
        <v>63.938000000000002</v>
      </c>
      <c r="CN717" s="121">
        <v>65.1785</v>
      </c>
      <c r="CO717" s="121">
        <f t="array" ref="CO717:CO734">TRANSPOSE(CP716:DG716)</f>
        <v>66.418999999999997</v>
      </c>
      <c r="CP717" s="120">
        <f>(CO717+CQ717)/2</f>
        <v>67.690750000000008</v>
      </c>
      <c r="CQ717" s="120">
        <f>(CQ716+CQ718)/2</f>
        <v>68.962500000000006</v>
      </c>
      <c r="CR717" s="120">
        <f>(CQ717+CS717)/2</f>
        <v>70.1995</v>
      </c>
      <c r="CS717" s="120">
        <f>(CS716+CS718)/2</f>
        <v>71.436499999999995</v>
      </c>
      <c r="CT717" s="120">
        <f>(CS717+CU717)/2</f>
        <v>72.660749999999993</v>
      </c>
      <c r="CU717" s="120">
        <f>(CU716+CU718)/2</f>
        <v>73.884999999999991</v>
      </c>
      <c r="CV717" s="120">
        <f>(CU717+CW717)/2</f>
        <v>75.122249999999994</v>
      </c>
      <c r="CW717" s="120">
        <f>(CW716+CW718)/2</f>
        <v>76.359499999999997</v>
      </c>
      <c r="CX717" s="120">
        <f>(CW717+CY717)/2</f>
        <v>77.596000000000004</v>
      </c>
      <c r="CY717" s="120">
        <f>(CY716+CY718)/2</f>
        <v>78.83250000000001</v>
      </c>
      <c r="CZ717" s="120">
        <f>(CY717+DA717)/2</f>
        <v>80.03125</v>
      </c>
      <c r="DA717" s="120">
        <f>(DA716+DA718)/2</f>
        <v>81.23</v>
      </c>
      <c r="DB717" s="120">
        <f>(DA717+DC717)/2</f>
        <v>82.415500000000009</v>
      </c>
      <c r="DC717" s="120">
        <f>(DC716+DC718)/2</f>
        <v>83.600999999999999</v>
      </c>
      <c r="DD717" s="120">
        <f>(DC717+DE717)/2</f>
        <v>84.87299999999999</v>
      </c>
      <c r="DE717" s="120">
        <f>(DE716+DE718)/2</f>
        <v>86.144999999999996</v>
      </c>
      <c r="DF717" s="120">
        <f>(DE717+DG717)/2</f>
        <v>87.346749999999986</v>
      </c>
      <c r="DG717" s="122">
        <f>(DG716+DG718)/2</f>
        <v>88.54849999999999</v>
      </c>
    </row>
    <row r="718" spans="54:111" ht="15" customHeight="1" x14ac:dyDescent="0.2">
      <c r="BB718" s="28">
        <v>44</v>
      </c>
      <c r="BC718" s="121">
        <v>14.63</v>
      </c>
      <c r="BD718" s="121">
        <v>16.363500000000002</v>
      </c>
      <c r="BE718" s="121">
        <v>18.097000000000001</v>
      </c>
      <c r="BF718" s="121">
        <v>19.721499999999999</v>
      </c>
      <c r="BG718" s="121">
        <v>21.346</v>
      </c>
      <c r="BH718" s="121">
        <v>22.9255</v>
      </c>
      <c r="BI718" s="121">
        <v>24.504999999999999</v>
      </c>
      <c r="BJ718" s="121">
        <v>25.9755</v>
      </c>
      <c r="BK718" s="121">
        <v>27.446000000000002</v>
      </c>
      <c r="BL718" s="121">
        <v>28.91</v>
      </c>
      <c r="BM718" s="121">
        <v>30.373999999999999</v>
      </c>
      <c r="BN718" s="121">
        <v>31.805500000000002</v>
      </c>
      <c r="BO718" s="121">
        <v>33.237000000000002</v>
      </c>
      <c r="BP718" s="121">
        <v>34.662999999999997</v>
      </c>
      <c r="BQ718" s="121">
        <v>36.088999999999999</v>
      </c>
      <c r="BR718" s="121">
        <v>37.4435</v>
      </c>
      <c r="BS718" s="121">
        <v>38.798000000000002</v>
      </c>
      <c r="BT718" s="121">
        <v>40.185500000000005</v>
      </c>
      <c r="BU718" s="121">
        <v>41.573</v>
      </c>
      <c r="BV718" s="121">
        <v>42.888999999999996</v>
      </c>
      <c r="BW718" s="121">
        <v>44.204999999999998</v>
      </c>
      <c r="BX718" s="121">
        <v>45.554500000000004</v>
      </c>
      <c r="BY718" s="121">
        <v>46.904000000000003</v>
      </c>
      <c r="BZ718" s="121">
        <v>48.22</v>
      </c>
      <c r="CA718" s="121">
        <v>49.536000000000001</v>
      </c>
      <c r="CB718" s="121">
        <v>50.885000000000005</v>
      </c>
      <c r="CC718" s="121">
        <v>52.234000000000002</v>
      </c>
      <c r="CD718" s="121">
        <v>53.512</v>
      </c>
      <c r="CE718" s="121">
        <v>54.79</v>
      </c>
      <c r="CF718" s="121">
        <v>56.099499999999999</v>
      </c>
      <c r="CG718" s="121">
        <v>57.408999999999999</v>
      </c>
      <c r="CH718" s="121">
        <v>58.725999999999999</v>
      </c>
      <c r="CI718" s="121">
        <v>60.042999999999999</v>
      </c>
      <c r="CJ718" s="121">
        <v>61.352499999999999</v>
      </c>
      <c r="CK718" s="121">
        <v>62.661999999999999</v>
      </c>
      <c r="CL718" s="121">
        <v>63.863500000000002</v>
      </c>
      <c r="CM718" s="121">
        <v>65.064999999999998</v>
      </c>
      <c r="CN718" s="121">
        <v>66.374499999999998</v>
      </c>
      <c r="CO718" s="121">
        <v>67.683999999999997</v>
      </c>
      <c r="CP718" s="121">
        <f t="array" ref="CP718:CP734">TRANSPOSE(CQ717:DG717)</f>
        <v>68.962500000000006</v>
      </c>
      <c r="CQ718" s="158">
        <v>70.241</v>
      </c>
      <c r="CR718" s="121">
        <f>CS717</f>
        <v>71.436499999999995</v>
      </c>
      <c r="CS718" s="158">
        <v>72.706999999999994</v>
      </c>
      <c r="CT718" s="121">
        <f>CU717</f>
        <v>73.884999999999991</v>
      </c>
      <c r="CU718" s="158">
        <v>75.262</v>
      </c>
      <c r="CV718" s="121">
        <f>CW717</f>
        <v>76.359499999999997</v>
      </c>
      <c r="CW718" s="158">
        <v>77.728999999999999</v>
      </c>
      <c r="CX718" s="121">
        <f>CY717</f>
        <v>78.83250000000001</v>
      </c>
      <c r="CY718" s="158">
        <v>80.299000000000007</v>
      </c>
      <c r="CZ718" s="121">
        <f>DA717</f>
        <v>81.23</v>
      </c>
      <c r="DA718" s="158">
        <v>82.751000000000005</v>
      </c>
      <c r="DB718" s="121">
        <f>DC717</f>
        <v>83.600999999999999</v>
      </c>
      <c r="DC718" s="158">
        <v>85.167000000000002</v>
      </c>
      <c r="DD718" s="121">
        <f>DE717</f>
        <v>86.144999999999996</v>
      </c>
      <c r="DE718" s="158">
        <v>87.772999999999996</v>
      </c>
      <c r="DF718" s="121">
        <f>DG717</f>
        <v>88.54849999999999</v>
      </c>
      <c r="DG718" s="159">
        <v>90.188999999999993</v>
      </c>
    </row>
    <row r="719" spans="54:111" ht="15" customHeight="1" x14ac:dyDescent="0.2">
      <c r="BB719" s="28">
        <v>45</v>
      </c>
      <c r="BC719" s="121">
        <v>14.888000000000002</v>
      </c>
      <c r="BD719" s="121">
        <v>16.647000000000002</v>
      </c>
      <c r="BE719" s="121">
        <v>18.405999999999999</v>
      </c>
      <c r="BF719" s="121">
        <v>20.045999999999999</v>
      </c>
      <c r="BG719" s="121">
        <v>21.686</v>
      </c>
      <c r="BH719" s="121">
        <v>23.280249999999999</v>
      </c>
      <c r="BI719" s="121">
        <v>24.874499999999998</v>
      </c>
      <c r="BJ719" s="121">
        <v>26.399000000000001</v>
      </c>
      <c r="BK719" s="121">
        <v>27.923500000000001</v>
      </c>
      <c r="BL719" s="121">
        <v>29.393749999999997</v>
      </c>
      <c r="BM719" s="121">
        <v>30.863999999999997</v>
      </c>
      <c r="BN719" s="121">
        <v>32.326750000000004</v>
      </c>
      <c r="BO719" s="121">
        <v>33.789500000000004</v>
      </c>
      <c r="BP719" s="121">
        <v>35.233999999999995</v>
      </c>
      <c r="BQ719" s="121">
        <v>36.6785</v>
      </c>
      <c r="BR719" s="121">
        <v>38.067750000000004</v>
      </c>
      <c r="BS719" s="121">
        <v>39.457000000000001</v>
      </c>
      <c r="BT719" s="121">
        <v>40.866</v>
      </c>
      <c r="BU719" s="121">
        <v>42.274999999999999</v>
      </c>
      <c r="BV719" s="121">
        <v>43.626249999999999</v>
      </c>
      <c r="BW719" s="121">
        <v>44.977499999999999</v>
      </c>
      <c r="BX719" s="121">
        <v>46.34525</v>
      </c>
      <c r="BY719" s="121">
        <v>47.713000000000001</v>
      </c>
      <c r="BZ719" s="121">
        <v>49.063749999999999</v>
      </c>
      <c r="CA719" s="121">
        <v>50.414500000000004</v>
      </c>
      <c r="CB719" s="121">
        <v>51.766000000000005</v>
      </c>
      <c r="CC719" s="121">
        <v>53.1175</v>
      </c>
      <c r="CD719" s="121">
        <v>54.449249999999999</v>
      </c>
      <c r="CE719" s="121">
        <v>55.780999999999999</v>
      </c>
      <c r="CF719" s="121">
        <v>57.109250000000003</v>
      </c>
      <c r="CG719" s="121">
        <v>58.4375</v>
      </c>
      <c r="CH719" s="121">
        <v>59.766249999999999</v>
      </c>
      <c r="CI719" s="121">
        <v>61.094999999999999</v>
      </c>
      <c r="CJ719" s="121">
        <v>62.411000000000001</v>
      </c>
      <c r="CK719" s="121">
        <v>63.727000000000004</v>
      </c>
      <c r="CL719" s="121">
        <v>65.001249999999999</v>
      </c>
      <c r="CM719" s="121">
        <v>66.275499999999994</v>
      </c>
      <c r="CN719" s="121">
        <v>67.600249999999988</v>
      </c>
      <c r="CO719" s="121">
        <v>68.924999999999997</v>
      </c>
      <c r="CP719" s="121">
        <v>70.1995</v>
      </c>
      <c r="CQ719" s="121">
        <f t="array" ref="CQ719:CQ734">TRANSPOSE(CR718:DG718)</f>
        <v>71.436499999999995</v>
      </c>
      <c r="CR719" s="120">
        <f>(CQ719+CS719)/2</f>
        <v>72.732749999999996</v>
      </c>
      <c r="CS719" s="120">
        <f>(CS718+CS720)/2</f>
        <v>74.028999999999996</v>
      </c>
      <c r="CT719" s="120">
        <f>(CS719+CU719)/2</f>
        <v>75.337999999999994</v>
      </c>
      <c r="CU719" s="120">
        <f>(CU718+CU720)/2</f>
        <v>76.646999999999991</v>
      </c>
      <c r="CV719" s="120">
        <f>(CU719+CW719)/2</f>
        <v>77.898749999999993</v>
      </c>
      <c r="CW719" s="120">
        <f>(CW718+CW720)/2</f>
        <v>79.150499999999994</v>
      </c>
      <c r="CX719" s="120">
        <f>(CW719+CY719)/2</f>
        <v>80.466499999999996</v>
      </c>
      <c r="CY719" s="120">
        <f>(CY718+CY720)/2</f>
        <v>81.782499999999999</v>
      </c>
      <c r="CZ719" s="120">
        <f>(CY719+DA719)/2</f>
        <v>83.014749999999992</v>
      </c>
      <c r="DA719" s="120">
        <f>(DA718+DA720)/2</f>
        <v>84.247</v>
      </c>
      <c r="DB719" s="120">
        <f>(DA719+DC719)/2</f>
        <v>85.48599999999999</v>
      </c>
      <c r="DC719" s="120">
        <f>(DC718+DC720)/2</f>
        <v>86.724999999999994</v>
      </c>
      <c r="DD719" s="120">
        <f>(DC719+DE719)/2</f>
        <v>88.050249999999991</v>
      </c>
      <c r="DE719" s="120">
        <f>(DE718+DE720)/2</f>
        <v>89.375499999999988</v>
      </c>
      <c r="DF719" s="120">
        <f>(DE719+DG719)/2</f>
        <v>90.61099999999999</v>
      </c>
      <c r="DG719" s="122">
        <f>(DG718+DG720)/2</f>
        <v>91.846499999999992</v>
      </c>
    </row>
    <row r="720" spans="54:111" ht="15" customHeight="1" x14ac:dyDescent="0.2">
      <c r="BB720" s="28">
        <v>46</v>
      </c>
      <c r="BC720" s="121">
        <v>15.146000000000001</v>
      </c>
      <c r="BD720" s="121">
        <v>16.930500000000002</v>
      </c>
      <c r="BE720" s="121">
        <v>18.715</v>
      </c>
      <c r="BF720" s="121">
        <v>20.3705</v>
      </c>
      <c r="BG720" s="121">
        <v>22.026</v>
      </c>
      <c r="BH720" s="121">
        <v>23.634999999999998</v>
      </c>
      <c r="BI720" s="121">
        <v>25.244</v>
      </c>
      <c r="BJ720" s="121">
        <v>26.822499999999998</v>
      </c>
      <c r="BK720" s="121">
        <v>28.401</v>
      </c>
      <c r="BL720" s="121">
        <v>29.877499999999998</v>
      </c>
      <c r="BM720" s="121">
        <v>31.353999999999999</v>
      </c>
      <c r="BN720" s="121">
        <v>32.847999999999999</v>
      </c>
      <c r="BO720" s="121">
        <v>34.341999999999999</v>
      </c>
      <c r="BP720" s="121">
        <v>35.805</v>
      </c>
      <c r="BQ720" s="121">
        <v>37.268000000000001</v>
      </c>
      <c r="BR720" s="121">
        <v>38.692</v>
      </c>
      <c r="BS720" s="121">
        <v>40.116</v>
      </c>
      <c r="BT720" s="121">
        <v>41.546499999999995</v>
      </c>
      <c r="BU720" s="121">
        <v>42.976999999999997</v>
      </c>
      <c r="BV720" s="121">
        <v>44.363500000000002</v>
      </c>
      <c r="BW720" s="121">
        <v>45.75</v>
      </c>
      <c r="BX720" s="121">
        <v>47.135999999999996</v>
      </c>
      <c r="BY720" s="121">
        <v>48.521999999999998</v>
      </c>
      <c r="BZ720" s="121">
        <v>49.907499999999999</v>
      </c>
      <c r="CA720" s="121">
        <v>51.292999999999999</v>
      </c>
      <c r="CB720" s="121">
        <v>52.646999999999998</v>
      </c>
      <c r="CC720" s="121">
        <v>54.000999999999998</v>
      </c>
      <c r="CD720" s="121">
        <v>55.386499999999998</v>
      </c>
      <c r="CE720" s="121">
        <v>56.771999999999998</v>
      </c>
      <c r="CF720" s="121">
        <v>58.119</v>
      </c>
      <c r="CG720" s="121">
        <v>59.466000000000001</v>
      </c>
      <c r="CH720" s="121">
        <v>60.8065</v>
      </c>
      <c r="CI720" s="121">
        <v>62.146999999999998</v>
      </c>
      <c r="CJ720" s="121">
        <v>63.469499999999996</v>
      </c>
      <c r="CK720" s="121">
        <v>64.792000000000002</v>
      </c>
      <c r="CL720" s="121">
        <v>66.13900000000001</v>
      </c>
      <c r="CM720" s="121">
        <v>67.486000000000004</v>
      </c>
      <c r="CN720" s="121">
        <v>68.825999999999993</v>
      </c>
      <c r="CO720" s="121">
        <v>70.165999999999997</v>
      </c>
      <c r="CP720" s="121">
        <v>71.436499999999995</v>
      </c>
      <c r="CQ720" s="121">
        <v>72.706999999999994</v>
      </c>
      <c r="CR720" s="150">
        <f t="array" ref="CR720:CR734">TRANSPOSE(CS719:DG719)</f>
        <v>74.028999999999996</v>
      </c>
      <c r="CS720" s="158">
        <v>75.350999999999999</v>
      </c>
      <c r="CT720" s="121">
        <f>CU719</f>
        <v>76.646999999999991</v>
      </c>
      <c r="CU720" s="158">
        <v>78.031999999999996</v>
      </c>
      <c r="CV720" s="121">
        <f>CW719</f>
        <v>79.150499999999994</v>
      </c>
      <c r="CW720" s="158">
        <v>80.572000000000003</v>
      </c>
      <c r="CX720" s="121">
        <f>CY719</f>
        <v>81.782499999999999</v>
      </c>
      <c r="CY720" s="158">
        <v>83.266000000000005</v>
      </c>
      <c r="CZ720" s="121">
        <f>DA719</f>
        <v>84.247</v>
      </c>
      <c r="DA720" s="158">
        <v>85.742999999999995</v>
      </c>
      <c r="DB720" s="121">
        <f>DC719</f>
        <v>86.724999999999994</v>
      </c>
      <c r="DC720" s="158">
        <v>88.283000000000001</v>
      </c>
      <c r="DD720" s="121">
        <f>DE719</f>
        <v>89.375499999999988</v>
      </c>
      <c r="DE720" s="158">
        <v>90.977999999999994</v>
      </c>
      <c r="DF720" s="121">
        <f>DG719</f>
        <v>91.846499999999992</v>
      </c>
      <c r="DG720" s="159">
        <v>93.504000000000005</v>
      </c>
    </row>
    <row r="721" spans="54:111" ht="15" customHeight="1" x14ac:dyDescent="0.2">
      <c r="BB721" s="28">
        <v>47</v>
      </c>
      <c r="BC721" s="121">
        <v>15.348500000000001</v>
      </c>
      <c r="BD721" s="121">
        <v>17.183250000000001</v>
      </c>
      <c r="BE721" s="121">
        <v>19.018000000000001</v>
      </c>
      <c r="BF721" s="121">
        <v>20.707250000000002</v>
      </c>
      <c r="BG721" s="121">
        <v>22.3965</v>
      </c>
      <c r="BH721" s="121">
        <v>24.02825</v>
      </c>
      <c r="BI721" s="121">
        <v>25.66</v>
      </c>
      <c r="BJ721" s="121">
        <v>27.256999999999998</v>
      </c>
      <c r="BK721" s="121">
        <v>28.853999999999999</v>
      </c>
      <c r="BL721" s="121">
        <v>30.361499999999999</v>
      </c>
      <c r="BM721" s="121">
        <v>31.869</v>
      </c>
      <c r="BN721" s="121">
        <v>33.385249999999999</v>
      </c>
      <c r="BO721" s="121">
        <v>34.901499999999999</v>
      </c>
      <c r="BP721" s="121">
        <v>36.382999999999996</v>
      </c>
      <c r="BQ721" s="121">
        <v>37.8645</v>
      </c>
      <c r="BR721" s="121">
        <v>39.323</v>
      </c>
      <c r="BS721" s="121">
        <v>40.781500000000001</v>
      </c>
      <c r="BT721" s="121">
        <v>42.227249999999998</v>
      </c>
      <c r="BU721" s="121">
        <v>43.673000000000002</v>
      </c>
      <c r="BV721" s="121">
        <v>45.097250000000003</v>
      </c>
      <c r="BW721" s="121">
        <v>46.521500000000003</v>
      </c>
      <c r="BX721" s="121">
        <v>47.926000000000002</v>
      </c>
      <c r="BY721" s="121">
        <v>49.330500000000001</v>
      </c>
      <c r="BZ721" s="121">
        <v>50.754249999999999</v>
      </c>
      <c r="CA721" s="121">
        <v>52.177999999999997</v>
      </c>
      <c r="CB721" s="121">
        <v>53.547250000000005</v>
      </c>
      <c r="CC721" s="121">
        <v>54.916499999999999</v>
      </c>
      <c r="CD721" s="121">
        <v>56.317</v>
      </c>
      <c r="CE721" s="121">
        <v>57.717500000000001</v>
      </c>
      <c r="CF721" s="121">
        <v>59.08325</v>
      </c>
      <c r="CG721" s="121">
        <v>60.448999999999998</v>
      </c>
      <c r="CH721" s="121">
        <v>61.811499999999995</v>
      </c>
      <c r="CI721" s="121">
        <v>63.173999999999992</v>
      </c>
      <c r="CJ721" s="121">
        <v>64.527500000000003</v>
      </c>
      <c r="CK721" s="121">
        <v>65.881</v>
      </c>
      <c r="CL721" s="121">
        <v>67.246750000000006</v>
      </c>
      <c r="CM721" s="121">
        <v>68.612500000000011</v>
      </c>
      <c r="CN721" s="121">
        <v>69.97475</v>
      </c>
      <c r="CO721" s="121">
        <v>71.336999999999989</v>
      </c>
      <c r="CP721" s="121">
        <v>72.660749999999993</v>
      </c>
      <c r="CQ721" s="121">
        <v>73.884999999999991</v>
      </c>
      <c r="CR721" s="160">
        <v>75.337999999999994</v>
      </c>
      <c r="CS721" s="160">
        <f t="array" ref="CS721:CS734">TRANSPOSE(CT720:DG720)</f>
        <v>76.646999999999991</v>
      </c>
      <c r="CT721" s="120">
        <f>(CS721+CU721)/2</f>
        <v>77.992999999999995</v>
      </c>
      <c r="CU721" s="120">
        <f>(CU720+CU722)/2</f>
        <v>79.338999999999999</v>
      </c>
      <c r="CV721" s="120">
        <f>(CU721+CW721)/2</f>
        <v>80.666250000000005</v>
      </c>
      <c r="CW721" s="120">
        <f>(CW720+CW722)/2</f>
        <v>81.993500000000012</v>
      </c>
      <c r="CX721" s="120">
        <f>(CW721+CY721)/2</f>
        <v>83.320750000000004</v>
      </c>
      <c r="CY721" s="120">
        <f>(CY720+CY722)/2</f>
        <v>84.647999999999996</v>
      </c>
      <c r="CZ721" s="120">
        <f>(CY721+DA721)/2</f>
        <v>85.95975</v>
      </c>
      <c r="DA721" s="120">
        <f>(DA720+DA722)/2</f>
        <v>87.271500000000003</v>
      </c>
      <c r="DB721" s="120">
        <f>(DA721+DC721)/2</f>
        <v>88.560249999999996</v>
      </c>
      <c r="DC721" s="120">
        <f>(DC720+DC722)/2</f>
        <v>89.849000000000004</v>
      </c>
      <c r="DD721" s="120">
        <f>(DC721+DE721)/2</f>
        <v>91.172750000000008</v>
      </c>
      <c r="DE721" s="120">
        <f>(DE720+DE722)/2</f>
        <v>92.496499999999997</v>
      </c>
      <c r="DF721" s="120">
        <f>(DE721+DG721)/2</f>
        <v>93.820250000000001</v>
      </c>
      <c r="DG721" s="122">
        <f>(DG720+DG722)/2</f>
        <v>95.144000000000005</v>
      </c>
    </row>
    <row r="722" spans="54:111" ht="15" customHeight="1" x14ac:dyDescent="0.2">
      <c r="BB722" s="28">
        <v>48</v>
      </c>
      <c r="BC722" s="121">
        <v>15.551</v>
      </c>
      <c r="BD722" s="121">
        <v>17.436</v>
      </c>
      <c r="BE722" s="121">
        <v>19.321000000000002</v>
      </c>
      <c r="BF722" s="121">
        <v>21.044</v>
      </c>
      <c r="BG722" s="121">
        <v>22.766999999999999</v>
      </c>
      <c r="BH722" s="121">
        <v>24.421500000000002</v>
      </c>
      <c r="BI722" s="121">
        <v>26.076000000000001</v>
      </c>
      <c r="BJ722" s="121">
        <v>27.691499999999998</v>
      </c>
      <c r="BK722" s="121">
        <v>29.306999999999999</v>
      </c>
      <c r="BL722" s="121">
        <v>30.845500000000001</v>
      </c>
      <c r="BM722" s="121">
        <v>32.384</v>
      </c>
      <c r="BN722" s="121">
        <v>33.922499999999999</v>
      </c>
      <c r="BO722" s="121">
        <v>35.460999999999999</v>
      </c>
      <c r="BP722" s="121">
        <v>36.960999999999999</v>
      </c>
      <c r="BQ722" s="121">
        <v>38.460999999999999</v>
      </c>
      <c r="BR722" s="121">
        <v>39.954000000000001</v>
      </c>
      <c r="BS722" s="121">
        <v>41.447000000000003</v>
      </c>
      <c r="BT722" s="121">
        <v>42.908000000000001</v>
      </c>
      <c r="BU722" s="121">
        <v>44.369</v>
      </c>
      <c r="BV722" s="121">
        <v>45.831000000000003</v>
      </c>
      <c r="BW722" s="121">
        <v>47.292999999999999</v>
      </c>
      <c r="BX722" s="121">
        <v>48.716000000000001</v>
      </c>
      <c r="BY722" s="121">
        <v>50.139000000000003</v>
      </c>
      <c r="BZ722" s="121">
        <v>51.600999999999999</v>
      </c>
      <c r="CA722" s="121">
        <v>53.063000000000002</v>
      </c>
      <c r="CB722" s="121">
        <v>54.447500000000005</v>
      </c>
      <c r="CC722" s="121">
        <v>55.832000000000001</v>
      </c>
      <c r="CD722" s="121">
        <v>57.247500000000002</v>
      </c>
      <c r="CE722" s="121">
        <v>58.662999999999997</v>
      </c>
      <c r="CF722" s="121">
        <v>60.047499999999999</v>
      </c>
      <c r="CG722" s="121">
        <v>61.432000000000002</v>
      </c>
      <c r="CH722" s="121">
        <v>62.816499999999998</v>
      </c>
      <c r="CI722" s="121">
        <v>64.200999999999993</v>
      </c>
      <c r="CJ722" s="121">
        <v>65.585499999999996</v>
      </c>
      <c r="CK722" s="121">
        <v>66.97</v>
      </c>
      <c r="CL722" s="121">
        <v>68.354500000000002</v>
      </c>
      <c r="CM722" s="121">
        <v>69.739000000000004</v>
      </c>
      <c r="CN722" s="121">
        <v>71.123500000000007</v>
      </c>
      <c r="CO722" s="121">
        <v>72.507999999999996</v>
      </c>
      <c r="CP722" s="121">
        <v>73.884999999999991</v>
      </c>
      <c r="CQ722" s="121">
        <v>75.262</v>
      </c>
      <c r="CR722" s="160">
        <v>76.646999999999991</v>
      </c>
      <c r="CS722" s="160">
        <v>78.031999999999996</v>
      </c>
      <c r="CT722" s="121">
        <f t="array" ref="CT722:CT734">TRANSPOSE(CU721:DG721)</f>
        <v>79.338999999999999</v>
      </c>
      <c r="CU722" s="158">
        <v>80.646000000000001</v>
      </c>
      <c r="CV722" s="121">
        <f>CW721</f>
        <v>81.993500000000012</v>
      </c>
      <c r="CW722" s="158">
        <v>83.415000000000006</v>
      </c>
      <c r="CX722" s="121">
        <f>CY721</f>
        <v>84.647999999999996</v>
      </c>
      <c r="CY722" s="158">
        <v>86.03</v>
      </c>
      <c r="CZ722" s="121">
        <f>DA721</f>
        <v>87.271500000000003</v>
      </c>
      <c r="DA722" s="158">
        <v>88.8</v>
      </c>
      <c r="DB722" s="121">
        <f>DC721</f>
        <v>89.849000000000004</v>
      </c>
      <c r="DC722" s="158">
        <v>91.415000000000006</v>
      </c>
      <c r="DD722" s="121">
        <f>DE721</f>
        <v>92.496499999999997</v>
      </c>
      <c r="DE722" s="158">
        <v>94.015000000000001</v>
      </c>
      <c r="DF722" s="121">
        <f>DG721</f>
        <v>95.144000000000005</v>
      </c>
      <c r="DG722" s="159">
        <v>96.784000000000006</v>
      </c>
    </row>
    <row r="723" spans="54:111" ht="15" customHeight="1" x14ac:dyDescent="0.2">
      <c r="BB723" s="28">
        <v>49</v>
      </c>
      <c r="BC723" s="121">
        <v>15.808499999999999</v>
      </c>
      <c r="BD723" s="121">
        <v>17.712250000000001</v>
      </c>
      <c r="BE723" s="121">
        <v>19.616</v>
      </c>
      <c r="BF723" s="121">
        <v>21.361750000000001</v>
      </c>
      <c r="BG723" s="121">
        <v>23.107500000000002</v>
      </c>
      <c r="BH723" s="121">
        <v>24.780250000000002</v>
      </c>
      <c r="BI723" s="121">
        <v>26.452999999999999</v>
      </c>
      <c r="BJ723" s="121">
        <v>28.099499999999999</v>
      </c>
      <c r="BK723" s="121">
        <v>29.745999999999999</v>
      </c>
      <c r="BL723" s="121">
        <v>31.322500000000002</v>
      </c>
      <c r="BM723" s="121">
        <v>32.899000000000001</v>
      </c>
      <c r="BN723" s="121">
        <v>34.456000000000003</v>
      </c>
      <c r="BO723" s="121">
        <v>36.012999999999998</v>
      </c>
      <c r="BP723" s="121">
        <v>37.551000000000002</v>
      </c>
      <c r="BQ723" s="121">
        <v>39.088999999999999</v>
      </c>
      <c r="BR723" s="121">
        <v>40.596999999999994</v>
      </c>
      <c r="BS723" s="121">
        <v>42.105000000000004</v>
      </c>
      <c r="BT723" s="121">
        <v>43.604500000000002</v>
      </c>
      <c r="BU723" s="121">
        <v>45.103999999999999</v>
      </c>
      <c r="BV723" s="121">
        <v>46.584500000000006</v>
      </c>
      <c r="BW723" s="121">
        <v>48.064999999999998</v>
      </c>
      <c r="BX723" s="121">
        <v>49.506749999999997</v>
      </c>
      <c r="BY723" s="121">
        <v>50.948500000000003</v>
      </c>
      <c r="BZ723" s="121">
        <v>52.441000000000003</v>
      </c>
      <c r="CA723" s="121">
        <v>53.933500000000002</v>
      </c>
      <c r="CB723" s="121">
        <v>55.356000000000002</v>
      </c>
      <c r="CC723" s="121">
        <v>56.778500000000001</v>
      </c>
      <c r="CD723" s="121">
        <v>58.197000000000003</v>
      </c>
      <c r="CE723" s="121">
        <v>59.615499999999997</v>
      </c>
      <c r="CF723" s="121">
        <v>61.037999999999997</v>
      </c>
      <c r="CG723" s="121">
        <v>62.460499999999996</v>
      </c>
      <c r="CH723" s="121">
        <v>63.895250000000004</v>
      </c>
      <c r="CI723" s="121">
        <v>65.33</v>
      </c>
      <c r="CJ723" s="121">
        <v>66.733249999999998</v>
      </c>
      <c r="CK723" s="121">
        <v>68.136499999999998</v>
      </c>
      <c r="CL723" s="121">
        <v>69.539500000000004</v>
      </c>
      <c r="CM723" s="121">
        <v>70.942499999999995</v>
      </c>
      <c r="CN723" s="121">
        <v>72.34575000000001</v>
      </c>
      <c r="CO723" s="121">
        <v>73.748999999999995</v>
      </c>
      <c r="CP723" s="121">
        <v>75.122249999999994</v>
      </c>
      <c r="CQ723" s="121">
        <v>76.359499999999997</v>
      </c>
      <c r="CR723" s="160">
        <v>77.898749999999993</v>
      </c>
      <c r="CS723" s="160">
        <v>79.150499999999994</v>
      </c>
      <c r="CT723" s="160">
        <v>80.666250000000005</v>
      </c>
      <c r="CU723" s="160">
        <f t="array" ref="CU723:CU734">TRANSPOSE(CV722:DG722)</f>
        <v>81.993500000000012</v>
      </c>
      <c r="CV723" s="120">
        <f>(CU723+CW723)/2</f>
        <v>83.376750000000015</v>
      </c>
      <c r="CW723" s="120">
        <f>(CW722+CW724)/2</f>
        <v>84.76</v>
      </c>
      <c r="CX723" s="120">
        <f>(CW723+CY723)/2</f>
        <v>86.137</v>
      </c>
      <c r="CY723" s="120">
        <f>(CY722+CY724)/2</f>
        <v>87.51400000000001</v>
      </c>
      <c r="CZ723" s="120">
        <f>(CY723+DA723)/2</f>
        <v>88.879000000000005</v>
      </c>
      <c r="DA723" s="120">
        <f>(DA722+DA724)/2</f>
        <v>90.244</v>
      </c>
      <c r="DB723" s="120">
        <f>(DA723+DC723)/2</f>
        <v>91.608500000000006</v>
      </c>
      <c r="DC723" s="120">
        <f>(DC722+DC724)/2</f>
        <v>92.973000000000013</v>
      </c>
      <c r="DD723" s="120">
        <f>(DC723+DE723)/2</f>
        <v>94.295500000000004</v>
      </c>
      <c r="DE723" s="120">
        <f>(DE722+DE724)/2</f>
        <v>95.617999999999995</v>
      </c>
      <c r="DF723" s="120">
        <f>(DE723+DG723)/2</f>
        <v>97.033500000000004</v>
      </c>
      <c r="DG723" s="122">
        <f>(DG722+DG724)/2</f>
        <v>98.449000000000012</v>
      </c>
    </row>
    <row r="724" spans="54:111" ht="15" customHeight="1" x14ac:dyDescent="0.2">
      <c r="BB724" s="28">
        <v>50</v>
      </c>
      <c r="BC724" s="121">
        <v>16.065999999999999</v>
      </c>
      <c r="BD724" s="121">
        <v>17.988500000000002</v>
      </c>
      <c r="BE724" s="121">
        <v>19.911000000000001</v>
      </c>
      <c r="BF724" s="121">
        <v>21.679500000000001</v>
      </c>
      <c r="BG724" s="121">
        <v>23.448</v>
      </c>
      <c r="BH724" s="121">
        <v>25.138999999999999</v>
      </c>
      <c r="BI724" s="121">
        <v>26.83</v>
      </c>
      <c r="BJ724" s="121">
        <v>28.5075</v>
      </c>
      <c r="BK724" s="121">
        <v>30.184999999999999</v>
      </c>
      <c r="BL724" s="121">
        <v>31.799500000000002</v>
      </c>
      <c r="BM724" s="121">
        <v>33.414000000000001</v>
      </c>
      <c r="BN724" s="121">
        <v>34.9895</v>
      </c>
      <c r="BO724" s="121">
        <v>36.564999999999998</v>
      </c>
      <c r="BP724" s="121">
        <v>38.140999999999998</v>
      </c>
      <c r="BQ724" s="121">
        <v>39.716999999999999</v>
      </c>
      <c r="BR724" s="121">
        <v>41.239999999999995</v>
      </c>
      <c r="BS724" s="121">
        <v>42.762999999999998</v>
      </c>
      <c r="BT724" s="121">
        <v>44.301000000000002</v>
      </c>
      <c r="BU724" s="121">
        <v>45.838999999999999</v>
      </c>
      <c r="BV724" s="121">
        <v>47.338000000000001</v>
      </c>
      <c r="BW724" s="121">
        <v>48.837000000000003</v>
      </c>
      <c r="BX724" s="121">
        <v>50.297499999999999</v>
      </c>
      <c r="BY724" s="121">
        <v>51.758000000000003</v>
      </c>
      <c r="BZ724" s="121">
        <v>53.281000000000006</v>
      </c>
      <c r="CA724" s="121">
        <v>54.804000000000002</v>
      </c>
      <c r="CB724" s="121">
        <v>56.264499999999998</v>
      </c>
      <c r="CC724" s="121">
        <v>57.725000000000001</v>
      </c>
      <c r="CD724" s="121">
        <v>59.146500000000003</v>
      </c>
      <c r="CE724" s="121">
        <v>60.567999999999998</v>
      </c>
      <c r="CF724" s="121">
        <v>62.028499999999994</v>
      </c>
      <c r="CG724" s="121">
        <v>63.488999999999997</v>
      </c>
      <c r="CH724" s="121">
        <v>64.974000000000004</v>
      </c>
      <c r="CI724" s="121">
        <v>66.459000000000003</v>
      </c>
      <c r="CJ724" s="121">
        <v>67.881</v>
      </c>
      <c r="CK724" s="121">
        <v>69.302999999999997</v>
      </c>
      <c r="CL724" s="121">
        <v>70.724500000000006</v>
      </c>
      <c r="CM724" s="121">
        <v>72.146000000000001</v>
      </c>
      <c r="CN724" s="121">
        <v>73.567999999999998</v>
      </c>
      <c r="CO724" s="121">
        <v>74.989999999999995</v>
      </c>
      <c r="CP724" s="121">
        <v>76.359499999999997</v>
      </c>
      <c r="CQ724" s="121">
        <v>77.728999999999999</v>
      </c>
      <c r="CR724" s="160">
        <v>79.150499999999994</v>
      </c>
      <c r="CS724" s="160">
        <v>80.572000000000003</v>
      </c>
      <c r="CT724" s="160">
        <v>81.993500000000012</v>
      </c>
      <c r="CU724" s="160">
        <v>83.415000000000006</v>
      </c>
      <c r="CV724" s="121">
        <f t="array" ref="CV724:CV734">TRANSPOSE(CW723:DG723)</f>
        <v>84.76</v>
      </c>
      <c r="CW724" s="158">
        <v>86.105000000000004</v>
      </c>
      <c r="CX724" s="121">
        <f>CY723</f>
        <v>87.51400000000001</v>
      </c>
      <c r="CY724" s="158">
        <v>88.998000000000005</v>
      </c>
      <c r="CZ724" s="121">
        <f>DA723</f>
        <v>90.244</v>
      </c>
      <c r="DA724" s="158">
        <v>91.688000000000002</v>
      </c>
      <c r="DB724" s="121">
        <f>DC723</f>
        <v>92.973000000000013</v>
      </c>
      <c r="DC724" s="158">
        <v>94.531000000000006</v>
      </c>
      <c r="DD724" s="121">
        <f>DE723</f>
        <v>95.617999999999995</v>
      </c>
      <c r="DE724" s="158">
        <v>97.221000000000004</v>
      </c>
      <c r="DF724" s="121">
        <f>DG723</f>
        <v>98.449000000000012</v>
      </c>
      <c r="DG724" s="159">
        <v>100.114</v>
      </c>
    </row>
    <row r="725" spans="54:111" ht="15" customHeight="1" x14ac:dyDescent="0.2">
      <c r="BB725" s="28">
        <v>51</v>
      </c>
      <c r="BC725" s="121">
        <v>16.299500000000002</v>
      </c>
      <c r="BD725" s="121">
        <v>18.253</v>
      </c>
      <c r="BE725" s="121">
        <v>20.206499999999998</v>
      </c>
      <c r="BF725" s="121">
        <v>21.997325</v>
      </c>
      <c r="BG725" s="121">
        <v>23.788150000000002</v>
      </c>
      <c r="BH725" s="121">
        <v>25.529325</v>
      </c>
      <c r="BI725" s="121">
        <v>27.270499999999998</v>
      </c>
      <c r="BJ725" s="121">
        <v>28.954250000000002</v>
      </c>
      <c r="BK725" s="121">
        <v>30.637999999999998</v>
      </c>
      <c r="BL725" s="121">
        <v>32.283249999999995</v>
      </c>
      <c r="BM725" s="121">
        <v>33.9285</v>
      </c>
      <c r="BN725" s="121">
        <v>35.522750000000002</v>
      </c>
      <c r="BO725" s="121">
        <v>37.116999999999997</v>
      </c>
      <c r="BP725" s="121">
        <v>38.724000000000004</v>
      </c>
      <c r="BQ725" s="121">
        <v>40.331000000000003</v>
      </c>
      <c r="BR725" s="121">
        <v>41.883499999999998</v>
      </c>
      <c r="BS725" s="121">
        <v>43.436</v>
      </c>
      <c r="BT725" s="121">
        <v>44.985500000000002</v>
      </c>
      <c r="BU725" s="121">
        <v>46.534999999999997</v>
      </c>
      <c r="BV725" s="121">
        <v>48.052499999999995</v>
      </c>
      <c r="BW725" s="121">
        <v>49.57</v>
      </c>
      <c r="BX725" s="121">
        <v>51.080749999999995</v>
      </c>
      <c r="BY725" s="121">
        <v>52.591499999999996</v>
      </c>
      <c r="BZ725" s="121">
        <v>54.120750000000001</v>
      </c>
      <c r="CA725" s="121">
        <v>55.650000000000006</v>
      </c>
      <c r="CB725" s="121">
        <v>57.141500000000001</v>
      </c>
      <c r="CC725" s="121">
        <v>58.632999999999996</v>
      </c>
      <c r="CD725" s="121">
        <v>60.096249999999998</v>
      </c>
      <c r="CE725" s="121">
        <v>61.5595</v>
      </c>
      <c r="CF725" s="121">
        <v>63.031500000000001</v>
      </c>
      <c r="CG725" s="121">
        <v>64.503500000000003</v>
      </c>
      <c r="CH725" s="121">
        <v>65.99475000000001</v>
      </c>
      <c r="CI725" s="121">
        <v>67.486000000000004</v>
      </c>
      <c r="CJ725" s="121">
        <v>68.938999999999993</v>
      </c>
      <c r="CK725" s="121">
        <v>70.391999999999996</v>
      </c>
      <c r="CL725" s="121">
        <v>71.831999999999994</v>
      </c>
      <c r="CM725" s="121">
        <v>73.271999999999991</v>
      </c>
      <c r="CN725" s="121">
        <v>74.724999999999994</v>
      </c>
      <c r="CO725" s="121">
        <v>76.177999999999997</v>
      </c>
      <c r="CP725" s="121">
        <v>77.596000000000004</v>
      </c>
      <c r="CQ725" s="121">
        <v>78.83250000000001</v>
      </c>
      <c r="CR725" s="160">
        <v>80.466499999999996</v>
      </c>
      <c r="CS725" s="160">
        <v>81.782499999999999</v>
      </c>
      <c r="CT725" s="160">
        <v>83.320750000000004</v>
      </c>
      <c r="CU725" s="160">
        <v>84.647999999999996</v>
      </c>
      <c r="CV725" s="160">
        <v>86.137</v>
      </c>
      <c r="CW725" s="160">
        <f t="array" ref="CW725:CW734">TRANSPOSE(CX724:DG724)</f>
        <v>87.51400000000001</v>
      </c>
      <c r="CX725" s="120">
        <f>(CW725+CY725)/2</f>
        <v>88.985500000000002</v>
      </c>
      <c r="CY725" s="120">
        <f>(CY724+CY726)/2</f>
        <v>90.456999999999994</v>
      </c>
      <c r="CZ725" s="120">
        <f>(CY725+DA725)/2</f>
        <v>91.832750000000004</v>
      </c>
      <c r="DA725" s="120">
        <f>(DA724+DA726)/2</f>
        <v>93.208500000000001</v>
      </c>
      <c r="DB725" s="120">
        <f>(DA725+DC725)/2</f>
        <v>94.648750000000007</v>
      </c>
      <c r="DC725" s="120">
        <f>(DC724+DC726)/2</f>
        <v>96.088999999999999</v>
      </c>
      <c r="DD725" s="120">
        <f>(DC725+DE725)/2</f>
        <v>97.46875</v>
      </c>
      <c r="DE725" s="120">
        <f>(DE724+DE726)/2</f>
        <v>98.848500000000001</v>
      </c>
      <c r="DF725" s="120">
        <f>(DE725+DG725)/2</f>
        <v>100.26275</v>
      </c>
      <c r="DG725" s="122">
        <f>(DG724+DG726)/2</f>
        <v>101.67699999999999</v>
      </c>
    </row>
    <row r="726" spans="54:111" ht="15" customHeight="1" x14ac:dyDescent="0.2">
      <c r="BB726" s="28">
        <v>52</v>
      </c>
      <c r="BC726" s="121">
        <v>16.533000000000001</v>
      </c>
      <c r="BD726" s="121">
        <v>18.517499999999998</v>
      </c>
      <c r="BE726" s="121">
        <v>20.501999999999999</v>
      </c>
      <c r="BF726" s="121">
        <v>22.315149999999999</v>
      </c>
      <c r="BG726" s="121">
        <v>24.128299999999999</v>
      </c>
      <c r="BH726" s="121">
        <v>25.919649999999997</v>
      </c>
      <c r="BI726" s="121">
        <v>27.710999999999999</v>
      </c>
      <c r="BJ726" s="121">
        <v>29.401</v>
      </c>
      <c r="BK726" s="121">
        <v>31.091000000000001</v>
      </c>
      <c r="BL726" s="121">
        <v>32.766999999999996</v>
      </c>
      <c r="BM726" s="121">
        <v>34.442999999999998</v>
      </c>
      <c r="BN726" s="121">
        <v>36.055999999999997</v>
      </c>
      <c r="BO726" s="121">
        <v>37.668999999999997</v>
      </c>
      <c r="BP726" s="121">
        <v>39.307000000000002</v>
      </c>
      <c r="BQ726" s="121">
        <v>40.945</v>
      </c>
      <c r="BR726" s="121">
        <v>42.527000000000001</v>
      </c>
      <c r="BS726" s="121">
        <v>44.109000000000002</v>
      </c>
      <c r="BT726" s="121">
        <v>45.67</v>
      </c>
      <c r="BU726" s="121">
        <v>47.231000000000002</v>
      </c>
      <c r="BV726" s="121">
        <v>48.766999999999996</v>
      </c>
      <c r="BW726" s="121">
        <v>50.302999999999997</v>
      </c>
      <c r="BX726" s="121">
        <v>51.863999999999997</v>
      </c>
      <c r="BY726" s="121">
        <v>53.424999999999997</v>
      </c>
      <c r="BZ726" s="121">
        <v>54.960499999999996</v>
      </c>
      <c r="CA726" s="121">
        <v>56.496000000000002</v>
      </c>
      <c r="CB726" s="121">
        <v>58.018500000000003</v>
      </c>
      <c r="CC726" s="121">
        <v>59.540999999999997</v>
      </c>
      <c r="CD726" s="121">
        <v>61.045999999999999</v>
      </c>
      <c r="CE726" s="121">
        <v>62.551000000000002</v>
      </c>
      <c r="CF726" s="121">
        <v>64.034500000000008</v>
      </c>
      <c r="CG726" s="121">
        <v>65.518000000000001</v>
      </c>
      <c r="CH726" s="121">
        <v>67.015500000000003</v>
      </c>
      <c r="CI726" s="121">
        <v>68.513000000000005</v>
      </c>
      <c r="CJ726" s="121">
        <v>69.997</v>
      </c>
      <c r="CK726" s="121">
        <v>71.480999999999995</v>
      </c>
      <c r="CL726" s="121">
        <v>72.939499999999995</v>
      </c>
      <c r="CM726" s="121">
        <v>74.397999999999996</v>
      </c>
      <c r="CN726" s="121">
        <v>75.882000000000005</v>
      </c>
      <c r="CO726" s="121">
        <v>77.366</v>
      </c>
      <c r="CP726" s="121">
        <v>78.83250000000001</v>
      </c>
      <c r="CQ726" s="121">
        <v>80.299000000000007</v>
      </c>
      <c r="CR726" s="160">
        <v>81.782499999999999</v>
      </c>
      <c r="CS726" s="160">
        <v>83.266000000000005</v>
      </c>
      <c r="CT726" s="160">
        <v>84.647999999999996</v>
      </c>
      <c r="CU726" s="160">
        <v>86.03</v>
      </c>
      <c r="CV726" s="160">
        <v>87.51400000000001</v>
      </c>
      <c r="CW726" s="160">
        <v>88.998000000000005</v>
      </c>
      <c r="CX726" s="121">
        <f t="array" ref="CX726:CX734">TRANSPOSE(CY725:DG725)</f>
        <v>90.456999999999994</v>
      </c>
      <c r="CY726" s="158">
        <v>91.915999999999997</v>
      </c>
      <c r="CZ726" s="121">
        <f>DA725</f>
        <v>93.208500000000001</v>
      </c>
      <c r="DA726" s="158">
        <v>94.728999999999999</v>
      </c>
      <c r="DB726" s="121">
        <f>DC725</f>
        <v>96.088999999999999</v>
      </c>
      <c r="DC726" s="158">
        <v>97.647000000000006</v>
      </c>
      <c r="DD726" s="121">
        <f>DE725</f>
        <v>98.848500000000001</v>
      </c>
      <c r="DE726" s="158">
        <v>100.476</v>
      </c>
      <c r="DF726" s="121">
        <f>DG725</f>
        <v>101.67699999999999</v>
      </c>
      <c r="DG726" s="159">
        <v>103.24</v>
      </c>
    </row>
    <row r="727" spans="54:111" ht="15" customHeight="1" x14ac:dyDescent="0.2">
      <c r="BB727" s="28">
        <v>53</v>
      </c>
      <c r="BC727" s="121">
        <v>16.759999999999998</v>
      </c>
      <c r="BD727" s="121">
        <v>18.769749999999998</v>
      </c>
      <c r="BE727" s="121">
        <v>20.779499999999999</v>
      </c>
      <c r="BF727" s="121">
        <v>22.619824999999999</v>
      </c>
      <c r="BG727" s="121">
        <v>24.460149999999999</v>
      </c>
      <c r="BH727" s="121">
        <v>26.274075</v>
      </c>
      <c r="BI727" s="121">
        <v>28.088000000000001</v>
      </c>
      <c r="BJ727" s="121">
        <v>29.828249999999997</v>
      </c>
      <c r="BK727" s="121">
        <v>31.5685</v>
      </c>
      <c r="BL727" s="121">
        <v>33.250999999999998</v>
      </c>
      <c r="BM727" s="121">
        <v>34.933499999999995</v>
      </c>
      <c r="BN727" s="121">
        <v>36.581249999999997</v>
      </c>
      <c r="BO727" s="121">
        <v>38.228999999999999</v>
      </c>
      <c r="BP727" s="121">
        <v>39.8855</v>
      </c>
      <c r="BQ727" s="121">
        <v>41.542000000000002</v>
      </c>
      <c r="BR727" s="121">
        <v>43.151499999999999</v>
      </c>
      <c r="BS727" s="121">
        <v>44.760999999999996</v>
      </c>
      <c r="BT727" s="121">
        <v>46.350999999999999</v>
      </c>
      <c r="BU727" s="121">
        <v>47.941000000000003</v>
      </c>
      <c r="BV727" s="121">
        <v>49.507999999999996</v>
      </c>
      <c r="BW727" s="121">
        <v>51.075000000000003</v>
      </c>
      <c r="BX727" s="121">
        <v>52.654250000000005</v>
      </c>
      <c r="BY727" s="121">
        <v>54.233499999999999</v>
      </c>
      <c r="BZ727" s="121">
        <v>55.780999999999999</v>
      </c>
      <c r="CA727" s="121">
        <v>57.328500000000005</v>
      </c>
      <c r="CB727" s="121">
        <v>58.88</v>
      </c>
      <c r="CC727" s="121">
        <v>60.4315</v>
      </c>
      <c r="CD727" s="121">
        <v>61.963750000000005</v>
      </c>
      <c r="CE727" s="121">
        <v>63.496000000000002</v>
      </c>
      <c r="CF727" s="121">
        <v>64.998250000000013</v>
      </c>
      <c r="CG727" s="121">
        <v>66.500500000000002</v>
      </c>
      <c r="CH727" s="121">
        <v>68.032750000000007</v>
      </c>
      <c r="CI727" s="121">
        <v>69.564999999999998</v>
      </c>
      <c r="CJ727" s="121">
        <v>71.055250000000001</v>
      </c>
      <c r="CK727" s="121">
        <v>72.545500000000004</v>
      </c>
      <c r="CL727" s="121">
        <v>74.035249999999991</v>
      </c>
      <c r="CM727" s="121">
        <v>75.525000000000006</v>
      </c>
      <c r="CN727" s="121">
        <v>77.03125</v>
      </c>
      <c r="CO727" s="121">
        <v>78.537499999999994</v>
      </c>
      <c r="CP727" s="121">
        <v>80.03125</v>
      </c>
      <c r="CQ727" s="121">
        <v>81.23</v>
      </c>
      <c r="CR727" s="160">
        <v>83.014749999999992</v>
      </c>
      <c r="CS727" s="160">
        <v>84.247</v>
      </c>
      <c r="CT727" s="160">
        <v>85.95975</v>
      </c>
      <c r="CU727" s="160">
        <v>87.271500000000003</v>
      </c>
      <c r="CV727" s="160">
        <v>88.879000000000005</v>
      </c>
      <c r="CW727" s="160">
        <v>90.244</v>
      </c>
      <c r="CX727" s="160">
        <v>91.832750000000004</v>
      </c>
      <c r="CY727" s="160">
        <f t="array" ref="CY727:CY734">TRANSPOSE(CZ726:DG726)</f>
        <v>93.208500000000001</v>
      </c>
      <c r="CZ727" s="120">
        <f>(CY727+DA727)/2</f>
        <v>94.701250000000002</v>
      </c>
      <c r="DA727" s="120">
        <f>(DA726+DA728)/2</f>
        <v>96.194000000000003</v>
      </c>
      <c r="DB727" s="120">
        <f>(DA727+DC727)/2</f>
        <v>97.683999999999997</v>
      </c>
      <c r="DC727" s="120">
        <f>(DC726+DC728)/2</f>
        <v>99.174000000000007</v>
      </c>
      <c r="DD727" s="120">
        <f>(DC727+DE727)/2</f>
        <v>100.584</v>
      </c>
      <c r="DE727" s="120">
        <f>(DE726+DE728)/2</f>
        <v>101.994</v>
      </c>
      <c r="DF727" s="120">
        <f>(DE727+DG727)/2</f>
        <v>103.44925000000001</v>
      </c>
      <c r="DG727" s="122">
        <f>(DG726+DG728)/2</f>
        <v>104.9045</v>
      </c>
    </row>
    <row r="728" spans="54:111" ht="15" customHeight="1" x14ac:dyDescent="0.2">
      <c r="BB728" s="28">
        <v>54</v>
      </c>
      <c r="BC728" s="121">
        <v>16.986999999999998</v>
      </c>
      <c r="BD728" s="121">
        <v>19.021999999999998</v>
      </c>
      <c r="BE728" s="121">
        <v>21.056999999999999</v>
      </c>
      <c r="BF728" s="121">
        <v>22.924500000000002</v>
      </c>
      <c r="BG728" s="121">
        <v>24.792000000000002</v>
      </c>
      <c r="BH728" s="121">
        <v>26.628500000000003</v>
      </c>
      <c r="BI728" s="121">
        <v>28.465</v>
      </c>
      <c r="BJ728" s="121">
        <v>30.255499999999998</v>
      </c>
      <c r="BK728" s="121">
        <v>32.045999999999999</v>
      </c>
      <c r="BL728" s="121">
        <v>33.734999999999999</v>
      </c>
      <c r="BM728" s="121">
        <v>35.423999999999999</v>
      </c>
      <c r="BN728" s="121">
        <v>37.106499999999997</v>
      </c>
      <c r="BO728" s="121">
        <v>38.789000000000001</v>
      </c>
      <c r="BP728" s="121">
        <v>40.463999999999999</v>
      </c>
      <c r="BQ728" s="121">
        <v>42.139000000000003</v>
      </c>
      <c r="BR728" s="121">
        <v>43.775999999999996</v>
      </c>
      <c r="BS728" s="121">
        <v>45.412999999999997</v>
      </c>
      <c r="BT728" s="121">
        <v>47.031999999999996</v>
      </c>
      <c r="BU728" s="121">
        <v>48.651000000000003</v>
      </c>
      <c r="BV728" s="121">
        <v>50.249000000000002</v>
      </c>
      <c r="BW728" s="121">
        <v>51.847000000000001</v>
      </c>
      <c r="BX728" s="121">
        <v>53.444500000000005</v>
      </c>
      <c r="BY728" s="121">
        <v>55.042000000000002</v>
      </c>
      <c r="BZ728" s="121">
        <v>56.601500000000001</v>
      </c>
      <c r="CA728" s="121">
        <v>58.161000000000001</v>
      </c>
      <c r="CB728" s="121">
        <v>59.741500000000002</v>
      </c>
      <c r="CC728" s="121">
        <v>61.322000000000003</v>
      </c>
      <c r="CD728" s="121">
        <v>62.881500000000003</v>
      </c>
      <c r="CE728" s="121">
        <v>64.441000000000003</v>
      </c>
      <c r="CF728" s="121">
        <v>65.962000000000003</v>
      </c>
      <c r="CG728" s="121">
        <v>67.483000000000004</v>
      </c>
      <c r="CH728" s="121">
        <v>69.050000000000011</v>
      </c>
      <c r="CI728" s="121">
        <v>70.617000000000004</v>
      </c>
      <c r="CJ728" s="121">
        <v>72.113500000000002</v>
      </c>
      <c r="CK728" s="121">
        <v>73.61</v>
      </c>
      <c r="CL728" s="121">
        <v>75.131</v>
      </c>
      <c r="CM728" s="121">
        <v>76.652000000000001</v>
      </c>
      <c r="CN728" s="121">
        <v>78.180499999999995</v>
      </c>
      <c r="CO728" s="121">
        <v>79.709000000000003</v>
      </c>
      <c r="CP728" s="121">
        <v>81.23</v>
      </c>
      <c r="CQ728" s="121">
        <v>82.751000000000005</v>
      </c>
      <c r="CR728" s="160">
        <v>84.247</v>
      </c>
      <c r="CS728" s="160">
        <v>85.742999999999995</v>
      </c>
      <c r="CT728" s="160">
        <v>87.271500000000003</v>
      </c>
      <c r="CU728" s="160">
        <v>88.8</v>
      </c>
      <c r="CV728" s="160">
        <v>90.244</v>
      </c>
      <c r="CW728" s="160">
        <v>91.688000000000002</v>
      </c>
      <c r="CX728" s="160">
        <v>93.208500000000001</v>
      </c>
      <c r="CY728" s="160">
        <v>94.728999999999999</v>
      </c>
      <c r="CZ728" s="121">
        <f t="array" ref="CZ728:CZ734">TRANSPOSE(DA727:DG727)</f>
        <v>96.194000000000003</v>
      </c>
      <c r="DA728" s="158">
        <v>97.659000000000006</v>
      </c>
      <c r="DB728" s="121">
        <f>DC727</f>
        <v>99.174000000000007</v>
      </c>
      <c r="DC728" s="158">
        <v>100.70099999999999</v>
      </c>
      <c r="DD728" s="121">
        <f>DE727</f>
        <v>101.994</v>
      </c>
      <c r="DE728" s="158">
        <v>103.512</v>
      </c>
      <c r="DF728" s="121">
        <f>DG727</f>
        <v>104.9045</v>
      </c>
      <c r="DG728" s="159">
        <v>106.569</v>
      </c>
    </row>
    <row r="729" spans="54:111" ht="15" customHeight="1" x14ac:dyDescent="0.2">
      <c r="BB729" s="28">
        <v>55</v>
      </c>
      <c r="BC729" s="121">
        <v>17.220500000000001</v>
      </c>
      <c r="BD729" s="121">
        <v>19.267250000000001</v>
      </c>
      <c r="BE729" s="121">
        <v>21.314</v>
      </c>
      <c r="BF729" s="121">
        <v>23.242250000000002</v>
      </c>
      <c r="BG729" s="121">
        <v>25.170500000000001</v>
      </c>
      <c r="BH729" s="121">
        <v>27.021750000000001</v>
      </c>
      <c r="BI729" s="121">
        <v>28.872999999999998</v>
      </c>
      <c r="BJ729" s="121">
        <v>30.66675</v>
      </c>
      <c r="BK729" s="121">
        <v>32.460499999999996</v>
      </c>
      <c r="BL729" s="121">
        <v>34.1995</v>
      </c>
      <c r="BM729" s="121">
        <v>35.938500000000005</v>
      </c>
      <c r="BN729" s="121">
        <v>37.639749999999999</v>
      </c>
      <c r="BO729" s="121">
        <v>39.341000000000001</v>
      </c>
      <c r="BP729" s="121">
        <v>41.03425</v>
      </c>
      <c r="BQ729" s="121">
        <v>42.727500000000006</v>
      </c>
      <c r="BR729" s="121">
        <v>44.387</v>
      </c>
      <c r="BS729" s="121">
        <v>46.046499999999995</v>
      </c>
      <c r="BT729" s="121">
        <v>47.692749999999997</v>
      </c>
      <c r="BU729" s="121">
        <v>49.338999999999999</v>
      </c>
      <c r="BV729" s="121">
        <v>50.978750000000005</v>
      </c>
      <c r="BW729" s="121">
        <v>52.618499999999997</v>
      </c>
      <c r="BX729" s="121">
        <v>54.234750000000005</v>
      </c>
      <c r="BY729" s="121">
        <v>55.850999999999999</v>
      </c>
      <c r="BZ729" s="121">
        <v>57.433</v>
      </c>
      <c r="CA729" s="121">
        <v>59.015000000000001</v>
      </c>
      <c r="CB729" s="121">
        <v>60.622500000000002</v>
      </c>
      <c r="CC729" s="121">
        <v>62.230000000000004</v>
      </c>
      <c r="CD729" s="121">
        <v>63.811999999999998</v>
      </c>
      <c r="CE729" s="121">
        <v>65.394000000000005</v>
      </c>
      <c r="CF729" s="121">
        <v>66.952750000000009</v>
      </c>
      <c r="CG729" s="121">
        <v>68.511500000000012</v>
      </c>
      <c r="CH729" s="121">
        <v>70.078000000000003</v>
      </c>
      <c r="CI729" s="121">
        <v>71.644499999999994</v>
      </c>
      <c r="CJ729" s="121">
        <v>73.171750000000003</v>
      </c>
      <c r="CK729" s="121">
        <v>74.698999999999998</v>
      </c>
      <c r="CL729" s="121">
        <v>76.242500000000007</v>
      </c>
      <c r="CM729" s="121">
        <v>77.786000000000001</v>
      </c>
      <c r="CN729" s="121">
        <v>79.328999999999994</v>
      </c>
      <c r="CO729" s="121">
        <v>80.872</v>
      </c>
      <c r="CP729" s="121">
        <v>82.415500000000009</v>
      </c>
      <c r="CQ729" s="121">
        <v>83.600999999999999</v>
      </c>
      <c r="CR729" s="160">
        <v>85.48599999999999</v>
      </c>
      <c r="CS729" s="160">
        <v>86.724999999999994</v>
      </c>
      <c r="CT729" s="160">
        <v>88.560249999999996</v>
      </c>
      <c r="CU729" s="160">
        <v>89.849000000000004</v>
      </c>
      <c r="CV729" s="160">
        <v>91.608500000000006</v>
      </c>
      <c r="CW729" s="160">
        <v>92.973000000000013</v>
      </c>
      <c r="CX729" s="160">
        <v>94.648750000000007</v>
      </c>
      <c r="CY729" s="160">
        <v>96.088999999999999</v>
      </c>
      <c r="CZ729" s="160">
        <v>97.683999999999997</v>
      </c>
      <c r="DA729" s="160">
        <f t="array" ref="DA729:DA734">TRANSPOSE(DB728:DG728)</f>
        <v>99.174000000000007</v>
      </c>
      <c r="DB729" s="120">
        <f>(DA729+DC729)/2</f>
        <v>100.71675</v>
      </c>
      <c r="DC729" s="120">
        <f>(DC728+DC730)/2</f>
        <v>102.2595</v>
      </c>
      <c r="DD729" s="120">
        <f>(DC729+DE729)/2</f>
        <v>103.68725000000001</v>
      </c>
      <c r="DE729" s="120">
        <f>(DE728+DE730)/2</f>
        <v>105.11500000000001</v>
      </c>
      <c r="DF729" s="120">
        <f>(DE729+DG729)/2</f>
        <v>106.65875</v>
      </c>
      <c r="DG729" s="122">
        <f>(DG728+DG730)/2</f>
        <v>108.2025</v>
      </c>
    </row>
    <row r="730" spans="54:111" ht="15" customHeight="1" x14ac:dyDescent="0.2">
      <c r="BB730" s="28">
        <v>56</v>
      </c>
      <c r="BC730" s="121">
        <v>17.454000000000001</v>
      </c>
      <c r="BD730" s="121">
        <v>19.512500000000003</v>
      </c>
      <c r="BE730" s="121">
        <v>21.571000000000002</v>
      </c>
      <c r="BF730" s="121">
        <v>23.560000000000002</v>
      </c>
      <c r="BG730" s="121">
        <v>25.548999999999999</v>
      </c>
      <c r="BH730" s="121">
        <v>27.414999999999999</v>
      </c>
      <c r="BI730" s="121">
        <v>29.280999999999999</v>
      </c>
      <c r="BJ730" s="121">
        <v>31.077999999999999</v>
      </c>
      <c r="BK730" s="121">
        <v>32.875</v>
      </c>
      <c r="BL730" s="121">
        <v>34.664000000000001</v>
      </c>
      <c r="BM730" s="121">
        <v>36.453000000000003</v>
      </c>
      <c r="BN730" s="121">
        <v>38.173000000000002</v>
      </c>
      <c r="BO730" s="121">
        <v>39.893000000000001</v>
      </c>
      <c r="BP730" s="121">
        <v>41.604500000000002</v>
      </c>
      <c r="BQ730" s="121">
        <v>43.316000000000003</v>
      </c>
      <c r="BR730" s="121">
        <v>44.998000000000005</v>
      </c>
      <c r="BS730" s="121">
        <v>46.68</v>
      </c>
      <c r="BT730" s="121">
        <v>48.353499999999997</v>
      </c>
      <c r="BU730" s="121">
        <v>50.027000000000001</v>
      </c>
      <c r="BV730" s="121">
        <v>51.708500000000001</v>
      </c>
      <c r="BW730" s="121">
        <v>53.39</v>
      </c>
      <c r="BX730" s="121">
        <v>55.024999999999999</v>
      </c>
      <c r="BY730" s="121">
        <v>56.66</v>
      </c>
      <c r="BZ730" s="121">
        <v>58.264499999999998</v>
      </c>
      <c r="CA730" s="121">
        <v>59.869</v>
      </c>
      <c r="CB730" s="121">
        <v>61.503500000000003</v>
      </c>
      <c r="CC730" s="121">
        <v>63.137999999999998</v>
      </c>
      <c r="CD730" s="121">
        <v>64.742499999999993</v>
      </c>
      <c r="CE730" s="121">
        <v>66.346999999999994</v>
      </c>
      <c r="CF730" s="121">
        <v>67.9435</v>
      </c>
      <c r="CG730" s="121">
        <v>69.540000000000006</v>
      </c>
      <c r="CH730" s="121">
        <v>71.105999999999995</v>
      </c>
      <c r="CI730" s="121">
        <v>72.671999999999997</v>
      </c>
      <c r="CJ730" s="121">
        <v>74.22999999999999</v>
      </c>
      <c r="CK730" s="121">
        <v>75.787999999999997</v>
      </c>
      <c r="CL730" s="121">
        <v>77.353999999999999</v>
      </c>
      <c r="CM730" s="121">
        <v>78.92</v>
      </c>
      <c r="CN730" s="121">
        <v>80.477499999999992</v>
      </c>
      <c r="CO730" s="121">
        <v>82.034999999999997</v>
      </c>
      <c r="CP730" s="121">
        <v>83.600999999999999</v>
      </c>
      <c r="CQ730" s="121">
        <v>85.167000000000002</v>
      </c>
      <c r="CR730" s="160">
        <v>86.724999999999994</v>
      </c>
      <c r="CS730" s="160">
        <v>88.283000000000001</v>
      </c>
      <c r="CT730" s="160">
        <v>89.849000000000004</v>
      </c>
      <c r="CU730" s="160">
        <v>91.415000000000006</v>
      </c>
      <c r="CV730" s="160">
        <v>92.973000000000013</v>
      </c>
      <c r="CW730" s="160">
        <v>94.531000000000006</v>
      </c>
      <c r="CX730" s="160">
        <v>96.088999999999999</v>
      </c>
      <c r="CY730" s="160">
        <v>97.647000000000006</v>
      </c>
      <c r="CZ730" s="160">
        <v>99.174000000000007</v>
      </c>
      <c r="DA730" s="160">
        <v>100.70099999999999</v>
      </c>
      <c r="DB730" s="121">
        <f t="array" ref="DB730:DB734">TRANSPOSE(DC729:DG729)</f>
        <v>102.2595</v>
      </c>
      <c r="DC730" s="158">
        <v>103.818</v>
      </c>
      <c r="DD730" s="121">
        <f>DE729</f>
        <v>105.11500000000001</v>
      </c>
      <c r="DE730" s="158">
        <v>106.718</v>
      </c>
      <c r="DF730" s="121">
        <f>DG729</f>
        <v>108.2025</v>
      </c>
      <c r="DG730" s="159">
        <v>109.836</v>
      </c>
    </row>
    <row r="731" spans="54:111" ht="15" customHeight="1" x14ac:dyDescent="0.2">
      <c r="BB731" s="28">
        <v>57</v>
      </c>
      <c r="BC731" s="121">
        <v>17.712</v>
      </c>
      <c r="BD731" s="121">
        <v>19.792999999999999</v>
      </c>
      <c r="BE731" s="121">
        <v>21.874000000000002</v>
      </c>
      <c r="BF731" s="121">
        <v>23.88175</v>
      </c>
      <c r="BG731" s="121">
        <v>25.889499999999998</v>
      </c>
      <c r="BH731" s="121">
        <v>27.774000000000001</v>
      </c>
      <c r="BI731" s="121">
        <v>29.6585</v>
      </c>
      <c r="BJ731" s="121">
        <v>31.505499999999998</v>
      </c>
      <c r="BK731" s="121">
        <v>33.352499999999999</v>
      </c>
      <c r="BL731" s="121">
        <v>35.140999999999998</v>
      </c>
      <c r="BM731" s="121">
        <v>36.929500000000004</v>
      </c>
      <c r="BN731" s="121">
        <v>38.687249999999999</v>
      </c>
      <c r="BO731" s="121">
        <v>40.445</v>
      </c>
      <c r="BP731" s="121">
        <v>42.179000000000002</v>
      </c>
      <c r="BQ731" s="121">
        <v>43.912999999999997</v>
      </c>
      <c r="BR731" s="121">
        <v>45.641500000000001</v>
      </c>
      <c r="BS731" s="121">
        <v>47.370000000000005</v>
      </c>
      <c r="BT731" s="121">
        <v>49.066000000000003</v>
      </c>
      <c r="BU731" s="121">
        <v>50.762</v>
      </c>
      <c r="BV731" s="121">
        <v>52.442500000000003</v>
      </c>
      <c r="BW731" s="121">
        <v>54.123000000000005</v>
      </c>
      <c r="BX731" s="121">
        <v>55.77675</v>
      </c>
      <c r="BY731" s="121">
        <v>57.430499999999995</v>
      </c>
      <c r="BZ731" s="121">
        <v>59.085000000000001</v>
      </c>
      <c r="CA731" s="121">
        <v>60.7395</v>
      </c>
      <c r="CB731" s="121">
        <v>62.377750000000006</v>
      </c>
      <c r="CC731" s="121">
        <v>64.016000000000005</v>
      </c>
      <c r="CD731" s="121">
        <v>65.653999999999996</v>
      </c>
      <c r="CE731" s="121">
        <v>67.292000000000002</v>
      </c>
      <c r="CF731" s="121">
        <v>68.911249999999995</v>
      </c>
      <c r="CG731" s="121">
        <v>70.530500000000004</v>
      </c>
      <c r="CH731" s="121">
        <v>72.127250000000004</v>
      </c>
      <c r="CI731" s="121">
        <v>73.72399999999999</v>
      </c>
      <c r="CJ731" s="121">
        <v>75.3005</v>
      </c>
      <c r="CK731" s="121">
        <v>76.876999999999995</v>
      </c>
      <c r="CL731" s="121">
        <v>78.5</v>
      </c>
      <c r="CM731" s="121">
        <v>80.12299999999999</v>
      </c>
      <c r="CN731" s="121">
        <v>81.6995</v>
      </c>
      <c r="CO731" s="121">
        <v>83.275999999999996</v>
      </c>
      <c r="CP731" s="121">
        <v>84.87299999999999</v>
      </c>
      <c r="CQ731" s="121">
        <v>86.144999999999996</v>
      </c>
      <c r="CR731" s="160">
        <v>88.050249999999991</v>
      </c>
      <c r="CS731" s="160">
        <v>89.375499999999988</v>
      </c>
      <c r="CT731" s="160">
        <v>91.172750000000008</v>
      </c>
      <c r="CU731" s="160">
        <v>92.496499999999997</v>
      </c>
      <c r="CV731" s="160">
        <v>94.295500000000004</v>
      </c>
      <c r="CW731" s="160">
        <v>95.617999999999995</v>
      </c>
      <c r="CX731" s="160">
        <v>97.46875</v>
      </c>
      <c r="CY731" s="160">
        <v>98.848500000000001</v>
      </c>
      <c r="CZ731" s="160">
        <v>100.584</v>
      </c>
      <c r="DA731" s="160">
        <v>101.994</v>
      </c>
      <c r="DB731" s="160">
        <v>103.68725000000001</v>
      </c>
      <c r="DC731" s="160">
        <f t="array" ref="DC731:DC734">TRANSPOSE(DD730:DG730)</f>
        <v>105.11500000000001</v>
      </c>
      <c r="DD731" s="120">
        <f>(DC731+DE731)/2</f>
        <v>106.71825000000001</v>
      </c>
      <c r="DE731" s="120">
        <f>(DE730+DE732)/2</f>
        <v>108.3215</v>
      </c>
      <c r="DF731" s="120">
        <f>(DE731+DG731)/2</f>
        <v>109.911</v>
      </c>
      <c r="DG731" s="122">
        <f>(DG730+DG732)/2</f>
        <v>111.5005</v>
      </c>
    </row>
    <row r="732" spans="54:111" ht="15" customHeight="1" x14ac:dyDescent="0.2">
      <c r="BB732" s="28">
        <v>58</v>
      </c>
      <c r="BC732" s="121">
        <v>17.97</v>
      </c>
      <c r="BD732" s="121">
        <v>20.073499999999999</v>
      </c>
      <c r="BE732" s="121">
        <v>22.177</v>
      </c>
      <c r="BF732" s="121">
        <v>24.203499999999998</v>
      </c>
      <c r="BG732" s="121">
        <v>26.23</v>
      </c>
      <c r="BH732" s="121">
        <v>28.133000000000003</v>
      </c>
      <c r="BI732" s="121">
        <v>30.036000000000001</v>
      </c>
      <c r="BJ732" s="121">
        <v>31.933</v>
      </c>
      <c r="BK732" s="121">
        <v>33.83</v>
      </c>
      <c r="BL732" s="121">
        <v>35.617999999999995</v>
      </c>
      <c r="BM732" s="121">
        <v>37.405999999999999</v>
      </c>
      <c r="BN732" s="121">
        <v>39.201499999999996</v>
      </c>
      <c r="BO732" s="121">
        <v>40.997</v>
      </c>
      <c r="BP732" s="121">
        <v>42.753500000000003</v>
      </c>
      <c r="BQ732" s="121">
        <v>44.51</v>
      </c>
      <c r="BR732" s="121">
        <v>46.284999999999997</v>
      </c>
      <c r="BS732" s="121">
        <v>48.06</v>
      </c>
      <c r="BT732" s="121">
        <v>49.778500000000001</v>
      </c>
      <c r="BU732" s="121">
        <v>51.497</v>
      </c>
      <c r="BV732" s="121">
        <v>53.176500000000004</v>
      </c>
      <c r="BW732" s="121">
        <v>54.856000000000002</v>
      </c>
      <c r="BX732" s="121">
        <v>56.528500000000001</v>
      </c>
      <c r="BY732" s="121">
        <v>58.201000000000001</v>
      </c>
      <c r="BZ732" s="121">
        <v>59.905500000000004</v>
      </c>
      <c r="CA732" s="121">
        <v>61.61</v>
      </c>
      <c r="CB732" s="121">
        <v>63.252000000000002</v>
      </c>
      <c r="CC732" s="121">
        <v>64.894000000000005</v>
      </c>
      <c r="CD732" s="121">
        <v>66.5655</v>
      </c>
      <c r="CE732" s="121">
        <v>68.236999999999995</v>
      </c>
      <c r="CF732" s="121">
        <v>69.878999999999991</v>
      </c>
      <c r="CG732" s="121">
        <v>71.521000000000001</v>
      </c>
      <c r="CH732" s="121">
        <v>73.148499999999999</v>
      </c>
      <c r="CI732" s="121">
        <v>74.775999999999996</v>
      </c>
      <c r="CJ732" s="121">
        <v>76.370999999999995</v>
      </c>
      <c r="CK732" s="121">
        <v>77.965999999999994</v>
      </c>
      <c r="CL732" s="121">
        <v>79.645999999999987</v>
      </c>
      <c r="CM732" s="121">
        <v>81.325999999999993</v>
      </c>
      <c r="CN732" s="121">
        <v>82.921499999999995</v>
      </c>
      <c r="CO732" s="121">
        <v>84.516999999999996</v>
      </c>
      <c r="CP732" s="121">
        <v>86.144999999999996</v>
      </c>
      <c r="CQ732" s="121">
        <v>87.772999999999996</v>
      </c>
      <c r="CR732" s="160">
        <v>89.375499999999988</v>
      </c>
      <c r="CS732" s="160">
        <v>90.977999999999994</v>
      </c>
      <c r="CT732" s="160">
        <v>92.496499999999997</v>
      </c>
      <c r="CU732" s="160">
        <v>94.015000000000001</v>
      </c>
      <c r="CV732" s="160">
        <v>95.617999999999995</v>
      </c>
      <c r="CW732" s="160">
        <v>97.221000000000004</v>
      </c>
      <c r="CX732" s="160">
        <v>98.848500000000001</v>
      </c>
      <c r="CY732" s="160">
        <v>100.476</v>
      </c>
      <c r="CZ732" s="160">
        <v>101.994</v>
      </c>
      <c r="DA732" s="160">
        <v>103.512</v>
      </c>
      <c r="DB732" s="160">
        <v>105.11500000000001</v>
      </c>
      <c r="DC732" s="160">
        <v>106.718</v>
      </c>
      <c r="DD732" s="121">
        <f t="array" ref="DD732:DD734">TRANSPOSE(DE731:DG731)</f>
        <v>108.3215</v>
      </c>
      <c r="DE732" s="158">
        <v>109.925</v>
      </c>
      <c r="DF732" s="121">
        <f>DG731</f>
        <v>111.5005</v>
      </c>
      <c r="DG732" s="159">
        <v>113.16500000000001</v>
      </c>
    </row>
    <row r="733" spans="54:111" ht="15" customHeight="1" x14ac:dyDescent="0.2">
      <c r="BB733" s="28">
        <v>59</v>
      </c>
      <c r="BC733" s="121">
        <v>18.172499999999999</v>
      </c>
      <c r="BD733" s="121">
        <v>20.322249999999997</v>
      </c>
      <c r="BE733" s="121">
        <v>22.472000000000001</v>
      </c>
      <c r="BF733" s="121">
        <v>24.516999999999999</v>
      </c>
      <c r="BG733" s="121">
        <v>26.561999999999998</v>
      </c>
      <c r="BH733" s="121">
        <v>28.5</v>
      </c>
      <c r="BI733" s="121">
        <v>30.438000000000002</v>
      </c>
      <c r="BJ733" s="121">
        <v>32.341250000000002</v>
      </c>
      <c r="BK733" s="121">
        <v>34.244500000000002</v>
      </c>
      <c r="BL733" s="121">
        <v>36.086500000000001</v>
      </c>
      <c r="BM733" s="121">
        <v>37.9285</v>
      </c>
      <c r="BN733" s="121">
        <v>39.738749999999996</v>
      </c>
      <c r="BO733" s="121">
        <v>41.548999999999999</v>
      </c>
      <c r="BP733" s="121">
        <v>43.337000000000003</v>
      </c>
      <c r="BQ733" s="121">
        <v>45.125</v>
      </c>
      <c r="BR733" s="121">
        <v>46.909500000000001</v>
      </c>
      <c r="BS733" s="121">
        <v>48.694000000000003</v>
      </c>
      <c r="BT733" s="121">
        <v>50.443250000000006</v>
      </c>
      <c r="BU733" s="121">
        <v>52.192499999999995</v>
      </c>
      <c r="BV733" s="121">
        <v>53.891000000000005</v>
      </c>
      <c r="BW733" s="121">
        <v>55.589500000000001</v>
      </c>
      <c r="BX733" s="121">
        <v>57.311999999999998</v>
      </c>
      <c r="BY733" s="121">
        <v>59.034500000000001</v>
      </c>
      <c r="BZ733" s="121">
        <v>60.745249999999999</v>
      </c>
      <c r="CA733" s="121">
        <v>62.456000000000003</v>
      </c>
      <c r="CB733" s="121">
        <v>64.129000000000005</v>
      </c>
      <c r="CC733" s="121">
        <v>65.801999999999992</v>
      </c>
      <c r="CD733" s="121">
        <v>67.47675000000001</v>
      </c>
      <c r="CE733" s="121">
        <v>69.151499999999999</v>
      </c>
      <c r="CF733" s="121">
        <v>70.843499999999992</v>
      </c>
      <c r="CG733" s="121">
        <v>72.535499999999999</v>
      </c>
      <c r="CH733" s="121">
        <v>74.165750000000003</v>
      </c>
      <c r="CI733" s="121">
        <v>75.795999999999992</v>
      </c>
      <c r="CJ733" s="121">
        <v>77.464249999999993</v>
      </c>
      <c r="CK733" s="121">
        <v>79.132499999999993</v>
      </c>
      <c r="CL733" s="121">
        <v>80.79249999999999</v>
      </c>
      <c r="CM733" s="121">
        <v>82.452499999999986</v>
      </c>
      <c r="CN733" s="121">
        <v>84.082499999999996</v>
      </c>
      <c r="CO733" s="121">
        <v>85.712500000000006</v>
      </c>
      <c r="CP733" s="121">
        <v>87.346749999999986</v>
      </c>
      <c r="CQ733" s="121">
        <v>88.54849999999999</v>
      </c>
      <c r="CR733" s="160">
        <v>90.61099999999999</v>
      </c>
      <c r="CS733" s="160">
        <v>91.846499999999992</v>
      </c>
      <c r="CT733" s="160">
        <v>93.820250000000001</v>
      </c>
      <c r="CU733" s="160">
        <v>95.144000000000005</v>
      </c>
      <c r="CV733" s="160">
        <v>97.033500000000004</v>
      </c>
      <c r="CW733" s="160">
        <v>98.449000000000012</v>
      </c>
      <c r="CX733" s="160">
        <v>100.26275</v>
      </c>
      <c r="CY733" s="160">
        <v>101.67699999999999</v>
      </c>
      <c r="CZ733" s="160">
        <v>103.44925000000001</v>
      </c>
      <c r="DA733" s="160">
        <v>104.9045</v>
      </c>
      <c r="DB733" s="160">
        <v>106.65875</v>
      </c>
      <c r="DC733" s="160">
        <v>108.2025</v>
      </c>
      <c r="DD733" s="160">
        <v>109.911</v>
      </c>
      <c r="DE733" s="160">
        <f t="array" ref="DE733:DE734">TRANSPOSE(DF732:DG732)</f>
        <v>111.5005</v>
      </c>
      <c r="DF733" s="120">
        <f>(DE733+DG733)/2</f>
        <v>113.09524999999999</v>
      </c>
      <c r="DG733" s="122">
        <f>(DG732+DG734)/2</f>
        <v>114.69</v>
      </c>
    </row>
    <row r="734" spans="54:111" ht="15" customHeight="1" thickBot="1" x14ac:dyDescent="0.25">
      <c r="BB734" s="149">
        <v>60</v>
      </c>
      <c r="BC734" s="123">
        <v>18.375</v>
      </c>
      <c r="BD734" s="123">
        <v>20.570999999999998</v>
      </c>
      <c r="BE734" s="123">
        <v>22.766999999999999</v>
      </c>
      <c r="BF734" s="123">
        <v>24.830500000000001</v>
      </c>
      <c r="BG734" s="123">
        <v>26.893999999999998</v>
      </c>
      <c r="BH734" s="123">
        <v>28.866999999999997</v>
      </c>
      <c r="BI734" s="123">
        <v>30.84</v>
      </c>
      <c r="BJ734" s="123">
        <v>32.749499999999998</v>
      </c>
      <c r="BK734" s="123">
        <v>34.658999999999999</v>
      </c>
      <c r="BL734" s="123">
        <v>36.555</v>
      </c>
      <c r="BM734" s="123">
        <v>38.451000000000001</v>
      </c>
      <c r="BN734" s="123">
        <v>40.275999999999996</v>
      </c>
      <c r="BO734" s="123">
        <v>42.100999999999999</v>
      </c>
      <c r="BP734" s="123">
        <v>43.920500000000004</v>
      </c>
      <c r="BQ734" s="123">
        <v>45.74</v>
      </c>
      <c r="BR734" s="123">
        <v>47.534000000000006</v>
      </c>
      <c r="BS734" s="123">
        <v>49.328000000000003</v>
      </c>
      <c r="BT734" s="123">
        <v>51.108000000000004</v>
      </c>
      <c r="BU734" s="123">
        <v>52.887999999999998</v>
      </c>
      <c r="BV734" s="123">
        <v>54.605499999999999</v>
      </c>
      <c r="BW734" s="123">
        <v>56.323</v>
      </c>
      <c r="BX734" s="123">
        <v>58.095500000000001</v>
      </c>
      <c r="BY734" s="123">
        <v>59.868000000000002</v>
      </c>
      <c r="BZ734" s="123">
        <v>61.585000000000001</v>
      </c>
      <c r="CA734" s="123">
        <v>63.302</v>
      </c>
      <c r="CB734" s="123">
        <v>65.006</v>
      </c>
      <c r="CC734" s="123">
        <v>66.709999999999994</v>
      </c>
      <c r="CD734" s="123">
        <v>68.388000000000005</v>
      </c>
      <c r="CE734" s="123">
        <v>70.066000000000003</v>
      </c>
      <c r="CF734" s="123">
        <v>71.807999999999993</v>
      </c>
      <c r="CG734" s="123">
        <v>73.55</v>
      </c>
      <c r="CH734" s="123">
        <v>75.182999999999993</v>
      </c>
      <c r="CI734" s="123">
        <v>76.816000000000003</v>
      </c>
      <c r="CJ734" s="123">
        <v>78.557500000000005</v>
      </c>
      <c r="CK734" s="123">
        <v>80.299000000000007</v>
      </c>
      <c r="CL734" s="123">
        <v>81.938999999999993</v>
      </c>
      <c r="CM734" s="123">
        <v>83.578999999999994</v>
      </c>
      <c r="CN734" s="123">
        <v>85.243499999999997</v>
      </c>
      <c r="CO734" s="123">
        <v>86.908000000000001</v>
      </c>
      <c r="CP734" s="123">
        <v>88.54849999999999</v>
      </c>
      <c r="CQ734" s="123">
        <v>90.188999999999993</v>
      </c>
      <c r="CR734" s="161">
        <v>91.846499999999992</v>
      </c>
      <c r="CS734" s="161">
        <v>93.504000000000005</v>
      </c>
      <c r="CT734" s="161">
        <v>95.144000000000005</v>
      </c>
      <c r="CU734" s="161">
        <v>96.784000000000006</v>
      </c>
      <c r="CV734" s="161">
        <v>98.449000000000012</v>
      </c>
      <c r="CW734" s="161">
        <v>100.114</v>
      </c>
      <c r="CX734" s="161">
        <v>101.67699999999999</v>
      </c>
      <c r="CY734" s="161">
        <v>103.24</v>
      </c>
      <c r="CZ734" s="161">
        <v>104.9045</v>
      </c>
      <c r="DA734" s="161">
        <v>106.569</v>
      </c>
      <c r="DB734" s="161">
        <v>108.2025</v>
      </c>
      <c r="DC734" s="161">
        <v>109.836</v>
      </c>
      <c r="DD734" s="161">
        <v>111.5005</v>
      </c>
      <c r="DE734" s="161">
        <v>113.16500000000001</v>
      </c>
      <c r="DF734" s="151">
        <f>DG733</f>
        <v>114.69</v>
      </c>
      <c r="DG734" s="162">
        <v>116.215</v>
      </c>
    </row>
    <row r="735" spans="54:111" ht="15" customHeight="1" thickBot="1" x14ac:dyDescent="0.25">
      <c r="BB735" s="25"/>
      <c r="BC735" s="25"/>
      <c r="BD735" s="25"/>
      <c r="BE735" s="25"/>
      <c r="BF735" s="25"/>
      <c r="BG735" s="25"/>
      <c r="BH735" s="25"/>
      <c r="BI735" s="25"/>
      <c r="BJ735" s="25"/>
      <c r="BK735" s="25"/>
      <c r="BL735" s="25"/>
      <c r="BM735" s="25"/>
      <c r="BN735" s="25"/>
      <c r="BO735" s="25"/>
      <c r="BP735" s="25"/>
      <c r="BQ735" s="25"/>
      <c r="BR735" s="25"/>
      <c r="BS735" s="25"/>
      <c r="BT735" s="25"/>
      <c r="BU735" s="25"/>
      <c r="BV735" s="25"/>
      <c r="BW735" s="25"/>
      <c r="BX735" s="25"/>
      <c r="BY735" s="25"/>
      <c r="BZ735" s="25"/>
      <c r="CA735" s="25"/>
      <c r="CB735" s="25"/>
      <c r="CC735" s="25"/>
      <c r="CD735" s="25"/>
      <c r="CE735" s="25"/>
      <c r="CF735" s="25"/>
      <c r="CG735" s="25"/>
      <c r="CH735" s="25"/>
      <c r="CI735" s="25"/>
      <c r="CJ735" s="25"/>
      <c r="CK735" s="25"/>
      <c r="CL735" s="25"/>
      <c r="CM735" s="25"/>
      <c r="CN735" s="25"/>
      <c r="CO735" s="25"/>
      <c r="CP735" s="25"/>
      <c r="CQ735" s="25"/>
    </row>
    <row r="736" spans="54:111" ht="15" customHeight="1" thickBot="1" x14ac:dyDescent="0.3">
      <c r="BB736" s="1841" t="s">
        <v>306</v>
      </c>
      <c r="BC736" s="1842"/>
      <c r="BD736" s="1842"/>
      <c r="BE736" s="1842"/>
      <c r="BF736" s="1842"/>
      <c r="BG736" s="1842"/>
      <c r="BH736" s="1842"/>
      <c r="BI736" s="1842"/>
      <c r="BJ736" s="1842"/>
      <c r="BK736" s="1842"/>
      <c r="BL736" s="1842"/>
      <c r="BM736" s="1842"/>
      <c r="BN736" s="1842"/>
      <c r="BO736" s="1842"/>
      <c r="BP736" s="1842"/>
      <c r="BQ736" s="1842"/>
      <c r="BR736" s="1842"/>
      <c r="BS736" s="1842"/>
      <c r="BT736" s="1842"/>
      <c r="BU736" s="1842"/>
      <c r="BV736" s="1842"/>
      <c r="BW736" s="1842"/>
      <c r="BX736" s="1842"/>
      <c r="BY736" s="1842"/>
      <c r="BZ736" s="1842"/>
      <c r="CA736" s="1842"/>
      <c r="CB736" s="1842"/>
      <c r="CC736" s="1842"/>
      <c r="CD736" s="1842"/>
      <c r="CE736" s="1842"/>
      <c r="CF736" s="1842"/>
      <c r="CG736" s="1842"/>
      <c r="CH736" s="1842"/>
      <c r="CI736" s="1842"/>
      <c r="CJ736" s="1842"/>
      <c r="CK736" s="1842"/>
      <c r="CL736" s="1842"/>
      <c r="CM736" s="1842"/>
      <c r="CN736" s="1842"/>
      <c r="CO736" s="1842"/>
      <c r="CP736" s="1842"/>
      <c r="CQ736" s="1842"/>
      <c r="CR736" s="1842"/>
      <c r="CS736" s="1842"/>
      <c r="CT736" s="1842"/>
      <c r="CU736" s="1842"/>
      <c r="CV736" s="1842"/>
      <c r="CW736" s="1842"/>
      <c r="CX736" s="1842"/>
      <c r="CY736" s="1842"/>
      <c r="CZ736" s="1842"/>
      <c r="DA736" s="1842"/>
      <c r="DB736" s="1842"/>
      <c r="DC736" s="1842"/>
      <c r="DD736" s="1842"/>
      <c r="DE736" s="1842"/>
      <c r="DF736" s="1842"/>
      <c r="DG736" s="1843"/>
    </row>
    <row r="737" spans="54:111" ht="15" customHeight="1" x14ac:dyDescent="0.2">
      <c r="BB737" s="26"/>
      <c r="BC737" s="27">
        <v>4</v>
      </c>
      <c r="BD737" s="27">
        <v>5</v>
      </c>
      <c r="BE737" s="27">
        <v>6</v>
      </c>
      <c r="BF737" s="27">
        <v>7</v>
      </c>
      <c r="BG737" s="27">
        <v>8</v>
      </c>
      <c r="BH737" s="27">
        <v>9</v>
      </c>
      <c r="BI737" s="27">
        <v>10</v>
      </c>
      <c r="BJ737" s="27">
        <v>11</v>
      </c>
      <c r="BK737" s="27">
        <v>12</v>
      </c>
      <c r="BL737" s="27">
        <v>13</v>
      </c>
      <c r="BM737" s="27">
        <v>14</v>
      </c>
      <c r="BN737" s="27">
        <v>15</v>
      </c>
      <c r="BO737" s="27">
        <v>16</v>
      </c>
      <c r="BP737" s="27">
        <v>17</v>
      </c>
      <c r="BQ737" s="27">
        <v>18</v>
      </c>
      <c r="BR737" s="27">
        <v>19</v>
      </c>
      <c r="BS737" s="27">
        <v>20</v>
      </c>
      <c r="BT737" s="27">
        <v>21</v>
      </c>
      <c r="BU737" s="27">
        <v>22</v>
      </c>
      <c r="BV737" s="27">
        <v>23</v>
      </c>
      <c r="BW737" s="27">
        <v>24</v>
      </c>
      <c r="BX737" s="27">
        <v>25</v>
      </c>
      <c r="BY737" s="27">
        <v>26</v>
      </c>
      <c r="BZ737" s="27">
        <v>27</v>
      </c>
      <c r="CA737" s="27">
        <v>28</v>
      </c>
      <c r="CB737" s="27">
        <v>29</v>
      </c>
      <c r="CC737" s="27">
        <v>30</v>
      </c>
      <c r="CD737" s="27">
        <v>31</v>
      </c>
      <c r="CE737" s="27">
        <v>32</v>
      </c>
      <c r="CF737" s="27">
        <v>33</v>
      </c>
      <c r="CG737" s="27">
        <v>34</v>
      </c>
      <c r="CH737" s="27">
        <v>35</v>
      </c>
      <c r="CI737" s="27">
        <v>36</v>
      </c>
      <c r="CJ737" s="27">
        <v>37</v>
      </c>
      <c r="CK737" s="27">
        <v>38</v>
      </c>
      <c r="CL737" s="27">
        <v>39</v>
      </c>
      <c r="CM737" s="27">
        <v>40</v>
      </c>
      <c r="CN737" s="27">
        <v>41</v>
      </c>
      <c r="CO737" s="27">
        <v>42</v>
      </c>
      <c r="CP737" s="27">
        <v>43</v>
      </c>
      <c r="CQ737" s="27">
        <v>44</v>
      </c>
      <c r="CR737" s="27">
        <v>45</v>
      </c>
      <c r="CS737" s="27">
        <v>46</v>
      </c>
      <c r="CT737" s="27">
        <v>47</v>
      </c>
      <c r="CU737" s="27">
        <v>48</v>
      </c>
      <c r="CV737" s="27">
        <v>49</v>
      </c>
      <c r="CW737" s="27">
        <v>50</v>
      </c>
      <c r="CX737" s="27">
        <v>51</v>
      </c>
      <c r="CY737" s="27">
        <v>52</v>
      </c>
      <c r="CZ737" s="27">
        <v>53</v>
      </c>
      <c r="DA737" s="27">
        <v>54</v>
      </c>
      <c r="DB737" s="27">
        <v>55</v>
      </c>
      <c r="DC737" s="27">
        <v>56</v>
      </c>
      <c r="DD737" s="27">
        <v>57</v>
      </c>
      <c r="DE737" s="27">
        <v>58</v>
      </c>
      <c r="DF737" s="27">
        <v>59</v>
      </c>
      <c r="DG737" s="142">
        <v>60</v>
      </c>
    </row>
    <row r="738" spans="54:111" ht="15" customHeight="1" x14ac:dyDescent="0.2">
      <c r="BB738" s="28">
        <v>4</v>
      </c>
      <c r="BC738" s="165">
        <v>2.6120000000000001</v>
      </c>
      <c r="BD738" s="152">
        <f>(BE738+BC738)/2</f>
        <v>2.9104999999999999</v>
      </c>
      <c r="BE738" s="165">
        <v>3.2090000000000001</v>
      </c>
      <c r="BF738" s="152">
        <f>(BG738+BE738)/2</f>
        <v>3.5070000000000001</v>
      </c>
      <c r="BG738" s="165">
        <v>3.8050000000000002</v>
      </c>
      <c r="BH738" s="152">
        <f>(BI738+BG738)/2</f>
        <v>4.0514999999999999</v>
      </c>
      <c r="BI738" s="165">
        <v>4.298</v>
      </c>
      <c r="BJ738" s="152">
        <f>(BK738+BI738)/2</f>
        <v>4.5585000000000004</v>
      </c>
      <c r="BK738" s="165">
        <v>4.819</v>
      </c>
      <c r="BL738" s="152">
        <f>(BM738+BK738)/2</f>
        <v>5.08</v>
      </c>
      <c r="BM738" s="165">
        <v>5.3410000000000002</v>
      </c>
      <c r="BN738" s="152">
        <f>(BO738+BM738)/2</f>
        <v>5.5485000000000007</v>
      </c>
      <c r="BO738" s="165">
        <v>5.7560000000000002</v>
      </c>
      <c r="BP738" s="152">
        <f>(BQ738+BO738)/2</f>
        <v>6.0169999999999995</v>
      </c>
      <c r="BQ738" s="165">
        <v>6.2779999999999996</v>
      </c>
      <c r="BR738" s="152">
        <f>(BS738+BQ738)/2</f>
        <v>6.5009999999999994</v>
      </c>
      <c r="BS738" s="165">
        <v>6.7240000000000002</v>
      </c>
      <c r="BT738" s="152">
        <f>(BU738+BS738)/2</f>
        <v>6.9320000000000004</v>
      </c>
      <c r="BU738" s="165">
        <v>7.14</v>
      </c>
      <c r="BV738" s="152">
        <f>(BW738+BU738)/2</f>
        <v>7.3624999999999998</v>
      </c>
      <c r="BW738" s="165">
        <v>7.585</v>
      </c>
      <c r="BX738" s="152">
        <f>(BY738+BW738)/2</f>
        <v>7.7705000000000002</v>
      </c>
      <c r="BY738" s="165">
        <v>7.9560000000000004</v>
      </c>
      <c r="BZ738" s="152">
        <f>(CA738+BY738)/2</f>
        <v>8.1575000000000006</v>
      </c>
      <c r="CA738" s="165">
        <v>8.359</v>
      </c>
      <c r="CB738" s="152">
        <f>(CC738+CA738)/2</f>
        <v>8.5884999999999998</v>
      </c>
      <c r="CC738" s="165">
        <v>8.8179999999999996</v>
      </c>
      <c r="CD738" s="152">
        <f>(CE738+CC738)/2</f>
        <v>9.0410000000000004</v>
      </c>
      <c r="CE738" s="165">
        <v>9.2639999999999993</v>
      </c>
      <c r="CF738" s="152">
        <f>(CG738+CE738)/2</f>
        <v>9.4269999999999996</v>
      </c>
      <c r="CG738" s="165">
        <v>9.59</v>
      </c>
      <c r="CH738" s="152">
        <f>(CI738+CG738)/2</f>
        <v>9.8204999999999991</v>
      </c>
      <c r="CI738" s="165">
        <v>10.051</v>
      </c>
      <c r="CJ738" s="152">
        <f>(CK738+CI738)/2</f>
        <v>10.2355</v>
      </c>
      <c r="CK738" s="165">
        <v>10.42</v>
      </c>
      <c r="CL738" s="152">
        <f>(CM738+CK738)/2</f>
        <v>10.620999999999999</v>
      </c>
      <c r="CM738" s="165">
        <v>10.821999999999999</v>
      </c>
      <c r="CN738" s="152">
        <f>(CO738+CM738)/2</f>
        <v>11.015000000000001</v>
      </c>
      <c r="CO738" s="165">
        <v>11.208</v>
      </c>
      <c r="CP738" s="152">
        <f>(CQ738+CO738)/2</f>
        <v>11.393000000000001</v>
      </c>
      <c r="CQ738" s="165">
        <v>11.577999999999999</v>
      </c>
      <c r="CR738" s="120">
        <f>(CS738+CQ738)/2</f>
        <v>11.778499999999999</v>
      </c>
      <c r="CS738" s="156">
        <v>11.978999999999999</v>
      </c>
      <c r="CT738" s="120">
        <f>(CU738+CS738)/2</f>
        <v>12.1715</v>
      </c>
      <c r="CU738" s="156">
        <v>12.364000000000001</v>
      </c>
      <c r="CV738" s="120">
        <f>(CW738+CU738)/2</f>
        <v>12.5495</v>
      </c>
      <c r="CW738" s="156">
        <v>12.734999999999999</v>
      </c>
      <c r="CX738" s="120">
        <f>(CY738+CW738)/2</f>
        <v>12.935499999999999</v>
      </c>
      <c r="CY738" s="156">
        <v>13.135999999999999</v>
      </c>
      <c r="CZ738" s="120">
        <f>(DA738+CY738)/2</f>
        <v>13.327999999999999</v>
      </c>
      <c r="DA738" s="156">
        <v>13.52</v>
      </c>
      <c r="DB738" s="120">
        <f>(DC738+DA738)/2</f>
        <v>13.705500000000001</v>
      </c>
      <c r="DC738" s="156">
        <v>13.891</v>
      </c>
      <c r="DD738" s="120">
        <f>(DE738+DC738)/2</f>
        <v>14.054</v>
      </c>
      <c r="DE738" s="156">
        <v>14.217000000000001</v>
      </c>
      <c r="DF738" s="120">
        <f>(DG738+DE738)/2</f>
        <v>14.409500000000001</v>
      </c>
      <c r="DG738" s="157">
        <v>14.602</v>
      </c>
    </row>
    <row r="739" spans="54:111" ht="15" customHeight="1" x14ac:dyDescent="0.2">
      <c r="BB739" s="28">
        <v>5</v>
      </c>
      <c r="BC739" s="121">
        <f t="array" ref="BC739:BC794">TRANSPOSE(BD738:DG738)</f>
        <v>2.9104999999999999</v>
      </c>
      <c r="BD739" s="120">
        <f>(BC739+BE739)/2</f>
        <v>3.2582499999999999</v>
      </c>
      <c r="BE739" s="120">
        <f>(BE738+BE740)/2</f>
        <v>3.6059999999999999</v>
      </c>
      <c r="BF739" s="120">
        <f>(BE739+BG739)/2</f>
        <v>3.9197500000000001</v>
      </c>
      <c r="BG739" s="120">
        <f>(BG738+BG740)/2</f>
        <v>4.2335000000000003</v>
      </c>
      <c r="BH739" s="120">
        <f>(BG739+BI739)/2</f>
        <v>4.5177499999999995</v>
      </c>
      <c r="BI739" s="120">
        <f>(BI738+BI740)/2</f>
        <v>4.8019999999999996</v>
      </c>
      <c r="BJ739" s="120">
        <f>(BI739+BK739)/2</f>
        <v>5.0967500000000001</v>
      </c>
      <c r="BK739" s="120">
        <f>(BK738+BK740)/2</f>
        <v>5.3915000000000006</v>
      </c>
      <c r="BL739" s="120">
        <f>(BK739+BM739)/2</f>
        <v>5.6637500000000003</v>
      </c>
      <c r="BM739" s="120">
        <f>(BM738+BM740)/2</f>
        <v>5.9359999999999999</v>
      </c>
      <c r="BN739" s="120">
        <f>(BM739+BO739)/2</f>
        <v>6.1855000000000002</v>
      </c>
      <c r="BO739" s="120">
        <f>(BO738+BO740)/2</f>
        <v>6.4350000000000005</v>
      </c>
      <c r="BP739" s="120">
        <f>(BO739+BQ739)/2</f>
        <v>6.6887500000000006</v>
      </c>
      <c r="BQ739" s="120">
        <f>(BQ738+BQ740)/2</f>
        <v>6.9424999999999999</v>
      </c>
      <c r="BR739" s="120">
        <f>(BQ739+BS739)/2</f>
        <v>7.1997499999999999</v>
      </c>
      <c r="BS739" s="120">
        <f>(BS738+BS740)/2</f>
        <v>7.4569999999999999</v>
      </c>
      <c r="BT739" s="120">
        <f>(BS739+BU739)/2</f>
        <v>7.6839999999999993</v>
      </c>
      <c r="BU739" s="120">
        <f>(BU738+BU740)/2</f>
        <v>7.9109999999999996</v>
      </c>
      <c r="BV739" s="120">
        <f>(BU739+BW739)/2</f>
        <v>8.1677499999999998</v>
      </c>
      <c r="BW739" s="120">
        <f>(BW738+BW740)/2</f>
        <v>8.4245000000000001</v>
      </c>
      <c r="BX739" s="120">
        <f>(BW739+BY739)/2</f>
        <v>8.6404999999999994</v>
      </c>
      <c r="BY739" s="120">
        <f>(BY738+BY740)/2</f>
        <v>8.8565000000000005</v>
      </c>
      <c r="BZ739" s="120">
        <f>(BY739+CA739)/2</f>
        <v>9.0839999999999996</v>
      </c>
      <c r="CA739" s="120">
        <f>(CA738+CA740)/2</f>
        <v>9.3114999999999988</v>
      </c>
      <c r="CB739" s="120">
        <f>(CA739+CC739)/2</f>
        <v>9.5494999999999983</v>
      </c>
      <c r="CC739" s="120">
        <f>(CC738+CC740)/2</f>
        <v>9.7874999999999996</v>
      </c>
      <c r="CD739" s="120">
        <f>(CC739+CE739)/2</f>
        <v>10.025500000000001</v>
      </c>
      <c r="CE739" s="120">
        <f>(CE738+CE740)/2</f>
        <v>10.263500000000001</v>
      </c>
      <c r="CF739" s="120">
        <f>(CE739+CG739)/2</f>
        <v>10.468250000000001</v>
      </c>
      <c r="CG739" s="120">
        <f>(CG738+CG740)/2</f>
        <v>10.673</v>
      </c>
      <c r="CH739" s="120">
        <f>(CG739+CI739)/2</f>
        <v>10.914750000000002</v>
      </c>
      <c r="CI739" s="120">
        <f>(CI738+CI740)/2</f>
        <v>11.156500000000001</v>
      </c>
      <c r="CJ739" s="120">
        <f>(CI739+CK739)/2</f>
        <v>11.372</v>
      </c>
      <c r="CK739" s="120">
        <f>(CK738+CK740)/2</f>
        <v>11.5875</v>
      </c>
      <c r="CL739" s="120">
        <f>(CK739+CM739)/2</f>
        <v>11.795999999999999</v>
      </c>
      <c r="CM739" s="120">
        <f>(CM738+CM740)/2</f>
        <v>12.0045</v>
      </c>
      <c r="CN739" s="120">
        <f>(CM739+CO739)/2</f>
        <v>12.22425</v>
      </c>
      <c r="CO739" s="120">
        <f>(CO738+CO740)/2</f>
        <v>12.443999999999999</v>
      </c>
      <c r="CP739" s="120">
        <f>(CO739+CQ739)/2</f>
        <v>12.663</v>
      </c>
      <c r="CQ739" s="120">
        <f>(CQ738+CQ740)/2</f>
        <v>12.882</v>
      </c>
      <c r="CR739" s="120">
        <f>(CQ739+CS739)/2</f>
        <v>13.086749999999999</v>
      </c>
      <c r="CS739" s="120">
        <f>(CS738+CS740)/2</f>
        <v>13.291499999999999</v>
      </c>
      <c r="CT739" s="120">
        <f>(CS739+CU739)/2</f>
        <v>13.514250000000001</v>
      </c>
      <c r="CU739" s="120">
        <f>(CU738+CU740)/2</f>
        <v>13.737</v>
      </c>
      <c r="CV739" s="120">
        <f>(CU739+CW739)/2</f>
        <v>13.934000000000001</v>
      </c>
      <c r="CW739" s="120">
        <f>(CW738+CW740)/2</f>
        <v>14.131</v>
      </c>
      <c r="CX739" s="120">
        <f>(CW739+CY739)/2</f>
        <v>14.35425</v>
      </c>
      <c r="CY739" s="120">
        <f>(CY738+CY740)/2</f>
        <v>14.577499999999999</v>
      </c>
      <c r="CZ739" s="120">
        <f>(CY739+DA739)/2</f>
        <v>14.781749999999999</v>
      </c>
      <c r="DA739" s="120">
        <f>(DA738+DA740)/2</f>
        <v>14.986000000000001</v>
      </c>
      <c r="DB739" s="120">
        <f>(DA739+DC739)/2</f>
        <v>15.201750000000001</v>
      </c>
      <c r="DC739" s="120">
        <f>(DC738+DC740)/2</f>
        <v>15.4175</v>
      </c>
      <c r="DD739" s="120">
        <f>(DC739+DE739)/2</f>
        <v>15.607000000000001</v>
      </c>
      <c r="DE739" s="120">
        <f>(DE738+DE740)/2</f>
        <v>15.796500000000002</v>
      </c>
      <c r="DF739" s="120">
        <f>(DE739+DG739)/2</f>
        <v>16.015750000000001</v>
      </c>
      <c r="DG739" s="122">
        <f>(DG738+DG740)/2</f>
        <v>16.234999999999999</v>
      </c>
    </row>
    <row r="740" spans="54:111" ht="15" customHeight="1" x14ac:dyDescent="0.2">
      <c r="BB740" s="28">
        <v>6</v>
      </c>
      <c r="BC740" s="121">
        <v>3.2090000000000001</v>
      </c>
      <c r="BD740" s="121">
        <f t="array" ref="BD740:BD794">TRANSPOSE(BE739:DG739)</f>
        <v>3.6059999999999999</v>
      </c>
      <c r="BE740" s="158">
        <v>4.0030000000000001</v>
      </c>
      <c r="BF740" s="120">
        <f>(BG740+BE740)/2</f>
        <v>4.3324999999999996</v>
      </c>
      <c r="BG740" s="158">
        <v>4.6619999999999999</v>
      </c>
      <c r="BH740" s="120">
        <f>(BI740+BG740)/2</f>
        <v>4.984</v>
      </c>
      <c r="BI740" s="158">
        <v>5.306</v>
      </c>
      <c r="BJ740" s="120">
        <f>(BK740+BI740)/2</f>
        <v>5.6349999999999998</v>
      </c>
      <c r="BK740" s="158">
        <v>5.9640000000000004</v>
      </c>
      <c r="BL740" s="120">
        <f>(BM740+BK740)/2</f>
        <v>6.2475000000000005</v>
      </c>
      <c r="BM740" s="158">
        <v>6.5309999999999997</v>
      </c>
      <c r="BN740" s="120">
        <f>(BO740+BM740)/2</f>
        <v>6.8224999999999998</v>
      </c>
      <c r="BO740" s="158">
        <v>7.1139999999999999</v>
      </c>
      <c r="BP740" s="120">
        <f>(BQ740+BO740)/2</f>
        <v>7.3605</v>
      </c>
      <c r="BQ740" s="158">
        <v>7.6070000000000002</v>
      </c>
      <c r="BR740" s="120">
        <f>(BS740+BQ740)/2</f>
        <v>7.8985000000000003</v>
      </c>
      <c r="BS740" s="158">
        <v>8.19</v>
      </c>
      <c r="BT740" s="120">
        <f>(BU740+BS740)/2</f>
        <v>8.4359999999999999</v>
      </c>
      <c r="BU740" s="158">
        <v>8.6820000000000004</v>
      </c>
      <c r="BV740" s="120">
        <f>(BW740+BU740)/2</f>
        <v>8.972999999999999</v>
      </c>
      <c r="BW740" s="158">
        <v>9.2639999999999993</v>
      </c>
      <c r="BX740" s="120">
        <f>(BY740+BW740)/2</f>
        <v>9.5105000000000004</v>
      </c>
      <c r="BY740" s="158">
        <v>9.7569999999999997</v>
      </c>
      <c r="BZ740" s="120">
        <f>(CA740+BY740)/2</f>
        <v>10.0105</v>
      </c>
      <c r="CA740" s="158">
        <v>10.263999999999999</v>
      </c>
      <c r="CB740" s="120">
        <f>(CC740+CA740)/2</f>
        <v>10.5105</v>
      </c>
      <c r="CC740" s="158">
        <v>10.757</v>
      </c>
      <c r="CD740" s="120">
        <f>(CE740+CC740)/2</f>
        <v>11.01</v>
      </c>
      <c r="CE740" s="158">
        <v>11.263</v>
      </c>
      <c r="CF740" s="120">
        <f>(CG740+CE740)/2</f>
        <v>11.509499999999999</v>
      </c>
      <c r="CG740" s="158">
        <v>11.756</v>
      </c>
      <c r="CH740" s="120">
        <f>(CI740+CG740)/2</f>
        <v>12.009</v>
      </c>
      <c r="CI740" s="158">
        <v>12.262</v>
      </c>
      <c r="CJ740" s="120">
        <f>(CK740+CI740)/2</f>
        <v>12.508500000000002</v>
      </c>
      <c r="CK740" s="158">
        <v>12.755000000000001</v>
      </c>
      <c r="CL740" s="120">
        <f>(CM740+CK740)/2</f>
        <v>12.971</v>
      </c>
      <c r="CM740" s="158">
        <v>13.186999999999999</v>
      </c>
      <c r="CN740" s="120">
        <f>(CO740+CM740)/2</f>
        <v>13.433499999999999</v>
      </c>
      <c r="CO740" s="158">
        <v>13.68</v>
      </c>
      <c r="CP740" s="120">
        <f>(CQ740+CO740)/2</f>
        <v>13.933</v>
      </c>
      <c r="CQ740" s="158">
        <v>14.186</v>
      </c>
      <c r="CR740" s="120">
        <f>(CS740+CQ740)/2</f>
        <v>14.395</v>
      </c>
      <c r="CS740" s="158">
        <v>14.603999999999999</v>
      </c>
      <c r="CT740" s="120">
        <f>(CU740+CS740)/2</f>
        <v>14.856999999999999</v>
      </c>
      <c r="CU740" s="158">
        <v>15.11</v>
      </c>
      <c r="CV740" s="120">
        <f>(CW740+CU740)/2</f>
        <v>15.3185</v>
      </c>
      <c r="CW740" s="158">
        <v>15.526999999999999</v>
      </c>
      <c r="CX740" s="120">
        <f>(CY740+CW740)/2</f>
        <v>15.773</v>
      </c>
      <c r="CY740" s="158">
        <v>16.018999999999998</v>
      </c>
      <c r="CZ740" s="120">
        <f>(DA740+CY740)/2</f>
        <v>16.235500000000002</v>
      </c>
      <c r="DA740" s="158">
        <v>16.452000000000002</v>
      </c>
      <c r="DB740" s="120">
        <f>(DC740+DA740)/2</f>
        <v>16.698</v>
      </c>
      <c r="DC740" s="158">
        <v>16.943999999999999</v>
      </c>
      <c r="DD740" s="120">
        <f>(DE740+DC740)/2</f>
        <v>17.16</v>
      </c>
      <c r="DE740" s="158">
        <v>17.376000000000001</v>
      </c>
      <c r="DF740" s="120">
        <f>(DG740+DE740)/2</f>
        <v>17.622</v>
      </c>
      <c r="DG740" s="159">
        <v>17.867999999999999</v>
      </c>
    </row>
    <row r="741" spans="54:111" ht="15" customHeight="1" x14ac:dyDescent="0.2">
      <c r="BB741" s="28">
        <v>7</v>
      </c>
      <c r="BC741" s="121">
        <v>3.5070000000000001</v>
      </c>
      <c r="BD741" s="121">
        <v>3.9197500000000001</v>
      </c>
      <c r="BE741" s="121">
        <f t="array" ref="BE741:BE794">TRANSPOSE(BF740:DG740)</f>
        <v>4.3324999999999996</v>
      </c>
      <c r="BF741" s="120">
        <f>(BE741+BG741)/2</f>
        <v>4.6922499999999996</v>
      </c>
      <c r="BG741" s="120">
        <f>(BG740+BG742)/2</f>
        <v>5.0519999999999996</v>
      </c>
      <c r="BH741" s="120">
        <f>(BG741+BI741)/2</f>
        <v>5.4154999999999998</v>
      </c>
      <c r="BI741" s="120">
        <f>(BI740+BI742)/2</f>
        <v>5.7789999999999999</v>
      </c>
      <c r="BJ741" s="120">
        <f>(BI741+BK741)/2</f>
        <v>6.1195000000000004</v>
      </c>
      <c r="BK741" s="120">
        <f>(BK740+BK742)/2</f>
        <v>6.4600000000000009</v>
      </c>
      <c r="BL741" s="120">
        <f>(BK741+BM741)/2</f>
        <v>6.7560000000000002</v>
      </c>
      <c r="BM741" s="120">
        <f>(BM740+BM742)/2</f>
        <v>7.0519999999999996</v>
      </c>
      <c r="BN741" s="120">
        <f>(BM741+BO741)/2</f>
        <v>7.3847499999999995</v>
      </c>
      <c r="BO741" s="120">
        <f>(BO740+BO742)/2</f>
        <v>7.7174999999999994</v>
      </c>
      <c r="BP741" s="120">
        <f>(BO741+BQ741)/2</f>
        <v>7.9979999999999993</v>
      </c>
      <c r="BQ741" s="120">
        <f>(BQ740+BQ742)/2</f>
        <v>8.2784999999999993</v>
      </c>
      <c r="BR741" s="120">
        <f>(BQ741+BS741)/2</f>
        <v>8.5777499999999982</v>
      </c>
      <c r="BS741" s="120">
        <f>(BS740+BS742)/2</f>
        <v>8.8769999999999989</v>
      </c>
      <c r="BT741" s="120">
        <f>(BS741+BU741)/2</f>
        <v>9.1497499999999992</v>
      </c>
      <c r="BU741" s="120">
        <f>(BU740+BU742)/2</f>
        <v>9.4224999999999994</v>
      </c>
      <c r="BV741" s="120">
        <f>(BU741+BW741)/2</f>
        <v>9.7252499999999991</v>
      </c>
      <c r="BW741" s="120">
        <f>(BW740+BW742)/2</f>
        <v>10.027999999999999</v>
      </c>
      <c r="BX741" s="120">
        <f>(BW741+BY741)/2</f>
        <v>10.305</v>
      </c>
      <c r="BY741" s="120">
        <f>(BY740+BY742)/2</f>
        <v>10.582000000000001</v>
      </c>
      <c r="BZ741" s="120">
        <f>(BY741+CA741)/2</f>
        <v>10.858000000000001</v>
      </c>
      <c r="CA741" s="120">
        <f>(CA740+CA742)/2</f>
        <v>11.134</v>
      </c>
      <c r="CB741" s="120">
        <f>(CA741+CC741)/2</f>
        <v>11.39575</v>
      </c>
      <c r="CC741" s="120">
        <f>(CC740+CC742)/2</f>
        <v>11.657499999999999</v>
      </c>
      <c r="CD741" s="120">
        <f>(CC741+CE741)/2</f>
        <v>11.937749999999999</v>
      </c>
      <c r="CE741" s="120">
        <f>(CE740+CE742)/2</f>
        <v>12.218</v>
      </c>
      <c r="CF741" s="120">
        <f>(CE741+CG741)/2</f>
        <v>12.49075</v>
      </c>
      <c r="CG741" s="120">
        <f>(CG740+CG742)/2</f>
        <v>12.763500000000001</v>
      </c>
      <c r="CH741" s="120">
        <f>(CG741+CI741)/2</f>
        <v>13.02825</v>
      </c>
      <c r="CI741" s="120">
        <f>(CI740+CI742)/2</f>
        <v>13.292999999999999</v>
      </c>
      <c r="CJ741" s="120">
        <f>(CI741+CK741)/2</f>
        <v>13.551</v>
      </c>
      <c r="CK741" s="120">
        <f>(CK740+CK742)/2</f>
        <v>13.809000000000001</v>
      </c>
      <c r="CL741" s="120">
        <f>(CK741+CM741)/2</f>
        <v>14.066750000000001</v>
      </c>
      <c r="CM741" s="120">
        <f>(CM740+CM742)/2</f>
        <v>14.3245</v>
      </c>
      <c r="CN741" s="120">
        <f>(CM741+CO741)/2</f>
        <v>14.5825</v>
      </c>
      <c r="CO741" s="120">
        <f>(CO740+CO742)/2</f>
        <v>14.8405</v>
      </c>
      <c r="CP741" s="120">
        <f>(CO741+CQ741)/2</f>
        <v>15.10525</v>
      </c>
      <c r="CQ741" s="120">
        <f>(CQ740+CQ742)/2</f>
        <v>15.37</v>
      </c>
      <c r="CR741" s="120">
        <f>(CQ741+CS741)/2</f>
        <v>15.605</v>
      </c>
      <c r="CS741" s="120">
        <f>(CS740+CS742)/2</f>
        <v>15.84</v>
      </c>
      <c r="CT741" s="120">
        <f>(CS741+CU741)/2</f>
        <v>16.101500000000001</v>
      </c>
      <c r="CU741" s="120">
        <f>(CU740+CU742)/2</f>
        <v>16.363</v>
      </c>
      <c r="CV741" s="120">
        <f>(CU741+CW741)/2</f>
        <v>16.60575</v>
      </c>
      <c r="CW741" s="120">
        <f>(CW740+CW742)/2</f>
        <v>16.848500000000001</v>
      </c>
      <c r="CX741" s="120">
        <f>(CW741+CY741)/2</f>
        <v>17.120750000000001</v>
      </c>
      <c r="CY741" s="120">
        <f>(CY740+CY742)/2</f>
        <v>17.393000000000001</v>
      </c>
      <c r="CZ741" s="120">
        <f>(CY741+DA741)/2</f>
        <v>17.617250000000002</v>
      </c>
      <c r="DA741" s="120">
        <f>(DA740+DA742)/2</f>
        <v>17.841500000000003</v>
      </c>
      <c r="DB741" s="120">
        <f>(DA741+DC741)/2</f>
        <v>18.103250000000003</v>
      </c>
      <c r="DC741" s="120">
        <f>(DC740+DC742)/2</f>
        <v>18.365000000000002</v>
      </c>
      <c r="DD741" s="120">
        <f>(DC741+DE741)/2</f>
        <v>18.622250000000001</v>
      </c>
      <c r="DE741" s="120">
        <f>(DE740+DE742)/2</f>
        <v>18.8795</v>
      </c>
      <c r="DF741" s="120">
        <f>(DE741+DG741)/2</f>
        <v>19.11825</v>
      </c>
      <c r="DG741" s="122">
        <f>(DG740+DG742)/2</f>
        <v>19.356999999999999</v>
      </c>
    </row>
    <row r="742" spans="54:111" ht="15" customHeight="1" x14ac:dyDescent="0.2">
      <c r="BB742" s="28">
        <v>8</v>
      </c>
      <c r="BC742" s="121">
        <v>3.8050000000000002</v>
      </c>
      <c r="BD742" s="121">
        <v>4.2335000000000003</v>
      </c>
      <c r="BE742" s="121">
        <v>4.6619999999999999</v>
      </c>
      <c r="BF742" s="121">
        <f t="array" ref="BF742:BF794">TRANSPOSE(BG741:DG741)</f>
        <v>5.0519999999999996</v>
      </c>
      <c r="BG742" s="158">
        <v>5.4420000000000002</v>
      </c>
      <c r="BH742" s="120">
        <f>(BI742+BG742)/2</f>
        <v>5.8469999999999995</v>
      </c>
      <c r="BI742" s="158">
        <v>6.2519999999999998</v>
      </c>
      <c r="BJ742" s="120">
        <f>(BK742+BI742)/2</f>
        <v>6.6040000000000001</v>
      </c>
      <c r="BK742" s="158">
        <v>6.9560000000000004</v>
      </c>
      <c r="BL742" s="120">
        <f>(BM742+BK742)/2</f>
        <v>7.2645</v>
      </c>
      <c r="BM742" s="158">
        <v>7.5730000000000004</v>
      </c>
      <c r="BN742" s="120">
        <f>(BO742+BM742)/2</f>
        <v>7.9470000000000001</v>
      </c>
      <c r="BO742" s="158">
        <v>8.3209999999999997</v>
      </c>
      <c r="BP742" s="120">
        <f>(BQ742+BO742)/2</f>
        <v>8.6355000000000004</v>
      </c>
      <c r="BQ742" s="158">
        <v>8.9499999999999993</v>
      </c>
      <c r="BR742" s="120">
        <f>(BS742+BQ742)/2</f>
        <v>9.2569999999999997</v>
      </c>
      <c r="BS742" s="158">
        <v>9.5640000000000001</v>
      </c>
      <c r="BT742" s="120">
        <f>(BU742+BS742)/2</f>
        <v>9.8635000000000002</v>
      </c>
      <c r="BU742" s="158">
        <v>10.163</v>
      </c>
      <c r="BV742" s="120">
        <f>(BW742+BU742)/2</f>
        <v>10.477499999999999</v>
      </c>
      <c r="BW742" s="158">
        <v>10.792</v>
      </c>
      <c r="BX742" s="120">
        <f>(BY742+BW742)/2</f>
        <v>11.099499999999999</v>
      </c>
      <c r="BY742" s="158">
        <v>11.407</v>
      </c>
      <c r="BZ742" s="120">
        <f>(CA742+BY742)/2</f>
        <v>11.705500000000001</v>
      </c>
      <c r="CA742" s="158">
        <v>12.004</v>
      </c>
      <c r="CB742" s="120">
        <f>(CC742+CA742)/2</f>
        <v>12.280999999999999</v>
      </c>
      <c r="CC742" s="158">
        <v>12.558</v>
      </c>
      <c r="CD742" s="120">
        <f>(CE742+CC742)/2</f>
        <v>12.865500000000001</v>
      </c>
      <c r="CE742" s="158">
        <v>13.173</v>
      </c>
      <c r="CF742" s="120">
        <f>(CG742+CE742)/2</f>
        <v>13.472000000000001</v>
      </c>
      <c r="CG742" s="158">
        <v>13.771000000000001</v>
      </c>
      <c r="CH742" s="120">
        <f>(CI742+CG742)/2</f>
        <v>14.047499999999999</v>
      </c>
      <c r="CI742" s="158">
        <v>14.324</v>
      </c>
      <c r="CJ742" s="120">
        <f>(CK742+CI742)/2</f>
        <v>14.593499999999999</v>
      </c>
      <c r="CK742" s="158">
        <v>14.863</v>
      </c>
      <c r="CL742" s="120">
        <f>(CM742+CK742)/2</f>
        <v>15.1625</v>
      </c>
      <c r="CM742" s="158">
        <v>15.462</v>
      </c>
      <c r="CN742" s="120">
        <f>(CO742+CM742)/2</f>
        <v>15.7315</v>
      </c>
      <c r="CO742" s="158">
        <v>16.001000000000001</v>
      </c>
      <c r="CP742" s="120">
        <f>(CQ742+CO742)/2</f>
        <v>16.2775</v>
      </c>
      <c r="CQ742" s="158">
        <v>16.553999999999998</v>
      </c>
      <c r="CR742" s="120">
        <f>(CS742+CQ742)/2</f>
        <v>16.814999999999998</v>
      </c>
      <c r="CS742" s="158">
        <v>17.076000000000001</v>
      </c>
      <c r="CT742" s="120">
        <f>(CU742+CS742)/2</f>
        <v>17.346</v>
      </c>
      <c r="CU742" s="158">
        <v>17.616</v>
      </c>
      <c r="CV742" s="120">
        <f>(CW742+CU742)/2</f>
        <v>17.893000000000001</v>
      </c>
      <c r="CW742" s="158">
        <v>18.170000000000002</v>
      </c>
      <c r="CX742" s="120">
        <f>(CY742+CW742)/2</f>
        <v>18.468499999999999</v>
      </c>
      <c r="CY742" s="158">
        <v>18.766999999999999</v>
      </c>
      <c r="CZ742" s="120">
        <f>(DA742+CY742)/2</f>
        <v>18.999000000000002</v>
      </c>
      <c r="DA742" s="158">
        <v>19.231000000000002</v>
      </c>
      <c r="DB742" s="120">
        <f>(DC742+DA742)/2</f>
        <v>19.508500000000002</v>
      </c>
      <c r="DC742" s="158">
        <v>19.786000000000001</v>
      </c>
      <c r="DD742" s="120">
        <f>(DE742+DC742)/2</f>
        <v>20.084499999999998</v>
      </c>
      <c r="DE742" s="158">
        <v>20.382999999999999</v>
      </c>
      <c r="DF742" s="120">
        <f>(DG742+DE742)/2</f>
        <v>20.6145</v>
      </c>
      <c r="DG742" s="159">
        <v>20.846</v>
      </c>
    </row>
    <row r="743" spans="54:111" ht="15" customHeight="1" x14ac:dyDescent="0.2">
      <c r="BB743" s="28">
        <v>9</v>
      </c>
      <c r="BC743" s="121">
        <v>4.0514999999999999</v>
      </c>
      <c r="BD743" s="121">
        <v>4.5177499999999995</v>
      </c>
      <c r="BE743" s="121">
        <v>4.984</v>
      </c>
      <c r="BF743" s="121">
        <v>5.4154999999999998</v>
      </c>
      <c r="BG743" s="121">
        <f t="array" ref="BG743:BG794">TRANSPOSE(BH742:DG742)</f>
        <v>5.8469999999999995</v>
      </c>
      <c r="BH743" s="120">
        <f>(BG743+BI743)/2</f>
        <v>6.2562499999999996</v>
      </c>
      <c r="BI743" s="120">
        <f>(BI742+BI744)/2</f>
        <v>6.6654999999999998</v>
      </c>
      <c r="BJ743" s="120">
        <f>(BI743+BK743)/2</f>
        <v>7.0404999999999998</v>
      </c>
      <c r="BK743" s="120">
        <f>(BK742+BK744)/2</f>
        <v>7.4154999999999998</v>
      </c>
      <c r="BL743" s="120">
        <f>(BK743+BM743)/2</f>
        <v>7.7685000000000004</v>
      </c>
      <c r="BM743" s="120">
        <f>(BM742+BM744)/2</f>
        <v>8.1215000000000011</v>
      </c>
      <c r="BN743" s="120">
        <f>(BM743+BO743)/2</f>
        <v>8.4927500000000009</v>
      </c>
      <c r="BO743" s="120">
        <f>(BO742+BO744)/2</f>
        <v>8.8640000000000008</v>
      </c>
      <c r="BP743" s="120">
        <f>(BO743+BQ743)/2</f>
        <v>9.2014999999999993</v>
      </c>
      <c r="BQ743" s="120">
        <f>(BQ742+BQ744)/2</f>
        <v>9.5389999999999997</v>
      </c>
      <c r="BR743" s="120">
        <f>(BQ743+BS743)/2</f>
        <v>9.8724999999999987</v>
      </c>
      <c r="BS743" s="120">
        <f>(BS742+BS744)/2</f>
        <v>10.206</v>
      </c>
      <c r="BT743" s="120">
        <f>(BS743+BU743)/2</f>
        <v>10.5245</v>
      </c>
      <c r="BU743" s="120">
        <f>(BU742+BU744)/2</f>
        <v>10.843</v>
      </c>
      <c r="BV743" s="120">
        <f>(BU743+BW743)/2</f>
        <v>11.1805</v>
      </c>
      <c r="BW743" s="120">
        <f>(BW742+BW744)/2</f>
        <v>11.518000000000001</v>
      </c>
      <c r="BX743" s="120">
        <f>(BW743+BY743)/2</f>
        <v>11.848000000000001</v>
      </c>
      <c r="BY743" s="120">
        <f>(BY742+BY744)/2</f>
        <v>12.178000000000001</v>
      </c>
      <c r="BZ743" s="120">
        <f>(BY743+CA743)/2</f>
        <v>12.49625</v>
      </c>
      <c r="CA743" s="120">
        <f>(CA742+CA744)/2</f>
        <v>12.814499999999999</v>
      </c>
      <c r="CB743" s="120">
        <f>(CA743+CC743)/2</f>
        <v>13.113999999999999</v>
      </c>
      <c r="CC743" s="120">
        <f>(CC742+CC744)/2</f>
        <v>13.413499999999999</v>
      </c>
      <c r="CD743" s="120">
        <f>(CC743+CE743)/2</f>
        <v>13.747499999999999</v>
      </c>
      <c r="CE743" s="120">
        <f>(CE742+CE744)/2</f>
        <v>14.0815</v>
      </c>
      <c r="CF743" s="120">
        <f>(CE743+CG743)/2</f>
        <v>14.381</v>
      </c>
      <c r="CG743" s="120">
        <f>(CG742+CG744)/2</f>
        <v>14.6805</v>
      </c>
      <c r="CH743" s="120">
        <f>(CG743+CI743)/2</f>
        <v>14.995249999999999</v>
      </c>
      <c r="CI743" s="120">
        <f>(CI742+CI744)/2</f>
        <v>15.309999999999999</v>
      </c>
      <c r="CJ743" s="120">
        <f>(CI743+CK743)/2</f>
        <v>15.60575</v>
      </c>
      <c r="CK743" s="120">
        <f>(CK742+CK744)/2</f>
        <v>15.9015</v>
      </c>
      <c r="CL743" s="120">
        <f>(CK743+CM743)/2</f>
        <v>16.201499999999999</v>
      </c>
      <c r="CM743" s="120">
        <f>(CM742+CM744)/2</f>
        <v>16.5015</v>
      </c>
      <c r="CN743" s="120">
        <f>(CM743+CO743)/2</f>
        <v>16.797249999999998</v>
      </c>
      <c r="CO743" s="120">
        <f>(CO742+CO744)/2</f>
        <v>17.093</v>
      </c>
      <c r="CP743" s="120">
        <f>(CO743+CQ743)/2</f>
        <v>17.392249999999997</v>
      </c>
      <c r="CQ743" s="120">
        <f>(CQ742+CQ744)/2</f>
        <v>17.691499999999998</v>
      </c>
      <c r="CR743" s="120">
        <f>(CQ743+CS743)/2</f>
        <v>17.977249999999998</v>
      </c>
      <c r="CS743" s="120">
        <f>(CS742+CS744)/2</f>
        <v>18.262999999999998</v>
      </c>
      <c r="CT743" s="120">
        <f>(CS743+CU743)/2</f>
        <v>18.5505</v>
      </c>
      <c r="CU743" s="120">
        <f>(CU742+CU744)/2</f>
        <v>18.838000000000001</v>
      </c>
      <c r="CV743" s="120">
        <f>(CU743+CW743)/2</f>
        <v>19.137500000000003</v>
      </c>
      <c r="CW743" s="120">
        <f>(CW742+CW744)/2</f>
        <v>19.437000000000001</v>
      </c>
      <c r="CX743" s="120">
        <f>(CW743+CY743)/2</f>
        <v>19.736499999999999</v>
      </c>
      <c r="CY743" s="120">
        <f>(CY742+CY744)/2</f>
        <v>20.036000000000001</v>
      </c>
      <c r="CZ743" s="120">
        <f>(CY743+DA743)/2</f>
        <v>20.31325</v>
      </c>
      <c r="DA743" s="120">
        <f>(DA742+DA744)/2</f>
        <v>20.590499999999999</v>
      </c>
      <c r="DB743" s="120">
        <f>(DA743+DC743)/2</f>
        <v>20.886749999999999</v>
      </c>
      <c r="DC743" s="120">
        <f>(DC742+DC744)/2</f>
        <v>21.183</v>
      </c>
      <c r="DD743" s="120">
        <f>(DC743+DE743)/2</f>
        <v>21.463249999999999</v>
      </c>
      <c r="DE743" s="120">
        <f>(DE742+DE744)/2</f>
        <v>21.743499999999997</v>
      </c>
      <c r="DF743" s="120">
        <f>(DE743+DG743)/2</f>
        <v>22.020499999999998</v>
      </c>
      <c r="DG743" s="122">
        <f>(DG742+DG744)/2</f>
        <v>22.297499999999999</v>
      </c>
    </row>
    <row r="744" spans="54:111" ht="15" customHeight="1" x14ac:dyDescent="0.2">
      <c r="BB744" s="28">
        <v>10</v>
      </c>
      <c r="BC744" s="121">
        <v>4.298</v>
      </c>
      <c r="BD744" s="121">
        <v>4.8019999999999996</v>
      </c>
      <c r="BE744" s="121">
        <v>5.306</v>
      </c>
      <c r="BF744" s="121">
        <v>5.7789999999999999</v>
      </c>
      <c r="BG744" s="121">
        <v>6.2519999999999998</v>
      </c>
      <c r="BH744" s="121">
        <f t="array" ref="BH744:BH794">TRANSPOSE(BI743:DG743)</f>
        <v>6.6654999999999998</v>
      </c>
      <c r="BI744" s="158">
        <v>7.0789999999999997</v>
      </c>
      <c r="BJ744" s="120">
        <f>(BK744+BI744)/2</f>
        <v>7.4770000000000003</v>
      </c>
      <c r="BK744" s="158">
        <v>7.875</v>
      </c>
      <c r="BL744" s="120">
        <f>(BM744+BK744)/2</f>
        <v>8.2725000000000009</v>
      </c>
      <c r="BM744" s="158">
        <v>8.67</v>
      </c>
      <c r="BN744" s="120">
        <f>(BO744+BM744)/2</f>
        <v>9.0384999999999991</v>
      </c>
      <c r="BO744" s="158">
        <v>9.407</v>
      </c>
      <c r="BP744" s="120">
        <f>(BQ744+BO744)/2</f>
        <v>9.7675000000000001</v>
      </c>
      <c r="BQ744" s="158">
        <v>10.128</v>
      </c>
      <c r="BR744" s="120">
        <f>(BS744+BQ744)/2</f>
        <v>10.488</v>
      </c>
      <c r="BS744" s="158">
        <v>10.848000000000001</v>
      </c>
      <c r="BT744" s="120">
        <f>(BU744+BS744)/2</f>
        <v>11.185500000000001</v>
      </c>
      <c r="BU744" s="158">
        <v>11.523</v>
      </c>
      <c r="BV744" s="120">
        <f>(BW744+BU744)/2</f>
        <v>11.8835</v>
      </c>
      <c r="BW744" s="158">
        <v>12.244</v>
      </c>
      <c r="BX744" s="120">
        <f>(BY744+BW744)/2</f>
        <v>12.596499999999999</v>
      </c>
      <c r="BY744" s="158">
        <v>12.949</v>
      </c>
      <c r="BZ744" s="120">
        <f>(CA744+BY744)/2</f>
        <v>13.286999999999999</v>
      </c>
      <c r="CA744" s="158">
        <v>13.625</v>
      </c>
      <c r="CB744" s="120">
        <f>(CC744+CA744)/2</f>
        <v>13.946999999999999</v>
      </c>
      <c r="CC744" s="158">
        <v>14.269</v>
      </c>
      <c r="CD744" s="120">
        <f>(CE744+CC744)/2</f>
        <v>14.6295</v>
      </c>
      <c r="CE744" s="158">
        <v>14.99</v>
      </c>
      <c r="CF744" s="120">
        <f>(CG744+CE744)/2</f>
        <v>15.29</v>
      </c>
      <c r="CG744" s="158">
        <v>15.59</v>
      </c>
      <c r="CH744" s="120">
        <f>(CI744+CG744)/2</f>
        <v>15.943</v>
      </c>
      <c r="CI744" s="158">
        <v>16.295999999999999</v>
      </c>
      <c r="CJ744" s="120">
        <f>(CK744+CI744)/2</f>
        <v>16.618000000000002</v>
      </c>
      <c r="CK744" s="158">
        <v>16.940000000000001</v>
      </c>
      <c r="CL744" s="120">
        <f>(CM744+CK744)/2</f>
        <v>17.240500000000001</v>
      </c>
      <c r="CM744" s="158">
        <v>17.541</v>
      </c>
      <c r="CN744" s="120">
        <f>(CO744+CM744)/2</f>
        <v>17.863</v>
      </c>
      <c r="CO744" s="158">
        <v>18.184999999999999</v>
      </c>
      <c r="CP744" s="120">
        <f>(CQ744+CO744)/2</f>
        <v>18.506999999999998</v>
      </c>
      <c r="CQ744" s="158">
        <v>18.829000000000001</v>
      </c>
      <c r="CR744" s="120">
        <f>(CS744+CQ744)/2</f>
        <v>19.139499999999998</v>
      </c>
      <c r="CS744" s="158">
        <v>19.45</v>
      </c>
      <c r="CT744" s="120">
        <f>(CU744+CS744)/2</f>
        <v>19.754999999999999</v>
      </c>
      <c r="CU744" s="158">
        <v>20.059999999999999</v>
      </c>
      <c r="CV744" s="120">
        <f>(CW744+CU744)/2</f>
        <v>20.381999999999998</v>
      </c>
      <c r="CW744" s="158">
        <v>20.704000000000001</v>
      </c>
      <c r="CX744" s="120">
        <f>(CY744+CW744)/2</f>
        <v>21.0045</v>
      </c>
      <c r="CY744" s="158">
        <v>21.305</v>
      </c>
      <c r="CZ744" s="120">
        <f>(DA744+CY744)/2</f>
        <v>21.627499999999998</v>
      </c>
      <c r="DA744" s="158">
        <v>21.95</v>
      </c>
      <c r="DB744" s="120">
        <f>(DC744+DA744)/2</f>
        <v>22.265000000000001</v>
      </c>
      <c r="DC744" s="158">
        <v>22.58</v>
      </c>
      <c r="DD744" s="120">
        <f>(DE744+DC744)/2</f>
        <v>22.841999999999999</v>
      </c>
      <c r="DE744" s="158">
        <v>23.103999999999999</v>
      </c>
      <c r="DF744" s="120">
        <f>(DG744+DE744)/2</f>
        <v>23.426499999999997</v>
      </c>
      <c r="DG744" s="159">
        <v>23.748999999999999</v>
      </c>
    </row>
    <row r="745" spans="54:111" ht="15" customHeight="1" x14ac:dyDescent="0.2">
      <c r="BB745" s="28">
        <v>11</v>
      </c>
      <c r="BC745" s="121">
        <v>4.5585000000000004</v>
      </c>
      <c r="BD745" s="121">
        <v>5.0967500000000001</v>
      </c>
      <c r="BE745" s="121">
        <v>5.6349999999999998</v>
      </c>
      <c r="BF745" s="121">
        <v>6.1195000000000004</v>
      </c>
      <c r="BG745" s="121">
        <v>6.6040000000000001</v>
      </c>
      <c r="BH745" s="121">
        <v>7.0404999999999998</v>
      </c>
      <c r="BI745" s="121">
        <f t="array" ref="BI745:BI794">TRANSPOSE(BJ744:DG744)</f>
        <v>7.4770000000000003</v>
      </c>
      <c r="BJ745" s="120">
        <f>(BI745+BK745)/2</f>
        <v>7.9055</v>
      </c>
      <c r="BK745" s="120">
        <f>(BK744+BK746)/2</f>
        <v>8.3339999999999996</v>
      </c>
      <c r="BL745" s="120">
        <f>(BK745+BM745)/2</f>
        <v>8.7434999999999992</v>
      </c>
      <c r="BM745" s="120">
        <f>(BM744+BM746)/2</f>
        <v>9.1529999999999987</v>
      </c>
      <c r="BN745" s="120">
        <f>(BM745+BO745)/2</f>
        <v>9.5474999999999994</v>
      </c>
      <c r="BO745" s="120">
        <f>(BO744+BO746)/2</f>
        <v>9.9420000000000002</v>
      </c>
      <c r="BP745" s="120">
        <f>(BO745+BQ745)/2</f>
        <v>10.332750000000001</v>
      </c>
      <c r="BQ745" s="120">
        <f>(BQ744+BQ746)/2</f>
        <v>10.723500000000001</v>
      </c>
      <c r="BR745" s="120">
        <f>(BQ745+BS745)/2</f>
        <v>11.095500000000001</v>
      </c>
      <c r="BS745" s="120">
        <f>(BS744+BS746)/2</f>
        <v>11.467500000000001</v>
      </c>
      <c r="BT745" s="120">
        <f>(BS745+BU745)/2</f>
        <v>11.84675</v>
      </c>
      <c r="BU745" s="120">
        <f>(BU744+BU746)/2</f>
        <v>12.225999999999999</v>
      </c>
      <c r="BV745" s="120">
        <f>(BU745+BW745)/2</f>
        <v>12.59775</v>
      </c>
      <c r="BW745" s="120">
        <f>(BW744+BW746)/2</f>
        <v>12.9695</v>
      </c>
      <c r="BX745" s="120">
        <f>(BW745+BY745)/2</f>
        <v>13.33375</v>
      </c>
      <c r="BY745" s="120">
        <f>(BY744+BY746)/2</f>
        <v>13.698</v>
      </c>
      <c r="BZ745" s="120">
        <f>(BY745+CA745)/2</f>
        <v>14.059000000000001</v>
      </c>
      <c r="CA745" s="120">
        <f>(CA744+CA746)/2</f>
        <v>14.42</v>
      </c>
      <c r="CB745" s="120">
        <f>(CA745+CC745)/2</f>
        <v>14.772500000000001</v>
      </c>
      <c r="CC745" s="120">
        <f>(CC744+CC746)/2</f>
        <v>15.125</v>
      </c>
      <c r="CD745" s="120">
        <f>(CC745+CE745)/2</f>
        <v>15.478</v>
      </c>
      <c r="CE745" s="120">
        <f>(CE744+CE746)/2</f>
        <v>15.831</v>
      </c>
      <c r="CF745" s="120">
        <f>(CE745+CG745)/2</f>
        <v>16.172750000000001</v>
      </c>
      <c r="CG745" s="120">
        <f>(CG744+CG746)/2</f>
        <v>16.514499999999998</v>
      </c>
      <c r="CH745" s="120">
        <f>(CG745+CI745)/2</f>
        <v>16.863999999999997</v>
      </c>
      <c r="CI745" s="120">
        <f>(CI744+CI746)/2</f>
        <v>17.2135</v>
      </c>
      <c r="CJ745" s="120">
        <f>(CI745+CK745)/2</f>
        <v>17.566000000000003</v>
      </c>
      <c r="CK745" s="120">
        <f>(CK744+CK746)/2</f>
        <v>17.918500000000002</v>
      </c>
      <c r="CL745" s="120">
        <f>(CK745+CM745)/2</f>
        <v>18.241500000000002</v>
      </c>
      <c r="CM745" s="120">
        <f>(CM744+CM746)/2</f>
        <v>18.564500000000002</v>
      </c>
      <c r="CN745" s="120">
        <f>(CM745+CO745)/2</f>
        <v>18.898250000000001</v>
      </c>
      <c r="CO745" s="120">
        <f>(CO744+CO746)/2</f>
        <v>19.231999999999999</v>
      </c>
      <c r="CP745" s="120">
        <f>(CO745+CQ745)/2</f>
        <v>19.585000000000001</v>
      </c>
      <c r="CQ745" s="120">
        <f>(CQ744+CQ746)/2</f>
        <v>19.938000000000002</v>
      </c>
      <c r="CR745" s="120">
        <f>(CQ745+CS745)/2</f>
        <v>20.265750000000001</v>
      </c>
      <c r="CS745" s="120">
        <f>(CS744+CS746)/2</f>
        <v>20.593499999999999</v>
      </c>
      <c r="CT745" s="120">
        <f>(CS745+CU745)/2</f>
        <v>20.918749999999999</v>
      </c>
      <c r="CU745" s="120">
        <f>(CU744+CU746)/2</f>
        <v>21.244</v>
      </c>
      <c r="CV745" s="120">
        <f>(CU745+CW745)/2</f>
        <v>21.577999999999999</v>
      </c>
      <c r="CW745" s="120">
        <f>(CW744+CW746)/2</f>
        <v>21.911999999999999</v>
      </c>
      <c r="CX745" s="120">
        <f>(CW745+CY745)/2</f>
        <v>22.234999999999999</v>
      </c>
      <c r="CY745" s="120">
        <f>(CY744+CY746)/2</f>
        <v>22.558</v>
      </c>
      <c r="CZ745" s="120">
        <f>(CY745+DA745)/2</f>
        <v>22.891999999999999</v>
      </c>
      <c r="DA745" s="120">
        <f>(DA744+DA746)/2</f>
        <v>23.225999999999999</v>
      </c>
      <c r="DB745" s="120">
        <f>(DA745+DC745)/2</f>
        <v>23.5565</v>
      </c>
      <c r="DC745" s="120">
        <f>(DC744+DC746)/2</f>
        <v>23.887</v>
      </c>
      <c r="DD745" s="120">
        <f>(DC745+DE745)/2</f>
        <v>24.190750000000001</v>
      </c>
      <c r="DE745" s="120">
        <f>(DE744+DE746)/2</f>
        <v>24.494500000000002</v>
      </c>
      <c r="DF745" s="120">
        <f>(DE745+DG745)/2</f>
        <v>24.828500000000002</v>
      </c>
      <c r="DG745" s="122">
        <f>(DG744+DG746)/2</f>
        <v>25.162500000000001</v>
      </c>
    </row>
    <row r="746" spans="54:111" ht="15" customHeight="1" x14ac:dyDescent="0.2">
      <c r="BB746" s="28">
        <v>12</v>
      </c>
      <c r="BC746" s="121">
        <v>4.819</v>
      </c>
      <c r="BD746" s="121">
        <v>5.3915000000000006</v>
      </c>
      <c r="BE746" s="121">
        <v>5.9640000000000004</v>
      </c>
      <c r="BF746" s="121">
        <v>6.4600000000000009</v>
      </c>
      <c r="BG746" s="121">
        <v>6.9560000000000004</v>
      </c>
      <c r="BH746" s="121">
        <v>7.4154999999999998</v>
      </c>
      <c r="BI746" s="121">
        <v>7.875</v>
      </c>
      <c r="BJ746" s="121">
        <f t="array" ref="BJ746:BJ794">TRANSPOSE(BK745:DG745)</f>
        <v>8.3339999999999996</v>
      </c>
      <c r="BK746" s="158">
        <v>8.7929999999999993</v>
      </c>
      <c r="BL746" s="120">
        <f>(BM746+BK746)/2</f>
        <v>9.2144999999999992</v>
      </c>
      <c r="BM746" s="158">
        <v>9.6359999999999992</v>
      </c>
      <c r="BN746" s="120">
        <f>(BO746+BM746)/2</f>
        <v>10.0565</v>
      </c>
      <c r="BO746" s="158">
        <v>10.477</v>
      </c>
      <c r="BP746" s="120">
        <f>(BQ746+BO746)/2</f>
        <v>10.898</v>
      </c>
      <c r="BQ746" s="158">
        <v>11.319000000000001</v>
      </c>
      <c r="BR746" s="120">
        <f>(BS746+BQ746)/2</f>
        <v>11.702999999999999</v>
      </c>
      <c r="BS746" s="158">
        <v>12.087</v>
      </c>
      <c r="BT746" s="120">
        <f>(BU746+BS746)/2</f>
        <v>12.507999999999999</v>
      </c>
      <c r="BU746" s="158">
        <v>12.929</v>
      </c>
      <c r="BV746" s="120">
        <f>(BW746+BU746)/2</f>
        <v>13.312000000000001</v>
      </c>
      <c r="BW746" s="158">
        <v>13.695</v>
      </c>
      <c r="BX746" s="120">
        <f>(BY746+BW746)/2</f>
        <v>14.071</v>
      </c>
      <c r="BY746" s="158">
        <v>14.446999999999999</v>
      </c>
      <c r="BZ746" s="120">
        <f>(CA746+BY746)/2</f>
        <v>14.831</v>
      </c>
      <c r="CA746" s="158">
        <v>15.215</v>
      </c>
      <c r="CB746" s="120">
        <f>(CC746+CA746)/2</f>
        <v>15.597999999999999</v>
      </c>
      <c r="CC746" s="158">
        <v>15.981</v>
      </c>
      <c r="CD746" s="120">
        <f>(CE746+CC746)/2</f>
        <v>16.326499999999999</v>
      </c>
      <c r="CE746" s="158">
        <v>16.672000000000001</v>
      </c>
      <c r="CF746" s="120">
        <f>(CG746+CE746)/2</f>
        <v>17.055500000000002</v>
      </c>
      <c r="CG746" s="158">
        <v>17.439</v>
      </c>
      <c r="CH746" s="120">
        <f>(CI746+CG746)/2</f>
        <v>17.785</v>
      </c>
      <c r="CI746" s="158">
        <v>18.131</v>
      </c>
      <c r="CJ746" s="120">
        <f>(CK746+CI746)/2</f>
        <v>18.513999999999999</v>
      </c>
      <c r="CK746" s="158">
        <v>18.896999999999998</v>
      </c>
      <c r="CL746" s="120">
        <f>(CM746+CK746)/2</f>
        <v>19.2425</v>
      </c>
      <c r="CM746" s="158">
        <v>19.588000000000001</v>
      </c>
      <c r="CN746" s="120">
        <f>(CO746+CM746)/2</f>
        <v>19.933500000000002</v>
      </c>
      <c r="CO746" s="158">
        <v>20.279</v>
      </c>
      <c r="CP746" s="120">
        <f>(CQ746+CO746)/2</f>
        <v>20.663</v>
      </c>
      <c r="CQ746" s="158">
        <v>21.047000000000001</v>
      </c>
      <c r="CR746" s="120">
        <f>(CS746+CQ746)/2</f>
        <v>21.391999999999999</v>
      </c>
      <c r="CS746" s="158">
        <v>21.736999999999998</v>
      </c>
      <c r="CT746" s="120">
        <f>(CU746+CS746)/2</f>
        <v>22.0825</v>
      </c>
      <c r="CU746" s="158">
        <v>22.428000000000001</v>
      </c>
      <c r="CV746" s="120">
        <f>(CW746+CU746)/2</f>
        <v>22.774000000000001</v>
      </c>
      <c r="CW746" s="158">
        <v>23.12</v>
      </c>
      <c r="CX746" s="120">
        <f>(CY746+CW746)/2</f>
        <v>23.465499999999999</v>
      </c>
      <c r="CY746" s="158">
        <v>23.811</v>
      </c>
      <c r="CZ746" s="120">
        <f>(DA746+CY746)/2</f>
        <v>24.156500000000001</v>
      </c>
      <c r="DA746" s="158">
        <v>24.501999999999999</v>
      </c>
      <c r="DB746" s="120">
        <f>(DC746+DA746)/2</f>
        <v>24.847999999999999</v>
      </c>
      <c r="DC746" s="158">
        <v>25.193999999999999</v>
      </c>
      <c r="DD746" s="120">
        <f>(DE746+DC746)/2</f>
        <v>25.5395</v>
      </c>
      <c r="DE746" s="158">
        <v>25.885000000000002</v>
      </c>
      <c r="DF746" s="120">
        <f>(DG746+DE746)/2</f>
        <v>26.230499999999999</v>
      </c>
      <c r="DG746" s="159">
        <v>26.576000000000001</v>
      </c>
    </row>
    <row r="747" spans="54:111" ht="15" customHeight="1" x14ac:dyDescent="0.2">
      <c r="BB747" s="28">
        <v>13</v>
      </c>
      <c r="BC747" s="121">
        <v>5.08</v>
      </c>
      <c r="BD747" s="121">
        <v>5.6637500000000003</v>
      </c>
      <c r="BE747" s="121">
        <v>6.2475000000000005</v>
      </c>
      <c r="BF747" s="121">
        <v>6.7560000000000002</v>
      </c>
      <c r="BG747" s="121">
        <v>7.2645</v>
      </c>
      <c r="BH747" s="121">
        <v>7.7685000000000004</v>
      </c>
      <c r="BI747" s="121">
        <v>8.2725000000000009</v>
      </c>
      <c r="BJ747" s="121">
        <v>8.7434999999999992</v>
      </c>
      <c r="BK747" s="121">
        <f t="array" ref="BK747:BK794">TRANSPOSE(BL746:DG746)</f>
        <v>9.2144999999999992</v>
      </c>
      <c r="BL747" s="120">
        <f>(BK747+BM747)/2</f>
        <v>9.666249999999998</v>
      </c>
      <c r="BM747" s="120">
        <f>(BM746+BM748)/2</f>
        <v>10.117999999999999</v>
      </c>
      <c r="BN747" s="120">
        <f>(BM747+BO747)/2</f>
        <v>10.561499999999999</v>
      </c>
      <c r="BO747" s="120">
        <f>(BO746+BO748)/2</f>
        <v>11.004999999999999</v>
      </c>
      <c r="BP747" s="120">
        <f>(BO747+BQ747)/2</f>
        <v>11.437749999999999</v>
      </c>
      <c r="BQ747" s="120">
        <f>(BQ746+BQ748)/2</f>
        <v>11.8705</v>
      </c>
      <c r="BR747" s="120">
        <f>(BQ747+BS747)/2</f>
        <v>12.284775</v>
      </c>
      <c r="BS747" s="120">
        <f>(BS746+BS748)/2</f>
        <v>12.69905</v>
      </c>
      <c r="BT747" s="120">
        <f>(BS747+BU747)/2</f>
        <v>13.123775</v>
      </c>
      <c r="BU747" s="120">
        <f>(BU746+BU748)/2</f>
        <v>13.548500000000001</v>
      </c>
      <c r="BV747" s="120">
        <f>(BU747+BW747)/2</f>
        <v>13.9625</v>
      </c>
      <c r="BW747" s="120">
        <f>(BW746+BW748)/2</f>
        <v>14.3765</v>
      </c>
      <c r="BX747" s="120">
        <f>(BW747+BY747)/2</f>
        <v>14.77125</v>
      </c>
      <c r="BY747" s="120">
        <f>(BY746+BY748)/2</f>
        <v>15.166</v>
      </c>
      <c r="BZ747" s="120">
        <f>(BY747+CA747)/2</f>
        <v>15.57225</v>
      </c>
      <c r="CA747" s="120">
        <f>(CA746+CA748)/2</f>
        <v>15.9785</v>
      </c>
      <c r="CB747" s="120">
        <f>(CA747+CC747)/2</f>
        <v>16.3735</v>
      </c>
      <c r="CC747" s="120">
        <f>(CC746+CC748)/2</f>
        <v>16.7685</v>
      </c>
      <c r="CD747" s="120">
        <f>(CC747+CE747)/2</f>
        <v>17.144750000000002</v>
      </c>
      <c r="CE747" s="120">
        <f>(CE746+CE748)/2</f>
        <v>17.521000000000001</v>
      </c>
      <c r="CF747" s="120">
        <f>(CE747+CG747)/2</f>
        <v>17.927</v>
      </c>
      <c r="CG747" s="120">
        <f>(CG746+CG748)/2</f>
        <v>18.332999999999998</v>
      </c>
      <c r="CH747" s="120">
        <f>(CG747+CI747)/2</f>
        <v>18.690249999999999</v>
      </c>
      <c r="CI747" s="120">
        <f>(CI746+CI748)/2</f>
        <v>19.047499999999999</v>
      </c>
      <c r="CJ747" s="120">
        <f>(CI747+CK747)/2</f>
        <v>19.44275</v>
      </c>
      <c r="CK747" s="120">
        <f>(CK746+CK748)/2</f>
        <v>19.838000000000001</v>
      </c>
      <c r="CL747" s="120">
        <f>(CK747+CM747)/2</f>
        <v>20.225000000000001</v>
      </c>
      <c r="CM747" s="120">
        <f>(CM746+CM748)/2</f>
        <v>20.612000000000002</v>
      </c>
      <c r="CN747" s="120">
        <f>(CM747+CO747)/2</f>
        <v>20.972999999999999</v>
      </c>
      <c r="CO747" s="120">
        <f>(CO746+CO748)/2</f>
        <v>21.334</v>
      </c>
      <c r="CP747" s="120">
        <f>(CO747+CQ747)/2</f>
        <v>21.710250000000002</v>
      </c>
      <c r="CQ747" s="120">
        <f>(CQ746+CQ748)/2</f>
        <v>22.086500000000001</v>
      </c>
      <c r="CR747" s="120">
        <f>(CQ747+CS747)/2</f>
        <v>22.473500000000001</v>
      </c>
      <c r="CS747" s="120">
        <f>(CS746+CS748)/2</f>
        <v>22.860500000000002</v>
      </c>
      <c r="CT747" s="120">
        <f>(CS747+CU747)/2</f>
        <v>23.217750000000002</v>
      </c>
      <c r="CU747" s="120">
        <f>(CU746+CU748)/2</f>
        <v>23.575000000000003</v>
      </c>
      <c r="CV747" s="120">
        <f>(CU747+CW747)/2</f>
        <v>23.932500000000001</v>
      </c>
      <c r="CW747" s="120">
        <f>(CW746+CW748)/2</f>
        <v>24.29</v>
      </c>
      <c r="CX747" s="120">
        <f>(CW747+CY747)/2</f>
        <v>24.658000000000001</v>
      </c>
      <c r="CY747" s="120">
        <f>(CY746+CY748)/2</f>
        <v>25.026</v>
      </c>
      <c r="CZ747" s="120">
        <f>(CY747+DA747)/2</f>
        <v>25.402250000000002</v>
      </c>
      <c r="DA747" s="120">
        <f>(DA746+DA748)/2</f>
        <v>25.778500000000001</v>
      </c>
      <c r="DB747" s="120">
        <f>(DA747+DC747)/2</f>
        <v>26.135999999999999</v>
      </c>
      <c r="DC747" s="120">
        <f>(DC746+DC748)/2</f>
        <v>26.493499999999997</v>
      </c>
      <c r="DD747" s="120">
        <f>(DC747+DE747)/2</f>
        <v>26.861999999999998</v>
      </c>
      <c r="DE747" s="120">
        <f>(DE746+DE748)/2</f>
        <v>27.230499999999999</v>
      </c>
      <c r="DF747" s="120">
        <f>(DE747+DG747)/2</f>
        <v>27.591000000000001</v>
      </c>
      <c r="DG747" s="122">
        <f>(DG746+DG748)/2</f>
        <v>27.951500000000003</v>
      </c>
    </row>
    <row r="748" spans="54:111" ht="15" customHeight="1" x14ac:dyDescent="0.2">
      <c r="BB748" s="28">
        <v>14</v>
      </c>
      <c r="BC748" s="121">
        <v>5.3410000000000002</v>
      </c>
      <c r="BD748" s="121">
        <v>5.9359999999999999</v>
      </c>
      <c r="BE748" s="121">
        <v>6.5309999999999997</v>
      </c>
      <c r="BF748" s="121">
        <v>7.0519999999999996</v>
      </c>
      <c r="BG748" s="121">
        <v>7.5730000000000004</v>
      </c>
      <c r="BH748" s="121">
        <v>8.1215000000000011</v>
      </c>
      <c r="BI748" s="121">
        <v>8.67</v>
      </c>
      <c r="BJ748" s="121">
        <v>9.1529999999999987</v>
      </c>
      <c r="BK748" s="121">
        <v>9.6359999999999992</v>
      </c>
      <c r="BL748" s="121">
        <f t="array" ref="BL748:BL794">TRANSPOSE(BM747:DG747)</f>
        <v>10.117999999999999</v>
      </c>
      <c r="BM748" s="158">
        <v>10.6</v>
      </c>
      <c r="BN748" s="120">
        <f>(BO748+BM748)/2</f>
        <v>11.0665</v>
      </c>
      <c r="BO748" s="158">
        <v>11.532999999999999</v>
      </c>
      <c r="BP748" s="120">
        <f>(BQ748+BO748)/2</f>
        <v>11.977499999999999</v>
      </c>
      <c r="BQ748" s="158">
        <v>12.422000000000001</v>
      </c>
      <c r="BR748" s="120">
        <f>(BS748+BQ748)/2</f>
        <v>12.86655</v>
      </c>
      <c r="BS748" s="158">
        <v>13.3111</v>
      </c>
      <c r="BT748" s="120">
        <f>(BU748+BS748)/2</f>
        <v>13.739549999999999</v>
      </c>
      <c r="BU748" s="158">
        <v>14.167999999999999</v>
      </c>
      <c r="BV748" s="120">
        <f>(BW748+BU748)/2</f>
        <v>14.613</v>
      </c>
      <c r="BW748" s="158">
        <v>15.058</v>
      </c>
      <c r="BX748" s="120">
        <f>(BY748+BW748)/2</f>
        <v>15.471499999999999</v>
      </c>
      <c r="BY748" s="158">
        <v>15.885</v>
      </c>
      <c r="BZ748" s="120">
        <f>(CA748+BY748)/2</f>
        <v>16.313500000000001</v>
      </c>
      <c r="CA748" s="158">
        <v>16.742000000000001</v>
      </c>
      <c r="CB748" s="120">
        <f>(CC748+CA748)/2</f>
        <v>17.149000000000001</v>
      </c>
      <c r="CC748" s="158">
        <v>17.556000000000001</v>
      </c>
      <c r="CD748" s="120">
        <f>(CE748+CC748)/2</f>
        <v>17.963000000000001</v>
      </c>
      <c r="CE748" s="158">
        <v>18.37</v>
      </c>
      <c r="CF748" s="120">
        <f>(CG748+CE748)/2</f>
        <v>18.798500000000001</v>
      </c>
      <c r="CG748" s="158">
        <v>19.227</v>
      </c>
      <c r="CH748" s="120">
        <f>(CI748+CG748)/2</f>
        <v>19.595500000000001</v>
      </c>
      <c r="CI748" s="158">
        <v>19.963999999999999</v>
      </c>
      <c r="CJ748" s="120">
        <f>(CK748+CI748)/2</f>
        <v>20.371499999999997</v>
      </c>
      <c r="CK748" s="158">
        <v>20.779</v>
      </c>
      <c r="CL748" s="120">
        <f>(CM748+CK748)/2</f>
        <v>21.2075</v>
      </c>
      <c r="CM748" s="158">
        <v>21.635999999999999</v>
      </c>
      <c r="CN748" s="120">
        <f>(CO748+CM748)/2</f>
        <v>22.012499999999999</v>
      </c>
      <c r="CO748" s="158">
        <v>22.388999999999999</v>
      </c>
      <c r="CP748" s="120">
        <f>(CQ748+CO748)/2</f>
        <v>22.7575</v>
      </c>
      <c r="CQ748" s="158">
        <v>23.126000000000001</v>
      </c>
      <c r="CR748" s="120">
        <f>(CS748+CQ748)/2</f>
        <v>23.555</v>
      </c>
      <c r="CS748" s="158">
        <v>23.984000000000002</v>
      </c>
      <c r="CT748" s="120">
        <f>(CU748+CS748)/2</f>
        <v>24.353000000000002</v>
      </c>
      <c r="CU748" s="158">
        <v>24.722000000000001</v>
      </c>
      <c r="CV748" s="120">
        <f>(CW748+CU748)/2</f>
        <v>25.091000000000001</v>
      </c>
      <c r="CW748" s="158">
        <v>25.46</v>
      </c>
      <c r="CX748" s="120">
        <f>(CY748+CW748)/2</f>
        <v>25.8505</v>
      </c>
      <c r="CY748" s="158">
        <v>26.241</v>
      </c>
      <c r="CZ748" s="120">
        <f>(DA748+CY748)/2</f>
        <v>26.648</v>
      </c>
      <c r="DA748" s="158">
        <v>27.055</v>
      </c>
      <c r="DB748" s="120">
        <f>(DC748+DA748)/2</f>
        <v>27.423999999999999</v>
      </c>
      <c r="DC748" s="158">
        <v>27.792999999999999</v>
      </c>
      <c r="DD748" s="120">
        <f>(DE748+DC748)/2</f>
        <v>28.1845</v>
      </c>
      <c r="DE748" s="158">
        <v>28.576000000000001</v>
      </c>
      <c r="DF748" s="120">
        <f>(DG748+DE748)/2</f>
        <v>28.951500000000003</v>
      </c>
      <c r="DG748" s="159">
        <v>29.327000000000002</v>
      </c>
    </row>
    <row r="749" spans="54:111" ht="15" customHeight="1" x14ac:dyDescent="0.2">
      <c r="BB749" s="28">
        <v>15</v>
      </c>
      <c r="BC749" s="121">
        <v>5.5485000000000007</v>
      </c>
      <c r="BD749" s="121">
        <v>6.1855000000000002</v>
      </c>
      <c r="BE749" s="121">
        <v>6.8224999999999998</v>
      </c>
      <c r="BF749" s="121">
        <v>7.3847499999999995</v>
      </c>
      <c r="BG749" s="121">
        <v>7.9470000000000001</v>
      </c>
      <c r="BH749" s="121">
        <v>8.4927500000000009</v>
      </c>
      <c r="BI749" s="121">
        <v>9.0384999999999991</v>
      </c>
      <c r="BJ749" s="121">
        <v>9.5474999999999994</v>
      </c>
      <c r="BK749" s="121">
        <v>10.0565</v>
      </c>
      <c r="BL749" s="121">
        <v>10.561499999999999</v>
      </c>
      <c r="BM749" s="121">
        <f t="array" ref="BM749:BM794">TRANSPOSE(BN748:DG748)</f>
        <v>11.0665</v>
      </c>
      <c r="BN749" s="120">
        <f>(BM749+BO749)/2</f>
        <v>11.552499999999998</v>
      </c>
      <c r="BO749" s="120">
        <f>(BO748+BO750)/2</f>
        <v>12.038499999999999</v>
      </c>
      <c r="BP749" s="120">
        <f>(BO749+BQ749)/2</f>
        <v>12.50925</v>
      </c>
      <c r="BQ749" s="120">
        <f>(BQ748+BQ750)/2</f>
        <v>12.98</v>
      </c>
      <c r="BR749" s="120">
        <f>(BQ749+BS749)/2</f>
        <v>13.447275000000001</v>
      </c>
      <c r="BS749" s="120">
        <f>(BS748+BS750)/2</f>
        <v>13.91455</v>
      </c>
      <c r="BT749" s="120">
        <f>(BS749+BU749)/2</f>
        <v>14.362774999999999</v>
      </c>
      <c r="BU749" s="120">
        <f>(BU748+BU750)/2</f>
        <v>14.811</v>
      </c>
      <c r="BV749" s="120">
        <f>(BU749+BW749)/2</f>
        <v>15.259499999999999</v>
      </c>
      <c r="BW749" s="120">
        <f>(BW748+BW750)/2</f>
        <v>15.708</v>
      </c>
      <c r="BX749" s="120">
        <f>(BW749+BY749)/2</f>
        <v>16.163250000000001</v>
      </c>
      <c r="BY749" s="120">
        <f>(BY748+BY750)/2</f>
        <v>16.618500000000001</v>
      </c>
      <c r="BZ749" s="120">
        <f>(BY749+CA749)/2</f>
        <v>17.048000000000002</v>
      </c>
      <c r="CA749" s="120">
        <f>(CA748+CA750)/2</f>
        <v>17.477499999999999</v>
      </c>
      <c r="CB749" s="120">
        <f>(CA749+CC749)/2</f>
        <v>17.906749999999999</v>
      </c>
      <c r="CC749" s="120">
        <f>(CC748+CC750)/2</f>
        <v>18.335999999999999</v>
      </c>
      <c r="CD749" s="120">
        <f>(CC749+CE749)/2</f>
        <v>18.765750000000001</v>
      </c>
      <c r="CE749" s="120">
        <f>(CE748+CE750)/2</f>
        <v>19.195500000000003</v>
      </c>
      <c r="CF749" s="120">
        <f>(CE749+CG749)/2</f>
        <v>19.628500000000003</v>
      </c>
      <c r="CG749" s="120">
        <f>(CG748+CG750)/2</f>
        <v>20.061500000000002</v>
      </c>
      <c r="CH749" s="120">
        <f>(CG749+CI749)/2</f>
        <v>20.471499999999999</v>
      </c>
      <c r="CI749" s="120">
        <f>(CI748+CI750)/2</f>
        <v>20.881499999999999</v>
      </c>
      <c r="CJ749" s="120">
        <f>(CI749+CK749)/2</f>
        <v>21.311500000000002</v>
      </c>
      <c r="CK749" s="120">
        <f>(CK748+CK750)/2</f>
        <v>21.741500000000002</v>
      </c>
      <c r="CL749" s="120">
        <f>(CK749+CM749)/2</f>
        <v>22.1555</v>
      </c>
      <c r="CM749" s="120">
        <f>(CM748+CM750)/2</f>
        <v>22.569499999999998</v>
      </c>
      <c r="CN749" s="120">
        <f>(CM749+CO749)/2</f>
        <v>22.983999999999998</v>
      </c>
      <c r="CO749" s="120">
        <f>(CO748+CO750)/2</f>
        <v>23.398499999999999</v>
      </c>
      <c r="CP749" s="120">
        <f>(CO749+CQ749)/2</f>
        <v>23.808499999999999</v>
      </c>
      <c r="CQ749" s="120">
        <f>(CQ748+CQ750)/2</f>
        <v>24.218499999999999</v>
      </c>
      <c r="CR749" s="120">
        <f>(CQ749+CS749)/2</f>
        <v>24.629249999999999</v>
      </c>
      <c r="CS749" s="120">
        <f>(CS748+CS750)/2</f>
        <v>25.04</v>
      </c>
      <c r="CT749" s="120">
        <f>(CS749+CU749)/2</f>
        <v>25.454250000000002</v>
      </c>
      <c r="CU749" s="120">
        <f>(CU748+CU750)/2</f>
        <v>25.868500000000001</v>
      </c>
      <c r="CV749" s="120">
        <f>(CU749+CW749)/2</f>
        <v>26.260249999999999</v>
      </c>
      <c r="CW749" s="120">
        <f>(CW748+CW750)/2</f>
        <v>26.652000000000001</v>
      </c>
      <c r="CX749" s="120">
        <f>(CW749+CY749)/2</f>
        <v>27.04325</v>
      </c>
      <c r="CY749" s="120">
        <f>(CY748+CY750)/2</f>
        <v>27.4345</v>
      </c>
      <c r="CZ749" s="120">
        <f>(CY749+DA749)/2</f>
        <v>27.867750000000001</v>
      </c>
      <c r="DA749" s="120">
        <f>(DA748+DA750)/2</f>
        <v>28.301000000000002</v>
      </c>
      <c r="DB749" s="120">
        <f>(DA749+DC749)/2</f>
        <v>28.69275</v>
      </c>
      <c r="DC749" s="120">
        <f>(DC748+DC750)/2</f>
        <v>29.084499999999998</v>
      </c>
      <c r="DD749" s="120">
        <f>(DC749+DE749)/2</f>
        <v>29.47625</v>
      </c>
      <c r="DE749" s="120">
        <f>(DE748+DE750)/2</f>
        <v>29.868000000000002</v>
      </c>
      <c r="DF749" s="120">
        <f>(DE749+DG749)/2</f>
        <v>30.263000000000002</v>
      </c>
      <c r="DG749" s="122">
        <f>(DG748+DG750)/2</f>
        <v>30.658000000000001</v>
      </c>
    </row>
    <row r="750" spans="54:111" ht="15" customHeight="1" x14ac:dyDescent="0.2">
      <c r="BB750" s="28">
        <v>16</v>
      </c>
      <c r="BC750" s="121">
        <v>5.7560000000000002</v>
      </c>
      <c r="BD750" s="121">
        <v>6.4350000000000005</v>
      </c>
      <c r="BE750" s="121">
        <v>7.1139999999999999</v>
      </c>
      <c r="BF750" s="121">
        <v>7.7174999999999994</v>
      </c>
      <c r="BG750" s="121">
        <v>8.3209999999999997</v>
      </c>
      <c r="BH750" s="121">
        <v>8.8640000000000008</v>
      </c>
      <c r="BI750" s="121">
        <v>9.407</v>
      </c>
      <c r="BJ750" s="121">
        <v>9.9420000000000002</v>
      </c>
      <c r="BK750" s="121">
        <v>10.477</v>
      </c>
      <c r="BL750" s="121">
        <v>11.004999999999999</v>
      </c>
      <c r="BM750" s="121">
        <v>11.532999999999999</v>
      </c>
      <c r="BN750" s="121">
        <f t="array" ref="BN750:BN794">TRANSPOSE(BO749:DG749)</f>
        <v>12.038499999999999</v>
      </c>
      <c r="BO750" s="158">
        <v>12.544</v>
      </c>
      <c r="BP750" s="120">
        <f>(BQ750+BO750)/2</f>
        <v>13.041</v>
      </c>
      <c r="BQ750" s="158">
        <v>13.538</v>
      </c>
      <c r="BR750" s="120">
        <f>(BS750+BQ750)/2</f>
        <v>14.028</v>
      </c>
      <c r="BS750" s="158">
        <v>14.518000000000001</v>
      </c>
      <c r="BT750" s="120">
        <f>(BU750+BS750)/2</f>
        <v>14.986000000000001</v>
      </c>
      <c r="BU750" s="158">
        <v>15.454000000000001</v>
      </c>
      <c r="BV750" s="120">
        <f>(BW750+BU750)/2</f>
        <v>15.906000000000001</v>
      </c>
      <c r="BW750" s="158">
        <v>16.358000000000001</v>
      </c>
      <c r="BX750" s="120">
        <f>(BY750+BW750)/2</f>
        <v>16.855</v>
      </c>
      <c r="BY750" s="158">
        <v>17.352</v>
      </c>
      <c r="BZ750" s="120">
        <f>(CA750+BY750)/2</f>
        <v>17.782499999999999</v>
      </c>
      <c r="CA750" s="158">
        <v>18.213000000000001</v>
      </c>
      <c r="CB750" s="120">
        <f>(CC750+CA750)/2</f>
        <v>18.6645</v>
      </c>
      <c r="CC750" s="158">
        <v>19.116</v>
      </c>
      <c r="CD750" s="120">
        <f>(CE750+CC750)/2</f>
        <v>19.5685</v>
      </c>
      <c r="CE750" s="158">
        <v>20.021000000000001</v>
      </c>
      <c r="CF750" s="120">
        <f>(CG750+CE750)/2</f>
        <v>20.458500000000001</v>
      </c>
      <c r="CG750" s="158">
        <v>20.896000000000001</v>
      </c>
      <c r="CH750" s="120">
        <f>(CI750+CG750)/2</f>
        <v>21.3475</v>
      </c>
      <c r="CI750" s="158">
        <v>21.798999999999999</v>
      </c>
      <c r="CJ750" s="120">
        <f>(CK750+CI750)/2</f>
        <v>22.2515</v>
      </c>
      <c r="CK750" s="158">
        <v>22.704000000000001</v>
      </c>
      <c r="CL750" s="120">
        <f>(CM750+CK750)/2</f>
        <v>23.1035</v>
      </c>
      <c r="CM750" s="158">
        <v>23.503</v>
      </c>
      <c r="CN750" s="120">
        <f>(CO750+CM750)/2</f>
        <v>23.955500000000001</v>
      </c>
      <c r="CO750" s="158">
        <v>24.408000000000001</v>
      </c>
      <c r="CP750" s="120">
        <f>(CQ750+CO750)/2</f>
        <v>24.859500000000001</v>
      </c>
      <c r="CQ750" s="158">
        <v>25.311</v>
      </c>
      <c r="CR750" s="120">
        <f>(CS750+CQ750)/2</f>
        <v>25.703499999999998</v>
      </c>
      <c r="CS750" s="158">
        <v>26.096</v>
      </c>
      <c r="CT750" s="120">
        <f>(CU750+CS750)/2</f>
        <v>26.555500000000002</v>
      </c>
      <c r="CU750" s="158">
        <v>27.015000000000001</v>
      </c>
      <c r="CV750" s="120">
        <f>(CW750+CU750)/2</f>
        <v>27.429500000000001</v>
      </c>
      <c r="CW750" s="158">
        <v>27.844000000000001</v>
      </c>
      <c r="CX750" s="120">
        <f>(CY750+CW750)/2</f>
        <v>28.236000000000001</v>
      </c>
      <c r="CY750" s="158">
        <v>28.628</v>
      </c>
      <c r="CZ750" s="120">
        <f>(DA750+CY750)/2</f>
        <v>29.087499999999999</v>
      </c>
      <c r="DA750" s="158">
        <v>29.547000000000001</v>
      </c>
      <c r="DB750" s="120">
        <f>(DC750+DA750)/2</f>
        <v>29.961500000000001</v>
      </c>
      <c r="DC750" s="158">
        <v>30.376000000000001</v>
      </c>
      <c r="DD750" s="120">
        <f>(DE750+DC750)/2</f>
        <v>30.768000000000001</v>
      </c>
      <c r="DE750" s="158">
        <v>31.16</v>
      </c>
      <c r="DF750" s="120">
        <f>(DG750+DE750)/2</f>
        <v>31.5745</v>
      </c>
      <c r="DG750" s="159">
        <v>31.989000000000001</v>
      </c>
    </row>
    <row r="751" spans="54:111" ht="15" customHeight="1" x14ac:dyDescent="0.2">
      <c r="BB751" s="28">
        <v>17</v>
      </c>
      <c r="BC751" s="121">
        <v>6.0169999999999995</v>
      </c>
      <c r="BD751" s="121">
        <v>6.6887500000000006</v>
      </c>
      <c r="BE751" s="121">
        <v>7.3605</v>
      </c>
      <c r="BF751" s="121">
        <v>7.9979999999999993</v>
      </c>
      <c r="BG751" s="121">
        <v>8.6355000000000004</v>
      </c>
      <c r="BH751" s="121">
        <v>9.2014999999999993</v>
      </c>
      <c r="BI751" s="121">
        <v>9.7675000000000001</v>
      </c>
      <c r="BJ751" s="121">
        <v>10.332750000000001</v>
      </c>
      <c r="BK751" s="121">
        <v>10.898</v>
      </c>
      <c r="BL751" s="121">
        <v>11.437749999999999</v>
      </c>
      <c r="BM751" s="121">
        <v>11.977499999999999</v>
      </c>
      <c r="BN751" s="121">
        <v>12.50925</v>
      </c>
      <c r="BO751" s="121">
        <f t="array" ref="BO751:BO794">TRANSPOSE(BP750:DG750)</f>
        <v>13.041</v>
      </c>
      <c r="BP751" s="120">
        <f>(BO751+BQ751)/2</f>
        <v>13.546250000000001</v>
      </c>
      <c r="BQ751" s="120">
        <f>(BQ750+BQ752)/2</f>
        <v>14.051500000000001</v>
      </c>
      <c r="BR751" s="120">
        <f>(BQ751+BS751)/2</f>
        <v>14.572000000000001</v>
      </c>
      <c r="BS751" s="120">
        <f>(BS750+BS752)/2</f>
        <v>15.092500000000001</v>
      </c>
      <c r="BT751" s="120">
        <f>(BS751+BU751)/2</f>
        <v>15.58675</v>
      </c>
      <c r="BU751" s="120">
        <f>(BU750+BU752)/2</f>
        <v>16.081</v>
      </c>
      <c r="BV751" s="120">
        <f>(BU751+BW751)/2</f>
        <v>16.544750000000001</v>
      </c>
      <c r="BW751" s="120">
        <f>(BW750+BW752)/2</f>
        <v>17.008499999999998</v>
      </c>
      <c r="BX751" s="120">
        <f>(BW751+BY751)/2</f>
        <v>17.517249999999997</v>
      </c>
      <c r="BY751" s="120">
        <f>(BY750+BY752)/2</f>
        <v>18.026</v>
      </c>
      <c r="BZ751" s="120">
        <f>(BY751+CA751)/2</f>
        <v>18.478749999999998</v>
      </c>
      <c r="CA751" s="120">
        <f>(CA750+CA752)/2</f>
        <v>18.9315</v>
      </c>
      <c r="CB751" s="120">
        <f>(CA751+CC751)/2</f>
        <v>19.417749999999998</v>
      </c>
      <c r="CC751" s="120">
        <f>(CC750+CC752)/2</f>
        <v>19.904</v>
      </c>
      <c r="CD751" s="120">
        <f>(CC751+CE751)/2</f>
        <v>20.367750000000001</v>
      </c>
      <c r="CE751" s="120">
        <f>(CE750+CE752)/2</f>
        <v>20.831499999999998</v>
      </c>
      <c r="CF751" s="120">
        <f>(CE751+CG751)/2</f>
        <v>21.288249999999998</v>
      </c>
      <c r="CG751" s="120">
        <f>(CG750+CG752)/2</f>
        <v>21.745000000000001</v>
      </c>
      <c r="CH751" s="120">
        <f>(CG751+CI751)/2</f>
        <v>22.212000000000003</v>
      </c>
      <c r="CI751" s="120">
        <f>(CI750+CI752)/2</f>
        <v>22.679000000000002</v>
      </c>
      <c r="CJ751" s="120">
        <f>(CI751+CK751)/2</f>
        <v>23.143000000000001</v>
      </c>
      <c r="CK751" s="120">
        <f>(CK750+CK752)/2</f>
        <v>23.606999999999999</v>
      </c>
      <c r="CL751" s="120">
        <f>(CK751+CM751)/2</f>
        <v>24.048000000000002</v>
      </c>
      <c r="CM751" s="120">
        <f>(CM750+CM752)/2</f>
        <v>24.489000000000001</v>
      </c>
      <c r="CN751" s="120">
        <f>(CM751+CO751)/2</f>
        <v>24.953000000000003</v>
      </c>
      <c r="CO751" s="120">
        <f>(CO750+CO752)/2</f>
        <v>25.417000000000002</v>
      </c>
      <c r="CP751" s="120">
        <f>(CO751+CQ751)/2</f>
        <v>25.865500000000001</v>
      </c>
      <c r="CQ751" s="120">
        <f>(CQ750+CQ752)/2</f>
        <v>26.314</v>
      </c>
      <c r="CR751" s="120">
        <f>(CQ751+CS751)/2</f>
        <v>26.74775</v>
      </c>
      <c r="CS751" s="120">
        <f>(CS750+CS752)/2</f>
        <v>27.1815</v>
      </c>
      <c r="CT751" s="120">
        <f>(CS751+CU751)/2</f>
        <v>27.652750000000001</v>
      </c>
      <c r="CU751" s="120">
        <f>(CU750+CU752)/2</f>
        <v>28.124000000000002</v>
      </c>
      <c r="CV751" s="120">
        <f>(CU751+CW751)/2</f>
        <v>28.55</v>
      </c>
      <c r="CW751" s="120">
        <f>(CW750+CW752)/2</f>
        <v>28.975999999999999</v>
      </c>
      <c r="CX751" s="120">
        <f>(CW751+CY751)/2</f>
        <v>29.390750000000001</v>
      </c>
      <c r="CY751" s="120">
        <f>(CY750+CY752)/2</f>
        <v>29.805500000000002</v>
      </c>
      <c r="CZ751" s="120">
        <f>(CY751+DA751)/2</f>
        <v>30.27675</v>
      </c>
      <c r="DA751" s="120">
        <f>(DA750+DA752)/2</f>
        <v>30.748000000000001</v>
      </c>
      <c r="DB751" s="120">
        <f>(DA751+DC751)/2</f>
        <v>31.174250000000001</v>
      </c>
      <c r="DC751" s="120">
        <f>(DC750+DC752)/2</f>
        <v>31.600500000000004</v>
      </c>
      <c r="DD751" s="120">
        <f>(DC751+DE751)/2</f>
        <v>32.018825000000007</v>
      </c>
      <c r="DE751" s="120">
        <f>(DE750+DE752)/2</f>
        <v>32.437150000000003</v>
      </c>
      <c r="DF751" s="120">
        <f>(DE751+DG751)/2</f>
        <v>32.882325000000002</v>
      </c>
      <c r="DG751" s="122">
        <f>(DG750+DG752)/2</f>
        <v>33.327500000000001</v>
      </c>
    </row>
    <row r="752" spans="54:111" ht="15" customHeight="1" x14ac:dyDescent="0.2">
      <c r="BB752" s="28">
        <v>18</v>
      </c>
      <c r="BC752" s="121">
        <v>6.2779999999999996</v>
      </c>
      <c r="BD752" s="121">
        <v>6.9424999999999999</v>
      </c>
      <c r="BE752" s="121">
        <v>7.6070000000000002</v>
      </c>
      <c r="BF752" s="121">
        <v>8.2784999999999993</v>
      </c>
      <c r="BG752" s="121">
        <v>8.9499999999999993</v>
      </c>
      <c r="BH752" s="121">
        <v>9.5389999999999997</v>
      </c>
      <c r="BI752" s="121">
        <v>10.128</v>
      </c>
      <c r="BJ752" s="121">
        <v>10.723500000000001</v>
      </c>
      <c r="BK752" s="121">
        <v>11.319000000000001</v>
      </c>
      <c r="BL752" s="121">
        <v>11.8705</v>
      </c>
      <c r="BM752" s="121">
        <v>12.422000000000001</v>
      </c>
      <c r="BN752" s="121">
        <v>12.98</v>
      </c>
      <c r="BO752" s="121">
        <v>13.538</v>
      </c>
      <c r="BP752" s="121">
        <f t="array" ref="BP752:BP794">TRANSPOSE(BQ751:DG751)</f>
        <v>14.051500000000001</v>
      </c>
      <c r="BQ752" s="158">
        <v>14.565</v>
      </c>
      <c r="BR752" s="120">
        <f>(BS752+BQ752)/2</f>
        <v>15.116</v>
      </c>
      <c r="BS752" s="158">
        <v>15.667</v>
      </c>
      <c r="BT752" s="120">
        <f>(BU752+BS752)/2</f>
        <v>16.1875</v>
      </c>
      <c r="BU752" s="158">
        <v>16.707999999999998</v>
      </c>
      <c r="BV752" s="120">
        <f>(BW752+BU752)/2</f>
        <v>17.183499999999999</v>
      </c>
      <c r="BW752" s="158">
        <v>17.658999999999999</v>
      </c>
      <c r="BX752" s="120">
        <f>(BY752+BW752)/2</f>
        <v>18.179499999999997</v>
      </c>
      <c r="BY752" s="158">
        <v>18.7</v>
      </c>
      <c r="BZ752" s="120">
        <f>(CA752+BY752)/2</f>
        <v>19.174999999999997</v>
      </c>
      <c r="CA752" s="158">
        <v>19.649999999999999</v>
      </c>
      <c r="CB752" s="120">
        <f>(CC752+CA752)/2</f>
        <v>20.170999999999999</v>
      </c>
      <c r="CC752" s="158">
        <v>20.692</v>
      </c>
      <c r="CD752" s="120">
        <f>(CE752+CC752)/2</f>
        <v>21.167000000000002</v>
      </c>
      <c r="CE752" s="158">
        <v>21.641999999999999</v>
      </c>
      <c r="CF752" s="120">
        <f>(CG752+CE752)/2</f>
        <v>22.118000000000002</v>
      </c>
      <c r="CG752" s="158">
        <v>22.594000000000001</v>
      </c>
      <c r="CH752" s="120">
        <f>(CI752+CG752)/2</f>
        <v>23.076500000000003</v>
      </c>
      <c r="CI752" s="158">
        <v>23.559000000000001</v>
      </c>
      <c r="CJ752" s="120">
        <f>(CK752+CI752)/2</f>
        <v>24.034500000000001</v>
      </c>
      <c r="CK752" s="158">
        <v>24.51</v>
      </c>
      <c r="CL752" s="120">
        <f>(CM752+CK752)/2</f>
        <v>24.9925</v>
      </c>
      <c r="CM752" s="158">
        <v>25.475000000000001</v>
      </c>
      <c r="CN752" s="120">
        <f>(CO752+CM752)/2</f>
        <v>25.950499999999998</v>
      </c>
      <c r="CO752" s="158">
        <v>26.425999999999998</v>
      </c>
      <c r="CP752" s="120">
        <f>(CQ752+CO752)/2</f>
        <v>26.871499999999997</v>
      </c>
      <c r="CQ752" s="158">
        <v>27.317</v>
      </c>
      <c r="CR752" s="120">
        <f>(CS752+CQ752)/2</f>
        <v>27.792000000000002</v>
      </c>
      <c r="CS752" s="158">
        <v>28.266999999999999</v>
      </c>
      <c r="CT752" s="120">
        <f>(CU752+CS752)/2</f>
        <v>28.75</v>
      </c>
      <c r="CU752" s="158">
        <v>29.233000000000001</v>
      </c>
      <c r="CV752" s="120">
        <f>(CW752+CU752)/2</f>
        <v>29.670500000000001</v>
      </c>
      <c r="CW752" s="158">
        <v>30.108000000000001</v>
      </c>
      <c r="CX752" s="120">
        <f>(CY752+CW752)/2</f>
        <v>30.545500000000001</v>
      </c>
      <c r="CY752" s="158">
        <v>30.983000000000001</v>
      </c>
      <c r="CZ752" s="120">
        <f>(DA752+CY752)/2</f>
        <v>31.466000000000001</v>
      </c>
      <c r="DA752" s="158">
        <v>31.949000000000002</v>
      </c>
      <c r="DB752" s="120">
        <f>(DC752+DA752)/2</f>
        <v>32.387</v>
      </c>
      <c r="DC752" s="158">
        <v>32.825000000000003</v>
      </c>
      <c r="DD752" s="120">
        <f>(DE752+DC752)/2</f>
        <v>33.269649999999999</v>
      </c>
      <c r="DE752" s="158">
        <v>33.714300000000001</v>
      </c>
      <c r="DF752" s="120">
        <f>(DG752+DE752)/2</f>
        <v>34.190150000000003</v>
      </c>
      <c r="DG752" s="159">
        <v>34.665999999999997</v>
      </c>
    </row>
    <row r="753" spans="54:111" ht="15" customHeight="1" x14ac:dyDescent="0.2">
      <c r="BB753" s="28">
        <v>19</v>
      </c>
      <c r="BC753" s="121">
        <v>6.5009999999999994</v>
      </c>
      <c r="BD753" s="121">
        <v>7.1997499999999999</v>
      </c>
      <c r="BE753" s="121">
        <v>7.8985000000000003</v>
      </c>
      <c r="BF753" s="121">
        <v>8.5777499999999982</v>
      </c>
      <c r="BG753" s="121">
        <v>9.2569999999999997</v>
      </c>
      <c r="BH753" s="121">
        <v>9.8724999999999987</v>
      </c>
      <c r="BI753" s="121">
        <v>10.488</v>
      </c>
      <c r="BJ753" s="121">
        <v>11.095500000000001</v>
      </c>
      <c r="BK753" s="121">
        <v>11.702999999999999</v>
      </c>
      <c r="BL753" s="121">
        <v>12.284775</v>
      </c>
      <c r="BM753" s="121">
        <v>12.86655</v>
      </c>
      <c r="BN753" s="121">
        <v>13.447275000000001</v>
      </c>
      <c r="BO753" s="121">
        <v>14.028</v>
      </c>
      <c r="BP753" s="121">
        <v>14.572000000000001</v>
      </c>
      <c r="BQ753" s="121">
        <f t="array" ref="BQ753:BQ794">TRANSPOSE(BR752:DG752)</f>
        <v>15.116</v>
      </c>
      <c r="BR753" s="120">
        <f>(BQ753+BS753)/2</f>
        <v>15.663499999999999</v>
      </c>
      <c r="BS753" s="120">
        <f>(BS752+BS754)/2</f>
        <v>16.210999999999999</v>
      </c>
      <c r="BT753" s="120">
        <f>(BS753+BU753)/2</f>
        <v>16.753999999999998</v>
      </c>
      <c r="BU753" s="120">
        <f>(BU752+BU754)/2</f>
        <v>17.296999999999997</v>
      </c>
      <c r="BV753" s="120">
        <f>(BU753+BW753)/2</f>
        <v>17.802999999999997</v>
      </c>
      <c r="BW753" s="120">
        <f>(BW752+BW754)/2</f>
        <v>18.308999999999997</v>
      </c>
      <c r="BX753" s="120">
        <f>(BW753+BY753)/2</f>
        <v>18.841249999999999</v>
      </c>
      <c r="BY753" s="120">
        <f>(BY752+BY754)/2</f>
        <v>19.3735</v>
      </c>
      <c r="BZ753" s="120">
        <f>(BY753+CA753)/2</f>
        <v>19.890499999999999</v>
      </c>
      <c r="CA753" s="120">
        <f>(CA752+CA754)/2</f>
        <v>20.407499999999999</v>
      </c>
      <c r="CB753" s="120">
        <f>(CA753+CC753)/2</f>
        <v>20.920749999999998</v>
      </c>
      <c r="CC753" s="120">
        <f>(CC752+CC754)/2</f>
        <v>21.433999999999997</v>
      </c>
      <c r="CD753" s="120">
        <f>(CC753+CE753)/2</f>
        <v>21.924499999999998</v>
      </c>
      <c r="CE753" s="120">
        <f>(CE752+CE754)/2</f>
        <v>22.414999999999999</v>
      </c>
      <c r="CF753" s="120">
        <f>(CE753+CG753)/2</f>
        <v>22.932500000000001</v>
      </c>
      <c r="CG753" s="120">
        <f>(CG752+CG754)/2</f>
        <v>23.450000000000003</v>
      </c>
      <c r="CH753" s="120">
        <f>(CG753+CI753)/2</f>
        <v>23.944250000000004</v>
      </c>
      <c r="CI753" s="120">
        <f>(CI752+CI754)/2</f>
        <v>24.438500000000001</v>
      </c>
      <c r="CJ753" s="120">
        <f>(CI753+CK753)/2</f>
        <v>24.9255</v>
      </c>
      <c r="CK753" s="120">
        <f>(CK752+CK754)/2</f>
        <v>25.412500000000001</v>
      </c>
      <c r="CL753" s="120">
        <f>(CK753+CM753)/2</f>
        <v>25.917999999999999</v>
      </c>
      <c r="CM753" s="120">
        <f>(CM752+CM754)/2</f>
        <v>26.423500000000001</v>
      </c>
      <c r="CN753" s="120">
        <f>(CM753+CO753)/2</f>
        <v>26.914250000000003</v>
      </c>
      <c r="CO753" s="120">
        <f>(CO752+CO754)/2</f>
        <v>27.405000000000001</v>
      </c>
      <c r="CP753" s="120">
        <f>(CO753+CQ753)/2</f>
        <v>27.87725</v>
      </c>
      <c r="CQ753" s="120">
        <f>(CQ752+CQ754)/2</f>
        <v>28.349499999999999</v>
      </c>
      <c r="CR753" s="120">
        <f>(CQ753+CS753)/2</f>
        <v>28.832000000000001</v>
      </c>
      <c r="CS753" s="120">
        <f>(CS752+CS754)/2</f>
        <v>29.314499999999999</v>
      </c>
      <c r="CT753" s="120">
        <f>(CS753+CU753)/2</f>
        <v>29.805500000000002</v>
      </c>
      <c r="CU753" s="120">
        <f>(CU752+CU754)/2</f>
        <v>30.296500000000002</v>
      </c>
      <c r="CV753" s="120">
        <f>(CU753+CW753)/2</f>
        <v>30.768250000000002</v>
      </c>
      <c r="CW753" s="120">
        <f>(CW752+CW754)/2</f>
        <v>31.240000000000002</v>
      </c>
      <c r="CX753" s="120">
        <f>(CW753+CY753)/2</f>
        <v>31.704000000000001</v>
      </c>
      <c r="CY753" s="120">
        <f>(CY752+CY754)/2</f>
        <v>32.167999999999999</v>
      </c>
      <c r="CZ753" s="120">
        <f>(CY753+DA753)/2</f>
        <v>32.658999999999999</v>
      </c>
      <c r="DA753" s="120">
        <f>(DA752+DA754)/2</f>
        <v>33.15</v>
      </c>
      <c r="DB753" s="120">
        <f>(DA753+DC753)/2</f>
        <v>33.602999999999994</v>
      </c>
      <c r="DC753" s="120">
        <f>(DC752+DC754)/2</f>
        <v>34.055999999999997</v>
      </c>
      <c r="DD753" s="120">
        <f>(DC753+DE753)/2</f>
        <v>34.538825000000003</v>
      </c>
      <c r="DE753" s="120">
        <f>(DE752+DE754)/2</f>
        <v>35.021650000000001</v>
      </c>
      <c r="DF753" s="120">
        <f>(DE753+DG753)/2</f>
        <v>35.493575</v>
      </c>
      <c r="DG753" s="122">
        <f>(DG752+DG754)/2</f>
        <v>35.965499999999999</v>
      </c>
    </row>
    <row r="754" spans="54:111" ht="15" customHeight="1" x14ac:dyDescent="0.2">
      <c r="BB754" s="28">
        <v>20</v>
      </c>
      <c r="BC754" s="121">
        <v>6.7240000000000002</v>
      </c>
      <c r="BD754" s="121">
        <v>7.4569999999999999</v>
      </c>
      <c r="BE754" s="121">
        <v>8.19</v>
      </c>
      <c r="BF754" s="121">
        <v>8.8769999999999989</v>
      </c>
      <c r="BG754" s="121">
        <v>9.5640000000000001</v>
      </c>
      <c r="BH754" s="121">
        <v>10.206</v>
      </c>
      <c r="BI754" s="121">
        <v>10.848000000000001</v>
      </c>
      <c r="BJ754" s="121">
        <v>11.467500000000001</v>
      </c>
      <c r="BK754" s="121">
        <v>12.087</v>
      </c>
      <c r="BL754" s="121">
        <v>12.69905</v>
      </c>
      <c r="BM754" s="121">
        <v>13.3111</v>
      </c>
      <c r="BN754" s="121">
        <v>13.91455</v>
      </c>
      <c r="BO754" s="121">
        <v>14.518000000000001</v>
      </c>
      <c r="BP754" s="121">
        <v>15.092500000000001</v>
      </c>
      <c r="BQ754" s="121">
        <v>15.667</v>
      </c>
      <c r="BR754" s="121">
        <f t="array" ref="BR754:BR794">TRANSPOSE(BS753:DG753)</f>
        <v>16.210999999999999</v>
      </c>
      <c r="BS754" s="158">
        <v>16.754999999999999</v>
      </c>
      <c r="BT754" s="120">
        <f>(BU754+BS754)/2</f>
        <v>17.320499999999999</v>
      </c>
      <c r="BU754" s="158">
        <v>17.885999999999999</v>
      </c>
      <c r="BV754" s="120">
        <f>(BW754+BU754)/2</f>
        <v>18.422499999999999</v>
      </c>
      <c r="BW754" s="158">
        <v>18.959</v>
      </c>
      <c r="BX754" s="120">
        <f>(BY754+BW754)/2</f>
        <v>19.503</v>
      </c>
      <c r="BY754" s="158">
        <v>20.047000000000001</v>
      </c>
      <c r="BZ754" s="120">
        <f>(CA754+BY754)/2</f>
        <v>20.606000000000002</v>
      </c>
      <c r="CA754" s="158">
        <v>21.164999999999999</v>
      </c>
      <c r="CB754" s="120">
        <f>(CC754+CA754)/2</f>
        <v>21.670499999999997</v>
      </c>
      <c r="CC754" s="158">
        <v>22.175999999999998</v>
      </c>
      <c r="CD754" s="120">
        <f>(CE754+CC754)/2</f>
        <v>22.681999999999999</v>
      </c>
      <c r="CE754" s="158">
        <v>23.187999999999999</v>
      </c>
      <c r="CF754" s="120">
        <f>(CG754+CE754)/2</f>
        <v>23.747</v>
      </c>
      <c r="CG754" s="158">
        <v>24.306000000000001</v>
      </c>
      <c r="CH754" s="120">
        <f>(CI754+CG754)/2</f>
        <v>24.812000000000001</v>
      </c>
      <c r="CI754" s="158">
        <v>25.318000000000001</v>
      </c>
      <c r="CJ754" s="120">
        <f>(CK754+CI754)/2</f>
        <v>25.816500000000001</v>
      </c>
      <c r="CK754" s="158">
        <v>26.315000000000001</v>
      </c>
      <c r="CL754" s="120">
        <f>(CM754+CK754)/2</f>
        <v>26.843499999999999</v>
      </c>
      <c r="CM754" s="158">
        <v>27.372</v>
      </c>
      <c r="CN754" s="120">
        <f>(CO754+CM754)/2</f>
        <v>27.878</v>
      </c>
      <c r="CO754" s="158">
        <v>28.384</v>
      </c>
      <c r="CP754" s="120">
        <f>(CQ754+CO754)/2</f>
        <v>28.883000000000003</v>
      </c>
      <c r="CQ754" s="158">
        <v>29.382000000000001</v>
      </c>
      <c r="CR754" s="120">
        <f>(CS754+CQ754)/2</f>
        <v>29.872</v>
      </c>
      <c r="CS754" s="158">
        <v>30.361999999999998</v>
      </c>
      <c r="CT754" s="120">
        <f>(CU754+CS754)/2</f>
        <v>30.860999999999997</v>
      </c>
      <c r="CU754" s="158">
        <v>31.36</v>
      </c>
      <c r="CV754" s="120">
        <f>(CW754+CU754)/2</f>
        <v>31.866</v>
      </c>
      <c r="CW754" s="158">
        <v>32.372</v>
      </c>
      <c r="CX754" s="120">
        <f>(CY754+CW754)/2</f>
        <v>32.862499999999997</v>
      </c>
      <c r="CY754" s="158">
        <v>33.353000000000002</v>
      </c>
      <c r="CZ754" s="120">
        <f>(DA754+CY754)/2</f>
        <v>33.852000000000004</v>
      </c>
      <c r="DA754" s="158">
        <v>34.350999999999999</v>
      </c>
      <c r="DB754" s="120">
        <f>(DC754+DA754)/2</f>
        <v>34.819000000000003</v>
      </c>
      <c r="DC754" s="158">
        <v>35.286999999999999</v>
      </c>
      <c r="DD754" s="120">
        <f>(DE754+DC754)/2</f>
        <v>35.808</v>
      </c>
      <c r="DE754" s="158">
        <v>36.329000000000001</v>
      </c>
      <c r="DF754" s="120">
        <f>(DG754+DE754)/2</f>
        <v>36.796999999999997</v>
      </c>
      <c r="DG754" s="159">
        <v>37.265000000000001</v>
      </c>
    </row>
    <row r="755" spans="54:111" ht="15" customHeight="1" x14ac:dyDescent="0.2">
      <c r="BB755" s="28">
        <v>21</v>
      </c>
      <c r="BC755" s="121">
        <v>6.9320000000000004</v>
      </c>
      <c r="BD755" s="121">
        <v>7.6839999999999993</v>
      </c>
      <c r="BE755" s="121">
        <v>8.4359999999999999</v>
      </c>
      <c r="BF755" s="121">
        <v>9.1497499999999992</v>
      </c>
      <c r="BG755" s="121">
        <v>9.8635000000000002</v>
      </c>
      <c r="BH755" s="121">
        <v>10.5245</v>
      </c>
      <c r="BI755" s="121">
        <v>11.185500000000001</v>
      </c>
      <c r="BJ755" s="121">
        <v>11.84675</v>
      </c>
      <c r="BK755" s="121">
        <v>12.507999999999999</v>
      </c>
      <c r="BL755" s="121">
        <v>13.123775</v>
      </c>
      <c r="BM755" s="121">
        <v>13.739549999999999</v>
      </c>
      <c r="BN755" s="121">
        <v>14.362774999999999</v>
      </c>
      <c r="BO755" s="121">
        <v>14.986000000000001</v>
      </c>
      <c r="BP755" s="121">
        <v>15.58675</v>
      </c>
      <c r="BQ755" s="121">
        <v>16.1875</v>
      </c>
      <c r="BR755" s="121">
        <v>16.753999999999998</v>
      </c>
      <c r="BS755" s="121">
        <f t="array" ref="BS755:BS794">TRANSPOSE(BT754:DG754)</f>
        <v>17.320499999999999</v>
      </c>
      <c r="BT755" s="120">
        <f>(BS755+BU755)/2</f>
        <v>17.902250000000002</v>
      </c>
      <c r="BU755" s="120">
        <f>(BU754+BU756)/2</f>
        <v>18.484000000000002</v>
      </c>
      <c r="BV755" s="120">
        <f>(BU755+BW755)/2</f>
        <v>19.047000000000001</v>
      </c>
      <c r="BW755" s="120">
        <f>(BW754+BW756)/2</f>
        <v>19.61</v>
      </c>
      <c r="BX755" s="120">
        <f>(BW755+BY755)/2</f>
        <v>20.17625</v>
      </c>
      <c r="BY755" s="120">
        <f>(BY754+BY756)/2</f>
        <v>20.7425</v>
      </c>
      <c r="BZ755" s="120">
        <f>(BY755+CA755)/2</f>
        <v>21.286999999999999</v>
      </c>
      <c r="CA755" s="120">
        <f>(CA754+CA756)/2</f>
        <v>21.831499999999998</v>
      </c>
      <c r="CB755" s="120">
        <f>(CA755+CC755)/2</f>
        <v>22.375</v>
      </c>
      <c r="CC755" s="120">
        <f>(CC754+CC756)/2</f>
        <v>22.918500000000002</v>
      </c>
      <c r="CD755" s="120">
        <f>(CC755+CE755)/2</f>
        <v>23.466000000000001</v>
      </c>
      <c r="CE755" s="120">
        <f>(CE754+CE756)/2</f>
        <v>24.013500000000001</v>
      </c>
      <c r="CF755" s="120">
        <f>(CE755+CG755)/2</f>
        <v>24.558</v>
      </c>
      <c r="CG755" s="120">
        <f>(CG754+CG756)/2</f>
        <v>25.102499999999999</v>
      </c>
      <c r="CH755" s="120">
        <f>(CG755+CI755)/2</f>
        <v>25.631250000000001</v>
      </c>
      <c r="CI755" s="120">
        <f>(CI754+CI756)/2</f>
        <v>26.16</v>
      </c>
      <c r="CJ755" s="120">
        <f>(CI755+CK755)/2</f>
        <v>26.70025</v>
      </c>
      <c r="CK755" s="120">
        <f>(CK754+CK756)/2</f>
        <v>27.240500000000001</v>
      </c>
      <c r="CL755" s="120">
        <f>(CK755+CM755)/2</f>
        <v>27.76925</v>
      </c>
      <c r="CM755" s="120">
        <f>(CM754+CM756)/2</f>
        <v>28.298000000000002</v>
      </c>
      <c r="CN755" s="120">
        <f>(CM755+CO755)/2</f>
        <v>28.826750000000001</v>
      </c>
      <c r="CO755" s="120">
        <f>(CO754+CO756)/2</f>
        <v>29.355499999999999</v>
      </c>
      <c r="CP755" s="120">
        <f>(CO755+CQ755)/2</f>
        <v>29.880749999999999</v>
      </c>
      <c r="CQ755" s="120">
        <f>(CQ754+CQ756)/2</f>
        <v>30.405999999999999</v>
      </c>
      <c r="CR755" s="120">
        <f>(CQ755+CS755)/2</f>
        <v>30.8935</v>
      </c>
      <c r="CS755" s="120">
        <f>(CS754+CS756)/2</f>
        <v>31.381</v>
      </c>
      <c r="CT755" s="120">
        <f>(CS755+CU755)/2</f>
        <v>31.905749999999998</v>
      </c>
      <c r="CU755" s="120">
        <f>(CU754+CU756)/2</f>
        <v>32.430499999999995</v>
      </c>
      <c r="CV755" s="120">
        <f>(CU755+CW755)/2</f>
        <v>32.959499999999998</v>
      </c>
      <c r="CW755" s="120">
        <f>(CW754+CW756)/2</f>
        <v>33.488500000000002</v>
      </c>
      <c r="CX755" s="120">
        <f>(CW755+CY755)/2</f>
        <v>33.9985</v>
      </c>
      <c r="CY755" s="120">
        <f>(CY754+CY756)/2</f>
        <v>34.508499999999998</v>
      </c>
      <c r="CZ755" s="120">
        <f>(CY755+DA755)/2</f>
        <v>35.014749999999999</v>
      </c>
      <c r="DA755" s="120">
        <f>(DA754+DA756)/2</f>
        <v>35.521000000000001</v>
      </c>
      <c r="DB755" s="120">
        <f>(DA755+DC755)/2</f>
        <v>36.027250000000002</v>
      </c>
      <c r="DC755" s="120">
        <f>(DC754+DC756)/2</f>
        <v>36.533500000000004</v>
      </c>
      <c r="DD755" s="120">
        <f>(DC755+DE755)/2</f>
        <v>37.039749999999998</v>
      </c>
      <c r="DE755" s="120">
        <f>(DE754+DE756)/2</f>
        <v>37.545999999999999</v>
      </c>
      <c r="DF755" s="120">
        <f>(DE755+DG755)/2</f>
        <v>38.055499999999995</v>
      </c>
      <c r="DG755" s="122">
        <f>(DG754+DG756)/2</f>
        <v>38.564999999999998</v>
      </c>
    </row>
    <row r="756" spans="54:111" ht="15" customHeight="1" x14ac:dyDescent="0.2">
      <c r="BB756" s="28">
        <v>22</v>
      </c>
      <c r="BC756" s="121">
        <v>7.14</v>
      </c>
      <c r="BD756" s="121">
        <v>7.9109999999999996</v>
      </c>
      <c r="BE756" s="121">
        <v>8.6820000000000004</v>
      </c>
      <c r="BF756" s="121">
        <v>9.4224999999999994</v>
      </c>
      <c r="BG756" s="121">
        <v>10.163</v>
      </c>
      <c r="BH756" s="121">
        <v>10.843</v>
      </c>
      <c r="BI756" s="121">
        <v>11.523</v>
      </c>
      <c r="BJ756" s="121">
        <v>12.225999999999999</v>
      </c>
      <c r="BK756" s="121">
        <v>12.929</v>
      </c>
      <c r="BL756" s="121">
        <v>13.548500000000001</v>
      </c>
      <c r="BM756" s="121">
        <v>14.167999999999999</v>
      </c>
      <c r="BN756" s="121">
        <v>14.811</v>
      </c>
      <c r="BO756" s="121">
        <v>15.454000000000001</v>
      </c>
      <c r="BP756" s="121">
        <v>16.081</v>
      </c>
      <c r="BQ756" s="121">
        <v>16.707999999999998</v>
      </c>
      <c r="BR756" s="121">
        <v>17.296999999999997</v>
      </c>
      <c r="BS756" s="121">
        <v>17.885999999999999</v>
      </c>
      <c r="BT756" s="121">
        <f t="array" ref="BT756:BT794">TRANSPOSE(BU755:DG755)</f>
        <v>18.484000000000002</v>
      </c>
      <c r="BU756" s="158">
        <v>19.082000000000001</v>
      </c>
      <c r="BV756" s="120">
        <f>(BW756+BU756)/2</f>
        <v>19.671500000000002</v>
      </c>
      <c r="BW756" s="158">
        <v>20.260999999999999</v>
      </c>
      <c r="BX756" s="120">
        <f>(BY756+BW756)/2</f>
        <v>20.849499999999999</v>
      </c>
      <c r="BY756" s="158">
        <v>21.437999999999999</v>
      </c>
      <c r="BZ756" s="120">
        <f>(CA756+BY756)/2</f>
        <v>21.968</v>
      </c>
      <c r="CA756" s="158">
        <v>22.498000000000001</v>
      </c>
      <c r="CB756" s="120">
        <f>(CC756+CA756)/2</f>
        <v>23.079500000000003</v>
      </c>
      <c r="CC756" s="158">
        <v>23.661000000000001</v>
      </c>
      <c r="CD756" s="120">
        <f>(CE756+CC756)/2</f>
        <v>24.25</v>
      </c>
      <c r="CE756" s="158">
        <v>24.838999999999999</v>
      </c>
      <c r="CF756" s="120">
        <f>(CG756+CE756)/2</f>
        <v>25.369</v>
      </c>
      <c r="CG756" s="158">
        <v>25.899000000000001</v>
      </c>
      <c r="CH756" s="120">
        <f>(CI756+CG756)/2</f>
        <v>26.450499999999998</v>
      </c>
      <c r="CI756" s="158">
        <v>27.001999999999999</v>
      </c>
      <c r="CJ756" s="120">
        <f>(CK756+CI756)/2</f>
        <v>27.584</v>
      </c>
      <c r="CK756" s="158">
        <v>28.166</v>
      </c>
      <c r="CL756" s="120">
        <f>(CM756+CK756)/2</f>
        <v>28.695</v>
      </c>
      <c r="CM756" s="158">
        <v>29.224</v>
      </c>
      <c r="CN756" s="120">
        <f>(CO756+CM756)/2</f>
        <v>29.775500000000001</v>
      </c>
      <c r="CO756" s="158">
        <v>30.327000000000002</v>
      </c>
      <c r="CP756" s="120">
        <f>(CQ756+CO756)/2</f>
        <v>30.878500000000003</v>
      </c>
      <c r="CQ756" s="158">
        <v>31.43</v>
      </c>
      <c r="CR756" s="120">
        <f>(CS756+CQ756)/2</f>
        <v>31.914999999999999</v>
      </c>
      <c r="CS756" s="158">
        <v>32.4</v>
      </c>
      <c r="CT756" s="120">
        <f>(CU756+CS756)/2</f>
        <v>32.950499999999998</v>
      </c>
      <c r="CU756" s="158">
        <v>33.500999999999998</v>
      </c>
      <c r="CV756" s="120">
        <f>(CW756+CU756)/2</f>
        <v>34.052999999999997</v>
      </c>
      <c r="CW756" s="158">
        <v>34.604999999999997</v>
      </c>
      <c r="CX756" s="120">
        <f>(CY756+CW756)/2</f>
        <v>35.134500000000003</v>
      </c>
      <c r="CY756" s="158">
        <v>35.664000000000001</v>
      </c>
      <c r="CZ756" s="120">
        <f>(DA756+CY756)/2</f>
        <v>36.177500000000002</v>
      </c>
      <c r="DA756" s="158">
        <v>36.691000000000003</v>
      </c>
      <c r="DB756" s="120">
        <f>(DC756+DA756)/2</f>
        <v>37.235500000000002</v>
      </c>
      <c r="DC756" s="158">
        <v>37.78</v>
      </c>
      <c r="DD756" s="120">
        <f>(DE756+DC756)/2</f>
        <v>38.271500000000003</v>
      </c>
      <c r="DE756" s="158">
        <v>38.762999999999998</v>
      </c>
      <c r="DF756" s="120">
        <f>(DG756+DE756)/2</f>
        <v>39.314</v>
      </c>
      <c r="DG756" s="159">
        <v>39.865000000000002</v>
      </c>
    </row>
    <row r="757" spans="54:111" ht="15" customHeight="1" x14ac:dyDescent="0.2">
      <c r="BB757" s="28">
        <v>23</v>
      </c>
      <c r="BC757" s="121">
        <v>7.3624999999999998</v>
      </c>
      <c r="BD757" s="121">
        <v>8.1677499999999998</v>
      </c>
      <c r="BE757" s="121">
        <v>8.972999999999999</v>
      </c>
      <c r="BF757" s="121">
        <v>9.7252499999999991</v>
      </c>
      <c r="BG757" s="121">
        <v>10.477499999999999</v>
      </c>
      <c r="BH757" s="121">
        <v>11.1805</v>
      </c>
      <c r="BI757" s="121">
        <v>11.8835</v>
      </c>
      <c r="BJ757" s="121">
        <v>12.59775</v>
      </c>
      <c r="BK757" s="121">
        <v>13.312000000000001</v>
      </c>
      <c r="BL757" s="121">
        <v>13.9625</v>
      </c>
      <c r="BM757" s="121">
        <v>14.613</v>
      </c>
      <c r="BN757" s="121">
        <v>15.259499999999999</v>
      </c>
      <c r="BO757" s="121">
        <v>15.906000000000001</v>
      </c>
      <c r="BP757" s="121">
        <v>16.544750000000001</v>
      </c>
      <c r="BQ757" s="121">
        <v>17.183499999999999</v>
      </c>
      <c r="BR757" s="121">
        <v>17.802999999999997</v>
      </c>
      <c r="BS757" s="121">
        <v>18.422499999999999</v>
      </c>
      <c r="BT757" s="121">
        <v>19.047000000000001</v>
      </c>
      <c r="BU757" s="121">
        <f t="array" ref="BU757:BU794">TRANSPOSE(BV756:DG756)</f>
        <v>19.671500000000002</v>
      </c>
      <c r="BV757" s="120">
        <f>(BU757+BW757)/2</f>
        <v>20.27225</v>
      </c>
      <c r="BW757" s="120">
        <f>(BW756+BW758)/2</f>
        <v>20.872999999999998</v>
      </c>
      <c r="BX757" s="120">
        <f>(BW757+BY757)/2</f>
        <v>21.473499999999998</v>
      </c>
      <c r="BY757" s="120">
        <f>(BY756+BY758)/2</f>
        <v>22.073999999999998</v>
      </c>
      <c r="BZ757" s="120">
        <f>(BY757+CA757)/2</f>
        <v>22.645499999999998</v>
      </c>
      <c r="CA757" s="120">
        <f>(CA756+CA758)/2</f>
        <v>23.216999999999999</v>
      </c>
      <c r="CB757" s="120">
        <f>(CA757+CC757)/2</f>
        <v>23.814</v>
      </c>
      <c r="CC757" s="120">
        <f>(CC756+CC758)/2</f>
        <v>24.411000000000001</v>
      </c>
      <c r="CD757" s="120">
        <f>(CC757+CE757)/2</f>
        <v>25.011749999999999</v>
      </c>
      <c r="CE757" s="120">
        <f>(CE756+CE758)/2</f>
        <v>25.612499999999997</v>
      </c>
      <c r="CF757" s="120">
        <f>(CE757+CG757)/2</f>
        <v>26.164999999999999</v>
      </c>
      <c r="CG757" s="120">
        <f>(CG756+CG758)/2</f>
        <v>26.717500000000001</v>
      </c>
      <c r="CH757" s="120">
        <f>(CG757+CI757)/2</f>
        <v>27.299500000000002</v>
      </c>
      <c r="CI757" s="120">
        <f>(CI756+CI758)/2</f>
        <v>27.881499999999999</v>
      </c>
      <c r="CJ757" s="120">
        <f>(CI757+CK757)/2</f>
        <v>28.456499999999998</v>
      </c>
      <c r="CK757" s="120">
        <f>(CK756+CK758)/2</f>
        <v>29.031500000000001</v>
      </c>
      <c r="CL757" s="120">
        <f>(CK757+CM757)/2</f>
        <v>29.58325</v>
      </c>
      <c r="CM757" s="120">
        <f>(CM756+CM758)/2</f>
        <v>30.134999999999998</v>
      </c>
      <c r="CN757" s="120">
        <f>(CM757+CO757)/2</f>
        <v>30.698249999999998</v>
      </c>
      <c r="CO757" s="120">
        <f>(CO756+CO758)/2</f>
        <v>31.261499999999998</v>
      </c>
      <c r="CP757" s="120">
        <f>(CO757+CQ757)/2</f>
        <v>31.824249999999999</v>
      </c>
      <c r="CQ757" s="120">
        <f>(CQ756+CQ758)/2</f>
        <v>32.387</v>
      </c>
      <c r="CR757" s="120">
        <f>(CQ757+CS757)/2</f>
        <v>32.917249999999996</v>
      </c>
      <c r="CS757" s="120">
        <f>(CS756+CS758)/2</f>
        <v>33.447499999999998</v>
      </c>
      <c r="CT757" s="120">
        <f>(CS757+CU757)/2</f>
        <v>34.010249999999999</v>
      </c>
      <c r="CU757" s="120">
        <f>(CU756+CU758)/2</f>
        <v>34.573</v>
      </c>
      <c r="CV757" s="120">
        <f>(CU757+CW757)/2</f>
        <v>35.135999999999996</v>
      </c>
      <c r="CW757" s="120">
        <f>(CW756+CW758)/2</f>
        <v>35.698999999999998</v>
      </c>
      <c r="CX757" s="120">
        <f>(CW757+CY757)/2</f>
        <v>36.251249999999999</v>
      </c>
      <c r="CY757" s="120">
        <f>(CY756+CY758)/2</f>
        <v>36.8035</v>
      </c>
      <c r="CZ757" s="120">
        <f>(CY757+DA757)/2</f>
        <v>37.329000000000001</v>
      </c>
      <c r="DA757" s="120">
        <f>(DA756+DA758)/2</f>
        <v>37.854500000000002</v>
      </c>
      <c r="DB757" s="120">
        <f>(DA757+DC757)/2</f>
        <v>38.414250000000003</v>
      </c>
      <c r="DC757" s="120">
        <f>(DC756+DC758)/2</f>
        <v>38.974000000000004</v>
      </c>
      <c r="DD757" s="120">
        <f>(DC757+DE757)/2</f>
        <v>39.506750000000004</v>
      </c>
      <c r="DE757" s="120">
        <f>(DE756+DE758)/2</f>
        <v>40.039500000000004</v>
      </c>
      <c r="DF757" s="120">
        <f>(DE757+DG757)/2</f>
        <v>40.583750000000002</v>
      </c>
      <c r="DG757" s="122">
        <f>(DG756+DG758)/2</f>
        <v>41.128</v>
      </c>
    </row>
    <row r="758" spans="54:111" ht="15" customHeight="1" x14ac:dyDescent="0.2">
      <c r="BB758" s="28">
        <v>24</v>
      </c>
      <c r="BC758" s="121">
        <v>7.585</v>
      </c>
      <c r="BD758" s="121">
        <v>8.4245000000000001</v>
      </c>
      <c r="BE758" s="121">
        <v>9.2639999999999993</v>
      </c>
      <c r="BF758" s="121">
        <v>10.027999999999999</v>
      </c>
      <c r="BG758" s="121">
        <v>10.792</v>
      </c>
      <c r="BH758" s="121">
        <v>11.518000000000001</v>
      </c>
      <c r="BI758" s="121">
        <v>12.244</v>
      </c>
      <c r="BJ758" s="121">
        <v>12.9695</v>
      </c>
      <c r="BK758" s="121">
        <v>13.695</v>
      </c>
      <c r="BL758" s="121">
        <v>14.3765</v>
      </c>
      <c r="BM758" s="121">
        <v>15.058</v>
      </c>
      <c r="BN758" s="121">
        <v>15.708</v>
      </c>
      <c r="BO758" s="121">
        <v>16.358000000000001</v>
      </c>
      <c r="BP758" s="121">
        <v>17.008499999999998</v>
      </c>
      <c r="BQ758" s="121">
        <v>17.658999999999999</v>
      </c>
      <c r="BR758" s="121">
        <v>18.308999999999997</v>
      </c>
      <c r="BS758" s="121">
        <v>18.959</v>
      </c>
      <c r="BT758" s="121">
        <v>19.61</v>
      </c>
      <c r="BU758" s="121">
        <v>20.260999999999999</v>
      </c>
      <c r="BV758" s="121">
        <f t="array" ref="BV758:BV794">TRANSPOSE(BW757:DG757)</f>
        <v>20.872999999999998</v>
      </c>
      <c r="BW758" s="158">
        <v>21.484999999999999</v>
      </c>
      <c r="BX758" s="120">
        <f>(BY758+BW758)/2</f>
        <v>22.0975</v>
      </c>
      <c r="BY758" s="158">
        <v>22.71</v>
      </c>
      <c r="BZ758" s="120">
        <f>(CA758+BY758)/2</f>
        <v>23.323</v>
      </c>
      <c r="CA758" s="158">
        <v>23.936</v>
      </c>
      <c r="CB758" s="120">
        <f>(CC758+CA758)/2</f>
        <v>24.548500000000001</v>
      </c>
      <c r="CC758" s="158">
        <v>25.161000000000001</v>
      </c>
      <c r="CD758" s="120">
        <f>(CE758+CC758)/2</f>
        <v>25.773499999999999</v>
      </c>
      <c r="CE758" s="158">
        <v>26.385999999999999</v>
      </c>
      <c r="CF758" s="120">
        <f>(CG758+CE758)/2</f>
        <v>26.960999999999999</v>
      </c>
      <c r="CG758" s="158">
        <v>27.536000000000001</v>
      </c>
      <c r="CH758" s="120">
        <f>(CI758+CG758)/2</f>
        <v>28.148499999999999</v>
      </c>
      <c r="CI758" s="158">
        <v>28.760999999999999</v>
      </c>
      <c r="CJ758" s="120">
        <f>(CK758+CI758)/2</f>
        <v>29.329000000000001</v>
      </c>
      <c r="CK758" s="158">
        <v>29.896999999999998</v>
      </c>
      <c r="CL758" s="120">
        <f>(CM758+CK758)/2</f>
        <v>30.471499999999999</v>
      </c>
      <c r="CM758" s="158">
        <v>31.045999999999999</v>
      </c>
      <c r="CN758" s="120">
        <f>(CO758+CM758)/2</f>
        <v>31.620999999999999</v>
      </c>
      <c r="CO758" s="158">
        <v>32.195999999999998</v>
      </c>
      <c r="CP758" s="120">
        <f>(CQ758+CO758)/2</f>
        <v>32.769999999999996</v>
      </c>
      <c r="CQ758" s="158">
        <v>33.344000000000001</v>
      </c>
      <c r="CR758" s="120">
        <f>(CS758+CQ758)/2</f>
        <v>33.919499999999999</v>
      </c>
      <c r="CS758" s="158">
        <v>34.494999999999997</v>
      </c>
      <c r="CT758" s="120">
        <f>(CU758+CS758)/2</f>
        <v>35.07</v>
      </c>
      <c r="CU758" s="158">
        <v>35.645000000000003</v>
      </c>
      <c r="CV758" s="120">
        <f>(CW758+CU758)/2</f>
        <v>36.219000000000001</v>
      </c>
      <c r="CW758" s="158">
        <v>36.792999999999999</v>
      </c>
      <c r="CX758" s="120">
        <f>(CY758+CW758)/2</f>
        <v>37.367999999999995</v>
      </c>
      <c r="CY758" s="158">
        <v>37.942999999999998</v>
      </c>
      <c r="CZ758" s="120">
        <f>(DA758+CY758)/2</f>
        <v>38.480499999999999</v>
      </c>
      <c r="DA758" s="158">
        <v>39.018000000000001</v>
      </c>
      <c r="DB758" s="120">
        <f>(DC758+DA758)/2</f>
        <v>39.593000000000004</v>
      </c>
      <c r="DC758" s="158">
        <v>40.167999999999999</v>
      </c>
      <c r="DD758" s="120">
        <f>(DE758+DC758)/2</f>
        <v>40.742000000000004</v>
      </c>
      <c r="DE758" s="158">
        <v>41.316000000000003</v>
      </c>
      <c r="DF758" s="120">
        <f>(DG758+DE758)/2</f>
        <v>41.853499999999997</v>
      </c>
      <c r="DG758" s="159">
        <v>42.390999999999998</v>
      </c>
    </row>
    <row r="759" spans="54:111" ht="15" customHeight="1" x14ac:dyDescent="0.2">
      <c r="BB759" s="28">
        <v>25</v>
      </c>
      <c r="BC759" s="121">
        <v>7.7705000000000002</v>
      </c>
      <c r="BD759" s="121">
        <v>8.6404999999999994</v>
      </c>
      <c r="BE759" s="121">
        <v>9.5105000000000004</v>
      </c>
      <c r="BF759" s="121">
        <v>10.305</v>
      </c>
      <c r="BG759" s="121">
        <v>11.099499999999999</v>
      </c>
      <c r="BH759" s="121">
        <v>11.848000000000001</v>
      </c>
      <c r="BI759" s="121">
        <v>12.596499999999999</v>
      </c>
      <c r="BJ759" s="121">
        <v>13.33375</v>
      </c>
      <c r="BK759" s="121">
        <v>14.071</v>
      </c>
      <c r="BL759" s="121">
        <v>14.77125</v>
      </c>
      <c r="BM759" s="121">
        <v>15.471499999999999</v>
      </c>
      <c r="BN759" s="121">
        <v>16.163250000000001</v>
      </c>
      <c r="BO759" s="121">
        <v>16.855</v>
      </c>
      <c r="BP759" s="121">
        <v>17.517249999999997</v>
      </c>
      <c r="BQ759" s="121">
        <v>18.179499999999997</v>
      </c>
      <c r="BR759" s="121">
        <v>18.841249999999999</v>
      </c>
      <c r="BS759" s="121">
        <v>19.503</v>
      </c>
      <c r="BT759" s="121">
        <v>20.17625</v>
      </c>
      <c r="BU759" s="121">
        <v>20.849499999999999</v>
      </c>
      <c r="BV759" s="121">
        <v>21.473499999999998</v>
      </c>
      <c r="BW759" s="121">
        <f t="array" ref="BW759:BW794">TRANSPOSE(BX758:DG758)</f>
        <v>22.0975</v>
      </c>
      <c r="BX759" s="120">
        <f>(BW759+BY759)/2</f>
        <v>22.722000000000001</v>
      </c>
      <c r="BY759" s="120">
        <f>(BY758+BY760)/2</f>
        <v>23.346499999999999</v>
      </c>
      <c r="BZ759" s="120">
        <f>(BY759+CA759)/2</f>
        <v>23.981749999999998</v>
      </c>
      <c r="CA759" s="120">
        <f>(CA758+CA760)/2</f>
        <v>24.616999999999997</v>
      </c>
      <c r="CB759" s="120">
        <f>(CA759+CC759)/2</f>
        <v>25.241250000000001</v>
      </c>
      <c r="CC759" s="120">
        <f>(CC758+CC760)/2</f>
        <v>25.865500000000001</v>
      </c>
      <c r="CD759" s="120">
        <f>(CC759+CE759)/2</f>
        <v>26.489750000000001</v>
      </c>
      <c r="CE759" s="120">
        <f>(CE758+CE760)/2</f>
        <v>27.113999999999997</v>
      </c>
      <c r="CF759" s="120">
        <f>(CE759+CG759)/2</f>
        <v>27.730499999999999</v>
      </c>
      <c r="CG759" s="120">
        <f>(CG758+CG760)/2</f>
        <v>28.347000000000001</v>
      </c>
      <c r="CH759" s="120">
        <f>(CG759+CI759)/2</f>
        <v>28.952249999999999</v>
      </c>
      <c r="CI759" s="120">
        <f>(CI758+CI760)/2</f>
        <v>29.557499999999997</v>
      </c>
      <c r="CJ759" s="120">
        <f>(CI759+CK759)/2</f>
        <v>30.162999999999997</v>
      </c>
      <c r="CK759" s="120">
        <f>(CK758+CK760)/2</f>
        <v>30.7685</v>
      </c>
      <c r="CL759" s="120">
        <f>(CK759+CM759)/2</f>
        <v>31.366</v>
      </c>
      <c r="CM759" s="120">
        <f>(CM758+CM760)/2</f>
        <v>31.9635</v>
      </c>
      <c r="CN759" s="120">
        <f>(CM759+CO759)/2</f>
        <v>32.550249999999998</v>
      </c>
      <c r="CO759" s="120">
        <f>(CO758+CO760)/2</f>
        <v>33.137</v>
      </c>
      <c r="CP759" s="120">
        <f>(CO759+CQ759)/2</f>
        <v>33.742000000000004</v>
      </c>
      <c r="CQ759" s="120">
        <f>(CQ758+CQ760)/2</f>
        <v>34.347000000000001</v>
      </c>
      <c r="CR759" s="120">
        <f>(CQ759+CS759)/2</f>
        <v>34.944500000000005</v>
      </c>
      <c r="CS759" s="120">
        <f>(CS758+CS760)/2</f>
        <v>35.542000000000002</v>
      </c>
      <c r="CT759" s="120">
        <f>(CS759+CU759)/2</f>
        <v>36.128750000000004</v>
      </c>
      <c r="CU759" s="120">
        <f>(CU758+CU760)/2</f>
        <v>36.715500000000006</v>
      </c>
      <c r="CV759" s="120">
        <f>(CU759+CW759)/2</f>
        <v>37.301749999999998</v>
      </c>
      <c r="CW759" s="120">
        <f>(CW758+CW760)/2</f>
        <v>37.887999999999998</v>
      </c>
      <c r="CX759" s="120">
        <f>(CW759+CY759)/2</f>
        <v>38.485500000000002</v>
      </c>
      <c r="CY759" s="120">
        <f>(CY758+CY760)/2</f>
        <v>39.082999999999998</v>
      </c>
      <c r="CZ759" s="120">
        <f>(CY759+DA759)/2</f>
        <v>39.631749999999997</v>
      </c>
      <c r="DA759" s="120">
        <f>(DA758+DA760)/2</f>
        <v>40.180500000000002</v>
      </c>
      <c r="DB759" s="120">
        <f>(DA759+DC759)/2</f>
        <v>40.767250000000004</v>
      </c>
      <c r="DC759" s="120">
        <f>(DC758+DC760)/2</f>
        <v>41.353999999999999</v>
      </c>
      <c r="DD759" s="120">
        <f>(DC759+DE759)/2</f>
        <v>41.951250000000002</v>
      </c>
      <c r="DE759" s="120">
        <f>(DE758+DE760)/2</f>
        <v>42.548500000000004</v>
      </c>
      <c r="DF759" s="120">
        <f>(DE759+DG759)/2</f>
        <v>43.116250000000001</v>
      </c>
      <c r="DG759" s="122">
        <f>(DG758+DG760)/2</f>
        <v>43.683999999999997</v>
      </c>
    </row>
    <row r="760" spans="54:111" ht="15" customHeight="1" x14ac:dyDescent="0.2">
      <c r="BB760" s="28">
        <v>26</v>
      </c>
      <c r="BC760" s="121">
        <v>7.9560000000000004</v>
      </c>
      <c r="BD760" s="121">
        <v>8.8565000000000005</v>
      </c>
      <c r="BE760" s="121">
        <v>9.7569999999999997</v>
      </c>
      <c r="BF760" s="121">
        <v>10.582000000000001</v>
      </c>
      <c r="BG760" s="121">
        <v>11.407</v>
      </c>
      <c r="BH760" s="121">
        <v>12.178000000000001</v>
      </c>
      <c r="BI760" s="121">
        <v>12.949</v>
      </c>
      <c r="BJ760" s="121">
        <v>13.698</v>
      </c>
      <c r="BK760" s="121">
        <v>14.446999999999999</v>
      </c>
      <c r="BL760" s="121">
        <v>15.166</v>
      </c>
      <c r="BM760" s="121">
        <v>15.885</v>
      </c>
      <c r="BN760" s="121">
        <v>16.618500000000001</v>
      </c>
      <c r="BO760" s="121">
        <v>17.352</v>
      </c>
      <c r="BP760" s="121">
        <v>18.026</v>
      </c>
      <c r="BQ760" s="121">
        <v>18.7</v>
      </c>
      <c r="BR760" s="121">
        <v>19.3735</v>
      </c>
      <c r="BS760" s="121">
        <v>20.047000000000001</v>
      </c>
      <c r="BT760" s="121">
        <v>20.7425</v>
      </c>
      <c r="BU760" s="121">
        <v>21.437999999999999</v>
      </c>
      <c r="BV760" s="121">
        <v>22.073999999999998</v>
      </c>
      <c r="BW760" s="121">
        <v>22.71</v>
      </c>
      <c r="BX760" s="121">
        <f t="array" ref="BX760:BX794">TRANSPOSE(BY759:DG759)</f>
        <v>23.346499999999999</v>
      </c>
      <c r="BY760" s="158">
        <v>23.983000000000001</v>
      </c>
      <c r="BZ760" s="120">
        <f>(CA760+BY760)/2</f>
        <v>24.640499999999999</v>
      </c>
      <c r="CA760" s="158">
        <v>25.297999999999998</v>
      </c>
      <c r="CB760" s="120">
        <f>(CC760+CA760)/2</f>
        <v>25.933999999999997</v>
      </c>
      <c r="CC760" s="158">
        <v>26.57</v>
      </c>
      <c r="CD760" s="120">
        <f>(CE760+CC760)/2</f>
        <v>27.206</v>
      </c>
      <c r="CE760" s="158">
        <v>27.841999999999999</v>
      </c>
      <c r="CF760" s="120">
        <f>(CG760+CE760)/2</f>
        <v>28.5</v>
      </c>
      <c r="CG760" s="158">
        <v>29.158000000000001</v>
      </c>
      <c r="CH760" s="120">
        <f>(CI760+CG760)/2</f>
        <v>29.756</v>
      </c>
      <c r="CI760" s="158">
        <v>30.353999999999999</v>
      </c>
      <c r="CJ760" s="120">
        <f>(CK760+CI760)/2</f>
        <v>30.997</v>
      </c>
      <c r="CK760" s="158">
        <v>31.64</v>
      </c>
      <c r="CL760" s="120">
        <f>(CM760+CK760)/2</f>
        <v>32.2605</v>
      </c>
      <c r="CM760" s="158">
        <v>32.881</v>
      </c>
      <c r="CN760" s="120">
        <f>(CO760+CM760)/2</f>
        <v>33.479500000000002</v>
      </c>
      <c r="CO760" s="158">
        <v>34.078000000000003</v>
      </c>
      <c r="CP760" s="120">
        <f>(CQ760+CO760)/2</f>
        <v>34.713999999999999</v>
      </c>
      <c r="CQ760" s="158">
        <v>35.35</v>
      </c>
      <c r="CR760" s="120">
        <f>(CS760+CQ760)/2</f>
        <v>35.969499999999996</v>
      </c>
      <c r="CS760" s="158">
        <v>36.588999999999999</v>
      </c>
      <c r="CT760" s="120">
        <f>(CU760+CS760)/2</f>
        <v>37.1875</v>
      </c>
      <c r="CU760" s="158">
        <v>37.786000000000001</v>
      </c>
      <c r="CV760" s="120">
        <f>(CW760+CU760)/2</f>
        <v>38.384500000000003</v>
      </c>
      <c r="CW760" s="158">
        <v>38.982999999999997</v>
      </c>
      <c r="CX760" s="120">
        <f>(CY760+CW760)/2</f>
        <v>39.602999999999994</v>
      </c>
      <c r="CY760" s="158">
        <v>40.222999999999999</v>
      </c>
      <c r="CZ760" s="120">
        <f>(DA760+CY760)/2</f>
        <v>40.783000000000001</v>
      </c>
      <c r="DA760" s="158">
        <v>41.343000000000004</v>
      </c>
      <c r="DB760" s="120">
        <f>(DC760+DA760)/2</f>
        <v>41.941500000000005</v>
      </c>
      <c r="DC760" s="158">
        <v>42.54</v>
      </c>
      <c r="DD760" s="120">
        <f>(DE760+DC760)/2</f>
        <v>43.160499999999999</v>
      </c>
      <c r="DE760" s="158">
        <v>43.780999999999999</v>
      </c>
      <c r="DF760" s="120">
        <f>(DG760+DE760)/2</f>
        <v>44.378999999999998</v>
      </c>
      <c r="DG760" s="159">
        <v>44.976999999999997</v>
      </c>
    </row>
    <row r="761" spans="54:111" ht="15" customHeight="1" x14ac:dyDescent="0.2">
      <c r="BB761" s="28">
        <v>27</v>
      </c>
      <c r="BC761" s="121">
        <v>8.1575000000000006</v>
      </c>
      <c r="BD761" s="121">
        <v>9.0839999999999996</v>
      </c>
      <c r="BE761" s="121">
        <v>10.0105</v>
      </c>
      <c r="BF761" s="121">
        <v>10.858000000000001</v>
      </c>
      <c r="BG761" s="121">
        <v>11.705500000000001</v>
      </c>
      <c r="BH761" s="121">
        <v>12.49625</v>
      </c>
      <c r="BI761" s="121">
        <v>13.286999999999999</v>
      </c>
      <c r="BJ761" s="121">
        <v>14.059000000000001</v>
      </c>
      <c r="BK761" s="121">
        <v>14.831</v>
      </c>
      <c r="BL761" s="121">
        <v>15.57225</v>
      </c>
      <c r="BM761" s="121">
        <v>16.313500000000001</v>
      </c>
      <c r="BN761" s="121">
        <v>17.048000000000002</v>
      </c>
      <c r="BO761" s="121">
        <v>17.782499999999999</v>
      </c>
      <c r="BP761" s="121">
        <v>18.478749999999998</v>
      </c>
      <c r="BQ761" s="121">
        <v>19.174999999999997</v>
      </c>
      <c r="BR761" s="121">
        <v>19.890499999999999</v>
      </c>
      <c r="BS761" s="121">
        <v>20.606000000000002</v>
      </c>
      <c r="BT761" s="121">
        <v>21.286999999999999</v>
      </c>
      <c r="BU761" s="121">
        <v>21.968</v>
      </c>
      <c r="BV761" s="121">
        <v>22.645499999999998</v>
      </c>
      <c r="BW761" s="121">
        <v>23.323</v>
      </c>
      <c r="BX761" s="121">
        <v>23.981749999999998</v>
      </c>
      <c r="BY761" s="121">
        <f t="array" ref="BY761:BY794">TRANSPOSE(BZ760:DG760)</f>
        <v>24.640499999999999</v>
      </c>
      <c r="BZ761" s="120">
        <f>(BY761+CA761)/2</f>
        <v>25.317999999999998</v>
      </c>
      <c r="CA761" s="120">
        <f>(CA760+CA762)/2</f>
        <v>25.9955</v>
      </c>
      <c r="CB761" s="120">
        <f>(CA761+CC761)/2</f>
        <v>26.65775</v>
      </c>
      <c r="CC761" s="120">
        <f>(CC760+CC762)/2</f>
        <v>27.32</v>
      </c>
      <c r="CD761" s="120">
        <f>(CC761+CE761)/2</f>
        <v>27.9785</v>
      </c>
      <c r="CE761" s="120">
        <f>(CE760+CE762)/2</f>
        <v>28.637</v>
      </c>
      <c r="CF761" s="120">
        <f>(CE761+CG761)/2</f>
        <v>29.295750000000002</v>
      </c>
      <c r="CG761" s="120">
        <f>(CG760+CG762)/2</f>
        <v>29.954500000000003</v>
      </c>
      <c r="CH761" s="120">
        <f>(CG761+CI761)/2</f>
        <v>30.575500000000002</v>
      </c>
      <c r="CI761" s="120">
        <f>(CI760+CI762)/2</f>
        <v>31.1965</v>
      </c>
      <c r="CJ761" s="120">
        <f>(CI761+CK761)/2</f>
        <v>31.86225</v>
      </c>
      <c r="CK761" s="120">
        <f>(CK760+CK762)/2</f>
        <v>32.527999999999999</v>
      </c>
      <c r="CL761" s="120">
        <f>(CK761+CM761)/2</f>
        <v>33.14875</v>
      </c>
      <c r="CM761" s="120">
        <f>(CM760+CM762)/2</f>
        <v>33.769500000000001</v>
      </c>
      <c r="CN761" s="120">
        <f>(CM761+CO761)/2</f>
        <v>34.409500000000001</v>
      </c>
      <c r="CO761" s="120">
        <f>(CO760+CO762)/2</f>
        <v>35.049500000000002</v>
      </c>
      <c r="CP761" s="120">
        <f>(CO761+CQ761)/2</f>
        <v>35.689499999999995</v>
      </c>
      <c r="CQ761" s="120">
        <f>(CQ760+CQ762)/2</f>
        <v>36.329499999999996</v>
      </c>
      <c r="CR761" s="120">
        <f>(CQ761+CS761)/2</f>
        <v>36.953499999999998</v>
      </c>
      <c r="CS761" s="120">
        <f>(CS760+CS762)/2</f>
        <v>37.577500000000001</v>
      </c>
      <c r="CT761" s="120">
        <f>(CS761+CU761)/2</f>
        <v>38.198500000000003</v>
      </c>
      <c r="CU761" s="120">
        <f>(CU760+CU762)/2</f>
        <v>38.819500000000005</v>
      </c>
      <c r="CV761" s="120">
        <f>(CU761+CW761)/2</f>
        <v>39.440250000000006</v>
      </c>
      <c r="CW761" s="120">
        <f>(CW760+CW762)/2</f>
        <v>40.061</v>
      </c>
      <c r="CX761" s="120">
        <f>(CW761+CY761)/2</f>
        <v>40.682000000000002</v>
      </c>
      <c r="CY761" s="120">
        <f>(CY760+CY762)/2</f>
        <v>41.302999999999997</v>
      </c>
      <c r="CZ761" s="120">
        <f>(CY761+DA761)/2</f>
        <v>41.905000000000001</v>
      </c>
      <c r="DA761" s="120">
        <f>(DA760+DA762)/2</f>
        <v>42.507000000000005</v>
      </c>
      <c r="DB761" s="120">
        <f>(DA761+DC761)/2</f>
        <v>43.131250000000001</v>
      </c>
      <c r="DC761" s="120">
        <f>(DC760+DC762)/2</f>
        <v>43.755499999999998</v>
      </c>
      <c r="DD761" s="120">
        <f>(DC761+DE761)/2</f>
        <v>44.376750000000001</v>
      </c>
      <c r="DE761" s="120">
        <f>(DE760+DE762)/2</f>
        <v>44.998000000000005</v>
      </c>
      <c r="DF761" s="120">
        <f>(DE761+DG761)/2</f>
        <v>45.618750000000006</v>
      </c>
      <c r="DG761" s="122">
        <f>(DG760+DG762)/2</f>
        <v>46.2395</v>
      </c>
    </row>
    <row r="762" spans="54:111" ht="15" customHeight="1" x14ac:dyDescent="0.2">
      <c r="BB762" s="28">
        <v>28</v>
      </c>
      <c r="BC762" s="121">
        <v>8.359</v>
      </c>
      <c r="BD762" s="121">
        <v>9.3114999999999988</v>
      </c>
      <c r="BE762" s="121">
        <v>10.263999999999999</v>
      </c>
      <c r="BF762" s="121">
        <v>11.134</v>
      </c>
      <c r="BG762" s="121">
        <v>12.004</v>
      </c>
      <c r="BH762" s="121">
        <v>12.814499999999999</v>
      </c>
      <c r="BI762" s="121">
        <v>13.625</v>
      </c>
      <c r="BJ762" s="121">
        <v>14.42</v>
      </c>
      <c r="BK762" s="121">
        <v>15.215</v>
      </c>
      <c r="BL762" s="121">
        <v>15.9785</v>
      </c>
      <c r="BM762" s="121">
        <v>16.742000000000001</v>
      </c>
      <c r="BN762" s="121">
        <v>17.477499999999999</v>
      </c>
      <c r="BO762" s="121">
        <v>18.213000000000001</v>
      </c>
      <c r="BP762" s="121">
        <v>18.9315</v>
      </c>
      <c r="BQ762" s="121">
        <v>19.649999999999999</v>
      </c>
      <c r="BR762" s="121">
        <v>20.407499999999999</v>
      </c>
      <c r="BS762" s="121">
        <v>21.164999999999999</v>
      </c>
      <c r="BT762" s="121">
        <v>21.831499999999998</v>
      </c>
      <c r="BU762" s="121">
        <v>22.498000000000001</v>
      </c>
      <c r="BV762" s="121">
        <v>23.216999999999999</v>
      </c>
      <c r="BW762" s="121">
        <v>23.936</v>
      </c>
      <c r="BX762" s="121">
        <v>24.616999999999997</v>
      </c>
      <c r="BY762" s="121">
        <v>25.297999999999998</v>
      </c>
      <c r="BZ762" s="121">
        <f t="array" ref="BZ762:BZ794">TRANSPOSE(CA761:DG761)</f>
        <v>25.9955</v>
      </c>
      <c r="CA762" s="158">
        <v>26.693000000000001</v>
      </c>
      <c r="CB762" s="120">
        <f>(CC762+CA762)/2</f>
        <v>27.381500000000003</v>
      </c>
      <c r="CC762" s="158">
        <v>28.07</v>
      </c>
      <c r="CD762" s="120">
        <f>(CE762+CC762)/2</f>
        <v>28.750999999999998</v>
      </c>
      <c r="CE762" s="158">
        <v>29.431999999999999</v>
      </c>
      <c r="CF762" s="120">
        <f>(CG762+CE762)/2</f>
        <v>30.0915</v>
      </c>
      <c r="CG762" s="158">
        <v>30.751000000000001</v>
      </c>
      <c r="CH762" s="120">
        <f>(CI762+CG762)/2</f>
        <v>31.395000000000003</v>
      </c>
      <c r="CI762" s="158">
        <v>32.039000000000001</v>
      </c>
      <c r="CJ762" s="120">
        <f>(CK762+CI762)/2</f>
        <v>32.727499999999999</v>
      </c>
      <c r="CK762" s="158">
        <v>33.415999999999997</v>
      </c>
      <c r="CL762" s="120">
        <f>(CM762+CK762)/2</f>
        <v>34.036999999999999</v>
      </c>
      <c r="CM762" s="158">
        <v>34.658000000000001</v>
      </c>
      <c r="CN762" s="120">
        <f>(CO762+CM762)/2</f>
        <v>35.339500000000001</v>
      </c>
      <c r="CO762" s="158">
        <v>36.021000000000001</v>
      </c>
      <c r="CP762" s="120">
        <f>(CQ762+CO762)/2</f>
        <v>36.664999999999999</v>
      </c>
      <c r="CQ762" s="158">
        <v>37.308999999999997</v>
      </c>
      <c r="CR762" s="120">
        <f>(CS762+CQ762)/2</f>
        <v>37.9375</v>
      </c>
      <c r="CS762" s="158">
        <v>38.566000000000003</v>
      </c>
      <c r="CT762" s="120">
        <f>(CU762+CS762)/2</f>
        <v>39.209500000000006</v>
      </c>
      <c r="CU762" s="158">
        <v>39.853000000000002</v>
      </c>
      <c r="CV762" s="120">
        <f>(CW762+CU762)/2</f>
        <v>40.496000000000002</v>
      </c>
      <c r="CW762" s="158">
        <v>41.139000000000003</v>
      </c>
      <c r="CX762" s="120">
        <f>(CY762+CW762)/2</f>
        <v>41.761000000000003</v>
      </c>
      <c r="CY762" s="158">
        <v>42.383000000000003</v>
      </c>
      <c r="CZ762" s="120">
        <f>(DA762+CY762)/2</f>
        <v>43.027000000000001</v>
      </c>
      <c r="DA762" s="158">
        <v>43.670999999999999</v>
      </c>
      <c r="DB762" s="120">
        <f>(DC762+DA762)/2</f>
        <v>44.320999999999998</v>
      </c>
      <c r="DC762" s="158">
        <v>44.970999999999997</v>
      </c>
      <c r="DD762" s="120">
        <f>(DE762+DC762)/2</f>
        <v>45.593000000000004</v>
      </c>
      <c r="DE762" s="158">
        <v>46.215000000000003</v>
      </c>
      <c r="DF762" s="120">
        <f>(DG762+DE762)/2</f>
        <v>46.858500000000006</v>
      </c>
      <c r="DG762" s="159">
        <v>47.502000000000002</v>
      </c>
    </row>
    <row r="763" spans="54:111" ht="15" customHeight="1" x14ac:dyDescent="0.2">
      <c r="BB763" s="28">
        <v>29</v>
      </c>
      <c r="BC763" s="121">
        <v>8.5884999999999998</v>
      </c>
      <c r="BD763" s="121">
        <v>9.5494999999999983</v>
      </c>
      <c r="BE763" s="121">
        <v>10.5105</v>
      </c>
      <c r="BF763" s="121">
        <v>11.39575</v>
      </c>
      <c r="BG763" s="121">
        <v>12.280999999999999</v>
      </c>
      <c r="BH763" s="121">
        <v>13.113999999999999</v>
      </c>
      <c r="BI763" s="121">
        <v>13.946999999999999</v>
      </c>
      <c r="BJ763" s="121">
        <v>14.772500000000001</v>
      </c>
      <c r="BK763" s="121">
        <v>15.597999999999999</v>
      </c>
      <c r="BL763" s="121">
        <v>16.3735</v>
      </c>
      <c r="BM763" s="121">
        <v>17.149000000000001</v>
      </c>
      <c r="BN763" s="121">
        <v>17.906749999999999</v>
      </c>
      <c r="BO763" s="121">
        <v>18.6645</v>
      </c>
      <c r="BP763" s="121">
        <v>19.417749999999998</v>
      </c>
      <c r="BQ763" s="121">
        <v>20.170999999999999</v>
      </c>
      <c r="BR763" s="121">
        <v>20.920749999999998</v>
      </c>
      <c r="BS763" s="121">
        <v>21.670499999999997</v>
      </c>
      <c r="BT763" s="121">
        <v>22.375</v>
      </c>
      <c r="BU763" s="121">
        <v>23.079500000000003</v>
      </c>
      <c r="BV763" s="121">
        <v>23.814</v>
      </c>
      <c r="BW763" s="121">
        <v>24.548500000000001</v>
      </c>
      <c r="BX763" s="121">
        <v>25.241250000000001</v>
      </c>
      <c r="BY763" s="121">
        <v>25.933999999999997</v>
      </c>
      <c r="BZ763" s="121">
        <v>26.65775</v>
      </c>
      <c r="CA763" s="121">
        <f t="array" ref="CA763:CA794">TRANSPOSE(CB762:DG762)</f>
        <v>27.381500000000003</v>
      </c>
      <c r="CB763" s="120">
        <f>(CA763+CC763)/2</f>
        <v>28.078000000000003</v>
      </c>
      <c r="CC763" s="120">
        <f>(CC762+CC764)/2</f>
        <v>28.7745</v>
      </c>
      <c r="CD763" s="120">
        <f>(CC763+CE763)/2</f>
        <v>29.467500000000001</v>
      </c>
      <c r="CE763" s="120">
        <f>(CE762+CE764)/2</f>
        <v>30.160499999999999</v>
      </c>
      <c r="CF763" s="120">
        <f>(CE763+CG763)/2</f>
        <v>30.846</v>
      </c>
      <c r="CG763" s="120">
        <f>(CG762+CG764)/2</f>
        <v>31.531500000000001</v>
      </c>
      <c r="CH763" s="120">
        <f>(CG763+CI763)/2</f>
        <v>32.206249999999997</v>
      </c>
      <c r="CI763" s="120">
        <f>(CI762+CI764)/2</f>
        <v>32.881</v>
      </c>
      <c r="CJ763" s="120">
        <f>(CI763+CK763)/2</f>
        <v>33.561999999999998</v>
      </c>
      <c r="CK763" s="120">
        <f>(CK762+CK764)/2</f>
        <v>34.242999999999995</v>
      </c>
      <c r="CL763" s="120">
        <f>(CK763+CM763)/2</f>
        <v>34.905749999999998</v>
      </c>
      <c r="CM763" s="120">
        <f>(CM762+CM764)/2</f>
        <v>35.5685</v>
      </c>
      <c r="CN763" s="120">
        <f>(CM763+CO763)/2</f>
        <v>36.242750000000001</v>
      </c>
      <c r="CO763" s="120">
        <f>(CO762+CO764)/2</f>
        <v>36.917000000000002</v>
      </c>
      <c r="CP763" s="120">
        <f>(CO763+CQ763)/2</f>
        <v>37.594999999999999</v>
      </c>
      <c r="CQ763" s="120">
        <f>(CQ762+CQ764)/2</f>
        <v>38.272999999999996</v>
      </c>
      <c r="CR763" s="120">
        <f>(CQ763+CS763)/2</f>
        <v>38.920749999999998</v>
      </c>
      <c r="CS763" s="120">
        <f>(CS762+CS764)/2</f>
        <v>39.5685</v>
      </c>
      <c r="CT763" s="120">
        <f>(CS763+CU763)/2</f>
        <v>40.227499999999999</v>
      </c>
      <c r="CU763" s="120">
        <f>(CU762+CU764)/2</f>
        <v>40.886499999999998</v>
      </c>
      <c r="CV763" s="120">
        <f>(CU763+CW763)/2</f>
        <v>41.541249999999998</v>
      </c>
      <c r="CW763" s="120">
        <f>(CW762+CW764)/2</f>
        <v>42.195999999999998</v>
      </c>
      <c r="CX763" s="120">
        <f>(CW763+CY763)/2</f>
        <v>42.859499999999997</v>
      </c>
      <c r="CY763" s="120">
        <f>(CY762+CY764)/2</f>
        <v>43.522999999999996</v>
      </c>
      <c r="CZ763" s="120">
        <f>(CY763+DA763)/2</f>
        <v>44.182000000000002</v>
      </c>
      <c r="DA763" s="120">
        <f>(DA762+DA764)/2</f>
        <v>44.841000000000001</v>
      </c>
      <c r="DB763" s="120">
        <f>(DA763+DC763)/2</f>
        <v>45.499499999999998</v>
      </c>
      <c r="DC763" s="120">
        <f>(DC762+DC764)/2</f>
        <v>46.158000000000001</v>
      </c>
      <c r="DD763" s="120">
        <f>(DC763+DE763)/2</f>
        <v>46.786999999999999</v>
      </c>
      <c r="DE763" s="120">
        <f>(DE762+DE764)/2</f>
        <v>47.415999999999997</v>
      </c>
      <c r="DF763" s="120">
        <f>(DE763+DG763)/2</f>
        <v>48.0715</v>
      </c>
      <c r="DG763" s="122">
        <f>(DG762+DG764)/2</f>
        <v>48.727000000000004</v>
      </c>
    </row>
    <row r="764" spans="54:111" ht="15" customHeight="1" x14ac:dyDescent="0.2">
      <c r="BB764" s="28">
        <v>30</v>
      </c>
      <c r="BC764" s="121">
        <v>8.8179999999999996</v>
      </c>
      <c r="BD764" s="121">
        <v>9.7874999999999996</v>
      </c>
      <c r="BE764" s="121">
        <v>10.757</v>
      </c>
      <c r="BF764" s="121">
        <v>11.657499999999999</v>
      </c>
      <c r="BG764" s="121">
        <v>12.558</v>
      </c>
      <c r="BH764" s="121">
        <v>13.413499999999999</v>
      </c>
      <c r="BI764" s="121">
        <v>14.269</v>
      </c>
      <c r="BJ764" s="121">
        <v>15.125</v>
      </c>
      <c r="BK764" s="121">
        <v>15.981</v>
      </c>
      <c r="BL764" s="121">
        <v>16.7685</v>
      </c>
      <c r="BM764" s="121">
        <v>17.556000000000001</v>
      </c>
      <c r="BN764" s="121">
        <v>18.335999999999999</v>
      </c>
      <c r="BO764" s="121">
        <v>19.116</v>
      </c>
      <c r="BP764" s="121">
        <v>19.904</v>
      </c>
      <c r="BQ764" s="121">
        <v>20.692</v>
      </c>
      <c r="BR764" s="121">
        <v>21.433999999999997</v>
      </c>
      <c r="BS764" s="121">
        <v>22.175999999999998</v>
      </c>
      <c r="BT764" s="121">
        <v>22.918500000000002</v>
      </c>
      <c r="BU764" s="121">
        <v>23.661000000000001</v>
      </c>
      <c r="BV764" s="121">
        <v>24.411000000000001</v>
      </c>
      <c r="BW764" s="121">
        <v>25.161000000000001</v>
      </c>
      <c r="BX764" s="121">
        <v>25.865500000000001</v>
      </c>
      <c r="BY764" s="121">
        <v>26.57</v>
      </c>
      <c r="BZ764" s="121">
        <v>27.32</v>
      </c>
      <c r="CA764" s="121">
        <v>28.07</v>
      </c>
      <c r="CB764" s="121">
        <f t="array" ref="CB764:CB794">TRANSPOSE(CC763:DG763)</f>
        <v>28.7745</v>
      </c>
      <c r="CC764" s="158">
        <v>29.478999999999999</v>
      </c>
      <c r="CD764" s="120">
        <f>(CE764+CC764)/2</f>
        <v>30.183999999999997</v>
      </c>
      <c r="CE764" s="158">
        <v>30.888999999999999</v>
      </c>
      <c r="CF764" s="120">
        <f>(CG764+CE764)/2</f>
        <v>31.600499999999997</v>
      </c>
      <c r="CG764" s="158">
        <v>32.311999999999998</v>
      </c>
      <c r="CH764" s="120">
        <f>(CI764+CG764)/2</f>
        <v>33.017499999999998</v>
      </c>
      <c r="CI764" s="158">
        <v>33.722999999999999</v>
      </c>
      <c r="CJ764" s="120">
        <f>(CK764+CI764)/2</f>
        <v>34.396500000000003</v>
      </c>
      <c r="CK764" s="158">
        <v>35.07</v>
      </c>
      <c r="CL764" s="120">
        <f>(CM764+CK764)/2</f>
        <v>35.774500000000003</v>
      </c>
      <c r="CM764" s="158">
        <v>36.478999999999999</v>
      </c>
      <c r="CN764" s="120">
        <f>(CO764+CM764)/2</f>
        <v>37.146000000000001</v>
      </c>
      <c r="CO764" s="158">
        <v>37.813000000000002</v>
      </c>
      <c r="CP764" s="120">
        <f>(CQ764+CO764)/2</f>
        <v>38.525000000000006</v>
      </c>
      <c r="CQ764" s="158">
        <v>39.237000000000002</v>
      </c>
      <c r="CR764" s="120">
        <f>(CS764+CQ764)/2</f>
        <v>39.903999999999996</v>
      </c>
      <c r="CS764" s="158">
        <v>40.570999999999998</v>
      </c>
      <c r="CT764" s="120">
        <f>(CU764+CS764)/2</f>
        <v>41.2455</v>
      </c>
      <c r="CU764" s="158">
        <v>41.92</v>
      </c>
      <c r="CV764" s="120">
        <f>(CW764+CU764)/2</f>
        <v>42.586500000000001</v>
      </c>
      <c r="CW764" s="158">
        <v>43.253</v>
      </c>
      <c r="CX764" s="120">
        <f>(CY764+CW764)/2</f>
        <v>43.957999999999998</v>
      </c>
      <c r="CY764" s="158">
        <v>44.662999999999997</v>
      </c>
      <c r="CZ764" s="120">
        <f>(DA764+CY764)/2</f>
        <v>45.337000000000003</v>
      </c>
      <c r="DA764" s="158">
        <v>46.011000000000003</v>
      </c>
      <c r="DB764" s="120">
        <f>(DC764+DA764)/2</f>
        <v>46.677999999999997</v>
      </c>
      <c r="DC764" s="158">
        <v>47.344999999999999</v>
      </c>
      <c r="DD764" s="120">
        <f>(DE764+DC764)/2</f>
        <v>47.980999999999995</v>
      </c>
      <c r="DE764" s="158">
        <v>48.616999999999997</v>
      </c>
      <c r="DF764" s="120">
        <f>(DG764+DE764)/2</f>
        <v>49.284499999999994</v>
      </c>
      <c r="DG764" s="159">
        <v>49.951999999999998</v>
      </c>
    </row>
    <row r="765" spans="54:111" ht="15" customHeight="1" x14ac:dyDescent="0.2">
      <c r="BB765" s="28">
        <v>31</v>
      </c>
      <c r="BC765" s="121">
        <v>9.0410000000000004</v>
      </c>
      <c r="BD765" s="121">
        <v>10.025500000000001</v>
      </c>
      <c r="BE765" s="121">
        <v>11.01</v>
      </c>
      <c r="BF765" s="121">
        <v>11.937749999999999</v>
      </c>
      <c r="BG765" s="121">
        <v>12.865500000000001</v>
      </c>
      <c r="BH765" s="121">
        <v>13.747499999999999</v>
      </c>
      <c r="BI765" s="121">
        <v>14.6295</v>
      </c>
      <c r="BJ765" s="121">
        <v>15.478</v>
      </c>
      <c r="BK765" s="121">
        <v>16.326499999999999</v>
      </c>
      <c r="BL765" s="121">
        <v>17.144750000000002</v>
      </c>
      <c r="BM765" s="121">
        <v>17.963000000000001</v>
      </c>
      <c r="BN765" s="121">
        <v>18.765750000000001</v>
      </c>
      <c r="BO765" s="121">
        <v>19.5685</v>
      </c>
      <c r="BP765" s="121">
        <v>20.367750000000001</v>
      </c>
      <c r="BQ765" s="121">
        <v>21.167000000000002</v>
      </c>
      <c r="BR765" s="121">
        <v>21.924499999999998</v>
      </c>
      <c r="BS765" s="121">
        <v>22.681999999999999</v>
      </c>
      <c r="BT765" s="121">
        <v>23.466000000000001</v>
      </c>
      <c r="BU765" s="121">
        <v>24.25</v>
      </c>
      <c r="BV765" s="121">
        <v>25.011749999999999</v>
      </c>
      <c r="BW765" s="121">
        <v>25.773499999999999</v>
      </c>
      <c r="BX765" s="121">
        <v>26.489750000000001</v>
      </c>
      <c r="BY765" s="121">
        <v>27.206</v>
      </c>
      <c r="BZ765" s="121">
        <v>27.9785</v>
      </c>
      <c r="CA765" s="121">
        <v>28.750999999999998</v>
      </c>
      <c r="CB765" s="121">
        <v>29.467500000000001</v>
      </c>
      <c r="CC765" s="121">
        <f t="array" ref="CC765:CC794">TRANSPOSE(CD764:DG764)</f>
        <v>30.183999999999997</v>
      </c>
      <c r="CD765" s="120">
        <f>(CC765+CE765)/2</f>
        <v>30.904</v>
      </c>
      <c r="CE765" s="120">
        <f>(CE764+CE766)/2</f>
        <v>31.624000000000002</v>
      </c>
      <c r="CF765" s="120">
        <f>(CE765+CG765)/2</f>
        <v>32.358500000000006</v>
      </c>
      <c r="CG765" s="120">
        <f>(CG764+CG766)/2</f>
        <v>33.093000000000004</v>
      </c>
      <c r="CH765" s="120">
        <f>(CG765+CI765)/2</f>
        <v>33.809750000000001</v>
      </c>
      <c r="CI765" s="120">
        <f>(CI764+CI766)/2</f>
        <v>34.526499999999999</v>
      </c>
      <c r="CJ765" s="120">
        <f>(CI765+CK765)/2</f>
        <v>35.231000000000002</v>
      </c>
      <c r="CK765" s="120">
        <f>(CK764+CK766)/2</f>
        <v>35.935500000000005</v>
      </c>
      <c r="CL765" s="120">
        <f>(CK765+CM765)/2</f>
        <v>36.662500000000001</v>
      </c>
      <c r="CM765" s="120">
        <f>(CM764+CM766)/2</f>
        <v>37.389499999999998</v>
      </c>
      <c r="CN765" s="120">
        <f>(CM765+CO765)/2</f>
        <v>38.072000000000003</v>
      </c>
      <c r="CO765" s="120">
        <f>(CO764+CO766)/2</f>
        <v>38.7545</v>
      </c>
      <c r="CP765" s="120">
        <f>(CO765+CQ765)/2</f>
        <v>39.474249999999998</v>
      </c>
      <c r="CQ765" s="120">
        <f>(CQ764+CQ766)/2</f>
        <v>40.194000000000003</v>
      </c>
      <c r="CR765" s="120">
        <f>(CQ765+CS765)/2</f>
        <v>40.887500000000003</v>
      </c>
      <c r="CS765" s="120">
        <f>(CS764+CS766)/2</f>
        <v>41.581000000000003</v>
      </c>
      <c r="CT765" s="120">
        <f>(CS765+CU765)/2</f>
        <v>42.263249999999999</v>
      </c>
      <c r="CU765" s="120">
        <f>(CU764+CU766)/2</f>
        <v>42.945499999999996</v>
      </c>
      <c r="CV765" s="120">
        <f>(CU765+CW765)/2</f>
        <v>43.646499999999996</v>
      </c>
      <c r="CW765" s="120">
        <f>(CW764+CW766)/2</f>
        <v>44.347499999999997</v>
      </c>
      <c r="CX765" s="120">
        <f>(CW765+CY765)/2</f>
        <v>45.0595</v>
      </c>
      <c r="CY765" s="120">
        <f>(CY764+CY766)/2</f>
        <v>45.771500000000003</v>
      </c>
      <c r="CZ765" s="120">
        <f>(CY765+DA765)/2</f>
        <v>46.454000000000001</v>
      </c>
      <c r="DA765" s="120">
        <f>(DA764+DA766)/2</f>
        <v>47.136499999999998</v>
      </c>
      <c r="DB765" s="120">
        <f>(DA765+DC765)/2</f>
        <v>47.818749999999994</v>
      </c>
      <c r="DC765" s="120">
        <f>(DC764+DC766)/2</f>
        <v>48.500999999999998</v>
      </c>
      <c r="DD765" s="120">
        <f>(DC765+DE765)/2</f>
        <v>49.174999999999997</v>
      </c>
      <c r="DE765" s="120">
        <f>(DE764+DE766)/2</f>
        <v>49.849000000000004</v>
      </c>
      <c r="DF765" s="120">
        <f>(DE765+DG765)/2</f>
        <v>50.531500000000001</v>
      </c>
      <c r="DG765" s="122">
        <f>(DG764+DG766)/2</f>
        <v>51.213999999999999</v>
      </c>
    </row>
    <row r="766" spans="54:111" ht="15" customHeight="1" x14ac:dyDescent="0.2">
      <c r="BB766" s="28">
        <v>32</v>
      </c>
      <c r="BC766" s="121">
        <v>9.2639999999999993</v>
      </c>
      <c r="BD766" s="121">
        <v>10.263500000000001</v>
      </c>
      <c r="BE766" s="121">
        <v>11.263</v>
      </c>
      <c r="BF766" s="121">
        <v>12.218</v>
      </c>
      <c r="BG766" s="121">
        <v>13.173</v>
      </c>
      <c r="BH766" s="121">
        <v>14.0815</v>
      </c>
      <c r="BI766" s="121">
        <v>14.99</v>
      </c>
      <c r="BJ766" s="121">
        <v>15.831</v>
      </c>
      <c r="BK766" s="121">
        <v>16.672000000000001</v>
      </c>
      <c r="BL766" s="121">
        <v>17.521000000000001</v>
      </c>
      <c r="BM766" s="121">
        <v>18.37</v>
      </c>
      <c r="BN766" s="121">
        <v>19.195500000000003</v>
      </c>
      <c r="BO766" s="121">
        <v>20.021000000000001</v>
      </c>
      <c r="BP766" s="121">
        <v>20.831499999999998</v>
      </c>
      <c r="BQ766" s="121">
        <v>21.641999999999999</v>
      </c>
      <c r="BR766" s="121">
        <v>22.414999999999999</v>
      </c>
      <c r="BS766" s="121">
        <v>23.187999999999999</v>
      </c>
      <c r="BT766" s="121">
        <v>24.013500000000001</v>
      </c>
      <c r="BU766" s="121">
        <v>24.838999999999999</v>
      </c>
      <c r="BV766" s="121">
        <v>25.612499999999997</v>
      </c>
      <c r="BW766" s="121">
        <v>26.385999999999999</v>
      </c>
      <c r="BX766" s="121">
        <v>27.113999999999997</v>
      </c>
      <c r="BY766" s="121">
        <v>27.841999999999999</v>
      </c>
      <c r="BZ766" s="121">
        <v>28.637</v>
      </c>
      <c r="CA766" s="121">
        <v>29.431999999999999</v>
      </c>
      <c r="CB766" s="121">
        <v>30.160499999999999</v>
      </c>
      <c r="CC766" s="121">
        <v>30.888999999999999</v>
      </c>
      <c r="CD766" s="121">
        <f t="array" ref="CD766:CD794">TRANSPOSE(CE765:DG765)</f>
        <v>31.624000000000002</v>
      </c>
      <c r="CE766" s="158">
        <v>32.359000000000002</v>
      </c>
      <c r="CF766" s="120">
        <f>(CG766+CE766)/2</f>
        <v>33.116500000000002</v>
      </c>
      <c r="CG766" s="158">
        <v>33.874000000000002</v>
      </c>
      <c r="CH766" s="120">
        <f>(CI766+CG766)/2</f>
        <v>34.602000000000004</v>
      </c>
      <c r="CI766" s="158">
        <v>35.33</v>
      </c>
      <c r="CJ766" s="120">
        <f>(CK766+CI766)/2</f>
        <v>36.0655</v>
      </c>
      <c r="CK766" s="158">
        <v>36.801000000000002</v>
      </c>
      <c r="CL766" s="120">
        <f>(CM766+CK766)/2</f>
        <v>37.5505</v>
      </c>
      <c r="CM766" s="158">
        <v>38.299999999999997</v>
      </c>
      <c r="CN766" s="120">
        <f>(CO766+CM766)/2</f>
        <v>38.997999999999998</v>
      </c>
      <c r="CO766" s="158">
        <v>39.695999999999998</v>
      </c>
      <c r="CP766" s="120">
        <f>(CQ766+CO766)/2</f>
        <v>40.423500000000004</v>
      </c>
      <c r="CQ766" s="158">
        <v>41.151000000000003</v>
      </c>
      <c r="CR766" s="120">
        <f>(CS766+CQ766)/2</f>
        <v>41.871000000000002</v>
      </c>
      <c r="CS766" s="158">
        <v>42.591000000000001</v>
      </c>
      <c r="CT766" s="120">
        <f>(CU766+CS766)/2</f>
        <v>43.280999999999999</v>
      </c>
      <c r="CU766" s="158">
        <v>43.970999999999997</v>
      </c>
      <c r="CV766" s="120">
        <f>(CW766+CU766)/2</f>
        <v>44.706499999999998</v>
      </c>
      <c r="CW766" s="158">
        <v>45.442</v>
      </c>
      <c r="CX766" s="120">
        <f>(CY766+CW766)/2</f>
        <v>46.161000000000001</v>
      </c>
      <c r="CY766" s="158">
        <v>46.88</v>
      </c>
      <c r="CZ766" s="120">
        <f>(DA766+CY766)/2</f>
        <v>47.570999999999998</v>
      </c>
      <c r="DA766" s="158">
        <v>48.262</v>
      </c>
      <c r="DB766" s="120">
        <f>(DC766+DA766)/2</f>
        <v>48.959499999999998</v>
      </c>
      <c r="DC766" s="158">
        <v>49.656999999999996</v>
      </c>
      <c r="DD766" s="120">
        <f>(DE766+DC766)/2</f>
        <v>50.369</v>
      </c>
      <c r="DE766" s="158">
        <v>51.081000000000003</v>
      </c>
      <c r="DF766" s="120">
        <f>(DG766+DE766)/2</f>
        <v>51.778500000000001</v>
      </c>
      <c r="DG766" s="159">
        <v>52.475999999999999</v>
      </c>
    </row>
    <row r="767" spans="54:111" ht="15" customHeight="1" x14ac:dyDescent="0.2">
      <c r="BB767" s="28">
        <v>33</v>
      </c>
      <c r="BC767" s="121">
        <v>9.4269999999999996</v>
      </c>
      <c r="BD767" s="121">
        <v>10.468250000000001</v>
      </c>
      <c r="BE767" s="121">
        <v>11.509499999999999</v>
      </c>
      <c r="BF767" s="121">
        <v>12.49075</v>
      </c>
      <c r="BG767" s="121">
        <v>13.472000000000001</v>
      </c>
      <c r="BH767" s="121">
        <v>14.381</v>
      </c>
      <c r="BI767" s="121">
        <v>15.29</v>
      </c>
      <c r="BJ767" s="121">
        <v>16.172750000000001</v>
      </c>
      <c r="BK767" s="121">
        <v>17.055500000000002</v>
      </c>
      <c r="BL767" s="121">
        <v>17.927</v>
      </c>
      <c r="BM767" s="121">
        <v>18.798500000000001</v>
      </c>
      <c r="BN767" s="121">
        <v>19.628500000000003</v>
      </c>
      <c r="BO767" s="121">
        <v>20.458500000000001</v>
      </c>
      <c r="BP767" s="121">
        <v>21.288249999999998</v>
      </c>
      <c r="BQ767" s="121">
        <v>22.118000000000002</v>
      </c>
      <c r="BR767" s="121">
        <v>22.932500000000001</v>
      </c>
      <c r="BS767" s="121">
        <v>23.747</v>
      </c>
      <c r="BT767" s="121">
        <v>24.558</v>
      </c>
      <c r="BU767" s="121">
        <v>25.369</v>
      </c>
      <c r="BV767" s="121">
        <v>26.164999999999999</v>
      </c>
      <c r="BW767" s="121">
        <v>26.960999999999999</v>
      </c>
      <c r="BX767" s="121">
        <v>27.730499999999999</v>
      </c>
      <c r="BY767" s="121">
        <v>28.5</v>
      </c>
      <c r="BZ767" s="121">
        <v>29.295750000000002</v>
      </c>
      <c r="CA767" s="121">
        <v>30.0915</v>
      </c>
      <c r="CB767" s="121">
        <v>30.846</v>
      </c>
      <c r="CC767" s="121">
        <v>31.600499999999997</v>
      </c>
      <c r="CD767" s="121">
        <v>32.358500000000006</v>
      </c>
      <c r="CE767" s="121">
        <f t="array" ref="CE767:CE794">TRANSPOSE(CF766:DG766)</f>
        <v>33.116500000000002</v>
      </c>
      <c r="CF767" s="120">
        <f>(CE767+CG767)/2</f>
        <v>33.871000000000002</v>
      </c>
      <c r="CG767" s="120">
        <f>(CG766+CG768)/2</f>
        <v>34.625500000000002</v>
      </c>
      <c r="CH767" s="120">
        <f>(CG767+CI767)/2</f>
        <v>35.379750000000001</v>
      </c>
      <c r="CI767" s="120">
        <f>(CI766+CI768)/2</f>
        <v>36.134</v>
      </c>
      <c r="CJ767" s="120">
        <f>(CI767+CK767)/2</f>
        <v>36.892000000000003</v>
      </c>
      <c r="CK767" s="120">
        <f>(CK766+CK768)/2</f>
        <v>37.650000000000006</v>
      </c>
      <c r="CL767" s="120">
        <f>(CK767+CM767)/2</f>
        <v>38.400500000000001</v>
      </c>
      <c r="CM767" s="120">
        <f>(CM766+CM768)/2</f>
        <v>39.150999999999996</v>
      </c>
      <c r="CN767" s="120">
        <f>(CM767+CO767)/2</f>
        <v>39.890499999999996</v>
      </c>
      <c r="CO767" s="120">
        <f>(CO766+CO768)/2</f>
        <v>40.629999999999995</v>
      </c>
      <c r="CP767" s="120">
        <f>(CO767+CQ767)/2</f>
        <v>41.364999999999995</v>
      </c>
      <c r="CQ767" s="120">
        <f>(CQ766+CQ768)/2</f>
        <v>42.1</v>
      </c>
      <c r="CR767" s="120">
        <f>(CQ767+CS767)/2</f>
        <v>42.839250000000007</v>
      </c>
      <c r="CS767" s="120">
        <f>(CS766+CS768)/2</f>
        <v>43.578500000000005</v>
      </c>
      <c r="CT767" s="120">
        <f>(CS767+CU767)/2</f>
        <v>44.291499999999999</v>
      </c>
      <c r="CU767" s="120">
        <f>(CU766+CU768)/2</f>
        <v>45.004499999999993</v>
      </c>
      <c r="CV767" s="120">
        <f>(CU767+CW767)/2</f>
        <v>45.743749999999999</v>
      </c>
      <c r="CW767" s="120">
        <f>(CW766+CW768)/2</f>
        <v>46.483000000000004</v>
      </c>
      <c r="CX767" s="120">
        <f>(CW767+CY767)/2</f>
        <v>47.22175</v>
      </c>
      <c r="CY767" s="120">
        <f>(CY766+CY768)/2</f>
        <v>47.960499999999996</v>
      </c>
      <c r="CZ767" s="120">
        <f>(CY767+DA767)/2</f>
        <v>48.673749999999998</v>
      </c>
      <c r="DA767" s="120">
        <f>(DA766+DA768)/2</f>
        <v>49.387</v>
      </c>
      <c r="DB767" s="120">
        <f>(DA767+DC767)/2</f>
        <v>50.107250000000001</v>
      </c>
      <c r="DC767" s="120">
        <f>(DC766+DC768)/2</f>
        <v>50.827500000000001</v>
      </c>
      <c r="DD767" s="120">
        <f>(DC767+DE767)/2</f>
        <v>51.543999999999997</v>
      </c>
      <c r="DE767" s="120">
        <f>(DE766+DE768)/2</f>
        <v>52.2605</v>
      </c>
      <c r="DF767" s="120">
        <f>(DE767+DG767)/2</f>
        <v>52.98075</v>
      </c>
      <c r="DG767" s="122">
        <f>(DG766+DG768)/2</f>
        <v>53.701000000000001</v>
      </c>
    </row>
    <row r="768" spans="54:111" ht="15" customHeight="1" x14ac:dyDescent="0.2">
      <c r="BB768" s="28">
        <v>34</v>
      </c>
      <c r="BC768" s="121">
        <v>9.59</v>
      </c>
      <c r="BD768" s="121">
        <v>10.673</v>
      </c>
      <c r="BE768" s="121">
        <v>11.756</v>
      </c>
      <c r="BF768" s="121">
        <v>12.763500000000001</v>
      </c>
      <c r="BG768" s="121">
        <v>13.771000000000001</v>
      </c>
      <c r="BH768" s="121">
        <v>14.6805</v>
      </c>
      <c r="BI768" s="121">
        <v>15.59</v>
      </c>
      <c r="BJ768" s="121">
        <v>16.514499999999998</v>
      </c>
      <c r="BK768" s="121">
        <v>17.439</v>
      </c>
      <c r="BL768" s="121">
        <v>18.332999999999998</v>
      </c>
      <c r="BM768" s="121">
        <v>19.227</v>
      </c>
      <c r="BN768" s="121">
        <v>20.061500000000002</v>
      </c>
      <c r="BO768" s="121">
        <v>20.896000000000001</v>
      </c>
      <c r="BP768" s="121">
        <v>21.745000000000001</v>
      </c>
      <c r="BQ768" s="121">
        <v>22.594000000000001</v>
      </c>
      <c r="BR768" s="121">
        <v>23.450000000000003</v>
      </c>
      <c r="BS768" s="121">
        <v>24.306000000000001</v>
      </c>
      <c r="BT768" s="121">
        <v>25.102499999999999</v>
      </c>
      <c r="BU768" s="121">
        <v>25.899000000000001</v>
      </c>
      <c r="BV768" s="121">
        <v>26.717500000000001</v>
      </c>
      <c r="BW768" s="121">
        <v>27.536000000000001</v>
      </c>
      <c r="BX768" s="121">
        <v>28.347000000000001</v>
      </c>
      <c r="BY768" s="121">
        <v>29.158000000000001</v>
      </c>
      <c r="BZ768" s="121">
        <v>29.954500000000003</v>
      </c>
      <c r="CA768" s="121">
        <v>30.751000000000001</v>
      </c>
      <c r="CB768" s="121">
        <v>31.531500000000001</v>
      </c>
      <c r="CC768" s="121">
        <v>32.311999999999998</v>
      </c>
      <c r="CD768" s="121">
        <v>33.093000000000004</v>
      </c>
      <c r="CE768" s="121">
        <v>33.874000000000002</v>
      </c>
      <c r="CF768" s="121">
        <f t="array" ref="CF768:CF794">TRANSPOSE(CG767:DG767)</f>
        <v>34.625500000000002</v>
      </c>
      <c r="CG768" s="158">
        <v>35.377000000000002</v>
      </c>
      <c r="CH768" s="120">
        <f>(CI768+CG768)/2</f>
        <v>36.157499999999999</v>
      </c>
      <c r="CI768" s="158">
        <v>36.938000000000002</v>
      </c>
      <c r="CJ768" s="120">
        <f>(CK768+CI768)/2</f>
        <v>37.718500000000006</v>
      </c>
      <c r="CK768" s="158">
        <v>38.499000000000002</v>
      </c>
      <c r="CL768" s="120">
        <f>(CM768+CK768)/2</f>
        <v>39.250500000000002</v>
      </c>
      <c r="CM768" s="158">
        <v>40.002000000000002</v>
      </c>
      <c r="CN768" s="120">
        <f>(CO768+CM768)/2</f>
        <v>40.783000000000001</v>
      </c>
      <c r="CO768" s="158">
        <v>41.564</v>
      </c>
      <c r="CP768" s="120">
        <f>(CQ768+CO768)/2</f>
        <v>42.3065</v>
      </c>
      <c r="CQ768" s="158">
        <v>43.048999999999999</v>
      </c>
      <c r="CR768" s="120">
        <f>(CS768+CQ768)/2</f>
        <v>43.807500000000005</v>
      </c>
      <c r="CS768" s="158">
        <v>44.566000000000003</v>
      </c>
      <c r="CT768" s="120">
        <f>(CU768+CS768)/2</f>
        <v>45.302</v>
      </c>
      <c r="CU768" s="158">
        <v>46.037999999999997</v>
      </c>
      <c r="CV768" s="120">
        <f>(CW768+CU768)/2</f>
        <v>46.780999999999999</v>
      </c>
      <c r="CW768" s="158">
        <v>47.524000000000001</v>
      </c>
      <c r="CX768" s="120">
        <f>(CY768+CW768)/2</f>
        <v>48.282499999999999</v>
      </c>
      <c r="CY768" s="158">
        <v>49.040999999999997</v>
      </c>
      <c r="CZ768" s="120">
        <f>(DA768+CY768)/2</f>
        <v>49.776499999999999</v>
      </c>
      <c r="DA768" s="158">
        <v>50.512</v>
      </c>
      <c r="DB768" s="120">
        <f>(DC768+DA768)/2</f>
        <v>51.254999999999995</v>
      </c>
      <c r="DC768" s="158">
        <v>51.997999999999998</v>
      </c>
      <c r="DD768" s="120">
        <f>(DE768+DC768)/2</f>
        <v>52.718999999999994</v>
      </c>
      <c r="DE768" s="158">
        <v>53.44</v>
      </c>
      <c r="DF768" s="120">
        <f>(DG768+DE768)/2</f>
        <v>54.183</v>
      </c>
      <c r="DG768" s="159">
        <v>54.926000000000002</v>
      </c>
    </row>
    <row r="769" spans="54:111" ht="15" customHeight="1" x14ac:dyDescent="0.2">
      <c r="BB769" s="28">
        <v>35</v>
      </c>
      <c r="BC769" s="121">
        <v>9.8204999999999991</v>
      </c>
      <c r="BD769" s="121">
        <v>10.914750000000002</v>
      </c>
      <c r="BE769" s="121">
        <v>12.009</v>
      </c>
      <c r="BF769" s="121">
        <v>13.02825</v>
      </c>
      <c r="BG769" s="121">
        <v>14.047499999999999</v>
      </c>
      <c r="BH769" s="121">
        <v>14.995249999999999</v>
      </c>
      <c r="BI769" s="121">
        <v>15.943</v>
      </c>
      <c r="BJ769" s="121">
        <v>16.863999999999997</v>
      </c>
      <c r="BK769" s="121">
        <v>17.785</v>
      </c>
      <c r="BL769" s="121">
        <v>18.690249999999999</v>
      </c>
      <c r="BM769" s="121">
        <v>19.595500000000001</v>
      </c>
      <c r="BN769" s="121">
        <v>20.471499999999999</v>
      </c>
      <c r="BO769" s="121">
        <v>21.3475</v>
      </c>
      <c r="BP769" s="121">
        <v>22.212000000000003</v>
      </c>
      <c r="BQ769" s="121">
        <v>23.076500000000003</v>
      </c>
      <c r="BR769" s="121">
        <v>23.944250000000004</v>
      </c>
      <c r="BS769" s="121">
        <v>24.812000000000001</v>
      </c>
      <c r="BT769" s="121">
        <v>25.631250000000001</v>
      </c>
      <c r="BU769" s="121">
        <v>26.450499999999998</v>
      </c>
      <c r="BV769" s="121">
        <v>27.299500000000002</v>
      </c>
      <c r="BW769" s="121">
        <v>28.148499999999999</v>
      </c>
      <c r="BX769" s="121">
        <v>28.952249999999999</v>
      </c>
      <c r="BY769" s="121">
        <v>29.756</v>
      </c>
      <c r="BZ769" s="121">
        <v>30.575500000000002</v>
      </c>
      <c r="CA769" s="121">
        <v>31.395000000000003</v>
      </c>
      <c r="CB769" s="121">
        <v>32.206249999999997</v>
      </c>
      <c r="CC769" s="121">
        <v>33.017499999999998</v>
      </c>
      <c r="CD769" s="121">
        <v>33.809750000000001</v>
      </c>
      <c r="CE769" s="121">
        <v>34.602000000000004</v>
      </c>
      <c r="CF769" s="121">
        <v>35.379750000000001</v>
      </c>
      <c r="CG769" s="121">
        <f t="array" ref="CG769:CG794">TRANSPOSE(CH768:DG768)</f>
        <v>36.157499999999999</v>
      </c>
      <c r="CH769" s="120">
        <f>(CG769+CI769)/2</f>
        <v>36.949750000000002</v>
      </c>
      <c r="CI769" s="120">
        <f>(CI768+CI770)/2</f>
        <v>37.742000000000004</v>
      </c>
      <c r="CJ769" s="120">
        <f>(CI769+CK769)/2</f>
        <v>38.53425</v>
      </c>
      <c r="CK769" s="120">
        <f>(CK768+CK770)/2</f>
        <v>39.326500000000003</v>
      </c>
      <c r="CL769" s="120">
        <f>(CK769+CM769)/2</f>
        <v>40.104250000000008</v>
      </c>
      <c r="CM769" s="120">
        <f>(CM768+CM770)/2</f>
        <v>40.882000000000005</v>
      </c>
      <c r="CN769" s="120">
        <f>(CM769+CO769)/2</f>
        <v>41.671000000000006</v>
      </c>
      <c r="CO769" s="120">
        <f>(CO768+CO770)/2</f>
        <v>42.46</v>
      </c>
      <c r="CP769" s="120">
        <f>(CO769+CQ769)/2</f>
        <v>43.233249999999998</v>
      </c>
      <c r="CQ769" s="120">
        <f>(CQ768+CQ770)/2</f>
        <v>44.006500000000003</v>
      </c>
      <c r="CR769" s="120">
        <f>(CQ769+CS769)/2</f>
        <v>44.787750000000003</v>
      </c>
      <c r="CS769" s="120">
        <f>(CS768+CS770)/2</f>
        <v>45.569000000000003</v>
      </c>
      <c r="CT769" s="120">
        <f>(CS769+CU769)/2</f>
        <v>46.301000000000002</v>
      </c>
      <c r="CU769" s="120">
        <f>(CU768+CU770)/2</f>
        <v>47.033000000000001</v>
      </c>
      <c r="CV769" s="120">
        <f>(CU769+CW769)/2</f>
        <v>47.806750000000001</v>
      </c>
      <c r="CW769" s="120">
        <f>(CW768+CW770)/2</f>
        <v>48.580500000000001</v>
      </c>
      <c r="CX769" s="120">
        <f>(CW769+CY769)/2</f>
        <v>49.361750000000001</v>
      </c>
      <c r="CY769" s="120">
        <f>(CY768+CY770)/2</f>
        <v>50.143000000000001</v>
      </c>
      <c r="CZ769" s="120">
        <f>(CY769+DA769)/2</f>
        <v>50.875</v>
      </c>
      <c r="DA769" s="120">
        <f>(DA768+DA770)/2</f>
        <v>51.606999999999999</v>
      </c>
      <c r="DB769" s="120">
        <f>(DA769+DC769)/2</f>
        <v>52.380249999999997</v>
      </c>
      <c r="DC769" s="120">
        <f>(DC768+DC770)/2</f>
        <v>53.153499999999994</v>
      </c>
      <c r="DD769" s="120">
        <f>(DC769+DE769)/2</f>
        <v>53.915999999999997</v>
      </c>
      <c r="DE769" s="120">
        <f>(DE768+DE770)/2</f>
        <v>54.6785</v>
      </c>
      <c r="DF769" s="120">
        <f>(DE769+DG769)/2</f>
        <v>55.41075</v>
      </c>
      <c r="DG769" s="122">
        <f>(DG768+DG770)/2</f>
        <v>56.143000000000001</v>
      </c>
    </row>
    <row r="770" spans="54:111" ht="15" customHeight="1" x14ac:dyDescent="0.2">
      <c r="BB770" s="28">
        <v>36</v>
      </c>
      <c r="BC770" s="121">
        <v>10.051</v>
      </c>
      <c r="BD770" s="121">
        <v>11.156500000000001</v>
      </c>
      <c r="BE770" s="121">
        <v>12.262</v>
      </c>
      <c r="BF770" s="121">
        <v>13.292999999999999</v>
      </c>
      <c r="BG770" s="121">
        <v>14.324</v>
      </c>
      <c r="BH770" s="121">
        <v>15.309999999999999</v>
      </c>
      <c r="BI770" s="121">
        <v>16.295999999999999</v>
      </c>
      <c r="BJ770" s="121">
        <v>17.2135</v>
      </c>
      <c r="BK770" s="121">
        <v>18.131</v>
      </c>
      <c r="BL770" s="121">
        <v>19.047499999999999</v>
      </c>
      <c r="BM770" s="121">
        <v>19.963999999999999</v>
      </c>
      <c r="BN770" s="121">
        <v>20.881499999999999</v>
      </c>
      <c r="BO770" s="121">
        <v>21.798999999999999</v>
      </c>
      <c r="BP770" s="121">
        <v>22.679000000000002</v>
      </c>
      <c r="BQ770" s="121">
        <v>23.559000000000001</v>
      </c>
      <c r="BR770" s="121">
        <v>24.438500000000001</v>
      </c>
      <c r="BS770" s="121">
        <v>25.318000000000001</v>
      </c>
      <c r="BT770" s="121">
        <v>26.16</v>
      </c>
      <c r="BU770" s="121">
        <v>27.001999999999999</v>
      </c>
      <c r="BV770" s="121">
        <v>27.881499999999999</v>
      </c>
      <c r="BW770" s="121">
        <v>28.760999999999999</v>
      </c>
      <c r="BX770" s="121">
        <v>29.557499999999997</v>
      </c>
      <c r="BY770" s="121">
        <v>30.353999999999999</v>
      </c>
      <c r="BZ770" s="121">
        <v>31.1965</v>
      </c>
      <c r="CA770" s="121">
        <v>32.039000000000001</v>
      </c>
      <c r="CB770" s="121">
        <v>32.881</v>
      </c>
      <c r="CC770" s="121">
        <v>33.722999999999999</v>
      </c>
      <c r="CD770" s="121">
        <v>34.526499999999999</v>
      </c>
      <c r="CE770" s="121">
        <v>35.33</v>
      </c>
      <c r="CF770" s="121">
        <v>36.134</v>
      </c>
      <c r="CG770" s="121">
        <v>36.938000000000002</v>
      </c>
      <c r="CH770" s="121">
        <f t="array" ref="CH770:CH794">TRANSPOSE(CI769:DG769)</f>
        <v>37.742000000000004</v>
      </c>
      <c r="CI770" s="158">
        <v>38.545999999999999</v>
      </c>
      <c r="CJ770" s="120">
        <f>(CK770+CI770)/2</f>
        <v>39.35</v>
      </c>
      <c r="CK770" s="158">
        <v>40.154000000000003</v>
      </c>
      <c r="CL770" s="120">
        <f>(CM770+CK770)/2</f>
        <v>40.957999999999998</v>
      </c>
      <c r="CM770" s="158">
        <v>41.762</v>
      </c>
      <c r="CN770" s="120">
        <f>(CO770+CM770)/2</f>
        <v>42.558999999999997</v>
      </c>
      <c r="CO770" s="158">
        <v>43.356000000000002</v>
      </c>
      <c r="CP770" s="120">
        <f>(CQ770+CO770)/2</f>
        <v>44.16</v>
      </c>
      <c r="CQ770" s="158">
        <v>44.963999999999999</v>
      </c>
      <c r="CR770" s="120">
        <f>(CS770+CQ770)/2</f>
        <v>45.768000000000001</v>
      </c>
      <c r="CS770" s="158">
        <v>46.572000000000003</v>
      </c>
      <c r="CT770" s="120">
        <f>(CU770+CS770)/2</f>
        <v>47.3</v>
      </c>
      <c r="CU770" s="158">
        <v>48.027999999999999</v>
      </c>
      <c r="CV770" s="120">
        <f>(CW770+CU770)/2</f>
        <v>48.832499999999996</v>
      </c>
      <c r="CW770" s="158">
        <v>49.637</v>
      </c>
      <c r="CX770" s="120">
        <f>(CY770+CW770)/2</f>
        <v>50.441000000000003</v>
      </c>
      <c r="CY770" s="158">
        <v>51.244999999999997</v>
      </c>
      <c r="CZ770" s="120">
        <f>(DA770+CY770)/2</f>
        <v>51.973500000000001</v>
      </c>
      <c r="DA770" s="158">
        <v>52.701999999999998</v>
      </c>
      <c r="DB770" s="120">
        <f>(DC770+DA770)/2</f>
        <v>53.505499999999998</v>
      </c>
      <c r="DC770" s="158">
        <v>54.308999999999997</v>
      </c>
      <c r="DD770" s="120">
        <f>(DE770+DC770)/2</f>
        <v>55.113</v>
      </c>
      <c r="DE770" s="158">
        <v>55.917000000000002</v>
      </c>
      <c r="DF770" s="120">
        <f>(DG770+DE770)/2</f>
        <v>56.638500000000001</v>
      </c>
      <c r="DG770" s="159">
        <v>57.36</v>
      </c>
    </row>
    <row r="771" spans="54:111" ht="15" customHeight="1" x14ac:dyDescent="0.2">
      <c r="BB771" s="28">
        <v>37</v>
      </c>
      <c r="BC771" s="121">
        <v>10.2355</v>
      </c>
      <c r="BD771" s="121">
        <v>11.372</v>
      </c>
      <c r="BE771" s="121">
        <v>12.508500000000002</v>
      </c>
      <c r="BF771" s="121">
        <v>13.551</v>
      </c>
      <c r="BG771" s="121">
        <v>14.593499999999999</v>
      </c>
      <c r="BH771" s="121">
        <v>15.60575</v>
      </c>
      <c r="BI771" s="121">
        <v>16.618000000000002</v>
      </c>
      <c r="BJ771" s="121">
        <v>17.566000000000003</v>
      </c>
      <c r="BK771" s="121">
        <v>18.513999999999999</v>
      </c>
      <c r="BL771" s="121">
        <v>19.44275</v>
      </c>
      <c r="BM771" s="121">
        <v>20.371499999999997</v>
      </c>
      <c r="BN771" s="121">
        <v>21.311500000000002</v>
      </c>
      <c r="BO771" s="121">
        <v>22.2515</v>
      </c>
      <c r="BP771" s="121">
        <v>23.143000000000001</v>
      </c>
      <c r="BQ771" s="121">
        <v>24.034500000000001</v>
      </c>
      <c r="BR771" s="121">
        <v>24.9255</v>
      </c>
      <c r="BS771" s="121">
        <v>25.816500000000001</v>
      </c>
      <c r="BT771" s="121">
        <v>26.70025</v>
      </c>
      <c r="BU771" s="121">
        <v>27.584</v>
      </c>
      <c r="BV771" s="121">
        <v>28.456499999999998</v>
      </c>
      <c r="BW771" s="121">
        <v>29.329000000000001</v>
      </c>
      <c r="BX771" s="121">
        <v>30.162999999999997</v>
      </c>
      <c r="BY771" s="121">
        <v>30.997</v>
      </c>
      <c r="BZ771" s="121">
        <v>31.86225</v>
      </c>
      <c r="CA771" s="121">
        <v>32.727499999999999</v>
      </c>
      <c r="CB771" s="121">
        <v>33.561999999999998</v>
      </c>
      <c r="CC771" s="121">
        <v>34.396500000000003</v>
      </c>
      <c r="CD771" s="121">
        <v>35.231000000000002</v>
      </c>
      <c r="CE771" s="121">
        <v>36.0655</v>
      </c>
      <c r="CF771" s="121">
        <v>36.892000000000003</v>
      </c>
      <c r="CG771" s="121">
        <v>37.718500000000006</v>
      </c>
      <c r="CH771" s="121">
        <v>38.53425</v>
      </c>
      <c r="CI771" s="121">
        <f t="array" ref="CI771:CI794">TRANSPOSE(CJ770:DG770)</f>
        <v>39.35</v>
      </c>
      <c r="CJ771" s="120">
        <f>(CI771+CK771)/2</f>
        <v>40.165750000000003</v>
      </c>
      <c r="CK771" s="120">
        <f>(CK770+CK772)/2</f>
        <v>40.981499999999997</v>
      </c>
      <c r="CL771" s="120">
        <f>(CK771+CM771)/2</f>
        <v>41.808250000000001</v>
      </c>
      <c r="CM771" s="120">
        <f>(CM770+CM772)/2</f>
        <v>42.635000000000005</v>
      </c>
      <c r="CN771" s="120">
        <f>(CM771+CO771)/2</f>
        <v>43.447000000000003</v>
      </c>
      <c r="CO771" s="120">
        <f>(CO770+CO772)/2</f>
        <v>44.259</v>
      </c>
      <c r="CP771" s="120">
        <f>(CO771+CQ771)/2</f>
        <v>45.074750000000002</v>
      </c>
      <c r="CQ771" s="120">
        <f>(CQ770+CQ772)/2</f>
        <v>45.890500000000003</v>
      </c>
      <c r="CR771" s="120">
        <f>(CQ771+CS771)/2</f>
        <v>46.716999999999999</v>
      </c>
      <c r="CS771" s="120">
        <f>(CS770+CS772)/2</f>
        <v>47.543500000000002</v>
      </c>
      <c r="CT771" s="120">
        <f>(CS771+CU771)/2</f>
        <v>48.3215</v>
      </c>
      <c r="CU771" s="120">
        <f>(CU770+CU772)/2</f>
        <v>49.099499999999999</v>
      </c>
      <c r="CV771" s="120">
        <f>(CU771+CW771)/2</f>
        <v>49.877749999999999</v>
      </c>
      <c r="CW771" s="120">
        <f>(CW770+CW772)/2</f>
        <v>50.655999999999999</v>
      </c>
      <c r="CX771" s="120">
        <f>(CW771+CY771)/2</f>
        <v>51.482749999999996</v>
      </c>
      <c r="CY771" s="120">
        <f>(CY770+CY772)/2</f>
        <v>52.3095</v>
      </c>
      <c r="CZ771" s="120">
        <f>(CY771+DA771)/2</f>
        <v>53.087249999999997</v>
      </c>
      <c r="DA771" s="120">
        <f>(DA770+DA772)/2</f>
        <v>53.864999999999995</v>
      </c>
      <c r="DB771" s="120">
        <f>(DA771+DC771)/2</f>
        <v>54.642749999999992</v>
      </c>
      <c r="DC771" s="120">
        <f>(DC770+DC772)/2</f>
        <v>55.420499999999997</v>
      </c>
      <c r="DD771" s="120">
        <f>(DC771+DE771)/2</f>
        <v>56.247</v>
      </c>
      <c r="DE771" s="120">
        <f>(DE770+DE772)/2</f>
        <v>57.073499999999996</v>
      </c>
      <c r="DF771" s="120">
        <f>(DE771+DG771)/2</f>
        <v>57.84825</v>
      </c>
      <c r="DG771" s="122">
        <f>(DG770+DG772)/2</f>
        <v>58.623000000000005</v>
      </c>
    </row>
    <row r="772" spans="54:111" ht="15" customHeight="1" x14ac:dyDescent="0.2">
      <c r="BB772" s="28">
        <v>38</v>
      </c>
      <c r="BC772" s="121">
        <v>10.42</v>
      </c>
      <c r="BD772" s="121">
        <v>11.5875</v>
      </c>
      <c r="BE772" s="121">
        <v>12.755000000000001</v>
      </c>
      <c r="BF772" s="121">
        <v>13.809000000000001</v>
      </c>
      <c r="BG772" s="121">
        <v>14.863</v>
      </c>
      <c r="BH772" s="121">
        <v>15.9015</v>
      </c>
      <c r="BI772" s="121">
        <v>16.940000000000001</v>
      </c>
      <c r="BJ772" s="121">
        <v>17.918500000000002</v>
      </c>
      <c r="BK772" s="121">
        <v>18.896999999999998</v>
      </c>
      <c r="BL772" s="121">
        <v>19.838000000000001</v>
      </c>
      <c r="BM772" s="121">
        <v>20.779</v>
      </c>
      <c r="BN772" s="121">
        <v>21.741500000000002</v>
      </c>
      <c r="BO772" s="121">
        <v>22.704000000000001</v>
      </c>
      <c r="BP772" s="121">
        <v>23.606999999999999</v>
      </c>
      <c r="BQ772" s="121">
        <v>24.51</v>
      </c>
      <c r="BR772" s="121">
        <v>25.412500000000001</v>
      </c>
      <c r="BS772" s="121">
        <v>26.315000000000001</v>
      </c>
      <c r="BT772" s="121">
        <v>27.240500000000001</v>
      </c>
      <c r="BU772" s="121">
        <v>28.166</v>
      </c>
      <c r="BV772" s="121">
        <v>29.031500000000001</v>
      </c>
      <c r="BW772" s="121">
        <v>29.896999999999998</v>
      </c>
      <c r="BX772" s="121">
        <v>30.7685</v>
      </c>
      <c r="BY772" s="121">
        <v>31.64</v>
      </c>
      <c r="BZ772" s="121">
        <v>32.527999999999999</v>
      </c>
      <c r="CA772" s="121">
        <v>33.415999999999997</v>
      </c>
      <c r="CB772" s="121">
        <v>34.242999999999995</v>
      </c>
      <c r="CC772" s="121">
        <v>35.07</v>
      </c>
      <c r="CD772" s="121">
        <v>35.935500000000005</v>
      </c>
      <c r="CE772" s="121">
        <v>36.801000000000002</v>
      </c>
      <c r="CF772" s="121">
        <v>37.650000000000006</v>
      </c>
      <c r="CG772" s="121">
        <v>38.499000000000002</v>
      </c>
      <c r="CH772" s="121">
        <v>39.326500000000003</v>
      </c>
      <c r="CI772" s="121">
        <v>40.154000000000003</v>
      </c>
      <c r="CJ772" s="121">
        <f t="array" ref="CJ772:CJ794">TRANSPOSE(CK771:DG771)</f>
        <v>40.981499999999997</v>
      </c>
      <c r="CK772" s="158">
        <v>41.808999999999997</v>
      </c>
      <c r="CL772" s="120">
        <f>(CM772+CK772)/2</f>
        <v>42.658500000000004</v>
      </c>
      <c r="CM772" s="158">
        <v>43.508000000000003</v>
      </c>
      <c r="CN772" s="120">
        <f>(CO772+CM772)/2</f>
        <v>44.335000000000001</v>
      </c>
      <c r="CO772" s="158">
        <v>45.161999999999999</v>
      </c>
      <c r="CP772" s="120">
        <f>(CQ772+CO772)/2</f>
        <v>45.9895</v>
      </c>
      <c r="CQ772" s="158">
        <v>46.817</v>
      </c>
      <c r="CR772" s="120">
        <f>(CS772+CQ772)/2</f>
        <v>47.665999999999997</v>
      </c>
      <c r="CS772" s="158">
        <v>48.515000000000001</v>
      </c>
      <c r="CT772" s="120">
        <f>(CU772+CS772)/2</f>
        <v>49.343000000000004</v>
      </c>
      <c r="CU772" s="158">
        <v>50.170999999999999</v>
      </c>
      <c r="CV772" s="120">
        <f>(CW772+CU772)/2</f>
        <v>50.923000000000002</v>
      </c>
      <c r="CW772" s="158">
        <v>51.674999999999997</v>
      </c>
      <c r="CX772" s="120">
        <f>(CY772+CW772)/2</f>
        <v>52.524500000000003</v>
      </c>
      <c r="CY772" s="158">
        <v>53.374000000000002</v>
      </c>
      <c r="CZ772" s="120">
        <f>(DA772+CY772)/2</f>
        <v>54.201000000000001</v>
      </c>
      <c r="DA772" s="158">
        <v>55.027999999999999</v>
      </c>
      <c r="DB772" s="120">
        <f>(DC772+DA772)/2</f>
        <v>55.78</v>
      </c>
      <c r="DC772" s="158">
        <v>56.531999999999996</v>
      </c>
      <c r="DD772" s="120">
        <f>(DE772+DC772)/2</f>
        <v>57.381</v>
      </c>
      <c r="DE772" s="158">
        <v>58.23</v>
      </c>
      <c r="DF772" s="120">
        <f>(DG772+DE772)/2</f>
        <v>59.058</v>
      </c>
      <c r="DG772" s="159">
        <v>59.886000000000003</v>
      </c>
    </row>
    <row r="773" spans="54:111" ht="15" customHeight="1" x14ac:dyDescent="0.2">
      <c r="BB773" s="28">
        <v>39</v>
      </c>
      <c r="BC773" s="121">
        <v>10.620999999999999</v>
      </c>
      <c r="BD773" s="121">
        <v>11.795999999999999</v>
      </c>
      <c r="BE773" s="121">
        <v>12.971</v>
      </c>
      <c r="BF773" s="121">
        <v>14.066750000000001</v>
      </c>
      <c r="BG773" s="121">
        <v>15.1625</v>
      </c>
      <c r="BH773" s="121">
        <v>16.201499999999999</v>
      </c>
      <c r="BI773" s="121">
        <v>17.240500000000001</v>
      </c>
      <c r="BJ773" s="121">
        <v>18.241500000000002</v>
      </c>
      <c r="BK773" s="121">
        <v>19.2425</v>
      </c>
      <c r="BL773" s="121">
        <v>20.225000000000001</v>
      </c>
      <c r="BM773" s="121">
        <v>21.2075</v>
      </c>
      <c r="BN773" s="121">
        <v>22.1555</v>
      </c>
      <c r="BO773" s="121">
        <v>23.1035</v>
      </c>
      <c r="BP773" s="121">
        <v>24.048000000000002</v>
      </c>
      <c r="BQ773" s="121">
        <v>24.9925</v>
      </c>
      <c r="BR773" s="121">
        <v>25.917999999999999</v>
      </c>
      <c r="BS773" s="121">
        <v>26.843499999999999</v>
      </c>
      <c r="BT773" s="121">
        <v>27.76925</v>
      </c>
      <c r="BU773" s="121">
        <v>28.695</v>
      </c>
      <c r="BV773" s="121">
        <v>29.58325</v>
      </c>
      <c r="BW773" s="121">
        <v>30.471499999999999</v>
      </c>
      <c r="BX773" s="121">
        <v>31.366</v>
      </c>
      <c r="BY773" s="121">
        <v>32.2605</v>
      </c>
      <c r="BZ773" s="121">
        <v>33.14875</v>
      </c>
      <c r="CA773" s="121">
        <v>34.036999999999999</v>
      </c>
      <c r="CB773" s="121">
        <v>34.905749999999998</v>
      </c>
      <c r="CC773" s="121">
        <v>35.774500000000003</v>
      </c>
      <c r="CD773" s="121">
        <v>36.662500000000001</v>
      </c>
      <c r="CE773" s="121">
        <v>37.5505</v>
      </c>
      <c r="CF773" s="121">
        <v>38.400500000000001</v>
      </c>
      <c r="CG773" s="121">
        <v>39.250500000000002</v>
      </c>
      <c r="CH773" s="121">
        <v>40.104250000000008</v>
      </c>
      <c r="CI773" s="121">
        <v>40.957999999999998</v>
      </c>
      <c r="CJ773" s="121">
        <v>41.808250000000001</v>
      </c>
      <c r="CK773" s="121">
        <f t="array" ref="CK773:CK794">TRANSPOSE(CL772:DG772)</f>
        <v>42.658500000000004</v>
      </c>
      <c r="CL773" s="120">
        <f>(CK773+CM773)/2</f>
        <v>43.508500000000005</v>
      </c>
      <c r="CM773" s="120">
        <f>(CM772+CM774)/2</f>
        <v>44.358500000000006</v>
      </c>
      <c r="CN773" s="120">
        <f>(CM773+CO773)/2</f>
        <v>45.208250000000007</v>
      </c>
      <c r="CO773" s="120">
        <f>(CO772+CO774)/2</f>
        <v>46.058</v>
      </c>
      <c r="CP773" s="120">
        <f>(CO773+CQ773)/2</f>
        <v>46.908000000000001</v>
      </c>
      <c r="CQ773" s="120">
        <f>(CQ772+CQ774)/2</f>
        <v>47.757999999999996</v>
      </c>
      <c r="CR773" s="120">
        <f>(CQ773+CS773)/2</f>
        <v>48.611999999999995</v>
      </c>
      <c r="CS773" s="120">
        <f>(CS772+CS774)/2</f>
        <v>49.466000000000001</v>
      </c>
      <c r="CT773" s="120">
        <f>(CS773+CU773)/2</f>
        <v>50.316249999999997</v>
      </c>
      <c r="CU773" s="120">
        <f>(CU772+CU774)/2</f>
        <v>51.166499999999999</v>
      </c>
      <c r="CV773" s="120">
        <f>(CU773+CW773)/2</f>
        <v>51.978749999999998</v>
      </c>
      <c r="CW773" s="120">
        <f>(CW772+CW774)/2</f>
        <v>52.790999999999997</v>
      </c>
      <c r="CX773" s="120">
        <f>(CW773+CY773)/2</f>
        <v>53.603250000000003</v>
      </c>
      <c r="CY773" s="120">
        <f>(CY772+CY774)/2</f>
        <v>54.415500000000002</v>
      </c>
      <c r="CZ773" s="120">
        <f>(CY773+DA773)/2</f>
        <v>55.265500000000003</v>
      </c>
      <c r="DA773" s="120">
        <f>(DA772+DA774)/2</f>
        <v>56.115499999999997</v>
      </c>
      <c r="DB773" s="120">
        <f>(DA773+DC773)/2</f>
        <v>56.931749999999994</v>
      </c>
      <c r="DC773" s="120">
        <f>(DC772+DC774)/2</f>
        <v>57.747999999999998</v>
      </c>
      <c r="DD773" s="120">
        <f>(DC773+DE773)/2</f>
        <v>58.56</v>
      </c>
      <c r="DE773" s="120">
        <f>(DE772+DE774)/2</f>
        <v>59.372</v>
      </c>
      <c r="DF773" s="120">
        <f>(DE773+DG773)/2</f>
        <v>60.222499999999997</v>
      </c>
      <c r="DG773" s="122">
        <f>(DG772+DG774)/2</f>
        <v>61.073</v>
      </c>
    </row>
    <row r="774" spans="54:111" ht="15" customHeight="1" x14ac:dyDescent="0.2">
      <c r="BB774" s="28">
        <v>40</v>
      </c>
      <c r="BC774" s="121">
        <v>10.821999999999999</v>
      </c>
      <c r="BD774" s="121">
        <v>12.0045</v>
      </c>
      <c r="BE774" s="121">
        <v>13.186999999999999</v>
      </c>
      <c r="BF774" s="121">
        <v>14.3245</v>
      </c>
      <c r="BG774" s="121">
        <v>15.462</v>
      </c>
      <c r="BH774" s="121">
        <v>16.5015</v>
      </c>
      <c r="BI774" s="121">
        <v>17.541</v>
      </c>
      <c r="BJ774" s="121">
        <v>18.564500000000002</v>
      </c>
      <c r="BK774" s="121">
        <v>19.588000000000001</v>
      </c>
      <c r="BL774" s="121">
        <v>20.612000000000002</v>
      </c>
      <c r="BM774" s="121">
        <v>21.635999999999999</v>
      </c>
      <c r="BN774" s="121">
        <v>22.569499999999998</v>
      </c>
      <c r="BO774" s="121">
        <v>23.503</v>
      </c>
      <c r="BP774" s="121">
        <v>24.489000000000001</v>
      </c>
      <c r="BQ774" s="121">
        <v>25.475000000000001</v>
      </c>
      <c r="BR774" s="121">
        <v>26.423500000000001</v>
      </c>
      <c r="BS774" s="121">
        <v>27.372</v>
      </c>
      <c r="BT774" s="121">
        <v>28.298000000000002</v>
      </c>
      <c r="BU774" s="121">
        <v>29.224</v>
      </c>
      <c r="BV774" s="121">
        <v>30.134999999999998</v>
      </c>
      <c r="BW774" s="121">
        <v>31.045999999999999</v>
      </c>
      <c r="BX774" s="121">
        <v>31.9635</v>
      </c>
      <c r="BY774" s="121">
        <v>32.881</v>
      </c>
      <c r="BZ774" s="121">
        <v>33.769500000000001</v>
      </c>
      <c r="CA774" s="121">
        <v>34.658000000000001</v>
      </c>
      <c r="CB774" s="121">
        <v>35.5685</v>
      </c>
      <c r="CC774" s="121">
        <v>36.478999999999999</v>
      </c>
      <c r="CD774" s="121">
        <v>37.389499999999998</v>
      </c>
      <c r="CE774" s="121">
        <v>38.299999999999997</v>
      </c>
      <c r="CF774" s="121">
        <v>39.150999999999996</v>
      </c>
      <c r="CG774" s="121">
        <v>40.002000000000002</v>
      </c>
      <c r="CH774" s="121">
        <v>40.882000000000005</v>
      </c>
      <c r="CI774" s="121">
        <v>41.762</v>
      </c>
      <c r="CJ774" s="121">
        <v>42.635000000000005</v>
      </c>
      <c r="CK774" s="121">
        <v>43.508000000000003</v>
      </c>
      <c r="CL774" s="121">
        <f t="array" ref="CL774:CL794">TRANSPOSE(CM773:DG773)</f>
        <v>44.358500000000006</v>
      </c>
      <c r="CM774" s="158">
        <v>45.209000000000003</v>
      </c>
      <c r="CN774" s="120">
        <f>(CO774+CM774)/2</f>
        <v>46.081500000000005</v>
      </c>
      <c r="CO774" s="158">
        <v>46.954000000000001</v>
      </c>
      <c r="CP774" s="120">
        <f>(CQ774+CO774)/2</f>
        <v>47.826499999999996</v>
      </c>
      <c r="CQ774" s="158">
        <v>48.698999999999998</v>
      </c>
      <c r="CR774" s="120">
        <f>(CS774+CQ774)/2</f>
        <v>49.558</v>
      </c>
      <c r="CS774" s="158">
        <v>50.417000000000002</v>
      </c>
      <c r="CT774" s="120">
        <f>(CU774+CS774)/2</f>
        <v>51.289500000000004</v>
      </c>
      <c r="CU774" s="158">
        <v>52.161999999999999</v>
      </c>
      <c r="CV774" s="120">
        <f>(CW774+CU774)/2</f>
        <v>53.034499999999994</v>
      </c>
      <c r="CW774" s="158">
        <v>53.906999999999996</v>
      </c>
      <c r="CX774" s="120">
        <f>(CY774+CW774)/2</f>
        <v>54.682000000000002</v>
      </c>
      <c r="CY774" s="158">
        <v>55.457000000000001</v>
      </c>
      <c r="CZ774" s="120">
        <f>(DA774+CY774)/2</f>
        <v>56.33</v>
      </c>
      <c r="DA774" s="158">
        <v>57.203000000000003</v>
      </c>
      <c r="DB774" s="120">
        <f>(DC774+DA774)/2</f>
        <v>58.083500000000001</v>
      </c>
      <c r="DC774" s="158">
        <v>58.963999999999999</v>
      </c>
      <c r="DD774" s="120">
        <f>(DE774+DC774)/2</f>
        <v>59.739000000000004</v>
      </c>
      <c r="DE774" s="158">
        <v>60.514000000000003</v>
      </c>
      <c r="DF774" s="120">
        <f>(DG774+DE774)/2</f>
        <v>61.387</v>
      </c>
      <c r="DG774" s="159">
        <v>62.26</v>
      </c>
    </row>
    <row r="775" spans="54:111" ht="15" customHeight="1" x14ac:dyDescent="0.2">
      <c r="BB775" s="28">
        <v>41</v>
      </c>
      <c r="BC775" s="121">
        <v>11.015000000000001</v>
      </c>
      <c r="BD775" s="121">
        <v>12.22425</v>
      </c>
      <c r="BE775" s="121">
        <v>13.433499999999999</v>
      </c>
      <c r="BF775" s="121">
        <v>14.5825</v>
      </c>
      <c r="BG775" s="121">
        <v>15.7315</v>
      </c>
      <c r="BH775" s="121">
        <v>16.797249999999998</v>
      </c>
      <c r="BI775" s="121">
        <v>17.863</v>
      </c>
      <c r="BJ775" s="121">
        <v>18.898250000000001</v>
      </c>
      <c r="BK775" s="121">
        <v>19.933500000000002</v>
      </c>
      <c r="BL775" s="121">
        <v>20.972999999999999</v>
      </c>
      <c r="BM775" s="121">
        <v>22.012499999999999</v>
      </c>
      <c r="BN775" s="121">
        <v>22.983999999999998</v>
      </c>
      <c r="BO775" s="121">
        <v>23.955500000000001</v>
      </c>
      <c r="BP775" s="121">
        <v>24.953000000000003</v>
      </c>
      <c r="BQ775" s="121">
        <v>25.950499999999998</v>
      </c>
      <c r="BR775" s="121">
        <v>26.914250000000003</v>
      </c>
      <c r="BS775" s="121">
        <v>27.878</v>
      </c>
      <c r="BT775" s="121">
        <v>28.826750000000001</v>
      </c>
      <c r="BU775" s="121">
        <v>29.775500000000001</v>
      </c>
      <c r="BV775" s="121">
        <v>30.698249999999998</v>
      </c>
      <c r="BW775" s="121">
        <v>31.620999999999999</v>
      </c>
      <c r="BX775" s="121">
        <v>32.550249999999998</v>
      </c>
      <c r="BY775" s="121">
        <v>33.479500000000002</v>
      </c>
      <c r="BZ775" s="121">
        <v>34.409500000000001</v>
      </c>
      <c r="CA775" s="121">
        <v>35.339500000000001</v>
      </c>
      <c r="CB775" s="121">
        <v>36.242750000000001</v>
      </c>
      <c r="CC775" s="121">
        <v>37.146000000000001</v>
      </c>
      <c r="CD775" s="121">
        <v>38.072000000000003</v>
      </c>
      <c r="CE775" s="121">
        <v>38.997999999999998</v>
      </c>
      <c r="CF775" s="121">
        <v>39.890499999999996</v>
      </c>
      <c r="CG775" s="121">
        <v>40.783000000000001</v>
      </c>
      <c r="CH775" s="121">
        <v>41.671000000000006</v>
      </c>
      <c r="CI775" s="121">
        <v>42.558999999999997</v>
      </c>
      <c r="CJ775" s="121">
        <v>43.447000000000003</v>
      </c>
      <c r="CK775" s="121">
        <v>44.335000000000001</v>
      </c>
      <c r="CL775" s="121">
        <v>45.208250000000007</v>
      </c>
      <c r="CM775" s="121">
        <f t="array" ref="CM775:CM794">TRANSPOSE(CN774:DG774)</f>
        <v>46.081500000000005</v>
      </c>
      <c r="CN775" s="120">
        <f>(CM775+CO775)/2</f>
        <v>46.969500000000004</v>
      </c>
      <c r="CO775" s="120">
        <f>(CO774+CO776)/2</f>
        <v>47.857500000000002</v>
      </c>
      <c r="CP775" s="120">
        <f>(CO775+CQ775)/2</f>
        <v>48.742000000000004</v>
      </c>
      <c r="CQ775" s="120">
        <f>(CQ774+CQ776)/2</f>
        <v>49.6265</v>
      </c>
      <c r="CR775" s="120">
        <f>(CQ775+CS775)/2</f>
        <v>50.504000000000005</v>
      </c>
      <c r="CS775" s="120">
        <f>(CS774+CS776)/2</f>
        <v>51.381500000000003</v>
      </c>
      <c r="CT775" s="120">
        <f>(CS775+CU775)/2</f>
        <v>52.26925</v>
      </c>
      <c r="CU775" s="120">
        <f>(CU774+CU776)/2</f>
        <v>53.156999999999996</v>
      </c>
      <c r="CV775" s="120">
        <f>(CU775+CW775)/2</f>
        <v>54.041249999999998</v>
      </c>
      <c r="CW775" s="120">
        <f>(CW774+CW776)/2</f>
        <v>54.9255</v>
      </c>
      <c r="CX775" s="120">
        <f>(CW775+CY775)/2</f>
        <v>55.761250000000004</v>
      </c>
      <c r="CY775" s="120">
        <f>(CY774+CY776)/2</f>
        <v>56.597000000000001</v>
      </c>
      <c r="CZ775" s="120">
        <f>(CY775+DA775)/2</f>
        <v>57.447500000000005</v>
      </c>
      <c r="DA775" s="120">
        <f>(DA774+DA776)/2</f>
        <v>58.298000000000002</v>
      </c>
      <c r="DB775" s="120">
        <f>(DA775+DC775)/2</f>
        <v>59.186250000000001</v>
      </c>
      <c r="DC775" s="120">
        <f>(DC774+DC776)/2</f>
        <v>60.0745</v>
      </c>
      <c r="DD775" s="120">
        <f>(DC775+DE775)/2</f>
        <v>60.91</v>
      </c>
      <c r="DE775" s="120">
        <f>(DE774+DE776)/2</f>
        <v>61.7455</v>
      </c>
      <c r="DF775" s="120">
        <f>(DE775+DG775)/2</f>
        <v>62.596000000000004</v>
      </c>
      <c r="DG775" s="122">
        <f>(DG774+DG776)/2</f>
        <v>63.4465</v>
      </c>
    </row>
    <row r="776" spans="54:111" ht="15" customHeight="1" x14ac:dyDescent="0.2">
      <c r="BB776" s="28">
        <v>42</v>
      </c>
      <c r="BC776" s="121">
        <v>11.208</v>
      </c>
      <c r="BD776" s="121">
        <v>12.443999999999999</v>
      </c>
      <c r="BE776" s="121">
        <v>13.68</v>
      </c>
      <c r="BF776" s="121">
        <v>14.8405</v>
      </c>
      <c r="BG776" s="121">
        <v>16.001000000000001</v>
      </c>
      <c r="BH776" s="121">
        <v>17.093</v>
      </c>
      <c r="BI776" s="121">
        <v>18.184999999999999</v>
      </c>
      <c r="BJ776" s="121">
        <v>19.231999999999999</v>
      </c>
      <c r="BK776" s="121">
        <v>20.279</v>
      </c>
      <c r="BL776" s="121">
        <v>21.334</v>
      </c>
      <c r="BM776" s="121">
        <v>22.388999999999999</v>
      </c>
      <c r="BN776" s="121">
        <v>23.398499999999999</v>
      </c>
      <c r="BO776" s="121">
        <v>24.408000000000001</v>
      </c>
      <c r="BP776" s="121">
        <v>25.417000000000002</v>
      </c>
      <c r="BQ776" s="121">
        <v>26.425999999999998</v>
      </c>
      <c r="BR776" s="121">
        <v>27.405000000000001</v>
      </c>
      <c r="BS776" s="121">
        <v>28.384</v>
      </c>
      <c r="BT776" s="121">
        <v>29.355499999999999</v>
      </c>
      <c r="BU776" s="121">
        <v>30.327000000000002</v>
      </c>
      <c r="BV776" s="121">
        <v>31.261499999999998</v>
      </c>
      <c r="BW776" s="121">
        <v>32.195999999999998</v>
      </c>
      <c r="BX776" s="121">
        <v>33.137</v>
      </c>
      <c r="BY776" s="121">
        <v>34.078000000000003</v>
      </c>
      <c r="BZ776" s="121">
        <v>35.049500000000002</v>
      </c>
      <c r="CA776" s="121">
        <v>36.021000000000001</v>
      </c>
      <c r="CB776" s="121">
        <v>36.917000000000002</v>
      </c>
      <c r="CC776" s="121">
        <v>37.813000000000002</v>
      </c>
      <c r="CD776" s="121">
        <v>38.7545</v>
      </c>
      <c r="CE776" s="121">
        <v>39.695999999999998</v>
      </c>
      <c r="CF776" s="121">
        <v>40.629999999999995</v>
      </c>
      <c r="CG776" s="121">
        <v>41.564</v>
      </c>
      <c r="CH776" s="121">
        <v>42.46</v>
      </c>
      <c r="CI776" s="121">
        <v>43.356000000000002</v>
      </c>
      <c r="CJ776" s="121">
        <v>44.259</v>
      </c>
      <c r="CK776" s="121">
        <v>45.161999999999999</v>
      </c>
      <c r="CL776" s="121">
        <v>46.058</v>
      </c>
      <c r="CM776" s="121">
        <v>46.954000000000001</v>
      </c>
      <c r="CN776" s="121">
        <f t="array" ref="CN776:CN794">TRANSPOSE(CO775:DG775)</f>
        <v>47.857500000000002</v>
      </c>
      <c r="CO776" s="158">
        <v>48.761000000000003</v>
      </c>
      <c r="CP776" s="120">
        <f>(CQ776+CO776)/2</f>
        <v>49.657499999999999</v>
      </c>
      <c r="CQ776" s="158">
        <v>50.554000000000002</v>
      </c>
      <c r="CR776" s="120">
        <f>(CS776+CQ776)/2</f>
        <v>51.45</v>
      </c>
      <c r="CS776" s="158">
        <v>52.345999999999997</v>
      </c>
      <c r="CT776" s="120">
        <f>(CU776+CS776)/2</f>
        <v>53.248999999999995</v>
      </c>
      <c r="CU776" s="158">
        <v>54.152000000000001</v>
      </c>
      <c r="CV776" s="120">
        <f>(CW776+CU776)/2</f>
        <v>55.048000000000002</v>
      </c>
      <c r="CW776" s="158">
        <v>55.944000000000003</v>
      </c>
      <c r="CX776" s="120">
        <f>(CY776+CW776)/2</f>
        <v>56.840500000000006</v>
      </c>
      <c r="CY776" s="158">
        <v>57.737000000000002</v>
      </c>
      <c r="CZ776" s="120">
        <f>(DA776+CY776)/2</f>
        <v>58.564999999999998</v>
      </c>
      <c r="DA776" s="158">
        <v>59.393000000000001</v>
      </c>
      <c r="DB776" s="120">
        <f>(DC776+DA776)/2</f>
        <v>60.289000000000001</v>
      </c>
      <c r="DC776" s="158">
        <v>61.185000000000002</v>
      </c>
      <c r="DD776" s="120">
        <f>(DE776+DC776)/2</f>
        <v>62.081000000000003</v>
      </c>
      <c r="DE776" s="158">
        <v>62.976999999999997</v>
      </c>
      <c r="DF776" s="120">
        <f>(DG776+DE776)/2</f>
        <v>63.804999999999993</v>
      </c>
      <c r="DG776" s="159">
        <v>64.632999999999996</v>
      </c>
    </row>
    <row r="777" spans="54:111" ht="15" customHeight="1" x14ac:dyDescent="0.2">
      <c r="BB777" s="28">
        <v>43</v>
      </c>
      <c r="BC777" s="121">
        <v>11.393000000000001</v>
      </c>
      <c r="BD777" s="121">
        <v>12.663</v>
      </c>
      <c r="BE777" s="121">
        <v>13.933</v>
      </c>
      <c r="BF777" s="121">
        <v>15.10525</v>
      </c>
      <c r="BG777" s="121">
        <v>16.2775</v>
      </c>
      <c r="BH777" s="121">
        <v>17.392249999999997</v>
      </c>
      <c r="BI777" s="121">
        <v>18.506999999999998</v>
      </c>
      <c r="BJ777" s="121">
        <v>19.585000000000001</v>
      </c>
      <c r="BK777" s="121">
        <v>20.663</v>
      </c>
      <c r="BL777" s="121">
        <v>21.710250000000002</v>
      </c>
      <c r="BM777" s="121">
        <v>22.7575</v>
      </c>
      <c r="BN777" s="121">
        <v>23.808499999999999</v>
      </c>
      <c r="BO777" s="121">
        <v>24.859500000000001</v>
      </c>
      <c r="BP777" s="121">
        <v>25.865500000000001</v>
      </c>
      <c r="BQ777" s="121">
        <v>26.871499999999997</v>
      </c>
      <c r="BR777" s="121">
        <v>27.87725</v>
      </c>
      <c r="BS777" s="121">
        <v>28.883000000000003</v>
      </c>
      <c r="BT777" s="121">
        <v>29.880749999999999</v>
      </c>
      <c r="BU777" s="121">
        <v>30.878500000000003</v>
      </c>
      <c r="BV777" s="121">
        <v>31.824249999999999</v>
      </c>
      <c r="BW777" s="121">
        <v>32.769999999999996</v>
      </c>
      <c r="BX777" s="121">
        <v>33.742000000000004</v>
      </c>
      <c r="BY777" s="121">
        <v>34.713999999999999</v>
      </c>
      <c r="BZ777" s="121">
        <v>35.689499999999995</v>
      </c>
      <c r="CA777" s="121">
        <v>36.664999999999999</v>
      </c>
      <c r="CB777" s="121">
        <v>37.594999999999999</v>
      </c>
      <c r="CC777" s="121">
        <v>38.525000000000006</v>
      </c>
      <c r="CD777" s="121">
        <v>39.474249999999998</v>
      </c>
      <c r="CE777" s="121">
        <v>40.423500000000004</v>
      </c>
      <c r="CF777" s="121">
        <v>41.364999999999995</v>
      </c>
      <c r="CG777" s="121">
        <v>42.3065</v>
      </c>
      <c r="CH777" s="121">
        <v>43.233249999999998</v>
      </c>
      <c r="CI777" s="121">
        <v>44.16</v>
      </c>
      <c r="CJ777" s="121">
        <v>45.074750000000002</v>
      </c>
      <c r="CK777" s="121">
        <v>45.9895</v>
      </c>
      <c r="CL777" s="121">
        <v>46.908000000000001</v>
      </c>
      <c r="CM777" s="121">
        <v>47.826499999999996</v>
      </c>
      <c r="CN777" s="121">
        <v>48.742000000000004</v>
      </c>
      <c r="CO777" s="121">
        <f t="array" ref="CO777:CO794">TRANSPOSE(CP776:DG776)</f>
        <v>49.657499999999999</v>
      </c>
      <c r="CP777" s="120">
        <f>(CO777+CQ777)/2</f>
        <v>50.5655</v>
      </c>
      <c r="CQ777" s="120">
        <f>(CQ776+CQ778)/2</f>
        <v>51.473500000000001</v>
      </c>
      <c r="CR777" s="120">
        <f>(CQ777+CS777)/2</f>
        <v>52.39575</v>
      </c>
      <c r="CS777" s="120">
        <f>(CS776+CS778)/2</f>
        <v>53.317999999999998</v>
      </c>
      <c r="CT777" s="120">
        <f>(CS777+CU777)/2</f>
        <v>54.22925</v>
      </c>
      <c r="CU777" s="120">
        <f>(CU776+CU778)/2</f>
        <v>55.140500000000003</v>
      </c>
      <c r="CV777" s="120">
        <f>(CU777+CW777)/2</f>
        <v>56.051749999999998</v>
      </c>
      <c r="CW777" s="120">
        <f>(CW776+CW778)/2</f>
        <v>56.963000000000001</v>
      </c>
      <c r="CX777" s="120">
        <f>(CW777+CY777)/2</f>
        <v>57.885750000000002</v>
      </c>
      <c r="CY777" s="120">
        <f>(CY776+CY778)/2</f>
        <v>58.808500000000002</v>
      </c>
      <c r="CZ777" s="120">
        <f>(CY777+DA777)/2</f>
        <v>59.682249999999996</v>
      </c>
      <c r="DA777" s="120">
        <f>(DA776+DA778)/2</f>
        <v>60.555999999999997</v>
      </c>
      <c r="DB777" s="120">
        <f>(DA777+DC777)/2</f>
        <v>61.429749999999999</v>
      </c>
      <c r="DC777" s="120">
        <f>(DC776+DC778)/2</f>
        <v>62.3035</v>
      </c>
      <c r="DD777" s="120">
        <f>(DC777+DE777)/2</f>
        <v>63.222000000000001</v>
      </c>
      <c r="DE777" s="120">
        <f>(DE776+DE778)/2</f>
        <v>64.140500000000003</v>
      </c>
      <c r="DF777" s="120">
        <f>(DE777+DG777)/2</f>
        <v>65.017750000000007</v>
      </c>
      <c r="DG777" s="122">
        <f>(DG776+DG778)/2</f>
        <v>65.894999999999996</v>
      </c>
    </row>
    <row r="778" spans="54:111" ht="15" customHeight="1" x14ac:dyDescent="0.2">
      <c r="BB778" s="28">
        <v>44</v>
      </c>
      <c r="BC778" s="121">
        <v>11.577999999999999</v>
      </c>
      <c r="BD778" s="121">
        <v>12.882</v>
      </c>
      <c r="BE778" s="121">
        <v>14.186</v>
      </c>
      <c r="BF778" s="121">
        <v>15.37</v>
      </c>
      <c r="BG778" s="121">
        <v>16.553999999999998</v>
      </c>
      <c r="BH778" s="121">
        <v>17.691499999999998</v>
      </c>
      <c r="BI778" s="121">
        <v>18.829000000000001</v>
      </c>
      <c r="BJ778" s="121">
        <v>19.938000000000002</v>
      </c>
      <c r="BK778" s="121">
        <v>21.047000000000001</v>
      </c>
      <c r="BL778" s="121">
        <v>22.086500000000001</v>
      </c>
      <c r="BM778" s="121">
        <v>23.126000000000001</v>
      </c>
      <c r="BN778" s="121">
        <v>24.218499999999999</v>
      </c>
      <c r="BO778" s="121">
        <v>25.311</v>
      </c>
      <c r="BP778" s="121">
        <v>26.314</v>
      </c>
      <c r="BQ778" s="121">
        <v>27.317</v>
      </c>
      <c r="BR778" s="121">
        <v>28.349499999999999</v>
      </c>
      <c r="BS778" s="121">
        <v>29.382000000000001</v>
      </c>
      <c r="BT778" s="121">
        <v>30.405999999999999</v>
      </c>
      <c r="BU778" s="121">
        <v>31.43</v>
      </c>
      <c r="BV778" s="121">
        <v>32.387</v>
      </c>
      <c r="BW778" s="121">
        <v>33.344000000000001</v>
      </c>
      <c r="BX778" s="121">
        <v>34.347000000000001</v>
      </c>
      <c r="BY778" s="121">
        <v>35.35</v>
      </c>
      <c r="BZ778" s="121">
        <v>36.329499999999996</v>
      </c>
      <c r="CA778" s="121">
        <v>37.308999999999997</v>
      </c>
      <c r="CB778" s="121">
        <v>38.272999999999996</v>
      </c>
      <c r="CC778" s="121">
        <v>39.237000000000002</v>
      </c>
      <c r="CD778" s="121">
        <v>40.194000000000003</v>
      </c>
      <c r="CE778" s="121">
        <v>41.151000000000003</v>
      </c>
      <c r="CF778" s="121">
        <v>42.1</v>
      </c>
      <c r="CG778" s="121">
        <v>43.048999999999999</v>
      </c>
      <c r="CH778" s="121">
        <v>44.006500000000003</v>
      </c>
      <c r="CI778" s="121">
        <v>44.963999999999999</v>
      </c>
      <c r="CJ778" s="121">
        <v>45.890500000000003</v>
      </c>
      <c r="CK778" s="121">
        <v>46.817</v>
      </c>
      <c r="CL778" s="121">
        <v>47.757999999999996</v>
      </c>
      <c r="CM778" s="121">
        <v>48.698999999999998</v>
      </c>
      <c r="CN778" s="121">
        <v>49.6265</v>
      </c>
      <c r="CO778" s="121">
        <v>50.554000000000002</v>
      </c>
      <c r="CP778" s="121">
        <f t="array" ref="CP778:CP794">TRANSPOSE(CQ777:DG777)</f>
        <v>51.473500000000001</v>
      </c>
      <c r="CQ778" s="158">
        <v>52.393000000000001</v>
      </c>
      <c r="CR778" s="121">
        <f>CS777</f>
        <v>53.317999999999998</v>
      </c>
      <c r="CS778" s="158">
        <v>54.29</v>
      </c>
      <c r="CT778" s="121">
        <f>CU777</f>
        <v>55.140500000000003</v>
      </c>
      <c r="CU778" s="158">
        <v>56.128999999999998</v>
      </c>
      <c r="CV778" s="121">
        <f>CW777</f>
        <v>56.963000000000001</v>
      </c>
      <c r="CW778" s="158">
        <v>57.981999999999999</v>
      </c>
      <c r="CX778" s="121">
        <f>CY777</f>
        <v>58.808500000000002</v>
      </c>
      <c r="CY778" s="158">
        <v>59.88</v>
      </c>
      <c r="CZ778" s="121">
        <f>DA777</f>
        <v>60.555999999999997</v>
      </c>
      <c r="DA778" s="158">
        <v>61.719000000000001</v>
      </c>
      <c r="DB778" s="121">
        <f>DC777</f>
        <v>62.3035</v>
      </c>
      <c r="DC778" s="158">
        <v>63.421999999999997</v>
      </c>
      <c r="DD778" s="121">
        <f>DE777</f>
        <v>64.140500000000003</v>
      </c>
      <c r="DE778" s="158">
        <v>65.304000000000002</v>
      </c>
      <c r="DF778" s="121">
        <f>DG777</f>
        <v>65.894999999999996</v>
      </c>
      <c r="DG778" s="159">
        <v>67.156999999999996</v>
      </c>
    </row>
    <row r="779" spans="54:111" ht="15" customHeight="1" x14ac:dyDescent="0.2">
      <c r="BB779" s="28">
        <v>45</v>
      </c>
      <c r="BC779" s="121">
        <v>11.778499999999999</v>
      </c>
      <c r="BD779" s="121">
        <v>13.086749999999999</v>
      </c>
      <c r="BE779" s="121">
        <v>14.395</v>
      </c>
      <c r="BF779" s="121">
        <v>15.605</v>
      </c>
      <c r="BG779" s="121">
        <v>16.814999999999998</v>
      </c>
      <c r="BH779" s="121">
        <v>17.977249999999998</v>
      </c>
      <c r="BI779" s="121">
        <v>19.139499999999998</v>
      </c>
      <c r="BJ779" s="121">
        <v>20.265750000000001</v>
      </c>
      <c r="BK779" s="121">
        <v>21.391999999999999</v>
      </c>
      <c r="BL779" s="121">
        <v>22.473500000000001</v>
      </c>
      <c r="BM779" s="121">
        <v>23.555</v>
      </c>
      <c r="BN779" s="121">
        <v>24.629249999999999</v>
      </c>
      <c r="BO779" s="121">
        <v>25.703499999999998</v>
      </c>
      <c r="BP779" s="121">
        <v>26.74775</v>
      </c>
      <c r="BQ779" s="121">
        <v>27.792000000000002</v>
      </c>
      <c r="BR779" s="121">
        <v>28.832000000000001</v>
      </c>
      <c r="BS779" s="121">
        <v>29.872</v>
      </c>
      <c r="BT779" s="121">
        <v>30.8935</v>
      </c>
      <c r="BU779" s="121">
        <v>31.914999999999999</v>
      </c>
      <c r="BV779" s="121">
        <v>32.917249999999996</v>
      </c>
      <c r="BW779" s="121">
        <v>33.919499999999999</v>
      </c>
      <c r="BX779" s="121">
        <v>34.944500000000005</v>
      </c>
      <c r="BY779" s="121">
        <v>35.969499999999996</v>
      </c>
      <c r="BZ779" s="121">
        <v>36.953499999999998</v>
      </c>
      <c r="CA779" s="121">
        <v>37.9375</v>
      </c>
      <c r="CB779" s="121">
        <v>38.920749999999998</v>
      </c>
      <c r="CC779" s="121">
        <v>39.903999999999996</v>
      </c>
      <c r="CD779" s="121">
        <v>40.887500000000003</v>
      </c>
      <c r="CE779" s="121">
        <v>41.871000000000002</v>
      </c>
      <c r="CF779" s="121">
        <v>42.839250000000007</v>
      </c>
      <c r="CG779" s="121">
        <v>43.807500000000005</v>
      </c>
      <c r="CH779" s="121">
        <v>44.787750000000003</v>
      </c>
      <c r="CI779" s="121">
        <v>45.768000000000001</v>
      </c>
      <c r="CJ779" s="121">
        <v>46.716999999999999</v>
      </c>
      <c r="CK779" s="121">
        <v>47.665999999999997</v>
      </c>
      <c r="CL779" s="121">
        <v>48.611999999999995</v>
      </c>
      <c r="CM779" s="121">
        <v>49.558</v>
      </c>
      <c r="CN779" s="121">
        <v>50.504000000000005</v>
      </c>
      <c r="CO779" s="121">
        <v>51.45</v>
      </c>
      <c r="CP779" s="121">
        <v>52.39575</v>
      </c>
      <c r="CQ779" s="121">
        <f t="array" ref="CQ779:CQ794">TRANSPOSE(CR778:DG778)</f>
        <v>53.317999999999998</v>
      </c>
      <c r="CR779" s="120">
        <f>(CQ779+CS779)/2</f>
        <v>54.278999999999996</v>
      </c>
      <c r="CS779" s="120">
        <f>(CS778+CS780)/2</f>
        <v>55.239999999999995</v>
      </c>
      <c r="CT779" s="120">
        <f>(CS779+CU779)/2</f>
        <v>56.182249999999996</v>
      </c>
      <c r="CU779" s="120">
        <f>(CU778+CU780)/2</f>
        <v>57.124499999999998</v>
      </c>
      <c r="CV779" s="120">
        <f>(CU779+CW779)/2</f>
        <v>58.073749999999997</v>
      </c>
      <c r="CW779" s="120">
        <f>(CW778+CW780)/2</f>
        <v>59.022999999999996</v>
      </c>
      <c r="CX779" s="120">
        <f>(CW779+CY779)/2</f>
        <v>59.972749999999998</v>
      </c>
      <c r="CY779" s="120">
        <f>(CY778+CY780)/2</f>
        <v>60.922499999999999</v>
      </c>
      <c r="CZ779" s="120">
        <f>(CY779+DA779)/2</f>
        <v>61.8645</v>
      </c>
      <c r="DA779" s="120">
        <f>(DA778+DA780)/2</f>
        <v>62.8065</v>
      </c>
      <c r="DB779" s="120">
        <f>(DA779+DC779)/2</f>
        <v>63.718249999999998</v>
      </c>
      <c r="DC779" s="120">
        <f>(DC778+DC780)/2</f>
        <v>64.63</v>
      </c>
      <c r="DD779" s="120">
        <f>(DC779+DE779)/2</f>
        <v>65.537750000000003</v>
      </c>
      <c r="DE779" s="120">
        <f>(DE778+DE780)/2</f>
        <v>66.44550000000001</v>
      </c>
      <c r="DF779" s="120">
        <f>(DE779+DG779)/2</f>
        <v>67.391500000000008</v>
      </c>
      <c r="DG779" s="122">
        <f>(DG778+DG780)/2</f>
        <v>68.337500000000006</v>
      </c>
    </row>
    <row r="780" spans="54:111" ht="15" customHeight="1" x14ac:dyDescent="0.2">
      <c r="BB780" s="28">
        <v>46</v>
      </c>
      <c r="BC780" s="121">
        <v>11.978999999999999</v>
      </c>
      <c r="BD780" s="121">
        <v>13.291499999999999</v>
      </c>
      <c r="BE780" s="121">
        <v>14.603999999999999</v>
      </c>
      <c r="BF780" s="121">
        <v>15.84</v>
      </c>
      <c r="BG780" s="121">
        <v>17.076000000000001</v>
      </c>
      <c r="BH780" s="121">
        <v>18.262999999999998</v>
      </c>
      <c r="BI780" s="121">
        <v>19.45</v>
      </c>
      <c r="BJ780" s="121">
        <v>20.593499999999999</v>
      </c>
      <c r="BK780" s="121">
        <v>21.736999999999998</v>
      </c>
      <c r="BL780" s="121">
        <v>22.860500000000002</v>
      </c>
      <c r="BM780" s="121">
        <v>23.984000000000002</v>
      </c>
      <c r="BN780" s="121">
        <v>25.04</v>
      </c>
      <c r="BO780" s="121">
        <v>26.096</v>
      </c>
      <c r="BP780" s="121">
        <v>27.1815</v>
      </c>
      <c r="BQ780" s="121">
        <v>28.266999999999999</v>
      </c>
      <c r="BR780" s="121">
        <v>29.314499999999999</v>
      </c>
      <c r="BS780" s="121">
        <v>30.361999999999998</v>
      </c>
      <c r="BT780" s="121">
        <v>31.381</v>
      </c>
      <c r="BU780" s="121">
        <v>32.4</v>
      </c>
      <c r="BV780" s="121">
        <v>33.447499999999998</v>
      </c>
      <c r="BW780" s="121">
        <v>34.494999999999997</v>
      </c>
      <c r="BX780" s="121">
        <v>35.542000000000002</v>
      </c>
      <c r="BY780" s="121">
        <v>36.588999999999999</v>
      </c>
      <c r="BZ780" s="121">
        <v>37.577500000000001</v>
      </c>
      <c r="CA780" s="121">
        <v>38.566000000000003</v>
      </c>
      <c r="CB780" s="121">
        <v>39.5685</v>
      </c>
      <c r="CC780" s="121">
        <v>40.570999999999998</v>
      </c>
      <c r="CD780" s="121">
        <v>41.581000000000003</v>
      </c>
      <c r="CE780" s="121">
        <v>42.591000000000001</v>
      </c>
      <c r="CF780" s="121">
        <v>43.578500000000005</v>
      </c>
      <c r="CG780" s="121">
        <v>44.566000000000003</v>
      </c>
      <c r="CH780" s="121">
        <v>45.569000000000003</v>
      </c>
      <c r="CI780" s="121">
        <v>46.572000000000003</v>
      </c>
      <c r="CJ780" s="121">
        <v>47.543500000000002</v>
      </c>
      <c r="CK780" s="121">
        <v>48.515000000000001</v>
      </c>
      <c r="CL780" s="121">
        <v>49.466000000000001</v>
      </c>
      <c r="CM780" s="121">
        <v>50.417000000000002</v>
      </c>
      <c r="CN780" s="121">
        <v>51.381500000000003</v>
      </c>
      <c r="CO780" s="121">
        <v>52.345999999999997</v>
      </c>
      <c r="CP780" s="121">
        <v>53.317999999999998</v>
      </c>
      <c r="CQ780" s="121">
        <v>54.29</v>
      </c>
      <c r="CR780" s="150">
        <f t="array" ref="CR780:CR794">TRANSPOSE(CS779:DG779)</f>
        <v>55.239999999999995</v>
      </c>
      <c r="CS780" s="158">
        <v>56.19</v>
      </c>
      <c r="CT780" s="121">
        <f>CU779</f>
        <v>57.124499999999998</v>
      </c>
      <c r="CU780" s="158">
        <v>58.12</v>
      </c>
      <c r="CV780" s="121">
        <f>CW779</f>
        <v>59.022999999999996</v>
      </c>
      <c r="CW780" s="158">
        <v>60.064</v>
      </c>
      <c r="CX780" s="121">
        <f>CY779</f>
        <v>60.922499999999999</v>
      </c>
      <c r="CY780" s="158">
        <v>61.965000000000003</v>
      </c>
      <c r="CZ780" s="121">
        <f>DA779</f>
        <v>62.8065</v>
      </c>
      <c r="DA780" s="158">
        <v>63.893999999999998</v>
      </c>
      <c r="DB780" s="121">
        <f>DC779</f>
        <v>64.63</v>
      </c>
      <c r="DC780" s="158">
        <v>65.837999999999994</v>
      </c>
      <c r="DD780" s="121">
        <f>DE779</f>
        <v>66.44550000000001</v>
      </c>
      <c r="DE780" s="158">
        <v>67.587000000000003</v>
      </c>
      <c r="DF780" s="121">
        <f>DG779</f>
        <v>68.337500000000006</v>
      </c>
      <c r="DG780" s="159">
        <v>69.518000000000001</v>
      </c>
    </row>
    <row r="781" spans="54:111" ht="15" customHeight="1" x14ac:dyDescent="0.2">
      <c r="BB781" s="28">
        <v>47</v>
      </c>
      <c r="BC781" s="121">
        <v>12.1715</v>
      </c>
      <c r="BD781" s="121">
        <v>13.514250000000001</v>
      </c>
      <c r="BE781" s="121">
        <v>14.856999999999999</v>
      </c>
      <c r="BF781" s="121">
        <v>16.101500000000001</v>
      </c>
      <c r="BG781" s="121">
        <v>17.346</v>
      </c>
      <c r="BH781" s="121">
        <v>18.5505</v>
      </c>
      <c r="BI781" s="121">
        <v>19.754999999999999</v>
      </c>
      <c r="BJ781" s="121">
        <v>20.918749999999999</v>
      </c>
      <c r="BK781" s="121">
        <v>22.0825</v>
      </c>
      <c r="BL781" s="121">
        <v>23.217750000000002</v>
      </c>
      <c r="BM781" s="121">
        <v>24.353000000000002</v>
      </c>
      <c r="BN781" s="121">
        <v>25.454250000000002</v>
      </c>
      <c r="BO781" s="121">
        <v>26.555500000000002</v>
      </c>
      <c r="BP781" s="121">
        <v>27.652750000000001</v>
      </c>
      <c r="BQ781" s="121">
        <v>28.75</v>
      </c>
      <c r="BR781" s="121">
        <v>29.805500000000002</v>
      </c>
      <c r="BS781" s="121">
        <v>30.860999999999997</v>
      </c>
      <c r="BT781" s="121">
        <v>31.905749999999998</v>
      </c>
      <c r="BU781" s="121">
        <v>32.950499999999998</v>
      </c>
      <c r="BV781" s="121">
        <v>34.010249999999999</v>
      </c>
      <c r="BW781" s="121">
        <v>35.07</v>
      </c>
      <c r="BX781" s="121">
        <v>36.128750000000004</v>
      </c>
      <c r="BY781" s="121">
        <v>37.1875</v>
      </c>
      <c r="BZ781" s="121">
        <v>38.198500000000003</v>
      </c>
      <c r="CA781" s="121">
        <v>39.209500000000006</v>
      </c>
      <c r="CB781" s="121">
        <v>40.227499999999999</v>
      </c>
      <c r="CC781" s="121">
        <v>41.2455</v>
      </c>
      <c r="CD781" s="121">
        <v>42.263249999999999</v>
      </c>
      <c r="CE781" s="121">
        <v>43.280999999999999</v>
      </c>
      <c r="CF781" s="121">
        <v>44.291499999999999</v>
      </c>
      <c r="CG781" s="121">
        <v>45.302</v>
      </c>
      <c r="CH781" s="121">
        <v>46.301000000000002</v>
      </c>
      <c r="CI781" s="121">
        <v>47.3</v>
      </c>
      <c r="CJ781" s="121">
        <v>48.3215</v>
      </c>
      <c r="CK781" s="121">
        <v>49.343000000000004</v>
      </c>
      <c r="CL781" s="121">
        <v>50.316249999999997</v>
      </c>
      <c r="CM781" s="121">
        <v>51.289500000000004</v>
      </c>
      <c r="CN781" s="121">
        <v>52.26925</v>
      </c>
      <c r="CO781" s="121">
        <v>53.248999999999995</v>
      </c>
      <c r="CP781" s="121">
        <v>54.22925</v>
      </c>
      <c r="CQ781" s="121">
        <v>55.140500000000003</v>
      </c>
      <c r="CR781" s="160">
        <v>56.182249999999996</v>
      </c>
      <c r="CS781" s="160">
        <f t="array" ref="CS781:CS794">TRANSPOSE(CT780:DG780)</f>
        <v>57.124499999999998</v>
      </c>
      <c r="CT781" s="120">
        <f>(CS781+CU781)/2</f>
        <v>58.12</v>
      </c>
      <c r="CU781" s="120">
        <f>(CU780+CU782)/2</f>
        <v>59.115499999999997</v>
      </c>
      <c r="CV781" s="120">
        <f>(CU781+CW781)/2</f>
        <v>60.099249999999998</v>
      </c>
      <c r="CW781" s="120">
        <f>(CW780+CW782)/2</f>
        <v>61.082999999999998</v>
      </c>
      <c r="CX781" s="120">
        <f>(CW781+CY781)/2</f>
        <v>62.055999999999997</v>
      </c>
      <c r="CY781" s="120">
        <f>(CY780+CY782)/2</f>
        <v>63.029000000000003</v>
      </c>
      <c r="CZ781" s="120">
        <f>(CY781+DA781)/2</f>
        <v>64.009</v>
      </c>
      <c r="DA781" s="120">
        <f>(DA780+DA782)/2</f>
        <v>64.989000000000004</v>
      </c>
      <c r="DB781" s="120">
        <f>(DA781+DC781)/2</f>
        <v>65.972499999999997</v>
      </c>
      <c r="DC781" s="120">
        <f>(DC780+DC782)/2</f>
        <v>66.955999999999989</v>
      </c>
      <c r="DD781" s="120">
        <f>(DC781+DE781)/2</f>
        <v>67.84975</v>
      </c>
      <c r="DE781" s="120">
        <f>(DE780+DE782)/2</f>
        <v>68.743500000000012</v>
      </c>
      <c r="DF781" s="120">
        <f>(DE781+DG781)/2</f>
        <v>69.724250000000012</v>
      </c>
      <c r="DG781" s="122">
        <f>(DG780+DG782)/2</f>
        <v>70.704999999999998</v>
      </c>
    </row>
    <row r="782" spans="54:111" ht="15" customHeight="1" x14ac:dyDescent="0.2">
      <c r="BB782" s="28">
        <v>48</v>
      </c>
      <c r="BC782" s="121">
        <v>12.364000000000001</v>
      </c>
      <c r="BD782" s="121">
        <v>13.737</v>
      </c>
      <c r="BE782" s="121">
        <v>15.11</v>
      </c>
      <c r="BF782" s="121">
        <v>16.363</v>
      </c>
      <c r="BG782" s="121">
        <v>17.616</v>
      </c>
      <c r="BH782" s="121">
        <v>18.838000000000001</v>
      </c>
      <c r="BI782" s="121">
        <v>20.059999999999999</v>
      </c>
      <c r="BJ782" s="121">
        <v>21.244</v>
      </c>
      <c r="BK782" s="121">
        <v>22.428000000000001</v>
      </c>
      <c r="BL782" s="121">
        <v>23.575000000000003</v>
      </c>
      <c r="BM782" s="121">
        <v>24.722000000000001</v>
      </c>
      <c r="BN782" s="121">
        <v>25.868500000000001</v>
      </c>
      <c r="BO782" s="121">
        <v>27.015000000000001</v>
      </c>
      <c r="BP782" s="121">
        <v>28.124000000000002</v>
      </c>
      <c r="BQ782" s="121">
        <v>29.233000000000001</v>
      </c>
      <c r="BR782" s="121">
        <v>30.296500000000002</v>
      </c>
      <c r="BS782" s="121">
        <v>31.36</v>
      </c>
      <c r="BT782" s="121">
        <v>32.430499999999995</v>
      </c>
      <c r="BU782" s="121">
        <v>33.500999999999998</v>
      </c>
      <c r="BV782" s="121">
        <v>34.573</v>
      </c>
      <c r="BW782" s="121">
        <v>35.645000000000003</v>
      </c>
      <c r="BX782" s="121">
        <v>36.715500000000006</v>
      </c>
      <c r="BY782" s="121">
        <v>37.786000000000001</v>
      </c>
      <c r="BZ782" s="121">
        <v>38.819500000000005</v>
      </c>
      <c r="CA782" s="121">
        <v>39.853000000000002</v>
      </c>
      <c r="CB782" s="121">
        <v>40.886499999999998</v>
      </c>
      <c r="CC782" s="121">
        <v>41.92</v>
      </c>
      <c r="CD782" s="121">
        <v>42.945499999999996</v>
      </c>
      <c r="CE782" s="121">
        <v>43.970999999999997</v>
      </c>
      <c r="CF782" s="121">
        <v>45.004499999999993</v>
      </c>
      <c r="CG782" s="121">
        <v>46.037999999999997</v>
      </c>
      <c r="CH782" s="121">
        <v>47.033000000000001</v>
      </c>
      <c r="CI782" s="121">
        <v>48.027999999999999</v>
      </c>
      <c r="CJ782" s="121">
        <v>49.099499999999999</v>
      </c>
      <c r="CK782" s="121">
        <v>50.170999999999999</v>
      </c>
      <c r="CL782" s="121">
        <v>51.166499999999999</v>
      </c>
      <c r="CM782" s="121">
        <v>52.161999999999999</v>
      </c>
      <c r="CN782" s="121">
        <v>53.156999999999996</v>
      </c>
      <c r="CO782" s="121">
        <v>54.152000000000001</v>
      </c>
      <c r="CP782" s="121">
        <v>55.140500000000003</v>
      </c>
      <c r="CQ782" s="121">
        <v>56.128999999999998</v>
      </c>
      <c r="CR782" s="160">
        <v>57.124499999999998</v>
      </c>
      <c r="CS782" s="160">
        <v>58.12</v>
      </c>
      <c r="CT782" s="121">
        <f t="array" ref="CT782:CT794">TRANSPOSE(CU781:DG781)</f>
        <v>59.115499999999997</v>
      </c>
      <c r="CU782" s="158">
        <v>60.110999999999997</v>
      </c>
      <c r="CV782" s="121">
        <f>CW781</f>
        <v>61.082999999999998</v>
      </c>
      <c r="CW782" s="158">
        <v>62.101999999999997</v>
      </c>
      <c r="CX782" s="121">
        <f>CY781</f>
        <v>63.029000000000003</v>
      </c>
      <c r="CY782" s="158">
        <v>64.093000000000004</v>
      </c>
      <c r="CZ782" s="121">
        <f>DA781</f>
        <v>64.989000000000004</v>
      </c>
      <c r="DA782" s="158">
        <v>66.084000000000003</v>
      </c>
      <c r="DB782" s="121">
        <f>DC781</f>
        <v>66.955999999999989</v>
      </c>
      <c r="DC782" s="158">
        <v>68.073999999999998</v>
      </c>
      <c r="DD782" s="121">
        <f>DE781</f>
        <v>68.743500000000012</v>
      </c>
      <c r="DE782" s="158">
        <v>69.900000000000006</v>
      </c>
      <c r="DF782" s="121">
        <f>DG781</f>
        <v>70.704999999999998</v>
      </c>
      <c r="DG782" s="159">
        <v>71.891999999999996</v>
      </c>
    </row>
    <row r="783" spans="54:111" ht="15" customHeight="1" x14ac:dyDescent="0.2">
      <c r="BB783" s="28">
        <v>49</v>
      </c>
      <c r="BC783" s="121">
        <v>12.5495</v>
      </c>
      <c r="BD783" s="121">
        <v>13.934000000000001</v>
      </c>
      <c r="BE783" s="121">
        <v>15.3185</v>
      </c>
      <c r="BF783" s="121">
        <v>16.60575</v>
      </c>
      <c r="BG783" s="121">
        <v>17.893000000000001</v>
      </c>
      <c r="BH783" s="121">
        <v>19.137500000000003</v>
      </c>
      <c r="BI783" s="121">
        <v>20.381999999999998</v>
      </c>
      <c r="BJ783" s="121">
        <v>21.577999999999999</v>
      </c>
      <c r="BK783" s="121">
        <v>22.774000000000001</v>
      </c>
      <c r="BL783" s="121">
        <v>23.932500000000001</v>
      </c>
      <c r="BM783" s="121">
        <v>25.091000000000001</v>
      </c>
      <c r="BN783" s="121">
        <v>26.260249999999999</v>
      </c>
      <c r="BO783" s="121">
        <v>27.429500000000001</v>
      </c>
      <c r="BP783" s="121">
        <v>28.55</v>
      </c>
      <c r="BQ783" s="121">
        <v>29.670500000000001</v>
      </c>
      <c r="BR783" s="121">
        <v>30.768250000000002</v>
      </c>
      <c r="BS783" s="121">
        <v>31.866</v>
      </c>
      <c r="BT783" s="121">
        <v>32.959499999999998</v>
      </c>
      <c r="BU783" s="121">
        <v>34.052999999999997</v>
      </c>
      <c r="BV783" s="121">
        <v>35.135999999999996</v>
      </c>
      <c r="BW783" s="121">
        <v>36.219000000000001</v>
      </c>
      <c r="BX783" s="121">
        <v>37.301749999999998</v>
      </c>
      <c r="BY783" s="121">
        <v>38.384500000000003</v>
      </c>
      <c r="BZ783" s="121">
        <v>39.440250000000006</v>
      </c>
      <c r="CA783" s="121">
        <v>40.496000000000002</v>
      </c>
      <c r="CB783" s="121">
        <v>41.541249999999998</v>
      </c>
      <c r="CC783" s="121">
        <v>42.586500000000001</v>
      </c>
      <c r="CD783" s="121">
        <v>43.646499999999996</v>
      </c>
      <c r="CE783" s="121">
        <v>44.706499999999998</v>
      </c>
      <c r="CF783" s="121">
        <v>45.743749999999999</v>
      </c>
      <c r="CG783" s="121">
        <v>46.780999999999999</v>
      </c>
      <c r="CH783" s="121">
        <v>47.806750000000001</v>
      </c>
      <c r="CI783" s="121">
        <v>48.832499999999996</v>
      </c>
      <c r="CJ783" s="121">
        <v>49.877749999999999</v>
      </c>
      <c r="CK783" s="121">
        <v>50.923000000000002</v>
      </c>
      <c r="CL783" s="121">
        <v>51.978749999999998</v>
      </c>
      <c r="CM783" s="121">
        <v>53.034499999999994</v>
      </c>
      <c r="CN783" s="121">
        <v>54.041249999999998</v>
      </c>
      <c r="CO783" s="121">
        <v>55.048000000000002</v>
      </c>
      <c r="CP783" s="121">
        <v>56.051749999999998</v>
      </c>
      <c r="CQ783" s="121">
        <v>56.963000000000001</v>
      </c>
      <c r="CR783" s="160">
        <v>58.073749999999997</v>
      </c>
      <c r="CS783" s="160">
        <v>59.022999999999996</v>
      </c>
      <c r="CT783" s="160">
        <v>60.099249999999998</v>
      </c>
      <c r="CU783" s="160">
        <f t="array" ref="CU783:CU794">TRANSPOSE(CV782:DG782)</f>
        <v>61.082999999999998</v>
      </c>
      <c r="CV783" s="120">
        <f>(CU783+CW783)/2</f>
        <v>62.101749999999996</v>
      </c>
      <c r="CW783" s="120">
        <f>(CW782+CW784)/2</f>
        <v>63.120499999999993</v>
      </c>
      <c r="CX783" s="120">
        <f>(CW783+CY783)/2</f>
        <v>64.138750000000002</v>
      </c>
      <c r="CY783" s="120">
        <f>(CY782+CY784)/2</f>
        <v>65.157000000000011</v>
      </c>
      <c r="CZ783" s="120">
        <f>(CY783+DA783)/2</f>
        <v>66.164000000000001</v>
      </c>
      <c r="DA783" s="120">
        <f>(DA782+DA784)/2</f>
        <v>67.170999999999992</v>
      </c>
      <c r="DB783" s="120">
        <f>(DA783+DC783)/2</f>
        <v>68.178249999999991</v>
      </c>
      <c r="DC783" s="120">
        <f>(DC782+DC784)/2</f>
        <v>69.18549999999999</v>
      </c>
      <c r="DD783" s="120">
        <f>(DC783+DE783)/2</f>
        <v>70.16225</v>
      </c>
      <c r="DE783" s="120">
        <f>(DE782+DE784)/2</f>
        <v>71.13900000000001</v>
      </c>
      <c r="DF783" s="120">
        <f>(DE783+DG783)/2</f>
        <v>72.108500000000006</v>
      </c>
      <c r="DG783" s="122">
        <f>(DG782+DG784)/2</f>
        <v>73.078000000000003</v>
      </c>
    </row>
    <row r="784" spans="54:111" ht="15" customHeight="1" x14ac:dyDescent="0.2">
      <c r="BB784" s="28">
        <v>50</v>
      </c>
      <c r="BC784" s="121">
        <v>12.734999999999999</v>
      </c>
      <c r="BD784" s="121">
        <v>14.131</v>
      </c>
      <c r="BE784" s="121">
        <v>15.526999999999999</v>
      </c>
      <c r="BF784" s="121">
        <v>16.848500000000001</v>
      </c>
      <c r="BG784" s="121">
        <v>18.170000000000002</v>
      </c>
      <c r="BH784" s="121">
        <v>19.437000000000001</v>
      </c>
      <c r="BI784" s="121">
        <v>20.704000000000001</v>
      </c>
      <c r="BJ784" s="121">
        <v>21.911999999999999</v>
      </c>
      <c r="BK784" s="121">
        <v>23.12</v>
      </c>
      <c r="BL784" s="121">
        <v>24.29</v>
      </c>
      <c r="BM784" s="121">
        <v>25.46</v>
      </c>
      <c r="BN784" s="121">
        <v>26.652000000000001</v>
      </c>
      <c r="BO784" s="121">
        <v>27.844000000000001</v>
      </c>
      <c r="BP784" s="121">
        <v>28.975999999999999</v>
      </c>
      <c r="BQ784" s="121">
        <v>30.108000000000001</v>
      </c>
      <c r="BR784" s="121">
        <v>31.240000000000002</v>
      </c>
      <c r="BS784" s="121">
        <v>32.372</v>
      </c>
      <c r="BT784" s="121">
        <v>33.488500000000002</v>
      </c>
      <c r="BU784" s="121">
        <v>34.604999999999997</v>
      </c>
      <c r="BV784" s="121">
        <v>35.698999999999998</v>
      </c>
      <c r="BW784" s="121">
        <v>36.792999999999999</v>
      </c>
      <c r="BX784" s="121">
        <v>37.887999999999998</v>
      </c>
      <c r="BY784" s="121">
        <v>38.982999999999997</v>
      </c>
      <c r="BZ784" s="121">
        <v>40.061</v>
      </c>
      <c r="CA784" s="121">
        <v>41.139000000000003</v>
      </c>
      <c r="CB784" s="121">
        <v>42.195999999999998</v>
      </c>
      <c r="CC784" s="121">
        <v>43.253</v>
      </c>
      <c r="CD784" s="121">
        <v>44.347499999999997</v>
      </c>
      <c r="CE784" s="121">
        <v>45.442</v>
      </c>
      <c r="CF784" s="121">
        <v>46.483000000000004</v>
      </c>
      <c r="CG784" s="121">
        <v>47.524000000000001</v>
      </c>
      <c r="CH784" s="121">
        <v>48.580500000000001</v>
      </c>
      <c r="CI784" s="121">
        <v>49.637</v>
      </c>
      <c r="CJ784" s="121">
        <v>50.655999999999999</v>
      </c>
      <c r="CK784" s="121">
        <v>51.674999999999997</v>
      </c>
      <c r="CL784" s="121">
        <v>52.790999999999997</v>
      </c>
      <c r="CM784" s="121">
        <v>53.906999999999996</v>
      </c>
      <c r="CN784" s="121">
        <v>54.9255</v>
      </c>
      <c r="CO784" s="121">
        <v>55.944000000000003</v>
      </c>
      <c r="CP784" s="121">
        <v>56.963000000000001</v>
      </c>
      <c r="CQ784" s="121">
        <v>57.981999999999999</v>
      </c>
      <c r="CR784" s="160">
        <v>59.022999999999996</v>
      </c>
      <c r="CS784" s="160">
        <v>60.064</v>
      </c>
      <c r="CT784" s="160">
        <v>61.082999999999998</v>
      </c>
      <c r="CU784" s="160">
        <v>62.101999999999997</v>
      </c>
      <c r="CV784" s="121">
        <f t="array" ref="CV784:CV794">TRANSPOSE(CW783:DG783)</f>
        <v>63.120499999999993</v>
      </c>
      <c r="CW784" s="158">
        <v>64.138999999999996</v>
      </c>
      <c r="CX784" s="121">
        <f>CY783</f>
        <v>65.157000000000011</v>
      </c>
      <c r="CY784" s="158">
        <v>66.221000000000004</v>
      </c>
      <c r="CZ784" s="121">
        <f>DA783</f>
        <v>67.170999999999992</v>
      </c>
      <c r="DA784" s="158">
        <v>68.257999999999996</v>
      </c>
      <c r="DB784" s="121">
        <f>DC783</f>
        <v>69.18549999999999</v>
      </c>
      <c r="DC784" s="158">
        <v>70.296999999999997</v>
      </c>
      <c r="DD784" s="121">
        <f>DE783</f>
        <v>71.13900000000001</v>
      </c>
      <c r="DE784" s="158">
        <v>72.378</v>
      </c>
      <c r="DF784" s="121">
        <f>DG783</f>
        <v>73.078000000000003</v>
      </c>
      <c r="DG784" s="159">
        <v>74.263999999999996</v>
      </c>
    </row>
    <row r="785" spans="54:111" ht="15" customHeight="1" x14ac:dyDescent="0.2">
      <c r="BB785" s="28">
        <v>51</v>
      </c>
      <c r="BC785" s="121">
        <v>12.935499999999999</v>
      </c>
      <c r="BD785" s="121">
        <v>14.35425</v>
      </c>
      <c r="BE785" s="121">
        <v>15.773</v>
      </c>
      <c r="BF785" s="121">
        <v>17.120750000000001</v>
      </c>
      <c r="BG785" s="121">
        <v>18.468499999999999</v>
      </c>
      <c r="BH785" s="121">
        <v>19.736499999999999</v>
      </c>
      <c r="BI785" s="121">
        <v>21.0045</v>
      </c>
      <c r="BJ785" s="121">
        <v>22.234999999999999</v>
      </c>
      <c r="BK785" s="121">
        <v>23.465499999999999</v>
      </c>
      <c r="BL785" s="121">
        <v>24.658000000000001</v>
      </c>
      <c r="BM785" s="121">
        <v>25.8505</v>
      </c>
      <c r="BN785" s="121">
        <v>27.04325</v>
      </c>
      <c r="BO785" s="121">
        <v>28.236000000000001</v>
      </c>
      <c r="BP785" s="121">
        <v>29.390750000000001</v>
      </c>
      <c r="BQ785" s="121">
        <v>30.545500000000001</v>
      </c>
      <c r="BR785" s="121">
        <v>31.704000000000001</v>
      </c>
      <c r="BS785" s="121">
        <v>32.862499999999997</v>
      </c>
      <c r="BT785" s="121">
        <v>33.9985</v>
      </c>
      <c r="BU785" s="121">
        <v>35.134500000000003</v>
      </c>
      <c r="BV785" s="121">
        <v>36.251249999999999</v>
      </c>
      <c r="BW785" s="121">
        <v>37.367999999999995</v>
      </c>
      <c r="BX785" s="121">
        <v>38.485500000000002</v>
      </c>
      <c r="BY785" s="121">
        <v>39.602999999999994</v>
      </c>
      <c r="BZ785" s="121">
        <v>40.682000000000002</v>
      </c>
      <c r="CA785" s="121">
        <v>41.761000000000003</v>
      </c>
      <c r="CB785" s="121">
        <v>42.859499999999997</v>
      </c>
      <c r="CC785" s="121">
        <v>43.957999999999998</v>
      </c>
      <c r="CD785" s="121">
        <v>45.0595</v>
      </c>
      <c r="CE785" s="121">
        <v>46.161000000000001</v>
      </c>
      <c r="CF785" s="121">
        <v>47.22175</v>
      </c>
      <c r="CG785" s="121">
        <v>48.282499999999999</v>
      </c>
      <c r="CH785" s="121">
        <v>49.361750000000001</v>
      </c>
      <c r="CI785" s="121">
        <v>50.441000000000003</v>
      </c>
      <c r="CJ785" s="121">
        <v>51.482749999999996</v>
      </c>
      <c r="CK785" s="121">
        <v>52.524500000000003</v>
      </c>
      <c r="CL785" s="121">
        <v>53.603250000000003</v>
      </c>
      <c r="CM785" s="121">
        <v>54.682000000000002</v>
      </c>
      <c r="CN785" s="121">
        <v>55.761250000000004</v>
      </c>
      <c r="CO785" s="121">
        <v>56.840500000000006</v>
      </c>
      <c r="CP785" s="121">
        <v>57.885750000000002</v>
      </c>
      <c r="CQ785" s="121">
        <v>58.808500000000002</v>
      </c>
      <c r="CR785" s="160">
        <v>59.972749999999998</v>
      </c>
      <c r="CS785" s="160">
        <v>60.922499999999999</v>
      </c>
      <c r="CT785" s="160">
        <v>62.055999999999997</v>
      </c>
      <c r="CU785" s="160">
        <v>63.029000000000003</v>
      </c>
      <c r="CV785" s="160">
        <v>64.138750000000002</v>
      </c>
      <c r="CW785" s="160">
        <f t="array" ref="CW785:CW794">TRANSPOSE(CX784:DG784)</f>
        <v>65.157000000000011</v>
      </c>
      <c r="CX785" s="120">
        <f>(CW785+CY785)/2</f>
        <v>66.210000000000008</v>
      </c>
      <c r="CY785" s="120">
        <f>(CY784+CY786)/2</f>
        <v>67.263000000000005</v>
      </c>
      <c r="CZ785" s="120">
        <f>(CY785+DA785)/2</f>
        <v>68.304749999999999</v>
      </c>
      <c r="DA785" s="120">
        <f>(DA784+DA786)/2</f>
        <v>69.346499999999992</v>
      </c>
      <c r="DB785" s="120">
        <f>(DA785+DC785)/2</f>
        <v>70.388249999999999</v>
      </c>
      <c r="DC785" s="120">
        <f>(DC784+DC786)/2</f>
        <v>71.430000000000007</v>
      </c>
      <c r="DD785" s="120">
        <f>(DC785+DE785)/2</f>
        <v>72.475000000000009</v>
      </c>
      <c r="DE785" s="120">
        <f>(DE784+DE786)/2</f>
        <v>73.52000000000001</v>
      </c>
      <c r="DF785" s="120">
        <f>(DE785+DG785)/2</f>
        <v>74.485500000000002</v>
      </c>
      <c r="DG785" s="122">
        <f>(DG784+DG786)/2</f>
        <v>75.450999999999993</v>
      </c>
    </row>
    <row r="786" spans="54:111" ht="15" customHeight="1" x14ac:dyDescent="0.2">
      <c r="BB786" s="28">
        <v>52</v>
      </c>
      <c r="BC786" s="121">
        <v>13.135999999999999</v>
      </c>
      <c r="BD786" s="121">
        <v>14.577499999999999</v>
      </c>
      <c r="BE786" s="121">
        <v>16.018999999999998</v>
      </c>
      <c r="BF786" s="121">
        <v>17.393000000000001</v>
      </c>
      <c r="BG786" s="121">
        <v>18.766999999999999</v>
      </c>
      <c r="BH786" s="121">
        <v>20.036000000000001</v>
      </c>
      <c r="BI786" s="121">
        <v>21.305</v>
      </c>
      <c r="BJ786" s="121">
        <v>22.558</v>
      </c>
      <c r="BK786" s="121">
        <v>23.811</v>
      </c>
      <c r="BL786" s="121">
        <v>25.026</v>
      </c>
      <c r="BM786" s="121">
        <v>26.241</v>
      </c>
      <c r="BN786" s="121">
        <v>27.4345</v>
      </c>
      <c r="BO786" s="121">
        <v>28.628</v>
      </c>
      <c r="BP786" s="121">
        <v>29.805500000000002</v>
      </c>
      <c r="BQ786" s="121">
        <v>30.983000000000001</v>
      </c>
      <c r="BR786" s="121">
        <v>32.167999999999999</v>
      </c>
      <c r="BS786" s="121">
        <v>33.353000000000002</v>
      </c>
      <c r="BT786" s="121">
        <v>34.508499999999998</v>
      </c>
      <c r="BU786" s="121">
        <v>35.664000000000001</v>
      </c>
      <c r="BV786" s="121">
        <v>36.8035</v>
      </c>
      <c r="BW786" s="121">
        <v>37.942999999999998</v>
      </c>
      <c r="BX786" s="121">
        <v>39.082999999999998</v>
      </c>
      <c r="BY786" s="121">
        <v>40.222999999999999</v>
      </c>
      <c r="BZ786" s="121">
        <v>41.302999999999997</v>
      </c>
      <c r="CA786" s="121">
        <v>42.383000000000003</v>
      </c>
      <c r="CB786" s="121">
        <v>43.522999999999996</v>
      </c>
      <c r="CC786" s="121">
        <v>44.662999999999997</v>
      </c>
      <c r="CD786" s="121">
        <v>45.771500000000003</v>
      </c>
      <c r="CE786" s="121">
        <v>46.88</v>
      </c>
      <c r="CF786" s="121">
        <v>47.960499999999996</v>
      </c>
      <c r="CG786" s="121">
        <v>49.040999999999997</v>
      </c>
      <c r="CH786" s="121">
        <v>50.143000000000001</v>
      </c>
      <c r="CI786" s="121">
        <v>51.244999999999997</v>
      </c>
      <c r="CJ786" s="121">
        <v>52.3095</v>
      </c>
      <c r="CK786" s="121">
        <v>53.374000000000002</v>
      </c>
      <c r="CL786" s="121">
        <v>54.415500000000002</v>
      </c>
      <c r="CM786" s="121">
        <v>55.457000000000001</v>
      </c>
      <c r="CN786" s="121">
        <v>56.597000000000001</v>
      </c>
      <c r="CO786" s="121">
        <v>57.737000000000002</v>
      </c>
      <c r="CP786" s="121">
        <v>58.808500000000002</v>
      </c>
      <c r="CQ786" s="121">
        <v>59.88</v>
      </c>
      <c r="CR786" s="160">
        <v>60.922499999999999</v>
      </c>
      <c r="CS786" s="160">
        <v>61.965000000000003</v>
      </c>
      <c r="CT786" s="160">
        <v>63.029000000000003</v>
      </c>
      <c r="CU786" s="160">
        <v>64.093000000000004</v>
      </c>
      <c r="CV786" s="160">
        <v>65.157000000000011</v>
      </c>
      <c r="CW786" s="160">
        <v>66.221000000000004</v>
      </c>
      <c r="CX786" s="121">
        <f t="array" ref="CX786:CX794">TRANSPOSE(CY785:DG785)</f>
        <v>67.263000000000005</v>
      </c>
      <c r="CY786" s="158">
        <v>68.305000000000007</v>
      </c>
      <c r="CZ786" s="121">
        <f>DA785</f>
        <v>69.346499999999992</v>
      </c>
      <c r="DA786" s="158">
        <v>70.435000000000002</v>
      </c>
      <c r="DB786" s="121">
        <f>DC785</f>
        <v>71.430000000000007</v>
      </c>
      <c r="DC786" s="158">
        <v>72.563000000000002</v>
      </c>
      <c r="DD786" s="121">
        <f>DE785</f>
        <v>73.52000000000001</v>
      </c>
      <c r="DE786" s="158">
        <v>74.662000000000006</v>
      </c>
      <c r="DF786" s="121">
        <f>DG785</f>
        <v>75.450999999999993</v>
      </c>
      <c r="DG786" s="159">
        <v>76.638000000000005</v>
      </c>
    </row>
    <row r="787" spans="54:111" ht="15" customHeight="1" x14ac:dyDescent="0.2">
      <c r="BB787" s="28">
        <v>53</v>
      </c>
      <c r="BC787" s="121">
        <v>13.327999999999999</v>
      </c>
      <c r="BD787" s="121">
        <v>14.781749999999999</v>
      </c>
      <c r="BE787" s="121">
        <v>16.235500000000002</v>
      </c>
      <c r="BF787" s="121">
        <v>17.617250000000002</v>
      </c>
      <c r="BG787" s="121">
        <v>18.999000000000002</v>
      </c>
      <c r="BH787" s="121">
        <v>20.31325</v>
      </c>
      <c r="BI787" s="121">
        <v>21.627499999999998</v>
      </c>
      <c r="BJ787" s="121">
        <v>22.891999999999999</v>
      </c>
      <c r="BK787" s="121">
        <v>24.156500000000001</v>
      </c>
      <c r="BL787" s="121">
        <v>25.402250000000002</v>
      </c>
      <c r="BM787" s="121">
        <v>26.648</v>
      </c>
      <c r="BN787" s="121">
        <v>27.867750000000001</v>
      </c>
      <c r="BO787" s="121">
        <v>29.087499999999999</v>
      </c>
      <c r="BP787" s="121">
        <v>30.27675</v>
      </c>
      <c r="BQ787" s="121">
        <v>31.466000000000001</v>
      </c>
      <c r="BR787" s="121">
        <v>32.658999999999999</v>
      </c>
      <c r="BS787" s="121">
        <v>33.852000000000004</v>
      </c>
      <c r="BT787" s="121">
        <v>35.014749999999999</v>
      </c>
      <c r="BU787" s="121">
        <v>36.177500000000002</v>
      </c>
      <c r="BV787" s="121">
        <v>37.329000000000001</v>
      </c>
      <c r="BW787" s="121">
        <v>38.480499999999999</v>
      </c>
      <c r="BX787" s="121">
        <v>39.631749999999997</v>
      </c>
      <c r="BY787" s="121">
        <v>40.783000000000001</v>
      </c>
      <c r="BZ787" s="121">
        <v>41.905000000000001</v>
      </c>
      <c r="CA787" s="121">
        <v>43.027000000000001</v>
      </c>
      <c r="CB787" s="121">
        <v>44.182000000000002</v>
      </c>
      <c r="CC787" s="121">
        <v>45.337000000000003</v>
      </c>
      <c r="CD787" s="121">
        <v>46.454000000000001</v>
      </c>
      <c r="CE787" s="121">
        <v>47.570999999999998</v>
      </c>
      <c r="CF787" s="121">
        <v>48.673749999999998</v>
      </c>
      <c r="CG787" s="121">
        <v>49.776499999999999</v>
      </c>
      <c r="CH787" s="121">
        <v>50.875</v>
      </c>
      <c r="CI787" s="121">
        <v>51.973500000000001</v>
      </c>
      <c r="CJ787" s="121">
        <v>53.087249999999997</v>
      </c>
      <c r="CK787" s="121">
        <v>54.201000000000001</v>
      </c>
      <c r="CL787" s="121">
        <v>55.265500000000003</v>
      </c>
      <c r="CM787" s="121">
        <v>56.33</v>
      </c>
      <c r="CN787" s="121">
        <v>57.447500000000005</v>
      </c>
      <c r="CO787" s="121">
        <v>58.564999999999998</v>
      </c>
      <c r="CP787" s="121">
        <v>59.682249999999996</v>
      </c>
      <c r="CQ787" s="121">
        <v>60.555999999999997</v>
      </c>
      <c r="CR787" s="160">
        <v>61.8645</v>
      </c>
      <c r="CS787" s="160">
        <v>62.8065</v>
      </c>
      <c r="CT787" s="160">
        <v>64.009</v>
      </c>
      <c r="CU787" s="160">
        <v>64.989000000000004</v>
      </c>
      <c r="CV787" s="160">
        <v>66.164000000000001</v>
      </c>
      <c r="CW787" s="160">
        <v>67.170999999999992</v>
      </c>
      <c r="CX787" s="160">
        <v>68.304749999999999</v>
      </c>
      <c r="CY787" s="160">
        <f t="array" ref="CY787:CY794">TRANSPOSE(CZ786:DG786)</f>
        <v>69.346499999999992</v>
      </c>
      <c r="CZ787" s="120">
        <f>(CY787+DA787)/2</f>
        <v>70.437749999999994</v>
      </c>
      <c r="DA787" s="120">
        <f>(DA786+DA788)/2</f>
        <v>71.528999999999996</v>
      </c>
      <c r="DB787" s="120">
        <f>(DA787+DC787)/2</f>
        <v>72.585999999999999</v>
      </c>
      <c r="DC787" s="120">
        <f>(DC786+DC788)/2</f>
        <v>73.643000000000001</v>
      </c>
      <c r="DD787" s="120">
        <f>(DC787+DE787)/2</f>
        <v>74.692750000000004</v>
      </c>
      <c r="DE787" s="120">
        <f>(DE786+DE788)/2</f>
        <v>75.742500000000007</v>
      </c>
      <c r="DF787" s="120">
        <f>(DE787+DG787)/2</f>
        <v>76.8215</v>
      </c>
      <c r="DG787" s="122">
        <f>(DG786+DG788)/2</f>
        <v>77.900499999999994</v>
      </c>
    </row>
    <row r="788" spans="54:111" ht="15" customHeight="1" x14ac:dyDescent="0.2">
      <c r="BB788" s="28">
        <v>54</v>
      </c>
      <c r="BC788" s="121">
        <v>13.52</v>
      </c>
      <c r="BD788" s="121">
        <v>14.986000000000001</v>
      </c>
      <c r="BE788" s="121">
        <v>16.452000000000002</v>
      </c>
      <c r="BF788" s="121">
        <v>17.841500000000003</v>
      </c>
      <c r="BG788" s="121">
        <v>19.231000000000002</v>
      </c>
      <c r="BH788" s="121">
        <v>20.590499999999999</v>
      </c>
      <c r="BI788" s="121">
        <v>21.95</v>
      </c>
      <c r="BJ788" s="121">
        <v>23.225999999999999</v>
      </c>
      <c r="BK788" s="121">
        <v>24.501999999999999</v>
      </c>
      <c r="BL788" s="121">
        <v>25.778500000000001</v>
      </c>
      <c r="BM788" s="121">
        <v>27.055</v>
      </c>
      <c r="BN788" s="121">
        <v>28.301000000000002</v>
      </c>
      <c r="BO788" s="121">
        <v>29.547000000000001</v>
      </c>
      <c r="BP788" s="121">
        <v>30.748000000000001</v>
      </c>
      <c r="BQ788" s="121">
        <v>31.949000000000002</v>
      </c>
      <c r="BR788" s="121">
        <v>33.15</v>
      </c>
      <c r="BS788" s="121">
        <v>34.350999999999999</v>
      </c>
      <c r="BT788" s="121">
        <v>35.521000000000001</v>
      </c>
      <c r="BU788" s="121">
        <v>36.691000000000003</v>
      </c>
      <c r="BV788" s="121">
        <v>37.854500000000002</v>
      </c>
      <c r="BW788" s="121">
        <v>39.018000000000001</v>
      </c>
      <c r="BX788" s="121">
        <v>40.180500000000002</v>
      </c>
      <c r="BY788" s="121">
        <v>41.343000000000004</v>
      </c>
      <c r="BZ788" s="121">
        <v>42.507000000000005</v>
      </c>
      <c r="CA788" s="121">
        <v>43.670999999999999</v>
      </c>
      <c r="CB788" s="121">
        <v>44.841000000000001</v>
      </c>
      <c r="CC788" s="121">
        <v>46.011000000000003</v>
      </c>
      <c r="CD788" s="121">
        <v>47.136499999999998</v>
      </c>
      <c r="CE788" s="121">
        <v>48.262</v>
      </c>
      <c r="CF788" s="121">
        <v>49.387</v>
      </c>
      <c r="CG788" s="121">
        <v>50.512</v>
      </c>
      <c r="CH788" s="121">
        <v>51.606999999999999</v>
      </c>
      <c r="CI788" s="121">
        <v>52.701999999999998</v>
      </c>
      <c r="CJ788" s="121">
        <v>53.864999999999995</v>
      </c>
      <c r="CK788" s="121">
        <v>55.027999999999999</v>
      </c>
      <c r="CL788" s="121">
        <v>56.115499999999997</v>
      </c>
      <c r="CM788" s="121">
        <v>57.203000000000003</v>
      </c>
      <c r="CN788" s="121">
        <v>58.298000000000002</v>
      </c>
      <c r="CO788" s="121">
        <v>59.393000000000001</v>
      </c>
      <c r="CP788" s="121">
        <v>60.555999999999997</v>
      </c>
      <c r="CQ788" s="121">
        <v>61.719000000000001</v>
      </c>
      <c r="CR788" s="160">
        <v>62.8065</v>
      </c>
      <c r="CS788" s="160">
        <v>63.893999999999998</v>
      </c>
      <c r="CT788" s="160">
        <v>64.989000000000004</v>
      </c>
      <c r="CU788" s="160">
        <v>66.084000000000003</v>
      </c>
      <c r="CV788" s="160">
        <v>67.170999999999992</v>
      </c>
      <c r="CW788" s="160">
        <v>68.257999999999996</v>
      </c>
      <c r="CX788" s="160">
        <v>69.346499999999992</v>
      </c>
      <c r="CY788" s="160">
        <v>70.435000000000002</v>
      </c>
      <c r="CZ788" s="121">
        <f t="array" ref="CZ788:CZ794">TRANSPOSE(DA787:DG787)</f>
        <v>71.528999999999996</v>
      </c>
      <c r="DA788" s="158">
        <v>72.623000000000005</v>
      </c>
      <c r="DB788" s="121">
        <f>DC787</f>
        <v>73.643000000000001</v>
      </c>
      <c r="DC788" s="158">
        <v>74.722999999999999</v>
      </c>
      <c r="DD788" s="121">
        <f>DE787</f>
        <v>75.742500000000007</v>
      </c>
      <c r="DE788" s="158">
        <v>76.822999999999993</v>
      </c>
      <c r="DF788" s="121">
        <f>DG787</f>
        <v>77.900499999999994</v>
      </c>
      <c r="DG788" s="159">
        <v>79.162999999999997</v>
      </c>
    </row>
    <row r="789" spans="54:111" ht="15" customHeight="1" x14ac:dyDescent="0.2">
      <c r="BB789" s="28">
        <v>55</v>
      </c>
      <c r="BC789" s="121">
        <v>13.705500000000001</v>
      </c>
      <c r="BD789" s="121">
        <v>15.201750000000001</v>
      </c>
      <c r="BE789" s="121">
        <v>16.698</v>
      </c>
      <c r="BF789" s="121">
        <v>18.103250000000003</v>
      </c>
      <c r="BG789" s="121">
        <v>19.508500000000002</v>
      </c>
      <c r="BH789" s="121">
        <v>20.886749999999999</v>
      </c>
      <c r="BI789" s="121">
        <v>22.265000000000001</v>
      </c>
      <c r="BJ789" s="121">
        <v>23.5565</v>
      </c>
      <c r="BK789" s="121">
        <v>24.847999999999999</v>
      </c>
      <c r="BL789" s="121">
        <v>26.135999999999999</v>
      </c>
      <c r="BM789" s="121">
        <v>27.423999999999999</v>
      </c>
      <c r="BN789" s="121">
        <v>28.69275</v>
      </c>
      <c r="BO789" s="121">
        <v>29.961500000000001</v>
      </c>
      <c r="BP789" s="121">
        <v>31.174250000000001</v>
      </c>
      <c r="BQ789" s="121">
        <v>32.387</v>
      </c>
      <c r="BR789" s="121">
        <v>33.602999999999994</v>
      </c>
      <c r="BS789" s="121">
        <v>34.819000000000003</v>
      </c>
      <c r="BT789" s="121">
        <v>36.027250000000002</v>
      </c>
      <c r="BU789" s="121">
        <v>37.235500000000002</v>
      </c>
      <c r="BV789" s="121">
        <v>38.414250000000003</v>
      </c>
      <c r="BW789" s="121">
        <v>39.593000000000004</v>
      </c>
      <c r="BX789" s="121">
        <v>40.767250000000004</v>
      </c>
      <c r="BY789" s="121">
        <v>41.941500000000005</v>
      </c>
      <c r="BZ789" s="121">
        <v>43.131250000000001</v>
      </c>
      <c r="CA789" s="121">
        <v>44.320999999999998</v>
      </c>
      <c r="CB789" s="121">
        <v>45.499499999999998</v>
      </c>
      <c r="CC789" s="121">
        <v>46.677999999999997</v>
      </c>
      <c r="CD789" s="121">
        <v>47.818749999999994</v>
      </c>
      <c r="CE789" s="121">
        <v>48.959499999999998</v>
      </c>
      <c r="CF789" s="121">
        <v>50.107250000000001</v>
      </c>
      <c r="CG789" s="121">
        <v>51.254999999999995</v>
      </c>
      <c r="CH789" s="121">
        <v>52.380249999999997</v>
      </c>
      <c r="CI789" s="121">
        <v>53.505499999999998</v>
      </c>
      <c r="CJ789" s="121">
        <v>54.642749999999992</v>
      </c>
      <c r="CK789" s="121">
        <v>55.78</v>
      </c>
      <c r="CL789" s="121">
        <v>56.931749999999994</v>
      </c>
      <c r="CM789" s="121">
        <v>58.083500000000001</v>
      </c>
      <c r="CN789" s="121">
        <v>59.186250000000001</v>
      </c>
      <c r="CO789" s="121">
        <v>60.289000000000001</v>
      </c>
      <c r="CP789" s="121">
        <v>61.429749999999999</v>
      </c>
      <c r="CQ789" s="121">
        <v>62.3035</v>
      </c>
      <c r="CR789" s="160">
        <v>63.718249999999998</v>
      </c>
      <c r="CS789" s="160">
        <v>64.63</v>
      </c>
      <c r="CT789" s="160">
        <v>65.972499999999997</v>
      </c>
      <c r="CU789" s="160">
        <v>66.955999999999989</v>
      </c>
      <c r="CV789" s="160">
        <v>68.178249999999991</v>
      </c>
      <c r="CW789" s="160">
        <v>69.18549999999999</v>
      </c>
      <c r="CX789" s="160">
        <v>70.388249999999999</v>
      </c>
      <c r="CY789" s="160">
        <v>71.430000000000007</v>
      </c>
      <c r="CZ789" s="160">
        <v>72.585999999999999</v>
      </c>
      <c r="DA789" s="160">
        <f t="array" ref="DA789:DA794">TRANSPOSE(DB788:DG788)</f>
        <v>73.643000000000001</v>
      </c>
      <c r="DB789" s="120">
        <f>(DA789+DC789)/2</f>
        <v>74.719499999999996</v>
      </c>
      <c r="DC789" s="120">
        <f>(DC788+DC790)/2</f>
        <v>75.795999999999992</v>
      </c>
      <c r="DD789" s="120">
        <f>(DC789+DE789)/2</f>
        <v>76.929000000000002</v>
      </c>
      <c r="DE789" s="120">
        <f>(DE788+DE790)/2</f>
        <v>78.061999999999998</v>
      </c>
      <c r="DF789" s="120">
        <f>(DE789+DG789)/2</f>
        <v>79.183750000000003</v>
      </c>
      <c r="DG789" s="122">
        <f>(DG788+DG790)/2</f>
        <v>80.305499999999995</v>
      </c>
    </row>
    <row r="790" spans="54:111" ht="15" customHeight="1" x14ac:dyDescent="0.2">
      <c r="BB790" s="28">
        <v>56</v>
      </c>
      <c r="BC790" s="121">
        <v>13.891</v>
      </c>
      <c r="BD790" s="121">
        <v>15.4175</v>
      </c>
      <c r="BE790" s="121">
        <v>16.943999999999999</v>
      </c>
      <c r="BF790" s="121">
        <v>18.365000000000002</v>
      </c>
      <c r="BG790" s="121">
        <v>19.786000000000001</v>
      </c>
      <c r="BH790" s="121">
        <v>21.183</v>
      </c>
      <c r="BI790" s="121">
        <v>22.58</v>
      </c>
      <c r="BJ790" s="121">
        <v>23.887</v>
      </c>
      <c r="BK790" s="121">
        <v>25.193999999999999</v>
      </c>
      <c r="BL790" s="121">
        <v>26.493499999999997</v>
      </c>
      <c r="BM790" s="121">
        <v>27.792999999999999</v>
      </c>
      <c r="BN790" s="121">
        <v>29.084499999999998</v>
      </c>
      <c r="BO790" s="121">
        <v>30.376000000000001</v>
      </c>
      <c r="BP790" s="121">
        <v>31.600500000000004</v>
      </c>
      <c r="BQ790" s="121">
        <v>32.825000000000003</v>
      </c>
      <c r="BR790" s="121">
        <v>34.055999999999997</v>
      </c>
      <c r="BS790" s="121">
        <v>35.286999999999999</v>
      </c>
      <c r="BT790" s="121">
        <v>36.533500000000004</v>
      </c>
      <c r="BU790" s="121">
        <v>37.78</v>
      </c>
      <c r="BV790" s="121">
        <v>38.974000000000004</v>
      </c>
      <c r="BW790" s="121">
        <v>40.167999999999999</v>
      </c>
      <c r="BX790" s="121">
        <v>41.353999999999999</v>
      </c>
      <c r="BY790" s="121">
        <v>42.54</v>
      </c>
      <c r="BZ790" s="121">
        <v>43.755499999999998</v>
      </c>
      <c r="CA790" s="121">
        <v>44.970999999999997</v>
      </c>
      <c r="CB790" s="121">
        <v>46.158000000000001</v>
      </c>
      <c r="CC790" s="121">
        <v>47.344999999999999</v>
      </c>
      <c r="CD790" s="121">
        <v>48.500999999999998</v>
      </c>
      <c r="CE790" s="121">
        <v>49.656999999999996</v>
      </c>
      <c r="CF790" s="121">
        <v>50.827500000000001</v>
      </c>
      <c r="CG790" s="121">
        <v>51.997999999999998</v>
      </c>
      <c r="CH790" s="121">
        <v>53.153499999999994</v>
      </c>
      <c r="CI790" s="121">
        <v>54.308999999999997</v>
      </c>
      <c r="CJ790" s="121">
        <v>55.420499999999997</v>
      </c>
      <c r="CK790" s="121">
        <v>56.531999999999996</v>
      </c>
      <c r="CL790" s="121">
        <v>57.747999999999998</v>
      </c>
      <c r="CM790" s="121">
        <v>58.963999999999999</v>
      </c>
      <c r="CN790" s="121">
        <v>60.0745</v>
      </c>
      <c r="CO790" s="121">
        <v>61.185000000000002</v>
      </c>
      <c r="CP790" s="121">
        <v>62.3035</v>
      </c>
      <c r="CQ790" s="121">
        <v>63.421999999999997</v>
      </c>
      <c r="CR790" s="160">
        <v>64.63</v>
      </c>
      <c r="CS790" s="160">
        <v>65.837999999999994</v>
      </c>
      <c r="CT790" s="160">
        <v>66.955999999999989</v>
      </c>
      <c r="CU790" s="160">
        <v>68.073999999999998</v>
      </c>
      <c r="CV790" s="160">
        <v>69.18549999999999</v>
      </c>
      <c r="CW790" s="160">
        <v>70.296999999999997</v>
      </c>
      <c r="CX790" s="160">
        <v>71.430000000000007</v>
      </c>
      <c r="CY790" s="160">
        <v>72.563000000000002</v>
      </c>
      <c r="CZ790" s="160">
        <v>73.643000000000001</v>
      </c>
      <c r="DA790" s="160">
        <v>74.722999999999999</v>
      </c>
      <c r="DB790" s="121">
        <f t="array" ref="DB790:DB794">TRANSPOSE(DC789:DG789)</f>
        <v>75.795999999999992</v>
      </c>
      <c r="DC790" s="158">
        <v>76.869</v>
      </c>
      <c r="DD790" s="121">
        <f>DE789</f>
        <v>78.061999999999998</v>
      </c>
      <c r="DE790" s="158">
        <v>79.301000000000002</v>
      </c>
      <c r="DF790" s="121">
        <f>DG789</f>
        <v>80.305499999999995</v>
      </c>
      <c r="DG790" s="159">
        <v>81.447999999999993</v>
      </c>
    </row>
    <row r="791" spans="54:111" ht="15" customHeight="1" x14ac:dyDescent="0.2">
      <c r="BB791" s="28">
        <v>57</v>
      </c>
      <c r="BC791" s="121">
        <v>14.054</v>
      </c>
      <c r="BD791" s="121">
        <v>15.607000000000001</v>
      </c>
      <c r="BE791" s="121">
        <v>17.16</v>
      </c>
      <c r="BF791" s="121">
        <v>18.622250000000001</v>
      </c>
      <c r="BG791" s="121">
        <v>20.084499999999998</v>
      </c>
      <c r="BH791" s="121">
        <v>21.463249999999999</v>
      </c>
      <c r="BI791" s="121">
        <v>22.841999999999999</v>
      </c>
      <c r="BJ791" s="121">
        <v>24.190750000000001</v>
      </c>
      <c r="BK791" s="121">
        <v>25.5395</v>
      </c>
      <c r="BL791" s="121">
        <v>26.861999999999998</v>
      </c>
      <c r="BM791" s="121">
        <v>28.1845</v>
      </c>
      <c r="BN791" s="121">
        <v>29.47625</v>
      </c>
      <c r="BO791" s="121">
        <v>30.768000000000001</v>
      </c>
      <c r="BP791" s="121">
        <v>32.018825000000007</v>
      </c>
      <c r="BQ791" s="121">
        <v>33.269649999999999</v>
      </c>
      <c r="BR791" s="121">
        <v>34.538825000000003</v>
      </c>
      <c r="BS791" s="121">
        <v>35.808</v>
      </c>
      <c r="BT791" s="121">
        <v>37.039749999999998</v>
      </c>
      <c r="BU791" s="121">
        <v>38.271500000000003</v>
      </c>
      <c r="BV791" s="121">
        <v>39.506750000000004</v>
      </c>
      <c r="BW791" s="121">
        <v>40.742000000000004</v>
      </c>
      <c r="BX791" s="121">
        <v>41.951250000000002</v>
      </c>
      <c r="BY791" s="121">
        <v>43.160499999999999</v>
      </c>
      <c r="BZ791" s="121">
        <v>44.376750000000001</v>
      </c>
      <c r="CA791" s="121">
        <v>45.593000000000004</v>
      </c>
      <c r="CB791" s="121">
        <v>46.786999999999999</v>
      </c>
      <c r="CC791" s="121">
        <v>47.980999999999995</v>
      </c>
      <c r="CD791" s="121">
        <v>49.174999999999997</v>
      </c>
      <c r="CE791" s="121">
        <v>50.369</v>
      </c>
      <c r="CF791" s="121">
        <v>51.543999999999997</v>
      </c>
      <c r="CG791" s="121">
        <v>52.718999999999994</v>
      </c>
      <c r="CH791" s="121">
        <v>53.915999999999997</v>
      </c>
      <c r="CI791" s="121">
        <v>55.113</v>
      </c>
      <c r="CJ791" s="121">
        <v>56.247</v>
      </c>
      <c r="CK791" s="121">
        <v>57.381</v>
      </c>
      <c r="CL791" s="121">
        <v>58.56</v>
      </c>
      <c r="CM791" s="121">
        <v>59.739000000000004</v>
      </c>
      <c r="CN791" s="121">
        <v>60.91</v>
      </c>
      <c r="CO791" s="121">
        <v>62.081000000000003</v>
      </c>
      <c r="CP791" s="121">
        <v>63.222000000000001</v>
      </c>
      <c r="CQ791" s="121">
        <v>64.140500000000003</v>
      </c>
      <c r="CR791" s="160">
        <v>65.537750000000003</v>
      </c>
      <c r="CS791" s="160">
        <v>66.44550000000001</v>
      </c>
      <c r="CT791" s="160">
        <v>67.84975</v>
      </c>
      <c r="CU791" s="160">
        <v>68.743500000000012</v>
      </c>
      <c r="CV791" s="160">
        <v>70.16225</v>
      </c>
      <c r="CW791" s="160">
        <v>71.13900000000001</v>
      </c>
      <c r="CX791" s="160">
        <v>72.475000000000009</v>
      </c>
      <c r="CY791" s="160">
        <v>73.52000000000001</v>
      </c>
      <c r="CZ791" s="160">
        <v>74.692750000000004</v>
      </c>
      <c r="DA791" s="160">
        <v>75.742500000000007</v>
      </c>
      <c r="DB791" s="160">
        <v>76.929000000000002</v>
      </c>
      <c r="DC791" s="160">
        <f t="array" ref="DC791:DC794">TRANSPOSE(DD790:DG790)</f>
        <v>78.061999999999998</v>
      </c>
      <c r="DD791" s="120">
        <f>(DC791+DE791)/2</f>
        <v>79.233499999999992</v>
      </c>
      <c r="DE791" s="120">
        <f>(DE790+DE792)/2</f>
        <v>80.405000000000001</v>
      </c>
      <c r="DF791" s="120">
        <f>(DE791+DG791)/2</f>
        <v>81.501000000000005</v>
      </c>
      <c r="DG791" s="122">
        <f>(DG790+DG792)/2</f>
        <v>82.596999999999994</v>
      </c>
    </row>
    <row r="792" spans="54:111" ht="15" customHeight="1" x14ac:dyDescent="0.2">
      <c r="BB792" s="28">
        <v>58</v>
      </c>
      <c r="BC792" s="121">
        <v>14.217000000000001</v>
      </c>
      <c r="BD792" s="121">
        <v>15.796500000000002</v>
      </c>
      <c r="BE792" s="121">
        <v>17.376000000000001</v>
      </c>
      <c r="BF792" s="121">
        <v>18.8795</v>
      </c>
      <c r="BG792" s="121">
        <v>20.382999999999999</v>
      </c>
      <c r="BH792" s="121">
        <v>21.743499999999997</v>
      </c>
      <c r="BI792" s="121">
        <v>23.103999999999999</v>
      </c>
      <c r="BJ792" s="121">
        <v>24.494500000000002</v>
      </c>
      <c r="BK792" s="121">
        <v>25.885000000000002</v>
      </c>
      <c r="BL792" s="121">
        <v>27.230499999999999</v>
      </c>
      <c r="BM792" s="121">
        <v>28.576000000000001</v>
      </c>
      <c r="BN792" s="121">
        <v>29.868000000000002</v>
      </c>
      <c r="BO792" s="121">
        <v>31.16</v>
      </c>
      <c r="BP792" s="121">
        <v>32.437150000000003</v>
      </c>
      <c r="BQ792" s="121">
        <v>33.714300000000001</v>
      </c>
      <c r="BR792" s="121">
        <v>35.021650000000001</v>
      </c>
      <c r="BS792" s="121">
        <v>36.329000000000001</v>
      </c>
      <c r="BT792" s="121">
        <v>37.545999999999999</v>
      </c>
      <c r="BU792" s="121">
        <v>38.762999999999998</v>
      </c>
      <c r="BV792" s="121">
        <v>40.039500000000004</v>
      </c>
      <c r="BW792" s="121">
        <v>41.316000000000003</v>
      </c>
      <c r="BX792" s="121">
        <v>42.548500000000004</v>
      </c>
      <c r="BY792" s="121">
        <v>43.780999999999999</v>
      </c>
      <c r="BZ792" s="121">
        <v>44.998000000000005</v>
      </c>
      <c r="CA792" s="121">
        <v>46.215000000000003</v>
      </c>
      <c r="CB792" s="121">
        <v>47.415999999999997</v>
      </c>
      <c r="CC792" s="121">
        <v>48.616999999999997</v>
      </c>
      <c r="CD792" s="121">
        <v>49.849000000000004</v>
      </c>
      <c r="CE792" s="121">
        <v>51.081000000000003</v>
      </c>
      <c r="CF792" s="121">
        <v>52.2605</v>
      </c>
      <c r="CG792" s="121">
        <v>53.44</v>
      </c>
      <c r="CH792" s="121">
        <v>54.6785</v>
      </c>
      <c r="CI792" s="121">
        <v>55.917000000000002</v>
      </c>
      <c r="CJ792" s="121">
        <v>57.073499999999996</v>
      </c>
      <c r="CK792" s="121">
        <v>58.23</v>
      </c>
      <c r="CL792" s="121">
        <v>59.372</v>
      </c>
      <c r="CM792" s="121">
        <v>60.514000000000003</v>
      </c>
      <c r="CN792" s="121">
        <v>61.7455</v>
      </c>
      <c r="CO792" s="121">
        <v>62.976999999999997</v>
      </c>
      <c r="CP792" s="121">
        <v>64.140500000000003</v>
      </c>
      <c r="CQ792" s="121">
        <v>65.304000000000002</v>
      </c>
      <c r="CR792" s="160">
        <v>66.44550000000001</v>
      </c>
      <c r="CS792" s="160">
        <v>67.587000000000003</v>
      </c>
      <c r="CT792" s="160">
        <v>68.743500000000012</v>
      </c>
      <c r="CU792" s="160">
        <v>69.900000000000006</v>
      </c>
      <c r="CV792" s="160">
        <v>71.13900000000001</v>
      </c>
      <c r="CW792" s="160">
        <v>72.378</v>
      </c>
      <c r="CX792" s="160">
        <v>73.52000000000001</v>
      </c>
      <c r="CY792" s="160">
        <v>74.662000000000006</v>
      </c>
      <c r="CZ792" s="160">
        <v>75.742500000000007</v>
      </c>
      <c r="DA792" s="160">
        <v>76.822999999999993</v>
      </c>
      <c r="DB792" s="160">
        <v>78.061999999999998</v>
      </c>
      <c r="DC792" s="160">
        <v>79.301000000000002</v>
      </c>
      <c r="DD792" s="121">
        <f t="array" ref="DD792:DD794">TRANSPOSE(DE791:DG791)</f>
        <v>80.405000000000001</v>
      </c>
      <c r="DE792" s="158">
        <v>81.509</v>
      </c>
      <c r="DF792" s="121">
        <f>DG791</f>
        <v>82.596999999999994</v>
      </c>
      <c r="DG792" s="159">
        <v>83.745999999999995</v>
      </c>
    </row>
    <row r="793" spans="54:111" ht="15" customHeight="1" x14ac:dyDescent="0.2">
      <c r="BB793" s="28">
        <v>59</v>
      </c>
      <c r="BC793" s="121">
        <v>14.409500000000001</v>
      </c>
      <c r="BD793" s="121">
        <v>16.015750000000001</v>
      </c>
      <c r="BE793" s="121">
        <v>17.622</v>
      </c>
      <c r="BF793" s="121">
        <v>19.11825</v>
      </c>
      <c r="BG793" s="121">
        <v>20.6145</v>
      </c>
      <c r="BH793" s="121">
        <v>22.020499999999998</v>
      </c>
      <c r="BI793" s="121">
        <v>23.426499999999997</v>
      </c>
      <c r="BJ793" s="121">
        <v>24.828500000000002</v>
      </c>
      <c r="BK793" s="121">
        <v>26.230499999999999</v>
      </c>
      <c r="BL793" s="121">
        <v>27.591000000000001</v>
      </c>
      <c r="BM793" s="121">
        <v>28.951500000000003</v>
      </c>
      <c r="BN793" s="121">
        <v>30.263000000000002</v>
      </c>
      <c r="BO793" s="121">
        <v>31.5745</v>
      </c>
      <c r="BP793" s="121">
        <v>32.882325000000002</v>
      </c>
      <c r="BQ793" s="121">
        <v>34.190150000000003</v>
      </c>
      <c r="BR793" s="121">
        <v>35.493575</v>
      </c>
      <c r="BS793" s="121">
        <v>36.796999999999997</v>
      </c>
      <c r="BT793" s="121">
        <v>38.055499999999995</v>
      </c>
      <c r="BU793" s="121">
        <v>39.314</v>
      </c>
      <c r="BV793" s="121">
        <v>40.583750000000002</v>
      </c>
      <c r="BW793" s="121">
        <v>41.853499999999997</v>
      </c>
      <c r="BX793" s="121">
        <v>43.116250000000001</v>
      </c>
      <c r="BY793" s="121">
        <v>44.378999999999998</v>
      </c>
      <c r="BZ793" s="121">
        <v>45.618750000000006</v>
      </c>
      <c r="CA793" s="121">
        <v>46.858500000000006</v>
      </c>
      <c r="CB793" s="121">
        <v>48.0715</v>
      </c>
      <c r="CC793" s="121">
        <v>49.284499999999994</v>
      </c>
      <c r="CD793" s="121">
        <v>50.531500000000001</v>
      </c>
      <c r="CE793" s="121">
        <v>51.778500000000001</v>
      </c>
      <c r="CF793" s="121">
        <v>52.98075</v>
      </c>
      <c r="CG793" s="121">
        <v>54.183</v>
      </c>
      <c r="CH793" s="121">
        <v>55.41075</v>
      </c>
      <c r="CI793" s="121">
        <v>56.638500000000001</v>
      </c>
      <c r="CJ793" s="121">
        <v>57.84825</v>
      </c>
      <c r="CK793" s="121">
        <v>59.058</v>
      </c>
      <c r="CL793" s="121">
        <v>60.222499999999997</v>
      </c>
      <c r="CM793" s="121">
        <v>61.387</v>
      </c>
      <c r="CN793" s="121">
        <v>62.596000000000004</v>
      </c>
      <c r="CO793" s="121">
        <v>63.804999999999993</v>
      </c>
      <c r="CP793" s="121">
        <v>65.017750000000007</v>
      </c>
      <c r="CQ793" s="121">
        <v>65.894999999999996</v>
      </c>
      <c r="CR793" s="160">
        <v>67.391500000000008</v>
      </c>
      <c r="CS793" s="160">
        <v>68.337500000000006</v>
      </c>
      <c r="CT793" s="160">
        <v>69.724250000000012</v>
      </c>
      <c r="CU793" s="160">
        <v>70.704999999999998</v>
      </c>
      <c r="CV793" s="160">
        <v>72.108500000000006</v>
      </c>
      <c r="CW793" s="160">
        <v>73.078000000000003</v>
      </c>
      <c r="CX793" s="160">
        <v>74.485500000000002</v>
      </c>
      <c r="CY793" s="160">
        <v>75.450999999999993</v>
      </c>
      <c r="CZ793" s="160">
        <v>76.8215</v>
      </c>
      <c r="DA793" s="160">
        <v>77.900499999999994</v>
      </c>
      <c r="DB793" s="160">
        <v>79.183750000000003</v>
      </c>
      <c r="DC793" s="160">
        <v>80.305499999999995</v>
      </c>
      <c r="DD793" s="160">
        <v>81.501000000000005</v>
      </c>
      <c r="DE793" s="160">
        <f t="array" ref="DE793:DE794">TRANSPOSE(DF792:DG792)</f>
        <v>82.596999999999994</v>
      </c>
      <c r="DF793" s="120">
        <f>(DE793+DG793)/2</f>
        <v>83.802499999999995</v>
      </c>
      <c r="DG793" s="122">
        <f>(DG792+DG794)/2</f>
        <v>85.007999999999996</v>
      </c>
    </row>
    <row r="794" spans="54:111" ht="15" customHeight="1" thickBot="1" x14ac:dyDescent="0.25">
      <c r="BB794" s="149">
        <v>60</v>
      </c>
      <c r="BC794" s="123">
        <v>14.602</v>
      </c>
      <c r="BD794" s="123">
        <v>16.234999999999999</v>
      </c>
      <c r="BE794" s="123">
        <v>17.867999999999999</v>
      </c>
      <c r="BF794" s="123">
        <v>19.356999999999999</v>
      </c>
      <c r="BG794" s="123">
        <v>20.846</v>
      </c>
      <c r="BH794" s="123">
        <v>22.297499999999999</v>
      </c>
      <c r="BI794" s="123">
        <v>23.748999999999999</v>
      </c>
      <c r="BJ794" s="123">
        <v>25.162500000000001</v>
      </c>
      <c r="BK794" s="123">
        <v>26.576000000000001</v>
      </c>
      <c r="BL794" s="123">
        <v>27.951500000000003</v>
      </c>
      <c r="BM794" s="123">
        <v>29.327000000000002</v>
      </c>
      <c r="BN794" s="123">
        <v>30.658000000000001</v>
      </c>
      <c r="BO794" s="123">
        <v>31.989000000000001</v>
      </c>
      <c r="BP794" s="123">
        <v>33.327500000000001</v>
      </c>
      <c r="BQ794" s="123">
        <v>34.665999999999997</v>
      </c>
      <c r="BR794" s="123">
        <v>35.965499999999999</v>
      </c>
      <c r="BS794" s="123">
        <v>37.265000000000001</v>
      </c>
      <c r="BT794" s="123">
        <v>38.564999999999998</v>
      </c>
      <c r="BU794" s="123">
        <v>39.865000000000002</v>
      </c>
      <c r="BV794" s="123">
        <v>41.128</v>
      </c>
      <c r="BW794" s="123">
        <v>42.390999999999998</v>
      </c>
      <c r="BX794" s="123">
        <v>43.683999999999997</v>
      </c>
      <c r="BY794" s="123">
        <v>44.976999999999997</v>
      </c>
      <c r="BZ794" s="123">
        <v>46.2395</v>
      </c>
      <c r="CA794" s="123">
        <v>47.502000000000002</v>
      </c>
      <c r="CB794" s="123">
        <v>48.727000000000004</v>
      </c>
      <c r="CC794" s="123">
        <v>49.951999999999998</v>
      </c>
      <c r="CD794" s="123">
        <v>51.213999999999999</v>
      </c>
      <c r="CE794" s="123">
        <v>52.475999999999999</v>
      </c>
      <c r="CF794" s="123">
        <v>53.701000000000001</v>
      </c>
      <c r="CG794" s="123">
        <v>54.926000000000002</v>
      </c>
      <c r="CH794" s="123">
        <v>56.143000000000001</v>
      </c>
      <c r="CI794" s="123">
        <v>57.36</v>
      </c>
      <c r="CJ794" s="123">
        <v>58.623000000000005</v>
      </c>
      <c r="CK794" s="123">
        <v>59.886000000000003</v>
      </c>
      <c r="CL794" s="123">
        <v>61.073</v>
      </c>
      <c r="CM794" s="123">
        <v>62.26</v>
      </c>
      <c r="CN794" s="123">
        <v>63.4465</v>
      </c>
      <c r="CO794" s="123">
        <v>64.632999999999996</v>
      </c>
      <c r="CP794" s="123">
        <v>65.894999999999996</v>
      </c>
      <c r="CQ794" s="123">
        <v>67.156999999999996</v>
      </c>
      <c r="CR794" s="161">
        <v>68.337500000000006</v>
      </c>
      <c r="CS794" s="161">
        <v>69.518000000000001</v>
      </c>
      <c r="CT794" s="161">
        <v>70.704999999999998</v>
      </c>
      <c r="CU794" s="161">
        <v>71.891999999999996</v>
      </c>
      <c r="CV794" s="161">
        <v>73.078000000000003</v>
      </c>
      <c r="CW794" s="161">
        <v>74.263999999999996</v>
      </c>
      <c r="CX794" s="161">
        <v>75.450999999999993</v>
      </c>
      <c r="CY794" s="161">
        <v>76.638000000000005</v>
      </c>
      <c r="CZ794" s="161">
        <v>77.900499999999994</v>
      </c>
      <c r="DA794" s="161">
        <v>79.162999999999997</v>
      </c>
      <c r="DB794" s="161">
        <v>80.305499999999995</v>
      </c>
      <c r="DC794" s="161">
        <v>81.447999999999993</v>
      </c>
      <c r="DD794" s="161">
        <v>82.596999999999994</v>
      </c>
      <c r="DE794" s="161">
        <v>83.745999999999995</v>
      </c>
      <c r="DF794" s="151">
        <f>DG793</f>
        <v>85.007999999999996</v>
      </c>
      <c r="DG794" s="162">
        <v>86.27</v>
      </c>
    </row>
    <row r="795" spans="54:111" ht="15" customHeight="1" thickBot="1" x14ac:dyDescent="0.25">
      <c r="BB795" s="25"/>
      <c r="BC795" s="25"/>
      <c r="BD795" s="25"/>
      <c r="BE795" s="25"/>
      <c r="BF795" s="25"/>
      <c r="BG795" s="25"/>
      <c r="BH795" s="25"/>
      <c r="BI795" s="25"/>
      <c r="BJ795" s="25"/>
      <c r="BK795" s="25"/>
      <c r="BL795" s="25"/>
      <c r="BM795" s="25"/>
      <c r="BN795" s="25"/>
      <c r="BO795" s="25"/>
      <c r="BP795" s="25"/>
      <c r="BQ795" s="25"/>
      <c r="BR795" s="25"/>
      <c r="BS795" s="25"/>
      <c r="BT795" s="25"/>
      <c r="BU795" s="25"/>
      <c r="BV795" s="25"/>
      <c r="BW795" s="25"/>
      <c r="BX795" s="25"/>
      <c r="BY795" s="25"/>
      <c r="BZ795" s="25"/>
      <c r="CA795" s="25"/>
      <c r="CB795" s="25"/>
      <c r="CC795" s="25"/>
      <c r="CD795" s="25"/>
      <c r="CE795" s="25"/>
      <c r="CF795" s="25"/>
      <c r="CG795" s="25"/>
      <c r="CH795" s="25"/>
      <c r="CI795" s="25"/>
      <c r="CJ795" s="25"/>
      <c r="CK795" s="25"/>
      <c r="CL795" s="25"/>
      <c r="CM795" s="25"/>
      <c r="CN795" s="25"/>
      <c r="CO795" s="25"/>
      <c r="CP795" s="25"/>
      <c r="CQ795" s="25"/>
    </row>
    <row r="796" spans="54:111" ht="15" customHeight="1" thickBot="1" x14ac:dyDescent="0.3">
      <c r="BB796" s="1841" t="s">
        <v>308</v>
      </c>
      <c r="BC796" s="1842"/>
      <c r="BD796" s="1842"/>
      <c r="BE796" s="1842"/>
      <c r="BF796" s="1842"/>
      <c r="BG796" s="1842"/>
      <c r="BH796" s="1842"/>
      <c r="BI796" s="1842"/>
      <c r="BJ796" s="1842"/>
      <c r="BK796" s="1842"/>
      <c r="BL796" s="1842"/>
      <c r="BM796" s="1842"/>
      <c r="BN796" s="1842"/>
      <c r="BO796" s="1842"/>
      <c r="BP796" s="1842"/>
      <c r="BQ796" s="1842"/>
      <c r="BR796" s="1842"/>
      <c r="BS796" s="1842"/>
      <c r="BT796" s="1842"/>
      <c r="BU796" s="1842"/>
      <c r="BV796" s="1842"/>
      <c r="BW796" s="1842"/>
      <c r="BX796" s="1842"/>
      <c r="BY796" s="1842"/>
      <c r="BZ796" s="1842"/>
      <c r="CA796" s="1842"/>
      <c r="CB796" s="1842"/>
      <c r="CC796" s="1842"/>
      <c r="CD796" s="1842"/>
      <c r="CE796" s="1842"/>
      <c r="CF796" s="1842"/>
      <c r="CG796" s="1842"/>
      <c r="CH796" s="1842"/>
      <c r="CI796" s="1842"/>
      <c r="CJ796" s="1842"/>
      <c r="CK796" s="1842"/>
      <c r="CL796" s="1842"/>
      <c r="CM796" s="1842"/>
      <c r="CN796" s="1842"/>
      <c r="CO796" s="1842"/>
      <c r="CP796" s="1842"/>
      <c r="CQ796" s="1842"/>
      <c r="CR796" s="1842"/>
      <c r="CS796" s="1842"/>
      <c r="CT796" s="1842"/>
      <c r="CU796" s="1842"/>
      <c r="CV796" s="1842"/>
      <c r="CW796" s="1842"/>
      <c r="CX796" s="1842"/>
      <c r="CY796" s="1842"/>
      <c r="CZ796" s="1842"/>
      <c r="DA796" s="1842"/>
      <c r="DB796" s="1842"/>
      <c r="DC796" s="1842"/>
      <c r="DD796" s="1842"/>
      <c r="DE796" s="1842"/>
      <c r="DF796" s="1842"/>
      <c r="DG796" s="1843"/>
    </row>
    <row r="797" spans="54:111" ht="15" customHeight="1" x14ac:dyDescent="0.2">
      <c r="BB797" s="26"/>
      <c r="BC797" s="27">
        <v>4</v>
      </c>
      <c r="BD797" s="27">
        <v>5</v>
      </c>
      <c r="BE797" s="27">
        <v>6</v>
      </c>
      <c r="BF797" s="27">
        <v>7</v>
      </c>
      <c r="BG797" s="27">
        <v>8</v>
      </c>
      <c r="BH797" s="27">
        <v>9</v>
      </c>
      <c r="BI797" s="27">
        <v>10</v>
      </c>
      <c r="BJ797" s="27">
        <v>11</v>
      </c>
      <c r="BK797" s="27">
        <v>12</v>
      </c>
      <c r="BL797" s="27">
        <v>13</v>
      </c>
      <c r="BM797" s="27">
        <v>14</v>
      </c>
      <c r="BN797" s="27">
        <v>15</v>
      </c>
      <c r="BO797" s="27">
        <v>16</v>
      </c>
      <c r="BP797" s="27">
        <v>17</v>
      </c>
      <c r="BQ797" s="27">
        <v>18</v>
      </c>
      <c r="BR797" s="27">
        <v>19</v>
      </c>
      <c r="BS797" s="27">
        <v>20</v>
      </c>
      <c r="BT797" s="27">
        <v>21</v>
      </c>
      <c r="BU797" s="27">
        <v>22</v>
      </c>
      <c r="BV797" s="27">
        <v>23</v>
      </c>
      <c r="BW797" s="27">
        <v>24</v>
      </c>
      <c r="BX797" s="27">
        <v>25</v>
      </c>
      <c r="BY797" s="27">
        <v>26</v>
      </c>
      <c r="BZ797" s="27">
        <v>27</v>
      </c>
      <c r="CA797" s="27">
        <v>28</v>
      </c>
      <c r="CB797" s="27">
        <v>29</v>
      </c>
      <c r="CC797" s="27">
        <v>30</v>
      </c>
      <c r="CD797" s="27">
        <v>31</v>
      </c>
      <c r="CE797" s="27">
        <v>32</v>
      </c>
      <c r="CF797" s="27">
        <v>33</v>
      </c>
      <c r="CG797" s="27">
        <v>34</v>
      </c>
      <c r="CH797" s="27">
        <v>35</v>
      </c>
      <c r="CI797" s="27">
        <v>36</v>
      </c>
      <c r="CJ797" s="27">
        <v>37</v>
      </c>
      <c r="CK797" s="27">
        <v>38</v>
      </c>
      <c r="CL797" s="27">
        <v>39</v>
      </c>
      <c r="CM797" s="27">
        <v>40</v>
      </c>
      <c r="CN797" s="27">
        <v>41</v>
      </c>
      <c r="CO797" s="27">
        <v>42</v>
      </c>
      <c r="CP797" s="27">
        <v>43</v>
      </c>
      <c r="CQ797" s="27">
        <v>44</v>
      </c>
      <c r="CR797" s="27">
        <v>45</v>
      </c>
      <c r="CS797" s="27">
        <v>46</v>
      </c>
      <c r="CT797" s="27">
        <v>47</v>
      </c>
      <c r="CU797" s="27">
        <v>48</v>
      </c>
      <c r="CV797" s="27">
        <v>49</v>
      </c>
      <c r="CW797" s="27">
        <v>50</v>
      </c>
      <c r="CX797" s="27">
        <v>51</v>
      </c>
      <c r="CY797" s="27">
        <v>52</v>
      </c>
      <c r="CZ797" s="27">
        <v>53</v>
      </c>
      <c r="DA797" s="27">
        <v>54</v>
      </c>
      <c r="DB797" s="27">
        <v>55</v>
      </c>
      <c r="DC797" s="27">
        <v>56</v>
      </c>
      <c r="DD797" s="27">
        <v>57</v>
      </c>
      <c r="DE797" s="27">
        <v>58</v>
      </c>
      <c r="DF797" s="27">
        <v>59</v>
      </c>
      <c r="DG797" s="142">
        <v>60</v>
      </c>
    </row>
    <row r="798" spans="54:111" ht="15" customHeight="1" x14ac:dyDescent="0.2">
      <c r="BB798" s="28">
        <v>4</v>
      </c>
      <c r="BC798" s="156">
        <v>3.27</v>
      </c>
      <c r="BD798" s="120">
        <f>(BE798+BC798)/2</f>
        <v>3.6665000000000001</v>
      </c>
      <c r="BE798" s="156">
        <v>4.0629999999999997</v>
      </c>
      <c r="BF798" s="120">
        <f>(BG798+BE798)/2</f>
        <v>4.3975</v>
      </c>
      <c r="BG798" s="156">
        <v>4.7320000000000002</v>
      </c>
      <c r="BH798" s="120">
        <f>(BI798+BG798)/2</f>
        <v>5.0620000000000003</v>
      </c>
      <c r="BI798" s="156">
        <v>5.3920000000000003</v>
      </c>
      <c r="BJ798" s="120">
        <f>(BK798+BI798)/2</f>
        <v>5.6905000000000001</v>
      </c>
      <c r="BK798" s="156">
        <v>5.9889999999999999</v>
      </c>
      <c r="BL798" s="120">
        <f>(BM798+BK798)/2</f>
        <v>6.3115000000000006</v>
      </c>
      <c r="BM798" s="156">
        <v>6.6340000000000003</v>
      </c>
      <c r="BN798" s="120">
        <f>(BO798+BM798)/2</f>
        <v>6.9020000000000001</v>
      </c>
      <c r="BO798" s="156">
        <v>7.17</v>
      </c>
      <c r="BP798" s="120">
        <f>(BQ798+BO798)/2</f>
        <v>7.4559999999999995</v>
      </c>
      <c r="BQ798" s="156">
        <v>7.742</v>
      </c>
      <c r="BR798" s="120">
        <f>(BS798+BQ798)/2</f>
        <v>8.0030000000000001</v>
      </c>
      <c r="BS798" s="156">
        <v>8.2639999999999993</v>
      </c>
      <c r="BT798" s="120">
        <f>(BU798+BS798)/2</f>
        <v>8.5569999999999986</v>
      </c>
      <c r="BU798" s="156">
        <v>8.85</v>
      </c>
      <c r="BV798" s="120">
        <f>(BW798+BU798)/2</f>
        <v>9.0745000000000005</v>
      </c>
      <c r="BW798" s="156">
        <v>9.2989999999999995</v>
      </c>
      <c r="BX798" s="120">
        <f>(BY798+BW798)/2</f>
        <v>9.5844999999999985</v>
      </c>
      <c r="BY798" s="156">
        <v>9.8699999999999992</v>
      </c>
      <c r="BZ798" s="120">
        <f>(CA798+BY798)/2</f>
        <v>10.0945</v>
      </c>
      <c r="CA798" s="156">
        <v>10.319000000000001</v>
      </c>
      <c r="CB798" s="120">
        <f>(CC798+CA798)/2</f>
        <v>10.5745</v>
      </c>
      <c r="CC798" s="156">
        <v>10.83</v>
      </c>
      <c r="CD798" s="120">
        <f>(CE798+CC798)/2</f>
        <v>11.0915</v>
      </c>
      <c r="CE798" s="156">
        <v>11.353</v>
      </c>
      <c r="CF798" s="120">
        <f>(CG798+CE798)/2</f>
        <v>11.602</v>
      </c>
      <c r="CG798" s="156">
        <v>11.851000000000001</v>
      </c>
      <c r="CH798" s="120">
        <f>(CI798+CG798)/2</f>
        <v>12.0825</v>
      </c>
      <c r="CI798" s="156">
        <v>12.314</v>
      </c>
      <c r="CJ798" s="120">
        <f>(CK798+CI798)/2</f>
        <v>12.5625</v>
      </c>
      <c r="CK798" s="156">
        <v>12.811</v>
      </c>
      <c r="CL798" s="120">
        <f>(CM798+CK798)/2</f>
        <v>13.035499999999999</v>
      </c>
      <c r="CM798" s="156">
        <v>13.26</v>
      </c>
      <c r="CN798" s="120">
        <f>(CO798+CM798)/2</f>
        <v>13.516</v>
      </c>
      <c r="CO798" s="156">
        <v>13.772</v>
      </c>
      <c r="CP798" s="120">
        <f>(CQ798+CO798)/2</f>
        <v>13.959</v>
      </c>
      <c r="CQ798" s="156">
        <v>14.146000000000001</v>
      </c>
      <c r="CR798" s="120">
        <f>(CS798+CQ798)/2</f>
        <v>14.3955</v>
      </c>
      <c r="CS798" s="156">
        <v>14.645</v>
      </c>
      <c r="CT798" s="120">
        <f>(CU798+CS798)/2</f>
        <v>14.8765</v>
      </c>
      <c r="CU798" s="156">
        <v>15.108000000000001</v>
      </c>
      <c r="CV798" s="120">
        <f>(CW798+CU798)/2</f>
        <v>15.3565</v>
      </c>
      <c r="CW798" s="156">
        <v>15.605</v>
      </c>
      <c r="CX798" s="120">
        <f>(CY798+CW798)/2</f>
        <v>15.792</v>
      </c>
      <c r="CY798" s="156">
        <v>15.978999999999999</v>
      </c>
      <c r="CZ798" s="120">
        <f>(DA798+CY798)/2</f>
        <v>16.235999999999997</v>
      </c>
      <c r="DA798" s="156">
        <v>16.492999999999999</v>
      </c>
      <c r="DB798" s="120">
        <f>(DC798+DA798)/2</f>
        <v>16.716999999999999</v>
      </c>
      <c r="DC798" s="156">
        <v>16.940999999999999</v>
      </c>
      <c r="DD798" s="120">
        <f>(DE798+DC798)/2</f>
        <v>17.1525</v>
      </c>
      <c r="DE798" s="156">
        <v>17.364000000000001</v>
      </c>
      <c r="DF798" s="120">
        <f>(DG798+DE798)/2</f>
        <v>17.595500000000001</v>
      </c>
      <c r="DG798" s="157">
        <v>17.827000000000002</v>
      </c>
    </row>
    <row r="799" spans="54:111" ht="15" customHeight="1" x14ac:dyDescent="0.2">
      <c r="BB799" s="28">
        <v>5</v>
      </c>
      <c r="BC799" s="121">
        <f t="array" ref="BC799:BC854">TRANSPOSE(BD798:DG798)</f>
        <v>3.6665000000000001</v>
      </c>
      <c r="BD799" s="120">
        <f>(BC799+BE799)/2</f>
        <v>4.0867500000000003</v>
      </c>
      <c r="BE799" s="120">
        <f>(BE798+BE800)/2</f>
        <v>4.5069999999999997</v>
      </c>
      <c r="BF799" s="120">
        <f>(BE799+BG799)/2</f>
        <v>4.8940000000000001</v>
      </c>
      <c r="BG799" s="120">
        <f>(BG798+BG800)/2</f>
        <v>5.2810000000000006</v>
      </c>
      <c r="BH799" s="120">
        <f>(BG799+BI799)/2</f>
        <v>5.6437500000000007</v>
      </c>
      <c r="BI799" s="120">
        <f>(BI798+BI800)/2</f>
        <v>6.0065000000000008</v>
      </c>
      <c r="BJ799" s="120">
        <f>(BI799+BK799)/2</f>
        <v>6.3567499999999999</v>
      </c>
      <c r="BK799" s="120">
        <f>(BK798+BK800)/2</f>
        <v>6.7069999999999999</v>
      </c>
      <c r="BL799" s="120">
        <f>(BK799+BM799)/2</f>
        <v>7.0352499999999996</v>
      </c>
      <c r="BM799" s="120">
        <f>(BM798+BM800)/2</f>
        <v>7.3635000000000002</v>
      </c>
      <c r="BN799" s="120">
        <f>(BM799+BO799)/2</f>
        <v>7.68</v>
      </c>
      <c r="BO799" s="120">
        <f>(BO798+BO800)/2</f>
        <v>7.9965000000000002</v>
      </c>
      <c r="BP799" s="120">
        <f>(BO799+BQ799)/2</f>
        <v>8.3187499999999996</v>
      </c>
      <c r="BQ799" s="120">
        <f>(BQ798+BQ800)/2</f>
        <v>8.641</v>
      </c>
      <c r="BR799" s="120">
        <f>(BQ799+BS799)/2</f>
        <v>8.9357499999999987</v>
      </c>
      <c r="BS799" s="120">
        <f>(BS798+BS800)/2</f>
        <v>9.2304999999999993</v>
      </c>
      <c r="BT799" s="120">
        <f>(BS799+BU799)/2</f>
        <v>9.5440000000000005</v>
      </c>
      <c r="BU799" s="120">
        <f>(BU798+BU800)/2</f>
        <v>9.8574999999999999</v>
      </c>
      <c r="BV799" s="120">
        <f>(BU799+BW799)/2</f>
        <v>10.134</v>
      </c>
      <c r="BW799" s="120">
        <f>(BW798+BW800)/2</f>
        <v>10.410499999999999</v>
      </c>
      <c r="BX799" s="120">
        <f>(BW799+BY799)/2</f>
        <v>10.713999999999999</v>
      </c>
      <c r="BY799" s="120">
        <f>(BY798+BY800)/2</f>
        <v>11.017499999999998</v>
      </c>
      <c r="BZ799" s="120">
        <f>(BY799+CA799)/2</f>
        <v>11.293999999999999</v>
      </c>
      <c r="CA799" s="120">
        <f>(CA798+CA800)/2</f>
        <v>11.570499999999999</v>
      </c>
      <c r="CB799" s="120">
        <f>(CA799+CC799)/2</f>
        <v>11.827999999999999</v>
      </c>
      <c r="CC799" s="120">
        <f>(CC798+CC800)/2</f>
        <v>12.0855</v>
      </c>
      <c r="CD799" s="120">
        <f>(CC799+CE799)/2</f>
        <v>12.380749999999999</v>
      </c>
      <c r="CE799" s="120">
        <f>(CE798+CE800)/2</f>
        <v>12.676</v>
      </c>
      <c r="CF799" s="120">
        <f>(CE799+CG799)/2</f>
        <v>12.94275</v>
      </c>
      <c r="CG799" s="120">
        <f>(CG798+CG800)/2</f>
        <v>13.2095</v>
      </c>
      <c r="CH799" s="120">
        <f>(CG799+CI799)/2</f>
        <v>13.489750000000001</v>
      </c>
      <c r="CI799" s="120">
        <f>(CI798+CI800)/2</f>
        <v>13.77</v>
      </c>
      <c r="CJ799" s="120">
        <f>(CI799+CK799)/2</f>
        <v>14.02375</v>
      </c>
      <c r="CK799" s="120">
        <f>(CK798+CK800)/2</f>
        <v>14.2775</v>
      </c>
      <c r="CL799" s="120">
        <f>(CK799+CM799)/2</f>
        <v>14.554</v>
      </c>
      <c r="CM799" s="120">
        <f>(CM798+CM800)/2</f>
        <v>14.830500000000001</v>
      </c>
      <c r="CN799" s="120">
        <f>(CM799+CO799)/2</f>
        <v>15.101000000000001</v>
      </c>
      <c r="CO799" s="120">
        <f>(CO798+CO800)/2</f>
        <v>15.371500000000001</v>
      </c>
      <c r="CP799" s="120">
        <f>(CO799+CQ799)/2</f>
        <v>15.611000000000001</v>
      </c>
      <c r="CQ799" s="120">
        <f>(CQ798+CQ800)/2</f>
        <v>15.8505</v>
      </c>
      <c r="CR799" s="120">
        <f>(CQ799+CS799)/2</f>
        <v>16.104750000000003</v>
      </c>
      <c r="CS799" s="120">
        <f>(CS798+CS800)/2</f>
        <v>16.359000000000002</v>
      </c>
      <c r="CT799" s="120">
        <f>(CS799+CU799)/2</f>
        <v>16.620750000000001</v>
      </c>
      <c r="CU799" s="120">
        <f>(CU798+CU800)/2</f>
        <v>16.8825</v>
      </c>
      <c r="CV799" s="120">
        <f>(CU799+CW799)/2</f>
        <v>17.1675</v>
      </c>
      <c r="CW799" s="120">
        <f>(CW798+CW800)/2</f>
        <v>17.452500000000001</v>
      </c>
      <c r="CX799" s="120">
        <f>(CW799+CY799)/2</f>
        <v>17.68825</v>
      </c>
      <c r="CY799" s="120">
        <f>(CY798+CY800)/2</f>
        <v>17.923999999999999</v>
      </c>
      <c r="CZ799" s="120">
        <f>(CY799+DA799)/2</f>
        <v>18.167749999999998</v>
      </c>
      <c r="DA799" s="120">
        <f>(DA798+DA800)/2</f>
        <v>18.411499999999997</v>
      </c>
      <c r="DB799" s="120">
        <f>(DA799+DC799)/2</f>
        <v>18.665749999999999</v>
      </c>
      <c r="DC799" s="120">
        <f>(DC798+DC800)/2</f>
        <v>18.920000000000002</v>
      </c>
      <c r="DD799" s="120">
        <f>(DC799+DE799)/2</f>
        <v>19.171500000000002</v>
      </c>
      <c r="DE799" s="120">
        <f>(DE798+DE800)/2</f>
        <v>19.423000000000002</v>
      </c>
      <c r="DF799" s="120">
        <f>(DE799+DG799)/2</f>
        <v>19.680750000000003</v>
      </c>
      <c r="DG799" s="122">
        <f>(DG798+DG800)/2</f>
        <v>19.938500000000001</v>
      </c>
    </row>
    <row r="800" spans="54:111" ht="15" customHeight="1" x14ac:dyDescent="0.2">
      <c r="BB800" s="28">
        <v>6</v>
      </c>
      <c r="BC800" s="121">
        <v>4.0629999999999997</v>
      </c>
      <c r="BD800" s="121">
        <f t="array" ref="BD800:BD854">TRANSPOSE(BE799:DG799)</f>
        <v>4.5069999999999997</v>
      </c>
      <c r="BE800" s="158">
        <v>4.9509999999999996</v>
      </c>
      <c r="BF800" s="120">
        <f>(BG800+BE800)/2</f>
        <v>5.3904999999999994</v>
      </c>
      <c r="BG800" s="158">
        <v>5.83</v>
      </c>
      <c r="BH800" s="120">
        <f>(BI800+BG800)/2</f>
        <v>6.2255000000000003</v>
      </c>
      <c r="BI800" s="158">
        <v>6.6210000000000004</v>
      </c>
      <c r="BJ800" s="120">
        <f>(BK800+BI800)/2</f>
        <v>7.0229999999999997</v>
      </c>
      <c r="BK800" s="158">
        <v>7.4249999999999998</v>
      </c>
      <c r="BL800" s="120">
        <f>(BM800+BK800)/2</f>
        <v>7.7590000000000003</v>
      </c>
      <c r="BM800" s="158">
        <v>8.093</v>
      </c>
      <c r="BN800" s="120">
        <f>(BO800+BM800)/2</f>
        <v>8.4580000000000002</v>
      </c>
      <c r="BO800" s="158">
        <v>8.8230000000000004</v>
      </c>
      <c r="BP800" s="120">
        <f>(BQ800+BO800)/2</f>
        <v>9.1814999999999998</v>
      </c>
      <c r="BQ800" s="158">
        <v>9.5399999999999991</v>
      </c>
      <c r="BR800" s="120">
        <f>(BS800+BQ800)/2</f>
        <v>9.8684999999999992</v>
      </c>
      <c r="BS800" s="158">
        <v>10.196999999999999</v>
      </c>
      <c r="BT800" s="120">
        <f>(BU800+BS800)/2</f>
        <v>10.530999999999999</v>
      </c>
      <c r="BU800" s="158">
        <v>10.865</v>
      </c>
      <c r="BV800" s="120">
        <f>(BW800+BU800)/2</f>
        <v>11.1935</v>
      </c>
      <c r="BW800" s="158">
        <v>11.522</v>
      </c>
      <c r="BX800" s="120">
        <f>(BY800+BW800)/2</f>
        <v>11.843499999999999</v>
      </c>
      <c r="BY800" s="158">
        <v>12.164999999999999</v>
      </c>
      <c r="BZ800" s="120">
        <f>(CA800+BY800)/2</f>
        <v>12.493499999999999</v>
      </c>
      <c r="CA800" s="158">
        <v>12.821999999999999</v>
      </c>
      <c r="CB800" s="120">
        <f>(CC800+CA800)/2</f>
        <v>13.081499999999998</v>
      </c>
      <c r="CC800" s="158">
        <v>13.340999999999999</v>
      </c>
      <c r="CD800" s="120">
        <f>(CE800+CC800)/2</f>
        <v>13.67</v>
      </c>
      <c r="CE800" s="158">
        <v>13.999000000000001</v>
      </c>
      <c r="CF800" s="120">
        <f>(CG800+CE800)/2</f>
        <v>14.2835</v>
      </c>
      <c r="CG800" s="158">
        <v>14.568</v>
      </c>
      <c r="CH800" s="120">
        <f>(CI800+CG800)/2</f>
        <v>14.897</v>
      </c>
      <c r="CI800" s="158">
        <v>15.226000000000001</v>
      </c>
      <c r="CJ800" s="120">
        <f>(CK800+CI800)/2</f>
        <v>15.484999999999999</v>
      </c>
      <c r="CK800" s="158">
        <v>15.744</v>
      </c>
      <c r="CL800" s="120">
        <f>(CM800+CK800)/2</f>
        <v>16.072499999999998</v>
      </c>
      <c r="CM800" s="158">
        <v>16.401</v>
      </c>
      <c r="CN800" s="120">
        <f>(CO800+CM800)/2</f>
        <v>16.686</v>
      </c>
      <c r="CO800" s="158">
        <v>16.971</v>
      </c>
      <c r="CP800" s="120">
        <f>(CQ800+CO800)/2</f>
        <v>17.262999999999998</v>
      </c>
      <c r="CQ800" s="158">
        <v>17.555</v>
      </c>
      <c r="CR800" s="120">
        <f>(CS800+CQ800)/2</f>
        <v>17.814</v>
      </c>
      <c r="CS800" s="158">
        <v>18.073</v>
      </c>
      <c r="CT800" s="120">
        <f>(CU800+CS800)/2</f>
        <v>18.365000000000002</v>
      </c>
      <c r="CU800" s="158">
        <v>18.657</v>
      </c>
      <c r="CV800" s="120">
        <f>(CW800+CU800)/2</f>
        <v>18.9785</v>
      </c>
      <c r="CW800" s="158">
        <v>19.3</v>
      </c>
      <c r="CX800" s="120">
        <f>(CY800+CW800)/2</f>
        <v>19.584499999999998</v>
      </c>
      <c r="CY800" s="158">
        <v>19.869</v>
      </c>
      <c r="CZ800" s="120">
        <f>(DA800+CY800)/2</f>
        <v>20.099499999999999</v>
      </c>
      <c r="DA800" s="158">
        <v>20.329999999999998</v>
      </c>
      <c r="DB800" s="120">
        <f>(DC800+DA800)/2</f>
        <v>20.6145</v>
      </c>
      <c r="DC800" s="158">
        <v>20.899000000000001</v>
      </c>
      <c r="DD800" s="120">
        <f>(DE800+DC800)/2</f>
        <v>21.1905</v>
      </c>
      <c r="DE800" s="158">
        <v>21.481999999999999</v>
      </c>
      <c r="DF800" s="120">
        <f>(DG800+DE800)/2</f>
        <v>21.765999999999998</v>
      </c>
      <c r="DG800" s="159">
        <v>22.05</v>
      </c>
    </row>
    <row r="801" spans="54:111" ht="15" customHeight="1" x14ac:dyDescent="0.2">
      <c r="BB801" s="28">
        <v>7</v>
      </c>
      <c r="BC801" s="121">
        <v>4.3975</v>
      </c>
      <c r="BD801" s="121">
        <v>4.8940000000000001</v>
      </c>
      <c r="BE801" s="121">
        <f t="array" ref="BE801:BE854">TRANSPOSE(BF800:DG800)</f>
        <v>5.3904999999999994</v>
      </c>
      <c r="BF801" s="120">
        <f>(BE801+BG801)/2</f>
        <v>5.8659999999999997</v>
      </c>
      <c r="BG801" s="120">
        <f>(BG800+BG802)/2</f>
        <v>6.3414999999999999</v>
      </c>
      <c r="BH801" s="120">
        <f>(BG801+BI801)/2</f>
        <v>6.77325</v>
      </c>
      <c r="BI801" s="120">
        <f>(BI800+BI802)/2</f>
        <v>7.2050000000000001</v>
      </c>
      <c r="BJ801" s="120">
        <f>(BI801+BK801)/2</f>
        <v>7.625</v>
      </c>
      <c r="BK801" s="120">
        <f>(BK800+BK802)/2</f>
        <v>8.0449999999999999</v>
      </c>
      <c r="BL801" s="120">
        <f>(BK801+BM801)/2</f>
        <v>8.4274999999999984</v>
      </c>
      <c r="BM801" s="120">
        <f>(BM800+BM802)/2</f>
        <v>8.8099999999999987</v>
      </c>
      <c r="BN801" s="120">
        <f>(BM801+BO801)/2</f>
        <v>9.2114999999999991</v>
      </c>
      <c r="BO801" s="120">
        <f>(BO800+BO802)/2</f>
        <v>9.6129999999999995</v>
      </c>
      <c r="BP801" s="120">
        <f>(BO801+BQ801)/2</f>
        <v>9.9929999999999986</v>
      </c>
      <c r="BQ801" s="120">
        <f>(BQ800+BQ802)/2</f>
        <v>10.372999999999999</v>
      </c>
      <c r="BR801" s="120">
        <f>(BQ801+BS801)/2</f>
        <v>10.733750000000001</v>
      </c>
      <c r="BS801" s="120">
        <f>(BS800+BS802)/2</f>
        <v>11.0945</v>
      </c>
      <c r="BT801" s="120">
        <f>(BS801+BU801)/2</f>
        <v>11.4435</v>
      </c>
      <c r="BU801" s="120">
        <f>(BU800+BU802)/2</f>
        <v>11.7925</v>
      </c>
      <c r="BV801" s="120">
        <f>(BU801+BW801)/2</f>
        <v>12.15775</v>
      </c>
      <c r="BW801" s="120">
        <f>(BW800+BW802)/2</f>
        <v>12.523</v>
      </c>
      <c r="BX801" s="120">
        <f>(BW801+BY801)/2</f>
        <v>12.862</v>
      </c>
      <c r="BY801" s="120">
        <f>(BY800+BY802)/2</f>
        <v>13.201000000000001</v>
      </c>
      <c r="BZ801" s="120">
        <f>(BY801+CA801)/2</f>
        <v>13.565999999999999</v>
      </c>
      <c r="CA801" s="120">
        <f>(CA800+CA802)/2</f>
        <v>13.930999999999999</v>
      </c>
      <c r="CB801" s="120">
        <f>(CA801+CC801)/2</f>
        <v>14.242750000000001</v>
      </c>
      <c r="CC801" s="120">
        <f>(CC800+CC802)/2</f>
        <v>14.554500000000001</v>
      </c>
      <c r="CD801" s="120">
        <f>(CC801+CE801)/2</f>
        <v>14.89775</v>
      </c>
      <c r="CE801" s="120">
        <f>(CE800+CE802)/2</f>
        <v>15.241</v>
      </c>
      <c r="CF801" s="120">
        <f>(CE801+CG801)/2</f>
        <v>15.565249999999999</v>
      </c>
      <c r="CG801" s="120">
        <f>(CG800+CG802)/2</f>
        <v>15.889499999999998</v>
      </c>
      <c r="CH801" s="120">
        <f>(CG801+CI801)/2</f>
        <v>16.217500000000001</v>
      </c>
      <c r="CI801" s="120">
        <f>(CI800+CI802)/2</f>
        <v>16.545500000000001</v>
      </c>
      <c r="CJ801" s="120">
        <f>(CI801+CK801)/2</f>
        <v>16.8535</v>
      </c>
      <c r="CK801" s="120">
        <f>(CK800+CK802)/2</f>
        <v>17.1615</v>
      </c>
      <c r="CL801" s="120">
        <f>(CK801+CM801)/2</f>
        <v>17.508000000000003</v>
      </c>
      <c r="CM801" s="120">
        <f>(CM800+CM802)/2</f>
        <v>17.854500000000002</v>
      </c>
      <c r="CN801" s="120">
        <f>(CM801+CO801)/2</f>
        <v>18.157</v>
      </c>
      <c r="CO801" s="120">
        <f>(CO800+CO802)/2</f>
        <v>18.459499999999998</v>
      </c>
      <c r="CP801" s="120">
        <f>(CO801+CQ801)/2</f>
        <v>18.787749999999999</v>
      </c>
      <c r="CQ801" s="120">
        <f>(CQ800+CQ802)/2</f>
        <v>19.116</v>
      </c>
      <c r="CR801" s="120">
        <f>(CQ801+CS801)/2</f>
        <v>19.408999999999999</v>
      </c>
      <c r="CS801" s="120">
        <f>(CS800+CS802)/2</f>
        <v>19.701999999999998</v>
      </c>
      <c r="CT801" s="120">
        <f>(CS801+CU801)/2</f>
        <v>20.026499999999999</v>
      </c>
      <c r="CU801" s="120">
        <f>(CU800+CU802)/2</f>
        <v>20.350999999999999</v>
      </c>
      <c r="CV801" s="120">
        <f>(CU801+CW801)/2</f>
        <v>20.6755</v>
      </c>
      <c r="CW801" s="120">
        <f>(CW800+CW802)/2</f>
        <v>21</v>
      </c>
      <c r="CX801" s="120">
        <f>(CW801+CY801)/2</f>
        <v>21.306000000000001</v>
      </c>
      <c r="CY801" s="120">
        <f>(CY800+CY802)/2</f>
        <v>21.612000000000002</v>
      </c>
      <c r="CZ801" s="120">
        <f>(CY801+DA801)/2</f>
        <v>21.9055</v>
      </c>
      <c r="DA801" s="120">
        <f>(DA800+DA802)/2</f>
        <v>22.198999999999998</v>
      </c>
      <c r="DB801" s="120">
        <f>(DA801+DC801)/2</f>
        <v>22.504999999999999</v>
      </c>
      <c r="DC801" s="120">
        <f>(DC800+DC802)/2</f>
        <v>22.811</v>
      </c>
      <c r="DD801" s="120">
        <f>(DC801+DE801)/2</f>
        <v>23.1205</v>
      </c>
      <c r="DE801" s="120">
        <f>(DE800+DE802)/2</f>
        <v>23.43</v>
      </c>
      <c r="DF801" s="120">
        <f>(DE801+DG801)/2</f>
        <v>23.731999999999999</v>
      </c>
      <c r="DG801" s="122">
        <f>(DG800+DG802)/2</f>
        <v>24.033999999999999</v>
      </c>
    </row>
    <row r="802" spans="54:111" ht="15" customHeight="1" x14ac:dyDescent="0.2">
      <c r="BB802" s="28">
        <v>8</v>
      </c>
      <c r="BC802" s="121">
        <v>4.7320000000000002</v>
      </c>
      <c r="BD802" s="121">
        <v>5.2810000000000006</v>
      </c>
      <c r="BE802" s="121">
        <v>5.83</v>
      </c>
      <c r="BF802" s="121">
        <f t="array" ref="BF802:BF854">TRANSPOSE(BG801:DG801)</f>
        <v>6.3414999999999999</v>
      </c>
      <c r="BG802" s="158">
        <v>6.8529999999999998</v>
      </c>
      <c r="BH802" s="120">
        <f>(BI802+BG802)/2</f>
        <v>7.3209999999999997</v>
      </c>
      <c r="BI802" s="158">
        <v>7.7889999999999997</v>
      </c>
      <c r="BJ802" s="120">
        <f>(BK802+BI802)/2</f>
        <v>8.2270000000000003</v>
      </c>
      <c r="BK802" s="158">
        <v>8.6649999999999991</v>
      </c>
      <c r="BL802" s="120">
        <f>(BM802+BK802)/2</f>
        <v>9.0960000000000001</v>
      </c>
      <c r="BM802" s="158">
        <v>9.5269999999999992</v>
      </c>
      <c r="BN802" s="120">
        <f>(BO802+BM802)/2</f>
        <v>9.9649999999999999</v>
      </c>
      <c r="BO802" s="158">
        <v>10.403</v>
      </c>
      <c r="BP802" s="120">
        <f>(BQ802+BO802)/2</f>
        <v>10.804500000000001</v>
      </c>
      <c r="BQ802" s="158">
        <v>11.206</v>
      </c>
      <c r="BR802" s="120">
        <f>(BS802+BQ802)/2</f>
        <v>11.599</v>
      </c>
      <c r="BS802" s="158">
        <v>11.992000000000001</v>
      </c>
      <c r="BT802" s="120">
        <f>(BU802+BS802)/2</f>
        <v>12.356000000000002</v>
      </c>
      <c r="BU802" s="158">
        <v>12.72</v>
      </c>
      <c r="BV802" s="120">
        <f>(BW802+BU802)/2</f>
        <v>13.122</v>
      </c>
      <c r="BW802" s="158">
        <v>13.523999999999999</v>
      </c>
      <c r="BX802" s="120">
        <f>(BY802+BW802)/2</f>
        <v>13.8805</v>
      </c>
      <c r="BY802" s="158">
        <v>14.237</v>
      </c>
      <c r="BZ802" s="120">
        <f>(CA802+BY802)/2</f>
        <v>14.638500000000001</v>
      </c>
      <c r="CA802" s="158">
        <v>15.04</v>
      </c>
      <c r="CB802" s="120">
        <f>(CC802+CA802)/2</f>
        <v>15.404</v>
      </c>
      <c r="CC802" s="158">
        <v>15.768000000000001</v>
      </c>
      <c r="CD802" s="120">
        <f>(CE802+CC802)/2</f>
        <v>16.125500000000002</v>
      </c>
      <c r="CE802" s="158">
        <v>16.483000000000001</v>
      </c>
      <c r="CF802" s="120">
        <f>(CG802+CE802)/2</f>
        <v>16.847000000000001</v>
      </c>
      <c r="CG802" s="158">
        <v>17.210999999999999</v>
      </c>
      <c r="CH802" s="120">
        <f>(CI802+CG802)/2</f>
        <v>17.537999999999997</v>
      </c>
      <c r="CI802" s="158">
        <v>17.864999999999998</v>
      </c>
      <c r="CJ802" s="120">
        <f>(CK802+CI802)/2</f>
        <v>18.222000000000001</v>
      </c>
      <c r="CK802" s="158">
        <v>18.579000000000001</v>
      </c>
      <c r="CL802" s="120">
        <f>(CM802+CK802)/2</f>
        <v>18.9435</v>
      </c>
      <c r="CM802" s="158">
        <v>19.308</v>
      </c>
      <c r="CN802" s="120">
        <f>(CO802+CM802)/2</f>
        <v>19.628</v>
      </c>
      <c r="CO802" s="158">
        <v>19.948</v>
      </c>
      <c r="CP802" s="120">
        <f>(CQ802+CO802)/2</f>
        <v>20.3125</v>
      </c>
      <c r="CQ802" s="158">
        <v>20.677</v>
      </c>
      <c r="CR802" s="120">
        <f>(CS802+CQ802)/2</f>
        <v>21.003999999999998</v>
      </c>
      <c r="CS802" s="158">
        <v>21.331</v>
      </c>
      <c r="CT802" s="120">
        <f>(CU802+CS802)/2</f>
        <v>21.688000000000002</v>
      </c>
      <c r="CU802" s="158">
        <v>22.045000000000002</v>
      </c>
      <c r="CV802" s="120">
        <f>(CW802+CU802)/2</f>
        <v>22.372500000000002</v>
      </c>
      <c r="CW802" s="158">
        <v>22.7</v>
      </c>
      <c r="CX802" s="120">
        <f>(CY802+CW802)/2</f>
        <v>23.0275</v>
      </c>
      <c r="CY802" s="158">
        <v>23.355</v>
      </c>
      <c r="CZ802" s="120">
        <f>(DA802+CY802)/2</f>
        <v>23.711500000000001</v>
      </c>
      <c r="DA802" s="158">
        <v>24.068000000000001</v>
      </c>
      <c r="DB802" s="120">
        <f>(DC802+DA802)/2</f>
        <v>24.395499999999998</v>
      </c>
      <c r="DC802" s="158">
        <v>24.722999999999999</v>
      </c>
      <c r="DD802" s="120">
        <f>(DE802+DC802)/2</f>
        <v>25.0505</v>
      </c>
      <c r="DE802" s="158">
        <v>25.378</v>
      </c>
      <c r="DF802" s="120">
        <f>(DG802+DE802)/2</f>
        <v>25.698</v>
      </c>
      <c r="DG802" s="159">
        <v>26.018000000000001</v>
      </c>
    </row>
    <row r="803" spans="54:111" ht="15" customHeight="1" x14ac:dyDescent="0.2">
      <c r="BB803" s="28">
        <v>9</v>
      </c>
      <c r="BC803" s="121">
        <v>5.0620000000000003</v>
      </c>
      <c r="BD803" s="121">
        <v>5.6437500000000007</v>
      </c>
      <c r="BE803" s="121">
        <v>6.2255000000000003</v>
      </c>
      <c r="BF803" s="121">
        <v>6.77325</v>
      </c>
      <c r="BG803" s="121">
        <f t="array" ref="BG803:BG854">TRANSPOSE(BH802:DG802)</f>
        <v>7.3209999999999997</v>
      </c>
      <c r="BH803" s="120">
        <f>(BG803+BI803)/2</f>
        <v>7.8105000000000002</v>
      </c>
      <c r="BI803" s="120">
        <f>(BI802+BI804)/2</f>
        <v>8.3000000000000007</v>
      </c>
      <c r="BJ803" s="120">
        <f>(BI803+BK803)/2</f>
        <v>8.7862500000000008</v>
      </c>
      <c r="BK803" s="120">
        <f>(BK802+BK804)/2</f>
        <v>9.2725000000000009</v>
      </c>
      <c r="BL803" s="120">
        <f>(BK803+BM803)/2</f>
        <v>9.7435000000000009</v>
      </c>
      <c r="BM803" s="120">
        <f>(BM802+BM804)/2</f>
        <v>10.214499999999999</v>
      </c>
      <c r="BN803" s="120">
        <f>(BM803+BO803)/2</f>
        <v>10.666499999999999</v>
      </c>
      <c r="BO803" s="120">
        <f>(BO802+BO804)/2</f>
        <v>11.118500000000001</v>
      </c>
      <c r="BP803" s="120">
        <f>(BO803+BQ803)/2</f>
        <v>11.537750000000001</v>
      </c>
      <c r="BQ803" s="120">
        <f>(BQ802+BQ804)/2</f>
        <v>11.957000000000001</v>
      </c>
      <c r="BR803" s="120">
        <f>(BQ803+BS803)/2</f>
        <v>12.4025</v>
      </c>
      <c r="BS803" s="120">
        <f>(BS802+BS804)/2</f>
        <v>12.848000000000001</v>
      </c>
      <c r="BT803" s="120">
        <f>(BS803+BU803)/2</f>
        <v>13.2485</v>
      </c>
      <c r="BU803" s="120">
        <f>(BU802+BU804)/2</f>
        <v>13.649000000000001</v>
      </c>
      <c r="BV803" s="120">
        <f>(BU803+BW803)/2</f>
        <v>14.068250000000001</v>
      </c>
      <c r="BW803" s="120">
        <f>(BW802+BW804)/2</f>
        <v>14.487500000000001</v>
      </c>
      <c r="BX803" s="120">
        <f>(BW803+BY803)/2</f>
        <v>14.86225</v>
      </c>
      <c r="BY803" s="120">
        <f>(BY802+BY804)/2</f>
        <v>15.236999999999998</v>
      </c>
      <c r="BZ803" s="120">
        <f>(BY803+CA803)/2</f>
        <v>15.668249999999999</v>
      </c>
      <c r="CA803" s="120">
        <f>(CA802+CA804)/2</f>
        <v>16.099499999999999</v>
      </c>
      <c r="CB803" s="120">
        <f>(CA803+CC803)/2</f>
        <v>16.5</v>
      </c>
      <c r="CC803" s="120">
        <f>(CC802+CC804)/2</f>
        <v>16.900500000000001</v>
      </c>
      <c r="CD803" s="120">
        <f>(CC803+CE803)/2</f>
        <v>17.279250000000001</v>
      </c>
      <c r="CE803" s="120">
        <f>(CE802+CE804)/2</f>
        <v>17.658000000000001</v>
      </c>
      <c r="CF803" s="120">
        <f>(CE803+CG803)/2</f>
        <v>18.04</v>
      </c>
      <c r="CG803" s="120">
        <f>(CG802+CG804)/2</f>
        <v>18.421999999999997</v>
      </c>
      <c r="CH803" s="120">
        <f>(CG803+CI803)/2</f>
        <v>18.793749999999999</v>
      </c>
      <c r="CI803" s="120">
        <f>(CI802+CI804)/2</f>
        <v>19.165500000000002</v>
      </c>
      <c r="CJ803" s="120">
        <f>(CI803+CK803)/2</f>
        <v>19.544250000000002</v>
      </c>
      <c r="CK803" s="120">
        <f>(CK802+CK804)/2</f>
        <v>19.923000000000002</v>
      </c>
      <c r="CL803" s="120">
        <f>(CK803+CM803)/2</f>
        <v>20.305</v>
      </c>
      <c r="CM803" s="120">
        <f>(CM802+CM804)/2</f>
        <v>20.686999999999998</v>
      </c>
      <c r="CN803" s="120">
        <f>(CM803+CO803)/2</f>
        <v>21.046999999999997</v>
      </c>
      <c r="CO803" s="120">
        <f>(CO802+CO804)/2</f>
        <v>21.407</v>
      </c>
      <c r="CP803" s="120">
        <f>(CO803+CQ803)/2</f>
        <v>21.801499999999997</v>
      </c>
      <c r="CQ803" s="120">
        <f>(CQ802+CQ804)/2</f>
        <v>22.195999999999998</v>
      </c>
      <c r="CR803" s="120">
        <f>(CQ803+CS803)/2</f>
        <v>22.53725</v>
      </c>
      <c r="CS803" s="120">
        <f>(CS802+CS804)/2</f>
        <v>22.878499999999999</v>
      </c>
      <c r="CT803" s="120">
        <f>(CS803+CU803)/2</f>
        <v>23.256999999999998</v>
      </c>
      <c r="CU803" s="120">
        <f>(CU802+CU804)/2</f>
        <v>23.6355</v>
      </c>
      <c r="CV803" s="120">
        <f>(CU803+CW803)/2</f>
        <v>23.99925</v>
      </c>
      <c r="CW803" s="120">
        <f>(CW802+CW804)/2</f>
        <v>24.363</v>
      </c>
      <c r="CX803" s="120">
        <f>(CW803+CY803)/2</f>
        <v>24.720500000000001</v>
      </c>
      <c r="CY803" s="120">
        <f>(CY802+CY804)/2</f>
        <v>25.077999999999999</v>
      </c>
      <c r="CZ803" s="120">
        <f>(CY803+DA803)/2</f>
        <v>25.456249999999997</v>
      </c>
      <c r="DA803" s="120">
        <f>(DA802+DA804)/2</f>
        <v>25.834499999999998</v>
      </c>
      <c r="DB803" s="120">
        <f>(DA803+DC803)/2</f>
        <v>26.175999999999998</v>
      </c>
      <c r="DC803" s="120">
        <f>(DC802+DC804)/2</f>
        <v>26.517499999999998</v>
      </c>
      <c r="DD803" s="120">
        <f>(DC803+DE803)/2</f>
        <v>26.881249999999998</v>
      </c>
      <c r="DE803" s="120">
        <f>(DE802+DE804)/2</f>
        <v>27.244999999999997</v>
      </c>
      <c r="DF803" s="120">
        <f>(DE803+DG803)/2</f>
        <v>27.598749999999999</v>
      </c>
      <c r="DG803" s="122">
        <f>(DG802+DG804)/2</f>
        <v>27.952500000000001</v>
      </c>
    </row>
    <row r="804" spans="54:111" ht="15" customHeight="1" x14ac:dyDescent="0.2">
      <c r="BB804" s="28">
        <v>10</v>
      </c>
      <c r="BC804" s="121">
        <v>5.3920000000000003</v>
      </c>
      <c r="BD804" s="121">
        <v>6.0065000000000008</v>
      </c>
      <c r="BE804" s="121">
        <v>6.6210000000000004</v>
      </c>
      <c r="BF804" s="121">
        <v>7.2050000000000001</v>
      </c>
      <c r="BG804" s="121">
        <v>7.7889999999999997</v>
      </c>
      <c r="BH804" s="121">
        <f t="array" ref="BH804:BH854">TRANSPOSE(BI803:DG803)</f>
        <v>8.3000000000000007</v>
      </c>
      <c r="BI804" s="158">
        <v>8.8109999999999999</v>
      </c>
      <c r="BJ804" s="120">
        <f>(BK804+BI804)/2</f>
        <v>9.3455000000000013</v>
      </c>
      <c r="BK804" s="158">
        <v>9.8800000000000008</v>
      </c>
      <c r="BL804" s="120">
        <f>(BM804+BK804)/2</f>
        <v>10.391</v>
      </c>
      <c r="BM804" s="158">
        <v>10.901999999999999</v>
      </c>
      <c r="BN804" s="120">
        <f>(BO804+BM804)/2</f>
        <v>11.367999999999999</v>
      </c>
      <c r="BO804" s="158">
        <v>11.834</v>
      </c>
      <c r="BP804" s="120">
        <f>(BQ804+BO804)/2</f>
        <v>12.271000000000001</v>
      </c>
      <c r="BQ804" s="158">
        <v>12.708</v>
      </c>
      <c r="BR804" s="120">
        <f>(BS804+BQ804)/2</f>
        <v>13.206</v>
      </c>
      <c r="BS804" s="158">
        <v>13.704000000000001</v>
      </c>
      <c r="BT804" s="120">
        <f>(BU804+BS804)/2</f>
        <v>14.141</v>
      </c>
      <c r="BU804" s="158">
        <v>14.577999999999999</v>
      </c>
      <c r="BV804" s="120">
        <f>(BW804+BU804)/2</f>
        <v>15.0145</v>
      </c>
      <c r="BW804" s="158">
        <v>15.451000000000001</v>
      </c>
      <c r="BX804" s="120">
        <f>(BY804+BW804)/2</f>
        <v>15.843999999999999</v>
      </c>
      <c r="BY804" s="158">
        <v>16.236999999999998</v>
      </c>
      <c r="BZ804" s="120">
        <f>(CA804+BY804)/2</f>
        <v>16.698</v>
      </c>
      <c r="CA804" s="158">
        <v>17.158999999999999</v>
      </c>
      <c r="CB804" s="120">
        <f>(CC804+CA804)/2</f>
        <v>17.596</v>
      </c>
      <c r="CC804" s="158">
        <v>18.033000000000001</v>
      </c>
      <c r="CD804" s="120">
        <f>(CE804+CC804)/2</f>
        <v>18.433</v>
      </c>
      <c r="CE804" s="158">
        <v>18.832999999999998</v>
      </c>
      <c r="CF804" s="120">
        <f>(CG804+CE804)/2</f>
        <v>19.232999999999997</v>
      </c>
      <c r="CG804" s="158">
        <v>19.632999999999999</v>
      </c>
      <c r="CH804" s="120">
        <f>(CI804+CG804)/2</f>
        <v>20.049500000000002</v>
      </c>
      <c r="CI804" s="158">
        <v>20.466000000000001</v>
      </c>
      <c r="CJ804" s="120">
        <f>(CK804+CI804)/2</f>
        <v>20.866500000000002</v>
      </c>
      <c r="CK804" s="158">
        <v>21.266999999999999</v>
      </c>
      <c r="CL804" s="120">
        <f>(CM804+CK804)/2</f>
        <v>21.666499999999999</v>
      </c>
      <c r="CM804" s="158">
        <v>22.065999999999999</v>
      </c>
      <c r="CN804" s="120">
        <f>(CO804+CM804)/2</f>
        <v>22.466000000000001</v>
      </c>
      <c r="CO804" s="158">
        <v>22.866</v>
      </c>
      <c r="CP804" s="120">
        <f>(CQ804+CO804)/2</f>
        <v>23.290500000000002</v>
      </c>
      <c r="CQ804" s="158">
        <v>23.715</v>
      </c>
      <c r="CR804" s="120">
        <f>(CS804+CQ804)/2</f>
        <v>24.070499999999999</v>
      </c>
      <c r="CS804" s="158">
        <v>24.425999999999998</v>
      </c>
      <c r="CT804" s="120">
        <f>(CU804+CS804)/2</f>
        <v>24.826000000000001</v>
      </c>
      <c r="CU804" s="158">
        <v>25.225999999999999</v>
      </c>
      <c r="CV804" s="120">
        <f>(CW804+CU804)/2</f>
        <v>25.625999999999998</v>
      </c>
      <c r="CW804" s="158">
        <v>26.026</v>
      </c>
      <c r="CX804" s="120">
        <f>(CY804+CW804)/2</f>
        <v>26.413499999999999</v>
      </c>
      <c r="CY804" s="158">
        <v>26.800999999999998</v>
      </c>
      <c r="CZ804" s="120">
        <f>(DA804+CY804)/2</f>
        <v>27.201000000000001</v>
      </c>
      <c r="DA804" s="158">
        <v>27.600999999999999</v>
      </c>
      <c r="DB804" s="120">
        <f>(DC804+DA804)/2</f>
        <v>27.956499999999998</v>
      </c>
      <c r="DC804" s="158">
        <v>28.312000000000001</v>
      </c>
      <c r="DD804" s="120">
        <f>(DE804+DC804)/2</f>
        <v>28.712</v>
      </c>
      <c r="DE804" s="158">
        <v>29.111999999999998</v>
      </c>
      <c r="DF804" s="120">
        <f>(DG804+DE804)/2</f>
        <v>29.499499999999998</v>
      </c>
      <c r="DG804" s="159">
        <v>29.887</v>
      </c>
    </row>
    <row r="805" spans="54:111" ht="15" customHeight="1" x14ac:dyDescent="0.2">
      <c r="BB805" s="28">
        <v>11</v>
      </c>
      <c r="BC805" s="121">
        <v>5.6905000000000001</v>
      </c>
      <c r="BD805" s="121">
        <v>6.3567499999999999</v>
      </c>
      <c r="BE805" s="121">
        <v>7.0229999999999997</v>
      </c>
      <c r="BF805" s="121">
        <v>7.625</v>
      </c>
      <c r="BG805" s="121">
        <v>8.2270000000000003</v>
      </c>
      <c r="BH805" s="121">
        <v>8.7862500000000008</v>
      </c>
      <c r="BI805" s="121">
        <f t="array" ref="BI805:BI854">TRANSPOSE(BJ804:DG804)</f>
        <v>9.3455000000000013</v>
      </c>
      <c r="BJ805" s="120">
        <f>(BI805+BK805)/2</f>
        <v>9.9045000000000005</v>
      </c>
      <c r="BK805" s="120">
        <f>(BK804+BK806)/2</f>
        <v>10.4635</v>
      </c>
      <c r="BL805" s="120">
        <f>(BK805+BM805)/2</f>
        <v>11.004249999999999</v>
      </c>
      <c r="BM805" s="120">
        <f>(BM804+BM806)/2</f>
        <v>11.545</v>
      </c>
      <c r="BN805" s="120">
        <f>(BM805+BO805)/2</f>
        <v>12.03275</v>
      </c>
      <c r="BO805" s="120">
        <f>(BO804+BO806)/2</f>
        <v>12.5205</v>
      </c>
      <c r="BP805" s="120">
        <f>(BO805+BQ805)/2</f>
        <v>13.006250000000001</v>
      </c>
      <c r="BQ805" s="120">
        <f>(BQ804+BQ806)/2</f>
        <v>13.492000000000001</v>
      </c>
      <c r="BR805" s="120">
        <f>(BQ805+BS805)/2</f>
        <v>13.99525</v>
      </c>
      <c r="BS805" s="120">
        <f>(BS804+BS806)/2</f>
        <v>14.4985</v>
      </c>
      <c r="BT805" s="120">
        <f>(BS805+BU805)/2</f>
        <v>14.96575</v>
      </c>
      <c r="BU805" s="120">
        <f>(BU804+BU806)/2</f>
        <v>15.433</v>
      </c>
      <c r="BV805" s="120">
        <f>(BU805+BW805)/2</f>
        <v>15.88725</v>
      </c>
      <c r="BW805" s="120">
        <f>(BW804+BW806)/2</f>
        <v>16.3415</v>
      </c>
      <c r="BX805" s="120">
        <f>(BW805+BY805)/2</f>
        <v>16.80125</v>
      </c>
      <c r="BY805" s="120">
        <f>(BY804+BY806)/2</f>
        <v>17.260999999999999</v>
      </c>
      <c r="BZ805" s="120">
        <f>(BY805+CA805)/2</f>
        <v>17.709249999999997</v>
      </c>
      <c r="CA805" s="120">
        <f>(CA804+CA806)/2</f>
        <v>18.157499999999999</v>
      </c>
      <c r="CB805" s="120">
        <f>(CA805+CC805)/2</f>
        <v>18.62425</v>
      </c>
      <c r="CC805" s="120">
        <f>(CC804+CC806)/2</f>
        <v>19.091000000000001</v>
      </c>
      <c r="CD805" s="120">
        <f>(CC805+CE805)/2</f>
        <v>19.527250000000002</v>
      </c>
      <c r="CE805" s="120">
        <f>(CE804+CE806)/2</f>
        <v>19.9635</v>
      </c>
      <c r="CF805" s="120">
        <f>(CE805+CG805)/2</f>
        <v>20.393749999999997</v>
      </c>
      <c r="CG805" s="120">
        <f>(CG804+CG806)/2</f>
        <v>20.823999999999998</v>
      </c>
      <c r="CH805" s="120">
        <f>(CG805+CI805)/2</f>
        <v>21.2685</v>
      </c>
      <c r="CI805" s="120">
        <f>(CI804+CI806)/2</f>
        <v>21.713000000000001</v>
      </c>
      <c r="CJ805" s="120">
        <f>(CI805+CK805)/2</f>
        <v>22.143250000000002</v>
      </c>
      <c r="CK805" s="120">
        <f>(CK804+CK806)/2</f>
        <v>22.573499999999999</v>
      </c>
      <c r="CL805" s="120">
        <f>(CK805+CM805)/2</f>
        <v>22.991</v>
      </c>
      <c r="CM805" s="120">
        <f>(CM804+CM806)/2</f>
        <v>23.4085</v>
      </c>
      <c r="CN805" s="120">
        <f>(CM805+CO805)/2</f>
        <v>23.8385</v>
      </c>
      <c r="CO805" s="120">
        <f>(CO804+CO806)/2</f>
        <v>24.2685</v>
      </c>
      <c r="CP805" s="120">
        <f>(CO805+CQ805)/2</f>
        <v>24.698500000000003</v>
      </c>
      <c r="CQ805" s="120">
        <f>(CQ804+CQ806)/2</f>
        <v>25.128500000000003</v>
      </c>
      <c r="CR805" s="120">
        <f>(CQ805+CS805)/2</f>
        <v>25.536250000000003</v>
      </c>
      <c r="CS805" s="120">
        <f>(CS804+CS806)/2</f>
        <v>25.943999999999999</v>
      </c>
      <c r="CT805" s="120">
        <f>(CS805+CU805)/2</f>
        <v>26.361499999999999</v>
      </c>
      <c r="CU805" s="120">
        <f>(CU804+CU806)/2</f>
        <v>26.779</v>
      </c>
      <c r="CV805" s="120">
        <f>(CU805+CW805)/2</f>
        <v>27.209249999999997</v>
      </c>
      <c r="CW805" s="120">
        <f>(CW804+CW806)/2</f>
        <v>27.639499999999998</v>
      </c>
      <c r="CX805" s="120">
        <f>(CW805+CY805)/2</f>
        <v>28.05125</v>
      </c>
      <c r="CY805" s="120">
        <f>(CY804+CY806)/2</f>
        <v>28.463000000000001</v>
      </c>
      <c r="CZ805" s="120">
        <f>(CY805+DA805)/2</f>
        <v>28.874749999999999</v>
      </c>
      <c r="DA805" s="120">
        <f>(DA804+DA806)/2</f>
        <v>29.2865</v>
      </c>
      <c r="DB805" s="120">
        <f>(DA805+DC805)/2</f>
        <v>29.681750000000001</v>
      </c>
      <c r="DC805" s="120">
        <f>(DC804+DC806)/2</f>
        <v>30.076999999999998</v>
      </c>
      <c r="DD805" s="120">
        <f>(DC805+DE805)/2</f>
        <v>30.48875</v>
      </c>
      <c r="DE805" s="120">
        <f>(DE804+DE806)/2</f>
        <v>30.900500000000001</v>
      </c>
      <c r="DF805" s="120">
        <f>(DE805+DG805)/2</f>
        <v>31.31175</v>
      </c>
      <c r="DG805" s="122">
        <f>(DG804+DG806)/2</f>
        <v>31.722999999999999</v>
      </c>
    </row>
    <row r="806" spans="54:111" ht="15" customHeight="1" x14ac:dyDescent="0.2">
      <c r="BB806" s="28">
        <v>12</v>
      </c>
      <c r="BC806" s="121">
        <v>5.9889999999999999</v>
      </c>
      <c r="BD806" s="121">
        <v>6.7069999999999999</v>
      </c>
      <c r="BE806" s="121">
        <v>7.4249999999999998</v>
      </c>
      <c r="BF806" s="121">
        <v>8.0449999999999999</v>
      </c>
      <c r="BG806" s="121">
        <v>8.6649999999999991</v>
      </c>
      <c r="BH806" s="121">
        <v>9.2725000000000009</v>
      </c>
      <c r="BI806" s="121">
        <v>9.8800000000000008</v>
      </c>
      <c r="BJ806" s="121">
        <f t="array" ref="BJ806:BJ854">TRANSPOSE(BK805:DG805)</f>
        <v>10.4635</v>
      </c>
      <c r="BK806" s="158">
        <v>11.047000000000001</v>
      </c>
      <c r="BL806" s="120">
        <f>(BM806+BK806)/2</f>
        <v>11.6175</v>
      </c>
      <c r="BM806" s="158">
        <v>12.188000000000001</v>
      </c>
      <c r="BN806" s="120">
        <f>(BO806+BM806)/2</f>
        <v>12.697500000000002</v>
      </c>
      <c r="BO806" s="158">
        <v>13.207000000000001</v>
      </c>
      <c r="BP806" s="120">
        <f>(BQ806+BO806)/2</f>
        <v>13.7415</v>
      </c>
      <c r="BQ806" s="158">
        <v>14.276</v>
      </c>
      <c r="BR806" s="120">
        <f>(BS806+BQ806)/2</f>
        <v>14.7845</v>
      </c>
      <c r="BS806" s="158">
        <v>15.292999999999999</v>
      </c>
      <c r="BT806" s="120">
        <f>(BU806+BS806)/2</f>
        <v>15.7905</v>
      </c>
      <c r="BU806" s="158">
        <v>16.288</v>
      </c>
      <c r="BV806" s="120">
        <f>(BW806+BU806)/2</f>
        <v>16.759999999999998</v>
      </c>
      <c r="BW806" s="158">
        <v>17.231999999999999</v>
      </c>
      <c r="BX806" s="120">
        <f>(BY806+BW806)/2</f>
        <v>17.758499999999998</v>
      </c>
      <c r="BY806" s="158">
        <v>18.285</v>
      </c>
      <c r="BZ806" s="120">
        <f>(CA806+BY806)/2</f>
        <v>18.720500000000001</v>
      </c>
      <c r="CA806" s="158">
        <v>19.155999999999999</v>
      </c>
      <c r="CB806" s="120">
        <f>(CC806+CA806)/2</f>
        <v>19.6525</v>
      </c>
      <c r="CC806" s="158">
        <v>20.149000000000001</v>
      </c>
      <c r="CD806" s="120">
        <f>(CE806+CC806)/2</f>
        <v>20.621500000000001</v>
      </c>
      <c r="CE806" s="158">
        <v>21.094000000000001</v>
      </c>
      <c r="CF806" s="120">
        <f>(CG806+CE806)/2</f>
        <v>21.554500000000001</v>
      </c>
      <c r="CG806" s="158">
        <v>22.015000000000001</v>
      </c>
      <c r="CH806" s="120">
        <f>(CI806+CG806)/2</f>
        <v>22.487500000000001</v>
      </c>
      <c r="CI806" s="158">
        <v>22.96</v>
      </c>
      <c r="CJ806" s="120">
        <f>(CK806+CI806)/2</f>
        <v>23.42</v>
      </c>
      <c r="CK806" s="158">
        <v>23.88</v>
      </c>
      <c r="CL806" s="120">
        <f>(CM806+CK806)/2</f>
        <v>24.3155</v>
      </c>
      <c r="CM806" s="158">
        <v>24.751000000000001</v>
      </c>
      <c r="CN806" s="120">
        <f>(CO806+CM806)/2</f>
        <v>25.210999999999999</v>
      </c>
      <c r="CO806" s="158">
        <v>25.670999999999999</v>
      </c>
      <c r="CP806" s="120">
        <f>(CQ806+CO806)/2</f>
        <v>26.1065</v>
      </c>
      <c r="CQ806" s="158">
        <v>26.542000000000002</v>
      </c>
      <c r="CR806" s="120">
        <f>(CS806+CQ806)/2</f>
        <v>27.002000000000002</v>
      </c>
      <c r="CS806" s="158">
        <v>27.462</v>
      </c>
      <c r="CT806" s="120">
        <f>(CU806+CS806)/2</f>
        <v>27.896999999999998</v>
      </c>
      <c r="CU806" s="158">
        <v>28.332000000000001</v>
      </c>
      <c r="CV806" s="120">
        <f>(CW806+CU806)/2</f>
        <v>28.7925</v>
      </c>
      <c r="CW806" s="158">
        <v>29.253</v>
      </c>
      <c r="CX806" s="120">
        <f>(CY806+CW806)/2</f>
        <v>29.689</v>
      </c>
      <c r="CY806" s="158">
        <v>30.125</v>
      </c>
      <c r="CZ806" s="120">
        <f>(DA806+CY806)/2</f>
        <v>30.548500000000001</v>
      </c>
      <c r="DA806" s="158">
        <v>30.972000000000001</v>
      </c>
      <c r="DB806" s="120">
        <f>(DC806+DA806)/2</f>
        <v>31.407</v>
      </c>
      <c r="DC806" s="158">
        <v>31.841999999999999</v>
      </c>
      <c r="DD806" s="120">
        <f>(DE806+DC806)/2</f>
        <v>32.265500000000003</v>
      </c>
      <c r="DE806" s="158">
        <v>32.689</v>
      </c>
      <c r="DF806" s="120">
        <f>(DG806+DE806)/2</f>
        <v>33.123999999999995</v>
      </c>
      <c r="DG806" s="159">
        <v>33.558999999999997</v>
      </c>
    </row>
    <row r="807" spans="54:111" ht="15" customHeight="1" x14ac:dyDescent="0.2">
      <c r="BB807" s="28">
        <v>13</v>
      </c>
      <c r="BC807" s="121">
        <v>6.3115000000000006</v>
      </c>
      <c r="BD807" s="121">
        <v>7.0352499999999996</v>
      </c>
      <c r="BE807" s="121">
        <v>7.7590000000000003</v>
      </c>
      <c r="BF807" s="121">
        <v>8.4274999999999984</v>
      </c>
      <c r="BG807" s="121">
        <v>9.0960000000000001</v>
      </c>
      <c r="BH807" s="121">
        <v>9.7435000000000009</v>
      </c>
      <c r="BI807" s="121">
        <v>10.391</v>
      </c>
      <c r="BJ807" s="121">
        <v>11.004249999999999</v>
      </c>
      <c r="BK807" s="121">
        <f t="array" ref="BK807:BK854">TRANSPOSE(BL806:DG806)</f>
        <v>11.6175</v>
      </c>
      <c r="BL807" s="120">
        <f>(BK807+BM807)/2</f>
        <v>12.1935</v>
      </c>
      <c r="BM807" s="120">
        <f>(BM806+BM808)/2</f>
        <v>12.769500000000001</v>
      </c>
      <c r="BN807" s="120">
        <f>(BM807+BO807)/2</f>
        <v>13.32775</v>
      </c>
      <c r="BO807" s="120">
        <f>(BO806+BO808)/2</f>
        <v>13.885999999999999</v>
      </c>
      <c r="BP807" s="120">
        <f>(BO807+BQ807)/2</f>
        <v>14.437749999999999</v>
      </c>
      <c r="BQ807" s="120">
        <f>(BQ806+BQ808)/2</f>
        <v>14.9895</v>
      </c>
      <c r="BR807" s="120">
        <f>(BQ807+BS807)/2</f>
        <v>15.528499999999999</v>
      </c>
      <c r="BS807" s="120">
        <f>(BS806+BS808)/2</f>
        <v>16.067499999999999</v>
      </c>
      <c r="BT807" s="120">
        <f>(BS807+BU807)/2</f>
        <v>16.588749999999997</v>
      </c>
      <c r="BU807" s="120">
        <f>(BU806+BU808)/2</f>
        <v>17.11</v>
      </c>
      <c r="BV807" s="120">
        <f>(BU807+BW807)/2</f>
        <v>17.612500000000001</v>
      </c>
      <c r="BW807" s="120">
        <f>(BW806+BW808)/2</f>
        <v>18.115000000000002</v>
      </c>
      <c r="BX807" s="120">
        <f>(BW807+BY807)/2</f>
        <v>18.666499999999999</v>
      </c>
      <c r="BY807" s="120">
        <f>(BY806+BY808)/2</f>
        <v>19.218</v>
      </c>
      <c r="BZ807" s="120">
        <f>(BY807+CA807)/2</f>
        <v>19.701999999999998</v>
      </c>
      <c r="CA807" s="120">
        <f>(CA806+CA808)/2</f>
        <v>20.186</v>
      </c>
      <c r="CB807" s="120">
        <f>(CA807+CC807)/2</f>
        <v>20.68825</v>
      </c>
      <c r="CC807" s="120">
        <f>(CC806+CC808)/2</f>
        <v>21.1905</v>
      </c>
      <c r="CD807" s="120">
        <f>(CC807+CE807)/2</f>
        <v>21.693249999999999</v>
      </c>
      <c r="CE807" s="120">
        <f>(CE806+CE808)/2</f>
        <v>22.195999999999998</v>
      </c>
      <c r="CF807" s="120">
        <f>(CE807+CG807)/2</f>
        <v>22.692499999999999</v>
      </c>
      <c r="CG807" s="120">
        <f>(CG806+CG808)/2</f>
        <v>23.189</v>
      </c>
      <c r="CH807" s="120">
        <f>(CG807+CI807)/2</f>
        <v>23.673000000000002</v>
      </c>
      <c r="CI807" s="120">
        <f>(CI806+CI808)/2</f>
        <v>24.157</v>
      </c>
      <c r="CJ807" s="120">
        <f>(CI807+CK807)/2</f>
        <v>24.640999999999998</v>
      </c>
      <c r="CK807" s="120">
        <f>(CK806+CK808)/2</f>
        <v>25.125</v>
      </c>
      <c r="CL807" s="120">
        <f>(CK807+CM807)/2</f>
        <v>25.59075</v>
      </c>
      <c r="CM807" s="120">
        <f>(CM806+CM808)/2</f>
        <v>26.0565</v>
      </c>
      <c r="CN807" s="120">
        <f>(CM807+CO807)/2</f>
        <v>26.537749999999999</v>
      </c>
      <c r="CO807" s="120">
        <f>(CO806+CO808)/2</f>
        <v>27.018999999999998</v>
      </c>
      <c r="CP807" s="120">
        <f>(CO807+CQ807)/2</f>
        <v>27.503250000000001</v>
      </c>
      <c r="CQ807" s="120">
        <f>(CQ806+CQ808)/2</f>
        <v>27.987500000000001</v>
      </c>
      <c r="CR807" s="120">
        <f>(CQ807+CS807)/2</f>
        <v>28.453000000000003</v>
      </c>
      <c r="CS807" s="120">
        <f>(CS806+CS808)/2</f>
        <v>28.918500000000002</v>
      </c>
      <c r="CT807" s="120">
        <f>(CS807+CU807)/2</f>
        <v>29.384</v>
      </c>
      <c r="CU807" s="120">
        <f>(CU806+CU808)/2</f>
        <v>29.849499999999999</v>
      </c>
      <c r="CV807" s="120">
        <f>(CU807+CW807)/2</f>
        <v>30.327249999999999</v>
      </c>
      <c r="CW807" s="120">
        <f>(CW806+CW808)/2</f>
        <v>30.805</v>
      </c>
      <c r="CX807" s="120">
        <f>(CW807+CY807)/2</f>
        <v>31.271250000000002</v>
      </c>
      <c r="CY807" s="120">
        <f>(CY806+CY808)/2</f>
        <v>31.737500000000001</v>
      </c>
      <c r="CZ807" s="120">
        <f>(CY807+DA807)/2</f>
        <v>32.1845</v>
      </c>
      <c r="DA807" s="120">
        <f>(DA806+DA808)/2</f>
        <v>32.631500000000003</v>
      </c>
      <c r="DB807" s="120">
        <f>(DA807+DC807)/2</f>
        <v>33.097000000000001</v>
      </c>
      <c r="DC807" s="120">
        <f>(DC806+DC808)/2</f>
        <v>33.5625</v>
      </c>
      <c r="DD807" s="120">
        <f>(DC807+DE807)/2</f>
        <v>34.003500000000003</v>
      </c>
      <c r="DE807" s="120">
        <f>(DE806+DE808)/2</f>
        <v>34.444500000000005</v>
      </c>
      <c r="DF807" s="120">
        <f>(DE807+DG807)/2</f>
        <v>34.913499999999999</v>
      </c>
      <c r="DG807" s="122">
        <f>(DG806+DG808)/2</f>
        <v>35.3825</v>
      </c>
    </row>
    <row r="808" spans="54:111" ht="15" customHeight="1" x14ac:dyDescent="0.2">
      <c r="BB808" s="28">
        <v>14</v>
      </c>
      <c r="BC808" s="121">
        <v>6.6340000000000003</v>
      </c>
      <c r="BD808" s="121">
        <v>7.3635000000000002</v>
      </c>
      <c r="BE808" s="121">
        <v>8.093</v>
      </c>
      <c r="BF808" s="121">
        <v>8.8099999999999987</v>
      </c>
      <c r="BG808" s="121">
        <v>9.5269999999999992</v>
      </c>
      <c r="BH808" s="121">
        <v>10.214499999999999</v>
      </c>
      <c r="BI808" s="121">
        <v>10.901999999999999</v>
      </c>
      <c r="BJ808" s="121">
        <v>11.545</v>
      </c>
      <c r="BK808" s="121">
        <v>12.188000000000001</v>
      </c>
      <c r="BL808" s="121">
        <f t="array" ref="BL808:BL854">TRANSPOSE(BM807:DG807)</f>
        <v>12.769500000000001</v>
      </c>
      <c r="BM808" s="158">
        <v>13.351000000000001</v>
      </c>
      <c r="BN808" s="120">
        <f>(BO808+BM808)/2</f>
        <v>13.958</v>
      </c>
      <c r="BO808" s="158">
        <v>14.565</v>
      </c>
      <c r="BP808" s="120">
        <f>(BQ808+BO808)/2</f>
        <v>15.134</v>
      </c>
      <c r="BQ808" s="158">
        <v>15.702999999999999</v>
      </c>
      <c r="BR808" s="120">
        <f>(BS808+BQ808)/2</f>
        <v>16.272500000000001</v>
      </c>
      <c r="BS808" s="158">
        <v>16.841999999999999</v>
      </c>
      <c r="BT808" s="120">
        <f>(BU808+BS808)/2</f>
        <v>17.387</v>
      </c>
      <c r="BU808" s="158">
        <v>17.931999999999999</v>
      </c>
      <c r="BV808" s="120">
        <f>(BW808+BU808)/2</f>
        <v>18.465</v>
      </c>
      <c r="BW808" s="158">
        <v>18.998000000000001</v>
      </c>
      <c r="BX808" s="120">
        <f>(BY808+BW808)/2</f>
        <v>19.5745</v>
      </c>
      <c r="BY808" s="158">
        <v>20.151</v>
      </c>
      <c r="BZ808" s="120">
        <f>(CA808+BY808)/2</f>
        <v>20.683500000000002</v>
      </c>
      <c r="CA808" s="158">
        <v>21.216000000000001</v>
      </c>
      <c r="CB808" s="120">
        <f>(CC808+CA808)/2</f>
        <v>21.724</v>
      </c>
      <c r="CC808" s="158">
        <v>22.231999999999999</v>
      </c>
      <c r="CD808" s="120">
        <f>(CE808+CC808)/2</f>
        <v>22.765000000000001</v>
      </c>
      <c r="CE808" s="158">
        <v>23.297999999999998</v>
      </c>
      <c r="CF808" s="120">
        <f>(CG808+CE808)/2</f>
        <v>23.830500000000001</v>
      </c>
      <c r="CG808" s="158">
        <v>24.363</v>
      </c>
      <c r="CH808" s="120">
        <f>(CI808+CG808)/2</f>
        <v>24.858499999999999</v>
      </c>
      <c r="CI808" s="158">
        <v>25.353999999999999</v>
      </c>
      <c r="CJ808" s="120">
        <f>(CK808+CI808)/2</f>
        <v>25.862000000000002</v>
      </c>
      <c r="CK808" s="158">
        <v>26.37</v>
      </c>
      <c r="CL808" s="120">
        <f>(CM808+CK808)/2</f>
        <v>26.866</v>
      </c>
      <c r="CM808" s="158">
        <v>27.361999999999998</v>
      </c>
      <c r="CN808" s="120">
        <f>(CO808+CM808)/2</f>
        <v>27.8645</v>
      </c>
      <c r="CO808" s="158">
        <v>28.367000000000001</v>
      </c>
      <c r="CP808" s="120">
        <f>(CQ808+CO808)/2</f>
        <v>28.9</v>
      </c>
      <c r="CQ808" s="158">
        <v>29.433</v>
      </c>
      <c r="CR808" s="120">
        <f>(CS808+CQ808)/2</f>
        <v>29.904</v>
      </c>
      <c r="CS808" s="158">
        <v>30.375</v>
      </c>
      <c r="CT808" s="120">
        <f>(CU808+CS808)/2</f>
        <v>30.871000000000002</v>
      </c>
      <c r="CU808" s="158">
        <v>31.367000000000001</v>
      </c>
      <c r="CV808" s="120">
        <f>(CW808+CU808)/2</f>
        <v>31.862000000000002</v>
      </c>
      <c r="CW808" s="158">
        <v>32.356999999999999</v>
      </c>
      <c r="CX808" s="120">
        <f>(CY808+CW808)/2</f>
        <v>32.853499999999997</v>
      </c>
      <c r="CY808" s="158">
        <v>33.35</v>
      </c>
      <c r="CZ808" s="120">
        <f>(DA808+CY808)/2</f>
        <v>33.820499999999996</v>
      </c>
      <c r="DA808" s="158">
        <v>34.290999999999997</v>
      </c>
      <c r="DB808" s="120">
        <f>(DC808+DA808)/2</f>
        <v>34.786999999999999</v>
      </c>
      <c r="DC808" s="158">
        <v>35.283000000000001</v>
      </c>
      <c r="DD808" s="120">
        <f>(DE808+DC808)/2</f>
        <v>35.741500000000002</v>
      </c>
      <c r="DE808" s="158">
        <v>36.200000000000003</v>
      </c>
      <c r="DF808" s="120">
        <f>(DG808+DE808)/2</f>
        <v>36.703000000000003</v>
      </c>
      <c r="DG808" s="159">
        <v>37.206000000000003</v>
      </c>
    </row>
    <row r="809" spans="54:111" ht="15" customHeight="1" x14ac:dyDescent="0.2">
      <c r="BB809" s="28">
        <v>15</v>
      </c>
      <c r="BC809" s="121">
        <v>6.9020000000000001</v>
      </c>
      <c r="BD809" s="121">
        <v>7.68</v>
      </c>
      <c r="BE809" s="121">
        <v>8.4580000000000002</v>
      </c>
      <c r="BF809" s="121">
        <v>9.2114999999999991</v>
      </c>
      <c r="BG809" s="121">
        <v>9.9649999999999999</v>
      </c>
      <c r="BH809" s="121">
        <v>10.666499999999999</v>
      </c>
      <c r="BI809" s="121">
        <v>11.367999999999999</v>
      </c>
      <c r="BJ809" s="121">
        <v>12.03275</v>
      </c>
      <c r="BK809" s="121">
        <v>12.697500000000002</v>
      </c>
      <c r="BL809" s="121">
        <v>13.32775</v>
      </c>
      <c r="BM809" s="121">
        <f t="array" ref="BM809:BM854">TRANSPOSE(BN808:DG808)</f>
        <v>13.958</v>
      </c>
      <c r="BN809" s="120">
        <f>(BM809+BO809)/2</f>
        <v>14.5825</v>
      </c>
      <c r="BO809" s="120">
        <f>(BO808+BO810)/2</f>
        <v>15.207000000000001</v>
      </c>
      <c r="BP809" s="120">
        <f>(BO809+BQ809)/2</f>
        <v>15.797499999999999</v>
      </c>
      <c r="BQ809" s="120">
        <f>(BQ808+BQ810)/2</f>
        <v>16.387999999999998</v>
      </c>
      <c r="BR809" s="120">
        <f>(BQ809+BS809)/2</f>
        <v>16.994</v>
      </c>
      <c r="BS809" s="120">
        <f>(BS808+BS810)/2</f>
        <v>17.600000000000001</v>
      </c>
      <c r="BT809" s="120">
        <f>(BS809+BU809)/2</f>
        <v>18.175000000000001</v>
      </c>
      <c r="BU809" s="120">
        <f>(BU808+BU810)/2</f>
        <v>18.75</v>
      </c>
      <c r="BV809" s="120">
        <f>(BU809+BW809)/2</f>
        <v>19.318999999999999</v>
      </c>
      <c r="BW809" s="120">
        <f>(BW808+BW810)/2</f>
        <v>19.887999999999998</v>
      </c>
      <c r="BX809" s="120">
        <f>(BW809+BY809)/2</f>
        <v>20.463999999999999</v>
      </c>
      <c r="BY809" s="120">
        <f>(BY808+BY810)/2</f>
        <v>21.04</v>
      </c>
      <c r="BZ809" s="120">
        <f>(BY809+CA809)/2</f>
        <v>21.608750000000001</v>
      </c>
      <c r="CA809" s="120">
        <f>(CA808+CA810)/2</f>
        <v>22.177500000000002</v>
      </c>
      <c r="CB809" s="120">
        <f>(CA809+CC809)/2</f>
        <v>22.71575</v>
      </c>
      <c r="CC809" s="120">
        <f>(CC808+CC810)/2</f>
        <v>23.253999999999998</v>
      </c>
      <c r="CD809" s="120">
        <f>(CC809+CE809)/2</f>
        <v>23.804499999999997</v>
      </c>
      <c r="CE809" s="120">
        <f>(CE808+CE810)/2</f>
        <v>24.354999999999997</v>
      </c>
      <c r="CF809" s="120">
        <f>(CE809+CG809)/2</f>
        <v>24.908999999999999</v>
      </c>
      <c r="CG809" s="120">
        <f>(CG808+CG810)/2</f>
        <v>25.463000000000001</v>
      </c>
      <c r="CH809" s="120">
        <f>(CG809+CI809)/2</f>
        <v>25.99475</v>
      </c>
      <c r="CI809" s="120">
        <f>(CI808+CI810)/2</f>
        <v>26.526499999999999</v>
      </c>
      <c r="CJ809" s="120">
        <f>(CI809+CK809)/2</f>
        <v>27.064499999999999</v>
      </c>
      <c r="CK809" s="120">
        <f>(CK808+CK810)/2</f>
        <v>27.602499999999999</v>
      </c>
      <c r="CL809" s="120">
        <f>(CK809+CM809)/2</f>
        <v>28.119999999999997</v>
      </c>
      <c r="CM809" s="120">
        <f>(CM808+CM810)/2</f>
        <v>28.637499999999999</v>
      </c>
      <c r="CN809" s="120">
        <f>(CM809+CO809)/2</f>
        <v>29.173000000000002</v>
      </c>
      <c r="CO809" s="120">
        <f>(CO808+CO810)/2</f>
        <v>29.708500000000001</v>
      </c>
      <c r="CP809" s="120">
        <f>(CO809+CQ809)/2</f>
        <v>30.240500000000001</v>
      </c>
      <c r="CQ809" s="120">
        <f>(CQ808+CQ810)/2</f>
        <v>30.772500000000001</v>
      </c>
      <c r="CR809" s="120">
        <f>(CQ809+CS809)/2</f>
        <v>31.2925</v>
      </c>
      <c r="CS809" s="120">
        <f>(CS808+CS810)/2</f>
        <v>31.8125</v>
      </c>
      <c r="CT809" s="120">
        <f>(CS809+CU809)/2</f>
        <v>32.329499999999996</v>
      </c>
      <c r="CU809" s="120">
        <f>(CU808+CU810)/2</f>
        <v>32.846499999999999</v>
      </c>
      <c r="CV809" s="120">
        <f>(CU809+CW809)/2</f>
        <v>33.359499999999997</v>
      </c>
      <c r="CW809" s="120">
        <f>(CW808+CW810)/2</f>
        <v>33.872500000000002</v>
      </c>
      <c r="CX809" s="120">
        <f>(CW809+CY809)/2</f>
        <v>34.386749999999999</v>
      </c>
      <c r="CY809" s="120">
        <f>(CY808+CY810)/2</f>
        <v>34.900999999999996</v>
      </c>
      <c r="CZ809" s="120">
        <f>(CY809+DA809)/2</f>
        <v>35.405499999999996</v>
      </c>
      <c r="DA809" s="120">
        <f>(DA808+DA810)/2</f>
        <v>35.909999999999997</v>
      </c>
      <c r="DB809" s="120">
        <f>(DA809+DC809)/2</f>
        <v>36.423499999999997</v>
      </c>
      <c r="DC809" s="120">
        <f>(DC808+DC810)/2</f>
        <v>36.936999999999998</v>
      </c>
      <c r="DD809" s="120">
        <f>(DC809+DE809)/2</f>
        <v>37.432000000000002</v>
      </c>
      <c r="DE809" s="120">
        <f>(DE808+DE810)/2</f>
        <v>37.927000000000007</v>
      </c>
      <c r="DF809" s="120">
        <f>(DE809+DG809)/2</f>
        <v>38.444000000000003</v>
      </c>
      <c r="DG809" s="122">
        <f>(DG808+DG810)/2</f>
        <v>38.960999999999999</v>
      </c>
    </row>
    <row r="810" spans="54:111" ht="15" customHeight="1" x14ac:dyDescent="0.2">
      <c r="BB810" s="28">
        <v>16</v>
      </c>
      <c r="BC810" s="121">
        <v>7.17</v>
      </c>
      <c r="BD810" s="121">
        <v>7.9965000000000002</v>
      </c>
      <c r="BE810" s="121">
        <v>8.8230000000000004</v>
      </c>
      <c r="BF810" s="121">
        <v>9.6129999999999995</v>
      </c>
      <c r="BG810" s="121">
        <v>10.403</v>
      </c>
      <c r="BH810" s="121">
        <v>11.118500000000001</v>
      </c>
      <c r="BI810" s="121">
        <v>11.834</v>
      </c>
      <c r="BJ810" s="121">
        <v>12.5205</v>
      </c>
      <c r="BK810" s="121">
        <v>13.207000000000001</v>
      </c>
      <c r="BL810" s="121">
        <v>13.885999999999999</v>
      </c>
      <c r="BM810" s="121">
        <v>14.565</v>
      </c>
      <c r="BN810" s="121">
        <f t="array" ref="BN810:BN854">TRANSPOSE(BO809:DG809)</f>
        <v>15.207000000000001</v>
      </c>
      <c r="BO810" s="158">
        <v>15.849</v>
      </c>
      <c r="BP810" s="120">
        <f>(BQ810+BO810)/2</f>
        <v>16.460999999999999</v>
      </c>
      <c r="BQ810" s="158">
        <v>17.073</v>
      </c>
      <c r="BR810" s="120">
        <f>(BS810+BQ810)/2</f>
        <v>17.715499999999999</v>
      </c>
      <c r="BS810" s="158">
        <v>18.358000000000001</v>
      </c>
      <c r="BT810" s="120">
        <f>(BU810+BS810)/2</f>
        <v>18.963000000000001</v>
      </c>
      <c r="BU810" s="158">
        <v>19.568000000000001</v>
      </c>
      <c r="BV810" s="120">
        <f>(BW810+BU810)/2</f>
        <v>20.173000000000002</v>
      </c>
      <c r="BW810" s="158">
        <v>20.777999999999999</v>
      </c>
      <c r="BX810" s="120">
        <f>(BY810+BW810)/2</f>
        <v>21.353499999999997</v>
      </c>
      <c r="BY810" s="158">
        <v>21.928999999999998</v>
      </c>
      <c r="BZ810" s="120">
        <f>(CA810+BY810)/2</f>
        <v>22.533999999999999</v>
      </c>
      <c r="CA810" s="158">
        <v>23.138999999999999</v>
      </c>
      <c r="CB810" s="120">
        <f>(CC810+CA810)/2</f>
        <v>23.7075</v>
      </c>
      <c r="CC810" s="158">
        <v>24.276</v>
      </c>
      <c r="CD810" s="120">
        <f>(CE810+CC810)/2</f>
        <v>24.844000000000001</v>
      </c>
      <c r="CE810" s="158">
        <v>25.411999999999999</v>
      </c>
      <c r="CF810" s="120">
        <f>(CG810+CE810)/2</f>
        <v>25.987499999999997</v>
      </c>
      <c r="CG810" s="158">
        <v>26.562999999999999</v>
      </c>
      <c r="CH810" s="120">
        <f>(CI810+CG810)/2</f>
        <v>27.131</v>
      </c>
      <c r="CI810" s="158">
        <v>27.699000000000002</v>
      </c>
      <c r="CJ810" s="120">
        <f>(CK810+CI810)/2</f>
        <v>28.267000000000003</v>
      </c>
      <c r="CK810" s="158">
        <v>28.835000000000001</v>
      </c>
      <c r="CL810" s="120">
        <f>(CM810+CK810)/2</f>
        <v>29.374000000000002</v>
      </c>
      <c r="CM810" s="158">
        <v>29.913</v>
      </c>
      <c r="CN810" s="120">
        <f>(CO810+CM810)/2</f>
        <v>30.4815</v>
      </c>
      <c r="CO810" s="158">
        <v>31.05</v>
      </c>
      <c r="CP810" s="120">
        <f>(CQ810+CO810)/2</f>
        <v>31.581000000000003</v>
      </c>
      <c r="CQ810" s="158">
        <v>32.112000000000002</v>
      </c>
      <c r="CR810" s="120">
        <f>(CS810+CQ810)/2</f>
        <v>32.680999999999997</v>
      </c>
      <c r="CS810" s="158">
        <v>33.25</v>
      </c>
      <c r="CT810" s="120">
        <f>(CU810+CS810)/2</f>
        <v>33.787999999999997</v>
      </c>
      <c r="CU810" s="158">
        <v>34.326000000000001</v>
      </c>
      <c r="CV810" s="120">
        <f>(CW810+CU810)/2</f>
        <v>34.856999999999999</v>
      </c>
      <c r="CW810" s="158">
        <v>35.387999999999998</v>
      </c>
      <c r="CX810" s="120">
        <f>(CY810+CW810)/2</f>
        <v>35.92</v>
      </c>
      <c r="CY810" s="158">
        <v>36.451999999999998</v>
      </c>
      <c r="CZ810" s="120">
        <f>(DA810+CY810)/2</f>
        <v>36.990499999999997</v>
      </c>
      <c r="DA810" s="158">
        <v>37.529000000000003</v>
      </c>
      <c r="DB810" s="120">
        <f>(DC810+DA810)/2</f>
        <v>38.06</v>
      </c>
      <c r="DC810" s="158">
        <v>38.591000000000001</v>
      </c>
      <c r="DD810" s="120">
        <f>(DE810+DC810)/2</f>
        <v>39.122500000000002</v>
      </c>
      <c r="DE810" s="158">
        <v>39.654000000000003</v>
      </c>
      <c r="DF810" s="120">
        <f>(DG810+DE810)/2</f>
        <v>40.185000000000002</v>
      </c>
      <c r="DG810" s="159">
        <v>40.716000000000001</v>
      </c>
    </row>
    <row r="811" spans="54:111" ht="15" customHeight="1" x14ac:dyDescent="0.2">
      <c r="BB811" s="28">
        <v>17</v>
      </c>
      <c r="BC811" s="121">
        <v>7.4559999999999995</v>
      </c>
      <c r="BD811" s="121">
        <v>8.3187499999999996</v>
      </c>
      <c r="BE811" s="121">
        <v>9.1814999999999998</v>
      </c>
      <c r="BF811" s="121">
        <v>9.9929999999999986</v>
      </c>
      <c r="BG811" s="121">
        <v>10.804500000000001</v>
      </c>
      <c r="BH811" s="121">
        <v>11.537750000000001</v>
      </c>
      <c r="BI811" s="121">
        <v>12.271000000000001</v>
      </c>
      <c r="BJ811" s="121">
        <v>13.006250000000001</v>
      </c>
      <c r="BK811" s="121">
        <v>13.7415</v>
      </c>
      <c r="BL811" s="121">
        <v>14.437749999999999</v>
      </c>
      <c r="BM811" s="121">
        <v>15.134</v>
      </c>
      <c r="BN811" s="121">
        <v>15.797499999999999</v>
      </c>
      <c r="BO811" s="121">
        <f t="array" ref="BO811:BO854">TRANSPOSE(BP810:DG810)</f>
        <v>16.460999999999999</v>
      </c>
      <c r="BP811" s="120">
        <f>(BO811+BQ811)/2</f>
        <v>17.105999999999998</v>
      </c>
      <c r="BQ811" s="120">
        <f>(BQ810+BQ812)/2</f>
        <v>17.750999999999998</v>
      </c>
      <c r="BR811" s="120">
        <f>(BQ811+BS811)/2</f>
        <v>18.422999999999998</v>
      </c>
      <c r="BS811" s="120">
        <f>(BS810+BS812)/2</f>
        <v>19.094999999999999</v>
      </c>
      <c r="BT811" s="120">
        <f>(BS811+BU811)/2</f>
        <v>19.74025</v>
      </c>
      <c r="BU811" s="120">
        <f>(BU810+BU812)/2</f>
        <v>20.3855</v>
      </c>
      <c r="BV811" s="120">
        <f>(BU811+BW811)/2</f>
        <v>21.00825</v>
      </c>
      <c r="BW811" s="120">
        <f>(BW810+BW812)/2</f>
        <v>21.631</v>
      </c>
      <c r="BX811" s="120">
        <f>(BW811+BY811)/2</f>
        <v>22.242750000000001</v>
      </c>
      <c r="BY811" s="120">
        <f>(BY810+BY812)/2</f>
        <v>22.854500000000002</v>
      </c>
      <c r="BZ811" s="120">
        <f>(BY811+CA811)/2</f>
        <v>23.471250000000001</v>
      </c>
      <c r="CA811" s="120">
        <f>(CA810+CA812)/2</f>
        <v>24.088000000000001</v>
      </c>
      <c r="CB811" s="120">
        <f>(CA811+CC811)/2</f>
        <v>24.696249999999999</v>
      </c>
      <c r="CC811" s="120">
        <f>(CC810+CC812)/2</f>
        <v>25.304499999999997</v>
      </c>
      <c r="CD811" s="120">
        <f>(CC811+CE811)/2</f>
        <v>25.890249999999998</v>
      </c>
      <c r="CE811" s="120">
        <f>(CE810+CE812)/2</f>
        <v>26.475999999999999</v>
      </c>
      <c r="CF811" s="120">
        <f>(CE811+CG811)/2</f>
        <v>27.065750000000001</v>
      </c>
      <c r="CG811" s="120">
        <f>(CG810+CG812)/2</f>
        <v>27.6555</v>
      </c>
      <c r="CH811" s="120">
        <f>(CG811+CI811)/2</f>
        <v>28.257750000000001</v>
      </c>
      <c r="CI811" s="120">
        <f>(CI810+CI812)/2</f>
        <v>28.86</v>
      </c>
      <c r="CJ811" s="120">
        <f>(CI811+CK811)/2</f>
        <v>29.44575</v>
      </c>
      <c r="CK811" s="120">
        <f>(CK810+CK812)/2</f>
        <v>30.031500000000001</v>
      </c>
      <c r="CL811" s="120">
        <f>(CK811+CM811)/2</f>
        <v>30.6065</v>
      </c>
      <c r="CM811" s="120">
        <f>(CM810+CM812)/2</f>
        <v>31.1815</v>
      </c>
      <c r="CN811" s="120">
        <f>(CM811+CO811)/2</f>
        <v>31.767499999999998</v>
      </c>
      <c r="CO811" s="120">
        <f>(CO810+CO812)/2</f>
        <v>32.353499999999997</v>
      </c>
      <c r="CP811" s="120">
        <f>(CO811+CQ811)/2</f>
        <v>32.918499999999995</v>
      </c>
      <c r="CQ811" s="120">
        <f>(CQ810+CQ812)/2</f>
        <v>33.483499999999999</v>
      </c>
      <c r="CR811" s="120">
        <f>(CQ811+CS811)/2</f>
        <v>34.070250000000001</v>
      </c>
      <c r="CS811" s="120">
        <f>(CS810+CS812)/2</f>
        <v>34.656999999999996</v>
      </c>
      <c r="CT811" s="120">
        <f>(CS811+CU811)/2</f>
        <v>35.213000000000001</v>
      </c>
      <c r="CU811" s="120">
        <f>(CU810+CU812)/2</f>
        <v>35.769000000000005</v>
      </c>
      <c r="CV811" s="120">
        <f>(CU811+CW811)/2</f>
        <v>36.33625</v>
      </c>
      <c r="CW811" s="120">
        <f>(CW810+CW812)/2</f>
        <v>36.903499999999994</v>
      </c>
      <c r="CX811" s="120">
        <f>(CW811+CY811)/2</f>
        <v>37.465499999999999</v>
      </c>
      <c r="CY811" s="120">
        <f>(CY810+CY812)/2</f>
        <v>38.027500000000003</v>
      </c>
      <c r="CZ811" s="120">
        <f>(CY811+DA811)/2</f>
        <v>38.583750000000002</v>
      </c>
      <c r="DA811" s="120">
        <f>(DA810+DA812)/2</f>
        <v>39.14</v>
      </c>
      <c r="DB811" s="120">
        <f>(DA811+DC811)/2</f>
        <v>39.688749999999999</v>
      </c>
      <c r="DC811" s="120">
        <f>(DC810+DC812)/2</f>
        <v>40.237499999999997</v>
      </c>
      <c r="DD811" s="120">
        <f>(DC811+DE811)/2</f>
        <v>40.790750000000003</v>
      </c>
      <c r="DE811" s="120">
        <f>(DE810+DE812)/2</f>
        <v>41.344000000000001</v>
      </c>
      <c r="DF811" s="120">
        <f>(DE811+DG811)/2</f>
        <v>41.905249999999995</v>
      </c>
      <c r="DG811" s="122">
        <f>(DG810+DG812)/2</f>
        <v>42.466499999999996</v>
      </c>
    </row>
    <row r="812" spans="54:111" ht="15" customHeight="1" x14ac:dyDescent="0.2">
      <c r="BB812" s="28">
        <v>18</v>
      </c>
      <c r="BC812" s="121">
        <v>7.742</v>
      </c>
      <c r="BD812" s="121">
        <v>8.641</v>
      </c>
      <c r="BE812" s="121">
        <v>9.5399999999999991</v>
      </c>
      <c r="BF812" s="121">
        <v>10.372999999999999</v>
      </c>
      <c r="BG812" s="121">
        <v>11.206</v>
      </c>
      <c r="BH812" s="121">
        <v>11.957000000000001</v>
      </c>
      <c r="BI812" s="121">
        <v>12.708</v>
      </c>
      <c r="BJ812" s="121">
        <v>13.492000000000001</v>
      </c>
      <c r="BK812" s="121">
        <v>14.276</v>
      </c>
      <c r="BL812" s="121">
        <v>14.9895</v>
      </c>
      <c r="BM812" s="121">
        <v>15.702999999999999</v>
      </c>
      <c r="BN812" s="121">
        <v>16.387999999999998</v>
      </c>
      <c r="BO812" s="121">
        <v>17.073</v>
      </c>
      <c r="BP812" s="121">
        <f t="array" ref="BP812:BP854">TRANSPOSE(BQ811:DG811)</f>
        <v>17.750999999999998</v>
      </c>
      <c r="BQ812" s="158">
        <v>18.428999999999998</v>
      </c>
      <c r="BR812" s="120">
        <f>(BS812+BQ812)/2</f>
        <v>19.130499999999998</v>
      </c>
      <c r="BS812" s="158">
        <v>19.832000000000001</v>
      </c>
      <c r="BT812" s="120">
        <f>(BU812+BS812)/2</f>
        <v>20.517499999999998</v>
      </c>
      <c r="BU812" s="158">
        <v>21.202999999999999</v>
      </c>
      <c r="BV812" s="120">
        <f>(BW812+BU812)/2</f>
        <v>21.843499999999999</v>
      </c>
      <c r="BW812" s="158">
        <v>22.484000000000002</v>
      </c>
      <c r="BX812" s="120">
        <f>(BY812+BW812)/2</f>
        <v>23.132000000000001</v>
      </c>
      <c r="BY812" s="158">
        <v>23.78</v>
      </c>
      <c r="BZ812" s="120">
        <f>(CA812+BY812)/2</f>
        <v>24.4085</v>
      </c>
      <c r="CA812" s="158">
        <v>25.036999999999999</v>
      </c>
      <c r="CB812" s="120">
        <f>(CC812+CA812)/2</f>
        <v>25.684999999999999</v>
      </c>
      <c r="CC812" s="158">
        <v>26.332999999999998</v>
      </c>
      <c r="CD812" s="120">
        <f>(CE812+CC812)/2</f>
        <v>26.936499999999999</v>
      </c>
      <c r="CE812" s="158">
        <v>27.54</v>
      </c>
      <c r="CF812" s="120">
        <f>(CG812+CE812)/2</f>
        <v>28.143999999999998</v>
      </c>
      <c r="CG812" s="158">
        <v>28.748000000000001</v>
      </c>
      <c r="CH812" s="120">
        <f>(CI812+CG812)/2</f>
        <v>29.384500000000003</v>
      </c>
      <c r="CI812" s="158">
        <v>30.021000000000001</v>
      </c>
      <c r="CJ812" s="120">
        <f>(CK812+CI812)/2</f>
        <v>30.624500000000001</v>
      </c>
      <c r="CK812" s="158">
        <v>31.228000000000002</v>
      </c>
      <c r="CL812" s="120">
        <f>(CM812+CK812)/2</f>
        <v>31.839000000000002</v>
      </c>
      <c r="CM812" s="158">
        <v>32.450000000000003</v>
      </c>
      <c r="CN812" s="120">
        <f>(CO812+CM812)/2</f>
        <v>33.0535</v>
      </c>
      <c r="CO812" s="158">
        <v>33.656999999999996</v>
      </c>
      <c r="CP812" s="120">
        <f>(CQ812+CO812)/2</f>
        <v>34.256</v>
      </c>
      <c r="CQ812" s="158">
        <v>34.854999999999997</v>
      </c>
      <c r="CR812" s="120">
        <f>(CS812+CQ812)/2</f>
        <v>35.459499999999998</v>
      </c>
      <c r="CS812" s="158">
        <v>36.064</v>
      </c>
      <c r="CT812" s="120">
        <f>(CU812+CS812)/2</f>
        <v>36.638000000000005</v>
      </c>
      <c r="CU812" s="158">
        <v>37.212000000000003</v>
      </c>
      <c r="CV812" s="120">
        <f>(CW812+CU812)/2</f>
        <v>37.8155</v>
      </c>
      <c r="CW812" s="158">
        <v>38.418999999999997</v>
      </c>
      <c r="CX812" s="120">
        <f>(CY812+CW812)/2</f>
        <v>39.010999999999996</v>
      </c>
      <c r="CY812" s="158">
        <v>39.603000000000002</v>
      </c>
      <c r="CZ812" s="120">
        <f>(DA812+CY812)/2</f>
        <v>40.177</v>
      </c>
      <c r="DA812" s="158">
        <v>40.750999999999998</v>
      </c>
      <c r="DB812" s="120">
        <f>(DC812+DA812)/2</f>
        <v>41.317499999999995</v>
      </c>
      <c r="DC812" s="158">
        <v>41.884</v>
      </c>
      <c r="DD812" s="120">
        <f>(DE812+DC812)/2</f>
        <v>42.459000000000003</v>
      </c>
      <c r="DE812" s="158">
        <v>43.033999999999999</v>
      </c>
      <c r="DF812" s="120">
        <f>(DG812+DE812)/2</f>
        <v>43.625500000000002</v>
      </c>
      <c r="DG812" s="159">
        <v>44.216999999999999</v>
      </c>
    </row>
    <row r="813" spans="54:111" ht="15" customHeight="1" x14ac:dyDescent="0.2">
      <c r="BB813" s="28">
        <v>19</v>
      </c>
      <c r="BC813" s="121">
        <v>8.0030000000000001</v>
      </c>
      <c r="BD813" s="121">
        <v>8.9357499999999987</v>
      </c>
      <c r="BE813" s="121">
        <v>9.8684999999999992</v>
      </c>
      <c r="BF813" s="121">
        <v>10.733750000000001</v>
      </c>
      <c r="BG813" s="121">
        <v>11.599</v>
      </c>
      <c r="BH813" s="121">
        <v>12.4025</v>
      </c>
      <c r="BI813" s="121">
        <v>13.206</v>
      </c>
      <c r="BJ813" s="121">
        <v>13.99525</v>
      </c>
      <c r="BK813" s="121">
        <v>14.7845</v>
      </c>
      <c r="BL813" s="121">
        <v>15.528499999999999</v>
      </c>
      <c r="BM813" s="121">
        <v>16.272500000000001</v>
      </c>
      <c r="BN813" s="121">
        <v>16.994</v>
      </c>
      <c r="BO813" s="121">
        <v>17.715499999999999</v>
      </c>
      <c r="BP813" s="121">
        <v>18.422999999999998</v>
      </c>
      <c r="BQ813" s="121">
        <f t="array" ref="BQ813:BQ854">TRANSPOSE(BR812:DG812)</f>
        <v>19.130499999999998</v>
      </c>
      <c r="BR813" s="120">
        <f>(BQ813+BS813)/2</f>
        <v>19.841749999999998</v>
      </c>
      <c r="BS813" s="120">
        <f>(BS812+BS814)/2</f>
        <v>20.553000000000001</v>
      </c>
      <c r="BT813" s="120">
        <f>(BS813+BU813)/2</f>
        <v>21.268500000000003</v>
      </c>
      <c r="BU813" s="120">
        <f>(BU812+BU814)/2</f>
        <v>21.984000000000002</v>
      </c>
      <c r="BV813" s="120">
        <f>(BU813+BW813)/2</f>
        <v>22.642250000000001</v>
      </c>
      <c r="BW813" s="120">
        <f>(BW812+BW814)/2</f>
        <v>23.3005</v>
      </c>
      <c r="BX813" s="120">
        <f>(BW813+BY813)/2</f>
        <v>23.978749999999998</v>
      </c>
      <c r="BY813" s="120">
        <f>(BY812+BY814)/2</f>
        <v>24.657</v>
      </c>
      <c r="BZ813" s="120">
        <f>(BY813+CA813)/2</f>
        <v>25.309249999999999</v>
      </c>
      <c r="CA813" s="120">
        <f>(CA812+CA814)/2</f>
        <v>25.961500000000001</v>
      </c>
      <c r="CB813" s="120">
        <f>(CA813+CC813)/2</f>
        <v>26.639749999999999</v>
      </c>
      <c r="CC813" s="120">
        <f>(CC812+CC814)/2</f>
        <v>27.317999999999998</v>
      </c>
      <c r="CD813" s="120">
        <f>(CC813+CE813)/2</f>
        <v>27.943249999999999</v>
      </c>
      <c r="CE813" s="120">
        <f>(CE812+CE814)/2</f>
        <v>28.5685</v>
      </c>
      <c r="CF813" s="120">
        <f>(CE813+CG813)/2</f>
        <v>29.220750000000002</v>
      </c>
      <c r="CG813" s="120">
        <f>(CG812+CG814)/2</f>
        <v>29.873000000000001</v>
      </c>
      <c r="CH813" s="120">
        <f>(CG813+CI813)/2</f>
        <v>30.514749999999999</v>
      </c>
      <c r="CI813" s="120">
        <f>(CI812+CI814)/2</f>
        <v>31.156500000000001</v>
      </c>
      <c r="CJ813" s="120">
        <f>(CI813+CK813)/2</f>
        <v>31.79025</v>
      </c>
      <c r="CK813" s="120">
        <f>(CK812+CK814)/2</f>
        <v>32.423999999999999</v>
      </c>
      <c r="CL813" s="120">
        <f>(CK813+CM813)/2</f>
        <v>33.052750000000003</v>
      </c>
      <c r="CM813" s="120">
        <f>(CM812+CM814)/2</f>
        <v>33.6815</v>
      </c>
      <c r="CN813" s="120">
        <f>(CM813+CO813)/2</f>
        <v>34.319000000000003</v>
      </c>
      <c r="CO813" s="120">
        <f>(CO812+CO814)/2</f>
        <v>34.956499999999998</v>
      </c>
      <c r="CP813" s="120">
        <f>(CO813+CQ813)/2</f>
        <v>35.575749999999999</v>
      </c>
      <c r="CQ813" s="120">
        <f>(CQ812+CQ814)/2</f>
        <v>36.194999999999993</v>
      </c>
      <c r="CR813" s="120">
        <f>(CQ813+CS813)/2</f>
        <v>36.832999999999998</v>
      </c>
      <c r="CS813" s="120">
        <f>(CS812+CS814)/2</f>
        <v>37.471000000000004</v>
      </c>
      <c r="CT813" s="120">
        <f>(CS813+CU813)/2</f>
        <v>38.059000000000005</v>
      </c>
      <c r="CU813" s="120">
        <f>(CU812+CU814)/2</f>
        <v>38.647000000000006</v>
      </c>
      <c r="CV813" s="120">
        <f>(CU813+CW813)/2</f>
        <v>39.284500000000001</v>
      </c>
      <c r="CW813" s="120">
        <f>(CW812+CW814)/2</f>
        <v>39.921999999999997</v>
      </c>
      <c r="CX813" s="120">
        <f>(CW813+CY813)/2</f>
        <v>40.523249999999997</v>
      </c>
      <c r="CY813" s="120">
        <f>(CY812+CY814)/2</f>
        <v>41.124499999999998</v>
      </c>
      <c r="CZ813" s="120">
        <f>(CY813+DA813)/2</f>
        <v>41.724999999999994</v>
      </c>
      <c r="DA813" s="120">
        <f>(DA812+DA814)/2</f>
        <v>42.325499999999998</v>
      </c>
      <c r="DB813" s="120">
        <f>(DA813+DC813)/2</f>
        <v>42.932000000000002</v>
      </c>
      <c r="DC813" s="120">
        <f>(DC812+DC814)/2</f>
        <v>43.538499999999999</v>
      </c>
      <c r="DD813" s="120">
        <f>(DC813+DE813)/2</f>
        <v>44.139749999999999</v>
      </c>
      <c r="DE813" s="120">
        <f>(DE812+DE814)/2</f>
        <v>44.741</v>
      </c>
      <c r="DF813" s="120">
        <f>(DE813+DG813)/2</f>
        <v>45.341499999999996</v>
      </c>
      <c r="DG813" s="122">
        <f>(DG812+DG814)/2</f>
        <v>45.942</v>
      </c>
    </row>
    <row r="814" spans="54:111" ht="15" customHeight="1" x14ac:dyDescent="0.2">
      <c r="BB814" s="28">
        <v>20</v>
      </c>
      <c r="BC814" s="121">
        <v>8.2639999999999993</v>
      </c>
      <c r="BD814" s="121">
        <v>9.2304999999999993</v>
      </c>
      <c r="BE814" s="121">
        <v>10.196999999999999</v>
      </c>
      <c r="BF814" s="121">
        <v>11.0945</v>
      </c>
      <c r="BG814" s="121">
        <v>11.992000000000001</v>
      </c>
      <c r="BH814" s="121">
        <v>12.848000000000001</v>
      </c>
      <c r="BI814" s="121">
        <v>13.704000000000001</v>
      </c>
      <c r="BJ814" s="121">
        <v>14.4985</v>
      </c>
      <c r="BK814" s="121">
        <v>15.292999999999999</v>
      </c>
      <c r="BL814" s="121">
        <v>16.067499999999999</v>
      </c>
      <c r="BM814" s="121">
        <v>16.841999999999999</v>
      </c>
      <c r="BN814" s="121">
        <v>17.600000000000001</v>
      </c>
      <c r="BO814" s="121">
        <v>18.358000000000001</v>
      </c>
      <c r="BP814" s="121">
        <v>19.094999999999999</v>
      </c>
      <c r="BQ814" s="121">
        <v>19.832000000000001</v>
      </c>
      <c r="BR814" s="121">
        <f t="array" ref="BR814:BR854">TRANSPOSE(BS813:DG813)</f>
        <v>20.553000000000001</v>
      </c>
      <c r="BS814" s="158">
        <v>21.274000000000001</v>
      </c>
      <c r="BT814" s="120">
        <f>(BU814+BS814)/2</f>
        <v>22.019500000000001</v>
      </c>
      <c r="BU814" s="158">
        <v>22.765000000000001</v>
      </c>
      <c r="BV814" s="120">
        <f>(BW814+BU814)/2</f>
        <v>23.441000000000003</v>
      </c>
      <c r="BW814" s="158">
        <v>24.117000000000001</v>
      </c>
      <c r="BX814" s="120">
        <f>(BY814+BW814)/2</f>
        <v>24.825499999999998</v>
      </c>
      <c r="BY814" s="158">
        <v>25.533999999999999</v>
      </c>
      <c r="BZ814" s="120">
        <f>(CA814+BY814)/2</f>
        <v>26.21</v>
      </c>
      <c r="CA814" s="158">
        <v>26.885999999999999</v>
      </c>
      <c r="CB814" s="120">
        <f>(CC814+CA814)/2</f>
        <v>27.5945</v>
      </c>
      <c r="CC814" s="158">
        <v>28.303000000000001</v>
      </c>
      <c r="CD814" s="120">
        <f>(CE814+CC814)/2</f>
        <v>28.950000000000003</v>
      </c>
      <c r="CE814" s="158">
        <v>29.597000000000001</v>
      </c>
      <c r="CF814" s="120">
        <f>(CG814+CE814)/2</f>
        <v>30.297499999999999</v>
      </c>
      <c r="CG814" s="158">
        <v>30.998000000000001</v>
      </c>
      <c r="CH814" s="120">
        <f>(CI814+CG814)/2</f>
        <v>31.645000000000003</v>
      </c>
      <c r="CI814" s="158">
        <v>32.292000000000002</v>
      </c>
      <c r="CJ814" s="120">
        <f>(CK814+CI814)/2</f>
        <v>32.956000000000003</v>
      </c>
      <c r="CK814" s="158">
        <v>33.619999999999997</v>
      </c>
      <c r="CL814" s="120">
        <f>(CM814+CK814)/2</f>
        <v>34.266499999999994</v>
      </c>
      <c r="CM814" s="158">
        <v>34.912999999999997</v>
      </c>
      <c r="CN814" s="120">
        <f>(CO814+CM814)/2</f>
        <v>35.584499999999998</v>
      </c>
      <c r="CO814" s="158">
        <v>36.256</v>
      </c>
      <c r="CP814" s="120">
        <f>(CQ814+CO814)/2</f>
        <v>36.895499999999998</v>
      </c>
      <c r="CQ814" s="158">
        <v>37.534999999999997</v>
      </c>
      <c r="CR814" s="120">
        <f>(CS814+CQ814)/2</f>
        <v>38.206499999999998</v>
      </c>
      <c r="CS814" s="158">
        <v>38.878</v>
      </c>
      <c r="CT814" s="120">
        <f>(CU814+CS814)/2</f>
        <v>39.480000000000004</v>
      </c>
      <c r="CU814" s="158">
        <v>40.082000000000001</v>
      </c>
      <c r="CV814" s="120">
        <f>(CW814+CU814)/2</f>
        <v>40.753500000000003</v>
      </c>
      <c r="CW814" s="158">
        <v>41.424999999999997</v>
      </c>
      <c r="CX814" s="120">
        <f>(CY814+CW814)/2</f>
        <v>42.035499999999999</v>
      </c>
      <c r="CY814" s="158">
        <v>42.646000000000001</v>
      </c>
      <c r="CZ814" s="120">
        <f>(DA814+CY814)/2</f>
        <v>43.272999999999996</v>
      </c>
      <c r="DA814" s="158">
        <v>43.9</v>
      </c>
      <c r="DB814" s="120">
        <f>(DC814+DA814)/2</f>
        <v>44.546499999999995</v>
      </c>
      <c r="DC814" s="158">
        <v>45.192999999999998</v>
      </c>
      <c r="DD814" s="120">
        <f>(DE814+DC814)/2</f>
        <v>45.820499999999996</v>
      </c>
      <c r="DE814" s="158">
        <v>46.448</v>
      </c>
      <c r="DF814" s="120">
        <f>(DG814+DE814)/2</f>
        <v>47.057500000000005</v>
      </c>
      <c r="DG814" s="159">
        <v>47.667000000000002</v>
      </c>
    </row>
    <row r="815" spans="54:111" ht="15" customHeight="1" x14ac:dyDescent="0.2">
      <c r="BB815" s="28">
        <v>21</v>
      </c>
      <c r="BC815" s="121">
        <v>8.5569999999999986</v>
      </c>
      <c r="BD815" s="121">
        <v>9.5440000000000005</v>
      </c>
      <c r="BE815" s="121">
        <v>10.530999999999999</v>
      </c>
      <c r="BF815" s="121">
        <v>11.4435</v>
      </c>
      <c r="BG815" s="121">
        <v>12.356000000000002</v>
      </c>
      <c r="BH815" s="121">
        <v>13.2485</v>
      </c>
      <c r="BI815" s="121">
        <v>14.141</v>
      </c>
      <c r="BJ815" s="121">
        <v>14.96575</v>
      </c>
      <c r="BK815" s="121">
        <v>15.7905</v>
      </c>
      <c r="BL815" s="121">
        <v>16.588749999999997</v>
      </c>
      <c r="BM815" s="121">
        <v>17.387</v>
      </c>
      <c r="BN815" s="121">
        <v>18.175000000000001</v>
      </c>
      <c r="BO815" s="121">
        <v>18.963000000000001</v>
      </c>
      <c r="BP815" s="121">
        <v>19.74025</v>
      </c>
      <c r="BQ815" s="121">
        <v>20.517499999999998</v>
      </c>
      <c r="BR815" s="121">
        <v>21.268500000000003</v>
      </c>
      <c r="BS815" s="121">
        <f t="array" ref="BS815:BS854">TRANSPOSE(BT814:DG814)</f>
        <v>22.019500000000001</v>
      </c>
      <c r="BT815" s="120">
        <f>(BS815+BU815)/2</f>
        <v>22.766750000000002</v>
      </c>
      <c r="BU815" s="120">
        <f>(BU814+BU816)/2</f>
        <v>23.514000000000003</v>
      </c>
      <c r="BV815" s="120">
        <f>(BU815+BW815)/2</f>
        <v>24.223750000000003</v>
      </c>
      <c r="BW815" s="120">
        <f>(BW814+BW816)/2</f>
        <v>24.933500000000002</v>
      </c>
      <c r="BX815" s="120">
        <f>(BW815+BY815)/2</f>
        <v>25.678000000000001</v>
      </c>
      <c r="BY815" s="120">
        <f>(BY814+BY816)/2</f>
        <v>26.422499999999999</v>
      </c>
      <c r="BZ815" s="120">
        <f>(BY815+CA815)/2</f>
        <v>27.132750000000001</v>
      </c>
      <c r="CA815" s="120">
        <f>(CA814+CA816)/2</f>
        <v>27.843</v>
      </c>
      <c r="CB815" s="120">
        <f>(CA815+CC815)/2</f>
        <v>28.552999999999997</v>
      </c>
      <c r="CC815" s="120">
        <f>(CC814+CC816)/2</f>
        <v>29.262999999999998</v>
      </c>
      <c r="CD815" s="120">
        <f>(CC815+CE815)/2</f>
        <v>29.939999999999998</v>
      </c>
      <c r="CE815" s="120">
        <f>(CE814+CE816)/2</f>
        <v>30.617000000000001</v>
      </c>
      <c r="CF815" s="120">
        <f>(CE815+CG815)/2</f>
        <v>31.338999999999999</v>
      </c>
      <c r="CG815" s="120">
        <f>(CG814+CG816)/2</f>
        <v>32.061</v>
      </c>
      <c r="CH815" s="120">
        <f>(CG815+CI815)/2</f>
        <v>32.738</v>
      </c>
      <c r="CI815" s="120">
        <f>(CI814+CI816)/2</f>
        <v>33.414999999999999</v>
      </c>
      <c r="CJ815" s="120">
        <f>(CI815+CK815)/2</f>
        <v>34.103250000000003</v>
      </c>
      <c r="CK815" s="120">
        <f>(CK814+CK816)/2</f>
        <v>34.791499999999999</v>
      </c>
      <c r="CL815" s="120">
        <f>(CK815+CM815)/2</f>
        <v>35.468249999999998</v>
      </c>
      <c r="CM815" s="120">
        <f>(CM814+CM816)/2</f>
        <v>36.144999999999996</v>
      </c>
      <c r="CN815" s="120">
        <f>(CM815+CO815)/2</f>
        <v>36.834249999999997</v>
      </c>
      <c r="CO815" s="120">
        <f>(CO814+CO816)/2</f>
        <v>37.523499999999999</v>
      </c>
      <c r="CP815" s="120">
        <f>(CO815+CQ815)/2</f>
        <v>38.196749999999994</v>
      </c>
      <c r="CQ815" s="120">
        <f>(CQ814+CQ816)/2</f>
        <v>38.869999999999997</v>
      </c>
      <c r="CR815" s="120">
        <f>(CQ815+CS815)/2</f>
        <v>39.542999999999999</v>
      </c>
      <c r="CS815" s="120">
        <f>(CS814+CS816)/2</f>
        <v>40.216000000000001</v>
      </c>
      <c r="CT815" s="120">
        <f>(CS815+CU815)/2</f>
        <v>40.852249999999998</v>
      </c>
      <c r="CU815" s="120">
        <f>(CU814+CU816)/2</f>
        <v>41.488500000000002</v>
      </c>
      <c r="CV815" s="120">
        <f>(CU815+CW815)/2</f>
        <v>42.177750000000003</v>
      </c>
      <c r="CW815" s="120">
        <f>(CW814+CW816)/2</f>
        <v>42.866999999999997</v>
      </c>
      <c r="CX815" s="120">
        <f>(CW815+CY815)/2</f>
        <v>43.525750000000002</v>
      </c>
      <c r="CY815" s="120">
        <f>(CY814+CY816)/2</f>
        <v>44.1845</v>
      </c>
      <c r="CZ815" s="120">
        <f>(CY815+DA815)/2</f>
        <v>44.820499999999996</v>
      </c>
      <c r="DA815" s="120">
        <f>(DA814+DA816)/2</f>
        <v>45.456499999999998</v>
      </c>
      <c r="DB815" s="120">
        <f>(DA815+DC815)/2</f>
        <v>46.129750000000001</v>
      </c>
      <c r="DC815" s="120">
        <f>(DC814+DC816)/2</f>
        <v>46.802999999999997</v>
      </c>
      <c r="DD815" s="120">
        <f>(DC815+DE815)/2</f>
        <v>47.451999999999998</v>
      </c>
      <c r="DE815" s="120">
        <f>(DE814+DE816)/2</f>
        <v>48.100999999999999</v>
      </c>
      <c r="DF815" s="120">
        <f>(DE815+DG815)/2</f>
        <v>48.740499999999997</v>
      </c>
      <c r="DG815" s="122">
        <f>(DG814+DG816)/2</f>
        <v>49.38</v>
      </c>
    </row>
    <row r="816" spans="54:111" ht="15" customHeight="1" x14ac:dyDescent="0.2">
      <c r="BB816" s="28">
        <v>22</v>
      </c>
      <c r="BC816" s="121">
        <v>8.85</v>
      </c>
      <c r="BD816" s="121">
        <v>9.8574999999999999</v>
      </c>
      <c r="BE816" s="121">
        <v>10.865</v>
      </c>
      <c r="BF816" s="121">
        <v>11.7925</v>
      </c>
      <c r="BG816" s="121">
        <v>12.72</v>
      </c>
      <c r="BH816" s="121">
        <v>13.649000000000001</v>
      </c>
      <c r="BI816" s="121">
        <v>14.577999999999999</v>
      </c>
      <c r="BJ816" s="121">
        <v>15.433</v>
      </c>
      <c r="BK816" s="121">
        <v>16.288</v>
      </c>
      <c r="BL816" s="121">
        <v>17.11</v>
      </c>
      <c r="BM816" s="121">
        <v>17.931999999999999</v>
      </c>
      <c r="BN816" s="121">
        <v>18.75</v>
      </c>
      <c r="BO816" s="121">
        <v>19.568000000000001</v>
      </c>
      <c r="BP816" s="121">
        <v>20.3855</v>
      </c>
      <c r="BQ816" s="121">
        <v>21.202999999999999</v>
      </c>
      <c r="BR816" s="121">
        <v>21.984000000000002</v>
      </c>
      <c r="BS816" s="121">
        <v>22.765000000000001</v>
      </c>
      <c r="BT816" s="121">
        <f t="array" ref="BT816:BT854">TRANSPOSE(BU815:DG815)</f>
        <v>23.514000000000003</v>
      </c>
      <c r="BU816" s="158">
        <v>24.263000000000002</v>
      </c>
      <c r="BV816" s="120">
        <f>(BW816+BU816)/2</f>
        <v>25.006500000000003</v>
      </c>
      <c r="BW816" s="158">
        <v>25.75</v>
      </c>
      <c r="BX816" s="120">
        <f>(BY816+BW816)/2</f>
        <v>26.5305</v>
      </c>
      <c r="BY816" s="158">
        <v>27.311</v>
      </c>
      <c r="BZ816" s="120">
        <f>(CA816+BY816)/2</f>
        <v>28.055500000000002</v>
      </c>
      <c r="CA816" s="158">
        <v>28.8</v>
      </c>
      <c r="CB816" s="120">
        <f>(CC816+CA816)/2</f>
        <v>29.511499999999998</v>
      </c>
      <c r="CC816" s="158">
        <v>30.222999999999999</v>
      </c>
      <c r="CD816" s="120">
        <f>(CE816+CC816)/2</f>
        <v>30.93</v>
      </c>
      <c r="CE816" s="158">
        <v>31.637</v>
      </c>
      <c r="CF816" s="120">
        <f>(CG816+CE816)/2</f>
        <v>32.380499999999998</v>
      </c>
      <c r="CG816" s="158">
        <v>33.124000000000002</v>
      </c>
      <c r="CH816" s="120">
        <f>(CI816+CG816)/2</f>
        <v>33.831000000000003</v>
      </c>
      <c r="CI816" s="158">
        <v>34.537999999999997</v>
      </c>
      <c r="CJ816" s="120">
        <f>(CK816+CI816)/2</f>
        <v>35.250500000000002</v>
      </c>
      <c r="CK816" s="158">
        <v>35.963000000000001</v>
      </c>
      <c r="CL816" s="120">
        <f>(CM816+CK816)/2</f>
        <v>36.67</v>
      </c>
      <c r="CM816" s="158">
        <v>37.377000000000002</v>
      </c>
      <c r="CN816" s="120">
        <f>(CO816+CM816)/2</f>
        <v>38.084000000000003</v>
      </c>
      <c r="CO816" s="158">
        <v>38.790999999999997</v>
      </c>
      <c r="CP816" s="120">
        <f>(CQ816+CO816)/2</f>
        <v>39.497999999999998</v>
      </c>
      <c r="CQ816" s="158">
        <v>40.204999999999998</v>
      </c>
      <c r="CR816" s="120">
        <f>(CS816+CQ816)/2</f>
        <v>40.8795</v>
      </c>
      <c r="CS816" s="158">
        <v>41.554000000000002</v>
      </c>
      <c r="CT816" s="120">
        <f>(CU816+CS816)/2</f>
        <v>42.224500000000006</v>
      </c>
      <c r="CU816" s="158">
        <v>42.895000000000003</v>
      </c>
      <c r="CV816" s="120">
        <f>(CW816+CU816)/2</f>
        <v>43.602000000000004</v>
      </c>
      <c r="CW816" s="158">
        <v>44.308999999999997</v>
      </c>
      <c r="CX816" s="120">
        <f>(CY816+CW816)/2</f>
        <v>45.015999999999998</v>
      </c>
      <c r="CY816" s="158">
        <v>45.722999999999999</v>
      </c>
      <c r="CZ816" s="120">
        <f>(DA816+CY816)/2</f>
        <v>46.367999999999995</v>
      </c>
      <c r="DA816" s="158">
        <v>47.012999999999998</v>
      </c>
      <c r="DB816" s="120">
        <f>(DC816+DA816)/2</f>
        <v>47.712999999999994</v>
      </c>
      <c r="DC816" s="158">
        <v>48.412999999999997</v>
      </c>
      <c r="DD816" s="120">
        <f>(DE816+DC816)/2</f>
        <v>49.083500000000001</v>
      </c>
      <c r="DE816" s="158">
        <v>49.753999999999998</v>
      </c>
      <c r="DF816" s="120">
        <f>(DG816+DE816)/2</f>
        <v>50.423500000000004</v>
      </c>
      <c r="DG816" s="159">
        <v>51.093000000000004</v>
      </c>
    </row>
    <row r="817" spans="54:111" ht="15" customHeight="1" x14ac:dyDescent="0.2">
      <c r="BB817" s="28">
        <v>23</v>
      </c>
      <c r="BC817" s="121">
        <v>9.0745000000000005</v>
      </c>
      <c r="BD817" s="121">
        <v>10.134</v>
      </c>
      <c r="BE817" s="121">
        <v>11.1935</v>
      </c>
      <c r="BF817" s="121">
        <v>12.15775</v>
      </c>
      <c r="BG817" s="121">
        <v>13.122</v>
      </c>
      <c r="BH817" s="121">
        <v>14.068250000000001</v>
      </c>
      <c r="BI817" s="121">
        <v>15.0145</v>
      </c>
      <c r="BJ817" s="121">
        <v>15.88725</v>
      </c>
      <c r="BK817" s="121">
        <v>16.759999999999998</v>
      </c>
      <c r="BL817" s="121">
        <v>17.612500000000001</v>
      </c>
      <c r="BM817" s="121">
        <v>18.465</v>
      </c>
      <c r="BN817" s="121">
        <v>19.318999999999999</v>
      </c>
      <c r="BO817" s="121">
        <v>20.173000000000002</v>
      </c>
      <c r="BP817" s="121">
        <v>21.00825</v>
      </c>
      <c r="BQ817" s="121">
        <v>21.843499999999999</v>
      </c>
      <c r="BR817" s="121">
        <v>22.642250000000001</v>
      </c>
      <c r="BS817" s="121">
        <v>23.441000000000003</v>
      </c>
      <c r="BT817" s="121">
        <v>24.223750000000003</v>
      </c>
      <c r="BU817" s="121">
        <f t="array" ref="BU817:BU854">TRANSPOSE(BV816:DG816)</f>
        <v>25.006500000000003</v>
      </c>
      <c r="BV817" s="120">
        <f>(BU817+BW817)/2</f>
        <v>25.786250000000003</v>
      </c>
      <c r="BW817" s="120">
        <f>(BW816+BW818)/2</f>
        <v>26.566000000000003</v>
      </c>
      <c r="BX817" s="120">
        <f>(BW817+BY817)/2</f>
        <v>27.364750000000001</v>
      </c>
      <c r="BY817" s="120">
        <f>(BY816+BY818)/2</f>
        <v>28.163499999999999</v>
      </c>
      <c r="BZ817" s="120">
        <f>(BY817+CA817)/2</f>
        <v>28.9255</v>
      </c>
      <c r="CA817" s="120">
        <f>(CA816+CA818)/2</f>
        <v>29.6875</v>
      </c>
      <c r="CB817" s="120">
        <f>(CA817+CC817)/2</f>
        <v>30.432749999999999</v>
      </c>
      <c r="CC817" s="120">
        <f>(CC816+CC818)/2</f>
        <v>31.178000000000001</v>
      </c>
      <c r="CD817" s="120">
        <f>(CC817+CE817)/2</f>
        <v>31.921250000000001</v>
      </c>
      <c r="CE817" s="120">
        <f>(CE816+CE818)/2</f>
        <v>32.664500000000004</v>
      </c>
      <c r="CF817" s="120">
        <f>(CE817+CG817)/2</f>
        <v>33.426000000000002</v>
      </c>
      <c r="CG817" s="120">
        <f>(CG816+CG818)/2</f>
        <v>34.1875</v>
      </c>
      <c r="CH817" s="120">
        <f>(CG817+CI817)/2</f>
        <v>34.912500000000001</v>
      </c>
      <c r="CI817" s="120">
        <f>(CI816+CI818)/2</f>
        <v>35.637500000000003</v>
      </c>
      <c r="CJ817" s="120">
        <f>(CI817+CK817)/2</f>
        <v>36.379750000000001</v>
      </c>
      <c r="CK817" s="120">
        <f>(CK816+CK818)/2</f>
        <v>37.122</v>
      </c>
      <c r="CL817" s="120">
        <f>(CK817+CM817)/2</f>
        <v>37.84675</v>
      </c>
      <c r="CM817" s="120">
        <f>(CM816+CM818)/2</f>
        <v>38.5715</v>
      </c>
      <c r="CN817" s="120">
        <f>(CM817+CO817)/2</f>
        <v>39.295999999999999</v>
      </c>
      <c r="CO817" s="120">
        <f>(CO816+CO818)/2</f>
        <v>40.020499999999998</v>
      </c>
      <c r="CP817" s="120">
        <f>(CO817+CQ817)/2</f>
        <v>40.7455</v>
      </c>
      <c r="CQ817" s="120">
        <f>(CQ816+CQ818)/2</f>
        <v>41.470500000000001</v>
      </c>
      <c r="CR817" s="120">
        <f>(CQ817+CS817)/2</f>
        <v>42.179250000000003</v>
      </c>
      <c r="CS817" s="120">
        <f>(CS816+CS818)/2</f>
        <v>42.888000000000005</v>
      </c>
      <c r="CT817" s="120">
        <f>(CS817+CU817)/2</f>
        <v>43.594500000000004</v>
      </c>
      <c r="CU817" s="120">
        <f>(CU816+CU818)/2</f>
        <v>44.301000000000002</v>
      </c>
      <c r="CV817" s="120">
        <f>(CU817+CW817)/2</f>
        <v>45.025750000000002</v>
      </c>
      <c r="CW817" s="120">
        <f>(CW816+CW818)/2</f>
        <v>45.750500000000002</v>
      </c>
      <c r="CX817" s="120">
        <f>(CW817+CY817)/2</f>
        <v>46.475250000000003</v>
      </c>
      <c r="CY817" s="120">
        <f>(CY816+CY818)/2</f>
        <v>47.2</v>
      </c>
      <c r="CZ817" s="120">
        <f>(CY817+DA817)/2</f>
        <v>47.893999999999998</v>
      </c>
      <c r="DA817" s="120">
        <f>(DA816+DA818)/2</f>
        <v>48.587999999999994</v>
      </c>
      <c r="DB817" s="120">
        <f>(DA817+DC817)/2</f>
        <v>49.290749999999996</v>
      </c>
      <c r="DC817" s="120">
        <f>(DC816+DC818)/2</f>
        <v>49.993499999999997</v>
      </c>
      <c r="DD817" s="120">
        <f>(DC817+DE817)/2</f>
        <v>50.699999999999996</v>
      </c>
      <c r="DE817" s="120">
        <f>(DE816+DE818)/2</f>
        <v>51.406499999999994</v>
      </c>
      <c r="DF817" s="120">
        <f>(DE817+DG817)/2</f>
        <v>52.093999999999994</v>
      </c>
      <c r="DG817" s="122">
        <f>(DG816+DG818)/2</f>
        <v>52.781500000000001</v>
      </c>
    </row>
    <row r="818" spans="54:111" ht="15" customHeight="1" x14ac:dyDescent="0.2">
      <c r="BB818" s="28">
        <v>24</v>
      </c>
      <c r="BC818" s="121">
        <v>9.2989999999999995</v>
      </c>
      <c r="BD818" s="121">
        <v>10.410499999999999</v>
      </c>
      <c r="BE818" s="121">
        <v>11.522</v>
      </c>
      <c r="BF818" s="121">
        <v>12.523</v>
      </c>
      <c r="BG818" s="121">
        <v>13.523999999999999</v>
      </c>
      <c r="BH818" s="121">
        <v>14.487500000000001</v>
      </c>
      <c r="BI818" s="121">
        <v>15.451000000000001</v>
      </c>
      <c r="BJ818" s="121">
        <v>16.3415</v>
      </c>
      <c r="BK818" s="121">
        <v>17.231999999999999</v>
      </c>
      <c r="BL818" s="121">
        <v>18.115000000000002</v>
      </c>
      <c r="BM818" s="121">
        <v>18.998000000000001</v>
      </c>
      <c r="BN818" s="121">
        <v>19.887999999999998</v>
      </c>
      <c r="BO818" s="121">
        <v>20.777999999999999</v>
      </c>
      <c r="BP818" s="121">
        <v>21.631</v>
      </c>
      <c r="BQ818" s="121">
        <v>22.484000000000002</v>
      </c>
      <c r="BR818" s="121">
        <v>23.3005</v>
      </c>
      <c r="BS818" s="121">
        <v>24.117000000000001</v>
      </c>
      <c r="BT818" s="121">
        <v>24.933500000000002</v>
      </c>
      <c r="BU818" s="121">
        <v>25.75</v>
      </c>
      <c r="BV818" s="121">
        <f t="array" ref="BV818:BV854">TRANSPOSE(BW817:DG817)</f>
        <v>26.566000000000003</v>
      </c>
      <c r="BW818" s="158">
        <v>27.382000000000001</v>
      </c>
      <c r="BX818" s="120">
        <f>(BY818+BW818)/2</f>
        <v>28.198999999999998</v>
      </c>
      <c r="BY818" s="158">
        <v>29.015999999999998</v>
      </c>
      <c r="BZ818" s="120">
        <f>(CA818+BY818)/2</f>
        <v>29.795499999999997</v>
      </c>
      <c r="CA818" s="158">
        <v>30.574999999999999</v>
      </c>
      <c r="CB818" s="120">
        <f>(CC818+CA818)/2</f>
        <v>31.353999999999999</v>
      </c>
      <c r="CC818" s="158">
        <v>32.133000000000003</v>
      </c>
      <c r="CD818" s="120">
        <f>(CE818+CC818)/2</f>
        <v>32.912500000000001</v>
      </c>
      <c r="CE818" s="158">
        <v>33.692</v>
      </c>
      <c r="CF818" s="120">
        <f>(CG818+CE818)/2</f>
        <v>34.471499999999999</v>
      </c>
      <c r="CG818" s="158">
        <v>35.250999999999998</v>
      </c>
      <c r="CH818" s="120">
        <f>(CI818+CG818)/2</f>
        <v>35.994</v>
      </c>
      <c r="CI818" s="158">
        <v>36.737000000000002</v>
      </c>
      <c r="CJ818" s="120">
        <f>(CK818+CI818)/2</f>
        <v>37.509</v>
      </c>
      <c r="CK818" s="158">
        <v>38.280999999999999</v>
      </c>
      <c r="CL818" s="120">
        <f>(CM818+CK818)/2</f>
        <v>39.023499999999999</v>
      </c>
      <c r="CM818" s="158">
        <v>39.765999999999998</v>
      </c>
      <c r="CN818" s="120">
        <f>(CO818+CM818)/2</f>
        <v>40.507999999999996</v>
      </c>
      <c r="CO818" s="158">
        <v>41.25</v>
      </c>
      <c r="CP818" s="120">
        <f>(CQ818+CO818)/2</f>
        <v>41.992999999999995</v>
      </c>
      <c r="CQ818" s="158">
        <v>42.735999999999997</v>
      </c>
      <c r="CR818" s="120">
        <f>(CS818+CQ818)/2</f>
        <v>43.478999999999999</v>
      </c>
      <c r="CS818" s="158">
        <v>44.222000000000001</v>
      </c>
      <c r="CT818" s="120">
        <f>(CU818+CS818)/2</f>
        <v>44.964500000000001</v>
      </c>
      <c r="CU818" s="158">
        <v>45.707000000000001</v>
      </c>
      <c r="CV818" s="120">
        <f>(CW818+CU818)/2</f>
        <v>46.4495</v>
      </c>
      <c r="CW818" s="158">
        <v>47.192</v>
      </c>
      <c r="CX818" s="120">
        <f>(CY818+CW818)/2</f>
        <v>47.9345</v>
      </c>
      <c r="CY818" s="158">
        <v>48.677</v>
      </c>
      <c r="CZ818" s="120">
        <f>(DA818+CY818)/2</f>
        <v>49.42</v>
      </c>
      <c r="DA818" s="158">
        <v>50.162999999999997</v>
      </c>
      <c r="DB818" s="120">
        <f>(DC818+DA818)/2</f>
        <v>50.868499999999997</v>
      </c>
      <c r="DC818" s="158">
        <v>51.573999999999998</v>
      </c>
      <c r="DD818" s="120">
        <f>(DE818+DC818)/2</f>
        <v>52.316499999999998</v>
      </c>
      <c r="DE818" s="158">
        <v>53.058999999999997</v>
      </c>
      <c r="DF818" s="120">
        <f>(DG818+DE818)/2</f>
        <v>53.764499999999998</v>
      </c>
      <c r="DG818" s="159">
        <v>54.47</v>
      </c>
    </row>
    <row r="819" spans="54:111" ht="15" customHeight="1" x14ac:dyDescent="0.2">
      <c r="BB819" s="28">
        <v>25</v>
      </c>
      <c r="BC819" s="121">
        <v>9.5844999999999985</v>
      </c>
      <c r="BD819" s="121">
        <v>10.713999999999999</v>
      </c>
      <c r="BE819" s="121">
        <v>11.843499999999999</v>
      </c>
      <c r="BF819" s="121">
        <v>12.862</v>
      </c>
      <c r="BG819" s="121">
        <v>13.8805</v>
      </c>
      <c r="BH819" s="121">
        <v>14.86225</v>
      </c>
      <c r="BI819" s="121">
        <v>15.843999999999999</v>
      </c>
      <c r="BJ819" s="121">
        <v>16.80125</v>
      </c>
      <c r="BK819" s="121">
        <v>17.758499999999998</v>
      </c>
      <c r="BL819" s="121">
        <v>18.666499999999999</v>
      </c>
      <c r="BM819" s="121">
        <v>19.5745</v>
      </c>
      <c r="BN819" s="121">
        <v>20.463999999999999</v>
      </c>
      <c r="BO819" s="121">
        <v>21.353499999999997</v>
      </c>
      <c r="BP819" s="121">
        <v>22.242750000000001</v>
      </c>
      <c r="BQ819" s="121">
        <v>23.132000000000001</v>
      </c>
      <c r="BR819" s="121">
        <v>23.978749999999998</v>
      </c>
      <c r="BS819" s="121">
        <v>24.825499999999998</v>
      </c>
      <c r="BT819" s="121">
        <v>25.678000000000001</v>
      </c>
      <c r="BU819" s="121">
        <v>26.5305</v>
      </c>
      <c r="BV819" s="121">
        <v>27.364750000000001</v>
      </c>
      <c r="BW819" s="121">
        <f t="array" ref="BW819:BW854">TRANSPOSE(BX818:DG818)</f>
        <v>28.198999999999998</v>
      </c>
      <c r="BX819" s="120">
        <f>(BW819+BY819)/2</f>
        <v>29.014749999999999</v>
      </c>
      <c r="BY819" s="120">
        <f>(BY818+BY820)/2</f>
        <v>29.830500000000001</v>
      </c>
      <c r="BZ819" s="120">
        <f>(BY819+CA819)/2</f>
        <v>30.658999999999999</v>
      </c>
      <c r="CA819" s="120">
        <f>(CA818+CA820)/2</f>
        <v>31.487499999999997</v>
      </c>
      <c r="CB819" s="120">
        <f>(CA819+CC819)/2</f>
        <v>32.28425</v>
      </c>
      <c r="CC819" s="120">
        <f>(CC818+CC820)/2</f>
        <v>33.081000000000003</v>
      </c>
      <c r="CD819" s="120">
        <f>(CC819+CE819)/2</f>
        <v>33.878500000000003</v>
      </c>
      <c r="CE819" s="120">
        <f>(CE818+CE820)/2</f>
        <v>34.676000000000002</v>
      </c>
      <c r="CF819" s="120">
        <f>(CE819+CG819)/2</f>
        <v>35.47325</v>
      </c>
      <c r="CG819" s="120">
        <f>(CG818+CG820)/2</f>
        <v>36.270499999999998</v>
      </c>
      <c r="CH819" s="120">
        <f>(CG819+CI819)/2</f>
        <v>37.061999999999998</v>
      </c>
      <c r="CI819" s="120">
        <f>(CI818+CI820)/2</f>
        <v>37.853499999999997</v>
      </c>
      <c r="CJ819" s="120">
        <f>(CI819+CK819)/2</f>
        <v>38.650499999999994</v>
      </c>
      <c r="CK819" s="120">
        <f>(CK818+CK820)/2</f>
        <v>39.447499999999998</v>
      </c>
      <c r="CL819" s="120">
        <f>(CK819+CM819)/2</f>
        <v>40.207750000000004</v>
      </c>
      <c r="CM819" s="120">
        <f>(CM818+CM820)/2</f>
        <v>40.968000000000004</v>
      </c>
      <c r="CN819" s="120">
        <f>(CM819+CO819)/2</f>
        <v>41.728250000000003</v>
      </c>
      <c r="CO819" s="120">
        <f>(CO818+CO820)/2</f>
        <v>42.488500000000002</v>
      </c>
      <c r="CP819" s="120">
        <f>(CO819+CQ819)/2</f>
        <v>43.27975</v>
      </c>
      <c r="CQ819" s="120">
        <f>(CQ818+CQ820)/2</f>
        <v>44.070999999999998</v>
      </c>
      <c r="CR819" s="120">
        <f>(CQ819+CS819)/2</f>
        <v>44.83175</v>
      </c>
      <c r="CS819" s="120">
        <f>(CS818+CS820)/2</f>
        <v>45.592500000000001</v>
      </c>
      <c r="CT819" s="120">
        <f>(CS819+CU819)/2</f>
        <v>46.352499999999999</v>
      </c>
      <c r="CU819" s="120">
        <f>(CU818+CU820)/2</f>
        <v>47.112499999999997</v>
      </c>
      <c r="CV819" s="120">
        <f>(CU819+CW819)/2</f>
        <v>47.872999999999998</v>
      </c>
      <c r="CW819" s="120">
        <f>(CW818+CW820)/2</f>
        <v>48.633499999999998</v>
      </c>
      <c r="CX819" s="120">
        <f>(CW819+CY819)/2</f>
        <v>49.405999999999999</v>
      </c>
      <c r="CY819" s="120">
        <f>(CY818+CY820)/2</f>
        <v>50.1785</v>
      </c>
      <c r="CZ819" s="120">
        <f>(CY819+DA819)/2</f>
        <v>50.939499999999995</v>
      </c>
      <c r="DA819" s="120">
        <f>(DA818+DA820)/2</f>
        <v>51.700499999999998</v>
      </c>
      <c r="DB819" s="120">
        <f>(DA819+DC819)/2</f>
        <v>52.423749999999998</v>
      </c>
      <c r="DC819" s="120">
        <f>(DC818+DC820)/2</f>
        <v>53.146999999999998</v>
      </c>
      <c r="DD819" s="120">
        <f>(DC819+DE819)/2</f>
        <v>53.907250000000005</v>
      </c>
      <c r="DE819" s="120">
        <f>(DE818+DE820)/2</f>
        <v>54.667500000000004</v>
      </c>
      <c r="DF819" s="120">
        <f>(DE819+DG819)/2</f>
        <v>55.421750000000003</v>
      </c>
      <c r="DG819" s="122">
        <f>(DG818+DG820)/2</f>
        <v>56.176000000000002</v>
      </c>
    </row>
    <row r="820" spans="54:111" ht="15" customHeight="1" x14ac:dyDescent="0.2">
      <c r="BB820" s="28">
        <v>26</v>
      </c>
      <c r="BC820" s="121">
        <v>9.8699999999999992</v>
      </c>
      <c r="BD820" s="121">
        <v>11.017499999999998</v>
      </c>
      <c r="BE820" s="121">
        <v>12.164999999999999</v>
      </c>
      <c r="BF820" s="121">
        <v>13.201000000000001</v>
      </c>
      <c r="BG820" s="121">
        <v>14.237</v>
      </c>
      <c r="BH820" s="121">
        <v>15.236999999999998</v>
      </c>
      <c r="BI820" s="121">
        <v>16.236999999999998</v>
      </c>
      <c r="BJ820" s="121">
        <v>17.260999999999999</v>
      </c>
      <c r="BK820" s="121">
        <v>18.285</v>
      </c>
      <c r="BL820" s="121">
        <v>19.218</v>
      </c>
      <c r="BM820" s="121">
        <v>20.151</v>
      </c>
      <c r="BN820" s="121">
        <v>21.04</v>
      </c>
      <c r="BO820" s="121">
        <v>21.928999999999998</v>
      </c>
      <c r="BP820" s="121">
        <v>22.854500000000002</v>
      </c>
      <c r="BQ820" s="121">
        <v>23.78</v>
      </c>
      <c r="BR820" s="121">
        <v>24.657</v>
      </c>
      <c r="BS820" s="121">
        <v>25.533999999999999</v>
      </c>
      <c r="BT820" s="121">
        <v>26.422499999999999</v>
      </c>
      <c r="BU820" s="121">
        <v>27.311</v>
      </c>
      <c r="BV820" s="121">
        <v>28.163499999999999</v>
      </c>
      <c r="BW820" s="121">
        <v>29.015999999999998</v>
      </c>
      <c r="BX820" s="121">
        <f t="array" ref="BX820:BX854">TRANSPOSE(BY819:DG819)</f>
        <v>29.830500000000001</v>
      </c>
      <c r="BY820" s="158">
        <v>30.645</v>
      </c>
      <c r="BZ820" s="120">
        <f>(CA820+BY820)/2</f>
        <v>31.522500000000001</v>
      </c>
      <c r="CA820" s="158">
        <v>32.4</v>
      </c>
      <c r="CB820" s="120">
        <f>(CC820+CA820)/2</f>
        <v>33.214500000000001</v>
      </c>
      <c r="CC820" s="158">
        <v>34.029000000000003</v>
      </c>
      <c r="CD820" s="120">
        <f>(CE820+CC820)/2</f>
        <v>34.844499999999996</v>
      </c>
      <c r="CE820" s="158">
        <v>35.659999999999997</v>
      </c>
      <c r="CF820" s="120">
        <f>(CG820+CE820)/2</f>
        <v>36.474999999999994</v>
      </c>
      <c r="CG820" s="158">
        <v>37.29</v>
      </c>
      <c r="CH820" s="120">
        <f>(CI820+CG820)/2</f>
        <v>38.129999999999995</v>
      </c>
      <c r="CI820" s="158">
        <v>38.97</v>
      </c>
      <c r="CJ820" s="120">
        <f>(CK820+CI820)/2</f>
        <v>39.792000000000002</v>
      </c>
      <c r="CK820" s="158">
        <v>40.613999999999997</v>
      </c>
      <c r="CL820" s="120">
        <f>(CM820+CK820)/2</f>
        <v>41.391999999999996</v>
      </c>
      <c r="CM820" s="158">
        <v>42.17</v>
      </c>
      <c r="CN820" s="120">
        <f>(CO820+CM820)/2</f>
        <v>42.948499999999996</v>
      </c>
      <c r="CO820" s="158">
        <v>43.726999999999997</v>
      </c>
      <c r="CP820" s="120">
        <f>(CQ820+CO820)/2</f>
        <v>44.566499999999998</v>
      </c>
      <c r="CQ820" s="158">
        <v>45.405999999999999</v>
      </c>
      <c r="CR820" s="120">
        <f>(CS820+CQ820)/2</f>
        <v>46.1845</v>
      </c>
      <c r="CS820" s="158">
        <v>46.963000000000001</v>
      </c>
      <c r="CT820" s="120">
        <f>(CU820+CS820)/2</f>
        <v>47.740499999999997</v>
      </c>
      <c r="CU820" s="158">
        <v>48.518000000000001</v>
      </c>
      <c r="CV820" s="120">
        <f>(CW820+CU820)/2</f>
        <v>49.296500000000002</v>
      </c>
      <c r="CW820" s="158">
        <v>50.075000000000003</v>
      </c>
      <c r="CX820" s="120">
        <f>(CY820+CW820)/2</f>
        <v>50.877499999999998</v>
      </c>
      <c r="CY820" s="158">
        <v>51.68</v>
      </c>
      <c r="CZ820" s="120">
        <f>(DA820+CY820)/2</f>
        <v>52.459000000000003</v>
      </c>
      <c r="DA820" s="158">
        <v>53.238</v>
      </c>
      <c r="DB820" s="120">
        <f>(DC820+DA820)/2</f>
        <v>53.978999999999999</v>
      </c>
      <c r="DC820" s="158">
        <v>54.72</v>
      </c>
      <c r="DD820" s="120">
        <f>(DE820+DC820)/2</f>
        <v>55.498000000000005</v>
      </c>
      <c r="DE820" s="158">
        <v>56.276000000000003</v>
      </c>
      <c r="DF820" s="120">
        <f>(DG820+DE820)/2</f>
        <v>57.079000000000001</v>
      </c>
      <c r="DG820" s="159">
        <v>57.881999999999998</v>
      </c>
    </row>
    <row r="821" spans="54:111" ht="15" customHeight="1" x14ac:dyDescent="0.2">
      <c r="BB821" s="28">
        <v>27</v>
      </c>
      <c r="BC821" s="121">
        <v>10.0945</v>
      </c>
      <c r="BD821" s="121">
        <v>11.293999999999999</v>
      </c>
      <c r="BE821" s="121">
        <v>12.493499999999999</v>
      </c>
      <c r="BF821" s="121">
        <v>13.565999999999999</v>
      </c>
      <c r="BG821" s="121">
        <v>14.638500000000001</v>
      </c>
      <c r="BH821" s="121">
        <v>15.668249999999999</v>
      </c>
      <c r="BI821" s="121">
        <v>16.698</v>
      </c>
      <c r="BJ821" s="121">
        <v>17.709249999999997</v>
      </c>
      <c r="BK821" s="121">
        <v>18.720500000000001</v>
      </c>
      <c r="BL821" s="121">
        <v>19.701999999999998</v>
      </c>
      <c r="BM821" s="121">
        <v>20.683500000000002</v>
      </c>
      <c r="BN821" s="121">
        <v>21.608750000000001</v>
      </c>
      <c r="BO821" s="121">
        <v>22.533999999999999</v>
      </c>
      <c r="BP821" s="121">
        <v>23.471250000000001</v>
      </c>
      <c r="BQ821" s="121">
        <v>24.4085</v>
      </c>
      <c r="BR821" s="121">
        <v>25.309249999999999</v>
      </c>
      <c r="BS821" s="121">
        <v>26.21</v>
      </c>
      <c r="BT821" s="121">
        <v>27.132750000000001</v>
      </c>
      <c r="BU821" s="121">
        <v>28.055500000000002</v>
      </c>
      <c r="BV821" s="121">
        <v>28.9255</v>
      </c>
      <c r="BW821" s="121">
        <v>29.795499999999997</v>
      </c>
      <c r="BX821" s="121">
        <v>30.658999999999999</v>
      </c>
      <c r="BY821" s="121">
        <f t="array" ref="BY821:BY854">TRANSPOSE(BZ820:DG820)</f>
        <v>31.522500000000001</v>
      </c>
      <c r="BZ821" s="120">
        <f>(BY821+CA821)/2</f>
        <v>32.40475</v>
      </c>
      <c r="CA821" s="120">
        <f>(CA820+CA822)/2</f>
        <v>33.286999999999999</v>
      </c>
      <c r="CB821" s="120">
        <f>(CA821+CC821)/2</f>
        <v>34.1355</v>
      </c>
      <c r="CC821" s="120">
        <f>(CC820+CC822)/2</f>
        <v>34.984000000000002</v>
      </c>
      <c r="CD821" s="120">
        <f>(CC821+CE821)/2</f>
        <v>35.817250000000001</v>
      </c>
      <c r="CE821" s="120">
        <f>(CE820+CE822)/2</f>
        <v>36.650499999999994</v>
      </c>
      <c r="CF821" s="120">
        <f>(CE821+CG821)/2</f>
        <v>37.495499999999993</v>
      </c>
      <c r="CG821" s="120">
        <f>(CG820+CG822)/2</f>
        <v>38.340499999999999</v>
      </c>
      <c r="CH821" s="120">
        <f>(CG821+CI821)/2</f>
        <v>39.185749999999999</v>
      </c>
      <c r="CI821" s="120">
        <f>(CI820+CI822)/2</f>
        <v>40.030999999999999</v>
      </c>
      <c r="CJ821" s="120">
        <f>(CI821+CK821)/2</f>
        <v>40.883499999999998</v>
      </c>
      <c r="CK821" s="120">
        <f>(CK820+CK822)/2</f>
        <v>41.735999999999997</v>
      </c>
      <c r="CL821" s="120">
        <f>(CK821+CM821)/2</f>
        <v>42.550249999999998</v>
      </c>
      <c r="CM821" s="120">
        <f>(CM820+CM822)/2</f>
        <v>43.3645</v>
      </c>
      <c r="CN821" s="120">
        <f>(CM821+CO821)/2</f>
        <v>44.173000000000002</v>
      </c>
      <c r="CO821" s="120">
        <f>(CO820+CO822)/2</f>
        <v>44.981499999999997</v>
      </c>
      <c r="CP821" s="120">
        <f>(CO821+CQ821)/2</f>
        <v>45.826499999999996</v>
      </c>
      <c r="CQ821" s="120">
        <f>(CQ820+CQ822)/2</f>
        <v>46.671499999999995</v>
      </c>
      <c r="CR821" s="120">
        <f>(CQ821+CS821)/2</f>
        <v>47.483750000000001</v>
      </c>
      <c r="CS821" s="120">
        <f>(CS820+CS822)/2</f>
        <v>48.295999999999999</v>
      </c>
      <c r="CT821" s="120">
        <f>(CS821+CU821)/2</f>
        <v>49.091999999999999</v>
      </c>
      <c r="CU821" s="120">
        <f>(CU820+CU822)/2</f>
        <v>49.888000000000005</v>
      </c>
      <c r="CV821" s="120">
        <f>(CU821+CW821)/2</f>
        <v>50.696250000000006</v>
      </c>
      <c r="CW821" s="120">
        <f>(CW820+CW822)/2</f>
        <v>51.5045</v>
      </c>
      <c r="CX821" s="120">
        <f>(CW821+CY821)/2</f>
        <v>52.312749999999994</v>
      </c>
      <c r="CY821" s="120">
        <f>(CY820+CY822)/2</f>
        <v>53.120999999999995</v>
      </c>
      <c r="CZ821" s="120">
        <f>(CY821+DA821)/2</f>
        <v>53.929499999999997</v>
      </c>
      <c r="DA821" s="120">
        <f>(DA820+DA822)/2</f>
        <v>54.738</v>
      </c>
      <c r="DB821" s="120">
        <f>(DA821+DC821)/2</f>
        <v>55.518999999999998</v>
      </c>
      <c r="DC821" s="120">
        <f>(DC820+DC822)/2</f>
        <v>56.3</v>
      </c>
      <c r="DD821" s="120">
        <f>(DC821+DE821)/2</f>
        <v>57.108249999999998</v>
      </c>
      <c r="DE821" s="120">
        <f>(DE820+DE822)/2</f>
        <v>57.916499999999999</v>
      </c>
      <c r="DF821" s="120">
        <f>(DE821+DG821)/2</f>
        <v>58.725000000000001</v>
      </c>
      <c r="DG821" s="122">
        <f>(DG820+DG822)/2</f>
        <v>59.533500000000004</v>
      </c>
    </row>
    <row r="822" spans="54:111" ht="15" customHeight="1" x14ac:dyDescent="0.2">
      <c r="BB822" s="28">
        <v>28</v>
      </c>
      <c r="BC822" s="121">
        <v>10.319000000000001</v>
      </c>
      <c r="BD822" s="121">
        <v>11.570499999999999</v>
      </c>
      <c r="BE822" s="121">
        <v>12.821999999999999</v>
      </c>
      <c r="BF822" s="121">
        <v>13.930999999999999</v>
      </c>
      <c r="BG822" s="121">
        <v>15.04</v>
      </c>
      <c r="BH822" s="121">
        <v>16.099499999999999</v>
      </c>
      <c r="BI822" s="121">
        <v>17.158999999999999</v>
      </c>
      <c r="BJ822" s="121">
        <v>18.157499999999999</v>
      </c>
      <c r="BK822" s="121">
        <v>19.155999999999999</v>
      </c>
      <c r="BL822" s="121">
        <v>20.186</v>
      </c>
      <c r="BM822" s="121">
        <v>21.216000000000001</v>
      </c>
      <c r="BN822" s="121">
        <v>22.177500000000002</v>
      </c>
      <c r="BO822" s="121">
        <v>23.138999999999999</v>
      </c>
      <c r="BP822" s="121">
        <v>24.088000000000001</v>
      </c>
      <c r="BQ822" s="121">
        <v>25.036999999999999</v>
      </c>
      <c r="BR822" s="121">
        <v>25.961500000000001</v>
      </c>
      <c r="BS822" s="121">
        <v>26.885999999999999</v>
      </c>
      <c r="BT822" s="121">
        <v>27.843</v>
      </c>
      <c r="BU822" s="121">
        <v>28.8</v>
      </c>
      <c r="BV822" s="121">
        <v>29.6875</v>
      </c>
      <c r="BW822" s="121">
        <v>30.574999999999999</v>
      </c>
      <c r="BX822" s="121">
        <v>31.487499999999997</v>
      </c>
      <c r="BY822" s="121">
        <v>32.4</v>
      </c>
      <c r="BZ822" s="121">
        <f t="array" ref="BZ822:BZ854">TRANSPOSE(CA821:DG821)</f>
        <v>33.286999999999999</v>
      </c>
      <c r="CA822" s="158">
        <v>34.173999999999999</v>
      </c>
      <c r="CB822" s="120">
        <f>(CC822+CA822)/2</f>
        <v>35.0565</v>
      </c>
      <c r="CC822" s="158">
        <v>35.939</v>
      </c>
      <c r="CD822" s="120">
        <f>(CE822+CC822)/2</f>
        <v>36.79</v>
      </c>
      <c r="CE822" s="158">
        <v>37.640999999999998</v>
      </c>
      <c r="CF822" s="120">
        <f>(CG822+CE822)/2</f>
        <v>38.515999999999998</v>
      </c>
      <c r="CG822" s="158">
        <v>39.390999999999998</v>
      </c>
      <c r="CH822" s="120">
        <f>(CI822+CG822)/2</f>
        <v>40.241500000000002</v>
      </c>
      <c r="CI822" s="158">
        <v>41.091999999999999</v>
      </c>
      <c r="CJ822" s="120">
        <f>(CK822+CI822)/2</f>
        <v>41.974999999999994</v>
      </c>
      <c r="CK822" s="158">
        <v>42.857999999999997</v>
      </c>
      <c r="CL822" s="120">
        <f>(CM822+CK822)/2</f>
        <v>43.708500000000001</v>
      </c>
      <c r="CM822" s="158">
        <v>44.558999999999997</v>
      </c>
      <c r="CN822" s="120">
        <f>(CO822+CM822)/2</f>
        <v>45.397499999999994</v>
      </c>
      <c r="CO822" s="158">
        <v>46.235999999999997</v>
      </c>
      <c r="CP822" s="120">
        <f>(CQ822+CO822)/2</f>
        <v>47.086500000000001</v>
      </c>
      <c r="CQ822" s="158">
        <v>47.936999999999998</v>
      </c>
      <c r="CR822" s="120">
        <f>(CS822+CQ822)/2</f>
        <v>48.783000000000001</v>
      </c>
      <c r="CS822" s="158">
        <v>49.628999999999998</v>
      </c>
      <c r="CT822" s="120">
        <f>(CU822+CS822)/2</f>
        <v>50.4435</v>
      </c>
      <c r="CU822" s="158">
        <v>51.258000000000003</v>
      </c>
      <c r="CV822" s="120">
        <f>(CW822+CU822)/2</f>
        <v>52.096000000000004</v>
      </c>
      <c r="CW822" s="158">
        <v>52.933999999999997</v>
      </c>
      <c r="CX822" s="120">
        <f>(CY822+CW822)/2</f>
        <v>53.747999999999998</v>
      </c>
      <c r="CY822" s="158">
        <v>54.561999999999998</v>
      </c>
      <c r="CZ822" s="120">
        <f>(DA822+CY822)/2</f>
        <v>55.4</v>
      </c>
      <c r="DA822" s="158">
        <v>56.238</v>
      </c>
      <c r="DB822" s="120">
        <f>(DC822+DA822)/2</f>
        <v>57.058999999999997</v>
      </c>
      <c r="DC822" s="158">
        <v>57.88</v>
      </c>
      <c r="DD822" s="120">
        <f>(DE822+DC822)/2</f>
        <v>58.718500000000006</v>
      </c>
      <c r="DE822" s="158">
        <v>59.557000000000002</v>
      </c>
      <c r="DF822" s="120">
        <f>(DG822+DE822)/2</f>
        <v>60.371000000000002</v>
      </c>
      <c r="DG822" s="159">
        <v>61.185000000000002</v>
      </c>
    </row>
    <row r="823" spans="54:111" ht="15" customHeight="1" x14ac:dyDescent="0.2">
      <c r="BB823" s="28">
        <v>29</v>
      </c>
      <c r="BC823" s="121">
        <v>10.5745</v>
      </c>
      <c r="BD823" s="121">
        <v>11.827999999999999</v>
      </c>
      <c r="BE823" s="121">
        <v>13.081499999999998</v>
      </c>
      <c r="BF823" s="121">
        <v>14.242750000000001</v>
      </c>
      <c r="BG823" s="121">
        <v>15.404</v>
      </c>
      <c r="BH823" s="121">
        <v>16.5</v>
      </c>
      <c r="BI823" s="121">
        <v>17.596</v>
      </c>
      <c r="BJ823" s="121">
        <v>18.62425</v>
      </c>
      <c r="BK823" s="121">
        <v>19.6525</v>
      </c>
      <c r="BL823" s="121">
        <v>20.68825</v>
      </c>
      <c r="BM823" s="121">
        <v>21.724</v>
      </c>
      <c r="BN823" s="121">
        <v>22.71575</v>
      </c>
      <c r="BO823" s="121">
        <v>23.7075</v>
      </c>
      <c r="BP823" s="121">
        <v>24.696249999999999</v>
      </c>
      <c r="BQ823" s="121">
        <v>25.684999999999999</v>
      </c>
      <c r="BR823" s="121">
        <v>26.639749999999999</v>
      </c>
      <c r="BS823" s="121">
        <v>27.5945</v>
      </c>
      <c r="BT823" s="121">
        <v>28.552999999999997</v>
      </c>
      <c r="BU823" s="121">
        <v>29.511499999999998</v>
      </c>
      <c r="BV823" s="121">
        <v>30.432749999999999</v>
      </c>
      <c r="BW823" s="121">
        <v>31.353999999999999</v>
      </c>
      <c r="BX823" s="121">
        <v>32.28425</v>
      </c>
      <c r="BY823" s="121">
        <v>33.214500000000001</v>
      </c>
      <c r="BZ823" s="121">
        <v>34.1355</v>
      </c>
      <c r="CA823" s="121">
        <f t="array" ref="CA823:CA854">TRANSPOSE(CB822:DG822)</f>
        <v>35.0565</v>
      </c>
      <c r="CB823" s="120">
        <f>(CA823+CC823)/2</f>
        <v>35.959499999999998</v>
      </c>
      <c r="CC823" s="120">
        <f>(CC822+CC824)/2</f>
        <v>36.862499999999997</v>
      </c>
      <c r="CD823" s="120">
        <f>(CC823+CE823)/2</f>
        <v>37.743249999999996</v>
      </c>
      <c r="CE823" s="120">
        <f>(CE822+CE824)/2</f>
        <v>38.623999999999995</v>
      </c>
      <c r="CF823" s="120">
        <f>(CE823+CG823)/2</f>
        <v>39.52075</v>
      </c>
      <c r="CG823" s="120">
        <f>(CG822+CG824)/2</f>
        <v>40.417500000000004</v>
      </c>
      <c r="CH823" s="120">
        <f>(CG823+CI823)/2</f>
        <v>41.298500000000004</v>
      </c>
      <c r="CI823" s="120">
        <f>(CI822+CI824)/2</f>
        <v>42.179500000000004</v>
      </c>
      <c r="CJ823" s="120">
        <f>(CI823+CK823)/2</f>
        <v>43.067500000000003</v>
      </c>
      <c r="CK823" s="120">
        <f>(CK822+CK824)/2</f>
        <v>43.955500000000001</v>
      </c>
      <c r="CL823" s="120">
        <f>(CK823+CM823)/2</f>
        <v>44.83625</v>
      </c>
      <c r="CM823" s="120">
        <f>(CM822+CM824)/2</f>
        <v>45.716999999999999</v>
      </c>
      <c r="CN823" s="120">
        <f>(CM823+CO823)/2</f>
        <v>46.591999999999999</v>
      </c>
      <c r="CO823" s="120">
        <f>(CO822+CO824)/2</f>
        <v>47.466999999999999</v>
      </c>
      <c r="CP823" s="120">
        <f>(CO823+CQ823)/2</f>
        <v>48.332499999999996</v>
      </c>
      <c r="CQ823" s="120">
        <f>(CQ822+CQ824)/2</f>
        <v>49.198</v>
      </c>
      <c r="CR823" s="120">
        <f>(CQ823+CS823)/2</f>
        <v>50.064250000000001</v>
      </c>
      <c r="CS823" s="120">
        <f>(CS822+CS824)/2</f>
        <v>50.930499999999995</v>
      </c>
      <c r="CT823" s="120">
        <f>(CS823+CU823)/2</f>
        <v>51.778499999999994</v>
      </c>
      <c r="CU823" s="120">
        <f>(CU822+CU824)/2</f>
        <v>52.6265</v>
      </c>
      <c r="CV823" s="120">
        <f>(CU823+CW823)/2</f>
        <v>53.482500000000002</v>
      </c>
      <c r="CW823" s="120">
        <f>(CW822+CW824)/2</f>
        <v>54.338499999999996</v>
      </c>
      <c r="CX823" s="120">
        <f>(CW823+CY823)/2</f>
        <v>55.200999999999993</v>
      </c>
      <c r="CY823" s="120">
        <f>(CY822+CY824)/2</f>
        <v>56.063499999999998</v>
      </c>
      <c r="CZ823" s="120">
        <f>(CY823+DA823)/2</f>
        <v>56.910749999999993</v>
      </c>
      <c r="DA823" s="120">
        <f>(DA822+DA824)/2</f>
        <v>57.757999999999996</v>
      </c>
      <c r="DB823" s="120">
        <f>(DA823+DC823)/2</f>
        <v>58.60575</v>
      </c>
      <c r="DC823" s="120">
        <f>(DC822+DC824)/2</f>
        <v>59.453500000000005</v>
      </c>
      <c r="DD823" s="120">
        <f>(DC823+DE823)/2</f>
        <v>60.294750000000008</v>
      </c>
      <c r="DE823" s="120">
        <f>(DE822+DE824)/2</f>
        <v>61.136000000000003</v>
      </c>
      <c r="DF823" s="120">
        <f>(DE823+DG823)/2</f>
        <v>61.980249999999998</v>
      </c>
      <c r="DG823" s="122">
        <f>(DG822+DG824)/2</f>
        <v>62.8245</v>
      </c>
    </row>
    <row r="824" spans="54:111" ht="15" customHeight="1" x14ac:dyDescent="0.2">
      <c r="BB824" s="28">
        <v>30</v>
      </c>
      <c r="BC824" s="121">
        <v>10.83</v>
      </c>
      <c r="BD824" s="121">
        <v>12.0855</v>
      </c>
      <c r="BE824" s="121">
        <v>13.340999999999999</v>
      </c>
      <c r="BF824" s="121">
        <v>14.554500000000001</v>
      </c>
      <c r="BG824" s="121">
        <v>15.768000000000001</v>
      </c>
      <c r="BH824" s="121">
        <v>16.900500000000001</v>
      </c>
      <c r="BI824" s="121">
        <v>18.033000000000001</v>
      </c>
      <c r="BJ824" s="121">
        <v>19.091000000000001</v>
      </c>
      <c r="BK824" s="121">
        <v>20.149000000000001</v>
      </c>
      <c r="BL824" s="121">
        <v>21.1905</v>
      </c>
      <c r="BM824" s="121">
        <v>22.231999999999999</v>
      </c>
      <c r="BN824" s="121">
        <v>23.253999999999998</v>
      </c>
      <c r="BO824" s="121">
        <v>24.276</v>
      </c>
      <c r="BP824" s="121">
        <v>25.304499999999997</v>
      </c>
      <c r="BQ824" s="121">
        <v>26.332999999999998</v>
      </c>
      <c r="BR824" s="121">
        <v>27.317999999999998</v>
      </c>
      <c r="BS824" s="121">
        <v>28.303000000000001</v>
      </c>
      <c r="BT824" s="121">
        <v>29.262999999999998</v>
      </c>
      <c r="BU824" s="121">
        <v>30.222999999999999</v>
      </c>
      <c r="BV824" s="121">
        <v>31.178000000000001</v>
      </c>
      <c r="BW824" s="121">
        <v>32.133000000000003</v>
      </c>
      <c r="BX824" s="121">
        <v>33.081000000000003</v>
      </c>
      <c r="BY824" s="121">
        <v>34.029000000000003</v>
      </c>
      <c r="BZ824" s="121">
        <v>34.984000000000002</v>
      </c>
      <c r="CA824" s="121">
        <v>35.939</v>
      </c>
      <c r="CB824" s="121">
        <f t="array" ref="CB824:CB854">TRANSPOSE(CC823:DG823)</f>
        <v>36.862499999999997</v>
      </c>
      <c r="CC824" s="158">
        <v>37.786000000000001</v>
      </c>
      <c r="CD824" s="120">
        <f>(CE824+CC824)/2</f>
        <v>38.6965</v>
      </c>
      <c r="CE824" s="158">
        <v>39.606999999999999</v>
      </c>
      <c r="CF824" s="120">
        <f>(CG824+CE824)/2</f>
        <v>40.525500000000001</v>
      </c>
      <c r="CG824" s="158">
        <v>41.444000000000003</v>
      </c>
      <c r="CH824" s="120">
        <f>(CI824+CG824)/2</f>
        <v>42.355500000000006</v>
      </c>
      <c r="CI824" s="158">
        <v>43.267000000000003</v>
      </c>
      <c r="CJ824" s="120">
        <f>(CK824+CI824)/2</f>
        <v>44.16</v>
      </c>
      <c r="CK824" s="158">
        <v>45.052999999999997</v>
      </c>
      <c r="CL824" s="120">
        <f>(CM824+CK824)/2</f>
        <v>45.963999999999999</v>
      </c>
      <c r="CM824" s="158">
        <v>46.875</v>
      </c>
      <c r="CN824" s="120">
        <f>(CO824+CM824)/2</f>
        <v>47.786500000000004</v>
      </c>
      <c r="CO824" s="158">
        <v>48.698</v>
      </c>
      <c r="CP824" s="120">
        <f>(CQ824+CO824)/2</f>
        <v>49.578500000000005</v>
      </c>
      <c r="CQ824" s="158">
        <v>50.459000000000003</v>
      </c>
      <c r="CR824" s="120">
        <f>(CS824+CQ824)/2</f>
        <v>51.345500000000001</v>
      </c>
      <c r="CS824" s="158">
        <v>52.231999999999999</v>
      </c>
      <c r="CT824" s="120">
        <f>(CU824+CS824)/2</f>
        <v>53.113500000000002</v>
      </c>
      <c r="CU824" s="158">
        <v>53.994999999999997</v>
      </c>
      <c r="CV824" s="120">
        <f>(CW824+CU824)/2</f>
        <v>54.869</v>
      </c>
      <c r="CW824" s="158">
        <v>55.743000000000002</v>
      </c>
      <c r="CX824" s="120">
        <f>(CY824+CW824)/2</f>
        <v>56.653999999999996</v>
      </c>
      <c r="CY824" s="158">
        <v>57.564999999999998</v>
      </c>
      <c r="CZ824" s="120">
        <f>(DA824+CY824)/2</f>
        <v>58.421499999999995</v>
      </c>
      <c r="DA824" s="158">
        <v>59.277999999999999</v>
      </c>
      <c r="DB824" s="120">
        <f>(DC824+DA824)/2</f>
        <v>60.152500000000003</v>
      </c>
      <c r="DC824" s="158">
        <v>61.027000000000001</v>
      </c>
      <c r="DD824" s="120">
        <f>(DE824+DC824)/2</f>
        <v>61.871000000000002</v>
      </c>
      <c r="DE824" s="158">
        <v>62.715000000000003</v>
      </c>
      <c r="DF824" s="120">
        <f>(DG824+DE824)/2</f>
        <v>63.589500000000001</v>
      </c>
      <c r="DG824" s="159">
        <v>64.463999999999999</v>
      </c>
    </row>
    <row r="825" spans="54:111" ht="15" customHeight="1" x14ac:dyDescent="0.2">
      <c r="BB825" s="28">
        <v>31</v>
      </c>
      <c r="BC825" s="121">
        <v>11.0915</v>
      </c>
      <c r="BD825" s="121">
        <v>12.380749999999999</v>
      </c>
      <c r="BE825" s="121">
        <v>13.67</v>
      </c>
      <c r="BF825" s="121">
        <v>14.89775</v>
      </c>
      <c r="BG825" s="121">
        <v>16.125500000000002</v>
      </c>
      <c r="BH825" s="121">
        <v>17.279250000000001</v>
      </c>
      <c r="BI825" s="121">
        <v>18.433</v>
      </c>
      <c r="BJ825" s="121">
        <v>19.527250000000002</v>
      </c>
      <c r="BK825" s="121">
        <v>20.621500000000001</v>
      </c>
      <c r="BL825" s="121">
        <v>21.693249999999999</v>
      </c>
      <c r="BM825" s="121">
        <v>22.765000000000001</v>
      </c>
      <c r="BN825" s="121">
        <v>23.804499999999997</v>
      </c>
      <c r="BO825" s="121">
        <v>24.844000000000001</v>
      </c>
      <c r="BP825" s="121">
        <v>25.890249999999998</v>
      </c>
      <c r="BQ825" s="121">
        <v>26.936499999999999</v>
      </c>
      <c r="BR825" s="121">
        <v>27.943249999999999</v>
      </c>
      <c r="BS825" s="121">
        <v>28.950000000000003</v>
      </c>
      <c r="BT825" s="121">
        <v>29.939999999999998</v>
      </c>
      <c r="BU825" s="121">
        <v>30.93</v>
      </c>
      <c r="BV825" s="121">
        <v>31.921250000000001</v>
      </c>
      <c r="BW825" s="121">
        <v>32.912500000000001</v>
      </c>
      <c r="BX825" s="121">
        <v>33.878500000000003</v>
      </c>
      <c r="BY825" s="121">
        <v>34.844499999999996</v>
      </c>
      <c r="BZ825" s="121">
        <v>35.817250000000001</v>
      </c>
      <c r="CA825" s="121">
        <v>36.79</v>
      </c>
      <c r="CB825" s="121">
        <v>37.743249999999996</v>
      </c>
      <c r="CC825" s="121">
        <f t="array" ref="CC825:CC854">TRANSPOSE(CD824:DG824)</f>
        <v>38.6965</v>
      </c>
      <c r="CD825" s="120">
        <f>(CC825+CE825)/2</f>
        <v>39.647500000000001</v>
      </c>
      <c r="CE825" s="120">
        <f>(CE824+CE826)/2</f>
        <v>40.598500000000001</v>
      </c>
      <c r="CF825" s="120">
        <f>(CE825+CG825)/2</f>
        <v>41.534500000000001</v>
      </c>
      <c r="CG825" s="120">
        <f>(CG824+CG826)/2</f>
        <v>42.470500000000001</v>
      </c>
      <c r="CH825" s="120">
        <f>(CG825+CI825)/2</f>
        <v>43.399500000000003</v>
      </c>
      <c r="CI825" s="120">
        <f>(CI824+CI826)/2</f>
        <v>44.328500000000005</v>
      </c>
      <c r="CJ825" s="120">
        <f>(CI825+CK825)/2</f>
        <v>45.252250000000004</v>
      </c>
      <c r="CK825" s="120">
        <f>(CK824+CK826)/2</f>
        <v>46.176000000000002</v>
      </c>
      <c r="CL825" s="120">
        <f>(CK825+CM825)/2</f>
        <v>47.104500000000002</v>
      </c>
      <c r="CM825" s="120">
        <f>(CM824+CM826)/2</f>
        <v>48.033000000000001</v>
      </c>
      <c r="CN825" s="120">
        <f>(CM825+CO825)/2</f>
        <v>48.96575</v>
      </c>
      <c r="CO825" s="120">
        <f>(CO824+CO826)/2</f>
        <v>49.898499999999999</v>
      </c>
      <c r="CP825" s="120">
        <f>(CO825+CQ825)/2</f>
        <v>50.811999999999998</v>
      </c>
      <c r="CQ825" s="120">
        <f>(CQ824+CQ826)/2</f>
        <v>51.725499999999997</v>
      </c>
      <c r="CR825" s="120">
        <f>(CQ825+CS825)/2</f>
        <v>52.627249999999997</v>
      </c>
      <c r="CS825" s="120">
        <f>(CS824+CS826)/2</f>
        <v>53.528999999999996</v>
      </c>
      <c r="CT825" s="120">
        <f>(CS825+CU825)/2</f>
        <v>54.442999999999998</v>
      </c>
      <c r="CU825" s="120">
        <f>(CU824+CU826)/2</f>
        <v>55.356999999999999</v>
      </c>
      <c r="CV825" s="120">
        <f>(CU825+CW825)/2</f>
        <v>56.252250000000004</v>
      </c>
      <c r="CW825" s="120">
        <f>(CW824+CW826)/2</f>
        <v>57.147500000000001</v>
      </c>
      <c r="CX825" s="120">
        <f>(CW825+CY825)/2</f>
        <v>58.080249999999999</v>
      </c>
      <c r="CY825" s="120">
        <f>(CY824+CY826)/2</f>
        <v>59.012999999999998</v>
      </c>
      <c r="CZ825" s="120">
        <f>(CY825+DA825)/2</f>
        <v>59.896000000000001</v>
      </c>
      <c r="DA825" s="120">
        <f>(DA824+DA826)/2</f>
        <v>60.778999999999996</v>
      </c>
      <c r="DB825" s="120">
        <f>(DA825+DC825)/2</f>
        <v>61.674499999999995</v>
      </c>
      <c r="DC825" s="120">
        <f>(DC824+DC826)/2</f>
        <v>62.57</v>
      </c>
      <c r="DD825" s="120">
        <f>(DC825+DE825)/2</f>
        <v>63.447000000000003</v>
      </c>
      <c r="DE825" s="120">
        <f>(DE824+DE826)/2</f>
        <v>64.324000000000012</v>
      </c>
      <c r="DF825" s="120">
        <f>(DE825+DG825)/2</f>
        <v>65.219750000000005</v>
      </c>
      <c r="DG825" s="122">
        <f>(DG824+DG826)/2</f>
        <v>66.115499999999997</v>
      </c>
    </row>
    <row r="826" spans="54:111" ht="15" customHeight="1" x14ac:dyDescent="0.2">
      <c r="BB826" s="28">
        <v>32</v>
      </c>
      <c r="BC826" s="121">
        <v>11.353</v>
      </c>
      <c r="BD826" s="121">
        <v>12.676</v>
      </c>
      <c r="BE826" s="121">
        <v>13.999000000000001</v>
      </c>
      <c r="BF826" s="121">
        <v>15.241</v>
      </c>
      <c r="BG826" s="121">
        <v>16.483000000000001</v>
      </c>
      <c r="BH826" s="121">
        <v>17.658000000000001</v>
      </c>
      <c r="BI826" s="121">
        <v>18.832999999999998</v>
      </c>
      <c r="BJ826" s="121">
        <v>19.9635</v>
      </c>
      <c r="BK826" s="121">
        <v>21.094000000000001</v>
      </c>
      <c r="BL826" s="121">
        <v>22.195999999999998</v>
      </c>
      <c r="BM826" s="121">
        <v>23.297999999999998</v>
      </c>
      <c r="BN826" s="121">
        <v>24.354999999999997</v>
      </c>
      <c r="BO826" s="121">
        <v>25.411999999999999</v>
      </c>
      <c r="BP826" s="121">
        <v>26.475999999999999</v>
      </c>
      <c r="BQ826" s="121">
        <v>27.54</v>
      </c>
      <c r="BR826" s="121">
        <v>28.5685</v>
      </c>
      <c r="BS826" s="121">
        <v>29.597000000000001</v>
      </c>
      <c r="BT826" s="121">
        <v>30.617000000000001</v>
      </c>
      <c r="BU826" s="121">
        <v>31.637</v>
      </c>
      <c r="BV826" s="121">
        <v>32.664500000000004</v>
      </c>
      <c r="BW826" s="121">
        <v>33.692</v>
      </c>
      <c r="BX826" s="121">
        <v>34.676000000000002</v>
      </c>
      <c r="BY826" s="121">
        <v>35.659999999999997</v>
      </c>
      <c r="BZ826" s="121">
        <v>36.650499999999994</v>
      </c>
      <c r="CA826" s="121">
        <v>37.640999999999998</v>
      </c>
      <c r="CB826" s="121">
        <v>38.623999999999995</v>
      </c>
      <c r="CC826" s="121">
        <v>39.606999999999999</v>
      </c>
      <c r="CD826" s="121">
        <f t="array" ref="CD826:CD854">TRANSPOSE(CE825:DG825)</f>
        <v>40.598500000000001</v>
      </c>
      <c r="CE826" s="158">
        <v>41.59</v>
      </c>
      <c r="CF826" s="120">
        <f>(CG826+CE826)/2</f>
        <v>42.543500000000002</v>
      </c>
      <c r="CG826" s="158">
        <v>43.497</v>
      </c>
      <c r="CH826" s="120">
        <f>(CI826+CG826)/2</f>
        <v>44.4435</v>
      </c>
      <c r="CI826" s="158">
        <v>45.39</v>
      </c>
      <c r="CJ826" s="120">
        <f>(CK826+CI826)/2</f>
        <v>46.344499999999996</v>
      </c>
      <c r="CK826" s="158">
        <v>47.298999999999999</v>
      </c>
      <c r="CL826" s="120">
        <f>(CM826+CK826)/2</f>
        <v>48.245000000000005</v>
      </c>
      <c r="CM826" s="158">
        <v>49.191000000000003</v>
      </c>
      <c r="CN826" s="120">
        <f>(CO826+CM826)/2</f>
        <v>50.144999999999996</v>
      </c>
      <c r="CO826" s="158">
        <v>51.098999999999997</v>
      </c>
      <c r="CP826" s="120">
        <f>(CQ826+CO826)/2</f>
        <v>52.045499999999997</v>
      </c>
      <c r="CQ826" s="158">
        <v>52.991999999999997</v>
      </c>
      <c r="CR826" s="120">
        <f>(CS826+CQ826)/2</f>
        <v>53.908999999999999</v>
      </c>
      <c r="CS826" s="158">
        <v>54.826000000000001</v>
      </c>
      <c r="CT826" s="120">
        <f>(CU826+CS826)/2</f>
        <v>55.772500000000001</v>
      </c>
      <c r="CU826" s="158">
        <v>56.719000000000001</v>
      </c>
      <c r="CV826" s="120">
        <f>(CW826+CU826)/2</f>
        <v>57.6355</v>
      </c>
      <c r="CW826" s="158">
        <v>58.552</v>
      </c>
      <c r="CX826" s="120">
        <f>(CY826+CW826)/2</f>
        <v>59.506500000000003</v>
      </c>
      <c r="CY826" s="158">
        <v>60.460999999999999</v>
      </c>
      <c r="CZ826" s="120">
        <f>(DA826+CY826)/2</f>
        <v>61.3705</v>
      </c>
      <c r="DA826" s="158">
        <v>62.28</v>
      </c>
      <c r="DB826" s="120">
        <f>(DC826+DA826)/2</f>
        <v>63.1965</v>
      </c>
      <c r="DC826" s="158">
        <v>64.113</v>
      </c>
      <c r="DD826" s="120">
        <f>(DE826+DC826)/2</f>
        <v>65.022999999999996</v>
      </c>
      <c r="DE826" s="158">
        <v>65.933000000000007</v>
      </c>
      <c r="DF826" s="120">
        <f>(DG826+DE826)/2</f>
        <v>66.849999999999994</v>
      </c>
      <c r="DG826" s="159">
        <v>67.766999999999996</v>
      </c>
    </row>
    <row r="827" spans="54:111" ht="15" customHeight="1" x14ac:dyDescent="0.2">
      <c r="BB827" s="28">
        <v>33</v>
      </c>
      <c r="BC827" s="121">
        <v>11.602</v>
      </c>
      <c r="BD827" s="121">
        <v>12.94275</v>
      </c>
      <c r="BE827" s="121">
        <v>14.2835</v>
      </c>
      <c r="BF827" s="121">
        <v>15.565249999999999</v>
      </c>
      <c r="BG827" s="121">
        <v>16.847000000000001</v>
      </c>
      <c r="BH827" s="121">
        <v>18.04</v>
      </c>
      <c r="BI827" s="121">
        <v>19.232999999999997</v>
      </c>
      <c r="BJ827" s="121">
        <v>20.393749999999997</v>
      </c>
      <c r="BK827" s="121">
        <v>21.554500000000001</v>
      </c>
      <c r="BL827" s="121">
        <v>22.692499999999999</v>
      </c>
      <c r="BM827" s="121">
        <v>23.830500000000001</v>
      </c>
      <c r="BN827" s="121">
        <v>24.908999999999999</v>
      </c>
      <c r="BO827" s="121">
        <v>25.987499999999997</v>
      </c>
      <c r="BP827" s="121">
        <v>27.065750000000001</v>
      </c>
      <c r="BQ827" s="121">
        <v>28.143999999999998</v>
      </c>
      <c r="BR827" s="121">
        <v>29.220750000000002</v>
      </c>
      <c r="BS827" s="121">
        <v>30.297499999999999</v>
      </c>
      <c r="BT827" s="121">
        <v>31.338999999999999</v>
      </c>
      <c r="BU827" s="121">
        <v>32.380499999999998</v>
      </c>
      <c r="BV827" s="121">
        <v>33.426000000000002</v>
      </c>
      <c r="BW827" s="121">
        <v>34.471499999999999</v>
      </c>
      <c r="BX827" s="121">
        <v>35.47325</v>
      </c>
      <c r="BY827" s="121">
        <v>36.474999999999994</v>
      </c>
      <c r="BZ827" s="121">
        <v>37.495499999999993</v>
      </c>
      <c r="CA827" s="121">
        <v>38.515999999999998</v>
      </c>
      <c r="CB827" s="121">
        <v>39.52075</v>
      </c>
      <c r="CC827" s="121">
        <v>40.525500000000001</v>
      </c>
      <c r="CD827" s="121">
        <v>41.534500000000001</v>
      </c>
      <c r="CE827" s="121">
        <f t="array" ref="CE827:CE854">TRANSPOSE(CF826:DG826)</f>
        <v>42.543500000000002</v>
      </c>
      <c r="CF827" s="120">
        <f>(CE827+CG827)/2</f>
        <v>43.53</v>
      </c>
      <c r="CG827" s="120">
        <f>(CG826+CG828)/2</f>
        <v>44.516500000000001</v>
      </c>
      <c r="CH827" s="120">
        <f>(CG827+CI827)/2</f>
        <v>45.496750000000006</v>
      </c>
      <c r="CI827" s="120">
        <f>(CI826+CI828)/2</f>
        <v>46.477000000000004</v>
      </c>
      <c r="CJ827" s="120">
        <f>(CI827+CK827)/2</f>
        <v>47.448750000000004</v>
      </c>
      <c r="CK827" s="120">
        <f>(CK826+CK828)/2</f>
        <v>48.420500000000004</v>
      </c>
      <c r="CL827" s="120">
        <f>(CK827+CM827)/2</f>
        <v>49.384500000000003</v>
      </c>
      <c r="CM827" s="120">
        <f>(CM826+CM828)/2</f>
        <v>50.348500000000001</v>
      </c>
      <c r="CN827" s="120">
        <f>(CM827+CO827)/2</f>
        <v>51.320250000000001</v>
      </c>
      <c r="CO827" s="120">
        <f>(CO826+CO828)/2</f>
        <v>52.292000000000002</v>
      </c>
      <c r="CP827" s="120">
        <f>(CO827+CQ827)/2</f>
        <v>53.279249999999998</v>
      </c>
      <c r="CQ827" s="120">
        <f>(CQ826+CQ828)/2</f>
        <v>54.266499999999994</v>
      </c>
      <c r="CR827" s="120">
        <f>(CQ827+CS827)/2</f>
        <v>55.21275</v>
      </c>
      <c r="CS827" s="120">
        <f>(CS826+CS828)/2</f>
        <v>56.158999999999999</v>
      </c>
      <c r="CT827" s="120">
        <f>(CS827+CU827)/2</f>
        <v>57.104749999999996</v>
      </c>
      <c r="CU827" s="120">
        <f>(CU826+CU828)/2</f>
        <v>58.0505</v>
      </c>
      <c r="CV827" s="120">
        <f>(CU827+CW827)/2</f>
        <v>59.003500000000003</v>
      </c>
      <c r="CW827" s="120">
        <f>(CW826+CW828)/2</f>
        <v>59.956499999999998</v>
      </c>
      <c r="CX827" s="120">
        <f>(CW827+CY827)/2</f>
        <v>60.922749999999994</v>
      </c>
      <c r="CY827" s="120">
        <f>(CY826+CY828)/2</f>
        <v>61.888999999999996</v>
      </c>
      <c r="CZ827" s="120">
        <f>(CY827+DA827)/2</f>
        <v>62.83475</v>
      </c>
      <c r="DA827" s="120">
        <f>(DA826+DA828)/2</f>
        <v>63.780500000000004</v>
      </c>
      <c r="DB827" s="120">
        <f>(DA827+DC827)/2</f>
        <v>64.715000000000003</v>
      </c>
      <c r="DC827" s="120">
        <f>(DC826+DC828)/2</f>
        <v>65.649500000000003</v>
      </c>
      <c r="DD827" s="120">
        <f>(DC827+DE827)/2</f>
        <v>66.580749999999995</v>
      </c>
      <c r="DE827" s="120">
        <f>(DE826+DE828)/2</f>
        <v>67.512</v>
      </c>
      <c r="DF827" s="120">
        <f>(DE827+DG827)/2</f>
        <v>68.459249999999997</v>
      </c>
      <c r="DG827" s="122">
        <f>(DG826+DG828)/2</f>
        <v>69.406499999999994</v>
      </c>
    </row>
    <row r="828" spans="54:111" ht="15" customHeight="1" x14ac:dyDescent="0.2">
      <c r="BB828" s="28">
        <v>34</v>
      </c>
      <c r="BC828" s="121">
        <v>11.851000000000001</v>
      </c>
      <c r="BD828" s="121">
        <v>13.2095</v>
      </c>
      <c r="BE828" s="121">
        <v>14.568</v>
      </c>
      <c r="BF828" s="121">
        <v>15.889499999999998</v>
      </c>
      <c r="BG828" s="121">
        <v>17.210999999999999</v>
      </c>
      <c r="BH828" s="121">
        <v>18.421999999999997</v>
      </c>
      <c r="BI828" s="121">
        <v>19.632999999999999</v>
      </c>
      <c r="BJ828" s="121">
        <v>20.823999999999998</v>
      </c>
      <c r="BK828" s="121">
        <v>22.015000000000001</v>
      </c>
      <c r="BL828" s="121">
        <v>23.189</v>
      </c>
      <c r="BM828" s="121">
        <v>24.363</v>
      </c>
      <c r="BN828" s="121">
        <v>25.463000000000001</v>
      </c>
      <c r="BO828" s="121">
        <v>26.562999999999999</v>
      </c>
      <c r="BP828" s="121">
        <v>27.6555</v>
      </c>
      <c r="BQ828" s="121">
        <v>28.748000000000001</v>
      </c>
      <c r="BR828" s="121">
        <v>29.873000000000001</v>
      </c>
      <c r="BS828" s="121">
        <v>30.998000000000001</v>
      </c>
      <c r="BT828" s="121">
        <v>32.061</v>
      </c>
      <c r="BU828" s="121">
        <v>33.124000000000002</v>
      </c>
      <c r="BV828" s="121">
        <v>34.1875</v>
      </c>
      <c r="BW828" s="121">
        <v>35.250999999999998</v>
      </c>
      <c r="BX828" s="121">
        <v>36.270499999999998</v>
      </c>
      <c r="BY828" s="121">
        <v>37.29</v>
      </c>
      <c r="BZ828" s="121">
        <v>38.340499999999999</v>
      </c>
      <c r="CA828" s="121">
        <v>39.390999999999998</v>
      </c>
      <c r="CB828" s="121">
        <v>40.417500000000004</v>
      </c>
      <c r="CC828" s="121">
        <v>41.444000000000003</v>
      </c>
      <c r="CD828" s="121">
        <v>42.470500000000001</v>
      </c>
      <c r="CE828" s="121">
        <v>43.497</v>
      </c>
      <c r="CF828" s="121">
        <f t="array" ref="CF828:CF854">TRANSPOSE(CG827:DG827)</f>
        <v>44.516500000000001</v>
      </c>
      <c r="CG828" s="158">
        <v>45.536000000000001</v>
      </c>
      <c r="CH828" s="120">
        <f>(CI828+CG828)/2</f>
        <v>46.55</v>
      </c>
      <c r="CI828" s="158">
        <v>47.564</v>
      </c>
      <c r="CJ828" s="120">
        <f>(CK828+CI828)/2</f>
        <v>48.552999999999997</v>
      </c>
      <c r="CK828" s="158">
        <v>49.542000000000002</v>
      </c>
      <c r="CL828" s="120">
        <f>(CM828+CK828)/2</f>
        <v>50.524000000000001</v>
      </c>
      <c r="CM828" s="158">
        <v>51.506</v>
      </c>
      <c r="CN828" s="120">
        <f>(CO828+CM828)/2</f>
        <v>52.4955</v>
      </c>
      <c r="CO828" s="158">
        <v>53.484999999999999</v>
      </c>
      <c r="CP828" s="120">
        <f>(CQ828+CO828)/2</f>
        <v>54.512999999999998</v>
      </c>
      <c r="CQ828" s="158">
        <v>55.540999999999997</v>
      </c>
      <c r="CR828" s="120">
        <f>(CS828+CQ828)/2</f>
        <v>56.516499999999994</v>
      </c>
      <c r="CS828" s="158">
        <v>57.491999999999997</v>
      </c>
      <c r="CT828" s="120">
        <f>(CU828+CS828)/2</f>
        <v>58.436999999999998</v>
      </c>
      <c r="CU828" s="158">
        <v>59.381999999999998</v>
      </c>
      <c r="CV828" s="120">
        <f>(CW828+CU828)/2</f>
        <v>60.371499999999997</v>
      </c>
      <c r="CW828" s="158">
        <v>61.360999999999997</v>
      </c>
      <c r="CX828" s="120">
        <f>(CY828+CW828)/2</f>
        <v>62.338999999999999</v>
      </c>
      <c r="CY828" s="158">
        <v>63.317</v>
      </c>
      <c r="CZ828" s="120">
        <f>(DA828+CY828)/2</f>
        <v>64.299000000000007</v>
      </c>
      <c r="DA828" s="158">
        <v>65.281000000000006</v>
      </c>
      <c r="DB828" s="120">
        <f>(DC828+DA828)/2</f>
        <v>66.233500000000006</v>
      </c>
      <c r="DC828" s="158">
        <v>67.186000000000007</v>
      </c>
      <c r="DD828" s="120">
        <f>(DE828+DC828)/2</f>
        <v>68.138499999999993</v>
      </c>
      <c r="DE828" s="158">
        <v>69.090999999999994</v>
      </c>
      <c r="DF828" s="120">
        <f>(DG828+DE828)/2</f>
        <v>70.0685</v>
      </c>
      <c r="DG828" s="159">
        <v>71.046000000000006</v>
      </c>
    </row>
    <row r="829" spans="54:111" ht="15" customHeight="1" x14ac:dyDescent="0.2">
      <c r="BB829" s="28">
        <v>35</v>
      </c>
      <c r="BC829" s="121">
        <v>12.0825</v>
      </c>
      <c r="BD829" s="121">
        <v>13.489750000000001</v>
      </c>
      <c r="BE829" s="121">
        <v>14.897</v>
      </c>
      <c r="BF829" s="121">
        <v>16.217500000000001</v>
      </c>
      <c r="BG829" s="121">
        <v>17.537999999999997</v>
      </c>
      <c r="BH829" s="121">
        <v>18.793749999999999</v>
      </c>
      <c r="BI829" s="121">
        <v>20.049500000000002</v>
      </c>
      <c r="BJ829" s="121">
        <v>21.2685</v>
      </c>
      <c r="BK829" s="121">
        <v>22.487500000000001</v>
      </c>
      <c r="BL829" s="121">
        <v>23.673000000000002</v>
      </c>
      <c r="BM829" s="121">
        <v>24.858499999999999</v>
      </c>
      <c r="BN829" s="121">
        <v>25.99475</v>
      </c>
      <c r="BO829" s="121">
        <v>27.131</v>
      </c>
      <c r="BP829" s="121">
        <v>28.257750000000001</v>
      </c>
      <c r="BQ829" s="121">
        <v>29.384500000000003</v>
      </c>
      <c r="BR829" s="121">
        <v>30.514749999999999</v>
      </c>
      <c r="BS829" s="121">
        <v>31.645000000000003</v>
      </c>
      <c r="BT829" s="121">
        <v>32.738</v>
      </c>
      <c r="BU829" s="121">
        <v>33.831000000000003</v>
      </c>
      <c r="BV829" s="121">
        <v>34.912500000000001</v>
      </c>
      <c r="BW829" s="121">
        <v>35.994</v>
      </c>
      <c r="BX829" s="121">
        <v>37.061999999999998</v>
      </c>
      <c r="BY829" s="121">
        <v>38.129999999999995</v>
      </c>
      <c r="BZ829" s="121">
        <v>39.185749999999999</v>
      </c>
      <c r="CA829" s="121">
        <v>40.241500000000002</v>
      </c>
      <c r="CB829" s="121">
        <v>41.298500000000004</v>
      </c>
      <c r="CC829" s="121">
        <v>42.355500000000006</v>
      </c>
      <c r="CD829" s="121">
        <v>43.399500000000003</v>
      </c>
      <c r="CE829" s="121">
        <v>44.4435</v>
      </c>
      <c r="CF829" s="121">
        <v>45.496750000000006</v>
      </c>
      <c r="CG829" s="121">
        <f t="array" ref="CG829:CG854">TRANSPOSE(CH828:DG828)</f>
        <v>46.55</v>
      </c>
      <c r="CH829" s="120">
        <f>(CG829+CI829)/2</f>
        <v>47.569249999999997</v>
      </c>
      <c r="CI829" s="120">
        <f>(CI828+CI830)/2</f>
        <v>48.588499999999996</v>
      </c>
      <c r="CJ829" s="120">
        <f>(CI829+CK829)/2</f>
        <v>49.6265</v>
      </c>
      <c r="CK829" s="120">
        <f>(CK828+CK830)/2</f>
        <v>50.664500000000004</v>
      </c>
      <c r="CL829" s="120">
        <f>(CK829+CM829)/2</f>
        <v>51.686250000000001</v>
      </c>
      <c r="CM829" s="120">
        <f>(CM828+CM830)/2</f>
        <v>52.707999999999998</v>
      </c>
      <c r="CN829" s="120">
        <f>(CM829+CO829)/2</f>
        <v>53.705500000000001</v>
      </c>
      <c r="CO829" s="120">
        <f>(CO828+CO830)/2</f>
        <v>54.703000000000003</v>
      </c>
      <c r="CP829" s="120">
        <f>(CO829+CQ829)/2</f>
        <v>55.748249999999999</v>
      </c>
      <c r="CQ829" s="120">
        <f>(CQ828+CQ830)/2</f>
        <v>56.793499999999995</v>
      </c>
      <c r="CR829" s="120">
        <f>(CQ829+CS829)/2</f>
        <v>57.787499999999994</v>
      </c>
      <c r="CS829" s="120">
        <f>(CS828+CS830)/2</f>
        <v>58.781499999999994</v>
      </c>
      <c r="CT829" s="120">
        <f>(CS829+CU829)/2</f>
        <v>59.748249999999999</v>
      </c>
      <c r="CU829" s="120">
        <f>(CU828+CU830)/2</f>
        <v>60.715000000000003</v>
      </c>
      <c r="CV829" s="120">
        <f>(CU829+CW829)/2</f>
        <v>61.753</v>
      </c>
      <c r="CW829" s="120">
        <f>(CW828+CW830)/2</f>
        <v>62.790999999999997</v>
      </c>
      <c r="CX829" s="120">
        <f>(CW829+CY829)/2</f>
        <v>63.774000000000001</v>
      </c>
      <c r="CY829" s="120">
        <f>(CY828+CY830)/2</f>
        <v>64.757000000000005</v>
      </c>
      <c r="CZ829" s="120">
        <f>(CY829+DA829)/2</f>
        <v>65.754249999999999</v>
      </c>
      <c r="DA829" s="120">
        <f>(DA828+DA830)/2</f>
        <v>66.751499999999993</v>
      </c>
      <c r="DB829" s="120">
        <f>(DA829+DC829)/2</f>
        <v>67.721999999999994</v>
      </c>
      <c r="DC829" s="120">
        <f>(DC828+DC830)/2</f>
        <v>68.692499999999995</v>
      </c>
      <c r="DD829" s="120">
        <f>(DC829+DE829)/2</f>
        <v>69.675249999999991</v>
      </c>
      <c r="DE829" s="120">
        <f>(DE828+DE830)/2</f>
        <v>70.657999999999987</v>
      </c>
      <c r="DF829" s="120">
        <f>(DE829+DG829)/2</f>
        <v>71.637249999999995</v>
      </c>
      <c r="DG829" s="122">
        <f>(DG828+DG830)/2</f>
        <v>72.616500000000002</v>
      </c>
    </row>
    <row r="830" spans="54:111" ht="15" customHeight="1" x14ac:dyDescent="0.2">
      <c r="BB830" s="28">
        <v>36</v>
      </c>
      <c r="BC830" s="121">
        <v>12.314</v>
      </c>
      <c r="BD830" s="121">
        <v>13.77</v>
      </c>
      <c r="BE830" s="121">
        <v>15.226000000000001</v>
      </c>
      <c r="BF830" s="121">
        <v>16.545500000000001</v>
      </c>
      <c r="BG830" s="121">
        <v>17.864999999999998</v>
      </c>
      <c r="BH830" s="121">
        <v>19.165500000000002</v>
      </c>
      <c r="BI830" s="121">
        <v>20.466000000000001</v>
      </c>
      <c r="BJ830" s="121">
        <v>21.713000000000001</v>
      </c>
      <c r="BK830" s="121">
        <v>22.96</v>
      </c>
      <c r="BL830" s="121">
        <v>24.157</v>
      </c>
      <c r="BM830" s="121">
        <v>25.353999999999999</v>
      </c>
      <c r="BN830" s="121">
        <v>26.526499999999999</v>
      </c>
      <c r="BO830" s="121">
        <v>27.699000000000002</v>
      </c>
      <c r="BP830" s="121">
        <v>28.86</v>
      </c>
      <c r="BQ830" s="121">
        <v>30.021000000000001</v>
      </c>
      <c r="BR830" s="121">
        <v>31.156500000000001</v>
      </c>
      <c r="BS830" s="121">
        <v>32.292000000000002</v>
      </c>
      <c r="BT830" s="121">
        <v>33.414999999999999</v>
      </c>
      <c r="BU830" s="121">
        <v>34.537999999999997</v>
      </c>
      <c r="BV830" s="121">
        <v>35.637500000000003</v>
      </c>
      <c r="BW830" s="121">
        <v>36.737000000000002</v>
      </c>
      <c r="BX830" s="121">
        <v>37.853499999999997</v>
      </c>
      <c r="BY830" s="121">
        <v>38.97</v>
      </c>
      <c r="BZ830" s="121">
        <v>40.030999999999999</v>
      </c>
      <c r="CA830" s="121">
        <v>41.091999999999999</v>
      </c>
      <c r="CB830" s="121">
        <v>42.179500000000004</v>
      </c>
      <c r="CC830" s="121">
        <v>43.267000000000003</v>
      </c>
      <c r="CD830" s="121">
        <v>44.328500000000005</v>
      </c>
      <c r="CE830" s="121">
        <v>45.39</v>
      </c>
      <c r="CF830" s="121">
        <v>46.477000000000004</v>
      </c>
      <c r="CG830" s="121">
        <v>47.564</v>
      </c>
      <c r="CH830" s="121">
        <f t="array" ref="CH830:CH854">TRANSPOSE(CI829:DG829)</f>
        <v>48.588499999999996</v>
      </c>
      <c r="CI830" s="158">
        <v>49.613</v>
      </c>
      <c r="CJ830" s="120">
        <f>(CK830+CI830)/2</f>
        <v>50.7</v>
      </c>
      <c r="CK830" s="158">
        <v>51.786999999999999</v>
      </c>
      <c r="CL830" s="120">
        <f>(CM830+CK830)/2</f>
        <v>52.848500000000001</v>
      </c>
      <c r="CM830" s="158">
        <v>53.91</v>
      </c>
      <c r="CN830" s="120">
        <f>(CO830+CM830)/2</f>
        <v>54.915499999999994</v>
      </c>
      <c r="CO830" s="158">
        <v>55.920999999999999</v>
      </c>
      <c r="CP830" s="120">
        <f>(CQ830+CO830)/2</f>
        <v>56.983499999999999</v>
      </c>
      <c r="CQ830" s="158">
        <v>58.045999999999999</v>
      </c>
      <c r="CR830" s="120">
        <f>(CS830+CQ830)/2</f>
        <v>59.058499999999995</v>
      </c>
      <c r="CS830" s="158">
        <v>60.070999999999998</v>
      </c>
      <c r="CT830" s="120">
        <f>(CU830+CS830)/2</f>
        <v>61.0595</v>
      </c>
      <c r="CU830" s="158">
        <v>62.048000000000002</v>
      </c>
      <c r="CV830" s="120">
        <f>(CW830+CU830)/2</f>
        <v>63.134500000000003</v>
      </c>
      <c r="CW830" s="158">
        <v>64.221000000000004</v>
      </c>
      <c r="CX830" s="120">
        <f>(CY830+CW830)/2</f>
        <v>65.209000000000003</v>
      </c>
      <c r="CY830" s="158">
        <v>66.197000000000003</v>
      </c>
      <c r="CZ830" s="120">
        <f>(DA830+CY830)/2</f>
        <v>67.209499999999991</v>
      </c>
      <c r="DA830" s="158">
        <v>68.221999999999994</v>
      </c>
      <c r="DB830" s="120">
        <f>(DC830+DA830)/2</f>
        <v>69.210499999999996</v>
      </c>
      <c r="DC830" s="158">
        <v>70.198999999999998</v>
      </c>
      <c r="DD830" s="120">
        <f>(DE830+DC830)/2</f>
        <v>71.211999999999989</v>
      </c>
      <c r="DE830" s="158">
        <v>72.224999999999994</v>
      </c>
      <c r="DF830" s="120">
        <f>(DG830+DE830)/2</f>
        <v>73.205999999999989</v>
      </c>
      <c r="DG830" s="159">
        <v>74.186999999999998</v>
      </c>
    </row>
    <row r="831" spans="54:111" ht="15" customHeight="1" x14ac:dyDescent="0.2">
      <c r="BB831" s="28">
        <v>37</v>
      </c>
      <c r="BC831" s="121">
        <v>12.5625</v>
      </c>
      <c r="BD831" s="121">
        <v>14.02375</v>
      </c>
      <c r="BE831" s="121">
        <v>15.484999999999999</v>
      </c>
      <c r="BF831" s="121">
        <v>16.8535</v>
      </c>
      <c r="BG831" s="121">
        <v>18.222000000000001</v>
      </c>
      <c r="BH831" s="121">
        <v>19.544250000000002</v>
      </c>
      <c r="BI831" s="121">
        <v>20.866500000000002</v>
      </c>
      <c r="BJ831" s="121">
        <v>22.143250000000002</v>
      </c>
      <c r="BK831" s="121">
        <v>23.42</v>
      </c>
      <c r="BL831" s="121">
        <v>24.640999999999998</v>
      </c>
      <c r="BM831" s="121">
        <v>25.862000000000002</v>
      </c>
      <c r="BN831" s="121">
        <v>27.064499999999999</v>
      </c>
      <c r="BO831" s="121">
        <v>28.267000000000003</v>
      </c>
      <c r="BP831" s="121">
        <v>29.44575</v>
      </c>
      <c r="BQ831" s="121">
        <v>30.624500000000001</v>
      </c>
      <c r="BR831" s="121">
        <v>31.79025</v>
      </c>
      <c r="BS831" s="121">
        <v>32.956000000000003</v>
      </c>
      <c r="BT831" s="121">
        <v>34.103250000000003</v>
      </c>
      <c r="BU831" s="121">
        <v>35.250500000000002</v>
      </c>
      <c r="BV831" s="121">
        <v>36.379750000000001</v>
      </c>
      <c r="BW831" s="121">
        <v>37.509</v>
      </c>
      <c r="BX831" s="121">
        <v>38.650499999999994</v>
      </c>
      <c r="BY831" s="121">
        <v>39.792000000000002</v>
      </c>
      <c r="BZ831" s="121">
        <v>40.883499999999998</v>
      </c>
      <c r="CA831" s="121">
        <v>41.974999999999994</v>
      </c>
      <c r="CB831" s="121">
        <v>43.067500000000003</v>
      </c>
      <c r="CC831" s="121">
        <v>44.16</v>
      </c>
      <c r="CD831" s="121">
        <v>45.252250000000004</v>
      </c>
      <c r="CE831" s="121">
        <v>46.344499999999996</v>
      </c>
      <c r="CF831" s="121">
        <v>47.448750000000004</v>
      </c>
      <c r="CG831" s="121">
        <v>48.552999999999997</v>
      </c>
      <c r="CH831" s="121">
        <v>49.6265</v>
      </c>
      <c r="CI831" s="121">
        <f t="array" ref="CI831:CI854">TRANSPOSE(CJ830:DG830)</f>
        <v>50.7</v>
      </c>
      <c r="CJ831" s="120">
        <f>(CI831+CK831)/2</f>
        <v>51.792250000000003</v>
      </c>
      <c r="CK831" s="120">
        <f>(CK830+CK832)/2</f>
        <v>52.884500000000003</v>
      </c>
      <c r="CL831" s="120">
        <f>(CK831+CM831)/2</f>
        <v>53.939250000000001</v>
      </c>
      <c r="CM831" s="120">
        <f>(CM830+CM832)/2</f>
        <v>54.994</v>
      </c>
      <c r="CN831" s="120">
        <f>(CM831+CO831)/2</f>
        <v>56.058</v>
      </c>
      <c r="CO831" s="120">
        <f>(CO830+CO832)/2</f>
        <v>57.122</v>
      </c>
      <c r="CP831" s="120">
        <f>(CO831+CQ831)/2</f>
        <v>58.214500000000001</v>
      </c>
      <c r="CQ831" s="120">
        <f>(CQ830+CQ832)/2</f>
        <v>59.307000000000002</v>
      </c>
      <c r="CR831" s="120">
        <f>(CQ831+CS831)/2</f>
        <v>60.325000000000003</v>
      </c>
      <c r="CS831" s="120">
        <f>(CS830+CS832)/2</f>
        <v>61.343000000000004</v>
      </c>
      <c r="CT831" s="120">
        <f>(CS831+CU831)/2</f>
        <v>62.361500000000007</v>
      </c>
      <c r="CU831" s="120">
        <f>(CU830+CU832)/2</f>
        <v>63.38</v>
      </c>
      <c r="CV831" s="120">
        <f>(CU831+CW831)/2</f>
        <v>64.484250000000003</v>
      </c>
      <c r="CW831" s="120">
        <f>(CW830+CW832)/2</f>
        <v>65.58850000000001</v>
      </c>
      <c r="CX831" s="120">
        <f>(CW831+CY831)/2</f>
        <v>66.606750000000005</v>
      </c>
      <c r="CY831" s="120">
        <f>(CY830+CY832)/2</f>
        <v>67.625</v>
      </c>
      <c r="CZ831" s="120">
        <f>(CY831+DA831)/2</f>
        <v>68.643000000000001</v>
      </c>
      <c r="DA831" s="120">
        <f>(DA830+DA832)/2</f>
        <v>69.661000000000001</v>
      </c>
      <c r="DB831" s="120">
        <f>(DA831+DC831)/2</f>
        <v>70.716750000000005</v>
      </c>
      <c r="DC831" s="120">
        <f>(DC830+DC832)/2</f>
        <v>71.772500000000008</v>
      </c>
      <c r="DD831" s="120">
        <f>(DC831+DE831)/2</f>
        <v>72.802999999999997</v>
      </c>
      <c r="DE831" s="120">
        <f>(DE830+DE832)/2</f>
        <v>73.833499999999987</v>
      </c>
      <c r="DF831" s="120">
        <f>(DE831+DG831)/2</f>
        <v>74.848249999999993</v>
      </c>
      <c r="DG831" s="122">
        <f>(DG830+DG832)/2</f>
        <v>75.863</v>
      </c>
    </row>
    <row r="832" spans="54:111" ht="15" customHeight="1" x14ac:dyDescent="0.2">
      <c r="BB832" s="28">
        <v>38</v>
      </c>
      <c r="BC832" s="121">
        <v>12.811</v>
      </c>
      <c r="BD832" s="121">
        <v>14.2775</v>
      </c>
      <c r="BE832" s="121">
        <v>15.744</v>
      </c>
      <c r="BF832" s="121">
        <v>17.1615</v>
      </c>
      <c r="BG832" s="121">
        <v>18.579000000000001</v>
      </c>
      <c r="BH832" s="121">
        <v>19.923000000000002</v>
      </c>
      <c r="BI832" s="121">
        <v>21.266999999999999</v>
      </c>
      <c r="BJ832" s="121">
        <v>22.573499999999999</v>
      </c>
      <c r="BK832" s="121">
        <v>23.88</v>
      </c>
      <c r="BL832" s="121">
        <v>25.125</v>
      </c>
      <c r="BM832" s="121">
        <v>26.37</v>
      </c>
      <c r="BN832" s="121">
        <v>27.602499999999999</v>
      </c>
      <c r="BO832" s="121">
        <v>28.835000000000001</v>
      </c>
      <c r="BP832" s="121">
        <v>30.031500000000001</v>
      </c>
      <c r="BQ832" s="121">
        <v>31.228000000000002</v>
      </c>
      <c r="BR832" s="121">
        <v>32.423999999999999</v>
      </c>
      <c r="BS832" s="121">
        <v>33.619999999999997</v>
      </c>
      <c r="BT832" s="121">
        <v>34.791499999999999</v>
      </c>
      <c r="BU832" s="121">
        <v>35.963000000000001</v>
      </c>
      <c r="BV832" s="121">
        <v>37.122</v>
      </c>
      <c r="BW832" s="121">
        <v>38.280999999999999</v>
      </c>
      <c r="BX832" s="121">
        <v>39.447499999999998</v>
      </c>
      <c r="BY832" s="121">
        <v>40.613999999999997</v>
      </c>
      <c r="BZ832" s="121">
        <v>41.735999999999997</v>
      </c>
      <c r="CA832" s="121">
        <v>42.857999999999997</v>
      </c>
      <c r="CB832" s="121">
        <v>43.955500000000001</v>
      </c>
      <c r="CC832" s="121">
        <v>45.052999999999997</v>
      </c>
      <c r="CD832" s="121">
        <v>46.176000000000002</v>
      </c>
      <c r="CE832" s="121">
        <v>47.298999999999999</v>
      </c>
      <c r="CF832" s="121">
        <v>48.420500000000004</v>
      </c>
      <c r="CG832" s="121">
        <v>49.542000000000002</v>
      </c>
      <c r="CH832" s="121">
        <v>50.664500000000004</v>
      </c>
      <c r="CI832" s="121">
        <v>51.786999999999999</v>
      </c>
      <c r="CJ832" s="121">
        <f t="array" ref="CJ832:CJ854">TRANSPOSE(CK831:DG831)</f>
        <v>52.884500000000003</v>
      </c>
      <c r="CK832" s="158">
        <v>53.981999999999999</v>
      </c>
      <c r="CL832" s="120">
        <f>(CM832+CK832)/2</f>
        <v>55.03</v>
      </c>
      <c r="CM832" s="158">
        <v>56.078000000000003</v>
      </c>
      <c r="CN832" s="120">
        <f>(CO832+CM832)/2</f>
        <v>57.200500000000005</v>
      </c>
      <c r="CO832" s="158">
        <v>58.323</v>
      </c>
      <c r="CP832" s="120">
        <f>(CQ832+CO832)/2</f>
        <v>59.445499999999996</v>
      </c>
      <c r="CQ832" s="158">
        <v>60.567999999999998</v>
      </c>
      <c r="CR832" s="120">
        <f>(CS832+CQ832)/2</f>
        <v>61.591499999999996</v>
      </c>
      <c r="CS832" s="158">
        <v>62.615000000000002</v>
      </c>
      <c r="CT832" s="120">
        <f>(CU832+CS832)/2</f>
        <v>63.663499999999999</v>
      </c>
      <c r="CU832" s="158">
        <v>64.712000000000003</v>
      </c>
      <c r="CV832" s="120">
        <f>(CW832+CU832)/2</f>
        <v>65.834000000000003</v>
      </c>
      <c r="CW832" s="158">
        <v>66.956000000000003</v>
      </c>
      <c r="CX832" s="120">
        <f>(CY832+CW832)/2</f>
        <v>68.004500000000007</v>
      </c>
      <c r="CY832" s="158">
        <v>69.052999999999997</v>
      </c>
      <c r="CZ832" s="120">
        <f>(DA832+CY832)/2</f>
        <v>70.076499999999996</v>
      </c>
      <c r="DA832" s="158">
        <v>71.099999999999994</v>
      </c>
      <c r="DB832" s="120">
        <f>(DC832+DA832)/2</f>
        <v>72.222999999999999</v>
      </c>
      <c r="DC832" s="158">
        <v>73.346000000000004</v>
      </c>
      <c r="DD832" s="120">
        <f>(DE832+DC832)/2</f>
        <v>74.394000000000005</v>
      </c>
      <c r="DE832" s="158">
        <v>75.441999999999993</v>
      </c>
      <c r="DF832" s="120">
        <f>(DG832+DE832)/2</f>
        <v>76.490499999999997</v>
      </c>
      <c r="DG832" s="159">
        <v>77.539000000000001</v>
      </c>
    </row>
    <row r="833" spans="54:111" ht="15" customHeight="1" x14ac:dyDescent="0.2">
      <c r="BB833" s="28">
        <v>39</v>
      </c>
      <c r="BC833" s="121">
        <v>13.035499999999999</v>
      </c>
      <c r="BD833" s="121">
        <v>14.554</v>
      </c>
      <c r="BE833" s="121">
        <v>16.072499999999998</v>
      </c>
      <c r="BF833" s="121">
        <v>17.508000000000003</v>
      </c>
      <c r="BG833" s="121">
        <v>18.9435</v>
      </c>
      <c r="BH833" s="121">
        <v>20.305</v>
      </c>
      <c r="BI833" s="121">
        <v>21.666499999999999</v>
      </c>
      <c r="BJ833" s="121">
        <v>22.991</v>
      </c>
      <c r="BK833" s="121">
        <v>24.3155</v>
      </c>
      <c r="BL833" s="121">
        <v>25.59075</v>
      </c>
      <c r="BM833" s="121">
        <v>26.866</v>
      </c>
      <c r="BN833" s="121">
        <v>28.119999999999997</v>
      </c>
      <c r="BO833" s="121">
        <v>29.374000000000002</v>
      </c>
      <c r="BP833" s="121">
        <v>30.6065</v>
      </c>
      <c r="BQ833" s="121">
        <v>31.839000000000002</v>
      </c>
      <c r="BR833" s="121">
        <v>33.052750000000003</v>
      </c>
      <c r="BS833" s="121">
        <v>34.266499999999994</v>
      </c>
      <c r="BT833" s="121">
        <v>35.468249999999998</v>
      </c>
      <c r="BU833" s="121">
        <v>36.67</v>
      </c>
      <c r="BV833" s="121">
        <v>37.84675</v>
      </c>
      <c r="BW833" s="121">
        <v>39.023499999999999</v>
      </c>
      <c r="BX833" s="121">
        <v>40.207750000000004</v>
      </c>
      <c r="BY833" s="121">
        <v>41.391999999999996</v>
      </c>
      <c r="BZ833" s="121">
        <v>42.550249999999998</v>
      </c>
      <c r="CA833" s="121">
        <v>43.708500000000001</v>
      </c>
      <c r="CB833" s="121">
        <v>44.83625</v>
      </c>
      <c r="CC833" s="121">
        <v>45.963999999999999</v>
      </c>
      <c r="CD833" s="121">
        <v>47.104500000000002</v>
      </c>
      <c r="CE833" s="121">
        <v>48.245000000000005</v>
      </c>
      <c r="CF833" s="121">
        <v>49.384500000000003</v>
      </c>
      <c r="CG833" s="121">
        <v>50.524000000000001</v>
      </c>
      <c r="CH833" s="121">
        <v>51.686250000000001</v>
      </c>
      <c r="CI833" s="121">
        <v>52.848500000000001</v>
      </c>
      <c r="CJ833" s="121">
        <v>53.939250000000001</v>
      </c>
      <c r="CK833" s="121">
        <f t="array" ref="CK833:CK854">TRANSPOSE(CL832:DG832)</f>
        <v>55.03</v>
      </c>
      <c r="CL833" s="120">
        <f>(CK833+CM833)/2</f>
        <v>56.133000000000003</v>
      </c>
      <c r="CM833" s="120">
        <f>(CM832+CM834)/2</f>
        <v>57.236000000000004</v>
      </c>
      <c r="CN833" s="120">
        <f>(CM833+CO833)/2</f>
        <v>58.376249999999999</v>
      </c>
      <c r="CO833" s="120">
        <f>(CO832+CO834)/2</f>
        <v>59.516500000000001</v>
      </c>
      <c r="CP833" s="120">
        <f>(CO833+CQ833)/2</f>
        <v>60.619749999999996</v>
      </c>
      <c r="CQ833" s="120">
        <f>(CQ832+CQ834)/2</f>
        <v>61.722999999999999</v>
      </c>
      <c r="CR833" s="120">
        <f>(CQ833+CS833)/2</f>
        <v>62.817250000000001</v>
      </c>
      <c r="CS833" s="120">
        <f>(CS832+CS834)/2</f>
        <v>63.911500000000004</v>
      </c>
      <c r="CT833" s="120">
        <f>(CS833+CU833)/2</f>
        <v>64.977750000000015</v>
      </c>
      <c r="CU833" s="120">
        <f>(CU832+CU834)/2</f>
        <v>66.044000000000011</v>
      </c>
      <c r="CV833" s="120">
        <f>(CU833+CW833)/2</f>
        <v>67.183750000000003</v>
      </c>
      <c r="CW833" s="120">
        <f>(CW832+CW834)/2</f>
        <v>68.323499999999996</v>
      </c>
      <c r="CX833" s="120">
        <f>(CW833+CY833)/2</f>
        <v>69.39</v>
      </c>
      <c r="CY833" s="120">
        <f>(CY832+CY834)/2</f>
        <v>70.456500000000005</v>
      </c>
      <c r="CZ833" s="120">
        <f>(CY833+DA833)/2</f>
        <v>71.510500000000008</v>
      </c>
      <c r="DA833" s="120">
        <f>(DA832+DA834)/2</f>
        <v>72.564499999999995</v>
      </c>
      <c r="DB833" s="120">
        <f>(DA833+DC833)/2</f>
        <v>73.708249999999992</v>
      </c>
      <c r="DC833" s="120">
        <f>(DC832+DC834)/2</f>
        <v>74.852000000000004</v>
      </c>
      <c r="DD833" s="120">
        <f>(DC833+DE833)/2</f>
        <v>75.918000000000006</v>
      </c>
      <c r="DE833" s="120">
        <f>(DE832+DE834)/2</f>
        <v>76.983999999999995</v>
      </c>
      <c r="DF833" s="120">
        <f>(DE833+DG833)/2</f>
        <v>78.050250000000005</v>
      </c>
      <c r="DG833" s="122">
        <f>(DG832+DG834)/2</f>
        <v>79.116500000000002</v>
      </c>
    </row>
    <row r="834" spans="54:111" ht="15" customHeight="1" x14ac:dyDescent="0.2">
      <c r="BB834" s="28">
        <v>40</v>
      </c>
      <c r="BC834" s="121">
        <v>13.26</v>
      </c>
      <c r="BD834" s="121">
        <v>14.830500000000001</v>
      </c>
      <c r="BE834" s="121">
        <v>16.401</v>
      </c>
      <c r="BF834" s="121">
        <v>17.854500000000002</v>
      </c>
      <c r="BG834" s="121">
        <v>19.308</v>
      </c>
      <c r="BH834" s="121">
        <v>20.686999999999998</v>
      </c>
      <c r="BI834" s="121">
        <v>22.065999999999999</v>
      </c>
      <c r="BJ834" s="121">
        <v>23.4085</v>
      </c>
      <c r="BK834" s="121">
        <v>24.751000000000001</v>
      </c>
      <c r="BL834" s="121">
        <v>26.0565</v>
      </c>
      <c r="BM834" s="121">
        <v>27.361999999999998</v>
      </c>
      <c r="BN834" s="121">
        <v>28.637499999999999</v>
      </c>
      <c r="BO834" s="121">
        <v>29.913</v>
      </c>
      <c r="BP834" s="121">
        <v>31.1815</v>
      </c>
      <c r="BQ834" s="121">
        <v>32.450000000000003</v>
      </c>
      <c r="BR834" s="121">
        <v>33.6815</v>
      </c>
      <c r="BS834" s="121">
        <v>34.912999999999997</v>
      </c>
      <c r="BT834" s="121">
        <v>36.144999999999996</v>
      </c>
      <c r="BU834" s="121">
        <v>37.377000000000002</v>
      </c>
      <c r="BV834" s="121">
        <v>38.5715</v>
      </c>
      <c r="BW834" s="121">
        <v>39.765999999999998</v>
      </c>
      <c r="BX834" s="121">
        <v>40.968000000000004</v>
      </c>
      <c r="BY834" s="121">
        <v>42.17</v>
      </c>
      <c r="BZ834" s="121">
        <v>43.3645</v>
      </c>
      <c r="CA834" s="121">
        <v>44.558999999999997</v>
      </c>
      <c r="CB834" s="121">
        <v>45.716999999999999</v>
      </c>
      <c r="CC834" s="121">
        <v>46.875</v>
      </c>
      <c r="CD834" s="121">
        <v>48.033000000000001</v>
      </c>
      <c r="CE834" s="121">
        <v>49.191000000000003</v>
      </c>
      <c r="CF834" s="121">
        <v>50.348500000000001</v>
      </c>
      <c r="CG834" s="121">
        <v>51.506</v>
      </c>
      <c r="CH834" s="121">
        <v>52.707999999999998</v>
      </c>
      <c r="CI834" s="121">
        <v>53.91</v>
      </c>
      <c r="CJ834" s="121">
        <v>54.994</v>
      </c>
      <c r="CK834" s="121">
        <v>56.078000000000003</v>
      </c>
      <c r="CL834" s="121">
        <f t="array" ref="CL834:CL854">TRANSPOSE(CM833:DG833)</f>
        <v>57.236000000000004</v>
      </c>
      <c r="CM834" s="158">
        <v>58.393999999999998</v>
      </c>
      <c r="CN834" s="120">
        <f>(CO834+CM834)/2</f>
        <v>59.552</v>
      </c>
      <c r="CO834" s="158">
        <v>60.71</v>
      </c>
      <c r="CP834" s="120">
        <f>(CQ834+CO834)/2</f>
        <v>61.793999999999997</v>
      </c>
      <c r="CQ834" s="158">
        <v>62.878</v>
      </c>
      <c r="CR834" s="120">
        <f>(CS834+CQ834)/2</f>
        <v>64.043000000000006</v>
      </c>
      <c r="CS834" s="158">
        <v>65.207999999999998</v>
      </c>
      <c r="CT834" s="120">
        <f>(CU834+CS834)/2</f>
        <v>66.292000000000002</v>
      </c>
      <c r="CU834" s="158">
        <v>67.376000000000005</v>
      </c>
      <c r="CV834" s="120">
        <f>(CW834+CU834)/2</f>
        <v>68.533500000000004</v>
      </c>
      <c r="CW834" s="158">
        <v>69.691000000000003</v>
      </c>
      <c r="CX834" s="120">
        <f>(CY834+CW834)/2</f>
        <v>70.775499999999994</v>
      </c>
      <c r="CY834" s="158">
        <v>71.86</v>
      </c>
      <c r="CZ834" s="120">
        <f>(DA834+CY834)/2</f>
        <v>72.944500000000005</v>
      </c>
      <c r="DA834" s="158">
        <v>74.028999999999996</v>
      </c>
      <c r="DB834" s="120">
        <f>(DC834+DA834)/2</f>
        <v>75.1935</v>
      </c>
      <c r="DC834" s="158">
        <v>76.358000000000004</v>
      </c>
      <c r="DD834" s="120">
        <f>(DE834+DC834)/2</f>
        <v>77.442000000000007</v>
      </c>
      <c r="DE834" s="158">
        <v>78.525999999999996</v>
      </c>
      <c r="DF834" s="120">
        <f>(DG834+DE834)/2</f>
        <v>79.61</v>
      </c>
      <c r="DG834" s="159">
        <v>80.694000000000003</v>
      </c>
    </row>
    <row r="835" spans="54:111" ht="15" customHeight="1" x14ac:dyDescent="0.2">
      <c r="BB835" s="28">
        <v>41</v>
      </c>
      <c r="BC835" s="121">
        <v>13.516</v>
      </c>
      <c r="BD835" s="121">
        <v>15.101000000000001</v>
      </c>
      <c r="BE835" s="121">
        <v>16.686</v>
      </c>
      <c r="BF835" s="121">
        <v>18.157</v>
      </c>
      <c r="BG835" s="121">
        <v>19.628</v>
      </c>
      <c r="BH835" s="121">
        <v>21.046999999999997</v>
      </c>
      <c r="BI835" s="121">
        <v>22.466000000000001</v>
      </c>
      <c r="BJ835" s="121">
        <v>23.8385</v>
      </c>
      <c r="BK835" s="121">
        <v>25.210999999999999</v>
      </c>
      <c r="BL835" s="121">
        <v>26.537749999999999</v>
      </c>
      <c r="BM835" s="121">
        <v>27.8645</v>
      </c>
      <c r="BN835" s="121">
        <v>29.173000000000002</v>
      </c>
      <c r="BO835" s="121">
        <v>30.4815</v>
      </c>
      <c r="BP835" s="121">
        <v>31.767499999999998</v>
      </c>
      <c r="BQ835" s="121">
        <v>33.0535</v>
      </c>
      <c r="BR835" s="121">
        <v>34.319000000000003</v>
      </c>
      <c r="BS835" s="121">
        <v>35.584499999999998</v>
      </c>
      <c r="BT835" s="121">
        <v>36.834249999999997</v>
      </c>
      <c r="BU835" s="121">
        <v>38.084000000000003</v>
      </c>
      <c r="BV835" s="121">
        <v>39.295999999999999</v>
      </c>
      <c r="BW835" s="121">
        <v>40.507999999999996</v>
      </c>
      <c r="BX835" s="121">
        <v>41.728250000000003</v>
      </c>
      <c r="BY835" s="121">
        <v>42.948499999999996</v>
      </c>
      <c r="BZ835" s="121">
        <v>44.173000000000002</v>
      </c>
      <c r="CA835" s="121">
        <v>45.397499999999994</v>
      </c>
      <c r="CB835" s="121">
        <v>46.591999999999999</v>
      </c>
      <c r="CC835" s="121">
        <v>47.786500000000004</v>
      </c>
      <c r="CD835" s="121">
        <v>48.96575</v>
      </c>
      <c r="CE835" s="121">
        <v>50.144999999999996</v>
      </c>
      <c r="CF835" s="121">
        <v>51.320250000000001</v>
      </c>
      <c r="CG835" s="121">
        <v>52.4955</v>
      </c>
      <c r="CH835" s="121">
        <v>53.705500000000001</v>
      </c>
      <c r="CI835" s="121">
        <v>54.915499999999994</v>
      </c>
      <c r="CJ835" s="121">
        <v>56.058</v>
      </c>
      <c r="CK835" s="121">
        <v>57.200500000000005</v>
      </c>
      <c r="CL835" s="121">
        <v>58.376249999999999</v>
      </c>
      <c r="CM835" s="121">
        <f t="array" ref="CM835:CM854">TRANSPOSE(CN834:DG834)</f>
        <v>59.552</v>
      </c>
      <c r="CN835" s="120">
        <f>(CM835+CO835)/2</f>
        <v>60.731250000000003</v>
      </c>
      <c r="CO835" s="120">
        <f>(CO834+CO836)/2</f>
        <v>61.910499999999999</v>
      </c>
      <c r="CP835" s="120">
        <f>(CO835+CQ835)/2</f>
        <v>63.024999999999999</v>
      </c>
      <c r="CQ835" s="120">
        <f>(CQ834+CQ836)/2</f>
        <v>64.139499999999998</v>
      </c>
      <c r="CR835" s="120">
        <f>(CQ835+CS835)/2</f>
        <v>65.318250000000006</v>
      </c>
      <c r="CS835" s="120">
        <f>(CS834+CS836)/2</f>
        <v>66.497</v>
      </c>
      <c r="CT835" s="120">
        <f>(CS835+CU835)/2</f>
        <v>67.60275</v>
      </c>
      <c r="CU835" s="120">
        <f>(CU834+CU836)/2</f>
        <v>68.708500000000001</v>
      </c>
      <c r="CV835" s="120">
        <f>(CU835+CW835)/2</f>
        <v>69.883749999999992</v>
      </c>
      <c r="CW835" s="120">
        <f>(CW834+CW836)/2</f>
        <v>71.058999999999997</v>
      </c>
      <c r="CX835" s="120">
        <f>(CW835+CY835)/2</f>
        <v>72.173249999999996</v>
      </c>
      <c r="CY835" s="120">
        <f>(CY834+CY836)/2</f>
        <v>73.287499999999994</v>
      </c>
      <c r="CZ835" s="120">
        <f>(CY835+DA835)/2</f>
        <v>74.393749999999997</v>
      </c>
      <c r="DA835" s="120">
        <f>(DA834+DA836)/2</f>
        <v>75.5</v>
      </c>
      <c r="DB835" s="120">
        <f>(DA835+DC835)/2</f>
        <v>76.6785</v>
      </c>
      <c r="DC835" s="120">
        <f>(DC834+DC836)/2</f>
        <v>77.856999999999999</v>
      </c>
      <c r="DD835" s="120">
        <f>(DC835+DE835)/2</f>
        <v>78.959000000000003</v>
      </c>
      <c r="DE835" s="120">
        <f>(DE834+DE836)/2</f>
        <v>80.061000000000007</v>
      </c>
      <c r="DF835" s="120">
        <f>(DE835+DG835)/2</f>
        <v>81.179000000000002</v>
      </c>
      <c r="DG835" s="122">
        <f>(DG834+DG836)/2</f>
        <v>82.296999999999997</v>
      </c>
    </row>
    <row r="836" spans="54:111" ht="15" customHeight="1" x14ac:dyDescent="0.2">
      <c r="BB836" s="28">
        <v>42</v>
      </c>
      <c r="BC836" s="121">
        <v>13.772</v>
      </c>
      <c r="BD836" s="121">
        <v>15.371500000000001</v>
      </c>
      <c r="BE836" s="121">
        <v>16.971</v>
      </c>
      <c r="BF836" s="121">
        <v>18.459499999999998</v>
      </c>
      <c r="BG836" s="121">
        <v>19.948</v>
      </c>
      <c r="BH836" s="121">
        <v>21.407</v>
      </c>
      <c r="BI836" s="121">
        <v>22.866</v>
      </c>
      <c r="BJ836" s="121">
        <v>24.2685</v>
      </c>
      <c r="BK836" s="121">
        <v>25.670999999999999</v>
      </c>
      <c r="BL836" s="121">
        <v>27.018999999999998</v>
      </c>
      <c r="BM836" s="121">
        <v>28.367000000000001</v>
      </c>
      <c r="BN836" s="121">
        <v>29.708500000000001</v>
      </c>
      <c r="BO836" s="121">
        <v>31.05</v>
      </c>
      <c r="BP836" s="121">
        <v>32.353499999999997</v>
      </c>
      <c r="BQ836" s="121">
        <v>33.656999999999996</v>
      </c>
      <c r="BR836" s="121">
        <v>34.956499999999998</v>
      </c>
      <c r="BS836" s="121">
        <v>36.256</v>
      </c>
      <c r="BT836" s="121">
        <v>37.523499999999999</v>
      </c>
      <c r="BU836" s="121">
        <v>38.790999999999997</v>
      </c>
      <c r="BV836" s="121">
        <v>40.020499999999998</v>
      </c>
      <c r="BW836" s="121">
        <v>41.25</v>
      </c>
      <c r="BX836" s="121">
        <v>42.488500000000002</v>
      </c>
      <c r="BY836" s="121">
        <v>43.726999999999997</v>
      </c>
      <c r="BZ836" s="121">
        <v>44.981499999999997</v>
      </c>
      <c r="CA836" s="121">
        <v>46.235999999999997</v>
      </c>
      <c r="CB836" s="121">
        <v>47.466999999999999</v>
      </c>
      <c r="CC836" s="121">
        <v>48.698</v>
      </c>
      <c r="CD836" s="121">
        <v>49.898499999999999</v>
      </c>
      <c r="CE836" s="121">
        <v>51.098999999999997</v>
      </c>
      <c r="CF836" s="121">
        <v>52.292000000000002</v>
      </c>
      <c r="CG836" s="121">
        <v>53.484999999999999</v>
      </c>
      <c r="CH836" s="121">
        <v>54.703000000000003</v>
      </c>
      <c r="CI836" s="121">
        <v>55.920999999999999</v>
      </c>
      <c r="CJ836" s="121">
        <v>57.122</v>
      </c>
      <c r="CK836" s="121">
        <v>58.323</v>
      </c>
      <c r="CL836" s="121">
        <v>59.516500000000001</v>
      </c>
      <c r="CM836" s="121">
        <v>60.71</v>
      </c>
      <c r="CN836" s="121">
        <f t="array" ref="CN836:CN854">TRANSPOSE(CO835:DG835)</f>
        <v>61.910499999999999</v>
      </c>
      <c r="CO836" s="158">
        <v>63.110999999999997</v>
      </c>
      <c r="CP836" s="120">
        <f>(CQ836+CO836)/2</f>
        <v>64.256</v>
      </c>
      <c r="CQ836" s="158">
        <v>65.400999999999996</v>
      </c>
      <c r="CR836" s="120">
        <f>(CS836+CQ836)/2</f>
        <v>66.593500000000006</v>
      </c>
      <c r="CS836" s="158">
        <v>67.786000000000001</v>
      </c>
      <c r="CT836" s="120">
        <f>(CU836+CS836)/2</f>
        <v>68.913499999999999</v>
      </c>
      <c r="CU836" s="158">
        <v>70.040999999999997</v>
      </c>
      <c r="CV836" s="120">
        <f>(CW836+CU836)/2</f>
        <v>71.234000000000009</v>
      </c>
      <c r="CW836" s="158">
        <v>72.427000000000007</v>
      </c>
      <c r="CX836" s="120">
        <f>(CY836+CW836)/2</f>
        <v>73.570999999999998</v>
      </c>
      <c r="CY836" s="158">
        <v>74.715000000000003</v>
      </c>
      <c r="CZ836" s="120">
        <f>(DA836+CY836)/2</f>
        <v>75.843000000000004</v>
      </c>
      <c r="DA836" s="158">
        <v>76.971000000000004</v>
      </c>
      <c r="DB836" s="120">
        <f>(DC836+DA836)/2</f>
        <v>78.163499999999999</v>
      </c>
      <c r="DC836" s="158">
        <v>79.355999999999995</v>
      </c>
      <c r="DD836" s="120">
        <f>(DE836+DC836)/2</f>
        <v>80.475999999999999</v>
      </c>
      <c r="DE836" s="158">
        <v>81.596000000000004</v>
      </c>
      <c r="DF836" s="120">
        <f>(DG836+DE836)/2</f>
        <v>82.748000000000005</v>
      </c>
      <c r="DG836" s="159">
        <v>83.9</v>
      </c>
    </row>
    <row r="837" spans="54:111" ht="15" customHeight="1" x14ac:dyDescent="0.2">
      <c r="BB837" s="28">
        <v>43</v>
      </c>
      <c r="BC837" s="121">
        <v>13.959</v>
      </c>
      <c r="BD837" s="121">
        <v>15.611000000000001</v>
      </c>
      <c r="BE837" s="121">
        <v>17.262999999999998</v>
      </c>
      <c r="BF837" s="121">
        <v>18.787749999999999</v>
      </c>
      <c r="BG837" s="121">
        <v>20.3125</v>
      </c>
      <c r="BH837" s="121">
        <v>21.801499999999997</v>
      </c>
      <c r="BI837" s="121">
        <v>23.290500000000002</v>
      </c>
      <c r="BJ837" s="121">
        <v>24.698500000000003</v>
      </c>
      <c r="BK837" s="121">
        <v>26.1065</v>
      </c>
      <c r="BL837" s="121">
        <v>27.503250000000001</v>
      </c>
      <c r="BM837" s="121">
        <v>28.9</v>
      </c>
      <c r="BN837" s="121">
        <v>30.240500000000001</v>
      </c>
      <c r="BO837" s="121">
        <v>31.581000000000003</v>
      </c>
      <c r="BP837" s="121">
        <v>32.918499999999995</v>
      </c>
      <c r="BQ837" s="121">
        <v>34.256</v>
      </c>
      <c r="BR837" s="121">
        <v>35.575749999999999</v>
      </c>
      <c r="BS837" s="121">
        <v>36.895499999999998</v>
      </c>
      <c r="BT837" s="121">
        <v>38.196749999999994</v>
      </c>
      <c r="BU837" s="121">
        <v>39.497999999999998</v>
      </c>
      <c r="BV837" s="121">
        <v>40.7455</v>
      </c>
      <c r="BW837" s="121">
        <v>41.992999999999995</v>
      </c>
      <c r="BX837" s="121">
        <v>43.27975</v>
      </c>
      <c r="BY837" s="121">
        <v>44.566499999999998</v>
      </c>
      <c r="BZ837" s="121">
        <v>45.826499999999996</v>
      </c>
      <c r="CA837" s="121">
        <v>47.086500000000001</v>
      </c>
      <c r="CB837" s="121">
        <v>48.332499999999996</v>
      </c>
      <c r="CC837" s="121">
        <v>49.578500000000005</v>
      </c>
      <c r="CD837" s="121">
        <v>50.811999999999998</v>
      </c>
      <c r="CE837" s="121">
        <v>52.045499999999997</v>
      </c>
      <c r="CF837" s="121">
        <v>53.279249999999998</v>
      </c>
      <c r="CG837" s="121">
        <v>54.512999999999998</v>
      </c>
      <c r="CH837" s="121">
        <v>55.748249999999999</v>
      </c>
      <c r="CI837" s="121">
        <v>56.983499999999999</v>
      </c>
      <c r="CJ837" s="121">
        <v>58.214500000000001</v>
      </c>
      <c r="CK837" s="121">
        <v>59.445499999999996</v>
      </c>
      <c r="CL837" s="121">
        <v>60.619749999999996</v>
      </c>
      <c r="CM837" s="121">
        <v>61.793999999999997</v>
      </c>
      <c r="CN837" s="121">
        <v>63.024999999999999</v>
      </c>
      <c r="CO837" s="121">
        <f t="array" ref="CO837:CO854">TRANSPOSE(CP836:DG836)</f>
        <v>64.256</v>
      </c>
      <c r="CP837" s="120">
        <f>(CO837+CQ837)/2</f>
        <v>65.442750000000004</v>
      </c>
      <c r="CQ837" s="120">
        <f>(CQ836+CQ838)/2</f>
        <v>66.629500000000007</v>
      </c>
      <c r="CR837" s="120">
        <f>(CQ837+CS837)/2</f>
        <v>67.819250000000011</v>
      </c>
      <c r="CS837" s="120">
        <f>(CS836+CS838)/2</f>
        <v>69.009</v>
      </c>
      <c r="CT837" s="120">
        <f>(CS837+CU837)/2</f>
        <v>70.187250000000006</v>
      </c>
      <c r="CU837" s="120">
        <f>(CU836+CU838)/2</f>
        <v>71.365499999999997</v>
      </c>
      <c r="CV837" s="120">
        <f>(CU837+CW837)/2</f>
        <v>72.592749999999995</v>
      </c>
      <c r="CW837" s="120">
        <f>(CW836+CW838)/2</f>
        <v>73.819999999999993</v>
      </c>
      <c r="CX837" s="120">
        <f>(CW837+CY837)/2</f>
        <v>74.972999999999999</v>
      </c>
      <c r="CY837" s="120">
        <f>(CY836+CY838)/2</f>
        <v>76.126000000000005</v>
      </c>
      <c r="CZ837" s="120">
        <f>(CY837+DA837)/2</f>
        <v>77.28</v>
      </c>
      <c r="DA837" s="120">
        <f>(DA836+DA838)/2</f>
        <v>78.433999999999997</v>
      </c>
      <c r="DB837" s="120">
        <f>(DA837+DC837)/2</f>
        <v>79.648499999999999</v>
      </c>
      <c r="DC837" s="120">
        <f>(DC836+DC838)/2</f>
        <v>80.863</v>
      </c>
      <c r="DD837" s="120">
        <f>(DC837+DE837)/2</f>
        <v>82.013000000000005</v>
      </c>
      <c r="DE837" s="120">
        <f>(DE836+DE838)/2</f>
        <v>83.163000000000011</v>
      </c>
      <c r="DF837" s="120">
        <f>(DE837+DG837)/2</f>
        <v>84.320000000000007</v>
      </c>
      <c r="DG837" s="122">
        <f>(DG836+DG838)/2</f>
        <v>85.477000000000004</v>
      </c>
    </row>
    <row r="838" spans="54:111" ht="15" customHeight="1" x14ac:dyDescent="0.2">
      <c r="BB838" s="28">
        <v>44</v>
      </c>
      <c r="BC838" s="121">
        <v>14.146000000000001</v>
      </c>
      <c r="BD838" s="121">
        <v>15.8505</v>
      </c>
      <c r="BE838" s="121">
        <v>17.555</v>
      </c>
      <c r="BF838" s="121">
        <v>19.116</v>
      </c>
      <c r="BG838" s="121">
        <v>20.677</v>
      </c>
      <c r="BH838" s="121">
        <v>22.195999999999998</v>
      </c>
      <c r="BI838" s="121">
        <v>23.715</v>
      </c>
      <c r="BJ838" s="121">
        <v>25.128500000000003</v>
      </c>
      <c r="BK838" s="121">
        <v>26.542000000000002</v>
      </c>
      <c r="BL838" s="121">
        <v>27.987500000000001</v>
      </c>
      <c r="BM838" s="121">
        <v>29.433</v>
      </c>
      <c r="BN838" s="121">
        <v>30.772500000000001</v>
      </c>
      <c r="BO838" s="121">
        <v>32.112000000000002</v>
      </c>
      <c r="BP838" s="121">
        <v>33.483499999999999</v>
      </c>
      <c r="BQ838" s="121">
        <v>34.854999999999997</v>
      </c>
      <c r="BR838" s="121">
        <v>36.194999999999993</v>
      </c>
      <c r="BS838" s="121">
        <v>37.534999999999997</v>
      </c>
      <c r="BT838" s="121">
        <v>38.869999999999997</v>
      </c>
      <c r="BU838" s="121">
        <v>40.204999999999998</v>
      </c>
      <c r="BV838" s="121">
        <v>41.470500000000001</v>
      </c>
      <c r="BW838" s="121">
        <v>42.735999999999997</v>
      </c>
      <c r="BX838" s="121">
        <v>44.070999999999998</v>
      </c>
      <c r="BY838" s="121">
        <v>45.405999999999999</v>
      </c>
      <c r="BZ838" s="121">
        <v>46.671499999999995</v>
      </c>
      <c r="CA838" s="121">
        <v>47.936999999999998</v>
      </c>
      <c r="CB838" s="121">
        <v>49.198</v>
      </c>
      <c r="CC838" s="121">
        <v>50.459000000000003</v>
      </c>
      <c r="CD838" s="121">
        <v>51.725499999999997</v>
      </c>
      <c r="CE838" s="121">
        <v>52.991999999999997</v>
      </c>
      <c r="CF838" s="121">
        <v>54.266499999999994</v>
      </c>
      <c r="CG838" s="121">
        <v>55.540999999999997</v>
      </c>
      <c r="CH838" s="121">
        <v>56.793499999999995</v>
      </c>
      <c r="CI838" s="121">
        <v>58.045999999999999</v>
      </c>
      <c r="CJ838" s="121">
        <v>59.307000000000002</v>
      </c>
      <c r="CK838" s="121">
        <v>60.567999999999998</v>
      </c>
      <c r="CL838" s="121">
        <v>61.722999999999999</v>
      </c>
      <c r="CM838" s="121">
        <v>62.878</v>
      </c>
      <c r="CN838" s="121">
        <v>64.139499999999998</v>
      </c>
      <c r="CO838" s="121">
        <v>65.400999999999996</v>
      </c>
      <c r="CP838" s="121">
        <f t="array" ref="CP838:CP854">TRANSPOSE(CQ837:DG837)</f>
        <v>66.629500000000007</v>
      </c>
      <c r="CQ838" s="158">
        <v>67.858000000000004</v>
      </c>
      <c r="CR838" s="121">
        <f>CS837</f>
        <v>69.009</v>
      </c>
      <c r="CS838" s="158">
        <v>70.231999999999999</v>
      </c>
      <c r="CT838" s="121">
        <f>CU837</f>
        <v>71.365499999999997</v>
      </c>
      <c r="CU838" s="158">
        <v>72.69</v>
      </c>
      <c r="CV838" s="121">
        <f>CW837</f>
        <v>73.819999999999993</v>
      </c>
      <c r="CW838" s="158">
        <v>75.212999999999994</v>
      </c>
      <c r="CX838" s="121">
        <f>CY837</f>
        <v>76.126000000000005</v>
      </c>
      <c r="CY838" s="158">
        <v>77.537000000000006</v>
      </c>
      <c r="CZ838" s="121">
        <f>DA837</f>
        <v>78.433999999999997</v>
      </c>
      <c r="DA838" s="158">
        <v>79.897000000000006</v>
      </c>
      <c r="DB838" s="121">
        <f>DC837</f>
        <v>80.863</v>
      </c>
      <c r="DC838" s="158">
        <v>82.37</v>
      </c>
      <c r="DD838" s="121">
        <f>DE837</f>
        <v>83.163000000000011</v>
      </c>
      <c r="DE838" s="158">
        <v>84.73</v>
      </c>
      <c r="DF838" s="121">
        <f>DG837</f>
        <v>85.477000000000004</v>
      </c>
      <c r="DG838" s="159">
        <v>87.054000000000002</v>
      </c>
    </row>
    <row r="839" spans="54:111" ht="15" customHeight="1" x14ac:dyDescent="0.2">
      <c r="BB839" s="28">
        <v>45</v>
      </c>
      <c r="BC839" s="121">
        <v>14.3955</v>
      </c>
      <c r="BD839" s="121">
        <v>16.104750000000003</v>
      </c>
      <c r="BE839" s="121">
        <v>17.814</v>
      </c>
      <c r="BF839" s="121">
        <v>19.408999999999999</v>
      </c>
      <c r="BG839" s="121">
        <v>21.003999999999998</v>
      </c>
      <c r="BH839" s="121">
        <v>22.53725</v>
      </c>
      <c r="BI839" s="121">
        <v>24.070499999999999</v>
      </c>
      <c r="BJ839" s="121">
        <v>25.536250000000003</v>
      </c>
      <c r="BK839" s="121">
        <v>27.002000000000002</v>
      </c>
      <c r="BL839" s="121">
        <v>28.453000000000003</v>
      </c>
      <c r="BM839" s="121">
        <v>29.904</v>
      </c>
      <c r="BN839" s="121">
        <v>31.2925</v>
      </c>
      <c r="BO839" s="121">
        <v>32.680999999999997</v>
      </c>
      <c r="BP839" s="121">
        <v>34.070250000000001</v>
      </c>
      <c r="BQ839" s="121">
        <v>35.459499999999998</v>
      </c>
      <c r="BR839" s="121">
        <v>36.832999999999998</v>
      </c>
      <c r="BS839" s="121">
        <v>38.206499999999998</v>
      </c>
      <c r="BT839" s="121">
        <v>39.542999999999999</v>
      </c>
      <c r="BU839" s="121">
        <v>40.8795</v>
      </c>
      <c r="BV839" s="121">
        <v>42.179250000000003</v>
      </c>
      <c r="BW839" s="121">
        <v>43.478999999999999</v>
      </c>
      <c r="BX839" s="121">
        <v>44.83175</v>
      </c>
      <c r="BY839" s="121">
        <v>46.1845</v>
      </c>
      <c r="BZ839" s="121">
        <v>47.483750000000001</v>
      </c>
      <c r="CA839" s="121">
        <v>48.783000000000001</v>
      </c>
      <c r="CB839" s="121">
        <v>50.064250000000001</v>
      </c>
      <c r="CC839" s="121">
        <v>51.345500000000001</v>
      </c>
      <c r="CD839" s="121">
        <v>52.627249999999997</v>
      </c>
      <c r="CE839" s="121">
        <v>53.908999999999999</v>
      </c>
      <c r="CF839" s="121">
        <v>55.21275</v>
      </c>
      <c r="CG839" s="121">
        <v>56.516499999999994</v>
      </c>
      <c r="CH839" s="121">
        <v>57.787499999999994</v>
      </c>
      <c r="CI839" s="121">
        <v>59.058499999999995</v>
      </c>
      <c r="CJ839" s="121">
        <v>60.325000000000003</v>
      </c>
      <c r="CK839" s="121">
        <v>61.591499999999996</v>
      </c>
      <c r="CL839" s="121">
        <v>62.817250000000001</v>
      </c>
      <c r="CM839" s="121">
        <v>64.043000000000006</v>
      </c>
      <c r="CN839" s="121">
        <v>65.318250000000006</v>
      </c>
      <c r="CO839" s="121">
        <v>66.593500000000006</v>
      </c>
      <c r="CP839" s="121">
        <v>67.819250000000011</v>
      </c>
      <c r="CQ839" s="121">
        <f t="array" ref="CQ839:CQ854">TRANSPOSE(CR838:DG838)</f>
        <v>69.009</v>
      </c>
      <c r="CR839" s="120">
        <f>(CQ839+CS839)/2</f>
        <v>70.256499999999988</v>
      </c>
      <c r="CS839" s="120">
        <f>(CS838+CS840)/2</f>
        <v>71.503999999999991</v>
      </c>
      <c r="CT839" s="120">
        <f>(CS839+CU839)/2</f>
        <v>72.763249999999999</v>
      </c>
      <c r="CU839" s="120">
        <f>(CU838+CU840)/2</f>
        <v>74.022500000000008</v>
      </c>
      <c r="CV839" s="120">
        <f>(CU839+CW839)/2</f>
        <v>75.264750000000006</v>
      </c>
      <c r="CW839" s="120">
        <f>(CW838+CW840)/2</f>
        <v>76.507000000000005</v>
      </c>
      <c r="CX839" s="120">
        <f>(CW839+CY839)/2</f>
        <v>77.736000000000004</v>
      </c>
      <c r="CY839" s="120">
        <f>(CY838+CY840)/2</f>
        <v>78.965000000000003</v>
      </c>
      <c r="CZ839" s="120">
        <f>(CY839+DA839)/2</f>
        <v>80.150500000000008</v>
      </c>
      <c r="DA839" s="120">
        <f>(DA838+DA840)/2</f>
        <v>81.336000000000013</v>
      </c>
      <c r="DB839" s="120">
        <f>(DA839+DC839)/2</f>
        <v>82.602750000000015</v>
      </c>
      <c r="DC839" s="120">
        <f>(DC838+DC840)/2</f>
        <v>83.869500000000002</v>
      </c>
      <c r="DD839" s="120">
        <f>(DC839+DE839)/2</f>
        <v>85.070750000000004</v>
      </c>
      <c r="DE839" s="120">
        <f>(DE838+DE840)/2</f>
        <v>86.271999999999991</v>
      </c>
      <c r="DF839" s="120">
        <f>(DE839+DG839)/2</f>
        <v>87.46074999999999</v>
      </c>
      <c r="DG839" s="122">
        <f>(DG838+DG840)/2</f>
        <v>88.649500000000003</v>
      </c>
    </row>
    <row r="840" spans="54:111" ht="15" customHeight="1" x14ac:dyDescent="0.2">
      <c r="BB840" s="28">
        <v>46</v>
      </c>
      <c r="BC840" s="121">
        <v>14.645</v>
      </c>
      <c r="BD840" s="121">
        <v>16.359000000000002</v>
      </c>
      <c r="BE840" s="121">
        <v>18.073</v>
      </c>
      <c r="BF840" s="121">
        <v>19.701999999999998</v>
      </c>
      <c r="BG840" s="121">
        <v>21.331</v>
      </c>
      <c r="BH840" s="121">
        <v>22.878499999999999</v>
      </c>
      <c r="BI840" s="121">
        <v>24.425999999999998</v>
      </c>
      <c r="BJ840" s="121">
        <v>25.943999999999999</v>
      </c>
      <c r="BK840" s="121">
        <v>27.462</v>
      </c>
      <c r="BL840" s="121">
        <v>28.918500000000002</v>
      </c>
      <c r="BM840" s="121">
        <v>30.375</v>
      </c>
      <c r="BN840" s="121">
        <v>31.8125</v>
      </c>
      <c r="BO840" s="121">
        <v>33.25</v>
      </c>
      <c r="BP840" s="121">
        <v>34.656999999999996</v>
      </c>
      <c r="BQ840" s="121">
        <v>36.064</v>
      </c>
      <c r="BR840" s="121">
        <v>37.471000000000004</v>
      </c>
      <c r="BS840" s="121">
        <v>38.878</v>
      </c>
      <c r="BT840" s="121">
        <v>40.216000000000001</v>
      </c>
      <c r="BU840" s="121">
        <v>41.554000000000002</v>
      </c>
      <c r="BV840" s="121">
        <v>42.888000000000005</v>
      </c>
      <c r="BW840" s="121">
        <v>44.222000000000001</v>
      </c>
      <c r="BX840" s="121">
        <v>45.592500000000001</v>
      </c>
      <c r="BY840" s="121">
        <v>46.963000000000001</v>
      </c>
      <c r="BZ840" s="121">
        <v>48.295999999999999</v>
      </c>
      <c r="CA840" s="121">
        <v>49.628999999999998</v>
      </c>
      <c r="CB840" s="121">
        <v>50.930499999999995</v>
      </c>
      <c r="CC840" s="121">
        <v>52.231999999999999</v>
      </c>
      <c r="CD840" s="121">
        <v>53.528999999999996</v>
      </c>
      <c r="CE840" s="121">
        <v>54.826000000000001</v>
      </c>
      <c r="CF840" s="121">
        <v>56.158999999999999</v>
      </c>
      <c r="CG840" s="121">
        <v>57.491999999999997</v>
      </c>
      <c r="CH840" s="121">
        <v>58.781499999999994</v>
      </c>
      <c r="CI840" s="121">
        <v>60.070999999999998</v>
      </c>
      <c r="CJ840" s="121">
        <v>61.343000000000004</v>
      </c>
      <c r="CK840" s="121">
        <v>62.615000000000002</v>
      </c>
      <c r="CL840" s="121">
        <v>63.911500000000004</v>
      </c>
      <c r="CM840" s="121">
        <v>65.207999999999998</v>
      </c>
      <c r="CN840" s="121">
        <v>66.497</v>
      </c>
      <c r="CO840" s="121">
        <v>67.786000000000001</v>
      </c>
      <c r="CP840" s="121">
        <v>69.009</v>
      </c>
      <c r="CQ840" s="121">
        <v>70.231999999999999</v>
      </c>
      <c r="CR840" s="150">
        <f t="array" ref="CR840:CR854">TRANSPOSE(CS839:DG839)</f>
        <v>71.503999999999991</v>
      </c>
      <c r="CS840" s="158">
        <v>72.775999999999996</v>
      </c>
      <c r="CT840" s="121">
        <f>CU839</f>
        <v>74.022500000000008</v>
      </c>
      <c r="CU840" s="158">
        <v>75.355000000000004</v>
      </c>
      <c r="CV840" s="121">
        <f>CW839</f>
        <v>76.507000000000005</v>
      </c>
      <c r="CW840" s="158">
        <v>77.801000000000002</v>
      </c>
      <c r="CX840" s="121">
        <f>CY839</f>
        <v>78.965000000000003</v>
      </c>
      <c r="CY840" s="158">
        <v>80.393000000000001</v>
      </c>
      <c r="CZ840" s="121">
        <f>DA839</f>
        <v>81.336000000000013</v>
      </c>
      <c r="DA840" s="158">
        <v>82.775000000000006</v>
      </c>
      <c r="DB840" s="121">
        <f>DC839</f>
        <v>83.869500000000002</v>
      </c>
      <c r="DC840" s="158">
        <v>85.369</v>
      </c>
      <c r="DD840" s="121">
        <f>DE839</f>
        <v>86.271999999999991</v>
      </c>
      <c r="DE840" s="158">
        <v>87.813999999999993</v>
      </c>
      <c r="DF840" s="121">
        <f>DG839</f>
        <v>88.649500000000003</v>
      </c>
      <c r="DG840" s="159">
        <v>90.245000000000005</v>
      </c>
    </row>
    <row r="841" spans="54:111" ht="15" customHeight="1" x14ac:dyDescent="0.2">
      <c r="BB841" s="28">
        <v>47</v>
      </c>
      <c r="BC841" s="121">
        <v>14.8765</v>
      </c>
      <c r="BD841" s="121">
        <v>16.620750000000001</v>
      </c>
      <c r="BE841" s="121">
        <v>18.365000000000002</v>
      </c>
      <c r="BF841" s="121">
        <v>20.026499999999999</v>
      </c>
      <c r="BG841" s="121">
        <v>21.688000000000002</v>
      </c>
      <c r="BH841" s="121">
        <v>23.256999999999998</v>
      </c>
      <c r="BI841" s="121">
        <v>24.826000000000001</v>
      </c>
      <c r="BJ841" s="121">
        <v>26.361499999999999</v>
      </c>
      <c r="BK841" s="121">
        <v>27.896999999999998</v>
      </c>
      <c r="BL841" s="121">
        <v>29.384</v>
      </c>
      <c r="BM841" s="121">
        <v>30.871000000000002</v>
      </c>
      <c r="BN841" s="121">
        <v>32.329499999999996</v>
      </c>
      <c r="BO841" s="121">
        <v>33.787999999999997</v>
      </c>
      <c r="BP841" s="121">
        <v>35.213000000000001</v>
      </c>
      <c r="BQ841" s="121">
        <v>36.638000000000005</v>
      </c>
      <c r="BR841" s="121">
        <v>38.059000000000005</v>
      </c>
      <c r="BS841" s="121">
        <v>39.480000000000004</v>
      </c>
      <c r="BT841" s="121">
        <v>40.852249999999998</v>
      </c>
      <c r="BU841" s="121">
        <v>42.224500000000006</v>
      </c>
      <c r="BV841" s="121">
        <v>43.594500000000004</v>
      </c>
      <c r="BW841" s="121">
        <v>44.964500000000001</v>
      </c>
      <c r="BX841" s="121">
        <v>46.352499999999999</v>
      </c>
      <c r="BY841" s="121">
        <v>47.740499999999997</v>
      </c>
      <c r="BZ841" s="121">
        <v>49.091999999999999</v>
      </c>
      <c r="CA841" s="121">
        <v>50.4435</v>
      </c>
      <c r="CB841" s="121">
        <v>51.778499999999994</v>
      </c>
      <c r="CC841" s="121">
        <v>53.113500000000002</v>
      </c>
      <c r="CD841" s="121">
        <v>54.442999999999998</v>
      </c>
      <c r="CE841" s="121">
        <v>55.772500000000001</v>
      </c>
      <c r="CF841" s="121">
        <v>57.104749999999996</v>
      </c>
      <c r="CG841" s="121">
        <v>58.436999999999998</v>
      </c>
      <c r="CH841" s="121">
        <v>59.748249999999999</v>
      </c>
      <c r="CI841" s="121">
        <v>61.0595</v>
      </c>
      <c r="CJ841" s="121">
        <v>62.361500000000007</v>
      </c>
      <c r="CK841" s="121">
        <v>63.663499999999999</v>
      </c>
      <c r="CL841" s="121">
        <v>64.977750000000015</v>
      </c>
      <c r="CM841" s="121">
        <v>66.292000000000002</v>
      </c>
      <c r="CN841" s="121">
        <v>67.60275</v>
      </c>
      <c r="CO841" s="121">
        <v>68.913499999999999</v>
      </c>
      <c r="CP841" s="121">
        <v>70.187250000000006</v>
      </c>
      <c r="CQ841" s="121">
        <v>71.365499999999997</v>
      </c>
      <c r="CR841" s="160">
        <v>72.763249999999999</v>
      </c>
      <c r="CS841" s="160">
        <f t="array" ref="CS841:CS854">TRANSPOSE(CT840:DG840)</f>
        <v>74.022500000000008</v>
      </c>
      <c r="CT841" s="120">
        <f>(CS841+CU841)/2</f>
        <v>75.317750000000004</v>
      </c>
      <c r="CU841" s="120">
        <f>(CU840+CU842)/2</f>
        <v>76.613</v>
      </c>
      <c r="CV841" s="120">
        <f>(CU841+CW841)/2</f>
        <v>77.890749999999997</v>
      </c>
      <c r="CW841" s="120">
        <f>(CW840+CW842)/2</f>
        <v>79.168499999999995</v>
      </c>
      <c r="CX841" s="120">
        <f>(CW841+CY841)/2</f>
        <v>80.482749999999996</v>
      </c>
      <c r="CY841" s="120">
        <f>(CY840+CY842)/2</f>
        <v>81.796999999999997</v>
      </c>
      <c r="CZ841" s="120">
        <f>(CY841+DA841)/2</f>
        <v>83.021500000000003</v>
      </c>
      <c r="DA841" s="120">
        <f>(DA840+DA842)/2</f>
        <v>84.246000000000009</v>
      </c>
      <c r="DB841" s="120">
        <f>(DA841+DC841)/2</f>
        <v>85.560750000000013</v>
      </c>
      <c r="DC841" s="120">
        <f>(DC840+DC842)/2</f>
        <v>86.875500000000002</v>
      </c>
      <c r="DD841" s="120">
        <f>(DC841+DE841)/2</f>
        <v>88.112249999999989</v>
      </c>
      <c r="DE841" s="120">
        <f>(DE840+DE842)/2</f>
        <v>89.34899999999999</v>
      </c>
      <c r="DF841" s="120">
        <f>(DE841+DG841)/2</f>
        <v>90.585999999999999</v>
      </c>
      <c r="DG841" s="122">
        <f>(DG840+DG842)/2</f>
        <v>91.823000000000008</v>
      </c>
    </row>
    <row r="842" spans="54:111" ht="15" customHeight="1" x14ac:dyDescent="0.2">
      <c r="BB842" s="28">
        <v>48</v>
      </c>
      <c r="BC842" s="121">
        <v>15.108000000000001</v>
      </c>
      <c r="BD842" s="121">
        <v>16.8825</v>
      </c>
      <c r="BE842" s="121">
        <v>18.657</v>
      </c>
      <c r="BF842" s="121">
        <v>20.350999999999999</v>
      </c>
      <c r="BG842" s="121">
        <v>22.045000000000002</v>
      </c>
      <c r="BH842" s="121">
        <v>23.6355</v>
      </c>
      <c r="BI842" s="121">
        <v>25.225999999999999</v>
      </c>
      <c r="BJ842" s="121">
        <v>26.779</v>
      </c>
      <c r="BK842" s="121">
        <v>28.332000000000001</v>
      </c>
      <c r="BL842" s="121">
        <v>29.849499999999999</v>
      </c>
      <c r="BM842" s="121">
        <v>31.367000000000001</v>
      </c>
      <c r="BN842" s="121">
        <v>32.846499999999999</v>
      </c>
      <c r="BO842" s="121">
        <v>34.326000000000001</v>
      </c>
      <c r="BP842" s="121">
        <v>35.769000000000005</v>
      </c>
      <c r="BQ842" s="121">
        <v>37.212000000000003</v>
      </c>
      <c r="BR842" s="121">
        <v>38.647000000000006</v>
      </c>
      <c r="BS842" s="121">
        <v>40.082000000000001</v>
      </c>
      <c r="BT842" s="121">
        <v>41.488500000000002</v>
      </c>
      <c r="BU842" s="121">
        <v>42.895000000000003</v>
      </c>
      <c r="BV842" s="121">
        <v>44.301000000000002</v>
      </c>
      <c r="BW842" s="121">
        <v>45.707000000000001</v>
      </c>
      <c r="BX842" s="121">
        <v>47.112499999999997</v>
      </c>
      <c r="BY842" s="121">
        <v>48.518000000000001</v>
      </c>
      <c r="BZ842" s="121">
        <v>49.888000000000005</v>
      </c>
      <c r="CA842" s="121">
        <v>51.258000000000003</v>
      </c>
      <c r="CB842" s="121">
        <v>52.6265</v>
      </c>
      <c r="CC842" s="121">
        <v>53.994999999999997</v>
      </c>
      <c r="CD842" s="121">
        <v>55.356999999999999</v>
      </c>
      <c r="CE842" s="121">
        <v>56.719000000000001</v>
      </c>
      <c r="CF842" s="121">
        <v>58.0505</v>
      </c>
      <c r="CG842" s="121">
        <v>59.381999999999998</v>
      </c>
      <c r="CH842" s="121">
        <v>60.715000000000003</v>
      </c>
      <c r="CI842" s="121">
        <v>62.048000000000002</v>
      </c>
      <c r="CJ842" s="121">
        <v>63.38</v>
      </c>
      <c r="CK842" s="121">
        <v>64.712000000000003</v>
      </c>
      <c r="CL842" s="121">
        <v>66.044000000000011</v>
      </c>
      <c r="CM842" s="121">
        <v>67.376000000000005</v>
      </c>
      <c r="CN842" s="121">
        <v>68.708500000000001</v>
      </c>
      <c r="CO842" s="121">
        <v>70.040999999999997</v>
      </c>
      <c r="CP842" s="121">
        <v>71.365499999999997</v>
      </c>
      <c r="CQ842" s="121">
        <v>72.69</v>
      </c>
      <c r="CR842" s="160">
        <v>74.022500000000008</v>
      </c>
      <c r="CS842" s="160">
        <v>75.355000000000004</v>
      </c>
      <c r="CT842" s="121">
        <f t="array" ref="CT842:CT854">TRANSPOSE(CU841:DG841)</f>
        <v>76.613</v>
      </c>
      <c r="CU842" s="158">
        <v>77.870999999999995</v>
      </c>
      <c r="CV842" s="121">
        <f>CW841</f>
        <v>79.168499999999995</v>
      </c>
      <c r="CW842" s="158">
        <v>80.536000000000001</v>
      </c>
      <c r="CX842" s="121">
        <f>CY841</f>
        <v>81.796999999999997</v>
      </c>
      <c r="CY842" s="158">
        <v>83.200999999999993</v>
      </c>
      <c r="CZ842" s="121">
        <f>DA841</f>
        <v>84.246000000000009</v>
      </c>
      <c r="DA842" s="158">
        <v>85.716999999999999</v>
      </c>
      <c r="DB842" s="121">
        <f>DC841</f>
        <v>86.875500000000002</v>
      </c>
      <c r="DC842" s="158">
        <v>88.382000000000005</v>
      </c>
      <c r="DD842" s="121">
        <f>DE841</f>
        <v>89.34899999999999</v>
      </c>
      <c r="DE842" s="158">
        <v>90.884</v>
      </c>
      <c r="DF842" s="121">
        <f>DG841</f>
        <v>91.823000000000008</v>
      </c>
      <c r="DG842" s="159">
        <v>93.400999999999996</v>
      </c>
    </row>
    <row r="843" spans="54:111" ht="15" customHeight="1" x14ac:dyDescent="0.2">
      <c r="BB843" s="28">
        <v>49</v>
      </c>
      <c r="BC843" s="121">
        <v>15.3565</v>
      </c>
      <c r="BD843" s="121">
        <v>17.1675</v>
      </c>
      <c r="BE843" s="121">
        <v>18.9785</v>
      </c>
      <c r="BF843" s="121">
        <v>20.6755</v>
      </c>
      <c r="BG843" s="121">
        <v>22.372500000000002</v>
      </c>
      <c r="BH843" s="121">
        <v>23.99925</v>
      </c>
      <c r="BI843" s="121">
        <v>25.625999999999998</v>
      </c>
      <c r="BJ843" s="121">
        <v>27.209249999999997</v>
      </c>
      <c r="BK843" s="121">
        <v>28.7925</v>
      </c>
      <c r="BL843" s="121">
        <v>30.327249999999999</v>
      </c>
      <c r="BM843" s="121">
        <v>31.862000000000002</v>
      </c>
      <c r="BN843" s="121">
        <v>33.359499999999997</v>
      </c>
      <c r="BO843" s="121">
        <v>34.856999999999999</v>
      </c>
      <c r="BP843" s="121">
        <v>36.33625</v>
      </c>
      <c r="BQ843" s="121">
        <v>37.8155</v>
      </c>
      <c r="BR843" s="121">
        <v>39.284500000000001</v>
      </c>
      <c r="BS843" s="121">
        <v>40.753500000000003</v>
      </c>
      <c r="BT843" s="121">
        <v>42.177750000000003</v>
      </c>
      <c r="BU843" s="121">
        <v>43.602000000000004</v>
      </c>
      <c r="BV843" s="121">
        <v>45.025750000000002</v>
      </c>
      <c r="BW843" s="121">
        <v>46.4495</v>
      </c>
      <c r="BX843" s="121">
        <v>47.872999999999998</v>
      </c>
      <c r="BY843" s="121">
        <v>49.296500000000002</v>
      </c>
      <c r="BZ843" s="121">
        <v>50.696250000000006</v>
      </c>
      <c r="CA843" s="121">
        <v>52.096000000000004</v>
      </c>
      <c r="CB843" s="121">
        <v>53.482500000000002</v>
      </c>
      <c r="CC843" s="121">
        <v>54.869</v>
      </c>
      <c r="CD843" s="121">
        <v>56.252250000000004</v>
      </c>
      <c r="CE843" s="121">
        <v>57.6355</v>
      </c>
      <c r="CF843" s="121">
        <v>59.003500000000003</v>
      </c>
      <c r="CG843" s="121">
        <v>60.371499999999997</v>
      </c>
      <c r="CH843" s="121">
        <v>61.753</v>
      </c>
      <c r="CI843" s="121">
        <v>63.134500000000003</v>
      </c>
      <c r="CJ843" s="121">
        <v>64.484250000000003</v>
      </c>
      <c r="CK843" s="121">
        <v>65.834000000000003</v>
      </c>
      <c r="CL843" s="121">
        <v>67.183750000000003</v>
      </c>
      <c r="CM843" s="121">
        <v>68.533500000000004</v>
      </c>
      <c r="CN843" s="121">
        <v>69.883749999999992</v>
      </c>
      <c r="CO843" s="121">
        <v>71.234000000000009</v>
      </c>
      <c r="CP843" s="121">
        <v>72.592749999999995</v>
      </c>
      <c r="CQ843" s="121">
        <v>73.819999999999993</v>
      </c>
      <c r="CR843" s="160">
        <v>75.264750000000006</v>
      </c>
      <c r="CS843" s="160">
        <v>76.507000000000005</v>
      </c>
      <c r="CT843" s="160">
        <v>77.890749999999997</v>
      </c>
      <c r="CU843" s="160">
        <f t="array" ref="CU843:CU854">TRANSPOSE(CV842:DG842)</f>
        <v>79.168499999999995</v>
      </c>
      <c r="CV843" s="120">
        <f>(CU843+CW843)/2</f>
        <v>80.536249999999995</v>
      </c>
      <c r="CW843" s="120">
        <f>(CW842+CW844)/2</f>
        <v>81.903999999999996</v>
      </c>
      <c r="CX843" s="120">
        <f>(CW843+CY843)/2</f>
        <v>83.229500000000002</v>
      </c>
      <c r="CY843" s="120">
        <f>(CY842+CY844)/2</f>
        <v>84.555000000000007</v>
      </c>
      <c r="CZ843" s="120">
        <f>(CY843+DA843)/2</f>
        <v>85.867999999999995</v>
      </c>
      <c r="DA843" s="120">
        <f>(DA842+DA844)/2</f>
        <v>87.180999999999997</v>
      </c>
      <c r="DB843" s="120">
        <f>(DA843+DC843)/2</f>
        <v>88.494249999999994</v>
      </c>
      <c r="DC843" s="120">
        <f>(DC842+DC844)/2</f>
        <v>89.807500000000005</v>
      </c>
      <c r="DD843" s="120">
        <f>(DC843+DE843)/2</f>
        <v>91.116500000000002</v>
      </c>
      <c r="DE843" s="120">
        <f>(DE842+DE844)/2</f>
        <v>92.4255</v>
      </c>
      <c r="DF843" s="120">
        <f>(DE843+DG843)/2</f>
        <v>93.714500000000001</v>
      </c>
      <c r="DG843" s="122">
        <f>(DG842+DG844)/2</f>
        <v>95.003500000000003</v>
      </c>
    </row>
    <row r="844" spans="54:111" ht="15" customHeight="1" x14ac:dyDescent="0.2">
      <c r="BB844" s="28">
        <v>50</v>
      </c>
      <c r="BC844" s="121">
        <v>15.605</v>
      </c>
      <c r="BD844" s="121">
        <v>17.452500000000001</v>
      </c>
      <c r="BE844" s="121">
        <v>19.3</v>
      </c>
      <c r="BF844" s="121">
        <v>21</v>
      </c>
      <c r="BG844" s="121">
        <v>22.7</v>
      </c>
      <c r="BH844" s="121">
        <v>24.363</v>
      </c>
      <c r="BI844" s="121">
        <v>26.026</v>
      </c>
      <c r="BJ844" s="121">
        <v>27.639499999999998</v>
      </c>
      <c r="BK844" s="121">
        <v>29.253</v>
      </c>
      <c r="BL844" s="121">
        <v>30.805</v>
      </c>
      <c r="BM844" s="121">
        <v>32.356999999999999</v>
      </c>
      <c r="BN844" s="121">
        <v>33.872500000000002</v>
      </c>
      <c r="BO844" s="121">
        <v>35.387999999999998</v>
      </c>
      <c r="BP844" s="121">
        <v>36.903499999999994</v>
      </c>
      <c r="BQ844" s="121">
        <v>38.418999999999997</v>
      </c>
      <c r="BR844" s="121">
        <v>39.921999999999997</v>
      </c>
      <c r="BS844" s="121">
        <v>41.424999999999997</v>
      </c>
      <c r="BT844" s="121">
        <v>42.866999999999997</v>
      </c>
      <c r="BU844" s="121">
        <v>44.308999999999997</v>
      </c>
      <c r="BV844" s="121">
        <v>45.750500000000002</v>
      </c>
      <c r="BW844" s="121">
        <v>47.192</v>
      </c>
      <c r="BX844" s="121">
        <v>48.633499999999998</v>
      </c>
      <c r="BY844" s="121">
        <v>50.075000000000003</v>
      </c>
      <c r="BZ844" s="121">
        <v>51.5045</v>
      </c>
      <c r="CA844" s="121">
        <v>52.933999999999997</v>
      </c>
      <c r="CB844" s="121">
        <v>54.338499999999996</v>
      </c>
      <c r="CC844" s="121">
        <v>55.743000000000002</v>
      </c>
      <c r="CD844" s="121">
        <v>57.147500000000001</v>
      </c>
      <c r="CE844" s="121">
        <v>58.552</v>
      </c>
      <c r="CF844" s="121">
        <v>59.956499999999998</v>
      </c>
      <c r="CG844" s="121">
        <v>61.360999999999997</v>
      </c>
      <c r="CH844" s="121">
        <v>62.790999999999997</v>
      </c>
      <c r="CI844" s="121">
        <v>64.221000000000004</v>
      </c>
      <c r="CJ844" s="121">
        <v>65.58850000000001</v>
      </c>
      <c r="CK844" s="121">
        <v>66.956000000000003</v>
      </c>
      <c r="CL844" s="121">
        <v>68.323499999999996</v>
      </c>
      <c r="CM844" s="121">
        <v>69.691000000000003</v>
      </c>
      <c r="CN844" s="121">
        <v>71.058999999999997</v>
      </c>
      <c r="CO844" s="121">
        <v>72.427000000000007</v>
      </c>
      <c r="CP844" s="121">
        <v>73.819999999999993</v>
      </c>
      <c r="CQ844" s="121">
        <v>75.212999999999994</v>
      </c>
      <c r="CR844" s="160">
        <v>76.507000000000005</v>
      </c>
      <c r="CS844" s="160">
        <v>77.801000000000002</v>
      </c>
      <c r="CT844" s="160">
        <v>79.168499999999995</v>
      </c>
      <c r="CU844" s="160">
        <v>80.536000000000001</v>
      </c>
      <c r="CV844" s="121">
        <f t="array" ref="CV844:CV854">TRANSPOSE(CW843:DG843)</f>
        <v>81.903999999999996</v>
      </c>
      <c r="CW844" s="158">
        <v>83.272000000000006</v>
      </c>
      <c r="CX844" s="121">
        <f>CY843</f>
        <v>84.555000000000007</v>
      </c>
      <c r="CY844" s="158">
        <v>85.909000000000006</v>
      </c>
      <c r="CZ844" s="121">
        <f>DA843</f>
        <v>87.180999999999997</v>
      </c>
      <c r="DA844" s="158">
        <v>88.644999999999996</v>
      </c>
      <c r="DB844" s="121">
        <f>DC843</f>
        <v>89.807500000000005</v>
      </c>
      <c r="DC844" s="158">
        <v>91.233000000000004</v>
      </c>
      <c r="DD844" s="121">
        <f>DE843</f>
        <v>92.4255</v>
      </c>
      <c r="DE844" s="158">
        <v>93.966999999999999</v>
      </c>
      <c r="DF844" s="121">
        <f>DG843</f>
        <v>95.003500000000003</v>
      </c>
      <c r="DG844" s="159">
        <v>96.605999999999995</v>
      </c>
    </row>
    <row r="845" spans="54:111" ht="15" customHeight="1" x14ac:dyDescent="0.2">
      <c r="BB845" s="28">
        <v>51</v>
      </c>
      <c r="BC845" s="121">
        <v>15.792</v>
      </c>
      <c r="BD845" s="121">
        <v>17.68825</v>
      </c>
      <c r="BE845" s="121">
        <v>19.584499999999998</v>
      </c>
      <c r="BF845" s="121">
        <v>21.306000000000001</v>
      </c>
      <c r="BG845" s="121">
        <v>23.0275</v>
      </c>
      <c r="BH845" s="121">
        <v>24.720500000000001</v>
      </c>
      <c r="BI845" s="121">
        <v>26.413499999999999</v>
      </c>
      <c r="BJ845" s="121">
        <v>28.05125</v>
      </c>
      <c r="BK845" s="121">
        <v>29.689</v>
      </c>
      <c r="BL845" s="121">
        <v>31.271250000000002</v>
      </c>
      <c r="BM845" s="121">
        <v>32.853499999999997</v>
      </c>
      <c r="BN845" s="121">
        <v>34.386749999999999</v>
      </c>
      <c r="BO845" s="121">
        <v>35.92</v>
      </c>
      <c r="BP845" s="121">
        <v>37.465499999999999</v>
      </c>
      <c r="BQ845" s="121">
        <v>39.010999999999996</v>
      </c>
      <c r="BR845" s="121">
        <v>40.523249999999997</v>
      </c>
      <c r="BS845" s="121">
        <v>42.035499999999999</v>
      </c>
      <c r="BT845" s="121">
        <v>43.525750000000002</v>
      </c>
      <c r="BU845" s="121">
        <v>45.015999999999998</v>
      </c>
      <c r="BV845" s="121">
        <v>46.475250000000003</v>
      </c>
      <c r="BW845" s="121">
        <v>47.9345</v>
      </c>
      <c r="BX845" s="121">
        <v>49.405999999999999</v>
      </c>
      <c r="BY845" s="121">
        <v>50.877499999999998</v>
      </c>
      <c r="BZ845" s="121">
        <v>52.312749999999994</v>
      </c>
      <c r="CA845" s="121">
        <v>53.747999999999998</v>
      </c>
      <c r="CB845" s="121">
        <v>55.200999999999993</v>
      </c>
      <c r="CC845" s="121">
        <v>56.653999999999996</v>
      </c>
      <c r="CD845" s="121">
        <v>58.080249999999999</v>
      </c>
      <c r="CE845" s="121">
        <v>59.506500000000003</v>
      </c>
      <c r="CF845" s="121">
        <v>60.922749999999994</v>
      </c>
      <c r="CG845" s="121">
        <v>62.338999999999999</v>
      </c>
      <c r="CH845" s="121">
        <v>63.774000000000001</v>
      </c>
      <c r="CI845" s="121">
        <v>65.209000000000003</v>
      </c>
      <c r="CJ845" s="121">
        <v>66.606750000000005</v>
      </c>
      <c r="CK845" s="121">
        <v>68.004500000000007</v>
      </c>
      <c r="CL845" s="121">
        <v>69.39</v>
      </c>
      <c r="CM845" s="121">
        <v>70.775499999999994</v>
      </c>
      <c r="CN845" s="121">
        <v>72.173249999999996</v>
      </c>
      <c r="CO845" s="121">
        <v>73.570999999999998</v>
      </c>
      <c r="CP845" s="121">
        <v>74.972999999999999</v>
      </c>
      <c r="CQ845" s="121">
        <v>76.126000000000005</v>
      </c>
      <c r="CR845" s="160">
        <v>77.736000000000004</v>
      </c>
      <c r="CS845" s="160">
        <v>78.965000000000003</v>
      </c>
      <c r="CT845" s="160">
        <v>80.482749999999996</v>
      </c>
      <c r="CU845" s="160">
        <v>81.796999999999997</v>
      </c>
      <c r="CV845" s="160">
        <v>83.229500000000002</v>
      </c>
      <c r="CW845" s="160">
        <f t="array" ref="CW845:CW854">TRANSPOSE(CX844:DG844)</f>
        <v>84.555000000000007</v>
      </c>
      <c r="CX845" s="120">
        <f>(CW845+CY845)/2</f>
        <v>85.933750000000003</v>
      </c>
      <c r="CY845" s="120">
        <f>(CY844+CY846)/2</f>
        <v>87.3125</v>
      </c>
      <c r="CZ845" s="120">
        <f>(CY845+DA845)/2</f>
        <v>88.710250000000002</v>
      </c>
      <c r="DA845" s="120">
        <f>(DA844+DA846)/2</f>
        <v>90.108000000000004</v>
      </c>
      <c r="DB845" s="120">
        <f>(DA845+DC845)/2</f>
        <v>91.419750000000008</v>
      </c>
      <c r="DC845" s="120">
        <f>(DC844+DC846)/2</f>
        <v>92.731500000000011</v>
      </c>
      <c r="DD845" s="120">
        <f>(DC845+DE845)/2</f>
        <v>94.13300000000001</v>
      </c>
      <c r="DE845" s="120">
        <f>(DE844+DE846)/2</f>
        <v>95.534500000000008</v>
      </c>
      <c r="DF845" s="120">
        <f>(DE845+DG845)/2</f>
        <v>96.859000000000009</v>
      </c>
      <c r="DG845" s="122">
        <f>(DG844+DG846)/2</f>
        <v>98.183499999999995</v>
      </c>
    </row>
    <row r="846" spans="54:111" ht="15" customHeight="1" x14ac:dyDescent="0.2">
      <c r="BB846" s="28">
        <v>52</v>
      </c>
      <c r="BC846" s="121">
        <v>15.978999999999999</v>
      </c>
      <c r="BD846" s="121">
        <v>17.923999999999999</v>
      </c>
      <c r="BE846" s="121">
        <v>19.869</v>
      </c>
      <c r="BF846" s="121">
        <v>21.612000000000002</v>
      </c>
      <c r="BG846" s="121">
        <v>23.355</v>
      </c>
      <c r="BH846" s="121">
        <v>25.077999999999999</v>
      </c>
      <c r="BI846" s="121">
        <v>26.800999999999998</v>
      </c>
      <c r="BJ846" s="121">
        <v>28.463000000000001</v>
      </c>
      <c r="BK846" s="121">
        <v>30.125</v>
      </c>
      <c r="BL846" s="121">
        <v>31.737500000000001</v>
      </c>
      <c r="BM846" s="121">
        <v>33.35</v>
      </c>
      <c r="BN846" s="121">
        <v>34.900999999999996</v>
      </c>
      <c r="BO846" s="121">
        <v>36.451999999999998</v>
      </c>
      <c r="BP846" s="121">
        <v>38.027500000000003</v>
      </c>
      <c r="BQ846" s="121">
        <v>39.603000000000002</v>
      </c>
      <c r="BR846" s="121">
        <v>41.124499999999998</v>
      </c>
      <c r="BS846" s="121">
        <v>42.646000000000001</v>
      </c>
      <c r="BT846" s="121">
        <v>44.1845</v>
      </c>
      <c r="BU846" s="121">
        <v>45.722999999999999</v>
      </c>
      <c r="BV846" s="121">
        <v>47.2</v>
      </c>
      <c r="BW846" s="121">
        <v>48.677</v>
      </c>
      <c r="BX846" s="121">
        <v>50.1785</v>
      </c>
      <c r="BY846" s="121">
        <v>51.68</v>
      </c>
      <c r="BZ846" s="121">
        <v>53.120999999999995</v>
      </c>
      <c r="CA846" s="121">
        <v>54.561999999999998</v>
      </c>
      <c r="CB846" s="121">
        <v>56.063499999999998</v>
      </c>
      <c r="CC846" s="121">
        <v>57.564999999999998</v>
      </c>
      <c r="CD846" s="121">
        <v>59.012999999999998</v>
      </c>
      <c r="CE846" s="121">
        <v>60.460999999999999</v>
      </c>
      <c r="CF846" s="121">
        <v>61.888999999999996</v>
      </c>
      <c r="CG846" s="121">
        <v>63.317</v>
      </c>
      <c r="CH846" s="121">
        <v>64.757000000000005</v>
      </c>
      <c r="CI846" s="121">
        <v>66.197000000000003</v>
      </c>
      <c r="CJ846" s="121">
        <v>67.625</v>
      </c>
      <c r="CK846" s="121">
        <v>69.052999999999997</v>
      </c>
      <c r="CL846" s="121">
        <v>70.456500000000005</v>
      </c>
      <c r="CM846" s="121">
        <v>71.86</v>
      </c>
      <c r="CN846" s="121">
        <v>73.287499999999994</v>
      </c>
      <c r="CO846" s="121">
        <v>74.715000000000003</v>
      </c>
      <c r="CP846" s="121">
        <v>76.126000000000005</v>
      </c>
      <c r="CQ846" s="121">
        <v>77.537000000000006</v>
      </c>
      <c r="CR846" s="160">
        <v>78.965000000000003</v>
      </c>
      <c r="CS846" s="160">
        <v>80.393000000000001</v>
      </c>
      <c r="CT846" s="160">
        <v>81.796999999999997</v>
      </c>
      <c r="CU846" s="160">
        <v>83.200999999999993</v>
      </c>
      <c r="CV846" s="160">
        <v>84.555000000000007</v>
      </c>
      <c r="CW846" s="160">
        <v>85.909000000000006</v>
      </c>
      <c r="CX846" s="121">
        <f t="array" ref="CX846:CX854">TRANSPOSE(CY845:DG845)</f>
        <v>87.3125</v>
      </c>
      <c r="CY846" s="158">
        <v>88.715999999999994</v>
      </c>
      <c r="CZ846" s="121">
        <f>DA845</f>
        <v>90.108000000000004</v>
      </c>
      <c r="DA846" s="158">
        <v>91.570999999999998</v>
      </c>
      <c r="DB846" s="121">
        <f>DC845</f>
        <v>92.731500000000011</v>
      </c>
      <c r="DC846" s="158">
        <v>94.23</v>
      </c>
      <c r="DD846" s="121">
        <f>DE845</f>
        <v>95.534500000000008</v>
      </c>
      <c r="DE846" s="158">
        <v>97.102000000000004</v>
      </c>
      <c r="DF846" s="121">
        <f>DG845</f>
        <v>98.183499999999995</v>
      </c>
      <c r="DG846" s="159">
        <v>99.760999999999996</v>
      </c>
    </row>
    <row r="847" spans="54:111" ht="15" customHeight="1" x14ac:dyDescent="0.2">
      <c r="BB847" s="28">
        <v>53</v>
      </c>
      <c r="BC847" s="121">
        <v>16.235999999999997</v>
      </c>
      <c r="BD847" s="121">
        <v>18.167749999999998</v>
      </c>
      <c r="BE847" s="121">
        <v>20.099499999999999</v>
      </c>
      <c r="BF847" s="121">
        <v>21.9055</v>
      </c>
      <c r="BG847" s="121">
        <v>23.711500000000001</v>
      </c>
      <c r="BH847" s="121">
        <v>25.456249999999997</v>
      </c>
      <c r="BI847" s="121">
        <v>27.201000000000001</v>
      </c>
      <c r="BJ847" s="121">
        <v>28.874749999999999</v>
      </c>
      <c r="BK847" s="121">
        <v>30.548500000000001</v>
      </c>
      <c r="BL847" s="121">
        <v>32.1845</v>
      </c>
      <c r="BM847" s="121">
        <v>33.820499999999996</v>
      </c>
      <c r="BN847" s="121">
        <v>35.405499999999996</v>
      </c>
      <c r="BO847" s="121">
        <v>36.990499999999997</v>
      </c>
      <c r="BP847" s="121">
        <v>38.583750000000002</v>
      </c>
      <c r="BQ847" s="121">
        <v>40.177</v>
      </c>
      <c r="BR847" s="121">
        <v>41.724999999999994</v>
      </c>
      <c r="BS847" s="121">
        <v>43.272999999999996</v>
      </c>
      <c r="BT847" s="121">
        <v>44.820499999999996</v>
      </c>
      <c r="BU847" s="121">
        <v>46.367999999999995</v>
      </c>
      <c r="BV847" s="121">
        <v>47.893999999999998</v>
      </c>
      <c r="BW847" s="121">
        <v>49.42</v>
      </c>
      <c r="BX847" s="121">
        <v>50.939499999999995</v>
      </c>
      <c r="BY847" s="121">
        <v>52.459000000000003</v>
      </c>
      <c r="BZ847" s="121">
        <v>53.929499999999997</v>
      </c>
      <c r="CA847" s="121">
        <v>55.4</v>
      </c>
      <c r="CB847" s="121">
        <v>56.910749999999993</v>
      </c>
      <c r="CC847" s="121">
        <v>58.421499999999995</v>
      </c>
      <c r="CD847" s="121">
        <v>59.896000000000001</v>
      </c>
      <c r="CE847" s="121">
        <v>61.3705</v>
      </c>
      <c r="CF847" s="121">
        <v>62.83475</v>
      </c>
      <c r="CG847" s="121">
        <v>64.299000000000007</v>
      </c>
      <c r="CH847" s="121">
        <v>65.754249999999999</v>
      </c>
      <c r="CI847" s="121">
        <v>67.209499999999991</v>
      </c>
      <c r="CJ847" s="121">
        <v>68.643000000000001</v>
      </c>
      <c r="CK847" s="121">
        <v>70.076499999999996</v>
      </c>
      <c r="CL847" s="121">
        <v>71.510500000000008</v>
      </c>
      <c r="CM847" s="121">
        <v>72.944500000000005</v>
      </c>
      <c r="CN847" s="121">
        <v>74.393749999999997</v>
      </c>
      <c r="CO847" s="121">
        <v>75.843000000000004</v>
      </c>
      <c r="CP847" s="121">
        <v>77.28</v>
      </c>
      <c r="CQ847" s="121">
        <v>78.433999999999997</v>
      </c>
      <c r="CR847" s="160">
        <v>80.150500000000008</v>
      </c>
      <c r="CS847" s="160">
        <v>81.336000000000013</v>
      </c>
      <c r="CT847" s="160">
        <v>83.021500000000003</v>
      </c>
      <c r="CU847" s="160">
        <v>84.246000000000009</v>
      </c>
      <c r="CV847" s="160">
        <v>85.867999999999995</v>
      </c>
      <c r="CW847" s="160">
        <v>87.180999999999997</v>
      </c>
      <c r="CX847" s="160">
        <v>88.710250000000002</v>
      </c>
      <c r="CY847" s="160">
        <f t="array" ref="CY847:CY854">TRANSPOSE(CZ846:DG846)</f>
        <v>90.108000000000004</v>
      </c>
      <c r="CZ847" s="120">
        <f>(CY847+DA847)/2</f>
        <v>91.544499999999999</v>
      </c>
      <c r="DA847" s="120">
        <f>(DA846+DA848)/2</f>
        <v>92.980999999999995</v>
      </c>
      <c r="DB847" s="120">
        <f>(DA847+DC847)/2</f>
        <v>94.377499999999998</v>
      </c>
      <c r="DC847" s="120">
        <f>(DC846+DC848)/2</f>
        <v>95.774000000000001</v>
      </c>
      <c r="DD847" s="120">
        <f>(DC847+DE847)/2</f>
        <v>97.168499999999995</v>
      </c>
      <c r="DE847" s="120">
        <f>(DE846+DE848)/2</f>
        <v>98.563000000000002</v>
      </c>
      <c r="DF847" s="120">
        <f>(DE847+DG847)/2</f>
        <v>99.963249999999988</v>
      </c>
      <c r="DG847" s="122">
        <f>(DG846+DG848)/2</f>
        <v>101.36349999999999</v>
      </c>
    </row>
    <row r="848" spans="54:111" ht="15" customHeight="1" x14ac:dyDescent="0.2">
      <c r="BB848" s="28">
        <v>54</v>
      </c>
      <c r="BC848" s="121">
        <v>16.492999999999999</v>
      </c>
      <c r="BD848" s="121">
        <v>18.411499999999997</v>
      </c>
      <c r="BE848" s="121">
        <v>20.329999999999998</v>
      </c>
      <c r="BF848" s="121">
        <v>22.198999999999998</v>
      </c>
      <c r="BG848" s="121">
        <v>24.068000000000001</v>
      </c>
      <c r="BH848" s="121">
        <v>25.834499999999998</v>
      </c>
      <c r="BI848" s="121">
        <v>27.600999999999999</v>
      </c>
      <c r="BJ848" s="121">
        <v>29.2865</v>
      </c>
      <c r="BK848" s="121">
        <v>30.972000000000001</v>
      </c>
      <c r="BL848" s="121">
        <v>32.631500000000003</v>
      </c>
      <c r="BM848" s="121">
        <v>34.290999999999997</v>
      </c>
      <c r="BN848" s="121">
        <v>35.909999999999997</v>
      </c>
      <c r="BO848" s="121">
        <v>37.529000000000003</v>
      </c>
      <c r="BP848" s="121">
        <v>39.14</v>
      </c>
      <c r="BQ848" s="121">
        <v>40.750999999999998</v>
      </c>
      <c r="BR848" s="121">
        <v>42.325499999999998</v>
      </c>
      <c r="BS848" s="121">
        <v>43.9</v>
      </c>
      <c r="BT848" s="121">
        <v>45.456499999999998</v>
      </c>
      <c r="BU848" s="121">
        <v>47.012999999999998</v>
      </c>
      <c r="BV848" s="121">
        <v>48.587999999999994</v>
      </c>
      <c r="BW848" s="121">
        <v>50.162999999999997</v>
      </c>
      <c r="BX848" s="121">
        <v>51.700499999999998</v>
      </c>
      <c r="BY848" s="121">
        <v>53.238</v>
      </c>
      <c r="BZ848" s="121">
        <v>54.738</v>
      </c>
      <c r="CA848" s="121">
        <v>56.238</v>
      </c>
      <c r="CB848" s="121">
        <v>57.757999999999996</v>
      </c>
      <c r="CC848" s="121">
        <v>59.277999999999999</v>
      </c>
      <c r="CD848" s="121">
        <v>60.778999999999996</v>
      </c>
      <c r="CE848" s="121">
        <v>62.28</v>
      </c>
      <c r="CF848" s="121">
        <v>63.780500000000004</v>
      </c>
      <c r="CG848" s="121">
        <v>65.281000000000006</v>
      </c>
      <c r="CH848" s="121">
        <v>66.751499999999993</v>
      </c>
      <c r="CI848" s="121">
        <v>68.221999999999994</v>
      </c>
      <c r="CJ848" s="121">
        <v>69.661000000000001</v>
      </c>
      <c r="CK848" s="121">
        <v>71.099999999999994</v>
      </c>
      <c r="CL848" s="121">
        <v>72.564499999999995</v>
      </c>
      <c r="CM848" s="121">
        <v>74.028999999999996</v>
      </c>
      <c r="CN848" s="121">
        <v>75.5</v>
      </c>
      <c r="CO848" s="121">
        <v>76.971000000000004</v>
      </c>
      <c r="CP848" s="121">
        <v>78.433999999999997</v>
      </c>
      <c r="CQ848" s="121">
        <v>79.897000000000006</v>
      </c>
      <c r="CR848" s="160">
        <v>81.336000000000013</v>
      </c>
      <c r="CS848" s="160">
        <v>82.775000000000006</v>
      </c>
      <c r="CT848" s="160">
        <v>84.246000000000009</v>
      </c>
      <c r="CU848" s="160">
        <v>85.716999999999999</v>
      </c>
      <c r="CV848" s="160">
        <v>87.180999999999997</v>
      </c>
      <c r="CW848" s="160">
        <v>88.644999999999996</v>
      </c>
      <c r="CX848" s="160">
        <v>90.108000000000004</v>
      </c>
      <c r="CY848" s="160">
        <v>91.570999999999998</v>
      </c>
      <c r="CZ848" s="121">
        <f t="array" ref="CZ848:CZ854">TRANSPOSE(DA847:DG847)</f>
        <v>92.980999999999995</v>
      </c>
      <c r="DA848" s="158">
        <v>94.391000000000005</v>
      </c>
      <c r="DB848" s="121">
        <f>DC847</f>
        <v>95.774000000000001</v>
      </c>
      <c r="DC848" s="158">
        <v>97.317999999999998</v>
      </c>
      <c r="DD848" s="121">
        <f>DE847</f>
        <v>98.563000000000002</v>
      </c>
      <c r="DE848" s="158">
        <v>100.024</v>
      </c>
      <c r="DF848" s="121">
        <f>DG847</f>
        <v>101.36349999999999</v>
      </c>
      <c r="DG848" s="159">
        <v>102.96599999999999</v>
      </c>
    </row>
    <row r="849" spans="54:111" ht="15" customHeight="1" x14ac:dyDescent="0.2">
      <c r="BB849" s="28">
        <v>55</v>
      </c>
      <c r="BC849" s="121">
        <v>16.716999999999999</v>
      </c>
      <c r="BD849" s="121">
        <v>18.665749999999999</v>
      </c>
      <c r="BE849" s="121">
        <v>20.6145</v>
      </c>
      <c r="BF849" s="121">
        <v>22.504999999999999</v>
      </c>
      <c r="BG849" s="121">
        <v>24.395499999999998</v>
      </c>
      <c r="BH849" s="121">
        <v>26.175999999999998</v>
      </c>
      <c r="BI849" s="121">
        <v>27.956499999999998</v>
      </c>
      <c r="BJ849" s="121">
        <v>29.681750000000001</v>
      </c>
      <c r="BK849" s="121">
        <v>31.407</v>
      </c>
      <c r="BL849" s="121">
        <v>33.097000000000001</v>
      </c>
      <c r="BM849" s="121">
        <v>34.786999999999999</v>
      </c>
      <c r="BN849" s="121">
        <v>36.423499999999997</v>
      </c>
      <c r="BO849" s="121">
        <v>38.06</v>
      </c>
      <c r="BP849" s="121">
        <v>39.688749999999999</v>
      </c>
      <c r="BQ849" s="121">
        <v>41.317499999999995</v>
      </c>
      <c r="BR849" s="121">
        <v>42.932000000000002</v>
      </c>
      <c r="BS849" s="121">
        <v>44.546499999999995</v>
      </c>
      <c r="BT849" s="121">
        <v>46.129750000000001</v>
      </c>
      <c r="BU849" s="121">
        <v>47.712999999999994</v>
      </c>
      <c r="BV849" s="121">
        <v>49.290749999999996</v>
      </c>
      <c r="BW849" s="121">
        <v>50.868499999999997</v>
      </c>
      <c r="BX849" s="121">
        <v>52.423749999999998</v>
      </c>
      <c r="BY849" s="121">
        <v>53.978999999999999</v>
      </c>
      <c r="BZ849" s="121">
        <v>55.518999999999998</v>
      </c>
      <c r="CA849" s="121">
        <v>57.058999999999997</v>
      </c>
      <c r="CB849" s="121">
        <v>58.60575</v>
      </c>
      <c r="CC849" s="121">
        <v>60.152500000000003</v>
      </c>
      <c r="CD849" s="121">
        <v>61.674499999999995</v>
      </c>
      <c r="CE849" s="121">
        <v>63.1965</v>
      </c>
      <c r="CF849" s="121">
        <v>64.715000000000003</v>
      </c>
      <c r="CG849" s="121">
        <v>66.233500000000006</v>
      </c>
      <c r="CH849" s="121">
        <v>67.721999999999994</v>
      </c>
      <c r="CI849" s="121">
        <v>69.210499999999996</v>
      </c>
      <c r="CJ849" s="121">
        <v>70.716750000000005</v>
      </c>
      <c r="CK849" s="121">
        <v>72.222999999999999</v>
      </c>
      <c r="CL849" s="121">
        <v>73.708249999999992</v>
      </c>
      <c r="CM849" s="121">
        <v>75.1935</v>
      </c>
      <c r="CN849" s="121">
        <v>76.6785</v>
      </c>
      <c r="CO849" s="121">
        <v>78.163499999999999</v>
      </c>
      <c r="CP849" s="121">
        <v>79.648499999999999</v>
      </c>
      <c r="CQ849" s="121">
        <v>80.863</v>
      </c>
      <c r="CR849" s="160">
        <v>82.602750000000015</v>
      </c>
      <c r="CS849" s="160">
        <v>83.869500000000002</v>
      </c>
      <c r="CT849" s="160">
        <v>85.560750000000013</v>
      </c>
      <c r="CU849" s="160">
        <v>86.875500000000002</v>
      </c>
      <c r="CV849" s="160">
        <v>88.494249999999994</v>
      </c>
      <c r="CW849" s="160">
        <v>89.807500000000005</v>
      </c>
      <c r="CX849" s="160">
        <v>91.419750000000008</v>
      </c>
      <c r="CY849" s="160">
        <v>92.731500000000011</v>
      </c>
      <c r="CZ849" s="160">
        <v>94.377499999999998</v>
      </c>
      <c r="DA849" s="160">
        <f t="array" ref="DA849:DA854">TRANSPOSE(DB848:DG848)</f>
        <v>95.774000000000001</v>
      </c>
      <c r="DB849" s="120">
        <f>(DA849+DC849)/2</f>
        <v>97.240250000000003</v>
      </c>
      <c r="DC849" s="120">
        <f>(DC848+DC850)/2</f>
        <v>98.706500000000005</v>
      </c>
      <c r="DD849" s="120">
        <f>(DC849+DE849)/2</f>
        <v>100.13625</v>
      </c>
      <c r="DE849" s="120">
        <f>(DE848+DE850)/2</f>
        <v>101.566</v>
      </c>
      <c r="DF849" s="120">
        <f>(DE849+DG849)/2</f>
        <v>103.05125</v>
      </c>
      <c r="DG849" s="122">
        <f>(DG848+DG850)/2</f>
        <v>104.53649999999999</v>
      </c>
    </row>
    <row r="850" spans="54:111" ht="15" customHeight="1" x14ac:dyDescent="0.2">
      <c r="BB850" s="28">
        <v>56</v>
      </c>
      <c r="BC850" s="121">
        <v>16.940999999999999</v>
      </c>
      <c r="BD850" s="121">
        <v>18.920000000000002</v>
      </c>
      <c r="BE850" s="121">
        <v>20.899000000000001</v>
      </c>
      <c r="BF850" s="121">
        <v>22.811</v>
      </c>
      <c r="BG850" s="121">
        <v>24.722999999999999</v>
      </c>
      <c r="BH850" s="121">
        <v>26.517499999999998</v>
      </c>
      <c r="BI850" s="121">
        <v>28.312000000000001</v>
      </c>
      <c r="BJ850" s="121">
        <v>30.076999999999998</v>
      </c>
      <c r="BK850" s="121">
        <v>31.841999999999999</v>
      </c>
      <c r="BL850" s="121">
        <v>33.5625</v>
      </c>
      <c r="BM850" s="121">
        <v>35.283000000000001</v>
      </c>
      <c r="BN850" s="121">
        <v>36.936999999999998</v>
      </c>
      <c r="BO850" s="121">
        <v>38.591000000000001</v>
      </c>
      <c r="BP850" s="121">
        <v>40.237499999999997</v>
      </c>
      <c r="BQ850" s="121">
        <v>41.884</v>
      </c>
      <c r="BR850" s="121">
        <v>43.538499999999999</v>
      </c>
      <c r="BS850" s="121">
        <v>45.192999999999998</v>
      </c>
      <c r="BT850" s="121">
        <v>46.802999999999997</v>
      </c>
      <c r="BU850" s="121">
        <v>48.412999999999997</v>
      </c>
      <c r="BV850" s="121">
        <v>49.993499999999997</v>
      </c>
      <c r="BW850" s="121">
        <v>51.573999999999998</v>
      </c>
      <c r="BX850" s="121">
        <v>53.146999999999998</v>
      </c>
      <c r="BY850" s="121">
        <v>54.72</v>
      </c>
      <c r="BZ850" s="121">
        <v>56.3</v>
      </c>
      <c r="CA850" s="121">
        <v>57.88</v>
      </c>
      <c r="CB850" s="121">
        <v>59.453500000000005</v>
      </c>
      <c r="CC850" s="121">
        <v>61.027000000000001</v>
      </c>
      <c r="CD850" s="121">
        <v>62.57</v>
      </c>
      <c r="CE850" s="121">
        <v>64.113</v>
      </c>
      <c r="CF850" s="121">
        <v>65.649500000000003</v>
      </c>
      <c r="CG850" s="121">
        <v>67.186000000000007</v>
      </c>
      <c r="CH850" s="121">
        <v>68.692499999999995</v>
      </c>
      <c r="CI850" s="121">
        <v>70.198999999999998</v>
      </c>
      <c r="CJ850" s="121">
        <v>71.772500000000008</v>
      </c>
      <c r="CK850" s="121">
        <v>73.346000000000004</v>
      </c>
      <c r="CL850" s="121">
        <v>74.852000000000004</v>
      </c>
      <c r="CM850" s="121">
        <v>76.358000000000004</v>
      </c>
      <c r="CN850" s="121">
        <v>77.856999999999999</v>
      </c>
      <c r="CO850" s="121">
        <v>79.355999999999995</v>
      </c>
      <c r="CP850" s="121">
        <v>80.863</v>
      </c>
      <c r="CQ850" s="121">
        <v>82.37</v>
      </c>
      <c r="CR850" s="160">
        <v>83.869500000000002</v>
      </c>
      <c r="CS850" s="160">
        <v>85.369</v>
      </c>
      <c r="CT850" s="160">
        <v>86.875500000000002</v>
      </c>
      <c r="CU850" s="160">
        <v>88.382000000000005</v>
      </c>
      <c r="CV850" s="160">
        <v>89.807500000000005</v>
      </c>
      <c r="CW850" s="160">
        <v>91.233000000000004</v>
      </c>
      <c r="CX850" s="160">
        <v>92.731500000000011</v>
      </c>
      <c r="CY850" s="160">
        <v>94.23</v>
      </c>
      <c r="CZ850" s="160">
        <v>95.774000000000001</v>
      </c>
      <c r="DA850" s="160">
        <v>97.317999999999998</v>
      </c>
      <c r="DB850" s="121">
        <f t="array" ref="DB850:DB854">TRANSPOSE(DC849:DG849)</f>
        <v>98.706500000000005</v>
      </c>
      <c r="DC850" s="158">
        <v>100.095</v>
      </c>
      <c r="DD850" s="121">
        <f>DE849</f>
        <v>101.566</v>
      </c>
      <c r="DE850" s="158">
        <v>103.108</v>
      </c>
      <c r="DF850" s="121">
        <f>DG849</f>
        <v>104.53649999999999</v>
      </c>
      <c r="DG850" s="159">
        <v>106.107</v>
      </c>
    </row>
    <row r="851" spans="54:111" ht="15" customHeight="1" x14ac:dyDescent="0.2">
      <c r="BB851" s="28">
        <v>57</v>
      </c>
      <c r="BC851" s="121">
        <v>17.1525</v>
      </c>
      <c r="BD851" s="121">
        <v>19.171500000000002</v>
      </c>
      <c r="BE851" s="121">
        <v>21.1905</v>
      </c>
      <c r="BF851" s="121">
        <v>23.1205</v>
      </c>
      <c r="BG851" s="121">
        <v>25.0505</v>
      </c>
      <c r="BH851" s="121">
        <v>26.881249999999998</v>
      </c>
      <c r="BI851" s="121">
        <v>28.712</v>
      </c>
      <c r="BJ851" s="121">
        <v>30.48875</v>
      </c>
      <c r="BK851" s="121">
        <v>32.265500000000003</v>
      </c>
      <c r="BL851" s="121">
        <v>34.003500000000003</v>
      </c>
      <c r="BM851" s="121">
        <v>35.741500000000002</v>
      </c>
      <c r="BN851" s="121">
        <v>37.432000000000002</v>
      </c>
      <c r="BO851" s="121">
        <v>39.122500000000002</v>
      </c>
      <c r="BP851" s="121">
        <v>40.790750000000003</v>
      </c>
      <c r="BQ851" s="121">
        <v>42.459000000000003</v>
      </c>
      <c r="BR851" s="121">
        <v>44.139749999999999</v>
      </c>
      <c r="BS851" s="121">
        <v>45.820499999999996</v>
      </c>
      <c r="BT851" s="121">
        <v>47.451999999999998</v>
      </c>
      <c r="BU851" s="121">
        <v>49.083500000000001</v>
      </c>
      <c r="BV851" s="121">
        <v>50.699999999999996</v>
      </c>
      <c r="BW851" s="121">
        <v>52.316499999999998</v>
      </c>
      <c r="BX851" s="121">
        <v>53.907250000000005</v>
      </c>
      <c r="BY851" s="121">
        <v>55.498000000000005</v>
      </c>
      <c r="BZ851" s="121">
        <v>57.108249999999998</v>
      </c>
      <c r="CA851" s="121">
        <v>58.718500000000006</v>
      </c>
      <c r="CB851" s="121">
        <v>60.294750000000008</v>
      </c>
      <c r="CC851" s="121">
        <v>61.871000000000002</v>
      </c>
      <c r="CD851" s="121">
        <v>63.447000000000003</v>
      </c>
      <c r="CE851" s="121">
        <v>65.022999999999996</v>
      </c>
      <c r="CF851" s="121">
        <v>66.580749999999995</v>
      </c>
      <c r="CG851" s="121">
        <v>68.138499999999993</v>
      </c>
      <c r="CH851" s="121">
        <v>69.675249999999991</v>
      </c>
      <c r="CI851" s="121">
        <v>71.211999999999989</v>
      </c>
      <c r="CJ851" s="121">
        <v>72.802999999999997</v>
      </c>
      <c r="CK851" s="121">
        <v>74.394000000000005</v>
      </c>
      <c r="CL851" s="121">
        <v>75.918000000000006</v>
      </c>
      <c r="CM851" s="121">
        <v>77.442000000000007</v>
      </c>
      <c r="CN851" s="121">
        <v>78.959000000000003</v>
      </c>
      <c r="CO851" s="121">
        <v>80.475999999999999</v>
      </c>
      <c r="CP851" s="121">
        <v>82.013000000000005</v>
      </c>
      <c r="CQ851" s="121">
        <v>83.163000000000011</v>
      </c>
      <c r="CR851" s="160">
        <v>85.070750000000004</v>
      </c>
      <c r="CS851" s="160">
        <v>86.271999999999991</v>
      </c>
      <c r="CT851" s="160">
        <v>88.112249999999989</v>
      </c>
      <c r="CU851" s="160">
        <v>89.34899999999999</v>
      </c>
      <c r="CV851" s="160">
        <v>91.116500000000002</v>
      </c>
      <c r="CW851" s="160">
        <v>92.4255</v>
      </c>
      <c r="CX851" s="160">
        <v>94.13300000000001</v>
      </c>
      <c r="CY851" s="160">
        <v>95.534500000000008</v>
      </c>
      <c r="CZ851" s="160">
        <v>97.168499999999995</v>
      </c>
      <c r="DA851" s="160">
        <v>98.563000000000002</v>
      </c>
      <c r="DB851" s="160">
        <v>100.13625</v>
      </c>
      <c r="DC851" s="160">
        <f t="array" ref="DC851:DC854">TRANSPOSE(DD850:DG850)</f>
        <v>101.566</v>
      </c>
      <c r="DD851" s="120">
        <f>(DC851+DE851)/2</f>
        <v>103.10825</v>
      </c>
      <c r="DE851" s="120">
        <f>(DE850+DE852)/2</f>
        <v>104.65049999999999</v>
      </c>
      <c r="DF851" s="120">
        <f>(DE851+DG851)/2</f>
        <v>106.1245</v>
      </c>
      <c r="DG851" s="122">
        <f>(DG850+DG852)/2</f>
        <v>107.5985</v>
      </c>
    </row>
    <row r="852" spans="54:111" ht="15" customHeight="1" x14ac:dyDescent="0.2">
      <c r="BB852" s="28">
        <v>58</v>
      </c>
      <c r="BC852" s="121">
        <v>17.364000000000001</v>
      </c>
      <c r="BD852" s="121">
        <v>19.423000000000002</v>
      </c>
      <c r="BE852" s="121">
        <v>21.481999999999999</v>
      </c>
      <c r="BF852" s="121">
        <v>23.43</v>
      </c>
      <c r="BG852" s="121">
        <v>25.378</v>
      </c>
      <c r="BH852" s="121">
        <v>27.244999999999997</v>
      </c>
      <c r="BI852" s="121">
        <v>29.111999999999998</v>
      </c>
      <c r="BJ852" s="121">
        <v>30.900500000000001</v>
      </c>
      <c r="BK852" s="121">
        <v>32.689</v>
      </c>
      <c r="BL852" s="121">
        <v>34.444500000000005</v>
      </c>
      <c r="BM852" s="121">
        <v>36.200000000000003</v>
      </c>
      <c r="BN852" s="121">
        <v>37.927000000000007</v>
      </c>
      <c r="BO852" s="121">
        <v>39.654000000000003</v>
      </c>
      <c r="BP852" s="121">
        <v>41.344000000000001</v>
      </c>
      <c r="BQ852" s="121">
        <v>43.033999999999999</v>
      </c>
      <c r="BR852" s="121">
        <v>44.741</v>
      </c>
      <c r="BS852" s="121">
        <v>46.448</v>
      </c>
      <c r="BT852" s="121">
        <v>48.100999999999999</v>
      </c>
      <c r="BU852" s="121">
        <v>49.753999999999998</v>
      </c>
      <c r="BV852" s="121">
        <v>51.406499999999994</v>
      </c>
      <c r="BW852" s="121">
        <v>53.058999999999997</v>
      </c>
      <c r="BX852" s="121">
        <v>54.667500000000004</v>
      </c>
      <c r="BY852" s="121">
        <v>56.276000000000003</v>
      </c>
      <c r="BZ852" s="121">
        <v>57.916499999999999</v>
      </c>
      <c r="CA852" s="121">
        <v>59.557000000000002</v>
      </c>
      <c r="CB852" s="121">
        <v>61.136000000000003</v>
      </c>
      <c r="CC852" s="121">
        <v>62.715000000000003</v>
      </c>
      <c r="CD852" s="121">
        <v>64.324000000000012</v>
      </c>
      <c r="CE852" s="121">
        <v>65.933000000000007</v>
      </c>
      <c r="CF852" s="121">
        <v>67.512</v>
      </c>
      <c r="CG852" s="121">
        <v>69.090999999999994</v>
      </c>
      <c r="CH852" s="121">
        <v>70.657999999999987</v>
      </c>
      <c r="CI852" s="121">
        <v>72.224999999999994</v>
      </c>
      <c r="CJ852" s="121">
        <v>73.833499999999987</v>
      </c>
      <c r="CK852" s="121">
        <v>75.441999999999993</v>
      </c>
      <c r="CL852" s="121">
        <v>76.983999999999995</v>
      </c>
      <c r="CM852" s="121">
        <v>78.525999999999996</v>
      </c>
      <c r="CN852" s="121">
        <v>80.061000000000007</v>
      </c>
      <c r="CO852" s="121">
        <v>81.596000000000004</v>
      </c>
      <c r="CP852" s="121">
        <v>83.163000000000011</v>
      </c>
      <c r="CQ852" s="121">
        <v>84.73</v>
      </c>
      <c r="CR852" s="160">
        <v>86.271999999999991</v>
      </c>
      <c r="CS852" s="160">
        <v>87.813999999999993</v>
      </c>
      <c r="CT852" s="160">
        <v>89.34899999999999</v>
      </c>
      <c r="CU852" s="160">
        <v>90.884</v>
      </c>
      <c r="CV852" s="160">
        <v>92.4255</v>
      </c>
      <c r="CW852" s="160">
        <v>93.966999999999999</v>
      </c>
      <c r="CX852" s="160">
        <v>95.534500000000008</v>
      </c>
      <c r="CY852" s="160">
        <v>97.102000000000004</v>
      </c>
      <c r="CZ852" s="160">
        <v>98.563000000000002</v>
      </c>
      <c r="DA852" s="160">
        <v>100.024</v>
      </c>
      <c r="DB852" s="160">
        <v>101.566</v>
      </c>
      <c r="DC852" s="160">
        <v>103.108</v>
      </c>
      <c r="DD852" s="121">
        <f t="array" ref="DD852:DD854">TRANSPOSE(DE851:DG851)</f>
        <v>104.65049999999999</v>
      </c>
      <c r="DE852" s="158">
        <v>106.193</v>
      </c>
      <c r="DF852" s="121">
        <f>DG851</f>
        <v>107.5985</v>
      </c>
      <c r="DG852" s="159">
        <v>109.09</v>
      </c>
    </row>
    <row r="853" spans="54:111" ht="15" customHeight="1" x14ac:dyDescent="0.2">
      <c r="BB853" s="28">
        <v>59</v>
      </c>
      <c r="BC853" s="121">
        <v>17.595500000000001</v>
      </c>
      <c r="BD853" s="121">
        <v>19.680750000000003</v>
      </c>
      <c r="BE853" s="121">
        <v>21.765999999999998</v>
      </c>
      <c r="BF853" s="121">
        <v>23.731999999999999</v>
      </c>
      <c r="BG853" s="121">
        <v>25.698</v>
      </c>
      <c r="BH853" s="121">
        <v>27.598749999999999</v>
      </c>
      <c r="BI853" s="121">
        <v>29.499499999999998</v>
      </c>
      <c r="BJ853" s="121">
        <v>31.31175</v>
      </c>
      <c r="BK853" s="121">
        <v>33.123999999999995</v>
      </c>
      <c r="BL853" s="121">
        <v>34.913499999999999</v>
      </c>
      <c r="BM853" s="121">
        <v>36.703000000000003</v>
      </c>
      <c r="BN853" s="121">
        <v>38.444000000000003</v>
      </c>
      <c r="BO853" s="121">
        <v>40.185000000000002</v>
      </c>
      <c r="BP853" s="121">
        <v>41.905249999999995</v>
      </c>
      <c r="BQ853" s="121">
        <v>43.625500000000002</v>
      </c>
      <c r="BR853" s="121">
        <v>45.341499999999996</v>
      </c>
      <c r="BS853" s="121">
        <v>47.057500000000005</v>
      </c>
      <c r="BT853" s="121">
        <v>48.740499999999997</v>
      </c>
      <c r="BU853" s="121">
        <v>50.423500000000004</v>
      </c>
      <c r="BV853" s="121">
        <v>52.093999999999994</v>
      </c>
      <c r="BW853" s="121">
        <v>53.764499999999998</v>
      </c>
      <c r="BX853" s="121">
        <v>55.421750000000003</v>
      </c>
      <c r="BY853" s="121">
        <v>57.079000000000001</v>
      </c>
      <c r="BZ853" s="121">
        <v>58.725000000000001</v>
      </c>
      <c r="CA853" s="121">
        <v>60.371000000000002</v>
      </c>
      <c r="CB853" s="121">
        <v>61.980249999999998</v>
      </c>
      <c r="CC853" s="121">
        <v>63.589500000000001</v>
      </c>
      <c r="CD853" s="121">
        <v>65.219750000000005</v>
      </c>
      <c r="CE853" s="121">
        <v>66.849999999999994</v>
      </c>
      <c r="CF853" s="121">
        <v>68.459249999999997</v>
      </c>
      <c r="CG853" s="121">
        <v>70.0685</v>
      </c>
      <c r="CH853" s="121">
        <v>71.637249999999995</v>
      </c>
      <c r="CI853" s="121">
        <v>73.205999999999989</v>
      </c>
      <c r="CJ853" s="121">
        <v>74.848249999999993</v>
      </c>
      <c r="CK853" s="121">
        <v>76.490499999999997</v>
      </c>
      <c r="CL853" s="121">
        <v>78.050250000000005</v>
      </c>
      <c r="CM853" s="121">
        <v>79.61</v>
      </c>
      <c r="CN853" s="121">
        <v>81.179000000000002</v>
      </c>
      <c r="CO853" s="121">
        <v>82.748000000000005</v>
      </c>
      <c r="CP853" s="121">
        <v>84.320000000000007</v>
      </c>
      <c r="CQ853" s="121">
        <v>85.477000000000004</v>
      </c>
      <c r="CR853" s="160">
        <v>87.46074999999999</v>
      </c>
      <c r="CS853" s="160">
        <v>88.649500000000003</v>
      </c>
      <c r="CT853" s="160">
        <v>90.585999999999999</v>
      </c>
      <c r="CU853" s="160">
        <v>91.823000000000008</v>
      </c>
      <c r="CV853" s="160">
        <v>93.714500000000001</v>
      </c>
      <c r="CW853" s="160">
        <v>95.003500000000003</v>
      </c>
      <c r="CX853" s="160">
        <v>96.859000000000009</v>
      </c>
      <c r="CY853" s="160">
        <v>98.183499999999995</v>
      </c>
      <c r="CZ853" s="160">
        <v>99.963249999999988</v>
      </c>
      <c r="DA853" s="160">
        <v>101.36349999999999</v>
      </c>
      <c r="DB853" s="160">
        <v>103.05125</v>
      </c>
      <c r="DC853" s="160">
        <v>104.53649999999999</v>
      </c>
      <c r="DD853" s="160">
        <v>106.1245</v>
      </c>
      <c r="DE853" s="160">
        <f t="array" ref="DE853:DE854">TRANSPOSE(DF852:DG852)</f>
        <v>107.5985</v>
      </c>
      <c r="DF853" s="120">
        <f>(DE853+DG853)/2</f>
        <v>109.13325</v>
      </c>
      <c r="DG853" s="122">
        <f>(DG852+DG854)/2</f>
        <v>110.66800000000001</v>
      </c>
    </row>
    <row r="854" spans="54:111" ht="15" customHeight="1" thickBot="1" x14ac:dyDescent="0.25">
      <c r="BB854" s="149">
        <v>60</v>
      </c>
      <c r="BC854" s="123">
        <v>17.827000000000002</v>
      </c>
      <c r="BD854" s="123">
        <v>19.938500000000001</v>
      </c>
      <c r="BE854" s="123">
        <v>22.05</v>
      </c>
      <c r="BF854" s="123">
        <v>24.033999999999999</v>
      </c>
      <c r="BG854" s="123">
        <v>26.018000000000001</v>
      </c>
      <c r="BH854" s="123">
        <v>27.952500000000001</v>
      </c>
      <c r="BI854" s="123">
        <v>29.887</v>
      </c>
      <c r="BJ854" s="123">
        <v>31.722999999999999</v>
      </c>
      <c r="BK854" s="123">
        <v>33.558999999999997</v>
      </c>
      <c r="BL854" s="123">
        <v>35.3825</v>
      </c>
      <c r="BM854" s="123">
        <v>37.206000000000003</v>
      </c>
      <c r="BN854" s="123">
        <v>38.960999999999999</v>
      </c>
      <c r="BO854" s="123">
        <v>40.716000000000001</v>
      </c>
      <c r="BP854" s="123">
        <v>42.466499999999996</v>
      </c>
      <c r="BQ854" s="123">
        <v>44.216999999999999</v>
      </c>
      <c r="BR854" s="123">
        <v>45.942</v>
      </c>
      <c r="BS854" s="123">
        <v>47.667000000000002</v>
      </c>
      <c r="BT854" s="123">
        <v>49.38</v>
      </c>
      <c r="BU854" s="123">
        <v>51.093000000000004</v>
      </c>
      <c r="BV854" s="123">
        <v>52.781500000000001</v>
      </c>
      <c r="BW854" s="123">
        <v>54.47</v>
      </c>
      <c r="BX854" s="123">
        <v>56.176000000000002</v>
      </c>
      <c r="BY854" s="123">
        <v>57.881999999999998</v>
      </c>
      <c r="BZ854" s="123">
        <v>59.533500000000004</v>
      </c>
      <c r="CA854" s="123">
        <v>61.185000000000002</v>
      </c>
      <c r="CB854" s="123">
        <v>62.8245</v>
      </c>
      <c r="CC854" s="123">
        <v>64.463999999999999</v>
      </c>
      <c r="CD854" s="123">
        <v>66.115499999999997</v>
      </c>
      <c r="CE854" s="123">
        <v>67.766999999999996</v>
      </c>
      <c r="CF854" s="123">
        <v>69.406499999999994</v>
      </c>
      <c r="CG854" s="123">
        <v>71.046000000000006</v>
      </c>
      <c r="CH854" s="123">
        <v>72.616500000000002</v>
      </c>
      <c r="CI854" s="123">
        <v>74.186999999999998</v>
      </c>
      <c r="CJ854" s="123">
        <v>75.863</v>
      </c>
      <c r="CK854" s="123">
        <v>77.539000000000001</v>
      </c>
      <c r="CL854" s="123">
        <v>79.116500000000002</v>
      </c>
      <c r="CM854" s="123">
        <v>80.694000000000003</v>
      </c>
      <c r="CN854" s="123">
        <v>82.296999999999997</v>
      </c>
      <c r="CO854" s="123">
        <v>83.9</v>
      </c>
      <c r="CP854" s="123">
        <v>85.477000000000004</v>
      </c>
      <c r="CQ854" s="123">
        <v>87.054000000000002</v>
      </c>
      <c r="CR854" s="161">
        <v>88.649500000000003</v>
      </c>
      <c r="CS854" s="161">
        <v>90.245000000000005</v>
      </c>
      <c r="CT854" s="161">
        <v>91.823000000000008</v>
      </c>
      <c r="CU854" s="161">
        <v>93.400999999999996</v>
      </c>
      <c r="CV854" s="161">
        <v>95.003500000000003</v>
      </c>
      <c r="CW854" s="161">
        <v>96.605999999999995</v>
      </c>
      <c r="CX854" s="161">
        <v>98.183499999999995</v>
      </c>
      <c r="CY854" s="161">
        <v>99.760999999999996</v>
      </c>
      <c r="CZ854" s="161">
        <v>101.36349999999999</v>
      </c>
      <c r="DA854" s="161">
        <v>102.96599999999999</v>
      </c>
      <c r="DB854" s="161">
        <v>104.53649999999999</v>
      </c>
      <c r="DC854" s="161">
        <v>106.107</v>
      </c>
      <c r="DD854" s="161">
        <v>107.5985</v>
      </c>
      <c r="DE854" s="161">
        <v>109.09</v>
      </c>
      <c r="DF854" s="151">
        <f>DG853</f>
        <v>110.66800000000001</v>
      </c>
      <c r="DG854" s="162">
        <v>112.246</v>
      </c>
    </row>
    <row r="855" spans="54:111" ht="15" customHeight="1" thickBot="1" x14ac:dyDescent="0.25">
      <c r="BB855" s="25"/>
      <c r="BC855" s="25"/>
      <c r="BD855" s="25"/>
      <c r="BE855" s="25"/>
      <c r="BF855" s="25"/>
      <c r="BG855" s="25"/>
      <c r="BH855" s="25"/>
      <c r="BI855" s="25"/>
      <c r="BJ855" s="25"/>
      <c r="BK855" s="25"/>
      <c r="BL855" s="25"/>
      <c r="BM855" s="25"/>
      <c r="BN855" s="25"/>
      <c r="BO855" s="25"/>
      <c r="BP855" s="25"/>
      <c r="BQ855" s="25"/>
      <c r="BR855" s="25"/>
      <c r="BS855" s="25"/>
      <c r="BT855" s="25"/>
      <c r="BU855" s="25"/>
      <c r="BV855" s="25"/>
      <c r="BW855" s="25"/>
      <c r="BX855" s="25"/>
      <c r="BY855" s="25"/>
      <c r="BZ855" s="25"/>
      <c r="CA855" s="25"/>
      <c r="CB855" s="25"/>
      <c r="CC855" s="25"/>
      <c r="CD855" s="25"/>
      <c r="CE855" s="25"/>
      <c r="CF855" s="25"/>
      <c r="CG855" s="25"/>
      <c r="CH855" s="25"/>
      <c r="CI855" s="25"/>
      <c r="CJ855" s="25"/>
      <c r="CK855" s="25"/>
      <c r="CL855" s="25"/>
      <c r="CM855" s="25"/>
      <c r="CN855" s="25"/>
      <c r="CO855" s="25"/>
      <c r="CP855" s="25"/>
      <c r="CQ855" s="25"/>
    </row>
    <row r="856" spans="54:111" ht="15" customHeight="1" thickBot="1" x14ac:dyDescent="0.3">
      <c r="BB856" s="1841" t="s">
        <v>309</v>
      </c>
      <c r="BC856" s="1842"/>
      <c r="BD856" s="1842"/>
      <c r="BE856" s="1842"/>
      <c r="BF856" s="1842"/>
      <c r="BG856" s="1842"/>
      <c r="BH856" s="1842"/>
      <c r="BI856" s="1842"/>
      <c r="BJ856" s="1842"/>
      <c r="BK856" s="1842"/>
      <c r="BL856" s="1842"/>
      <c r="BM856" s="1842"/>
      <c r="BN856" s="1842"/>
      <c r="BO856" s="1842"/>
      <c r="BP856" s="1842"/>
      <c r="BQ856" s="1842"/>
      <c r="BR856" s="1842"/>
      <c r="BS856" s="1842"/>
      <c r="BT856" s="1842"/>
      <c r="BU856" s="1842"/>
      <c r="BV856" s="1842"/>
      <c r="BW856" s="1842"/>
      <c r="BX856" s="1842"/>
      <c r="BY856" s="1842"/>
      <c r="BZ856" s="1842"/>
      <c r="CA856" s="1842"/>
      <c r="CB856" s="1842"/>
      <c r="CC856" s="1842"/>
      <c r="CD856" s="1842"/>
      <c r="CE856" s="1842"/>
      <c r="CF856" s="1842"/>
      <c r="CG856" s="1842"/>
      <c r="CH856" s="1842"/>
      <c r="CI856" s="1842"/>
      <c r="CJ856" s="1842"/>
      <c r="CK856" s="1842"/>
      <c r="CL856" s="1842"/>
      <c r="CM856" s="1842"/>
      <c r="CN856" s="1842"/>
      <c r="CO856" s="1842"/>
      <c r="CP856" s="1842"/>
      <c r="CQ856" s="1842"/>
      <c r="CR856" s="1842"/>
      <c r="CS856" s="1842"/>
      <c r="CT856" s="1842"/>
      <c r="CU856" s="1842"/>
      <c r="CV856" s="1842"/>
      <c r="CW856" s="1842"/>
      <c r="CX856" s="1842"/>
      <c r="CY856" s="1842"/>
      <c r="CZ856" s="1842"/>
      <c r="DA856" s="1842"/>
      <c r="DB856" s="1842"/>
      <c r="DC856" s="1842"/>
      <c r="DD856" s="1842"/>
      <c r="DE856" s="1842"/>
      <c r="DF856" s="1842"/>
      <c r="DG856" s="1843"/>
    </row>
    <row r="857" spans="54:111" ht="15" customHeight="1" x14ac:dyDescent="0.2">
      <c r="BB857" s="26"/>
      <c r="BC857" s="27">
        <v>4</v>
      </c>
      <c r="BD857" s="27">
        <v>5</v>
      </c>
      <c r="BE857" s="27">
        <v>6</v>
      </c>
      <c r="BF857" s="27">
        <v>7</v>
      </c>
      <c r="BG857" s="27">
        <v>8</v>
      </c>
      <c r="BH857" s="27">
        <v>9</v>
      </c>
      <c r="BI857" s="27">
        <v>10</v>
      </c>
      <c r="BJ857" s="27">
        <v>11</v>
      </c>
      <c r="BK857" s="27">
        <v>12</v>
      </c>
      <c r="BL857" s="27">
        <v>13</v>
      </c>
      <c r="BM857" s="27">
        <v>14</v>
      </c>
      <c r="BN857" s="27">
        <v>15</v>
      </c>
      <c r="BO857" s="27">
        <v>16</v>
      </c>
      <c r="BP857" s="27">
        <v>17</v>
      </c>
      <c r="BQ857" s="27">
        <v>18</v>
      </c>
      <c r="BR857" s="27">
        <v>19</v>
      </c>
      <c r="BS857" s="27">
        <v>20</v>
      </c>
      <c r="BT857" s="27">
        <v>21</v>
      </c>
      <c r="BU857" s="27">
        <v>22</v>
      </c>
      <c r="BV857" s="27">
        <v>23</v>
      </c>
      <c r="BW857" s="27">
        <v>24</v>
      </c>
      <c r="BX857" s="27">
        <v>25</v>
      </c>
      <c r="BY857" s="27">
        <v>26</v>
      </c>
      <c r="BZ857" s="27">
        <v>27</v>
      </c>
      <c r="CA857" s="27">
        <v>28</v>
      </c>
      <c r="CB857" s="27">
        <v>29</v>
      </c>
      <c r="CC857" s="27">
        <v>30</v>
      </c>
      <c r="CD857" s="27">
        <v>31</v>
      </c>
      <c r="CE857" s="27">
        <v>32</v>
      </c>
      <c r="CF857" s="27">
        <v>33</v>
      </c>
      <c r="CG857" s="27">
        <v>34</v>
      </c>
      <c r="CH857" s="27">
        <v>35</v>
      </c>
      <c r="CI857" s="27">
        <v>36</v>
      </c>
      <c r="CJ857" s="27">
        <v>37</v>
      </c>
      <c r="CK857" s="27">
        <v>38</v>
      </c>
      <c r="CL857" s="27">
        <v>39</v>
      </c>
      <c r="CM857" s="27">
        <v>40</v>
      </c>
      <c r="CN857" s="27">
        <v>41</v>
      </c>
      <c r="CO857" s="27">
        <v>42</v>
      </c>
      <c r="CP857" s="27">
        <v>43</v>
      </c>
      <c r="CQ857" s="27">
        <v>44</v>
      </c>
      <c r="CR857" s="27">
        <v>45</v>
      </c>
      <c r="CS857" s="27">
        <v>46</v>
      </c>
      <c r="CT857" s="27">
        <v>47</v>
      </c>
      <c r="CU857" s="27">
        <v>48</v>
      </c>
      <c r="CV857" s="27">
        <v>49</v>
      </c>
      <c r="CW857" s="27">
        <v>50</v>
      </c>
      <c r="CX857" s="27">
        <v>51</v>
      </c>
      <c r="CY857" s="27">
        <v>52</v>
      </c>
      <c r="CZ857" s="27">
        <v>53</v>
      </c>
      <c r="DA857" s="27">
        <v>54</v>
      </c>
      <c r="DB857" s="27">
        <v>55</v>
      </c>
      <c r="DC857" s="27">
        <v>56</v>
      </c>
      <c r="DD857" s="27">
        <v>57</v>
      </c>
      <c r="DE857" s="27">
        <v>58</v>
      </c>
      <c r="DF857" s="27">
        <v>59</v>
      </c>
      <c r="DG857" s="142">
        <v>60</v>
      </c>
    </row>
    <row r="858" spans="54:111" ht="15" customHeight="1" x14ac:dyDescent="0.2">
      <c r="BB858" s="28">
        <v>4</v>
      </c>
      <c r="BC858" s="156">
        <v>2.8290000000000002</v>
      </c>
      <c r="BD858" s="120">
        <f>(BE858+BC858)/2</f>
        <v>3.1835</v>
      </c>
      <c r="BE858" s="156">
        <v>3.5379999999999998</v>
      </c>
      <c r="BF858" s="120">
        <f>(BG858+BE858)/2</f>
        <v>3.8295000000000003</v>
      </c>
      <c r="BG858" s="156">
        <v>4.1210000000000004</v>
      </c>
      <c r="BH858" s="120">
        <f>(BI858+BG858)/2</f>
        <v>4.4085000000000001</v>
      </c>
      <c r="BI858" s="156">
        <v>4.6959999999999997</v>
      </c>
      <c r="BJ858" s="120">
        <f>(BK858+BI858)/2</f>
        <v>4.9554999999999998</v>
      </c>
      <c r="BK858" s="156">
        <v>5.2149999999999999</v>
      </c>
      <c r="BL858" s="120">
        <f>(BM858+BK858)/2</f>
        <v>5.4964999999999993</v>
      </c>
      <c r="BM858" s="156">
        <v>5.7779999999999996</v>
      </c>
      <c r="BN858" s="120">
        <f>(BO858+BM858)/2</f>
        <v>6.0114999999999998</v>
      </c>
      <c r="BO858" s="156">
        <v>6.2450000000000001</v>
      </c>
      <c r="BP858" s="120">
        <f>(BQ858+BO858)/2</f>
        <v>6.4945000000000004</v>
      </c>
      <c r="BQ858" s="156">
        <v>6.7439999999999998</v>
      </c>
      <c r="BR858" s="120">
        <f>(BS858+BQ858)/2</f>
        <v>6.9710000000000001</v>
      </c>
      <c r="BS858" s="156">
        <v>7.1980000000000004</v>
      </c>
      <c r="BT858" s="120">
        <f>(BU858+BS858)/2</f>
        <v>7.4535</v>
      </c>
      <c r="BU858" s="156">
        <v>7.7089999999999996</v>
      </c>
      <c r="BV858" s="120">
        <f>(BW858+BU858)/2</f>
        <v>7.9364999999999997</v>
      </c>
      <c r="BW858" s="156">
        <v>8.1639999999999997</v>
      </c>
      <c r="BX858" s="120">
        <f>(BY858+BW858)/2</f>
        <v>8.3810000000000002</v>
      </c>
      <c r="BY858" s="156">
        <v>8.5980000000000008</v>
      </c>
      <c r="BZ858" s="120">
        <f>(CA858+BY858)/2</f>
        <v>8.8255000000000017</v>
      </c>
      <c r="CA858" s="156">
        <v>9.0530000000000008</v>
      </c>
      <c r="CB858" s="120">
        <f>(CC858+CA858)/2</f>
        <v>9.2765000000000004</v>
      </c>
      <c r="CC858" s="156">
        <v>9.5</v>
      </c>
      <c r="CD858" s="120">
        <f>(CE858+CC858)/2</f>
        <v>9.6950000000000003</v>
      </c>
      <c r="CE858" s="156">
        <v>9.89</v>
      </c>
      <c r="CF858" s="120">
        <f>(CG858+CE858)/2</f>
        <v>10.1075</v>
      </c>
      <c r="CG858" s="156">
        <v>10.324999999999999</v>
      </c>
      <c r="CH858" s="120">
        <f>(CI858+CG858)/2</f>
        <v>10.526</v>
      </c>
      <c r="CI858" s="156">
        <v>10.727</v>
      </c>
      <c r="CJ858" s="120">
        <f>(CK858+CI858)/2</f>
        <v>10.943999999999999</v>
      </c>
      <c r="CK858" s="156">
        <v>11.161</v>
      </c>
      <c r="CL858" s="120">
        <f>(CM858+CK858)/2</f>
        <v>11.3565</v>
      </c>
      <c r="CM858" s="156">
        <v>11.552</v>
      </c>
      <c r="CN858" s="120">
        <f>(CO858+CM858)/2</f>
        <v>11.775500000000001</v>
      </c>
      <c r="CO858" s="156">
        <v>11.999000000000001</v>
      </c>
      <c r="CP858" s="120">
        <f>(CQ858+CO858)/2</f>
        <v>12.193999999999999</v>
      </c>
      <c r="CQ858" s="156">
        <v>12.388999999999999</v>
      </c>
      <c r="CR858" s="120">
        <f>(CS858+CQ858)/2</f>
        <v>12.6065</v>
      </c>
      <c r="CS858" s="156">
        <v>12.824</v>
      </c>
      <c r="CT858" s="120">
        <f>(CU858+CS858)/2</f>
        <v>13.025500000000001</v>
      </c>
      <c r="CU858" s="156">
        <v>13.227</v>
      </c>
      <c r="CV858" s="120">
        <f>(CW858+CU858)/2</f>
        <v>13.411999999999999</v>
      </c>
      <c r="CW858" s="156">
        <v>13.597</v>
      </c>
      <c r="CX858" s="120">
        <f>(CY858+CW858)/2</f>
        <v>13.792</v>
      </c>
      <c r="CY858" s="156">
        <v>13.987</v>
      </c>
      <c r="CZ858" s="120">
        <f>(DA858+CY858)/2</f>
        <v>14.211</v>
      </c>
      <c r="DA858" s="156">
        <v>14.435</v>
      </c>
      <c r="DB858" s="120">
        <f>(DC858+DA858)/2</f>
        <v>14.597999999999999</v>
      </c>
      <c r="DC858" s="156">
        <v>14.760999999999999</v>
      </c>
      <c r="DD858" s="120">
        <f>(DE858+DC858)/2</f>
        <v>14.978</v>
      </c>
      <c r="DE858" s="156">
        <v>15.195</v>
      </c>
      <c r="DF858" s="120">
        <f>(DG858+DE858)/2</f>
        <v>15.3965</v>
      </c>
      <c r="DG858" s="157">
        <v>15.598000000000001</v>
      </c>
    </row>
    <row r="859" spans="54:111" ht="15" customHeight="1" x14ac:dyDescent="0.2">
      <c r="BB859" s="28">
        <v>5</v>
      </c>
      <c r="BC859" s="121">
        <f t="array" ref="BC859:BC914">TRANSPOSE(BD858:DG858)</f>
        <v>3.1835</v>
      </c>
      <c r="BD859" s="120">
        <f>(BC859+BE859)/2</f>
        <v>3.5540000000000003</v>
      </c>
      <c r="BE859" s="120">
        <f>(BE858+BE860)/2</f>
        <v>3.9245000000000001</v>
      </c>
      <c r="BF859" s="120">
        <f>(BE859+BG859)/2</f>
        <v>4.2614999999999998</v>
      </c>
      <c r="BG859" s="120">
        <f>(BG858+BG860)/2</f>
        <v>4.5984999999999996</v>
      </c>
      <c r="BH859" s="120">
        <f>(BG859+BI859)/2</f>
        <v>4.9304999999999994</v>
      </c>
      <c r="BI859" s="120">
        <f>(BI858+BI860)/2</f>
        <v>5.2624999999999993</v>
      </c>
      <c r="BJ859" s="120">
        <f>(BI859+BK859)/2</f>
        <v>5.5517499999999993</v>
      </c>
      <c r="BK859" s="120">
        <f>(BK858+BK860)/2</f>
        <v>5.8409999999999993</v>
      </c>
      <c r="BL859" s="120">
        <f>(BK859+BM859)/2</f>
        <v>6.1427499999999995</v>
      </c>
      <c r="BM859" s="120">
        <f>(BM858+BM860)/2</f>
        <v>6.4444999999999997</v>
      </c>
      <c r="BN859" s="120">
        <f>(BM859+BO859)/2</f>
        <v>6.7204999999999995</v>
      </c>
      <c r="BO859" s="120">
        <f>(BO858+BO860)/2</f>
        <v>6.9965000000000002</v>
      </c>
      <c r="BP859" s="120">
        <f>(BO859+BQ859)/2</f>
        <v>7.2612500000000004</v>
      </c>
      <c r="BQ859" s="120">
        <f>(BQ858+BQ860)/2</f>
        <v>7.5259999999999998</v>
      </c>
      <c r="BR859" s="120">
        <f>(BQ859+BS859)/2</f>
        <v>7.7989999999999995</v>
      </c>
      <c r="BS859" s="120">
        <f>(BS858+BS860)/2</f>
        <v>8.0719999999999992</v>
      </c>
      <c r="BT859" s="120">
        <f>(BS859+BU859)/2</f>
        <v>8.3287499999999994</v>
      </c>
      <c r="BU859" s="120">
        <f>(BU858+BU860)/2</f>
        <v>8.5854999999999997</v>
      </c>
      <c r="BV859" s="120">
        <f>(BU859+BW859)/2</f>
        <v>8.8424999999999994</v>
      </c>
      <c r="BW859" s="120">
        <f>(BW858+BW860)/2</f>
        <v>9.099499999999999</v>
      </c>
      <c r="BX859" s="120">
        <f>(BW859+BY859)/2</f>
        <v>9.347999999999999</v>
      </c>
      <c r="BY859" s="120">
        <f>(BY858+BY860)/2</f>
        <v>9.5965000000000007</v>
      </c>
      <c r="BZ859" s="120">
        <f>(BY859+CA859)/2</f>
        <v>9.8537500000000016</v>
      </c>
      <c r="CA859" s="120">
        <f>(CA858+CA860)/2</f>
        <v>10.111000000000001</v>
      </c>
      <c r="CB859" s="120">
        <f>(CA859+CC859)/2</f>
        <v>10.3515</v>
      </c>
      <c r="CC859" s="120">
        <f>(CC858+CC860)/2</f>
        <v>10.591999999999999</v>
      </c>
      <c r="CD859" s="120">
        <f>(CC859+CE859)/2</f>
        <v>10.832999999999998</v>
      </c>
      <c r="CE859" s="120">
        <f>(CE858+CE860)/2</f>
        <v>11.074</v>
      </c>
      <c r="CF859" s="120">
        <f>(CE859+CG859)/2</f>
        <v>11.306750000000001</v>
      </c>
      <c r="CG859" s="120">
        <f>(CG858+CG860)/2</f>
        <v>11.5395</v>
      </c>
      <c r="CH859" s="120">
        <f>(CG859+CI859)/2</f>
        <v>11.7835</v>
      </c>
      <c r="CI859" s="120">
        <f>(CI858+CI860)/2</f>
        <v>12.0275</v>
      </c>
      <c r="CJ859" s="120">
        <f>(CI859+CK859)/2</f>
        <v>12.248749999999999</v>
      </c>
      <c r="CK859" s="120">
        <f>(CK858+CK860)/2</f>
        <v>12.469999999999999</v>
      </c>
      <c r="CL859" s="120">
        <f>(CK859+CM859)/2</f>
        <v>12.710999999999999</v>
      </c>
      <c r="CM859" s="120">
        <f>(CM858+CM860)/2</f>
        <v>12.952</v>
      </c>
      <c r="CN859" s="120">
        <f>(CM859+CO859)/2</f>
        <v>13.187999999999999</v>
      </c>
      <c r="CO859" s="120">
        <f>(CO858+CO860)/2</f>
        <v>13.423999999999999</v>
      </c>
      <c r="CP859" s="120">
        <f>(CO859+CQ859)/2</f>
        <v>13.64875</v>
      </c>
      <c r="CQ859" s="120">
        <f>(CQ858+CQ860)/2</f>
        <v>13.8735</v>
      </c>
      <c r="CR859" s="120">
        <f>(CQ859+CS859)/2</f>
        <v>14.094999999999999</v>
      </c>
      <c r="CS859" s="120">
        <f>(CS858+CS860)/2</f>
        <v>14.3165</v>
      </c>
      <c r="CT859" s="120">
        <f>(CS859+CU859)/2</f>
        <v>14.544750000000001</v>
      </c>
      <c r="CU859" s="120">
        <f>(CU858+CU860)/2</f>
        <v>14.773</v>
      </c>
      <c r="CV859" s="120">
        <f>(CU859+CW859)/2</f>
        <v>14.9895</v>
      </c>
      <c r="CW859" s="120">
        <f>(CW858+CW860)/2</f>
        <v>15.206</v>
      </c>
      <c r="CX859" s="120">
        <f>(CW859+CY859)/2</f>
        <v>15.4275</v>
      </c>
      <c r="CY859" s="120">
        <f>(CY858+CY860)/2</f>
        <v>15.649000000000001</v>
      </c>
      <c r="CZ859" s="120">
        <f>(CY859+DA859)/2</f>
        <v>15.87725</v>
      </c>
      <c r="DA859" s="120">
        <f>(DA858+DA860)/2</f>
        <v>16.105499999999999</v>
      </c>
      <c r="DB859" s="120">
        <f>(DA859+DC859)/2</f>
        <v>16.311</v>
      </c>
      <c r="DC859" s="120">
        <f>(DC858+DC860)/2</f>
        <v>16.516500000000001</v>
      </c>
      <c r="DD859" s="120">
        <f>(DC859+DE859)/2</f>
        <v>16.75225</v>
      </c>
      <c r="DE859" s="120">
        <f>(DE858+DE860)/2</f>
        <v>16.988</v>
      </c>
      <c r="DF859" s="120">
        <f>(DE859+DG859)/2</f>
        <v>17.213000000000001</v>
      </c>
      <c r="DG859" s="122">
        <f>(DG858+DG860)/2</f>
        <v>17.437999999999999</v>
      </c>
    </row>
    <row r="860" spans="54:111" ht="15" customHeight="1" x14ac:dyDescent="0.2">
      <c r="BB860" s="28">
        <v>6</v>
      </c>
      <c r="BC860" s="121">
        <v>3.5379999999999998</v>
      </c>
      <c r="BD860" s="121">
        <f t="array" ref="BD860:BD914">TRANSPOSE(BE859:DG859)</f>
        <v>3.9245000000000001</v>
      </c>
      <c r="BE860" s="158">
        <v>4.3109999999999999</v>
      </c>
      <c r="BF860" s="120">
        <f>(BG860+BE860)/2</f>
        <v>4.6935000000000002</v>
      </c>
      <c r="BG860" s="158">
        <v>5.0759999999999996</v>
      </c>
      <c r="BH860" s="120">
        <f>(BI860+BG860)/2</f>
        <v>5.4524999999999997</v>
      </c>
      <c r="BI860" s="158">
        <v>5.8289999999999997</v>
      </c>
      <c r="BJ860" s="120">
        <f>(BK860+BI860)/2</f>
        <v>6.1479999999999997</v>
      </c>
      <c r="BK860" s="158">
        <v>6.4669999999999996</v>
      </c>
      <c r="BL860" s="120">
        <f>(BM860+BK860)/2</f>
        <v>6.7889999999999997</v>
      </c>
      <c r="BM860" s="158">
        <v>7.1109999999999998</v>
      </c>
      <c r="BN860" s="120">
        <f>(BO860+BM860)/2</f>
        <v>7.4295</v>
      </c>
      <c r="BO860" s="158">
        <v>7.7480000000000002</v>
      </c>
      <c r="BP860" s="120">
        <f>(BQ860+BO860)/2</f>
        <v>8.0280000000000005</v>
      </c>
      <c r="BQ860" s="158">
        <v>8.3079999999999998</v>
      </c>
      <c r="BR860" s="120">
        <f>(BS860+BQ860)/2</f>
        <v>8.6269999999999989</v>
      </c>
      <c r="BS860" s="158">
        <v>8.9459999999999997</v>
      </c>
      <c r="BT860" s="120">
        <f>(BU860+BS860)/2</f>
        <v>9.2040000000000006</v>
      </c>
      <c r="BU860" s="158">
        <v>9.4619999999999997</v>
      </c>
      <c r="BV860" s="120">
        <f>(BW860+BU860)/2</f>
        <v>9.7484999999999999</v>
      </c>
      <c r="BW860" s="158">
        <v>10.035</v>
      </c>
      <c r="BX860" s="120">
        <f>(BY860+BW860)/2</f>
        <v>10.315000000000001</v>
      </c>
      <c r="BY860" s="158">
        <v>10.595000000000001</v>
      </c>
      <c r="BZ860" s="120">
        <f>(CA860+BY860)/2</f>
        <v>10.882000000000001</v>
      </c>
      <c r="CA860" s="158">
        <v>11.169</v>
      </c>
      <c r="CB860" s="120">
        <f>(CC860+CA860)/2</f>
        <v>11.426500000000001</v>
      </c>
      <c r="CC860" s="158">
        <v>11.683999999999999</v>
      </c>
      <c r="CD860" s="120">
        <f>(CE860+CC860)/2</f>
        <v>11.971</v>
      </c>
      <c r="CE860" s="158">
        <v>12.257999999999999</v>
      </c>
      <c r="CF860" s="120">
        <f>(CG860+CE860)/2</f>
        <v>12.506</v>
      </c>
      <c r="CG860" s="158">
        <v>12.754</v>
      </c>
      <c r="CH860" s="120">
        <f>(CI860+CG860)/2</f>
        <v>13.041</v>
      </c>
      <c r="CI860" s="158">
        <v>13.327999999999999</v>
      </c>
      <c r="CJ860" s="120">
        <f>(CK860+CI860)/2</f>
        <v>13.5535</v>
      </c>
      <c r="CK860" s="158">
        <v>13.779</v>
      </c>
      <c r="CL860" s="120">
        <f>(CM860+CK860)/2</f>
        <v>14.0655</v>
      </c>
      <c r="CM860" s="158">
        <v>14.352</v>
      </c>
      <c r="CN860" s="120">
        <f>(CO860+CM860)/2</f>
        <v>14.6005</v>
      </c>
      <c r="CO860" s="158">
        <v>14.849</v>
      </c>
      <c r="CP860" s="120">
        <f>(CQ860+CO860)/2</f>
        <v>15.1035</v>
      </c>
      <c r="CQ860" s="158">
        <v>15.358000000000001</v>
      </c>
      <c r="CR860" s="120">
        <f>(CS860+CQ860)/2</f>
        <v>15.583500000000001</v>
      </c>
      <c r="CS860" s="158">
        <v>15.808999999999999</v>
      </c>
      <c r="CT860" s="120">
        <f>(CU860+CS860)/2</f>
        <v>16.064</v>
      </c>
      <c r="CU860" s="158">
        <v>16.318999999999999</v>
      </c>
      <c r="CV860" s="120">
        <f>(CW860+CU860)/2</f>
        <v>16.567</v>
      </c>
      <c r="CW860" s="158">
        <v>16.815000000000001</v>
      </c>
      <c r="CX860" s="120">
        <f>(CY860+CW860)/2</f>
        <v>17.063000000000002</v>
      </c>
      <c r="CY860" s="158">
        <v>17.311</v>
      </c>
      <c r="CZ860" s="120">
        <f>(DA860+CY860)/2</f>
        <v>17.543500000000002</v>
      </c>
      <c r="DA860" s="158">
        <v>17.776</v>
      </c>
      <c r="DB860" s="120">
        <f>(DC860+DA860)/2</f>
        <v>18.024000000000001</v>
      </c>
      <c r="DC860" s="158">
        <v>18.271999999999998</v>
      </c>
      <c r="DD860" s="120">
        <f>(DE860+DC860)/2</f>
        <v>18.526499999999999</v>
      </c>
      <c r="DE860" s="158">
        <v>18.780999999999999</v>
      </c>
      <c r="DF860" s="120">
        <f>(DG860+DE860)/2</f>
        <v>19.029499999999999</v>
      </c>
      <c r="DG860" s="159">
        <v>19.277999999999999</v>
      </c>
    </row>
    <row r="861" spans="54:111" ht="15" customHeight="1" x14ac:dyDescent="0.2">
      <c r="BB861" s="28">
        <v>7</v>
      </c>
      <c r="BC861" s="121">
        <v>3.8295000000000003</v>
      </c>
      <c r="BD861" s="121">
        <v>4.2614999999999998</v>
      </c>
      <c r="BE861" s="121">
        <f t="array" ref="BE861:BE914">TRANSPOSE(BF860:DG860)</f>
        <v>4.6935000000000002</v>
      </c>
      <c r="BF861" s="120">
        <f>(BE861+BG861)/2</f>
        <v>5.1077500000000002</v>
      </c>
      <c r="BG861" s="120">
        <f>(BG860+BG862)/2</f>
        <v>5.5220000000000002</v>
      </c>
      <c r="BH861" s="120">
        <f>(BG861+BI861)/2</f>
        <v>5.9137500000000003</v>
      </c>
      <c r="BI861" s="120">
        <f>(BI860+BI862)/2</f>
        <v>6.3055000000000003</v>
      </c>
      <c r="BJ861" s="120">
        <f>(BI861+BK861)/2</f>
        <v>6.6720000000000006</v>
      </c>
      <c r="BK861" s="120">
        <f>(BK860+BK862)/2</f>
        <v>7.0385</v>
      </c>
      <c r="BL861" s="120">
        <f>(BK861+BM861)/2</f>
        <v>7.3870000000000005</v>
      </c>
      <c r="BM861" s="120">
        <f>(BM860+BM862)/2</f>
        <v>7.7355</v>
      </c>
      <c r="BN861" s="120">
        <f>(BM861+BO861)/2</f>
        <v>8.0694999999999997</v>
      </c>
      <c r="BO861" s="120">
        <f>(BO860+BO862)/2</f>
        <v>8.4034999999999993</v>
      </c>
      <c r="BP861" s="120">
        <f>(BO861+BQ861)/2</f>
        <v>8.7182499999999994</v>
      </c>
      <c r="BQ861" s="120">
        <f>(BQ860+BQ862)/2</f>
        <v>9.0329999999999995</v>
      </c>
      <c r="BR861" s="120">
        <f>(BQ861+BS861)/2</f>
        <v>9.3642499999999984</v>
      </c>
      <c r="BS861" s="120">
        <f>(BS860+BS862)/2</f>
        <v>9.6954999999999991</v>
      </c>
      <c r="BT861" s="120">
        <f>(BS861+BU861)/2</f>
        <v>9.9989999999999988</v>
      </c>
      <c r="BU861" s="120">
        <f>(BU860+BU862)/2</f>
        <v>10.3025</v>
      </c>
      <c r="BV861" s="120">
        <f>(BU861+BW861)/2</f>
        <v>10.620750000000001</v>
      </c>
      <c r="BW861" s="120">
        <f>(BW860+BW862)/2</f>
        <v>10.939</v>
      </c>
      <c r="BX861" s="120">
        <f>(BW861+BY861)/2</f>
        <v>11.234249999999999</v>
      </c>
      <c r="BY861" s="120">
        <f>(BY860+BY862)/2</f>
        <v>11.529500000000001</v>
      </c>
      <c r="BZ861" s="120">
        <f>(BY861+CA861)/2</f>
        <v>11.832000000000001</v>
      </c>
      <c r="CA861" s="120">
        <f>(CA860+CA862)/2</f>
        <v>12.134499999999999</v>
      </c>
      <c r="CB861" s="120">
        <f>(CA861+CC861)/2</f>
        <v>12.437749999999999</v>
      </c>
      <c r="CC861" s="120">
        <f>(CC860+CC862)/2</f>
        <v>12.741</v>
      </c>
      <c r="CD861" s="120">
        <f>(CC861+CE861)/2</f>
        <v>13.04025</v>
      </c>
      <c r="CE861" s="120">
        <f>(CE860+CE862)/2</f>
        <v>13.339499999999999</v>
      </c>
      <c r="CF861" s="120">
        <f>(CE861+CG861)/2</f>
        <v>13.622</v>
      </c>
      <c r="CG861" s="120">
        <f>(CG860+CG862)/2</f>
        <v>13.904499999999999</v>
      </c>
      <c r="CH861" s="120">
        <f>(CG861+CI861)/2</f>
        <v>14.190999999999999</v>
      </c>
      <c r="CI861" s="120">
        <f>(CI860+CI862)/2</f>
        <v>14.477499999999999</v>
      </c>
      <c r="CJ861" s="120">
        <f>(CI861+CK861)/2</f>
        <v>14.7455</v>
      </c>
      <c r="CK861" s="120">
        <f>(CK860+CK862)/2</f>
        <v>15.013500000000001</v>
      </c>
      <c r="CL861" s="120">
        <f>(CK861+CM861)/2</f>
        <v>15.315750000000001</v>
      </c>
      <c r="CM861" s="120">
        <f>(CM860+CM862)/2</f>
        <v>15.618</v>
      </c>
      <c r="CN861" s="120">
        <f>(CM861+CO861)/2</f>
        <v>15.881499999999999</v>
      </c>
      <c r="CO861" s="120">
        <f>(CO860+CO862)/2</f>
        <v>16.145</v>
      </c>
      <c r="CP861" s="120">
        <f>(CO861+CQ861)/2</f>
        <v>16.431249999999999</v>
      </c>
      <c r="CQ861" s="120">
        <f>(CQ860+CQ862)/2</f>
        <v>16.717500000000001</v>
      </c>
      <c r="CR861" s="120">
        <f>(CQ861+CS861)/2</f>
        <v>16.972749999999998</v>
      </c>
      <c r="CS861" s="120">
        <f>(CS860+CS862)/2</f>
        <v>17.227999999999998</v>
      </c>
      <c r="CT861" s="120">
        <f>(CS861+CU861)/2</f>
        <v>17.511249999999997</v>
      </c>
      <c r="CU861" s="120">
        <f>(CU860+CU862)/2</f>
        <v>17.794499999999999</v>
      </c>
      <c r="CV861" s="120">
        <f>(CU861+CW861)/2</f>
        <v>18.061250000000001</v>
      </c>
      <c r="CW861" s="120">
        <f>(CW860+CW862)/2</f>
        <v>18.328000000000003</v>
      </c>
      <c r="CX861" s="120">
        <f>(CW861+CY861)/2</f>
        <v>18.610500000000002</v>
      </c>
      <c r="CY861" s="120">
        <f>(CY860+CY862)/2</f>
        <v>18.893000000000001</v>
      </c>
      <c r="CZ861" s="120">
        <f>(CY861+DA861)/2</f>
        <v>19.14875</v>
      </c>
      <c r="DA861" s="120">
        <f>(DA860+DA862)/2</f>
        <v>19.404499999999999</v>
      </c>
      <c r="DB861" s="120">
        <f>(DA861+DC861)/2</f>
        <v>19.671499999999998</v>
      </c>
      <c r="DC861" s="120">
        <f>(DC860+DC862)/2</f>
        <v>19.938499999999998</v>
      </c>
      <c r="DD861" s="120">
        <f>(DC861+DE861)/2</f>
        <v>20.20825</v>
      </c>
      <c r="DE861" s="120">
        <f>(DE860+DE862)/2</f>
        <v>20.478000000000002</v>
      </c>
      <c r="DF861" s="120">
        <f>(DE861+DG861)/2</f>
        <v>20.74175</v>
      </c>
      <c r="DG861" s="122">
        <f>(DG860+DG862)/2</f>
        <v>21.005499999999998</v>
      </c>
    </row>
    <row r="862" spans="54:111" ht="15" customHeight="1" x14ac:dyDescent="0.2">
      <c r="BB862" s="28">
        <v>8</v>
      </c>
      <c r="BC862" s="121">
        <v>4.1210000000000004</v>
      </c>
      <c r="BD862" s="121">
        <v>4.5984999999999996</v>
      </c>
      <c r="BE862" s="121">
        <v>5.0759999999999996</v>
      </c>
      <c r="BF862" s="121">
        <f t="array" ref="BF862:BF914">TRANSPOSE(BG861:DG861)</f>
        <v>5.5220000000000002</v>
      </c>
      <c r="BG862" s="158">
        <v>5.968</v>
      </c>
      <c r="BH862" s="120">
        <f>(BI862+BG862)/2</f>
        <v>6.375</v>
      </c>
      <c r="BI862" s="158">
        <v>6.782</v>
      </c>
      <c r="BJ862" s="120">
        <f>(BK862+BI862)/2</f>
        <v>7.1959999999999997</v>
      </c>
      <c r="BK862" s="158">
        <v>7.61</v>
      </c>
      <c r="BL862" s="120">
        <f>(BM862+BK862)/2</f>
        <v>7.9849999999999994</v>
      </c>
      <c r="BM862" s="158">
        <v>8.36</v>
      </c>
      <c r="BN862" s="120">
        <f>(BO862+BM862)/2</f>
        <v>8.7094999999999985</v>
      </c>
      <c r="BO862" s="158">
        <v>9.0589999999999993</v>
      </c>
      <c r="BP862" s="120">
        <f>(BQ862+BO862)/2</f>
        <v>9.4085000000000001</v>
      </c>
      <c r="BQ862" s="158">
        <v>9.7579999999999991</v>
      </c>
      <c r="BR862" s="120">
        <f>(BS862+BQ862)/2</f>
        <v>10.1015</v>
      </c>
      <c r="BS862" s="158">
        <v>10.445</v>
      </c>
      <c r="BT862" s="120">
        <f>(BU862+BS862)/2</f>
        <v>10.794</v>
      </c>
      <c r="BU862" s="158">
        <v>11.143000000000001</v>
      </c>
      <c r="BV862" s="120">
        <f>(BW862+BU862)/2</f>
        <v>11.493</v>
      </c>
      <c r="BW862" s="158">
        <v>11.843</v>
      </c>
      <c r="BX862" s="120">
        <f>(BY862+BW862)/2</f>
        <v>12.153500000000001</v>
      </c>
      <c r="BY862" s="158">
        <v>12.464</v>
      </c>
      <c r="BZ862" s="120">
        <f>(CA862+BY862)/2</f>
        <v>12.782</v>
      </c>
      <c r="CA862" s="158">
        <v>13.1</v>
      </c>
      <c r="CB862" s="120">
        <f>(CC862+CA862)/2</f>
        <v>13.449</v>
      </c>
      <c r="CC862" s="158">
        <v>13.798</v>
      </c>
      <c r="CD862" s="120">
        <f>(CE862+CC862)/2</f>
        <v>14.109500000000001</v>
      </c>
      <c r="CE862" s="158">
        <v>14.420999999999999</v>
      </c>
      <c r="CF862" s="120">
        <f>(CG862+CE862)/2</f>
        <v>14.738</v>
      </c>
      <c r="CG862" s="158">
        <v>15.055</v>
      </c>
      <c r="CH862" s="120">
        <f>(CI862+CG862)/2</f>
        <v>15.341000000000001</v>
      </c>
      <c r="CI862" s="158">
        <v>15.627000000000001</v>
      </c>
      <c r="CJ862" s="120">
        <f>(CK862+CI862)/2</f>
        <v>15.9375</v>
      </c>
      <c r="CK862" s="158">
        <v>16.248000000000001</v>
      </c>
      <c r="CL862" s="120">
        <f>(CM862+CK862)/2</f>
        <v>16.566000000000003</v>
      </c>
      <c r="CM862" s="158">
        <v>16.884</v>
      </c>
      <c r="CN862" s="120">
        <f>(CO862+CM862)/2</f>
        <v>17.162500000000001</v>
      </c>
      <c r="CO862" s="158">
        <v>17.440999999999999</v>
      </c>
      <c r="CP862" s="120">
        <f>(CQ862+CO862)/2</f>
        <v>17.759</v>
      </c>
      <c r="CQ862" s="158">
        <v>18.077000000000002</v>
      </c>
      <c r="CR862" s="120">
        <f>(CS862+CQ862)/2</f>
        <v>18.362000000000002</v>
      </c>
      <c r="CS862" s="158">
        <v>18.646999999999998</v>
      </c>
      <c r="CT862" s="120">
        <f>(CU862+CS862)/2</f>
        <v>18.958500000000001</v>
      </c>
      <c r="CU862" s="158">
        <v>19.27</v>
      </c>
      <c r="CV862" s="120">
        <f>(CW862+CU862)/2</f>
        <v>19.555500000000002</v>
      </c>
      <c r="CW862" s="158">
        <v>19.841000000000001</v>
      </c>
      <c r="CX862" s="120">
        <f>(CY862+CW862)/2</f>
        <v>20.158000000000001</v>
      </c>
      <c r="CY862" s="158">
        <v>20.475000000000001</v>
      </c>
      <c r="CZ862" s="120">
        <f>(DA862+CY862)/2</f>
        <v>20.754000000000001</v>
      </c>
      <c r="DA862" s="158">
        <v>21.033000000000001</v>
      </c>
      <c r="DB862" s="120">
        <f>(DC862+DA862)/2</f>
        <v>21.319000000000003</v>
      </c>
      <c r="DC862" s="158">
        <v>21.605</v>
      </c>
      <c r="DD862" s="120">
        <f>(DE862+DC862)/2</f>
        <v>21.89</v>
      </c>
      <c r="DE862" s="158">
        <v>22.175000000000001</v>
      </c>
      <c r="DF862" s="120">
        <f>(DG862+DE862)/2</f>
        <v>22.454000000000001</v>
      </c>
      <c r="DG862" s="159">
        <v>22.733000000000001</v>
      </c>
    </row>
    <row r="863" spans="54:111" ht="15" customHeight="1" x14ac:dyDescent="0.2">
      <c r="BB863" s="28">
        <v>9</v>
      </c>
      <c r="BC863" s="121">
        <v>4.4085000000000001</v>
      </c>
      <c r="BD863" s="121">
        <v>4.9304999999999994</v>
      </c>
      <c r="BE863" s="121">
        <v>5.4524999999999997</v>
      </c>
      <c r="BF863" s="121">
        <v>5.9137500000000003</v>
      </c>
      <c r="BG863" s="121">
        <f t="array" ref="BG863:BG914">TRANSPOSE(BH862:DG862)</f>
        <v>6.375</v>
      </c>
      <c r="BH863" s="120">
        <f>(BG863+BI863)/2</f>
        <v>6.8170000000000002</v>
      </c>
      <c r="BI863" s="120">
        <f>(BI862+BI864)/2</f>
        <v>7.2590000000000003</v>
      </c>
      <c r="BJ863" s="120">
        <f>(BI863+BK863)/2</f>
        <v>7.6992500000000001</v>
      </c>
      <c r="BK863" s="120">
        <f>(BK862+BK864)/2</f>
        <v>8.1395</v>
      </c>
      <c r="BL863" s="120">
        <f>(BK863+BM863)/2</f>
        <v>8.5332499999999989</v>
      </c>
      <c r="BM863" s="120">
        <f>(BM862+BM864)/2</f>
        <v>8.9269999999999996</v>
      </c>
      <c r="BN863" s="120">
        <f>(BM863+BO863)/2</f>
        <v>9.3047499999999985</v>
      </c>
      <c r="BO863" s="120">
        <f>(BO862+BO864)/2</f>
        <v>9.6824999999999992</v>
      </c>
      <c r="BP863" s="120">
        <f>(BO863+BQ863)/2</f>
        <v>10.063499999999999</v>
      </c>
      <c r="BQ863" s="120">
        <f>(BQ862+BQ864)/2</f>
        <v>10.4445</v>
      </c>
      <c r="BR863" s="120">
        <f>(BQ863+BS863)/2</f>
        <v>10.817499999999999</v>
      </c>
      <c r="BS863" s="120">
        <f>(BS862+BS864)/2</f>
        <v>11.1905</v>
      </c>
      <c r="BT863" s="120">
        <f>(BS863+BU863)/2</f>
        <v>11.571249999999999</v>
      </c>
      <c r="BU863" s="120">
        <f>(BU862+BU864)/2</f>
        <v>11.952</v>
      </c>
      <c r="BV863" s="120">
        <f>(BU863+BW863)/2</f>
        <v>12.317</v>
      </c>
      <c r="BW863" s="120">
        <f>(BW862+BW864)/2</f>
        <v>12.682</v>
      </c>
      <c r="BX863" s="120">
        <f>(BW863+BY863)/2</f>
        <v>13.008500000000002</v>
      </c>
      <c r="BY863" s="120">
        <f>(BY862+BY864)/2</f>
        <v>13.335000000000001</v>
      </c>
      <c r="BZ863" s="120">
        <f>(BY863+CA863)/2</f>
        <v>13.69525</v>
      </c>
      <c r="CA863" s="120">
        <f>(CA862+CA864)/2</f>
        <v>14.055499999999999</v>
      </c>
      <c r="CB863" s="120">
        <f>(CA863+CC863)/2</f>
        <v>14.404</v>
      </c>
      <c r="CC863" s="120">
        <f>(CC862+CC864)/2</f>
        <v>14.752500000000001</v>
      </c>
      <c r="CD863" s="120">
        <f>(CC863+CE863)/2</f>
        <v>15.098500000000001</v>
      </c>
      <c r="CE863" s="120">
        <f>(CE862+CE864)/2</f>
        <v>15.4445</v>
      </c>
      <c r="CF863" s="120">
        <f>(CE863+CG863)/2</f>
        <v>15.777249999999999</v>
      </c>
      <c r="CG863" s="120">
        <f>(CG862+CG864)/2</f>
        <v>16.11</v>
      </c>
      <c r="CH863" s="120">
        <f>(CG863+CI863)/2</f>
        <v>16.43525</v>
      </c>
      <c r="CI863" s="120">
        <f>(CI862+CI864)/2</f>
        <v>16.7605</v>
      </c>
      <c r="CJ863" s="120">
        <f>(CI863+CK863)/2</f>
        <v>17.089750000000002</v>
      </c>
      <c r="CK863" s="120">
        <f>(CK862+CK864)/2</f>
        <v>17.419</v>
      </c>
      <c r="CL863" s="120">
        <f>(CK863+CM863)/2</f>
        <v>17.75225</v>
      </c>
      <c r="CM863" s="120">
        <f>(CM862+CM864)/2</f>
        <v>18.0855</v>
      </c>
      <c r="CN863" s="120">
        <f>(CM863+CO863)/2</f>
        <v>18.39875</v>
      </c>
      <c r="CO863" s="120">
        <f>(CO862+CO864)/2</f>
        <v>18.712</v>
      </c>
      <c r="CP863" s="120">
        <f>(CO863+CQ863)/2</f>
        <v>19.0565</v>
      </c>
      <c r="CQ863" s="120">
        <f>(CQ862+CQ864)/2</f>
        <v>19.401000000000003</v>
      </c>
      <c r="CR863" s="120">
        <f>(CQ863+CS863)/2</f>
        <v>19.71425</v>
      </c>
      <c r="CS863" s="120">
        <f>(CS862+CS864)/2</f>
        <v>20.0275</v>
      </c>
      <c r="CT863" s="120">
        <f>(CS863+CU863)/2</f>
        <v>20.341250000000002</v>
      </c>
      <c r="CU863" s="120">
        <f>(CU862+CU864)/2</f>
        <v>20.655000000000001</v>
      </c>
      <c r="CV863" s="120">
        <f>(CU863+CW863)/2</f>
        <v>20.972250000000003</v>
      </c>
      <c r="CW863" s="120">
        <f>(CW862+CW864)/2</f>
        <v>21.2895</v>
      </c>
      <c r="CX863" s="120">
        <f>(CW863+CY863)/2</f>
        <v>21.617000000000001</v>
      </c>
      <c r="CY863" s="120">
        <f>(CY862+CY864)/2</f>
        <v>21.944500000000001</v>
      </c>
      <c r="CZ863" s="120">
        <f>(CY863+DA863)/2</f>
        <v>22.258250000000004</v>
      </c>
      <c r="DA863" s="120">
        <f>(DA862+DA864)/2</f>
        <v>22.572000000000003</v>
      </c>
      <c r="DB863" s="120">
        <f>(DA863+DC863)/2</f>
        <v>22.87</v>
      </c>
      <c r="DC863" s="120">
        <f>(DC862+DC864)/2</f>
        <v>23.167999999999999</v>
      </c>
      <c r="DD863" s="120">
        <f>(DC863+DE863)/2</f>
        <v>23.484500000000001</v>
      </c>
      <c r="DE863" s="120">
        <f>(DE862+DE864)/2</f>
        <v>23.801000000000002</v>
      </c>
      <c r="DF863" s="120">
        <f>(DE863+DG863)/2</f>
        <v>24.109750000000002</v>
      </c>
      <c r="DG863" s="122">
        <f>(DG862+DG864)/2</f>
        <v>24.418500000000002</v>
      </c>
    </row>
    <row r="864" spans="54:111" ht="15" customHeight="1" x14ac:dyDescent="0.2">
      <c r="BB864" s="28">
        <v>10</v>
      </c>
      <c r="BC864" s="121">
        <v>4.6959999999999997</v>
      </c>
      <c r="BD864" s="121">
        <v>5.2624999999999993</v>
      </c>
      <c r="BE864" s="121">
        <v>5.8289999999999997</v>
      </c>
      <c r="BF864" s="121">
        <v>6.3055000000000003</v>
      </c>
      <c r="BG864" s="121">
        <v>6.782</v>
      </c>
      <c r="BH864" s="121">
        <f t="array" ref="BH864:BH914">TRANSPOSE(BI863:DG863)</f>
        <v>7.2590000000000003</v>
      </c>
      <c r="BI864" s="158">
        <v>7.7359999999999998</v>
      </c>
      <c r="BJ864" s="120">
        <f>(BK864+BI864)/2</f>
        <v>8.2025000000000006</v>
      </c>
      <c r="BK864" s="158">
        <v>8.6690000000000005</v>
      </c>
      <c r="BL864" s="120">
        <f>(BM864+BK864)/2</f>
        <v>9.0815000000000001</v>
      </c>
      <c r="BM864" s="158">
        <v>9.4939999999999998</v>
      </c>
      <c r="BN864" s="120">
        <f>(BO864+BM864)/2</f>
        <v>9.8999999999999986</v>
      </c>
      <c r="BO864" s="158">
        <v>10.305999999999999</v>
      </c>
      <c r="BP864" s="120">
        <f>(BQ864+BO864)/2</f>
        <v>10.718499999999999</v>
      </c>
      <c r="BQ864" s="158">
        <v>11.131</v>
      </c>
      <c r="BR864" s="120">
        <f>(BS864+BQ864)/2</f>
        <v>11.5335</v>
      </c>
      <c r="BS864" s="158">
        <v>11.936</v>
      </c>
      <c r="BT864" s="120">
        <f>(BU864+BS864)/2</f>
        <v>12.3485</v>
      </c>
      <c r="BU864" s="158">
        <v>12.760999999999999</v>
      </c>
      <c r="BV864" s="120">
        <f>(BW864+BU864)/2</f>
        <v>13.141</v>
      </c>
      <c r="BW864" s="158">
        <v>13.521000000000001</v>
      </c>
      <c r="BX864" s="120">
        <f>(BY864+BW864)/2</f>
        <v>13.8635</v>
      </c>
      <c r="BY864" s="158">
        <v>14.206</v>
      </c>
      <c r="BZ864" s="120">
        <f>(CA864+BY864)/2</f>
        <v>14.608499999999999</v>
      </c>
      <c r="CA864" s="158">
        <v>15.010999999999999</v>
      </c>
      <c r="CB864" s="120">
        <f>(CC864+CA864)/2</f>
        <v>15.359</v>
      </c>
      <c r="CC864" s="158">
        <v>15.707000000000001</v>
      </c>
      <c r="CD864" s="120">
        <f>(CE864+CC864)/2</f>
        <v>16.087499999999999</v>
      </c>
      <c r="CE864" s="158">
        <v>16.468</v>
      </c>
      <c r="CF864" s="120">
        <f>(CG864+CE864)/2</f>
        <v>16.816499999999998</v>
      </c>
      <c r="CG864" s="158">
        <v>17.164999999999999</v>
      </c>
      <c r="CH864" s="120">
        <f>(CI864+CG864)/2</f>
        <v>17.529499999999999</v>
      </c>
      <c r="CI864" s="158">
        <v>17.893999999999998</v>
      </c>
      <c r="CJ864" s="120">
        <f>(CK864+CI864)/2</f>
        <v>18.241999999999997</v>
      </c>
      <c r="CK864" s="158">
        <v>18.59</v>
      </c>
      <c r="CL864" s="120">
        <f>(CM864+CK864)/2</f>
        <v>18.938499999999998</v>
      </c>
      <c r="CM864" s="158">
        <v>19.286999999999999</v>
      </c>
      <c r="CN864" s="120">
        <f>(CO864+CM864)/2</f>
        <v>19.634999999999998</v>
      </c>
      <c r="CO864" s="158">
        <v>19.983000000000001</v>
      </c>
      <c r="CP864" s="120">
        <f>(CQ864+CO864)/2</f>
        <v>20.353999999999999</v>
      </c>
      <c r="CQ864" s="158">
        <v>20.725000000000001</v>
      </c>
      <c r="CR864" s="120">
        <f>(CS864+CQ864)/2</f>
        <v>21.066500000000001</v>
      </c>
      <c r="CS864" s="158">
        <v>21.408000000000001</v>
      </c>
      <c r="CT864" s="120">
        <f>(CU864+CS864)/2</f>
        <v>21.724</v>
      </c>
      <c r="CU864" s="158">
        <v>22.04</v>
      </c>
      <c r="CV864" s="120">
        <f>(CW864+CU864)/2</f>
        <v>22.388999999999999</v>
      </c>
      <c r="CW864" s="158">
        <v>22.738</v>
      </c>
      <c r="CX864" s="120">
        <f>(CY864+CW864)/2</f>
        <v>23.076000000000001</v>
      </c>
      <c r="CY864" s="158">
        <v>23.414000000000001</v>
      </c>
      <c r="CZ864" s="120">
        <f>(DA864+CY864)/2</f>
        <v>23.762500000000003</v>
      </c>
      <c r="DA864" s="158">
        <v>24.111000000000001</v>
      </c>
      <c r="DB864" s="120">
        <f>(DC864+DA864)/2</f>
        <v>24.420999999999999</v>
      </c>
      <c r="DC864" s="158">
        <v>24.731000000000002</v>
      </c>
      <c r="DD864" s="120">
        <f>(DE864+DC864)/2</f>
        <v>25.079000000000001</v>
      </c>
      <c r="DE864" s="158">
        <v>25.427</v>
      </c>
      <c r="DF864" s="120">
        <f>(DG864+DE864)/2</f>
        <v>25.765499999999999</v>
      </c>
      <c r="DG864" s="159">
        <v>26.103999999999999</v>
      </c>
    </row>
    <row r="865" spans="54:111" ht="15" customHeight="1" x14ac:dyDescent="0.2">
      <c r="BB865" s="28">
        <v>11</v>
      </c>
      <c r="BC865" s="121">
        <v>4.9554999999999998</v>
      </c>
      <c r="BD865" s="121">
        <v>5.5517499999999993</v>
      </c>
      <c r="BE865" s="121">
        <v>6.1479999999999997</v>
      </c>
      <c r="BF865" s="121">
        <v>6.6720000000000006</v>
      </c>
      <c r="BG865" s="121">
        <v>7.1959999999999997</v>
      </c>
      <c r="BH865" s="121">
        <v>7.6992500000000001</v>
      </c>
      <c r="BI865" s="121">
        <f t="array" ref="BI865:BI914">TRANSPOSE(BJ864:DG864)</f>
        <v>8.2025000000000006</v>
      </c>
      <c r="BJ865" s="120">
        <f>(BI865+BK865)/2</f>
        <v>8.6735000000000007</v>
      </c>
      <c r="BK865" s="120">
        <f>(BK864+BK866)/2</f>
        <v>9.1445000000000007</v>
      </c>
      <c r="BL865" s="120">
        <f>(BK865+BM865)/2</f>
        <v>9.5995000000000008</v>
      </c>
      <c r="BM865" s="120">
        <f>(BM864+BM866)/2</f>
        <v>10.054500000000001</v>
      </c>
      <c r="BN865" s="120">
        <f>(BM865+BO865)/2</f>
        <v>10.49525</v>
      </c>
      <c r="BO865" s="120">
        <f>(BO864+BO866)/2</f>
        <v>10.936</v>
      </c>
      <c r="BP865" s="120">
        <f>(BO865+BQ865)/2</f>
        <v>11.375</v>
      </c>
      <c r="BQ865" s="120">
        <f>(BQ864+BQ866)/2</f>
        <v>11.814</v>
      </c>
      <c r="BR865" s="120">
        <f>(BQ865+BS865)/2</f>
        <v>12.236750000000001</v>
      </c>
      <c r="BS865" s="120">
        <f>(BS864+BS866)/2</f>
        <v>12.6595</v>
      </c>
      <c r="BT865" s="120">
        <f>(BS865+BU865)/2</f>
        <v>13.0825</v>
      </c>
      <c r="BU865" s="120">
        <f>(BU864+BU866)/2</f>
        <v>13.5055</v>
      </c>
      <c r="BV865" s="120">
        <f>(BU865+BW865)/2</f>
        <v>13.901250000000001</v>
      </c>
      <c r="BW865" s="120">
        <f>(BW864+BW866)/2</f>
        <v>14.297000000000001</v>
      </c>
      <c r="BX865" s="120">
        <f>(BW865+BY865)/2</f>
        <v>14.6815</v>
      </c>
      <c r="BY865" s="120">
        <f>(BY864+BY866)/2</f>
        <v>15.065999999999999</v>
      </c>
      <c r="BZ865" s="120">
        <f>(BY865+CA865)/2</f>
        <v>15.472999999999999</v>
      </c>
      <c r="CA865" s="120">
        <f>(CA864+CA866)/2</f>
        <v>15.879999999999999</v>
      </c>
      <c r="CB865" s="120">
        <f>(CA865+CC865)/2</f>
        <v>16.271000000000001</v>
      </c>
      <c r="CC865" s="120">
        <f>(CC864+CC866)/2</f>
        <v>16.661999999999999</v>
      </c>
      <c r="CD865" s="120">
        <f>(CC865+CE865)/2</f>
        <v>17.057749999999999</v>
      </c>
      <c r="CE865" s="120">
        <f>(CE864+CE866)/2</f>
        <v>17.453499999999998</v>
      </c>
      <c r="CF865" s="120">
        <f>(CE865+CG865)/2</f>
        <v>17.828499999999998</v>
      </c>
      <c r="CG865" s="120">
        <f>(CG864+CG866)/2</f>
        <v>18.203499999999998</v>
      </c>
      <c r="CH865" s="120">
        <f>(CG865+CI865)/2</f>
        <v>18.591249999999999</v>
      </c>
      <c r="CI865" s="120">
        <f>(CI864+CI866)/2</f>
        <v>18.978999999999999</v>
      </c>
      <c r="CJ865" s="120">
        <f>(CI865+CK865)/2</f>
        <v>19.353749999999998</v>
      </c>
      <c r="CK865" s="120">
        <f>(CK864+CK866)/2</f>
        <v>19.7285</v>
      </c>
      <c r="CL865" s="120">
        <f>(CK865+CM865)/2</f>
        <v>20.09225</v>
      </c>
      <c r="CM865" s="120">
        <f>(CM864+CM866)/2</f>
        <v>20.456</v>
      </c>
      <c r="CN865" s="120">
        <f>(CM865+CO865)/2</f>
        <v>20.830750000000002</v>
      </c>
      <c r="CO865" s="120">
        <f>(CO864+CO866)/2</f>
        <v>21.205500000000001</v>
      </c>
      <c r="CP865" s="120">
        <f>(CO865+CQ865)/2</f>
        <v>21.580500000000001</v>
      </c>
      <c r="CQ865" s="120">
        <f>(CQ864+CQ866)/2</f>
        <v>21.955500000000001</v>
      </c>
      <c r="CR865" s="120">
        <f>(CQ865+CS865)/2</f>
        <v>22.327000000000002</v>
      </c>
      <c r="CS865" s="120">
        <f>(CS864+CS866)/2</f>
        <v>22.698500000000003</v>
      </c>
      <c r="CT865" s="120">
        <f>(CS865+CU865)/2</f>
        <v>23.045999999999999</v>
      </c>
      <c r="CU865" s="120">
        <f>(CU864+CU866)/2</f>
        <v>23.3935</v>
      </c>
      <c r="CV865" s="120">
        <f>(CU865+CW865)/2</f>
        <v>23.768749999999997</v>
      </c>
      <c r="CW865" s="120">
        <f>(CW864+CW866)/2</f>
        <v>24.143999999999998</v>
      </c>
      <c r="CX865" s="120">
        <f>(CW865+CY865)/2</f>
        <v>24.502499999999998</v>
      </c>
      <c r="CY865" s="120">
        <f>(CY864+CY866)/2</f>
        <v>24.861000000000001</v>
      </c>
      <c r="CZ865" s="120">
        <f>(CY865+DA865)/2</f>
        <v>25.236000000000001</v>
      </c>
      <c r="DA865" s="120">
        <f>(DA864+DA866)/2</f>
        <v>25.611000000000001</v>
      </c>
      <c r="DB865" s="120">
        <f>(DA865+DC865)/2</f>
        <v>25.939500000000002</v>
      </c>
      <c r="DC865" s="120">
        <f>(DC864+DC866)/2</f>
        <v>26.268000000000001</v>
      </c>
      <c r="DD865" s="120">
        <f>(DC865+DE865)/2</f>
        <v>26.642499999999998</v>
      </c>
      <c r="DE865" s="120">
        <f>(DE864+DE866)/2</f>
        <v>27.016999999999999</v>
      </c>
      <c r="DF865" s="120">
        <f>(DE865+DG865)/2</f>
        <v>27.36</v>
      </c>
      <c r="DG865" s="122">
        <f>(DG864+DG866)/2</f>
        <v>27.702999999999999</v>
      </c>
    </row>
    <row r="866" spans="54:111" ht="15" customHeight="1" x14ac:dyDescent="0.2">
      <c r="BB866" s="28">
        <v>12</v>
      </c>
      <c r="BC866" s="121">
        <v>5.2149999999999999</v>
      </c>
      <c r="BD866" s="121">
        <v>5.8409999999999993</v>
      </c>
      <c r="BE866" s="121">
        <v>6.4669999999999996</v>
      </c>
      <c r="BF866" s="121">
        <v>7.0385</v>
      </c>
      <c r="BG866" s="121">
        <v>7.61</v>
      </c>
      <c r="BH866" s="121">
        <v>8.1395</v>
      </c>
      <c r="BI866" s="121">
        <v>8.6690000000000005</v>
      </c>
      <c r="BJ866" s="121">
        <f t="array" ref="BJ866:BJ914">TRANSPOSE(BK865:DG865)</f>
        <v>9.1445000000000007</v>
      </c>
      <c r="BK866" s="158">
        <v>9.6199999999999992</v>
      </c>
      <c r="BL866" s="120">
        <f>(BM866+BK866)/2</f>
        <v>10.1175</v>
      </c>
      <c r="BM866" s="158">
        <v>10.615</v>
      </c>
      <c r="BN866" s="120">
        <f>(BO866+BM866)/2</f>
        <v>11.0905</v>
      </c>
      <c r="BO866" s="158">
        <v>11.566000000000001</v>
      </c>
      <c r="BP866" s="120">
        <f>(BQ866+BO866)/2</f>
        <v>12.031500000000001</v>
      </c>
      <c r="BQ866" s="158">
        <v>12.497</v>
      </c>
      <c r="BR866" s="120">
        <f>(BS866+BQ866)/2</f>
        <v>12.94</v>
      </c>
      <c r="BS866" s="158">
        <v>13.382999999999999</v>
      </c>
      <c r="BT866" s="120">
        <f>(BU866+BS866)/2</f>
        <v>13.8165</v>
      </c>
      <c r="BU866" s="158">
        <v>14.25</v>
      </c>
      <c r="BV866" s="120">
        <f>(BW866+BU866)/2</f>
        <v>14.6615</v>
      </c>
      <c r="BW866" s="158">
        <v>15.073</v>
      </c>
      <c r="BX866" s="120">
        <f>(BY866+BW866)/2</f>
        <v>15.499500000000001</v>
      </c>
      <c r="BY866" s="158">
        <v>15.926</v>
      </c>
      <c r="BZ866" s="120">
        <f>(CA866+BY866)/2</f>
        <v>16.337499999999999</v>
      </c>
      <c r="CA866" s="158">
        <v>16.748999999999999</v>
      </c>
      <c r="CB866" s="120">
        <f>(CC866+CA866)/2</f>
        <v>17.183</v>
      </c>
      <c r="CC866" s="158">
        <v>17.617000000000001</v>
      </c>
      <c r="CD866" s="120">
        <f>(CE866+CC866)/2</f>
        <v>18.027999999999999</v>
      </c>
      <c r="CE866" s="158">
        <v>18.439</v>
      </c>
      <c r="CF866" s="120">
        <f>(CG866+CE866)/2</f>
        <v>18.840499999999999</v>
      </c>
      <c r="CG866" s="158">
        <v>19.242000000000001</v>
      </c>
      <c r="CH866" s="120">
        <f>(CI866+CG866)/2</f>
        <v>19.652999999999999</v>
      </c>
      <c r="CI866" s="158">
        <v>20.064</v>
      </c>
      <c r="CJ866" s="120">
        <f>(CK866+CI866)/2</f>
        <v>20.465499999999999</v>
      </c>
      <c r="CK866" s="158">
        <v>20.867000000000001</v>
      </c>
      <c r="CL866" s="120">
        <f>(CM866+CK866)/2</f>
        <v>21.246000000000002</v>
      </c>
      <c r="CM866" s="158">
        <v>21.625</v>
      </c>
      <c r="CN866" s="120">
        <f>(CO866+CM866)/2</f>
        <v>22.026499999999999</v>
      </c>
      <c r="CO866" s="158">
        <v>22.428000000000001</v>
      </c>
      <c r="CP866" s="120">
        <f>(CQ866+CO866)/2</f>
        <v>22.807000000000002</v>
      </c>
      <c r="CQ866" s="158">
        <v>23.186</v>
      </c>
      <c r="CR866" s="120">
        <f>(CS866+CQ866)/2</f>
        <v>23.587499999999999</v>
      </c>
      <c r="CS866" s="158">
        <v>23.989000000000001</v>
      </c>
      <c r="CT866" s="120">
        <f>(CU866+CS866)/2</f>
        <v>24.368000000000002</v>
      </c>
      <c r="CU866" s="158">
        <v>24.747</v>
      </c>
      <c r="CV866" s="120">
        <f>(CW866+CU866)/2</f>
        <v>25.148499999999999</v>
      </c>
      <c r="CW866" s="158">
        <v>25.55</v>
      </c>
      <c r="CX866" s="120">
        <f>(CY866+CW866)/2</f>
        <v>25.929000000000002</v>
      </c>
      <c r="CY866" s="158">
        <v>26.308</v>
      </c>
      <c r="CZ866" s="120">
        <f>(DA866+CY866)/2</f>
        <v>26.709499999999998</v>
      </c>
      <c r="DA866" s="158">
        <v>27.111000000000001</v>
      </c>
      <c r="DB866" s="120">
        <f>(DC866+DA866)/2</f>
        <v>27.457999999999998</v>
      </c>
      <c r="DC866" s="158">
        <v>27.805</v>
      </c>
      <c r="DD866" s="120">
        <f>(DE866+DC866)/2</f>
        <v>28.206</v>
      </c>
      <c r="DE866" s="158">
        <v>28.606999999999999</v>
      </c>
      <c r="DF866" s="120">
        <f>(DG866+DE866)/2</f>
        <v>28.954499999999999</v>
      </c>
      <c r="DG866" s="159">
        <v>29.302</v>
      </c>
    </row>
    <row r="867" spans="54:111" ht="15" customHeight="1" x14ac:dyDescent="0.2">
      <c r="BB867" s="28">
        <v>13</v>
      </c>
      <c r="BC867" s="121">
        <v>5.4964999999999993</v>
      </c>
      <c r="BD867" s="121">
        <v>6.1427499999999995</v>
      </c>
      <c r="BE867" s="121">
        <v>6.7889999999999997</v>
      </c>
      <c r="BF867" s="121">
        <v>7.3870000000000005</v>
      </c>
      <c r="BG867" s="121">
        <v>7.9849999999999994</v>
      </c>
      <c r="BH867" s="121">
        <v>8.5332499999999989</v>
      </c>
      <c r="BI867" s="121">
        <v>9.0815000000000001</v>
      </c>
      <c r="BJ867" s="121">
        <v>9.5995000000000008</v>
      </c>
      <c r="BK867" s="121">
        <f t="array" ref="BK867:BK914">TRANSPOSE(BL866:DG866)</f>
        <v>10.1175</v>
      </c>
      <c r="BL867" s="120">
        <f>(BK867+BM867)/2</f>
        <v>10.6355</v>
      </c>
      <c r="BM867" s="120">
        <f>(BM866+BM868)/2</f>
        <v>11.153500000000001</v>
      </c>
      <c r="BN867" s="120">
        <f>(BM867+BO867)/2</f>
        <v>11.71425</v>
      </c>
      <c r="BO867" s="120">
        <f>(BO866+BO868)/2</f>
        <v>12.275</v>
      </c>
      <c r="BP867" s="120">
        <f>(BO867+BQ867)/2</f>
        <v>12.696999999999999</v>
      </c>
      <c r="BQ867" s="120">
        <f>(BQ866+BQ868)/2</f>
        <v>13.119</v>
      </c>
      <c r="BR867" s="120">
        <f>(BQ867+BS867)/2</f>
        <v>13.588749999999999</v>
      </c>
      <c r="BS867" s="120">
        <f>(BS866+BS868)/2</f>
        <v>14.058499999999999</v>
      </c>
      <c r="BT867" s="120">
        <f>(BS867+BU867)/2</f>
        <v>14.51225</v>
      </c>
      <c r="BU867" s="120">
        <f>(BU866+BU868)/2</f>
        <v>14.966000000000001</v>
      </c>
      <c r="BV867" s="120">
        <f>(BU867+BW867)/2</f>
        <v>15.404</v>
      </c>
      <c r="BW867" s="120">
        <f>(BW866+BW868)/2</f>
        <v>15.842000000000001</v>
      </c>
      <c r="BX867" s="120">
        <f>(BW867+BY867)/2</f>
        <v>16.3065</v>
      </c>
      <c r="BY867" s="120">
        <f>(BY866+BY868)/2</f>
        <v>16.771000000000001</v>
      </c>
      <c r="BZ867" s="120">
        <f>(BY867+CA867)/2</f>
        <v>17.208750000000002</v>
      </c>
      <c r="CA867" s="120">
        <f>(CA866+CA868)/2</f>
        <v>17.6465</v>
      </c>
      <c r="CB867" s="120">
        <f>(CA867+CC867)/2</f>
        <v>18.08475</v>
      </c>
      <c r="CC867" s="120">
        <f>(CC866+CC868)/2</f>
        <v>18.523</v>
      </c>
      <c r="CD867" s="120">
        <f>(CC867+CE867)/2</f>
        <v>18.960999999999999</v>
      </c>
      <c r="CE867" s="120">
        <f>(CE866+CE868)/2</f>
        <v>19.399000000000001</v>
      </c>
      <c r="CF867" s="120">
        <f>(CE867+CG867)/2</f>
        <v>19.831500000000002</v>
      </c>
      <c r="CG867" s="120">
        <f>(CG866+CG868)/2</f>
        <v>20.264000000000003</v>
      </c>
      <c r="CH867" s="120">
        <f>(CG867+CI867)/2</f>
        <v>20.685750000000002</v>
      </c>
      <c r="CI867" s="120">
        <f>(CI866+CI868)/2</f>
        <v>21.107500000000002</v>
      </c>
      <c r="CJ867" s="120">
        <f>(CI867+CK867)/2</f>
        <v>21.529250000000001</v>
      </c>
      <c r="CK867" s="120">
        <f>(CK866+CK868)/2</f>
        <v>21.951000000000001</v>
      </c>
      <c r="CL867" s="120">
        <f>(CK867+CM867)/2</f>
        <v>22.356749999999998</v>
      </c>
      <c r="CM867" s="120">
        <f>(CM866+CM868)/2</f>
        <v>22.762499999999999</v>
      </c>
      <c r="CN867" s="120">
        <f>(CM867+CO867)/2</f>
        <v>23.198749999999997</v>
      </c>
      <c r="CO867" s="120">
        <f>(CO866+CO868)/2</f>
        <v>23.634999999999998</v>
      </c>
      <c r="CP867" s="120">
        <f>(CO867+CQ867)/2</f>
        <v>24.04025</v>
      </c>
      <c r="CQ867" s="120">
        <f>(CQ866+CQ868)/2</f>
        <v>24.445499999999999</v>
      </c>
      <c r="CR867" s="120">
        <f>(CQ867+CS867)/2</f>
        <v>24.851500000000001</v>
      </c>
      <c r="CS867" s="120">
        <f>(CS866+CS868)/2</f>
        <v>25.2575</v>
      </c>
      <c r="CT867" s="120">
        <f>(CS867+CU867)/2</f>
        <v>25.663</v>
      </c>
      <c r="CU867" s="120">
        <f>(CU866+CU868)/2</f>
        <v>26.0685</v>
      </c>
      <c r="CV867" s="120">
        <f>(CU867+CW867)/2</f>
        <v>26.485250000000001</v>
      </c>
      <c r="CW867" s="120">
        <f>(CW866+CW868)/2</f>
        <v>26.902000000000001</v>
      </c>
      <c r="CX867" s="120">
        <f>(CW867+CY867)/2</f>
        <v>27.307500000000001</v>
      </c>
      <c r="CY867" s="120">
        <f>(CY866+CY868)/2</f>
        <v>27.713000000000001</v>
      </c>
      <c r="CZ867" s="120">
        <f>(CY867+DA867)/2</f>
        <v>28.118749999999999</v>
      </c>
      <c r="DA867" s="120">
        <f>(DA866+DA868)/2</f>
        <v>28.5245</v>
      </c>
      <c r="DB867" s="120">
        <f>(DA867+DC867)/2</f>
        <v>28.914250000000003</v>
      </c>
      <c r="DC867" s="120">
        <f>(DC866+DC868)/2</f>
        <v>29.304000000000002</v>
      </c>
      <c r="DD867" s="120">
        <f>(DC867+DE867)/2</f>
        <v>29.720500000000001</v>
      </c>
      <c r="DE867" s="120">
        <f>(DE866+DE868)/2</f>
        <v>30.137</v>
      </c>
      <c r="DF867" s="120">
        <f>(DE867+DG867)/2</f>
        <v>30.530250000000002</v>
      </c>
      <c r="DG867" s="122">
        <f>(DG866+DG868)/2</f>
        <v>30.923500000000001</v>
      </c>
    </row>
    <row r="868" spans="54:111" ht="15" customHeight="1" x14ac:dyDescent="0.2">
      <c r="BB868" s="28">
        <v>14</v>
      </c>
      <c r="BC868" s="121">
        <v>5.7779999999999996</v>
      </c>
      <c r="BD868" s="121">
        <v>6.4444999999999997</v>
      </c>
      <c r="BE868" s="121">
        <v>7.1109999999999998</v>
      </c>
      <c r="BF868" s="121">
        <v>7.7355</v>
      </c>
      <c r="BG868" s="121">
        <v>8.36</v>
      </c>
      <c r="BH868" s="121">
        <v>8.9269999999999996</v>
      </c>
      <c r="BI868" s="121">
        <v>9.4939999999999998</v>
      </c>
      <c r="BJ868" s="121">
        <v>10.054500000000001</v>
      </c>
      <c r="BK868" s="121">
        <v>10.615</v>
      </c>
      <c r="BL868" s="121">
        <f t="array" ref="BL868:BL914">TRANSPOSE(BM867:DG867)</f>
        <v>11.153500000000001</v>
      </c>
      <c r="BM868" s="158">
        <v>11.692</v>
      </c>
      <c r="BN868" s="120">
        <f>(BO868+BM868)/2</f>
        <v>12.338000000000001</v>
      </c>
      <c r="BO868" s="158">
        <v>12.984</v>
      </c>
      <c r="BP868" s="120">
        <f>(BQ868+BO868)/2</f>
        <v>13.362500000000001</v>
      </c>
      <c r="BQ868" s="158">
        <v>13.741</v>
      </c>
      <c r="BR868" s="120">
        <f>(BS868+BQ868)/2</f>
        <v>14.237500000000001</v>
      </c>
      <c r="BS868" s="158">
        <v>14.734</v>
      </c>
      <c r="BT868" s="120">
        <f>(BU868+BS868)/2</f>
        <v>15.208</v>
      </c>
      <c r="BU868" s="158">
        <v>15.682</v>
      </c>
      <c r="BV868" s="120">
        <f>(BW868+BU868)/2</f>
        <v>16.1465</v>
      </c>
      <c r="BW868" s="158">
        <v>16.611000000000001</v>
      </c>
      <c r="BX868" s="120">
        <f>(BY868+BW868)/2</f>
        <v>17.113500000000002</v>
      </c>
      <c r="BY868" s="158">
        <v>17.616</v>
      </c>
      <c r="BZ868" s="120">
        <f>(CA868+BY868)/2</f>
        <v>18.079999999999998</v>
      </c>
      <c r="CA868" s="158">
        <v>18.544</v>
      </c>
      <c r="CB868" s="120">
        <f>(CC868+CA868)/2</f>
        <v>18.986499999999999</v>
      </c>
      <c r="CC868" s="158">
        <v>19.428999999999998</v>
      </c>
      <c r="CD868" s="120">
        <f>(CE868+CC868)/2</f>
        <v>19.893999999999998</v>
      </c>
      <c r="CE868" s="158">
        <v>20.359000000000002</v>
      </c>
      <c r="CF868" s="120">
        <f>(CG868+CE868)/2</f>
        <v>20.822500000000002</v>
      </c>
      <c r="CG868" s="158">
        <v>21.286000000000001</v>
      </c>
      <c r="CH868" s="120">
        <f>(CI868+CG868)/2</f>
        <v>21.718499999999999</v>
      </c>
      <c r="CI868" s="158">
        <v>22.151</v>
      </c>
      <c r="CJ868" s="120">
        <f>(CK868+CI868)/2</f>
        <v>22.593</v>
      </c>
      <c r="CK868" s="158">
        <v>23.035</v>
      </c>
      <c r="CL868" s="120">
        <f>(CM868+CK868)/2</f>
        <v>23.467500000000001</v>
      </c>
      <c r="CM868" s="158">
        <v>23.9</v>
      </c>
      <c r="CN868" s="120">
        <f>(CO868+CM868)/2</f>
        <v>24.370999999999999</v>
      </c>
      <c r="CO868" s="158">
        <v>24.841999999999999</v>
      </c>
      <c r="CP868" s="120">
        <f>(CQ868+CO868)/2</f>
        <v>25.273499999999999</v>
      </c>
      <c r="CQ868" s="158">
        <v>25.704999999999998</v>
      </c>
      <c r="CR868" s="120">
        <f>(CS868+CQ868)/2</f>
        <v>26.115499999999997</v>
      </c>
      <c r="CS868" s="158">
        <v>26.526</v>
      </c>
      <c r="CT868" s="120">
        <f>(CU868+CS868)/2</f>
        <v>26.957999999999998</v>
      </c>
      <c r="CU868" s="158">
        <v>27.39</v>
      </c>
      <c r="CV868" s="120">
        <f>(CW868+CU868)/2</f>
        <v>27.822000000000003</v>
      </c>
      <c r="CW868" s="158">
        <v>28.254000000000001</v>
      </c>
      <c r="CX868" s="120">
        <f>(CY868+CW868)/2</f>
        <v>28.686</v>
      </c>
      <c r="CY868" s="158">
        <v>29.117999999999999</v>
      </c>
      <c r="CZ868" s="120">
        <f>(DA868+CY868)/2</f>
        <v>29.527999999999999</v>
      </c>
      <c r="DA868" s="158">
        <v>29.937999999999999</v>
      </c>
      <c r="DB868" s="120">
        <f>(DC868+DA868)/2</f>
        <v>30.3705</v>
      </c>
      <c r="DC868" s="158">
        <v>30.803000000000001</v>
      </c>
      <c r="DD868" s="120">
        <f>(DE868+DC868)/2</f>
        <v>31.234999999999999</v>
      </c>
      <c r="DE868" s="158">
        <v>31.667000000000002</v>
      </c>
      <c r="DF868" s="120">
        <f>(DG868+DE868)/2</f>
        <v>32.106000000000002</v>
      </c>
      <c r="DG868" s="159">
        <v>32.545000000000002</v>
      </c>
    </row>
    <row r="869" spans="54:111" ht="15" customHeight="1" x14ac:dyDescent="0.2">
      <c r="BB869" s="28">
        <v>15</v>
      </c>
      <c r="BC869" s="121">
        <v>6.0114999999999998</v>
      </c>
      <c r="BD869" s="121">
        <v>6.7204999999999995</v>
      </c>
      <c r="BE869" s="121">
        <v>7.4295</v>
      </c>
      <c r="BF869" s="121">
        <v>8.0694999999999997</v>
      </c>
      <c r="BG869" s="121">
        <v>8.7094999999999985</v>
      </c>
      <c r="BH869" s="121">
        <v>9.3047499999999985</v>
      </c>
      <c r="BI869" s="121">
        <v>9.8999999999999986</v>
      </c>
      <c r="BJ869" s="121">
        <v>10.49525</v>
      </c>
      <c r="BK869" s="121">
        <v>11.0905</v>
      </c>
      <c r="BL869" s="121">
        <v>11.71425</v>
      </c>
      <c r="BM869" s="121">
        <f t="array" ref="BM869:BM914">TRANSPOSE(BN868:DG868)</f>
        <v>12.338000000000001</v>
      </c>
      <c r="BN869" s="120">
        <f>(BM869+BO869)/2</f>
        <v>12.88175</v>
      </c>
      <c r="BO869" s="120">
        <f>(BO868+BO870)/2</f>
        <v>13.4255</v>
      </c>
      <c r="BP869" s="120">
        <f>(BO869+BQ869)/2</f>
        <v>13.88175</v>
      </c>
      <c r="BQ869" s="120">
        <f>(BQ868+BQ870)/2</f>
        <v>14.338000000000001</v>
      </c>
      <c r="BR869" s="120">
        <f>(BQ869+BS869)/2</f>
        <v>14.86575</v>
      </c>
      <c r="BS869" s="120">
        <f>(BS868+BS870)/2</f>
        <v>15.3935</v>
      </c>
      <c r="BT869" s="120">
        <f>(BS869+BU869)/2</f>
        <v>15.89425</v>
      </c>
      <c r="BU869" s="120">
        <f>(BU868+BU870)/2</f>
        <v>16.395</v>
      </c>
      <c r="BV869" s="120">
        <f>(BU869+BW869)/2</f>
        <v>16.890749999999997</v>
      </c>
      <c r="BW869" s="120">
        <f>(BW868+BW870)/2</f>
        <v>17.386499999999998</v>
      </c>
      <c r="BX869" s="120">
        <f>(BW869+BY869)/2</f>
        <v>17.904499999999999</v>
      </c>
      <c r="BY869" s="120">
        <f>(BY868+BY870)/2</f>
        <v>18.422499999999999</v>
      </c>
      <c r="BZ869" s="120">
        <f>(BY869+CA869)/2</f>
        <v>18.902249999999999</v>
      </c>
      <c r="CA869" s="120">
        <f>(CA868+CA870)/2</f>
        <v>19.381999999999998</v>
      </c>
      <c r="CB869" s="120">
        <f>(CA869+CC869)/2</f>
        <v>19.850749999999998</v>
      </c>
      <c r="CC869" s="120">
        <f>(CC868+CC870)/2</f>
        <v>20.319499999999998</v>
      </c>
      <c r="CD869" s="120">
        <f>(CC869+CE869)/2</f>
        <v>20.799499999999998</v>
      </c>
      <c r="CE869" s="120">
        <f>(CE868+CE870)/2</f>
        <v>21.279499999999999</v>
      </c>
      <c r="CF869" s="120">
        <f>(CE869+CG869)/2</f>
        <v>21.762250000000002</v>
      </c>
      <c r="CG869" s="120">
        <f>(CG868+CG870)/2</f>
        <v>22.245000000000001</v>
      </c>
      <c r="CH869" s="120">
        <f>(CG869+CI869)/2</f>
        <v>22.708500000000001</v>
      </c>
      <c r="CI869" s="120">
        <f>(CI868+CI870)/2</f>
        <v>23.172000000000001</v>
      </c>
      <c r="CJ869" s="120">
        <f>(CI869+CK869)/2</f>
        <v>23.640750000000001</v>
      </c>
      <c r="CK869" s="120">
        <f>(CK868+CK870)/2</f>
        <v>24.109500000000001</v>
      </c>
      <c r="CL869" s="120">
        <f>(CK869+CM869)/2</f>
        <v>24.576500000000003</v>
      </c>
      <c r="CM869" s="120">
        <f>(CM868+CM870)/2</f>
        <v>25.043500000000002</v>
      </c>
      <c r="CN869" s="120">
        <f>(CM869+CO869)/2</f>
        <v>25.5105</v>
      </c>
      <c r="CO869" s="120">
        <f>(CO868+CO870)/2</f>
        <v>25.977499999999999</v>
      </c>
      <c r="CP869" s="120">
        <f>(CO869+CQ869)/2</f>
        <v>26.440999999999999</v>
      </c>
      <c r="CQ869" s="120">
        <f>(CQ868+CQ870)/2</f>
        <v>26.904499999999999</v>
      </c>
      <c r="CR869" s="120">
        <f>(CQ869+CS869)/2</f>
        <v>27.341000000000001</v>
      </c>
      <c r="CS869" s="120">
        <f>(CS868+CS870)/2</f>
        <v>27.7775</v>
      </c>
      <c r="CT869" s="120">
        <f>(CS869+CU869)/2</f>
        <v>28.2285</v>
      </c>
      <c r="CU869" s="120">
        <f>(CU868+CU870)/2</f>
        <v>28.679500000000001</v>
      </c>
      <c r="CV869" s="120">
        <f>(CU869+CW869)/2</f>
        <v>29.142749999999999</v>
      </c>
      <c r="CW869" s="120">
        <f>(CW868+CW870)/2</f>
        <v>29.606000000000002</v>
      </c>
      <c r="CX869" s="120">
        <f>(CW869+CY869)/2</f>
        <v>30.053750000000001</v>
      </c>
      <c r="CY869" s="120">
        <f>(CY868+CY870)/2</f>
        <v>30.5015</v>
      </c>
      <c r="CZ869" s="120">
        <f>(CY869+DA869)/2</f>
        <v>30.940999999999999</v>
      </c>
      <c r="DA869" s="120">
        <f>(DA868+DA870)/2</f>
        <v>31.380499999999998</v>
      </c>
      <c r="DB869" s="120">
        <f>(DA869+DC869)/2</f>
        <v>31.828499999999998</v>
      </c>
      <c r="DC869" s="120">
        <f>(DC868+DC870)/2</f>
        <v>32.276499999999999</v>
      </c>
      <c r="DD869" s="120">
        <f>(DC869+DE869)/2</f>
        <v>32.723749999999995</v>
      </c>
      <c r="DE869" s="120">
        <f>(DE868+DE870)/2</f>
        <v>33.170999999999999</v>
      </c>
      <c r="DF869" s="120">
        <f>(DE869+DG869)/2</f>
        <v>33.622249999999994</v>
      </c>
      <c r="DG869" s="122">
        <f>(DG868+DG870)/2</f>
        <v>34.073499999999996</v>
      </c>
    </row>
    <row r="870" spans="54:111" ht="15" customHeight="1" x14ac:dyDescent="0.2">
      <c r="BB870" s="28">
        <v>16</v>
      </c>
      <c r="BC870" s="121">
        <v>6.2450000000000001</v>
      </c>
      <c r="BD870" s="121">
        <v>6.9965000000000002</v>
      </c>
      <c r="BE870" s="121">
        <v>7.7480000000000002</v>
      </c>
      <c r="BF870" s="121">
        <v>8.4034999999999993</v>
      </c>
      <c r="BG870" s="121">
        <v>9.0589999999999993</v>
      </c>
      <c r="BH870" s="121">
        <v>9.6824999999999992</v>
      </c>
      <c r="BI870" s="121">
        <v>10.305999999999999</v>
      </c>
      <c r="BJ870" s="121">
        <v>10.936</v>
      </c>
      <c r="BK870" s="121">
        <v>11.566000000000001</v>
      </c>
      <c r="BL870" s="121">
        <v>12.275</v>
      </c>
      <c r="BM870" s="121">
        <v>12.984</v>
      </c>
      <c r="BN870" s="121">
        <f t="array" ref="BN870:BN914">TRANSPOSE(BO869:DG869)</f>
        <v>13.4255</v>
      </c>
      <c r="BO870" s="158">
        <v>13.867000000000001</v>
      </c>
      <c r="BP870" s="120">
        <f>(BQ870+BO870)/2</f>
        <v>14.401</v>
      </c>
      <c r="BQ870" s="158">
        <v>14.935</v>
      </c>
      <c r="BR870" s="120">
        <f>(BS870+BQ870)/2</f>
        <v>15.494</v>
      </c>
      <c r="BS870" s="158">
        <v>16.053000000000001</v>
      </c>
      <c r="BT870" s="120">
        <f>(BU870+BS870)/2</f>
        <v>16.580500000000001</v>
      </c>
      <c r="BU870" s="158">
        <v>17.108000000000001</v>
      </c>
      <c r="BV870" s="120">
        <f>(BW870+BU870)/2</f>
        <v>17.634999999999998</v>
      </c>
      <c r="BW870" s="158">
        <v>18.161999999999999</v>
      </c>
      <c r="BX870" s="120">
        <f>(BY870+BW870)/2</f>
        <v>18.695499999999999</v>
      </c>
      <c r="BY870" s="158">
        <v>19.228999999999999</v>
      </c>
      <c r="BZ870" s="120">
        <f>(CA870+BY870)/2</f>
        <v>19.724499999999999</v>
      </c>
      <c r="CA870" s="158">
        <v>20.22</v>
      </c>
      <c r="CB870" s="120">
        <f>(CC870+CA870)/2</f>
        <v>20.715</v>
      </c>
      <c r="CC870" s="158">
        <v>21.21</v>
      </c>
      <c r="CD870" s="120">
        <f>(CE870+CC870)/2</f>
        <v>21.704999999999998</v>
      </c>
      <c r="CE870" s="158">
        <v>22.2</v>
      </c>
      <c r="CF870" s="120">
        <f>(CG870+CE870)/2</f>
        <v>22.701999999999998</v>
      </c>
      <c r="CG870" s="158">
        <v>23.204000000000001</v>
      </c>
      <c r="CH870" s="120">
        <f>(CI870+CG870)/2</f>
        <v>23.698500000000003</v>
      </c>
      <c r="CI870" s="158">
        <v>24.193000000000001</v>
      </c>
      <c r="CJ870" s="120">
        <f>(CK870+CI870)/2</f>
        <v>24.688500000000001</v>
      </c>
      <c r="CK870" s="158">
        <v>25.184000000000001</v>
      </c>
      <c r="CL870" s="120">
        <f>(CM870+CK870)/2</f>
        <v>25.685500000000001</v>
      </c>
      <c r="CM870" s="158">
        <v>26.187000000000001</v>
      </c>
      <c r="CN870" s="120">
        <f>(CO870+CM870)/2</f>
        <v>26.65</v>
      </c>
      <c r="CO870" s="158">
        <v>27.113</v>
      </c>
      <c r="CP870" s="120">
        <f>(CQ870+CO870)/2</f>
        <v>27.608499999999999</v>
      </c>
      <c r="CQ870" s="158">
        <v>28.103999999999999</v>
      </c>
      <c r="CR870" s="120">
        <f>(CS870+CQ870)/2</f>
        <v>28.566499999999998</v>
      </c>
      <c r="CS870" s="158">
        <v>29.029</v>
      </c>
      <c r="CT870" s="120">
        <f>(CU870+CS870)/2</f>
        <v>29.499000000000002</v>
      </c>
      <c r="CU870" s="158">
        <v>29.969000000000001</v>
      </c>
      <c r="CV870" s="120">
        <f>(CW870+CU870)/2</f>
        <v>30.4635</v>
      </c>
      <c r="CW870" s="158">
        <v>30.957999999999998</v>
      </c>
      <c r="CX870" s="120">
        <f>(CY870+CW870)/2</f>
        <v>31.421500000000002</v>
      </c>
      <c r="CY870" s="158">
        <v>31.885000000000002</v>
      </c>
      <c r="CZ870" s="120">
        <f>(DA870+CY870)/2</f>
        <v>32.353999999999999</v>
      </c>
      <c r="DA870" s="158">
        <v>32.823</v>
      </c>
      <c r="DB870" s="120">
        <f>(DC870+DA870)/2</f>
        <v>33.286500000000004</v>
      </c>
      <c r="DC870" s="158">
        <v>33.75</v>
      </c>
      <c r="DD870" s="120">
        <f>(DE870+DC870)/2</f>
        <v>34.212499999999999</v>
      </c>
      <c r="DE870" s="158">
        <v>34.674999999999997</v>
      </c>
      <c r="DF870" s="120">
        <f>(DG870+DE870)/2</f>
        <v>35.138499999999993</v>
      </c>
      <c r="DG870" s="159">
        <v>35.601999999999997</v>
      </c>
    </row>
    <row r="871" spans="54:111" ht="15" customHeight="1" x14ac:dyDescent="0.2">
      <c r="BB871" s="28">
        <v>17</v>
      </c>
      <c r="BC871" s="121">
        <v>6.4945000000000004</v>
      </c>
      <c r="BD871" s="121">
        <v>7.2612500000000004</v>
      </c>
      <c r="BE871" s="121">
        <v>8.0280000000000005</v>
      </c>
      <c r="BF871" s="121">
        <v>8.7182499999999994</v>
      </c>
      <c r="BG871" s="121">
        <v>9.4085000000000001</v>
      </c>
      <c r="BH871" s="121">
        <v>10.063499999999999</v>
      </c>
      <c r="BI871" s="121">
        <v>10.718499999999999</v>
      </c>
      <c r="BJ871" s="121">
        <v>11.375</v>
      </c>
      <c r="BK871" s="121">
        <v>12.031500000000001</v>
      </c>
      <c r="BL871" s="121">
        <v>12.696999999999999</v>
      </c>
      <c r="BM871" s="121">
        <v>13.362500000000001</v>
      </c>
      <c r="BN871" s="121">
        <v>13.88175</v>
      </c>
      <c r="BO871" s="121">
        <f t="array" ref="BO871:BO914">TRANSPOSE(BP870:DG870)</f>
        <v>14.401</v>
      </c>
      <c r="BP871" s="120">
        <f>(BO871+BQ871)/2</f>
        <v>14.962999999999999</v>
      </c>
      <c r="BQ871" s="120">
        <f>(BQ870+BQ872)/2</f>
        <v>15.524999999999999</v>
      </c>
      <c r="BR871" s="120">
        <f>(BQ871+BS871)/2</f>
        <v>16.110749999999999</v>
      </c>
      <c r="BS871" s="120">
        <f>(BS870+BS872)/2</f>
        <v>16.6965</v>
      </c>
      <c r="BT871" s="120">
        <f>(BS871+BU871)/2</f>
        <v>17.258500000000002</v>
      </c>
      <c r="BU871" s="120">
        <f>(BU870+BU872)/2</f>
        <v>17.820500000000003</v>
      </c>
      <c r="BV871" s="120">
        <f>(BU871+BW871)/2</f>
        <v>18.363</v>
      </c>
      <c r="BW871" s="120">
        <f>(BW870+BW872)/2</f>
        <v>18.9055</v>
      </c>
      <c r="BX871" s="120">
        <f>(BW871+BY871)/2</f>
        <v>19.454499999999999</v>
      </c>
      <c r="BY871" s="120">
        <f>(BY870+BY872)/2</f>
        <v>20.003499999999999</v>
      </c>
      <c r="BZ871" s="120">
        <f>(BY871+CA871)/2</f>
        <v>20.52525</v>
      </c>
      <c r="CA871" s="120">
        <f>(CA870+CA872)/2</f>
        <v>21.046999999999997</v>
      </c>
      <c r="CB871" s="120">
        <f>(CA871+CC871)/2</f>
        <v>21.576999999999998</v>
      </c>
      <c r="CC871" s="120">
        <f>(CC870+CC872)/2</f>
        <v>22.106999999999999</v>
      </c>
      <c r="CD871" s="120">
        <f>(CC871+CE871)/2</f>
        <v>22.617249999999999</v>
      </c>
      <c r="CE871" s="120">
        <f>(CE870+CE872)/2</f>
        <v>23.127499999999998</v>
      </c>
      <c r="CF871" s="120">
        <f>(CE871+CG871)/2</f>
        <v>23.657499999999999</v>
      </c>
      <c r="CG871" s="120">
        <f>(CG870+CG872)/2</f>
        <v>24.1875</v>
      </c>
      <c r="CH871" s="120">
        <f>(CG871+CI871)/2</f>
        <v>24.712250000000001</v>
      </c>
      <c r="CI871" s="120">
        <f>(CI870+CI872)/2</f>
        <v>25.237000000000002</v>
      </c>
      <c r="CJ871" s="120">
        <f>(CI871+CK871)/2</f>
        <v>25.747500000000002</v>
      </c>
      <c r="CK871" s="120">
        <f>(CK870+CK872)/2</f>
        <v>26.258000000000003</v>
      </c>
      <c r="CL871" s="120">
        <f>(CK871+CM871)/2</f>
        <v>26.759</v>
      </c>
      <c r="CM871" s="120">
        <f>(CM870+CM872)/2</f>
        <v>27.259999999999998</v>
      </c>
      <c r="CN871" s="120">
        <f>(CM871+CO871)/2</f>
        <v>27.754249999999999</v>
      </c>
      <c r="CO871" s="120">
        <f>(CO870+CO872)/2</f>
        <v>28.2485</v>
      </c>
      <c r="CP871" s="120">
        <f>(CO871+CQ871)/2</f>
        <v>28.77375</v>
      </c>
      <c r="CQ871" s="120">
        <f>(CQ870+CQ872)/2</f>
        <v>29.298999999999999</v>
      </c>
      <c r="CR871" s="120">
        <f>(CQ871+CS871)/2</f>
        <v>29.777249999999999</v>
      </c>
      <c r="CS871" s="120">
        <f>(CS870+CS872)/2</f>
        <v>30.255499999999998</v>
      </c>
      <c r="CT871" s="120">
        <f>(CS871+CU871)/2</f>
        <v>30.756499999999999</v>
      </c>
      <c r="CU871" s="120">
        <f>(CU870+CU872)/2</f>
        <v>31.2575</v>
      </c>
      <c r="CV871" s="120">
        <f>(CU871+CW871)/2</f>
        <v>31.751999999999999</v>
      </c>
      <c r="CW871" s="120">
        <f>(CW870+CW872)/2</f>
        <v>32.246499999999997</v>
      </c>
      <c r="CX871" s="120">
        <f>(CW871+CY871)/2</f>
        <v>32.751999999999995</v>
      </c>
      <c r="CY871" s="120">
        <f>(CY870+CY872)/2</f>
        <v>33.2575</v>
      </c>
      <c r="CZ871" s="120">
        <f>(CY871+DA871)/2</f>
        <v>33.742249999999999</v>
      </c>
      <c r="DA871" s="120">
        <f>(DA870+DA872)/2</f>
        <v>34.227000000000004</v>
      </c>
      <c r="DB871" s="120">
        <f>(DA871+DC871)/2</f>
        <v>34.705750000000002</v>
      </c>
      <c r="DC871" s="120">
        <f>(DC870+DC872)/2</f>
        <v>35.1845</v>
      </c>
      <c r="DD871" s="120">
        <f>(DC871+DE871)/2</f>
        <v>35.665999999999997</v>
      </c>
      <c r="DE871" s="120">
        <f>(DE870+DE872)/2</f>
        <v>36.147499999999994</v>
      </c>
      <c r="DF871" s="120">
        <f>(DE871+DG871)/2</f>
        <v>36.637</v>
      </c>
      <c r="DG871" s="122">
        <f>(DG870+DG872)/2</f>
        <v>37.1265</v>
      </c>
    </row>
    <row r="872" spans="54:111" ht="15" customHeight="1" x14ac:dyDescent="0.2">
      <c r="BB872" s="28">
        <v>18</v>
      </c>
      <c r="BC872" s="121">
        <v>6.7439999999999998</v>
      </c>
      <c r="BD872" s="121">
        <v>7.5259999999999998</v>
      </c>
      <c r="BE872" s="121">
        <v>8.3079999999999998</v>
      </c>
      <c r="BF872" s="121">
        <v>9.0329999999999995</v>
      </c>
      <c r="BG872" s="121">
        <v>9.7579999999999991</v>
      </c>
      <c r="BH872" s="121">
        <v>10.4445</v>
      </c>
      <c r="BI872" s="121">
        <v>11.131</v>
      </c>
      <c r="BJ872" s="121">
        <v>11.814</v>
      </c>
      <c r="BK872" s="121">
        <v>12.497</v>
      </c>
      <c r="BL872" s="121">
        <v>13.119</v>
      </c>
      <c r="BM872" s="121">
        <v>13.741</v>
      </c>
      <c r="BN872" s="121">
        <v>14.338000000000001</v>
      </c>
      <c r="BO872" s="121">
        <v>14.935</v>
      </c>
      <c r="BP872" s="121">
        <f t="array" ref="BP872:BP914">TRANSPOSE(BQ871:DG871)</f>
        <v>15.524999999999999</v>
      </c>
      <c r="BQ872" s="158">
        <v>16.114999999999998</v>
      </c>
      <c r="BR872" s="120">
        <f>(BS872+BQ872)/2</f>
        <v>16.727499999999999</v>
      </c>
      <c r="BS872" s="158">
        <v>17.34</v>
      </c>
      <c r="BT872" s="120">
        <f>(BU872+BS872)/2</f>
        <v>17.936500000000002</v>
      </c>
      <c r="BU872" s="158">
        <v>18.533000000000001</v>
      </c>
      <c r="BV872" s="120">
        <f>(BW872+BU872)/2</f>
        <v>19.091000000000001</v>
      </c>
      <c r="BW872" s="158">
        <v>19.649000000000001</v>
      </c>
      <c r="BX872" s="120">
        <f>(BY872+BW872)/2</f>
        <v>20.2135</v>
      </c>
      <c r="BY872" s="158">
        <v>20.777999999999999</v>
      </c>
      <c r="BZ872" s="120">
        <f>(CA872+BY872)/2</f>
        <v>21.326000000000001</v>
      </c>
      <c r="CA872" s="158">
        <v>21.873999999999999</v>
      </c>
      <c r="CB872" s="120">
        <f>(CC872+CA872)/2</f>
        <v>22.439</v>
      </c>
      <c r="CC872" s="158">
        <v>23.004000000000001</v>
      </c>
      <c r="CD872" s="120">
        <f>(CE872+CC872)/2</f>
        <v>23.529499999999999</v>
      </c>
      <c r="CE872" s="158">
        <v>24.055</v>
      </c>
      <c r="CF872" s="120">
        <f>(CG872+CE872)/2</f>
        <v>24.613</v>
      </c>
      <c r="CG872" s="158">
        <v>25.170999999999999</v>
      </c>
      <c r="CH872" s="120">
        <f>(CI872+CG872)/2</f>
        <v>25.725999999999999</v>
      </c>
      <c r="CI872" s="158">
        <v>26.280999999999999</v>
      </c>
      <c r="CJ872" s="120">
        <f>(CK872+CI872)/2</f>
        <v>26.8065</v>
      </c>
      <c r="CK872" s="158">
        <v>27.332000000000001</v>
      </c>
      <c r="CL872" s="120">
        <f>(CM872+CK872)/2</f>
        <v>27.8325</v>
      </c>
      <c r="CM872" s="158">
        <v>28.332999999999998</v>
      </c>
      <c r="CN872" s="120">
        <f>(CO872+CM872)/2</f>
        <v>28.858499999999999</v>
      </c>
      <c r="CO872" s="158">
        <v>29.384</v>
      </c>
      <c r="CP872" s="120">
        <f>(CQ872+CO872)/2</f>
        <v>29.939</v>
      </c>
      <c r="CQ872" s="158">
        <v>30.494</v>
      </c>
      <c r="CR872" s="120">
        <f>(CS872+CQ872)/2</f>
        <v>30.988</v>
      </c>
      <c r="CS872" s="158">
        <v>31.481999999999999</v>
      </c>
      <c r="CT872" s="120">
        <f>(CU872+CS872)/2</f>
        <v>32.013999999999996</v>
      </c>
      <c r="CU872" s="158">
        <v>32.545999999999999</v>
      </c>
      <c r="CV872" s="120">
        <f>(CW872+CU872)/2</f>
        <v>33.040499999999994</v>
      </c>
      <c r="CW872" s="158">
        <v>33.534999999999997</v>
      </c>
      <c r="CX872" s="120">
        <f>(CY872+CW872)/2</f>
        <v>34.082499999999996</v>
      </c>
      <c r="CY872" s="158">
        <v>34.630000000000003</v>
      </c>
      <c r="CZ872" s="120">
        <f>(DA872+CY872)/2</f>
        <v>35.130499999999998</v>
      </c>
      <c r="DA872" s="158">
        <v>35.631</v>
      </c>
      <c r="DB872" s="120">
        <f>(DC872+DA872)/2</f>
        <v>36.125</v>
      </c>
      <c r="DC872" s="158">
        <v>36.619</v>
      </c>
      <c r="DD872" s="120">
        <f>(DE872+DC872)/2</f>
        <v>37.119500000000002</v>
      </c>
      <c r="DE872" s="158">
        <v>37.619999999999997</v>
      </c>
      <c r="DF872" s="120">
        <f>(DG872+DE872)/2</f>
        <v>38.1355</v>
      </c>
      <c r="DG872" s="159">
        <v>38.651000000000003</v>
      </c>
    </row>
    <row r="873" spans="54:111" ht="15" customHeight="1" x14ac:dyDescent="0.2">
      <c r="BB873" s="28">
        <v>19</v>
      </c>
      <c r="BC873" s="121">
        <v>6.9710000000000001</v>
      </c>
      <c r="BD873" s="121">
        <v>7.7989999999999995</v>
      </c>
      <c r="BE873" s="121">
        <v>8.6269999999999989</v>
      </c>
      <c r="BF873" s="121">
        <v>9.3642499999999984</v>
      </c>
      <c r="BG873" s="121">
        <v>10.1015</v>
      </c>
      <c r="BH873" s="121">
        <v>10.817499999999999</v>
      </c>
      <c r="BI873" s="121">
        <v>11.5335</v>
      </c>
      <c r="BJ873" s="121">
        <v>12.236750000000001</v>
      </c>
      <c r="BK873" s="121">
        <v>12.94</v>
      </c>
      <c r="BL873" s="121">
        <v>13.588749999999999</v>
      </c>
      <c r="BM873" s="121">
        <v>14.237500000000001</v>
      </c>
      <c r="BN873" s="121">
        <v>14.86575</v>
      </c>
      <c r="BO873" s="121">
        <v>15.494</v>
      </c>
      <c r="BP873" s="121">
        <v>16.110749999999999</v>
      </c>
      <c r="BQ873" s="121">
        <f t="array" ref="BQ873:BQ914">TRANSPOSE(BR872:DG872)</f>
        <v>16.727499999999999</v>
      </c>
      <c r="BR873" s="120">
        <f>(BQ873+BS873)/2</f>
        <v>17.3475</v>
      </c>
      <c r="BS873" s="120">
        <f>(BS872+BS874)/2</f>
        <v>17.967500000000001</v>
      </c>
      <c r="BT873" s="120">
        <f>(BS873+BU873)/2</f>
        <v>18.590499999999999</v>
      </c>
      <c r="BU873" s="120">
        <f>(BU872+BU874)/2</f>
        <v>19.2135</v>
      </c>
      <c r="BV873" s="120">
        <f>(BU873+BW873)/2</f>
        <v>19.786749999999998</v>
      </c>
      <c r="BW873" s="120">
        <f>(BW872+BW874)/2</f>
        <v>20.36</v>
      </c>
      <c r="BX873" s="120">
        <f>(BW873+BY873)/2</f>
        <v>20.951000000000001</v>
      </c>
      <c r="BY873" s="120">
        <f>(BY872+BY874)/2</f>
        <v>21.542000000000002</v>
      </c>
      <c r="BZ873" s="120">
        <f>(BY873+CA873)/2</f>
        <v>22.110500000000002</v>
      </c>
      <c r="CA873" s="120">
        <f>(CA872+CA874)/2</f>
        <v>22.679000000000002</v>
      </c>
      <c r="CB873" s="120">
        <f>(CA873+CC873)/2</f>
        <v>23.270250000000001</v>
      </c>
      <c r="CC873" s="120">
        <f>(CC872+CC874)/2</f>
        <v>23.861499999999999</v>
      </c>
      <c r="CD873" s="120">
        <f>(CC873+CE873)/2</f>
        <v>24.422249999999998</v>
      </c>
      <c r="CE873" s="120">
        <f>(CE872+CE874)/2</f>
        <v>24.983000000000001</v>
      </c>
      <c r="CF873" s="120">
        <f>(CE873+CG873)/2</f>
        <v>25.551250000000003</v>
      </c>
      <c r="CG873" s="120">
        <f>(CG872+CG874)/2</f>
        <v>26.119500000000002</v>
      </c>
      <c r="CH873" s="120">
        <f>(CG873+CI873)/2</f>
        <v>26.678750000000001</v>
      </c>
      <c r="CI873" s="120">
        <f>(CI872+CI874)/2</f>
        <v>27.238</v>
      </c>
      <c r="CJ873" s="120">
        <f>(CI873+CK873)/2</f>
        <v>27.806249999999999</v>
      </c>
      <c r="CK873" s="120">
        <f>(CK872+CK874)/2</f>
        <v>28.374500000000001</v>
      </c>
      <c r="CL873" s="120">
        <f>(CK873+CM873)/2</f>
        <v>28.90625</v>
      </c>
      <c r="CM873" s="120">
        <f>(CM872+CM874)/2</f>
        <v>29.437999999999999</v>
      </c>
      <c r="CN873" s="120">
        <f>(CM873+CO873)/2</f>
        <v>29.993499999999997</v>
      </c>
      <c r="CO873" s="120">
        <f>(CO872+CO874)/2</f>
        <v>30.548999999999999</v>
      </c>
      <c r="CP873" s="120">
        <f>(CO873+CQ873)/2</f>
        <v>31.088749999999997</v>
      </c>
      <c r="CQ873" s="120">
        <f>(CQ872+CQ874)/2</f>
        <v>31.628499999999999</v>
      </c>
      <c r="CR873" s="120">
        <f>(CQ873+CS873)/2</f>
        <v>32.16825</v>
      </c>
      <c r="CS873" s="120">
        <f>(CS872+CS874)/2</f>
        <v>32.707999999999998</v>
      </c>
      <c r="CT873" s="120">
        <f>(CS873+CU873)/2</f>
        <v>33.252499999999998</v>
      </c>
      <c r="CU873" s="120">
        <f>(CU872+CU874)/2</f>
        <v>33.796999999999997</v>
      </c>
      <c r="CV873" s="120">
        <f>(CU873+CW873)/2</f>
        <v>34.320749999999997</v>
      </c>
      <c r="CW873" s="120">
        <f>(CW872+CW874)/2</f>
        <v>34.844499999999996</v>
      </c>
      <c r="CX873" s="120">
        <f>(CW873+CY873)/2</f>
        <v>35.4</v>
      </c>
      <c r="CY873" s="120">
        <f>(CY872+CY874)/2</f>
        <v>35.955500000000001</v>
      </c>
      <c r="CZ873" s="120">
        <f>(CY873+DA873)/2</f>
        <v>36.478999999999999</v>
      </c>
      <c r="DA873" s="120">
        <f>(DA872+DA874)/2</f>
        <v>37.002499999999998</v>
      </c>
      <c r="DB873" s="120">
        <f>(DA873+DC873)/2</f>
        <v>37.53125</v>
      </c>
      <c r="DC873" s="120">
        <f>(DC872+DC874)/2</f>
        <v>38.06</v>
      </c>
      <c r="DD873" s="120">
        <f>(DC873+DE873)/2</f>
        <v>38.583750000000002</v>
      </c>
      <c r="DE873" s="120">
        <f>(DE872+DE874)/2</f>
        <v>39.107500000000002</v>
      </c>
      <c r="DF873" s="120">
        <f>(DE873+DG873)/2</f>
        <v>39.631</v>
      </c>
      <c r="DG873" s="122">
        <f>(DG872+DG874)/2</f>
        <v>40.154499999999999</v>
      </c>
    </row>
    <row r="874" spans="54:111" ht="15" customHeight="1" x14ac:dyDescent="0.2">
      <c r="BB874" s="28">
        <v>20</v>
      </c>
      <c r="BC874" s="121">
        <v>7.1980000000000004</v>
      </c>
      <c r="BD874" s="121">
        <v>8.0719999999999992</v>
      </c>
      <c r="BE874" s="121">
        <v>8.9459999999999997</v>
      </c>
      <c r="BF874" s="121">
        <v>9.6954999999999991</v>
      </c>
      <c r="BG874" s="121">
        <v>10.445</v>
      </c>
      <c r="BH874" s="121">
        <v>11.1905</v>
      </c>
      <c r="BI874" s="121">
        <v>11.936</v>
      </c>
      <c r="BJ874" s="121">
        <v>12.6595</v>
      </c>
      <c r="BK874" s="121">
        <v>13.382999999999999</v>
      </c>
      <c r="BL874" s="121">
        <v>14.058499999999999</v>
      </c>
      <c r="BM874" s="121">
        <v>14.734</v>
      </c>
      <c r="BN874" s="121">
        <v>15.3935</v>
      </c>
      <c r="BO874" s="121">
        <v>16.053000000000001</v>
      </c>
      <c r="BP874" s="121">
        <v>16.6965</v>
      </c>
      <c r="BQ874" s="121">
        <v>17.34</v>
      </c>
      <c r="BR874" s="121">
        <f t="array" ref="BR874:BR914">TRANSPOSE(BS873:DG873)</f>
        <v>17.967500000000001</v>
      </c>
      <c r="BS874" s="158">
        <v>18.594999999999999</v>
      </c>
      <c r="BT874" s="120">
        <f>(BU874+BS874)/2</f>
        <v>19.244499999999999</v>
      </c>
      <c r="BU874" s="158">
        <v>19.893999999999998</v>
      </c>
      <c r="BV874" s="120">
        <f>(BW874+BU874)/2</f>
        <v>20.482500000000002</v>
      </c>
      <c r="BW874" s="158">
        <v>21.071000000000002</v>
      </c>
      <c r="BX874" s="120">
        <f>(BY874+BW874)/2</f>
        <v>21.688500000000001</v>
      </c>
      <c r="BY874" s="158">
        <v>22.306000000000001</v>
      </c>
      <c r="BZ874" s="120">
        <f>(CA874+BY874)/2</f>
        <v>22.895000000000003</v>
      </c>
      <c r="CA874" s="158">
        <v>23.484000000000002</v>
      </c>
      <c r="CB874" s="120">
        <f>(CC874+CA874)/2</f>
        <v>24.101500000000001</v>
      </c>
      <c r="CC874" s="158">
        <v>24.719000000000001</v>
      </c>
      <c r="CD874" s="120">
        <f>(CE874+CC874)/2</f>
        <v>25.315000000000001</v>
      </c>
      <c r="CE874" s="158">
        <v>25.911000000000001</v>
      </c>
      <c r="CF874" s="120">
        <f>(CG874+CE874)/2</f>
        <v>26.4895</v>
      </c>
      <c r="CG874" s="158">
        <v>27.068000000000001</v>
      </c>
      <c r="CH874" s="120">
        <f>(CI874+CG874)/2</f>
        <v>27.631500000000003</v>
      </c>
      <c r="CI874" s="158">
        <v>28.195</v>
      </c>
      <c r="CJ874" s="120">
        <f>(CK874+CI874)/2</f>
        <v>28.806000000000001</v>
      </c>
      <c r="CK874" s="158">
        <v>29.417000000000002</v>
      </c>
      <c r="CL874" s="120">
        <f>(CM874+CK874)/2</f>
        <v>29.98</v>
      </c>
      <c r="CM874" s="158">
        <v>30.542999999999999</v>
      </c>
      <c r="CN874" s="120">
        <f>(CO874+CM874)/2</f>
        <v>31.128499999999999</v>
      </c>
      <c r="CO874" s="158">
        <v>31.713999999999999</v>
      </c>
      <c r="CP874" s="120">
        <f>(CQ874+CO874)/2</f>
        <v>32.238500000000002</v>
      </c>
      <c r="CQ874" s="158">
        <v>32.762999999999998</v>
      </c>
      <c r="CR874" s="120">
        <f>(CS874+CQ874)/2</f>
        <v>33.348500000000001</v>
      </c>
      <c r="CS874" s="158">
        <v>33.933999999999997</v>
      </c>
      <c r="CT874" s="120">
        <f>(CU874+CS874)/2</f>
        <v>34.491</v>
      </c>
      <c r="CU874" s="158">
        <v>35.048000000000002</v>
      </c>
      <c r="CV874" s="120">
        <f>(CW874+CU874)/2</f>
        <v>35.600999999999999</v>
      </c>
      <c r="CW874" s="158">
        <v>36.154000000000003</v>
      </c>
      <c r="CX874" s="120">
        <f>(CY874+CW874)/2</f>
        <v>36.717500000000001</v>
      </c>
      <c r="CY874" s="158">
        <v>37.280999999999999</v>
      </c>
      <c r="CZ874" s="120">
        <f>(DA874+CY874)/2</f>
        <v>37.827500000000001</v>
      </c>
      <c r="DA874" s="158">
        <v>38.374000000000002</v>
      </c>
      <c r="DB874" s="120">
        <f>(DC874+DA874)/2</f>
        <v>38.9375</v>
      </c>
      <c r="DC874" s="158">
        <v>39.500999999999998</v>
      </c>
      <c r="DD874" s="120">
        <f>(DE874+DC874)/2</f>
        <v>40.048000000000002</v>
      </c>
      <c r="DE874" s="158">
        <v>40.594999999999999</v>
      </c>
      <c r="DF874" s="120">
        <f>(DG874+DE874)/2</f>
        <v>41.1265</v>
      </c>
      <c r="DG874" s="159">
        <v>41.658000000000001</v>
      </c>
    </row>
    <row r="875" spans="54:111" ht="15" customHeight="1" x14ac:dyDescent="0.2">
      <c r="BB875" s="28">
        <v>21</v>
      </c>
      <c r="BC875" s="121">
        <v>7.4535</v>
      </c>
      <c r="BD875" s="121">
        <v>8.3287499999999994</v>
      </c>
      <c r="BE875" s="121">
        <v>9.2040000000000006</v>
      </c>
      <c r="BF875" s="121">
        <v>9.9989999999999988</v>
      </c>
      <c r="BG875" s="121">
        <v>10.794</v>
      </c>
      <c r="BH875" s="121">
        <v>11.571249999999999</v>
      </c>
      <c r="BI875" s="121">
        <v>12.3485</v>
      </c>
      <c r="BJ875" s="121">
        <v>13.0825</v>
      </c>
      <c r="BK875" s="121">
        <v>13.8165</v>
      </c>
      <c r="BL875" s="121">
        <v>14.51225</v>
      </c>
      <c r="BM875" s="121">
        <v>15.208</v>
      </c>
      <c r="BN875" s="121">
        <v>15.89425</v>
      </c>
      <c r="BO875" s="121">
        <v>16.580500000000001</v>
      </c>
      <c r="BP875" s="121">
        <v>17.258500000000002</v>
      </c>
      <c r="BQ875" s="121">
        <v>17.936500000000002</v>
      </c>
      <c r="BR875" s="121">
        <v>18.590499999999999</v>
      </c>
      <c r="BS875" s="121">
        <f t="array" ref="BS875:BS914">TRANSPOSE(BT874:DG874)</f>
        <v>19.244499999999999</v>
      </c>
      <c r="BT875" s="120">
        <f>(BS875+BU875)/2</f>
        <v>19.895249999999997</v>
      </c>
      <c r="BU875" s="120">
        <f>(BU874+BU876)/2</f>
        <v>20.545999999999999</v>
      </c>
      <c r="BV875" s="120">
        <f>(BU875+BW875)/2</f>
        <v>21.164249999999999</v>
      </c>
      <c r="BW875" s="120">
        <f>(BW874+BW876)/2</f>
        <v>21.782499999999999</v>
      </c>
      <c r="BX875" s="120">
        <f>(BW875+BY875)/2</f>
        <v>22.4315</v>
      </c>
      <c r="BY875" s="120">
        <f>(BY874+BY876)/2</f>
        <v>23.080500000000001</v>
      </c>
      <c r="BZ875" s="120">
        <f>(BY875+CA875)/2</f>
        <v>23.699249999999999</v>
      </c>
      <c r="CA875" s="120">
        <f>(CA874+CA876)/2</f>
        <v>24.318000000000001</v>
      </c>
      <c r="CB875" s="120">
        <f>(CA875+CC875)/2</f>
        <v>24.936500000000002</v>
      </c>
      <c r="CC875" s="120">
        <f>(CC874+CC876)/2</f>
        <v>25.555</v>
      </c>
      <c r="CD875" s="120">
        <f>(CC875+CE875)/2</f>
        <v>26.177250000000001</v>
      </c>
      <c r="CE875" s="120">
        <f>(CE874+CE876)/2</f>
        <v>26.799500000000002</v>
      </c>
      <c r="CF875" s="120">
        <f>(CE875+CG875)/2</f>
        <v>27.396750000000001</v>
      </c>
      <c r="CG875" s="120">
        <f>(CG874+CG876)/2</f>
        <v>27.994</v>
      </c>
      <c r="CH875" s="120">
        <f>(CG875+CI875)/2</f>
        <v>28.6</v>
      </c>
      <c r="CI875" s="120">
        <f>(CI874+CI876)/2</f>
        <v>29.206</v>
      </c>
      <c r="CJ875" s="120">
        <f>(CI875+CK875)/2</f>
        <v>29.805500000000002</v>
      </c>
      <c r="CK875" s="120">
        <f>(CK874+CK876)/2</f>
        <v>30.405000000000001</v>
      </c>
      <c r="CL875" s="120">
        <f>(CK875+CM875)/2</f>
        <v>30.994250000000001</v>
      </c>
      <c r="CM875" s="120">
        <f>(CM874+CM876)/2</f>
        <v>31.583500000000001</v>
      </c>
      <c r="CN875" s="120">
        <f>(CM875+CO875)/2</f>
        <v>32.1845</v>
      </c>
      <c r="CO875" s="120">
        <f>(CO874+CO876)/2</f>
        <v>32.785499999999999</v>
      </c>
      <c r="CP875" s="120">
        <f>(CO875+CQ875)/2</f>
        <v>33.356000000000002</v>
      </c>
      <c r="CQ875" s="120">
        <f>(CQ874+CQ876)/2</f>
        <v>33.926500000000004</v>
      </c>
      <c r="CR875" s="120">
        <f>(CQ875+CS875)/2</f>
        <v>34.513000000000005</v>
      </c>
      <c r="CS875" s="120">
        <f>(CS874+CS876)/2</f>
        <v>35.099499999999999</v>
      </c>
      <c r="CT875" s="120">
        <f>(CS875+CU875)/2</f>
        <v>35.686250000000001</v>
      </c>
      <c r="CU875" s="120">
        <f>(CU874+CU876)/2</f>
        <v>36.272999999999996</v>
      </c>
      <c r="CV875" s="120">
        <f>(CU875+CW875)/2</f>
        <v>36.857749999999996</v>
      </c>
      <c r="CW875" s="120">
        <f>(CW874+CW876)/2</f>
        <v>37.442500000000003</v>
      </c>
      <c r="CX875" s="120">
        <f>(CW875+CY875)/2</f>
        <v>38.016000000000005</v>
      </c>
      <c r="CY875" s="120">
        <f>(CY874+CY876)/2</f>
        <v>38.589500000000001</v>
      </c>
      <c r="CZ875" s="120">
        <f>(CY875+DA875)/2</f>
        <v>39.160250000000005</v>
      </c>
      <c r="DA875" s="120">
        <f>(DA874+DA876)/2</f>
        <v>39.731000000000002</v>
      </c>
      <c r="DB875" s="120">
        <f>(DA875+DC875)/2</f>
        <v>40.317499999999995</v>
      </c>
      <c r="DC875" s="120">
        <f>(DC874+DC876)/2</f>
        <v>40.903999999999996</v>
      </c>
      <c r="DD875" s="120">
        <f>(DC875+DE875)/2</f>
        <v>41.469749999999998</v>
      </c>
      <c r="DE875" s="120">
        <f>(DE874+DE876)/2</f>
        <v>42.035499999999999</v>
      </c>
      <c r="DF875" s="120">
        <f>(DE875+DG875)/2</f>
        <v>42.593249999999998</v>
      </c>
      <c r="DG875" s="122">
        <f>(DG874+DG876)/2</f>
        <v>43.150999999999996</v>
      </c>
    </row>
    <row r="876" spans="54:111" ht="15" customHeight="1" x14ac:dyDescent="0.2">
      <c r="BB876" s="28">
        <v>22</v>
      </c>
      <c r="BC876" s="121">
        <v>7.7089999999999996</v>
      </c>
      <c r="BD876" s="121">
        <v>8.5854999999999997</v>
      </c>
      <c r="BE876" s="121">
        <v>9.4619999999999997</v>
      </c>
      <c r="BF876" s="121">
        <v>10.3025</v>
      </c>
      <c r="BG876" s="121">
        <v>11.143000000000001</v>
      </c>
      <c r="BH876" s="121">
        <v>11.952</v>
      </c>
      <c r="BI876" s="121">
        <v>12.760999999999999</v>
      </c>
      <c r="BJ876" s="121">
        <v>13.5055</v>
      </c>
      <c r="BK876" s="121">
        <v>14.25</v>
      </c>
      <c r="BL876" s="121">
        <v>14.966000000000001</v>
      </c>
      <c r="BM876" s="121">
        <v>15.682</v>
      </c>
      <c r="BN876" s="121">
        <v>16.395</v>
      </c>
      <c r="BO876" s="121">
        <v>17.108000000000001</v>
      </c>
      <c r="BP876" s="121">
        <v>17.820500000000003</v>
      </c>
      <c r="BQ876" s="121">
        <v>18.533000000000001</v>
      </c>
      <c r="BR876" s="121">
        <v>19.2135</v>
      </c>
      <c r="BS876" s="121">
        <v>19.893999999999998</v>
      </c>
      <c r="BT876" s="121">
        <f t="array" ref="BT876:BT914">TRANSPOSE(BU875:DG875)</f>
        <v>20.545999999999999</v>
      </c>
      <c r="BU876" s="158">
        <v>21.198</v>
      </c>
      <c r="BV876" s="120">
        <f>(BW876+BU876)/2</f>
        <v>21.846</v>
      </c>
      <c r="BW876" s="158">
        <v>22.494</v>
      </c>
      <c r="BX876" s="120">
        <f>(BY876+BW876)/2</f>
        <v>23.174500000000002</v>
      </c>
      <c r="BY876" s="158">
        <v>23.855</v>
      </c>
      <c r="BZ876" s="120">
        <f>(CA876+BY876)/2</f>
        <v>24.503500000000003</v>
      </c>
      <c r="CA876" s="158">
        <v>25.152000000000001</v>
      </c>
      <c r="CB876" s="120">
        <f>(CC876+CA876)/2</f>
        <v>25.7715</v>
      </c>
      <c r="CC876" s="158">
        <v>26.390999999999998</v>
      </c>
      <c r="CD876" s="120">
        <f>(CE876+CC876)/2</f>
        <v>27.039499999999997</v>
      </c>
      <c r="CE876" s="158">
        <v>27.687999999999999</v>
      </c>
      <c r="CF876" s="120">
        <f>(CG876+CE876)/2</f>
        <v>28.304000000000002</v>
      </c>
      <c r="CG876" s="158">
        <v>28.92</v>
      </c>
      <c r="CH876" s="120">
        <f>(CI876+CG876)/2</f>
        <v>29.5685</v>
      </c>
      <c r="CI876" s="158">
        <v>30.216999999999999</v>
      </c>
      <c r="CJ876" s="120">
        <f>(CK876+CI876)/2</f>
        <v>30.805</v>
      </c>
      <c r="CK876" s="158">
        <v>31.393000000000001</v>
      </c>
      <c r="CL876" s="120">
        <f>(CM876+CK876)/2</f>
        <v>32.008499999999998</v>
      </c>
      <c r="CM876" s="158">
        <v>32.624000000000002</v>
      </c>
      <c r="CN876" s="120">
        <f>(CO876+CM876)/2</f>
        <v>33.240499999999997</v>
      </c>
      <c r="CO876" s="158">
        <v>33.856999999999999</v>
      </c>
      <c r="CP876" s="120">
        <f>(CQ876+CO876)/2</f>
        <v>34.473500000000001</v>
      </c>
      <c r="CQ876" s="158">
        <v>35.090000000000003</v>
      </c>
      <c r="CR876" s="120">
        <f>(CS876+CQ876)/2</f>
        <v>35.677500000000002</v>
      </c>
      <c r="CS876" s="158">
        <v>36.265000000000001</v>
      </c>
      <c r="CT876" s="120">
        <f>(CU876+CS876)/2</f>
        <v>36.881500000000003</v>
      </c>
      <c r="CU876" s="158">
        <v>37.497999999999998</v>
      </c>
      <c r="CV876" s="120">
        <f>(CW876+CU876)/2</f>
        <v>38.1145</v>
      </c>
      <c r="CW876" s="158">
        <v>38.731000000000002</v>
      </c>
      <c r="CX876" s="120">
        <f>(CY876+CW876)/2</f>
        <v>39.314500000000002</v>
      </c>
      <c r="CY876" s="158">
        <v>39.898000000000003</v>
      </c>
      <c r="CZ876" s="120">
        <f>(DA876+CY876)/2</f>
        <v>40.493000000000002</v>
      </c>
      <c r="DA876" s="158">
        <v>41.088000000000001</v>
      </c>
      <c r="DB876" s="120">
        <f>(DC876+DA876)/2</f>
        <v>41.697500000000005</v>
      </c>
      <c r="DC876" s="158">
        <v>42.307000000000002</v>
      </c>
      <c r="DD876" s="120">
        <f>(DE876+DC876)/2</f>
        <v>42.891500000000001</v>
      </c>
      <c r="DE876" s="158">
        <v>43.475999999999999</v>
      </c>
      <c r="DF876" s="120">
        <f>(DG876+DE876)/2</f>
        <v>44.06</v>
      </c>
      <c r="DG876" s="159">
        <v>44.643999999999998</v>
      </c>
    </row>
    <row r="877" spans="54:111" ht="15" customHeight="1" x14ac:dyDescent="0.2">
      <c r="BB877" s="28">
        <v>23</v>
      </c>
      <c r="BC877" s="121">
        <v>7.9364999999999997</v>
      </c>
      <c r="BD877" s="121">
        <v>8.8424999999999994</v>
      </c>
      <c r="BE877" s="121">
        <v>9.7484999999999999</v>
      </c>
      <c r="BF877" s="121">
        <v>10.620750000000001</v>
      </c>
      <c r="BG877" s="121">
        <v>11.493</v>
      </c>
      <c r="BH877" s="121">
        <v>12.317</v>
      </c>
      <c r="BI877" s="121">
        <v>13.141</v>
      </c>
      <c r="BJ877" s="121">
        <v>13.901250000000001</v>
      </c>
      <c r="BK877" s="121">
        <v>14.6615</v>
      </c>
      <c r="BL877" s="121">
        <v>15.404</v>
      </c>
      <c r="BM877" s="121">
        <v>16.1465</v>
      </c>
      <c r="BN877" s="121">
        <v>16.890749999999997</v>
      </c>
      <c r="BO877" s="121">
        <v>17.634999999999998</v>
      </c>
      <c r="BP877" s="121">
        <v>18.363</v>
      </c>
      <c r="BQ877" s="121">
        <v>19.091000000000001</v>
      </c>
      <c r="BR877" s="121">
        <v>19.786749999999998</v>
      </c>
      <c r="BS877" s="121">
        <v>20.482500000000002</v>
      </c>
      <c r="BT877" s="121">
        <v>21.164249999999999</v>
      </c>
      <c r="BU877" s="121">
        <f t="array" ref="BU877:BU914">TRANSPOSE(BV876:DG876)</f>
        <v>21.846</v>
      </c>
      <c r="BV877" s="120">
        <f>(BU877+BW877)/2</f>
        <v>22.525500000000001</v>
      </c>
      <c r="BW877" s="120">
        <f>(BW876+BW878)/2</f>
        <v>23.204999999999998</v>
      </c>
      <c r="BX877" s="120">
        <f>(BW877+BY877)/2</f>
        <v>23.901</v>
      </c>
      <c r="BY877" s="120">
        <f>(BY876+BY878)/2</f>
        <v>24.597000000000001</v>
      </c>
      <c r="BZ877" s="120">
        <f>(BY877+CA877)/2</f>
        <v>25.261000000000003</v>
      </c>
      <c r="CA877" s="120">
        <f>(CA876+CA878)/2</f>
        <v>25.925000000000001</v>
      </c>
      <c r="CB877" s="120">
        <f>(CA877+CC877)/2</f>
        <v>26.574249999999999</v>
      </c>
      <c r="CC877" s="120">
        <f>(CC876+CC878)/2</f>
        <v>27.223500000000001</v>
      </c>
      <c r="CD877" s="120">
        <f>(CC877+CE877)/2</f>
        <v>27.887499999999999</v>
      </c>
      <c r="CE877" s="120">
        <f>(CE876+CE878)/2</f>
        <v>28.551499999999997</v>
      </c>
      <c r="CF877" s="120">
        <f>(CE877+CG877)/2</f>
        <v>29.198749999999997</v>
      </c>
      <c r="CG877" s="120">
        <f>(CG876+CG878)/2</f>
        <v>29.846</v>
      </c>
      <c r="CH877" s="120">
        <f>(CG877+CI877)/2</f>
        <v>30.509999999999998</v>
      </c>
      <c r="CI877" s="120">
        <f>(CI876+CI878)/2</f>
        <v>31.173999999999999</v>
      </c>
      <c r="CJ877" s="120">
        <f>(CI877+CK877)/2</f>
        <v>31.788499999999999</v>
      </c>
      <c r="CK877" s="120">
        <f>(CK876+CK878)/2</f>
        <v>32.402999999999999</v>
      </c>
      <c r="CL877" s="120">
        <f>(CK877+CM877)/2</f>
        <v>33.050250000000005</v>
      </c>
      <c r="CM877" s="120">
        <f>(CM876+CM878)/2</f>
        <v>33.697500000000005</v>
      </c>
      <c r="CN877" s="120">
        <f>(CM877+CO877)/2</f>
        <v>34.329250000000002</v>
      </c>
      <c r="CO877" s="120">
        <f>(CO876+CO878)/2</f>
        <v>34.960999999999999</v>
      </c>
      <c r="CP877" s="120">
        <f>(CO877+CQ877)/2</f>
        <v>35.592750000000002</v>
      </c>
      <c r="CQ877" s="120">
        <f>(CQ876+CQ878)/2</f>
        <v>36.224500000000006</v>
      </c>
      <c r="CR877" s="120">
        <f>(CQ877+CS877)/2</f>
        <v>36.842000000000006</v>
      </c>
      <c r="CS877" s="120">
        <f>(CS876+CS878)/2</f>
        <v>37.459500000000006</v>
      </c>
      <c r="CT877" s="120">
        <f>(CS877+CU877)/2</f>
        <v>38.091250000000002</v>
      </c>
      <c r="CU877" s="120">
        <f>(CU876+CU878)/2</f>
        <v>38.722999999999999</v>
      </c>
      <c r="CV877" s="120">
        <f>(CU877+CW877)/2</f>
        <v>39.355000000000004</v>
      </c>
      <c r="CW877" s="120">
        <f>(CW876+CW878)/2</f>
        <v>39.987000000000002</v>
      </c>
      <c r="CX877" s="120">
        <f>(CW877+CY877)/2</f>
        <v>40.602249999999998</v>
      </c>
      <c r="CY877" s="120">
        <f>(CY876+CY878)/2</f>
        <v>41.217500000000001</v>
      </c>
      <c r="CZ877" s="120">
        <f>(CY877+DA877)/2</f>
        <v>41.822500000000005</v>
      </c>
      <c r="DA877" s="120">
        <f>(DA876+DA878)/2</f>
        <v>42.427500000000002</v>
      </c>
      <c r="DB877" s="120">
        <f>(DA877+DC877)/2</f>
        <v>43.055999999999997</v>
      </c>
      <c r="DC877" s="120">
        <f>(DC876+DC878)/2</f>
        <v>43.6845</v>
      </c>
      <c r="DD877" s="120">
        <f>(DC877+DE877)/2</f>
        <v>44.3</v>
      </c>
      <c r="DE877" s="120">
        <f>(DE876+DE878)/2</f>
        <v>44.915499999999994</v>
      </c>
      <c r="DF877" s="120">
        <f>(DE877+DG877)/2</f>
        <v>45.515249999999995</v>
      </c>
      <c r="DG877" s="122">
        <f>(DG876+DG878)/2</f>
        <v>46.114999999999995</v>
      </c>
    </row>
    <row r="878" spans="54:111" ht="15" customHeight="1" x14ac:dyDescent="0.2">
      <c r="BB878" s="28">
        <v>24</v>
      </c>
      <c r="BC878" s="121">
        <v>8.1639999999999997</v>
      </c>
      <c r="BD878" s="121">
        <v>9.099499999999999</v>
      </c>
      <c r="BE878" s="121">
        <v>10.035</v>
      </c>
      <c r="BF878" s="121">
        <v>10.939</v>
      </c>
      <c r="BG878" s="121">
        <v>11.843</v>
      </c>
      <c r="BH878" s="121">
        <v>12.682</v>
      </c>
      <c r="BI878" s="121">
        <v>13.521000000000001</v>
      </c>
      <c r="BJ878" s="121">
        <v>14.297000000000001</v>
      </c>
      <c r="BK878" s="121">
        <v>15.073</v>
      </c>
      <c r="BL878" s="121">
        <v>15.842000000000001</v>
      </c>
      <c r="BM878" s="121">
        <v>16.611000000000001</v>
      </c>
      <c r="BN878" s="121">
        <v>17.386499999999998</v>
      </c>
      <c r="BO878" s="121">
        <v>18.161999999999999</v>
      </c>
      <c r="BP878" s="121">
        <v>18.9055</v>
      </c>
      <c r="BQ878" s="121">
        <v>19.649000000000001</v>
      </c>
      <c r="BR878" s="121">
        <v>20.36</v>
      </c>
      <c r="BS878" s="121">
        <v>21.071000000000002</v>
      </c>
      <c r="BT878" s="121">
        <v>21.782499999999999</v>
      </c>
      <c r="BU878" s="121">
        <v>22.494</v>
      </c>
      <c r="BV878" s="121">
        <f t="array" ref="BV878:BV914">TRANSPOSE(BW877:DG877)</f>
        <v>23.204999999999998</v>
      </c>
      <c r="BW878" s="158">
        <v>23.916</v>
      </c>
      <c r="BX878" s="120">
        <f>(BY878+BW878)/2</f>
        <v>24.627499999999998</v>
      </c>
      <c r="BY878" s="158">
        <v>25.338999999999999</v>
      </c>
      <c r="BZ878" s="120">
        <f>(CA878+BY878)/2</f>
        <v>26.0185</v>
      </c>
      <c r="CA878" s="158">
        <v>26.698</v>
      </c>
      <c r="CB878" s="120">
        <f>(CC878+CA878)/2</f>
        <v>27.377000000000002</v>
      </c>
      <c r="CC878" s="158">
        <v>28.056000000000001</v>
      </c>
      <c r="CD878" s="120">
        <f>(CE878+CC878)/2</f>
        <v>28.735500000000002</v>
      </c>
      <c r="CE878" s="158">
        <v>29.414999999999999</v>
      </c>
      <c r="CF878" s="120">
        <f>(CG878+CE878)/2</f>
        <v>30.093499999999999</v>
      </c>
      <c r="CG878" s="158">
        <v>30.771999999999998</v>
      </c>
      <c r="CH878" s="120">
        <f>(CI878+CG878)/2</f>
        <v>31.451499999999999</v>
      </c>
      <c r="CI878" s="158">
        <v>32.131</v>
      </c>
      <c r="CJ878" s="120">
        <f>(CK878+CI878)/2</f>
        <v>32.771999999999998</v>
      </c>
      <c r="CK878" s="158">
        <v>33.412999999999997</v>
      </c>
      <c r="CL878" s="120">
        <f>(CM878+CK878)/2</f>
        <v>34.091999999999999</v>
      </c>
      <c r="CM878" s="158">
        <v>34.771000000000001</v>
      </c>
      <c r="CN878" s="120">
        <f>(CO878+CM878)/2</f>
        <v>35.417999999999999</v>
      </c>
      <c r="CO878" s="158">
        <v>36.064999999999998</v>
      </c>
      <c r="CP878" s="120">
        <f>(CQ878+CO878)/2</f>
        <v>36.712000000000003</v>
      </c>
      <c r="CQ878" s="158">
        <v>37.359000000000002</v>
      </c>
      <c r="CR878" s="120">
        <f>(CS878+CQ878)/2</f>
        <v>38.006500000000003</v>
      </c>
      <c r="CS878" s="158">
        <v>38.654000000000003</v>
      </c>
      <c r="CT878" s="120">
        <f>(CU878+CS878)/2</f>
        <v>39.301000000000002</v>
      </c>
      <c r="CU878" s="158">
        <v>39.948</v>
      </c>
      <c r="CV878" s="120">
        <f>(CW878+CU878)/2</f>
        <v>40.595500000000001</v>
      </c>
      <c r="CW878" s="158">
        <v>41.243000000000002</v>
      </c>
      <c r="CX878" s="120">
        <f>(CY878+CW878)/2</f>
        <v>41.89</v>
      </c>
      <c r="CY878" s="158">
        <v>42.536999999999999</v>
      </c>
      <c r="CZ878" s="120">
        <f>(DA878+CY878)/2</f>
        <v>43.152000000000001</v>
      </c>
      <c r="DA878" s="158">
        <v>43.767000000000003</v>
      </c>
      <c r="DB878" s="120">
        <f>(DC878+DA878)/2</f>
        <v>44.414500000000004</v>
      </c>
      <c r="DC878" s="158">
        <v>45.061999999999998</v>
      </c>
      <c r="DD878" s="120">
        <f>(DE878+DC878)/2</f>
        <v>45.708500000000001</v>
      </c>
      <c r="DE878" s="158">
        <v>46.354999999999997</v>
      </c>
      <c r="DF878" s="120">
        <f>(DG878+DE878)/2</f>
        <v>46.970500000000001</v>
      </c>
      <c r="DG878" s="159">
        <v>47.585999999999999</v>
      </c>
    </row>
    <row r="879" spans="54:111" ht="15" customHeight="1" x14ac:dyDescent="0.2">
      <c r="BB879" s="28">
        <v>25</v>
      </c>
      <c r="BC879" s="121">
        <v>8.3810000000000002</v>
      </c>
      <c r="BD879" s="121">
        <v>9.347999999999999</v>
      </c>
      <c r="BE879" s="121">
        <v>10.315000000000001</v>
      </c>
      <c r="BF879" s="121">
        <v>11.234249999999999</v>
      </c>
      <c r="BG879" s="121">
        <v>12.153500000000001</v>
      </c>
      <c r="BH879" s="121">
        <v>13.008500000000002</v>
      </c>
      <c r="BI879" s="121">
        <v>13.8635</v>
      </c>
      <c r="BJ879" s="121">
        <v>14.6815</v>
      </c>
      <c r="BK879" s="121">
        <v>15.499500000000001</v>
      </c>
      <c r="BL879" s="121">
        <v>16.3065</v>
      </c>
      <c r="BM879" s="121">
        <v>17.113500000000002</v>
      </c>
      <c r="BN879" s="121">
        <v>17.904499999999999</v>
      </c>
      <c r="BO879" s="121">
        <v>18.695499999999999</v>
      </c>
      <c r="BP879" s="121">
        <v>19.454499999999999</v>
      </c>
      <c r="BQ879" s="121">
        <v>20.2135</v>
      </c>
      <c r="BR879" s="121">
        <v>20.951000000000001</v>
      </c>
      <c r="BS879" s="121">
        <v>21.688500000000001</v>
      </c>
      <c r="BT879" s="121">
        <v>22.4315</v>
      </c>
      <c r="BU879" s="121">
        <v>23.174500000000002</v>
      </c>
      <c r="BV879" s="121">
        <v>23.901</v>
      </c>
      <c r="BW879" s="121">
        <f t="array" ref="BW879:BW914">TRANSPOSE(BX878:DG878)</f>
        <v>24.627499999999998</v>
      </c>
      <c r="BX879" s="120">
        <f>(BW879+BY879)/2</f>
        <v>25.35425</v>
      </c>
      <c r="BY879" s="120">
        <f>(BY878+BY880)/2</f>
        <v>26.081</v>
      </c>
      <c r="BZ879" s="120">
        <f>(BY879+CA879)/2</f>
        <v>26.786999999999999</v>
      </c>
      <c r="CA879" s="120">
        <f>(CA878+CA880)/2</f>
        <v>27.493000000000002</v>
      </c>
      <c r="CB879" s="120">
        <f>(CA879+CC879)/2</f>
        <v>28.203500000000002</v>
      </c>
      <c r="CC879" s="120">
        <f>(CC878+CC880)/2</f>
        <v>28.914000000000001</v>
      </c>
      <c r="CD879" s="120">
        <f>(CC879+CE879)/2</f>
        <v>29.608750000000001</v>
      </c>
      <c r="CE879" s="120">
        <f>(CE878+CE880)/2</f>
        <v>30.3035</v>
      </c>
      <c r="CF879" s="120">
        <f>(CE879+CG879)/2</f>
        <v>30.997999999999998</v>
      </c>
      <c r="CG879" s="120">
        <f>(CG878+CG880)/2</f>
        <v>31.692499999999999</v>
      </c>
      <c r="CH879" s="120">
        <f>(CG879+CI879)/2</f>
        <v>32.397999999999996</v>
      </c>
      <c r="CI879" s="120">
        <f>(CI878+CI880)/2</f>
        <v>33.103499999999997</v>
      </c>
      <c r="CJ879" s="120">
        <f>(CI879+CK879)/2</f>
        <v>33.766249999999999</v>
      </c>
      <c r="CK879" s="120">
        <f>(CK878+CK880)/2</f>
        <v>34.429000000000002</v>
      </c>
      <c r="CL879" s="120">
        <f>(CK879+CM879)/2</f>
        <v>35.123750000000001</v>
      </c>
      <c r="CM879" s="120">
        <f>(CM878+CM880)/2</f>
        <v>35.8185</v>
      </c>
      <c r="CN879" s="120">
        <f>(CM879+CO879)/2</f>
        <v>36.48075</v>
      </c>
      <c r="CO879" s="120">
        <f>(CO878+CO880)/2</f>
        <v>37.143000000000001</v>
      </c>
      <c r="CP879" s="120">
        <f>(CO879+CQ879)/2</f>
        <v>37.816749999999999</v>
      </c>
      <c r="CQ879" s="120">
        <f>(CQ878+CQ880)/2</f>
        <v>38.490499999999997</v>
      </c>
      <c r="CR879" s="120">
        <f>(CQ879+CS879)/2</f>
        <v>39.169499999999999</v>
      </c>
      <c r="CS879" s="120">
        <f>(CS878+CS880)/2</f>
        <v>39.848500000000001</v>
      </c>
      <c r="CT879" s="120">
        <f>(CS879+CU879)/2</f>
        <v>40.510750000000002</v>
      </c>
      <c r="CU879" s="120">
        <f>(CU878+CU880)/2</f>
        <v>41.173000000000002</v>
      </c>
      <c r="CV879" s="120">
        <f>(CU879+CW879)/2</f>
        <v>41.835999999999999</v>
      </c>
      <c r="CW879" s="120">
        <f>(CW878+CW880)/2</f>
        <v>42.499000000000002</v>
      </c>
      <c r="CX879" s="120">
        <f>(CW879+CY879)/2</f>
        <v>43.172499999999999</v>
      </c>
      <c r="CY879" s="120">
        <f>(CY878+CY880)/2</f>
        <v>43.846000000000004</v>
      </c>
      <c r="CZ879" s="120">
        <f>(CY879+DA879)/2</f>
        <v>44.492249999999999</v>
      </c>
      <c r="DA879" s="120">
        <f>(DA878+DA880)/2</f>
        <v>45.138500000000001</v>
      </c>
      <c r="DB879" s="120">
        <f>(DA879+DC879)/2</f>
        <v>45.785499999999999</v>
      </c>
      <c r="DC879" s="120">
        <f>(DC878+DC880)/2</f>
        <v>46.432499999999997</v>
      </c>
      <c r="DD879" s="120">
        <f>(DC879+DE879)/2</f>
        <v>47.094499999999996</v>
      </c>
      <c r="DE879" s="120">
        <f>(DE878+DE880)/2</f>
        <v>47.756500000000003</v>
      </c>
      <c r="DF879" s="120">
        <f>(DE879+DG879)/2</f>
        <v>48.414250000000003</v>
      </c>
      <c r="DG879" s="122">
        <f>(DG878+DG880)/2</f>
        <v>49.072000000000003</v>
      </c>
    </row>
    <row r="880" spans="54:111" ht="15" customHeight="1" x14ac:dyDescent="0.2">
      <c r="BB880" s="28">
        <v>26</v>
      </c>
      <c r="BC880" s="121">
        <v>8.5980000000000008</v>
      </c>
      <c r="BD880" s="121">
        <v>9.5965000000000007</v>
      </c>
      <c r="BE880" s="121">
        <v>10.595000000000001</v>
      </c>
      <c r="BF880" s="121">
        <v>11.529500000000001</v>
      </c>
      <c r="BG880" s="121">
        <v>12.464</v>
      </c>
      <c r="BH880" s="121">
        <v>13.335000000000001</v>
      </c>
      <c r="BI880" s="121">
        <v>14.206</v>
      </c>
      <c r="BJ880" s="121">
        <v>15.065999999999999</v>
      </c>
      <c r="BK880" s="121">
        <v>15.926</v>
      </c>
      <c r="BL880" s="121">
        <v>16.771000000000001</v>
      </c>
      <c r="BM880" s="121">
        <v>17.616</v>
      </c>
      <c r="BN880" s="121">
        <v>18.422499999999999</v>
      </c>
      <c r="BO880" s="121">
        <v>19.228999999999999</v>
      </c>
      <c r="BP880" s="121">
        <v>20.003499999999999</v>
      </c>
      <c r="BQ880" s="121">
        <v>20.777999999999999</v>
      </c>
      <c r="BR880" s="121">
        <v>21.542000000000002</v>
      </c>
      <c r="BS880" s="121">
        <v>22.306000000000001</v>
      </c>
      <c r="BT880" s="121">
        <v>23.080500000000001</v>
      </c>
      <c r="BU880" s="121">
        <v>23.855</v>
      </c>
      <c r="BV880" s="121">
        <v>24.597000000000001</v>
      </c>
      <c r="BW880" s="121">
        <v>25.338999999999999</v>
      </c>
      <c r="BX880" s="121">
        <f t="array" ref="BX880:BX914">TRANSPOSE(BY879:DG879)</f>
        <v>26.081</v>
      </c>
      <c r="BY880" s="158">
        <v>26.823</v>
      </c>
      <c r="BZ880" s="120">
        <f>(CA880+BY880)/2</f>
        <v>27.555500000000002</v>
      </c>
      <c r="CA880" s="158">
        <v>28.288</v>
      </c>
      <c r="CB880" s="120">
        <f>(CC880+CA880)/2</f>
        <v>29.03</v>
      </c>
      <c r="CC880" s="158">
        <v>29.771999999999998</v>
      </c>
      <c r="CD880" s="120">
        <f>(CE880+CC880)/2</f>
        <v>30.481999999999999</v>
      </c>
      <c r="CE880" s="158">
        <v>31.192</v>
      </c>
      <c r="CF880" s="120">
        <f>(CG880+CE880)/2</f>
        <v>31.9025</v>
      </c>
      <c r="CG880" s="158">
        <v>32.613</v>
      </c>
      <c r="CH880" s="120">
        <f>(CI880+CG880)/2</f>
        <v>33.344499999999996</v>
      </c>
      <c r="CI880" s="158">
        <v>34.076000000000001</v>
      </c>
      <c r="CJ880" s="120">
        <f>(CK880+CI880)/2</f>
        <v>34.7605</v>
      </c>
      <c r="CK880" s="158">
        <v>35.445</v>
      </c>
      <c r="CL880" s="120">
        <f>(CM880+CK880)/2</f>
        <v>36.155500000000004</v>
      </c>
      <c r="CM880" s="158">
        <v>36.866</v>
      </c>
      <c r="CN880" s="120">
        <f>(CO880+CM880)/2</f>
        <v>37.543499999999995</v>
      </c>
      <c r="CO880" s="158">
        <v>38.220999999999997</v>
      </c>
      <c r="CP880" s="120">
        <f>(CQ880+CO880)/2</f>
        <v>38.921499999999995</v>
      </c>
      <c r="CQ880" s="158">
        <v>39.622</v>
      </c>
      <c r="CR880" s="120">
        <f>(CS880+CQ880)/2</f>
        <v>40.332499999999996</v>
      </c>
      <c r="CS880" s="158">
        <v>41.042999999999999</v>
      </c>
      <c r="CT880" s="120">
        <f>(CU880+CS880)/2</f>
        <v>41.720500000000001</v>
      </c>
      <c r="CU880" s="158">
        <v>42.398000000000003</v>
      </c>
      <c r="CV880" s="120">
        <f>(CW880+CU880)/2</f>
        <v>43.076500000000003</v>
      </c>
      <c r="CW880" s="158">
        <v>43.755000000000003</v>
      </c>
      <c r="CX880" s="120">
        <f>(CY880+CW880)/2</f>
        <v>44.454999999999998</v>
      </c>
      <c r="CY880" s="158">
        <v>45.155000000000001</v>
      </c>
      <c r="CZ880" s="120">
        <f>(DA880+CY880)/2</f>
        <v>45.832499999999996</v>
      </c>
      <c r="DA880" s="158">
        <v>46.51</v>
      </c>
      <c r="DB880" s="120">
        <f>(DC880+DA880)/2</f>
        <v>47.156499999999994</v>
      </c>
      <c r="DC880" s="158">
        <v>47.802999999999997</v>
      </c>
      <c r="DD880" s="120">
        <f>(DE880+DC880)/2</f>
        <v>48.480499999999999</v>
      </c>
      <c r="DE880" s="158">
        <v>49.158000000000001</v>
      </c>
      <c r="DF880" s="120">
        <f>(DG880+DE880)/2</f>
        <v>49.858000000000004</v>
      </c>
      <c r="DG880" s="159">
        <v>50.558</v>
      </c>
    </row>
    <row r="881" spans="54:111" ht="15" customHeight="1" x14ac:dyDescent="0.2">
      <c r="BB881" s="28">
        <v>27</v>
      </c>
      <c r="BC881" s="121">
        <v>8.8255000000000017</v>
      </c>
      <c r="BD881" s="121">
        <v>9.8537500000000016</v>
      </c>
      <c r="BE881" s="121">
        <v>10.882000000000001</v>
      </c>
      <c r="BF881" s="121">
        <v>11.832000000000001</v>
      </c>
      <c r="BG881" s="121">
        <v>12.782</v>
      </c>
      <c r="BH881" s="121">
        <v>13.69525</v>
      </c>
      <c r="BI881" s="121">
        <v>14.608499999999999</v>
      </c>
      <c r="BJ881" s="121">
        <v>15.472999999999999</v>
      </c>
      <c r="BK881" s="121">
        <v>16.337499999999999</v>
      </c>
      <c r="BL881" s="121">
        <v>17.208750000000002</v>
      </c>
      <c r="BM881" s="121">
        <v>18.079999999999998</v>
      </c>
      <c r="BN881" s="121">
        <v>18.902249999999999</v>
      </c>
      <c r="BO881" s="121">
        <v>19.724499999999999</v>
      </c>
      <c r="BP881" s="121">
        <v>20.52525</v>
      </c>
      <c r="BQ881" s="121">
        <v>21.326000000000001</v>
      </c>
      <c r="BR881" s="121">
        <v>22.110500000000002</v>
      </c>
      <c r="BS881" s="121">
        <v>22.895000000000003</v>
      </c>
      <c r="BT881" s="121">
        <v>23.699249999999999</v>
      </c>
      <c r="BU881" s="121">
        <v>24.503500000000003</v>
      </c>
      <c r="BV881" s="121">
        <v>25.261000000000003</v>
      </c>
      <c r="BW881" s="121">
        <v>26.0185</v>
      </c>
      <c r="BX881" s="121">
        <v>26.786999999999999</v>
      </c>
      <c r="BY881" s="121">
        <f t="array" ref="BY881:BY914">TRANSPOSE(BZ880:DG880)</f>
        <v>27.555500000000002</v>
      </c>
      <c r="BZ881" s="120">
        <f>(BY881+CA881)/2</f>
        <v>28.308250000000001</v>
      </c>
      <c r="CA881" s="120">
        <f>(CA880+CA882)/2</f>
        <v>29.061</v>
      </c>
      <c r="CB881" s="120">
        <f>(CA881+CC881)/2</f>
        <v>29.832750000000001</v>
      </c>
      <c r="CC881" s="120">
        <f>(CC880+CC882)/2</f>
        <v>30.604500000000002</v>
      </c>
      <c r="CD881" s="120">
        <f>(CC881+CE881)/2</f>
        <v>31.33</v>
      </c>
      <c r="CE881" s="120">
        <f>(CE880+CE882)/2</f>
        <v>32.055499999999995</v>
      </c>
      <c r="CF881" s="120">
        <f>(CE881+CG881)/2</f>
        <v>32.792000000000002</v>
      </c>
      <c r="CG881" s="120">
        <f>(CG880+CG882)/2</f>
        <v>33.528500000000001</v>
      </c>
      <c r="CH881" s="120">
        <f>(CG881+CI881)/2</f>
        <v>34.264750000000006</v>
      </c>
      <c r="CI881" s="120">
        <f>(CI880+CI882)/2</f>
        <v>35.001000000000005</v>
      </c>
      <c r="CJ881" s="120">
        <f>(CI881+CK881)/2</f>
        <v>35.728000000000002</v>
      </c>
      <c r="CK881" s="120">
        <f>(CK880+CK882)/2</f>
        <v>36.454999999999998</v>
      </c>
      <c r="CL881" s="120">
        <f>(CK881+CM881)/2</f>
        <v>37.180750000000003</v>
      </c>
      <c r="CM881" s="120">
        <f>(CM880+CM882)/2</f>
        <v>37.906500000000001</v>
      </c>
      <c r="CN881" s="120">
        <f>(CM881+CO881)/2</f>
        <v>38.611000000000004</v>
      </c>
      <c r="CO881" s="120">
        <f>(CO880+CO882)/2</f>
        <v>39.3155</v>
      </c>
      <c r="CP881" s="120">
        <f>(CO881+CQ881)/2</f>
        <v>40.036250000000003</v>
      </c>
      <c r="CQ881" s="120">
        <f>(CQ880+CQ882)/2</f>
        <v>40.757000000000005</v>
      </c>
      <c r="CR881" s="120">
        <f>(CQ881+CS881)/2</f>
        <v>41.481000000000002</v>
      </c>
      <c r="CS881" s="120">
        <f>(CS880+CS882)/2</f>
        <v>42.204999999999998</v>
      </c>
      <c r="CT881" s="120">
        <f>(CS881+CU881)/2</f>
        <v>42.898249999999997</v>
      </c>
      <c r="CU881" s="120">
        <f>(CU880+CU882)/2</f>
        <v>43.591499999999996</v>
      </c>
      <c r="CV881" s="120">
        <f>(CU881+CW881)/2</f>
        <v>44.295999999999999</v>
      </c>
      <c r="CW881" s="120">
        <f>(CW880+CW882)/2</f>
        <v>45.000500000000002</v>
      </c>
      <c r="CX881" s="120">
        <f>(CW881+CY881)/2</f>
        <v>45.704999999999998</v>
      </c>
      <c r="CY881" s="120">
        <f>(CY880+CY882)/2</f>
        <v>46.409500000000001</v>
      </c>
      <c r="CZ881" s="120">
        <f>(CY881+DA881)/2</f>
        <v>47.113500000000002</v>
      </c>
      <c r="DA881" s="120">
        <f>(DA880+DA882)/2</f>
        <v>47.817499999999995</v>
      </c>
      <c r="DB881" s="120">
        <f>(DA881+DC881)/2</f>
        <v>48.498499999999993</v>
      </c>
      <c r="DC881" s="120">
        <f>(DC880+DC882)/2</f>
        <v>49.179499999999997</v>
      </c>
      <c r="DD881" s="120">
        <f>(DC881+DE881)/2</f>
        <v>49.883749999999999</v>
      </c>
      <c r="DE881" s="120">
        <f>(DE880+DE882)/2</f>
        <v>50.588000000000001</v>
      </c>
      <c r="DF881" s="120">
        <f>(DE881+DG881)/2</f>
        <v>51.292500000000004</v>
      </c>
      <c r="DG881" s="122">
        <f>(DG880+DG882)/2</f>
        <v>51.997</v>
      </c>
    </row>
    <row r="882" spans="54:111" ht="15" customHeight="1" x14ac:dyDescent="0.2">
      <c r="BB882" s="28">
        <v>28</v>
      </c>
      <c r="BC882" s="121">
        <v>9.0530000000000008</v>
      </c>
      <c r="BD882" s="121">
        <v>10.111000000000001</v>
      </c>
      <c r="BE882" s="121">
        <v>11.169</v>
      </c>
      <c r="BF882" s="121">
        <v>12.134499999999999</v>
      </c>
      <c r="BG882" s="121">
        <v>13.1</v>
      </c>
      <c r="BH882" s="121">
        <v>14.055499999999999</v>
      </c>
      <c r="BI882" s="121">
        <v>15.010999999999999</v>
      </c>
      <c r="BJ882" s="121">
        <v>15.879999999999999</v>
      </c>
      <c r="BK882" s="121">
        <v>16.748999999999999</v>
      </c>
      <c r="BL882" s="121">
        <v>17.6465</v>
      </c>
      <c r="BM882" s="121">
        <v>18.544</v>
      </c>
      <c r="BN882" s="121">
        <v>19.381999999999998</v>
      </c>
      <c r="BO882" s="121">
        <v>20.22</v>
      </c>
      <c r="BP882" s="121">
        <v>21.046999999999997</v>
      </c>
      <c r="BQ882" s="121">
        <v>21.873999999999999</v>
      </c>
      <c r="BR882" s="121">
        <v>22.679000000000002</v>
      </c>
      <c r="BS882" s="121">
        <v>23.484000000000002</v>
      </c>
      <c r="BT882" s="121">
        <v>24.318000000000001</v>
      </c>
      <c r="BU882" s="121">
        <v>25.152000000000001</v>
      </c>
      <c r="BV882" s="121">
        <v>25.925000000000001</v>
      </c>
      <c r="BW882" s="121">
        <v>26.698</v>
      </c>
      <c r="BX882" s="121">
        <v>27.493000000000002</v>
      </c>
      <c r="BY882" s="121">
        <v>28.288</v>
      </c>
      <c r="BZ882" s="121">
        <f t="array" ref="BZ882:BZ914">TRANSPOSE(CA881:DG881)</f>
        <v>29.061</v>
      </c>
      <c r="CA882" s="158">
        <v>29.834</v>
      </c>
      <c r="CB882" s="120">
        <f>(CC882+CA882)/2</f>
        <v>30.6355</v>
      </c>
      <c r="CC882" s="158">
        <v>31.437000000000001</v>
      </c>
      <c r="CD882" s="120">
        <f>(CE882+CC882)/2</f>
        <v>32.177999999999997</v>
      </c>
      <c r="CE882" s="158">
        <v>32.918999999999997</v>
      </c>
      <c r="CF882" s="120">
        <f>(CG882+CE882)/2</f>
        <v>33.6815</v>
      </c>
      <c r="CG882" s="158">
        <v>34.444000000000003</v>
      </c>
      <c r="CH882" s="120">
        <f>(CI882+CG882)/2</f>
        <v>35.185000000000002</v>
      </c>
      <c r="CI882" s="158">
        <v>35.926000000000002</v>
      </c>
      <c r="CJ882" s="120">
        <f>(CK882+CI882)/2</f>
        <v>36.695500000000003</v>
      </c>
      <c r="CK882" s="158">
        <v>37.465000000000003</v>
      </c>
      <c r="CL882" s="120">
        <f>(CM882+CK882)/2</f>
        <v>38.206000000000003</v>
      </c>
      <c r="CM882" s="158">
        <v>38.947000000000003</v>
      </c>
      <c r="CN882" s="120">
        <f>(CO882+CM882)/2</f>
        <v>39.6785</v>
      </c>
      <c r="CO882" s="158">
        <v>40.409999999999997</v>
      </c>
      <c r="CP882" s="120">
        <f>(CQ882+CO882)/2</f>
        <v>41.150999999999996</v>
      </c>
      <c r="CQ882" s="158">
        <v>41.892000000000003</v>
      </c>
      <c r="CR882" s="120">
        <f>(CS882+CQ882)/2</f>
        <v>42.6295</v>
      </c>
      <c r="CS882" s="158">
        <v>43.366999999999997</v>
      </c>
      <c r="CT882" s="120">
        <f>(CU882+CS882)/2</f>
        <v>44.075999999999993</v>
      </c>
      <c r="CU882" s="158">
        <v>44.784999999999997</v>
      </c>
      <c r="CV882" s="120">
        <f>(CW882+CU882)/2</f>
        <v>45.515500000000003</v>
      </c>
      <c r="CW882" s="158">
        <v>46.246000000000002</v>
      </c>
      <c r="CX882" s="120">
        <f>(CY882+CW882)/2</f>
        <v>46.954999999999998</v>
      </c>
      <c r="CY882" s="158">
        <v>47.664000000000001</v>
      </c>
      <c r="CZ882" s="120">
        <f>(DA882+CY882)/2</f>
        <v>48.394500000000001</v>
      </c>
      <c r="DA882" s="158">
        <v>49.125</v>
      </c>
      <c r="DB882" s="120">
        <f>(DC882+DA882)/2</f>
        <v>49.840499999999999</v>
      </c>
      <c r="DC882" s="158">
        <v>50.555999999999997</v>
      </c>
      <c r="DD882" s="120">
        <f>(DE882+DC882)/2</f>
        <v>51.286999999999999</v>
      </c>
      <c r="DE882" s="158">
        <v>52.018000000000001</v>
      </c>
      <c r="DF882" s="120">
        <f>(DG882+DE882)/2</f>
        <v>52.727000000000004</v>
      </c>
      <c r="DG882" s="159">
        <v>53.436</v>
      </c>
    </row>
    <row r="883" spans="54:111" ht="15" customHeight="1" x14ac:dyDescent="0.2">
      <c r="BB883" s="28">
        <v>29</v>
      </c>
      <c r="BC883" s="121">
        <v>9.2765000000000004</v>
      </c>
      <c r="BD883" s="121">
        <v>10.3515</v>
      </c>
      <c r="BE883" s="121">
        <v>11.426500000000001</v>
      </c>
      <c r="BF883" s="121">
        <v>12.437749999999999</v>
      </c>
      <c r="BG883" s="121">
        <v>13.449</v>
      </c>
      <c r="BH883" s="121">
        <v>14.404</v>
      </c>
      <c r="BI883" s="121">
        <v>15.359</v>
      </c>
      <c r="BJ883" s="121">
        <v>16.271000000000001</v>
      </c>
      <c r="BK883" s="121">
        <v>17.183</v>
      </c>
      <c r="BL883" s="121">
        <v>18.08475</v>
      </c>
      <c r="BM883" s="121">
        <v>18.986499999999999</v>
      </c>
      <c r="BN883" s="121">
        <v>19.850749999999998</v>
      </c>
      <c r="BO883" s="121">
        <v>20.715</v>
      </c>
      <c r="BP883" s="121">
        <v>21.576999999999998</v>
      </c>
      <c r="BQ883" s="121">
        <v>22.439</v>
      </c>
      <c r="BR883" s="121">
        <v>23.270250000000001</v>
      </c>
      <c r="BS883" s="121">
        <v>24.101500000000001</v>
      </c>
      <c r="BT883" s="121">
        <v>24.936500000000002</v>
      </c>
      <c r="BU883" s="121">
        <v>25.7715</v>
      </c>
      <c r="BV883" s="121">
        <v>26.574249999999999</v>
      </c>
      <c r="BW883" s="121">
        <v>27.377000000000002</v>
      </c>
      <c r="BX883" s="121">
        <v>28.203500000000002</v>
      </c>
      <c r="BY883" s="121">
        <v>29.03</v>
      </c>
      <c r="BZ883" s="121">
        <v>29.832750000000001</v>
      </c>
      <c r="CA883" s="121">
        <f t="array" ref="CA883:CA914">TRANSPOSE(CB882:DG882)</f>
        <v>30.6355</v>
      </c>
      <c r="CB883" s="120">
        <f>(CA883+CC883)/2</f>
        <v>31.422250000000002</v>
      </c>
      <c r="CC883" s="120">
        <f>(CC882+CC884)/2</f>
        <v>32.209000000000003</v>
      </c>
      <c r="CD883" s="120">
        <f>(CC883+CE883)/2</f>
        <v>32.9925</v>
      </c>
      <c r="CE883" s="120">
        <f>(CE882+CE884)/2</f>
        <v>33.775999999999996</v>
      </c>
      <c r="CF883" s="120">
        <f>(CE883+CG883)/2</f>
        <v>34.557249999999996</v>
      </c>
      <c r="CG883" s="120">
        <f>(CG882+CG884)/2</f>
        <v>35.338499999999996</v>
      </c>
      <c r="CH883" s="120">
        <f>(CG883+CI883)/2</f>
        <v>36.10575</v>
      </c>
      <c r="CI883" s="120">
        <f>(CI882+CI884)/2</f>
        <v>36.873000000000005</v>
      </c>
      <c r="CJ883" s="120">
        <f>(CI883+CK883)/2</f>
        <v>37.647000000000006</v>
      </c>
      <c r="CK883" s="120">
        <f>(CK882+CK884)/2</f>
        <v>38.421000000000006</v>
      </c>
      <c r="CL883" s="120">
        <f>(CK883+CM883)/2</f>
        <v>39.188750000000006</v>
      </c>
      <c r="CM883" s="120">
        <f>(CM882+CM884)/2</f>
        <v>39.956500000000005</v>
      </c>
      <c r="CN883" s="120">
        <f>(CM883+CO883)/2</f>
        <v>40.719250000000002</v>
      </c>
      <c r="CO883" s="120">
        <f>(CO882+CO884)/2</f>
        <v>41.481999999999999</v>
      </c>
      <c r="CP883" s="120">
        <f>(CO883+CQ883)/2</f>
        <v>42.236499999999999</v>
      </c>
      <c r="CQ883" s="120">
        <f>(CQ882+CQ884)/2</f>
        <v>42.991</v>
      </c>
      <c r="CR883" s="120">
        <f>(CQ883+CS883)/2</f>
        <v>43.745750000000001</v>
      </c>
      <c r="CS883" s="120">
        <f>(CS882+CS884)/2</f>
        <v>44.500500000000002</v>
      </c>
      <c r="CT883" s="120">
        <f>(CS883+CU883)/2</f>
        <v>45.239249999999998</v>
      </c>
      <c r="CU883" s="120">
        <f>(CU882+CU884)/2</f>
        <v>45.977999999999994</v>
      </c>
      <c r="CV883" s="120">
        <f>(CU883+CW883)/2</f>
        <v>46.723749999999995</v>
      </c>
      <c r="CW883" s="120">
        <f>(CW882+CW884)/2</f>
        <v>47.469499999999996</v>
      </c>
      <c r="CX883" s="120">
        <f>(CW883+CY883)/2</f>
        <v>48.220999999999997</v>
      </c>
      <c r="CY883" s="120">
        <f>(CY882+CY884)/2</f>
        <v>48.972499999999997</v>
      </c>
      <c r="CZ883" s="120">
        <f>(CY883+DA883)/2</f>
        <v>49.710999999999999</v>
      </c>
      <c r="DA883" s="120">
        <f>(DA882+DA884)/2</f>
        <v>50.4495</v>
      </c>
      <c r="DB883" s="120">
        <f>(DA883+DC883)/2</f>
        <v>51.188000000000002</v>
      </c>
      <c r="DC883" s="120">
        <f>(DC882+DC884)/2</f>
        <v>51.926499999999997</v>
      </c>
      <c r="DD883" s="120">
        <f>(DC883+DE883)/2</f>
        <v>52.676249999999996</v>
      </c>
      <c r="DE883" s="120">
        <f>(DE882+DE884)/2</f>
        <v>53.426000000000002</v>
      </c>
      <c r="DF883" s="120">
        <f>(DE883+DG883)/2</f>
        <v>54.145250000000004</v>
      </c>
      <c r="DG883" s="122">
        <f>(DG882+DG884)/2</f>
        <v>54.8645</v>
      </c>
    </row>
    <row r="884" spans="54:111" ht="15" customHeight="1" x14ac:dyDescent="0.2">
      <c r="BB884" s="28">
        <v>30</v>
      </c>
      <c r="BC884" s="121">
        <v>9.5</v>
      </c>
      <c r="BD884" s="121">
        <v>10.591999999999999</v>
      </c>
      <c r="BE884" s="121">
        <v>11.683999999999999</v>
      </c>
      <c r="BF884" s="121">
        <v>12.741</v>
      </c>
      <c r="BG884" s="121">
        <v>13.798</v>
      </c>
      <c r="BH884" s="121">
        <v>14.752500000000001</v>
      </c>
      <c r="BI884" s="121">
        <v>15.707000000000001</v>
      </c>
      <c r="BJ884" s="121">
        <v>16.661999999999999</v>
      </c>
      <c r="BK884" s="121">
        <v>17.617000000000001</v>
      </c>
      <c r="BL884" s="121">
        <v>18.523</v>
      </c>
      <c r="BM884" s="121">
        <v>19.428999999999998</v>
      </c>
      <c r="BN884" s="121">
        <v>20.319499999999998</v>
      </c>
      <c r="BO884" s="121">
        <v>21.21</v>
      </c>
      <c r="BP884" s="121">
        <v>22.106999999999999</v>
      </c>
      <c r="BQ884" s="121">
        <v>23.004000000000001</v>
      </c>
      <c r="BR884" s="121">
        <v>23.861499999999999</v>
      </c>
      <c r="BS884" s="121">
        <v>24.719000000000001</v>
      </c>
      <c r="BT884" s="121">
        <v>25.555</v>
      </c>
      <c r="BU884" s="121">
        <v>26.390999999999998</v>
      </c>
      <c r="BV884" s="121">
        <v>27.223500000000001</v>
      </c>
      <c r="BW884" s="121">
        <v>28.056000000000001</v>
      </c>
      <c r="BX884" s="121">
        <v>28.914000000000001</v>
      </c>
      <c r="BY884" s="121">
        <v>29.771999999999998</v>
      </c>
      <c r="BZ884" s="121">
        <v>30.604500000000002</v>
      </c>
      <c r="CA884" s="121">
        <v>31.437000000000001</v>
      </c>
      <c r="CB884" s="121">
        <f t="array" ref="CB884:CB914">TRANSPOSE(CC883:DG883)</f>
        <v>32.209000000000003</v>
      </c>
      <c r="CC884" s="158">
        <v>32.981000000000002</v>
      </c>
      <c r="CD884" s="120">
        <f>(CE884+CC884)/2</f>
        <v>33.807000000000002</v>
      </c>
      <c r="CE884" s="158">
        <v>34.633000000000003</v>
      </c>
      <c r="CF884" s="120">
        <f>(CG884+CE884)/2</f>
        <v>35.433</v>
      </c>
      <c r="CG884" s="158">
        <v>36.232999999999997</v>
      </c>
      <c r="CH884" s="120">
        <f>(CI884+CG884)/2</f>
        <v>37.026499999999999</v>
      </c>
      <c r="CI884" s="158">
        <v>37.82</v>
      </c>
      <c r="CJ884" s="120">
        <f>(CK884+CI884)/2</f>
        <v>38.598500000000001</v>
      </c>
      <c r="CK884" s="158">
        <v>39.377000000000002</v>
      </c>
      <c r="CL884" s="120">
        <f>(CM884+CK884)/2</f>
        <v>40.171500000000002</v>
      </c>
      <c r="CM884" s="158">
        <v>40.966000000000001</v>
      </c>
      <c r="CN884" s="120">
        <f>(CO884+CM884)/2</f>
        <v>41.760000000000005</v>
      </c>
      <c r="CO884" s="158">
        <v>42.554000000000002</v>
      </c>
      <c r="CP884" s="120">
        <f>(CQ884+CO884)/2</f>
        <v>43.322000000000003</v>
      </c>
      <c r="CQ884" s="158">
        <v>44.09</v>
      </c>
      <c r="CR884" s="120">
        <f>(CS884+CQ884)/2</f>
        <v>44.862000000000002</v>
      </c>
      <c r="CS884" s="158">
        <v>45.634</v>
      </c>
      <c r="CT884" s="120">
        <f>(CU884+CS884)/2</f>
        <v>46.402500000000003</v>
      </c>
      <c r="CU884" s="158">
        <v>47.170999999999999</v>
      </c>
      <c r="CV884" s="120">
        <f>(CW884+CU884)/2</f>
        <v>47.932000000000002</v>
      </c>
      <c r="CW884" s="158">
        <v>48.692999999999998</v>
      </c>
      <c r="CX884" s="120">
        <f>(CY884+CW884)/2</f>
        <v>49.486999999999995</v>
      </c>
      <c r="CY884" s="158">
        <v>50.280999999999999</v>
      </c>
      <c r="CZ884" s="120">
        <f>(DA884+CY884)/2</f>
        <v>51.027500000000003</v>
      </c>
      <c r="DA884" s="158">
        <v>51.774000000000001</v>
      </c>
      <c r="DB884" s="120">
        <f>(DC884+DA884)/2</f>
        <v>52.535499999999999</v>
      </c>
      <c r="DC884" s="158">
        <v>53.296999999999997</v>
      </c>
      <c r="DD884" s="120">
        <f>(DE884+DC884)/2</f>
        <v>54.0655</v>
      </c>
      <c r="DE884" s="158">
        <v>54.834000000000003</v>
      </c>
      <c r="DF884" s="120">
        <f>(DG884+DE884)/2</f>
        <v>55.563500000000005</v>
      </c>
      <c r="DG884" s="159">
        <v>56.292999999999999</v>
      </c>
    </row>
    <row r="885" spans="54:111" ht="15" customHeight="1" x14ac:dyDescent="0.2">
      <c r="BB885" s="28">
        <v>31</v>
      </c>
      <c r="BC885" s="121">
        <v>9.6950000000000003</v>
      </c>
      <c r="BD885" s="121">
        <v>10.832999999999998</v>
      </c>
      <c r="BE885" s="121">
        <v>11.971</v>
      </c>
      <c r="BF885" s="121">
        <v>13.04025</v>
      </c>
      <c r="BG885" s="121">
        <v>14.109500000000001</v>
      </c>
      <c r="BH885" s="121">
        <v>15.098500000000001</v>
      </c>
      <c r="BI885" s="121">
        <v>16.087499999999999</v>
      </c>
      <c r="BJ885" s="121">
        <v>17.057749999999999</v>
      </c>
      <c r="BK885" s="121">
        <v>18.027999999999999</v>
      </c>
      <c r="BL885" s="121">
        <v>18.960999999999999</v>
      </c>
      <c r="BM885" s="121">
        <v>19.893999999999998</v>
      </c>
      <c r="BN885" s="121">
        <v>20.799499999999998</v>
      </c>
      <c r="BO885" s="121">
        <v>21.704999999999998</v>
      </c>
      <c r="BP885" s="121">
        <v>22.617249999999999</v>
      </c>
      <c r="BQ885" s="121">
        <v>23.529499999999999</v>
      </c>
      <c r="BR885" s="121">
        <v>24.422249999999998</v>
      </c>
      <c r="BS885" s="121">
        <v>25.315000000000001</v>
      </c>
      <c r="BT885" s="121">
        <v>26.177250000000001</v>
      </c>
      <c r="BU885" s="121">
        <v>27.039499999999997</v>
      </c>
      <c r="BV885" s="121">
        <v>27.887499999999999</v>
      </c>
      <c r="BW885" s="121">
        <v>28.735500000000002</v>
      </c>
      <c r="BX885" s="121">
        <v>29.608750000000001</v>
      </c>
      <c r="BY885" s="121">
        <v>30.481999999999999</v>
      </c>
      <c r="BZ885" s="121">
        <v>31.33</v>
      </c>
      <c r="CA885" s="121">
        <v>32.177999999999997</v>
      </c>
      <c r="CB885" s="121">
        <v>32.9925</v>
      </c>
      <c r="CC885" s="121">
        <f t="array" ref="CC885:CC914">TRANSPOSE(CD884:DG884)</f>
        <v>33.807000000000002</v>
      </c>
      <c r="CD885" s="120">
        <f>(CC885+CE885)/2</f>
        <v>34.635249999999999</v>
      </c>
      <c r="CE885" s="120">
        <f>(CE884+CE886)/2</f>
        <v>35.463499999999996</v>
      </c>
      <c r="CF885" s="120">
        <f>(CE885+CG885)/2</f>
        <v>36.295249999999996</v>
      </c>
      <c r="CG885" s="120">
        <f>(CG884+CG886)/2</f>
        <v>37.126999999999995</v>
      </c>
      <c r="CH885" s="120">
        <f>(CG885+CI885)/2</f>
        <v>37.936499999999995</v>
      </c>
      <c r="CI885" s="120">
        <f>(CI884+CI886)/2</f>
        <v>38.745999999999995</v>
      </c>
      <c r="CJ885" s="120">
        <f>(CI885+CK885)/2</f>
        <v>39.550750000000001</v>
      </c>
      <c r="CK885" s="120">
        <f>(CK884+CK886)/2</f>
        <v>40.355500000000006</v>
      </c>
      <c r="CL885" s="120">
        <f>(CK885+CM885)/2</f>
        <v>41.16525</v>
      </c>
      <c r="CM885" s="120">
        <f>(CM884+CM886)/2</f>
        <v>41.975000000000001</v>
      </c>
      <c r="CN885" s="120">
        <f>(CM885+CO885)/2</f>
        <v>42.787500000000001</v>
      </c>
      <c r="CO885" s="120">
        <f>(CO884+CO886)/2</f>
        <v>43.6</v>
      </c>
      <c r="CP885" s="120">
        <f>(CO885+CQ885)/2</f>
        <v>44.396250000000002</v>
      </c>
      <c r="CQ885" s="120">
        <f>(CQ884+CQ886)/2</f>
        <v>45.192500000000003</v>
      </c>
      <c r="CR885" s="120">
        <f>(CQ885+CS885)/2</f>
        <v>45.978250000000003</v>
      </c>
      <c r="CS885" s="120">
        <f>(CS884+CS886)/2</f>
        <v>46.763999999999996</v>
      </c>
      <c r="CT885" s="120">
        <f>(CS885+CU885)/2</f>
        <v>47.560499999999998</v>
      </c>
      <c r="CU885" s="120">
        <f>(CU884+CU886)/2</f>
        <v>48.356999999999999</v>
      </c>
      <c r="CV885" s="120">
        <f>(CU885+CW885)/2</f>
        <v>49.137</v>
      </c>
      <c r="CW885" s="120">
        <f>(CW884+CW886)/2</f>
        <v>49.917000000000002</v>
      </c>
      <c r="CX885" s="120">
        <f>(CW885+CY885)/2</f>
        <v>50.729750000000003</v>
      </c>
      <c r="CY885" s="120">
        <f>(CY884+CY886)/2</f>
        <v>51.542500000000004</v>
      </c>
      <c r="CZ885" s="120">
        <f>(CY885+DA885)/2</f>
        <v>52.312000000000005</v>
      </c>
      <c r="DA885" s="120">
        <f>(DA884+DA886)/2</f>
        <v>53.081500000000005</v>
      </c>
      <c r="DB885" s="120">
        <f>(DA885+DC885)/2</f>
        <v>53.861750000000001</v>
      </c>
      <c r="DC885" s="120">
        <f>(DC884+DC886)/2</f>
        <v>54.641999999999996</v>
      </c>
      <c r="DD885" s="120">
        <f>(DC885+DE885)/2</f>
        <v>55.422499999999999</v>
      </c>
      <c r="DE885" s="120">
        <f>(DE884+DE886)/2</f>
        <v>56.203000000000003</v>
      </c>
      <c r="DF885" s="120">
        <f>(DE885+DG885)/2</f>
        <v>56.967500000000001</v>
      </c>
      <c r="DG885" s="122">
        <f>(DG884+DG886)/2</f>
        <v>57.731999999999999</v>
      </c>
    </row>
    <row r="886" spans="54:111" ht="15" customHeight="1" x14ac:dyDescent="0.2">
      <c r="BB886" s="28">
        <v>32</v>
      </c>
      <c r="BC886" s="121">
        <v>9.89</v>
      </c>
      <c r="BD886" s="121">
        <v>11.074</v>
      </c>
      <c r="BE886" s="121">
        <v>12.257999999999999</v>
      </c>
      <c r="BF886" s="121">
        <v>13.339499999999999</v>
      </c>
      <c r="BG886" s="121">
        <v>14.420999999999999</v>
      </c>
      <c r="BH886" s="121">
        <v>15.4445</v>
      </c>
      <c r="BI886" s="121">
        <v>16.468</v>
      </c>
      <c r="BJ886" s="121">
        <v>17.453499999999998</v>
      </c>
      <c r="BK886" s="121">
        <v>18.439</v>
      </c>
      <c r="BL886" s="121">
        <v>19.399000000000001</v>
      </c>
      <c r="BM886" s="121">
        <v>20.359000000000002</v>
      </c>
      <c r="BN886" s="121">
        <v>21.279499999999999</v>
      </c>
      <c r="BO886" s="121">
        <v>22.2</v>
      </c>
      <c r="BP886" s="121">
        <v>23.127499999999998</v>
      </c>
      <c r="BQ886" s="121">
        <v>24.055</v>
      </c>
      <c r="BR886" s="121">
        <v>24.983000000000001</v>
      </c>
      <c r="BS886" s="121">
        <v>25.911000000000001</v>
      </c>
      <c r="BT886" s="121">
        <v>26.799500000000002</v>
      </c>
      <c r="BU886" s="121">
        <v>27.687999999999999</v>
      </c>
      <c r="BV886" s="121">
        <v>28.551499999999997</v>
      </c>
      <c r="BW886" s="121">
        <v>29.414999999999999</v>
      </c>
      <c r="BX886" s="121">
        <v>30.3035</v>
      </c>
      <c r="BY886" s="121">
        <v>31.192</v>
      </c>
      <c r="BZ886" s="121">
        <v>32.055499999999995</v>
      </c>
      <c r="CA886" s="121">
        <v>32.918999999999997</v>
      </c>
      <c r="CB886" s="121">
        <v>33.775999999999996</v>
      </c>
      <c r="CC886" s="121">
        <v>34.633000000000003</v>
      </c>
      <c r="CD886" s="121">
        <f t="array" ref="CD886:CD914">TRANSPOSE(CE885:DG885)</f>
        <v>35.463499999999996</v>
      </c>
      <c r="CE886" s="158">
        <v>36.293999999999997</v>
      </c>
      <c r="CF886" s="120">
        <f>(CG886+CE886)/2</f>
        <v>37.157499999999999</v>
      </c>
      <c r="CG886" s="158">
        <v>38.021000000000001</v>
      </c>
      <c r="CH886" s="120">
        <f>(CI886+CG886)/2</f>
        <v>38.846499999999999</v>
      </c>
      <c r="CI886" s="158">
        <v>39.671999999999997</v>
      </c>
      <c r="CJ886" s="120">
        <f>(CK886+CI886)/2</f>
        <v>40.503</v>
      </c>
      <c r="CK886" s="158">
        <v>41.334000000000003</v>
      </c>
      <c r="CL886" s="120">
        <f>(CM886+CK886)/2</f>
        <v>42.159000000000006</v>
      </c>
      <c r="CM886" s="158">
        <v>42.984000000000002</v>
      </c>
      <c r="CN886" s="120">
        <f>(CO886+CM886)/2</f>
        <v>43.814999999999998</v>
      </c>
      <c r="CO886" s="158">
        <v>44.646000000000001</v>
      </c>
      <c r="CP886" s="120">
        <f>(CQ886+CO886)/2</f>
        <v>45.470500000000001</v>
      </c>
      <c r="CQ886" s="158">
        <v>46.295000000000002</v>
      </c>
      <c r="CR886" s="120">
        <f>(CS886+CQ886)/2</f>
        <v>47.094499999999996</v>
      </c>
      <c r="CS886" s="158">
        <v>47.893999999999998</v>
      </c>
      <c r="CT886" s="120">
        <f>(CU886+CS886)/2</f>
        <v>48.718499999999999</v>
      </c>
      <c r="CU886" s="158">
        <v>49.542999999999999</v>
      </c>
      <c r="CV886" s="120">
        <f>(CW886+CU886)/2</f>
        <v>50.341999999999999</v>
      </c>
      <c r="CW886" s="158">
        <v>51.140999999999998</v>
      </c>
      <c r="CX886" s="120">
        <f>(CY886+CW886)/2</f>
        <v>51.972499999999997</v>
      </c>
      <c r="CY886" s="158">
        <v>52.804000000000002</v>
      </c>
      <c r="CZ886" s="120">
        <f>(DA886+CY886)/2</f>
        <v>53.596500000000006</v>
      </c>
      <c r="DA886" s="158">
        <v>54.389000000000003</v>
      </c>
      <c r="DB886" s="120">
        <f>(DC886+DA886)/2</f>
        <v>55.188000000000002</v>
      </c>
      <c r="DC886" s="158">
        <v>55.987000000000002</v>
      </c>
      <c r="DD886" s="120">
        <f>(DE886+DC886)/2</f>
        <v>56.779499999999999</v>
      </c>
      <c r="DE886" s="158">
        <v>57.572000000000003</v>
      </c>
      <c r="DF886" s="120">
        <f>(DG886+DE886)/2</f>
        <v>58.371499999999997</v>
      </c>
      <c r="DG886" s="159">
        <v>59.170999999999999</v>
      </c>
    </row>
    <row r="887" spans="54:111" ht="15" customHeight="1" x14ac:dyDescent="0.2">
      <c r="BB887" s="28">
        <v>33</v>
      </c>
      <c r="BC887" s="121">
        <v>10.1075</v>
      </c>
      <c r="BD887" s="121">
        <v>11.306750000000001</v>
      </c>
      <c r="BE887" s="121">
        <v>12.506</v>
      </c>
      <c r="BF887" s="121">
        <v>13.622</v>
      </c>
      <c r="BG887" s="121">
        <v>14.738</v>
      </c>
      <c r="BH887" s="121">
        <v>15.777249999999999</v>
      </c>
      <c r="BI887" s="121">
        <v>16.816499999999998</v>
      </c>
      <c r="BJ887" s="121">
        <v>17.828499999999998</v>
      </c>
      <c r="BK887" s="121">
        <v>18.840499999999999</v>
      </c>
      <c r="BL887" s="121">
        <v>19.831500000000002</v>
      </c>
      <c r="BM887" s="121">
        <v>20.822500000000002</v>
      </c>
      <c r="BN887" s="121">
        <v>21.762250000000002</v>
      </c>
      <c r="BO887" s="121">
        <v>22.701999999999998</v>
      </c>
      <c r="BP887" s="121">
        <v>23.657499999999999</v>
      </c>
      <c r="BQ887" s="121">
        <v>24.613</v>
      </c>
      <c r="BR887" s="121">
        <v>25.551250000000003</v>
      </c>
      <c r="BS887" s="121">
        <v>26.4895</v>
      </c>
      <c r="BT887" s="121">
        <v>27.396750000000001</v>
      </c>
      <c r="BU887" s="121">
        <v>28.304000000000002</v>
      </c>
      <c r="BV887" s="121">
        <v>29.198749999999997</v>
      </c>
      <c r="BW887" s="121">
        <v>30.093499999999999</v>
      </c>
      <c r="BX887" s="121">
        <v>30.997999999999998</v>
      </c>
      <c r="BY887" s="121">
        <v>31.9025</v>
      </c>
      <c r="BZ887" s="121">
        <v>32.792000000000002</v>
      </c>
      <c r="CA887" s="121">
        <v>33.6815</v>
      </c>
      <c r="CB887" s="121">
        <v>34.557249999999996</v>
      </c>
      <c r="CC887" s="121">
        <v>35.433</v>
      </c>
      <c r="CD887" s="121">
        <v>36.295249999999996</v>
      </c>
      <c r="CE887" s="121">
        <f t="array" ref="CE887:CE914">TRANSPOSE(CF886:DG886)</f>
        <v>37.157499999999999</v>
      </c>
      <c r="CF887" s="120">
        <f>(CE887+CG887)/2</f>
        <v>38.017249999999997</v>
      </c>
      <c r="CG887" s="120">
        <f>(CG886+CG888)/2</f>
        <v>38.876999999999995</v>
      </c>
      <c r="CH887" s="120">
        <f>(CG887+CI887)/2</f>
        <v>39.747999999999998</v>
      </c>
      <c r="CI887" s="120">
        <f>(CI886+CI888)/2</f>
        <v>40.619</v>
      </c>
      <c r="CJ887" s="120">
        <f>(CI887+CK887)/2</f>
        <v>41.465499999999999</v>
      </c>
      <c r="CK887" s="120">
        <f>(CK886+CK888)/2</f>
        <v>42.311999999999998</v>
      </c>
      <c r="CL887" s="120">
        <f>(CK887+CM887)/2</f>
        <v>43.152500000000003</v>
      </c>
      <c r="CM887" s="120">
        <f>(CM886+CM888)/2</f>
        <v>43.993000000000002</v>
      </c>
      <c r="CN887" s="120">
        <f>(CM887+CO887)/2</f>
        <v>44.839250000000007</v>
      </c>
      <c r="CO887" s="120">
        <f>(CO886+CO888)/2</f>
        <v>45.685500000000005</v>
      </c>
      <c r="CP887" s="120">
        <f>(CO887+CQ887)/2</f>
        <v>46.539750000000005</v>
      </c>
      <c r="CQ887" s="120">
        <f>(CQ886+CQ888)/2</f>
        <v>47.394000000000005</v>
      </c>
      <c r="CR887" s="120">
        <f>(CQ887+CS887)/2</f>
        <v>48.225000000000001</v>
      </c>
      <c r="CS887" s="120">
        <f>(CS886+CS888)/2</f>
        <v>49.055999999999997</v>
      </c>
      <c r="CT887" s="120">
        <f>(CS887+CU887)/2</f>
        <v>49.879999999999995</v>
      </c>
      <c r="CU887" s="120">
        <f>(CU886+CU888)/2</f>
        <v>50.704000000000001</v>
      </c>
      <c r="CV887" s="120">
        <f>(CU887+CW887)/2</f>
        <v>51.53425</v>
      </c>
      <c r="CW887" s="120">
        <f>(CW886+CW888)/2</f>
        <v>52.3645</v>
      </c>
      <c r="CX887" s="120">
        <f>(CW887+CY887)/2</f>
        <v>53.206500000000005</v>
      </c>
      <c r="CY887" s="120">
        <f>(CY886+CY888)/2</f>
        <v>54.048500000000004</v>
      </c>
      <c r="CZ887" s="120">
        <f>(CY887+DA887)/2</f>
        <v>54.872500000000002</v>
      </c>
      <c r="DA887" s="120">
        <f>(DA886+DA888)/2</f>
        <v>55.6965</v>
      </c>
      <c r="DB887" s="120">
        <f>(DA887+DC887)/2</f>
        <v>56.511250000000004</v>
      </c>
      <c r="DC887" s="120">
        <f>(DC886+DC888)/2</f>
        <v>57.326000000000001</v>
      </c>
      <c r="DD887" s="120">
        <f>(DC887+DE887)/2</f>
        <v>58.137250000000002</v>
      </c>
      <c r="DE887" s="120">
        <f>(DE886+DE888)/2</f>
        <v>58.948500000000003</v>
      </c>
      <c r="DF887" s="120">
        <f>(DE887+DG887)/2</f>
        <v>59.774250000000002</v>
      </c>
      <c r="DG887" s="122">
        <f>(DG886+DG888)/2</f>
        <v>60.6</v>
      </c>
    </row>
    <row r="888" spans="54:111" ht="15" customHeight="1" x14ac:dyDescent="0.2">
      <c r="BB888" s="28">
        <v>34</v>
      </c>
      <c r="BC888" s="121">
        <v>10.324999999999999</v>
      </c>
      <c r="BD888" s="121">
        <v>11.5395</v>
      </c>
      <c r="BE888" s="121">
        <v>12.754</v>
      </c>
      <c r="BF888" s="121">
        <v>13.904499999999999</v>
      </c>
      <c r="BG888" s="121">
        <v>15.055</v>
      </c>
      <c r="BH888" s="121">
        <v>16.11</v>
      </c>
      <c r="BI888" s="121">
        <v>17.164999999999999</v>
      </c>
      <c r="BJ888" s="121">
        <v>18.203499999999998</v>
      </c>
      <c r="BK888" s="121">
        <v>19.242000000000001</v>
      </c>
      <c r="BL888" s="121">
        <v>20.264000000000003</v>
      </c>
      <c r="BM888" s="121">
        <v>21.286000000000001</v>
      </c>
      <c r="BN888" s="121">
        <v>22.245000000000001</v>
      </c>
      <c r="BO888" s="121">
        <v>23.204000000000001</v>
      </c>
      <c r="BP888" s="121">
        <v>24.1875</v>
      </c>
      <c r="BQ888" s="121">
        <v>25.170999999999999</v>
      </c>
      <c r="BR888" s="121">
        <v>26.119500000000002</v>
      </c>
      <c r="BS888" s="121">
        <v>27.068000000000001</v>
      </c>
      <c r="BT888" s="121">
        <v>27.994</v>
      </c>
      <c r="BU888" s="121">
        <v>28.92</v>
      </c>
      <c r="BV888" s="121">
        <v>29.846</v>
      </c>
      <c r="BW888" s="121">
        <v>30.771999999999998</v>
      </c>
      <c r="BX888" s="121">
        <v>31.692499999999999</v>
      </c>
      <c r="BY888" s="121">
        <v>32.613</v>
      </c>
      <c r="BZ888" s="121">
        <v>33.528500000000001</v>
      </c>
      <c r="CA888" s="121">
        <v>34.444000000000003</v>
      </c>
      <c r="CB888" s="121">
        <v>35.338499999999996</v>
      </c>
      <c r="CC888" s="121">
        <v>36.232999999999997</v>
      </c>
      <c r="CD888" s="121">
        <v>37.126999999999995</v>
      </c>
      <c r="CE888" s="121">
        <v>38.021000000000001</v>
      </c>
      <c r="CF888" s="121">
        <f t="array" ref="CF888:CF914">TRANSPOSE(CG887:DG887)</f>
        <v>38.876999999999995</v>
      </c>
      <c r="CG888" s="158">
        <v>39.732999999999997</v>
      </c>
      <c r="CH888" s="120">
        <f>(CI888+CG888)/2</f>
        <v>40.649500000000003</v>
      </c>
      <c r="CI888" s="158">
        <v>41.566000000000003</v>
      </c>
      <c r="CJ888" s="120">
        <f>(CK888+CI888)/2</f>
        <v>42.427999999999997</v>
      </c>
      <c r="CK888" s="158">
        <v>43.29</v>
      </c>
      <c r="CL888" s="120">
        <f>(CM888+CK888)/2</f>
        <v>44.146000000000001</v>
      </c>
      <c r="CM888" s="158">
        <v>45.002000000000002</v>
      </c>
      <c r="CN888" s="120">
        <f>(CO888+CM888)/2</f>
        <v>45.863500000000002</v>
      </c>
      <c r="CO888" s="158">
        <v>46.725000000000001</v>
      </c>
      <c r="CP888" s="120">
        <f>(CQ888+CO888)/2</f>
        <v>47.609000000000002</v>
      </c>
      <c r="CQ888" s="158">
        <v>48.493000000000002</v>
      </c>
      <c r="CR888" s="120">
        <f>(CS888+CQ888)/2</f>
        <v>49.355500000000006</v>
      </c>
      <c r="CS888" s="158">
        <v>50.218000000000004</v>
      </c>
      <c r="CT888" s="120">
        <f>(CU888+CS888)/2</f>
        <v>51.041499999999999</v>
      </c>
      <c r="CU888" s="158">
        <v>51.865000000000002</v>
      </c>
      <c r="CV888" s="120">
        <f>(CW888+CU888)/2</f>
        <v>52.726500000000001</v>
      </c>
      <c r="CW888" s="158">
        <v>53.588000000000001</v>
      </c>
      <c r="CX888" s="120">
        <f>(CY888+CW888)/2</f>
        <v>54.4405</v>
      </c>
      <c r="CY888" s="158">
        <v>55.292999999999999</v>
      </c>
      <c r="CZ888" s="120">
        <f>(DA888+CY888)/2</f>
        <v>56.148499999999999</v>
      </c>
      <c r="DA888" s="158">
        <v>57.003999999999998</v>
      </c>
      <c r="DB888" s="120">
        <f>(DC888+DA888)/2</f>
        <v>57.834499999999998</v>
      </c>
      <c r="DC888" s="158">
        <v>58.664999999999999</v>
      </c>
      <c r="DD888" s="120">
        <f>(DE888+DC888)/2</f>
        <v>59.495000000000005</v>
      </c>
      <c r="DE888" s="158">
        <v>60.325000000000003</v>
      </c>
      <c r="DF888" s="120">
        <f>(DG888+DE888)/2</f>
        <v>61.177000000000007</v>
      </c>
      <c r="DG888" s="159">
        <v>62.029000000000003</v>
      </c>
    </row>
    <row r="889" spans="54:111" ht="15" customHeight="1" x14ac:dyDescent="0.2">
      <c r="BB889" s="28">
        <v>35</v>
      </c>
      <c r="BC889" s="121">
        <v>10.526</v>
      </c>
      <c r="BD889" s="121">
        <v>11.7835</v>
      </c>
      <c r="BE889" s="121">
        <v>13.041</v>
      </c>
      <c r="BF889" s="121">
        <v>14.190999999999999</v>
      </c>
      <c r="BG889" s="121">
        <v>15.341000000000001</v>
      </c>
      <c r="BH889" s="121">
        <v>16.43525</v>
      </c>
      <c r="BI889" s="121">
        <v>17.529499999999999</v>
      </c>
      <c r="BJ889" s="121">
        <v>18.591249999999999</v>
      </c>
      <c r="BK889" s="121">
        <v>19.652999999999999</v>
      </c>
      <c r="BL889" s="121">
        <v>20.685750000000002</v>
      </c>
      <c r="BM889" s="121">
        <v>21.718499999999999</v>
      </c>
      <c r="BN889" s="121">
        <v>22.708500000000001</v>
      </c>
      <c r="BO889" s="121">
        <v>23.698500000000003</v>
      </c>
      <c r="BP889" s="121">
        <v>24.712250000000001</v>
      </c>
      <c r="BQ889" s="121">
        <v>25.725999999999999</v>
      </c>
      <c r="BR889" s="121">
        <v>26.678750000000001</v>
      </c>
      <c r="BS889" s="121">
        <v>27.631500000000003</v>
      </c>
      <c r="BT889" s="121">
        <v>28.6</v>
      </c>
      <c r="BU889" s="121">
        <v>29.5685</v>
      </c>
      <c r="BV889" s="121">
        <v>30.509999999999998</v>
      </c>
      <c r="BW889" s="121">
        <v>31.451499999999999</v>
      </c>
      <c r="BX889" s="121">
        <v>32.397999999999996</v>
      </c>
      <c r="BY889" s="121">
        <v>33.344499999999996</v>
      </c>
      <c r="BZ889" s="121">
        <v>34.264750000000006</v>
      </c>
      <c r="CA889" s="121">
        <v>35.185000000000002</v>
      </c>
      <c r="CB889" s="121">
        <v>36.10575</v>
      </c>
      <c r="CC889" s="121">
        <v>37.026499999999999</v>
      </c>
      <c r="CD889" s="121">
        <v>37.936499999999995</v>
      </c>
      <c r="CE889" s="121">
        <v>38.846499999999999</v>
      </c>
      <c r="CF889" s="121">
        <v>39.747999999999998</v>
      </c>
      <c r="CG889" s="121">
        <f t="array" ref="CG889:CG914">TRANSPOSE(CH888:DG888)</f>
        <v>40.649500000000003</v>
      </c>
      <c r="CH889" s="120">
        <f>(CG889+CI889)/2</f>
        <v>41.554250000000003</v>
      </c>
      <c r="CI889" s="120">
        <f>(CI888+CI890)/2</f>
        <v>42.459000000000003</v>
      </c>
      <c r="CJ889" s="120">
        <f>(CI889+CK889)/2</f>
        <v>43.363500000000002</v>
      </c>
      <c r="CK889" s="120">
        <f>(CK888+CK890)/2</f>
        <v>44.268000000000001</v>
      </c>
      <c r="CL889" s="120">
        <f>(CK889+CM889)/2</f>
        <v>45.158500000000004</v>
      </c>
      <c r="CM889" s="120">
        <f>(CM888+CM890)/2</f>
        <v>46.048999999999999</v>
      </c>
      <c r="CN889" s="120">
        <f>(CM889+CO889)/2</f>
        <v>46.917749999999998</v>
      </c>
      <c r="CO889" s="120">
        <f>(CO888+CO890)/2</f>
        <v>47.786500000000004</v>
      </c>
      <c r="CP889" s="120">
        <f>(CO889+CQ889)/2</f>
        <v>48.691000000000003</v>
      </c>
      <c r="CQ889" s="120">
        <f>(CQ888+CQ890)/2</f>
        <v>49.595500000000001</v>
      </c>
      <c r="CR889" s="120">
        <f>(CQ889+CS889)/2</f>
        <v>50.468500000000006</v>
      </c>
      <c r="CS889" s="120">
        <f>(CS888+CS890)/2</f>
        <v>51.341500000000003</v>
      </c>
      <c r="CT889" s="120">
        <f>(CS889+CU889)/2</f>
        <v>52.183750000000003</v>
      </c>
      <c r="CU889" s="120">
        <f>(CU888+CU890)/2</f>
        <v>53.025999999999996</v>
      </c>
      <c r="CV889" s="120">
        <f>(CU889+CW889)/2</f>
        <v>53.930250000000001</v>
      </c>
      <c r="CW889" s="120">
        <f>(CW888+CW890)/2</f>
        <v>54.834500000000006</v>
      </c>
      <c r="CX889" s="120">
        <f>(CW889+CY889)/2</f>
        <v>55.691000000000003</v>
      </c>
      <c r="CY889" s="120">
        <f>(CY888+CY890)/2</f>
        <v>56.547499999999999</v>
      </c>
      <c r="CZ889" s="120">
        <f>(CY889+DA889)/2</f>
        <v>57.41675</v>
      </c>
      <c r="DA889" s="120">
        <f>(DA888+DA890)/2</f>
        <v>58.286000000000001</v>
      </c>
      <c r="DB889" s="120">
        <f>(DA889+DC889)/2</f>
        <v>59.131999999999998</v>
      </c>
      <c r="DC889" s="120">
        <f>(DC888+DC890)/2</f>
        <v>59.977999999999994</v>
      </c>
      <c r="DD889" s="120">
        <f>(DC889+DE889)/2</f>
        <v>60.866500000000002</v>
      </c>
      <c r="DE889" s="120">
        <f>(DE888+DE890)/2</f>
        <v>61.755000000000003</v>
      </c>
      <c r="DF889" s="120">
        <f>(DE889+DG889)/2</f>
        <v>62.608249999999998</v>
      </c>
      <c r="DG889" s="122">
        <f>(DG888+DG890)/2</f>
        <v>63.461500000000001</v>
      </c>
    </row>
    <row r="890" spans="54:111" ht="15" customHeight="1" x14ac:dyDescent="0.2">
      <c r="BB890" s="28">
        <v>36</v>
      </c>
      <c r="BC890" s="121">
        <v>10.727</v>
      </c>
      <c r="BD890" s="121">
        <v>12.0275</v>
      </c>
      <c r="BE890" s="121">
        <v>13.327999999999999</v>
      </c>
      <c r="BF890" s="121">
        <v>14.477499999999999</v>
      </c>
      <c r="BG890" s="121">
        <v>15.627000000000001</v>
      </c>
      <c r="BH890" s="121">
        <v>16.7605</v>
      </c>
      <c r="BI890" s="121">
        <v>17.893999999999998</v>
      </c>
      <c r="BJ890" s="121">
        <v>18.978999999999999</v>
      </c>
      <c r="BK890" s="121">
        <v>20.064</v>
      </c>
      <c r="BL890" s="121">
        <v>21.107500000000002</v>
      </c>
      <c r="BM890" s="121">
        <v>22.151</v>
      </c>
      <c r="BN890" s="121">
        <v>23.172000000000001</v>
      </c>
      <c r="BO890" s="121">
        <v>24.193000000000001</v>
      </c>
      <c r="BP890" s="121">
        <v>25.237000000000002</v>
      </c>
      <c r="BQ890" s="121">
        <v>26.280999999999999</v>
      </c>
      <c r="BR890" s="121">
        <v>27.238</v>
      </c>
      <c r="BS890" s="121">
        <v>28.195</v>
      </c>
      <c r="BT890" s="121">
        <v>29.206</v>
      </c>
      <c r="BU890" s="121">
        <v>30.216999999999999</v>
      </c>
      <c r="BV890" s="121">
        <v>31.173999999999999</v>
      </c>
      <c r="BW890" s="121">
        <v>32.131</v>
      </c>
      <c r="BX890" s="121">
        <v>33.103499999999997</v>
      </c>
      <c r="BY890" s="121">
        <v>34.076000000000001</v>
      </c>
      <c r="BZ890" s="121">
        <v>35.001000000000005</v>
      </c>
      <c r="CA890" s="121">
        <v>35.926000000000002</v>
      </c>
      <c r="CB890" s="121">
        <v>36.873000000000005</v>
      </c>
      <c r="CC890" s="121">
        <v>37.82</v>
      </c>
      <c r="CD890" s="121">
        <v>38.745999999999995</v>
      </c>
      <c r="CE890" s="121">
        <v>39.671999999999997</v>
      </c>
      <c r="CF890" s="121">
        <v>40.619</v>
      </c>
      <c r="CG890" s="121">
        <v>41.566000000000003</v>
      </c>
      <c r="CH890" s="121">
        <f t="array" ref="CH890:CH914">TRANSPOSE(CI889:DG889)</f>
        <v>42.459000000000003</v>
      </c>
      <c r="CI890" s="158">
        <v>43.351999999999997</v>
      </c>
      <c r="CJ890" s="120">
        <f>(CK890+CI890)/2</f>
        <v>44.298999999999999</v>
      </c>
      <c r="CK890" s="158">
        <v>45.246000000000002</v>
      </c>
      <c r="CL890" s="120">
        <f>(CM890+CK890)/2</f>
        <v>46.170999999999999</v>
      </c>
      <c r="CM890" s="158">
        <v>47.095999999999997</v>
      </c>
      <c r="CN890" s="120">
        <f>(CO890+CM890)/2</f>
        <v>47.971999999999994</v>
      </c>
      <c r="CO890" s="158">
        <v>48.847999999999999</v>
      </c>
      <c r="CP890" s="120">
        <f>(CQ890+CO890)/2</f>
        <v>49.772999999999996</v>
      </c>
      <c r="CQ890" s="158">
        <v>50.698</v>
      </c>
      <c r="CR890" s="120">
        <f>(CS890+CQ890)/2</f>
        <v>51.581500000000005</v>
      </c>
      <c r="CS890" s="158">
        <v>52.465000000000003</v>
      </c>
      <c r="CT890" s="120">
        <f>(CU890+CS890)/2</f>
        <v>53.326000000000001</v>
      </c>
      <c r="CU890" s="158">
        <v>54.186999999999998</v>
      </c>
      <c r="CV890" s="120">
        <f>(CW890+CU890)/2</f>
        <v>55.134</v>
      </c>
      <c r="CW890" s="158">
        <v>56.081000000000003</v>
      </c>
      <c r="CX890" s="120">
        <f>(CY890+CW890)/2</f>
        <v>56.941500000000005</v>
      </c>
      <c r="CY890" s="158">
        <v>57.802</v>
      </c>
      <c r="CZ890" s="120">
        <f>(DA890+CY890)/2</f>
        <v>58.685000000000002</v>
      </c>
      <c r="DA890" s="158">
        <v>59.567999999999998</v>
      </c>
      <c r="DB890" s="120">
        <f>(DC890+DA890)/2</f>
        <v>60.429499999999997</v>
      </c>
      <c r="DC890" s="158">
        <v>61.290999999999997</v>
      </c>
      <c r="DD890" s="120">
        <f>(DE890+DC890)/2</f>
        <v>62.238</v>
      </c>
      <c r="DE890" s="158">
        <v>63.185000000000002</v>
      </c>
      <c r="DF890" s="120">
        <f>(DG890+DE890)/2</f>
        <v>64.039500000000004</v>
      </c>
      <c r="DG890" s="159">
        <v>64.894000000000005</v>
      </c>
    </row>
    <row r="891" spans="54:111" ht="15" customHeight="1" x14ac:dyDescent="0.2">
      <c r="BB891" s="28">
        <v>37</v>
      </c>
      <c r="BC891" s="121">
        <v>10.943999999999999</v>
      </c>
      <c r="BD891" s="121">
        <v>12.248749999999999</v>
      </c>
      <c r="BE891" s="121">
        <v>13.5535</v>
      </c>
      <c r="BF891" s="121">
        <v>14.7455</v>
      </c>
      <c r="BG891" s="121">
        <v>15.9375</v>
      </c>
      <c r="BH891" s="121">
        <v>17.089750000000002</v>
      </c>
      <c r="BI891" s="121">
        <v>18.241999999999997</v>
      </c>
      <c r="BJ891" s="121">
        <v>19.353749999999998</v>
      </c>
      <c r="BK891" s="121">
        <v>20.465499999999999</v>
      </c>
      <c r="BL891" s="121">
        <v>21.529250000000001</v>
      </c>
      <c r="BM891" s="121">
        <v>22.593</v>
      </c>
      <c r="BN891" s="121">
        <v>23.640750000000001</v>
      </c>
      <c r="BO891" s="121">
        <v>24.688500000000001</v>
      </c>
      <c r="BP891" s="121">
        <v>25.747500000000002</v>
      </c>
      <c r="BQ891" s="121">
        <v>26.8065</v>
      </c>
      <c r="BR891" s="121">
        <v>27.806249999999999</v>
      </c>
      <c r="BS891" s="121">
        <v>28.806000000000001</v>
      </c>
      <c r="BT891" s="121">
        <v>29.805500000000002</v>
      </c>
      <c r="BU891" s="121">
        <v>30.805</v>
      </c>
      <c r="BV891" s="121">
        <v>31.788499999999999</v>
      </c>
      <c r="BW891" s="121">
        <v>32.771999999999998</v>
      </c>
      <c r="BX891" s="121">
        <v>33.766249999999999</v>
      </c>
      <c r="BY891" s="121">
        <v>34.7605</v>
      </c>
      <c r="BZ891" s="121">
        <v>35.728000000000002</v>
      </c>
      <c r="CA891" s="121">
        <v>36.695500000000003</v>
      </c>
      <c r="CB891" s="121">
        <v>37.647000000000006</v>
      </c>
      <c r="CC891" s="121">
        <v>38.598500000000001</v>
      </c>
      <c r="CD891" s="121">
        <v>39.550750000000001</v>
      </c>
      <c r="CE891" s="121">
        <v>40.503</v>
      </c>
      <c r="CF891" s="121">
        <v>41.465499999999999</v>
      </c>
      <c r="CG891" s="121">
        <v>42.427999999999997</v>
      </c>
      <c r="CH891" s="121">
        <v>43.363500000000002</v>
      </c>
      <c r="CI891" s="121">
        <f t="array" ref="CI891:CI914">TRANSPOSE(CJ890:DG890)</f>
        <v>44.298999999999999</v>
      </c>
      <c r="CJ891" s="120">
        <f>(CI891+CK891)/2</f>
        <v>45.250500000000002</v>
      </c>
      <c r="CK891" s="120">
        <f>(CK890+CK892)/2</f>
        <v>46.201999999999998</v>
      </c>
      <c r="CL891" s="120">
        <f>(CK891+CM891)/2</f>
        <v>47.121249999999996</v>
      </c>
      <c r="CM891" s="120">
        <f>(CM890+CM892)/2</f>
        <v>48.040499999999994</v>
      </c>
      <c r="CN891" s="120">
        <f>(CM891+CO891)/2</f>
        <v>48.967500000000001</v>
      </c>
      <c r="CO891" s="120">
        <f>(CO890+CO892)/2</f>
        <v>49.894500000000001</v>
      </c>
      <c r="CP891" s="120">
        <f>(CO891+CQ891)/2</f>
        <v>50.846000000000004</v>
      </c>
      <c r="CQ891" s="120">
        <f>(CQ890+CQ892)/2</f>
        <v>51.797499999999999</v>
      </c>
      <c r="CR891" s="120">
        <f>(CQ891+CS891)/2</f>
        <v>52.685249999999996</v>
      </c>
      <c r="CS891" s="120">
        <f>(CS890+CS892)/2</f>
        <v>53.573</v>
      </c>
      <c r="CT891" s="120">
        <f>(CS891+CU891)/2</f>
        <v>54.460250000000002</v>
      </c>
      <c r="CU891" s="120">
        <f>(CU890+CU892)/2</f>
        <v>55.347499999999997</v>
      </c>
      <c r="CV891" s="120">
        <f>(CU891+CW891)/2</f>
        <v>56.31</v>
      </c>
      <c r="CW891" s="120">
        <f>(CW890+CW892)/2</f>
        <v>57.272500000000001</v>
      </c>
      <c r="CX891" s="120">
        <f>(CW891+CY891)/2</f>
        <v>58.159750000000003</v>
      </c>
      <c r="CY891" s="120">
        <f>(CY890+CY892)/2</f>
        <v>59.046999999999997</v>
      </c>
      <c r="CZ891" s="120">
        <f>(CY891+DA891)/2</f>
        <v>59.9345</v>
      </c>
      <c r="DA891" s="120">
        <f>(DA890+DA892)/2</f>
        <v>60.822000000000003</v>
      </c>
      <c r="DB891" s="120">
        <f>(DA891+DC891)/2</f>
        <v>61.741749999999996</v>
      </c>
      <c r="DC891" s="120">
        <f>(DC890+DC892)/2</f>
        <v>62.661499999999997</v>
      </c>
      <c r="DD891" s="120">
        <f>(DC891+DE891)/2</f>
        <v>63.59174999999999</v>
      </c>
      <c r="DE891" s="120">
        <f>(DE890+DE892)/2</f>
        <v>64.521999999999991</v>
      </c>
      <c r="DF891" s="120">
        <f>(DE891+DG891)/2</f>
        <v>65.40625</v>
      </c>
      <c r="DG891" s="122">
        <f>(DG890+DG892)/2</f>
        <v>66.290500000000009</v>
      </c>
    </row>
    <row r="892" spans="54:111" ht="15" customHeight="1" x14ac:dyDescent="0.2">
      <c r="BB892" s="28">
        <v>38</v>
      </c>
      <c r="BC892" s="121">
        <v>11.161</v>
      </c>
      <c r="BD892" s="121">
        <v>12.469999999999999</v>
      </c>
      <c r="BE892" s="121">
        <v>13.779</v>
      </c>
      <c r="BF892" s="121">
        <v>15.013500000000001</v>
      </c>
      <c r="BG892" s="121">
        <v>16.248000000000001</v>
      </c>
      <c r="BH892" s="121">
        <v>17.419</v>
      </c>
      <c r="BI892" s="121">
        <v>18.59</v>
      </c>
      <c r="BJ892" s="121">
        <v>19.7285</v>
      </c>
      <c r="BK892" s="121">
        <v>20.867000000000001</v>
      </c>
      <c r="BL892" s="121">
        <v>21.951000000000001</v>
      </c>
      <c r="BM892" s="121">
        <v>23.035</v>
      </c>
      <c r="BN892" s="121">
        <v>24.109500000000001</v>
      </c>
      <c r="BO892" s="121">
        <v>25.184000000000001</v>
      </c>
      <c r="BP892" s="121">
        <v>26.258000000000003</v>
      </c>
      <c r="BQ892" s="121">
        <v>27.332000000000001</v>
      </c>
      <c r="BR892" s="121">
        <v>28.374500000000001</v>
      </c>
      <c r="BS892" s="121">
        <v>29.417000000000002</v>
      </c>
      <c r="BT892" s="121">
        <v>30.405000000000001</v>
      </c>
      <c r="BU892" s="121">
        <v>31.393000000000001</v>
      </c>
      <c r="BV892" s="121">
        <v>32.402999999999999</v>
      </c>
      <c r="BW892" s="121">
        <v>33.412999999999997</v>
      </c>
      <c r="BX892" s="121">
        <v>34.429000000000002</v>
      </c>
      <c r="BY892" s="121">
        <v>35.445</v>
      </c>
      <c r="BZ892" s="121">
        <v>36.454999999999998</v>
      </c>
      <c r="CA892" s="121">
        <v>37.465000000000003</v>
      </c>
      <c r="CB892" s="121">
        <v>38.421000000000006</v>
      </c>
      <c r="CC892" s="121">
        <v>39.377000000000002</v>
      </c>
      <c r="CD892" s="121">
        <v>40.355500000000006</v>
      </c>
      <c r="CE892" s="121">
        <v>41.334000000000003</v>
      </c>
      <c r="CF892" s="121">
        <v>42.311999999999998</v>
      </c>
      <c r="CG892" s="121">
        <v>43.29</v>
      </c>
      <c r="CH892" s="121">
        <v>44.268000000000001</v>
      </c>
      <c r="CI892" s="121">
        <v>45.246000000000002</v>
      </c>
      <c r="CJ892" s="121">
        <f t="array" ref="CJ892:CJ914">TRANSPOSE(CK891:DG891)</f>
        <v>46.201999999999998</v>
      </c>
      <c r="CK892" s="158">
        <v>47.158000000000001</v>
      </c>
      <c r="CL892" s="120">
        <f>(CM892+CK892)/2</f>
        <v>48.0715</v>
      </c>
      <c r="CM892" s="158">
        <v>48.984999999999999</v>
      </c>
      <c r="CN892" s="120">
        <f>(CO892+CM892)/2</f>
        <v>49.963000000000001</v>
      </c>
      <c r="CO892" s="158">
        <v>50.941000000000003</v>
      </c>
      <c r="CP892" s="120">
        <f>(CQ892+CO892)/2</f>
        <v>51.918999999999997</v>
      </c>
      <c r="CQ892" s="158">
        <v>52.896999999999998</v>
      </c>
      <c r="CR892" s="120">
        <f>(CS892+CQ892)/2</f>
        <v>53.789000000000001</v>
      </c>
      <c r="CS892" s="158">
        <v>54.680999999999997</v>
      </c>
      <c r="CT892" s="120">
        <f>(CU892+CS892)/2</f>
        <v>55.594499999999996</v>
      </c>
      <c r="CU892" s="158">
        <v>56.508000000000003</v>
      </c>
      <c r="CV892" s="120">
        <f>(CW892+CU892)/2</f>
        <v>57.486000000000004</v>
      </c>
      <c r="CW892" s="158">
        <v>58.463999999999999</v>
      </c>
      <c r="CX892" s="120">
        <f>(CY892+CW892)/2</f>
        <v>59.378</v>
      </c>
      <c r="CY892" s="158">
        <v>60.292000000000002</v>
      </c>
      <c r="CZ892" s="120">
        <f>(DA892+CY892)/2</f>
        <v>61.183999999999997</v>
      </c>
      <c r="DA892" s="158">
        <v>62.076000000000001</v>
      </c>
      <c r="DB892" s="120">
        <f>(DC892+DA892)/2</f>
        <v>63.054000000000002</v>
      </c>
      <c r="DC892" s="158">
        <v>64.031999999999996</v>
      </c>
      <c r="DD892" s="120">
        <f>(DE892+DC892)/2</f>
        <v>64.945499999999996</v>
      </c>
      <c r="DE892" s="158">
        <v>65.858999999999995</v>
      </c>
      <c r="DF892" s="120">
        <f>(DG892+DE892)/2</f>
        <v>66.772999999999996</v>
      </c>
      <c r="DG892" s="159">
        <v>67.686999999999998</v>
      </c>
    </row>
    <row r="893" spans="54:111" ht="15" customHeight="1" x14ac:dyDescent="0.2">
      <c r="BB893" s="28">
        <v>39</v>
      </c>
      <c r="BC893" s="121">
        <v>11.3565</v>
      </c>
      <c r="BD893" s="121">
        <v>12.710999999999999</v>
      </c>
      <c r="BE893" s="121">
        <v>14.0655</v>
      </c>
      <c r="BF893" s="121">
        <v>15.315750000000001</v>
      </c>
      <c r="BG893" s="121">
        <v>16.566000000000003</v>
      </c>
      <c r="BH893" s="121">
        <v>17.75225</v>
      </c>
      <c r="BI893" s="121">
        <v>18.938499999999998</v>
      </c>
      <c r="BJ893" s="121">
        <v>20.09225</v>
      </c>
      <c r="BK893" s="121">
        <v>21.246000000000002</v>
      </c>
      <c r="BL893" s="121">
        <v>22.356749999999998</v>
      </c>
      <c r="BM893" s="121">
        <v>23.467500000000001</v>
      </c>
      <c r="BN893" s="121">
        <v>24.576500000000003</v>
      </c>
      <c r="BO893" s="121">
        <v>25.685500000000001</v>
      </c>
      <c r="BP893" s="121">
        <v>26.759</v>
      </c>
      <c r="BQ893" s="121">
        <v>27.8325</v>
      </c>
      <c r="BR893" s="121">
        <v>28.90625</v>
      </c>
      <c r="BS893" s="121">
        <v>29.98</v>
      </c>
      <c r="BT893" s="121">
        <v>30.994250000000001</v>
      </c>
      <c r="BU893" s="121">
        <v>32.008499999999998</v>
      </c>
      <c r="BV893" s="121">
        <v>33.050250000000005</v>
      </c>
      <c r="BW893" s="121">
        <v>34.091999999999999</v>
      </c>
      <c r="BX893" s="121">
        <v>35.123750000000001</v>
      </c>
      <c r="BY893" s="121">
        <v>36.155500000000004</v>
      </c>
      <c r="BZ893" s="121">
        <v>37.180750000000003</v>
      </c>
      <c r="CA893" s="121">
        <v>38.206000000000003</v>
      </c>
      <c r="CB893" s="121">
        <v>39.188750000000006</v>
      </c>
      <c r="CC893" s="121">
        <v>40.171500000000002</v>
      </c>
      <c r="CD893" s="121">
        <v>41.16525</v>
      </c>
      <c r="CE893" s="121">
        <v>42.159000000000006</v>
      </c>
      <c r="CF893" s="121">
        <v>43.152500000000003</v>
      </c>
      <c r="CG893" s="121">
        <v>44.146000000000001</v>
      </c>
      <c r="CH893" s="121">
        <v>45.158500000000004</v>
      </c>
      <c r="CI893" s="121">
        <v>46.170999999999999</v>
      </c>
      <c r="CJ893" s="121">
        <v>47.121249999999996</v>
      </c>
      <c r="CK893" s="121">
        <f t="array" ref="CK893:CK914">TRANSPOSE(CL892:DG892)</f>
        <v>48.0715</v>
      </c>
      <c r="CL893" s="120">
        <f>(CK893+CM893)/2</f>
        <v>49.03275</v>
      </c>
      <c r="CM893" s="120">
        <f>(CM892+CM894)/2</f>
        <v>49.994</v>
      </c>
      <c r="CN893" s="120">
        <f>(CM893+CO893)/2</f>
        <v>50.987250000000003</v>
      </c>
      <c r="CO893" s="120">
        <f>(CO892+CO894)/2</f>
        <v>51.980500000000006</v>
      </c>
      <c r="CP893" s="120">
        <f>(CO893+CQ893)/2</f>
        <v>52.942</v>
      </c>
      <c r="CQ893" s="120">
        <f>(CQ892+CQ894)/2</f>
        <v>53.903499999999994</v>
      </c>
      <c r="CR893" s="120">
        <f>(CQ893+CS893)/2</f>
        <v>54.857249999999993</v>
      </c>
      <c r="CS893" s="120">
        <f>(CS892+CS894)/2</f>
        <v>55.811</v>
      </c>
      <c r="CT893" s="120">
        <f>(CS893+CU893)/2</f>
        <v>56.739999999999995</v>
      </c>
      <c r="CU893" s="120">
        <f>(CU892+CU894)/2</f>
        <v>57.668999999999997</v>
      </c>
      <c r="CV893" s="120">
        <f>(CU893+CW893)/2</f>
        <v>58.662749999999996</v>
      </c>
      <c r="CW893" s="120">
        <f>(CW892+CW894)/2</f>
        <v>59.656499999999994</v>
      </c>
      <c r="CX893" s="120">
        <f>(CW893+CY893)/2</f>
        <v>60.585749999999997</v>
      </c>
      <c r="CY893" s="120">
        <f>(CY892+CY894)/2</f>
        <v>61.515000000000001</v>
      </c>
      <c r="CZ893" s="120">
        <f>(CY893+DA893)/2</f>
        <v>62.465249999999997</v>
      </c>
      <c r="DA893" s="120">
        <f>(DA892+DA894)/2</f>
        <v>63.415499999999994</v>
      </c>
      <c r="DB893" s="120">
        <f>(DA893+DC893)/2</f>
        <v>64.38024999999999</v>
      </c>
      <c r="DC893" s="120">
        <f>(DC892+DC894)/2</f>
        <v>65.344999999999999</v>
      </c>
      <c r="DD893" s="120">
        <f>(DC893+DE893)/2</f>
        <v>66.274000000000001</v>
      </c>
      <c r="DE893" s="120">
        <f>(DE892+DE894)/2</f>
        <v>67.203000000000003</v>
      </c>
      <c r="DF893" s="120">
        <f>(DE893+DG893)/2</f>
        <v>68.132249999999999</v>
      </c>
      <c r="DG893" s="122">
        <f>(DG892+DG894)/2</f>
        <v>69.061499999999995</v>
      </c>
    </row>
    <row r="894" spans="54:111" ht="15" customHeight="1" x14ac:dyDescent="0.2">
      <c r="BB894" s="28">
        <v>40</v>
      </c>
      <c r="BC894" s="121">
        <v>11.552</v>
      </c>
      <c r="BD894" s="121">
        <v>12.952</v>
      </c>
      <c r="BE894" s="121">
        <v>14.352</v>
      </c>
      <c r="BF894" s="121">
        <v>15.618</v>
      </c>
      <c r="BG894" s="121">
        <v>16.884</v>
      </c>
      <c r="BH894" s="121">
        <v>18.0855</v>
      </c>
      <c r="BI894" s="121">
        <v>19.286999999999999</v>
      </c>
      <c r="BJ894" s="121">
        <v>20.456</v>
      </c>
      <c r="BK894" s="121">
        <v>21.625</v>
      </c>
      <c r="BL894" s="121">
        <v>22.762499999999999</v>
      </c>
      <c r="BM894" s="121">
        <v>23.9</v>
      </c>
      <c r="BN894" s="121">
        <v>25.043500000000002</v>
      </c>
      <c r="BO894" s="121">
        <v>26.187000000000001</v>
      </c>
      <c r="BP894" s="121">
        <v>27.259999999999998</v>
      </c>
      <c r="BQ894" s="121">
        <v>28.332999999999998</v>
      </c>
      <c r="BR894" s="121">
        <v>29.437999999999999</v>
      </c>
      <c r="BS894" s="121">
        <v>30.542999999999999</v>
      </c>
      <c r="BT894" s="121">
        <v>31.583500000000001</v>
      </c>
      <c r="BU894" s="121">
        <v>32.624000000000002</v>
      </c>
      <c r="BV894" s="121">
        <v>33.697500000000005</v>
      </c>
      <c r="BW894" s="121">
        <v>34.771000000000001</v>
      </c>
      <c r="BX894" s="121">
        <v>35.8185</v>
      </c>
      <c r="BY894" s="121">
        <v>36.866</v>
      </c>
      <c r="BZ894" s="121">
        <v>37.906500000000001</v>
      </c>
      <c r="CA894" s="121">
        <v>38.947000000000003</v>
      </c>
      <c r="CB894" s="121">
        <v>39.956500000000005</v>
      </c>
      <c r="CC894" s="121">
        <v>40.966000000000001</v>
      </c>
      <c r="CD894" s="121">
        <v>41.975000000000001</v>
      </c>
      <c r="CE894" s="121">
        <v>42.984000000000002</v>
      </c>
      <c r="CF894" s="121">
        <v>43.993000000000002</v>
      </c>
      <c r="CG894" s="121">
        <v>45.002000000000002</v>
      </c>
      <c r="CH894" s="121">
        <v>46.048999999999999</v>
      </c>
      <c r="CI894" s="121">
        <v>47.095999999999997</v>
      </c>
      <c r="CJ894" s="121">
        <v>48.040499999999994</v>
      </c>
      <c r="CK894" s="121">
        <v>48.984999999999999</v>
      </c>
      <c r="CL894" s="121">
        <f t="array" ref="CL894:CL914">TRANSPOSE(CM893:DG893)</f>
        <v>49.994</v>
      </c>
      <c r="CM894" s="158">
        <v>51.003</v>
      </c>
      <c r="CN894" s="120">
        <f>(CO894+CM894)/2</f>
        <v>52.011499999999998</v>
      </c>
      <c r="CO894" s="158">
        <v>53.02</v>
      </c>
      <c r="CP894" s="120">
        <f>(CQ894+CO894)/2</f>
        <v>53.965000000000003</v>
      </c>
      <c r="CQ894" s="158">
        <v>54.91</v>
      </c>
      <c r="CR894" s="120">
        <f>(CS894+CQ894)/2</f>
        <v>55.9255</v>
      </c>
      <c r="CS894" s="158">
        <v>56.941000000000003</v>
      </c>
      <c r="CT894" s="120">
        <f>(CU894+CS894)/2</f>
        <v>57.8855</v>
      </c>
      <c r="CU894" s="158">
        <v>58.83</v>
      </c>
      <c r="CV894" s="120">
        <f>(CW894+CU894)/2</f>
        <v>59.839500000000001</v>
      </c>
      <c r="CW894" s="158">
        <v>60.848999999999997</v>
      </c>
      <c r="CX894" s="120">
        <f>(CY894+CW894)/2</f>
        <v>61.793499999999995</v>
      </c>
      <c r="CY894" s="158">
        <v>62.738</v>
      </c>
      <c r="CZ894" s="120">
        <f>(DA894+CY894)/2</f>
        <v>63.746499999999997</v>
      </c>
      <c r="DA894" s="158">
        <v>64.754999999999995</v>
      </c>
      <c r="DB894" s="120">
        <f>(DC894+DA894)/2</f>
        <v>65.706500000000005</v>
      </c>
      <c r="DC894" s="158">
        <v>66.658000000000001</v>
      </c>
      <c r="DD894" s="120">
        <f>(DE894+DC894)/2</f>
        <v>67.602499999999992</v>
      </c>
      <c r="DE894" s="158">
        <v>68.546999999999997</v>
      </c>
      <c r="DF894" s="120">
        <f>(DG894+DE894)/2</f>
        <v>69.491500000000002</v>
      </c>
      <c r="DG894" s="159">
        <v>70.436000000000007</v>
      </c>
    </row>
    <row r="895" spans="54:111" ht="15" customHeight="1" x14ac:dyDescent="0.2">
      <c r="BB895" s="28">
        <v>41</v>
      </c>
      <c r="BC895" s="121">
        <v>11.775500000000001</v>
      </c>
      <c r="BD895" s="121">
        <v>13.187999999999999</v>
      </c>
      <c r="BE895" s="121">
        <v>14.6005</v>
      </c>
      <c r="BF895" s="121">
        <v>15.881499999999999</v>
      </c>
      <c r="BG895" s="121">
        <v>17.162500000000001</v>
      </c>
      <c r="BH895" s="121">
        <v>18.39875</v>
      </c>
      <c r="BI895" s="121">
        <v>19.634999999999998</v>
      </c>
      <c r="BJ895" s="121">
        <v>20.830750000000002</v>
      </c>
      <c r="BK895" s="121">
        <v>22.026499999999999</v>
      </c>
      <c r="BL895" s="121">
        <v>23.198749999999997</v>
      </c>
      <c r="BM895" s="121">
        <v>24.370999999999999</v>
      </c>
      <c r="BN895" s="121">
        <v>25.5105</v>
      </c>
      <c r="BO895" s="121">
        <v>26.65</v>
      </c>
      <c r="BP895" s="121">
        <v>27.754249999999999</v>
      </c>
      <c r="BQ895" s="121">
        <v>28.858499999999999</v>
      </c>
      <c r="BR895" s="121">
        <v>29.993499999999997</v>
      </c>
      <c r="BS895" s="121">
        <v>31.128499999999999</v>
      </c>
      <c r="BT895" s="121">
        <v>32.1845</v>
      </c>
      <c r="BU895" s="121">
        <v>33.240499999999997</v>
      </c>
      <c r="BV895" s="121">
        <v>34.329250000000002</v>
      </c>
      <c r="BW895" s="121">
        <v>35.417999999999999</v>
      </c>
      <c r="BX895" s="121">
        <v>36.48075</v>
      </c>
      <c r="BY895" s="121">
        <v>37.543499999999995</v>
      </c>
      <c r="BZ895" s="121">
        <v>38.611000000000004</v>
      </c>
      <c r="CA895" s="121">
        <v>39.6785</v>
      </c>
      <c r="CB895" s="121">
        <v>40.719250000000002</v>
      </c>
      <c r="CC895" s="121">
        <v>41.760000000000005</v>
      </c>
      <c r="CD895" s="121">
        <v>42.787500000000001</v>
      </c>
      <c r="CE895" s="121">
        <v>43.814999999999998</v>
      </c>
      <c r="CF895" s="121">
        <v>44.839250000000007</v>
      </c>
      <c r="CG895" s="121">
        <v>45.863500000000002</v>
      </c>
      <c r="CH895" s="121">
        <v>46.917749999999998</v>
      </c>
      <c r="CI895" s="121">
        <v>47.971999999999994</v>
      </c>
      <c r="CJ895" s="121">
        <v>48.967500000000001</v>
      </c>
      <c r="CK895" s="121">
        <v>49.963000000000001</v>
      </c>
      <c r="CL895" s="121">
        <v>50.987250000000003</v>
      </c>
      <c r="CM895" s="121">
        <f t="array" ref="CM895:CM914">TRANSPOSE(CN894:DG894)</f>
        <v>52.011499999999998</v>
      </c>
      <c r="CN895" s="120">
        <f>(CM895+CO895)/2</f>
        <v>53.039000000000001</v>
      </c>
      <c r="CO895" s="120">
        <f>(CO894+CO896)/2</f>
        <v>54.066500000000005</v>
      </c>
      <c r="CP895" s="120">
        <f>(CO895+CQ895)/2</f>
        <v>55.037750000000003</v>
      </c>
      <c r="CQ895" s="120">
        <f>(CQ894+CQ896)/2</f>
        <v>56.009</v>
      </c>
      <c r="CR895" s="120">
        <f>(CQ895+CS895)/2</f>
        <v>57.036749999999998</v>
      </c>
      <c r="CS895" s="120">
        <f>(CS894+CS896)/2</f>
        <v>58.064500000000002</v>
      </c>
      <c r="CT895" s="120">
        <f>(CS895+CU895)/2</f>
        <v>59.028000000000006</v>
      </c>
      <c r="CU895" s="120">
        <f>(CU894+CU896)/2</f>
        <v>59.991500000000002</v>
      </c>
      <c r="CV895" s="120">
        <f>(CU895+CW895)/2</f>
        <v>61.015749999999997</v>
      </c>
      <c r="CW895" s="120">
        <f>(CW894+CW896)/2</f>
        <v>62.04</v>
      </c>
      <c r="CX895" s="120">
        <f>(CW895+CY895)/2</f>
        <v>63.011250000000004</v>
      </c>
      <c r="CY895" s="120">
        <f>(CY894+CY896)/2</f>
        <v>63.982500000000002</v>
      </c>
      <c r="CZ895" s="120">
        <f>(CY895+DA895)/2</f>
        <v>65.009749999999997</v>
      </c>
      <c r="DA895" s="120">
        <f>(DA894+DA896)/2</f>
        <v>66.037000000000006</v>
      </c>
      <c r="DB895" s="120">
        <f>(DA895+DC895)/2</f>
        <v>67.000750000000011</v>
      </c>
      <c r="DC895" s="120">
        <f>(DC894+DC896)/2</f>
        <v>67.964500000000001</v>
      </c>
      <c r="DD895" s="120">
        <f>(DC895+DE895)/2</f>
        <v>68.924250000000001</v>
      </c>
      <c r="DE895" s="120">
        <f>(DE894+DE896)/2</f>
        <v>69.884</v>
      </c>
      <c r="DF895" s="120">
        <f>(DE895+DG895)/2</f>
        <v>70.890500000000003</v>
      </c>
      <c r="DG895" s="122">
        <f>(DG894+DG896)/2</f>
        <v>71.897000000000006</v>
      </c>
    </row>
    <row r="896" spans="54:111" ht="15" customHeight="1" x14ac:dyDescent="0.2">
      <c r="BB896" s="28">
        <v>42</v>
      </c>
      <c r="BC896" s="121">
        <v>11.999000000000001</v>
      </c>
      <c r="BD896" s="121">
        <v>13.423999999999999</v>
      </c>
      <c r="BE896" s="121">
        <v>14.849</v>
      </c>
      <c r="BF896" s="121">
        <v>16.145</v>
      </c>
      <c r="BG896" s="121">
        <v>17.440999999999999</v>
      </c>
      <c r="BH896" s="121">
        <v>18.712</v>
      </c>
      <c r="BI896" s="121">
        <v>19.983000000000001</v>
      </c>
      <c r="BJ896" s="121">
        <v>21.205500000000001</v>
      </c>
      <c r="BK896" s="121">
        <v>22.428000000000001</v>
      </c>
      <c r="BL896" s="121">
        <v>23.634999999999998</v>
      </c>
      <c r="BM896" s="121">
        <v>24.841999999999999</v>
      </c>
      <c r="BN896" s="121">
        <v>25.977499999999999</v>
      </c>
      <c r="BO896" s="121">
        <v>27.113</v>
      </c>
      <c r="BP896" s="121">
        <v>28.2485</v>
      </c>
      <c r="BQ896" s="121">
        <v>29.384</v>
      </c>
      <c r="BR896" s="121">
        <v>30.548999999999999</v>
      </c>
      <c r="BS896" s="121">
        <v>31.713999999999999</v>
      </c>
      <c r="BT896" s="121">
        <v>32.785499999999999</v>
      </c>
      <c r="BU896" s="121">
        <v>33.856999999999999</v>
      </c>
      <c r="BV896" s="121">
        <v>34.960999999999999</v>
      </c>
      <c r="BW896" s="121">
        <v>36.064999999999998</v>
      </c>
      <c r="BX896" s="121">
        <v>37.143000000000001</v>
      </c>
      <c r="BY896" s="121">
        <v>38.220999999999997</v>
      </c>
      <c r="BZ896" s="121">
        <v>39.3155</v>
      </c>
      <c r="CA896" s="121">
        <v>40.409999999999997</v>
      </c>
      <c r="CB896" s="121">
        <v>41.481999999999999</v>
      </c>
      <c r="CC896" s="121">
        <v>42.554000000000002</v>
      </c>
      <c r="CD896" s="121">
        <v>43.6</v>
      </c>
      <c r="CE896" s="121">
        <v>44.646000000000001</v>
      </c>
      <c r="CF896" s="121">
        <v>45.685500000000005</v>
      </c>
      <c r="CG896" s="121">
        <v>46.725000000000001</v>
      </c>
      <c r="CH896" s="121">
        <v>47.786500000000004</v>
      </c>
      <c r="CI896" s="121">
        <v>48.847999999999999</v>
      </c>
      <c r="CJ896" s="121">
        <v>49.894500000000001</v>
      </c>
      <c r="CK896" s="121">
        <v>50.941000000000003</v>
      </c>
      <c r="CL896" s="121">
        <v>51.980500000000006</v>
      </c>
      <c r="CM896" s="121">
        <v>53.02</v>
      </c>
      <c r="CN896" s="121">
        <f t="array" ref="CN896:CN914">TRANSPOSE(CO895:DG895)</f>
        <v>54.066500000000005</v>
      </c>
      <c r="CO896" s="158">
        <v>55.113</v>
      </c>
      <c r="CP896" s="120">
        <f>(CQ896+CO896)/2</f>
        <v>56.110500000000002</v>
      </c>
      <c r="CQ896" s="158">
        <v>57.107999999999997</v>
      </c>
      <c r="CR896" s="120">
        <f>(CS896+CQ896)/2</f>
        <v>58.147999999999996</v>
      </c>
      <c r="CS896" s="158">
        <v>59.188000000000002</v>
      </c>
      <c r="CT896" s="120">
        <f>(CU896+CS896)/2</f>
        <v>60.170500000000004</v>
      </c>
      <c r="CU896" s="158">
        <v>61.152999999999999</v>
      </c>
      <c r="CV896" s="120">
        <f>(CW896+CU896)/2</f>
        <v>62.192</v>
      </c>
      <c r="CW896" s="158">
        <v>63.231000000000002</v>
      </c>
      <c r="CX896" s="120">
        <f>(CY896+CW896)/2</f>
        <v>64.228999999999999</v>
      </c>
      <c r="CY896" s="158">
        <v>65.227000000000004</v>
      </c>
      <c r="CZ896" s="120">
        <f>(DA896+CY896)/2</f>
        <v>66.272999999999996</v>
      </c>
      <c r="DA896" s="158">
        <v>67.319000000000003</v>
      </c>
      <c r="DB896" s="120">
        <f>(DC896+DA896)/2</f>
        <v>68.295000000000002</v>
      </c>
      <c r="DC896" s="158">
        <v>69.271000000000001</v>
      </c>
      <c r="DD896" s="120">
        <f>(DE896+DC896)/2</f>
        <v>70.246000000000009</v>
      </c>
      <c r="DE896" s="158">
        <v>71.221000000000004</v>
      </c>
      <c r="DF896" s="120">
        <f>(DG896+DE896)/2</f>
        <v>72.289500000000004</v>
      </c>
      <c r="DG896" s="159">
        <v>73.358000000000004</v>
      </c>
    </row>
    <row r="897" spans="54:111" ht="15" customHeight="1" x14ac:dyDescent="0.2">
      <c r="BB897" s="28">
        <v>43</v>
      </c>
      <c r="BC897" s="121">
        <v>12.193999999999999</v>
      </c>
      <c r="BD897" s="121">
        <v>13.64875</v>
      </c>
      <c r="BE897" s="121">
        <v>15.1035</v>
      </c>
      <c r="BF897" s="121">
        <v>16.431249999999999</v>
      </c>
      <c r="BG897" s="121">
        <v>17.759</v>
      </c>
      <c r="BH897" s="121">
        <v>19.0565</v>
      </c>
      <c r="BI897" s="121">
        <v>20.353999999999999</v>
      </c>
      <c r="BJ897" s="121">
        <v>21.580500000000001</v>
      </c>
      <c r="BK897" s="121">
        <v>22.807000000000002</v>
      </c>
      <c r="BL897" s="121">
        <v>24.04025</v>
      </c>
      <c r="BM897" s="121">
        <v>25.273499999999999</v>
      </c>
      <c r="BN897" s="121">
        <v>26.440999999999999</v>
      </c>
      <c r="BO897" s="121">
        <v>27.608499999999999</v>
      </c>
      <c r="BP897" s="121">
        <v>28.77375</v>
      </c>
      <c r="BQ897" s="121">
        <v>29.939</v>
      </c>
      <c r="BR897" s="121">
        <v>31.088749999999997</v>
      </c>
      <c r="BS897" s="121">
        <v>32.238500000000002</v>
      </c>
      <c r="BT897" s="121">
        <v>33.356000000000002</v>
      </c>
      <c r="BU897" s="121">
        <v>34.473500000000001</v>
      </c>
      <c r="BV897" s="121">
        <v>35.592750000000002</v>
      </c>
      <c r="BW897" s="121">
        <v>36.712000000000003</v>
      </c>
      <c r="BX897" s="121">
        <v>37.816749999999999</v>
      </c>
      <c r="BY897" s="121">
        <v>38.921499999999995</v>
      </c>
      <c r="BZ897" s="121">
        <v>40.036250000000003</v>
      </c>
      <c r="CA897" s="121">
        <v>41.150999999999996</v>
      </c>
      <c r="CB897" s="121">
        <v>42.236499999999999</v>
      </c>
      <c r="CC897" s="121">
        <v>43.322000000000003</v>
      </c>
      <c r="CD897" s="121">
        <v>44.396250000000002</v>
      </c>
      <c r="CE897" s="121">
        <v>45.470500000000001</v>
      </c>
      <c r="CF897" s="121">
        <v>46.539750000000005</v>
      </c>
      <c r="CG897" s="121">
        <v>47.609000000000002</v>
      </c>
      <c r="CH897" s="121">
        <v>48.691000000000003</v>
      </c>
      <c r="CI897" s="121">
        <v>49.772999999999996</v>
      </c>
      <c r="CJ897" s="121">
        <v>50.846000000000004</v>
      </c>
      <c r="CK897" s="121">
        <v>51.918999999999997</v>
      </c>
      <c r="CL897" s="121">
        <v>52.942</v>
      </c>
      <c r="CM897" s="121">
        <v>53.965000000000003</v>
      </c>
      <c r="CN897" s="121">
        <v>55.037750000000003</v>
      </c>
      <c r="CO897" s="121">
        <f t="array" ref="CO897:CO914">TRANSPOSE(CP896:DG896)</f>
        <v>56.110500000000002</v>
      </c>
      <c r="CP897" s="120">
        <f>(CO897+CQ897)/2</f>
        <v>57.144750000000002</v>
      </c>
      <c r="CQ897" s="120">
        <f>(CQ896+CQ898)/2</f>
        <v>58.179000000000002</v>
      </c>
      <c r="CR897" s="120">
        <f>(CQ897+CS897)/2</f>
        <v>59.2485</v>
      </c>
      <c r="CS897" s="120">
        <f>(CS896+CS898)/2</f>
        <v>60.317999999999998</v>
      </c>
      <c r="CT897" s="120">
        <f>(CS897+CU897)/2</f>
        <v>61.3125</v>
      </c>
      <c r="CU897" s="120">
        <f>(CU896+CU898)/2</f>
        <v>62.307000000000002</v>
      </c>
      <c r="CV897" s="120">
        <f>(CU897+CW897)/2</f>
        <v>63.376000000000005</v>
      </c>
      <c r="CW897" s="120">
        <f>(CW896+CW898)/2</f>
        <v>64.445000000000007</v>
      </c>
      <c r="CX897" s="120">
        <f>(CW897+CY897)/2</f>
        <v>65.450500000000005</v>
      </c>
      <c r="CY897" s="120">
        <f>(CY896+CY898)/2</f>
        <v>66.456000000000003</v>
      </c>
      <c r="CZ897" s="120">
        <f>(CY897+DA897)/2</f>
        <v>67.52525</v>
      </c>
      <c r="DA897" s="120">
        <f>(DA896+DA898)/2</f>
        <v>68.594500000000011</v>
      </c>
      <c r="DB897" s="120">
        <f>(DA897+DC897)/2</f>
        <v>69.588999999999999</v>
      </c>
      <c r="DC897" s="120">
        <f>(DC896+DC898)/2</f>
        <v>70.583500000000001</v>
      </c>
      <c r="DD897" s="120">
        <f>(DC897+DE897)/2</f>
        <v>71.585250000000002</v>
      </c>
      <c r="DE897" s="120">
        <f>(DE896+DE898)/2</f>
        <v>72.587000000000003</v>
      </c>
      <c r="DF897" s="120">
        <f>(DE897+DG897)/2</f>
        <v>73.659750000000003</v>
      </c>
      <c r="DG897" s="122">
        <f>(DG896+DG898)/2</f>
        <v>74.732500000000002</v>
      </c>
    </row>
    <row r="898" spans="54:111" ht="15" customHeight="1" x14ac:dyDescent="0.2">
      <c r="BB898" s="28">
        <v>44</v>
      </c>
      <c r="BC898" s="121">
        <v>12.388999999999999</v>
      </c>
      <c r="BD898" s="121">
        <v>13.8735</v>
      </c>
      <c r="BE898" s="121">
        <v>15.358000000000001</v>
      </c>
      <c r="BF898" s="121">
        <v>16.717500000000001</v>
      </c>
      <c r="BG898" s="121">
        <v>18.077000000000002</v>
      </c>
      <c r="BH898" s="121">
        <v>19.401000000000003</v>
      </c>
      <c r="BI898" s="121">
        <v>20.725000000000001</v>
      </c>
      <c r="BJ898" s="121">
        <v>21.955500000000001</v>
      </c>
      <c r="BK898" s="121">
        <v>23.186</v>
      </c>
      <c r="BL898" s="121">
        <v>24.445499999999999</v>
      </c>
      <c r="BM898" s="121">
        <v>25.704999999999998</v>
      </c>
      <c r="BN898" s="121">
        <v>26.904499999999999</v>
      </c>
      <c r="BO898" s="121">
        <v>28.103999999999999</v>
      </c>
      <c r="BP898" s="121">
        <v>29.298999999999999</v>
      </c>
      <c r="BQ898" s="121">
        <v>30.494</v>
      </c>
      <c r="BR898" s="121">
        <v>31.628499999999999</v>
      </c>
      <c r="BS898" s="121">
        <v>32.762999999999998</v>
      </c>
      <c r="BT898" s="121">
        <v>33.926500000000004</v>
      </c>
      <c r="BU898" s="121">
        <v>35.090000000000003</v>
      </c>
      <c r="BV898" s="121">
        <v>36.224500000000006</v>
      </c>
      <c r="BW898" s="121">
        <v>37.359000000000002</v>
      </c>
      <c r="BX898" s="121">
        <v>38.490499999999997</v>
      </c>
      <c r="BY898" s="121">
        <v>39.622</v>
      </c>
      <c r="BZ898" s="121">
        <v>40.757000000000005</v>
      </c>
      <c r="CA898" s="121">
        <v>41.892000000000003</v>
      </c>
      <c r="CB898" s="121">
        <v>42.991</v>
      </c>
      <c r="CC898" s="121">
        <v>44.09</v>
      </c>
      <c r="CD898" s="121">
        <v>45.192500000000003</v>
      </c>
      <c r="CE898" s="121">
        <v>46.295000000000002</v>
      </c>
      <c r="CF898" s="121">
        <v>47.394000000000005</v>
      </c>
      <c r="CG898" s="121">
        <v>48.493000000000002</v>
      </c>
      <c r="CH898" s="121">
        <v>49.595500000000001</v>
      </c>
      <c r="CI898" s="121">
        <v>50.698</v>
      </c>
      <c r="CJ898" s="121">
        <v>51.797499999999999</v>
      </c>
      <c r="CK898" s="121">
        <v>52.896999999999998</v>
      </c>
      <c r="CL898" s="121">
        <v>53.903499999999994</v>
      </c>
      <c r="CM898" s="121">
        <v>54.91</v>
      </c>
      <c r="CN898" s="121">
        <v>56.009</v>
      </c>
      <c r="CO898" s="121">
        <v>57.107999999999997</v>
      </c>
      <c r="CP898" s="121">
        <f t="array" ref="CP898:CP914">TRANSPOSE(CQ897:DG897)</f>
        <v>58.179000000000002</v>
      </c>
      <c r="CQ898" s="158">
        <v>59.25</v>
      </c>
      <c r="CR898" s="121">
        <f>CS897</f>
        <v>60.317999999999998</v>
      </c>
      <c r="CS898" s="158">
        <v>61.448</v>
      </c>
      <c r="CT898" s="121">
        <f>CU897</f>
        <v>62.307000000000002</v>
      </c>
      <c r="CU898" s="158">
        <v>63.460999999999999</v>
      </c>
      <c r="CV898" s="121">
        <f>CW897</f>
        <v>64.445000000000007</v>
      </c>
      <c r="CW898" s="158">
        <v>65.659000000000006</v>
      </c>
      <c r="CX898" s="121">
        <f>CY897</f>
        <v>66.456000000000003</v>
      </c>
      <c r="CY898" s="158">
        <v>67.685000000000002</v>
      </c>
      <c r="CZ898" s="121">
        <f>DA897</f>
        <v>68.594500000000011</v>
      </c>
      <c r="DA898" s="158">
        <v>69.87</v>
      </c>
      <c r="DB898" s="121">
        <f>DC897</f>
        <v>70.583500000000001</v>
      </c>
      <c r="DC898" s="158">
        <v>71.896000000000001</v>
      </c>
      <c r="DD898" s="121">
        <f>DE897</f>
        <v>72.587000000000003</v>
      </c>
      <c r="DE898" s="158">
        <v>73.953000000000003</v>
      </c>
      <c r="DF898" s="121">
        <f>DG897</f>
        <v>74.732500000000002</v>
      </c>
      <c r="DG898" s="159">
        <v>76.106999999999999</v>
      </c>
    </row>
    <row r="899" spans="54:111" ht="15" customHeight="1" x14ac:dyDescent="0.2">
      <c r="BB899" s="28">
        <v>45</v>
      </c>
      <c r="BC899" s="121">
        <v>12.6065</v>
      </c>
      <c r="BD899" s="121">
        <v>14.094999999999999</v>
      </c>
      <c r="BE899" s="121">
        <v>15.583500000000001</v>
      </c>
      <c r="BF899" s="121">
        <v>16.972749999999998</v>
      </c>
      <c r="BG899" s="121">
        <v>18.362000000000002</v>
      </c>
      <c r="BH899" s="121">
        <v>19.71425</v>
      </c>
      <c r="BI899" s="121">
        <v>21.066500000000001</v>
      </c>
      <c r="BJ899" s="121">
        <v>22.327000000000002</v>
      </c>
      <c r="BK899" s="121">
        <v>23.587499999999999</v>
      </c>
      <c r="BL899" s="121">
        <v>24.851500000000001</v>
      </c>
      <c r="BM899" s="121">
        <v>26.115499999999997</v>
      </c>
      <c r="BN899" s="121">
        <v>27.341000000000001</v>
      </c>
      <c r="BO899" s="121">
        <v>28.566499999999998</v>
      </c>
      <c r="BP899" s="121">
        <v>29.777249999999999</v>
      </c>
      <c r="BQ899" s="121">
        <v>30.988</v>
      </c>
      <c r="BR899" s="121">
        <v>32.16825</v>
      </c>
      <c r="BS899" s="121">
        <v>33.348500000000001</v>
      </c>
      <c r="BT899" s="121">
        <v>34.513000000000005</v>
      </c>
      <c r="BU899" s="121">
        <v>35.677500000000002</v>
      </c>
      <c r="BV899" s="121">
        <v>36.842000000000006</v>
      </c>
      <c r="BW899" s="121">
        <v>38.006500000000003</v>
      </c>
      <c r="BX899" s="121">
        <v>39.169499999999999</v>
      </c>
      <c r="BY899" s="121">
        <v>40.332499999999996</v>
      </c>
      <c r="BZ899" s="121">
        <v>41.481000000000002</v>
      </c>
      <c r="CA899" s="121">
        <v>42.6295</v>
      </c>
      <c r="CB899" s="121">
        <v>43.745750000000001</v>
      </c>
      <c r="CC899" s="121">
        <v>44.862000000000002</v>
      </c>
      <c r="CD899" s="121">
        <v>45.978250000000003</v>
      </c>
      <c r="CE899" s="121">
        <v>47.094499999999996</v>
      </c>
      <c r="CF899" s="121">
        <v>48.225000000000001</v>
      </c>
      <c r="CG899" s="121">
        <v>49.355500000000006</v>
      </c>
      <c r="CH899" s="121">
        <v>50.468500000000006</v>
      </c>
      <c r="CI899" s="121">
        <v>51.581500000000005</v>
      </c>
      <c r="CJ899" s="121">
        <v>52.685249999999996</v>
      </c>
      <c r="CK899" s="121">
        <v>53.789000000000001</v>
      </c>
      <c r="CL899" s="121">
        <v>54.857249999999993</v>
      </c>
      <c r="CM899" s="121">
        <v>55.9255</v>
      </c>
      <c r="CN899" s="121">
        <v>57.036749999999998</v>
      </c>
      <c r="CO899" s="121">
        <v>58.147999999999996</v>
      </c>
      <c r="CP899" s="121">
        <v>59.2485</v>
      </c>
      <c r="CQ899" s="121">
        <f t="array" ref="CQ899:CQ914">TRANSPOSE(CR898:DG898)</f>
        <v>60.317999999999998</v>
      </c>
      <c r="CR899" s="120">
        <f>(CQ899+CS899)/2</f>
        <v>61.40475</v>
      </c>
      <c r="CS899" s="120">
        <f>(CS898+CS900)/2</f>
        <v>62.491500000000002</v>
      </c>
      <c r="CT899" s="120">
        <f>(CS899+CU899)/2</f>
        <v>63.5565</v>
      </c>
      <c r="CU899" s="120">
        <f>(CU898+CU900)/2</f>
        <v>64.621499999999997</v>
      </c>
      <c r="CV899" s="120">
        <f>(CU899+CW899)/2</f>
        <v>65.736000000000004</v>
      </c>
      <c r="CW899" s="120">
        <f>(CW898+CW900)/2</f>
        <v>66.850500000000011</v>
      </c>
      <c r="CX899" s="120">
        <f>(CW899+CY899)/2</f>
        <v>67.890000000000015</v>
      </c>
      <c r="CY899" s="120">
        <f>(CY898+CY900)/2</f>
        <v>68.929500000000004</v>
      </c>
      <c r="CZ899" s="120">
        <f>(CY899+DA899)/2</f>
        <v>70.026499999999999</v>
      </c>
      <c r="DA899" s="120">
        <f>(DA898+DA900)/2</f>
        <v>71.123500000000007</v>
      </c>
      <c r="DB899" s="120">
        <f>(DA899+DC899)/2</f>
        <v>72.163000000000011</v>
      </c>
      <c r="DC899" s="120">
        <f>(DC898+DC900)/2</f>
        <v>73.202500000000001</v>
      </c>
      <c r="DD899" s="120">
        <f>(DC899+DE899)/2</f>
        <v>74.249500000000012</v>
      </c>
      <c r="DE899" s="120">
        <f>(DE898+DE900)/2</f>
        <v>75.296500000000009</v>
      </c>
      <c r="DF899" s="120">
        <f>(DE899+DG899)/2</f>
        <v>76.397000000000006</v>
      </c>
      <c r="DG899" s="122">
        <f>(DG898+DG900)/2</f>
        <v>77.497500000000002</v>
      </c>
    </row>
    <row r="900" spans="54:111" ht="15" customHeight="1" x14ac:dyDescent="0.2">
      <c r="BB900" s="28">
        <v>46</v>
      </c>
      <c r="BC900" s="121">
        <v>12.824</v>
      </c>
      <c r="BD900" s="121">
        <v>14.3165</v>
      </c>
      <c r="BE900" s="121">
        <v>15.808999999999999</v>
      </c>
      <c r="BF900" s="121">
        <v>17.227999999999998</v>
      </c>
      <c r="BG900" s="121">
        <v>18.646999999999998</v>
      </c>
      <c r="BH900" s="121">
        <v>20.0275</v>
      </c>
      <c r="BI900" s="121">
        <v>21.408000000000001</v>
      </c>
      <c r="BJ900" s="121">
        <v>22.698500000000003</v>
      </c>
      <c r="BK900" s="121">
        <v>23.989000000000001</v>
      </c>
      <c r="BL900" s="121">
        <v>25.2575</v>
      </c>
      <c r="BM900" s="121">
        <v>26.526</v>
      </c>
      <c r="BN900" s="121">
        <v>27.7775</v>
      </c>
      <c r="BO900" s="121">
        <v>29.029</v>
      </c>
      <c r="BP900" s="121">
        <v>30.255499999999998</v>
      </c>
      <c r="BQ900" s="121">
        <v>31.481999999999999</v>
      </c>
      <c r="BR900" s="121">
        <v>32.707999999999998</v>
      </c>
      <c r="BS900" s="121">
        <v>33.933999999999997</v>
      </c>
      <c r="BT900" s="121">
        <v>35.099499999999999</v>
      </c>
      <c r="BU900" s="121">
        <v>36.265000000000001</v>
      </c>
      <c r="BV900" s="121">
        <v>37.459500000000006</v>
      </c>
      <c r="BW900" s="121">
        <v>38.654000000000003</v>
      </c>
      <c r="BX900" s="121">
        <v>39.848500000000001</v>
      </c>
      <c r="BY900" s="121">
        <v>41.042999999999999</v>
      </c>
      <c r="BZ900" s="121">
        <v>42.204999999999998</v>
      </c>
      <c r="CA900" s="121">
        <v>43.366999999999997</v>
      </c>
      <c r="CB900" s="121">
        <v>44.500500000000002</v>
      </c>
      <c r="CC900" s="121">
        <v>45.634</v>
      </c>
      <c r="CD900" s="121">
        <v>46.763999999999996</v>
      </c>
      <c r="CE900" s="121">
        <v>47.893999999999998</v>
      </c>
      <c r="CF900" s="121">
        <v>49.055999999999997</v>
      </c>
      <c r="CG900" s="121">
        <v>50.218000000000004</v>
      </c>
      <c r="CH900" s="121">
        <v>51.341500000000003</v>
      </c>
      <c r="CI900" s="121">
        <v>52.465000000000003</v>
      </c>
      <c r="CJ900" s="121">
        <v>53.573</v>
      </c>
      <c r="CK900" s="121">
        <v>54.680999999999997</v>
      </c>
      <c r="CL900" s="121">
        <v>55.811</v>
      </c>
      <c r="CM900" s="121">
        <v>56.941000000000003</v>
      </c>
      <c r="CN900" s="121">
        <v>58.064500000000002</v>
      </c>
      <c r="CO900" s="121">
        <v>59.188000000000002</v>
      </c>
      <c r="CP900" s="121">
        <v>60.317999999999998</v>
      </c>
      <c r="CQ900" s="121">
        <v>61.448</v>
      </c>
      <c r="CR900" s="150">
        <f t="array" ref="CR900:CR914">TRANSPOSE(CS899:DG899)</f>
        <v>62.491500000000002</v>
      </c>
      <c r="CS900" s="158">
        <v>63.534999999999997</v>
      </c>
      <c r="CT900" s="121">
        <f>CU899</f>
        <v>64.621499999999997</v>
      </c>
      <c r="CU900" s="158">
        <v>65.781999999999996</v>
      </c>
      <c r="CV900" s="121">
        <f>CW899</f>
        <v>66.850500000000011</v>
      </c>
      <c r="CW900" s="158">
        <v>68.042000000000002</v>
      </c>
      <c r="CX900" s="121">
        <f>CY899</f>
        <v>68.929500000000004</v>
      </c>
      <c r="CY900" s="158">
        <v>70.174000000000007</v>
      </c>
      <c r="CZ900" s="121">
        <f>DA899</f>
        <v>71.123500000000007</v>
      </c>
      <c r="DA900" s="158">
        <v>72.376999999999995</v>
      </c>
      <c r="DB900" s="121">
        <f>DC899</f>
        <v>73.202500000000001</v>
      </c>
      <c r="DC900" s="158">
        <v>74.509</v>
      </c>
      <c r="DD900" s="121">
        <f>DE899</f>
        <v>75.296500000000009</v>
      </c>
      <c r="DE900" s="158">
        <v>76.64</v>
      </c>
      <c r="DF900" s="121">
        <f>DG899</f>
        <v>77.497500000000002</v>
      </c>
      <c r="DG900" s="159">
        <v>78.888000000000005</v>
      </c>
    </row>
    <row r="901" spans="54:111" ht="15" customHeight="1" x14ac:dyDescent="0.2">
      <c r="BB901" s="28">
        <v>47</v>
      </c>
      <c r="BC901" s="121">
        <v>13.025500000000001</v>
      </c>
      <c r="BD901" s="121">
        <v>14.544750000000001</v>
      </c>
      <c r="BE901" s="121">
        <v>16.064</v>
      </c>
      <c r="BF901" s="121">
        <v>17.511249999999997</v>
      </c>
      <c r="BG901" s="121">
        <v>18.958500000000001</v>
      </c>
      <c r="BH901" s="121">
        <v>20.341250000000002</v>
      </c>
      <c r="BI901" s="121">
        <v>21.724</v>
      </c>
      <c r="BJ901" s="121">
        <v>23.045999999999999</v>
      </c>
      <c r="BK901" s="121">
        <v>24.368000000000002</v>
      </c>
      <c r="BL901" s="121">
        <v>25.663</v>
      </c>
      <c r="BM901" s="121">
        <v>26.957999999999998</v>
      </c>
      <c r="BN901" s="121">
        <v>28.2285</v>
      </c>
      <c r="BO901" s="121">
        <v>29.499000000000002</v>
      </c>
      <c r="BP901" s="121">
        <v>30.756499999999999</v>
      </c>
      <c r="BQ901" s="121">
        <v>32.013999999999996</v>
      </c>
      <c r="BR901" s="121">
        <v>33.252499999999998</v>
      </c>
      <c r="BS901" s="121">
        <v>34.491</v>
      </c>
      <c r="BT901" s="121">
        <v>35.686250000000001</v>
      </c>
      <c r="BU901" s="121">
        <v>36.881500000000003</v>
      </c>
      <c r="BV901" s="121">
        <v>38.091250000000002</v>
      </c>
      <c r="BW901" s="121">
        <v>39.301000000000002</v>
      </c>
      <c r="BX901" s="121">
        <v>40.510750000000002</v>
      </c>
      <c r="BY901" s="121">
        <v>41.720500000000001</v>
      </c>
      <c r="BZ901" s="121">
        <v>42.898249999999997</v>
      </c>
      <c r="CA901" s="121">
        <v>44.075999999999993</v>
      </c>
      <c r="CB901" s="121">
        <v>45.239249999999998</v>
      </c>
      <c r="CC901" s="121">
        <v>46.402500000000003</v>
      </c>
      <c r="CD901" s="121">
        <v>47.560499999999998</v>
      </c>
      <c r="CE901" s="121">
        <v>48.718499999999999</v>
      </c>
      <c r="CF901" s="121">
        <v>49.879999999999995</v>
      </c>
      <c r="CG901" s="121">
        <v>51.041499999999999</v>
      </c>
      <c r="CH901" s="121">
        <v>52.183750000000003</v>
      </c>
      <c r="CI901" s="121">
        <v>53.326000000000001</v>
      </c>
      <c r="CJ901" s="121">
        <v>54.460250000000002</v>
      </c>
      <c r="CK901" s="121">
        <v>55.594499999999996</v>
      </c>
      <c r="CL901" s="121">
        <v>56.739999999999995</v>
      </c>
      <c r="CM901" s="121">
        <v>57.8855</v>
      </c>
      <c r="CN901" s="121">
        <v>59.028000000000006</v>
      </c>
      <c r="CO901" s="121">
        <v>60.170500000000004</v>
      </c>
      <c r="CP901" s="121">
        <v>61.3125</v>
      </c>
      <c r="CQ901" s="121">
        <v>62.307000000000002</v>
      </c>
      <c r="CR901" s="160">
        <v>63.5565</v>
      </c>
      <c r="CS901" s="160">
        <f t="array" ref="CS901:CS914">TRANSPOSE(CT900:DG900)</f>
        <v>64.621499999999997</v>
      </c>
      <c r="CT901" s="120">
        <f>(CS901+CU901)/2</f>
        <v>65.782250000000005</v>
      </c>
      <c r="CU901" s="120">
        <f>(CU900+CU902)/2</f>
        <v>66.942999999999998</v>
      </c>
      <c r="CV901" s="120">
        <f>(CU901+CW901)/2</f>
        <v>68.0565</v>
      </c>
      <c r="CW901" s="120">
        <f>(CW900+CW902)/2</f>
        <v>69.17</v>
      </c>
      <c r="CX901" s="120">
        <f>(CW901+CY901)/2</f>
        <v>70.28325000000001</v>
      </c>
      <c r="CY901" s="120">
        <f>(CY900+CY902)/2</f>
        <v>71.396500000000003</v>
      </c>
      <c r="CZ901" s="120">
        <f>(CY901+DA901)/2</f>
        <v>72.495750000000001</v>
      </c>
      <c r="DA901" s="120">
        <f>(DA900+DA902)/2</f>
        <v>73.594999999999999</v>
      </c>
      <c r="DB901" s="120">
        <f>(DA901+DC901)/2</f>
        <v>74.708500000000001</v>
      </c>
      <c r="DC901" s="120">
        <f>(DC900+DC902)/2</f>
        <v>75.822000000000003</v>
      </c>
      <c r="DD901" s="120">
        <f>(DC901+DE901)/2</f>
        <v>76.900000000000006</v>
      </c>
      <c r="DE901" s="120">
        <f>(DE900+DE902)/2</f>
        <v>77.978000000000009</v>
      </c>
      <c r="DF901" s="120">
        <f>(DE901+DG901)/2</f>
        <v>79.120249999999999</v>
      </c>
      <c r="DG901" s="122">
        <f>(DG900+DG902)/2</f>
        <v>80.262500000000003</v>
      </c>
    </row>
    <row r="902" spans="54:111" ht="15" customHeight="1" x14ac:dyDescent="0.2">
      <c r="BB902" s="28">
        <v>48</v>
      </c>
      <c r="BC902" s="121">
        <v>13.227</v>
      </c>
      <c r="BD902" s="121">
        <v>14.773</v>
      </c>
      <c r="BE902" s="121">
        <v>16.318999999999999</v>
      </c>
      <c r="BF902" s="121">
        <v>17.794499999999999</v>
      </c>
      <c r="BG902" s="121">
        <v>19.27</v>
      </c>
      <c r="BH902" s="121">
        <v>20.655000000000001</v>
      </c>
      <c r="BI902" s="121">
        <v>22.04</v>
      </c>
      <c r="BJ902" s="121">
        <v>23.3935</v>
      </c>
      <c r="BK902" s="121">
        <v>24.747</v>
      </c>
      <c r="BL902" s="121">
        <v>26.0685</v>
      </c>
      <c r="BM902" s="121">
        <v>27.39</v>
      </c>
      <c r="BN902" s="121">
        <v>28.679500000000001</v>
      </c>
      <c r="BO902" s="121">
        <v>29.969000000000001</v>
      </c>
      <c r="BP902" s="121">
        <v>31.2575</v>
      </c>
      <c r="BQ902" s="121">
        <v>32.545999999999999</v>
      </c>
      <c r="BR902" s="121">
        <v>33.796999999999997</v>
      </c>
      <c r="BS902" s="121">
        <v>35.048000000000002</v>
      </c>
      <c r="BT902" s="121">
        <v>36.272999999999996</v>
      </c>
      <c r="BU902" s="121">
        <v>37.497999999999998</v>
      </c>
      <c r="BV902" s="121">
        <v>38.722999999999999</v>
      </c>
      <c r="BW902" s="121">
        <v>39.948</v>
      </c>
      <c r="BX902" s="121">
        <v>41.173000000000002</v>
      </c>
      <c r="BY902" s="121">
        <v>42.398000000000003</v>
      </c>
      <c r="BZ902" s="121">
        <v>43.591499999999996</v>
      </c>
      <c r="CA902" s="121">
        <v>44.784999999999997</v>
      </c>
      <c r="CB902" s="121">
        <v>45.977999999999994</v>
      </c>
      <c r="CC902" s="121">
        <v>47.170999999999999</v>
      </c>
      <c r="CD902" s="121">
        <v>48.356999999999999</v>
      </c>
      <c r="CE902" s="121">
        <v>49.542999999999999</v>
      </c>
      <c r="CF902" s="121">
        <v>50.704000000000001</v>
      </c>
      <c r="CG902" s="121">
        <v>51.865000000000002</v>
      </c>
      <c r="CH902" s="121">
        <v>53.025999999999996</v>
      </c>
      <c r="CI902" s="121">
        <v>54.186999999999998</v>
      </c>
      <c r="CJ902" s="121">
        <v>55.347499999999997</v>
      </c>
      <c r="CK902" s="121">
        <v>56.508000000000003</v>
      </c>
      <c r="CL902" s="121">
        <v>57.668999999999997</v>
      </c>
      <c r="CM902" s="121">
        <v>58.83</v>
      </c>
      <c r="CN902" s="121">
        <v>59.991500000000002</v>
      </c>
      <c r="CO902" s="121">
        <v>61.152999999999999</v>
      </c>
      <c r="CP902" s="121">
        <v>62.307000000000002</v>
      </c>
      <c r="CQ902" s="121">
        <v>63.460999999999999</v>
      </c>
      <c r="CR902" s="160">
        <v>64.621499999999997</v>
      </c>
      <c r="CS902" s="160">
        <v>65.781999999999996</v>
      </c>
      <c r="CT902" s="121">
        <f t="array" ref="CT902:CT914">TRANSPOSE(CU901:DG901)</f>
        <v>66.942999999999998</v>
      </c>
      <c r="CU902" s="158">
        <v>68.103999999999999</v>
      </c>
      <c r="CV902" s="121">
        <f>CW901</f>
        <v>69.17</v>
      </c>
      <c r="CW902" s="158">
        <v>70.298000000000002</v>
      </c>
      <c r="CX902" s="121">
        <f>CY901</f>
        <v>71.396500000000003</v>
      </c>
      <c r="CY902" s="158">
        <v>72.619</v>
      </c>
      <c r="CZ902" s="121">
        <f>DA901</f>
        <v>73.594999999999999</v>
      </c>
      <c r="DA902" s="158">
        <v>74.813000000000002</v>
      </c>
      <c r="DB902" s="121">
        <f>DC901</f>
        <v>75.822000000000003</v>
      </c>
      <c r="DC902" s="158">
        <v>77.135000000000005</v>
      </c>
      <c r="DD902" s="121">
        <f>DE901</f>
        <v>77.978000000000009</v>
      </c>
      <c r="DE902" s="158">
        <v>79.316000000000003</v>
      </c>
      <c r="DF902" s="121">
        <f>DG901</f>
        <v>80.262500000000003</v>
      </c>
      <c r="DG902" s="159">
        <v>81.637</v>
      </c>
    </row>
    <row r="903" spans="54:111" ht="15" customHeight="1" x14ac:dyDescent="0.2">
      <c r="BB903" s="28">
        <v>49</v>
      </c>
      <c r="BC903" s="121">
        <v>13.411999999999999</v>
      </c>
      <c r="BD903" s="121">
        <v>14.9895</v>
      </c>
      <c r="BE903" s="121">
        <v>16.567</v>
      </c>
      <c r="BF903" s="121">
        <v>18.061250000000001</v>
      </c>
      <c r="BG903" s="121">
        <v>19.555500000000002</v>
      </c>
      <c r="BH903" s="121">
        <v>20.972250000000003</v>
      </c>
      <c r="BI903" s="121">
        <v>22.388999999999999</v>
      </c>
      <c r="BJ903" s="121">
        <v>23.768749999999997</v>
      </c>
      <c r="BK903" s="121">
        <v>25.148499999999999</v>
      </c>
      <c r="BL903" s="121">
        <v>26.485250000000001</v>
      </c>
      <c r="BM903" s="121">
        <v>27.822000000000003</v>
      </c>
      <c r="BN903" s="121">
        <v>29.142749999999999</v>
      </c>
      <c r="BO903" s="121">
        <v>30.4635</v>
      </c>
      <c r="BP903" s="121">
        <v>31.751999999999999</v>
      </c>
      <c r="BQ903" s="121">
        <v>33.040499999999994</v>
      </c>
      <c r="BR903" s="121">
        <v>34.320749999999997</v>
      </c>
      <c r="BS903" s="121">
        <v>35.600999999999999</v>
      </c>
      <c r="BT903" s="121">
        <v>36.857749999999996</v>
      </c>
      <c r="BU903" s="121">
        <v>38.1145</v>
      </c>
      <c r="BV903" s="121">
        <v>39.355000000000004</v>
      </c>
      <c r="BW903" s="121">
        <v>40.595500000000001</v>
      </c>
      <c r="BX903" s="121">
        <v>41.835999999999999</v>
      </c>
      <c r="BY903" s="121">
        <v>43.076500000000003</v>
      </c>
      <c r="BZ903" s="121">
        <v>44.295999999999999</v>
      </c>
      <c r="CA903" s="121">
        <v>45.515500000000003</v>
      </c>
      <c r="CB903" s="121">
        <v>46.723749999999995</v>
      </c>
      <c r="CC903" s="121">
        <v>47.932000000000002</v>
      </c>
      <c r="CD903" s="121">
        <v>49.137</v>
      </c>
      <c r="CE903" s="121">
        <v>50.341999999999999</v>
      </c>
      <c r="CF903" s="121">
        <v>51.53425</v>
      </c>
      <c r="CG903" s="121">
        <v>52.726500000000001</v>
      </c>
      <c r="CH903" s="121">
        <v>53.930250000000001</v>
      </c>
      <c r="CI903" s="121">
        <v>55.134</v>
      </c>
      <c r="CJ903" s="121">
        <v>56.31</v>
      </c>
      <c r="CK903" s="121">
        <v>57.486000000000004</v>
      </c>
      <c r="CL903" s="121">
        <v>58.662749999999996</v>
      </c>
      <c r="CM903" s="121">
        <v>59.839500000000001</v>
      </c>
      <c r="CN903" s="121">
        <v>61.015749999999997</v>
      </c>
      <c r="CO903" s="121">
        <v>62.192</v>
      </c>
      <c r="CP903" s="121">
        <v>63.376000000000005</v>
      </c>
      <c r="CQ903" s="121">
        <v>64.445000000000007</v>
      </c>
      <c r="CR903" s="160">
        <v>65.736000000000004</v>
      </c>
      <c r="CS903" s="160">
        <v>66.850500000000011</v>
      </c>
      <c r="CT903" s="160">
        <v>68.0565</v>
      </c>
      <c r="CU903" s="160">
        <f t="array" ref="CU903:CU914">TRANSPOSE(CV902:DG902)</f>
        <v>69.17</v>
      </c>
      <c r="CV903" s="120">
        <f>(CU903+CW903)/2</f>
        <v>70.32974999999999</v>
      </c>
      <c r="CW903" s="120">
        <f>(CW902+CW904)/2</f>
        <v>71.489499999999992</v>
      </c>
      <c r="CX903" s="120">
        <f>(CW903+CY903)/2</f>
        <v>72.676749999999998</v>
      </c>
      <c r="CY903" s="120">
        <f>(CY902+CY904)/2</f>
        <v>73.864000000000004</v>
      </c>
      <c r="CZ903" s="120">
        <f>(CY903+DA903)/2</f>
        <v>74.976250000000007</v>
      </c>
      <c r="DA903" s="120">
        <f>(DA902+DA904)/2</f>
        <v>76.08850000000001</v>
      </c>
      <c r="DB903" s="120">
        <f>(DA903+DC903)/2</f>
        <v>77.265000000000015</v>
      </c>
      <c r="DC903" s="120">
        <f>(DC902+DC904)/2</f>
        <v>78.441500000000005</v>
      </c>
      <c r="DD903" s="120">
        <f>(DC903+DE903)/2</f>
        <v>79.5505</v>
      </c>
      <c r="DE903" s="120">
        <f>(DE902+DE904)/2</f>
        <v>80.659500000000008</v>
      </c>
      <c r="DF903" s="120">
        <f>(DE903+DG903)/2</f>
        <v>81.84675</v>
      </c>
      <c r="DG903" s="122">
        <f>(DG902+DG904)/2</f>
        <v>83.033999999999992</v>
      </c>
    </row>
    <row r="904" spans="54:111" ht="15" customHeight="1" x14ac:dyDescent="0.2">
      <c r="BB904" s="28">
        <v>50</v>
      </c>
      <c r="BC904" s="121">
        <v>13.597</v>
      </c>
      <c r="BD904" s="121">
        <v>15.206</v>
      </c>
      <c r="BE904" s="121">
        <v>16.815000000000001</v>
      </c>
      <c r="BF904" s="121">
        <v>18.328000000000003</v>
      </c>
      <c r="BG904" s="121">
        <v>19.841000000000001</v>
      </c>
      <c r="BH904" s="121">
        <v>21.2895</v>
      </c>
      <c r="BI904" s="121">
        <v>22.738</v>
      </c>
      <c r="BJ904" s="121">
        <v>24.143999999999998</v>
      </c>
      <c r="BK904" s="121">
        <v>25.55</v>
      </c>
      <c r="BL904" s="121">
        <v>26.902000000000001</v>
      </c>
      <c r="BM904" s="121">
        <v>28.254000000000001</v>
      </c>
      <c r="BN904" s="121">
        <v>29.606000000000002</v>
      </c>
      <c r="BO904" s="121">
        <v>30.957999999999998</v>
      </c>
      <c r="BP904" s="121">
        <v>32.246499999999997</v>
      </c>
      <c r="BQ904" s="121">
        <v>33.534999999999997</v>
      </c>
      <c r="BR904" s="121">
        <v>34.844499999999996</v>
      </c>
      <c r="BS904" s="121">
        <v>36.154000000000003</v>
      </c>
      <c r="BT904" s="121">
        <v>37.442500000000003</v>
      </c>
      <c r="BU904" s="121">
        <v>38.731000000000002</v>
      </c>
      <c r="BV904" s="121">
        <v>39.987000000000002</v>
      </c>
      <c r="BW904" s="121">
        <v>41.243000000000002</v>
      </c>
      <c r="BX904" s="121">
        <v>42.499000000000002</v>
      </c>
      <c r="BY904" s="121">
        <v>43.755000000000003</v>
      </c>
      <c r="BZ904" s="121">
        <v>45.000500000000002</v>
      </c>
      <c r="CA904" s="121">
        <v>46.246000000000002</v>
      </c>
      <c r="CB904" s="121">
        <v>47.469499999999996</v>
      </c>
      <c r="CC904" s="121">
        <v>48.692999999999998</v>
      </c>
      <c r="CD904" s="121">
        <v>49.917000000000002</v>
      </c>
      <c r="CE904" s="121">
        <v>51.140999999999998</v>
      </c>
      <c r="CF904" s="121">
        <v>52.3645</v>
      </c>
      <c r="CG904" s="121">
        <v>53.588000000000001</v>
      </c>
      <c r="CH904" s="121">
        <v>54.834500000000006</v>
      </c>
      <c r="CI904" s="121">
        <v>56.081000000000003</v>
      </c>
      <c r="CJ904" s="121">
        <v>57.272500000000001</v>
      </c>
      <c r="CK904" s="121">
        <v>58.463999999999999</v>
      </c>
      <c r="CL904" s="121">
        <v>59.656499999999994</v>
      </c>
      <c r="CM904" s="121">
        <v>60.848999999999997</v>
      </c>
      <c r="CN904" s="121">
        <v>62.04</v>
      </c>
      <c r="CO904" s="121">
        <v>63.231000000000002</v>
      </c>
      <c r="CP904" s="121">
        <v>64.445000000000007</v>
      </c>
      <c r="CQ904" s="121">
        <v>65.659000000000006</v>
      </c>
      <c r="CR904" s="160">
        <v>66.850500000000011</v>
      </c>
      <c r="CS904" s="160">
        <v>68.042000000000002</v>
      </c>
      <c r="CT904" s="160">
        <v>69.17</v>
      </c>
      <c r="CU904" s="160">
        <v>70.298000000000002</v>
      </c>
      <c r="CV904" s="121">
        <f t="array" ref="CV904:CV914">TRANSPOSE(CW903:DG903)</f>
        <v>71.489499999999992</v>
      </c>
      <c r="CW904" s="158">
        <v>72.680999999999997</v>
      </c>
      <c r="CX904" s="121">
        <f>CY903</f>
        <v>73.864000000000004</v>
      </c>
      <c r="CY904" s="158">
        <v>75.108999999999995</v>
      </c>
      <c r="CZ904" s="121">
        <f>DA903</f>
        <v>76.08850000000001</v>
      </c>
      <c r="DA904" s="158">
        <v>77.364000000000004</v>
      </c>
      <c r="DB904" s="121">
        <f>DC903</f>
        <v>78.441500000000005</v>
      </c>
      <c r="DC904" s="158">
        <v>79.748000000000005</v>
      </c>
      <c r="DD904" s="121">
        <f>DE903</f>
        <v>80.659500000000008</v>
      </c>
      <c r="DE904" s="158">
        <v>82.003</v>
      </c>
      <c r="DF904" s="121">
        <f>DG903</f>
        <v>83.033999999999992</v>
      </c>
      <c r="DG904" s="159">
        <v>84.430999999999997</v>
      </c>
    </row>
    <row r="905" spans="54:111" ht="15" customHeight="1" x14ac:dyDescent="0.2">
      <c r="BB905" s="28">
        <v>51</v>
      </c>
      <c r="BC905" s="121">
        <v>13.792</v>
      </c>
      <c r="BD905" s="121">
        <v>15.4275</v>
      </c>
      <c r="BE905" s="121">
        <v>17.063000000000002</v>
      </c>
      <c r="BF905" s="121">
        <v>18.610500000000002</v>
      </c>
      <c r="BG905" s="121">
        <v>20.158000000000001</v>
      </c>
      <c r="BH905" s="121">
        <v>21.617000000000001</v>
      </c>
      <c r="BI905" s="121">
        <v>23.076000000000001</v>
      </c>
      <c r="BJ905" s="121">
        <v>24.502499999999998</v>
      </c>
      <c r="BK905" s="121">
        <v>25.929000000000002</v>
      </c>
      <c r="BL905" s="121">
        <v>27.307500000000001</v>
      </c>
      <c r="BM905" s="121">
        <v>28.686</v>
      </c>
      <c r="BN905" s="121">
        <v>30.053750000000001</v>
      </c>
      <c r="BO905" s="121">
        <v>31.421500000000002</v>
      </c>
      <c r="BP905" s="121">
        <v>32.751999999999995</v>
      </c>
      <c r="BQ905" s="121">
        <v>34.082499999999996</v>
      </c>
      <c r="BR905" s="121">
        <v>35.4</v>
      </c>
      <c r="BS905" s="121">
        <v>36.717500000000001</v>
      </c>
      <c r="BT905" s="121">
        <v>38.016000000000005</v>
      </c>
      <c r="BU905" s="121">
        <v>39.314500000000002</v>
      </c>
      <c r="BV905" s="121">
        <v>40.602249999999998</v>
      </c>
      <c r="BW905" s="121">
        <v>41.89</v>
      </c>
      <c r="BX905" s="121">
        <v>43.172499999999999</v>
      </c>
      <c r="BY905" s="121">
        <v>44.454999999999998</v>
      </c>
      <c r="BZ905" s="121">
        <v>45.704999999999998</v>
      </c>
      <c r="CA905" s="121">
        <v>46.954999999999998</v>
      </c>
      <c r="CB905" s="121">
        <v>48.220999999999997</v>
      </c>
      <c r="CC905" s="121">
        <v>49.486999999999995</v>
      </c>
      <c r="CD905" s="121">
        <v>50.729750000000003</v>
      </c>
      <c r="CE905" s="121">
        <v>51.972499999999997</v>
      </c>
      <c r="CF905" s="121">
        <v>53.206500000000005</v>
      </c>
      <c r="CG905" s="121">
        <v>54.4405</v>
      </c>
      <c r="CH905" s="121">
        <v>55.691000000000003</v>
      </c>
      <c r="CI905" s="121">
        <v>56.941500000000005</v>
      </c>
      <c r="CJ905" s="121">
        <v>58.159750000000003</v>
      </c>
      <c r="CK905" s="121">
        <v>59.378</v>
      </c>
      <c r="CL905" s="121">
        <v>60.585749999999997</v>
      </c>
      <c r="CM905" s="121">
        <v>61.793499999999995</v>
      </c>
      <c r="CN905" s="121">
        <v>63.011250000000004</v>
      </c>
      <c r="CO905" s="121">
        <v>64.228999999999999</v>
      </c>
      <c r="CP905" s="121">
        <v>65.450500000000005</v>
      </c>
      <c r="CQ905" s="121">
        <v>66.456000000000003</v>
      </c>
      <c r="CR905" s="160">
        <v>67.890000000000015</v>
      </c>
      <c r="CS905" s="160">
        <v>68.929500000000004</v>
      </c>
      <c r="CT905" s="160">
        <v>70.28325000000001</v>
      </c>
      <c r="CU905" s="160">
        <v>71.396500000000003</v>
      </c>
      <c r="CV905" s="160">
        <v>72.676749999999998</v>
      </c>
      <c r="CW905" s="160">
        <f t="array" ref="CW905:CW914">TRANSPOSE(CX904:DG904)</f>
        <v>73.864000000000004</v>
      </c>
      <c r="CX905" s="120">
        <f>(CW905+CY905)/2</f>
        <v>75.065750000000008</v>
      </c>
      <c r="CY905" s="120">
        <f>(CY904+CY906)/2</f>
        <v>76.267499999999998</v>
      </c>
      <c r="CZ905" s="120">
        <f>(CY905+DA905)/2</f>
        <v>77.453499999999991</v>
      </c>
      <c r="DA905" s="120">
        <f>(DA904+DA906)/2</f>
        <v>78.639499999999998</v>
      </c>
      <c r="DB905" s="120">
        <f>(DA905+DC905)/2</f>
        <v>79.814750000000004</v>
      </c>
      <c r="DC905" s="120">
        <f>(DC904+DC906)/2</f>
        <v>80.990000000000009</v>
      </c>
      <c r="DD905" s="120">
        <f>(DC905+DE905)/2</f>
        <v>82.179500000000004</v>
      </c>
      <c r="DE905" s="120">
        <f>(DE904+DE906)/2</f>
        <v>83.369</v>
      </c>
      <c r="DF905" s="120">
        <f>(DE905+DG905)/2</f>
        <v>84.555250000000001</v>
      </c>
      <c r="DG905" s="122">
        <f>(DG904+DG906)/2</f>
        <v>85.741500000000002</v>
      </c>
    </row>
    <row r="906" spans="54:111" ht="15" customHeight="1" x14ac:dyDescent="0.2">
      <c r="BB906" s="28">
        <v>52</v>
      </c>
      <c r="BC906" s="121">
        <v>13.987</v>
      </c>
      <c r="BD906" s="121">
        <v>15.649000000000001</v>
      </c>
      <c r="BE906" s="121">
        <v>17.311</v>
      </c>
      <c r="BF906" s="121">
        <v>18.893000000000001</v>
      </c>
      <c r="BG906" s="121">
        <v>20.475000000000001</v>
      </c>
      <c r="BH906" s="121">
        <v>21.944500000000001</v>
      </c>
      <c r="BI906" s="121">
        <v>23.414000000000001</v>
      </c>
      <c r="BJ906" s="121">
        <v>24.861000000000001</v>
      </c>
      <c r="BK906" s="121">
        <v>26.308</v>
      </c>
      <c r="BL906" s="121">
        <v>27.713000000000001</v>
      </c>
      <c r="BM906" s="121">
        <v>29.117999999999999</v>
      </c>
      <c r="BN906" s="121">
        <v>30.5015</v>
      </c>
      <c r="BO906" s="121">
        <v>31.885000000000002</v>
      </c>
      <c r="BP906" s="121">
        <v>33.2575</v>
      </c>
      <c r="BQ906" s="121">
        <v>34.630000000000003</v>
      </c>
      <c r="BR906" s="121">
        <v>35.955500000000001</v>
      </c>
      <c r="BS906" s="121">
        <v>37.280999999999999</v>
      </c>
      <c r="BT906" s="121">
        <v>38.589500000000001</v>
      </c>
      <c r="BU906" s="121">
        <v>39.898000000000003</v>
      </c>
      <c r="BV906" s="121">
        <v>41.217500000000001</v>
      </c>
      <c r="BW906" s="121">
        <v>42.536999999999999</v>
      </c>
      <c r="BX906" s="121">
        <v>43.846000000000004</v>
      </c>
      <c r="BY906" s="121">
        <v>45.155000000000001</v>
      </c>
      <c r="BZ906" s="121">
        <v>46.409500000000001</v>
      </c>
      <c r="CA906" s="121">
        <v>47.664000000000001</v>
      </c>
      <c r="CB906" s="121">
        <v>48.972499999999997</v>
      </c>
      <c r="CC906" s="121">
        <v>50.280999999999999</v>
      </c>
      <c r="CD906" s="121">
        <v>51.542500000000004</v>
      </c>
      <c r="CE906" s="121">
        <v>52.804000000000002</v>
      </c>
      <c r="CF906" s="121">
        <v>54.048500000000004</v>
      </c>
      <c r="CG906" s="121">
        <v>55.292999999999999</v>
      </c>
      <c r="CH906" s="121">
        <v>56.547499999999999</v>
      </c>
      <c r="CI906" s="121">
        <v>57.802</v>
      </c>
      <c r="CJ906" s="121">
        <v>59.046999999999997</v>
      </c>
      <c r="CK906" s="121">
        <v>60.292000000000002</v>
      </c>
      <c r="CL906" s="121">
        <v>61.515000000000001</v>
      </c>
      <c r="CM906" s="121">
        <v>62.738</v>
      </c>
      <c r="CN906" s="121">
        <v>63.982500000000002</v>
      </c>
      <c r="CO906" s="121">
        <v>65.227000000000004</v>
      </c>
      <c r="CP906" s="121">
        <v>66.456000000000003</v>
      </c>
      <c r="CQ906" s="121">
        <v>67.685000000000002</v>
      </c>
      <c r="CR906" s="160">
        <v>68.929500000000004</v>
      </c>
      <c r="CS906" s="160">
        <v>70.174000000000007</v>
      </c>
      <c r="CT906" s="160">
        <v>71.396500000000003</v>
      </c>
      <c r="CU906" s="160">
        <v>72.619</v>
      </c>
      <c r="CV906" s="160">
        <v>73.864000000000004</v>
      </c>
      <c r="CW906" s="160">
        <v>75.108999999999995</v>
      </c>
      <c r="CX906" s="121">
        <f t="array" ref="CX906:CX914">TRANSPOSE(CY905:DG905)</f>
        <v>76.267499999999998</v>
      </c>
      <c r="CY906" s="158">
        <v>77.426000000000002</v>
      </c>
      <c r="CZ906" s="121">
        <f>DA905</f>
        <v>78.639499999999998</v>
      </c>
      <c r="DA906" s="158">
        <v>79.915000000000006</v>
      </c>
      <c r="DB906" s="121">
        <f>DC905</f>
        <v>80.990000000000009</v>
      </c>
      <c r="DC906" s="158">
        <v>82.231999999999999</v>
      </c>
      <c r="DD906" s="121">
        <f>DE905</f>
        <v>83.369</v>
      </c>
      <c r="DE906" s="158">
        <v>84.734999999999999</v>
      </c>
      <c r="DF906" s="121">
        <f>DG905</f>
        <v>85.741500000000002</v>
      </c>
      <c r="DG906" s="159">
        <v>87.052000000000007</v>
      </c>
    </row>
    <row r="907" spans="54:111" ht="15" customHeight="1" x14ac:dyDescent="0.2">
      <c r="BB907" s="28">
        <v>53</v>
      </c>
      <c r="BC907" s="121">
        <v>14.211</v>
      </c>
      <c r="BD907" s="121">
        <v>15.87725</v>
      </c>
      <c r="BE907" s="121">
        <v>17.543500000000002</v>
      </c>
      <c r="BF907" s="121">
        <v>19.14875</v>
      </c>
      <c r="BG907" s="121">
        <v>20.754000000000001</v>
      </c>
      <c r="BH907" s="121">
        <v>22.258250000000004</v>
      </c>
      <c r="BI907" s="121">
        <v>23.762500000000003</v>
      </c>
      <c r="BJ907" s="121">
        <v>25.236000000000001</v>
      </c>
      <c r="BK907" s="121">
        <v>26.709499999999998</v>
      </c>
      <c r="BL907" s="121">
        <v>28.118749999999999</v>
      </c>
      <c r="BM907" s="121">
        <v>29.527999999999999</v>
      </c>
      <c r="BN907" s="121">
        <v>30.940999999999999</v>
      </c>
      <c r="BO907" s="121">
        <v>32.353999999999999</v>
      </c>
      <c r="BP907" s="121">
        <v>33.742249999999999</v>
      </c>
      <c r="BQ907" s="121">
        <v>35.130499999999998</v>
      </c>
      <c r="BR907" s="121">
        <v>36.478999999999999</v>
      </c>
      <c r="BS907" s="121">
        <v>37.827500000000001</v>
      </c>
      <c r="BT907" s="121">
        <v>39.160250000000005</v>
      </c>
      <c r="BU907" s="121">
        <v>40.493000000000002</v>
      </c>
      <c r="BV907" s="121">
        <v>41.822500000000005</v>
      </c>
      <c r="BW907" s="121">
        <v>43.152000000000001</v>
      </c>
      <c r="BX907" s="121">
        <v>44.492249999999999</v>
      </c>
      <c r="BY907" s="121">
        <v>45.832499999999996</v>
      </c>
      <c r="BZ907" s="121">
        <v>47.113500000000002</v>
      </c>
      <c r="CA907" s="121">
        <v>48.394500000000001</v>
      </c>
      <c r="CB907" s="121">
        <v>49.710999999999999</v>
      </c>
      <c r="CC907" s="121">
        <v>51.027500000000003</v>
      </c>
      <c r="CD907" s="121">
        <v>52.312000000000005</v>
      </c>
      <c r="CE907" s="121">
        <v>53.596500000000006</v>
      </c>
      <c r="CF907" s="121">
        <v>54.872500000000002</v>
      </c>
      <c r="CG907" s="121">
        <v>56.148499999999999</v>
      </c>
      <c r="CH907" s="121">
        <v>57.41675</v>
      </c>
      <c r="CI907" s="121">
        <v>58.685000000000002</v>
      </c>
      <c r="CJ907" s="121">
        <v>59.9345</v>
      </c>
      <c r="CK907" s="121">
        <v>61.183999999999997</v>
      </c>
      <c r="CL907" s="121">
        <v>62.465249999999997</v>
      </c>
      <c r="CM907" s="121">
        <v>63.746499999999997</v>
      </c>
      <c r="CN907" s="121">
        <v>65.009749999999997</v>
      </c>
      <c r="CO907" s="121">
        <v>66.272999999999996</v>
      </c>
      <c r="CP907" s="121">
        <v>67.52525</v>
      </c>
      <c r="CQ907" s="121">
        <v>68.594500000000011</v>
      </c>
      <c r="CR907" s="160">
        <v>70.026499999999999</v>
      </c>
      <c r="CS907" s="160">
        <v>71.123500000000007</v>
      </c>
      <c r="CT907" s="160">
        <v>72.495750000000001</v>
      </c>
      <c r="CU907" s="160">
        <v>73.594999999999999</v>
      </c>
      <c r="CV907" s="160">
        <v>74.976250000000007</v>
      </c>
      <c r="CW907" s="160">
        <v>76.08850000000001</v>
      </c>
      <c r="CX907" s="160">
        <v>77.453499999999991</v>
      </c>
      <c r="CY907" s="160">
        <f t="array" ref="CY907:CY914">TRANSPOSE(CZ906:DG906)</f>
        <v>78.639499999999998</v>
      </c>
      <c r="CZ907" s="120">
        <f>(CY907+DA907)/2</f>
        <v>79.907250000000005</v>
      </c>
      <c r="DA907" s="120">
        <f>(DA906+DA908)/2</f>
        <v>81.175000000000011</v>
      </c>
      <c r="DB907" s="120">
        <f>(DA907+DC907)/2</f>
        <v>82.344000000000008</v>
      </c>
      <c r="DC907" s="120">
        <f>(DC906+DC908)/2</f>
        <v>83.513000000000005</v>
      </c>
      <c r="DD907" s="120">
        <f>(DC907+DE907)/2</f>
        <v>84.776499999999999</v>
      </c>
      <c r="DE907" s="120">
        <f>(DE906+DE908)/2</f>
        <v>86.039999999999992</v>
      </c>
      <c r="DF907" s="120">
        <f>(DE907+DG907)/2</f>
        <v>87.260249999999999</v>
      </c>
      <c r="DG907" s="122">
        <f>(DG906+DG908)/2</f>
        <v>88.480500000000006</v>
      </c>
    </row>
    <row r="908" spans="54:111" ht="15" customHeight="1" x14ac:dyDescent="0.2">
      <c r="BB908" s="28">
        <v>54</v>
      </c>
      <c r="BC908" s="121">
        <v>14.435</v>
      </c>
      <c r="BD908" s="121">
        <v>16.105499999999999</v>
      </c>
      <c r="BE908" s="121">
        <v>17.776</v>
      </c>
      <c r="BF908" s="121">
        <v>19.404499999999999</v>
      </c>
      <c r="BG908" s="121">
        <v>21.033000000000001</v>
      </c>
      <c r="BH908" s="121">
        <v>22.572000000000003</v>
      </c>
      <c r="BI908" s="121">
        <v>24.111000000000001</v>
      </c>
      <c r="BJ908" s="121">
        <v>25.611000000000001</v>
      </c>
      <c r="BK908" s="121">
        <v>27.111000000000001</v>
      </c>
      <c r="BL908" s="121">
        <v>28.5245</v>
      </c>
      <c r="BM908" s="121">
        <v>29.937999999999999</v>
      </c>
      <c r="BN908" s="121">
        <v>31.380499999999998</v>
      </c>
      <c r="BO908" s="121">
        <v>32.823</v>
      </c>
      <c r="BP908" s="121">
        <v>34.227000000000004</v>
      </c>
      <c r="BQ908" s="121">
        <v>35.631</v>
      </c>
      <c r="BR908" s="121">
        <v>37.002499999999998</v>
      </c>
      <c r="BS908" s="121">
        <v>38.374000000000002</v>
      </c>
      <c r="BT908" s="121">
        <v>39.731000000000002</v>
      </c>
      <c r="BU908" s="121">
        <v>41.088000000000001</v>
      </c>
      <c r="BV908" s="121">
        <v>42.427500000000002</v>
      </c>
      <c r="BW908" s="121">
        <v>43.767000000000003</v>
      </c>
      <c r="BX908" s="121">
        <v>45.138500000000001</v>
      </c>
      <c r="BY908" s="121">
        <v>46.51</v>
      </c>
      <c r="BZ908" s="121">
        <v>47.817499999999995</v>
      </c>
      <c r="CA908" s="121">
        <v>49.125</v>
      </c>
      <c r="CB908" s="121">
        <v>50.4495</v>
      </c>
      <c r="CC908" s="121">
        <v>51.774000000000001</v>
      </c>
      <c r="CD908" s="121">
        <v>53.081500000000005</v>
      </c>
      <c r="CE908" s="121">
        <v>54.389000000000003</v>
      </c>
      <c r="CF908" s="121">
        <v>55.6965</v>
      </c>
      <c r="CG908" s="121">
        <v>57.003999999999998</v>
      </c>
      <c r="CH908" s="121">
        <v>58.286000000000001</v>
      </c>
      <c r="CI908" s="121">
        <v>59.567999999999998</v>
      </c>
      <c r="CJ908" s="121">
        <v>60.822000000000003</v>
      </c>
      <c r="CK908" s="121">
        <v>62.076000000000001</v>
      </c>
      <c r="CL908" s="121">
        <v>63.415499999999994</v>
      </c>
      <c r="CM908" s="121">
        <v>64.754999999999995</v>
      </c>
      <c r="CN908" s="121">
        <v>66.037000000000006</v>
      </c>
      <c r="CO908" s="121">
        <v>67.319000000000003</v>
      </c>
      <c r="CP908" s="121">
        <v>68.594500000000011</v>
      </c>
      <c r="CQ908" s="121">
        <v>69.87</v>
      </c>
      <c r="CR908" s="160">
        <v>71.123500000000007</v>
      </c>
      <c r="CS908" s="160">
        <v>72.376999999999995</v>
      </c>
      <c r="CT908" s="160">
        <v>73.594999999999999</v>
      </c>
      <c r="CU908" s="160">
        <v>74.813000000000002</v>
      </c>
      <c r="CV908" s="160">
        <v>76.08850000000001</v>
      </c>
      <c r="CW908" s="160">
        <v>77.364000000000004</v>
      </c>
      <c r="CX908" s="160">
        <v>78.639499999999998</v>
      </c>
      <c r="CY908" s="160">
        <v>79.915000000000006</v>
      </c>
      <c r="CZ908" s="121">
        <f t="array" ref="CZ908:CZ914">TRANSPOSE(DA907:DG907)</f>
        <v>81.175000000000011</v>
      </c>
      <c r="DA908" s="158">
        <v>82.435000000000002</v>
      </c>
      <c r="DB908" s="121">
        <f>DC907</f>
        <v>83.513000000000005</v>
      </c>
      <c r="DC908" s="158">
        <v>84.793999999999997</v>
      </c>
      <c r="DD908" s="121">
        <f>DE907</f>
        <v>86.039999999999992</v>
      </c>
      <c r="DE908" s="158">
        <v>87.344999999999999</v>
      </c>
      <c r="DF908" s="121">
        <f>DG907</f>
        <v>88.480500000000006</v>
      </c>
      <c r="DG908" s="159">
        <v>89.909000000000006</v>
      </c>
    </row>
    <row r="909" spans="54:111" ht="15" customHeight="1" x14ac:dyDescent="0.2">
      <c r="BB909" s="28">
        <v>55</v>
      </c>
      <c r="BC909" s="121">
        <v>14.597999999999999</v>
      </c>
      <c r="BD909" s="121">
        <v>16.311</v>
      </c>
      <c r="BE909" s="121">
        <v>18.024000000000001</v>
      </c>
      <c r="BF909" s="121">
        <v>19.671499999999998</v>
      </c>
      <c r="BG909" s="121">
        <v>21.319000000000003</v>
      </c>
      <c r="BH909" s="121">
        <v>22.87</v>
      </c>
      <c r="BI909" s="121">
        <v>24.420999999999999</v>
      </c>
      <c r="BJ909" s="121">
        <v>25.939500000000002</v>
      </c>
      <c r="BK909" s="121">
        <v>27.457999999999998</v>
      </c>
      <c r="BL909" s="121">
        <v>28.914250000000003</v>
      </c>
      <c r="BM909" s="121">
        <v>30.3705</v>
      </c>
      <c r="BN909" s="121">
        <v>31.828499999999998</v>
      </c>
      <c r="BO909" s="121">
        <v>33.286500000000004</v>
      </c>
      <c r="BP909" s="121">
        <v>34.705750000000002</v>
      </c>
      <c r="BQ909" s="121">
        <v>36.125</v>
      </c>
      <c r="BR909" s="121">
        <v>37.53125</v>
      </c>
      <c r="BS909" s="121">
        <v>38.9375</v>
      </c>
      <c r="BT909" s="121">
        <v>40.317499999999995</v>
      </c>
      <c r="BU909" s="121">
        <v>41.697500000000005</v>
      </c>
      <c r="BV909" s="121">
        <v>43.055999999999997</v>
      </c>
      <c r="BW909" s="121">
        <v>44.414500000000004</v>
      </c>
      <c r="BX909" s="121">
        <v>45.785499999999999</v>
      </c>
      <c r="BY909" s="121">
        <v>47.156499999999994</v>
      </c>
      <c r="BZ909" s="121">
        <v>48.498499999999993</v>
      </c>
      <c r="CA909" s="121">
        <v>49.840499999999999</v>
      </c>
      <c r="CB909" s="121">
        <v>51.188000000000002</v>
      </c>
      <c r="CC909" s="121">
        <v>52.535499999999999</v>
      </c>
      <c r="CD909" s="121">
        <v>53.861750000000001</v>
      </c>
      <c r="CE909" s="121">
        <v>55.188000000000002</v>
      </c>
      <c r="CF909" s="121">
        <v>56.511250000000004</v>
      </c>
      <c r="CG909" s="121">
        <v>57.834499999999998</v>
      </c>
      <c r="CH909" s="121">
        <v>59.131999999999998</v>
      </c>
      <c r="CI909" s="121">
        <v>60.429499999999997</v>
      </c>
      <c r="CJ909" s="121">
        <v>61.741749999999996</v>
      </c>
      <c r="CK909" s="121">
        <v>63.054000000000002</v>
      </c>
      <c r="CL909" s="121">
        <v>64.38024999999999</v>
      </c>
      <c r="CM909" s="121">
        <v>65.706500000000005</v>
      </c>
      <c r="CN909" s="121">
        <v>67.000750000000011</v>
      </c>
      <c r="CO909" s="121">
        <v>68.295000000000002</v>
      </c>
      <c r="CP909" s="121">
        <v>69.588999999999999</v>
      </c>
      <c r="CQ909" s="121">
        <v>70.583500000000001</v>
      </c>
      <c r="CR909" s="160">
        <v>72.163000000000011</v>
      </c>
      <c r="CS909" s="160">
        <v>73.202500000000001</v>
      </c>
      <c r="CT909" s="160">
        <v>74.708500000000001</v>
      </c>
      <c r="CU909" s="160">
        <v>75.822000000000003</v>
      </c>
      <c r="CV909" s="160">
        <v>77.265000000000015</v>
      </c>
      <c r="CW909" s="160">
        <v>78.441500000000005</v>
      </c>
      <c r="CX909" s="160">
        <v>79.814750000000004</v>
      </c>
      <c r="CY909" s="160">
        <v>80.990000000000009</v>
      </c>
      <c r="CZ909" s="160">
        <v>82.344000000000008</v>
      </c>
      <c r="DA909" s="160">
        <f t="array" ref="DA909:DA914">TRANSPOSE(DB908:DG908)</f>
        <v>83.513000000000005</v>
      </c>
      <c r="DB909" s="120">
        <f>(DA909+DC909)/2</f>
        <v>84.806749999999994</v>
      </c>
      <c r="DC909" s="120">
        <f>(DC908+DC910)/2</f>
        <v>86.100499999999997</v>
      </c>
      <c r="DD909" s="120">
        <f>(DC909+DE909)/2</f>
        <v>87.394749999999988</v>
      </c>
      <c r="DE909" s="120">
        <f>(DE908+DE910)/2</f>
        <v>88.688999999999993</v>
      </c>
      <c r="DF909" s="120">
        <f>(DE909+DG909)/2</f>
        <v>89.983000000000004</v>
      </c>
      <c r="DG909" s="122">
        <f>(DG908+DG910)/2</f>
        <v>91.277000000000001</v>
      </c>
    </row>
    <row r="910" spans="54:111" ht="15" customHeight="1" x14ac:dyDescent="0.2">
      <c r="BB910" s="28">
        <v>56</v>
      </c>
      <c r="BC910" s="121">
        <v>14.760999999999999</v>
      </c>
      <c r="BD910" s="121">
        <v>16.516500000000001</v>
      </c>
      <c r="BE910" s="121">
        <v>18.271999999999998</v>
      </c>
      <c r="BF910" s="121">
        <v>19.938499999999998</v>
      </c>
      <c r="BG910" s="121">
        <v>21.605</v>
      </c>
      <c r="BH910" s="121">
        <v>23.167999999999999</v>
      </c>
      <c r="BI910" s="121">
        <v>24.731000000000002</v>
      </c>
      <c r="BJ910" s="121">
        <v>26.268000000000001</v>
      </c>
      <c r="BK910" s="121">
        <v>27.805</v>
      </c>
      <c r="BL910" s="121">
        <v>29.304000000000002</v>
      </c>
      <c r="BM910" s="121">
        <v>30.803000000000001</v>
      </c>
      <c r="BN910" s="121">
        <v>32.276499999999999</v>
      </c>
      <c r="BO910" s="121">
        <v>33.75</v>
      </c>
      <c r="BP910" s="121">
        <v>35.1845</v>
      </c>
      <c r="BQ910" s="121">
        <v>36.619</v>
      </c>
      <c r="BR910" s="121">
        <v>38.06</v>
      </c>
      <c r="BS910" s="121">
        <v>39.500999999999998</v>
      </c>
      <c r="BT910" s="121">
        <v>40.903999999999996</v>
      </c>
      <c r="BU910" s="121">
        <v>42.307000000000002</v>
      </c>
      <c r="BV910" s="121">
        <v>43.6845</v>
      </c>
      <c r="BW910" s="121">
        <v>45.061999999999998</v>
      </c>
      <c r="BX910" s="121">
        <v>46.432499999999997</v>
      </c>
      <c r="BY910" s="121">
        <v>47.802999999999997</v>
      </c>
      <c r="BZ910" s="121">
        <v>49.179499999999997</v>
      </c>
      <c r="CA910" s="121">
        <v>50.555999999999997</v>
      </c>
      <c r="CB910" s="121">
        <v>51.926499999999997</v>
      </c>
      <c r="CC910" s="121">
        <v>53.296999999999997</v>
      </c>
      <c r="CD910" s="121">
        <v>54.641999999999996</v>
      </c>
      <c r="CE910" s="121">
        <v>55.987000000000002</v>
      </c>
      <c r="CF910" s="121">
        <v>57.326000000000001</v>
      </c>
      <c r="CG910" s="121">
        <v>58.664999999999999</v>
      </c>
      <c r="CH910" s="121">
        <v>59.977999999999994</v>
      </c>
      <c r="CI910" s="121">
        <v>61.290999999999997</v>
      </c>
      <c r="CJ910" s="121">
        <v>62.661499999999997</v>
      </c>
      <c r="CK910" s="121">
        <v>64.031999999999996</v>
      </c>
      <c r="CL910" s="121">
        <v>65.344999999999999</v>
      </c>
      <c r="CM910" s="121">
        <v>66.658000000000001</v>
      </c>
      <c r="CN910" s="121">
        <v>67.964500000000001</v>
      </c>
      <c r="CO910" s="121">
        <v>69.271000000000001</v>
      </c>
      <c r="CP910" s="121">
        <v>70.583500000000001</v>
      </c>
      <c r="CQ910" s="121">
        <v>71.896000000000001</v>
      </c>
      <c r="CR910" s="160">
        <v>73.202500000000001</v>
      </c>
      <c r="CS910" s="160">
        <v>74.509</v>
      </c>
      <c r="CT910" s="160">
        <v>75.822000000000003</v>
      </c>
      <c r="CU910" s="160">
        <v>77.135000000000005</v>
      </c>
      <c r="CV910" s="160">
        <v>78.441500000000005</v>
      </c>
      <c r="CW910" s="160">
        <v>79.748000000000005</v>
      </c>
      <c r="CX910" s="160">
        <v>80.990000000000009</v>
      </c>
      <c r="CY910" s="160">
        <v>82.231999999999999</v>
      </c>
      <c r="CZ910" s="160">
        <v>83.513000000000005</v>
      </c>
      <c r="DA910" s="160">
        <v>84.793999999999997</v>
      </c>
      <c r="DB910" s="121">
        <f t="array" ref="DB910:DB914">TRANSPOSE(DC909:DG909)</f>
        <v>86.100499999999997</v>
      </c>
      <c r="DC910" s="158">
        <v>87.406999999999996</v>
      </c>
      <c r="DD910" s="121">
        <f>DE909</f>
        <v>88.688999999999993</v>
      </c>
      <c r="DE910" s="158">
        <v>90.033000000000001</v>
      </c>
      <c r="DF910" s="121">
        <f>DG909</f>
        <v>91.277000000000001</v>
      </c>
      <c r="DG910" s="159">
        <v>92.644999999999996</v>
      </c>
    </row>
    <row r="911" spans="54:111" ht="15" customHeight="1" x14ac:dyDescent="0.2">
      <c r="BB911" s="28">
        <v>57</v>
      </c>
      <c r="BC911" s="121">
        <v>14.978</v>
      </c>
      <c r="BD911" s="121">
        <v>16.75225</v>
      </c>
      <c r="BE911" s="121">
        <v>18.526499999999999</v>
      </c>
      <c r="BF911" s="121">
        <v>20.20825</v>
      </c>
      <c r="BG911" s="121">
        <v>21.89</v>
      </c>
      <c r="BH911" s="121">
        <v>23.484500000000001</v>
      </c>
      <c r="BI911" s="121">
        <v>25.079000000000001</v>
      </c>
      <c r="BJ911" s="121">
        <v>26.642499999999998</v>
      </c>
      <c r="BK911" s="121">
        <v>28.206</v>
      </c>
      <c r="BL911" s="121">
        <v>29.720500000000001</v>
      </c>
      <c r="BM911" s="121">
        <v>31.234999999999999</v>
      </c>
      <c r="BN911" s="121">
        <v>32.723749999999995</v>
      </c>
      <c r="BO911" s="121">
        <v>34.212499999999999</v>
      </c>
      <c r="BP911" s="121">
        <v>35.665999999999997</v>
      </c>
      <c r="BQ911" s="121">
        <v>37.119500000000002</v>
      </c>
      <c r="BR911" s="121">
        <v>38.583750000000002</v>
      </c>
      <c r="BS911" s="121">
        <v>40.048000000000002</v>
      </c>
      <c r="BT911" s="121">
        <v>41.469749999999998</v>
      </c>
      <c r="BU911" s="121">
        <v>42.891500000000001</v>
      </c>
      <c r="BV911" s="121">
        <v>44.3</v>
      </c>
      <c r="BW911" s="121">
        <v>45.708500000000001</v>
      </c>
      <c r="BX911" s="121">
        <v>47.094499999999996</v>
      </c>
      <c r="BY911" s="121">
        <v>48.480499999999999</v>
      </c>
      <c r="BZ911" s="121">
        <v>49.883749999999999</v>
      </c>
      <c r="CA911" s="121">
        <v>51.286999999999999</v>
      </c>
      <c r="CB911" s="121">
        <v>52.676249999999996</v>
      </c>
      <c r="CC911" s="121">
        <v>54.0655</v>
      </c>
      <c r="CD911" s="121">
        <v>55.422499999999999</v>
      </c>
      <c r="CE911" s="121">
        <v>56.779499999999999</v>
      </c>
      <c r="CF911" s="121">
        <v>58.137250000000002</v>
      </c>
      <c r="CG911" s="121">
        <v>59.495000000000005</v>
      </c>
      <c r="CH911" s="121">
        <v>60.866500000000002</v>
      </c>
      <c r="CI911" s="121">
        <v>62.238</v>
      </c>
      <c r="CJ911" s="121">
        <v>63.59174999999999</v>
      </c>
      <c r="CK911" s="121">
        <v>64.945499999999996</v>
      </c>
      <c r="CL911" s="121">
        <v>66.274000000000001</v>
      </c>
      <c r="CM911" s="121">
        <v>67.602499999999992</v>
      </c>
      <c r="CN911" s="121">
        <v>68.924250000000001</v>
      </c>
      <c r="CO911" s="121">
        <v>70.246000000000009</v>
      </c>
      <c r="CP911" s="121">
        <v>71.585250000000002</v>
      </c>
      <c r="CQ911" s="121">
        <v>72.587000000000003</v>
      </c>
      <c r="CR911" s="160">
        <v>74.249500000000012</v>
      </c>
      <c r="CS911" s="160">
        <v>75.296500000000009</v>
      </c>
      <c r="CT911" s="160">
        <v>76.900000000000006</v>
      </c>
      <c r="CU911" s="160">
        <v>77.978000000000009</v>
      </c>
      <c r="CV911" s="160">
        <v>79.5505</v>
      </c>
      <c r="CW911" s="160">
        <v>80.659500000000008</v>
      </c>
      <c r="CX911" s="160">
        <v>82.179500000000004</v>
      </c>
      <c r="CY911" s="160">
        <v>83.369</v>
      </c>
      <c r="CZ911" s="160">
        <v>84.776499999999999</v>
      </c>
      <c r="DA911" s="160">
        <v>86.039999999999992</v>
      </c>
      <c r="DB911" s="160">
        <v>87.394749999999988</v>
      </c>
      <c r="DC911" s="160">
        <f t="array" ref="DC911:DC914">TRANSPOSE(DD910:DG910)</f>
        <v>88.688999999999993</v>
      </c>
      <c r="DD911" s="120">
        <f>(DC911+DE911)/2</f>
        <v>90.032749999999993</v>
      </c>
      <c r="DE911" s="120">
        <f>(DE910+DE912)/2</f>
        <v>91.376499999999993</v>
      </c>
      <c r="DF911" s="120">
        <f>(DE911+DG911)/2</f>
        <v>92.661000000000001</v>
      </c>
      <c r="DG911" s="122">
        <f>(DG910+DG912)/2</f>
        <v>93.945499999999996</v>
      </c>
    </row>
    <row r="912" spans="54:111" ht="15" customHeight="1" x14ac:dyDescent="0.2">
      <c r="BB912" s="28">
        <v>58</v>
      </c>
      <c r="BC912" s="121">
        <v>15.195</v>
      </c>
      <c r="BD912" s="121">
        <v>16.988</v>
      </c>
      <c r="BE912" s="121">
        <v>18.780999999999999</v>
      </c>
      <c r="BF912" s="121">
        <v>20.478000000000002</v>
      </c>
      <c r="BG912" s="121">
        <v>22.175000000000001</v>
      </c>
      <c r="BH912" s="121">
        <v>23.801000000000002</v>
      </c>
      <c r="BI912" s="121">
        <v>25.427</v>
      </c>
      <c r="BJ912" s="121">
        <v>27.016999999999999</v>
      </c>
      <c r="BK912" s="121">
        <v>28.606999999999999</v>
      </c>
      <c r="BL912" s="121">
        <v>30.137</v>
      </c>
      <c r="BM912" s="121">
        <v>31.667000000000002</v>
      </c>
      <c r="BN912" s="121">
        <v>33.170999999999999</v>
      </c>
      <c r="BO912" s="121">
        <v>34.674999999999997</v>
      </c>
      <c r="BP912" s="121">
        <v>36.147499999999994</v>
      </c>
      <c r="BQ912" s="121">
        <v>37.619999999999997</v>
      </c>
      <c r="BR912" s="121">
        <v>39.107500000000002</v>
      </c>
      <c r="BS912" s="121">
        <v>40.594999999999999</v>
      </c>
      <c r="BT912" s="121">
        <v>42.035499999999999</v>
      </c>
      <c r="BU912" s="121">
        <v>43.475999999999999</v>
      </c>
      <c r="BV912" s="121">
        <v>44.915499999999994</v>
      </c>
      <c r="BW912" s="121">
        <v>46.354999999999997</v>
      </c>
      <c r="BX912" s="121">
        <v>47.756500000000003</v>
      </c>
      <c r="BY912" s="121">
        <v>49.158000000000001</v>
      </c>
      <c r="BZ912" s="121">
        <v>50.588000000000001</v>
      </c>
      <c r="CA912" s="121">
        <v>52.018000000000001</v>
      </c>
      <c r="CB912" s="121">
        <v>53.426000000000002</v>
      </c>
      <c r="CC912" s="121">
        <v>54.834000000000003</v>
      </c>
      <c r="CD912" s="121">
        <v>56.203000000000003</v>
      </c>
      <c r="CE912" s="121">
        <v>57.572000000000003</v>
      </c>
      <c r="CF912" s="121">
        <v>58.948500000000003</v>
      </c>
      <c r="CG912" s="121">
        <v>60.325000000000003</v>
      </c>
      <c r="CH912" s="121">
        <v>61.755000000000003</v>
      </c>
      <c r="CI912" s="121">
        <v>63.185000000000002</v>
      </c>
      <c r="CJ912" s="121">
        <v>64.521999999999991</v>
      </c>
      <c r="CK912" s="121">
        <v>65.858999999999995</v>
      </c>
      <c r="CL912" s="121">
        <v>67.203000000000003</v>
      </c>
      <c r="CM912" s="121">
        <v>68.546999999999997</v>
      </c>
      <c r="CN912" s="121">
        <v>69.884</v>
      </c>
      <c r="CO912" s="121">
        <v>71.221000000000004</v>
      </c>
      <c r="CP912" s="121">
        <v>72.587000000000003</v>
      </c>
      <c r="CQ912" s="121">
        <v>73.953000000000003</v>
      </c>
      <c r="CR912" s="160">
        <v>75.296500000000009</v>
      </c>
      <c r="CS912" s="160">
        <v>76.64</v>
      </c>
      <c r="CT912" s="160">
        <v>77.978000000000009</v>
      </c>
      <c r="CU912" s="160">
        <v>79.316000000000003</v>
      </c>
      <c r="CV912" s="160">
        <v>80.659500000000008</v>
      </c>
      <c r="CW912" s="160">
        <v>82.003</v>
      </c>
      <c r="CX912" s="160">
        <v>83.369</v>
      </c>
      <c r="CY912" s="160">
        <v>84.734999999999999</v>
      </c>
      <c r="CZ912" s="160">
        <v>86.039999999999992</v>
      </c>
      <c r="DA912" s="160">
        <v>87.344999999999999</v>
      </c>
      <c r="DB912" s="160">
        <v>88.688999999999993</v>
      </c>
      <c r="DC912" s="160">
        <v>90.033000000000001</v>
      </c>
      <c r="DD912" s="121">
        <f t="array" ref="DD912:DD914">TRANSPOSE(DE911:DG911)</f>
        <v>91.376499999999993</v>
      </c>
      <c r="DE912" s="158">
        <v>92.72</v>
      </c>
      <c r="DF912" s="121">
        <f>DG911</f>
        <v>93.945499999999996</v>
      </c>
      <c r="DG912" s="159">
        <v>95.245999999999995</v>
      </c>
    </row>
    <row r="913" spans="54:111" ht="15" customHeight="1" x14ac:dyDescent="0.2">
      <c r="BB913" s="28">
        <v>59</v>
      </c>
      <c r="BC913" s="121">
        <v>15.3965</v>
      </c>
      <c r="BD913" s="121">
        <v>17.213000000000001</v>
      </c>
      <c r="BE913" s="121">
        <v>19.029499999999999</v>
      </c>
      <c r="BF913" s="121">
        <v>20.74175</v>
      </c>
      <c r="BG913" s="121">
        <v>22.454000000000001</v>
      </c>
      <c r="BH913" s="121">
        <v>24.109750000000002</v>
      </c>
      <c r="BI913" s="121">
        <v>25.765499999999999</v>
      </c>
      <c r="BJ913" s="121">
        <v>27.36</v>
      </c>
      <c r="BK913" s="121">
        <v>28.954499999999999</v>
      </c>
      <c r="BL913" s="121">
        <v>30.530250000000002</v>
      </c>
      <c r="BM913" s="121">
        <v>32.106000000000002</v>
      </c>
      <c r="BN913" s="121">
        <v>33.622249999999994</v>
      </c>
      <c r="BO913" s="121">
        <v>35.138499999999993</v>
      </c>
      <c r="BP913" s="121">
        <v>36.637</v>
      </c>
      <c r="BQ913" s="121">
        <v>38.1355</v>
      </c>
      <c r="BR913" s="121">
        <v>39.631</v>
      </c>
      <c r="BS913" s="121">
        <v>41.1265</v>
      </c>
      <c r="BT913" s="121">
        <v>42.593249999999998</v>
      </c>
      <c r="BU913" s="121">
        <v>44.06</v>
      </c>
      <c r="BV913" s="121">
        <v>45.515249999999995</v>
      </c>
      <c r="BW913" s="121">
        <v>46.970500000000001</v>
      </c>
      <c r="BX913" s="121">
        <v>48.414250000000003</v>
      </c>
      <c r="BY913" s="121">
        <v>49.858000000000004</v>
      </c>
      <c r="BZ913" s="121">
        <v>51.292500000000004</v>
      </c>
      <c r="CA913" s="121">
        <v>52.727000000000004</v>
      </c>
      <c r="CB913" s="121">
        <v>54.145250000000004</v>
      </c>
      <c r="CC913" s="121">
        <v>55.563500000000005</v>
      </c>
      <c r="CD913" s="121">
        <v>56.967500000000001</v>
      </c>
      <c r="CE913" s="121">
        <v>58.371499999999997</v>
      </c>
      <c r="CF913" s="121">
        <v>59.774250000000002</v>
      </c>
      <c r="CG913" s="121">
        <v>61.177000000000007</v>
      </c>
      <c r="CH913" s="121">
        <v>62.608249999999998</v>
      </c>
      <c r="CI913" s="121">
        <v>64.039500000000004</v>
      </c>
      <c r="CJ913" s="121">
        <v>65.40625</v>
      </c>
      <c r="CK913" s="121">
        <v>66.772999999999996</v>
      </c>
      <c r="CL913" s="121">
        <v>68.132249999999999</v>
      </c>
      <c r="CM913" s="121">
        <v>69.491500000000002</v>
      </c>
      <c r="CN913" s="121">
        <v>70.890500000000003</v>
      </c>
      <c r="CO913" s="121">
        <v>72.289500000000004</v>
      </c>
      <c r="CP913" s="121">
        <v>73.659750000000003</v>
      </c>
      <c r="CQ913" s="121">
        <v>74.732500000000002</v>
      </c>
      <c r="CR913" s="160">
        <v>76.397000000000006</v>
      </c>
      <c r="CS913" s="160">
        <v>77.497500000000002</v>
      </c>
      <c r="CT913" s="160">
        <v>79.120249999999999</v>
      </c>
      <c r="CU913" s="160">
        <v>80.262500000000003</v>
      </c>
      <c r="CV913" s="160">
        <v>81.84675</v>
      </c>
      <c r="CW913" s="160">
        <v>83.033999999999992</v>
      </c>
      <c r="CX913" s="160">
        <v>84.555250000000001</v>
      </c>
      <c r="CY913" s="160">
        <v>85.741500000000002</v>
      </c>
      <c r="CZ913" s="160">
        <v>87.260249999999999</v>
      </c>
      <c r="DA913" s="160">
        <v>88.480500000000006</v>
      </c>
      <c r="DB913" s="160">
        <v>89.983000000000004</v>
      </c>
      <c r="DC913" s="160">
        <v>91.277000000000001</v>
      </c>
      <c r="DD913" s="160">
        <v>92.661000000000001</v>
      </c>
      <c r="DE913" s="160">
        <f t="array" ref="DE913:DE914">TRANSPOSE(DF912:DG912)</f>
        <v>93.945499999999996</v>
      </c>
      <c r="DF913" s="120">
        <f>(DE913+DG913)/2</f>
        <v>95.283249999999995</v>
      </c>
      <c r="DG913" s="122">
        <f>(DG912+DG914)/2</f>
        <v>96.620999999999995</v>
      </c>
    </row>
    <row r="914" spans="54:111" ht="15" customHeight="1" thickBot="1" x14ac:dyDescent="0.25">
      <c r="BB914" s="149">
        <v>60</v>
      </c>
      <c r="BC914" s="123">
        <v>15.598000000000001</v>
      </c>
      <c r="BD914" s="123">
        <v>17.437999999999999</v>
      </c>
      <c r="BE914" s="123">
        <v>19.277999999999999</v>
      </c>
      <c r="BF914" s="123">
        <v>21.005499999999998</v>
      </c>
      <c r="BG914" s="123">
        <v>22.733000000000001</v>
      </c>
      <c r="BH914" s="123">
        <v>24.418500000000002</v>
      </c>
      <c r="BI914" s="123">
        <v>26.103999999999999</v>
      </c>
      <c r="BJ914" s="123">
        <v>27.702999999999999</v>
      </c>
      <c r="BK914" s="123">
        <v>29.302</v>
      </c>
      <c r="BL914" s="123">
        <v>30.923500000000001</v>
      </c>
      <c r="BM914" s="123">
        <v>32.545000000000002</v>
      </c>
      <c r="BN914" s="123">
        <v>34.073499999999996</v>
      </c>
      <c r="BO914" s="123">
        <v>35.601999999999997</v>
      </c>
      <c r="BP914" s="123">
        <v>37.1265</v>
      </c>
      <c r="BQ914" s="123">
        <v>38.651000000000003</v>
      </c>
      <c r="BR914" s="123">
        <v>40.154499999999999</v>
      </c>
      <c r="BS914" s="123">
        <v>41.658000000000001</v>
      </c>
      <c r="BT914" s="123">
        <v>43.150999999999996</v>
      </c>
      <c r="BU914" s="123">
        <v>44.643999999999998</v>
      </c>
      <c r="BV914" s="123">
        <v>46.114999999999995</v>
      </c>
      <c r="BW914" s="123">
        <v>47.585999999999999</v>
      </c>
      <c r="BX914" s="123">
        <v>49.072000000000003</v>
      </c>
      <c r="BY914" s="123">
        <v>50.558</v>
      </c>
      <c r="BZ914" s="123">
        <v>51.997</v>
      </c>
      <c r="CA914" s="123">
        <v>53.436</v>
      </c>
      <c r="CB914" s="123">
        <v>54.8645</v>
      </c>
      <c r="CC914" s="123">
        <v>56.292999999999999</v>
      </c>
      <c r="CD914" s="123">
        <v>57.731999999999999</v>
      </c>
      <c r="CE914" s="123">
        <v>59.170999999999999</v>
      </c>
      <c r="CF914" s="123">
        <v>60.6</v>
      </c>
      <c r="CG914" s="123">
        <v>62.029000000000003</v>
      </c>
      <c r="CH914" s="123">
        <v>63.461500000000001</v>
      </c>
      <c r="CI914" s="123">
        <v>64.894000000000005</v>
      </c>
      <c r="CJ914" s="123">
        <v>66.290500000000009</v>
      </c>
      <c r="CK914" s="123">
        <v>67.686999999999998</v>
      </c>
      <c r="CL914" s="123">
        <v>69.061499999999995</v>
      </c>
      <c r="CM914" s="123">
        <v>70.436000000000007</v>
      </c>
      <c r="CN914" s="123">
        <v>71.897000000000006</v>
      </c>
      <c r="CO914" s="123">
        <v>73.358000000000004</v>
      </c>
      <c r="CP914" s="123">
        <v>74.732500000000002</v>
      </c>
      <c r="CQ914" s="123">
        <v>76.106999999999999</v>
      </c>
      <c r="CR914" s="161">
        <v>77.497500000000002</v>
      </c>
      <c r="CS914" s="161">
        <v>78.888000000000005</v>
      </c>
      <c r="CT914" s="161">
        <v>80.262500000000003</v>
      </c>
      <c r="CU914" s="161">
        <v>81.637</v>
      </c>
      <c r="CV914" s="161">
        <v>83.033999999999992</v>
      </c>
      <c r="CW914" s="161">
        <v>84.430999999999997</v>
      </c>
      <c r="CX914" s="161">
        <v>85.741500000000002</v>
      </c>
      <c r="CY914" s="161">
        <v>87.052000000000007</v>
      </c>
      <c r="CZ914" s="161">
        <v>88.480500000000006</v>
      </c>
      <c r="DA914" s="161">
        <v>89.909000000000006</v>
      </c>
      <c r="DB914" s="161">
        <v>91.277000000000001</v>
      </c>
      <c r="DC914" s="161">
        <v>92.644999999999996</v>
      </c>
      <c r="DD914" s="161">
        <v>93.945499999999996</v>
      </c>
      <c r="DE914" s="161">
        <v>95.245999999999995</v>
      </c>
      <c r="DF914" s="151">
        <f>DG913</f>
        <v>96.620999999999995</v>
      </c>
      <c r="DG914" s="162">
        <v>97.995999999999995</v>
      </c>
    </row>
    <row r="915" spans="54:111" ht="15" customHeight="1" x14ac:dyDescent="0.2">
      <c r="BB915" s="25"/>
      <c r="BC915" s="25"/>
      <c r="BD915" s="25"/>
      <c r="BE915" s="25"/>
      <c r="BF915" s="25"/>
      <c r="BG915" s="25"/>
      <c r="BH915" s="25"/>
      <c r="BI915" s="25"/>
      <c r="BJ915" s="25"/>
      <c r="BK915" s="25"/>
      <c r="BL915" s="25"/>
      <c r="BM915" s="25"/>
      <c r="BN915" s="25"/>
      <c r="BO915" s="25"/>
      <c r="BP915" s="25"/>
      <c r="BQ915" s="25"/>
      <c r="BR915" s="25"/>
      <c r="BS915" s="25"/>
      <c r="BT915" s="25"/>
      <c r="BU915" s="25"/>
      <c r="BV915" s="25"/>
      <c r="BW915" s="25"/>
      <c r="BX915" s="25"/>
      <c r="BY915" s="25"/>
      <c r="BZ915" s="25"/>
      <c r="CA915" s="25"/>
      <c r="CB915" s="25"/>
      <c r="CC915" s="25"/>
      <c r="CD915" s="25"/>
      <c r="CE915" s="25"/>
      <c r="CF915" s="25"/>
      <c r="CG915" s="25"/>
      <c r="CH915" s="25"/>
      <c r="CI915" s="25"/>
      <c r="CJ915" s="25"/>
      <c r="CK915" s="25"/>
      <c r="CL915" s="25"/>
      <c r="CM915" s="25"/>
      <c r="CN915" s="25"/>
      <c r="CO915" s="25"/>
      <c r="CP915" s="25"/>
      <c r="CQ915" s="25"/>
    </row>
    <row r="916" spans="54:111" ht="15" customHeight="1" x14ac:dyDescent="0.2">
      <c r="BB916" s="124"/>
      <c r="BC916" s="124"/>
      <c r="BD916" s="124"/>
      <c r="BE916" s="124"/>
      <c r="BF916" s="124"/>
      <c r="BG916" s="124"/>
      <c r="BH916" s="124"/>
      <c r="BI916" s="124"/>
      <c r="BJ916" s="124"/>
      <c r="BK916" s="124"/>
      <c r="BL916" s="124"/>
      <c r="BM916" s="124"/>
      <c r="BN916" s="124"/>
      <c r="BO916" s="124"/>
      <c r="BP916" s="124"/>
      <c r="BQ916" s="124"/>
      <c r="BR916" s="124"/>
      <c r="BS916" s="124"/>
      <c r="BT916" s="124"/>
      <c r="BU916" s="124"/>
      <c r="BV916" s="124"/>
      <c r="BW916" s="124"/>
      <c r="BX916" s="124"/>
      <c r="BY916" s="124"/>
      <c r="BZ916" s="124"/>
      <c r="CA916" s="124"/>
      <c r="CB916" s="124"/>
      <c r="CC916" s="124"/>
      <c r="CD916" s="124"/>
      <c r="CE916" s="124"/>
      <c r="CF916" s="124"/>
      <c r="CG916" s="124"/>
      <c r="CH916" s="124"/>
      <c r="CI916" s="124"/>
      <c r="CJ916" s="124"/>
      <c r="CK916" s="124"/>
      <c r="CL916" s="124"/>
      <c r="CM916" s="124"/>
      <c r="CN916" s="124"/>
      <c r="CO916" s="124"/>
      <c r="CP916" s="124"/>
      <c r="CQ916" s="124"/>
      <c r="CR916" s="163"/>
      <c r="CS916" s="163"/>
      <c r="CT916" s="163"/>
      <c r="CU916" s="163"/>
      <c r="CV916" s="163"/>
      <c r="CW916" s="163"/>
      <c r="CX916" s="163"/>
      <c r="CY916" s="163"/>
      <c r="CZ916" s="163"/>
      <c r="DA916" s="163"/>
      <c r="DB916" s="163"/>
      <c r="DC916" s="163"/>
      <c r="DD916" s="163"/>
      <c r="DE916" s="163"/>
      <c r="DF916" s="163"/>
      <c r="DG916" s="163"/>
    </row>
    <row r="917" spans="54:111" ht="15" customHeight="1" thickBot="1" x14ac:dyDescent="0.25">
      <c r="BB917" s="25"/>
      <c r="BC917" s="25"/>
      <c r="BD917" s="25"/>
      <c r="BE917" s="25"/>
      <c r="BF917" s="25"/>
      <c r="BG917" s="25"/>
      <c r="BH917" s="25"/>
      <c r="BI917" s="25"/>
      <c r="BJ917" s="25"/>
      <c r="BK917" s="25"/>
      <c r="BL917" s="25"/>
      <c r="BM917" s="25"/>
      <c r="BN917" s="25"/>
      <c r="BO917" s="25"/>
      <c r="BP917" s="25"/>
      <c r="BQ917" s="25"/>
      <c r="BR917" s="25"/>
      <c r="BS917" s="25"/>
      <c r="BT917" s="25"/>
      <c r="BU917" s="25"/>
      <c r="BV917" s="25"/>
      <c r="BW917" s="25"/>
      <c r="BX917" s="25"/>
      <c r="BY917" s="25"/>
      <c r="BZ917" s="25"/>
      <c r="CA917" s="25"/>
      <c r="CB917" s="25"/>
      <c r="CC917" s="25"/>
      <c r="CD917" s="25"/>
      <c r="CE917" s="25"/>
      <c r="CF917" s="25"/>
      <c r="CG917" s="25"/>
      <c r="CH917" s="25"/>
      <c r="CI917" s="25"/>
      <c r="CJ917" s="25"/>
      <c r="CK917" s="25"/>
      <c r="CL917" s="25"/>
      <c r="CM917" s="25"/>
      <c r="CN917" s="25"/>
      <c r="CO917" s="25"/>
      <c r="CP917" s="25"/>
      <c r="CQ917" s="25"/>
    </row>
    <row r="918" spans="54:111" ht="15" customHeight="1" thickBot="1" x14ac:dyDescent="0.3">
      <c r="BB918" s="1830" t="s">
        <v>310</v>
      </c>
      <c r="BC918" s="1831"/>
      <c r="BD918" s="1831"/>
      <c r="BE918" s="1831"/>
      <c r="BF918" s="1831"/>
      <c r="BG918" s="1831"/>
      <c r="BH918" s="1831"/>
      <c r="BI918" s="1831"/>
      <c r="BJ918" s="1831"/>
      <c r="BK918" s="1831"/>
      <c r="BL918" s="1831"/>
      <c r="BM918" s="1831"/>
      <c r="BN918" s="1831"/>
      <c r="BO918" s="1831"/>
      <c r="BP918" s="1831"/>
      <c r="BQ918" s="1831"/>
      <c r="BR918" s="1831"/>
      <c r="BS918" s="1831"/>
      <c r="BT918" s="1831"/>
      <c r="BU918" s="1831"/>
      <c r="BV918" s="1831"/>
      <c r="BW918" s="1831"/>
      <c r="BX918" s="1831"/>
      <c r="BY918" s="1831"/>
      <c r="BZ918" s="1831"/>
      <c r="CA918" s="1831"/>
      <c r="CB918" s="1831"/>
      <c r="CC918" s="1831"/>
      <c r="CD918" s="1831"/>
      <c r="CE918" s="1831"/>
      <c r="CF918" s="1831"/>
      <c r="CG918" s="1831"/>
      <c r="CH918" s="1831"/>
      <c r="CI918" s="1831"/>
      <c r="CJ918" s="1831"/>
      <c r="CK918" s="1831"/>
      <c r="CL918" s="1831"/>
      <c r="CM918" s="1831"/>
      <c r="CN918" s="1831"/>
      <c r="CO918" s="1831"/>
      <c r="CP918" s="1831"/>
      <c r="CQ918" s="1831"/>
      <c r="CR918" s="1831"/>
      <c r="CS918" s="1831"/>
      <c r="CT918" s="1831"/>
      <c r="CU918" s="1831"/>
      <c r="CV918" s="1831"/>
      <c r="CW918" s="1831"/>
      <c r="CX918" s="1831"/>
      <c r="CY918" s="1831"/>
      <c r="CZ918" s="1831"/>
      <c r="DA918" s="1831"/>
      <c r="DB918" s="1831"/>
      <c r="DC918" s="1831"/>
      <c r="DD918" s="1831"/>
      <c r="DE918" s="1831"/>
      <c r="DF918" s="1831"/>
      <c r="DG918" s="1832"/>
    </row>
    <row r="919" spans="54:111" ht="15" customHeight="1" x14ac:dyDescent="0.2">
      <c r="BB919" s="26"/>
      <c r="BC919" s="27">
        <v>4</v>
      </c>
      <c r="BD919" s="27">
        <v>5</v>
      </c>
      <c r="BE919" s="27">
        <v>6</v>
      </c>
      <c r="BF919" s="27">
        <v>7</v>
      </c>
      <c r="BG919" s="27">
        <v>8</v>
      </c>
      <c r="BH919" s="27">
        <v>9</v>
      </c>
      <c r="BI919" s="27">
        <v>10</v>
      </c>
      <c r="BJ919" s="27">
        <v>11</v>
      </c>
      <c r="BK919" s="27">
        <v>12</v>
      </c>
      <c r="BL919" s="27">
        <v>13</v>
      </c>
      <c r="BM919" s="27">
        <v>14</v>
      </c>
      <c r="BN919" s="27">
        <v>15</v>
      </c>
      <c r="BO919" s="27">
        <v>16</v>
      </c>
      <c r="BP919" s="27">
        <v>17</v>
      </c>
      <c r="BQ919" s="27">
        <v>18</v>
      </c>
      <c r="BR919" s="27">
        <v>19</v>
      </c>
      <c r="BS919" s="27">
        <v>20</v>
      </c>
      <c r="BT919" s="27">
        <v>21</v>
      </c>
      <c r="BU919" s="27">
        <v>22</v>
      </c>
      <c r="BV919" s="27">
        <v>23</v>
      </c>
      <c r="BW919" s="27">
        <v>24</v>
      </c>
      <c r="BX919" s="27">
        <v>25</v>
      </c>
      <c r="BY919" s="27">
        <v>26</v>
      </c>
      <c r="BZ919" s="27">
        <v>27</v>
      </c>
      <c r="CA919" s="27">
        <v>28</v>
      </c>
      <c r="CB919" s="27">
        <v>29</v>
      </c>
      <c r="CC919" s="27">
        <v>30</v>
      </c>
      <c r="CD919" s="27">
        <v>31</v>
      </c>
      <c r="CE919" s="27">
        <v>32</v>
      </c>
      <c r="CF919" s="27">
        <v>33</v>
      </c>
      <c r="CG919" s="27">
        <v>34</v>
      </c>
      <c r="CH919" s="27">
        <v>35</v>
      </c>
      <c r="CI919" s="27">
        <v>36</v>
      </c>
      <c r="CJ919" s="27">
        <v>37</v>
      </c>
      <c r="CK919" s="27">
        <v>38</v>
      </c>
      <c r="CL919" s="27">
        <v>39</v>
      </c>
      <c r="CM919" s="27">
        <v>40</v>
      </c>
      <c r="CN919" s="27">
        <v>41</v>
      </c>
      <c r="CO919" s="27">
        <v>42</v>
      </c>
      <c r="CP919" s="27">
        <v>43</v>
      </c>
      <c r="CQ919" s="27">
        <v>44</v>
      </c>
      <c r="CR919" s="27">
        <v>45</v>
      </c>
      <c r="CS919" s="27">
        <v>46</v>
      </c>
      <c r="CT919" s="27">
        <v>47</v>
      </c>
      <c r="CU919" s="27">
        <v>48</v>
      </c>
      <c r="CV919" s="27">
        <v>49</v>
      </c>
      <c r="CW919" s="27">
        <v>50</v>
      </c>
      <c r="CX919" s="27">
        <v>51</v>
      </c>
      <c r="CY919" s="27">
        <v>52</v>
      </c>
      <c r="CZ919" s="27">
        <v>53</v>
      </c>
      <c r="DA919" s="27">
        <v>54</v>
      </c>
      <c r="DB919" s="27">
        <v>55</v>
      </c>
      <c r="DC919" s="27">
        <v>56</v>
      </c>
      <c r="DD919" s="27">
        <v>57</v>
      </c>
      <c r="DE919" s="27">
        <v>58</v>
      </c>
      <c r="DF919" s="27">
        <v>59</v>
      </c>
      <c r="DG919" s="142">
        <v>60</v>
      </c>
    </row>
    <row r="920" spans="54:111" ht="15" customHeight="1" x14ac:dyDescent="0.2">
      <c r="BB920" s="28">
        <v>4</v>
      </c>
      <c r="BC920" s="156">
        <v>3.7829999999999999</v>
      </c>
      <c r="BD920" s="120">
        <f>(BE920+BC920)/2</f>
        <v>4.2729999999999997</v>
      </c>
      <c r="BE920" s="156">
        <v>4.7629999999999999</v>
      </c>
      <c r="BF920" s="120">
        <f>(BG920+BE920)/2</f>
        <v>5.1680000000000001</v>
      </c>
      <c r="BG920" s="156">
        <v>5.5730000000000004</v>
      </c>
      <c r="BH920" s="120">
        <f>(BI920+BG920)/2</f>
        <v>5.9675000000000002</v>
      </c>
      <c r="BI920" s="156">
        <v>6.3620000000000001</v>
      </c>
      <c r="BJ920" s="120">
        <f>(BK920+BI920)/2</f>
        <v>6.6985000000000001</v>
      </c>
      <c r="BK920" s="156">
        <v>7.0350000000000001</v>
      </c>
      <c r="BL920" s="120">
        <f>(BM920+BK920)/2</f>
        <v>7.4395000000000007</v>
      </c>
      <c r="BM920" s="156">
        <v>7.8440000000000003</v>
      </c>
      <c r="BN920" s="120">
        <f>(BO920+BM920)/2</f>
        <v>8.1585000000000001</v>
      </c>
      <c r="BO920" s="156">
        <v>8.4730000000000008</v>
      </c>
      <c r="BP920" s="120">
        <f>(BQ920+BO920)/2</f>
        <v>8.8090000000000011</v>
      </c>
      <c r="BQ920" s="156">
        <v>9.1449999999999996</v>
      </c>
      <c r="BR920" s="120">
        <f>(BS920+BQ920)/2</f>
        <v>9.4905000000000008</v>
      </c>
      <c r="BS920" s="156">
        <v>9.8360000000000003</v>
      </c>
      <c r="BT920" s="120">
        <f>(BU920+BS920)/2</f>
        <v>10.172499999999999</v>
      </c>
      <c r="BU920" s="156">
        <v>10.509</v>
      </c>
      <c r="BV920" s="120">
        <f>(BW920+BU920)/2</f>
        <v>10.855499999999999</v>
      </c>
      <c r="BW920" s="156">
        <v>11.202</v>
      </c>
      <c r="BX920" s="120">
        <f>(BY920+BW920)/2</f>
        <v>11.458</v>
      </c>
      <c r="BY920" s="156">
        <v>11.714</v>
      </c>
      <c r="BZ920" s="120">
        <f>(CA920+BY920)/2</f>
        <v>12.0505</v>
      </c>
      <c r="CA920" s="156">
        <v>12.387</v>
      </c>
      <c r="CB920" s="120">
        <f>(CC920+CA920)/2</f>
        <v>12.6745</v>
      </c>
      <c r="CC920" s="156">
        <v>12.962</v>
      </c>
      <c r="CD920" s="120">
        <f>(CE920+CC920)/2</f>
        <v>13.298</v>
      </c>
      <c r="CE920" s="156">
        <v>13.634</v>
      </c>
      <c r="CF920" s="120">
        <f>(CG920+CE920)/2</f>
        <v>13.9215</v>
      </c>
      <c r="CG920" s="156">
        <v>14.209</v>
      </c>
      <c r="CH920" s="120">
        <f>(CI920+CG920)/2</f>
        <v>14.523499999999999</v>
      </c>
      <c r="CI920" s="156">
        <v>14.837999999999999</v>
      </c>
      <c r="CJ920" s="120">
        <f>(CK920+CI920)/2</f>
        <v>15.116</v>
      </c>
      <c r="CK920" s="156">
        <v>15.394</v>
      </c>
      <c r="CL920" s="120">
        <f>(CM920+CK920)/2</f>
        <v>15.682</v>
      </c>
      <c r="CM920" s="156">
        <v>15.97</v>
      </c>
      <c r="CN920" s="120">
        <f>(CO920+CM920)/2</f>
        <v>16.306000000000001</v>
      </c>
      <c r="CO920" s="156">
        <v>16.641999999999999</v>
      </c>
      <c r="CP920" s="120">
        <f>(CQ920+CO920)/2</f>
        <v>16.920000000000002</v>
      </c>
      <c r="CQ920" s="156">
        <v>17.198</v>
      </c>
      <c r="CR920" s="120">
        <f>(CS920+CQ920)/2</f>
        <v>17.4635</v>
      </c>
      <c r="CS920" s="156">
        <v>17.728999999999999</v>
      </c>
      <c r="CT920" s="120">
        <f>(CU920+CS920)/2</f>
        <v>18.006999999999998</v>
      </c>
      <c r="CU920" s="156">
        <v>18.285</v>
      </c>
      <c r="CV920" s="120">
        <f>(CW920+CU920)/2</f>
        <v>18.572499999999998</v>
      </c>
      <c r="CW920" s="156">
        <v>18.86</v>
      </c>
      <c r="CX920" s="120">
        <f>(CY920+CW920)/2</f>
        <v>19.1965</v>
      </c>
      <c r="CY920" s="156">
        <v>19.533000000000001</v>
      </c>
      <c r="CZ920" s="120">
        <f>(DA920+CY920)/2</f>
        <v>19.810500000000001</v>
      </c>
      <c r="DA920" s="156">
        <v>20.088000000000001</v>
      </c>
      <c r="DB920" s="120">
        <f>(DC920+DA920)/2</f>
        <v>20.353999999999999</v>
      </c>
      <c r="DC920" s="156">
        <v>20.62</v>
      </c>
      <c r="DD920" s="120">
        <f>(DE920+DC920)/2</f>
        <v>20.898</v>
      </c>
      <c r="DE920" s="156">
        <v>21.175999999999998</v>
      </c>
      <c r="DF920" s="120">
        <f>(DG920+DE920)/2</f>
        <v>21.4635</v>
      </c>
      <c r="DG920" s="157">
        <v>21.751000000000001</v>
      </c>
    </row>
    <row r="921" spans="54:111" ht="15" customHeight="1" x14ac:dyDescent="0.2">
      <c r="BB921" s="28">
        <v>5</v>
      </c>
      <c r="BC921" s="121">
        <f t="array" ref="BC921:BC976">TRANSPOSE(BD920:DG920)</f>
        <v>4.2729999999999997</v>
      </c>
      <c r="BD921" s="120">
        <f>(BC921+BE921)/2</f>
        <v>4.7757499999999995</v>
      </c>
      <c r="BE921" s="120">
        <f>(BE920+BE922)/2</f>
        <v>5.2784999999999993</v>
      </c>
      <c r="BF921" s="120">
        <f>(BE921+BG921)/2</f>
        <v>5.7229999999999999</v>
      </c>
      <c r="BG921" s="120">
        <f>(BG920+BG922)/2</f>
        <v>6.1675000000000004</v>
      </c>
      <c r="BH921" s="120">
        <f>(BG921+BI921)/2</f>
        <v>6.6115000000000004</v>
      </c>
      <c r="BI921" s="120">
        <f>(BI920+BI922)/2</f>
        <v>7.0555000000000003</v>
      </c>
      <c r="BJ921" s="120">
        <f>(BI921+BK921)/2</f>
        <v>7.4359999999999999</v>
      </c>
      <c r="BK921" s="120">
        <f>(BK920+BK922)/2</f>
        <v>7.8165000000000004</v>
      </c>
      <c r="BL921" s="120">
        <f>(BK921+BM921)/2</f>
        <v>8.2362500000000001</v>
      </c>
      <c r="BM921" s="120">
        <f>(BM920+BM922)/2</f>
        <v>8.6560000000000006</v>
      </c>
      <c r="BN921" s="120">
        <f>(BM921+BO921)/2</f>
        <v>9.0420000000000016</v>
      </c>
      <c r="BO921" s="120">
        <f>(BO920+BO922)/2</f>
        <v>9.4280000000000008</v>
      </c>
      <c r="BP921" s="120">
        <f>(BO921+BQ921)/2</f>
        <v>9.7792500000000011</v>
      </c>
      <c r="BQ921" s="120">
        <f>(BQ920+BQ922)/2</f>
        <v>10.1305</v>
      </c>
      <c r="BR921" s="120">
        <f>(BQ921+BS921)/2</f>
        <v>10.491499999999998</v>
      </c>
      <c r="BS921" s="120">
        <f>(BS920+BS922)/2</f>
        <v>10.852499999999999</v>
      </c>
      <c r="BT921" s="120">
        <f>(BS921+BU921)/2</f>
        <v>11.233499999999999</v>
      </c>
      <c r="BU921" s="120">
        <f>(BU920+BU922)/2</f>
        <v>11.6145</v>
      </c>
      <c r="BV921" s="120">
        <f>(BU921+BW921)/2</f>
        <v>11.97575</v>
      </c>
      <c r="BW921" s="120">
        <f>(BW920+BW922)/2</f>
        <v>12.337</v>
      </c>
      <c r="BX921" s="120">
        <f>(BW921+BY921)/2</f>
        <v>12.6595</v>
      </c>
      <c r="BY921" s="120">
        <f>(BY920+BY922)/2</f>
        <v>12.981999999999999</v>
      </c>
      <c r="BZ921" s="120">
        <f>(BY921+CA921)/2</f>
        <v>13.338749999999999</v>
      </c>
      <c r="CA921" s="120">
        <f>(CA920+CA922)/2</f>
        <v>13.695499999999999</v>
      </c>
      <c r="CB921" s="120">
        <f>(CA921+CC921)/2</f>
        <v>14.027249999999999</v>
      </c>
      <c r="CC921" s="120">
        <f>(CC920+CC922)/2</f>
        <v>14.359</v>
      </c>
      <c r="CD921" s="120">
        <f>(CC921+CE921)/2</f>
        <v>14.68125</v>
      </c>
      <c r="CE921" s="120">
        <f>(CE920+CE922)/2</f>
        <v>15.003500000000001</v>
      </c>
      <c r="CF921" s="120">
        <f>(CE921+CG921)/2</f>
        <v>15.33525</v>
      </c>
      <c r="CG921" s="120">
        <f>(CG920+CG922)/2</f>
        <v>15.667</v>
      </c>
      <c r="CH921" s="120">
        <f>(CG921+CI921)/2</f>
        <v>16.018750000000001</v>
      </c>
      <c r="CI921" s="120">
        <f>(CI920+CI922)/2</f>
        <v>16.3705</v>
      </c>
      <c r="CJ921" s="120">
        <f>(CI921+CK921)/2</f>
        <v>16.668749999999999</v>
      </c>
      <c r="CK921" s="120">
        <f>(CK920+CK922)/2</f>
        <v>16.966999999999999</v>
      </c>
      <c r="CL921" s="120">
        <f>(CK921+CM921)/2</f>
        <v>17.298999999999999</v>
      </c>
      <c r="CM921" s="120">
        <f>(CM920+CM922)/2</f>
        <v>17.631</v>
      </c>
      <c r="CN921" s="120">
        <f>(CM921+CO921)/2</f>
        <v>17.953250000000001</v>
      </c>
      <c r="CO921" s="120">
        <f>(CO920+CO922)/2</f>
        <v>18.275500000000001</v>
      </c>
      <c r="CP921" s="120">
        <f>(CO921+CQ921)/2</f>
        <v>18.60275</v>
      </c>
      <c r="CQ921" s="120">
        <f>(CQ920+CQ922)/2</f>
        <v>18.93</v>
      </c>
      <c r="CR921" s="120">
        <f>(CQ921+CS921)/2</f>
        <v>19.22775</v>
      </c>
      <c r="CS921" s="120">
        <f>(CS920+CS922)/2</f>
        <v>19.525500000000001</v>
      </c>
      <c r="CT921" s="120">
        <f>(CS921+CU921)/2</f>
        <v>19.853000000000002</v>
      </c>
      <c r="CU921" s="120">
        <f>(CU920+CU922)/2</f>
        <v>20.180500000000002</v>
      </c>
      <c r="CV921" s="120">
        <f>(CU921+CW921)/2</f>
        <v>20.4785</v>
      </c>
      <c r="CW921" s="120">
        <f>(CW920+CW922)/2</f>
        <v>20.776499999999999</v>
      </c>
      <c r="CX921" s="120">
        <f>(CW921+CY921)/2</f>
        <v>21.1035</v>
      </c>
      <c r="CY921" s="120">
        <f>(CY920+CY922)/2</f>
        <v>21.430500000000002</v>
      </c>
      <c r="CZ921" s="120">
        <f>(CY921+DA921)/2</f>
        <v>21.7575</v>
      </c>
      <c r="DA921" s="120">
        <f>(DA920+DA922)/2</f>
        <v>22.084499999999998</v>
      </c>
      <c r="DB921" s="120">
        <f>(DA921+DC921)/2</f>
        <v>22.382750000000001</v>
      </c>
      <c r="DC921" s="120">
        <f>(DC920+DC922)/2</f>
        <v>22.681000000000001</v>
      </c>
      <c r="DD921" s="120">
        <f>(DC921+DE921)/2</f>
        <v>22.978999999999999</v>
      </c>
      <c r="DE921" s="120">
        <f>(DE920+DE922)/2</f>
        <v>23.277000000000001</v>
      </c>
      <c r="DF921" s="120">
        <f>(DE921+DG921)/2</f>
        <v>23.60425</v>
      </c>
      <c r="DG921" s="122">
        <f>(DG920+DG922)/2</f>
        <v>23.9315</v>
      </c>
    </row>
    <row r="922" spans="54:111" ht="15" customHeight="1" x14ac:dyDescent="0.2">
      <c r="BB922" s="28">
        <v>6</v>
      </c>
      <c r="BC922" s="121">
        <v>4.7629999999999999</v>
      </c>
      <c r="BD922" s="121">
        <f t="array" ref="BD922:BD976">TRANSPOSE(BE921:DG921)</f>
        <v>5.2784999999999993</v>
      </c>
      <c r="BE922" s="158">
        <v>5.7939999999999996</v>
      </c>
      <c r="BF922" s="120">
        <f>(BG922+BE922)/2</f>
        <v>6.2779999999999996</v>
      </c>
      <c r="BG922" s="158">
        <v>6.7619999999999996</v>
      </c>
      <c r="BH922" s="120">
        <f>(BI922+BG922)/2</f>
        <v>7.2554999999999996</v>
      </c>
      <c r="BI922" s="158">
        <v>7.7489999999999997</v>
      </c>
      <c r="BJ922" s="120">
        <f>(BK922+BI922)/2</f>
        <v>8.1735000000000007</v>
      </c>
      <c r="BK922" s="158">
        <v>8.5980000000000008</v>
      </c>
      <c r="BL922" s="120">
        <f>(BM922+BK922)/2</f>
        <v>9.0330000000000013</v>
      </c>
      <c r="BM922" s="158">
        <v>9.468</v>
      </c>
      <c r="BN922" s="120">
        <f>(BO922+BM922)/2</f>
        <v>9.9254999999999995</v>
      </c>
      <c r="BO922" s="158">
        <v>10.382999999999999</v>
      </c>
      <c r="BP922" s="120">
        <f>(BQ922+BO922)/2</f>
        <v>10.749499999999999</v>
      </c>
      <c r="BQ922" s="158">
        <v>11.116</v>
      </c>
      <c r="BR922" s="120">
        <f>(BS922+BQ922)/2</f>
        <v>11.4925</v>
      </c>
      <c r="BS922" s="158">
        <v>11.869</v>
      </c>
      <c r="BT922" s="120">
        <f>(BU922+BS922)/2</f>
        <v>12.294499999999999</v>
      </c>
      <c r="BU922" s="158">
        <v>12.72</v>
      </c>
      <c r="BV922" s="120">
        <f>(BW922+BU922)/2</f>
        <v>13.096</v>
      </c>
      <c r="BW922" s="158">
        <v>13.472</v>
      </c>
      <c r="BX922" s="120">
        <f>(BY922+BW922)/2</f>
        <v>13.861000000000001</v>
      </c>
      <c r="BY922" s="158">
        <v>14.25</v>
      </c>
      <c r="BZ922" s="120">
        <f>(CA922+BY922)/2</f>
        <v>14.626999999999999</v>
      </c>
      <c r="CA922" s="158">
        <v>15.004</v>
      </c>
      <c r="CB922" s="120">
        <f>(CC922+CA922)/2</f>
        <v>15.379999999999999</v>
      </c>
      <c r="CC922" s="158">
        <v>15.756</v>
      </c>
      <c r="CD922" s="120">
        <f>(CE922+CC922)/2</f>
        <v>16.064500000000002</v>
      </c>
      <c r="CE922" s="158">
        <v>16.373000000000001</v>
      </c>
      <c r="CF922" s="120">
        <f>(CG922+CE922)/2</f>
        <v>16.749000000000002</v>
      </c>
      <c r="CG922" s="158">
        <v>17.125</v>
      </c>
      <c r="CH922" s="120">
        <f>(CI922+CG922)/2</f>
        <v>17.513999999999999</v>
      </c>
      <c r="CI922" s="158">
        <v>17.902999999999999</v>
      </c>
      <c r="CJ922" s="120">
        <f>(CK922+CI922)/2</f>
        <v>18.221499999999999</v>
      </c>
      <c r="CK922" s="158">
        <v>18.54</v>
      </c>
      <c r="CL922" s="120">
        <f>(CM922+CK922)/2</f>
        <v>18.916</v>
      </c>
      <c r="CM922" s="158">
        <v>19.292000000000002</v>
      </c>
      <c r="CN922" s="120">
        <f>(CO922+CM922)/2</f>
        <v>19.6005</v>
      </c>
      <c r="CO922" s="158">
        <v>19.908999999999999</v>
      </c>
      <c r="CP922" s="120">
        <f>(CQ922+CO922)/2</f>
        <v>20.285499999999999</v>
      </c>
      <c r="CQ922" s="158">
        <v>20.661999999999999</v>
      </c>
      <c r="CR922" s="120">
        <f>(CS922+CQ922)/2</f>
        <v>20.991999999999997</v>
      </c>
      <c r="CS922" s="158">
        <v>21.321999999999999</v>
      </c>
      <c r="CT922" s="120">
        <f>(CU922+CS922)/2</f>
        <v>21.698999999999998</v>
      </c>
      <c r="CU922" s="158">
        <v>22.076000000000001</v>
      </c>
      <c r="CV922" s="120">
        <f>(CW922+CU922)/2</f>
        <v>22.384500000000003</v>
      </c>
      <c r="CW922" s="158">
        <v>22.693000000000001</v>
      </c>
      <c r="CX922" s="120">
        <f>(CY922+CW922)/2</f>
        <v>23.0105</v>
      </c>
      <c r="CY922" s="158">
        <v>23.327999999999999</v>
      </c>
      <c r="CZ922" s="120">
        <f>(DA922+CY922)/2</f>
        <v>23.704499999999999</v>
      </c>
      <c r="DA922" s="158">
        <v>24.081</v>
      </c>
      <c r="DB922" s="120">
        <f>(DC922+DA922)/2</f>
        <v>24.4115</v>
      </c>
      <c r="DC922" s="158">
        <v>24.742000000000001</v>
      </c>
      <c r="DD922" s="120">
        <f>(DE922+DC922)/2</f>
        <v>25.060000000000002</v>
      </c>
      <c r="DE922" s="158">
        <v>25.378</v>
      </c>
      <c r="DF922" s="120">
        <f>(DG922+DE922)/2</f>
        <v>25.744999999999997</v>
      </c>
      <c r="DG922" s="159">
        <v>26.111999999999998</v>
      </c>
    </row>
    <row r="923" spans="54:111" ht="15" customHeight="1" x14ac:dyDescent="0.2">
      <c r="BB923" s="28">
        <v>7</v>
      </c>
      <c r="BC923" s="121">
        <v>5.1680000000000001</v>
      </c>
      <c r="BD923" s="121">
        <v>5.7229999999999999</v>
      </c>
      <c r="BE923" s="121">
        <f t="array" ref="BE923:BE976">TRANSPOSE(BF922:DG922)</f>
        <v>6.2779999999999996</v>
      </c>
      <c r="BF923" s="120">
        <f>(BE923+BG923)/2</f>
        <v>6.8112499999999994</v>
      </c>
      <c r="BG923" s="120">
        <f>(BG922+BG924)/2</f>
        <v>7.3445</v>
      </c>
      <c r="BH923" s="120">
        <f>(BG923+BI923)/2</f>
        <v>7.8637499999999996</v>
      </c>
      <c r="BI923" s="120">
        <f>(BI922+BI924)/2</f>
        <v>8.3829999999999991</v>
      </c>
      <c r="BJ923" s="120">
        <f>(BI923+BK923)/2</f>
        <v>8.8684999999999992</v>
      </c>
      <c r="BK923" s="120">
        <f>(BK922+BK924)/2</f>
        <v>9.3539999999999992</v>
      </c>
      <c r="BL923" s="120">
        <f>(BK923+BM923)/2</f>
        <v>9.7992500000000007</v>
      </c>
      <c r="BM923" s="120">
        <f>(BM922+BM924)/2</f>
        <v>10.2445</v>
      </c>
      <c r="BN923" s="120">
        <f>(BM923+BO923)/2</f>
        <v>10.716750000000001</v>
      </c>
      <c r="BO923" s="120">
        <f>(BO922+BO924)/2</f>
        <v>11.189</v>
      </c>
      <c r="BP923" s="120">
        <f>(BO923+BQ923)/2</f>
        <v>11.605</v>
      </c>
      <c r="BQ923" s="120">
        <f>(BQ922+BQ924)/2</f>
        <v>12.021000000000001</v>
      </c>
      <c r="BR923" s="120">
        <f>(BQ923+BS923)/2</f>
        <v>12.42375</v>
      </c>
      <c r="BS923" s="120">
        <f>(BS922+BS924)/2</f>
        <v>12.826499999999999</v>
      </c>
      <c r="BT923" s="120">
        <f>(BS923+BU923)/2</f>
        <v>13.27825</v>
      </c>
      <c r="BU923" s="120">
        <f>(BU922+BU924)/2</f>
        <v>13.73</v>
      </c>
      <c r="BV923" s="120">
        <f>(BU923+BW923)/2</f>
        <v>14.12125</v>
      </c>
      <c r="BW923" s="120">
        <f>(BW922+BW924)/2</f>
        <v>14.512499999999999</v>
      </c>
      <c r="BX923" s="120">
        <f>(BW923+BY923)/2</f>
        <v>14.950749999999999</v>
      </c>
      <c r="BY923" s="120">
        <f>(BY922+BY924)/2</f>
        <v>15.388999999999999</v>
      </c>
      <c r="BZ923" s="120">
        <f>(BY923+CA923)/2</f>
        <v>15.780999999999999</v>
      </c>
      <c r="CA923" s="120">
        <f>(CA922+CA924)/2</f>
        <v>16.172999999999998</v>
      </c>
      <c r="CB923" s="120">
        <f>(CA923+CC923)/2</f>
        <v>16.575499999999998</v>
      </c>
      <c r="CC923" s="120">
        <f>(CC922+CC924)/2</f>
        <v>16.978000000000002</v>
      </c>
      <c r="CD923" s="120">
        <f>(CC923+CE923)/2</f>
        <v>17.341750000000001</v>
      </c>
      <c r="CE923" s="120">
        <f>(CE922+CE924)/2</f>
        <v>17.705500000000001</v>
      </c>
      <c r="CF923" s="120">
        <f>(CE923+CG923)/2</f>
        <v>18.097000000000001</v>
      </c>
      <c r="CG923" s="120">
        <f>(CG922+CG924)/2</f>
        <v>18.488500000000002</v>
      </c>
      <c r="CH923" s="120">
        <f>(CG923+CI923)/2</f>
        <v>18.897500000000001</v>
      </c>
      <c r="CI923" s="120">
        <f>(CI922+CI924)/2</f>
        <v>19.3065</v>
      </c>
      <c r="CJ923" s="120">
        <f>(CI923+CK923)/2</f>
        <v>19.669249999999998</v>
      </c>
      <c r="CK923" s="120">
        <f>(CK922+CK924)/2</f>
        <v>20.032</v>
      </c>
      <c r="CL923" s="120">
        <f>(CK923+CM923)/2</f>
        <v>20.40025</v>
      </c>
      <c r="CM923" s="120">
        <f>(CM922+CM924)/2</f>
        <v>20.768500000000003</v>
      </c>
      <c r="CN923" s="120">
        <f>(CM923+CO923)/2</f>
        <v>21.137250000000002</v>
      </c>
      <c r="CO923" s="120">
        <f>(CO922+CO924)/2</f>
        <v>21.506</v>
      </c>
      <c r="CP923" s="120">
        <f>(CO923+CQ923)/2</f>
        <v>21.897750000000002</v>
      </c>
      <c r="CQ923" s="120">
        <f>(CQ922+CQ924)/2</f>
        <v>22.2895</v>
      </c>
      <c r="CR923" s="120">
        <f>(CQ923+CS923)/2</f>
        <v>22.639749999999999</v>
      </c>
      <c r="CS923" s="120">
        <f>(CS922+CS924)/2</f>
        <v>22.990000000000002</v>
      </c>
      <c r="CT923" s="120">
        <f>(CS923+CU923)/2</f>
        <v>23.377000000000002</v>
      </c>
      <c r="CU923" s="120">
        <f>(CU922+CU924)/2</f>
        <v>23.764000000000003</v>
      </c>
      <c r="CV923" s="120">
        <f>(CU923+CW923)/2</f>
        <v>24.132750000000001</v>
      </c>
      <c r="CW923" s="120">
        <f>(CW922+CW924)/2</f>
        <v>24.5015</v>
      </c>
      <c r="CX923" s="120">
        <f>(CW923+CY923)/2</f>
        <v>24.84525</v>
      </c>
      <c r="CY923" s="120">
        <f>(CY922+CY924)/2</f>
        <v>25.189</v>
      </c>
      <c r="CZ923" s="120">
        <f>(CY923+DA923)/2</f>
        <v>25.581</v>
      </c>
      <c r="DA923" s="120">
        <f>(DA922+DA924)/2</f>
        <v>25.972999999999999</v>
      </c>
      <c r="DB923" s="120">
        <f>(DA923+DC923)/2</f>
        <v>26.323250000000002</v>
      </c>
      <c r="DC923" s="120">
        <f>(DC922+DC924)/2</f>
        <v>26.673500000000001</v>
      </c>
      <c r="DD923" s="120">
        <f>(DC923+DE923)/2</f>
        <v>27.002000000000002</v>
      </c>
      <c r="DE923" s="120">
        <f>(DE922+DE924)/2</f>
        <v>27.330500000000001</v>
      </c>
      <c r="DF923" s="120">
        <f>(DE923+DG923)/2</f>
        <v>27.728249999999999</v>
      </c>
      <c r="DG923" s="122">
        <f>(DG922+DG924)/2</f>
        <v>28.125999999999998</v>
      </c>
    </row>
    <row r="924" spans="54:111" ht="15" customHeight="1" x14ac:dyDescent="0.2">
      <c r="BB924" s="28">
        <v>8</v>
      </c>
      <c r="BC924" s="121">
        <v>5.5730000000000004</v>
      </c>
      <c r="BD924" s="121">
        <v>6.1675000000000004</v>
      </c>
      <c r="BE924" s="121">
        <v>6.7619999999999996</v>
      </c>
      <c r="BF924" s="121">
        <f t="array" ref="BF924:BF976">TRANSPOSE(BG923:DG923)</f>
        <v>7.3445</v>
      </c>
      <c r="BG924" s="158">
        <v>7.9269999999999996</v>
      </c>
      <c r="BH924" s="120">
        <f>(BI924+BG924)/2</f>
        <v>8.4719999999999995</v>
      </c>
      <c r="BI924" s="158">
        <v>9.0169999999999995</v>
      </c>
      <c r="BJ924" s="120">
        <f>(BK924+BI924)/2</f>
        <v>9.5634999999999994</v>
      </c>
      <c r="BK924" s="158">
        <v>10.11</v>
      </c>
      <c r="BL924" s="120">
        <f>(BM924+BK924)/2</f>
        <v>10.5655</v>
      </c>
      <c r="BM924" s="158">
        <v>11.021000000000001</v>
      </c>
      <c r="BN924" s="120">
        <f>(BO924+BM924)/2</f>
        <v>11.507999999999999</v>
      </c>
      <c r="BO924" s="158">
        <v>11.994999999999999</v>
      </c>
      <c r="BP924" s="120">
        <f>(BQ924+BO924)/2</f>
        <v>12.4605</v>
      </c>
      <c r="BQ924" s="158">
        <v>12.926</v>
      </c>
      <c r="BR924" s="120">
        <f>(BS924+BQ924)/2</f>
        <v>13.355</v>
      </c>
      <c r="BS924" s="158">
        <v>13.784000000000001</v>
      </c>
      <c r="BT924" s="120">
        <f>(BU924+BS924)/2</f>
        <v>14.262</v>
      </c>
      <c r="BU924" s="158">
        <v>14.74</v>
      </c>
      <c r="BV924" s="120">
        <f>(BW924+BU924)/2</f>
        <v>15.1465</v>
      </c>
      <c r="BW924" s="158">
        <v>15.553000000000001</v>
      </c>
      <c r="BX924" s="120">
        <f>(BY924+BW924)/2</f>
        <v>16.040500000000002</v>
      </c>
      <c r="BY924" s="158">
        <v>16.527999999999999</v>
      </c>
      <c r="BZ924" s="120">
        <f>(CA924+BY924)/2</f>
        <v>16.934999999999999</v>
      </c>
      <c r="CA924" s="158">
        <v>17.341999999999999</v>
      </c>
      <c r="CB924" s="120">
        <f>(CC924+CA924)/2</f>
        <v>17.771000000000001</v>
      </c>
      <c r="CC924" s="158">
        <v>18.2</v>
      </c>
      <c r="CD924" s="120">
        <f>(CE924+CC924)/2</f>
        <v>18.619</v>
      </c>
      <c r="CE924" s="158">
        <v>19.038</v>
      </c>
      <c r="CF924" s="120">
        <f>(CG924+CE924)/2</f>
        <v>19.445</v>
      </c>
      <c r="CG924" s="158">
        <v>19.852</v>
      </c>
      <c r="CH924" s="120">
        <f>(CI924+CG924)/2</f>
        <v>20.280999999999999</v>
      </c>
      <c r="CI924" s="158">
        <v>20.71</v>
      </c>
      <c r="CJ924" s="120">
        <f>(CK924+CI924)/2</f>
        <v>21.117000000000001</v>
      </c>
      <c r="CK924" s="158">
        <v>21.524000000000001</v>
      </c>
      <c r="CL924" s="120">
        <f>(CM924+CK924)/2</f>
        <v>21.884500000000003</v>
      </c>
      <c r="CM924" s="158">
        <v>22.245000000000001</v>
      </c>
      <c r="CN924" s="120">
        <f>(CO924+CM924)/2</f>
        <v>22.673999999999999</v>
      </c>
      <c r="CO924" s="158">
        <v>23.103000000000002</v>
      </c>
      <c r="CP924" s="120">
        <f>(CQ924+CO924)/2</f>
        <v>23.51</v>
      </c>
      <c r="CQ924" s="158">
        <v>23.917000000000002</v>
      </c>
      <c r="CR924" s="120">
        <f>(CS924+CQ924)/2</f>
        <v>24.287500000000001</v>
      </c>
      <c r="CS924" s="158">
        <v>24.658000000000001</v>
      </c>
      <c r="CT924" s="120">
        <f>(CU924+CS924)/2</f>
        <v>25.055</v>
      </c>
      <c r="CU924" s="158">
        <v>25.452000000000002</v>
      </c>
      <c r="CV924" s="120">
        <f>(CW924+CU924)/2</f>
        <v>25.881</v>
      </c>
      <c r="CW924" s="158">
        <v>26.31</v>
      </c>
      <c r="CX924" s="120">
        <f>(CY924+CW924)/2</f>
        <v>26.68</v>
      </c>
      <c r="CY924" s="158">
        <v>27.05</v>
      </c>
      <c r="CZ924" s="120">
        <f>(DA924+CY924)/2</f>
        <v>27.4575</v>
      </c>
      <c r="DA924" s="158">
        <v>27.864999999999998</v>
      </c>
      <c r="DB924" s="120">
        <f>(DC924+DA924)/2</f>
        <v>28.234999999999999</v>
      </c>
      <c r="DC924" s="158">
        <v>28.605</v>
      </c>
      <c r="DD924" s="120">
        <f>(DE924+DC924)/2</f>
        <v>28.944000000000003</v>
      </c>
      <c r="DE924" s="158">
        <v>29.283000000000001</v>
      </c>
      <c r="DF924" s="120">
        <f>(DG924+DE924)/2</f>
        <v>29.711500000000001</v>
      </c>
      <c r="DG924" s="159">
        <v>30.14</v>
      </c>
    </row>
    <row r="925" spans="54:111" ht="15" customHeight="1" x14ac:dyDescent="0.2">
      <c r="BB925" s="28">
        <v>9</v>
      </c>
      <c r="BC925" s="121">
        <v>5.9675000000000002</v>
      </c>
      <c r="BD925" s="121">
        <v>6.6115000000000004</v>
      </c>
      <c r="BE925" s="121">
        <v>7.2554999999999996</v>
      </c>
      <c r="BF925" s="121">
        <v>7.8637499999999996</v>
      </c>
      <c r="BG925" s="121">
        <f t="array" ref="BG925:BG976">TRANSPOSE(BH924:DG924)</f>
        <v>8.4719999999999995</v>
      </c>
      <c r="BH925" s="120">
        <f>(BG925+BI925)/2</f>
        <v>9.0620000000000012</v>
      </c>
      <c r="BI925" s="120">
        <f>(BI924+BI926)/2</f>
        <v>9.652000000000001</v>
      </c>
      <c r="BJ925" s="120">
        <f>(BI925+BK925)/2</f>
        <v>10.18425</v>
      </c>
      <c r="BK925" s="120">
        <f>(BK924+BK926)/2</f>
        <v>10.7165</v>
      </c>
      <c r="BL925" s="120">
        <f>(BK925+BM925)/2</f>
        <v>11.232250000000001</v>
      </c>
      <c r="BM925" s="120">
        <f>(BM924+BM926)/2</f>
        <v>11.748000000000001</v>
      </c>
      <c r="BN925" s="120">
        <f>(BM925+BO925)/2</f>
        <v>12.250500000000001</v>
      </c>
      <c r="BO925" s="120">
        <f>(BO924+BO926)/2</f>
        <v>12.753</v>
      </c>
      <c r="BP925" s="120">
        <f>(BO925+BQ925)/2</f>
        <v>13.274000000000001</v>
      </c>
      <c r="BQ925" s="120">
        <f>(BQ924+BQ926)/2</f>
        <v>13.795</v>
      </c>
      <c r="BR925" s="120">
        <f>(BQ925+BS925)/2</f>
        <v>14.239000000000001</v>
      </c>
      <c r="BS925" s="120">
        <f>(BS924+BS926)/2</f>
        <v>14.683</v>
      </c>
      <c r="BT925" s="120">
        <f>(BS925+BU925)/2</f>
        <v>15.180999999999999</v>
      </c>
      <c r="BU925" s="120">
        <f>(BU924+BU926)/2</f>
        <v>15.678999999999998</v>
      </c>
      <c r="BV925" s="120">
        <f>(BU925+BW925)/2</f>
        <v>16.141249999999999</v>
      </c>
      <c r="BW925" s="120">
        <f>(BW924+BW926)/2</f>
        <v>16.6035</v>
      </c>
      <c r="BX925" s="120">
        <f>(BW925+BY925)/2</f>
        <v>17.072000000000003</v>
      </c>
      <c r="BY925" s="120">
        <f>(BY924+BY926)/2</f>
        <v>17.540500000000002</v>
      </c>
      <c r="BZ925" s="120">
        <f>(BY925+CA925)/2</f>
        <v>18.002749999999999</v>
      </c>
      <c r="CA925" s="120">
        <f>(CA924+CA926)/2</f>
        <v>18.465</v>
      </c>
      <c r="CB925" s="120">
        <f>(CA925+CC925)/2</f>
        <v>18.90925</v>
      </c>
      <c r="CC925" s="120">
        <f>(CC924+CC926)/2</f>
        <v>19.3535</v>
      </c>
      <c r="CD925" s="120">
        <f>(CC925+CE925)/2</f>
        <v>19.792749999999998</v>
      </c>
      <c r="CE925" s="120">
        <f>(CE924+CE926)/2</f>
        <v>20.231999999999999</v>
      </c>
      <c r="CF925" s="120">
        <f>(CE925+CG925)/2</f>
        <v>20.664999999999999</v>
      </c>
      <c r="CG925" s="120">
        <f>(CG924+CG926)/2</f>
        <v>21.097999999999999</v>
      </c>
      <c r="CH925" s="120">
        <f>(CG925+CI925)/2</f>
        <v>21.5715</v>
      </c>
      <c r="CI925" s="120">
        <f>(CI924+CI926)/2</f>
        <v>22.045000000000002</v>
      </c>
      <c r="CJ925" s="120">
        <f>(CI925+CK925)/2</f>
        <v>22.478250000000003</v>
      </c>
      <c r="CK925" s="120">
        <f>(CK924+CK926)/2</f>
        <v>22.9115</v>
      </c>
      <c r="CL925" s="120">
        <f>(CK925+CM925)/2</f>
        <v>23.321249999999999</v>
      </c>
      <c r="CM925" s="120">
        <f>(CM924+CM926)/2</f>
        <v>23.731000000000002</v>
      </c>
      <c r="CN925" s="120">
        <f>(CM925+CO925)/2</f>
        <v>24.14575</v>
      </c>
      <c r="CO925" s="120">
        <f>(CO924+CO926)/2</f>
        <v>24.560500000000001</v>
      </c>
      <c r="CP925" s="120">
        <f>(CO925+CQ925)/2</f>
        <v>24.994</v>
      </c>
      <c r="CQ925" s="120">
        <f>(CQ924+CQ926)/2</f>
        <v>25.427500000000002</v>
      </c>
      <c r="CR925" s="120">
        <f>(CQ925+CS925)/2</f>
        <v>25.84225</v>
      </c>
      <c r="CS925" s="120">
        <f>(CS924+CS926)/2</f>
        <v>26.257000000000001</v>
      </c>
      <c r="CT925" s="120">
        <f>(CS925+CU925)/2</f>
        <v>26.685000000000002</v>
      </c>
      <c r="CU925" s="120">
        <f>(CU924+CU926)/2</f>
        <v>27.113</v>
      </c>
      <c r="CV925" s="120">
        <f>(CU925+CW925)/2</f>
        <v>27.557499999999997</v>
      </c>
      <c r="CW925" s="120">
        <f>(CW924+CW926)/2</f>
        <v>28.001999999999999</v>
      </c>
      <c r="CX925" s="120">
        <f>(CW925+CY925)/2</f>
        <v>28.387250000000002</v>
      </c>
      <c r="CY925" s="120">
        <f>(CY924+CY926)/2</f>
        <v>28.772500000000001</v>
      </c>
      <c r="CZ925" s="120">
        <f>(CY925+DA925)/2</f>
        <v>29.205750000000002</v>
      </c>
      <c r="DA925" s="120">
        <f>(DA924+DA926)/2</f>
        <v>29.638999999999999</v>
      </c>
      <c r="DB925" s="120">
        <f>(DA925+DC925)/2</f>
        <v>30.054000000000002</v>
      </c>
      <c r="DC925" s="120">
        <f>(DC924+DC926)/2</f>
        <v>30.469000000000001</v>
      </c>
      <c r="DD925" s="120">
        <f>(DC925+DE925)/2</f>
        <v>30.838750000000001</v>
      </c>
      <c r="DE925" s="120">
        <f>(DE924+DE926)/2</f>
        <v>31.208500000000001</v>
      </c>
      <c r="DF925" s="120">
        <f>(DE925+DG925)/2</f>
        <v>31.652250000000002</v>
      </c>
      <c r="DG925" s="122">
        <f>(DG924+DG926)/2</f>
        <v>32.096000000000004</v>
      </c>
    </row>
    <row r="926" spans="54:111" ht="15" customHeight="1" x14ac:dyDescent="0.2">
      <c r="BB926" s="28">
        <v>10</v>
      </c>
      <c r="BC926" s="121">
        <v>6.3620000000000001</v>
      </c>
      <c r="BD926" s="121">
        <v>7.0555000000000003</v>
      </c>
      <c r="BE926" s="121">
        <v>7.7489999999999997</v>
      </c>
      <c r="BF926" s="121">
        <v>8.3829999999999991</v>
      </c>
      <c r="BG926" s="121">
        <v>9.0169999999999995</v>
      </c>
      <c r="BH926" s="121">
        <f t="array" ref="BH926:BH976">TRANSPOSE(BI925:DG925)</f>
        <v>9.652000000000001</v>
      </c>
      <c r="BI926" s="158">
        <v>10.287000000000001</v>
      </c>
      <c r="BJ926" s="120">
        <f>(BK926+BI926)/2</f>
        <v>10.805</v>
      </c>
      <c r="BK926" s="158">
        <v>11.323</v>
      </c>
      <c r="BL926" s="120">
        <f>(BM926+BK926)/2</f>
        <v>11.899000000000001</v>
      </c>
      <c r="BM926" s="158">
        <v>12.475</v>
      </c>
      <c r="BN926" s="120">
        <f>(BO926+BM926)/2</f>
        <v>12.992999999999999</v>
      </c>
      <c r="BO926" s="158">
        <v>13.510999999999999</v>
      </c>
      <c r="BP926" s="120">
        <f>(BQ926+BO926)/2</f>
        <v>14.087499999999999</v>
      </c>
      <c r="BQ926" s="158">
        <v>14.664</v>
      </c>
      <c r="BR926" s="120">
        <f>(BS926+BQ926)/2</f>
        <v>15.123000000000001</v>
      </c>
      <c r="BS926" s="158">
        <v>15.582000000000001</v>
      </c>
      <c r="BT926" s="120">
        <f>(BU926+BS926)/2</f>
        <v>16.100000000000001</v>
      </c>
      <c r="BU926" s="158">
        <v>16.617999999999999</v>
      </c>
      <c r="BV926" s="120">
        <f>(BW926+BU926)/2</f>
        <v>17.135999999999999</v>
      </c>
      <c r="BW926" s="158">
        <v>17.654</v>
      </c>
      <c r="BX926" s="120">
        <f>(BY926+BW926)/2</f>
        <v>18.1035</v>
      </c>
      <c r="BY926" s="158">
        <v>18.553000000000001</v>
      </c>
      <c r="BZ926" s="120">
        <f>(CA926+BY926)/2</f>
        <v>19.070500000000003</v>
      </c>
      <c r="CA926" s="158">
        <v>19.588000000000001</v>
      </c>
      <c r="CB926" s="120">
        <f>(CC926+CA926)/2</f>
        <v>20.047499999999999</v>
      </c>
      <c r="CC926" s="158">
        <v>20.507000000000001</v>
      </c>
      <c r="CD926" s="120">
        <f>(CE926+CC926)/2</f>
        <v>20.9665</v>
      </c>
      <c r="CE926" s="158">
        <v>21.425999999999998</v>
      </c>
      <c r="CF926" s="120">
        <f>(CG926+CE926)/2</f>
        <v>21.884999999999998</v>
      </c>
      <c r="CG926" s="158">
        <v>22.344000000000001</v>
      </c>
      <c r="CH926" s="120">
        <f>(CI926+CG926)/2</f>
        <v>22.862000000000002</v>
      </c>
      <c r="CI926" s="158">
        <v>23.38</v>
      </c>
      <c r="CJ926" s="120">
        <f>(CK926+CI926)/2</f>
        <v>23.839500000000001</v>
      </c>
      <c r="CK926" s="158">
        <v>24.298999999999999</v>
      </c>
      <c r="CL926" s="120">
        <f>(CM926+CK926)/2</f>
        <v>24.757999999999999</v>
      </c>
      <c r="CM926" s="158">
        <v>25.216999999999999</v>
      </c>
      <c r="CN926" s="120">
        <f>(CO926+CM926)/2</f>
        <v>25.6175</v>
      </c>
      <c r="CO926" s="158">
        <v>26.018000000000001</v>
      </c>
      <c r="CP926" s="120">
        <f>(CQ926+CO926)/2</f>
        <v>26.478000000000002</v>
      </c>
      <c r="CQ926" s="158">
        <v>26.937999999999999</v>
      </c>
      <c r="CR926" s="120">
        <f>(CS926+CQ926)/2</f>
        <v>27.396999999999998</v>
      </c>
      <c r="CS926" s="158">
        <v>27.856000000000002</v>
      </c>
      <c r="CT926" s="120">
        <f>(CU926+CS926)/2</f>
        <v>28.315000000000001</v>
      </c>
      <c r="CU926" s="158">
        <v>28.774000000000001</v>
      </c>
      <c r="CV926" s="120">
        <f>(CW926+CU926)/2</f>
        <v>29.234000000000002</v>
      </c>
      <c r="CW926" s="158">
        <v>29.693999999999999</v>
      </c>
      <c r="CX926" s="120">
        <f>(CY926+CW926)/2</f>
        <v>30.0945</v>
      </c>
      <c r="CY926" s="158">
        <v>30.495000000000001</v>
      </c>
      <c r="CZ926" s="120">
        <f>(DA926+CY926)/2</f>
        <v>30.954000000000001</v>
      </c>
      <c r="DA926" s="158">
        <v>31.413</v>
      </c>
      <c r="DB926" s="120">
        <f>(DC926+DA926)/2</f>
        <v>31.872999999999998</v>
      </c>
      <c r="DC926" s="158">
        <v>32.332999999999998</v>
      </c>
      <c r="DD926" s="120">
        <f>(DE926+DC926)/2</f>
        <v>32.733499999999999</v>
      </c>
      <c r="DE926" s="158">
        <v>33.134</v>
      </c>
      <c r="DF926" s="120">
        <f>(DG926+DE926)/2</f>
        <v>33.593000000000004</v>
      </c>
      <c r="DG926" s="159">
        <v>34.052</v>
      </c>
    </row>
    <row r="927" spans="54:111" ht="15" customHeight="1" x14ac:dyDescent="0.2">
      <c r="BB927" s="28">
        <v>11</v>
      </c>
      <c r="BC927" s="121">
        <v>6.6985000000000001</v>
      </c>
      <c r="BD927" s="121">
        <v>7.4359999999999999</v>
      </c>
      <c r="BE927" s="121">
        <v>8.1735000000000007</v>
      </c>
      <c r="BF927" s="121">
        <v>8.8684999999999992</v>
      </c>
      <c r="BG927" s="121">
        <v>9.5634999999999994</v>
      </c>
      <c r="BH927" s="121">
        <v>10.18425</v>
      </c>
      <c r="BI927" s="121">
        <f t="array" ref="BI927:BI976">TRANSPOSE(BJ926:DG926)</f>
        <v>10.805</v>
      </c>
      <c r="BJ927" s="120">
        <f>(BI927+BK927)/2</f>
        <v>11.3965</v>
      </c>
      <c r="BK927" s="120">
        <f>(BK926+BK928)/2</f>
        <v>11.988</v>
      </c>
      <c r="BL927" s="120">
        <f>(BK927+BM927)/2</f>
        <v>12.590499999999999</v>
      </c>
      <c r="BM927" s="120">
        <f>(BM926+BM928)/2</f>
        <v>13.193</v>
      </c>
      <c r="BN927" s="120">
        <f>(BM927+BO927)/2</f>
        <v>13.725999999999999</v>
      </c>
      <c r="BO927" s="120">
        <f>(BO926+BO928)/2</f>
        <v>14.259</v>
      </c>
      <c r="BP927" s="120">
        <f>(BO927+BQ927)/2</f>
        <v>14.861499999999999</v>
      </c>
      <c r="BQ927" s="120">
        <f>(BQ926+BQ928)/2</f>
        <v>15.463999999999999</v>
      </c>
      <c r="BR927" s="120">
        <f>(BQ927+BS927)/2</f>
        <v>15.9725</v>
      </c>
      <c r="BS927" s="120">
        <f>(BS926+BS928)/2</f>
        <v>16.481000000000002</v>
      </c>
      <c r="BT927" s="120">
        <f>(BS927+BU927)/2</f>
        <v>17.014250000000001</v>
      </c>
      <c r="BU927" s="120">
        <f>(BU926+BU928)/2</f>
        <v>17.547499999999999</v>
      </c>
      <c r="BV927" s="120">
        <f>(BU927+BW927)/2</f>
        <v>18.091749999999998</v>
      </c>
      <c r="BW927" s="120">
        <f>(BW926+BW928)/2</f>
        <v>18.635999999999999</v>
      </c>
      <c r="BX927" s="120">
        <f>(BW927+BY927)/2</f>
        <v>19.105499999999999</v>
      </c>
      <c r="BY927" s="120">
        <f>(BY926+BY928)/2</f>
        <v>19.575000000000003</v>
      </c>
      <c r="BZ927" s="120">
        <f>(BY927+CA927)/2</f>
        <v>20.118750000000002</v>
      </c>
      <c r="CA927" s="120">
        <f>(CA926+CA928)/2</f>
        <v>20.662500000000001</v>
      </c>
      <c r="CB927" s="120">
        <f>(CA927+CC927)/2</f>
        <v>21.166499999999999</v>
      </c>
      <c r="CC927" s="120">
        <f>(CC926+CC928)/2</f>
        <v>21.670500000000001</v>
      </c>
      <c r="CD927" s="120">
        <f>(CC927+CE927)/2</f>
        <v>22.145</v>
      </c>
      <c r="CE927" s="120">
        <f>(CE926+CE928)/2</f>
        <v>22.619499999999999</v>
      </c>
      <c r="CF927" s="120">
        <f>(CE927+CG927)/2</f>
        <v>23.109499999999997</v>
      </c>
      <c r="CG927" s="120">
        <f>(CG926+CG928)/2</f>
        <v>23.599499999999999</v>
      </c>
      <c r="CH927" s="120">
        <f>(CG927+CI927)/2</f>
        <v>24.132999999999999</v>
      </c>
      <c r="CI927" s="120">
        <f>(CI926+CI928)/2</f>
        <v>24.666499999999999</v>
      </c>
      <c r="CJ927" s="120">
        <f>(CI927+CK927)/2</f>
        <v>25.152000000000001</v>
      </c>
      <c r="CK927" s="120">
        <f>(CK926+CK928)/2</f>
        <v>25.637499999999999</v>
      </c>
      <c r="CL927" s="120">
        <f>(CK927+CM927)/2</f>
        <v>26.111750000000001</v>
      </c>
      <c r="CM927" s="120">
        <f>(CM926+CM928)/2</f>
        <v>26.585999999999999</v>
      </c>
      <c r="CN927" s="120">
        <f>(CM927+CO927)/2</f>
        <v>27.03125</v>
      </c>
      <c r="CO927" s="120">
        <f>(CO926+CO928)/2</f>
        <v>27.476500000000001</v>
      </c>
      <c r="CP927" s="120">
        <f>(CO927+CQ927)/2</f>
        <v>27.962250000000001</v>
      </c>
      <c r="CQ927" s="120">
        <f>(CQ926+CQ928)/2</f>
        <v>28.448</v>
      </c>
      <c r="CR927" s="120">
        <f>(CQ927+CS927)/2</f>
        <v>28.922499999999999</v>
      </c>
      <c r="CS927" s="120">
        <f>(CS926+CS928)/2</f>
        <v>29.396999999999998</v>
      </c>
      <c r="CT927" s="120">
        <f>(CS927+CU927)/2</f>
        <v>29.887</v>
      </c>
      <c r="CU927" s="120">
        <f>(CU926+CU928)/2</f>
        <v>30.377000000000002</v>
      </c>
      <c r="CV927" s="120">
        <f>(CU927+CW927)/2</f>
        <v>30.852</v>
      </c>
      <c r="CW927" s="120">
        <f>(CW926+CW928)/2</f>
        <v>31.326999999999998</v>
      </c>
      <c r="CX927" s="120">
        <f>(CW927+CY927)/2</f>
        <v>31.77225</v>
      </c>
      <c r="CY927" s="120">
        <f>(CY926+CY928)/2</f>
        <v>32.217500000000001</v>
      </c>
      <c r="CZ927" s="120">
        <f>(CY927+DA927)/2</f>
        <v>32.673500000000004</v>
      </c>
      <c r="DA927" s="120">
        <f>(DA926+DA928)/2</f>
        <v>33.1295</v>
      </c>
      <c r="DB927" s="120">
        <f>(DA927+DC927)/2</f>
        <v>33.60425</v>
      </c>
      <c r="DC927" s="120">
        <f>(DC926+DC928)/2</f>
        <v>34.079000000000001</v>
      </c>
      <c r="DD927" s="120">
        <f>(DC927+DE927)/2</f>
        <v>34.535250000000005</v>
      </c>
      <c r="DE927" s="120">
        <f>(DE926+DE928)/2</f>
        <v>34.991500000000002</v>
      </c>
      <c r="DF927" s="120">
        <f>(DE927+DG927)/2</f>
        <v>35.470500000000001</v>
      </c>
      <c r="DG927" s="122">
        <f>(DG926+DG928)/2</f>
        <v>35.9495</v>
      </c>
    </row>
    <row r="928" spans="54:111" ht="15" customHeight="1" x14ac:dyDescent="0.2">
      <c r="BB928" s="28">
        <v>12</v>
      </c>
      <c r="BC928" s="121">
        <v>7.0350000000000001</v>
      </c>
      <c r="BD928" s="121">
        <v>7.8165000000000004</v>
      </c>
      <c r="BE928" s="121">
        <v>8.5980000000000008</v>
      </c>
      <c r="BF928" s="121">
        <v>9.3539999999999992</v>
      </c>
      <c r="BG928" s="121">
        <v>10.11</v>
      </c>
      <c r="BH928" s="121">
        <v>10.7165</v>
      </c>
      <c r="BI928" s="121">
        <v>11.323</v>
      </c>
      <c r="BJ928" s="121">
        <f t="array" ref="BJ928:BJ976">TRANSPOSE(BK927:DG927)</f>
        <v>11.988</v>
      </c>
      <c r="BK928" s="158">
        <v>12.653</v>
      </c>
      <c r="BL928" s="120">
        <f>(BM928+BK928)/2</f>
        <v>13.282</v>
      </c>
      <c r="BM928" s="158">
        <v>13.911</v>
      </c>
      <c r="BN928" s="120">
        <f>(BO928+BM928)/2</f>
        <v>14.459</v>
      </c>
      <c r="BO928" s="158">
        <v>15.007</v>
      </c>
      <c r="BP928" s="120">
        <f>(BQ928+BO928)/2</f>
        <v>15.6355</v>
      </c>
      <c r="BQ928" s="158">
        <v>16.263999999999999</v>
      </c>
      <c r="BR928" s="120">
        <f>(BS928+BQ928)/2</f>
        <v>16.821999999999999</v>
      </c>
      <c r="BS928" s="158">
        <v>17.38</v>
      </c>
      <c r="BT928" s="120">
        <f>(BU928+BS928)/2</f>
        <v>17.9285</v>
      </c>
      <c r="BU928" s="158">
        <v>18.477</v>
      </c>
      <c r="BV928" s="120">
        <f>(BW928+BU928)/2</f>
        <v>19.047499999999999</v>
      </c>
      <c r="BW928" s="158">
        <v>19.617999999999999</v>
      </c>
      <c r="BX928" s="120">
        <f>(BY928+BW928)/2</f>
        <v>20.107500000000002</v>
      </c>
      <c r="BY928" s="158">
        <v>20.597000000000001</v>
      </c>
      <c r="BZ928" s="120">
        <f>(CA928+BY928)/2</f>
        <v>21.167000000000002</v>
      </c>
      <c r="CA928" s="158">
        <v>21.736999999999998</v>
      </c>
      <c r="CB928" s="120">
        <f>(CC928+CA928)/2</f>
        <v>22.285499999999999</v>
      </c>
      <c r="CC928" s="158">
        <v>22.834</v>
      </c>
      <c r="CD928" s="120">
        <f>(CE928+CC928)/2</f>
        <v>23.323499999999999</v>
      </c>
      <c r="CE928" s="158">
        <v>23.812999999999999</v>
      </c>
      <c r="CF928" s="120">
        <f>(CG928+CE928)/2</f>
        <v>24.334</v>
      </c>
      <c r="CG928" s="158">
        <v>24.855</v>
      </c>
      <c r="CH928" s="120">
        <f>(CI928+CG928)/2</f>
        <v>25.404</v>
      </c>
      <c r="CI928" s="158">
        <v>25.952999999999999</v>
      </c>
      <c r="CJ928" s="120">
        <f>(CK928+CI928)/2</f>
        <v>26.464500000000001</v>
      </c>
      <c r="CK928" s="158">
        <v>26.975999999999999</v>
      </c>
      <c r="CL928" s="120">
        <f>(CM928+CK928)/2</f>
        <v>27.465499999999999</v>
      </c>
      <c r="CM928" s="158">
        <v>27.954999999999998</v>
      </c>
      <c r="CN928" s="120">
        <f>(CO928+CM928)/2</f>
        <v>28.445</v>
      </c>
      <c r="CO928" s="158">
        <v>28.934999999999999</v>
      </c>
      <c r="CP928" s="120">
        <f>(CQ928+CO928)/2</f>
        <v>29.4465</v>
      </c>
      <c r="CQ928" s="158">
        <v>29.957999999999998</v>
      </c>
      <c r="CR928" s="120">
        <f>(CS928+CQ928)/2</f>
        <v>30.448</v>
      </c>
      <c r="CS928" s="158">
        <v>30.937999999999999</v>
      </c>
      <c r="CT928" s="120">
        <f>(CU928+CS928)/2</f>
        <v>31.459</v>
      </c>
      <c r="CU928" s="158">
        <v>31.98</v>
      </c>
      <c r="CV928" s="120">
        <f>(CW928+CU928)/2</f>
        <v>32.47</v>
      </c>
      <c r="CW928" s="158">
        <v>32.96</v>
      </c>
      <c r="CX928" s="120">
        <f>(CY928+CW928)/2</f>
        <v>33.450000000000003</v>
      </c>
      <c r="CY928" s="158">
        <v>33.94</v>
      </c>
      <c r="CZ928" s="120">
        <f>(DA928+CY928)/2</f>
        <v>34.393000000000001</v>
      </c>
      <c r="DA928" s="158">
        <v>34.845999999999997</v>
      </c>
      <c r="DB928" s="120">
        <f>(DC928+DA928)/2</f>
        <v>35.335499999999996</v>
      </c>
      <c r="DC928" s="158">
        <v>35.825000000000003</v>
      </c>
      <c r="DD928" s="120">
        <f>(DE928+DC928)/2</f>
        <v>36.337000000000003</v>
      </c>
      <c r="DE928" s="158">
        <v>36.848999999999997</v>
      </c>
      <c r="DF928" s="120">
        <f>(DG928+DE928)/2</f>
        <v>37.347999999999999</v>
      </c>
      <c r="DG928" s="159">
        <v>37.847000000000001</v>
      </c>
    </row>
    <row r="929" spans="54:111" ht="15" customHeight="1" x14ac:dyDescent="0.2">
      <c r="BB929" s="28">
        <v>13</v>
      </c>
      <c r="BC929" s="121">
        <v>7.4395000000000007</v>
      </c>
      <c r="BD929" s="121">
        <v>8.2362500000000001</v>
      </c>
      <c r="BE929" s="121">
        <v>9.0330000000000013</v>
      </c>
      <c r="BF929" s="121">
        <v>9.7992500000000007</v>
      </c>
      <c r="BG929" s="121">
        <v>10.5655</v>
      </c>
      <c r="BH929" s="121">
        <v>11.232250000000001</v>
      </c>
      <c r="BI929" s="121">
        <v>11.899000000000001</v>
      </c>
      <c r="BJ929" s="121">
        <v>12.590499999999999</v>
      </c>
      <c r="BK929" s="121">
        <f t="array" ref="BK929:BK976">TRANSPOSE(BL928:DG928)</f>
        <v>13.282</v>
      </c>
      <c r="BL929" s="120">
        <f>(BK929+BM929)/2</f>
        <v>13.926</v>
      </c>
      <c r="BM929" s="120">
        <f>(BM928+BM930)/2</f>
        <v>14.57</v>
      </c>
      <c r="BN929" s="120">
        <f>(BM929+BO929)/2</f>
        <v>15.1675</v>
      </c>
      <c r="BO929" s="120">
        <f>(BO928+BO930)/2</f>
        <v>15.765000000000001</v>
      </c>
      <c r="BP929" s="120">
        <f>(BO929+BQ929)/2</f>
        <v>16.3795</v>
      </c>
      <c r="BQ929" s="120">
        <f>(BQ928+BQ930)/2</f>
        <v>16.994</v>
      </c>
      <c r="BR929" s="120">
        <f>(BQ929+BS929)/2</f>
        <v>17.602499999999999</v>
      </c>
      <c r="BS929" s="120">
        <f>(BS928+BS930)/2</f>
        <v>18.210999999999999</v>
      </c>
      <c r="BT929" s="120">
        <f>(BS929+BU929)/2</f>
        <v>18.790500000000002</v>
      </c>
      <c r="BU929" s="120">
        <f>(BU928+BU930)/2</f>
        <v>19.37</v>
      </c>
      <c r="BV929" s="120">
        <f>(BU929+BW929)/2</f>
        <v>19.955500000000001</v>
      </c>
      <c r="BW929" s="120">
        <f>(BW928+BW930)/2</f>
        <v>20.540999999999997</v>
      </c>
      <c r="BX929" s="120">
        <f>(BW929+BY929)/2</f>
        <v>21.075249999999997</v>
      </c>
      <c r="BY929" s="120">
        <f>(BY928+BY930)/2</f>
        <v>21.609500000000001</v>
      </c>
      <c r="BZ929" s="120">
        <f>(BY929+CA929)/2</f>
        <v>22.1995</v>
      </c>
      <c r="CA929" s="120">
        <f>(CA928+CA930)/2</f>
        <v>22.789499999999997</v>
      </c>
      <c r="CB929" s="120">
        <f>(CA929+CC929)/2</f>
        <v>23.33475</v>
      </c>
      <c r="CC929" s="120">
        <f>(CC928+CC930)/2</f>
        <v>23.88</v>
      </c>
      <c r="CD929" s="120">
        <f>(CC929+CE929)/2</f>
        <v>24.43</v>
      </c>
      <c r="CE929" s="120">
        <f>(CE928+CE930)/2</f>
        <v>24.979999999999997</v>
      </c>
      <c r="CF929" s="120">
        <f>(CE929+CG929)/2</f>
        <v>25.540749999999999</v>
      </c>
      <c r="CG929" s="120">
        <f>(CG928+CG930)/2</f>
        <v>26.101500000000001</v>
      </c>
      <c r="CH929" s="120">
        <f>(CG929+CI929)/2</f>
        <v>26.63625</v>
      </c>
      <c r="CI929" s="120">
        <f>(CI928+CI930)/2</f>
        <v>27.170999999999999</v>
      </c>
      <c r="CJ929" s="120">
        <f>(CI929+CK929)/2</f>
        <v>27.702500000000001</v>
      </c>
      <c r="CK929" s="120">
        <f>(CK928+CK930)/2</f>
        <v>28.234000000000002</v>
      </c>
      <c r="CL929" s="120">
        <f>(CK929+CM929)/2</f>
        <v>28.779250000000001</v>
      </c>
      <c r="CM929" s="120">
        <f>(CM928+CM930)/2</f>
        <v>29.3245</v>
      </c>
      <c r="CN929" s="120">
        <f>(CM929+CO929)/2</f>
        <v>29.840499999999999</v>
      </c>
      <c r="CO929" s="120">
        <f>(CO928+CO930)/2</f>
        <v>30.356499999999997</v>
      </c>
      <c r="CP929" s="120">
        <f>(CO929+CQ929)/2</f>
        <v>30.888249999999999</v>
      </c>
      <c r="CQ929" s="120">
        <f>(CQ928+CQ930)/2</f>
        <v>31.419999999999998</v>
      </c>
      <c r="CR929" s="120">
        <f>(CQ929+CS929)/2</f>
        <v>31.924999999999997</v>
      </c>
      <c r="CS929" s="120">
        <f>(CS928+CS930)/2</f>
        <v>32.43</v>
      </c>
      <c r="CT929" s="120">
        <f>(CS929+CU929)/2</f>
        <v>32.961500000000001</v>
      </c>
      <c r="CU929" s="120">
        <f>(CU928+CU930)/2</f>
        <v>33.493000000000002</v>
      </c>
      <c r="CV929" s="120">
        <f>(CU929+CW929)/2</f>
        <v>34.013750000000002</v>
      </c>
      <c r="CW929" s="120">
        <f>(CW928+CW930)/2</f>
        <v>34.534500000000001</v>
      </c>
      <c r="CX929" s="120">
        <f>(CW929+CY929)/2</f>
        <v>35.0505</v>
      </c>
      <c r="CY929" s="120">
        <f>(CY928+CY930)/2</f>
        <v>35.566499999999998</v>
      </c>
      <c r="CZ929" s="120">
        <f>(CY929+DA929)/2</f>
        <v>36.063999999999993</v>
      </c>
      <c r="DA929" s="120">
        <f>(DA928+DA930)/2</f>
        <v>36.561499999999995</v>
      </c>
      <c r="DB929" s="120">
        <f>(DA929+DC929)/2</f>
        <v>37.070999999999998</v>
      </c>
      <c r="DC929" s="120">
        <f>(DC928+DC930)/2</f>
        <v>37.580500000000001</v>
      </c>
      <c r="DD929" s="120">
        <f>(DC929+DE929)/2</f>
        <v>38.107749999999996</v>
      </c>
      <c r="DE929" s="120">
        <f>(DE928+DE930)/2</f>
        <v>38.634999999999998</v>
      </c>
      <c r="DF929" s="120">
        <f>(DE929+DG929)/2</f>
        <v>39.155500000000004</v>
      </c>
      <c r="DG929" s="122">
        <f>(DG928+DG930)/2</f>
        <v>39.676000000000002</v>
      </c>
    </row>
    <row r="930" spans="54:111" ht="15" customHeight="1" x14ac:dyDescent="0.2">
      <c r="BB930" s="28">
        <v>14</v>
      </c>
      <c r="BC930" s="121">
        <v>7.8440000000000003</v>
      </c>
      <c r="BD930" s="121">
        <v>8.6560000000000006</v>
      </c>
      <c r="BE930" s="121">
        <v>9.468</v>
      </c>
      <c r="BF930" s="121">
        <v>10.2445</v>
      </c>
      <c r="BG930" s="121">
        <v>11.021000000000001</v>
      </c>
      <c r="BH930" s="121">
        <v>11.748000000000001</v>
      </c>
      <c r="BI930" s="121">
        <v>12.475</v>
      </c>
      <c r="BJ930" s="121">
        <v>13.193</v>
      </c>
      <c r="BK930" s="121">
        <v>13.911</v>
      </c>
      <c r="BL930" s="121">
        <f t="array" ref="BL930:BL976">TRANSPOSE(BM929:DG929)</f>
        <v>14.57</v>
      </c>
      <c r="BM930" s="158">
        <v>15.228999999999999</v>
      </c>
      <c r="BN930" s="120">
        <f>(BO930+BM930)/2</f>
        <v>15.875999999999999</v>
      </c>
      <c r="BO930" s="158">
        <v>16.523</v>
      </c>
      <c r="BP930" s="120">
        <f>(BQ930+BO930)/2</f>
        <v>17.1235</v>
      </c>
      <c r="BQ930" s="158">
        <v>17.724</v>
      </c>
      <c r="BR930" s="120">
        <f>(BS930+BQ930)/2</f>
        <v>18.383000000000003</v>
      </c>
      <c r="BS930" s="158">
        <v>19.042000000000002</v>
      </c>
      <c r="BT930" s="120">
        <f>(BU930+BS930)/2</f>
        <v>19.652500000000003</v>
      </c>
      <c r="BU930" s="158">
        <v>20.263000000000002</v>
      </c>
      <c r="BV930" s="120">
        <f>(BW930+BU930)/2</f>
        <v>20.863500000000002</v>
      </c>
      <c r="BW930" s="158">
        <v>21.463999999999999</v>
      </c>
      <c r="BX930" s="120">
        <f>(BY930+BW930)/2</f>
        <v>22.042999999999999</v>
      </c>
      <c r="BY930" s="158">
        <v>22.622</v>
      </c>
      <c r="BZ930" s="120">
        <f>(CA930+BY930)/2</f>
        <v>23.231999999999999</v>
      </c>
      <c r="CA930" s="158">
        <v>23.841999999999999</v>
      </c>
      <c r="CB930" s="120">
        <f>(CC930+CA930)/2</f>
        <v>24.384</v>
      </c>
      <c r="CC930" s="158">
        <v>24.925999999999998</v>
      </c>
      <c r="CD930" s="120">
        <f>(CE930+CC930)/2</f>
        <v>25.536499999999997</v>
      </c>
      <c r="CE930" s="158">
        <v>26.146999999999998</v>
      </c>
      <c r="CF930" s="120">
        <f>(CG930+CE930)/2</f>
        <v>26.747499999999999</v>
      </c>
      <c r="CG930" s="158">
        <v>27.347999999999999</v>
      </c>
      <c r="CH930" s="120">
        <f>(CI930+CG930)/2</f>
        <v>27.868499999999997</v>
      </c>
      <c r="CI930" s="158">
        <v>28.388999999999999</v>
      </c>
      <c r="CJ930" s="120">
        <f>(CK930+CI930)/2</f>
        <v>28.9405</v>
      </c>
      <c r="CK930" s="158">
        <v>29.492000000000001</v>
      </c>
      <c r="CL930" s="120">
        <f>(CM930+CK930)/2</f>
        <v>30.093</v>
      </c>
      <c r="CM930" s="158">
        <v>30.693999999999999</v>
      </c>
      <c r="CN930" s="120">
        <f>(CO930+CM930)/2</f>
        <v>31.235999999999997</v>
      </c>
      <c r="CO930" s="158">
        <v>31.777999999999999</v>
      </c>
      <c r="CP930" s="120">
        <f>(CQ930+CO930)/2</f>
        <v>32.33</v>
      </c>
      <c r="CQ930" s="158">
        <v>32.881999999999998</v>
      </c>
      <c r="CR930" s="120">
        <f>(CS930+CQ930)/2</f>
        <v>33.402000000000001</v>
      </c>
      <c r="CS930" s="158">
        <v>33.921999999999997</v>
      </c>
      <c r="CT930" s="120">
        <f>(CU930+CS930)/2</f>
        <v>34.463999999999999</v>
      </c>
      <c r="CU930" s="158">
        <v>35.006</v>
      </c>
      <c r="CV930" s="120">
        <f>(CW930+CU930)/2</f>
        <v>35.557500000000005</v>
      </c>
      <c r="CW930" s="158">
        <v>36.109000000000002</v>
      </c>
      <c r="CX930" s="120">
        <f>(CY930+CW930)/2</f>
        <v>36.650999999999996</v>
      </c>
      <c r="CY930" s="158">
        <v>37.192999999999998</v>
      </c>
      <c r="CZ930" s="120">
        <f>(DA930+CY930)/2</f>
        <v>37.734999999999999</v>
      </c>
      <c r="DA930" s="158">
        <v>38.277000000000001</v>
      </c>
      <c r="DB930" s="120">
        <f>(DC930+DA930)/2</f>
        <v>38.8065</v>
      </c>
      <c r="DC930" s="158">
        <v>39.335999999999999</v>
      </c>
      <c r="DD930" s="120">
        <f>(DE930+DC930)/2</f>
        <v>39.878500000000003</v>
      </c>
      <c r="DE930" s="158">
        <v>40.420999999999999</v>
      </c>
      <c r="DF930" s="120">
        <f>(DG930+DE930)/2</f>
        <v>40.963000000000001</v>
      </c>
      <c r="DG930" s="159">
        <v>41.505000000000003</v>
      </c>
    </row>
    <row r="931" spans="54:111" ht="15" customHeight="1" x14ac:dyDescent="0.2">
      <c r="BB931" s="28">
        <v>15</v>
      </c>
      <c r="BC931" s="121">
        <v>8.1585000000000001</v>
      </c>
      <c r="BD931" s="121">
        <v>9.0420000000000016</v>
      </c>
      <c r="BE931" s="121">
        <v>9.9254999999999995</v>
      </c>
      <c r="BF931" s="121">
        <v>10.716750000000001</v>
      </c>
      <c r="BG931" s="121">
        <v>11.507999999999999</v>
      </c>
      <c r="BH931" s="121">
        <v>12.250500000000001</v>
      </c>
      <c r="BI931" s="121">
        <v>12.992999999999999</v>
      </c>
      <c r="BJ931" s="121">
        <v>13.725999999999999</v>
      </c>
      <c r="BK931" s="121">
        <v>14.459</v>
      </c>
      <c r="BL931" s="121">
        <v>15.1675</v>
      </c>
      <c r="BM931" s="121">
        <f t="array" ref="BM931:BM976">TRANSPOSE(BN930:DG930)</f>
        <v>15.875999999999999</v>
      </c>
      <c r="BN931" s="120">
        <f>(BM931+BO931)/2</f>
        <v>16.555250000000001</v>
      </c>
      <c r="BO931" s="120">
        <f>(BO930+BO932)/2</f>
        <v>17.234500000000001</v>
      </c>
      <c r="BP931" s="120">
        <f>(BO931+BQ931)/2</f>
        <v>17.884500000000003</v>
      </c>
      <c r="BQ931" s="120">
        <f>(BQ930+BQ932)/2</f>
        <v>18.534500000000001</v>
      </c>
      <c r="BR931" s="120">
        <f>(BQ931+BS931)/2</f>
        <v>19.179250000000003</v>
      </c>
      <c r="BS931" s="120">
        <f>(BS930+BS932)/2</f>
        <v>19.824000000000002</v>
      </c>
      <c r="BT931" s="120">
        <f>(BS931+BU931)/2</f>
        <v>20.478999999999999</v>
      </c>
      <c r="BU931" s="120">
        <f>(BU930+BU932)/2</f>
        <v>21.134</v>
      </c>
      <c r="BV931" s="120">
        <f>(BU931+BW931)/2</f>
        <v>21.749749999999999</v>
      </c>
      <c r="BW931" s="120">
        <f>(BW930+BW932)/2</f>
        <v>22.365499999999997</v>
      </c>
      <c r="BX931" s="120">
        <f>(BW931+BY931)/2</f>
        <v>22.986249999999998</v>
      </c>
      <c r="BY931" s="120">
        <f>(BY930+BY932)/2</f>
        <v>23.606999999999999</v>
      </c>
      <c r="BZ931" s="120">
        <f>(BY931+CA931)/2</f>
        <v>24.232499999999998</v>
      </c>
      <c r="CA931" s="120">
        <f>(CA930+CA932)/2</f>
        <v>24.857999999999997</v>
      </c>
      <c r="CB931" s="120">
        <f>(CA931+CC931)/2</f>
        <v>25.444249999999997</v>
      </c>
      <c r="CC931" s="120">
        <f>(CC930+CC932)/2</f>
        <v>26.0305</v>
      </c>
      <c r="CD931" s="120">
        <f>(CC931+CE931)/2</f>
        <v>26.65625</v>
      </c>
      <c r="CE931" s="120">
        <f>(CE930+CE932)/2</f>
        <v>27.282</v>
      </c>
      <c r="CF931" s="120">
        <f>(CE931+CG931)/2</f>
        <v>27.868499999999997</v>
      </c>
      <c r="CG931" s="120">
        <f>(CG930+CG932)/2</f>
        <v>28.454999999999998</v>
      </c>
      <c r="CH931" s="120">
        <f>(CG931+CI931)/2</f>
        <v>29.046749999999999</v>
      </c>
      <c r="CI931" s="120">
        <f>(CI930+CI932)/2</f>
        <v>29.638500000000001</v>
      </c>
      <c r="CJ931" s="120">
        <f>(CI931+CK931)/2</f>
        <v>30.198</v>
      </c>
      <c r="CK931" s="120">
        <f>(CK930+CK932)/2</f>
        <v>30.7575</v>
      </c>
      <c r="CL931" s="120">
        <f>(CK931+CM931)/2</f>
        <v>31.380749999999999</v>
      </c>
      <c r="CM931" s="120">
        <f>(CM930+CM932)/2</f>
        <v>32.003999999999998</v>
      </c>
      <c r="CN931" s="120">
        <f>(CM931+CO931)/2</f>
        <v>32.561250000000001</v>
      </c>
      <c r="CO931" s="120">
        <f>(CO930+CO932)/2</f>
        <v>33.118499999999997</v>
      </c>
      <c r="CP931" s="120">
        <f>(CO931+CQ931)/2</f>
        <v>33.685749999999999</v>
      </c>
      <c r="CQ931" s="120">
        <f>(CQ930+CQ932)/2</f>
        <v>34.253</v>
      </c>
      <c r="CR931" s="120">
        <f>(CQ931+CS931)/2</f>
        <v>34.839500000000001</v>
      </c>
      <c r="CS931" s="120">
        <f>(CS930+CS932)/2</f>
        <v>35.426000000000002</v>
      </c>
      <c r="CT931" s="120">
        <f>(CS931+CU931)/2</f>
        <v>35.988</v>
      </c>
      <c r="CU931" s="120">
        <f>(CU930+CU932)/2</f>
        <v>36.549999999999997</v>
      </c>
      <c r="CV931" s="120">
        <f>(CU931+CW931)/2</f>
        <v>37.111750000000001</v>
      </c>
      <c r="CW931" s="120">
        <f>(CW930+CW932)/2</f>
        <v>37.673500000000004</v>
      </c>
      <c r="CX931" s="120">
        <f>(CW931+CY931)/2</f>
        <v>38.235750000000003</v>
      </c>
      <c r="CY931" s="120">
        <f>(CY930+CY932)/2</f>
        <v>38.798000000000002</v>
      </c>
      <c r="CZ931" s="120">
        <f>(CY931+DA931)/2</f>
        <v>39.355249999999998</v>
      </c>
      <c r="DA931" s="120">
        <f>(DA930+DA932)/2</f>
        <v>39.912500000000001</v>
      </c>
      <c r="DB931" s="120">
        <f>(DA931+DC931)/2</f>
        <v>40.479500000000002</v>
      </c>
      <c r="DC931" s="120">
        <f>(DC930+DC932)/2</f>
        <v>41.046499999999995</v>
      </c>
      <c r="DD931" s="120">
        <f>(DC931+DE931)/2</f>
        <v>41.608999999999995</v>
      </c>
      <c r="DE931" s="120">
        <f>(DE930+DE932)/2</f>
        <v>42.171499999999995</v>
      </c>
      <c r="DF931" s="120">
        <f>(DE931+DG931)/2</f>
        <v>42.728499999999997</v>
      </c>
      <c r="DG931" s="122">
        <f>(DG930+DG932)/2</f>
        <v>43.285499999999999</v>
      </c>
    </row>
    <row r="932" spans="54:111" ht="15" customHeight="1" x14ac:dyDescent="0.2">
      <c r="BB932" s="28">
        <v>16</v>
      </c>
      <c r="BC932" s="121">
        <v>8.4730000000000008</v>
      </c>
      <c r="BD932" s="121">
        <v>9.4280000000000008</v>
      </c>
      <c r="BE932" s="121">
        <v>10.382999999999999</v>
      </c>
      <c r="BF932" s="121">
        <v>11.189</v>
      </c>
      <c r="BG932" s="121">
        <v>11.994999999999999</v>
      </c>
      <c r="BH932" s="121">
        <v>12.753</v>
      </c>
      <c r="BI932" s="121">
        <v>13.510999999999999</v>
      </c>
      <c r="BJ932" s="121">
        <v>14.259</v>
      </c>
      <c r="BK932" s="121">
        <v>15.007</v>
      </c>
      <c r="BL932" s="121">
        <v>15.765000000000001</v>
      </c>
      <c r="BM932" s="121">
        <v>16.523</v>
      </c>
      <c r="BN932" s="121">
        <f t="array" ref="BN932:BN976">TRANSPOSE(BO931:DG931)</f>
        <v>17.234500000000001</v>
      </c>
      <c r="BO932" s="158">
        <v>17.946000000000002</v>
      </c>
      <c r="BP932" s="120">
        <f>(BQ932+BO932)/2</f>
        <v>18.645499999999998</v>
      </c>
      <c r="BQ932" s="158">
        <v>19.344999999999999</v>
      </c>
      <c r="BR932" s="120">
        <f>(BS932+BQ932)/2</f>
        <v>19.9755</v>
      </c>
      <c r="BS932" s="158">
        <v>20.606000000000002</v>
      </c>
      <c r="BT932" s="120">
        <f>(BU932+BS932)/2</f>
        <v>21.305500000000002</v>
      </c>
      <c r="BU932" s="158">
        <v>22.004999999999999</v>
      </c>
      <c r="BV932" s="120">
        <f>(BW932+BU932)/2</f>
        <v>22.635999999999999</v>
      </c>
      <c r="BW932" s="158">
        <v>23.266999999999999</v>
      </c>
      <c r="BX932" s="120">
        <f>(BY932+BW932)/2</f>
        <v>23.929499999999997</v>
      </c>
      <c r="BY932" s="158">
        <v>24.591999999999999</v>
      </c>
      <c r="BZ932" s="120">
        <f>(CA932+BY932)/2</f>
        <v>25.232999999999997</v>
      </c>
      <c r="CA932" s="158">
        <v>25.873999999999999</v>
      </c>
      <c r="CB932" s="120">
        <f>(CC932+CA932)/2</f>
        <v>26.5045</v>
      </c>
      <c r="CC932" s="158">
        <v>27.135000000000002</v>
      </c>
      <c r="CD932" s="120">
        <f>(CE932+CC932)/2</f>
        <v>27.776000000000003</v>
      </c>
      <c r="CE932" s="158">
        <v>28.417000000000002</v>
      </c>
      <c r="CF932" s="120">
        <f>(CG932+CE932)/2</f>
        <v>28.9895</v>
      </c>
      <c r="CG932" s="158">
        <v>29.562000000000001</v>
      </c>
      <c r="CH932" s="120">
        <f>(CI932+CG932)/2</f>
        <v>30.225000000000001</v>
      </c>
      <c r="CI932" s="158">
        <v>30.888000000000002</v>
      </c>
      <c r="CJ932" s="120">
        <f>(CK932+CI932)/2</f>
        <v>31.455500000000001</v>
      </c>
      <c r="CK932" s="158">
        <v>32.023000000000003</v>
      </c>
      <c r="CL932" s="120">
        <f>(CM932+CK932)/2</f>
        <v>32.668500000000002</v>
      </c>
      <c r="CM932" s="158">
        <v>33.314</v>
      </c>
      <c r="CN932" s="120">
        <f>(CO932+CM932)/2</f>
        <v>33.886499999999998</v>
      </c>
      <c r="CO932" s="158">
        <v>34.459000000000003</v>
      </c>
      <c r="CP932" s="120">
        <f>(CQ932+CO932)/2</f>
        <v>35.041499999999999</v>
      </c>
      <c r="CQ932" s="158">
        <v>35.624000000000002</v>
      </c>
      <c r="CR932" s="120">
        <f>(CS932+CQ932)/2</f>
        <v>36.277000000000001</v>
      </c>
      <c r="CS932" s="158">
        <v>36.93</v>
      </c>
      <c r="CT932" s="120">
        <f>(CU932+CS932)/2</f>
        <v>37.512</v>
      </c>
      <c r="CU932" s="158">
        <v>38.094000000000001</v>
      </c>
      <c r="CV932" s="120">
        <f>(CW932+CU932)/2</f>
        <v>38.665999999999997</v>
      </c>
      <c r="CW932" s="158">
        <v>39.238</v>
      </c>
      <c r="CX932" s="120">
        <f>(CY932+CW932)/2</f>
        <v>39.820499999999996</v>
      </c>
      <c r="CY932" s="158">
        <v>40.402999999999999</v>
      </c>
      <c r="CZ932" s="120">
        <f>(DA932+CY932)/2</f>
        <v>40.975499999999997</v>
      </c>
      <c r="DA932" s="158">
        <v>41.548000000000002</v>
      </c>
      <c r="DB932" s="120">
        <f>(DC932+DA932)/2</f>
        <v>42.152500000000003</v>
      </c>
      <c r="DC932" s="158">
        <v>42.756999999999998</v>
      </c>
      <c r="DD932" s="120">
        <f>(DE932+DC932)/2</f>
        <v>43.339500000000001</v>
      </c>
      <c r="DE932" s="158">
        <v>43.921999999999997</v>
      </c>
      <c r="DF932" s="120">
        <f>(DG932+DE932)/2</f>
        <v>44.494</v>
      </c>
      <c r="DG932" s="159">
        <v>45.066000000000003</v>
      </c>
    </row>
    <row r="933" spans="54:111" ht="15" customHeight="1" x14ac:dyDescent="0.2">
      <c r="BB933" s="28">
        <v>17</v>
      </c>
      <c r="BC933" s="121">
        <v>8.8090000000000011</v>
      </c>
      <c r="BD933" s="121">
        <v>9.7792500000000011</v>
      </c>
      <c r="BE933" s="121">
        <v>10.749499999999999</v>
      </c>
      <c r="BF933" s="121">
        <v>11.605</v>
      </c>
      <c r="BG933" s="121">
        <v>12.4605</v>
      </c>
      <c r="BH933" s="121">
        <v>13.274000000000001</v>
      </c>
      <c r="BI933" s="121">
        <v>14.087499999999999</v>
      </c>
      <c r="BJ933" s="121">
        <v>14.861499999999999</v>
      </c>
      <c r="BK933" s="121">
        <v>15.6355</v>
      </c>
      <c r="BL933" s="121">
        <v>16.3795</v>
      </c>
      <c r="BM933" s="121">
        <v>17.1235</v>
      </c>
      <c r="BN933" s="121">
        <v>17.884500000000003</v>
      </c>
      <c r="BO933" s="121">
        <f t="array" ref="BO933:BO976">TRANSPOSE(BP932:DG932)</f>
        <v>18.645499999999998</v>
      </c>
      <c r="BP933" s="120">
        <f>(BO933+BQ933)/2</f>
        <v>19.359749999999998</v>
      </c>
      <c r="BQ933" s="120">
        <f>(BQ932+BQ934)/2</f>
        <v>20.073999999999998</v>
      </c>
      <c r="BR933" s="120">
        <f>(BQ933+BS933)/2</f>
        <v>20.7605</v>
      </c>
      <c r="BS933" s="120">
        <f>(BS932+BS934)/2</f>
        <v>21.447000000000003</v>
      </c>
      <c r="BT933" s="120">
        <f>(BS933+BU933)/2</f>
        <v>22.143000000000001</v>
      </c>
      <c r="BU933" s="120">
        <f>(BU932+BU934)/2</f>
        <v>22.838999999999999</v>
      </c>
      <c r="BV933" s="120">
        <f>(BU933+BW933)/2</f>
        <v>23.519500000000001</v>
      </c>
      <c r="BW933" s="120">
        <f>(BW932+BW934)/2</f>
        <v>24.2</v>
      </c>
      <c r="BX933" s="120">
        <f>(BW933+BY933)/2</f>
        <v>24.872999999999998</v>
      </c>
      <c r="BY933" s="120">
        <f>(BY932+BY934)/2</f>
        <v>25.545999999999999</v>
      </c>
      <c r="BZ933" s="120">
        <f>(BY933+CA933)/2</f>
        <v>26.202249999999999</v>
      </c>
      <c r="CA933" s="120">
        <f>(CA932+CA934)/2</f>
        <v>26.858499999999999</v>
      </c>
      <c r="CB933" s="120">
        <f>(CA933+CC933)/2</f>
        <v>27.52</v>
      </c>
      <c r="CC933" s="120">
        <f>(CC932+CC934)/2</f>
        <v>28.1815</v>
      </c>
      <c r="CD933" s="120">
        <f>(CC933+CE933)/2</f>
        <v>28.848749999999999</v>
      </c>
      <c r="CE933" s="120">
        <f>(CE932+CE934)/2</f>
        <v>29.515999999999998</v>
      </c>
      <c r="CF933" s="120">
        <f>(CE933+CG933)/2</f>
        <v>30.132750000000001</v>
      </c>
      <c r="CG933" s="120">
        <f>(CG932+CG934)/2</f>
        <v>30.749500000000001</v>
      </c>
      <c r="CH933" s="120">
        <f>(CG933+CI933)/2</f>
        <v>31.398499999999999</v>
      </c>
      <c r="CI933" s="120">
        <f>(CI932+CI934)/2</f>
        <v>32.047499999999999</v>
      </c>
      <c r="CJ933" s="120">
        <f>(CI933+CK933)/2</f>
        <v>32.667000000000002</v>
      </c>
      <c r="CK933" s="120">
        <f>(CK932+CK934)/2</f>
        <v>33.286500000000004</v>
      </c>
      <c r="CL933" s="120">
        <f>(CK933+CM933)/2</f>
        <v>33.955500000000001</v>
      </c>
      <c r="CM933" s="120">
        <f>(CM932+CM934)/2</f>
        <v>34.624499999999998</v>
      </c>
      <c r="CN933" s="120">
        <f>(CM933+CO933)/2</f>
        <v>35.22325</v>
      </c>
      <c r="CO933" s="120">
        <f>(CO932+CO934)/2</f>
        <v>35.822000000000003</v>
      </c>
      <c r="CP933" s="120">
        <f>(CO933+CQ933)/2</f>
        <v>36.448500000000003</v>
      </c>
      <c r="CQ933" s="120">
        <f>(CQ932+CQ934)/2</f>
        <v>37.075000000000003</v>
      </c>
      <c r="CR933" s="120">
        <f>(CQ933+CS933)/2</f>
        <v>37.719000000000001</v>
      </c>
      <c r="CS933" s="120">
        <f>(CS932+CS934)/2</f>
        <v>38.363</v>
      </c>
      <c r="CT933" s="120">
        <f>(CS933+CU933)/2</f>
        <v>38.955500000000001</v>
      </c>
      <c r="CU933" s="120">
        <f>(CU932+CU934)/2</f>
        <v>39.548000000000002</v>
      </c>
      <c r="CV933" s="120">
        <f>(CU933+CW933)/2</f>
        <v>40.151250000000005</v>
      </c>
      <c r="CW933" s="120">
        <f>(CW932+CW934)/2</f>
        <v>40.7545</v>
      </c>
      <c r="CX933" s="120">
        <f>(CW933+CY933)/2</f>
        <v>41.392499999999998</v>
      </c>
      <c r="CY933" s="120">
        <f>(CY932+CY934)/2</f>
        <v>42.030500000000004</v>
      </c>
      <c r="CZ933" s="120">
        <f>(CY933+DA933)/2</f>
        <v>42.623000000000005</v>
      </c>
      <c r="DA933" s="120">
        <f>(DA932+DA934)/2</f>
        <v>43.215500000000006</v>
      </c>
      <c r="DB933" s="120">
        <f>(DA933+DC933)/2</f>
        <v>43.830250000000007</v>
      </c>
      <c r="DC933" s="120">
        <f>(DC932+DC934)/2</f>
        <v>44.445</v>
      </c>
      <c r="DD933" s="120">
        <f>(DC933+DE933)/2</f>
        <v>45.042500000000004</v>
      </c>
      <c r="DE933" s="120">
        <f>(DE932+DE934)/2</f>
        <v>45.64</v>
      </c>
      <c r="DF933" s="120">
        <f>(DE933+DG933)/2</f>
        <v>46.243499999999997</v>
      </c>
      <c r="DG933" s="122">
        <f>(DG932+DG934)/2</f>
        <v>46.847000000000001</v>
      </c>
    </row>
    <row r="934" spans="54:111" ht="15" customHeight="1" x14ac:dyDescent="0.2">
      <c r="BB934" s="28">
        <v>18</v>
      </c>
      <c r="BC934" s="121">
        <v>9.1449999999999996</v>
      </c>
      <c r="BD934" s="121">
        <v>10.1305</v>
      </c>
      <c r="BE934" s="121">
        <v>11.116</v>
      </c>
      <c r="BF934" s="121">
        <v>12.021000000000001</v>
      </c>
      <c r="BG934" s="121">
        <v>12.926</v>
      </c>
      <c r="BH934" s="121">
        <v>13.795</v>
      </c>
      <c r="BI934" s="121">
        <v>14.664</v>
      </c>
      <c r="BJ934" s="121">
        <v>15.463999999999999</v>
      </c>
      <c r="BK934" s="121">
        <v>16.263999999999999</v>
      </c>
      <c r="BL934" s="121">
        <v>16.994</v>
      </c>
      <c r="BM934" s="121">
        <v>17.724</v>
      </c>
      <c r="BN934" s="121">
        <v>18.534500000000001</v>
      </c>
      <c r="BO934" s="121">
        <v>19.344999999999999</v>
      </c>
      <c r="BP934" s="121">
        <f t="array" ref="BP934:BP976">TRANSPOSE(BQ933:DG933)</f>
        <v>20.073999999999998</v>
      </c>
      <c r="BQ934" s="158">
        <v>20.803000000000001</v>
      </c>
      <c r="BR934" s="120">
        <f>(BS934+BQ934)/2</f>
        <v>21.545500000000001</v>
      </c>
      <c r="BS934" s="158">
        <v>22.288</v>
      </c>
      <c r="BT934" s="120">
        <f>(BU934+BS934)/2</f>
        <v>22.980499999999999</v>
      </c>
      <c r="BU934" s="158">
        <v>23.672999999999998</v>
      </c>
      <c r="BV934" s="120">
        <f>(BW934+BU934)/2</f>
        <v>24.402999999999999</v>
      </c>
      <c r="BW934" s="158">
        <v>25.132999999999999</v>
      </c>
      <c r="BX934" s="120">
        <f>(BY934+BW934)/2</f>
        <v>25.816499999999998</v>
      </c>
      <c r="BY934" s="158">
        <v>26.5</v>
      </c>
      <c r="BZ934" s="120">
        <f>(CA934+BY934)/2</f>
        <v>27.171500000000002</v>
      </c>
      <c r="CA934" s="158">
        <v>27.843</v>
      </c>
      <c r="CB934" s="120">
        <f>(CC934+CA934)/2</f>
        <v>28.535499999999999</v>
      </c>
      <c r="CC934" s="158">
        <v>29.228000000000002</v>
      </c>
      <c r="CD934" s="120">
        <f>(CE934+CC934)/2</f>
        <v>29.921500000000002</v>
      </c>
      <c r="CE934" s="158">
        <v>30.614999999999998</v>
      </c>
      <c r="CF934" s="120">
        <f>(CG934+CE934)/2</f>
        <v>31.276</v>
      </c>
      <c r="CG934" s="158">
        <v>31.937000000000001</v>
      </c>
      <c r="CH934" s="120">
        <f>(CI934+CG934)/2</f>
        <v>32.572000000000003</v>
      </c>
      <c r="CI934" s="158">
        <v>33.207000000000001</v>
      </c>
      <c r="CJ934" s="120">
        <f>(CK934+CI934)/2</f>
        <v>33.878500000000003</v>
      </c>
      <c r="CK934" s="158">
        <v>34.549999999999997</v>
      </c>
      <c r="CL934" s="120">
        <f>(CM934+CK934)/2</f>
        <v>35.2425</v>
      </c>
      <c r="CM934" s="158">
        <v>35.935000000000002</v>
      </c>
      <c r="CN934" s="120">
        <f>(CO934+CM934)/2</f>
        <v>36.56</v>
      </c>
      <c r="CO934" s="158">
        <v>37.185000000000002</v>
      </c>
      <c r="CP934" s="120">
        <f>(CQ934+CO934)/2</f>
        <v>37.855500000000006</v>
      </c>
      <c r="CQ934" s="158">
        <v>38.526000000000003</v>
      </c>
      <c r="CR934" s="120">
        <f>(CS934+CQ934)/2</f>
        <v>39.161000000000001</v>
      </c>
      <c r="CS934" s="158">
        <v>39.795999999999999</v>
      </c>
      <c r="CT934" s="120">
        <f>(CU934+CS934)/2</f>
        <v>40.399000000000001</v>
      </c>
      <c r="CU934" s="158">
        <v>41.002000000000002</v>
      </c>
      <c r="CV934" s="120">
        <f>(CW934+CU934)/2</f>
        <v>41.636499999999998</v>
      </c>
      <c r="CW934" s="158">
        <v>42.271000000000001</v>
      </c>
      <c r="CX934" s="120">
        <f>(CY934+CW934)/2</f>
        <v>42.964500000000001</v>
      </c>
      <c r="CY934" s="158">
        <v>43.658000000000001</v>
      </c>
      <c r="CZ934" s="120">
        <f>(DA934+CY934)/2</f>
        <v>44.270499999999998</v>
      </c>
      <c r="DA934" s="158">
        <v>44.883000000000003</v>
      </c>
      <c r="DB934" s="120">
        <f>(DC934+DA934)/2</f>
        <v>45.508000000000003</v>
      </c>
      <c r="DC934" s="158">
        <v>46.133000000000003</v>
      </c>
      <c r="DD934" s="120">
        <f>(DE934+DC934)/2</f>
        <v>46.7455</v>
      </c>
      <c r="DE934" s="158">
        <v>47.357999999999997</v>
      </c>
      <c r="DF934" s="120">
        <f>(DG934+DE934)/2</f>
        <v>47.992999999999995</v>
      </c>
      <c r="DG934" s="159">
        <v>48.628</v>
      </c>
    </row>
    <row r="935" spans="54:111" ht="15" customHeight="1" x14ac:dyDescent="0.2">
      <c r="BB935" s="28">
        <v>19</v>
      </c>
      <c r="BC935" s="121">
        <v>9.4905000000000008</v>
      </c>
      <c r="BD935" s="121">
        <v>10.491499999999998</v>
      </c>
      <c r="BE935" s="121">
        <v>11.4925</v>
      </c>
      <c r="BF935" s="121">
        <v>12.42375</v>
      </c>
      <c r="BG935" s="121">
        <v>13.355</v>
      </c>
      <c r="BH935" s="121">
        <v>14.239000000000001</v>
      </c>
      <c r="BI935" s="121">
        <v>15.123000000000001</v>
      </c>
      <c r="BJ935" s="121">
        <v>15.9725</v>
      </c>
      <c r="BK935" s="121">
        <v>16.821999999999999</v>
      </c>
      <c r="BL935" s="121">
        <v>17.602499999999999</v>
      </c>
      <c r="BM935" s="121">
        <v>18.383000000000003</v>
      </c>
      <c r="BN935" s="121">
        <v>19.179250000000003</v>
      </c>
      <c r="BO935" s="121">
        <v>19.9755</v>
      </c>
      <c r="BP935" s="121">
        <v>20.7605</v>
      </c>
      <c r="BQ935" s="121">
        <f t="array" ref="BQ935:BQ976">TRANSPOSE(BR934:DG934)</f>
        <v>21.545500000000001</v>
      </c>
      <c r="BR935" s="120">
        <f>(BQ935+BS935)/2</f>
        <v>22.307499999999997</v>
      </c>
      <c r="BS935" s="120">
        <f>(BS934+BS936)/2</f>
        <v>23.069499999999998</v>
      </c>
      <c r="BT935" s="120">
        <f>(BS935+BU935)/2</f>
        <v>23.777749999999997</v>
      </c>
      <c r="BU935" s="120">
        <f>(BU934+BU936)/2</f>
        <v>24.485999999999997</v>
      </c>
      <c r="BV935" s="120">
        <f>(BU935+BW935)/2</f>
        <v>25.241749999999996</v>
      </c>
      <c r="BW935" s="120">
        <f>(BW934+BW936)/2</f>
        <v>25.997499999999999</v>
      </c>
      <c r="BX935" s="120">
        <f>(BW935+BY935)/2</f>
        <v>26.701250000000002</v>
      </c>
      <c r="BY935" s="120">
        <f>(BY934+BY936)/2</f>
        <v>27.405000000000001</v>
      </c>
      <c r="BZ935" s="120">
        <f>(BY935+CA935)/2</f>
        <v>28.13175</v>
      </c>
      <c r="CA935" s="120">
        <f>(CA934+CA936)/2</f>
        <v>28.858499999999999</v>
      </c>
      <c r="CB935" s="120">
        <f>(CA935+CC935)/2</f>
        <v>29.566500000000001</v>
      </c>
      <c r="CC935" s="120">
        <f>(CC934+CC936)/2</f>
        <v>30.274500000000003</v>
      </c>
      <c r="CD935" s="120">
        <f>(CC935+CE935)/2</f>
        <v>30.983000000000001</v>
      </c>
      <c r="CE935" s="120">
        <f>(CE934+CE936)/2</f>
        <v>31.691499999999998</v>
      </c>
      <c r="CF935" s="120">
        <f>(CE935+CG935)/2</f>
        <v>32.384</v>
      </c>
      <c r="CG935" s="120">
        <f>(CG934+CG936)/2</f>
        <v>33.076500000000003</v>
      </c>
      <c r="CH935" s="120">
        <f>(CG935+CI935)/2</f>
        <v>33.755499999999998</v>
      </c>
      <c r="CI935" s="120">
        <f>(CI934+CI936)/2</f>
        <v>34.4345</v>
      </c>
      <c r="CJ935" s="120">
        <f>(CI935+CK935)/2</f>
        <v>35.097999999999999</v>
      </c>
      <c r="CK935" s="120">
        <f>(CK934+CK936)/2</f>
        <v>35.761499999999998</v>
      </c>
      <c r="CL935" s="120">
        <f>(CK935+CM935)/2</f>
        <v>36.469250000000002</v>
      </c>
      <c r="CM935" s="120">
        <f>(CM934+CM936)/2</f>
        <v>37.177</v>
      </c>
      <c r="CN935" s="120">
        <f>(CM935+CO935)/2</f>
        <v>37.85125</v>
      </c>
      <c r="CO935" s="120">
        <f>(CO934+CO936)/2</f>
        <v>38.525500000000001</v>
      </c>
      <c r="CP935" s="120">
        <f>(CO935+CQ935)/2</f>
        <v>39.1935</v>
      </c>
      <c r="CQ935" s="120">
        <f>(CQ934+CQ936)/2</f>
        <v>39.861500000000007</v>
      </c>
      <c r="CR935" s="120">
        <f>(CQ935+CS935)/2</f>
        <v>40.540500000000002</v>
      </c>
      <c r="CS935" s="120">
        <f>(CS934+CS936)/2</f>
        <v>41.219499999999996</v>
      </c>
      <c r="CT935" s="120">
        <f>(CS935+CU935)/2</f>
        <v>41.853749999999998</v>
      </c>
      <c r="CU935" s="120">
        <f>(CU934+CU936)/2</f>
        <v>42.488</v>
      </c>
      <c r="CV935" s="120">
        <f>(CU935+CW935)/2</f>
        <v>43.137749999999997</v>
      </c>
      <c r="CW935" s="120">
        <f>(CW934+CW936)/2</f>
        <v>43.787500000000001</v>
      </c>
      <c r="CX935" s="120">
        <f>(CW935+CY935)/2</f>
        <v>44.495999999999995</v>
      </c>
      <c r="CY935" s="120">
        <f>(CY934+CY936)/2</f>
        <v>45.204499999999996</v>
      </c>
      <c r="CZ935" s="120">
        <f>(CY935+DA935)/2</f>
        <v>45.843249999999998</v>
      </c>
      <c r="DA935" s="120">
        <f>(DA934+DA936)/2</f>
        <v>46.481999999999999</v>
      </c>
      <c r="DB935" s="120">
        <f>(DA935+DC935)/2</f>
        <v>47.127250000000004</v>
      </c>
      <c r="DC935" s="120">
        <f>(DC934+DC936)/2</f>
        <v>47.772500000000001</v>
      </c>
      <c r="DD935" s="120">
        <f>(DC935+DE935)/2</f>
        <v>48.411000000000001</v>
      </c>
      <c r="DE935" s="120">
        <f>(DE934+DE936)/2</f>
        <v>49.049499999999995</v>
      </c>
      <c r="DF935" s="120">
        <f>(DE935+DG935)/2</f>
        <v>49.728999999999999</v>
      </c>
      <c r="DG935" s="122">
        <f>(DG934+DG936)/2</f>
        <v>50.408500000000004</v>
      </c>
    </row>
    <row r="936" spans="54:111" ht="15" customHeight="1" x14ac:dyDescent="0.2">
      <c r="BB936" s="28">
        <v>20</v>
      </c>
      <c r="BC936" s="121">
        <v>9.8360000000000003</v>
      </c>
      <c r="BD936" s="121">
        <v>10.852499999999999</v>
      </c>
      <c r="BE936" s="121">
        <v>11.869</v>
      </c>
      <c r="BF936" s="121">
        <v>12.826499999999999</v>
      </c>
      <c r="BG936" s="121">
        <v>13.784000000000001</v>
      </c>
      <c r="BH936" s="121">
        <v>14.683</v>
      </c>
      <c r="BI936" s="121">
        <v>15.582000000000001</v>
      </c>
      <c r="BJ936" s="121">
        <v>16.481000000000002</v>
      </c>
      <c r="BK936" s="121">
        <v>17.38</v>
      </c>
      <c r="BL936" s="121">
        <v>18.210999999999999</v>
      </c>
      <c r="BM936" s="121">
        <v>19.042000000000002</v>
      </c>
      <c r="BN936" s="121">
        <v>19.824000000000002</v>
      </c>
      <c r="BO936" s="121">
        <v>20.606000000000002</v>
      </c>
      <c r="BP936" s="121">
        <v>21.447000000000003</v>
      </c>
      <c r="BQ936" s="121">
        <v>22.288</v>
      </c>
      <c r="BR936" s="121">
        <f t="array" ref="BR936:BR976">TRANSPOSE(BS935:DG935)</f>
        <v>23.069499999999998</v>
      </c>
      <c r="BS936" s="158">
        <v>23.850999999999999</v>
      </c>
      <c r="BT936" s="120">
        <f>(BU936+BS936)/2</f>
        <v>24.574999999999999</v>
      </c>
      <c r="BU936" s="158">
        <v>25.298999999999999</v>
      </c>
      <c r="BV936" s="120">
        <f>(BW936+BU936)/2</f>
        <v>26.080500000000001</v>
      </c>
      <c r="BW936" s="158">
        <v>26.861999999999998</v>
      </c>
      <c r="BX936" s="120">
        <f>(BY936+BW936)/2</f>
        <v>27.585999999999999</v>
      </c>
      <c r="BY936" s="158">
        <v>28.31</v>
      </c>
      <c r="BZ936" s="120">
        <f>(CA936+BY936)/2</f>
        <v>29.091999999999999</v>
      </c>
      <c r="CA936" s="158">
        <v>29.873999999999999</v>
      </c>
      <c r="CB936" s="120">
        <f>(CC936+CA936)/2</f>
        <v>30.5975</v>
      </c>
      <c r="CC936" s="158">
        <v>31.321000000000002</v>
      </c>
      <c r="CD936" s="120">
        <f>(CE936+CC936)/2</f>
        <v>32.044499999999999</v>
      </c>
      <c r="CE936" s="158">
        <v>32.768000000000001</v>
      </c>
      <c r="CF936" s="120">
        <f>(CG936+CE936)/2</f>
        <v>33.492000000000004</v>
      </c>
      <c r="CG936" s="158">
        <v>34.216000000000001</v>
      </c>
      <c r="CH936" s="120">
        <f>(CI936+CG936)/2</f>
        <v>34.939</v>
      </c>
      <c r="CI936" s="158">
        <v>35.661999999999999</v>
      </c>
      <c r="CJ936" s="120">
        <f>(CK936+CI936)/2</f>
        <v>36.317499999999995</v>
      </c>
      <c r="CK936" s="158">
        <v>36.972999999999999</v>
      </c>
      <c r="CL936" s="120">
        <f>(CM936+CK936)/2</f>
        <v>37.695999999999998</v>
      </c>
      <c r="CM936" s="158">
        <v>38.418999999999997</v>
      </c>
      <c r="CN936" s="120">
        <f>(CO936+CM936)/2</f>
        <v>39.142499999999998</v>
      </c>
      <c r="CO936" s="158">
        <v>39.866</v>
      </c>
      <c r="CP936" s="120">
        <f>(CQ936+CO936)/2</f>
        <v>40.531500000000001</v>
      </c>
      <c r="CQ936" s="158">
        <v>41.197000000000003</v>
      </c>
      <c r="CR936" s="120">
        <f>(CS936+CQ936)/2</f>
        <v>41.92</v>
      </c>
      <c r="CS936" s="158">
        <v>42.643000000000001</v>
      </c>
      <c r="CT936" s="120">
        <f>(CU936+CS936)/2</f>
        <v>43.308499999999995</v>
      </c>
      <c r="CU936" s="158">
        <v>43.973999999999997</v>
      </c>
      <c r="CV936" s="120">
        <f>(CW936+CU936)/2</f>
        <v>44.638999999999996</v>
      </c>
      <c r="CW936" s="158">
        <v>45.304000000000002</v>
      </c>
      <c r="CX936" s="120">
        <f>(CY936+CW936)/2</f>
        <v>46.027500000000003</v>
      </c>
      <c r="CY936" s="158">
        <v>46.750999999999998</v>
      </c>
      <c r="CZ936" s="120">
        <f>(DA936+CY936)/2</f>
        <v>47.415999999999997</v>
      </c>
      <c r="DA936" s="158">
        <v>48.081000000000003</v>
      </c>
      <c r="DB936" s="120">
        <f>(DC936+DA936)/2</f>
        <v>48.746499999999997</v>
      </c>
      <c r="DC936" s="158">
        <v>49.411999999999999</v>
      </c>
      <c r="DD936" s="120">
        <f>(DE936+DC936)/2</f>
        <v>50.076499999999996</v>
      </c>
      <c r="DE936" s="158">
        <v>50.741</v>
      </c>
      <c r="DF936" s="120">
        <f>(DG936+DE936)/2</f>
        <v>51.465000000000003</v>
      </c>
      <c r="DG936" s="159">
        <v>52.189</v>
      </c>
    </row>
    <row r="937" spans="54:111" ht="15" customHeight="1" x14ac:dyDescent="0.2">
      <c r="BB937" s="28">
        <v>21</v>
      </c>
      <c r="BC937" s="121">
        <v>10.172499999999999</v>
      </c>
      <c r="BD937" s="121">
        <v>11.233499999999999</v>
      </c>
      <c r="BE937" s="121">
        <v>12.294499999999999</v>
      </c>
      <c r="BF937" s="121">
        <v>13.27825</v>
      </c>
      <c r="BG937" s="121">
        <v>14.262</v>
      </c>
      <c r="BH937" s="121">
        <v>15.180999999999999</v>
      </c>
      <c r="BI937" s="121">
        <v>16.100000000000001</v>
      </c>
      <c r="BJ937" s="121">
        <v>17.014250000000001</v>
      </c>
      <c r="BK937" s="121">
        <v>17.9285</v>
      </c>
      <c r="BL937" s="121">
        <v>18.790500000000002</v>
      </c>
      <c r="BM937" s="121">
        <v>19.652500000000003</v>
      </c>
      <c r="BN937" s="121">
        <v>20.478999999999999</v>
      </c>
      <c r="BO937" s="121">
        <v>21.305500000000002</v>
      </c>
      <c r="BP937" s="121">
        <v>22.143000000000001</v>
      </c>
      <c r="BQ937" s="121">
        <v>22.980499999999999</v>
      </c>
      <c r="BR937" s="121">
        <v>23.777749999999997</v>
      </c>
      <c r="BS937" s="121">
        <f t="array" ref="BS937:BS976">TRANSPOSE(BT936:DG936)</f>
        <v>24.574999999999999</v>
      </c>
      <c r="BT937" s="120">
        <f>(BS937+BU937)/2</f>
        <v>25.342999999999996</v>
      </c>
      <c r="BU937" s="120">
        <f>(BU936+BU938)/2</f>
        <v>26.110999999999997</v>
      </c>
      <c r="BV937" s="120">
        <f>(BU937+BW937)/2</f>
        <v>26.918999999999997</v>
      </c>
      <c r="BW937" s="120">
        <f>(BW936+BW938)/2</f>
        <v>27.726999999999997</v>
      </c>
      <c r="BX937" s="120">
        <f>(BW937+BY937)/2</f>
        <v>28.4955</v>
      </c>
      <c r="BY937" s="120">
        <f>(BY936+BY938)/2</f>
        <v>29.263999999999999</v>
      </c>
      <c r="BZ937" s="120">
        <f>(BY937+CA937)/2</f>
        <v>30.047750000000001</v>
      </c>
      <c r="CA937" s="120">
        <f>(CA936+CA938)/2</f>
        <v>30.831499999999998</v>
      </c>
      <c r="CB937" s="120">
        <f>(CA937+CC937)/2</f>
        <v>31.57</v>
      </c>
      <c r="CC937" s="120">
        <f>(CC936+CC938)/2</f>
        <v>32.308500000000002</v>
      </c>
      <c r="CD937" s="120">
        <f>(CC937+CE937)/2</f>
        <v>33.047499999999999</v>
      </c>
      <c r="CE937" s="120">
        <f>(CE936+CE938)/2</f>
        <v>33.786500000000004</v>
      </c>
      <c r="CF937" s="120">
        <f>(CE937+CG937)/2</f>
        <v>34.5655</v>
      </c>
      <c r="CG937" s="120">
        <f>(CG936+CG938)/2</f>
        <v>35.344499999999996</v>
      </c>
      <c r="CH937" s="120">
        <f>(CG937+CI937)/2</f>
        <v>36.082749999999997</v>
      </c>
      <c r="CI937" s="120">
        <f>(CI936+CI938)/2</f>
        <v>36.820999999999998</v>
      </c>
      <c r="CJ937" s="120">
        <f>(CI937+CK937)/2</f>
        <v>37.5075</v>
      </c>
      <c r="CK937" s="120">
        <f>(CK936+CK938)/2</f>
        <v>38.194000000000003</v>
      </c>
      <c r="CL937" s="120">
        <f>(CK937+CM937)/2</f>
        <v>38.932749999999999</v>
      </c>
      <c r="CM937" s="120">
        <f>(CM936+CM938)/2</f>
        <v>39.671499999999995</v>
      </c>
      <c r="CN937" s="120">
        <f>(CM937+CO937)/2</f>
        <v>40.409999999999997</v>
      </c>
      <c r="CO937" s="120">
        <f>(CO936+CO938)/2</f>
        <v>41.148499999999999</v>
      </c>
      <c r="CP937" s="120">
        <f>(CO937+CQ937)/2</f>
        <v>41.869250000000001</v>
      </c>
      <c r="CQ937" s="120">
        <f>(CQ936+CQ938)/2</f>
        <v>42.59</v>
      </c>
      <c r="CR937" s="120">
        <f>(CQ937+CS937)/2</f>
        <v>43.304250000000003</v>
      </c>
      <c r="CS937" s="120">
        <f>(CS936+CS938)/2</f>
        <v>44.018500000000003</v>
      </c>
      <c r="CT937" s="120">
        <f>(CS937+CU937)/2</f>
        <v>44.739249999999998</v>
      </c>
      <c r="CU937" s="120">
        <f>(CU936+CU938)/2</f>
        <v>45.459999999999994</v>
      </c>
      <c r="CV937" s="120">
        <f>(CU937+CW937)/2</f>
        <v>46.14</v>
      </c>
      <c r="CW937" s="120">
        <f>(CW936+CW938)/2</f>
        <v>46.82</v>
      </c>
      <c r="CX937" s="120">
        <f>(CW937+CY937)/2</f>
        <v>47.558999999999997</v>
      </c>
      <c r="CY937" s="120">
        <f>(CY936+CY938)/2</f>
        <v>48.298000000000002</v>
      </c>
      <c r="CZ937" s="120">
        <f>(CY937+DA937)/2</f>
        <v>48.989000000000004</v>
      </c>
      <c r="DA937" s="120">
        <f>(DA936+DA938)/2</f>
        <v>49.680000000000007</v>
      </c>
      <c r="DB937" s="120">
        <f>(DA937+DC937)/2</f>
        <v>50.360500000000002</v>
      </c>
      <c r="DC937" s="120">
        <f>(DC936+DC938)/2</f>
        <v>51.040999999999997</v>
      </c>
      <c r="DD937" s="120">
        <f>(DC937+DE937)/2</f>
        <v>51.761499999999998</v>
      </c>
      <c r="DE937" s="120">
        <f>(DE936+DE938)/2</f>
        <v>52.481999999999999</v>
      </c>
      <c r="DF937" s="120">
        <f>(DE937+DG937)/2</f>
        <v>53.191749999999999</v>
      </c>
      <c r="DG937" s="122">
        <f>(DG936+DG938)/2</f>
        <v>53.901499999999999</v>
      </c>
    </row>
    <row r="938" spans="54:111" ht="15" customHeight="1" x14ac:dyDescent="0.2">
      <c r="BB938" s="28">
        <v>22</v>
      </c>
      <c r="BC938" s="121">
        <v>10.509</v>
      </c>
      <c r="BD938" s="121">
        <v>11.6145</v>
      </c>
      <c r="BE938" s="121">
        <v>12.72</v>
      </c>
      <c r="BF938" s="121">
        <v>13.73</v>
      </c>
      <c r="BG938" s="121">
        <v>14.74</v>
      </c>
      <c r="BH938" s="121">
        <v>15.678999999999998</v>
      </c>
      <c r="BI938" s="121">
        <v>16.617999999999999</v>
      </c>
      <c r="BJ938" s="121">
        <v>17.547499999999999</v>
      </c>
      <c r="BK938" s="121">
        <v>18.477</v>
      </c>
      <c r="BL938" s="121">
        <v>19.37</v>
      </c>
      <c r="BM938" s="121">
        <v>20.263000000000002</v>
      </c>
      <c r="BN938" s="121">
        <v>21.134</v>
      </c>
      <c r="BO938" s="121">
        <v>22.004999999999999</v>
      </c>
      <c r="BP938" s="121">
        <v>22.838999999999999</v>
      </c>
      <c r="BQ938" s="121">
        <v>23.672999999999998</v>
      </c>
      <c r="BR938" s="121">
        <v>24.485999999999997</v>
      </c>
      <c r="BS938" s="121">
        <v>25.298999999999999</v>
      </c>
      <c r="BT938" s="121">
        <f t="array" ref="BT938:BT976">TRANSPOSE(BU937:DG937)</f>
        <v>26.110999999999997</v>
      </c>
      <c r="BU938" s="158">
        <v>26.922999999999998</v>
      </c>
      <c r="BV938" s="120">
        <f>(BW938+BU938)/2</f>
        <v>27.7575</v>
      </c>
      <c r="BW938" s="158">
        <v>28.591999999999999</v>
      </c>
      <c r="BX938" s="120">
        <f>(BY938+BW938)/2</f>
        <v>29.405000000000001</v>
      </c>
      <c r="BY938" s="158">
        <v>30.218</v>
      </c>
      <c r="BZ938" s="120">
        <f>(CA938+BY938)/2</f>
        <v>31.003500000000003</v>
      </c>
      <c r="CA938" s="158">
        <v>31.789000000000001</v>
      </c>
      <c r="CB938" s="120">
        <f>(CC938+CA938)/2</f>
        <v>32.542500000000004</v>
      </c>
      <c r="CC938" s="158">
        <v>33.295999999999999</v>
      </c>
      <c r="CD938" s="120">
        <f>(CE938+CC938)/2</f>
        <v>34.0505</v>
      </c>
      <c r="CE938" s="158">
        <v>34.805</v>
      </c>
      <c r="CF938" s="120">
        <f>(CG938+CE938)/2</f>
        <v>35.638999999999996</v>
      </c>
      <c r="CG938" s="158">
        <v>36.472999999999999</v>
      </c>
      <c r="CH938" s="120">
        <f>(CI938+CG938)/2</f>
        <v>37.226500000000001</v>
      </c>
      <c r="CI938" s="158">
        <v>37.979999999999997</v>
      </c>
      <c r="CJ938" s="120">
        <f>(CK938+CI938)/2</f>
        <v>38.697499999999998</v>
      </c>
      <c r="CK938" s="158">
        <v>39.414999999999999</v>
      </c>
      <c r="CL938" s="120">
        <f>(CM938+CK938)/2</f>
        <v>40.169499999999999</v>
      </c>
      <c r="CM938" s="158">
        <v>40.923999999999999</v>
      </c>
      <c r="CN938" s="120">
        <f>(CO938+CM938)/2</f>
        <v>41.677499999999995</v>
      </c>
      <c r="CO938" s="158">
        <v>42.430999999999997</v>
      </c>
      <c r="CP938" s="120">
        <f>(CQ938+CO938)/2</f>
        <v>43.206999999999994</v>
      </c>
      <c r="CQ938" s="158">
        <v>43.982999999999997</v>
      </c>
      <c r="CR938" s="120">
        <f>(CS938+CQ938)/2</f>
        <v>44.688499999999998</v>
      </c>
      <c r="CS938" s="158">
        <v>45.393999999999998</v>
      </c>
      <c r="CT938" s="120">
        <f>(CU938+CS938)/2</f>
        <v>46.17</v>
      </c>
      <c r="CU938" s="158">
        <v>46.945999999999998</v>
      </c>
      <c r="CV938" s="120">
        <f>(CW938+CU938)/2</f>
        <v>47.640999999999998</v>
      </c>
      <c r="CW938" s="158">
        <v>48.335999999999999</v>
      </c>
      <c r="CX938" s="120">
        <f>(CY938+CW938)/2</f>
        <v>49.090499999999999</v>
      </c>
      <c r="CY938" s="158">
        <v>49.844999999999999</v>
      </c>
      <c r="CZ938" s="120">
        <f>(DA938+CY938)/2</f>
        <v>50.561999999999998</v>
      </c>
      <c r="DA938" s="158">
        <v>51.279000000000003</v>
      </c>
      <c r="DB938" s="120">
        <f>(DC938+DA938)/2</f>
        <v>51.974500000000006</v>
      </c>
      <c r="DC938" s="158">
        <v>52.67</v>
      </c>
      <c r="DD938" s="120">
        <f>(DE938+DC938)/2</f>
        <v>53.4465</v>
      </c>
      <c r="DE938" s="158">
        <v>54.222999999999999</v>
      </c>
      <c r="DF938" s="120">
        <f>(DG938+DE938)/2</f>
        <v>54.918499999999995</v>
      </c>
      <c r="DG938" s="159">
        <v>55.613999999999997</v>
      </c>
    </row>
    <row r="939" spans="54:111" ht="15" customHeight="1" x14ac:dyDescent="0.2">
      <c r="BB939" s="28">
        <v>23</v>
      </c>
      <c r="BC939" s="121">
        <v>10.855499999999999</v>
      </c>
      <c r="BD939" s="121">
        <v>11.97575</v>
      </c>
      <c r="BE939" s="121">
        <v>13.096</v>
      </c>
      <c r="BF939" s="121">
        <v>14.12125</v>
      </c>
      <c r="BG939" s="121">
        <v>15.1465</v>
      </c>
      <c r="BH939" s="121">
        <v>16.141249999999999</v>
      </c>
      <c r="BI939" s="121">
        <v>17.135999999999999</v>
      </c>
      <c r="BJ939" s="121">
        <v>18.091749999999998</v>
      </c>
      <c r="BK939" s="121">
        <v>19.047499999999999</v>
      </c>
      <c r="BL939" s="121">
        <v>19.955500000000001</v>
      </c>
      <c r="BM939" s="121">
        <v>20.863500000000002</v>
      </c>
      <c r="BN939" s="121">
        <v>21.749749999999999</v>
      </c>
      <c r="BO939" s="121">
        <v>22.635999999999999</v>
      </c>
      <c r="BP939" s="121">
        <v>23.519500000000001</v>
      </c>
      <c r="BQ939" s="121">
        <v>24.402999999999999</v>
      </c>
      <c r="BR939" s="121">
        <v>25.241749999999996</v>
      </c>
      <c r="BS939" s="121">
        <v>26.080500000000001</v>
      </c>
      <c r="BT939" s="121">
        <v>26.918999999999997</v>
      </c>
      <c r="BU939" s="121">
        <f t="array" ref="BU939:BU976">TRANSPOSE(BV938:DG938)</f>
        <v>27.7575</v>
      </c>
      <c r="BV939" s="120">
        <f>(BU939+BW939)/2</f>
        <v>28.612000000000002</v>
      </c>
      <c r="BW939" s="120">
        <f>(BW938+BW940)/2</f>
        <v>29.4665</v>
      </c>
      <c r="BX939" s="120">
        <f>(BW939+BY939)/2</f>
        <v>30.294750000000001</v>
      </c>
      <c r="BY939" s="120">
        <f>(BY938+BY940)/2</f>
        <v>31.122999999999998</v>
      </c>
      <c r="BZ939" s="120">
        <f>(BY939+CA939)/2</f>
        <v>31.918749999999999</v>
      </c>
      <c r="CA939" s="120">
        <f>(CA938+CA940)/2</f>
        <v>32.714500000000001</v>
      </c>
      <c r="CB939" s="120">
        <f>(CA939+CC939)/2</f>
        <v>33.528500000000001</v>
      </c>
      <c r="CC939" s="120">
        <f>(CC938+CC940)/2</f>
        <v>34.342500000000001</v>
      </c>
      <c r="CD939" s="120">
        <f>(CC939+CE939)/2</f>
        <v>35.122749999999996</v>
      </c>
      <c r="CE939" s="120">
        <f>(CE938+CE940)/2</f>
        <v>35.902999999999999</v>
      </c>
      <c r="CF939" s="120">
        <f>(CE939+CG939)/2</f>
        <v>36.723249999999993</v>
      </c>
      <c r="CG939" s="120">
        <f>(CG938+CG940)/2</f>
        <v>37.543499999999995</v>
      </c>
      <c r="CH939" s="120">
        <f>(CG939+CI939)/2</f>
        <v>38.312249999999999</v>
      </c>
      <c r="CI939" s="120">
        <f>(CI938+CI940)/2</f>
        <v>39.081000000000003</v>
      </c>
      <c r="CJ939" s="120">
        <f>(CI939+CK939)/2</f>
        <v>39.847750000000005</v>
      </c>
      <c r="CK939" s="120">
        <f>(CK938+CK940)/2</f>
        <v>40.6145</v>
      </c>
      <c r="CL939" s="120">
        <f>(CK939+CM939)/2</f>
        <v>41.395250000000004</v>
      </c>
      <c r="CM939" s="120">
        <f>(CM938+CM940)/2</f>
        <v>42.176000000000002</v>
      </c>
      <c r="CN939" s="120">
        <f>(CM939+CO939)/2</f>
        <v>42.956000000000003</v>
      </c>
      <c r="CO939" s="120">
        <f>(CO938+CO940)/2</f>
        <v>43.735999999999997</v>
      </c>
      <c r="CP939" s="120">
        <f>(CO939+CQ939)/2</f>
        <v>44.531999999999996</v>
      </c>
      <c r="CQ939" s="120">
        <f>(CQ938+CQ940)/2</f>
        <v>45.328000000000003</v>
      </c>
      <c r="CR939" s="120">
        <f>(CQ939+CS939)/2</f>
        <v>46.043500000000002</v>
      </c>
      <c r="CS939" s="120">
        <f>(CS938+CS940)/2</f>
        <v>46.759</v>
      </c>
      <c r="CT939" s="120">
        <f>(CS939+CU939)/2</f>
        <v>47.550249999999998</v>
      </c>
      <c r="CU939" s="120">
        <f>(CU938+CU940)/2</f>
        <v>48.341499999999996</v>
      </c>
      <c r="CV939" s="120">
        <f>(CU939+CW939)/2</f>
        <v>49.096999999999994</v>
      </c>
      <c r="CW939" s="120">
        <f>(CW938+CW940)/2</f>
        <v>49.852499999999999</v>
      </c>
      <c r="CX939" s="120">
        <f>(CW939+CY939)/2</f>
        <v>50.603499999999997</v>
      </c>
      <c r="CY939" s="120">
        <f>(CY938+CY940)/2</f>
        <v>51.354500000000002</v>
      </c>
      <c r="CZ939" s="120">
        <f>(CY939+DA939)/2</f>
        <v>52.116500000000002</v>
      </c>
      <c r="DA939" s="120">
        <f>(DA938+DA940)/2</f>
        <v>52.878500000000003</v>
      </c>
      <c r="DB939" s="120">
        <f>(DA939+DC939)/2</f>
        <v>53.594000000000001</v>
      </c>
      <c r="DC939" s="120">
        <f>(DC938+DC940)/2</f>
        <v>54.3095</v>
      </c>
      <c r="DD939" s="120">
        <f>(DC939+DE939)/2</f>
        <v>55.071750000000002</v>
      </c>
      <c r="DE939" s="120">
        <f>(DE938+DE940)/2</f>
        <v>55.834000000000003</v>
      </c>
      <c r="DF939" s="120">
        <f>(DE939+DG939)/2</f>
        <v>56.58475</v>
      </c>
      <c r="DG939" s="122">
        <f>(DG938+DG940)/2</f>
        <v>57.335499999999996</v>
      </c>
    </row>
    <row r="940" spans="54:111" ht="15" customHeight="1" x14ac:dyDescent="0.2">
      <c r="BB940" s="28">
        <v>24</v>
      </c>
      <c r="BC940" s="121">
        <v>11.202</v>
      </c>
      <c r="BD940" s="121">
        <v>12.337</v>
      </c>
      <c r="BE940" s="121">
        <v>13.472</v>
      </c>
      <c r="BF940" s="121">
        <v>14.512499999999999</v>
      </c>
      <c r="BG940" s="121">
        <v>15.553000000000001</v>
      </c>
      <c r="BH940" s="121">
        <v>16.6035</v>
      </c>
      <c r="BI940" s="121">
        <v>17.654</v>
      </c>
      <c r="BJ940" s="121">
        <v>18.635999999999999</v>
      </c>
      <c r="BK940" s="121">
        <v>19.617999999999999</v>
      </c>
      <c r="BL940" s="121">
        <v>20.540999999999997</v>
      </c>
      <c r="BM940" s="121">
        <v>21.463999999999999</v>
      </c>
      <c r="BN940" s="121">
        <v>22.365499999999997</v>
      </c>
      <c r="BO940" s="121">
        <v>23.266999999999999</v>
      </c>
      <c r="BP940" s="121">
        <v>24.2</v>
      </c>
      <c r="BQ940" s="121">
        <v>25.132999999999999</v>
      </c>
      <c r="BR940" s="121">
        <v>25.997499999999999</v>
      </c>
      <c r="BS940" s="121">
        <v>26.861999999999998</v>
      </c>
      <c r="BT940" s="121">
        <v>27.726999999999997</v>
      </c>
      <c r="BU940" s="121">
        <v>28.591999999999999</v>
      </c>
      <c r="BV940" s="121">
        <f t="array" ref="BV940:BV976">TRANSPOSE(BW939:DG939)</f>
        <v>29.4665</v>
      </c>
      <c r="BW940" s="158">
        <v>30.341000000000001</v>
      </c>
      <c r="BX940" s="120">
        <f>(BY940+BW940)/2</f>
        <v>31.1845</v>
      </c>
      <c r="BY940" s="158">
        <v>32.027999999999999</v>
      </c>
      <c r="BZ940" s="120">
        <f>(CA940+BY940)/2</f>
        <v>32.834000000000003</v>
      </c>
      <c r="CA940" s="158">
        <v>33.64</v>
      </c>
      <c r="CB940" s="120">
        <f>(CC940+CA940)/2</f>
        <v>34.514499999999998</v>
      </c>
      <c r="CC940" s="158">
        <v>35.389000000000003</v>
      </c>
      <c r="CD940" s="120">
        <f>(CE940+CC940)/2</f>
        <v>36.195</v>
      </c>
      <c r="CE940" s="158">
        <v>37.000999999999998</v>
      </c>
      <c r="CF940" s="120">
        <f>(CG940+CE940)/2</f>
        <v>37.807499999999997</v>
      </c>
      <c r="CG940" s="158">
        <v>38.613999999999997</v>
      </c>
      <c r="CH940" s="120">
        <f>(CI940+CG940)/2</f>
        <v>39.397999999999996</v>
      </c>
      <c r="CI940" s="158">
        <v>40.182000000000002</v>
      </c>
      <c r="CJ940" s="120">
        <f>(CK940+CI940)/2</f>
        <v>40.998000000000005</v>
      </c>
      <c r="CK940" s="158">
        <v>41.814</v>
      </c>
      <c r="CL940" s="120">
        <f>(CM940+CK940)/2</f>
        <v>42.620999999999995</v>
      </c>
      <c r="CM940" s="158">
        <v>43.427999999999997</v>
      </c>
      <c r="CN940" s="120">
        <f>(CO940+CM940)/2</f>
        <v>44.234499999999997</v>
      </c>
      <c r="CO940" s="158">
        <v>45.040999999999997</v>
      </c>
      <c r="CP940" s="120">
        <f>(CQ940+CO940)/2</f>
        <v>45.856999999999999</v>
      </c>
      <c r="CQ940" s="158">
        <v>46.673000000000002</v>
      </c>
      <c r="CR940" s="120">
        <f>(CS940+CQ940)/2</f>
        <v>47.398499999999999</v>
      </c>
      <c r="CS940" s="158">
        <v>48.124000000000002</v>
      </c>
      <c r="CT940" s="120">
        <f>(CU940+CS940)/2</f>
        <v>48.930500000000002</v>
      </c>
      <c r="CU940" s="158">
        <v>49.737000000000002</v>
      </c>
      <c r="CV940" s="120">
        <f>(CW940+CU940)/2</f>
        <v>50.552999999999997</v>
      </c>
      <c r="CW940" s="158">
        <v>51.369</v>
      </c>
      <c r="CX940" s="120">
        <f>(CY940+CW940)/2</f>
        <v>52.116500000000002</v>
      </c>
      <c r="CY940" s="158">
        <v>52.863999999999997</v>
      </c>
      <c r="CZ940" s="120">
        <f>(DA940+CY940)/2</f>
        <v>53.670999999999999</v>
      </c>
      <c r="DA940" s="158">
        <v>54.478000000000002</v>
      </c>
      <c r="DB940" s="120">
        <f>(DC940+DA940)/2</f>
        <v>55.213499999999996</v>
      </c>
      <c r="DC940" s="158">
        <v>55.948999999999998</v>
      </c>
      <c r="DD940" s="120">
        <f>(DE940+DC940)/2</f>
        <v>56.697000000000003</v>
      </c>
      <c r="DE940" s="158">
        <v>57.445</v>
      </c>
      <c r="DF940" s="120">
        <f>(DG940+DE940)/2</f>
        <v>58.251000000000005</v>
      </c>
      <c r="DG940" s="159">
        <v>59.057000000000002</v>
      </c>
    </row>
    <row r="941" spans="54:111" ht="15" customHeight="1" x14ac:dyDescent="0.2">
      <c r="BB941" s="28">
        <v>25</v>
      </c>
      <c r="BC941" s="121">
        <v>11.458</v>
      </c>
      <c r="BD941" s="121">
        <v>12.6595</v>
      </c>
      <c r="BE941" s="121">
        <v>13.861000000000001</v>
      </c>
      <c r="BF941" s="121">
        <v>14.950749999999999</v>
      </c>
      <c r="BG941" s="121">
        <v>16.040500000000002</v>
      </c>
      <c r="BH941" s="121">
        <v>17.072000000000003</v>
      </c>
      <c r="BI941" s="121">
        <v>18.1035</v>
      </c>
      <c r="BJ941" s="121">
        <v>19.105499999999999</v>
      </c>
      <c r="BK941" s="121">
        <v>20.107500000000002</v>
      </c>
      <c r="BL941" s="121">
        <v>21.075249999999997</v>
      </c>
      <c r="BM941" s="121">
        <v>22.042999999999999</v>
      </c>
      <c r="BN941" s="121">
        <v>22.986249999999998</v>
      </c>
      <c r="BO941" s="121">
        <v>23.929499999999997</v>
      </c>
      <c r="BP941" s="121">
        <v>24.872999999999998</v>
      </c>
      <c r="BQ941" s="121">
        <v>25.816499999999998</v>
      </c>
      <c r="BR941" s="121">
        <v>26.701250000000002</v>
      </c>
      <c r="BS941" s="121">
        <v>27.585999999999999</v>
      </c>
      <c r="BT941" s="121">
        <v>28.4955</v>
      </c>
      <c r="BU941" s="121">
        <v>29.405000000000001</v>
      </c>
      <c r="BV941" s="121">
        <v>30.294750000000001</v>
      </c>
      <c r="BW941" s="121">
        <f t="array" ref="BW941:BW976">TRANSPOSE(BX940:DG940)</f>
        <v>31.1845</v>
      </c>
      <c r="BX941" s="120">
        <f>(BW941+BY941)/2</f>
        <v>32.035499999999999</v>
      </c>
      <c r="BY941" s="120">
        <f>(BY940+BY942)/2</f>
        <v>32.886499999999998</v>
      </c>
      <c r="BZ941" s="120">
        <f>(BY941+CA941)/2</f>
        <v>33.741999999999997</v>
      </c>
      <c r="CA941" s="120">
        <f>(CA940+CA942)/2</f>
        <v>34.597499999999997</v>
      </c>
      <c r="CB941" s="120">
        <f>(CA941+CC941)/2</f>
        <v>35.482250000000001</v>
      </c>
      <c r="CC941" s="120">
        <f>(CC940+CC942)/2</f>
        <v>36.367000000000004</v>
      </c>
      <c r="CD941" s="120">
        <f>(CC941+CE941)/2</f>
        <v>37.192999999999998</v>
      </c>
      <c r="CE941" s="120">
        <f>(CE940+CE942)/2</f>
        <v>38.018999999999998</v>
      </c>
      <c r="CF941" s="120">
        <f>(CE941+CG941)/2</f>
        <v>38.84075</v>
      </c>
      <c r="CG941" s="120">
        <f>(CG940+CG942)/2</f>
        <v>39.662499999999994</v>
      </c>
      <c r="CH941" s="120">
        <f>(CG941+CI941)/2</f>
        <v>40.518000000000001</v>
      </c>
      <c r="CI941" s="120">
        <f>(CI940+CI942)/2</f>
        <v>41.3735</v>
      </c>
      <c r="CJ941" s="120">
        <f>(CI941+CK941)/2</f>
        <v>42.199749999999995</v>
      </c>
      <c r="CK941" s="120">
        <f>(CK940+CK942)/2</f>
        <v>43.025999999999996</v>
      </c>
      <c r="CL941" s="120">
        <f>(CK941+CM941)/2</f>
        <v>43.85275</v>
      </c>
      <c r="CM941" s="120">
        <f>(CM940+CM942)/2</f>
        <v>44.679499999999997</v>
      </c>
      <c r="CN941" s="120">
        <f>(CM941+CO941)/2</f>
        <v>45.501249999999999</v>
      </c>
      <c r="CO941" s="120">
        <f>(CO940+CO942)/2</f>
        <v>46.322999999999993</v>
      </c>
      <c r="CP941" s="120">
        <f>(CO941+CQ941)/2</f>
        <v>47.154249999999998</v>
      </c>
      <c r="CQ941" s="120">
        <f>(CQ940+CQ942)/2</f>
        <v>47.985500000000002</v>
      </c>
      <c r="CR941" s="120">
        <f>(CQ941+CS941)/2</f>
        <v>48.7485</v>
      </c>
      <c r="CS941" s="120">
        <f>(CS940+CS942)/2</f>
        <v>49.511499999999998</v>
      </c>
      <c r="CT941" s="120">
        <f>(CS941+CU941)/2</f>
        <v>50.33775</v>
      </c>
      <c r="CU941" s="120">
        <f>(CU940+CU942)/2</f>
        <v>51.164000000000001</v>
      </c>
      <c r="CV941" s="120">
        <f>(CU941+CW941)/2</f>
        <v>51.990499999999997</v>
      </c>
      <c r="CW941" s="120">
        <f>(CW940+CW942)/2</f>
        <v>52.817</v>
      </c>
      <c r="CX941" s="120">
        <f>(CW941+CY941)/2</f>
        <v>53.58475</v>
      </c>
      <c r="CY941" s="120">
        <f>(CY940+CY942)/2</f>
        <v>54.352499999999999</v>
      </c>
      <c r="CZ941" s="120">
        <f>(CY941+DA941)/2</f>
        <v>55.174499999999995</v>
      </c>
      <c r="DA941" s="120">
        <f>(DA940+DA942)/2</f>
        <v>55.996499999999997</v>
      </c>
      <c r="DB941" s="120">
        <f>(DA941+DC941)/2</f>
        <v>56.76925</v>
      </c>
      <c r="DC941" s="120">
        <f>(DC940+DC942)/2</f>
        <v>57.542000000000002</v>
      </c>
      <c r="DD941" s="120">
        <f>(DC941+DE941)/2</f>
        <v>58.334249999999997</v>
      </c>
      <c r="DE941" s="120">
        <f>(DE940+DE942)/2</f>
        <v>59.1265</v>
      </c>
      <c r="DF941" s="120">
        <f>(DE941+DG941)/2</f>
        <v>59.923500000000004</v>
      </c>
      <c r="DG941" s="122">
        <f>(DG940+DG942)/2</f>
        <v>60.720500000000001</v>
      </c>
    </row>
    <row r="942" spans="54:111" ht="15" customHeight="1" x14ac:dyDescent="0.2">
      <c r="BB942" s="28">
        <v>26</v>
      </c>
      <c r="BC942" s="121">
        <v>11.714</v>
      </c>
      <c r="BD942" s="121">
        <v>12.981999999999999</v>
      </c>
      <c r="BE942" s="121">
        <v>14.25</v>
      </c>
      <c r="BF942" s="121">
        <v>15.388999999999999</v>
      </c>
      <c r="BG942" s="121">
        <v>16.527999999999999</v>
      </c>
      <c r="BH942" s="121">
        <v>17.540500000000002</v>
      </c>
      <c r="BI942" s="121">
        <v>18.553000000000001</v>
      </c>
      <c r="BJ942" s="121">
        <v>19.575000000000003</v>
      </c>
      <c r="BK942" s="121">
        <v>20.597000000000001</v>
      </c>
      <c r="BL942" s="121">
        <v>21.609500000000001</v>
      </c>
      <c r="BM942" s="121">
        <v>22.622</v>
      </c>
      <c r="BN942" s="121">
        <v>23.606999999999999</v>
      </c>
      <c r="BO942" s="121">
        <v>24.591999999999999</v>
      </c>
      <c r="BP942" s="121">
        <v>25.545999999999999</v>
      </c>
      <c r="BQ942" s="121">
        <v>26.5</v>
      </c>
      <c r="BR942" s="121">
        <v>27.405000000000001</v>
      </c>
      <c r="BS942" s="121">
        <v>28.31</v>
      </c>
      <c r="BT942" s="121">
        <v>29.263999999999999</v>
      </c>
      <c r="BU942" s="121">
        <v>30.218</v>
      </c>
      <c r="BV942" s="121">
        <v>31.122999999999998</v>
      </c>
      <c r="BW942" s="121">
        <v>32.027999999999999</v>
      </c>
      <c r="BX942" s="121">
        <f t="array" ref="BX942:BX976">TRANSPOSE(BY941:DG941)</f>
        <v>32.886499999999998</v>
      </c>
      <c r="BY942" s="158">
        <v>33.744999999999997</v>
      </c>
      <c r="BZ942" s="120">
        <f>(CA942+BY942)/2</f>
        <v>34.65</v>
      </c>
      <c r="CA942" s="158">
        <v>35.555</v>
      </c>
      <c r="CB942" s="120">
        <f>(CC942+CA942)/2</f>
        <v>36.450000000000003</v>
      </c>
      <c r="CC942" s="158">
        <v>37.344999999999999</v>
      </c>
      <c r="CD942" s="120">
        <f>(CE942+CC942)/2</f>
        <v>38.191000000000003</v>
      </c>
      <c r="CE942" s="158">
        <v>39.036999999999999</v>
      </c>
      <c r="CF942" s="120">
        <f>(CG942+CE942)/2</f>
        <v>39.873999999999995</v>
      </c>
      <c r="CG942" s="158">
        <v>40.710999999999999</v>
      </c>
      <c r="CH942" s="120">
        <f>(CI942+CG942)/2</f>
        <v>41.637999999999998</v>
      </c>
      <c r="CI942" s="158">
        <v>42.564999999999998</v>
      </c>
      <c r="CJ942" s="120">
        <f>(CK942+CI942)/2</f>
        <v>43.401499999999999</v>
      </c>
      <c r="CK942" s="158">
        <v>44.238</v>
      </c>
      <c r="CL942" s="120">
        <f>(CM942+CK942)/2</f>
        <v>45.084499999999998</v>
      </c>
      <c r="CM942" s="158">
        <v>45.930999999999997</v>
      </c>
      <c r="CN942" s="120">
        <f>(CO942+CM942)/2</f>
        <v>46.768000000000001</v>
      </c>
      <c r="CO942" s="158">
        <v>47.604999999999997</v>
      </c>
      <c r="CP942" s="120">
        <f>(CQ942+CO942)/2</f>
        <v>48.451499999999996</v>
      </c>
      <c r="CQ942" s="158">
        <v>49.298000000000002</v>
      </c>
      <c r="CR942" s="120">
        <f>(CS942+CQ942)/2</f>
        <v>50.098500000000001</v>
      </c>
      <c r="CS942" s="158">
        <v>50.899000000000001</v>
      </c>
      <c r="CT942" s="120">
        <f>(CU942+CS942)/2</f>
        <v>51.745000000000005</v>
      </c>
      <c r="CU942" s="158">
        <v>52.591000000000001</v>
      </c>
      <c r="CV942" s="120">
        <f>(CW942+CU942)/2</f>
        <v>53.427999999999997</v>
      </c>
      <c r="CW942" s="158">
        <v>54.265000000000001</v>
      </c>
      <c r="CX942" s="120">
        <f>(CY942+CW942)/2</f>
        <v>55.052999999999997</v>
      </c>
      <c r="CY942" s="158">
        <v>55.841000000000001</v>
      </c>
      <c r="CZ942" s="120">
        <f>(DA942+CY942)/2</f>
        <v>56.677999999999997</v>
      </c>
      <c r="DA942" s="158">
        <v>57.515000000000001</v>
      </c>
      <c r="DB942" s="120">
        <f>(DC942+DA942)/2</f>
        <v>58.325000000000003</v>
      </c>
      <c r="DC942" s="158">
        <v>59.134999999999998</v>
      </c>
      <c r="DD942" s="120">
        <f>(DE942+DC942)/2</f>
        <v>59.971499999999999</v>
      </c>
      <c r="DE942" s="158">
        <v>60.808</v>
      </c>
      <c r="DF942" s="120">
        <f>(DG942+DE942)/2</f>
        <v>61.596000000000004</v>
      </c>
      <c r="DG942" s="159">
        <v>62.384</v>
      </c>
    </row>
    <row r="943" spans="54:111" ht="15" customHeight="1" x14ac:dyDescent="0.2">
      <c r="BB943" s="28">
        <v>27</v>
      </c>
      <c r="BC943" s="121">
        <v>12.0505</v>
      </c>
      <c r="BD943" s="121">
        <v>13.338749999999999</v>
      </c>
      <c r="BE943" s="121">
        <v>14.626999999999999</v>
      </c>
      <c r="BF943" s="121">
        <v>15.780999999999999</v>
      </c>
      <c r="BG943" s="121">
        <v>16.934999999999999</v>
      </c>
      <c r="BH943" s="121">
        <v>18.002749999999999</v>
      </c>
      <c r="BI943" s="121">
        <v>19.070500000000003</v>
      </c>
      <c r="BJ943" s="121">
        <v>20.118750000000002</v>
      </c>
      <c r="BK943" s="121">
        <v>21.167000000000002</v>
      </c>
      <c r="BL943" s="121">
        <v>22.1995</v>
      </c>
      <c r="BM943" s="121">
        <v>23.231999999999999</v>
      </c>
      <c r="BN943" s="121">
        <v>24.232499999999998</v>
      </c>
      <c r="BO943" s="121">
        <v>25.232999999999997</v>
      </c>
      <c r="BP943" s="121">
        <v>26.202249999999999</v>
      </c>
      <c r="BQ943" s="121">
        <v>27.171500000000002</v>
      </c>
      <c r="BR943" s="121">
        <v>28.13175</v>
      </c>
      <c r="BS943" s="121">
        <v>29.091999999999999</v>
      </c>
      <c r="BT943" s="121">
        <v>30.047750000000001</v>
      </c>
      <c r="BU943" s="121">
        <v>31.003500000000003</v>
      </c>
      <c r="BV943" s="121">
        <v>31.918749999999999</v>
      </c>
      <c r="BW943" s="121">
        <v>32.834000000000003</v>
      </c>
      <c r="BX943" s="121">
        <v>33.741999999999997</v>
      </c>
      <c r="BY943" s="121">
        <f t="array" ref="BY943:BY976">TRANSPOSE(BZ942:DG942)</f>
        <v>34.65</v>
      </c>
      <c r="BZ943" s="120">
        <f>(BY943+CA943)/2</f>
        <v>35.569749999999999</v>
      </c>
      <c r="CA943" s="120">
        <f>(CA942+CA944)/2</f>
        <v>36.4895</v>
      </c>
      <c r="CB943" s="120">
        <f>(CA943+CC943)/2</f>
        <v>37.411000000000001</v>
      </c>
      <c r="CC943" s="120">
        <f>(CC942+CC944)/2</f>
        <v>38.332499999999996</v>
      </c>
      <c r="CD943" s="120">
        <f>(CC943+CE943)/2</f>
        <v>39.204999999999998</v>
      </c>
      <c r="CE943" s="120">
        <f>(CE942+CE944)/2</f>
        <v>40.077500000000001</v>
      </c>
      <c r="CF943" s="120">
        <f>(CE943+CG943)/2</f>
        <v>40.963749999999997</v>
      </c>
      <c r="CG943" s="120">
        <f>(CG942+CG944)/2</f>
        <v>41.849999999999994</v>
      </c>
      <c r="CH943" s="120">
        <f>(CG943+CI943)/2</f>
        <v>42.758249999999997</v>
      </c>
      <c r="CI943" s="120">
        <f>(CI942+CI944)/2</f>
        <v>43.666499999999999</v>
      </c>
      <c r="CJ943" s="120">
        <f>(CI943+CK943)/2</f>
        <v>44.522999999999996</v>
      </c>
      <c r="CK943" s="120">
        <f>(CK942+CK944)/2</f>
        <v>45.3795</v>
      </c>
      <c r="CL943" s="120">
        <f>(CK943+CM943)/2</f>
        <v>46.252250000000004</v>
      </c>
      <c r="CM943" s="120">
        <f>(CM942+CM944)/2</f>
        <v>47.125</v>
      </c>
      <c r="CN943" s="120">
        <f>(CM943+CO943)/2</f>
        <v>47.988</v>
      </c>
      <c r="CO943" s="120">
        <f>(CO942+CO944)/2</f>
        <v>48.850999999999999</v>
      </c>
      <c r="CP943" s="120">
        <f>(CO943+CQ943)/2</f>
        <v>49.71275</v>
      </c>
      <c r="CQ943" s="120">
        <f>(CQ942+CQ944)/2</f>
        <v>50.5745</v>
      </c>
      <c r="CR943" s="120">
        <f>(CQ943+CS943)/2</f>
        <v>51.424250000000001</v>
      </c>
      <c r="CS943" s="120">
        <f>(CS942+CS944)/2</f>
        <v>52.274000000000001</v>
      </c>
      <c r="CT943" s="120">
        <f>(CS943+CU943)/2</f>
        <v>53.135249999999999</v>
      </c>
      <c r="CU943" s="120">
        <f>(CU942+CU944)/2</f>
        <v>53.996499999999997</v>
      </c>
      <c r="CV943" s="120">
        <f>(CU943+CW943)/2</f>
        <v>54.859749999999998</v>
      </c>
      <c r="CW943" s="120">
        <f>(CW942+CW944)/2</f>
        <v>55.722999999999999</v>
      </c>
      <c r="CX943" s="120">
        <f>(CW943+CY943)/2</f>
        <v>56.53725</v>
      </c>
      <c r="CY943" s="120">
        <f>(CY942+CY944)/2</f>
        <v>57.351500000000001</v>
      </c>
      <c r="CZ943" s="120">
        <f>(CY943+DA943)/2</f>
        <v>58.208500000000001</v>
      </c>
      <c r="DA943" s="120">
        <f>(DA942+DA944)/2</f>
        <v>59.0655</v>
      </c>
      <c r="DB943" s="120">
        <f>(DA943+DC943)/2</f>
        <v>59.914999999999999</v>
      </c>
      <c r="DC943" s="120">
        <f>(DC942+DC944)/2</f>
        <v>60.764499999999998</v>
      </c>
      <c r="DD943" s="120">
        <f>(DC943+DE943)/2</f>
        <v>61.591749999999998</v>
      </c>
      <c r="DE943" s="120">
        <f>(DE942+DE944)/2</f>
        <v>62.418999999999997</v>
      </c>
      <c r="DF943" s="120">
        <f>(DE943+DG943)/2</f>
        <v>63.262499999999996</v>
      </c>
      <c r="DG943" s="122">
        <f>(DG942+DG944)/2</f>
        <v>64.105999999999995</v>
      </c>
    </row>
    <row r="944" spans="54:111" ht="15" customHeight="1" x14ac:dyDescent="0.2">
      <c r="BB944" s="28">
        <v>28</v>
      </c>
      <c r="BC944" s="121">
        <v>12.387</v>
      </c>
      <c r="BD944" s="121">
        <v>13.695499999999999</v>
      </c>
      <c r="BE944" s="121">
        <v>15.004</v>
      </c>
      <c r="BF944" s="121">
        <v>16.172999999999998</v>
      </c>
      <c r="BG944" s="121">
        <v>17.341999999999999</v>
      </c>
      <c r="BH944" s="121">
        <v>18.465</v>
      </c>
      <c r="BI944" s="121">
        <v>19.588000000000001</v>
      </c>
      <c r="BJ944" s="121">
        <v>20.662500000000001</v>
      </c>
      <c r="BK944" s="121">
        <v>21.736999999999998</v>
      </c>
      <c r="BL944" s="121">
        <v>22.789499999999997</v>
      </c>
      <c r="BM944" s="121">
        <v>23.841999999999999</v>
      </c>
      <c r="BN944" s="121">
        <v>24.857999999999997</v>
      </c>
      <c r="BO944" s="121">
        <v>25.873999999999999</v>
      </c>
      <c r="BP944" s="121">
        <v>26.858499999999999</v>
      </c>
      <c r="BQ944" s="121">
        <v>27.843</v>
      </c>
      <c r="BR944" s="121">
        <v>28.858499999999999</v>
      </c>
      <c r="BS944" s="121">
        <v>29.873999999999999</v>
      </c>
      <c r="BT944" s="121">
        <v>30.831499999999998</v>
      </c>
      <c r="BU944" s="121">
        <v>31.789000000000001</v>
      </c>
      <c r="BV944" s="121">
        <v>32.714500000000001</v>
      </c>
      <c r="BW944" s="121">
        <v>33.64</v>
      </c>
      <c r="BX944" s="121">
        <v>34.597499999999997</v>
      </c>
      <c r="BY944" s="121">
        <v>35.555</v>
      </c>
      <c r="BZ944" s="121">
        <f t="array" ref="BZ944:BZ976">TRANSPOSE(CA943:DG943)</f>
        <v>36.4895</v>
      </c>
      <c r="CA944" s="158">
        <v>37.423999999999999</v>
      </c>
      <c r="CB944" s="120">
        <f>(CC944+CA944)/2</f>
        <v>38.372</v>
      </c>
      <c r="CC944" s="158">
        <v>39.32</v>
      </c>
      <c r="CD944" s="120">
        <f>(CE944+CC944)/2</f>
        <v>40.219000000000001</v>
      </c>
      <c r="CE944" s="158">
        <v>41.118000000000002</v>
      </c>
      <c r="CF944" s="120">
        <f>(CG944+CE944)/2</f>
        <v>42.0535</v>
      </c>
      <c r="CG944" s="158">
        <v>42.988999999999997</v>
      </c>
      <c r="CH944" s="120">
        <f>(CI944+CG944)/2</f>
        <v>43.878500000000003</v>
      </c>
      <c r="CI944" s="158">
        <v>44.768000000000001</v>
      </c>
      <c r="CJ944" s="120">
        <f>(CK944+CI944)/2</f>
        <v>45.644500000000001</v>
      </c>
      <c r="CK944" s="158">
        <v>46.521000000000001</v>
      </c>
      <c r="CL944" s="120">
        <f>(CM944+CK944)/2</f>
        <v>47.42</v>
      </c>
      <c r="CM944" s="158">
        <v>48.319000000000003</v>
      </c>
      <c r="CN944" s="120">
        <f>(CO944+CM944)/2</f>
        <v>49.207999999999998</v>
      </c>
      <c r="CO944" s="158">
        <v>50.097000000000001</v>
      </c>
      <c r="CP944" s="120">
        <f>(CQ944+CO944)/2</f>
        <v>50.974000000000004</v>
      </c>
      <c r="CQ944" s="158">
        <v>51.850999999999999</v>
      </c>
      <c r="CR944" s="120">
        <f>(CS944+CQ944)/2</f>
        <v>52.75</v>
      </c>
      <c r="CS944" s="158">
        <v>53.649000000000001</v>
      </c>
      <c r="CT944" s="120">
        <f>(CU944+CS944)/2</f>
        <v>54.525500000000001</v>
      </c>
      <c r="CU944" s="158">
        <v>55.402000000000001</v>
      </c>
      <c r="CV944" s="120">
        <f>(CW944+CU944)/2</f>
        <v>56.291499999999999</v>
      </c>
      <c r="CW944" s="158">
        <v>57.180999999999997</v>
      </c>
      <c r="CX944" s="120">
        <f>(CY944+CW944)/2</f>
        <v>58.021500000000003</v>
      </c>
      <c r="CY944" s="158">
        <v>58.862000000000002</v>
      </c>
      <c r="CZ944" s="120">
        <f>(DA944+CY944)/2</f>
        <v>59.739000000000004</v>
      </c>
      <c r="DA944" s="158">
        <v>60.616</v>
      </c>
      <c r="DB944" s="120">
        <f>(DC944+DA944)/2</f>
        <v>61.504999999999995</v>
      </c>
      <c r="DC944" s="158">
        <v>62.393999999999998</v>
      </c>
      <c r="DD944" s="120">
        <f>(DE944+DC944)/2</f>
        <v>63.212000000000003</v>
      </c>
      <c r="DE944" s="158">
        <v>64.03</v>
      </c>
      <c r="DF944" s="120">
        <f>(DG944+DE944)/2</f>
        <v>64.929000000000002</v>
      </c>
      <c r="DG944" s="159">
        <v>65.828000000000003</v>
      </c>
    </row>
    <row r="945" spans="54:111" ht="15" customHeight="1" x14ac:dyDescent="0.2">
      <c r="BB945" s="28">
        <v>29</v>
      </c>
      <c r="BC945" s="121">
        <v>12.6745</v>
      </c>
      <c r="BD945" s="121">
        <v>14.027249999999999</v>
      </c>
      <c r="BE945" s="121">
        <v>15.379999999999999</v>
      </c>
      <c r="BF945" s="121">
        <v>16.575499999999998</v>
      </c>
      <c r="BG945" s="121">
        <v>17.771000000000001</v>
      </c>
      <c r="BH945" s="121">
        <v>18.90925</v>
      </c>
      <c r="BI945" s="121">
        <v>20.047499999999999</v>
      </c>
      <c r="BJ945" s="121">
        <v>21.166499999999999</v>
      </c>
      <c r="BK945" s="121">
        <v>22.285499999999999</v>
      </c>
      <c r="BL945" s="121">
        <v>23.33475</v>
      </c>
      <c r="BM945" s="121">
        <v>24.384</v>
      </c>
      <c r="BN945" s="121">
        <v>25.444249999999997</v>
      </c>
      <c r="BO945" s="121">
        <v>26.5045</v>
      </c>
      <c r="BP945" s="121">
        <v>27.52</v>
      </c>
      <c r="BQ945" s="121">
        <v>28.535499999999999</v>
      </c>
      <c r="BR945" s="121">
        <v>29.566500000000001</v>
      </c>
      <c r="BS945" s="121">
        <v>30.5975</v>
      </c>
      <c r="BT945" s="121">
        <v>31.57</v>
      </c>
      <c r="BU945" s="121">
        <v>32.542500000000004</v>
      </c>
      <c r="BV945" s="121">
        <v>33.528500000000001</v>
      </c>
      <c r="BW945" s="121">
        <v>34.514499999999998</v>
      </c>
      <c r="BX945" s="121">
        <v>35.482250000000001</v>
      </c>
      <c r="BY945" s="121">
        <v>36.450000000000003</v>
      </c>
      <c r="BZ945" s="121">
        <v>37.411000000000001</v>
      </c>
      <c r="CA945" s="121">
        <f t="array" ref="CA945:CA976">TRANSPOSE(CB944:DG944)</f>
        <v>38.372</v>
      </c>
      <c r="CB945" s="120">
        <f>(CA945+CC945)/2</f>
        <v>39.310749999999999</v>
      </c>
      <c r="CC945" s="120">
        <f>(CC944+CC946)/2</f>
        <v>40.249499999999998</v>
      </c>
      <c r="CD945" s="120">
        <f>(CC945+CE945)/2</f>
        <v>41.192750000000004</v>
      </c>
      <c r="CE945" s="120">
        <f>(CE944+CE946)/2</f>
        <v>42.136000000000003</v>
      </c>
      <c r="CF945" s="120">
        <f>(CE945+CG945)/2</f>
        <v>43.097750000000005</v>
      </c>
      <c r="CG945" s="120">
        <f>(CG944+CG946)/2</f>
        <v>44.0595</v>
      </c>
      <c r="CH945" s="120">
        <f>(CG945+CI945)/2</f>
        <v>44.969000000000001</v>
      </c>
      <c r="CI945" s="120">
        <f>(CI944+CI946)/2</f>
        <v>45.878500000000003</v>
      </c>
      <c r="CJ945" s="120">
        <f>(CI945+CK945)/2</f>
        <v>46.78125</v>
      </c>
      <c r="CK945" s="120">
        <f>(CK944+CK946)/2</f>
        <v>47.683999999999997</v>
      </c>
      <c r="CL945" s="120">
        <f>(CK945+CM945)/2</f>
        <v>48.627499999999998</v>
      </c>
      <c r="CM945" s="120">
        <f>(CM944+CM946)/2</f>
        <v>49.570999999999998</v>
      </c>
      <c r="CN945" s="120">
        <f>(CM945+CO945)/2</f>
        <v>50.475499999999997</v>
      </c>
      <c r="CO945" s="120">
        <f>(CO944+CO946)/2</f>
        <v>51.379999999999995</v>
      </c>
      <c r="CP945" s="120">
        <f>(CO945+CQ945)/2</f>
        <v>52.283000000000001</v>
      </c>
      <c r="CQ945" s="120">
        <f>(CQ944+CQ946)/2</f>
        <v>53.186</v>
      </c>
      <c r="CR945" s="120">
        <f>(CQ945+CS945)/2</f>
        <v>54.099999999999994</v>
      </c>
      <c r="CS945" s="120">
        <f>(CS944+CS946)/2</f>
        <v>55.013999999999996</v>
      </c>
      <c r="CT945" s="120">
        <f>(CS945+CU945)/2</f>
        <v>55.91675</v>
      </c>
      <c r="CU945" s="120">
        <f>(CU944+CU946)/2</f>
        <v>56.819500000000005</v>
      </c>
      <c r="CV945" s="120">
        <f>(CU945+CW945)/2</f>
        <v>57.699750000000002</v>
      </c>
      <c r="CW945" s="120">
        <f>(CW944+CW946)/2</f>
        <v>58.58</v>
      </c>
      <c r="CX945" s="120">
        <f>(CW945+CY945)/2</f>
        <v>59.465000000000003</v>
      </c>
      <c r="CY945" s="120">
        <f>(CY944+CY946)/2</f>
        <v>60.35</v>
      </c>
      <c r="CZ945" s="120">
        <f>(CY945+DA945)/2</f>
        <v>61.253</v>
      </c>
      <c r="DA945" s="120">
        <f>(DA944+DA946)/2</f>
        <v>62.155999999999999</v>
      </c>
      <c r="DB945" s="120">
        <f>(DA945+DC945)/2</f>
        <v>63.065250000000006</v>
      </c>
      <c r="DC945" s="120">
        <f>(DC944+DC946)/2</f>
        <v>63.974500000000006</v>
      </c>
      <c r="DD945" s="120">
        <f>(DC945+DE945)/2</f>
        <v>64.819000000000003</v>
      </c>
      <c r="DE945" s="120">
        <f>(DE944+DE946)/2</f>
        <v>65.663499999999999</v>
      </c>
      <c r="DF945" s="120">
        <f>(DE945+DG945)/2</f>
        <v>66.572749999999999</v>
      </c>
      <c r="DG945" s="122">
        <f>(DG944+DG946)/2</f>
        <v>67.481999999999999</v>
      </c>
    </row>
    <row r="946" spans="54:111" ht="15" customHeight="1" x14ac:dyDescent="0.2">
      <c r="BB946" s="28">
        <v>30</v>
      </c>
      <c r="BC946" s="121">
        <v>12.962</v>
      </c>
      <c r="BD946" s="121">
        <v>14.359</v>
      </c>
      <c r="BE946" s="121">
        <v>15.756</v>
      </c>
      <c r="BF946" s="121">
        <v>16.978000000000002</v>
      </c>
      <c r="BG946" s="121">
        <v>18.2</v>
      </c>
      <c r="BH946" s="121">
        <v>19.3535</v>
      </c>
      <c r="BI946" s="121">
        <v>20.507000000000001</v>
      </c>
      <c r="BJ946" s="121">
        <v>21.670500000000001</v>
      </c>
      <c r="BK946" s="121">
        <v>22.834</v>
      </c>
      <c r="BL946" s="121">
        <v>23.88</v>
      </c>
      <c r="BM946" s="121">
        <v>24.925999999999998</v>
      </c>
      <c r="BN946" s="121">
        <v>26.0305</v>
      </c>
      <c r="BO946" s="121">
        <v>27.135000000000002</v>
      </c>
      <c r="BP946" s="121">
        <v>28.1815</v>
      </c>
      <c r="BQ946" s="121">
        <v>29.228000000000002</v>
      </c>
      <c r="BR946" s="121">
        <v>30.274500000000003</v>
      </c>
      <c r="BS946" s="121">
        <v>31.321000000000002</v>
      </c>
      <c r="BT946" s="121">
        <v>32.308500000000002</v>
      </c>
      <c r="BU946" s="121">
        <v>33.295999999999999</v>
      </c>
      <c r="BV946" s="121">
        <v>34.342500000000001</v>
      </c>
      <c r="BW946" s="121">
        <v>35.389000000000003</v>
      </c>
      <c r="BX946" s="121">
        <v>36.367000000000004</v>
      </c>
      <c r="BY946" s="121">
        <v>37.344999999999999</v>
      </c>
      <c r="BZ946" s="121">
        <v>38.332499999999996</v>
      </c>
      <c r="CA946" s="121">
        <v>39.32</v>
      </c>
      <c r="CB946" s="121">
        <f t="array" ref="CB946:CB976">TRANSPOSE(CC945:DG945)</f>
        <v>40.249499999999998</v>
      </c>
      <c r="CC946" s="158">
        <v>41.179000000000002</v>
      </c>
      <c r="CD946" s="120">
        <f>(CE946+CC946)/2</f>
        <v>42.166499999999999</v>
      </c>
      <c r="CE946" s="158">
        <v>43.154000000000003</v>
      </c>
      <c r="CF946" s="120">
        <f>(CG946+CE946)/2</f>
        <v>44.142000000000003</v>
      </c>
      <c r="CG946" s="158">
        <v>45.13</v>
      </c>
      <c r="CH946" s="120">
        <f>(CI946+CG946)/2</f>
        <v>46.0595</v>
      </c>
      <c r="CI946" s="158">
        <v>46.988999999999997</v>
      </c>
      <c r="CJ946" s="120">
        <f>(CK946+CI946)/2</f>
        <v>47.917999999999999</v>
      </c>
      <c r="CK946" s="158">
        <v>48.847000000000001</v>
      </c>
      <c r="CL946" s="120">
        <f>(CM946+CK946)/2</f>
        <v>49.835000000000001</v>
      </c>
      <c r="CM946" s="158">
        <v>50.823</v>
      </c>
      <c r="CN946" s="120">
        <f>(CO946+CM946)/2</f>
        <v>51.742999999999995</v>
      </c>
      <c r="CO946" s="158">
        <v>52.662999999999997</v>
      </c>
      <c r="CP946" s="120">
        <f>(CQ946+CO946)/2</f>
        <v>53.591999999999999</v>
      </c>
      <c r="CQ946" s="158">
        <v>54.521000000000001</v>
      </c>
      <c r="CR946" s="120">
        <f>(CS946+CQ946)/2</f>
        <v>55.45</v>
      </c>
      <c r="CS946" s="158">
        <v>56.378999999999998</v>
      </c>
      <c r="CT946" s="120">
        <f>(CU946+CS946)/2</f>
        <v>57.308</v>
      </c>
      <c r="CU946" s="158">
        <v>58.237000000000002</v>
      </c>
      <c r="CV946" s="120">
        <f>(CW946+CU946)/2</f>
        <v>59.108000000000004</v>
      </c>
      <c r="CW946" s="158">
        <v>59.978999999999999</v>
      </c>
      <c r="CX946" s="120">
        <f>(CY946+CW946)/2</f>
        <v>60.908500000000004</v>
      </c>
      <c r="CY946" s="158">
        <v>61.838000000000001</v>
      </c>
      <c r="CZ946" s="120">
        <f>(DA946+CY946)/2</f>
        <v>62.766999999999996</v>
      </c>
      <c r="DA946" s="158">
        <v>63.695999999999998</v>
      </c>
      <c r="DB946" s="120">
        <f>(DC946+DA946)/2</f>
        <v>64.625500000000002</v>
      </c>
      <c r="DC946" s="158">
        <v>65.555000000000007</v>
      </c>
      <c r="DD946" s="120">
        <f>(DE946+DC946)/2</f>
        <v>66.426000000000002</v>
      </c>
      <c r="DE946" s="158">
        <v>67.296999999999997</v>
      </c>
      <c r="DF946" s="120">
        <f>(DG946+DE946)/2</f>
        <v>68.216499999999996</v>
      </c>
      <c r="DG946" s="159">
        <v>69.135999999999996</v>
      </c>
    </row>
    <row r="947" spans="54:111" ht="15" customHeight="1" x14ac:dyDescent="0.2">
      <c r="BB947" s="28">
        <v>31</v>
      </c>
      <c r="BC947" s="121">
        <v>13.298</v>
      </c>
      <c r="BD947" s="121">
        <v>14.68125</v>
      </c>
      <c r="BE947" s="121">
        <v>16.064500000000002</v>
      </c>
      <c r="BF947" s="121">
        <v>17.341750000000001</v>
      </c>
      <c r="BG947" s="121">
        <v>18.619</v>
      </c>
      <c r="BH947" s="121">
        <v>19.792749999999998</v>
      </c>
      <c r="BI947" s="121">
        <v>20.9665</v>
      </c>
      <c r="BJ947" s="121">
        <v>22.145</v>
      </c>
      <c r="BK947" s="121">
        <v>23.323499999999999</v>
      </c>
      <c r="BL947" s="121">
        <v>24.43</v>
      </c>
      <c r="BM947" s="121">
        <v>25.536499999999997</v>
      </c>
      <c r="BN947" s="121">
        <v>26.65625</v>
      </c>
      <c r="BO947" s="121">
        <v>27.776000000000003</v>
      </c>
      <c r="BP947" s="121">
        <v>28.848749999999999</v>
      </c>
      <c r="BQ947" s="121">
        <v>29.921500000000002</v>
      </c>
      <c r="BR947" s="121">
        <v>30.983000000000001</v>
      </c>
      <c r="BS947" s="121">
        <v>32.044499999999999</v>
      </c>
      <c r="BT947" s="121">
        <v>33.047499999999999</v>
      </c>
      <c r="BU947" s="121">
        <v>34.0505</v>
      </c>
      <c r="BV947" s="121">
        <v>35.122749999999996</v>
      </c>
      <c r="BW947" s="121">
        <v>36.195</v>
      </c>
      <c r="BX947" s="121">
        <v>37.192999999999998</v>
      </c>
      <c r="BY947" s="121">
        <v>38.191000000000003</v>
      </c>
      <c r="BZ947" s="121">
        <v>39.204999999999998</v>
      </c>
      <c r="CA947" s="121">
        <v>40.219000000000001</v>
      </c>
      <c r="CB947" s="121">
        <v>41.192750000000004</v>
      </c>
      <c r="CC947" s="121">
        <f t="array" ref="CC947:CC976">TRANSPOSE(CD946:DG946)</f>
        <v>42.166499999999999</v>
      </c>
      <c r="CD947" s="120">
        <f>(CC947+CE947)/2</f>
        <v>43.169499999999999</v>
      </c>
      <c r="CE947" s="120">
        <f>(CE946+CE948)/2</f>
        <v>44.172499999999999</v>
      </c>
      <c r="CF947" s="120">
        <f>(CE947+CG947)/2</f>
        <v>45.157250000000005</v>
      </c>
      <c r="CG947" s="120">
        <f>(CG946+CG948)/2</f>
        <v>46.142000000000003</v>
      </c>
      <c r="CH947" s="120">
        <f>(CG947+CI947)/2</f>
        <v>47.116</v>
      </c>
      <c r="CI947" s="120">
        <f>(CI946+CI948)/2</f>
        <v>48.09</v>
      </c>
      <c r="CJ947" s="120">
        <f>(CI947+CK947)/2</f>
        <v>49.045250000000003</v>
      </c>
      <c r="CK947" s="120">
        <f>(CK946+CK948)/2</f>
        <v>50.000500000000002</v>
      </c>
      <c r="CL947" s="120">
        <f>(CK947+CM947)/2</f>
        <v>51.003750000000004</v>
      </c>
      <c r="CM947" s="120">
        <f>(CM946+CM948)/2</f>
        <v>52.007000000000005</v>
      </c>
      <c r="CN947" s="120">
        <f>(CM947+CO947)/2</f>
        <v>52.951500000000003</v>
      </c>
      <c r="CO947" s="120">
        <f>(CO946+CO948)/2</f>
        <v>53.896000000000001</v>
      </c>
      <c r="CP947" s="120">
        <f>(CO947+CQ947)/2</f>
        <v>54.851500000000001</v>
      </c>
      <c r="CQ947" s="120">
        <f>(CQ946+CQ948)/2</f>
        <v>55.807000000000002</v>
      </c>
      <c r="CR947" s="120">
        <f>(CQ947+CS947)/2</f>
        <v>56.751249999999999</v>
      </c>
      <c r="CS947" s="120">
        <f>(CS946+CS948)/2</f>
        <v>57.695499999999996</v>
      </c>
      <c r="CT947" s="120">
        <f>(CS947+CU947)/2</f>
        <v>58.650999999999996</v>
      </c>
      <c r="CU947" s="120">
        <f>(CU946+CU948)/2</f>
        <v>59.606499999999997</v>
      </c>
      <c r="CV947" s="120">
        <f>(CU947+CW947)/2</f>
        <v>60.521749999999997</v>
      </c>
      <c r="CW947" s="120">
        <f>(CW946+CW948)/2</f>
        <v>61.436999999999998</v>
      </c>
      <c r="CX947" s="120">
        <f>(CW947+CY947)/2</f>
        <v>62.381749999999997</v>
      </c>
      <c r="CY947" s="120">
        <f>(CY946+CY948)/2</f>
        <v>63.326499999999996</v>
      </c>
      <c r="CZ947" s="120">
        <f>(CY947+DA947)/2</f>
        <v>64.281749999999988</v>
      </c>
      <c r="DA947" s="120">
        <f>(DA946+DA948)/2</f>
        <v>65.236999999999995</v>
      </c>
      <c r="DB947" s="120">
        <f>(DA947+DC947)/2</f>
        <v>66.152249999999995</v>
      </c>
      <c r="DC947" s="120">
        <f>(DC946+DC948)/2</f>
        <v>67.067499999999995</v>
      </c>
      <c r="DD947" s="120">
        <f>(DC947+DE947)/2</f>
        <v>67.994</v>
      </c>
      <c r="DE947" s="120">
        <f>(DE946+DE948)/2</f>
        <v>68.920500000000004</v>
      </c>
      <c r="DF947" s="120">
        <f>(DE947+DG947)/2</f>
        <v>69.86</v>
      </c>
      <c r="DG947" s="122">
        <f>(DG946+DG948)/2</f>
        <v>70.799499999999995</v>
      </c>
    </row>
    <row r="948" spans="54:111" ht="15" customHeight="1" x14ac:dyDescent="0.2">
      <c r="BB948" s="28">
        <v>32</v>
      </c>
      <c r="BC948" s="121">
        <v>13.634</v>
      </c>
      <c r="BD948" s="121">
        <v>15.003500000000001</v>
      </c>
      <c r="BE948" s="121">
        <v>16.373000000000001</v>
      </c>
      <c r="BF948" s="121">
        <v>17.705500000000001</v>
      </c>
      <c r="BG948" s="121">
        <v>19.038</v>
      </c>
      <c r="BH948" s="121">
        <v>20.231999999999999</v>
      </c>
      <c r="BI948" s="121">
        <v>21.425999999999998</v>
      </c>
      <c r="BJ948" s="121">
        <v>22.619499999999999</v>
      </c>
      <c r="BK948" s="121">
        <v>23.812999999999999</v>
      </c>
      <c r="BL948" s="121">
        <v>24.979999999999997</v>
      </c>
      <c r="BM948" s="121">
        <v>26.146999999999998</v>
      </c>
      <c r="BN948" s="121">
        <v>27.282</v>
      </c>
      <c r="BO948" s="121">
        <v>28.417000000000002</v>
      </c>
      <c r="BP948" s="121">
        <v>29.515999999999998</v>
      </c>
      <c r="BQ948" s="121">
        <v>30.614999999999998</v>
      </c>
      <c r="BR948" s="121">
        <v>31.691499999999998</v>
      </c>
      <c r="BS948" s="121">
        <v>32.768000000000001</v>
      </c>
      <c r="BT948" s="121">
        <v>33.786500000000004</v>
      </c>
      <c r="BU948" s="121">
        <v>34.805</v>
      </c>
      <c r="BV948" s="121">
        <v>35.902999999999999</v>
      </c>
      <c r="BW948" s="121">
        <v>37.000999999999998</v>
      </c>
      <c r="BX948" s="121">
        <v>38.018999999999998</v>
      </c>
      <c r="BY948" s="121">
        <v>39.036999999999999</v>
      </c>
      <c r="BZ948" s="121">
        <v>40.077500000000001</v>
      </c>
      <c r="CA948" s="121">
        <v>41.118000000000002</v>
      </c>
      <c r="CB948" s="121">
        <v>42.136000000000003</v>
      </c>
      <c r="CC948" s="121">
        <v>43.154000000000003</v>
      </c>
      <c r="CD948" s="121">
        <f t="array" ref="CD948:CD976">TRANSPOSE(CE947:DG947)</f>
        <v>44.172499999999999</v>
      </c>
      <c r="CE948" s="158">
        <v>45.191000000000003</v>
      </c>
      <c r="CF948" s="120">
        <f>(CG948+CE948)/2</f>
        <v>46.172499999999999</v>
      </c>
      <c r="CG948" s="158">
        <v>47.154000000000003</v>
      </c>
      <c r="CH948" s="120">
        <f>(CI948+CG948)/2</f>
        <v>48.172499999999999</v>
      </c>
      <c r="CI948" s="158">
        <v>49.191000000000003</v>
      </c>
      <c r="CJ948" s="120">
        <f>(CK948+CI948)/2</f>
        <v>50.172499999999999</v>
      </c>
      <c r="CK948" s="158">
        <v>51.154000000000003</v>
      </c>
      <c r="CL948" s="120">
        <f>(CM948+CK948)/2</f>
        <v>52.172499999999999</v>
      </c>
      <c r="CM948" s="158">
        <v>53.191000000000003</v>
      </c>
      <c r="CN948" s="120">
        <f>(CO948+CM948)/2</f>
        <v>54.16</v>
      </c>
      <c r="CO948" s="158">
        <v>55.128999999999998</v>
      </c>
      <c r="CP948" s="120">
        <f>(CQ948+CO948)/2</f>
        <v>56.111000000000004</v>
      </c>
      <c r="CQ948" s="158">
        <v>57.093000000000004</v>
      </c>
      <c r="CR948" s="120">
        <f>(CS948+CQ948)/2</f>
        <v>58.052500000000002</v>
      </c>
      <c r="CS948" s="158">
        <v>59.012</v>
      </c>
      <c r="CT948" s="120">
        <f>(CU948+CS948)/2</f>
        <v>59.994</v>
      </c>
      <c r="CU948" s="158">
        <v>60.975999999999999</v>
      </c>
      <c r="CV948" s="120">
        <f>(CW948+CU948)/2</f>
        <v>61.935500000000005</v>
      </c>
      <c r="CW948" s="158">
        <v>62.895000000000003</v>
      </c>
      <c r="CX948" s="120">
        <f>(CY948+CW948)/2</f>
        <v>63.855000000000004</v>
      </c>
      <c r="CY948" s="158">
        <v>64.814999999999998</v>
      </c>
      <c r="CZ948" s="120">
        <f>(DA948+CY948)/2</f>
        <v>65.796500000000009</v>
      </c>
      <c r="DA948" s="158">
        <v>66.778000000000006</v>
      </c>
      <c r="DB948" s="120">
        <f>(DC948+DA948)/2</f>
        <v>67.679000000000002</v>
      </c>
      <c r="DC948" s="158">
        <v>68.58</v>
      </c>
      <c r="DD948" s="120">
        <f>(DE948+DC948)/2</f>
        <v>69.561999999999998</v>
      </c>
      <c r="DE948" s="158">
        <v>70.543999999999997</v>
      </c>
      <c r="DF948" s="120">
        <f>(DG948+DE948)/2</f>
        <v>71.503500000000003</v>
      </c>
      <c r="DG948" s="159">
        <v>72.462999999999994</v>
      </c>
    </row>
    <row r="949" spans="54:111" ht="15" customHeight="1" x14ac:dyDescent="0.2">
      <c r="BB949" s="28">
        <v>33</v>
      </c>
      <c r="BC949" s="121">
        <v>13.9215</v>
      </c>
      <c r="BD949" s="121">
        <v>15.33525</v>
      </c>
      <c r="BE949" s="121">
        <v>16.749000000000002</v>
      </c>
      <c r="BF949" s="121">
        <v>18.097000000000001</v>
      </c>
      <c r="BG949" s="121">
        <v>19.445</v>
      </c>
      <c r="BH949" s="121">
        <v>20.664999999999999</v>
      </c>
      <c r="BI949" s="121">
        <v>21.884999999999998</v>
      </c>
      <c r="BJ949" s="121">
        <v>23.109499999999997</v>
      </c>
      <c r="BK949" s="121">
        <v>24.334</v>
      </c>
      <c r="BL949" s="121">
        <v>25.540749999999999</v>
      </c>
      <c r="BM949" s="121">
        <v>26.747499999999999</v>
      </c>
      <c r="BN949" s="121">
        <v>27.868499999999997</v>
      </c>
      <c r="BO949" s="121">
        <v>28.9895</v>
      </c>
      <c r="BP949" s="121">
        <v>30.132750000000001</v>
      </c>
      <c r="BQ949" s="121">
        <v>31.276</v>
      </c>
      <c r="BR949" s="121">
        <v>32.384</v>
      </c>
      <c r="BS949" s="121">
        <v>33.492000000000004</v>
      </c>
      <c r="BT949" s="121">
        <v>34.5655</v>
      </c>
      <c r="BU949" s="121">
        <v>35.638999999999996</v>
      </c>
      <c r="BV949" s="121">
        <v>36.723249999999993</v>
      </c>
      <c r="BW949" s="121">
        <v>37.807499999999997</v>
      </c>
      <c r="BX949" s="121">
        <v>38.84075</v>
      </c>
      <c r="BY949" s="121">
        <v>39.873999999999995</v>
      </c>
      <c r="BZ949" s="121">
        <v>40.963749999999997</v>
      </c>
      <c r="CA949" s="121">
        <v>42.0535</v>
      </c>
      <c r="CB949" s="121">
        <v>43.097750000000005</v>
      </c>
      <c r="CC949" s="121">
        <v>44.142000000000003</v>
      </c>
      <c r="CD949" s="121">
        <v>45.157250000000005</v>
      </c>
      <c r="CE949" s="121">
        <f t="array" ref="CE949:CE976">TRANSPOSE(CF948:DG948)</f>
        <v>46.172499999999999</v>
      </c>
      <c r="CF949" s="120">
        <f>(CE949+CG949)/2</f>
        <v>47.198750000000004</v>
      </c>
      <c r="CG949" s="120">
        <f>(CG948+CG950)/2</f>
        <v>48.225000000000001</v>
      </c>
      <c r="CH949" s="120">
        <f>(CG949+CI949)/2</f>
        <v>49.263249999999999</v>
      </c>
      <c r="CI949" s="120">
        <f>(CI948+CI950)/2</f>
        <v>50.301500000000004</v>
      </c>
      <c r="CJ949" s="120">
        <f>(CI949+CK949)/2</f>
        <v>51.298250000000003</v>
      </c>
      <c r="CK949" s="120">
        <f>(CK948+CK950)/2</f>
        <v>52.295000000000002</v>
      </c>
      <c r="CL949" s="120">
        <f>(CK949+CM949)/2</f>
        <v>53.339750000000002</v>
      </c>
      <c r="CM949" s="120">
        <f>(CM948+CM950)/2</f>
        <v>54.384500000000003</v>
      </c>
      <c r="CN949" s="120">
        <f>(CM949+CO949)/2</f>
        <v>55.379750000000001</v>
      </c>
      <c r="CO949" s="120">
        <f>(CO948+CO950)/2</f>
        <v>56.375</v>
      </c>
      <c r="CP949" s="120">
        <f>(CO949+CQ949)/2</f>
        <v>57.372</v>
      </c>
      <c r="CQ949" s="120">
        <f>(CQ948+CQ950)/2</f>
        <v>58.369</v>
      </c>
      <c r="CR949" s="120">
        <f>(CQ949+CS949)/2</f>
        <v>59.34375</v>
      </c>
      <c r="CS949" s="120">
        <f>(CS948+CS950)/2</f>
        <v>60.3185</v>
      </c>
      <c r="CT949" s="120">
        <f>(CS949+CU949)/2</f>
        <v>61.315750000000001</v>
      </c>
      <c r="CU949" s="120">
        <f>(CU948+CU950)/2</f>
        <v>62.313000000000002</v>
      </c>
      <c r="CV949" s="120">
        <f>(CU949+CW949)/2</f>
        <v>63.303750000000001</v>
      </c>
      <c r="CW949" s="120">
        <f>(CW948+CW950)/2</f>
        <v>64.294499999999999</v>
      </c>
      <c r="CX949" s="120">
        <f>(CW949+CY949)/2</f>
        <v>65.280500000000004</v>
      </c>
      <c r="CY949" s="120">
        <f>(CY948+CY950)/2</f>
        <v>66.266500000000008</v>
      </c>
      <c r="CZ949" s="120">
        <f>(CY949+DA949)/2</f>
        <v>67.263500000000008</v>
      </c>
      <c r="DA949" s="120">
        <f>(DA948+DA950)/2</f>
        <v>68.260500000000008</v>
      </c>
      <c r="DB949" s="120">
        <f>(DA949+DC949)/2</f>
        <v>69.206000000000003</v>
      </c>
      <c r="DC949" s="120">
        <f>(DC948+DC950)/2</f>
        <v>70.151499999999999</v>
      </c>
      <c r="DD949" s="120">
        <f>(DC949+DE949)/2</f>
        <v>71.15325</v>
      </c>
      <c r="DE949" s="120">
        <f>(DE948+DE950)/2</f>
        <v>72.155000000000001</v>
      </c>
      <c r="DF949" s="120">
        <f>(DE949+DG949)/2</f>
        <v>73.140749999999997</v>
      </c>
      <c r="DG949" s="122">
        <f>(DG948+DG950)/2</f>
        <v>74.126499999999993</v>
      </c>
    </row>
    <row r="950" spans="54:111" ht="15" customHeight="1" x14ac:dyDescent="0.2">
      <c r="BB950" s="28">
        <v>34</v>
      </c>
      <c r="BC950" s="121">
        <v>14.209</v>
      </c>
      <c r="BD950" s="121">
        <v>15.667</v>
      </c>
      <c r="BE950" s="121">
        <v>17.125</v>
      </c>
      <c r="BF950" s="121">
        <v>18.488500000000002</v>
      </c>
      <c r="BG950" s="121">
        <v>19.852</v>
      </c>
      <c r="BH950" s="121">
        <v>21.097999999999999</v>
      </c>
      <c r="BI950" s="121">
        <v>22.344000000000001</v>
      </c>
      <c r="BJ950" s="121">
        <v>23.599499999999999</v>
      </c>
      <c r="BK950" s="121">
        <v>24.855</v>
      </c>
      <c r="BL950" s="121">
        <v>26.101500000000001</v>
      </c>
      <c r="BM950" s="121">
        <v>27.347999999999999</v>
      </c>
      <c r="BN950" s="121">
        <v>28.454999999999998</v>
      </c>
      <c r="BO950" s="121">
        <v>29.562000000000001</v>
      </c>
      <c r="BP950" s="121">
        <v>30.749500000000001</v>
      </c>
      <c r="BQ950" s="121">
        <v>31.937000000000001</v>
      </c>
      <c r="BR950" s="121">
        <v>33.076500000000003</v>
      </c>
      <c r="BS950" s="121">
        <v>34.216000000000001</v>
      </c>
      <c r="BT950" s="121">
        <v>35.344499999999996</v>
      </c>
      <c r="BU950" s="121">
        <v>36.472999999999999</v>
      </c>
      <c r="BV950" s="121">
        <v>37.543499999999995</v>
      </c>
      <c r="BW950" s="121">
        <v>38.613999999999997</v>
      </c>
      <c r="BX950" s="121">
        <v>39.662499999999994</v>
      </c>
      <c r="BY950" s="121">
        <v>40.710999999999999</v>
      </c>
      <c r="BZ950" s="121">
        <v>41.849999999999994</v>
      </c>
      <c r="CA950" s="121">
        <v>42.988999999999997</v>
      </c>
      <c r="CB950" s="121">
        <v>44.0595</v>
      </c>
      <c r="CC950" s="121">
        <v>45.13</v>
      </c>
      <c r="CD950" s="121">
        <v>46.142000000000003</v>
      </c>
      <c r="CE950" s="121">
        <v>47.154000000000003</v>
      </c>
      <c r="CF950" s="121">
        <f t="array" ref="CF950:CF976">TRANSPOSE(CG949:DG949)</f>
        <v>48.225000000000001</v>
      </c>
      <c r="CG950" s="158">
        <v>49.295999999999999</v>
      </c>
      <c r="CH950" s="120">
        <f>(CI950+CG950)/2</f>
        <v>50.353999999999999</v>
      </c>
      <c r="CI950" s="158">
        <v>51.411999999999999</v>
      </c>
      <c r="CJ950" s="120">
        <f>(CK950+CI950)/2</f>
        <v>52.423999999999999</v>
      </c>
      <c r="CK950" s="158">
        <v>53.436</v>
      </c>
      <c r="CL950" s="120">
        <f>(CM950+CK950)/2</f>
        <v>54.507000000000005</v>
      </c>
      <c r="CM950" s="158">
        <v>55.578000000000003</v>
      </c>
      <c r="CN950" s="120">
        <f>(CO950+CM950)/2</f>
        <v>56.599500000000006</v>
      </c>
      <c r="CO950" s="158">
        <v>57.621000000000002</v>
      </c>
      <c r="CP950" s="120">
        <f>(CQ950+CO950)/2</f>
        <v>58.633000000000003</v>
      </c>
      <c r="CQ950" s="158">
        <v>59.645000000000003</v>
      </c>
      <c r="CR950" s="120">
        <f>(CS950+CQ950)/2</f>
        <v>60.635000000000005</v>
      </c>
      <c r="CS950" s="158">
        <v>61.625</v>
      </c>
      <c r="CT950" s="120">
        <f>(CU950+CS950)/2</f>
        <v>62.637500000000003</v>
      </c>
      <c r="CU950" s="158">
        <v>63.65</v>
      </c>
      <c r="CV950" s="120">
        <f>(CW950+CU950)/2</f>
        <v>64.671999999999997</v>
      </c>
      <c r="CW950" s="158">
        <v>65.694000000000003</v>
      </c>
      <c r="CX950" s="120">
        <f>(CY950+CW950)/2</f>
        <v>66.706000000000003</v>
      </c>
      <c r="CY950" s="158">
        <v>67.718000000000004</v>
      </c>
      <c r="CZ950" s="120">
        <f>(DA950+CY950)/2</f>
        <v>68.730500000000006</v>
      </c>
      <c r="DA950" s="158">
        <v>69.742999999999995</v>
      </c>
      <c r="DB950" s="120">
        <f>(DC950+DA950)/2</f>
        <v>70.733000000000004</v>
      </c>
      <c r="DC950" s="158">
        <v>71.722999999999999</v>
      </c>
      <c r="DD950" s="120">
        <f>(DE950+DC950)/2</f>
        <v>72.744500000000002</v>
      </c>
      <c r="DE950" s="158">
        <v>73.766000000000005</v>
      </c>
      <c r="DF950" s="120">
        <f>(DG950+DE950)/2</f>
        <v>74.778000000000006</v>
      </c>
      <c r="DG950" s="159">
        <v>75.790000000000006</v>
      </c>
    </row>
    <row r="951" spans="54:111" ht="15" customHeight="1" x14ac:dyDescent="0.2">
      <c r="BB951" s="28">
        <v>35</v>
      </c>
      <c r="BC951" s="121">
        <v>14.523499999999999</v>
      </c>
      <c r="BD951" s="121">
        <v>16.018750000000001</v>
      </c>
      <c r="BE951" s="121">
        <v>17.513999999999999</v>
      </c>
      <c r="BF951" s="121">
        <v>18.897500000000001</v>
      </c>
      <c r="BG951" s="121">
        <v>20.280999999999999</v>
      </c>
      <c r="BH951" s="121">
        <v>21.5715</v>
      </c>
      <c r="BI951" s="121">
        <v>22.862000000000002</v>
      </c>
      <c r="BJ951" s="121">
        <v>24.132999999999999</v>
      </c>
      <c r="BK951" s="121">
        <v>25.404</v>
      </c>
      <c r="BL951" s="121">
        <v>26.63625</v>
      </c>
      <c r="BM951" s="121">
        <v>27.868499999999997</v>
      </c>
      <c r="BN951" s="121">
        <v>29.046749999999999</v>
      </c>
      <c r="BO951" s="121">
        <v>30.225000000000001</v>
      </c>
      <c r="BP951" s="121">
        <v>31.398499999999999</v>
      </c>
      <c r="BQ951" s="121">
        <v>32.572000000000003</v>
      </c>
      <c r="BR951" s="121">
        <v>33.755499999999998</v>
      </c>
      <c r="BS951" s="121">
        <v>34.939</v>
      </c>
      <c r="BT951" s="121">
        <v>36.082749999999997</v>
      </c>
      <c r="BU951" s="121">
        <v>37.226500000000001</v>
      </c>
      <c r="BV951" s="121">
        <v>38.312249999999999</v>
      </c>
      <c r="BW951" s="121">
        <v>39.397999999999996</v>
      </c>
      <c r="BX951" s="121">
        <v>40.518000000000001</v>
      </c>
      <c r="BY951" s="121">
        <v>41.637999999999998</v>
      </c>
      <c r="BZ951" s="121">
        <v>42.758249999999997</v>
      </c>
      <c r="CA951" s="121">
        <v>43.878500000000003</v>
      </c>
      <c r="CB951" s="121">
        <v>44.969000000000001</v>
      </c>
      <c r="CC951" s="121">
        <v>46.0595</v>
      </c>
      <c r="CD951" s="121">
        <v>47.116</v>
      </c>
      <c r="CE951" s="121">
        <v>48.172499999999999</v>
      </c>
      <c r="CF951" s="121">
        <v>49.263249999999999</v>
      </c>
      <c r="CG951" s="121">
        <f t="array" ref="CG951:CG976">TRANSPOSE(CH950:DG950)</f>
        <v>50.353999999999999</v>
      </c>
      <c r="CH951" s="120">
        <f>(CG951+CI951)/2</f>
        <v>51.41525</v>
      </c>
      <c r="CI951" s="120">
        <f>(CI950+CI952)/2</f>
        <v>52.476500000000001</v>
      </c>
      <c r="CJ951" s="120">
        <f>(CI951+CK951)/2</f>
        <v>53.537750000000003</v>
      </c>
      <c r="CK951" s="120">
        <f>(CK950+CK952)/2</f>
        <v>54.599000000000004</v>
      </c>
      <c r="CL951" s="120">
        <f>(CK951+CM951)/2</f>
        <v>55.685000000000002</v>
      </c>
      <c r="CM951" s="120">
        <f>(CM950+CM952)/2</f>
        <v>56.771000000000001</v>
      </c>
      <c r="CN951" s="120">
        <f>(CM951+CO951)/2</f>
        <v>57.837249999999997</v>
      </c>
      <c r="CO951" s="120">
        <f>(CO950+CO952)/2</f>
        <v>58.903500000000001</v>
      </c>
      <c r="CP951" s="120">
        <f>(CO951+CQ951)/2</f>
        <v>59.901750000000007</v>
      </c>
      <c r="CQ951" s="120">
        <f>(CQ950+CQ952)/2</f>
        <v>60.900000000000006</v>
      </c>
      <c r="CR951" s="120">
        <f>(CQ951+CS951)/2</f>
        <v>61.956500000000005</v>
      </c>
      <c r="CS951" s="120">
        <f>(CS950+CS952)/2</f>
        <v>63.012999999999998</v>
      </c>
      <c r="CT951" s="120">
        <f>(CS951+CU951)/2</f>
        <v>64.016000000000005</v>
      </c>
      <c r="CU951" s="120">
        <f>(CU950+CU952)/2</f>
        <v>65.019000000000005</v>
      </c>
      <c r="CV951" s="120">
        <f>(CU951+CW951)/2</f>
        <v>66.080500000000001</v>
      </c>
      <c r="CW951" s="120">
        <f>(CW950+CW952)/2</f>
        <v>67.141999999999996</v>
      </c>
      <c r="CX951" s="120">
        <f>(CW951+CY951)/2</f>
        <v>68.144750000000002</v>
      </c>
      <c r="CY951" s="120">
        <f>(CY950+CY952)/2</f>
        <v>69.147500000000008</v>
      </c>
      <c r="CZ951" s="120">
        <f>(CY951+DA951)/2</f>
        <v>70.204250000000002</v>
      </c>
      <c r="DA951" s="120">
        <f>(DA950+DA952)/2</f>
        <v>71.260999999999996</v>
      </c>
      <c r="DB951" s="120">
        <f>(DA951+DC951)/2</f>
        <v>72.263750000000002</v>
      </c>
      <c r="DC951" s="120">
        <f>(DC950+DC952)/2</f>
        <v>73.266500000000008</v>
      </c>
      <c r="DD951" s="120">
        <f>(DC951+DE951)/2</f>
        <v>74.328000000000003</v>
      </c>
      <c r="DE951" s="120">
        <f>(DE950+DE952)/2</f>
        <v>75.389499999999998</v>
      </c>
      <c r="DF951" s="120">
        <f>(DE951+DG951)/2</f>
        <v>76.392499999999998</v>
      </c>
      <c r="DG951" s="122">
        <f>(DG950+DG952)/2</f>
        <v>77.395499999999998</v>
      </c>
    </row>
    <row r="952" spans="54:111" ht="15" customHeight="1" x14ac:dyDescent="0.2">
      <c r="BB952" s="28">
        <v>36</v>
      </c>
      <c r="BC952" s="121">
        <v>14.837999999999999</v>
      </c>
      <c r="BD952" s="121">
        <v>16.3705</v>
      </c>
      <c r="BE952" s="121">
        <v>17.902999999999999</v>
      </c>
      <c r="BF952" s="121">
        <v>19.3065</v>
      </c>
      <c r="BG952" s="121">
        <v>20.71</v>
      </c>
      <c r="BH952" s="121">
        <v>22.045000000000002</v>
      </c>
      <c r="BI952" s="121">
        <v>23.38</v>
      </c>
      <c r="BJ952" s="121">
        <v>24.666499999999999</v>
      </c>
      <c r="BK952" s="121">
        <v>25.952999999999999</v>
      </c>
      <c r="BL952" s="121">
        <v>27.170999999999999</v>
      </c>
      <c r="BM952" s="121">
        <v>28.388999999999999</v>
      </c>
      <c r="BN952" s="121">
        <v>29.638500000000001</v>
      </c>
      <c r="BO952" s="121">
        <v>30.888000000000002</v>
      </c>
      <c r="BP952" s="121">
        <v>32.047499999999999</v>
      </c>
      <c r="BQ952" s="121">
        <v>33.207000000000001</v>
      </c>
      <c r="BR952" s="121">
        <v>34.4345</v>
      </c>
      <c r="BS952" s="121">
        <v>35.661999999999999</v>
      </c>
      <c r="BT952" s="121">
        <v>36.820999999999998</v>
      </c>
      <c r="BU952" s="121">
        <v>37.979999999999997</v>
      </c>
      <c r="BV952" s="121">
        <v>39.081000000000003</v>
      </c>
      <c r="BW952" s="121">
        <v>40.182000000000002</v>
      </c>
      <c r="BX952" s="121">
        <v>41.3735</v>
      </c>
      <c r="BY952" s="121">
        <v>42.564999999999998</v>
      </c>
      <c r="BZ952" s="121">
        <v>43.666499999999999</v>
      </c>
      <c r="CA952" s="121">
        <v>44.768000000000001</v>
      </c>
      <c r="CB952" s="121">
        <v>45.878500000000003</v>
      </c>
      <c r="CC952" s="121">
        <v>46.988999999999997</v>
      </c>
      <c r="CD952" s="121">
        <v>48.09</v>
      </c>
      <c r="CE952" s="121">
        <v>49.191000000000003</v>
      </c>
      <c r="CF952" s="121">
        <v>50.301500000000004</v>
      </c>
      <c r="CG952" s="121">
        <v>51.411999999999999</v>
      </c>
      <c r="CH952" s="121">
        <f t="array" ref="CH952:CH976">TRANSPOSE(CI951:DG951)</f>
        <v>52.476500000000001</v>
      </c>
      <c r="CI952" s="158">
        <v>53.540999999999997</v>
      </c>
      <c r="CJ952" s="120">
        <f>(CK952+CI952)/2</f>
        <v>54.651499999999999</v>
      </c>
      <c r="CK952" s="158">
        <v>55.762</v>
      </c>
      <c r="CL952" s="120">
        <f>(CM952+CK952)/2</f>
        <v>56.863</v>
      </c>
      <c r="CM952" s="158">
        <v>57.963999999999999</v>
      </c>
      <c r="CN952" s="120">
        <f>(CO952+CM952)/2</f>
        <v>59.075000000000003</v>
      </c>
      <c r="CO952" s="158">
        <v>60.186</v>
      </c>
      <c r="CP952" s="120">
        <f>(CQ952+CO952)/2</f>
        <v>61.170500000000004</v>
      </c>
      <c r="CQ952" s="158">
        <v>62.155000000000001</v>
      </c>
      <c r="CR952" s="120">
        <f>(CS952+CQ952)/2</f>
        <v>63.277999999999999</v>
      </c>
      <c r="CS952" s="158">
        <v>64.400999999999996</v>
      </c>
      <c r="CT952" s="120">
        <f>(CU952+CS952)/2</f>
        <v>65.394499999999994</v>
      </c>
      <c r="CU952" s="158">
        <v>66.388000000000005</v>
      </c>
      <c r="CV952" s="120">
        <f>(CW952+CU952)/2</f>
        <v>67.489000000000004</v>
      </c>
      <c r="CW952" s="158">
        <v>68.59</v>
      </c>
      <c r="CX952" s="120">
        <f>(CY952+CW952)/2</f>
        <v>69.583500000000001</v>
      </c>
      <c r="CY952" s="158">
        <v>70.576999999999998</v>
      </c>
      <c r="CZ952" s="120">
        <f>(DA952+CY952)/2</f>
        <v>71.677999999999997</v>
      </c>
      <c r="DA952" s="158">
        <v>72.778999999999996</v>
      </c>
      <c r="DB952" s="120">
        <f>(DC952+DA952)/2</f>
        <v>73.794499999999999</v>
      </c>
      <c r="DC952" s="158">
        <v>74.81</v>
      </c>
      <c r="DD952" s="120">
        <f>(DE952+DC952)/2</f>
        <v>75.911500000000004</v>
      </c>
      <c r="DE952" s="158">
        <v>77.013000000000005</v>
      </c>
      <c r="DF952" s="120">
        <f>(DG952+DE952)/2</f>
        <v>78.007000000000005</v>
      </c>
      <c r="DG952" s="159">
        <v>79.001000000000005</v>
      </c>
    </row>
    <row r="953" spans="54:111" ht="15" customHeight="1" x14ac:dyDescent="0.2">
      <c r="BB953" s="28">
        <v>37</v>
      </c>
      <c r="BC953" s="121">
        <v>15.116</v>
      </c>
      <c r="BD953" s="121">
        <v>16.668749999999999</v>
      </c>
      <c r="BE953" s="121">
        <v>18.221499999999999</v>
      </c>
      <c r="BF953" s="121">
        <v>19.669249999999998</v>
      </c>
      <c r="BG953" s="121">
        <v>21.117000000000001</v>
      </c>
      <c r="BH953" s="121">
        <v>22.478250000000003</v>
      </c>
      <c r="BI953" s="121">
        <v>23.839500000000001</v>
      </c>
      <c r="BJ953" s="121">
        <v>25.152000000000001</v>
      </c>
      <c r="BK953" s="121">
        <v>26.464500000000001</v>
      </c>
      <c r="BL953" s="121">
        <v>27.702500000000001</v>
      </c>
      <c r="BM953" s="121">
        <v>28.9405</v>
      </c>
      <c r="BN953" s="121">
        <v>30.198</v>
      </c>
      <c r="BO953" s="121">
        <v>31.455500000000001</v>
      </c>
      <c r="BP953" s="121">
        <v>32.667000000000002</v>
      </c>
      <c r="BQ953" s="121">
        <v>33.878500000000003</v>
      </c>
      <c r="BR953" s="121">
        <v>35.097999999999999</v>
      </c>
      <c r="BS953" s="121">
        <v>36.317499999999995</v>
      </c>
      <c r="BT953" s="121">
        <v>37.5075</v>
      </c>
      <c r="BU953" s="121">
        <v>38.697499999999998</v>
      </c>
      <c r="BV953" s="121">
        <v>39.847750000000005</v>
      </c>
      <c r="BW953" s="121">
        <v>40.998000000000005</v>
      </c>
      <c r="BX953" s="121">
        <v>42.199749999999995</v>
      </c>
      <c r="BY953" s="121">
        <v>43.401499999999999</v>
      </c>
      <c r="BZ953" s="121">
        <v>44.522999999999996</v>
      </c>
      <c r="CA953" s="121">
        <v>45.644500000000001</v>
      </c>
      <c r="CB953" s="121">
        <v>46.78125</v>
      </c>
      <c r="CC953" s="121">
        <v>47.917999999999999</v>
      </c>
      <c r="CD953" s="121">
        <v>49.045250000000003</v>
      </c>
      <c r="CE953" s="121">
        <v>50.172499999999999</v>
      </c>
      <c r="CF953" s="121">
        <v>51.298250000000003</v>
      </c>
      <c r="CG953" s="121">
        <v>52.423999999999999</v>
      </c>
      <c r="CH953" s="121">
        <v>53.537750000000003</v>
      </c>
      <c r="CI953" s="121">
        <f t="array" ref="CI953:CI976">TRANSPOSE(CJ952:DG952)</f>
        <v>54.651499999999999</v>
      </c>
      <c r="CJ953" s="120">
        <f>(CI953+CK953)/2</f>
        <v>55.772500000000001</v>
      </c>
      <c r="CK953" s="120">
        <f>(CK952+CK954)/2</f>
        <v>56.893500000000003</v>
      </c>
      <c r="CL953" s="120">
        <f>(CK953+CM953)/2</f>
        <v>58.025750000000002</v>
      </c>
      <c r="CM953" s="120">
        <f>(CM952+CM954)/2</f>
        <v>59.158000000000001</v>
      </c>
      <c r="CN953" s="120">
        <f>(CM953+CO953)/2</f>
        <v>60.236499999999999</v>
      </c>
      <c r="CO953" s="120">
        <f>(CO952+CO954)/2</f>
        <v>61.314999999999998</v>
      </c>
      <c r="CP953" s="120">
        <f>(CO953+CQ953)/2</f>
        <v>62.372999999999998</v>
      </c>
      <c r="CQ953" s="120">
        <f>(CQ952+CQ954)/2</f>
        <v>63.430999999999997</v>
      </c>
      <c r="CR953" s="120">
        <f>(CQ953+CS953)/2</f>
        <v>64.573999999999998</v>
      </c>
      <c r="CS953" s="120">
        <f>(CS952+CS954)/2</f>
        <v>65.716999999999999</v>
      </c>
      <c r="CT953" s="120">
        <f>(CS953+CU953)/2</f>
        <v>66.725999999999999</v>
      </c>
      <c r="CU953" s="120">
        <f>(CU952+CU954)/2</f>
        <v>67.734999999999999</v>
      </c>
      <c r="CV953" s="120">
        <f>(CU953+CW953)/2</f>
        <v>68.987500000000011</v>
      </c>
      <c r="CW953" s="120">
        <f>(CW952+CW954)/2</f>
        <v>70.240000000000009</v>
      </c>
      <c r="CX953" s="120">
        <f>(CW953+CY953)/2</f>
        <v>71.193000000000012</v>
      </c>
      <c r="CY953" s="120">
        <f>(CY952+CY954)/2</f>
        <v>72.146000000000001</v>
      </c>
      <c r="CZ953" s="120">
        <f>(CY953+DA953)/2</f>
        <v>73.203749999999999</v>
      </c>
      <c r="DA953" s="120">
        <f>(DA952+DA954)/2</f>
        <v>74.261499999999998</v>
      </c>
      <c r="DB953" s="120">
        <f>(DA953+DC953)/2</f>
        <v>75.292249999999996</v>
      </c>
      <c r="DC953" s="120">
        <f>(DC952+DC954)/2</f>
        <v>76.323000000000008</v>
      </c>
      <c r="DD953" s="120">
        <f>(DC953+DE953)/2</f>
        <v>77.444250000000011</v>
      </c>
      <c r="DE953" s="120">
        <f>(DE952+DE954)/2</f>
        <v>78.5655</v>
      </c>
      <c r="DF953" s="120">
        <f>(DE953+DG953)/2</f>
        <v>79.580749999999995</v>
      </c>
      <c r="DG953" s="122">
        <f>(DG952+DG954)/2</f>
        <v>80.596000000000004</v>
      </c>
    </row>
    <row r="954" spans="54:111" ht="15" customHeight="1" x14ac:dyDescent="0.2">
      <c r="BB954" s="28">
        <v>38</v>
      </c>
      <c r="BC954" s="121">
        <v>15.394</v>
      </c>
      <c r="BD954" s="121">
        <v>16.966999999999999</v>
      </c>
      <c r="BE954" s="121">
        <v>18.54</v>
      </c>
      <c r="BF954" s="121">
        <v>20.032</v>
      </c>
      <c r="BG954" s="121">
        <v>21.524000000000001</v>
      </c>
      <c r="BH954" s="121">
        <v>22.9115</v>
      </c>
      <c r="BI954" s="121">
        <v>24.298999999999999</v>
      </c>
      <c r="BJ954" s="121">
        <v>25.637499999999999</v>
      </c>
      <c r="BK954" s="121">
        <v>26.975999999999999</v>
      </c>
      <c r="BL954" s="121">
        <v>28.234000000000002</v>
      </c>
      <c r="BM954" s="121">
        <v>29.492000000000001</v>
      </c>
      <c r="BN954" s="121">
        <v>30.7575</v>
      </c>
      <c r="BO954" s="121">
        <v>32.023000000000003</v>
      </c>
      <c r="BP954" s="121">
        <v>33.286500000000004</v>
      </c>
      <c r="BQ954" s="121">
        <v>34.549999999999997</v>
      </c>
      <c r="BR954" s="121">
        <v>35.761499999999998</v>
      </c>
      <c r="BS954" s="121">
        <v>36.972999999999999</v>
      </c>
      <c r="BT954" s="121">
        <v>38.194000000000003</v>
      </c>
      <c r="BU954" s="121">
        <v>39.414999999999999</v>
      </c>
      <c r="BV954" s="121">
        <v>40.6145</v>
      </c>
      <c r="BW954" s="121">
        <v>41.814</v>
      </c>
      <c r="BX954" s="121">
        <v>43.025999999999996</v>
      </c>
      <c r="BY954" s="121">
        <v>44.238</v>
      </c>
      <c r="BZ954" s="121">
        <v>45.3795</v>
      </c>
      <c r="CA954" s="121">
        <v>46.521000000000001</v>
      </c>
      <c r="CB954" s="121">
        <v>47.683999999999997</v>
      </c>
      <c r="CC954" s="121">
        <v>48.847000000000001</v>
      </c>
      <c r="CD954" s="121">
        <v>50.000500000000002</v>
      </c>
      <c r="CE954" s="121">
        <v>51.154000000000003</v>
      </c>
      <c r="CF954" s="121">
        <v>52.295000000000002</v>
      </c>
      <c r="CG954" s="121">
        <v>53.436</v>
      </c>
      <c r="CH954" s="121">
        <v>54.599000000000004</v>
      </c>
      <c r="CI954" s="121">
        <v>55.762</v>
      </c>
      <c r="CJ954" s="121">
        <f t="array" ref="CJ954:CJ976">TRANSPOSE(CK953:DG953)</f>
        <v>56.893500000000003</v>
      </c>
      <c r="CK954" s="158">
        <v>58.024999999999999</v>
      </c>
      <c r="CL954" s="120">
        <f>(CM954+CK954)/2</f>
        <v>59.188499999999998</v>
      </c>
      <c r="CM954" s="158">
        <v>60.351999999999997</v>
      </c>
      <c r="CN954" s="120">
        <f>(CO954+CM954)/2</f>
        <v>61.397999999999996</v>
      </c>
      <c r="CO954" s="158">
        <v>62.444000000000003</v>
      </c>
      <c r="CP954" s="120">
        <f>(CQ954+CO954)/2</f>
        <v>63.575499999999998</v>
      </c>
      <c r="CQ954" s="158">
        <v>64.706999999999994</v>
      </c>
      <c r="CR954" s="120">
        <f>(CS954+CQ954)/2</f>
        <v>65.87</v>
      </c>
      <c r="CS954" s="158">
        <v>67.033000000000001</v>
      </c>
      <c r="CT954" s="120">
        <f>(CU954+CS954)/2</f>
        <v>68.057500000000005</v>
      </c>
      <c r="CU954" s="158">
        <v>69.081999999999994</v>
      </c>
      <c r="CV954" s="120">
        <f>(CW954+CU954)/2</f>
        <v>70.48599999999999</v>
      </c>
      <c r="CW954" s="158">
        <v>71.89</v>
      </c>
      <c r="CX954" s="120">
        <f>(CY954+CW954)/2</f>
        <v>72.802500000000009</v>
      </c>
      <c r="CY954" s="158">
        <v>73.715000000000003</v>
      </c>
      <c r="CZ954" s="120">
        <f>(DA954+CY954)/2</f>
        <v>74.729500000000002</v>
      </c>
      <c r="DA954" s="158">
        <v>75.744</v>
      </c>
      <c r="DB954" s="120">
        <f>(DC954+DA954)/2</f>
        <v>76.789999999999992</v>
      </c>
      <c r="DC954" s="158">
        <v>77.835999999999999</v>
      </c>
      <c r="DD954" s="120">
        <f>(DE954+DC954)/2</f>
        <v>78.977000000000004</v>
      </c>
      <c r="DE954" s="158">
        <v>80.117999999999995</v>
      </c>
      <c r="DF954" s="120">
        <f>(DG954+DE954)/2</f>
        <v>81.154499999999999</v>
      </c>
      <c r="DG954" s="159">
        <v>82.191000000000003</v>
      </c>
    </row>
    <row r="955" spans="54:111" ht="15" customHeight="1" x14ac:dyDescent="0.2">
      <c r="BB955" s="28">
        <v>39</v>
      </c>
      <c r="BC955" s="121">
        <v>15.682</v>
      </c>
      <c r="BD955" s="121">
        <v>17.298999999999999</v>
      </c>
      <c r="BE955" s="121">
        <v>18.916</v>
      </c>
      <c r="BF955" s="121">
        <v>20.40025</v>
      </c>
      <c r="BG955" s="121">
        <v>21.884500000000003</v>
      </c>
      <c r="BH955" s="121">
        <v>23.321249999999999</v>
      </c>
      <c r="BI955" s="121">
        <v>24.757999999999999</v>
      </c>
      <c r="BJ955" s="121">
        <v>26.111750000000001</v>
      </c>
      <c r="BK955" s="121">
        <v>27.465499999999999</v>
      </c>
      <c r="BL955" s="121">
        <v>28.779250000000001</v>
      </c>
      <c r="BM955" s="121">
        <v>30.093</v>
      </c>
      <c r="BN955" s="121">
        <v>31.380749999999999</v>
      </c>
      <c r="BO955" s="121">
        <v>32.668500000000002</v>
      </c>
      <c r="BP955" s="121">
        <v>33.955500000000001</v>
      </c>
      <c r="BQ955" s="121">
        <v>35.2425</v>
      </c>
      <c r="BR955" s="121">
        <v>36.469250000000002</v>
      </c>
      <c r="BS955" s="121">
        <v>37.695999999999998</v>
      </c>
      <c r="BT955" s="121">
        <v>38.932749999999999</v>
      </c>
      <c r="BU955" s="121">
        <v>40.169499999999999</v>
      </c>
      <c r="BV955" s="121">
        <v>41.395250000000004</v>
      </c>
      <c r="BW955" s="121">
        <v>42.620999999999995</v>
      </c>
      <c r="BX955" s="121">
        <v>43.85275</v>
      </c>
      <c r="BY955" s="121">
        <v>45.084499999999998</v>
      </c>
      <c r="BZ955" s="121">
        <v>46.252250000000004</v>
      </c>
      <c r="CA955" s="121">
        <v>47.42</v>
      </c>
      <c r="CB955" s="121">
        <v>48.627499999999998</v>
      </c>
      <c r="CC955" s="121">
        <v>49.835000000000001</v>
      </c>
      <c r="CD955" s="121">
        <v>51.003750000000004</v>
      </c>
      <c r="CE955" s="121">
        <v>52.172499999999999</v>
      </c>
      <c r="CF955" s="121">
        <v>53.339750000000002</v>
      </c>
      <c r="CG955" s="121">
        <v>54.507000000000005</v>
      </c>
      <c r="CH955" s="121">
        <v>55.685000000000002</v>
      </c>
      <c r="CI955" s="121">
        <v>56.863</v>
      </c>
      <c r="CJ955" s="121">
        <v>58.025750000000002</v>
      </c>
      <c r="CK955" s="121">
        <f t="array" ref="CK955:CK976">TRANSPOSE(CL954:DG954)</f>
        <v>59.188499999999998</v>
      </c>
      <c r="CL955" s="120">
        <f>(CK955+CM955)/2</f>
        <v>60.366999999999997</v>
      </c>
      <c r="CM955" s="120">
        <f>(CM954+CM956)/2</f>
        <v>61.545499999999997</v>
      </c>
      <c r="CN955" s="120">
        <f>(CM955+CO955)/2</f>
        <v>62.606749999999998</v>
      </c>
      <c r="CO955" s="120">
        <f>(CO954+CO956)/2</f>
        <v>63.667999999999999</v>
      </c>
      <c r="CP955" s="120">
        <f>(CO955+CQ955)/2</f>
        <v>64.825500000000005</v>
      </c>
      <c r="CQ955" s="120">
        <f>(CQ954+CQ956)/2</f>
        <v>65.983000000000004</v>
      </c>
      <c r="CR955" s="120">
        <f>(CQ955+CS955)/2</f>
        <v>67.161500000000004</v>
      </c>
      <c r="CS955" s="120">
        <f>(CS954+CS956)/2</f>
        <v>68.34</v>
      </c>
      <c r="CT955" s="120">
        <f>(CS955+CU955)/2</f>
        <v>69.390500000000003</v>
      </c>
      <c r="CU955" s="120">
        <f>(CU954+CU956)/2</f>
        <v>70.441000000000003</v>
      </c>
      <c r="CV955" s="120">
        <f>(CU955+CW955)/2</f>
        <v>71.739750000000001</v>
      </c>
      <c r="CW955" s="120">
        <f>(CW954+CW956)/2</f>
        <v>73.038499999999999</v>
      </c>
      <c r="CX955" s="120">
        <f>(CW955+CY955)/2</f>
        <v>74.091499999999996</v>
      </c>
      <c r="CY955" s="120">
        <f>(CY954+CY956)/2</f>
        <v>75.144499999999994</v>
      </c>
      <c r="CZ955" s="120">
        <f>(CY955+DA955)/2</f>
        <v>76.19</v>
      </c>
      <c r="DA955" s="120">
        <f>(DA954+DA956)/2</f>
        <v>77.235500000000002</v>
      </c>
      <c r="DB955" s="120">
        <f>(DA955+DC955)/2</f>
        <v>78.355249999999998</v>
      </c>
      <c r="DC955" s="120">
        <f>(DC954+DC956)/2</f>
        <v>79.474999999999994</v>
      </c>
      <c r="DD955" s="120">
        <f>(DC955+DE955)/2</f>
        <v>80.578999999999994</v>
      </c>
      <c r="DE955" s="120">
        <f>(DE954+DE956)/2</f>
        <v>81.682999999999993</v>
      </c>
      <c r="DF955" s="120">
        <f>(DE955+DG955)/2</f>
        <v>82.797749999999994</v>
      </c>
      <c r="DG955" s="122">
        <f>(DG954+DG956)/2</f>
        <v>83.912499999999994</v>
      </c>
    </row>
    <row r="956" spans="54:111" ht="15" customHeight="1" x14ac:dyDescent="0.2">
      <c r="BB956" s="28">
        <v>40</v>
      </c>
      <c r="BC956" s="121">
        <v>15.97</v>
      </c>
      <c r="BD956" s="121">
        <v>17.631</v>
      </c>
      <c r="BE956" s="121">
        <v>19.292000000000002</v>
      </c>
      <c r="BF956" s="121">
        <v>20.768500000000003</v>
      </c>
      <c r="BG956" s="121">
        <v>22.245000000000001</v>
      </c>
      <c r="BH956" s="121">
        <v>23.731000000000002</v>
      </c>
      <c r="BI956" s="121">
        <v>25.216999999999999</v>
      </c>
      <c r="BJ956" s="121">
        <v>26.585999999999999</v>
      </c>
      <c r="BK956" s="121">
        <v>27.954999999999998</v>
      </c>
      <c r="BL956" s="121">
        <v>29.3245</v>
      </c>
      <c r="BM956" s="121">
        <v>30.693999999999999</v>
      </c>
      <c r="BN956" s="121">
        <v>32.003999999999998</v>
      </c>
      <c r="BO956" s="121">
        <v>33.314</v>
      </c>
      <c r="BP956" s="121">
        <v>34.624499999999998</v>
      </c>
      <c r="BQ956" s="121">
        <v>35.935000000000002</v>
      </c>
      <c r="BR956" s="121">
        <v>37.177</v>
      </c>
      <c r="BS956" s="121">
        <v>38.418999999999997</v>
      </c>
      <c r="BT956" s="121">
        <v>39.671499999999995</v>
      </c>
      <c r="BU956" s="121">
        <v>40.923999999999999</v>
      </c>
      <c r="BV956" s="121">
        <v>42.176000000000002</v>
      </c>
      <c r="BW956" s="121">
        <v>43.427999999999997</v>
      </c>
      <c r="BX956" s="121">
        <v>44.679499999999997</v>
      </c>
      <c r="BY956" s="121">
        <v>45.930999999999997</v>
      </c>
      <c r="BZ956" s="121">
        <v>47.125</v>
      </c>
      <c r="CA956" s="121">
        <v>48.319000000000003</v>
      </c>
      <c r="CB956" s="121">
        <v>49.570999999999998</v>
      </c>
      <c r="CC956" s="121">
        <v>50.823</v>
      </c>
      <c r="CD956" s="121">
        <v>52.007000000000005</v>
      </c>
      <c r="CE956" s="121">
        <v>53.191000000000003</v>
      </c>
      <c r="CF956" s="121">
        <v>54.384500000000003</v>
      </c>
      <c r="CG956" s="121">
        <v>55.578000000000003</v>
      </c>
      <c r="CH956" s="121">
        <v>56.771000000000001</v>
      </c>
      <c r="CI956" s="121">
        <v>57.963999999999999</v>
      </c>
      <c r="CJ956" s="121">
        <v>59.158000000000001</v>
      </c>
      <c r="CK956" s="121">
        <v>60.351999999999997</v>
      </c>
      <c r="CL956" s="121">
        <f t="array" ref="CL956:CL976">TRANSPOSE(CM955:DG955)</f>
        <v>61.545499999999997</v>
      </c>
      <c r="CM956" s="158">
        <v>62.738999999999997</v>
      </c>
      <c r="CN956" s="120">
        <f>(CO956+CM956)/2</f>
        <v>63.8155</v>
      </c>
      <c r="CO956" s="158">
        <v>64.891999999999996</v>
      </c>
      <c r="CP956" s="120">
        <f>(CQ956+CO956)/2</f>
        <v>66.075500000000005</v>
      </c>
      <c r="CQ956" s="158">
        <v>67.259</v>
      </c>
      <c r="CR956" s="120">
        <f>(CS956+CQ956)/2</f>
        <v>68.453000000000003</v>
      </c>
      <c r="CS956" s="158">
        <v>69.647000000000006</v>
      </c>
      <c r="CT956" s="120">
        <f>(CU956+CS956)/2</f>
        <v>70.723500000000001</v>
      </c>
      <c r="CU956" s="158">
        <v>71.8</v>
      </c>
      <c r="CV956" s="120">
        <f>(CW956+CU956)/2</f>
        <v>72.993499999999997</v>
      </c>
      <c r="CW956" s="158">
        <v>74.186999999999998</v>
      </c>
      <c r="CX956" s="120">
        <f>(CY956+CW956)/2</f>
        <v>75.380499999999998</v>
      </c>
      <c r="CY956" s="158">
        <v>76.573999999999998</v>
      </c>
      <c r="CZ956" s="120">
        <f>(DA956+CY956)/2</f>
        <v>77.650499999999994</v>
      </c>
      <c r="DA956" s="158">
        <v>78.727000000000004</v>
      </c>
      <c r="DB956" s="120">
        <f>(DC956+DA956)/2</f>
        <v>79.920500000000004</v>
      </c>
      <c r="DC956" s="158">
        <v>81.114000000000004</v>
      </c>
      <c r="DD956" s="120">
        <f>(DE956+DC956)/2</f>
        <v>82.181000000000012</v>
      </c>
      <c r="DE956" s="158">
        <v>83.248000000000005</v>
      </c>
      <c r="DF956" s="120">
        <f>(DG956+DE956)/2</f>
        <v>84.441000000000003</v>
      </c>
      <c r="DG956" s="159">
        <v>85.634</v>
      </c>
    </row>
    <row r="957" spans="54:111" ht="15" customHeight="1" x14ac:dyDescent="0.2">
      <c r="BB957" s="28">
        <v>41</v>
      </c>
      <c r="BC957" s="121">
        <v>16.306000000000001</v>
      </c>
      <c r="BD957" s="121">
        <v>17.953250000000001</v>
      </c>
      <c r="BE957" s="121">
        <v>19.6005</v>
      </c>
      <c r="BF957" s="121">
        <v>21.137250000000002</v>
      </c>
      <c r="BG957" s="121">
        <v>22.673999999999999</v>
      </c>
      <c r="BH957" s="121">
        <v>24.14575</v>
      </c>
      <c r="BI957" s="121">
        <v>25.6175</v>
      </c>
      <c r="BJ957" s="121">
        <v>27.03125</v>
      </c>
      <c r="BK957" s="121">
        <v>28.445</v>
      </c>
      <c r="BL957" s="121">
        <v>29.840499999999999</v>
      </c>
      <c r="BM957" s="121">
        <v>31.235999999999997</v>
      </c>
      <c r="BN957" s="121">
        <v>32.561250000000001</v>
      </c>
      <c r="BO957" s="121">
        <v>33.886499999999998</v>
      </c>
      <c r="BP957" s="121">
        <v>35.22325</v>
      </c>
      <c r="BQ957" s="121">
        <v>36.56</v>
      </c>
      <c r="BR957" s="121">
        <v>37.85125</v>
      </c>
      <c r="BS957" s="121">
        <v>39.142499999999998</v>
      </c>
      <c r="BT957" s="121">
        <v>40.409999999999997</v>
      </c>
      <c r="BU957" s="121">
        <v>41.677499999999995</v>
      </c>
      <c r="BV957" s="121">
        <v>42.956000000000003</v>
      </c>
      <c r="BW957" s="121">
        <v>44.234499999999997</v>
      </c>
      <c r="BX957" s="121">
        <v>45.501249999999999</v>
      </c>
      <c r="BY957" s="121">
        <v>46.768000000000001</v>
      </c>
      <c r="BZ957" s="121">
        <v>47.988</v>
      </c>
      <c r="CA957" s="121">
        <v>49.207999999999998</v>
      </c>
      <c r="CB957" s="121">
        <v>50.475499999999997</v>
      </c>
      <c r="CC957" s="121">
        <v>51.742999999999995</v>
      </c>
      <c r="CD957" s="121">
        <v>52.951500000000003</v>
      </c>
      <c r="CE957" s="121">
        <v>54.16</v>
      </c>
      <c r="CF957" s="121">
        <v>55.379750000000001</v>
      </c>
      <c r="CG957" s="121">
        <v>56.599500000000006</v>
      </c>
      <c r="CH957" s="121">
        <v>57.837249999999997</v>
      </c>
      <c r="CI957" s="121">
        <v>59.075000000000003</v>
      </c>
      <c r="CJ957" s="121">
        <v>60.236499999999999</v>
      </c>
      <c r="CK957" s="121">
        <v>61.397999999999996</v>
      </c>
      <c r="CL957" s="121">
        <v>62.606749999999998</v>
      </c>
      <c r="CM957" s="121">
        <f t="array" ref="CM957:CM976">TRANSPOSE(CN956:DG956)</f>
        <v>63.8155</v>
      </c>
      <c r="CN957" s="120">
        <f>(CM957+CO957)/2</f>
        <v>64.96575</v>
      </c>
      <c r="CO957" s="120">
        <f>(CO956+CO958)/2</f>
        <v>66.116</v>
      </c>
      <c r="CP957" s="120">
        <f>(CO957+CQ957)/2</f>
        <v>67.330749999999995</v>
      </c>
      <c r="CQ957" s="120">
        <f>(CQ956+CQ958)/2</f>
        <v>68.545500000000004</v>
      </c>
      <c r="CR957" s="120">
        <f>(CQ957+CS957)/2</f>
        <v>69.754500000000007</v>
      </c>
      <c r="CS957" s="120">
        <f>(CS956+CS958)/2</f>
        <v>70.96350000000001</v>
      </c>
      <c r="CT957" s="120">
        <f>(CS957+CU957)/2</f>
        <v>72.066000000000003</v>
      </c>
      <c r="CU957" s="120">
        <f>(CU956+CU958)/2</f>
        <v>73.168499999999995</v>
      </c>
      <c r="CV957" s="120">
        <f>(CU957+CW957)/2</f>
        <v>74.377499999999998</v>
      </c>
      <c r="CW957" s="120">
        <f>(CW956+CW958)/2</f>
        <v>75.586500000000001</v>
      </c>
      <c r="CX957" s="120">
        <f>(CW957+CY957)/2</f>
        <v>76.795000000000002</v>
      </c>
      <c r="CY957" s="120">
        <f>(CY956+CY958)/2</f>
        <v>78.003500000000003</v>
      </c>
      <c r="CZ957" s="120">
        <f>(CY957+DA957)/2</f>
        <v>79.106250000000003</v>
      </c>
      <c r="DA957" s="120">
        <f>(DA956+DA958)/2</f>
        <v>80.209000000000003</v>
      </c>
      <c r="DB957" s="120">
        <f>(DA957+DC957)/2</f>
        <v>81.417749999999998</v>
      </c>
      <c r="DC957" s="120">
        <f>(DC956+DC958)/2</f>
        <v>82.626499999999993</v>
      </c>
      <c r="DD957" s="120">
        <f>(DC957+DE957)/2</f>
        <v>83.724249999999998</v>
      </c>
      <c r="DE957" s="120">
        <f>(DE956+DE958)/2</f>
        <v>84.822000000000003</v>
      </c>
      <c r="DF957" s="120">
        <f>(DE957+DG957)/2</f>
        <v>86.030500000000004</v>
      </c>
      <c r="DG957" s="122">
        <f>(DG956+DG958)/2</f>
        <v>87.239000000000004</v>
      </c>
    </row>
    <row r="958" spans="54:111" ht="15" customHeight="1" x14ac:dyDescent="0.2">
      <c r="BB958" s="28">
        <v>42</v>
      </c>
      <c r="BC958" s="121">
        <v>16.641999999999999</v>
      </c>
      <c r="BD958" s="121">
        <v>18.275500000000001</v>
      </c>
      <c r="BE958" s="121">
        <v>19.908999999999999</v>
      </c>
      <c r="BF958" s="121">
        <v>21.506</v>
      </c>
      <c r="BG958" s="121">
        <v>23.103000000000002</v>
      </c>
      <c r="BH958" s="121">
        <v>24.560500000000001</v>
      </c>
      <c r="BI958" s="121">
        <v>26.018000000000001</v>
      </c>
      <c r="BJ958" s="121">
        <v>27.476500000000001</v>
      </c>
      <c r="BK958" s="121">
        <v>28.934999999999999</v>
      </c>
      <c r="BL958" s="121">
        <v>30.356499999999997</v>
      </c>
      <c r="BM958" s="121">
        <v>31.777999999999999</v>
      </c>
      <c r="BN958" s="121">
        <v>33.118499999999997</v>
      </c>
      <c r="BO958" s="121">
        <v>34.459000000000003</v>
      </c>
      <c r="BP958" s="121">
        <v>35.822000000000003</v>
      </c>
      <c r="BQ958" s="121">
        <v>37.185000000000002</v>
      </c>
      <c r="BR958" s="121">
        <v>38.525500000000001</v>
      </c>
      <c r="BS958" s="121">
        <v>39.866</v>
      </c>
      <c r="BT958" s="121">
        <v>41.148499999999999</v>
      </c>
      <c r="BU958" s="121">
        <v>42.430999999999997</v>
      </c>
      <c r="BV958" s="121">
        <v>43.735999999999997</v>
      </c>
      <c r="BW958" s="121">
        <v>45.040999999999997</v>
      </c>
      <c r="BX958" s="121">
        <v>46.322999999999993</v>
      </c>
      <c r="BY958" s="121">
        <v>47.604999999999997</v>
      </c>
      <c r="BZ958" s="121">
        <v>48.850999999999999</v>
      </c>
      <c r="CA958" s="121">
        <v>50.097000000000001</v>
      </c>
      <c r="CB958" s="121">
        <v>51.379999999999995</v>
      </c>
      <c r="CC958" s="121">
        <v>52.662999999999997</v>
      </c>
      <c r="CD958" s="121">
        <v>53.896000000000001</v>
      </c>
      <c r="CE958" s="121">
        <v>55.128999999999998</v>
      </c>
      <c r="CF958" s="121">
        <v>56.375</v>
      </c>
      <c r="CG958" s="121">
        <v>57.621000000000002</v>
      </c>
      <c r="CH958" s="121">
        <v>58.903500000000001</v>
      </c>
      <c r="CI958" s="121">
        <v>60.186</v>
      </c>
      <c r="CJ958" s="121">
        <v>61.314999999999998</v>
      </c>
      <c r="CK958" s="121">
        <v>62.444000000000003</v>
      </c>
      <c r="CL958" s="121">
        <v>63.667999999999999</v>
      </c>
      <c r="CM958" s="121">
        <v>64.891999999999996</v>
      </c>
      <c r="CN958" s="121">
        <f t="array" ref="CN958:CN976">TRANSPOSE(CO957:DG957)</f>
        <v>66.116</v>
      </c>
      <c r="CO958" s="158">
        <v>67.34</v>
      </c>
      <c r="CP958" s="120">
        <f>(CQ958+CO958)/2</f>
        <v>68.585999999999999</v>
      </c>
      <c r="CQ958" s="158">
        <v>69.831999999999994</v>
      </c>
      <c r="CR958" s="120">
        <f>(CS958+CQ958)/2</f>
        <v>71.055999999999997</v>
      </c>
      <c r="CS958" s="158">
        <v>72.28</v>
      </c>
      <c r="CT958" s="120">
        <f>(CU958+CS958)/2</f>
        <v>73.408500000000004</v>
      </c>
      <c r="CU958" s="158">
        <v>74.537000000000006</v>
      </c>
      <c r="CV958" s="120">
        <f>(CW958+CU958)/2</f>
        <v>75.761500000000012</v>
      </c>
      <c r="CW958" s="158">
        <v>76.986000000000004</v>
      </c>
      <c r="CX958" s="120">
        <f>(CY958+CW958)/2</f>
        <v>78.209500000000006</v>
      </c>
      <c r="CY958" s="158">
        <v>79.433000000000007</v>
      </c>
      <c r="CZ958" s="120">
        <f>(DA958+CY958)/2</f>
        <v>80.562000000000012</v>
      </c>
      <c r="DA958" s="158">
        <v>81.691000000000003</v>
      </c>
      <c r="DB958" s="120">
        <f>(DC958+DA958)/2</f>
        <v>82.914999999999992</v>
      </c>
      <c r="DC958" s="158">
        <v>84.138999999999996</v>
      </c>
      <c r="DD958" s="120">
        <f>(DE958+DC958)/2</f>
        <v>85.267499999999998</v>
      </c>
      <c r="DE958" s="158">
        <v>86.396000000000001</v>
      </c>
      <c r="DF958" s="120">
        <f>(DG958+DE958)/2</f>
        <v>87.62</v>
      </c>
      <c r="DG958" s="159">
        <v>88.843999999999994</v>
      </c>
    </row>
    <row r="959" spans="54:111" ht="15" customHeight="1" x14ac:dyDescent="0.2">
      <c r="BB959" s="28">
        <v>43</v>
      </c>
      <c r="BC959" s="121">
        <v>16.920000000000002</v>
      </c>
      <c r="BD959" s="121">
        <v>18.60275</v>
      </c>
      <c r="BE959" s="121">
        <v>20.285499999999999</v>
      </c>
      <c r="BF959" s="121">
        <v>21.897750000000002</v>
      </c>
      <c r="BG959" s="121">
        <v>23.51</v>
      </c>
      <c r="BH959" s="121">
        <v>24.994</v>
      </c>
      <c r="BI959" s="121">
        <v>26.478000000000002</v>
      </c>
      <c r="BJ959" s="121">
        <v>27.962250000000001</v>
      </c>
      <c r="BK959" s="121">
        <v>29.4465</v>
      </c>
      <c r="BL959" s="121">
        <v>30.888249999999999</v>
      </c>
      <c r="BM959" s="121">
        <v>32.33</v>
      </c>
      <c r="BN959" s="121">
        <v>33.685749999999999</v>
      </c>
      <c r="BO959" s="121">
        <v>35.041499999999999</v>
      </c>
      <c r="BP959" s="121">
        <v>36.448500000000003</v>
      </c>
      <c r="BQ959" s="121">
        <v>37.855500000000006</v>
      </c>
      <c r="BR959" s="121">
        <v>39.1935</v>
      </c>
      <c r="BS959" s="121">
        <v>40.531500000000001</v>
      </c>
      <c r="BT959" s="121">
        <v>41.869250000000001</v>
      </c>
      <c r="BU959" s="121">
        <v>43.206999999999994</v>
      </c>
      <c r="BV959" s="121">
        <v>44.531999999999996</v>
      </c>
      <c r="BW959" s="121">
        <v>45.856999999999999</v>
      </c>
      <c r="BX959" s="121">
        <v>47.154249999999998</v>
      </c>
      <c r="BY959" s="121">
        <v>48.451499999999996</v>
      </c>
      <c r="BZ959" s="121">
        <v>49.71275</v>
      </c>
      <c r="CA959" s="121">
        <v>50.974000000000004</v>
      </c>
      <c r="CB959" s="121">
        <v>52.283000000000001</v>
      </c>
      <c r="CC959" s="121">
        <v>53.591999999999999</v>
      </c>
      <c r="CD959" s="121">
        <v>54.851500000000001</v>
      </c>
      <c r="CE959" s="121">
        <v>56.111000000000004</v>
      </c>
      <c r="CF959" s="121">
        <v>57.372</v>
      </c>
      <c r="CG959" s="121">
        <v>58.633000000000003</v>
      </c>
      <c r="CH959" s="121">
        <v>59.901750000000007</v>
      </c>
      <c r="CI959" s="121">
        <v>61.170500000000004</v>
      </c>
      <c r="CJ959" s="121">
        <v>62.372999999999998</v>
      </c>
      <c r="CK959" s="121">
        <v>63.575499999999998</v>
      </c>
      <c r="CL959" s="121">
        <v>64.825500000000005</v>
      </c>
      <c r="CM959" s="121">
        <v>66.075500000000005</v>
      </c>
      <c r="CN959" s="121">
        <v>67.330749999999995</v>
      </c>
      <c r="CO959" s="121">
        <f t="array" ref="CO959:CO976">TRANSPOSE(CP958:DG958)</f>
        <v>68.585999999999999</v>
      </c>
      <c r="CP959" s="120">
        <f>(CO959+CQ959)/2</f>
        <v>69.847000000000008</v>
      </c>
      <c r="CQ959" s="120">
        <f>(CQ958+CQ960)/2</f>
        <v>71.108000000000004</v>
      </c>
      <c r="CR959" s="120">
        <f>(CQ959+CS959)/2</f>
        <v>72.289000000000001</v>
      </c>
      <c r="CS959" s="120">
        <f>(CS958+CS960)/2</f>
        <v>73.47</v>
      </c>
      <c r="CT959" s="120">
        <f>(CS959+CU959)/2</f>
        <v>74.672250000000005</v>
      </c>
      <c r="CU959" s="120">
        <f>(CU958+CU960)/2</f>
        <v>75.874500000000012</v>
      </c>
      <c r="CV959" s="120">
        <f>(CU959+CW959)/2</f>
        <v>77.129750000000001</v>
      </c>
      <c r="CW959" s="120">
        <f>(CW958+CW960)/2</f>
        <v>78.385000000000005</v>
      </c>
      <c r="CX959" s="120">
        <f>(CW959+CY959)/2</f>
        <v>79.635000000000005</v>
      </c>
      <c r="CY959" s="120">
        <f>(CY958+CY960)/2</f>
        <v>80.885000000000005</v>
      </c>
      <c r="CZ959" s="120">
        <f>(CY959+DA959)/2</f>
        <v>82.028999999999996</v>
      </c>
      <c r="DA959" s="120">
        <f>(DA958+DA960)/2</f>
        <v>83.173000000000002</v>
      </c>
      <c r="DB959" s="120">
        <f>(DA959+DC959)/2</f>
        <v>84.412000000000006</v>
      </c>
      <c r="DC959" s="120">
        <f>(DC958+DC960)/2</f>
        <v>85.650999999999996</v>
      </c>
      <c r="DD959" s="120">
        <f>(DC959+DE959)/2</f>
        <v>86.79525000000001</v>
      </c>
      <c r="DE959" s="120">
        <f>(DE958+DE960)/2</f>
        <v>87.93950000000001</v>
      </c>
      <c r="DF959" s="120">
        <f>(DE959+DG959)/2</f>
        <v>89.194250000000011</v>
      </c>
      <c r="DG959" s="122">
        <f>(DG958+DG960)/2</f>
        <v>90.448999999999998</v>
      </c>
    </row>
    <row r="960" spans="54:111" ht="15" customHeight="1" x14ac:dyDescent="0.2">
      <c r="BB960" s="28">
        <v>44</v>
      </c>
      <c r="BC960" s="121">
        <v>17.198</v>
      </c>
      <c r="BD960" s="121">
        <v>18.93</v>
      </c>
      <c r="BE960" s="121">
        <v>20.661999999999999</v>
      </c>
      <c r="BF960" s="121">
        <v>22.2895</v>
      </c>
      <c r="BG960" s="121">
        <v>23.917000000000002</v>
      </c>
      <c r="BH960" s="121">
        <v>25.427500000000002</v>
      </c>
      <c r="BI960" s="121">
        <v>26.937999999999999</v>
      </c>
      <c r="BJ960" s="121">
        <v>28.448</v>
      </c>
      <c r="BK960" s="121">
        <v>29.957999999999998</v>
      </c>
      <c r="BL960" s="121">
        <v>31.419999999999998</v>
      </c>
      <c r="BM960" s="121">
        <v>32.881999999999998</v>
      </c>
      <c r="BN960" s="121">
        <v>34.253</v>
      </c>
      <c r="BO960" s="121">
        <v>35.624000000000002</v>
      </c>
      <c r="BP960" s="121">
        <v>37.075000000000003</v>
      </c>
      <c r="BQ960" s="121">
        <v>38.526000000000003</v>
      </c>
      <c r="BR960" s="121">
        <v>39.861500000000007</v>
      </c>
      <c r="BS960" s="121">
        <v>41.197000000000003</v>
      </c>
      <c r="BT960" s="121">
        <v>42.59</v>
      </c>
      <c r="BU960" s="121">
        <v>43.982999999999997</v>
      </c>
      <c r="BV960" s="121">
        <v>45.328000000000003</v>
      </c>
      <c r="BW960" s="121">
        <v>46.673000000000002</v>
      </c>
      <c r="BX960" s="121">
        <v>47.985500000000002</v>
      </c>
      <c r="BY960" s="121">
        <v>49.298000000000002</v>
      </c>
      <c r="BZ960" s="121">
        <v>50.5745</v>
      </c>
      <c r="CA960" s="121">
        <v>51.850999999999999</v>
      </c>
      <c r="CB960" s="121">
        <v>53.186</v>
      </c>
      <c r="CC960" s="121">
        <v>54.521000000000001</v>
      </c>
      <c r="CD960" s="121">
        <v>55.807000000000002</v>
      </c>
      <c r="CE960" s="121">
        <v>57.093000000000004</v>
      </c>
      <c r="CF960" s="121">
        <v>58.369</v>
      </c>
      <c r="CG960" s="121">
        <v>59.645000000000003</v>
      </c>
      <c r="CH960" s="121">
        <v>60.900000000000006</v>
      </c>
      <c r="CI960" s="121">
        <v>62.155000000000001</v>
      </c>
      <c r="CJ960" s="121">
        <v>63.430999999999997</v>
      </c>
      <c r="CK960" s="121">
        <v>64.706999999999994</v>
      </c>
      <c r="CL960" s="121">
        <v>65.983000000000004</v>
      </c>
      <c r="CM960" s="121">
        <v>67.259</v>
      </c>
      <c r="CN960" s="121">
        <v>68.545500000000004</v>
      </c>
      <c r="CO960" s="121">
        <v>69.831999999999994</v>
      </c>
      <c r="CP960" s="121">
        <f t="array" ref="CP960:CP976">TRANSPOSE(CQ959:DG959)</f>
        <v>71.108000000000004</v>
      </c>
      <c r="CQ960" s="158">
        <v>72.384</v>
      </c>
      <c r="CR960" s="121">
        <f>CS959</f>
        <v>73.47</v>
      </c>
      <c r="CS960" s="158">
        <v>74.66</v>
      </c>
      <c r="CT960" s="121">
        <f>CU959</f>
        <v>75.874500000000012</v>
      </c>
      <c r="CU960" s="158">
        <v>77.212000000000003</v>
      </c>
      <c r="CV960" s="121">
        <f>CW959</f>
        <v>78.385000000000005</v>
      </c>
      <c r="CW960" s="158">
        <v>79.784000000000006</v>
      </c>
      <c r="CX960" s="121">
        <f>CY959</f>
        <v>80.885000000000005</v>
      </c>
      <c r="CY960" s="158">
        <v>82.337000000000003</v>
      </c>
      <c r="CZ960" s="121">
        <f>DA959</f>
        <v>83.173000000000002</v>
      </c>
      <c r="DA960" s="158">
        <v>84.655000000000001</v>
      </c>
      <c r="DB960" s="121">
        <f>DC959</f>
        <v>85.650999999999996</v>
      </c>
      <c r="DC960" s="158">
        <v>87.162999999999997</v>
      </c>
      <c r="DD960" s="121">
        <f>DE959</f>
        <v>87.93950000000001</v>
      </c>
      <c r="DE960" s="158">
        <v>89.483000000000004</v>
      </c>
      <c r="DF960" s="121">
        <f>DG959</f>
        <v>90.448999999999998</v>
      </c>
      <c r="DG960" s="159">
        <v>92.054000000000002</v>
      </c>
    </row>
    <row r="961" spans="54:111" ht="15" customHeight="1" x14ac:dyDescent="0.2">
      <c r="BB961" s="28">
        <v>45</v>
      </c>
      <c r="BC961" s="121">
        <v>17.4635</v>
      </c>
      <c r="BD961" s="121">
        <v>19.22775</v>
      </c>
      <c r="BE961" s="121">
        <v>20.991999999999997</v>
      </c>
      <c r="BF961" s="121">
        <v>22.639749999999999</v>
      </c>
      <c r="BG961" s="121">
        <v>24.287500000000001</v>
      </c>
      <c r="BH961" s="121">
        <v>25.84225</v>
      </c>
      <c r="BI961" s="121">
        <v>27.396999999999998</v>
      </c>
      <c r="BJ961" s="121">
        <v>28.922499999999999</v>
      </c>
      <c r="BK961" s="121">
        <v>30.448</v>
      </c>
      <c r="BL961" s="121">
        <v>31.924999999999997</v>
      </c>
      <c r="BM961" s="121">
        <v>33.402000000000001</v>
      </c>
      <c r="BN961" s="121">
        <v>34.839500000000001</v>
      </c>
      <c r="BO961" s="121">
        <v>36.277000000000001</v>
      </c>
      <c r="BP961" s="121">
        <v>37.719000000000001</v>
      </c>
      <c r="BQ961" s="121">
        <v>39.161000000000001</v>
      </c>
      <c r="BR961" s="121">
        <v>40.540500000000002</v>
      </c>
      <c r="BS961" s="121">
        <v>41.92</v>
      </c>
      <c r="BT961" s="121">
        <v>43.304250000000003</v>
      </c>
      <c r="BU961" s="121">
        <v>44.688499999999998</v>
      </c>
      <c r="BV961" s="121">
        <v>46.043500000000002</v>
      </c>
      <c r="BW961" s="121">
        <v>47.398499999999999</v>
      </c>
      <c r="BX961" s="121">
        <v>48.7485</v>
      </c>
      <c r="BY961" s="121">
        <v>50.098500000000001</v>
      </c>
      <c r="BZ961" s="121">
        <v>51.424250000000001</v>
      </c>
      <c r="CA961" s="121">
        <v>52.75</v>
      </c>
      <c r="CB961" s="121">
        <v>54.099999999999994</v>
      </c>
      <c r="CC961" s="121">
        <v>55.45</v>
      </c>
      <c r="CD961" s="121">
        <v>56.751249999999999</v>
      </c>
      <c r="CE961" s="121">
        <v>58.052500000000002</v>
      </c>
      <c r="CF961" s="121">
        <v>59.34375</v>
      </c>
      <c r="CG961" s="121">
        <v>60.635000000000005</v>
      </c>
      <c r="CH961" s="121">
        <v>61.956500000000005</v>
      </c>
      <c r="CI961" s="121">
        <v>63.277999999999999</v>
      </c>
      <c r="CJ961" s="121">
        <v>64.573999999999998</v>
      </c>
      <c r="CK961" s="121">
        <v>65.87</v>
      </c>
      <c r="CL961" s="121">
        <v>67.161500000000004</v>
      </c>
      <c r="CM961" s="121">
        <v>68.453000000000003</v>
      </c>
      <c r="CN961" s="121">
        <v>69.754500000000007</v>
      </c>
      <c r="CO961" s="121">
        <v>71.055999999999997</v>
      </c>
      <c r="CP961" s="121">
        <v>72.289000000000001</v>
      </c>
      <c r="CQ961" s="121">
        <f t="array" ref="CQ961:CQ976">TRANSPOSE(CR960:DG960)</f>
        <v>73.47</v>
      </c>
      <c r="CR961" s="120">
        <f>(CQ961+CS961)/2</f>
        <v>74.733999999999995</v>
      </c>
      <c r="CS961" s="120">
        <f>(CS960+CS962)/2</f>
        <v>75.99799999999999</v>
      </c>
      <c r="CT961" s="120">
        <f>(CS961+CU961)/2</f>
        <v>77.289249999999996</v>
      </c>
      <c r="CU961" s="120">
        <f>(CU960+CU962)/2</f>
        <v>78.580500000000001</v>
      </c>
      <c r="CV961" s="120">
        <f>(CU961+CW961)/2</f>
        <v>79.877250000000004</v>
      </c>
      <c r="CW961" s="120">
        <f>(CW960+CW962)/2</f>
        <v>81.174000000000007</v>
      </c>
      <c r="CX961" s="120">
        <f>(CW961+CY961)/2</f>
        <v>82.411500000000004</v>
      </c>
      <c r="CY961" s="120">
        <f>(CY960+CY962)/2</f>
        <v>83.649000000000001</v>
      </c>
      <c r="CZ961" s="120">
        <f>(CY961+DA961)/2</f>
        <v>84.882000000000005</v>
      </c>
      <c r="DA961" s="120">
        <f>(DA960+DA962)/2</f>
        <v>86.115000000000009</v>
      </c>
      <c r="DB961" s="120">
        <f>(DA961+DC961)/2</f>
        <v>87.411249999999995</v>
      </c>
      <c r="DC961" s="120">
        <f>(DC960+DC962)/2</f>
        <v>88.707499999999996</v>
      </c>
      <c r="DD961" s="120">
        <f>(DC961+DE961)/2</f>
        <v>89.882499999999993</v>
      </c>
      <c r="DE961" s="120">
        <f>(DE960+DE962)/2</f>
        <v>91.057500000000005</v>
      </c>
      <c r="DF961" s="120">
        <f>(DE961+DG961)/2</f>
        <v>92.353499999999997</v>
      </c>
      <c r="DG961" s="122">
        <f>(DG960+DG962)/2</f>
        <v>93.649500000000003</v>
      </c>
    </row>
    <row r="962" spans="54:111" ht="15" customHeight="1" x14ac:dyDescent="0.2">
      <c r="BB962" s="28">
        <v>46</v>
      </c>
      <c r="BC962" s="121">
        <v>17.728999999999999</v>
      </c>
      <c r="BD962" s="121">
        <v>19.525500000000001</v>
      </c>
      <c r="BE962" s="121">
        <v>21.321999999999999</v>
      </c>
      <c r="BF962" s="121">
        <v>22.990000000000002</v>
      </c>
      <c r="BG962" s="121">
        <v>24.658000000000001</v>
      </c>
      <c r="BH962" s="121">
        <v>26.257000000000001</v>
      </c>
      <c r="BI962" s="121">
        <v>27.856000000000002</v>
      </c>
      <c r="BJ962" s="121">
        <v>29.396999999999998</v>
      </c>
      <c r="BK962" s="121">
        <v>30.937999999999999</v>
      </c>
      <c r="BL962" s="121">
        <v>32.43</v>
      </c>
      <c r="BM962" s="121">
        <v>33.921999999999997</v>
      </c>
      <c r="BN962" s="121">
        <v>35.426000000000002</v>
      </c>
      <c r="BO962" s="121">
        <v>36.93</v>
      </c>
      <c r="BP962" s="121">
        <v>38.363</v>
      </c>
      <c r="BQ962" s="121">
        <v>39.795999999999999</v>
      </c>
      <c r="BR962" s="121">
        <v>41.219499999999996</v>
      </c>
      <c r="BS962" s="121">
        <v>42.643000000000001</v>
      </c>
      <c r="BT962" s="121">
        <v>44.018500000000003</v>
      </c>
      <c r="BU962" s="121">
        <v>45.393999999999998</v>
      </c>
      <c r="BV962" s="121">
        <v>46.759</v>
      </c>
      <c r="BW962" s="121">
        <v>48.124000000000002</v>
      </c>
      <c r="BX962" s="121">
        <v>49.511499999999998</v>
      </c>
      <c r="BY962" s="121">
        <v>50.899000000000001</v>
      </c>
      <c r="BZ962" s="121">
        <v>52.274000000000001</v>
      </c>
      <c r="CA962" s="121">
        <v>53.649000000000001</v>
      </c>
      <c r="CB962" s="121">
        <v>55.013999999999996</v>
      </c>
      <c r="CC962" s="121">
        <v>56.378999999999998</v>
      </c>
      <c r="CD962" s="121">
        <v>57.695499999999996</v>
      </c>
      <c r="CE962" s="121">
        <v>59.012</v>
      </c>
      <c r="CF962" s="121">
        <v>60.3185</v>
      </c>
      <c r="CG962" s="121">
        <v>61.625</v>
      </c>
      <c r="CH962" s="121">
        <v>63.012999999999998</v>
      </c>
      <c r="CI962" s="121">
        <v>64.400999999999996</v>
      </c>
      <c r="CJ962" s="121">
        <v>65.716999999999999</v>
      </c>
      <c r="CK962" s="121">
        <v>67.033000000000001</v>
      </c>
      <c r="CL962" s="121">
        <v>68.34</v>
      </c>
      <c r="CM962" s="121">
        <v>69.647000000000006</v>
      </c>
      <c r="CN962" s="121">
        <v>70.96350000000001</v>
      </c>
      <c r="CO962" s="121">
        <v>72.28</v>
      </c>
      <c r="CP962" s="121">
        <v>73.47</v>
      </c>
      <c r="CQ962" s="121">
        <v>74.66</v>
      </c>
      <c r="CR962" s="150">
        <f t="array" ref="CR962:CR976">TRANSPOSE(CS961:DG961)</f>
        <v>75.99799999999999</v>
      </c>
      <c r="CS962" s="158">
        <v>77.335999999999999</v>
      </c>
      <c r="CT962" s="121">
        <f>CU961</f>
        <v>78.580500000000001</v>
      </c>
      <c r="CU962" s="158">
        <v>79.948999999999998</v>
      </c>
      <c r="CV962" s="121">
        <f>CW961</f>
        <v>81.174000000000007</v>
      </c>
      <c r="CW962" s="158">
        <v>82.563999999999993</v>
      </c>
      <c r="CX962" s="121">
        <f>CY961</f>
        <v>83.649000000000001</v>
      </c>
      <c r="CY962" s="158">
        <v>84.960999999999999</v>
      </c>
      <c r="CZ962" s="121">
        <f>DA961</f>
        <v>86.115000000000009</v>
      </c>
      <c r="DA962" s="158">
        <v>87.575000000000003</v>
      </c>
      <c r="DB962" s="121">
        <f>DC961</f>
        <v>88.707499999999996</v>
      </c>
      <c r="DC962" s="158">
        <v>90.251999999999995</v>
      </c>
      <c r="DD962" s="121">
        <f>DE961</f>
        <v>91.057500000000005</v>
      </c>
      <c r="DE962" s="158">
        <v>92.632000000000005</v>
      </c>
      <c r="DF962" s="121">
        <f>DG961</f>
        <v>93.649500000000003</v>
      </c>
      <c r="DG962" s="159">
        <v>95.245000000000005</v>
      </c>
    </row>
    <row r="963" spans="54:111" ht="15" customHeight="1" x14ac:dyDescent="0.2">
      <c r="BB963" s="28">
        <v>47</v>
      </c>
      <c r="BC963" s="121">
        <v>18.006999999999998</v>
      </c>
      <c r="BD963" s="121">
        <v>19.853000000000002</v>
      </c>
      <c r="BE963" s="121">
        <v>21.698999999999998</v>
      </c>
      <c r="BF963" s="121">
        <v>23.377000000000002</v>
      </c>
      <c r="BG963" s="121">
        <v>25.055</v>
      </c>
      <c r="BH963" s="121">
        <v>26.685000000000002</v>
      </c>
      <c r="BI963" s="121">
        <v>28.315000000000001</v>
      </c>
      <c r="BJ963" s="121">
        <v>29.887</v>
      </c>
      <c r="BK963" s="121">
        <v>31.459</v>
      </c>
      <c r="BL963" s="121">
        <v>32.961500000000001</v>
      </c>
      <c r="BM963" s="121">
        <v>34.463999999999999</v>
      </c>
      <c r="BN963" s="121">
        <v>35.988</v>
      </c>
      <c r="BO963" s="121">
        <v>37.512</v>
      </c>
      <c r="BP963" s="121">
        <v>38.955500000000001</v>
      </c>
      <c r="BQ963" s="121">
        <v>40.399000000000001</v>
      </c>
      <c r="BR963" s="121">
        <v>41.853749999999998</v>
      </c>
      <c r="BS963" s="121">
        <v>43.308499999999995</v>
      </c>
      <c r="BT963" s="121">
        <v>44.739249999999998</v>
      </c>
      <c r="BU963" s="121">
        <v>46.17</v>
      </c>
      <c r="BV963" s="121">
        <v>47.550249999999998</v>
      </c>
      <c r="BW963" s="121">
        <v>48.930500000000002</v>
      </c>
      <c r="BX963" s="121">
        <v>50.33775</v>
      </c>
      <c r="BY963" s="121">
        <v>51.745000000000005</v>
      </c>
      <c r="BZ963" s="121">
        <v>53.135249999999999</v>
      </c>
      <c r="CA963" s="121">
        <v>54.525500000000001</v>
      </c>
      <c r="CB963" s="121">
        <v>55.91675</v>
      </c>
      <c r="CC963" s="121">
        <v>57.308</v>
      </c>
      <c r="CD963" s="121">
        <v>58.650999999999996</v>
      </c>
      <c r="CE963" s="121">
        <v>59.994</v>
      </c>
      <c r="CF963" s="121">
        <v>61.315750000000001</v>
      </c>
      <c r="CG963" s="121">
        <v>62.637500000000003</v>
      </c>
      <c r="CH963" s="121">
        <v>64.016000000000005</v>
      </c>
      <c r="CI963" s="121">
        <v>65.394499999999994</v>
      </c>
      <c r="CJ963" s="121">
        <v>66.725999999999999</v>
      </c>
      <c r="CK963" s="121">
        <v>68.057500000000005</v>
      </c>
      <c r="CL963" s="121">
        <v>69.390500000000003</v>
      </c>
      <c r="CM963" s="121">
        <v>70.723500000000001</v>
      </c>
      <c r="CN963" s="121">
        <v>72.066000000000003</v>
      </c>
      <c r="CO963" s="121">
        <v>73.408500000000004</v>
      </c>
      <c r="CP963" s="121">
        <v>74.672250000000005</v>
      </c>
      <c r="CQ963" s="121">
        <v>75.874500000000012</v>
      </c>
      <c r="CR963" s="160">
        <v>77.289249999999996</v>
      </c>
      <c r="CS963" s="160">
        <f t="array" ref="CS963:CS976">TRANSPOSE(CT962:DG962)</f>
        <v>78.580500000000001</v>
      </c>
      <c r="CT963" s="120">
        <f>(CS963+CU963)/2</f>
        <v>79.938500000000005</v>
      </c>
      <c r="CU963" s="120">
        <f>(CU962+CU964)/2</f>
        <v>81.296500000000009</v>
      </c>
      <c r="CV963" s="120">
        <f>(CU963+CW963)/2</f>
        <v>82.629500000000007</v>
      </c>
      <c r="CW963" s="120">
        <f>(CW962+CW964)/2</f>
        <v>83.962500000000006</v>
      </c>
      <c r="CX963" s="120">
        <f>(CW963+CY963)/2</f>
        <v>85.187749999999994</v>
      </c>
      <c r="CY963" s="120">
        <f>(CY962+CY964)/2</f>
        <v>86.412999999999997</v>
      </c>
      <c r="CZ963" s="120">
        <f>(CY963+DA963)/2</f>
        <v>87.734999999999999</v>
      </c>
      <c r="DA963" s="120">
        <f>(DA962+DA964)/2</f>
        <v>89.057000000000002</v>
      </c>
      <c r="DB963" s="120">
        <f>(DA963+DC963)/2</f>
        <v>90.410750000000007</v>
      </c>
      <c r="DC963" s="120">
        <f>(DC962+DC964)/2</f>
        <v>91.764499999999998</v>
      </c>
      <c r="DD963" s="120">
        <f>(DC963+DE963)/2</f>
        <v>92.974249999999998</v>
      </c>
      <c r="DE963" s="120">
        <f>(DE962+DE964)/2</f>
        <v>94.183999999999997</v>
      </c>
      <c r="DF963" s="120">
        <f>(DE963+DG963)/2</f>
        <v>95.516999999999996</v>
      </c>
      <c r="DG963" s="122">
        <f>(DG962+DG964)/2</f>
        <v>96.85</v>
      </c>
    </row>
    <row r="964" spans="54:111" ht="15" customHeight="1" x14ac:dyDescent="0.2">
      <c r="BB964" s="28">
        <v>48</v>
      </c>
      <c r="BC964" s="121">
        <v>18.285</v>
      </c>
      <c r="BD964" s="121">
        <v>20.180500000000002</v>
      </c>
      <c r="BE964" s="121">
        <v>22.076000000000001</v>
      </c>
      <c r="BF964" s="121">
        <v>23.764000000000003</v>
      </c>
      <c r="BG964" s="121">
        <v>25.452000000000002</v>
      </c>
      <c r="BH964" s="121">
        <v>27.113</v>
      </c>
      <c r="BI964" s="121">
        <v>28.774000000000001</v>
      </c>
      <c r="BJ964" s="121">
        <v>30.377000000000002</v>
      </c>
      <c r="BK964" s="121">
        <v>31.98</v>
      </c>
      <c r="BL964" s="121">
        <v>33.493000000000002</v>
      </c>
      <c r="BM964" s="121">
        <v>35.006</v>
      </c>
      <c r="BN964" s="121">
        <v>36.549999999999997</v>
      </c>
      <c r="BO964" s="121">
        <v>38.094000000000001</v>
      </c>
      <c r="BP964" s="121">
        <v>39.548000000000002</v>
      </c>
      <c r="BQ964" s="121">
        <v>41.002000000000002</v>
      </c>
      <c r="BR964" s="121">
        <v>42.488</v>
      </c>
      <c r="BS964" s="121">
        <v>43.973999999999997</v>
      </c>
      <c r="BT964" s="121">
        <v>45.459999999999994</v>
      </c>
      <c r="BU964" s="121">
        <v>46.945999999999998</v>
      </c>
      <c r="BV964" s="121">
        <v>48.341499999999996</v>
      </c>
      <c r="BW964" s="121">
        <v>49.737000000000002</v>
      </c>
      <c r="BX964" s="121">
        <v>51.164000000000001</v>
      </c>
      <c r="BY964" s="121">
        <v>52.591000000000001</v>
      </c>
      <c r="BZ964" s="121">
        <v>53.996499999999997</v>
      </c>
      <c r="CA964" s="121">
        <v>55.402000000000001</v>
      </c>
      <c r="CB964" s="121">
        <v>56.819500000000005</v>
      </c>
      <c r="CC964" s="121">
        <v>58.237000000000002</v>
      </c>
      <c r="CD964" s="121">
        <v>59.606499999999997</v>
      </c>
      <c r="CE964" s="121">
        <v>60.975999999999999</v>
      </c>
      <c r="CF964" s="121">
        <v>62.313000000000002</v>
      </c>
      <c r="CG964" s="121">
        <v>63.65</v>
      </c>
      <c r="CH964" s="121">
        <v>65.019000000000005</v>
      </c>
      <c r="CI964" s="121">
        <v>66.388000000000005</v>
      </c>
      <c r="CJ964" s="121">
        <v>67.734999999999999</v>
      </c>
      <c r="CK964" s="121">
        <v>69.081999999999994</v>
      </c>
      <c r="CL964" s="121">
        <v>70.441000000000003</v>
      </c>
      <c r="CM964" s="121">
        <v>71.8</v>
      </c>
      <c r="CN964" s="121">
        <v>73.168499999999995</v>
      </c>
      <c r="CO964" s="121">
        <v>74.537000000000006</v>
      </c>
      <c r="CP964" s="121">
        <v>75.874500000000012</v>
      </c>
      <c r="CQ964" s="121">
        <v>77.212000000000003</v>
      </c>
      <c r="CR964" s="160">
        <v>78.580500000000001</v>
      </c>
      <c r="CS964" s="160">
        <v>79.948999999999998</v>
      </c>
      <c r="CT964" s="121">
        <f t="array" ref="CT964:CT976">TRANSPOSE(CU963:DG963)</f>
        <v>81.296500000000009</v>
      </c>
      <c r="CU964" s="158">
        <v>82.644000000000005</v>
      </c>
      <c r="CV964" s="121">
        <f>CW963</f>
        <v>83.962500000000006</v>
      </c>
      <c r="CW964" s="158">
        <v>85.361000000000004</v>
      </c>
      <c r="CX964" s="121">
        <f>CY963</f>
        <v>86.412999999999997</v>
      </c>
      <c r="CY964" s="158">
        <v>87.864999999999995</v>
      </c>
      <c r="CZ964" s="121">
        <f>DA963</f>
        <v>89.057000000000002</v>
      </c>
      <c r="DA964" s="158">
        <v>90.539000000000001</v>
      </c>
      <c r="DB964" s="121">
        <f>DC963</f>
        <v>91.764499999999998</v>
      </c>
      <c r="DC964" s="158">
        <v>93.277000000000001</v>
      </c>
      <c r="DD964" s="121">
        <f>DE963</f>
        <v>94.183999999999997</v>
      </c>
      <c r="DE964" s="158">
        <v>95.736000000000004</v>
      </c>
      <c r="DF964" s="121">
        <f>DG963</f>
        <v>96.85</v>
      </c>
      <c r="DG964" s="159">
        <v>98.454999999999998</v>
      </c>
    </row>
    <row r="965" spans="54:111" ht="15" customHeight="1" x14ac:dyDescent="0.2">
      <c r="BB965" s="28">
        <v>49</v>
      </c>
      <c r="BC965" s="121">
        <v>18.572499999999998</v>
      </c>
      <c r="BD965" s="121">
        <v>20.4785</v>
      </c>
      <c r="BE965" s="121">
        <v>22.384500000000003</v>
      </c>
      <c r="BF965" s="121">
        <v>24.132750000000001</v>
      </c>
      <c r="BG965" s="121">
        <v>25.881</v>
      </c>
      <c r="BH965" s="121">
        <v>27.557499999999997</v>
      </c>
      <c r="BI965" s="121">
        <v>29.234000000000002</v>
      </c>
      <c r="BJ965" s="121">
        <v>30.852</v>
      </c>
      <c r="BK965" s="121">
        <v>32.47</v>
      </c>
      <c r="BL965" s="121">
        <v>34.013750000000002</v>
      </c>
      <c r="BM965" s="121">
        <v>35.557500000000005</v>
      </c>
      <c r="BN965" s="121">
        <v>37.111750000000001</v>
      </c>
      <c r="BO965" s="121">
        <v>38.665999999999997</v>
      </c>
      <c r="BP965" s="121">
        <v>40.151250000000005</v>
      </c>
      <c r="BQ965" s="121">
        <v>41.636499999999998</v>
      </c>
      <c r="BR965" s="121">
        <v>43.137749999999997</v>
      </c>
      <c r="BS965" s="121">
        <v>44.638999999999996</v>
      </c>
      <c r="BT965" s="121">
        <v>46.14</v>
      </c>
      <c r="BU965" s="121">
        <v>47.640999999999998</v>
      </c>
      <c r="BV965" s="121">
        <v>49.096999999999994</v>
      </c>
      <c r="BW965" s="121">
        <v>50.552999999999997</v>
      </c>
      <c r="BX965" s="121">
        <v>51.990499999999997</v>
      </c>
      <c r="BY965" s="121">
        <v>53.427999999999997</v>
      </c>
      <c r="BZ965" s="121">
        <v>54.859749999999998</v>
      </c>
      <c r="CA965" s="121">
        <v>56.291499999999999</v>
      </c>
      <c r="CB965" s="121">
        <v>57.699750000000002</v>
      </c>
      <c r="CC965" s="121">
        <v>59.108000000000004</v>
      </c>
      <c r="CD965" s="121">
        <v>60.521749999999997</v>
      </c>
      <c r="CE965" s="121">
        <v>61.935500000000005</v>
      </c>
      <c r="CF965" s="121">
        <v>63.303750000000001</v>
      </c>
      <c r="CG965" s="121">
        <v>64.671999999999997</v>
      </c>
      <c r="CH965" s="121">
        <v>66.080500000000001</v>
      </c>
      <c r="CI965" s="121">
        <v>67.489000000000004</v>
      </c>
      <c r="CJ965" s="121">
        <v>68.987500000000011</v>
      </c>
      <c r="CK965" s="121">
        <v>70.48599999999999</v>
      </c>
      <c r="CL965" s="121">
        <v>71.739750000000001</v>
      </c>
      <c r="CM965" s="121">
        <v>72.993499999999997</v>
      </c>
      <c r="CN965" s="121">
        <v>74.377499999999998</v>
      </c>
      <c r="CO965" s="121">
        <v>75.761500000000012</v>
      </c>
      <c r="CP965" s="121">
        <v>77.129750000000001</v>
      </c>
      <c r="CQ965" s="121">
        <v>78.385000000000005</v>
      </c>
      <c r="CR965" s="160">
        <v>79.877250000000004</v>
      </c>
      <c r="CS965" s="160">
        <v>81.174000000000007</v>
      </c>
      <c r="CT965" s="160">
        <v>82.629500000000007</v>
      </c>
      <c r="CU965" s="160">
        <f t="array" ref="CU965:CU976">TRANSPOSE(CV964:DG964)</f>
        <v>83.962500000000006</v>
      </c>
      <c r="CV965" s="120">
        <f>(CU965+CW965)/2</f>
        <v>85.302999999999997</v>
      </c>
      <c r="CW965" s="120">
        <f>(CW964+CW966)/2</f>
        <v>86.643500000000003</v>
      </c>
      <c r="CX965" s="120">
        <f>(CW965+CY965)/2</f>
        <v>87.969249999999988</v>
      </c>
      <c r="CY965" s="120">
        <f>(CY964+CY966)/2</f>
        <v>89.294999999999987</v>
      </c>
      <c r="CZ965" s="120">
        <f>(CY965+DA965)/2</f>
        <v>90.662999999999997</v>
      </c>
      <c r="DA965" s="120">
        <f>(DA964+DA966)/2</f>
        <v>92.031000000000006</v>
      </c>
      <c r="DB965" s="120">
        <f>(DA965+DC965)/2</f>
        <v>93.35175000000001</v>
      </c>
      <c r="DC965" s="120">
        <f>(DC964+DC966)/2</f>
        <v>94.672499999999999</v>
      </c>
      <c r="DD965" s="120">
        <f>(DC965+DE965)/2</f>
        <v>95.986750000000001</v>
      </c>
      <c r="DE965" s="120">
        <f>(DE964+DE966)/2</f>
        <v>97.301000000000002</v>
      </c>
      <c r="DF965" s="120">
        <f>(DE965+DG965)/2</f>
        <v>98.680499999999995</v>
      </c>
      <c r="DG965" s="122">
        <f>(DG964+DG966)/2</f>
        <v>100.06</v>
      </c>
    </row>
    <row r="966" spans="54:111" ht="15" customHeight="1" x14ac:dyDescent="0.2">
      <c r="BB966" s="28">
        <v>50</v>
      </c>
      <c r="BC966" s="121">
        <v>18.86</v>
      </c>
      <c r="BD966" s="121">
        <v>20.776499999999999</v>
      </c>
      <c r="BE966" s="121">
        <v>22.693000000000001</v>
      </c>
      <c r="BF966" s="121">
        <v>24.5015</v>
      </c>
      <c r="BG966" s="121">
        <v>26.31</v>
      </c>
      <c r="BH966" s="121">
        <v>28.001999999999999</v>
      </c>
      <c r="BI966" s="121">
        <v>29.693999999999999</v>
      </c>
      <c r="BJ966" s="121">
        <v>31.326999999999998</v>
      </c>
      <c r="BK966" s="121">
        <v>32.96</v>
      </c>
      <c r="BL966" s="121">
        <v>34.534500000000001</v>
      </c>
      <c r="BM966" s="121">
        <v>36.109000000000002</v>
      </c>
      <c r="BN966" s="121">
        <v>37.673500000000004</v>
      </c>
      <c r="BO966" s="121">
        <v>39.238</v>
      </c>
      <c r="BP966" s="121">
        <v>40.7545</v>
      </c>
      <c r="BQ966" s="121">
        <v>42.271000000000001</v>
      </c>
      <c r="BR966" s="121">
        <v>43.787500000000001</v>
      </c>
      <c r="BS966" s="121">
        <v>45.304000000000002</v>
      </c>
      <c r="BT966" s="121">
        <v>46.82</v>
      </c>
      <c r="BU966" s="121">
        <v>48.335999999999999</v>
      </c>
      <c r="BV966" s="121">
        <v>49.852499999999999</v>
      </c>
      <c r="BW966" s="121">
        <v>51.369</v>
      </c>
      <c r="BX966" s="121">
        <v>52.817</v>
      </c>
      <c r="BY966" s="121">
        <v>54.265000000000001</v>
      </c>
      <c r="BZ966" s="121">
        <v>55.722999999999999</v>
      </c>
      <c r="CA966" s="121">
        <v>57.180999999999997</v>
      </c>
      <c r="CB966" s="121">
        <v>58.58</v>
      </c>
      <c r="CC966" s="121">
        <v>59.978999999999999</v>
      </c>
      <c r="CD966" s="121">
        <v>61.436999999999998</v>
      </c>
      <c r="CE966" s="121">
        <v>62.895000000000003</v>
      </c>
      <c r="CF966" s="121">
        <v>64.294499999999999</v>
      </c>
      <c r="CG966" s="121">
        <v>65.694000000000003</v>
      </c>
      <c r="CH966" s="121">
        <v>67.141999999999996</v>
      </c>
      <c r="CI966" s="121">
        <v>68.59</v>
      </c>
      <c r="CJ966" s="121">
        <v>70.240000000000009</v>
      </c>
      <c r="CK966" s="121">
        <v>71.89</v>
      </c>
      <c r="CL966" s="121">
        <v>73.038499999999999</v>
      </c>
      <c r="CM966" s="121">
        <v>74.186999999999998</v>
      </c>
      <c r="CN966" s="121">
        <v>75.586500000000001</v>
      </c>
      <c r="CO966" s="121">
        <v>76.986000000000004</v>
      </c>
      <c r="CP966" s="121">
        <v>78.385000000000005</v>
      </c>
      <c r="CQ966" s="121">
        <v>79.784000000000006</v>
      </c>
      <c r="CR966" s="160">
        <v>81.174000000000007</v>
      </c>
      <c r="CS966" s="160">
        <v>82.563999999999993</v>
      </c>
      <c r="CT966" s="160">
        <v>83.962500000000006</v>
      </c>
      <c r="CU966" s="160">
        <v>85.361000000000004</v>
      </c>
      <c r="CV966" s="121">
        <f t="array" ref="CV966:CV976">TRANSPOSE(CW965:DG965)</f>
        <v>86.643500000000003</v>
      </c>
      <c r="CW966" s="158">
        <v>87.926000000000002</v>
      </c>
      <c r="CX966" s="121">
        <f>CY965</f>
        <v>89.294999999999987</v>
      </c>
      <c r="CY966" s="158">
        <v>90.724999999999994</v>
      </c>
      <c r="CZ966" s="121">
        <f>DA965</f>
        <v>92.031000000000006</v>
      </c>
      <c r="DA966" s="158">
        <v>93.522999999999996</v>
      </c>
      <c r="DB966" s="121">
        <f>DC965</f>
        <v>94.672499999999999</v>
      </c>
      <c r="DC966" s="158">
        <v>96.067999999999998</v>
      </c>
      <c r="DD966" s="121">
        <f>DE965</f>
        <v>97.301000000000002</v>
      </c>
      <c r="DE966" s="158">
        <v>98.866</v>
      </c>
      <c r="DF966" s="121">
        <f>DG965</f>
        <v>100.06</v>
      </c>
      <c r="DG966" s="159">
        <v>101.66500000000001</v>
      </c>
    </row>
    <row r="967" spans="54:111" ht="15" customHeight="1" x14ac:dyDescent="0.2">
      <c r="BB967" s="28">
        <v>51</v>
      </c>
      <c r="BC967" s="121">
        <v>19.1965</v>
      </c>
      <c r="BD967" s="121">
        <v>21.1035</v>
      </c>
      <c r="BE967" s="121">
        <v>23.0105</v>
      </c>
      <c r="BF967" s="121">
        <v>24.84525</v>
      </c>
      <c r="BG967" s="121">
        <v>26.68</v>
      </c>
      <c r="BH967" s="121">
        <v>28.387250000000002</v>
      </c>
      <c r="BI967" s="121">
        <v>30.0945</v>
      </c>
      <c r="BJ967" s="121">
        <v>31.77225</v>
      </c>
      <c r="BK967" s="121">
        <v>33.450000000000003</v>
      </c>
      <c r="BL967" s="121">
        <v>35.0505</v>
      </c>
      <c r="BM967" s="121">
        <v>36.650999999999996</v>
      </c>
      <c r="BN967" s="121">
        <v>38.235750000000003</v>
      </c>
      <c r="BO967" s="121">
        <v>39.820499999999996</v>
      </c>
      <c r="BP967" s="121">
        <v>41.392499999999998</v>
      </c>
      <c r="BQ967" s="121">
        <v>42.964500000000001</v>
      </c>
      <c r="BR967" s="121">
        <v>44.495999999999995</v>
      </c>
      <c r="BS967" s="121">
        <v>46.027500000000003</v>
      </c>
      <c r="BT967" s="121">
        <v>47.558999999999997</v>
      </c>
      <c r="BU967" s="121">
        <v>49.090499999999999</v>
      </c>
      <c r="BV967" s="121">
        <v>50.603499999999997</v>
      </c>
      <c r="BW967" s="121">
        <v>52.116500000000002</v>
      </c>
      <c r="BX967" s="121">
        <v>53.58475</v>
      </c>
      <c r="BY967" s="121">
        <v>55.052999999999997</v>
      </c>
      <c r="BZ967" s="121">
        <v>56.53725</v>
      </c>
      <c r="CA967" s="121">
        <v>58.021500000000003</v>
      </c>
      <c r="CB967" s="121">
        <v>59.465000000000003</v>
      </c>
      <c r="CC967" s="121">
        <v>60.908500000000004</v>
      </c>
      <c r="CD967" s="121">
        <v>62.381749999999997</v>
      </c>
      <c r="CE967" s="121">
        <v>63.855000000000004</v>
      </c>
      <c r="CF967" s="121">
        <v>65.280500000000004</v>
      </c>
      <c r="CG967" s="121">
        <v>66.706000000000003</v>
      </c>
      <c r="CH967" s="121">
        <v>68.144750000000002</v>
      </c>
      <c r="CI967" s="121">
        <v>69.583500000000001</v>
      </c>
      <c r="CJ967" s="121">
        <v>71.193000000000012</v>
      </c>
      <c r="CK967" s="121">
        <v>72.802500000000009</v>
      </c>
      <c r="CL967" s="121">
        <v>74.091499999999996</v>
      </c>
      <c r="CM967" s="121">
        <v>75.380499999999998</v>
      </c>
      <c r="CN967" s="121">
        <v>76.795000000000002</v>
      </c>
      <c r="CO967" s="121">
        <v>78.209500000000006</v>
      </c>
      <c r="CP967" s="121">
        <v>79.635000000000005</v>
      </c>
      <c r="CQ967" s="121">
        <v>80.885000000000005</v>
      </c>
      <c r="CR967" s="160">
        <v>82.411500000000004</v>
      </c>
      <c r="CS967" s="160">
        <v>83.649000000000001</v>
      </c>
      <c r="CT967" s="160">
        <v>85.187749999999994</v>
      </c>
      <c r="CU967" s="160">
        <v>86.412999999999997</v>
      </c>
      <c r="CV967" s="160">
        <v>87.969249999999988</v>
      </c>
      <c r="CW967" s="160">
        <f t="array" ref="CW967:CW976">TRANSPOSE(CX966:DG966)</f>
        <v>89.294999999999987</v>
      </c>
      <c r="CX967" s="120">
        <f>(CW967+CY967)/2</f>
        <v>90.724499999999992</v>
      </c>
      <c r="CY967" s="120">
        <f>(CY966+CY968)/2</f>
        <v>92.153999999999996</v>
      </c>
      <c r="CZ967" s="120">
        <f>(CY967+DA967)/2</f>
        <v>93.579499999999996</v>
      </c>
      <c r="DA967" s="120">
        <f>(DA966+DA968)/2</f>
        <v>95.004999999999995</v>
      </c>
      <c r="DB967" s="120">
        <f>(DA967+DC967)/2</f>
        <v>96.297499999999999</v>
      </c>
      <c r="DC967" s="120">
        <f>(DC966+DC968)/2</f>
        <v>97.59</v>
      </c>
      <c r="DD967" s="120">
        <f>(DC967+DE967)/2</f>
        <v>99.015500000000003</v>
      </c>
      <c r="DE967" s="120">
        <f>(DE966+DE968)/2</f>
        <v>100.441</v>
      </c>
      <c r="DF967" s="120">
        <f>(DE967+DG967)/2</f>
        <v>101.85550000000001</v>
      </c>
      <c r="DG967" s="122">
        <f>(DG966+DG968)/2</f>
        <v>103.27000000000001</v>
      </c>
    </row>
    <row r="968" spans="54:111" ht="15" customHeight="1" x14ac:dyDescent="0.2">
      <c r="BB968" s="28">
        <v>52</v>
      </c>
      <c r="BC968" s="121">
        <v>19.533000000000001</v>
      </c>
      <c r="BD968" s="121">
        <v>21.430500000000002</v>
      </c>
      <c r="BE968" s="121">
        <v>23.327999999999999</v>
      </c>
      <c r="BF968" s="121">
        <v>25.189</v>
      </c>
      <c r="BG968" s="121">
        <v>27.05</v>
      </c>
      <c r="BH968" s="121">
        <v>28.772500000000001</v>
      </c>
      <c r="BI968" s="121">
        <v>30.495000000000001</v>
      </c>
      <c r="BJ968" s="121">
        <v>32.217500000000001</v>
      </c>
      <c r="BK968" s="121">
        <v>33.94</v>
      </c>
      <c r="BL968" s="121">
        <v>35.566499999999998</v>
      </c>
      <c r="BM968" s="121">
        <v>37.192999999999998</v>
      </c>
      <c r="BN968" s="121">
        <v>38.798000000000002</v>
      </c>
      <c r="BO968" s="121">
        <v>40.402999999999999</v>
      </c>
      <c r="BP968" s="121">
        <v>42.030500000000004</v>
      </c>
      <c r="BQ968" s="121">
        <v>43.658000000000001</v>
      </c>
      <c r="BR968" s="121">
        <v>45.204499999999996</v>
      </c>
      <c r="BS968" s="121">
        <v>46.750999999999998</v>
      </c>
      <c r="BT968" s="121">
        <v>48.298000000000002</v>
      </c>
      <c r="BU968" s="121">
        <v>49.844999999999999</v>
      </c>
      <c r="BV968" s="121">
        <v>51.354500000000002</v>
      </c>
      <c r="BW968" s="121">
        <v>52.863999999999997</v>
      </c>
      <c r="BX968" s="121">
        <v>54.352499999999999</v>
      </c>
      <c r="BY968" s="121">
        <v>55.841000000000001</v>
      </c>
      <c r="BZ968" s="121">
        <v>57.351500000000001</v>
      </c>
      <c r="CA968" s="121">
        <v>58.862000000000002</v>
      </c>
      <c r="CB968" s="121">
        <v>60.35</v>
      </c>
      <c r="CC968" s="121">
        <v>61.838000000000001</v>
      </c>
      <c r="CD968" s="121">
        <v>63.326499999999996</v>
      </c>
      <c r="CE968" s="121">
        <v>64.814999999999998</v>
      </c>
      <c r="CF968" s="121">
        <v>66.266500000000008</v>
      </c>
      <c r="CG968" s="121">
        <v>67.718000000000004</v>
      </c>
      <c r="CH968" s="121">
        <v>69.147500000000008</v>
      </c>
      <c r="CI968" s="121">
        <v>70.576999999999998</v>
      </c>
      <c r="CJ968" s="121">
        <v>72.146000000000001</v>
      </c>
      <c r="CK968" s="121">
        <v>73.715000000000003</v>
      </c>
      <c r="CL968" s="121">
        <v>75.144499999999994</v>
      </c>
      <c r="CM968" s="121">
        <v>76.573999999999998</v>
      </c>
      <c r="CN968" s="121">
        <v>78.003500000000003</v>
      </c>
      <c r="CO968" s="121">
        <v>79.433000000000007</v>
      </c>
      <c r="CP968" s="121">
        <v>80.885000000000005</v>
      </c>
      <c r="CQ968" s="121">
        <v>82.337000000000003</v>
      </c>
      <c r="CR968" s="160">
        <v>83.649000000000001</v>
      </c>
      <c r="CS968" s="160">
        <v>84.960999999999999</v>
      </c>
      <c r="CT968" s="160">
        <v>86.412999999999997</v>
      </c>
      <c r="CU968" s="160">
        <v>87.864999999999995</v>
      </c>
      <c r="CV968" s="160">
        <v>89.294999999999987</v>
      </c>
      <c r="CW968" s="160">
        <v>90.724999999999994</v>
      </c>
      <c r="CX968" s="121">
        <f t="array" ref="CX968:CX976">TRANSPOSE(CY967:DG967)</f>
        <v>92.153999999999996</v>
      </c>
      <c r="CY968" s="158">
        <v>93.582999999999998</v>
      </c>
      <c r="CZ968" s="121">
        <f>DA967</f>
        <v>95.004999999999995</v>
      </c>
      <c r="DA968" s="158">
        <v>96.486999999999995</v>
      </c>
      <c r="DB968" s="121">
        <f>DC967</f>
        <v>97.59</v>
      </c>
      <c r="DC968" s="158">
        <v>99.111999999999995</v>
      </c>
      <c r="DD968" s="121">
        <f>DE967</f>
        <v>100.441</v>
      </c>
      <c r="DE968" s="158">
        <v>102.01600000000001</v>
      </c>
      <c r="DF968" s="121">
        <f>DG967</f>
        <v>103.27000000000001</v>
      </c>
      <c r="DG968" s="159">
        <v>104.875</v>
      </c>
    </row>
    <row r="969" spans="54:111" ht="15" customHeight="1" x14ac:dyDescent="0.2">
      <c r="BB969" s="28">
        <v>53</v>
      </c>
      <c r="BC969" s="121">
        <v>19.810500000000001</v>
      </c>
      <c r="BD969" s="121">
        <v>21.7575</v>
      </c>
      <c r="BE969" s="121">
        <v>23.704499999999999</v>
      </c>
      <c r="BF969" s="121">
        <v>25.581</v>
      </c>
      <c r="BG969" s="121">
        <v>27.4575</v>
      </c>
      <c r="BH969" s="121">
        <v>29.205750000000002</v>
      </c>
      <c r="BI969" s="121">
        <v>30.954000000000001</v>
      </c>
      <c r="BJ969" s="121">
        <v>32.673500000000004</v>
      </c>
      <c r="BK969" s="121">
        <v>34.393000000000001</v>
      </c>
      <c r="BL969" s="121">
        <v>36.063999999999993</v>
      </c>
      <c r="BM969" s="121">
        <v>37.734999999999999</v>
      </c>
      <c r="BN969" s="121">
        <v>39.355249999999998</v>
      </c>
      <c r="BO969" s="121">
        <v>40.975499999999997</v>
      </c>
      <c r="BP969" s="121">
        <v>42.623000000000005</v>
      </c>
      <c r="BQ969" s="121">
        <v>44.270499999999998</v>
      </c>
      <c r="BR969" s="121">
        <v>45.843249999999998</v>
      </c>
      <c r="BS969" s="121">
        <v>47.415999999999997</v>
      </c>
      <c r="BT969" s="121">
        <v>48.989000000000004</v>
      </c>
      <c r="BU969" s="121">
        <v>50.561999999999998</v>
      </c>
      <c r="BV969" s="121">
        <v>52.116500000000002</v>
      </c>
      <c r="BW969" s="121">
        <v>53.670999999999999</v>
      </c>
      <c r="BX969" s="121">
        <v>55.174499999999995</v>
      </c>
      <c r="BY969" s="121">
        <v>56.677999999999997</v>
      </c>
      <c r="BZ969" s="121">
        <v>58.208500000000001</v>
      </c>
      <c r="CA969" s="121">
        <v>59.739000000000004</v>
      </c>
      <c r="CB969" s="121">
        <v>61.253</v>
      </c>
      <c r="CC969" s="121">
        <v>62.766999999999996</v>
      </c>
      <c r="CD969" s="121">
        <v>64.281749999999988</v>
      </c>
      <c r="CE969" s="121">
        <v>65.796500000000009</v>
      </c>
      <c r="CF969" s="121">
        <v>67.263500000000008</v>
      </c>
      <c r="CG969" s="121">
        <v>68.730500000000006</v>
      </c>
      <c r="CH969" s="121">
        <v>70.204250000000002</v>
      </c>
      <c r="CI969" s="121">
        <v>71.677999999999997</v>
      </c>
      <c r="CJ969" s="121">
        <v>73.203749999999999</v>
      </c>
      <c r="CK969" s="121">
        <v>74.729500000000002</v>
      </c>
      <c r="CL969" s="121">
        <v>76.19</v>
      </c>
      <c r="CM969" s="121">
        <v>77.650499999999994</v>
      </c>
      <c r="CN969" s="121">
        <v>79.106250000000003</v>
      </c>
      <c r="CO969" s="121">
        <v>80.562000000000012</v>
      </c>
      <c r="CP969" s="121">
        <v>82.028999999999996</v>
      </c>
      <c r="CQ969" s="121">
        <v>83.173000000000002</v>
      </c>
      <c r="CR969" s="160">
        <v>84.882000000000005</v>
      </c>
      <c r="CS969" s="160">
        <v>86.115000000000009</v>
      </c>
      <c r="CT969" s="160">
        <v>87.734999999999999</v>
      </c>
      <c r="CU969" s="160">
        <v>89.057000000000002</v>
      </c>
      <c r="CV969" s="160">
        <v>90.662999999999997</v>
      </c>
      <c r="CW969" s="160">
        <v>92.031000000000006</v>
      </c>
      <c r="CX969" s="160">
        <v>93.579499999999996</v>
      </c>
      <c r="CY969" s="160">
        <f t="array" ref="CY969:CY976">TRANSPOSE(CZ968:DG968)</f>
        <v>95.004999999999995</v>
      </c>
      <c r="CZ969" s="120">
        <f>(CY969+DA969)/2</f>
        <v>96.4285</v>
      </c>
      <c r="DA969" s="120">
        <f>(DA968+DA970)/2</f>
        <v>97.852000000000004</v>
      </c>
      <c r="DB969" s="120">
        <f>(DA969+DC969)/2</f>
        <v>99.209000000000003</v>
      </c>
      <c r="DC969" s="120">
        <f>(DC968+DC970)/2</f>
        <v>100.566</v>
      </c>
      <c r="DD969" s="120">
        <f>(DC969+DE969)/2</f>
        <v>102.09175</v>
      </c>
      <c r="DE969" s="120">
        <f>(DE968+DE970)/2</f>
        <v>103.61750000000001</v>
      </c>
      <c r="DF969" s="120">
        <f>(DE969+DG969)/2</f>
        <v>105.04900000000001</v>
      </c>
      <c r="DG969" s="122">
        <f>(DG968+DG970)/2</f>
        <v>106.48050000000001</v>
      </c>
    </row>
    <row r="970" spans="54:111" ht="15" customHeight="1" x14ac:dyDescent="0.2">
      <c r="BB970" s="28">
        <v>54</v>
      </c>
      <c r="BC970" s="121">
        <v>20.088000000000001</v>
      </c>
      <c r="BD970" s="121">
        <v>22.084499999999998</v>
      </c>
      <c r="BE970" s="121">
        <v>24.081</v>
      </c>
      <c r="BF970" s="121">
        <v>25.972999999999999</v>
      </c>
      <c r="BG970" s="121">
        <v>27.864999999999998</v>
      </c>
      <c r="BH970" s="121">
        <v>29.638999999999999</v>
      </c>
      <c r="BI970" s="121">
        <v>31.413</v>
      </c>
      <c r="BJ970" s="121">
        <v>33.1295</v>
      </c>
      <c r="BK970" s="121">
        <v>34.845999999999997</v>
      </c>
      <c r="BL970" s="121">
        <v>36.561499999999995</v>
      </c>
      <c r="BM970" s="121">
        <v>38.277000000000001</v>
      </c>
      <c r="BN970" s="121">
        <v>39.912500000000001</v>
      </c>
      <c r="BO970" s="121">
        <v>41.548000000000002</v>
      </c>
      <c r="BP970" s="121">
        <v>43.215500000000006</v>
      </c>
      <c r="BQ970" s="121">
        <v>44.883000000000003</v>
      </c>
      <c r="BR970" s="121">
        <v>46.481999999999999</v>
      </c>
      <c r="BS970" s="121">
        <v>48.081000000000003</v>
      </c>
      <c r="BT970" s="121">
        <v>49.680000000000007</v>
      </c>
      <c r="BU970" s="121">
        <v>51.279000000000003</v>
      </c>
      <c r="BV970" s="121">
        <v>52.878500000000003</v>
      </c>
      <c r="BW970" s="121">
        <v>54.478000000000002</v>
      </c>
      <c r="BX970" s="121">
        <v>55.996499999999997</v>
      </c>
      <c r="BY970" s="121">
        <v>57.515000000000001</v>
      </c>
      <c r="BZ970" s="121">
        <v>59.0655</v>
      </c>
      <c r="CA970" s="121">
        <v>60.616</v>
      </c>
      <c r="CB970" s="121">
        <v>62.155999999999999</v>
      </c>
      <c r="CC970" s="121">
        <v>63.695999999999998</v>
      </c>
      <c r="CD970" s="121">
        <v>65.236999999999995</v>
      </c>
      <c r="CE970" s="121">
        <v>66.778000000000006</v>
      </c>
      <c r="CF970" s="121">
        <v>68.260500000000008</v>
      </c>
      <c r="CG970" s="121">
        <v>69.742999999999995</v>
      </c>
      <c r="CH970" s="121">
        <v>71.260999999999996</v>
      </c>
      <c r="CI970" s="121">
        <v>72.778999999999996</v>
      </c>
      <c r="CJ970" s="121">
        <v>74.261499999999998</v>
      </c>
      <c r="CK970" s="121">
        <v>75.744</v>
      </c>
      <c r="CL970" s="121">
        <v>77.235500000000002</v>
      </c>
      <c r="CM970" s="121">
        <v>78.727000000000004</v>
      </c>
      <c r="CN970" s="121">
        <v>80.209000000000003</v>
      </c>
      <c r="CO970" s="121">
        <v>81.691000000000003</v>
      </c>
      <c r="CP970" s="121">
        <v>83.173000000000002</v>
      </c>
      <c r="CQ970" s="121">
        <v>84.655000000000001</v>
      </c>
      <c r="CR970" s="160">
        <v>86.115000000000009</v>
      </c>
      <c r="CS970" s="160">
        <v>87.575000000000003</v>
      </c>
      <c r="CT970" s="160">
        <v>89.057000000000002</v>
      </c>
      <c r="CU970" s="160">
        <v>90.539000000000001</v>
      </c>
      <c r="CV970" s="160">
        <v>92.031000000000006</v>
      </c>
      <c r="CW970" s="160">
        <v>93.522999999999996</v>
      </c>
      <c r="CX970" s="160">
        <v>95.004999999999995</v>
      </c>
      <c r="CY970" s="160">
        <v>96.486999999999995</v>
      </c>
      <c r="CZ970" s="121">
        <f t="array" ref="CZ970:CZ976">TRANSPOSE(DA969:DG969)</f>
        <v>97.852000000000004</v>
      </c>
      <c r="DA970" s="158">
        <v>99.216999999999999</v>
      </c>
      <c r="DB970" s="121">
        <f>DC969</f>
        <v>100.566</v>
      </c>
      <c r="DC970" s="158">
        <v>102.02</v>
      </c>
      <c r="DD970" s="121">
        <f>DE969</f>
        <v>103.61750000000001</v>
      </c>
      <c r="DE970" s="158">
        <v>105.21899999999999</v>
      </c>
      <c r="DF970" s="121">
        <f>DG969</f>
        <v>106.48050000000001</v>
      </c>
      <c r="DG970" s="159">
        <v>108.086</v>
      </c>
    </row>
    <row r="971" spans="54:111" ht="15" customHeight="1" x14ac:dyDescent="0.2">
      <c r="BB971" s="28">
        <v>55</v>
      </c>
      <c r="BC971" s="121">
        <v>20.353999999999999</v>
      </c>
      <c r="BD971" s="121">
        <v>22.382750000000001</v>
      </c>
      <c r="BE971" s="121">
        <v>24.4115</v>
      </c>
      <c r="BF971" s="121">
        <v>26.323250000000002</v>
      </c>
      <c r="BG971" s="121">
        <v>28.234999999999999</v>
      </c>
      <c r="BH971" s="121">
        <v>30.054000000000002</v>
      </c>
      <c r="BI971" s="121">
        <v>31.872999999999998</v>
      </c>
      <c r="BJ971" s="121">
        <v>33.60425</v>
      </c>
      <c r="BK971" s="121">
        <v>35.335499999999996</v>
      </c>
      <c r="BL971" s="121">
        <v>37.070999999999998</v>
      </c>
      <c r="BM971" s="121">
        <v>38.8065</v>
      </c>
      <c r="BN971" s="121">
        <v>40.479500000000002</v>
      </c>
      <c r="BO971" s="121">
        <v>42.152500000000003</v>
      </c>
      <c r="BP971" s="121">
        <v>43.830250000000007</v>
      </c>
      <c r="BQ971" s="121">
        <v>45.508000000000003</v>
      </c>
      <c r="BR971" s="121">
        <v>47.127250000000004</v>
      </c>
      <c r="BS971" s="121">
        <v>48.746499999999997</v>
      </c>
      <c r="BT971" s="121">
        <v>50.360500000000002</v>
      </c>
      <c r="BU971" s="121">
        <v>51.974500000000006</v>
      </c>
      <c r="BV971" s="121">
        <v>53.594000000000001</v>
      </c>
      <c r="BW971" s="121">
        <v>55.213499999999996</v>
      </c>
      <c r="BX971" s="121">
        <v>56.76925</v>
      </c>
      <c r="BY971" s="121">
        <v>58.325000000000003</v>
      </c>
      <c r="BZ971" s="121">
        <v>59.914999999999999</v>
      </c>
      <c r="CA971" s="121">
        <v>61.504999999999995</v>
      </c>
      <c r="CB971" s="121">
        <v>63.065250000000006</v>
      </c>
      <c r="CC971" s="121">
        <v>64.625500000000002</v>
      </c>
      <c r="CD971" s="121">
        <v>66.152249999999995</v>
      </c>
      <c r="CE971" s="121">
        <v>67.679000000000002</v>
      </c>
      <c r="CF971" s="121">
        <v>69.206000000000003</v>
      </c>
      <c r="CG971" s="121">
        <v>70.733000000000004</v>
      </c>
      <c r="CH971" s="121">
        <v>72.263750000000002</v>
      </c>
      <c r="CI971" s="121">
        <v>73.794499999999999</v>
      </c>
      <c r="CJ971" s="121">
        <v>75.292249999999996</v>
      </c>
      <c r="CK971" s="121">
        <v>76.789999999999992</v>
      </c>
      <c r="CL971" s="121">
        <v>78.355249999999998</v>
      </c>
      <c r="CM971" s="121">
        <v>79.920500000000004</v>
      </c>
      <c r="CN971" s="121">
        <v>81.417749999999998</v>
      </c>
      <c r="CO971" s="121">
        <v>82.914999999999992</v>
      </c>
      <c r="CP971" s="121">
        <v>84.412000000000006</v>
      </c>
      <c r="CQ971" s="121">
        <v>85.650999999999996</v>
      </c>
      <c r="CR971" s="160">
        <v>87.411249999999995</v>
      </c>
      <c r="CS971" s="160">
        <v>88.707499999999996</v>
      </c>
      <c r="CT971" s="160">
        <v>90.410750000000007</v>
      </c>
      <c r="CU971" s="160">
        <v>91.764499999999998</v>
      </c>
      <c r="CV971" s="160">
        <v>93.35175000000001</v>
      </c>
      <c r="CW971" s="160">
        <v>94.672499999999999</v>
      </c>
      <c r="CX971" s="160">
        <v>96.297499999999999</v>
      </c>
      <c r="CY971" s="160">
        <v>97.59</v>
      </c>
      <c r="CZ971" s="160">
        <v>99.209000000000003</v>
      </c>
      <c r="DA971" s="160">
        <f t="array" ref="DA971:DA976">TRANSPOSE(DB970:DG970)</f>
        <v>100.566</v>
      </c>
      <c r="DB971" s="120">
        <f>(DA971+DC971)/2</f>
        <v>102.12375</v>
      </c>
      <c r="DC971" s="120">
        <f>(DC970+DC972)/2</f>
        <v>103.6815</v>
      </c>
      <c r="DD971" s="120">
        <f>(DC971+DE971)/2</f>
        <v>105.20824999999999</v>
      </c>
      <c r="DE971" s="120">
        <f>(DE970+DE972)/2</f>
        <v>106.735</v>
      </c>
      <c r="DF971" s="120">
        <f>(DE971+DG971)/2</f>
        <v>108.17875000000001</v>
      </c>
      <c r="DG971" s="122">
        <f>(DG970+DG972)/2</f>
        <v>109.6225</v>
      </c>
    </row>
    <row r="972" spans="54:111" ht="15" customHeight="1" x14ac:dyDescent="0.2">
      <c r="BB972" s="28">
        <v>56</v>
      </c>
      <c r="BC972" s="121">
        <v>20.62</v>
      </c>
      <c r="BD972" s="121">
        <v>22.681000000000001</v>
      </c>
      <c r="BE972" s="121">
        <v>24.742000000000001</v>
      </c>
      <c r="BF972" s="121">
        <v>26.673500000000001</v>
      </c>
      <c r="BG972" s="121">
        <v>28.605</v>
      </c>
      <c r="BH972" s="121">
        <v>30.469000000000001</v>
      </c>
      <c r="BI972" s="121">
        <v>32.332999999999998</v>
      </c>
      <c r="BJ972" s="121">
        <v>34.079000000000001</v>
      </c>
      <c r="BK972" s="121">
        <v>35.825000000000003</v>
      </c>
      <c r="BL972" s="121">
        <v>37.580500000000001</v>
      </c>
      <c r="BM972" s="121">
        <v>39.335999999999999</v>
      </c>
      <c r="BN972" s="121">
        <v>41.046499999999995</v>
      </c>
      <c r="BO972" s="121">
        <v>42.756999999999998</v>
      </c>
      <c r="BP972" s="121">
        <v>44.445</v>
      </c>
      <c r="BQ972" s="121">
        <v>46.133000000000003</v>
      </c>
      <c r="BR972" s="121">
        <v>47.772500000000001</v>
      </c>
      <c r="BS972" s="121">
        <v>49.411999999999999</v>
      </c>
      <c r="BT972" s="121">
        <v>51.040999999999997</v>
      </c>
      <c r="BU972" s="121">
        <v>52.67</v>
      </c>
      <c r="BV972" s="121">
        <v>54.3095</v>
      </c>
      <c r="BW972" s="121">
        <v>55.948999999999998</v>
      </c>
      <c r="BX972" s="121">
        <v>57.542000000000002</v>
      </c>
      <c r="BY972" s="121">
        <v>59.134999999999998</v>
      </c>
      <c r="BZ972" s="121">
        <v>60.764499999999998</v>
      </c>
      <c r="CA972" s="121">
        <v>62.393999999999998</v>
      </c>
      <c r="CB972" s="121">
        <v>63.974500000000006</v>
      </c>
      <c r="CC972" s="121">
        <v>65.555000000000007</v>
      </c>
      <c r="CD972" s="121">
        <v>67.067499999999995</v>
      </c>
      <c r="CE972" s="121">
        <v>68.58</v>
      </c>
      <c r="CF972" s="121">
        <v>70.151499999999999</v>
      </c>
      <c r="CG972" s="121">
        <v>71.722999999999999</v>
      </c>
      <c r="CH972" s="121">
        <v>73.266500000000008</v>
      </c>
      <c r="CI972" s="121">
        <v>74.81</v>
      </c>
      <c r="CJ972" s="121">
        <v>76.323000000000008</v>
      </c>
      <c r="CK972" s="121">
        <v>77.835999999999999</v>
      </c>
      <c r="CL972" s="121">
        <v>79.474999999999994</v>
      </c>
      <c r="CM972" s="121">
        <v>81.114000000000004</v>
      </c>
      <c r="CN972" s="121">
        <v>82.626499999999993</v>
      </c>
      <c r="CO972" s="121">
        <v>84.138999999999996</v>
      </c>
      <c r="CP972" s="121">
        <v>85.650999999999996</v>
      </c>
      <c r="CQ972" s="121">
        <v>87.162999999999997</v>
      </c>
      <c r="CR972" s="160">
        <v>88.707499999999996</v>
      </c>
      <c r="CS972" s="160">
        <v>90.251999999999995</v>
      </c>
      <c r="CT972" s="160">
        <v>91.764499999999998</v>
      </c>
      <c r="CU972" s="160">
        <v>93.277000000000001</v>
      </c>
      <c r="CV972" s="160">
        <v>94.672499999999999</v>
      </c>
      <c r="CW972" s="160">
        <v>96.067999999999998</v>
      </c>
      <c r="CX972" s="160">
        <v>97.59</v>
      </c>
      <c r="CY972" s="160">
        <v>99.111999999999995</v>
      </c>
      <c r="CZ972" s="160">
        <v>100.566</v>
      </c>
      <c r="DA972" s="160">
        <v>102.02</v>
      </c>
      <c r="DB972" s="121">
        <f t="array" ref="DB972:DB976">TRANSPOSE(DC971:DG971)</f>
        <v>103.6815</v>
      </c>
      <c r="DC972" s="158">
        <v>105.343</v>
      </c>
      <c r="DD972" s="121">
        <f>DE971</f>
        <v>106.735</v>
      </c>
      <c r="DE972" s="158">
        <v>108.251</v>
      </c>
      <c r="DF972" s="121">
        <f>DG971</f>
        <v>109.6225</v>
      </c>
      <c r="DG972" s="159">
        <v>111.15900000000001</v>
      </c>
    </row>
    <row r="973" spans="54:111" ht="15" customHeight="1" x14ac:dyDescent="0.2">
      <c r="BB973" s="28">
        <v>57</v>
      </c>
      <c r="BC973" s="121">
        <v>20.898</v>
      </c>
      <c r="BD973" s="121">
        <v>22.978999999999999</v>
      </c>
      <c r="BE973" s="121">
        <v>25.060000000000002</v>
      </c>
      <c r="BF973" s="121">
        <v>27.002000000000002</v>
      </c>
      <c r="BG973" s="121">
        <v>28.944000000000003</v>
      </c>
      <c r="BH973" s="121">
        <v>30.838750000000001</v>
      </c>
      <c r="BI973" s="121">
        <v>32.733499999999999</v>
      </c>
      <c r="BJ973" s="121">
        <v>34.535250000000005</v>
      </c>
      <c r="BK973" s="121">
        <v>36.337000000000003</v>
      </c>
      <c r="BL973" s="121">
        <v>38.107749999999996</v>
      </c>
      <c r="BM973" s="121">
        <v>39.878500000000003</v>
      </c>
      <c r="BN973" s="121">
        <v>41.608999999999995</v>
      </c>
      <c r="BO973" s="121">
        <v>43.339500000000001</v>
      </c>
      <c r="BP973" s="121">
        <v>45.042500000000004</v>
      </c>
      <c r="BQ973" s="121">
        <v>46.7455</v>
      </c>
      <c r="BR973" s="121">
        <v>48.411000000000001</v>
      </c>
      <c r="BS973" s="121">
        <v>50.076499999999996</v>
      </c>
      <c r="BT973" s="121">
        <v>51.761499999999998</v>
      </c>
      <c r="BU973" s="121">
        <v>53.4465</v>
      </c>
      <c r="BV973" s="121">
        <v>55.071750000000002</v>
      </c>
      <c r="BW973" s="121">
        <v>56.697000000000003</v>
      </c>
      <c r="BX973" s="121">
        <v>58.334249999999997</v>
      </c>
      <c r="BY973" s="121">
        <v>59.971499999999999</v>
      </c>
      <c r="BZ973" s="121">
        <v>61.591749999999998</v>
      </c>
      <c r="CA973" s="121">
        <v>63.212000000000003</v>
      </c>
      <c r="CB973" s="121">
        <v>64.819000000000003</v>
      </c>
      <c r="CC973" s="121">
        <v>66.426000000000002</v>
      </c>
      <c r="CD973" s="121">
        <v>67.994</v>
      </c>
      <c r="CE973" s="121">
        <v>69.561999999999998</v>
      </c>
      <c r="CF973" s="121">
        <v>71.15325</v>
      </c>
      <c r="CG973" s="121">
        <v>72.744500000000002</v>
      </c>
      <c r="CH973" s="121">
        <v>74.328000000000003</v>
      </c>
      <c r="CI973" s="121">
        <v>75.911500000000004</v>
      </c>
      <c r="CJ973" s="121">
        <v>77.444250000000011</v>
      </c>
      <c r="CK973" s="121">
        <v>78.977000000000004</v>
      </c>
      <c r="CL973" s="121">
        <v>80.578999999999994</v>
      </c>
      <c r="CM973" s="121">
        <v>82.181000000000012</v>
      </c>
      <c r="CN973" s="121">
        <v>83.724249999999998</v>
      </c>
      <c r="CO973" s="121">
        <v>85.267499999999998</v>
      </c>
      <c r="CP973" s="121">
        <v>86.79525000000001</v>
      </c>
      <c r="CQ973" s="121">
        <v>87.93950000000001</v>
      </c>
      <c r="CR973" s="160">
        <v>89.882499999999993</v>
      </c>
      <c r="CS973" s="160">
        <v>91.057500000000005</v>
      </c>
      <c r="CT973" s="160">
        <v>92.974249999999998</v>
      </c>
      <c r="CU973" s="160">
        <v>94.183999999999997</v>
      </c>
      <c r="CV973" s="160">
        <v>95.986750000000001</v>
      </c>
      <c r="CW973" s="160">
        <v>97.301000000000002</v>
      </c>
      <c r="CX973" s="160">
        <v>99.015500000000003</v>
      </c>
      <c r="CY973" s="160">
        <v>100.441</v>
      </c>
      <c r="CZ973" s="160">
        <v>102.09175</v>
      </c>
      <c r="DA973" s="160">
        <v>103.61750000000001</v>
      </c>
      <c r="DB973" s="160">
        <v>105.20824999999999</v>
      </c>
      <c r="DC973" s="160">
        <f t="array" ref="DC973:DC976">TRANSPOSE(DD972:DG972)</f>
        <v>106.735</v>
      </c>
      <c r="DD973" s="120">
        <f>(DC973+DE973)/2</f>
        <v>108.23525000000001</v>
      </c>
      <c r="DE973" s="120">
        <f>(DE972+DE974)/2</f>
        <v>109.7355</v>
      </c>
      <c r="DF973" s="120">
        <f>(DE973+DG973)/2</f>
        <v>111.2205</v>
      </c>
      <c r="DG973" s="122">
        <f>(DG972+DG974)/2</f>
        <v>112.7055</v>
      </c>
    </row>
    <row r="974" spans="54:111" ht="15" customHeight="1" x14ac:dyDescent="0.2">
      <c r="BB974" s="28">
        <v>58</v>
      </c>
      <c r="BC974" s="121">
        <v>21.175999999999998</v>
      </c>
      <c r="BD974" s="121">
        <v>23.277000000000001</v>
      </c>
      <c r="BE974" s="121">
        <v>25.378</v>
      </c>
      <c r="BF974" s="121">
        <v>27.330500000000001</v>
      </c>
      <c r="BG974" s="121">
        <v>29.283000000000001</v>
      </c>
      <c r="BH974" s="121">
        <v>31.208500000000001</v>
      </c>
      <c r="BI974" s="121">
        <v>33.134</v>
      </c>
      <c r="BJ974" s="121">
        <v>34.991500000000002</v>
      </c>
      <c r="BK974" s="121">
        <v>36.848999999999997</v>
      </c>
      <c r="BL974" s="121">
        <v>38.634999999999998</v>
      </c>
      <c r="BM974" s="121">
        <v>40.420999999999999</v>
      </c>
      <c r="BN974" s="121">
        <v>42.171499999999995</v>
      </c>
      <c r="BO974" s="121">
        <v>43.921999999999997</v>
      </c>
      <c r="BP974" s="121">
        <v>45.64</v>
      </c>
      <c r="BQ974" s="121">
        <v>47.357999999999997</v>
      </c>
      <c r="BR974" s="121">
        <v>49.049499999999995</v>
      </c>
      <c r="BS974" s="121">
        <v>50.741</v>
      </c>
      <c r="BT974" s="121">
        <v>52.481999999999999</v>
      </c>
      <c r="BU974" s="121">
        <v>54.222999999999999</v>
      </c>
      <c r="BV974" s="121">
        <v>55.834000000000003</v>
      </c>
      <c r="BW974" s="121">
        <v>57.445</v>
      </c>
      <c r="BX974" s="121">
        <v>59.1265</v>
      </c>
      <c r="BY974" s="121">
        <v>60.808</v>
      </c>
      <c r="BZ974" s="121">
        <v>62.418999999999997</v>
      </c>
      <c r="CA974" s="121">
        <v>64.03</v>
      </c>
      <c r="CB974" s="121">
        <v>65.663499999999999</v>
      </c>
      <c r="CC974" s="121">
        <v>67.296999999999997</v>
      </c>
      <c r="CD974" s="121">
        <v>68.920500000000004</v>
      </c>
      <c r="CE974" s="121">
        <v>70.543999999999997</v>
      </c>
      <c r="CF974" s="121">
        <v>72.155000000000001</v>
      </c>
      <c r="CG974" s="121">
        <v>73.766000000000005</v>
      </c>
      <c r="CH974" s="121">
        <v>75.389499999999998</v>
      </c>
      <c r="CI974" s="121">
        <v>77.013000000000005</v>
      </c>
      <c r="CJ974" s="121">
        <v>78.5655</v>
      </c>
      <c r="CK974" s="121">
        <v>80.117999999999995</v>
      </c>
      <c r="CL974" s="121">
        <v>81.682999999999993</v>
      </c>
      <c r="CM974" s="121">
        <v>83.248000000000005</v>
      </c>
      <c r="CN974" s="121">
        <v>84.822000000000003</v>
      </c>
      <c r="CO974" s="121">
        <v>86.396000000000001</v>
      </c>
      <c r="CP974" s="121">
        <v>87.93950000000001</v>
      </c>
      <c r="CQ974" s="121">
        <v>89.483000000000004</v>
      </c>
      <c r="CR974" s="160">
        <v>91.057500000000005</v>
      </c>
      <c r="CS974" s="160">
        <v>92.632000000000005</v>
      </c>
      <c r="CT974" s="160">
        <v>94.183999999999997</v>
      </c>
      <c r="CU974" s="160">
        <v>95.736000000000004</v>
      </c>
      <c r="CV974" s="160">
        <v>97.301000000000002</v>
      </c>
      <c r="CW974" s="160">
        <v>98.866</v>
      </c>
      <c r="CX974" s="160">
        <v>100.441</v>
      </c>
      <c r="CY974" s="160">
        <v>102.01600000000001</v>
      </c>
      <c r="CZ974" s="160">
        <v>103.61750000000001</v>
      </c>
      <c r="DA974" s="160">
        <v>105.21899999999999</v>
      </c>
      <c r="DB974" s="160">
        <v>106.735</v>
      </c>
      <c r="DC974" s="160">
        <v>108.251</v>
      </c>
      <c r="DD974" s="121">
        <f t="array" ref="DD974:DD976">TRANSPOSE(DE973:DG973)</f>
        <v>109.7355</v>
      </c>
      <c r="DE974" s="158">
        <v>111.22</v>
      </c>
      <c r="DF974" s="121">
        <f>DG973</f>
        <v>112.7055</v>
      </c>
      <c r="DG974" s="159">
        <v>114.252</v>
      </c>
    </row>
    <row r="975" spans="54:111" ht="15" customHeight="1" x14ac:dyDescent="0.2">
      <c r="BB975" s="28">
        <v>59</v>
      </c>
      <c r="BC975" s="121">
        <v>21.4635</v>
      </c>
      <c r="BD975" s="121">
        <v>23.60425</v>
      </c>
      <c r="BE975" s="121">
        <v>25.744999999999997</v>
      </c>
      <c r="BF975" s="121">
        <v>27.728249999999999</v>
      </c>
      <c r="BG975" s="121">
        <v>29.711500000000001</v>
      </c>
      <c r="BH975" s="121">
        <v>31.652250000000002</v>
      </c>
      <c r="BI975" s="121">
        <v>33.593000000000004</v>
      </c>
      <c r="BJ975" s="121">
        <v>35.470500000000001</v>
      </c>
      <c r="BK975" s="121">
        <v>37.347999999999999</v>
      </c>
      <c r="BL975" s="121">
        <v>39.155500000000004</v>
      </c>
      <c r="BM975" s="121">
        <v>40.963000000000001</v>
      </c>
      <c r="BN975" s="121">
        <v>42.728499999999997</v>
      </c>
      <c r="BO975" s="121">
        <v>44.494</v>
      </c>
      <c r="BP975" s="121">
        <v>46.243499999999997</v>
      </c>
      <c r="BQ975" s="121">
        <v>47.992999999999995</v>
      </c>
      <c r="BR975" s="121">
        <v>49.728999999999999</v>
      </c>
      <c r="BS975" s="121">
        <v>51.465000000000003</v>
      </c>
      <c r="BT975" s="121">
        <v>53.191749999999999</v>
      </c>
      <c r="BU975" s="121">
        <v>54.918499999999995</v>
      </c>
      <c r="BV975" s="121">
        <v>56.58475</v>
      </c>
      <c r="BW975" s="121">
        <v>58.251000000000005</v>
      </c>
      <c r="BX975" s="121">
        <v>59.923500000000004</v>
      </c>
      <c r="BY975" s="121">
        <v>61.596000000000004</v>
      </c>
      <c r="BZ975" s="121">
        <v>63.262499999999996</v>
      </c>
      <c r="CA975" s="121">
        <v>64.929000000000002</v>
      </c>
      <c r="CB975" s="121">
        <v>66.572749999999999</v>
      </c>
      <c r="CC975" s="121">
        <v>68.216499999999996</v>
      </c>
      <c r="CD975" s="121">
        <v>69.86</v>
      </c>
      <c r="CE975" s="121">
        <v>71.503500000000003</v>
      </c>
      <c r="CF975" s="121">
        <v>73.140749999999997</v>
      </c>
      <c r="CG975" s="121">
        <v>74.778000000000006</v>
      </c>
      <c r="CH975" s="121">
        <v>76.392499999999998</v>
      </c>
      <c r="CI975" s="121">
        <v>78.007000000000005</v>
      </c>
      <c r="CJ975" s="121">
        <v>79.580749999999995</v>
      </c>
      <c r="CK975" s="121">
        <v>81.154499999999999</v>
      </c>
      <c r="CL975" s="121">
        <v>82.797749999999994</v>
      </c>
      <c r="CM975" s="121">
        <v>84.441000000000003</v>
      </c>
      <c r="CN975" s="121">
        <v>86.030500000000004</v>
      </c>
      <c r="CO975" s="121">
        <v>87.62</v>
      </c>
      <c r="CP975" s="121">
        <v>89.194250000000011</v>
      </c>
      <c r="CQ975" s="121">
        <v>90.448999999999998</v>
      </c>
      <c r="CR975" s="160">
        <v>92.353499999999997</v>
      </c>
      <c r="CS975" s="160">
        <v>93.649500000000003</v>
      </c>
      <c r="CT975" s="160">
        <v>95.516999999999996</v>
      </c>
      <c r="CU975" s="160">
        <v>96.85</v>
      </c>
      <c r="CV975" s="160">
        <v>98.680499999999995</v>
      </c>
      <c r="CW975" s="160">
        <v>100.06</v>
      </c>
      <c r="CX975" s="160">
        <v>101.85550000000001</v>
      </c>
      <c r="CY975" s="160">
        <v>103.27000000000001</v>
      </c>
      <c r="CZ975" s="160">
        <v>105.04900000000001</v>
      </c>
      <c r="DA975" s="160">
        <v>106.48050000000001</v>
      </c>
      <c r="DB975" s="160">
        <v>108.17875000000001</v>
      </c>
      <c r="DC975" s="160">
        <v>109.6225</v>
      </c>
      <c r="DD975" s="160">
        <v>111.2205</v>
      </c>
      <c r="DE975" s="160">
        <f t="array" ref="DE975:DE976">TRANSPOSE(DF974:DG974)</f>
        <v>112.7055</v>
      </c>
      <c r="DF975" s="120">
        <f>(DE975+DG975)/2</f>
        <v>114.252</v>
      </c>
      <c r="DG975" s="122">
        <f>(DG974+DG976)/2</f>
        <v>115.79849999999999</v>
      </c>
    </row>
    <row r="976" spans="54:111" ht="15" customHeight="1" thickBot="1" x14ac:dyDescent="0.25">
      <c r="BB976" s="149">
        <v>60</v>
      </c>
      <c r="BC976" s="123">
        <v>21.751000000000001</v>
      </c>
      <c r="BD976" s="123">
        <v>23.9315</v>
      </c>
      <c r="BE976" s="123">
        <v>26.111999999999998</v>
      </c>
      <c r="BF976" s="123">
        <v>28.125999999999998</v>
      </c>
      <c r="BG976" s="123">
        <v>30.14</v>
      </c>
      <c r="BH976" s="123">
        <v>32.096000000000004</v>
      </c>
      <c r="BI976" s="123">
        <v>34.052</v>
      </c>
      <c r="BJ976" s="123">
        <v>35.9495</v>
      </c>
      <c r="BK976" s="123">
        <v>37.847000000000001</v>
      </c>
      <c r="BL976" s="123">
        <v>39.676000000000002</v>
      </c>
      <c r="BM976" s="123">
        <v>41.505000000000003</v>
      </c>
      <c r="BN976" s="123">
        <v>43.285499999999999</v>
      </c>
      <c r="BO976" s="123">
        <v>45.066000000000003</v>
      </c>
      <c r="BP976" s="123">
        <v>46.847000000000001</v>
      </c>
      <c r="BQ976" s="123">
        <v>48.628</v>
      </c>
      <c r="BR976" s="123">
        <v>50.408500000000004</v>
      </c>
      <c r="BS976" s="123">
        <v>52.189</v>
      </c>
      <c r="BT976" s="123">
        <v>53.901499999999999</v>
      </c>
      <c r="BU976" s="123">
        <v>55.613999999999997</v>
      </c>
      <c r="BV976" s="123">
        <v>57.335499999999996</v>
      </c>
      <c r="BW976" s="123">
        <v>59.057000000000002</v>
      </c>
      <c r="BX976" s="123">
        <v>60.720500000000001</v>
      </c>
      <c r="BY976" s="123">
        <v>62.384</v>
      </c>
      <c r="BZ976" s="123">
        <v>64.105999999999995</v>
      </c>
      <c r="CA976" s="123">
        <v>65.828000000000003</v>
      </c>
      <c r="CB976" s="123">
        <v>67.481999999999999</v>
      </c>
      <c r="CC976" s="123">
        <v>69.135999999999996</v>
      </c>
      <c r="CD976" s="123">
        <v>70.799499999999995</v>
      </c>
      <c r="CE976" s="123">
        <v>72.462999999999994</v>
      </c>
      <c r="CF976" s="123">
        <v>74.126499999999993</v>
      </c>
      <c r="CG976" s="123">
        <v>75.790000000000006</v>
      </c>
      <c r="CH976" s="123">
        <v>77.395499999999998</v>
      </c>
      <c r="CI976" s="123">
        <v>79.001000000000005</v>
      </c>
      <c r="CJ976" s="123">
        <v>80.596000000000004</v>
      </c>
      <c r="CK976" s="123">
        <v>82.191000000000003</v>
      </c>
      <c r="CL976" s="123">
        <v>83.912499999999994</v>
      </c>
      <c r="CM976" s="123">
        <v>85.634</v>
      </c>
      <c r="CN976" s="123">
        <v>87.239000000000004</v>
      </c>
      <c r="CO976" s="123">
        <v>88.843999999999994</v>
      </c>
      <c r="CP976" s="123">
        <v>90.448999999999998</v>
      </c>
      <c r="CQ976" s="123">
        <v>92.054000000000002</v>
      </c>
      <c r="CR976" s="161">
        <v>93.649500000000003</v>
      </c>
      <c r="CS976" s="161">
        <v>95.245000000000005</v>
      </c>
      <c r="CT976" s="161">
        <v>96.85</v>
      </c>
      <c r="CU976" s="161">
        <v>98.454999999999998</v>
      </c>
      <c r="CV976" s="161">
        <v>100.06</v>
      </c>
      <c r="CW976" s="161">
        <v>101.66500000000001</v>
      </c>
      <c r="CX976" s="161">
        <v>103.27000000000001</v>
      </c>
      <c r="CY976" s="161">
        <v>104.875</v>
      </c>
      <c r="CZ976" s="161">
        <v>106.48050000000001</v>
      </c>
      <c r="DA976" s="161">
        <v>108.086</v>
      </c>
      <c r="DB976" s="161">
        <v>109.6225</v>
      </c>
      <c r="DC976" s="161">
        <v>111.15900000000001</v>
      </c>
      <c r="DD976" s="161">
        <v>112.7055</v>
      </c>
      <c r="DE976" s="161">
        <v>114.252</v>
      </c>
      <c r="DF976" s="151">
        <f>DG975</f>
        <v>115.79849999999999</v>
      </c>
      <c r="DG976" s="162">
        <v>117.345</v>
      </c>
    </row>
    <row r="977" spans="54:111" ht="15" customHeight="1" thickBot="1" x14ac:dyDescent="0.25">
      <c r="BB977" s="25"/>
      <c r="BC977" s="25"/>
      <c r="BD977" s="25"/>
      <c r="BE977" s="25"/>
      <c r="BF977" s="25"/>
      <c r="BG977" s="25"/>
      <c r="BH977" s="25"/>
      <c r="BI977" s="25"/>
      <c r="BJ977" s="25"/>
      <c r="BK977" s="25"/>
      <c r="BL977" s="25"/>
      <c r="BM977" s="25"/>
      <c r="BN977" s="25"/>
      <c r="BO977" s="25"/>
      <c r="BP977" s="25"/>
      <c r="BQ977" s="25"/>
      <c r="BR977" s="25"/>
      <c r="BS977" s="25"/>
      <c r="BT977" s="25"/>
      <c r="BU977" s="25"/>
      <c r="BV977" s="25"/>
      <c r="BW977" s="25"/>
      <c r="BX977" s="25"/>
      <c r="BY977" s="25"/>
      <c r="BZ977" s="25"/>
      <c r="CA977" s="25"/>
      <c r="CB977" s="25"/>
      <c r="CC977" s="25"/>
      <c r="CD977" s="25"/>
      <c r="CE977" s="25"/>
      <c r="CF977" s="25"/>
      <c r="CG977" s="25"/>
      <c r="CH977" s="25"/>
      <c r="CI977" s="25"/>
      <c r="CJ977" s="25"/>
      <c r="CK977" s="25"/>
      <c r="CL977" s="25"/>
      <c r="CM977" s="25"/>
      <c r="CN977" s="25"/>
      <c r="CO977" s="25"/>
      <c r="CP977" s="25"/>
      <c r="CQ977" s="25"/>
    </row>
    <row r="978" spans="54:111" ht="15" customHeight="1" thickBot="1" x14ac:dyDescent="0.3">
      <c r="BB978" s="1830" t="s">
        <v>311</v>
      </c>
      <c r="BC978" s="1831"/>
      <c r="BD978" s="1831"/>
      <c r="BE978" s="1831"/>
      <c r="BF978" s="1831"/>
      <c r="BG978" s="1831"/>
      <c r="BH978" s="1831"/>
      <c r="BI978" s="1831"/>
      <c r="BJ978" s="1831"/>
      <c r="BK978" s="1831"/>
      <c r="BL978" s="1831"/>
      <c r="BM978" s="1831"/>
      <c r="BN978" s="1831"/>
      <c r="BO978" s="1831"/>
      <c r="BP978" s="1831"/>
      <c r="BQ978" s="1831"/>
      <c r="BR978" s="1831"/>
      <c r="BS978" s="1831"/>
      <c r="BT978" s="1831"/>
      <c r="BU978" s="1831"/>
      <c r="BV978" s="1831"/>
      <c r="BW978" s="1831"/>
      <c r="BX978" s="1831"/>
      <c r="BY978" s="1831"/>
      <c r="BZ978" s="1831"/>
      <c r="CA978" s="1831"/>
      <c r="CB978" s="1831"/>
      <c r="CC978" s="1831"/>
      <c r="CD978" s="1831"/>
      <c r="CE978" s="1831"/>
      <c r="CF978" s="1831"/>
      <c r="CG978" s="1831"/>
      <c r="CH978" s="1831"/>
      <c r="CI978" s="1831"/>
      <c r="CJ978" s="1831"/>
      <c r="CK978" s="1831"/>
      <c r="CL978" s="1831"/>
      <c r="CM978" s="1831"/>
      <c r="CN978" s="1831"/>
      <c r="CO978" s="1831"/>
      <c r="CP978" s="1831"/>
      <c r="CQ978" s="1831"/>
      <c r="CR978" s="1831"/>
      <c r="CS978" s="1831"/>
      <c r="CT978" s="1831"/>
      <c r="CU978" s="1831"/>
      <c r="CV978" s="1831"/>
      <c r="CW978" s="1831"/>
      <c r="CX978" s="1831"/>
      <c r="CY978" s="1831"/>
      <c r="CZ978" s="1831"/>
      <c r="DA978" s="1831"/>
      <c r="DB978" s="1831"/>
      <c r="DC978" s="1831"/>
      <c r="DD978" s="1831"/>
      <c r="DE978" s="1831"/>
      <c r="DF978" s="1831"/>
      <c r="DG978" s="1832"/>
    </row>
    <row r="979" spans="54:111" ht="15" customHeight="1" x14ac:dyDescent="0.2">
      <c r="BB979" s="26"/>
      <c r="BC979" s="27">
        <v>4</v>
      </c>
      <c r="BD979" s="27">
        <v>5</v>
      </c>
      <c r="BE979" s="27">
        <v>6</v>
      </c>
      <c r="BF979" s="27">
        <v>7</v>
      </c>
      <c r="BG979" s="27">
        <v>8</v>
      </c>
      <c r="BH979" s="27">
        <v>9</v>
      </c>
      <c r="BI979" s="27">
        <v>10</v>
      </c>
      <c r="BJ979" s="27">
        <v>11</v>
      </c>
      <c r="BK979" s="27">
        <v>12</v>
      </c>
      <c r="BL979" s="27">
        <v>13</v>
      </c>
      <c r="BM979" s="27">
        <v>14</v>
      </c>
      <c r="BN979" s="27">
        <v>15</v>
      </c>
      <c r="BO979" s="27">
        <v>16</v>
      </c>
      <c r="BP979" s="27">
        <v>17</v>
      </c>
      <c r="BQ979" s="27">
        <v>18</v>
      </c>
      <c r="BR979" s="27">
        <v>19</v>
      </c>
      <c r="BS979" s="27">
        <v>20</v>
      </c>
      <c r="BT979" s="27">
        <v>21</v>
      </c>
      <c r="BU979" s="27">
        <v>22</v>
      </c>
      <c r="BV979" s="27">
        <v>23</v>
      </c>
      <c r="BW979" s="27">
        <v>24</v>
      </c>
      <c r="BX979" s="27">
        <v>25</v>
      </c>
      <c r="BY979" s="27">
        <v>26</v>
      </c>
      <c r="BZ979" s="27">
        <v>27</v>
      </c>
      <c r="CA979" s="27">
        <v>28</v>
      </c>
      <c r="CB979" s="27">
        <v>29</v>
      </c>
      <c r="CC979" s="27">
        <v>30</v>
      </c>
      <c r="CD979" s="27">
        <v>31</v>
      </c>
      <c r="CE979" s="27">
        <v>32</v>
      </c>
      <c r="CF979" s="27">
        <v>33</v>
      </c>
      <c r="CG979" s="27">
        <v>34</v>
      </c>
      <c r="CH979" s="27">
        <v>35</v>
      </c>
      <c r="CI979" s="27">
        <v>36</v>
      </c>
      <c r="CJ979" s="27">
        <v>37</v>
      </c>
      <c r="CK979" s="27">
        <v>38</v>
      </c>
      <c r="CL979" s="27">
        <v>39</v>
      </c>
      <c r="CM979" s="27">
        <v>40</v>
      </c>
      <c r="CN979" s="27">
        <v>41</v>
      </c>
      <c r="CO979" s="27">
        <v>42</v>
      </c>
      <c r="CP979" s="27">
        <v>43</v>
      </c>
      <c r="CQ979" s="27">
        <v>44</v>
      </c>
      <c r="CR979" s="27">
        <v>45</v>
      </c>
      <c r="CS979" s="27">
        <v>46</v>
      </c>
      <c r="CT979" s="27">
        <v>47</v>
      </c>
      <c r="CU979" s="27">
        <v>48</v>
      </c>
      <c r="CV979" s="27">
        <v>49</v>
      </c>
      <c r="CW979" s="27">
        <v>50</v>
      </c>
      <c r="CX979" s="27">
        <v>51</v>
      </c>
      <c r="CY979" s="27">
        <v>52</v>
      </c>
      <c r="CZ979" s="27">
        <v>53</v>
      </c>
      <c r="DA979" s="27">
        <v>54</v>
      </c>
      <c r="DB979" s="27">
        <v>55</v>
      </c>
      <c r="DC979" s="27">
        <v>56</v>
      </c>
      <c r="DD979" s="27">
        <v>57</v>
      </c>
      <c r="DE979" s="27">
        <v>58</v>
      </c>
      <c r="DF979" s="27">
        <v>59</v>
      </c>
      <c r="DG979" s="142">
        <v>60</v>
      </c>
    </row>
    <row r="980" spans="54:111" ht="15" customHeight="1" x14ac:dyDescent="0.2">
      <c r="BB980" s="28">
        <v>4</v>
      </c>
      <c r="BC980" s="156">
        <v>4.1070000000000002</v>
      </c>
      <c r="BD980" s="120">
        <f>(BE980+BC980)/2</f>
        <v>4.5754999999999999</v>
      </c>
      <c r="BE980" s="156">
        <v>5.0439999999999996</v>
      </c>
      <c r="BF980" s="120">
        <f>(BG980+BE980)/2</f>
        <v>5.48</v>
      </c>
      <c r="BG980" s="156">
        <v>5.9160000000000004</v>
      </c>
      <c r="BH980" s="120">
        <f>(BI980+BG980)/2</f>
        <v>6.3425000000000002</v>
      </c>
      <c r="BI980" s="156">
        <v>6.7690000000000001</v>
      </c>
      <c r="BJ980" s="120">
        <f>(BK980+BI980)/2</f>
        <v>7.1315</v>
      </c>
      <c r="BK980" s="156">
        <v>7.4939999999999998</v>
      </c>
      <c r="BL980" s="120">
        <f>(BM980+BK980)/2</f>
        <v>7.8659999999999997</v>
      </c>
      <c r="BM980" s="156">
        <v>8.2379999999999995</v>
      </c>
      <c r="BN980" s="120">
        <f>(BO980+BM980)/2</f>
        <v>8.6425000000000001</v>
      </c>
      <c r="BO980" s="156">
        <v>9.0470000000000006</v>
      </c>
      <c r="BP980" s="120">
        <f>(BQ980+BO980)/2</f>
        <v>9.4095000000000013</v>
      </c>
      <c r="BQ980" s="156">
        <v>9.7720000000000002</v>
      </c>
      <c r="BR980" s="120">
        <f>(BS980+BQ980)/2</f>
        <v>10.081</v>
      </c>
      <c r="BS980" s="156">
        <v>10.39</v>
      </c>
      <c r="BT980" s="120">
        <f>(BU980+BS980)/2</f>
        <v>10.752000000000001</v>
      </c>
      <c r="BU980" s="156">
        <v>11.114000000000001</v>
      </c>
      <c r="BV980" s="120">
        <f>(BW980+BU980)/2</f>
        <v>11.486499999999999</v>
      </c>
      <c r="BW980" s="156">
        <v>11.859</v>
      </c>
      <c r="BX980" s="120">
        <f>(BY980+BW980)/2</f>
        <v>12.135</v>
      </c>
      <c r="BY980" s="156">
        <v>12.411</v>
      </c>
      <c r="BZ980" s="120">
        <f>(CA980+BY980)/2</f>
        <v>12.773499999999999</v>
      </c>
      <c r="CA980" s="156">
        <v>13.135999999999999</v>
      </c>
      <c r="CB980" s="120">
        <f>(CC980+CA980)/2</f>
        <v>13.509</v>
      </c>
      <c r="CC980" s="156">
        <v>13.882</v>
      </c>
      <c r="CD980" s="120">
        <f>(CE980+CC980)/2</f>
        <v>14.18</v>
      </c>
      <c r="CE980" s="156">
        <v>14.478</v>
      </c>
      <c r="CF980" s="120">
        <f>(CG980+CE980)/2</f>
        <v>14.786999999999999</v>
      </c>
      <c r="CG980" s="156">
        <v>15.096</v>
      </c>
      <c r="CH980" s="120">
        <f>(CI980+CG980)/2</f>
        <v>15.436499999999999</v>
      </c>
      <c r="CI980" s="156">
        <v>15.776999999999999</v>
      </c>
      <c r="CJ980" s="120">
        <f>(CK980+CI980)/2</f>
        <v>16.075499999999998</v>
      </c>
      <c r="CK980" s="156">
        <v>16.373999999999999</v>
      </c>
      <c r="CL980" s="120">
        <f>(CM980+CK980)/2</f>
        <v>16.681999999999999</v>
      </c>
      <c r="CM980" s="156">
        <v>16.989999999999998</v>
      </c>
      <c r="CN980" s="120">
        <f>(CO980+CM980)/2</f>
        <v>17.287999999999997</v>
      </c>
      <c r="CO980" s="156">
        <v>17.585999999999999</v>
      </c>
      <c r="CP980" s="120">
        <f>(CQ980+CO980)/2</f>
        <v>17.948499999999999</v>
      </c>
      <c r="CQ980" s="156">
        <v>18.311</v>
      </c>
      <c r="CR980" s="120">
        <f>(CS980+CQ980)/2</f>
        <v>18.597999999999999</v>
      </c>
      <c r="CS980" s="156">
        <v>18.885000000000002</v>
      </c>
      <c r="CT980" s="120">
        <f>(CU980+CS980)/2</f>
        <v>19.183500000000002</v>
      </c>
      <c r="CU980" s="156">
        <v>19.481999999999999</v>
      </c>
      <c r="CV980" s="120">
        <f>(CW980+CU980)/2</f>
        <v>19.790500000000002</v>
      </c>
      <c r="CW980" s="156">
        <v>20.099</v>
      </c>
      <c r="CX980" s="120">
        <f>(CY980+CW980)/2</f>
        <v>20.398</v>
      </c>
      <c r="CY980" s="156">
        <v>20.696999999999999</v>
      </c>
      <c r="CZ980" s="120">
        <f>(DA980+CY980)/2</f>
        <v>20.994500000000002</v>
      </c>
      <c r="DA980" s="156">
        <v>21.292000000000002</v>
      </c>
      <c r="DB980" s="120">
        <f>(DC980+DA980)/2</f>
        <v>21.578499999999998</v>
      </c>
      <c r="DC980" s="156">
        <v>21.864999999999998</v>
      </c>
      <c r="DD980" s="120">
        <f>(DE980+DC980)/2</f>
        <v>22.163499999999999</v>
      </c>
      <c r="DE980" s="156">
        <v>22.462</v>
      </c>
      <c r="DF980" s="120">
        <f>(DG980+DE980)/2</f>
        <v>22.771000000000001</v>
      </c>
      <c r="DG980" s="157">
        <v>23.08</v>
      </c>
    </row>
    <row r="981" spans="54:111" ht="15" customHeight="1" x14ac:dyDescent="0.2">
      <c r="BB981" s="28">
        <v>5</v>
      </c>
      <c r="BC981" s="121">
        <f t="array" ref="BC981:BC1036">TRANSPOSE(BD980:DG980)</f>
        <v>4.5754999999999999</v>
      </c>
      <c r="BD981" s="120">
        <f>(BC981+BE981)/2</f>
        <v>5.0867500000000003</v>
      </c>
      <c r="BE981" s="120">
        <f>(BE980+BE982)/2</f>
        <v>5.5979999999999999</v>
      </c>
      <c r="BF981" s="120">
        <f>(BE981+BG981)/2</f>
        <v>6.0775000000000006</v>
      </c>
      <c r="BG981" s="120">
        <f>(BG980+BG982)/2</f>
        <v>6.5570000000000004</v>
      </c>
      <c r="BH981" s="120">
        <f>(BG981+BI981)/2</f>
        <v>7.0365000000000002</v>
      </c>
      <c r="BI981" s="120">
        <f>(BI980+BI982)/2</f>
        <v>7.516</v>
      </c>
      <c r="BJ981" s="120">
        <f>(BI981+BK981)/2</f>
        <v>7.9267499999999993</v>
      </c>
      <c r="BK981" s="120">
        <f>(BK980+BK982)/2</f>
        <v>8.3374999999999986</v>
      </c>
      <c r="BL981" s="120">
        <f>(BK981+BM981)/2</f>
        <v>8.7257499999999997</v>
      </c>
      <c r="BM981" s="120">
        <f>(BM980+BM982)/2</f>
        <v>9.1140000000000008</v>
      </c>
      <c r="BN981" s="120">
        <f>(BM981+BO981)/2</f>
        <v>9.56175</v>
      </c>
      <c r="BO981" s="120">
        <f>(BO980+BO982)/2</f>
        <v>10.009499999999999</v>
      </c>
      <c r="BP981" s="120">
        <f>(BO981+BQ981)/2</f>
        <v>10.388</v>
      </c>
      <c r="BQ981" s="120">
        <f>(BQ980+BQ982)/2</f>
        <v>10.766500000000001</v>
      </c>
      <c r="BR981" s="120">
        <f>(BQ981+BS981)/2</f>
        <v>11.155250000000001</v>
      </c>
      <c r="BS981" s="120">
        <f>(BS980+BS982)/2</f>
        <v>11.544</v>
      </c>
      <c r="BT981" s="120">
        <f>(BS981+BU981)/2</f>
        <v>11.922499999999999</v>
      </c>
      <c r="BU981" s="120">
        <f>(BU980+BU982)/2</f>
        <v>12.301</v>
      </c>
      <c r="BV981" s="120">
        <f>(BU981+BW981)/2</f>
        <v>12.68975</v>
      </c>
      <c r="BW981" s="120">
        <f>(BW980+BW982)/2</f>
        <v>13.0785</v>
      </c>
      <c r="BX981" s="120">
        <f>(BW981+BY981)/2</f>
        <v>13.425000000000001</v>
      </c>
      <c r="BY981" s="120">
        <f>(BY980+BY982)/2</f>
        <v>13.7715</v>
      </c>
      <c r="BZ981" s="120">
        <f>(BY981+CA981)/2</f>
        <v>14.12275</v>
      </c>
      <c r="CA981" s="120">
        <f>(CA980+CA982)/2</f>
        <v>14.474</v>
      </c>
      <c r="CB981" s="120">
        <f>(CA981+CC981)/2</f>
        <v>14.863250000000001</v>
      </c>
      <c r="CC981" s="120">
        <f>(CC980+CC982)/2</f>
        <v>15.252500000000001</v>
      </c>
      <c r="CD981" s="120">
        <f>(CC981+CE981)/2</f>
        <v>15.598750000000001</v>
      </c>
      <c r="CE981" s="120">
        <f>(CE980+CE982)/2</f>
        <v>15.945</v>
      </c>
      <c r="CF981" s="120">
        <f>(CE981+CG981)/2</f>
        <v>16.302250000000001</v>
      </c>
      <c r="CG981" s="120">
        <f>(CG980+CG982)/2</f>
        <v>16.659500000000001</v>
      </c>
      <c r="CH981" s="120">
        <f>(CG981+CI981)/2</f>
        <v>17.005749999999999</v>
      </c>
      <c r="CI981" s="120">
        <f>(CI980+CI982)/2</f>
        <v>17.352</v>
      </c>
      <c r="CJ981" s="120">
        <f>(CI981+CK981)/2</f>
        <v>17.703499999999998</v>
      </c>
      <c r="CK981" s="120">
        <f>(CK980+CK982)/2</f>
        <v>18.055</v>
      </c>
      <c r="CL981" s="120">
        <f>(CK981+CM981)/2</f>
        <v>18.379750000000001</v>
      </c>
      <c r="CM981" s="120">
        <f>(CM980+CM982)/2</f>
        <v>18.704499999999999</v>
      </c>
      <c r="CN981" s="120">
        <f>(CM981+CO981)/2</f>
        <v>19.050750000000001</v>
      </c>
      <c r="CO981" s="120">
        <f>(CO980+CO982)/2</f>
        <v>19.396999999999998</v>
      </c>
      <c r="CP981" s="120">
        <f>(CO981+CQ981)/2</f>
        <v>19.748750000000001</v>
      </c>
      <c r="CQ981" s="120">
        <f>(CQ980+CQ982)/2</f>
        <v>20.1005</v>
      </c>
      <c r="CR981" s="120">
        <f>(CQ981+CS981)/2</f>
        <v>20.420500000000001</v>
      </c>
      <c r="CS981" s="120">
        <f>(CS980+CS982)/2</f>
        <v>20.740500000000001</v>
      </c>
      <c r="CT981" s="120">
        <f>(CS981+CU981)/2</f>
        <v>21.091999999999999</v>
      </c>
      <c r="CU981" s="120">
        <f>(CU980+CU982)/2</f>
        <v>21.4435</v>
      </c>
      <c r="CV981" s="120">
        <f>(CU981+CW981)/2</f>
        <v>21.762999999999998</v>
      </c>
      <c r="CW981" s="120">
        <f>(CW980+CW982)/2</f>
        <v>22.0825</v>
      </c>
      <c r="CX981" s="120">
        <f>(CW981+CY981)/2</f>
        <v>22.402749999999997</v>
      </c>
      <c r="CY981" s="120">
        <f>(CY980+CY982)/2</f>
        <v>22.722999999999999</v>
      </c>
      <c r="CZ981" s="120">
        <f>(CY981+DA981)/2</f>
        <v>23.073999999999998</v>
      </c>
      <c r="DA981" s="120">
        <f>(DA980+DA982)/2</f>
        <v>23.425000000000001</v>
      </c>
      <c r="DB981" s="120">
        <f>(DA981+DC981)/2</f>
        <v>23.744500000000002</v>
      </c>
      <c r="DC981" s="120">
        <f>(DC980+DC982)/2</f>
        <v>24.064</v>
      </c>
      <c r="DD981" s="120">
        <f>(DC981+DE981)/2</f>
        <v>24.383749999999999</v>
      </c>
      <c r="DE981" s="120">
        <f>(DE980+DE982)/2</f>
        <v>24.703499999999998</v>
      </c>
      <c r="DF981" s="120">
        <f>(DE981+DG981)/2</f>
        <v>25.023249999999997</v>
      </c>
      <c r="DG981" s="122">
        <f>(DG980+DG982)/2</f>
        <v>25.343</v>
      </c>
    </row>
    <row r="982" spans="54:111" ht="15" customHeight="1" x14ac:dyDescent="0.2">
      <c r="BB982" s="28">
        <v>6</v>
      </c>
      <c r="BC982" s="121">
        <v>5.0439999999999996</v>
      </c>
      <c r="BD982" s="121">
        <f t="array" ref="BD982:BD1036">TRANSPOSE(BE981:DG981)</f>
        <v>5.5979999999999999</v>
      </c>
      <c r="BE982" s="158">
        <v>6.1520000000000001</v>
      </c>
      <c r="BF982" s="120">
        <f>(BG982+BE982)/2</f>
        <v>6.6750000000000007</v>
      </c>
      <c r="BG982" s="158">
        <v>7.1980000000000004</v>
      </c>
      <c r="BH982" s="120">
        <f>(BI982+BG982)/2</f>
        <v>7.7305000000000001</v>
      </c>
      <c r="BI982" s="158">
        <v>8.2629999999999999</v>
      </c>
      <c r="BJ982" s="120">
        <f>(BK982+BI982)/2</f>
        <v>8.7219999999999995</v>
      </c>
      <c r="BK982" s="158">
        <v>9.1809999999999992</v>
      </c>
      <c r="BL982" s="120">
        <f>(BM982+BK982)/2</f>
        <v>9.5854999999999997</v>
      </c>
      <c r="BM982" s="158">
        <v>9.99</v>
      </c>
      <c r="BN982" s="120">
        <f>(BO982+BM982)/2</f>
        <v>10.481</v>
      </c>
      <c r="BO982" s="158">
        <v>10.972</v>
      </c>
      <c r="BP982" s="120">
        <f>(BQ982+BO982)/2</f>
        <v>11.366499999999998</v>
      </c>
      <c r="BQ982" s="158">
        <v>11.760999999999999</v>
      </c>
      <c r="BR982" s="120">
        <f>(BS982+BQ982)/2</f>
        <v>12.2295</v>
      </c>
      <c r="BS982" s="158">
        <v>12.698</v>
      </c>
      <c r="BT982" s="120">
        <f>(BU982+BS982)/2</f>
        <v>13.093</v>
      </c>
      <c r="BU982" s="158">
        <v>13.488</v>
      </c>
      <c r="BV982" s="120">
        <f>(BW982+BU982)/2</f>
        <v>13.893000000000001</v>
      </c>
      <c r="BW982" s="158">
        <v>14.298</v>
      </c>
      <c r="BX982" s="120">
        <f>(BY982+BW982)/2</f>
        <v>14.715</v>
      </c>
      <c r="BY982" s="158">
        <v>15.132</v>
      </c>
      <c r="BZ982" s="120">
        <f>(CA982+BY982)/2</f>
        <v>15.472</v>
      </c>
      <c r="CA982" s="158">
        <v>15.811999999999999</v>
      </c>
      <c r="CB982" s="120">
        <f>(CC982+CA982)/2</f>
        <v>16.217500000000001</v>
      </c>
      <c r="CC982" s="158">
        <v>16.623000000000001</v>
      </c>
      <c r="CD982" s="120">
        <f>(CE982+CC982)/2</f>
        <v>17.017499999999998</v>
      </c>
      <c r="CE982" s="158">
        <v>17.411999999999999</v>
      </c>
      <c r="CF982" s="120">
        <f>(CG982+CE982)/2</f>
        <v>17.817499999999999</v>
      </c>
      <c r="CG982" s="158">
        <v>18.222999999999999</v>
      </c>
      <c r="CH982" s="120">
        <f>(CI982+CG982)/2</f>
        <v>18.574999999999999</v>
      </c>
      <c r="CI982" s="158">
        <v>18.927</v>
      </c>
      <c r="CJ982" s="120">
        <f>(CK982+CI982)/2</f>
        <v>19.331499999999998</v>
      </c>
      <c r="CK982" s="158">
        <v>19.736000000000001</v>
      </c>
      <c r="CL982" s="120">
        <f>(CM982+CK982)/2</f>
        <v>20.077500000000001</v>
      </c>
      <c r="CM982" s="158">
        <v>20.419</v>
      </c>
      <c r="CN982" s="120">
        <f>(CO982+CM982)/2</f>
        <v>20.813499999999998</v>
      </c>
      <c r="CO982" s="158">
        <v>21.207999999999998</v>
      </c>
      <c r="CP982" s="120">
        <f>(CQ982+CO982)/2</f>
        <v>21.548999999999999</v>
      </c>
      <c r="CQ982" s="158">
        <v>21.89</v>
      </c>
      <c r="CR982" s="120">
        <f>(CS982+CQ982)/2</f>
        <v>22.243000000000002</v>
      </c>
      <c r="CS982" s="158">
        <v>22.596</v>
      </c>
      <c r="CT982" s="120">
        <f>(CU982+CS982)/2</f>
        <v>23.000500000000002</v>
      </c>
      <c r="CU982" s="158">
        <v>23.405000000000001</v>
      </c>
      <c r="CV982" s="120">
        <f>(CW982+CU982)/2</f>
        <v>23.735500000000002</v>
      </c>
      <c r="CW982" s="158">
        <v>24.065999999999999</v>
      </c>
      <c r="CX982" s="120">
        <f>(CY982+CW982)/2</f>
        <v>24.407499999999999</v>
      </c>
      <c r="CY982" s="158">
        <v>24.748999999999999</v>
      </c>
      <c r="CZ982" s="120">
        <f>(DA982+CY982)/2</f>
        <v>25.153500000000001</v>
      </c>
      <c r="DA982" s="158">
        <v>25.558</v>
      </c>
      <c r="DB982" s="120">
        <f>(DC982+DA982)/2</f>
        <v>25.910499999999999</v>
      </c>
      <c r="DC982" s="158">
        <v>26.263000000000002</v>
      </c>
      <c r="DD982" s="120">
        <f>(DE982+DC982)/2</f>
        <v>26.603999999999999</v>
      </c>
      <c r="DE982" s="158">
        <v>26.945</v>
      </c>
      <c r="DF982" s="120">
        <f>(DG982+DE982)/2</f>
        <v>27.275500000000001</v>
      </c>
      <c r="DG982" s="159">
        <v>27.606000000000002</v>
      </c>
    </row>
    <row r="983" spans="54:111" ht="15" customHeight="1" x14ac:dyDescent="0.2">
      <c r="BB983" s="28">
        <v>7</v>
      </c>
      <c r="BC983" s="121">
        <v>5.48</v>
      </c>
      <c r="BD983" s="121">
        <v>6.0775000000000006</v>
      </c>
      <c r="BE983" s="121">
        <f t="array" ref="BE983:BE1036">TRANSPOSE(BF982:DG982)</f>
        <v>6.6750000000000007</v>
      </c>
      <c r="BF983" s="120">
        <f>(BE983+BG983)/2</f>
        <v>7.2510000000000003</v>
      </c>
      <c r="BG983" s="120">
        <f>(BG982+BG984)/2</f>
        <v>7.827</v>
      </c>
      <c r="BH983" s="120">
        <f>(BG983+BI983)/2</f>
        <v>8.3550000000000004</v>
      </c>
      <c r="BI983" s="120">
        <f>(BI982+BI984)/2</f>
        <v>8.8829999999999991</v>
      </c>
      <c r="BJ983" s="120">
        <f>(BI983+BK983)/2</f>
        <v>9.4057499999999994</v>
      </c>
      <c r="BK983" s="120">
        <f>(BK982+BK984)/2</f>
        <v>9.9284999999999997</v>
      </c>
      <c r="BL983" s="120">
        <f>(BK983+BM983)/2</f>
        <v>10.376249999999999</v>
      </c>
      <c r="BM983" s="120">
        <f>(BM982+BM984)/2</f>
        <v>10.824</v>
      </c>
      <c r="BN983" s="120">
        <f>(BM983+BO983)/2</f>
        <v>11.331</v>
      </c>
      <c r="BO983" s="120">
        <f>(BO982+BO984)/2</f>
        <v>11.838000000000001</v>
      </c>
      <c r="BP983" s="120">
        <f>(BO983+BQ983)/2</f>
        <v>12.286000000000001</v>
      </c>
      <c r="BQ983" s="120">
        <f>(BQ982+BQ984)/2</f>
        <v>12.734</v>
      </c>
      <c r="BR983" s="120">
        <f>(BQ983+BS983)/2</f>
        <v>13.197749999999999</v>
      </c>
      <c r="BS983" s="120">
        <f>(BS982+BS984)/2</f>
        <v>13.6615</v>
      </c>
      <c r="BT983" s="120">
        <f>(BS983+BU983)/2</f>
        <v>14.11525</v>
      </c>
      <c r="BU983" s="120">
        <f>(BU982+BU984)/2</f>
        <v>14.568999999999999</v>
      </c>
      <c r="BV983" s="120">
        <f>(BU983+BW983)/2</f>
        <v>14.99025</v>
      </c>
      <c r="BW983" s="120">
        <f>(BW982+BW984)/2</f>
        <v>15.4115</v>
      </c>
      <c r="BX983" s="120">
        <f>(BW983+BY983)/2</f>
        <v>15.84975</v>
      </c>
      <c r="BY983" s="120">
        <f>(BY982+BY984)/2</f>
        <v>16.288</v>
      </c>
      <c r="BZ983" s="120">
        <f>(BY983+CA983)/2</f>
        <v>16.67625</v>
      </c>
      <c r="CA983" s="120">
        <f>(CA982+CA984)/2</f>
        <v>17.064499999999999</v>
      </c>
      <c r="CB983" s="120">
        <f>(CA983+CC983)/2</f>
        <v>17.497</v>
      </c>
      <c r="CC983" s="120">
        <f>(CC982+CC984)/2</f>
        <v>17.929500000000001</v>
      </c>
      <c r="CD983" s="120">
        <f>(CC983+CE983)/2</f>
        <v>18.35125</v>
      </c>
      <c r="CE983" s="120">
        <f>(CE982+CE984)/2</f>
        <v>18.773</v>
      </c>
      <c r="CF983" s="120">
        <f>(CE983+CG983)/2</f>
        <v>19.194249999999997</v>
      </c>
      <c r="CG983" s="120">
        <f>(CG982+CG984)/2</f>
        <v>19.615499999999997</v>
      </c>
      <c r="CH983" s="120">
        <f>(CG983+CI983)/2</f>
        <v>20.020999999999997</v>
      </c>
      <c r="CI983" s="120">
        <f>(CI982+CI984)/2</f>
        <v>20.426499999999997</v>
      </c>
      <c r="CJ983" s="120">
        <f>(CI983+CK983)/2</f>
        <v>20.847499999999997</v>
      </c>
      <c r="CK983" s="120">
        <f>(CK982+CK984)/2</f>
        <v>21.2685</v>
      </c>
      <c r="CL983" s="120">
        <f>(CK983+CM983)/2</f>
        <v>21.63175</v>
      </c>
      <c r="CM983" s="120">
        <f>(CM982+CM984)/2</f>
        <v>21.995000000000001</v>
      </c>
      <c r="CN983" s="120">
        <f>(CM983+CO983)/2</f>
        <v>22.421750000000003</v>
      </c>
      <c r="CO983" s="120">
        <f>(CO982+CO984)/2</f>
        <v>22.848500000000001</v>
      </c>
      <c r="CP983" s="120">
        <f>(CO983+CQ983)/2</f>
        <v>23.237500000000001</v>
      </c>
      <c r="CQ983" s="120">
        <f>(CQ982+CQ984)/2</f>
        <v>23.6265</v>
      </c>
      <c r="CR983" s="120">
        <f>(CQ983+CS983)/2</f>
        <v>24.00075</v>
      </c>
      <c r="CS983" s="120">
        <f>(CS982+CS984)/2</f>
        <v>24.375</v>
      </c>
      <c r="CT983" s="120">
        <f>(CS983+CU983)/2</f>
        <v>24.790749999999999</v>
      </c>
      <c r="CU983" s="120">
        <f>(CU982+CU984)/2</f>
        <v>25.206499999999998</v>
      </c>
      <c r="CV983" s="120">
        <f>(CU983+CW983)/2</f>
        <v>25.569249999999997</v>
      </c>
      <c r="CW983" s="120">
        <f>(CW982+CW984)/2</f>
        <v>25.931999999999999</v>
      </c>
      <c r="CX983" s="120">
        <f>(CW983+CY983)/2</f>
        <v>26.332250000000002</v>
      </c>
      <c r="CY983" s="120">
        <f>(CY982+CY984)/2</f>
        <v>26.732500000000002</v>
      </c>
      <c r="CZ983" s="120">
        <f>(CY983+DA983)/2</f>
        <v>27.121500000000001</v>
      </c>
      <c r="DA983" s="120">
        <f>(DA982+DA984)/2</f>
        <v>27.5105</v>
      </c>
      <c r="DB983" s="120">
        <f>(DA983+DC983)/2</f>
        <v>27.916250000000002</v>
      </c>
      <c r="DC983" s="120">
        <f>(DC982+DC984)/2</f>
        <v>28.322000000000003</v>
      </c>
      <c r="DD983" s="120">
        <f>(DC983+DE983)/2</f>
        <v>28.674250000000001</v>
      </c>
      <c r="DE983" s="120">
        <f>(DE982+DE984)/2</f>
        <v>29.026499999999999</v>
      </c>
      <c r="DF983" s="120">
        <f>(DE983+DG983)/2</f>
        <v>29.389499999999998</v>
      </c>
      <c r="DG983" s="122">
        <f>(DG982+DG984)/2</f>
        <v>29.752500000000001</v>
      </c>
    </row>
    <row r="984" spans="54:111" ht="15" customHeight="1" x14ac:dyDescent="0.2">
      <c r="BB984" s="28">
        <v>8</v>
      </c>
      <c r="BC984" s="121">
        <v>5.9160000000000004</v>
      </c>
      <c r="BD984" s="121">
        <v>6.5570000000000004</v>
      </c>
      <c r="BE984" s="121">
        <v>7.1980000000000004</v>
      </c>
      <c r="BF984" s="121">
        <f t="array" ref="BF984:BF1036">TRANSPOSE(BG983:DG983)</f>
        <v>7.827</v>
      </c>
      <c r="BG984" s="158">
        <v>8.4559999999999995</v>
      </c>
      <c r="BH984" s="120">
        <f>(BI984+BG984)/2</f>
        <v>8.9794999999999998</v>
      </c>
      <c r="BI984" s="158">
        <v>9.5030000000000001</v>
      </c>
      <c r="BJ984" s="120">
        <f>(BK984+BI984)/2</f>
        <v>10.089500000000001</v>
      </c>
      <c r="BK984" s="158">
        <v>10.676</v>
      </c>
      <c r="BL984" s="120">
        <f>(BM984+BK984)/2</f>
        <v>11.167</v>
      </c>
      <c r="BM984" s="158">
        <v>11.657999999999999</v>
      </c>
      <c r="BN984" s="120">
        <f>(BO984+BM984)/2</f>
        <v>12.181000000000001</v>
      </c>
      <c r="BO984" s="158">
        <v>12.704000000000001</v>
      </c>
      <c r="BP984" s="120">
        <f>(BQ984+BO984)/2</f>
        <v>13.205500000000001</v>
      </c>
      <c r="BQ984" s="158">
        <v>13.707000000000001</v>
      </c>
      <c r="BR984" s="120">
        <f>(BS984+BQ984)/2</f>
        <v>14.166</v>
      </c>
      <c r="BS984" s="158">
        <v>14.625</v>
      </c>
      <c r="BT984" s="120">
        <f>(BU984+BS984)/2</f>
        <v>15.137499999999999</v>
      </c>
      <c r="BU984" s="158">
        <v>15.65</v>
      </c>
      <c r="BV984" s="120">
        <f>(BW984+BU984)/2</f>
        <v>16.087499999999999</v>
      </c>
      <c r="BW984" s="158">
        <v>16.524999999999999</v>
      </c>
      <c r="BX984" s="120">
        <f>(BY984+BW984)/2</f>
        <v>16.984499999999997</v>
      </c>
      <c r="BY984" s="158">
        <v>17.443999999999999</v>
      </c>
      <c r="BZ984" s="120">
        <f>(CA984+BY984)/2</f>
        <v>17.880499999999998</v>
      </c>
      <c r="CA984" s="158">
        <v>18.317</v>
      </c>
      <c r="CB984" s="120">
        <f>(CC984+CA984)/2</f>
        <v>18.776499999999999</v>
      </c>
      <c r="CC984" s="158">
        <v>19.236000000000001</v>
      </c>
      <c r="CD984" s="120">
        <f>(CE984+CC984)/2</f>
        <v>19.685000000000002</v>
      </c>
      <c r="CE984" s="158">
        <v>20.134</v>
      </c>
      <c r="CF984" s="120">
        <f>(CG984+CE984)/2</f>
        <v>20.570999999999998</v>
      </c>
      <c r="CG984" s="158">
        <v>21.007999999999999</v>
      </c>
      <c r="CH984" s="120">
        <f>(CI984+CG984)/2</f>
        <v>21.466999999999999</v>
      </c>
      <c r="CI984" s="158">
        <v>21.925999999999998</v>
      </c>
      <c r="CJ984" s="120">
        <f>(CK984+CI984)/2</f>
        <v>22.363499999999998</v>
      </c>
      <c r="CK984" s="158">
        <v>22.800999999999998</v>
      </c>
      <c r="CL984" s="120">
        <f>(CM984+CK984)/2</f>
        <v>23.186</v>
      </c>
      <c r="CM984" s="158">
        <v>23.571000000000002</v>
      </c>
      <c r="CN984" s="120">
        <f>(CO984+CM984)/2</f>
        <v>24.03</v>
      </c>
      <c r="CO984" s="158">
        <v>24.489000000000001</v>
      </c>
      <c r="CP984" s="120">
        <f>(CQ984+CO984)/2</f>
        <v>24.926000000000002</v>
      </c>
      <c r="CQ984" s="158">
        <v>25.363</v>
      </c>
      <c r="CR984" s="120">
        <f>(CS984+CQ984)/2</f>
        <v>25.758499999999998</v>
      </c>
      <c r="CS984" s="158">
        <v>26.154</v>
      </c>
      <c r="CT984" s="120">
        <f>(CU984+CS984)/2</f>
        <v>26.581</v>
      </c>
      <c r="CU984" s="158">
        <v>27.007999999999999</v>
      </c>
      <c r="CV984" s="120">
        <f>(CW984+CU984)/2</f>
        <v>27.402999999999999</v>
      </c>
      <c r="CW984" s="158">
        <v>27.797999999999998</v>
      </c>
      <c r="CX984" s="120">
        <f>(CY984+CW984)/2</f>
        <v>28.256999999999998</v>
      </c>
      <c r="CY984" s="158">
        <v>28.716000000000001</v>
      </c>
      <c r="CZ984" s="120">
        <f>(DA984+CY984)/2</f>
        <v>29.089500000000001</v>
      </c>
      <c r="DA984" s="158">
        <v>29.463000000000001</v>
      </c>
      <c r="DB984" s="120">
        <f>(DC984+DA984)/2</f>
        <v>29.922000000000001</v>
      </c>
      <c r="DC984" s="158">
        <v>30.381</v>
      </c>
      <c r="DD984" s="120">
        <f>(DE984+DC984)/2</f>
        <v>30.744500000000002</v>
      </c>
      <c r="DE984" s="158">
        <v>31.108000000000001</v>
      </c>
      <c r="DF984" s="120">
        <f>(DG984+DE984)/2</f>
        <v>31.503500000000003</v>
      </c>
      <c r="DG984" s="159">
        <v>31.899000000000001</v>
      </c>
    </row>
    <row r="985" spans="54:111" ht="15" customHeight="1" x14ac:dyDescent="0.2">
      <c r="BB985" s="28">
        <v>9</v>
      </c>
      <c r="BC985" s="121">
        <v>6.3425000000000002</v>
      </c>
      <c r="BD985" s="121">
        <v>7.0365000000000002</v>
      </c>
      <c r="BE985" s="121">
        <v>7.7305000000000001</v>
      </c>
      <c r="BF985" s="121">
        <v>8.3550000000000004</v>
      </c>
      <c r="BG985" s="121">
        <f t="array" ref="BG985:BG1036">TRANSPOSE(BH984:DG984)</f>
        <v>8.9794999999999998</v>
      </c>
      <c r="BH985" s="120">
        <f>(BG985+BI985)/2</f>
        <v>9.5824999999999996</v>
      </c>
      <c r="BI985" s="120">
        <f>(BI984+BI986)/2</f>
        <v>10.185500000000001</v>
      </c>
      <c r="BJ985" s="120">
        <f>(BI985+BK985)/2</f>
        <v>10.788500000000001</v>
      </c>
      <c r="BK985" s="120">
        <f>(BK984+BK986)/2</f>
        <v>11.391500000000001</v>
      </c>
      <c r="BL985" s="120">
        <f>(BK985+BM985)/2</f>
        <v>11.914999999999999</v>
      </c>
      <c r="BM985" s="120">
        <f>(BM984+BM986)/2</f>
        <v>12.438499999999999</v>
      </c>
      <c r="BN985" s="120">
        <f>(BM985+BO985)/2</f>
        <v>12.977499999999999</v>
      </c>
      <c r="BO985" s="120">
        <f>(BO984+BO986)/2</f>
        <v>13.516500000000001</v>
      </c>
      <c r="BP985" s="120">
        <f>(BO985+BQ985)/2</f>
        <v>14.045</v>
      </c>
      <c r="BQ985" s="120">
        <f>(BQ984+BQ986)/2</f>
        <v>14.573499999999999</v>
      </c>
      <c r="BR985" s="120">
        <f>(BQ985+BS985)/2</f>
        <v>15.080749999999998</v>
      </c>
      <c r="BS985" s="120">
        <f>(BS984+BS986)/2</f>
        <v>15.587999999999999</v>
      </c>
      <c r="BT985" s="120">
        <f>(BS985+BU985)/2</f>
        <v>16.121749999999999</v>
      </c>
      <c r="BU985" s="120">
        <f>(BU984+BU986)/2</f>
        <v>16.6555</v>
      </c>
      <c r="BV985" s="120">
        <f>(BU985+BW985)/2</f>
        <v>17.120249999999999</v>
      </c>
      <c r="BW985" s="120">
        <f>(BW984+BW986)/2</f>
        <v>17.585000000000001</v>
      </c>
      <c r="BX985" s="120">
        <f>(BW985+BY985)/2</f>
        <v>18.087250000000001</v>
      </c>
      <c r="BY985" s="120">
        <f>(BY984+BY986)/2</f>
        <v>18.589500000000001</v>
      </c>
      <c r="BZ985" s="120">
        <f>(BY985+CA985)/2</f>
        <v>19.0535</v>
      </c>
      <c r="CA985" s="120">
        <f>(CA984+CA986)/2</f>
        <v>19.517499999999998</v>
      </c>
      <c r="CB985" s="120">
        <f>(CA985+CC985)/2</f>
        <v>19.992999999999999</v>
      </c>
      <c r="CC985" s="120">
        <f>(CC984+CC986)/2</f>
        <v>20.468499999999999</v>
      </c>
      <c r="CD985" s="120">
        <f>(CC985+CE985)/2</f>
        <v>20.938749999999999</v>
      </c>
      <c r="CE985" s="120">
        <f>(CE984+CE986)/2</f>
        <v>21.408999999999999</v>
      </c>
      <c r="CF985" s="120">
        <f>(CE985+CG985)/2</f>
        <v>21.873249999999999</v>
      </c>
      <c r="CG985" s="120">
        <f>(CG984+CG986)/2</f>
        <v>22.337499999999999</v>
      </c>
      <c r="CH985" s="120">
        <f>(CG985+CI985)/2</f>
        <v>22.8125</v>
      </c>
      <c r="CI985" s="120">
        <f>(CI984+CI986)/2</f>
        <v>23.287500000000001</v>
      </c>
      <c r="CJ985" s="120">
        <f>(CI985+CK985)/2</f>
        <v>23.75225</v>
      </c>
      <c r="CK985" s="120">
        <f>(CK984+CK986)/2</f>
        <v>24.216999999999999</v>
      </c>
      <c r="CL985" s="120">
        <f>(CK985+CM985)/2</f>
        <v>24.655249999999999</v>
      </c>
      <c r="CM985" s="120">
        <f>(CM984+CM986)/2</f>
        <v>25.093499999999999</v>
      </c>
      <c r="CN985" s="120">
        <f>(CM985+CO985)/2</f>
        <v>25.5685</v>
      </c>
      <c r="CO985" s="120">
        <f>(CO984+CO986)/2</f>
        <v>26.043500000000002</v>
      </c>
      <c r="CP985" s="120">
        <f>(CO985+CQ985)/2</f>
        <v>26.5105</v>
      </c>
      <c r="CQ985" s="120">
        <f>(CQ984+CQ986)/2</f>
        <v>26.977499999999999</v>
      </c>
      <c r="CR985" s="120">
        <f>(CQ985+CS985)/2</f>
        <v>27.418500000000002</v>
      </c>
      <c r="CS985" s="120">
        <f>(CS984+CS986)/2</f>
        <v>27.859500000000001</v>
      </c>
      <c r="CT985" s="120">
        <f>(CS985+CU985)/2</f>
        <v>28.286749999999998</v>
      </c>
      <c r="CU985" s="120">
        <f>(CU984+CU986)/2</f>
        <v>28.713999999999999</v>
      </c>
      <c r="CV985" s="120">
        <f>(CU985+CW985)/2</f>
        <v>29.157499999999999</v>
      </c>
      <c r="CW985" s="120">
        <f>(CW984+CW986)/2</f>
        <v>29.600999999999999</v>
      </c>
      <c r="CX985" s="120">
        <f>(CW985+CY985)/2</f>
        <v>30.075749999999999</v>
      </c>
      <c r="CY985" s="120">
        <f>(CY984+CY986)/2</f>
        <v>30.5505</v>
      </c>
      <c r="CZ985" s="120">
        <f>(CY985+DA985)/2</f>
        <v>30.951250000000002</v>
      </c>
      <c r="DA985" s="120">
        <f>(DA984+DA986)/2</f>
        <v>31.352</v>
      </c>
      <c r="DB985" s="120">
        <f>(DA985+DC985)/2</f>
        <v>31.827500000000001</v>
      </c>
      <c r="DC985" s="120">
        <f>(DC984+DC986)/2</f>
        <v>32.302999999999997</v>
      </c>
      <c r="DD985" s="120">
        <f>(DC985+DE985)/2</f>
        <v>32.698250000000002</v>
      </c>
      <c r="DE985" s="120">
        <f>(DE984+DE986)/2</f>
        <v>33.093499999999999</v>
      </c>
      <c r="DF985" s="120">
        <f>(DE985+DG985)/2</f>
        <v>33.536999999999999</v>
      </c>
      <c r="DG985" s="122">
        <f>(DG984+DG986)/2</f>
        <v>33.980499999999999</v>
      </c>
    </row>
    <row r="986" spans="54:111" ht="15" customHeight="1" x14ac:dyDescent="0.2">
      <c r="BB986" s="28">
        <v>10</v>
      </c>
      <c r="BC986" s="121">
        <v>6.7690000000000001</v>
      </c>
      <c r="BD986" s="121">
        <v>7.516</v>
      </c>
      <c r="BE986" s="121">
        <v>8.2629999999999999</v>
      </c>
      <c r="BF986" s="121">
        <v>8.8829999999999991</v>
      </c>
      <c r="BG986" s="121">
        <v>9.5030000000000001</v>
      </c>
      <c r="BH986" s="121">
        <f t="array" ref="BH986:BH1036">TRANSPOSE(BI985:DG985)</f>
        <v>10.185500000000001</v>
      </c>
      <c r="BI986" s="158">
        <v>10.868</v>
      </c>
      <c r="BJ986" s="120">
        <f>(BK986+BI986)/2</f>
        <v>11.487500000000001</v>
      </c>
      <c r="BK986" s="158">
        <v>12.106999999999999</v>
      </c>
      <c r="BL986" s="120">
        <f>(BM986+BK986)/2</f>
        <v>12.663</v>
      </c>
      <c r="BM986" s="158">
        <v>13.218999999999999</v>
      </c>
      <c r="BN986" s="120">
        <f>(BO986+BM986)/2</f>
        <v>13.774000000000001</v>
      </c>
      <c r="BO986" s="158">
        <v>14.329000000000001</v>
      </c>
      <c r="BP986" s="120">
        <f>(BQ986+BO986)/2</f>
        <v>14.884499999999999</v>
      </c>
      <c r="BQ986" s="158">
        <v>15.44</v>
      </c>
      <c r="BR986" s="120">
        <f>(BS986+BQ986)/2</f>
        <v>15.9955</v>
      </c>
      <c r="BS986" s="158">
        <v>16.550999999999998</v>
      </c>
      <c r="BT986" s="120">
        <f>(BU986+BS986)/2</f>
        <v>17.106000000000002</v>
      </c>
      <c r="BU986" s="158">
        <v>17.661000000000001</v>
      </c>
      <c r="BV986" s="120">
        <f>(BW986+BU986)/2</f>
        <v>18.152999999999999</v>
      </c>
      <c r="BW986" s="158">
        <v>18.645</v>
      </c>
      <c r="BX986" s="120">
        <f>(BY986+BW986)/2</f>
        <v>19.189999999999998</v>
      </c>
      <c r="BY986" s="158">
        <v>19.734999999999999</v>
      </c>
      <c r="BZ986" s="120">
        <f>(CA986+BY986)/2</f>
        <v>20.226500000000001</v>
      </c>
      <c r="CA986" s="158">
        <v>20.718</v>
      </c>
      <c r="CB986" s="120">
        <f>(CC986+CA986)/2</f>
        <v>21.209499999999998</v>
      </c>
      <c r="CC986" s="158">
        <v>21.701000000000001</v>
      </c>
      <c r="CD986" s="120">
        <f>(CE986+CC986)/2</f>
        <v>22.192500000000003</v>
      </c>
      <c r="CE986" s="158">
        <v>22.684000000000001</v>
      </c>
      <c r="CF986" s="120">
        <f>(CG986+CE986)/2</f>
        <v>23.1755</v>
      </c>
      <c r="CG986" s="158">
        <v>23.667000000000002</v>
      </c>
      <c r="CH986" s="120">
        <f>(CI986+CG986)/2</f>
        <v>24.158000000000001</v>
      </c>
      <c r="CI986" s="158">
        <v>24.649000000000001</v>
      </c>
      <c r="CJ986" s="120">
        <f>(CK986+CI986)/2</f>
        <v>25.140999999999998</v>
      </c>
      <c r="CK986" s="158">
        <v>25.632999999999999</v>
      </c>
      <c r="CL986" s="120">
        <f>(CM986+CK986)/2</f>
        <v>26.124499999999998</v>
      </c>
      <c r="CM986" s="158">
        <v>26.616</v>
      </c>
      <c r="CN986" s="120">
        <f>(CO986+CM986)/2</f>
        <v>27.106999999999999</v>
      </c>
      <c r="CO986" s="158">
        <v>27.597999999999999</v>
      </c>
      <c r="CP986" s="120">
        <f>(CQ986+CO986)/2</f>
        <v>28.094999999999999</v>
      </c>
      <c r="CQ986" s="158">
        <v>28.591999999999999</v>
      </c>
      <c r="CR986" s="120">
        <f>(CS986+CQ986)/2</f>
        <v>29.078499999999998</v>
      </c>
      <c r="CS986" s="158">
        <v>29.565000000000001</v>
      </c>
      <c r="CT986" s="120">
        <f>(CU986+CS986)/2</f>
        <v>29.9925</v>
      </c>
      <c r="CU986" s="158">
        <v>30.42</v>
      </c>
      <c r="CV986" s="120">
        <f>(CW986+CU986)/2</f>
        <v>30.911999999999999</v>
      </c>
      <c r="CW986" s="158">
        <v>31.404</v>
      </c>
      <c r="CX986" s="120">
        <f>(CY986+CW986)/2</f>
        <v>31.894500000000001</v>
      </c>
      <c r="CY986" s="158">
        <v>32.384999999999998</v>
      </c>
      <c r="CZ986" s="120">
        <f>(DA986+CY986)/2</f>
        <v>32.813000000000002</v>
      </c>
      <c r="DA986" s="158">
        <v>33.241</v>
      </c>
      <c r="DB986" s="120">
        <f>(DC986+DA986)/2</f>
        <v>33.733000000000004</v>
      </c>
      <c r="DC986" s="158">
        <v>34.225000000000001</v>
      </c>
      <c r="DD986" s="120">
        <f>(DE986+DC986)/2</f>
        <v>34.652000000000001</v>
      </c>
      <c r="DE986" s="158">
        <v>35.079000000000001</v>
      </c>
      <c r="DF986" s="120">
        <f>(DG986+DE986)/2</f>
        <v>35.570499999999996</v>
      </c>
      <c r="DG986" s="159">
        <v>36.061999999999998</v>
      </c>
    </row>
    <row r="987" spans="54:111" ht="15" customHeight="1" x14ac:dyDescent="0.2">
      <c r="BB987" s="28">
        <v>11</v>
      </c>
      <c r="BC987" s="121">
        <v>7.1315</v>
      </c>
      <c r="BD987" s="121">
        <v>7.9267499999999993</v>
      </c>
      <c r="BE987" s="121">
        <v>8.7219999999999995</v>
      </c>
      <c r="BF987" s="121">
        <v>9.4057499999999994</v>
      </c>
      <c r="BG987" s="121">
        <v>10.089500000000001</v>
      </c>
      <c r="BH987" s="121">
        <v>10.788500000000001</v>
      </c>
      <c r="BI987" s="121">
        <f t="array" ref="BI987:BI1036">TRANSPOSE(BJ986:DG986)</f>
        <v>11.487500000000001</v>
      </c>
      <c r="BJ987" s="120">
        <f>(BI987+BK987)/2</f>
        <v>12.123250000000001</v>
      </c>
      <c r="BK987" s="120">
        <f>(BK986+BK988)/2</f>
        <v>12.759</v>
      </c>
      <c r="BL987" s="120">
        <f>(BK987+BM987)/2</f>
        <v>13.341750000000001</v>
      </c>
      <c r="BM987" s="120">
        <f>(BM986+BM988)/2</f>
        <v>13.9245</v>
      </c>
      <c r="BN987" s="120">
        <f>(BM987+BO987)/2</f>
        <v>14.527999999999999</v>
      </c>
      <c r="BO987" s="120">
        <f>(BO986+BO988)/2</f>
        <v>15.131499999999999</v>
      </c>
      <c r="BP987" s="120">
        <f>(BO987+BQ987)/2</f>
        <v>15.713999999999999</v>
      </c>
      <c r="BQ987" s="120">
        <f>(BQ986+BQ988)/2</f>
        <v>16.296499999999998</v>
      </c>
      <c r="BR987" s="120">
        <f>(BQ987+BS987)/2</f>
        <v>16.873249999999999</v>
      </c>
      <c r="BS987" s="120">
        <f>(BS986+BS988)/2</f>
        <v>17.45</v>
      </c>
      <c r="BT987" s="120">
        <f>(BS987+BU987)/2</f>
        <v>18.021250000000002</v>
      </c>
      <c r="BU987" s="120">
        <f>(BU986+BU988)/2</f>
        <v>18.592500000000001</v>
      </c>
      <c r="BV987" s="120">
        <f>(BU987+BW987)/2</f>
        <v>19.1435</v>
      </c>
      <c r="BW987" s="120">
        <f>(BW986+BW988)/2</f>
        <v>19.694499999999998</v>
      </c>
      <c r="BX987" s="120">
        <f>(BW987+BY987)/2</f>
        <v>20.228999999999999</v>
      </c>
      <c r="BY987" s="120">
        <f>(BY986+BY988)/2</f>
        <v>20.763500000000001</v>
      </c>
      <c r="BZ987" s="120">
        <f>(BY987+CA987)/2</f>
        <v>21.314</v>
      </c>
      <c r="CA987" s="120">
        <f>(CA986+CA988)/2</f>
        <v>21.8645</v>
      </c>
      <c r="CB987" s="120">
        <f>(CA987+CC987)/2</f>
        <v>22.372</v>
      </c>
      <c r="CC987" s="120">
        <f>(CC986+CC988)/2</f>
        <v>22.8795</v>
      </c>
      <c r="CD987" s="120">
        <f>(CC987+CE987)/2</f>
        <v>23.419250000000002</v>
      </c>
      <c r="CE987" s="120">
        <f>(CE986+CE988)/2</f>
        <v>23.959000000000003</v>
      </c>
      <c r="CF987" s="120">
        <f>(CE987+CG987)/2</f>
        <v>24.483000000000004</v>
      </c>
      <c r="CG987" s="120">
        <f>(CG986+CG988)/2</f>
        <v>25.007000000000001</v>
      </c>
      <c r="CH987" s="120">
        <f>(CG987+CI987)/2</f>
        <v>25.514250000000001</v>
      </c>
      <c r="CI987" s="120">
        <f>(CI986+CI988)/2</f>
        <v>26.0215</v>
      </c>
      <c r="CJ987" s="120">
        <f>(CI987+CK987)/2</f>
        <v>26.54025</v>
      </c>
      <c r="CK987" s="120">
        <f>(CK986+CK988)/2</f>
        <v>27.058999999999997</v>
      </c>
      <c r="CL987" s="120">
        <f>(CK987+CM987)/2</f>
        <v>27.566749999999999</v>
      </c>
      <c r="CM987" s="120">
        <f>(CM986+CM988)/2</f>
        <v>28.0745</v>
      </c>
      <c r="CN987" s="120">
        <f>(CM987+CO987)/2</f>
        <v>28.582000000000001</v>
      </c>
      <c r="CO987" s="120">
        <f>(CO986+CO988)/2</f>
        <v>29.089500000000001</v>
      </c>
      <c r="CP987" s="120">
        <f>(CO987+CQ987)/2</f>
        <v>29.610749999999999</v>
      </c>
      <c r="CQ987" s="120">
        <f>(CQ986+CQ988)/2</f>
        <v>30.131999999999998</v>
      </c>
      <c r="CR987" s="120">
        <f>(CQ987+CS987)/2</f>
        <v>30.637249999999998</v>
      </c>
      <c r="CS987" s="120">
        <f>(CS986+CS988)/2</f>
        <v>31.142499999999998</v>
      </c>
      <c r="CT987" s="120">
        <f>(CS987+CU987)/2</f>
        <v>31.634250000000002</v>
      </c>
      <c r="CU987" s="120">
        <f>(CU986+CU988)/2</f>
        <v>32.126000000000005</v>
      </c>
      <c r="CV987" s="120">
        <f>(CU987+CW987)/2</f>
        <v>32.633750000000006</v>
      </c>
      <c r="CW987" s="120">
        <f>(CW986+CW988)/2</f>
        <v>33.141500000000001</v>
      </c>
      <c r="CX987" s="120">
        <f>(CW987+CY987)/2</f>
        <v>33.64875</v>
      </c>
      <c r="CY987" s="120">
        <f>(CY986+CY988)/2</f>
        <v>34.155999999999999</v>
      </c>
      <c r="CZ987" s="120">
        <f>(CY987+DA987)/2</f>
        <v>34.611000000000004</v>
      </c>
      <c r="DA987" s="120">
        <f>(DA986+DA988)/2</f>
        <v>35.066000000000003</v>
      </c>
      <c r="DB987" s="120">
        <f>(DA987+DC987)/2</f>
        <v>35.573999999999998</v>
      </c>
      <c r="DC987" s="120">
        <f>(DC986+DC988)/2</f>
        <v>36.082000000000001</v>
      </c>
      <c r="DD987" s="120">
        <f>(DC987+DE987)/2</f>
        <v>36.5685</v>
      </c>
      <c r="DE987" s="120">
        <f>(DE986+DE988)/2</f>
        <v>37.055</v>
      </c>
      <c r="DF987" s="120">
        <f>(DE987+DG987)/2</f>
        <v>37.535499999999999</v>
      </c>
      <c r="DG987" s="122">
        <f>(DG986+DG988)/2</f>
        <v>38.015999999999998</v>
      </c>
    </row>
    <row r="988" spans="54:111" ht="15" customHeight="1" x14ac:dyDescent="0.2">
      <c r="BB988" s="28">
        <v>12</v>
      </c>
      <c r="BC988" s="121">
        <v>7.4939999999999998</v>
      </c>
      <c r="BD988" s="121">
        <v>8.3374999999999986</v>
      </c>
      <c r="BE988" s="121">
        <v>9.1809999999999992</v>
      </c>
      <c r="BF988" s="121">
        <v>9.9284999999999997</v>
      </c>
      <c r="BG988" s="121">
        <v>10.676</v>
      </c>
      <c r="BH988" s="121">
        <v>11.391500000000001</v>
      </c>
      <c r="BI988" s="121">
        <v>12.106999999999999</v>
      </c>
      <c r="BJ988" s="121">
        <f t="array" ref="BJ988:BJ1036">TRANSPOSE(BK987:DG987)</f>
        <v>12.759</v>
      </c>
      <c r="BK988" s="158">
        <v>13.411</v>
      </c>
      <c r="BL988" s="120">
        <f>(BM988+BK988)/2</f>
        <v>14.0205</v>
      </c>
      <c r="BM988" s="158">
        <v>14.63</v>
      </c>
      <c r="BN988" s="120">
        <f>(BO988+BM988)/2</f>
        <v>15.282</v>
      </c>
      <c r="BO988" s="158">
        <v>15.933999999999999</v>
      </c>
      <c r="BP988" s="120">
        <f>(BQ988+BO988)/2</f>
        <v>16.543499999999998</v>
      </c>
      <c r="BQ988" s="158">
        <v>17.152999999999999</v>
      </c>
      <c r="BR988" s="120">
        <f>(BS988+BQ988)/2</f>
        <v>17.750999999999998</v>
      </c>
      <c r="BS988" s="158">
        <v>18.349</v>
      </c>
      <c r="BT988" s="120">
        <f>(BU988+BS988)/2</f>
        <v>18.936500000000002</v>
      </c>
      <c r="BU988" s="158">
        <v>19.524000000000001</v>
      </c>
      <c r="BV988" s="120">
        <f>(BW988+BU988)/2</f>
        <v>20.134</v>
      </c>
      <c r="BW988" s="158">
        <v>20.744</v>
      </c>
      <c r="BX988" s="120">
        <f>(BY988+BW988)/2</f>
        <v>21.268000000000001</v>
      </c>
      <c r="BY988" s="158">
        <v>21.792000000000002</v>
      </c>
      <c r="BZ988" s="120">
        <f>(CA988+BY988)/2</f>
        <v>22.401499999999999</v>
      </c>
      <c r="CA988" s="158">
        <v>23.010999999999999</v>
      </c>
      <c r="CB988" s="120">
        <f>(CC988+CA988)/2</f>
        <v>23.534500000000001</v>
      </c>
      <c r="CC988" s="158">
        <v>24.058</v>
      </c>
      <c r="CD988" s="120">
        <f>(CE988+CC988)/2</f>
        <v>24.646000000000001</v>
      </c>
      <c r="CE988" s="158">
        <v>25.234000000000002</v>
      </c>
      <c r="CF988" s="120">
        <f>(CG988+CE988)/2</f>
        <v>25.790500000000002</v>
      </c>
      <c r="CG988" s="158">
        <v>26.347000000000001</v>
      </c>
      <c r="CH988" s="120">
        <f>(CI988+CG988)/2</f>
        <v>26.8705</v>
      </c>
      <c r="CI988" s="158">
        <v>27.393999999999998</v>
      </c>
      <c r="CJ988" s="120">
        <f>(CK988+CI988)/2</f>
        <v>27.939499999999999</v>
      </c>
      <c r="CK988" s="158">
        <v>28.484999999999999</v>
      </c>
      <c r="CL988" s="120">
        <f>(CM988+CK988)/2</f>
        <v>29.009</v>
      </c>
      <c r="CM988" s="158">
        <v>29.533000000000001</v>
      </c>
      <c r="CN988" s="120">
        <f>(CO988+CM988)/2</f>
        <v>30.057000000000002</v>
      </c>
      <c r="CO988" s="158">
        <v>30.581</v>
      </c>
      <c r="CP988" s="120">
        <f>(CQ988+CO988)/2</f>
        <v>31.1265</v>
      </c>
      <c r="CQ988" s="158">
        <v>31.672000000000001</v>
      </c>
      <c r="CR988" s="120">
        <f>(CS988+CQ988)/2</f>
        <v>32.195999999999998</v>
      </c>
      <c r="CS988" s="158">
        <v>32.72</v>
      </c>
      <c r="CT988" s="120">
        <f>(CU988+CS988)/2</f>
        <v>33.275999999999996</v>
      </c>
      <c r="CU988" s="158">
        <v>33.832000000000001</v>
      </c>
      <c r="CV988" s="120">
        <f>(CW988+CU988)/2</f>
        <v>34.355499999999999</v>
      </c>
      <c r="CW988" s="158">
        <v>34.878999999999998</v>
      </c>
      <c r="CX988" s="120">
        <f>(CY988+CW988)/2</f>
        <v>35.402999999999999</v>
      </c>
      <c r="CY988" s="158">
        <v>35.927</v>
      </c>
      <c r="CZ988" s="120">
        <f>(DA988+CY988)/2</f>
        <v>36.408999999999999</v>
      </c>
      <c r="DA988" s="158">
        <v>36.890999999999998</v>
      </c>
      <c r="DB988" s="120">
        <f>(DC988+DA988)/2</f>
        <v>37.414999999999999</v>
      </c>
      <c r="DC988" s="158">
        <v>37.939</v>
      </c>
      <c r="DD988" s="120">
        <f>(DE988+DC988)/2</f>
        <v>38.484999999999999</v>
      </c>
      <c r="DE988" s="158">
        <v>39.030999999999999</v>
      </c>
      <c r="DF988" s="120">
        <f>(DG988+DE988)/2</f>
        <v>39.500500000000002</v>
      </c>
      <c r="DG988" s="159">
        <v>39.97</v>
      </c>
    </row>
    <row r="989" spans="54:111" ht="15" customHeight="1" x14ac:dyDescent="0.2">
      <c r="BB989" s="28">
        <v>13</v>
      </c>
      <c r="BC989" s="121">
        <v>7.8659999999999997</v>
      </c>
      <c r="BD989" s="121">
        <v>8.7257499999999997</v>
      </c>
      <c r="BE989" s="121">
        <v>9.5854999999999997</v>
      </c>
      <c r="BF989" s="121">
        <v>10.376249999999999</v>
      </c>
      <c r="BG989" s="121">
        <v>11.167</v>
      </c>
      <c r="BH989" s="121">
        <v>11.914999999999999</v>
      </c>
      <c r="BI989" s="121">
        <v>12.663</v>
      </c>
      <c r="BJ989" s="121">
        <v>13.341750000000001</v>
      </c>
      <c r="BK989" s="121">
        <f t="array" ref="BK989:BK1036">TRANSPOSE(BL988:DG988)</f>
        <v>14.0205</v>
      </c>
      <c r="BL989" s="120">
        <f>(BK989+BM989)/2</f>
        <v>14.678250000000002</v>
      </c>
      <c r="BM989" s="120">
        <f>(BM988+BM990)/2</f>
        <v>15.336000000000002</v>
      </c>
      <c r="BN989" s="120">
        <f>(BM989+BO989)/2</f>
        <v>16.009</v>
      </c>
      <c r="BO989" s="120">
        <f>(BO988+BO990)/2</f>
        <v>16.681999999999999</v>
      </c>
      <c r="BP989" s="120">
        <f>(BO989+BQ989)/2</f>
        <v>17.339999999999996</v>
      </c>
      <c r="BQ989" s="120">
        <f>(BQ988+BQ990)/2</f>
        <v>17.997999999999998</v>
      </c>
      <c r="BR989" s="120">
        <f>(BQ989+BS989)/2</f>
        <v>18.617999999999999</v>
      </c>
      <c r="BS989" s="120">
        <f>(BS988+BS990)/2</f>
        <v>19.238</v>
      </c>
      <c r="BT989" s="120">
        <f>(BS989+BU989)/2</f>
        <v>19.857749999999999</v>
      </c>
      <c r="BU989" s="120">
        <f>(BU988+BU990)/2</f>
        <v>20.477499999999999</v>
      </c>
      <c r="BV989" s="120">
        <f>(BU989+BW989)/2</f>
        <v>21.1035</v>
      </c>
      <c r="BW989" s="120">
        <f>(BW988+BW990)/2</f>
        <v>21.729500000000002</v>
      </c>
      <c r="BX989" s="120">
        <f>(BW989+BY989)/2</f>
        <v>22.301500000000001</v>
      </c>
      <c r="BY989" s="120">
        <f>(BY988+BY990)/2</f>
        <v>22.8735</v>
      </c>
      <c r="BZ989" s="120">
        <f>(BY989+CA989)/2</f>
        <v>23.4725</v>
      </c>
      <c r="CA989" s="120">
        <f>(CA988+CA990)/2</f>
        <v>24.0715</v>
      </c>
      <c r="CB989" s="120">
        <f>(CA989+CC989)/2</f>
        <v>24.654250000000001</v>
      </c>
      <c r="CC989" s="120">
        <f>(CC988+CC990)/2</f>
        <v>25.237000000000002</v>
      </c>
      <c r="CD989" s="120">
        <f>(CC989+CE989)/2</f>
        <v>25.856999999999999</v>
      </c>
      <c r="CE989" s="120">
        <f>(CE988+CE990)/2</f>
        <v>26.477</v>
      </c>
      <c r="CF989" s="120">
        <f>(CE989+CG989)/2</f>
        <v>27.044499999999999</v>
      </c>
      <c r="CG989" s="120">
        <f>(CG988+CG990)/2</f>
        <v>27.612000000000002</v>
      </c>
      <c r="CH989" s="120">
        <f>(CG989+CI989)/2</f>
        <v>28.152000000000001</v>
      </c>
      <c r="CI989" s="120">
        <f>(CI988+CI990)/2</f>
        <v>28.692</v>
      </c>
      <c r="CJ989" s="120">
        <f>(CI989+CK989)/2</f>
        <v>29.290749999999999</v>
      </c>
      <c r="CK989" s="120">
        <f>(CK988+CK990)/2</f>
        <v>29.889499999999998</v>
      </c>
      <c r="CL989" s="120">
        <f>(CK989+CM989)/2</f>
        <v>30.440750000000001</v>
      </c>
      <c r="CM989" s="120">
        <f>(CM988+CM990)/2</f>
        <v>30.992000000000001</v>
      </c>
      <c r="CN989" s="120">
        <f>(CM989+CO989)/2</f>
        <v>31.557749999999999</v>
      </c>
      <c r="CO989" s="120">
        <f>(CO988+CO990)/2</f>
        <v>32.1235</v>
      </c>
      <c r="CP989" s="120">
        <f>(CO989+CQ989)/2</f>
        <v>32.6755</v>
      </c>
      <c r="CQ989" s="120">
        <f>(CQ988+CQ990)/2</f>
        <v>33.227499999999999</v>
      </c>
      <c r="CR989" s="120">
        <f>(CQ989+CS989)/2</f>
        <v>33.767499999999998</v>
      </c>
      <c r="CS989" s="120">
        <f>(CS988+CS990)/2</f>
        <v>34.307500000000005</v>
      </c>
      <c r="CT989" s="120">
        <f>(CS989+CU989)/2</f>
        <v>34.874750000000006</v>
      </c>
      <c r="CU989" s="120">
        <f>(CU988+CU990)/2</f>
        <v>35.442</v>
      </c>
      <c r="CV989" s="120">
        <f>(CU989+CW989)/2</f>
        <v>35.997749999999996</v>
      </c>
      <c r="CW989" s="120">
        <f>(CW988+CW990)/2</f>
        <v>36.5535</v>
      </c>
      <c r="CX989" s="120">
        <f>(CW989+CY989)/2</f>
        <v>37.104500000000002</v>
      </c>
      <c r="CY989" s="120">
        <f>(CY988+CY990)/2</f>
        <v>37.655500000000004</v>
      </c>
      <c r="CZ989" s="120">
        <f>(CY989+DA989)/2</f>
        <v>38.185749999999999</v>
      </c>
      <c r="DA989" s="120">
        <f>(DA988+DA990)/2</f>
        <v>38.715999999999994</v>
      </c>
      <c r="DB989" s="120">
        <f>(DA989+DC989)/2</f>
        <v>39.229249999999993</v>
      </c>
      <c r="DC989" s="120">
        <f>(DC988+DC990)/2</f>
        <v>39.7425</v>
      </c>
      <c r="DD989" s="120">
        <f>(DC989+DE989)/2</f>
        <v>40.304749999999999</v>
      </c>
      <c r="DE989" s="120">
        <f>(DE988+DE990)/2</f>
        <v>40.867000000000004</v>
      </c>
      <c r="DF989" s="120">
        <f>(DE989+DG989)/2</f>
        <v>41.390250000000002</v>
      </c>
      <c r="DG989" s="122">
        <f>(DG988+DG990)/2</f>
        <v>41.913499999999999</v>
      </c>
    </row>
    <row r="990" spans="54:111" ht="15" customHeight="1" x14ac:dyDescent="0.2">
      <c r="BB990" s="28">
        <v>14</v>
      </c>
      <c r="BC990" s="121">
        <v>8.2379999999999995</v>
      </c>
      <c r="BD990" s="121">
        <v>9.1140000000000008</v>
      </c>
      <c r="BE990" s="121">
        <v>9.99</v>
      </c>
      <c r="BF990" s="121">
        <v>10.824</v>
      </c>
      <c r="BG990" s="121">
        <v>11.657999999999999</v>
      </c>
      <c r="BH990" s="121">
        <v>12.438499999999999</v>
      </c>
      <c r="BI990" s="121">
        <v>13.218999999999999</v>
      </c>
      <c r="BJ990" s="121">
        <v>13.9245</v>
      </c>
      <c r="BK990" s="121">
        <v>14.63</v>
      </c>
      <c r="BL990" s="121">
        <f t="array" ref="BL990:BL1036">TRANSPOSE(BM989:DG989)</f>
        <v>15.336000000000002</v>
      </c>
      <c r="BM990" s="158">
        <v>16.042000000000002</v>
      </c>
      <c r="BN990" s="120">
        <f>(BO990+BM990)/2</f>
        <v>16.736000000000001</v>
      </c>
      <c r="BO990" s="158">
        <v>17.43</v>
      </c>
      <c r="BP990" s="120">
        <f>(BQ990+BO990)/2</f>
        <v>18.136499999999998</v>
      </c>
      <c r="BQ990" s="158">
        <v>18.843</v>
      </c>
      <c r="BR990" s="120">
        <f>(BS990+BQ990)/2</f>
        <v>19.484999999999999</v>
      </c>
      <c r="BS990" s="158">
        <v>20.126999999999999</v>
      </c>
      <c r="BT990" s="120">
        <f>(BU990+BS990)/2</f>
        <v>20.779</v>
      </c>
      <c r="BU990" s="158">
        <v>21.431000000000001</v>
      </c>
      <c r="BV990" s="120">
        <f>(BW990+BU990)/2</f>
        <v>22.073</v>
      </c>
      <c r="BW990" s="158">
        <v>22.715</v>
      </c>
      <c r="BX990" s="120">
        <f>(BY990+BW990)/2</f>
        <v>23.335000000000001</v>
      </c>
      <c r="BY990" s="158">
        <v>23.954999999999998</v>
      </c>
      <c r="BZ990" s="120">
        <f>(CA990+BY990)/2</f>
        <v>24.543500000000002</v>
      </c>
      <c r="CA990" s="158">
        <v>25.132000000000001</v>
      </c>
      <c r="CB990" s="120">
        <f>(CC990+CA990)/2</f>
        <v>25.774000000000001</v>
      </c>
      <c r="CC990" s="158">
        <v>26.416</v>
      </c>
      <c r="CD990" s="120">
        <f>(CE990+CC990)/2</f>
        <v>27.067999999999998</v>
      </c>
      <c r="CE990" s="158">
        <v>27.72</v>
      </c>
      <c r="CF990" s="120">
        <f>(CG990+CE990)/2</f>
        <v>28.298499999999997</v>
      </c>
      <c r="CG990" s="158">
        <v>28.876999999999999</v>
      </c>
      <c r="CH990" s="120">
        <f>(CI990+CG990)/2</f>
        <v>29.433499999999999</v>
      </c>
      <c r="CI990" s="158">
        <v>29.99</v>
      </c>
      <c r="CJ990" s="120">
        <f>(CK990+CI990)/2</f>
        <v>30.641999999999999</v>
      </c>
      <c r="CK990" s="158">
        <v>31.294</v>
      </c>
      <c r="CL990" s="120">
        <f>(CM990+CK990)/2</f>
        <v>31.872500000000002</v>
      </c>
      <c r="CM990" s="158">
        <v>32.451000000000001</v>
      </c>
      <c r="CN990" s="120">
        <f>(CO990+CM990)/2</f>
        <v>33.058499999999995</v>
      </c>
      <c r="CO990" s="158">
        <v>33.665999999999997</v>
      </c>
      <c r="CP990" s="120">
        <f>(CQ990+CO990)/2</f>
        <v>34.224499999999999</v>
      </c>
      <c r="CQ990" s="158">
        <v>34.783000000000001</v>
      </c>
      <c r="CR990" s="120">
        <f>(CS990+CQ990)/2</f>
        <v>35.338999999999999</v>
      </c>
      <c r="CS990" s="158">
        <v>35.895000000000003</v>
      </c>
      <c r="CT990" s="120">
        <f>(CU990+CS990)/2</f>
        <v>36.473500000000001</v>
      </c>
      <c r="CU990" s="158">
        <v>37.052</v>
      </c>
      <c r="CV990" s="120">
        <f>(CW990+CU990)/2</f>
        <v>37.64</v>
      </c>
      <c r="CW990" s="158">
        <v>38.228000000000002</v>
      </c>
      <c r="CX990" s="120">
        <f>(CY990+CW990)/2</f>
        <v>38.805999999999997</v>
      </c>
      <c r="CY990" s="158">
        <v>39.384</v>
      </c>
      <c r="CZ990" s="120">
        <f>(DA990+CY990)/2</f>
        <v>39.962499999999999</v>
      </c>
      <c r="DA990" s="158">
        <v>40.540999999999997</v>
      </c>
      <c r="DB990" s="120">
        <f>(DC990+DA990)/2</f>
        <v>41.043499999999995</v>
      </c>
      <c r="DC990" s="158">
        <v>41.545999999999999</v>
      </c>
      <c r="DD990" s="120">
        <f>(DE990+DC990)/2</f>
        <v>42.124499999999998</v>
      </c>
      <c r="DE990" s="158">
        <v>42.703000000000003</v>
      </c>
      <c r="DF990" s="120">
        <f>(DG990+DE990)/2</f>
        <v>43.28</v>
      </c>
      <c r="DG990" s="159">
        <v>43.856999999999999</v>
      </c>
    </row>
    <row r="991" spans="54:111" ht="15" customHeight="1" x14ac:dyDescent="0.2">
      <c r="BB991" s="28">
        <v>15</v>
      </c>
      <c r="BC991" s="121">
        <v>8.6425000000000001</v>
      </c>
      <c r="BD991" s="121">
        <v>9.56175</v>
      </c>
      <c r="BE991" s="121">
        <v>10.481</v>
      </c>
      <c r="BF991" s="121">
        <v>11.331</v>
      </c>
      <c r="BG991" s="121">
        <v>12.181000000000001</v>
      </c>
      <c r="BH991" s="121">
        <v>12.977499999999999</v>
      </c>
      <c r="BI991" s="121">
        <v>13.774000000000001</v>
      </c>
      <c r="BJ991" s="121">
        <v>14.527999999999999</v>
      </c>
      <c r="BK991" s="121">
        <v>15.282</v>
      </c>
      <c r="BL991" s="121">
        <v>16.009</v>
      </c>
      <c r="BM991" s="121">
        <f t="array" ref="BM991:BM1036">TRANSPOSE(BN990:DG990)</f>
        <v>16.736000000000001</v>
      </c>
      <c r="BN991" s="120">
        <f>(BM991+BO991)/2</f>
        <v>17.463250000000002</v>
      </c>
      <c r="BO991" s="120">
        <f>(BO990+BO992)/2</f>
        <v>18.1905</v>
      </c>
      <c r="BP991" s="120">
        <f>(BO991+BQ991)/2</f>
        <v>18.917999999999999</v>
      </c>
      <c r="BQ991" s="120">
        <f>(BQ990+BQ992)/2</f>
        <v>19.645499999999998</v>
      </c>
      <c r="BR991" s="120">
        <f>(BQ991+BS991)/2</f>
        <v>20.303750000000001</v>
      </c>
      <c r="BS991" s="120">
        <f>(BS990+BS992)/2</f>
        <v>20.962</v>
      </c>
      <c r="BT991" s="120">
        <f>(BS991+BU991)/2</f>
        <v>21.66225</v>
      </c>
      <c r="BU991" s="120">
        <f>(BU990+BU992)/2</f>
        <v>22.362500000000001</v>
      </c>
      <c r="BV991" s="120">
        <f>(BU991+BW991)/2</f>
        <v>23.02075</v>
      </c>
      <c r="BW991" s="120">
        <f>(BW990+BW992)/2</f>
        <v>23.679000000000002</v>
      </c>
      <c r="BX991" s="120">
        <f>(BW991+BY991)/2</f>
        <v>24.341999999999999</v>
      </c>
      <c r="BY991" s="120">
        <f>(BY990+BY992)/2</f>
        <v>25.004999999999999</v>
      </c>
      <c r="BZ991" s="120">
        <f>(BY991+CA991)/2</f>
        <v>25.641750000000002</v>
      </c>
      <c r="CA991" s="120">
        <f>(CA990+CA992)/2</f>
        <v>26.278500000000001</v>
      </c>
      <c r="CB991" s="120">
        <f>(CA991+CC991)/2</f>
        <v>26.954750000000001</v>
      </c>
      <c r="CC991" s="120">
        <f>(CC990+CC992)/2</f>
        <v>27.631</v>
      </c>
      <c r="CD991" s="120">
        <f>(CC991+CE991)/2</f>
        <v>28.248999999999999</v>
      </c>
      <c r="CE991" s="120">
        <f>(CE990+CE992)/2</f>
        <v>28.866999999999997</v>
      </c>
      <c r="CF991" s="120">
        <f>(CE991+CG991)/2</f>
        <v>29.461749999999999</v>
      </c>
      <c r="CG991" s="120">
        <f>(CG990+CG992)/2</f>
        <v>30.0565</v>
      </c>
      <c r="CH991" s="120">
        <f>(CG991+CI991)/2</f>
        <v>30.687999999999999</v>
      </c>
      <c r="CI991" s="120">
        <f>(CI990+CI992)/2</f>
        <v>31.319499999999998</v>
      </c>
      <c r="CJ991" s="120">
        <f>(CI991+CK991)/2</f>
        <v>31.950749999999999</v>
      </c>
      <c r="CK991" s="120">
        <f>(CK990+CK992)/2</f>
        <v>32.582000000000001</v>
      </c>
      <c r="CL991" s="120">
        <f>(CK991+CM991)/2</f>
        <v>33.213499999999996</v>
      </c>
      <c r="CM991" s="120">
        <f>(CM990+CM992)/2</f>
        <v>33.844999999999999</v>
      </c>
      <c r="CN991" s="120">
        <f>(CM991+CO991)/2</f>
        <v>34.454000000000001</v>
      </c>
      <c r="CO991" s="120">
        <f>(CO990+CO992)/2</f>
        <v>35.063000000000002</v>
      </c>
      <c r="CP991" s="120">
        <f>(CO991+CQ991)/2</f>
        <v>35.652749999999997</v>
      </c>
      <c r="CQ991" s="120">
        <f>(CQ990+CQ992)/2</f>
        <v>36.2425</v>
      </c>
      <c r="CR991" s="120">
        <f>(CQ991+CS991)/2</f>
        <v>36.836500000000001</v>
      </c>
      <c r="CS991" s="120">
        <f>(CS990+CS992)/2</f>
        <v>37.430500000000002</v>
      </c>
      <c r="CT991" s="120">
        <f>(CS991+CU991)/2</f>
        <v>38.03</v>
      </c>
      <c r="CU991" s="120">
        <f>(CU990+CU992)/2</f>
        <v>38.6295</v>
      </c>
      <c r="CV991" s="120">
        <f>(CU991+CW991)/2</f>
        <v>39.228999999999999</v>
      </c>
      <c r="CW991" s="120">
        <f>(CW990+CW992)/2</f>
        <v>39.828500000000005</v>
      </c>
      <c r="CX991" s="120">
        <f>(CW991+CY991)/2</f>
        <v>40.427500000000002</v>
      </c>
      <c r="CY991" s="120">
        <f>(CY990+CY992)/2</f>
        <v>41.026499999999999</v>
      </c>
      <c r="CZ991" s="120">
        <f>(CY991+DA991)/2</f>
        <v>41.621249999999996</v>
      </c>
      <c r="DA991" s="120">
        <f>(DA990+DA992)/2</f>
        <v>42.215999999999994</v>
      </c>
      <c r="DB991" s="120">
        <f>(DA991+DC991)/2</f>
        <v>42.788499999999999</v>
      </c>
      <c r="DC991" s="120">
        <f>(DC990+DC992)/2</f>
        <v>43.361000000000004</v>
      </c>
      <c r="DD991" s="120">
        <f>(DC991+DE991)/2</f>
        <v>43.960500000000003</v>
      </c>
      <c r="DE991" s="120">
        <f>(DE990+DE992)/2</f>
        <v>44.56</v>
      </c>
      <c r="DF991" s="120">
        <f>(DE991+DG991)/2</f>
        <v>45.153750000000002</v>
      </c>
      <c r="DG991" s="122">
        <f>(DG990+DG992)/2</f>
        <v>45.747500000000002</v>
      </c>
    </row>
    <row r="992" spans="54:111" ht="15" customHeight="1" x14ac:dyDescent="0.2">
      <c r="BB992" s="28">
        <v>16</v>
      </c>
      <c r="BC992" s="121">
        <v>9.0470000000000006</v>
      </c>
      <c r="BD992" s="121">
        <v>10.009499999999999</v>
      </c>
      <c r="BE992" s="121">
        <v>10.972</v>
      </c>
      <c r="BF992" s="121">
        <v>11.838000000000001</v>
      </c>
      <c r="BG992" s="121">
        <v>12.704000000000001</v>
      </c>
      <c r="BH992" s="121">
        <v>13.516500000000001</v>
      </c>
      <c r="BI992" s="121">
        <v>14.329000000000001</v>
      </c>
      <c r="BJ992" s="121">
        <v>15.131499999999999</v>
      </c>
      <c r="BK992" s="121">
        <v>15.933999999999999</v>
      </c>
      <c r="BL992" s="121">
        <v>16.681999999999999</v>
      </c>
      <c r="BM992" s="121">
        <v>17.43</v>
      </c>
      <c r="BN992" s="121">
        <f t="array" ref="BN992:BN1036">TRANSPOSE(BO991:DG991)</f>
        <v>18.1905</v>
      </c>
      <c r="BO992" s="158">
        <v>18.951000000000001</v>
      </c>
      <c r="BP992" s="120">
        <f>(BQ992+BO992)/2</f>
        <v>19.6995</v>
      </c>
      <c r="BQ992" s="158">
        <v>20.448</v>
      </c>
      <c r="BR992" s="120">
        <f>(BS992+BQ992)/2</f>
        <v>21.122500000000002</v>
      </c>
      <c r="BS992" s="158">
        <v>21.797000000000001</v>
      </c>
      <c r="BT992" s="120">
        <f>(BU992+BS992)/2</f>
        <v>22.545500000000001</v>
      </c>
      <c r="BU992" s="158">
        <v>23.294</v>
      </c>
      <c r="BV992" s="120">
        <f>(BW992+BU992)/2</f>
        <v>23.968499999999999</v>
      </c>
      <c r="BW992" s="158">
        <v>24.643000000000001</v>
      </c>
      <c r="BX992" s="120">
        <f>(BY992+BW992)/2</f>
        <v>25.349</v>
      </c>
      <c r="BY992" s="158">
        <v>26.055</v>
      </c>
      <c r="BZ992" s="120">
        <f>(CA992+BY992)/2</f>
        <v>26.740000000000002</v>
      </c>
      <c r="CA992" s="158">
        <v>27.425000000000001</v>
      </c>
      <c r="CB992" s="120">
        <f>(CC992+CA992)/2</f>
        <v>28.1355</v>
      </c>
      <c r="CC992" s="158">
        <v>28.846</v>
      </c>
      <c r="CD992" s="120">
        <f>(CE992+CC992)/2</f>
        <v>29.43</v>
      </c>
      <c r="CE992" s="158">
        <v>30.013999999999999</v>
      </c>
      <c r="CF992" s="120">
        <f>(CG992+CE992)/2</f>
        <v>30.625</v>
      </c>
      <c r="CG992" s="158">
        <v>31.236000000000001</v>
      </c>
      <c r="CH992" s="120">
        <f>(CI992+CG992)/2</f>
        <v>31.942500000000003</v>
      </c>
      <c r="CI992" s="158">
        <v>32.649000000000001</v>
      </c>
      <c r="CJ992" s="120">
        <f>(CK992+CI992)/2</f>
        <v>33.259500000000003</v>
      </c>
      <c r="CK992" s="158">
        <v>33.869999999999997</v>
      </c>
      <c r="CL992" s="120">
        <f>(CM992+CK992)/2</f>
        <v>34.554499999999997</v>
      </c>
      <c r="CM992" s="158">
        <v>35.238999999999997</v>
      </c>
      <c r="CN992" s="120">
        <f>(CO992+CM992)/2</f>
        <v>35.849499999999999</v>
      </c>
      <c r="CO992" s="158">
        <v>36.46</v>
      </c>
      <c r="CP992" s="120">
        <f>(CQ992+CO992)/2</f>
        <v>37.081000000000003</v>
      </c>
      <c r="CQ992" s="158">
        <v>37.701999999999998</v>
      </c>
      <c r="CR992" s="120">
        <f>(CS992+CQ992)/2</f>
        <v>38.334000000000003</v>
      </c>
      <c r="CS992" s="158">
        <v>38.966000000000001</v>
      </c>
      <c r="CT992" s="120">
        <f>(CU992+CS992)/2</f>
        <v>39.586500000000001</v>
      </c>
      <c r="CU992" s="158">
        <v>40.207000000000001</v>
      </c>
      <c r="CV992" s="120">
        <f>(CW992+CU992)/2</f>
        <v>40.817999999999998</v>
      </c>
      <c r="CW992" s="158">
        <v>41.429000000000002</v>
      </c>
      <c r="CX992" s="120">
        <f>(CY992+CW992)/2</f>
        <v>42.048999999999999</v>
      </c>
      <c r="CY992" s="158">
        <v>42.668999999999997</v>
      </c>
      <c r="CZ992" s="120">
        <f>(DA992+CY992)/2</f>
        <v>43.28</v>
      </c>
      <c r="DA992" s="158">
        <v>43.890999999999998</v>
      </c>
      <c r="DB992" s="120">
        <f>(DC992+DA992)/2</f>
        <v>44.533500000000004</v>
      </c>
      <c r="DC992" s="158">
        <v>45.176000000000002</v>
      </c>
      <c r="DD992" s="120">
        <f>(DE992+DC992)/2</f>
        <v>45.796500000000002</v>
      </c>
      <c r="DE992" s="158">
        <v>46.417000000000002</v>
      </c>
      <c r="DF992" s="120">
        <f>(DG992+DE992)/2</f>
        <v>47.027500000000003</v>
      </c>
      <c r="DG992" s="159">
        <v>47.637999999999998</v>
      </c>
    </row>
    <row r="993" spans="54:111" ht="15" customHeight="1" x14ac:dyDescent="0.2">
      <c r="BB993" s="28">
        <v>17</v>
      </c>
      <c r="BC993" s="121">
        <v>9.4095000000000013</v>
      </c>
      <c r="BD993" s="121">
        <v>10.388</v>
      </c>
      <c r="BE993" s="121">
        <v>11.366499999999998</v>
      </c>
      <c r="BF993" s="121">
        <v>12.286000000000001</v>
      </c>
      <c r="BG993" s="121">
        <v>13.205500000000001</v>
      </c>
      <c r="BH993" s="121">
        <v>14.045</v>
      </c>
      <c r="BI993" s="121">
        <v>14.884499999999999</v>
      </c>
      <c r="BJ993" s="121">
        <v>15.713999999999999</v>
      </c>
      <c r="BK993" s="121">
        <v>16.543499999999998</v>
      </c>
      <c r="BL993" s="121">
        <v>17.339999999999996</v>
      </c>
      <c r="BM993" s="121">
        <v>18.136499999999998</v>
      </c>
      <c r="BN993" s="121">
        <v>18.917999999999999</v>
      </c>
      <c r="BO993" s="121">
        <f t="array" ref="BO993:BO1036">TRANSPOSE(BP992:DG992)</f>
        <v>19.6995</v>
      </c>
      <c r="BP993" s="120">
        <f>(BO993+BQ993)/2</f>
        <v>20.46425</v>
      </c>
      <c r="BQ993" s="120">
        <f>(BQ992+BQ994)/2</f>
        <v>21.228999999999999</v>
      </c>
      <c r="BR993" s="120">
        <f>(BQ993+BS993)/2</f>
        <v>21.930499999999999</v>
      </c>
      <c r="BS993" s="120">
        <f>(BS992+BS994)/2</f>
        <v>22.631999999999998</v>
      </c>
      <c r="BT993" s="120">
        <f>(BS993+BU993)/2</f>
        <v>23.40775</v>
      </c>
      <c r="BU993" s="120">
        <f>(BU992+BU994)/2</f>
        <v>24.183500000000002</v>
      </c>
      <c r="BV993" s="120">
        <f>(BU993+BW993)/2</f>
        <v>24.879250000000003</v>
      </c>
      <c r="BW993" s="120">
        <f>(BW992+BW994)/2</f>
        <v>25.575000000000003</v>
      </c>
      <c r="BX993" s="120">
        <f>(BW993+BY993)/2</f>
        <v>26.292250000000003</v>
      </c>
      <c r="BY993" s="120">
        <f>(BY992+BY994)/2</f>
        <v>27.009499999999999</v>
      </c>
      <c r="BZ993" s="120">
        <f>(BY993+CA993)/2</f>
        <v>27.710749999999997</v>
      </c>
      <c r="CA993" s="120">
        <f>(CA992+CA994)/2</f>
        <v>28.411999999999999</v>
      </c>
      <c r="CB993" s="120">
        <f>(CA993+CC993)/2</f>
        <v>29.136499999999998</v>
      </c>
      <c r="CC993" s="120">
        <f>(CC992+CC994)/2</f>
        <v>29.861000000000001</v>
      </c>
      <c r="CD993" s="120">
        <f>(CC993+CE993)/2</f>
        <v>30.522500000000001</v>
      </c>
      <c r="CE993" s="120">
        <f>(CE992+CE994)/2</f>
        <v>31.183999999999997</v>
      </c>
      <c r="CF993" s="120">
        <f>(CE993+CG993)/2</f>
        <v>31.842499999999998</v>
      </c>
      <c r="CG993" s="120">
        <f>(CG992+CG994)/2</f>
        <v>32.500999999999998</v>
      </c>
      <c r="CH993" s="120">
        <f>(CG993+CI993)/2</f>
        <v>33.191749999999999</v>
      </c>
      <c r="CI993" s="120">
        <f>(CI992+CI994)/2</f>
        <v>33.8825</v>
      </c>
      <c r="CJ993" s="120">
        <f>(CI993+CK993)/2</f>
        <v>34.546499999999995</v>
      </c>
      <c r="CK993" s="120">
        <f>(CK992+CK994)/2</f>
        <v>35.210499999999996</v>
      </c>
      <c r="CL993" s="120">
        <f>(CK993+CM993)/2</f>
        <v>35.89</v>
      </c>
      <c r="CM993" s="120">
        <f>(CM992+CM994)/2</f>
        <v>36.569499999999998</v>
      </c>
      <c r="CN993" s="120">
        <f>(CM993+CO993)/2</f>
        <v>37.239249999999998</v>
      </c>
      <c r="CO993" s="120">
        <f>(CO992+CO994)/2</f>
        <v>37.908999999999999</v>
      </c>
      <c r="CP993" s="120">
        <f>(CO993+CQ993)/2</f>
        <v>38.545999999999999</v>
      </c>
      <c r="CQ993" s="120">
        <f>(CQ992+CQ994)/2</f>
        <v>39.183</v>
      </c>
      <c r="CR993" s="120">
        <f>(CQ993+CS993)/2</f>
        <v>39.83625</v>
      </c>
      <c r="CS993" s="120">
        <f>(CS992+CS994)/2</f>
        <v>40.4895</v>
      </c>
      <c r="CT993" s="120">
        <f>(CS993+CU993)/2</f>
        <v>41.121250000000003</v>
      </c>
      <c r="CU993" s="120">
        <f>(CU992+CU994)/2</f>
        <v>41.753</v>
      </c>
      <c r="CV993" s="120">
        <f>(CU993+CW993)/2</f>
        <v>42.427999999999997</v>
      </c>
      <c r="CW993" s="120">
        <f>(CW992+CW994)/2</f>
        <v>43.103000000000002</v>
      </c>
      <c r="CX993" s="120">
        <f>(CW993+CY993)/2</f>
        <v>43.750249999999994</v>
      </c>
      <c r="CY993" s="120">
        <f>(CY992+CY994)/2</f>
        <v>44.397499999999994</v>
      </c>
      <c r="CZ993" s="120">
        <f>(CY993+DA993)/2</f>
        <v>45.029749999999993</v>
      </c>
      <c r="DA993" s="120">
        <f>(DA992+DA994)/2</f>
        <v>45.661999999999999</v>
      </c>
      <c r="DB993" s="120">
        <f>(DA993+DC993)/2</f>
        <v>46.3155</v>
      </c>
      <c r="DC993" s="120">
        <f>(DC992+DC994)/2</f>
        <v>46.969000000000001</v>
      </c>
      <c r="DD993" s="120">
        <f>(DC993+DE993)/2</f>
        <v>47.606000000000002</v>
      </c>
      <c r="DE993" s="120">
        <f>(DE992+DE994)/2</f>
        <v>48.243000000000002</v>
      </c>
      <c r="DF993" s="120">
        <f>(DE993+DG993)/2</f>
        <v>48.8855</v>
      </c>
      <c r="DG993" s="122">
        <f>(DG992+DG994)/2</f>
        <v>49.527999999999999</v>
      </c>
    </row>
    <row r="994" spans="54:111" ht="15" customHeight="1" x14ac:dyDescent="0.2">
      <c r="BB994" s="28">
        <v>18</v>
      </c>
      <c r="BC994" s="121">
        <v>9.7720000000000002</v>
      </c>
      <c r="BD994" s="121">
        <v>10.766500000000001</v>
      </c>
      <c r="BE994" s="121">
        <v>11.760999999999999</v>
      </c>
      <c r="BF994" s="121">
        <v>12.734</v>
      </c>
      <c r="BG994" s="121">
        <v>13.707000000000001</v>
      </c>
      <c r="BH994" s="121">
        <v>14.573499999999999</v>
      </c>
      <c r="BI994" s="121">
        <v>15.44</v>
      </c>
      <c r="BJ994" s="121">
        <v>16.296499999999998</v>
      </c>
      <c r="BK994" s="121">
        <v>17.152999999999999</v>
      </c>
      <c r="BL994" s="121">
        <v>17.997999999999998</v>
      </c>
      <c r="BM994" s="121">
        <v>18.843</v>
      </c>
      <c r="BN994" s="121">
        <v>19.645499999999998</v>
      </c>
      <c r="BO994" s="121">
        <v>20.448</v>
      </c>
      <c r="BP994" s="121">
        <f t="array" ref="BP994:BP1036">TRANSPOSE(BQ993:DG993)</f>
        <v>21.228999999999999</v>
      </c>
      <c r="BQ994" s="158">
        <v>22.01</v>
      </c>
      <c r="BR994" s="120">
        <f>(BS994+BQ994)/2</f>
        <v>22.738500000000002</v>
      </c>
      <c r="BS994" s="158">
        <v>23.466999999999999</v>
      </c>
      <c r="BT994" s="120">
        <f>(BU994+BS994)/2</f>
        <v>24.27</v>
      </c>
      <c r="BU994" s="158">
        <v>25.073</v>
      </c>
      <c r="BV994" s="120">
        <f>(BW994+BU994)/2</f>
        <v>25.79</v>
      </c>
      <c r="BW994" s="158">
        <v>26.507000000000001</v>
      </c>
      <c r="BX994" s="120">
        <f>(BY994+BW994)/2</f>
        <v>27.235500000000002</v>
      </c>
      <c r="BY994" s="158">
        <v>27.963999999999999</v>
      </c>
      <c r="BZ994" s="120">
        <f>(CA994+BY994)/2</f>
        <v>28.6815</v>
      </c>
      <c r="CA994" s="158">
        <v>29.399000000000001</v>
      </c>
      <c r="CB994" s="120">
        <f>(CC994+CA994)/2</f>
        <v>30.137500000000003</v>
      </c>
      <c r="CC994" s="158">
        <v>30.876000000000001</v>
      </c>
      <c r="CD994" s="120">
        <f>(CE994+CC994)/2</f>
        <v>31.615000000000002</v>
      </c>
      <c r="CE994" s="158">
        <v>32.353999999999999</v>
      </c>
      <c r="CF994" s="120">
        <f>(CG994+CE994)/2</f>
        <v>33.06</v>
      </c>
      <c r="CG994" s="158">
        <v>33.765999999999998</v>
      </c>
      <c r="CH994" s="120">
        <f>(CI994+CG994)/2</f>
        <v>34.441000000000003</v>
      </c>
      <c r="CI994" s="158">
        <v>35.116</v>
      </c>
      <c r="CJ994" s="120">
        <f>(CK994+CI994)/2</f>
        <v>35.833500000000001</v>
      </c>
      <c r="CK994" s="158">
        <v>36.551000000000002</v>
      </c>
      <c r="CL994" s="120">
        <f>(CM994+CK994)/2</f>
        <v>37.225499999999997</v>
      </c>
      <c r="CM994" s="158">
        <v>37.9</v>
      </c>
      <c r="CN994" s="120">
        <f>(CO994+CM994)/2</f>
        <v>38.628999999999998</v>
      </c>
      <c r="CO994" s="158">
        <v>39.357999999999997</v>
      </c>
      <c r="CP994" s="120">
        <f>(CQ994+CO994)/2</f>
        <v>40.010999999999996</v>
      </c>
      <c r="CQ994" s="158">
        <v>40.664000000000001</v>
      </c>
      <c r="CR994" s="120">
        <f>(CS994+CQ994)/2</f>
        <v>41.338499999999996</v>
      </c>
      <c r="CS994" s="158">
        <v>42.012999999999998</v>
      </c>
      <c r="CT994" s="120">
        <f>(CU994+CS994)/2</f>
        <v>42.655999999999999</v>
      </c>
      <c r="CU994" s="158">
        <v>43.298999999999999</v>
      </c>
      <c r="CV994" s="120">
        <f>(CW994+CU994)/2</f>
        <v>44.037999999999997</v>
      </c>
      <c r="CW994" s="158">
        <v>44.777000000000001</v>
      </c>
      <c r="CX994" s="120">
        <f>(CY994+CW994)/2</f>
        <v>45.451499999999996</v>
      </c>
      <c r="CY994" s="158">
        <v>46.125999999999998</v>
      </c>
      <c r="CZ994" s="120">
        <f>(DA994+CY994)/2</f>
        <v>46.779499999999999</v>
      </c>
      <c r="DA994" s="158">
        <v>47.433</v>
      </c>
      <c r="DB994" s="120">
        <f>(DC994+DA994)/2</f>
        <v>48.097499999999997</v>
      </c>
      <c r="DC994" s="158">
        <v>48.762</v>
      </c>
      <c r="DD994" s="120">
        <f>(DE994+DC994)/2</f>
        <v>49.415500000000002</v>
      </c>
      <c r="DE994" s="158">
        <v>50.069000000000003</v>
      </c>
      <c r="DF994" s="120">
        <f>(DG994+DE994)/2</f>
        <v>50.743499999999997</v>
      </c>
      <c r="DG994" s="159">
        <v>51.417999999999999</v>
      </c>
    </row>
    <row r="995" spans="54:111" ht="15" customHeight="1" x14ac:dyDescent="0.2">
      <c r="BB995" s="28">
        <v>19</v>
      </c>
      <c r="BC995" s="121">
        <v>10.081</v>
      </c>
      <c r="BD995" s="121">
        <v>11.155250000000001</v>
      </c>
      <c r="BE995" s="121">
        <v>12.2295</v>
      </c>
      <c r="BF995" s="121">
        <v>13.197749999999999</v>
      </c>
      <c r="BG995" s="121">
        <v>14.166</v>
      </c>
      <c r="BH995" s="121">
        <v>15.080749999999998</v>
      </c>
      <c r="BI995" s="121">
        <v>15.9955</v>
      </c>
      <c r="BJ995" s="121">
        <v>16.873249999999999</v>
      </c>
      <c r="BK995" s="121">
        <v>17.750999999999998</v>
      </c>
      <c r="BL995" s="121">
        <v>18.617999999999999</v>
      </c>
      <c r="BM995" s="121">
        <v>19.484999999999999</v>
      </c>
      <c r="BN995" s="121">
        <v>20.303750000000001</v>
      </c>
      <c r="BO995" s="121">
        <v>21.122500000000002</v>
      </c>
      <c r="BP995" s="121">
        <v>21.930499999999999</v>
      </c>
      <c r="BQ995" s="121">
        <f t="array" ref="BQ995:BQ1036">TRANSPOSE(BR994:DG994)</f>
        <v>22.738500000000002</v>
      </c>
      <c r="BR995" s="120">
        <f>(BQ995+BS995)/2</f>
        <v>23.527750000000001</v>
      </c>
      <c r="BS995" s="120">
        <f>(BS994+BS996)/2</f>
        <v>24.317</v>
      </c>
      <c r="BT995" s="120">
        <f>(BS995+BU995)/2</f>
        <v>25.12875</v>
      </c>
      <c r="BU995" s="120">
        <f>(BU994+BU996)/2</f>
        <v>25.9405</v>
      </c>
      <c r="BV995" s="120">
        <f>(BU995+BW995)/2</f>
        <v>26.6845</v>
      </c>
      <c r="BW995" s="120">
        <f>(BW994+BW996)/2</f>
        <v>27.4285</v>
      </c>
      <c r="BX995" s="120">
        <f>(BW995+BY995)/2</f>
        <v>28.210249999999998</v>
      </c>
      <c r="BY995" s="120">
        <f>(BY994+BY996)/2</f>
        <v>28.991999999999997</v>
      </c>
      <c r="BZ995" s="120">
        <f>(BY995+CA995)/2</f>
        <v>29.736499999999999</v>
      </c>
      <c r="CA995" s="120">
        <f>(CA994+CA996)/2</f>
        <v>30.481000000000002</v>
      </c>
      <c r="CB995" s="120">
        <f>(CA995+CC995)/2</f>
        <v>31.235749999999999</v>
      </c>
      <c r="CC995" s="120">
        <f>(CC994+CC996)/2</f>
        <v>31.990499999999997</v>
      </c>
      <c r="CD995" s="120">
        <f>(CC995+CE995)/2</f>
        <v>32.745750000000001</v>
      </c>
      <c r="CE995" s="120">
        <f>(CE994+CE996)/2</f>
        <v>33.501000000000005</v>
      </c>
      <c r="CF995" s="120">
        <f>(CE995+CG995)/2</f>
        <v>34.239750000000001</v>
      </c>
      <c r="CG995" s="120">
        <f>(CG994+CG996)/2</f>
        <v>34.978499999999997</v>
      </c>
      <c r="CH995" s="120">
        <f>(CG995+CI995)/2</f>
        <v>35.669499999999999</v>
      </c>
      <c r="CI995" s="120">
        <f>(CI994+CI996)/2</f>
        <v>36.360500000000002</v>
      </c>
      <c r="CJ995" s="120">
        <f>(CI995+CK995)/2</f>
        <v>37.09975</v>
      </c>
      <c r="CK995" s="120">
        <f>(CK994+CK996)/2</f>
        <v>37.838999999999999</v>
      </c>
      <c r="CL995" s="120">
        <f>(CK995+CM995)/2</f>
        <v>38.53</v>
      </c>
      <c r="CM995" s="120">
        <f>(CM994+CM996)/2</f>
        <v>39.221000000000004</v>
      </c>
      <c r="CN995" s="120">
        <f>(CM995+CO995)/2</f>
        <v>39.970750000000002</v>
      </c>
      <c r="CO995" s="120">
        <f>(CO994+CO996)/2</f>
        <v>40.720500000000001</v>
      </c>
      <c r="CP995" s="120">
        <f>(CO995+CQ995)/2</f>
        <v>41.401000000000003</v>
      </c>
      <c r="CQ995" s="120">
        <f>(CQ994+CQ996)/2</f>
        <v>42.081500000000005</v>
      </c>
      <c r="CR995" s="120">
        <f>(CQ995+CS995)/2</f>
        <v>42.804250000000003</v>
      </c>
      <c r="CS995" s="120">
        <f>(CS994+CS996)/2</f>
        <v>43.527000000000001</v>
      </c>
      <c r="CT995" s="120">
        <f>(CS995+CU995)/2</f>
        <v>44.201999999999998</v>
      </c>
      <c r="CU995" s="120">
        <f>(CU994+CU996)/2</f>
        <v>44.876999999999995</v>
      </c>
      <c r="CV995" s="120">
        <f>(CU995+CW995)/2</f>
        <v>45.599999999999994</v>
      </c>
      <c r="CW995" s="120">
        <f>(CW994+CW996)/2</f>
        <v>46.323</v>
      </c>
      <c r="CX995" s="120">
        <f>(CW995+CY995)/2</f>
        <v>47.046250000000001</v>
      </c>
      <c r="CY995" s="120">
        <f>(CY994+CY996)/2</f>
        <v>47.769499999999994</v>
      </c>
      <c r="CZ995" s="120">
        <f>(CY995+DA995)/2</f>
        <v>48.449749999999995</v>
      </c>
      <c r="DA995" s="120">
        <f>(DA994+DA996)/2</f>
        <v>49.129999999999995</v>
      </c>
      <c r="DB995" s="120">
        <f>(DA995+DC995)/2</f>
        <v>49.815749999999994</v>
      </c>
      <c r="DC995" s="120">
        <f>(DC994+DC996)/2</f>
        <v>50.5015</v>
      </c>
      <c r="DD995" s="120">
        <f>(DC995+DE995)/2</f>
        <v>51.182249999999996</v>
      </c>
      <c r="DE995" s="120">
        <f>(DE994+DE996)/2</f>
        <v>51.863</v>
      </c>
      <c r="DF995" s="120">
        <f>(DE995+DG995)/2</f>
        <v>52.553750000000001</v>
      </c>
      <c r="DG995" s="122">
        <f>(DG994+DG996)/2</f>
        <v>53.244500000000002</v>
      </c>
    </row>
    <row r="996" spans="54:111" ht="15" customHeight="1" x14ac:dyDescent="0.2">
      <c r="BB996" s="28">
        <v>20</v>
      </c>
      <c r="BC996" s="121">
        <v>10.39</v>
      </c>
      <c r="BD996" s="121">
        <v>11.544</v>
      </c>
      <c r="BE996" s="121">
        <v>12.698</v>
      </c>
      <c r="BF996" s="121">
        <v>13.6615</v>
      </c>
      <c r="BG996" s="121">
        <v>14.625</v>
      </c>
      <c r="BH996" s="121">
        <v>15.587999999999999</v>
      </c>
      <c r="BI996" s="121">
        <v>16.550999999999998</v>
      </c>
      <c r="BJ996" s="121">
        <v>17.45</v>
      </c>
      <c r="BK996" s="121">
        <v>18.349</v>
      </c>
      <c r="BL996" s="121">
        <v>19.238</v>
      </c>
      <c r="BM996" s="121">
        <v>20.126999999999999</v>
      </c>
      <c r="BN996" s="121">
        <v>20.962</v>
      </c>
      <c r="BO996" s="121">
        <v>21.797000000000001</v>
      </c>
      <c r="BP996" s="121">
        <v>22.631999999999998</v>
      </c>
      <c r="BQ996" s="121">
        <v>23.466999999999999</v>
      </c>
      <c r="BR996" s="121">
        <f t="array" ref="BR996:BR1036">TRANSPOSE(BS995:DG995)</f>
        <v>24.317</v>
      </c>
      <c r="BS996" s="158">
        <v>25.167000000000002</v>
      </c>
      <c r="BT996" s="120">
        <f>(BU996+BS996)/2</f>
        <v>25.987500000000001</v>
      </c>
      <c r="BU996" s="158">
        <v>26.808</v>
      </c>
      <c r="BV996" s="120">
        <f>(BW996+BU996)/2</f>
        <v>27.579000000000001</v>
      </c>
      <c r="BW996" s="158">
        <v>28.35</v>
      </c>
      <c r="BX996" s="120">
        <f>(BY996+BW996)/2</f>
        <v>29.185000000000002</v>
      </c>
      <c r="BY996" s="158">
        <v>30.02</v>
      </c>
      <c r="BZ996" s="120">
        <f>(CA996+BY996)/2</f>
        <v>30.791499999999999</v>
      </c>
      <c r="CA996" s="158">
        <v>31.562999999999999</v>
      </c>
      <c r="CB996" s="120">
        <f>(CC996+CA996)/2</f>
        <v>32.333999999999996</v>
      </c>
      <c r="CC996" s="158">
        <v>33.104999999999997</v>
      </c>
      <c r="CD996" s="120">
        <f>(CE996+CC996)/2</f>
        <v>33.8765</v>
      </c>
      <c r="CE996" s="158">
        <v>34.648000000000003</v>
      </c>
      <c r="CF996" s="120">
        <f>(CG996+CE996)/2</f>
        <v>35.419499999999999</v>
      </c>
      <c r="CG996" s="158">
        <v>36.191000000000003</v>
      </c>
      <c r="CH996" s="120">
        <f>(CI996+CG996)/2</f>
        <v>36.897999999999996</v>
      </c>
      <c r="CI996" s="158">
        <v>37.604999999999997</v>
      </c>
      <c r="CJ996" s="120">
        <f>(CK996+CI996)/2</f>
        <v>38.366</v>
      </c>
      <c r="CK996" s="158">
        <v>39.127000000000002</v>
      </c>
      <c r="CL996" s="120">
        <f>(CM996+CK996)/2</f>
        <v>39.834500000000006</v>
      </c>
      <c r="CM996" s="158">
        <v>40.542000000000002</v>
      </c>
      <c r="CN996" s="120">
        <f>(CO996+CM996)/2</f>
        <v>41.3125</v>
      </c>
      <c r="CO996" s="158">
        <v>42.082999999999998</v>
      </c>
      <c r="CP996" s="120">
        <f>(CQ996+CO996)/2</f>
        <v>42.790999999999997</v>
      </c>
      <c r="CQ996" s="158">
        <v>43.499000000000002</v>
      </c>
      <c r="CR996" s="120">
        <f>(CS996+CQ996)/2</f>
        <v>44.269999999999996</v>
      </c>
      <c r="CS996" s="158">
        <v>45.040999999999997</v>
      </c>
      <c r="CT996" s="120">
        <f>(CU996+CS996)/2</f>
        <v>45.747999999999998</v>
      </c>
      <c r="CU996" s="158">
        <v>46.454999999999998</v>
      </c>
      <c r="CV996" s="120">
        <f>(CW996+CU996)/2</f>
        <v>47.161999999999999</v>
      </c>
      <c r="CW996" s="158">
        <v>47.869</v>
      </c>
      <c r="CX996" s="120">
        <f>(CY996+CW996)/2</f>
        <v>48.640999999999998</v>
      </c>
      <c r="CY996" s="158">
        <v>49.412999999999997</v>
      </c>
      <c r="CZ996" s="120">
        <f>(DA996+CY996)/2</f>
        <v>50.12</v>
      </c>
      <c r="DA996" s="158">
        <v>50.826999999999998</v>
      </c>
      <c r="DB996" s="120">
        <f>(DC996+DA996)/2</f>
        <v>51.533999999999999</v>
      </c>
      <c r="DC996" s="158">
        <v>52.241</v>
      </c>
      <c r="DD996" s="120">
        <f>(DE996+DC996)/2</f>
        <v>52.948999999999998</v>
      </c>
      <c r="DE996" s="158">
        <v>53.656999999999996</v>
      </c>
      <c r="DF996" s="120">
        <f>(DG996+DE996)/2</f>
        <v>54.363999999999997</v>
      </c>
      <c r="DG996" s="159">
        <v>55.070999999999998</v>
      </c>
    </row>
    <row r="997" spans="54:111" ht="15" customHeight="1" x14ac:dyDescent="0.2">
      <c r="BB997" s="28">
        <v>21</v>
      </c>
      <c r="BC997" s="121">
        <v>10.752000000000001</v>
      </c>
      <c r="BD997" s="121">
        <v>11.922499999999999</v>
      </c>
      <c r="BE997" s="121">
        <v>13.093</v>
      </c>
      <c r="BF997" s="121">
        <v>14.11525</v>
      </c>
      <c r="BG997" s="121">
        <v>15.137499999999999</v>
      </c>
      <c r="BH997" s="121">
        <v>16.121749999999999</v>
      </c>
      <c r="BI997" s="121">
        <v>17.106000000000002</v>
      </c>
      <c r="BJ997" s="121">
        <v>18.021250000000002</v>
      </c>
      <c r="BK997" s="121">
        <v>18.936500000000002</v>
      </c>
      <c r="BL997" s="121">
        <v>19.857749999999999</v>
      </c>
      <c r="BM997" s="121">
        <v>20.779</v>
      </c>
      <c r="BN997" s="121">
        <v>21.66225</v>
      </c>
      <c r="BO997" s="121">
        <v>22.545500000000001</v>
      </c>
      <c r="BP997" s="121">
        <v>23.40775</v>
      </c>
      <c r="BQ997" s="121">
        <v>24.27</v>
      </c>
      <c r="BR997" s="121">
        <v>25.12875</v>
      </c>
      <c r="BS997" s="121">
        <f t="array" ref="BS997:BS1036">TRANSPOSE(BT996:DG996)</f>
        <v>25.987500000000001</v>
      </c>
      <c r="BT997" s="120">
        <f>(BS997+BU997)/2</f>
        <v>26.831499999999998</v>
      </c>
      <c r="BU997" s="120">
        <f>(BU996+BU998)/2</f>
        <v>27.6755</v>
      </c>
      <c r="BV997" s="120">
        <f>(BU997+BW997)/2</f>
        <v>28.473500000000001</v>
      </c>
      <c r="BW997" s="120">
        <f>(BW996+BW998)/2</f>
        <v>29.271500000000003</v>
      </c>
      <c r="BX997" s="120">
        <f>(BW997+BY997)/2</f>
        <v>30.123000000000001</v>
      </c>
      <c r="BY997" s="120">
        <f>(BY996+BY998)/2</f>
        <v>30.974499999999999</v>
      </c>
      <c r="BZ997" s="120">
        <f>(BY997+CA997)/2</f>
        <v>31.777999999999999</v>
      </c>
      <c r="CA997" s="120">
        <f>(CA996+CA998)/2</f>
        <v>32.581499999999998</v>
      </c>
      <c r="CB997" s="120">
        <f>(CA997+CC997)/2</f>
        <v>33.369</v>
      </c>
      <c r="CC997" s="120">
        <f>(CC996+CC998)/2</f>
        <v>34.156499999999994</v>
      </c>
      <c r="CD997" s="120">
        <f>(CC997+CE997)/2</f>
        <v>34.943999999999996</v>
      </c>
      <c r="CE997" s="120">
        <f>(CE996+CE998)/2</f>
        <v>35.731499999999997</v>
      </c>
      <c r="CF997" s="120">
        <f>(CE997+CG997)/2</f>
        <v>36.53</v>
      </c>
      <c r="CG997" s="120">
        <f>(CG996+CG998)/2</f>
        <v>37.328500000000005</v>
      </c>
      <c r="CH997" s="120">
        <f>(CG997+CI997)/2</f>
        <v>38.083750000000002</v>
      </c>
      <c r="CI997" s="120">
        <f>(CI996+CI998)/2</f>
        <v>38.838999999999999</v>
      </c>
      <c r="CJ997" s="120">
        <f>(CI997+CK997)/2</f>
        <v>39.631999999999998</v>
      </c>
      <c r="CK997" s="120">
        <f>(CK996+CK998)/2</f>
        <v>40.424999999999997</v>
      </c>
      <c r="CL997" s="120">
        <f>(CK997+CM997)/2</f>
        <v>41.14875</v>
      </c>
      <c r="CM997" s="120">
        <f>(CM996+CM998)/2</f>
        <v>41.872500000000002</v>
      </c>
      <c r="CN997" s="120">
        <f>(CM997+CO997)/2</f>
        <v>42.659500000000001</v>
      </c>
      <c r="CO997" s="120">
        <f>(CO996+CO998)/2</f>
        <v>43.4465</v>
      </c>
      <c r="CP997" s="120">
        <f>(CO997+CQ997)/2</f>
        <v>44.213000000000001</v>
      </c>
      <c r="CQ997" s="120">
        <f>(CQ996+CQ998)/2</f>
        <v>44.979500000000002</v>
      </c>
      <c r="CR997" s="120">
        <f>(CQ997+CS997)/2</f>
        <v>45.740250000000003</v>
      </c>
      <c r="CS997" s="120">
        <f>(CS996+CS998)/2</f>
        <v>46.500999999999998</v>
      </c>
      <c r="CT997" s="120">
        <f>(CS997+CU997)/2</f>
        <v>47.235249999999994</v>
      </c>
      <c r="CU997" s="120">
        <f>(CU996+CU998)/2</f>
        <v>47.969499999999996</v>
      </c>
      <c r="CV997" s="120">
        <f>(CU997+CW997)/2</f>
        <v>48.72475</v>
      </c>
      <c r="CW997" s="120">
        <f>(CW996+CW998)/2</f>
        <v>49.480000000000004</v>
      </c>
      <c r="CX997" s="120">
        <f>(CW997+CY997)/2</f>
        <v>50.235750000000003</v>
      </c>
      <c r="CY997" s="120">
        <f>(CY996+CY998)/2</f>
        <v>50.991500000000002</v>
      </c>
      <c r="CZ997" s="120">
        <f>(CY997+DA997)/2</f>
        <v>51.725750000000005</v>
      </c>
      <c r="DA997" s="120">
        <f>(DA996+DA998)/2</f>
        <v>52.46</v>
      </c>
      <c r="DB997" s="120">
        <f>(DA997+DC997)/2</f>
        <v>53.215249999999997</v>
      </c>
      <c r="DC997" s="120">
        <f>(DC996+DC998)/2</f>
        <v>53.970500000000001</v>
      </c>
      <c r="DD997" s="120">
        <f>(DC997+DE997)/2</f>
        <v>54.705249999999999</v>
      </c>
      <c r="DE997" s="120">
        <f>(DE996+DE998)/2</f>
        <v>55.44</v>
      </c>
      <c r="DF997" s="120">
        <f>(DE997+DG997)/2</f>
        <v>56.163499999999999</v>
      </c>
      <c r="DG997" s="122">
        <f>(DG996+DG998)/2</f>
        <v>56.887</v>
      </c>
    </row>
    <row r="998" spans="54:111" ht="15" customHeight="1" x14ac:dyDescent="0.2">
      <c r="BB998" s="28">
        <v>22</v>
      </c>
      <c r="BC998" s="121">
        <v>11.114000000000001</v>
      </c>
      <c r="BD998" s="121">
        <v>12.301</v>
      </c>
      <c r="BE998" s="121">
        <v>13.488</v>
      </c>
      <c r="BF998" s="121">
        <v>14.568999999999999</v>
      </c>
      <c r="BG998" s="121">
        <v>15.65</v>
      </c>
      <c r="BH998" s="121">
        <v>16.6555</v>
      </c>
      <c r="BI998" s="121">
        <v>17.661000000000001</v>
      </c>
      <c r="BJ998" s="121">
        <v>18.592500000000001</v>
      </c>
      <c r="BK998" s="121">
        <v>19.524000000000001</v>
      </c>
      <c r="BL998" s="121">
        <v>20.477499999999999</v>
      </c>
      <c r="BM998" s="121">
        <v>21.431000000000001</v>
      </c>
      <c r="BN998" s="121">
        <v>22.362500000000001</v>
      </c>
      <c r="BO998" s="121">
        <v>23.294</v>
      </c>
      <c r="BP998" s="121">
        <v>24.183500000000002</v>
      </c>
      <c r="BQ998" s="121">
        <v>25.073</v>
      </c>
      <c r="BR998" s="121">
        <v>25.9405</v>
      </c>
      <c r="BS998" s="121">
        <v>26.808</v>
      </c>
      <c r="BT998" s="121">
        <f t="array" ref="BT998:BT1036">TRANSPOSE(BU997:DG997)</f>
        <v>27.6755</v>
      </c>
      <c r="BU998" s="158">
        <v>28.542999999999999</v>
      </c>
      <c r="BV998" s="120">
        <f>(BW998+BU998)/2</f>
        <v>29.368000000000002</v>
      </c>
      <c r="BW998" s="158">
        <v>30.193000000000001</v>
      </c>
      <c r="BX998" s="120">
        <f>(BY998+BW998)/2</f>
        <v>31.061</v>
      </c>
      <c r="BY998" s="158">
        <v>31.928999999999998</v>
      </c>
      <c r="BZ998" s="120">
        <f>(CA998+BY998)/2</f>
        <v>32.764499999999998</v>
      </c>
      <c r="CA998" s="158">
        <v>33.6</v>
      </c>
      <c r="CB998" s="120">
        <f>(CC998+CA998)/2</f>
        <v>34.403999999999996</v>
      </c>
      <c r="CC998" s="158">
        <v>35.207999999999998</v>
      </c>
      <c r="CD998" s="120">
        <f>(CE998+CC998)/2</f>
        <v>36.011499999999998</v>
      </c>
      <c r="CE998" s="158">
        <v>36.814999999999998</v>
      </c>
      <c r="CF998" s="120">
        <f>(CG998+CE998)/2</f>
        <v>37.640500000000003</v>
      </c>
      <c r="CG998" s="158">
        <v>38.466000000000001</v>
      </c>
      <c r="CH998" s="120">
        <f>(CI998+CG998)/2</f>
        <v>39.269500000000001</v>
      </c>
      <c r="CI998" s="158">
        <v>40.073</v>
      </c>
      <c r="CJ998" s="120">
        <f>(CK998+CI998)/2</f>
        <v>40.897999999999996</v>
      </c>
      <c r="CK998" s="158">
        <v>41.722999999999999</v>
      </c>
      <c r="CL998" s="120">
        <f>(CM998+CK998)/2</f>
        <v>42.463000000000001</v>
      </c>
      <c r="CM998" s="158">
        <v>43.203000000000003</v>
      </c>
      <c r="CN998" s="120">
        <f>(CO998+CM998)/2</f>
        <v>44.006500000000003</v>
      </c>
      <c r="CO998" s="158">
        <v>44.81</v>
      </c>
      <c r="CP998" s="120">
        <f>(CQ998+CO998)/2</f>
        <v>45.635000000000005</v>
      </c>
      <c r="CQ998" s="158">
        <v>46.46</v>
      </c>
      <c r="CR998" s="120">
        <f>(CS998+CQ998)/2</f>
        <v>47.210499999999996</v>
      </c>
      <c r="CS998" s="158">
        <v>47.960999999999999</v>
      </c>
      <c r="CT998" s="120">
        <f>(CU998+CS998)/2</f>
        <v>48.722499999999997</v>
      </c>
      <c r="CU998" s="158">
        <v>49.484000000000002</v>
      </c>
      <c r="CV998" s="120">
        <f>(CW998+CU998)/2</f>
        <v>50.287500000000001</v>
      </c>
      <c r="CW998" s="158">
        <v>51.091000000000001</v>
      </c>
      <c r="CX998" s="120">
        <f>(CY998+CW998)/2</f>
        <v>51.830500000000001</v>
      </c>
      <c r="CY998" s="158">
        <v>52.57</v>
      </c>
      <c r="CZ998" s="120">
        <f>(DA998+CY998)/2</f>
        <v>53.331500000000005</v>
      </c>
      <c r="DA998" s="158">
        <v>54.093000000000004</v>
      </c>
      <c r="DB998" s="120">
        <f>(DC998+DA998)/2</f>
        <v>54.896500000000003</v>
      </c>
      <c r="DC998" s="158">
        <v>55.7</v>
      </c>
      <c r="DD998" s="120">
        <f>(DE998+DC998)/2</f>
        <v>56.461500000000001</v>
      </c>
      <c r="DE998" s="158">
        <v>57.222999999999999</v>
      </c>
      <c r="DF998" s="120">
        <f>(DG998+DE998)/2</f>
        <v>57.963000000000001</v>
      </c>
      <c r="DG998" s="159">
        <v>58.703000000000003</v>
      </c>
    </row>
    <row r="999" spans="54:111" ht="15" customHeight="1" x14ac:dyDescent="0.2">
      <c r="BB999" s="28">
        <v>23</v>
      </c>
      <c r="BC999" s="121">
        <v>11.486499999999999</v>
      </c>
      <c r="BD999" s="121">
        <v>12.68975</v>
      </c>
      <c r="BE999" s="121">
        <v>13.893000000000001</v>
      </c>
      <c r="BF999" s="121">
        <v>14.99025</v>
      </c>
      <c r="BG999" s="121">
        <v>16.087499999999999</v>
      </c>
      <c r="BH999" s="121">
        <v>17.120249999999999</v>
      </c>
      <c r="BI999" s="121">
        <v>18.152999999999999</v>
      </c>
      <c r="BJ999" s="121">
        <v>19.1435</v>
      </c>
      <c r="BK999" s="121">
        <v>20.134</v>
      </c>
      <c r="BL999" s="121">
        <v>21.1035</v>
      </c>
      <c r="BM999" s="121">
        <v>22.073</v>
      </c>
      <c r="BN999" s="121">
        <v>23.02075</v>
      </c>
      <c r="BO999" s="121">
        <v>23.968499999999999</v>
      </c>
      <c r="BP999" s="121">
        <v>24.879250000000003</v>
      </c>
      <c r="BQ999" s="121">
        <v>25.79</v>
      </c>
      <c r="BR999" s="121">
        <v>26.6845</v>
      </c>
      <c r="BS999" s="121">
        <v>27.579000000000001</v>
      </c>
      <c r="BT999" s="121">
        <v>28.473500000000001</v>
      </c>
      <c r="BU999" s="121">
        <f t="array" ref="BU999:BU1036">TRANSPOSE(BV998:DG998)</f>
        <v>29.368000000000002</v>
      </c>
      <c r="BV999" s="120">
        <f>(BU999+BW999)/2</f>
        <v>30.246750000000002</v>
      </c>
      <c r="BW999" s="120">
        <f>(BW998+BW1000)/2</f>
        <v>31.125500000000002</v>
      </c>
      <c r="BX999" s="120">
        <f>(BW999+BY999)/2</f>
        <v>32.009500000000003</v>
      </c>
      <c r="BY999" s="120">
        <f>(BY998+BY1000)/2</f>
        <v>32.893499999999996</v>
      </c>
      <c r="BZ999" s="120">
        <f>(BY999+CA999)/2</f>
        <v>33.739999999999995</v>
      </c>
      <c r="CA999" s="120">
        <f>(CA998+CA1000)/2</f>
        <v>34.586500000000001</v>
      </c>
      <c r="CB999" s="120">
        <f>(CA999+CC999)/2</f>
        <v>35.422499999999999</v>
      </c>
      <c r="CC999" s="120">
        <f>(CC998+CC1000)/2</f>
        <v>36.258499999999998</v>
      </c>
      <c r="CD999" s="120">
        <f>(CC999+CE999)/2</f>
        <v>37.08925</v>
      </c>
      <c r="CE999" s="120">
        <f>(CE998+CE1000)/2</f>
        <v>37.92</v>
      </c>
      <c r="CF999" s="120">
        <f>(CE999+CG999)/2</f>
        <v>38.761749999999999</v>
      </c>
      <c r="CG999" s="120">
        <f>(CG998+CG1000)/2</f>
        <v>39.603499999999997</v>
      </c>
      <c r="CH999" s="120">
        <f>(CG999+CI999)/2</f>
        <v>40.423000000000002</v>
      </c>
      <c r="CI999" s="120">
        <f>(CI998+CI1000)/2</f>
        <v>41.2425</v>
      </c>
      <c r="CJ999" s="120">
        <f>(CI999+CK999)/2</f>
        <v>42.08925</v>
      </c>
      <c r="CK999" s="120">
        <f>(CK998+CK1000)/2</f>
        <v>42.936</v>
      </c>
      <c r="CL999" s="120">
        <f>(CK999+CM999)/2</f>
        <v>43.734750000000005</v>
      </c>
      <c r="CM999" s="120">
        <f>(CM998+CM1000)/2</f>
        <v>44.533500000000004</v>
      </c>
      <c r="CN999" s="120">
        <f>(CM999+CO999)/2</f>
        <v>45.364000000000004</v>
      </c>
      <c r="CO999" s="120">
        <f>(CO998+CO1000)/2</f>
        <v>46.194500000000005</v>
      </c>
      <c r="CP999" s="120">
        <f>(CO999+CQ999)/2</f>
        <v>47.009250000000002</v>
      </c>
      <c r="CQ999" s="120">
        <f>(CQ998+CQ1000)/2</f>
        <v>47.823999999999998</v>
      </c>
      <c r="CR999" s="120">
        <f>(CQ999+CS999)/2</f>
        <v>48.617249999999999</v>
      </c>
      <c r="CS999" s="120">
        <f>(CS998+CS1000)/2</f>
        <v>49.410499999999999</v>
      </c>
      <c r="CT999" s="120">
        <f>(CS999+CU999)/2</f>
        <v>50.22</v>
      </c>
      <c r="CU999" s="120">
        <f>(CU998+CU1000)/2</f>
        <v>51.029499999999999</v>
      </c>
      <c r="CV999" s="120">
        <f>(CU999+CW999)/2</f>
        <v>51.833500000000001</v>
      </c>
      <c r="CW999" s="120">
        <f>(CW998+CW1000)/2</f>
        <v>52.637500000000003</v>
      </c>
      <c r="CX999" s="120">
        <f>(CW999+CY999)/2</f>
        <v>53.404000000000003</v>
      </c>
      <c r="CY999" s="120">
        <f>(CY998+CY1000)/2</f>
        <v>54.170500000000004</v>
      </c>
      <c r="CZ999" s="120">
        <f>(CY999+DA999)/2</f>
        <v>54.980500000000006</v>
      </c>
      <c r="DA999" s="120">
        <f>(DA998+DA1000)/2</f>
        <v>55.790500000000002</v>
      </c>
      <c r="DB999" s="120">
        <f>(DA999+DC999)/2</f>
        <v>56.582999999999998</v>
      </c>
      <c r="DC999" s="120">
        <f>(DC998+DC1000)/2</f>
        <v>57.375500000000002</v>
      </c>
      <c r="DD999" s="120">
        <f>(DC999+DE999)/2</f>
        <v>58.15325</v>
      </c>
      <c r="DE999" s="120">
        <f>(DE998+DE1000)/2</f>
        <v>58.930999999999997</v>
      </c>
      <c r="DF999" s="120">
        <f>(DE999+DG999)/2</f>
        <v>59.73</v>
      </c>
      <c r="DG999" s="122">
        <f>(DG998+DG1000)/2</f>
        <v>60.528999999999996</v>
      </c>
    </row>
    <row r="1000" spans="54:111" ht="15" customHeight="1" x14ac:dyDescent="0.2">
      <c r="BB1000" s="28">
        <v>24</v>
      </c>
      <c r="BC1000" s="121">
        <v>11.859</v>
      </c>
      <c r="BD1000" s="121">
        <v>13.0785</v>
      </c>
      <c r="BE1000" s="121">
        <v>14.298</v>
      </c>
      <c r="BF1000" s="121">
        <v>15.4115</v>
      </c>
      <c r="BG1000" s="121">
        <v>16.524999999999999</v>
      </c>
      <c r="BH1000" s="121">
        <v>17.585000000000001</v>
      </c>
      <c r="BI1000" s="121">
        <v>18.645</v>
      </c>
      <c r="BJ1000" s="121">
        <v>19.694499999999998</v>
      </c>
      <c r="BK1000" s="121">
        <v>20.744</v>
      </c>
      <c r="BL1000" s="121">
        <v>21.729500000000002</v>
      </c>
      <c r="BM1000" s="121">
        <v>22.715</v>
      </c>
      <c r="BN1000" s="121">
        <v>23.679000000000002</v>
      </c>
      <c r="BO1000" s="121">
        <v>24.643000000000001</v>
      </c>
      <c r="BP1000" s="121">
        <v>25.575000000000003</v>
      </c>
      <c r="BQ1000" s="121">
        <v>26.507000000000001</v>
      </c>
      <c r="BR1000" s="121">
        <v>27.4285</v>
      </c>
      <c r="BS1000" s="121">
        <v>28.35</v>
      </c>
      <c r="BT1000" s="121">
        <v>29.271500000000003</v>
      </c>
      <c r="BU1000" s="121">
        <v>30.193000000000001</v>
      </c>
      <c r="BV1000" s="121">
        <f t="array" ref="BV1000:BV1036">TRANSPOSE(BW999:DG999)</f>
        <v>31.125500000000002</v>
      </c>
      <c r="BW1000" s="158">
        <v>32.058</v>
      </c>
      <c r="BX1000" s="120">
        <f>(BY1000+BW1000)/2</f>
        <v>32.957999999999998</v>
      </c>
      <c r="BY1000" s="158">
        <v>33.857999999999997</v>
      </c>
      <c r="BZ1000" s="120">
        <f>(CA1000+BY1000)/2</f>
        <v>34.715499999999999</v>
      </c>
      <c r="CA1000" s="158">
        <v>35.573</v>
      </c>
      <c r="CB1000" s="120">
        <f>(CC1000+CA1000)/2</f>
        <v>36.441000000000003</v>
      </c>
      <c r="CC1000" s="158">
        <v>37.308999999999997</v>
      </c>
      <c r="CD1000" s="120">
        <f>(CE1000+CC1000)/2</f>
        <v>38.167000000000002</v>
      </c>
      <c r="CE1000" s="158">
        <v>39.024999999999999</v>
      </c>
      <c r="CF1000" s="120">
        <f>(CG1000+CE1000)/2</f>
        <v>39.882999999999996</v>
      </c>
      <c r="CG1000" s="158">
        <v>40.741</v>
      </c>
      <c r="CH1000" s="120">
        <f>(CI1000+CG1000)/2</f>
        <v>41.576499999999996</v>
      </c>
      <c r="CI1000" s="158">
        <v>42.411999999999999</v>
      </c>
      <c r="CJ1000" s="120">
        <f>(CK1000+CI1000)/2</f>
        <v>43.280500000000004</v>
      </c>
      <c r="CK1000" s="158">
        <v>44.149000000000001</v>
      </c>
      <c r="CL1000" s="120">
        <f>(CM1000+CK1000)/2</f>
        <v>45.006500000000003</v>
      </c>
      <c r="CM1000" s="158">
        <v>45.863999999999997</v>
      </c>
      <c r="CN1000" s="120">
        <f>(CO1000+CM1000)/2</f>
        <v>46.721499999999999</v>
      </c>
      <c r="CO1000" s="158">
        <v>47.579000000000001</v>
      </c>
      <c r="CP1000" s="120">
        <f>(CQ1000+CO1000)/2</f>
        <v>48.383499999999998</v>
      </c>
      <c r="CQ1000" s="158">
        <v>49.188000000000002</v>
      </c>
      <c r="CR1000" s="120">
        <f>(CS1000+CQ1000)/2</f>
        <v>50.024000000000001</v>
      </c>
      <c r="CS1000" s="158">
        <v>50.86</v>
      </c>
      <c r="CT1000" s="120">
        <f>(CU1000+CS1000)/2</f>
        <v>51.717500000000001</v>
      </c>
      <c r="CU1000" s="158">
        <v>52.575000000000003</v>
      </c>
      <c r="CV1000" s="120">
        <f>(CW1000+CU1000)/2</f>
        <v>53.3795</v>
      </c>
      <c r="CW1000" s="158">
        <v>54.183999999999997</v>
      </c>
      <c r="CX1000" s="120">
        <f>(CY1000+CW1000)/2</f>
        <v>54.977499999999999</v>
      </c>
      <c r="CY1000" s="158">
        <v>55.771000000000001</v>
      </c>
      <c r="CZ1000" s="120">
        <f>(DA1000+CY1000)/2</f>
        <v>56.6295</v>
      </c>
      <c r="DA1000" s="158">
        <v>57.488</v>
      </c>
      <c r="DB1000" s="120">
        <f>(DC1000+DA1000)/2</f>
        <v>58.269500000000001</v>
      </c>
      <c r="DC1000" s="158">
        <v>59.051000000000002</v>
      </c>
      <c r="DD1000" s="120">
        <f>(DE1000+DC1000)/2</f>
        <v>59.844999999999999</v>
      </c>
      <c r="DE1000" s="158">
        <v>60.639000000000003</v>
      </c>
      <c r="DF1000" s="120">
        <f>(DG1000+DE1000)/2</f>
        <v>61.497</v>
      </c>
      <c r="DG1000" s="159">
        <v>62.354999999999997</v>
      </c>
    </row>
    <row r="1001" spans="54:111" ht="15" customHeight="1" x14ac:dyDescent="0.2">
      <c r="BB1001" s="28">
        <v>25</v>
      </c>
      <c r="BC1001" s="121">
        <v>12.135</v>
      </c>
      <c r="BD1001" s="121">
        <v>13.425000000000001</v>
      </c>
      <c r="BE1001" s="121">
        <v>14.715</v>
      </c>
      <c r="BF1001" s="121">
        <v>15.84975</v>
      </c>
      <c r="BG1001" s="121">
        <v>16.984499999999997</v>
      </c>
      <c r="BH1001" s="121">
        <v>18.087250000000001</v>
      </c>
      <c r="BI1001" s="121">
        <v>19.189999999999998</v>
      </c>
      <c r="BJ1001" s="121">
        <v>20.228999999999999</v>
      </c>
      <c r="BK1001" s="121">
        <v>21.268000000000001</v>
      </c>
      <c r="BL1001" s="121">
        <v>22.301500000000001</v>
      </c>
      <c r="BM1001" s="121">
        <v>23.335000000000001</v>
      </c>
      <c r="BN1001" s="121">
        <v>24.341999999999999</v>
      </c>
      <c r="BO1001" s="121">
        <v>25.349</v>
      </c>
      <c r="BP1001" s="121">
        <v>26.292250000000003</v>
      </c>
      <c r="BQ1001" s="121">
        <v>27.235500000000002</v>
      </c>
      <c r="BR1001" s="121">
        <v>28.210249999999998</v>
      </c>
      <c r="BS1001" s="121">
        <v>29.185000000000002</v>
      </c>
      <c r="BT1001" s="121">
        <v>30.123000000000001</v>
      </c>
      <c r="BU1001" s="121">
        <v>31.061</v>
      </c>
      <c r="BV1001" s="121">
        <v>32.009500000000003</v>
      </c>
      <c r="BW1001" s="121">
        <f t="array" ref="BW1001:BW1036">TRANSPOSE(BX1000:DG1000)</f>
        <v>32.957999999999998</v>
      </c>
      <c r="BX1001" s="120">
        <f>(BW1001+BY1001)/2</f>
        <v>33.863999999999997</v>
      </c>
      <c r="BY1001" s="120">
        <f>(BY1000+BY1002)/2</f>
        <v>34.769999999999996</v>
      </c>
      <c r="BZ1001" s="120">
        <f>(BY1001+CA1001)/2</f>
        <v>35.680749999999996</v>
      </c>
      <c r="CA1001" s="120">
        <f>(CA1000+CA1002)/2</f>
        <v>36.591499999999996</v>
      </c>
      <c r="CB1001" s="120">
        <f>(CA1001+CC1001)/2</f>
        <v>37.470500000000001</v>
      </c>
      <c r="CC1001" s="120">
        <f>(CC1000+CC1002)/2</f>
        <v>38.349499999999999</v>
      </c>
      <c r="CD1001" s="120">
        <f>(CC1001+CE1001)/2</f>
        <v>39.228750000000005</v>
      </c>
      <c r="CE1001" s="120">
        <f>(CE1000+CE1002)/2</f>
        <v>40.108000000000004</v>
      </c>
      <c r="CF1001" s="120">
        <f>(CE1001+CG1001)/2</f>
        <v>41.014250000000004</v>
      </c>
      <c r="CG1001" s="120">
        <f>(CG1000+CG1002)/2</f>
        <v>41.920500000000004</v>
      </c>
      <c r="CH1001" s="120">
        <f>(CG1001+CI1001)/2</f>
        <v>42.798999999999999</v>
      </c>
      <c r="CI1001" s="120">
        <f>(CI1000+CI1002)/2</f>
        <v>43.677499999999995</v>
      </c>
      <c r="CJ1001" s="120">
        <f>(CI1001+CK1001)/2</f>
        <v>44.557249999999996</v>
      </c>
      <c r="CK1001" s="120">
        <f>(CK1000+CK1002)/2</f>
        <v>45.436999999999998</v>
      </c>
      <c r="CL1001" s="120">
        <f>(CK1001+CM1001)/2</f>
        <v>46.315249999999999</v>
      </c>
      <c r="CM1001" s="120">
        <f>(CM1000+CM1002)/2</f>
        <v>47.1935</v>
      </c>
      <c r="CN1001" s="120">
        <f>(CM1001+CO1001)/2</f>
        <v>48.03575</v>
      </c>
      <c r="CO1001" s="120">
        <f>(CO1000+CO1002)/2</f>
        <v>48.878</v>
      </c>
      <c r="CP1001" s="120">
        <f>(CO1001+CQ1001)/2</f>
        <v>49.73075</v>
      </c>
      <c r="CQ1001" s="120">
        <f>(CQ1000+CQ1002)/2</f>
        <v>50.583500000000001</v>
      </c>
      <c r="CR1001" s="120">
        <f>(CQ1001+CS1001)/2</f>
        <v>51.457499999999996</v>
      </c>
      <c r="CS1001" s="120">
        <f>(CS1000+CS1002)/2</f>
        <v>52.331499999999998</v>
      </c>
      <c r="CT1001" s="120">
        <f>(CS1001+CU1001)/2</f>
        <v>53.178250000000006</v>
      </c>
      <c r="CU1001" s="120">
        <f>(CU1000+CU1002)/2</f>
        <v>54.025000000000006</v>
      </c>
      <c r="CV1001" s="120">
        <f>(CU1001+CW1001)/2</f>
        <v>54.872750000000003</v>
      </c>
      <c r="CW1001" s="120">
        <f>(CW1000+CW1002)/2</f>
        <v>55.720500000000001</v>
      </c>
      <c r="CX1001" s="120">
        <f>(CW1001+CY1001)/2</f>
        <v>56.567500000000003</v>
      </c>
      <c r="CY1001" s="120">
        <f>(CY1000+CY1002)/2</f>
        <v>57.414500000000004</v>
      </c>
      <c r="CZ1001" s="120">
        <f>(CY1001+DA1001)/2</f>
        <v>58.256500000000003</v>
      </c>
      <c r="DA1001" s="120">
        <f>(DA1000+DA1002)/2</f>
        <v>59.098500000000001</v>
      </c>
      <c r="DB1001" s="120">
        <f>(DA1001+DC1001)/2</f>
        <v>59.918500000000002</v>
      </c>
      <c r="DC1001" s="120">
        <f>(DC1000+DC1002)/2</f>
        <v>60.738500000000002</v>
      </c>
      <c r="DD1001" s="120">
        <f>(DC1001+DE1001)/2</f>
        <v>61.580750000000002</v>
      </c>
      <c r="DE1001" s="120">
        <f>(DE1000+DE1002)/2</f>
        <v>62.423000000000002</v>
      </c>
      <c r="DF1001" s="120">
        <f>(DE1001+DG1001)/2</f>
        <v>63.27</v>
      </c>
      <c r="DG1001" s="122">
        <f>(DG1000+DG1002)/2</f>
        <v>64.117000000000004</v>
      </c>
    </row>
    <row r="1002" spans="54:111" ht="15" customHeight="1" x14ac:dyDescent="0.2">
      <c r="BB1002" s="28">
        <v>26</v>
      </c>
      <c r="BC1002" s="121">
        <v>12.411</v>
      </c>
      <c r="BD1002" s="121">
        <v>13.7715</v>
      </c>
      <c r="BE1002" s="121">
        <v>15.132</v>
      </c>
      <c r="BF1002" s="121">
        <v>16.288</v>
      </c>
      <c r="BG1002" s="121">
        <v>17.443999999999999</v>
      </c>
      <c r="BH1002" s="121">
        <v>18.589500000000001</v>
      </c>
      <c r="BI1002" s="121">
        <v>19.734999999999999</v>
      </c>
      <c r="BJ1002" s="121">
        <v>20.763500000000001</v>
      </c>
      <c r="BK1002" s="121">
        <v>21.792000000000002</v>
      </c>
      <c r="BL1002" s="121">
        <v>22.8735</v>
      </c>
      <c r="BM1002" s="121">
        <v>23.954999999999998</v>
      </c>
      <c r="BN1002" s="121">
        <v>25.004999999999999</v>
      </c>
      <c r="BO1002" s="121">
        <v>26.055</v>
      </c>
      <c r="BP1002" s="121">
        <v>27.009499999999999</v>
      </c>
      <c r="BQ1002" s="121">
        <v>27.963999999999999</v>
      </c>
      <c r="BR1002" s="121">
        <v>28.991999999999997</v>
      </c>
      <c r="BS1002" s="121">
        <v>30.02</v>
      </c>
      <c r="BT1002" s="121">
        <v>30.974499999999999</v>
      </c>
      <c r="BU1002" s="121">
        <v>31.928999999999998</v>
      </c>
      <c r="BV1002" s="121">
        <v>32.893499999999996</v>
      </c>
      <c r="BW1002" s="121">
        <v>33.857999999999997</v>
      </c>
      <c r="BX1002" s="121">
        <f t="array" ref="BX1002:BX1036">TRANSPOSE(BY1001:DG1001)</f>
        <v>34.769999999999996</v>
      </c>
      <c r="BY1002" s="158">
        <v>35.682000000000002</v>
      </c>
      <c r="BZ1002" s="120">
        <f>(CA1002+BY1002)/2</f>
        <v>36.646000000000001</v>
      </c>
      <c r="CA1002" s="158">
        <v>37.61</v>
      </c>
      <c r="CB1002" s="120">
        <f>(CC1002+CA1002)/2</f>
        <v>38.5</v>
      </c>
      <c r="CC1002" s="158">
        <v>39.39</v>
      </c>
      <c r="CD1002" s="120">
        <f>(CE1002+CC1002)/2</f>
        <v>40.290500000000002</v>
      </c>
      <c r="CE1002" s="158">
        <v>41.191000000000003</v>
      </c>
      <c r="CF1002" s="120">
        <f>(CG1002+CE1002)/2</f>
        <v>42.145499999999998</v>
      </c>
      <c r="CG1002" s="158">
        <v>43.1</v>
      </c>
      <c r="CH1002" s="120">
        <f>(CI1002+CG1002)/2</f>
        <v>44.021500000000003</v>
      </c>
      <c r="CI1002" s="158">
        <v>44.942999999999998</v>
      </c>
      <c r="CJ1002" s="120">
        <f>(CK1002+CI1002)/2</f>
        <v>45.834000000000003</v>
      </c>
      <c r="CK1002" s="158">
        <v>46.725000000000001</v>
      </c>
      <c r="CL1002" s="120">
        <f>(CM1002+CK1002)/2</f>
        <v>47.624000000000002</v>
      </c>
      <c r="CM1002" s="158">
        <v>48.523000000000003</v>
      </c>
      <c r="CN1002" s="120">
        <f>(CO1002+CM1002)/2</f>
        <v>49.35</v>
      </c>
      <c r="CO1002" s="158">
        <v>50.177</v>
      </c>
      <c r="CP1002" s="120">
        <f>(CQ1002+CO1002)/2</f>
        <v>51.078000000000003</v>
      </c>
      <c r="CQ1002" s="158">
        <v>51.978999999999999</v>
      </c>
      <c r="CR1002" s="120">
        <f>(CS1002+CQ1002)/2</f>
        <v>52.890999999999998</v>
      </c>
      <c r="CS1002" s="158">
        <v>53.802999999999997</v>
      </c>
      <c r="CT1002" s="120">
        <f>(CU1002+CS1002)/2</f>
        <v>54.638999999999996</v>
      </c>
      <c r="CU1002" s="158">
        <v>55.475000000000001</v>
      </c>
      <c r="CV1002" s="120">
        <f>(CW1002+CU1002)/2</f>
        <v>56.366</v>
      </c>
      <c r="CW1002" s="158">
        <v>57.256999999999998</v>
      </c>
      <c r="CX1002" s="120">
        <f>(CY1002+CW1002)/2</f>
        <v>58.157499999999999</v>
      </c>
      <c r="CY1002" s="158">
        <v>59.058</v>
      </c>
      <c r="CZ1002" s="120">
        <f>(DA1002+CY1002)/2</f>
        <v>59.883499999999998</v>
      </c>
      <c r="DA1002" s="158">
        <v>60.709000000000003</v>
      </c>
      <c r="DB1002" s="120">
        <f>(DC1002+DA1002)/2</f>
        <v>61.567500000000003</v>
      </c>
      <c r="DC1002" s="158">
        <v>62.426000000000002</v>
      </c>
      <c r="DD1002" s="120">
        <f>(DE1002+DC1002)/2</f>
        <v>63.316499999999998</v>
      </c>
      <c r="DE1002" s="158">
        <v>64.206999999999994</v>
      </c>
      <c r="DF1002" s="120">
        <f>(DG1002+DE1002)/2</f>
        <v>65.043000000000006</v>
      </c>
      <c r="DG1002" s="159">
        <v>65.879000000000005</v>
      </c>
    </row>
    <row r="1003" spans="54:111" ht="15" customHeight="1" x14ac:dyDescent="0.2">
      <c r="BB1003" s="28">
        <v>27</v>
      </c>
      <c r="BC1003" s="121">
        <v>12.773499999999999</v>
      </c>
      <c r="BD1003" s="121">
        <v>14.12275</v>
      </c>
      <c r="BE1003" s="121">
        <v>15.472</v>
      </c>
      <c r="BF1003" s="121">
        <v>16.67625</v>
      </c>
      <c r="BG1003" s="121">
        <v>17.880499999999998</v>
      </c>
      <c r="BH1003" s="121">
        <v>19.0535</v>
      </c>
      <c r="BI1003" s="121">
        <v>20.226500000000001</v>
      </c>
      <c r="BJ1003" s="121">
        <v>21.314</v>
      </c>
      <c r="BK1003" s="121">
        <v>22.401499999999999</v>
      </c>
      <c r="BL1003" s="121">
        <v>23.4725</v>
      </c>
      <c r="BM1003" s="121">
        <v>24.543500000000002</v>
      </c>
      <c r="BN1003" s="121">
        <v>25.641750000000002</v>
      </c>
      <c r="BO1003" s="121">
        <v>26.740000000000002</v>
      </c>
      <c r="BP1003" s="121">
        <v>27.710749999999997</v>
      </c>
      <c r="BQ1003" s="121">
        <v>28.6815</v>
      </c>
      <c r="BR1003" s="121">
        <v>29.736499999999999</v>
      </c>
      <c r="BS1003" s="121">
        <v>30.791499999999999</v>
      </c>
      <c r="BT1003" s="121">
        <v>31.777999999999999</v>
      </c>
      <c r="BU1003" s="121">
        <v>32.764499999999998</v>
      </c>
      <c r="BV1003" s="121">
        <v>33.739999999999995</v>
      </c>
      <c r="BW1003" s="121">
        <v>34.715499999999999</v>
      </c>
      <c r="BX1003" s="121">
        <v>35.680749999999996</v>
      </c>
      <c r="BY1003" s="121">
        <f t="array" ref="BY1003:BY1036">TRANSPOSE(BZ1002:DG1002)</f>
        <v>36.646000000000001</v>
      </c>
      <c r="BZ1003" s="120">
        <f>(BY1003+CA1003)/2</f>
        <v>37.594499999999996</v>
      </c>
      <c r="CA1003" s="120">
        <f>(CA1002+CA1004)/2</f>
        <v>38.542999999999999</v>
      </c>
      <c r="CB1003" s="120">
        <f>(CA1003+CC1003)/2</f>
        <v>39.492000000000004</v>
      </c>
      <c r="CC1003" s="120">
        <f>(CC1002+CC1004)/2</f>
        <v>40.441000000000003</v>
      </c>
      <c r="CD1003" s="120">
        <f>(CC1003+CE1003)/2</f>
        <v>41.368750000000006</v>
      </c>
      <c r="CE1003" s="120">
        <f>(CE1002+CE1004)/2</f>
        <v>42.296500000000002</v>
      </c>
      <c r="CF1003" s="120">
        <f>(CE1003+CG1003)/2</f>
        <v>43.272000000000006</v>
      </c>
      <c r="CG1003" s="120">
        <f>(CG1002+CG1004)/2</f>
        <v>44.247500000000002</v>
      </c>
      <c r="CH1003" s="120">
        <f>(CG1003+CI1003)/2</f>
        <v>45.180500000000002</v>
      </c>
      <c r="CI1003" s="120">
        <f>(CI1002+CI1004)/2</f>
        <v>46.113500000000002</v>
      </c>
      <c r="CJ1003" s="120">
        <f>(CI1003+CK1003)/2</f>
        <v>47.025500000000001</v>
      </c>
      <c r="CK1003" s="120">
        <f>(CK1002+CK1004)/2</f>
        <v>47.9375</v>
      </c>
      <c r="CL1003" s="120">
        <f>(CK1003+CM1003)/2</f>
        <v>48.864000000000004</v>
      </c>
      <c r="CM1003" s="120">
        <f>(CM1002+CM1004)/2</f>
        <v>49.790500000000002</v>
      </c>
      <c r="CN1003" s="120">
        <f>(CM1003+CO1003)/2</f>
        <v>50.676500000000004</v>
      </c>
      <c r="CO1003" s="120">
        <f>(CO1002+CO1004)/2</f>
        <v>51.5625</v>
      </c>
      <c r="CP1003" s="120">
        <f>(CO1003+CQ1003)/2</f>
        <v>52.47925</v>
      </c>
      <c r="CQ1003" s="120">
        <f>(CQ1002+CQ1004)/2</f>
        <v>53.396000000000001</v>
      </c>
      <c r="CR1003" s="120">
        <f>(CQ1003+CS1003)/2</f>
        <v>54.297499999999999</v>
      </c>
      <c r="CS1003" s="120">
        <f>(CS1002+CS1004)/2</f>
        <v>55.198999999999998</v>
      </c>
      <c r="CT1003" s="120">
        <f>(CS1003+CU1003)/2</f>
        <v>56.08325</v>
      </c>
      <c r="CU1003" s="120">
        <f>(CU1002+CU1004)/2</f>
        <v>56.967500000000001</v>
      </c>
      <c r="CV1003" s="120">
        <f>(CU1003+CW1003)/2</f>
        <v>57.885249999999999</v>
      </c>
      <c r="CW1003" s="120">
        <f>(CW1002+CW1004)/2</f>
        <v>58.802999999999997</v>
      </c>
      <c r="CX1003" s="120">
        <f>(CW1003+CY1003)/2</f>
        <v>59.698749999999997</v>
      </c>
      <c r="CY1003" s="120">
        <f>(CY1002+CY1004)/2</f>
        <v>60.594499999999996</v>
      </c>
      <c r="CZ1003" s="120">
        <f>(CY1003+DA1003)/2</f>
        <v>61.473749999999995</v>
      </c>
      <c r="DA1003" s="120">
        <f>(DA1002+DA1004)/2</f>
        <v>62.353000000000002</v>
      </c>
      <c r="DB1003" s="120">
        <f>(DA1003+DC1003)/2</f>
        <v>63.222250000000003</v>
      </c>
      <c r="DC1003" s="120">
        <f>(DC1002+DC1004)/2</f>
        <v>64.091499999999996</v>
      </c>
      <c r="DD1003" s="120">
        <f>(DC1003+DE1003)/2</f>
        <v>65.003</v>
      </c>
      <c r="DE1003" s="120">
        <f>(DE1002+DE1004)/2</f>
        <v>65.914500000000004</v>
      </c>
      <c r="DF1003" s="120">
        <f>(DE1003+DG1003)/2</f>
        <v>66.778000000000006</v>
      </c>
      <c r="DG1003" s="122">
        <f>(DG1002+DG1004)/2</f>
        <v>67.641500000000008</v>
      </c>
    </row>
    <row r="1004" spans="54:111" ht="15" customHeight="1" x14ac:dyDescent="0.2">
      <c r="BB1004" s="28">
        <v>28</v>
      </c>
      <c r="BC1004" s="121">
        <v>13.135999999999999</v>
      </c>
      <c r="BD1004" s="121">
        <v>14.474</v>
      </c>
      <c r="BE1004" s="121">
        <v>15.811999999999999</v>
      </c>
      <c r="BF1004" s="121">
        <v>17.064499999999999</v>
      </c>
      <c r="BG1004" s="121">
        <v>18.317</v>
      </c>
      <c r="BH1004" s="121">
        <v>19.517499999999998</v>
      </c>
      <c r="BI1004" s="121">
        <v>20.718</v>
      </c>
      <c r="BJ1004" s="121">
        <v>21.8645</v>
      </c>
      <c r="BK1004" s="121">
        <v>23.010999999999999</v>
      </c>
      <c r="BL1004" s="121">
        <v>24.0715</v>
      </c>
      <c r="BM1004" s="121">
        <v>25.132000000000001</v>
      </c>
      <c r="BN1004" s="121">
        <v>26.278500000000001</v>
      </c>
      <c r="BO1004" s="121">
        <v>27.425000000000001</v>
      </c>
      <c r="BP1004" s="121">
        <v>28.411999999999999</v>
      </c>
      <c r="BQ1004" s="121">
        <v>29.399000000000001</v>
      </c>
      <c r="BR1004" s="121">
        <v>30.481000000000002</v>
      </c>
      <c r="BS1004" s="121">
        <v>31.562999999999999</v>
      </c>
      <c r="BT1004" s="121">
        <v>32.581499999999998</v>
      </c>
      <c r="BU1004" s="121">
        <v>33.6</v>
      </c>
      <c r="BV1004" s="121">
        <v>34.586500000000001</v>
      </c>
      <c r="BW1004" s="121">
        <v>35.573</v>
      </c>
      <c r="BX1004" s="121">
        <v>36.591499999999996</v>
      </c>
      <c r="BY1004" s="121">
        <v>37.61</v>
      </c>
      <c r="BZ1004" s="121">
        <f t="array" ref="BZ1004:BZ1036">TRANSPOSE(CA1003:DG1003)</f>
        <v>38.542999999999999</v>
      </c>
      <c r="CA1004" s="158">
        <v>39.475999999999999</v>
      </c>
      <c r="CB1004" s="120">
        <f>(CC1004+CA1004)/2</f>
        <v>40.483999999999995</v>
      </c>
      <c r="CC1004" s="158">
        <v>41.491999999999997</v>
      </c>
      <c r="CD1004" s="120">
        <f>(CE1004+CC1004)/2</f>
        <v>42.447000000000003</v>
      </c>
      <c r="CE1004" s="158">
        <v>43.402000000000001</v>
      </c>
      <c r="CF1004" s="120">
        <f>(CG1004+CE1004)/2</f>
        <v>44.398499999999999</v>
      </c>
      <c r="CG1004" s="158">
        <v>45.395000000000003</v>
      </c>
      <c r="CH1004" s="120">
        <f>(CI1004+CG1004)/2</f>
        <v>46.339500000000001</v>
      </c>
      <c r="CI1004" s="158">
        <v>47.283999999999999</v>
      </c>
      <c r="CJ1004" s="120">
        <f>(CK1004+CI1004)/2</f>
        <v>48.216999999999999</v>
      </c>
      <c r="CK1004" s="158">
        <v>49.15</v>
      </c>
      <c r="CL1004" s="120">
        <f>(CM1004+CK1004)/2</f>
        <v>50.103999999999999</v>
      </c>
      <c r="CM1004" s="158">
        <v>51.058</v>
      </c>
      <c r="CN1004" s="120">
        <f>(CO1004+CM1004)/2</f>
        <v>52.003</v>
      </c>
      <c r="CO1004" s="158">
        <v>52.948</v>
      </c>
      <c r="CP1004" s="120">
        <f>(CQ1004+CO1004)/2</f>
        <v>53.880499999999998</v>
      </c>
      <c r="CQ1004" s="158">
        <v>54.813000000000002</v>
      </c>
      <c r="CR1004" s="120">
        <f>(CS1004+CQ1004)/2</f>
        <v>55.704000000000001</v>
      </c>
      <c r="CS1004" s="158">
        <v>56.594999999999999</v>
      </c>
      <c r="CT1004" s="120">
        <f>(CU1004+CS1004)/2</f>
        <v>57.527500000000003</v>
      </c>
      <c r="CU1004" s="158">
        <v>58.46</v>
      </c>
      <c r="CV1004" s="120">
        <f>(CW1004+CU1004)/2</f>
        <v>59.404499999999999</v>
      </c>
      <c r="CW1004" s="158">
        <v>60.348999999999997</v>
      </c>
      <c r="CX1004" s="120">
        <f>(CY1004+CW1004)/2</f>
        <v>61.239999999999995</v>
      </c>
      <c r="CY1004" s="158">
        <v>62.131</v>
      </c>
      <c r="CZ1004" s="120">
        <f>(DA1004+CY1004)/2</f>
        <v>63.064</v>
      </c>
      <c r="DA1004" s="158">
        <v>63.997</v>
      </c>
      <c r="DB1004" s="120">
        <f>(DC1004+DA1004)/2</f>
        <v>64.87700000000001</v>
      </c>
      <c r="DC1004" s="158">
        <v>65.757000000000005</v>
      </c>
      <c r="DD1004" s="120">
        <f>(DE1004+DC1004)/2</f>
        <v>66.68950000000001</v>
      </c>
      <c r="DE1004" s="158">
        <v>67.622</v>
      </c>
      <c r="DF1004" s="120">
        <f>(DG1004+DE1004)/2</f>
        <v>68.513000000000005</v>
      </c>
      <c r="DG1004" s="159">
        <v>69.403999999999996</v>
      </c>
    </row>
    <row r="1005" spans="54:111" ht="15" customHeight="1" x14ac:dyDescent="0.2">
      <c r="BB1005" s="28">
        <v>29</v>
      </c>
      <c r="BC1005" s="121">
        <v>13.509</v>
      </c>
      <c r="BD1005" s="121">
        <v>14.863250000000001</v>
      </c>
      <c r="BE1005" s="121">
        <v>16.217500000000001</v>
      </c>
      <c r="BF1005" s="121">
        <v>17.497</v>
      </c>
      <c r="BG1005" s="121">
        <v>18.776499999999999</v>
      </c>
      <c r="BH1005" s="121">
        <v>19.992999999999999</v>
      </c>
      <c r="BI1005" s="121">
        <v>21.209499999999998</v>
      </c>
      <c r="BJ1005" s="121">
        <v>22.372</v>
      </c>
      <c r="BK1005" s="121">
        <v>23.534500000000001</v>
      </c>
      <c r="BL1005" s="121">
        <v>24.654250000000001</v>
      </c>
      <c r="BM1005" s="121">
        <v>25.774000000000001</v>
      </c>
      <c r="BN1005" s="121">
        <v>26.954750000000001</v>
      </c>
      <c r="BO1005" s="121">
        <v>28.1355</v>
      </c>
      <c r="BP1005" s="121">
        <v>29.136499999999998</v>
      </c>
      <c r="BQ1005" s="121">
        <v>30.137500000000003</v>
      </c>
      <c r="BR1005" s="121">
        <v>31.235749999999999</v>
      </c>
      <c r="BS1005" s="121">
        <v>32.333999999999996</v>
      </c>
      <c r="BT1005" s="121">
        <v>33.369</v>
      </c>
      <c r="BU1005" s="121">
        <v>34.403999999999996</v>
      </c>
      <c r="BV1005" s="121">
        <v>35.422499999999999</v>
      </c>
      <c r="BW1005" s="121">
        <v>36.441000000000003</v>
      </c>
      <c r="BX1005" s="121">
        <v>37.470500000000001</v>
      </c>
      <c r="BY1005" s="121">
        <v>38.5</v>
      </c>
      <c r="BZ1005" s="121">
        <v>39.492000000000004</v>
      </c>
      <c r="CA1005" s="121">
        <f t="array" ref="CA1005:CA1036">TRANSPOSE(CB1004:DG1004)</f>
        <v>40.483999999999995</v>
      </c>
      <c r="CB1005" s="120">
        <f>(CA1005+CC1005)/2</f>
        <v>41.513499999999993</v>
      </c>
      <c r="CC1005" s="120">
        <f>(CC1004+CC1006)/2</f>
        <v>42.542999999999999</v>
      </c>
      <c r="CD1005" s="120">
        <f>(CC1005+CE1005)/2</f>
        <v>43.513999999999996</v>
      </c>
      <c r="CE1005" s="120">
        <f>(CE1004+CE1006)/2</f>
        <v>44.484999999999999</v>
      </c>
      <c r="CF1005" s="120">
        <f>(CE1005+CG1005)/2</f>
        <v>45.508749999999999</v>
      </c>
      <c r="CG1005" s="120">
        <f>(CG1004+CG1006)/2</f>
        <v>46.532499999999999</v>
      </c>
      <c r="CH1005" s="120">
        <f>(CG1005+CI1005)/2</f>
        <v>47.498249999999999</v>
      </c>
      <c r="CI1005" s="120">
        <f>(CI1004+CI1006)/2</f>
        <v>48.463999999999999</v>
      </c>
      <c r="CJ1005" s="120">
        <f>(CI1005+CK1005)/2</f>
        <v>49.423999999999999</v>
      </c>
      <c r="CK1005" s="120">
        <f>(CK1004+CK1006)/2</f>
        <v>50.384</v>
      </c>
      <c r="CL1005" s="120">
        <f>(CK1005+CM1005)/2</f>
        <v>51.354750000000003</v>
      </c>
      <c r="CM1005" s="120">
        <f>(CM1004+CM1006)/2</f>
        <v>52.325500000000005</v>
      </c>
      <c r="CN1005" s="120">
        <f>(CM1005+CO1005)/2</f>
        <v>53.286000000000001</v>
      </c>
      <c r="CO1005" s="120">
        <f>(CO1004+CO1006)/2</f>
        <v>54.246499999999997</v>
      </c>
      <c r="CP1005" s="120">
        <f>(CO1005+CQ1005)/2</f>
        <v>55.207000000000001</v>
      </c>
      <c r="CQ1005" s="120">
        <f>(CQ1004+CQ1006)/2</f>
        <v>56.167500000000004</v>
      </c>
      <c r="CR1005" s="120">
        <f>(CQ1005+CS1005)/2</f>
        <v>57.10575</v>
      </c>
      <c r="CS1005" s="120">
        <f>(CS1004+CS1006)/2</f>
        <v>58.043999999999997</v>
      </c>
      <c r="CT1005" s="120">
        <f>(CS1005+CU1005)/2</f>
        <v>59.003999999999998</v>
      </c>
      <c r="CU1005" s="120">
        <f>(CU1004+CU1006)/2</f>
        <v>59.963999999999999</v>
      </c>
      <c r="CV1005" s="120">
        <f>(CU1005+CW1005)/2</f>
        <v>60.897750000000002</v>
      </c>
      <c r="CW1005" s="120">
        <f>(CW1004+CW1006)/2</f>
        <v>61.831499999999998</v>
      </c>
      <c r="CX1005" s="120">
        <f>(CW1005+CY1005)/2</f>
        <v>62.770499999999998</v>
      </c>
      <c r="CY1005" s="120">
        <f>(CY1004+CY1006)/2</f>
        <v>63.709499999999998</v>
      </c>
      <c r="CZ1005" s="120">
        <f>(CY1005+DA1005)/2</f>
        <v>64.669499999999999</v>
      </c>
      <c r="DA1005" s="120">
        <f>(DA1004+DA1006)/2</f>
        <v>65.629500000000007</v>
      </c>
      <c r="DB1005" s="120">
        <f>(DA1005+DC1005)/2</f>
        <v>66.53125</v>
      </c>
      <c r="DC1005" s="120">
        <f>(DC1004+DC1006)/2</f>
        <v>67.432999999999993</v>
      </c>
      <c r="DD1005" s="120">
        <f>(DC1005+DE1005)/2</f>
        <v>68.392499999999998</v>
      </c>
      <c r="DE1005" s="120">
        <f>(DE1004+DE1006)/2</f>
        <v>69.352000000000004</v>
      </c>
      <c r="DF1005" s="120">
        <f>(DE1005+DG1005)/2</f>
        <v>70.254000000000005</v>
      </c>
      <c r="DG1005" s="122">
        <f>(DG1004+DG1006)/2</f>
        <v>71.156000000000006</v>
      </c>
    </row>
    <row r="1006" spans="54:111" ht="15" customHeight="1" x14ac:dyDescent="0.2">
      <c r="BB1006" s="28">
        <v>30</v>
      </c>
      <c r="BC1006" s="121">
        <v>13.882</v>
      </c>
      <c r="BD1006" s="121">
        <v>15.252500000000001</v>
      </c>
      <c r="BE1006" s="121">
        <v>16.623000000000001</v>
      </c>
      <c r="BF1006" s="121">
        <v>17.929500000000001</v>
      </c>
      <c r="BG1006" s="121">
        <v>19.236000000000001</v>
      </c>
      <c r="BH1006" s="121">
        <v>20.468499999999999</v>
      </c>
      <c r="BI1006" s="121">
        <v>21.701000000000001</v>
      </c>
      <c r="BJ1006" s="121">
        <v>22.8795</v>
      </c>
      <c r="BK1006" s="121">
        <v>24.058</v>
      </c>
      <c r="BL1006" s="121">
        <v>25.237000000000002</v>
      </c>
      <c r="BM1006" s="121">
        <v>26.416</v>
      </c>
      <c r="BN1006" s="121">
        <v>27.631</v>
      </c>
      <c r="BO1006" s="121">
        <v>28.846</v>
      </c>
      <c r="BP1006" s="121">
        <v>29.861000000000001</v>
      </c>
      <c r="BQ1006" s="121">
        <v>30.876000000000001</v>
      </c>
      <c r="BR1006" s="121">
        <v>31.990499999999997</v>
      </c>
      <c r="BS1006" s="121">
        <v>33.104999999999997</v>
      </c>
      <c r="BT1006" s="121">
        <v>34.156499999999994</v>
      </c>
      <c r="BU1006" s="121">
        <v>35.207999999999998</v>
      </c>
      <c r="BV1006" s="121">
        <v>36.258499999999998</v>
      </c>
      <c r="BW1006" s="121">
        <v>37.308999999999997</v>
      </c>
      <c r="BX1006" s="121">
        <v>38.349499999999999</v>
      </c>
      <c r="BY1006" s="121">
        <v>39.39</v>
      </c>
      <c r="BZ1006" s="121">
        <v>40.441000000000003</v>
      </c>
      <c r="CA1006" s="121">
        <v>41.491999999999997</v>
      </c>
      <c r="CB1006" s="121">
        <f t="array" ref="CB1006:CB1036">TRANSPOSE(CC1005:DG1005)</f>
        <v>42.542999999999999</v>
      </c>
      <c r="CC1006" s="158">
        <v>43.594000000000001</v>
      </c>
      <c r="CD1006" s="120">
        <f>(CE1006+CC1006)/2</f>
        <v>44.581000000000003</v>
      </c>
      <c r="CE1006" s="158">
        <v>45.567999999999998</v>
      </c>
      <c r="CF1006" s="120">
        <f>(CG1006+CE1006)/2</f>
        <v>46.619</v>
      </c>
      <c r="CG1006" s="158">
        <v>47.67</v>
      </c>
      <c r="CH1006" s="120">
        <f>(CI1006+CG1006)/2</f>
        <v>48.656999999999996</v>
      </c>
      <c r="CI1006" s="158">
        <v>49.643999999999998</v>
      </c>
      <c r="CJ1006" s="120">
        <f>(CK1006+CI1006)/2</f>
        <v>50.631</v>
      </c>
      <c r="CK1006" s="158">
        <v>51.618000000000002</v>
      </c>
      <c r="CL1006" s="120">
        <f>(CM1006+CK1006)/2</f>
        <v>52.605500000000006</v>
      </c>
      <c r="CM1006" s="158">
        <v>53.593000000000004</v>
      </c>
      <c r="CN1006" s="120">
        <f>(CO1006+CM1006)/2</f>
        <v>54.569000000000003</v>
      </c>
      <c r="CO1006" s="158">
        <v>55.545000000000002</v>
      </c>
      <c r="CP1006" s="120">
        <f>(CQ1006+CO1006)/2</f>
        <v>56.533500000000004</v>
      </c>
      <c r="CQ1006" s="158">
        <v>57.521999999999998</v>
      </c>
      <c r="CR1006" s="120">
        <f>(CS1006+CQ1006)/2</f>
        <v>58.5075</v>
      </c>
      <c r="CS1006" s="158">
        <v>59.493000000000002</v>
      </c>
      <c r="CT1006" s="120">
        <f>(CU1006+CS1006)/2</f>
        <v>60.480500000000006</v>
      </c>
      <c r="CU1006" s="158">
        <v>61.468000000000004</v>
      </c>
      <c r="CV1006" s="120">
        <f>(CW1006+CU1006)/2</f>
        <v>62.391000000000005</v>
      </c>
      <c r="CW1006" s="158">
        <v>63.314</v>
      </c>
      <c r="CX1006" s="120">
        <f>(CY1006+CW1006)/2</f>
        <v>64.301000000000002</v>
      </c>
      <c r="CY1006" s="158">
        <v>65.287999999999997</v>
      </c>
      <c r="CZ1006" s="120">
        <f>(DA1006+CY1006)/2</f>
        <v>66.275000000000006</v>
      </c>
      <c r="DA1006" s="158">
        <v>67.262</v>
      </c>
      <c r="DB1006" s="120">
        <f>(DC1006+DA1006)/2</f>
        <v>68.18549999999999</v>
      </c>
      <c r="DC1006" s="158">
        <v>69.108999999999995</v>
      </c>
      <c r="DD1006" s="120">
        <f>(DE1006+DC1006)/2</f>
        <v>70.095499999999987</v>
      </c>
      <c r="DE1006" s="158">
        <v>71.081999999999994</v>
      </c>
      <c r="DF1006" s="120">
        <f>(DG1006+DE1006)/2</f>
        <v>71.995000000000005</v>
      </c>
      <c r="DG1006" s="159">
        <v>72.908000000000001</v>
      </c>
    </row>
    <row r="1007" spans="54:111" ht="15" customHeight="1" x14ac:dyDescent="0.2">
      <c r="BB1007" s="28">
        <v>31</v>
      </c>
      <c r="BC1007" s="121">
        <v>14.18</v>
      </c>
      <c r="BD1007" s="121">
        <v>15.598750000000001</v>
      </c>
      <c r="BE1007" s="121">
        <v>17.017499999999998</v>
      </c>
      <c r="BF1007" s="121">
        <v>18.35125</v>
      </c>
      <c r="BG1007" s="121">
        <v>19.685000000000002</v>
      </c>
      <c r="BH1007" s="121">
        <v>20.938749999999999</v>
      </c>
      <c r="BI1007" s="121">
        <v>22.192500000000003</v>
      </c>
      <c r="BJ1007" s="121">
        <v>23.419250000000002</v>
      </c>
      <c r="BK1007" s="121">
        <v>24.646000000000001</v>
      </c>
      <c r="BL1007" s="121">
        <v>25.856999999999999</v>
      </c>
      <c r="BM1007" s="121">
        <v>27.067999999999998</v>
      </c>
      <c r="BN1007" s="121">
        <v>28.248999999999999</v>
      </c>
      <c r="BO1007" s="121">
        <v>29.43</v>
      </c>
      <c r="BP1007" s="121">
        <v>30.522500000000001</v>
      </c>
      <c r="BQ1007" s="121">
        <v>31.615000000000002</v>
      </c>
      <c r="BR1007" s="121">
        <v>32.745750000000001</v>
      </c>
      <c r="BS1007" s="121">
        <v>33.8765</v>
      </c>
      <c r="BT1007" s="121">
        <v>34.943999999999996</v>
      </c>
      <c r="BU1007" s="121">
        <v>36.011499999999998</v>
      </c>
      <c r="BV1007" s="121">
        <v>37.08925</v>
      </c>
      <c r="BW1007" s="121">
        <v>38.167000000000002</v>
      </c>
      <c r="BX1007" s="121">
        <v>39.228750000000005</v>
      </c>
      <c r="BY1007" s="121">
        <v>40.290500000000002</v>
      </c>
      <c r="BZ1007" s="121">
        <v>41.368750000000006</v>
      </c>
      <c r="CA1007" s="121">
        <v>42.447000000000003</v>
      </c>
      <c r="CB1007" s="121">
        <v>43.513999999999996</v>
      </c>
      <c r="CC1007" s="121">
        <f t="array" ref="CC1007:CC1036">TRANSPOSE(CD1006:DG1006)</f>
        <v>44.581000000000003</v>
      </c>
      <c r="CD1007" s="120">
        <f>(CC1007+CE1007)/2</f>
        <v>45.616250000000001</v>
      </c>
      <c r="CE1007" s="120">
        <f>(CE1006+CE1008)/2</f>
        <v>46.651499999999999</v>
      </c>
      <c r="CF1007" s="120">
        <f>(CE1007+CG1007)/2</f>
        <v>47.697499999999998</v>
      </c>
      <c r="CG1007" s="120">
        <f>(CG1006+CG1008)/2</f>
        <v>48.743499999999997</v>
      </c>
      <c r="CH1007" s="120">
        <f>(CG1007+CI1007)/2</f>
        <v>49.778750000000002</v>
      </c>
      <c r="CI1007" s="120">
        <f>(CI1006+CI1008)/2</f>
        <v>50.814</v>
      </c>
      <c r="CJ1007" s="120">
        <f>(CI1007+CK1007)/2</f>
        <v>51.828000000000003</v>
      </c>
      <c r="CK1007" s="120">
        <f>(CK1006+CK1008)/2</f>
        <v>52.841999999999999</v>
      </c>
      <c r="CL1007" s="120">
        <f>(CK1007+CM1007)/2</f>
        <v>53.845500000000001</v>
      </c>
      <c r="CM1007" s="120">
        <f>(CM1006+CM1008)/2</f>
        <v>54.849000000000004</v>
      </c>
      <c r="CN1007" s="120">
        <f>(CM1007+CO1007)/2</f>
        <v>55.851750000000003</v>
      </c>
      <c r="CO1007" s="120">
        <f>(CO1006+CO1008)/2</f>
        <v>56.854500000000002</v>
      </c>
      <c r="CP1007" s="120">
        <f>(CO1007+CQ1007)/2</f>
        <v>57.869250000000001</v>
      </c>
      <c r="CQ1007" s="120">
        <f>(CQ1006+CQ1008)/2</f>
        <v>58.884</v>
      </c>
      <c r="CR1007" s="120">
        <f>(CQ1007+CS1007)/2</f>
        <v>59.886499999999998</v>
      </c>
      <c r="CS1007" s="120">
        <f>(CS1006+CS1008)/2</f>
        <v>60.888999999999996</v>
      </c>
      <c r="CT1007" s="120">
        <f>(CS1007+CU1007)/2</f>
        <v>61.903499999999994</v>
      </c>
      <c r="CU1007" s="120">
        <f>(CU1006+CU1008)/2</f>
        <v>62.917999999999999</v>
      </c>
      <c r="CV1007" s="120">
        <f>(CU1007+CW1007)/2</f>
        <v>63.889250000000004</v>
      </c>
      <c r="CW1007" s="120">
        <f>(CW1006+CW1008)/2</f>
        <v>64.860500000000002</v>
      </c>
      <c r="CX1007" s="120">
        <f>(CW1007+CY1007)/2</f>
        <v>65.863749999999996</v>
      </c>
      <c r="CY1007" s="120">
        <f>(CY1006+CY1008)/2</f>
        <v>66.86699999999999</v>
      </c>
      <c r="CZ1007" s="120">
        <f>(CY1007+DA1007)/2</f>
        <v>67.84899999999999</v>
      </c>
      <c r="DA1007" s="120">
        <f>(DA1006+DA1008)/2</f>
        <v>68.831000000000003</v>
      </c>
      <c r="DB1007" s="120">
        <f>(DA1007+DC1007)/2</f>
        <v>69.802500000000009</v>
      </c>
      <c r="DC1007" s="120">
        <f>(DC1006+DC1008)/2</f>
        <v>70.774000000000001</v>
      </c>
      <c r="DD1007" s="120">
        <f>(DC1007+DE1007)/2</f>
        <v>71.756</v>
      </c>
      <c r="DE1007" s="120">
        <f>(DE1006+DE1008)/2</f>
        <v>72.738</v>
      </c>
      <c r="DF1007" s="120">
        <f>(DE1007+DG1007)/2</f>
        <v>73.704000000000008</v>
      </c>
      <c r="DG1007" s="122">
        <f>(DG1006+DG1008)/2</f>
        <v>74.67</v>
      </c>
    </row>
    <row r="1008" spans="54:111" ht="15" customHeight="1" x14ac:dyDescent="0.2">
      <c r="BB1008" s="28">
        <v>32</v>
      </c>
      <c r="BC1008" s="121">
        <v>14.478</v>
      </c>
      <c r="BD1008" s="121">
        <v>15.945</v>
      </c>
      <c r="BE1008" s="121">
        <v>17.411999999999999</v>
      </c>
      <c r="BF1008" s="121">
        <v>18.773</v>
      </c>
      <c r="BG1008" s="121">
        <v>20.134</v>
      </c>
      <c r="BH1008" s="121">
        <v>21.408999999999999</v>
      </c>
      <c r="BI1008" s="121">
        <v>22.684000000000001</v>
      </c>
      <c r="BJ1008" s="121">
        <v>23.959000000000003</v>
      </c>
      <c r="BK1008" s="121">
        <v>25.234000000000002</v>
      </c>
      <c r="BL1008" s="121">
        <v>26.477</v>
      </c>
      <c r="BM1008" s="121">
        <v>27.72</v>
      </c>
      <c r="BN1008" s="121">
        <v>28.866999999999997</v>
      </c>
      <c r="BO1008" s="121">
        <v>30.013999999999999</v>
      </c>
      <c r="BP1008" s="121">
        <v>31.183999999999997</v>
      </c>
      <c r="BQ1008" s="121">
        <v>32.353999999999999</v>
      </c>
      <c r="BR1008" s="121">
        <v>33.501000000000005</v>
      </c>
      <c r="BS1008" s="121">
        <v>34.648000000000003</v>
      </c>
      <c r="BT1008" s="121">
        <v>35.731499999999997</v>
      </c>
      <c r="BU1008" s="121">
        <v>36.814999999999998</v>
      </c>
      <c r="BV1008" s="121">
        <v>37.92</v>
      </c>
      <c r="BW1008" s="121">
        <v>39.024999999999999</v>
      </c>
      <c r="BX1008" s="121">
        <v>40.108000000000004</v>
      </c>
      <c r="BY1008" s="121">
        <v>41.191000000000003</v>
      </c>
      <c r="BZ1008" s="121">
        <v>42.296500000000002</v>
      </c>
      <c r="CA1008" s="121">
        <v>43.402000000000001</v>
      </c>
      <c r="CB1008" s="121">
        <v>44.484999999999999</v>
      </c>
      <c r="CC1008" s="121">
        <v>45.567999999999998</v>
      </c>
      <c r="CD1008" s="121">
        <f t="array" ref="CD1008:CD1036">TRANSPOSE(CE1007:DG1007)</f>
        <v>46.651499999999999</v>
      </c>
      <c r="CE1008" s="158">
        <v>47.734999999999999</v>
      </c>
      <c r="CF1008" s="120">
        <f>(CG1008+CE1008)/2</f>
        <v>48.775999999999996</v>
      </c>
      <c r="CG1008" s="158">
        <v>49.817</v>
      </c>
      <c r="CH1008" s="120">
        <f>(CI1008+CG1008)/2</f>
        <v>50.900500000000001</v>
      </c>
      <c r="CI1008" s="158">
        <v>51.984000000000002</v>
      </c>
      <c r="CJ1008" s="120">
        <f>(CK1008+CI1008)/2</f>
        <v>53.025000000000006</v>
      </c>
      <c r="CK1008" s="158">
        <v>54.066000000000003</v>
      </c>
      <c r="CL1008" s="120">
        <f>(CM1008+CK1008)/2</f>
        <v>55.085499999999996</v>
      </c>
      <c r="CM1008" s="158">
        <v>56.104999999999997</v>
      </c>
      <c r="CN1008" s="120">
        <f>(CO1008+CM1008)/2</f>
        <v>57.134500000000003</v>
      </c>
      <c r="CO1008" s="158">
        <v>58.164000000000001</v>
      </c>
      <c r="CP1008" s="120">
        <f>(CQ1008+CO1008)/2</f>
        <v>59.204999999999998</v>
      </c>
      <c r="CQ1008" s="158">
        <v>60.246000000000002</v>
      </c>
      <c r="CR1008" s="120">
        <f>(CS1008+CQ1008)/2</f>
        <v>61.265500000000003</v>
      </c>
      <c r="CS1008" s="158">
        <v>62.284999999999997</v>
      </c>
      <c r="CT1008" s="120">
        <f>(CU1008+CS1008)/2</f>
        <v>63.326499999999996</v>
      </c>
      <c r="CU1008" s="158">
        <v>64.367999999999995</v>
      </c>
      <c r="CV1008" s="120">
        <f>(CW1008+CU1008)/2</f>
        <v>65.387499999999989</v>
      </c>
      <c r="CW1008" s="158">
        <v>66.406999999999996</v>
      </c>
      <c r="CX1008" s="120">
        <f>(CY1008+CW1008)/2</f>
        <v>67.426500000000004</v>
      </c>
      <c r="CY1008" s="158">
        <v>68.445999999999998</v>
      </c>
      <c r="CZ1008" s="120">
        <f>(DA1008+CY1008)/2</f>
        <v>69.423000000000002</v>
      </c>
      <c r="DA1008" s="158">
        <v>70.400000000000006</v>
      </c>
      <c r="DB1008" s="120">
        <f>(DC1008+DA1008)/2</f>
        <v>71.419499999999999</v>
      </c>
      <c r="DC1008" s="158">
        <v>72.438999999999993</v>
      </c>
      <c r="DD1008" s="120">
        <f>(DE1008+DC1008)/2</f>
        <v>73.416499999999999</v>
      </c>
      <c r="DE1008" s="158">
        <v>74.394000000000005</v>
      </c>
      <c r="DF1008" s="120">
        <f>(DG1008+DE1008)/2</f>
        <v>75.413000000000011</v>
      </c>
      <c r="DG1008" s="159">
        <v>76.432000000000002</v>
      </c>
    </row>
    <row r="1009" spans="54:111" ht="15" customHeight="1" x14ac:dyDescent="0.2">
      <c r="BB1009" s="28">
        <v>33</v>
      </c>
      <c r="BC1009" s="121">
        <v>14.786999999999999</v>
      </c>
      <c r="BD1009" s="121">
        <v>16.302250000000001</v>
      </c>
      <c r="BE1009" s="121">
        <v>17.817499999999999</v>
      </c>
      <c r="BF1009" s="121">
        <v>19.194249999999997</v>
      </c>
      <c r="BG1009" s="121">
        <v>20.570999999999998</v>
      </c>
      <c r="BH1009" s="121">
        <v>21.873249999999999</v>
      </c>
      <c r="BI1009" s="121">
        <v>23.1755</v>
      </c>
      <c r="BJ1009" s="121">
        <v>24.483000000000004</v>
      </c>
      <c r="BK1009" s="121">
        <v>25.790500000000002</v>
      </c>
      <c r="BL1009" s="121">
        <v>27.044499999999999</v>
      </c>
      <c r="BM1009" s="121">
        <v>28.298499999999997</v>
      </c>
      <c r="BN1009" s="121">
        <v>29.461749999999999</v>
      </c>
      <c r="BO1009" s="121">
        <v>30.625</v>
      </c>
      <c r="BP1009" s="121">
        <v>31.842499999999998</v>
      </c>
      <c r="BQ1009" s="121">
        <v>33.06</v>
      </c>
      <c r="BR1009" s="121">
        <v>34.239750000000001</v>
      </c>
      <c r="BS1009" s="121">
        <v>35.419499999999999</v>
      </c>
      <c r="BT1009" s="121">
        <v>36.53</v>
      </c>
      <c r="BU1009" s="121">
        <v>37.640500000000003</v>
      </c>
      <c r="BV1009" s="121">
        <v>38.761749999999999</v>
      </c>
      <c r="BW1009" s="121">
        <v>39.882999999999996</v>
      </c>
      <c r="BX1009" s="121">
        <v>41.014250000000004</v>
      </c>
      <c r="BY1009" s="121">
        <v>42.145499999999998</v>
      </c>
      <c r="BZ1009" s="121">
        <v>43.272000000000006</v>
      </c>
      <c r="CA1009" s="121">
        <v>44.398499999999999</v>
      </c>
      <c r="CB1009" s="121">
        <v>45.508749999999999</v>
      </c>
      <c r="CC1009" s="121">
        <v>46.619</v>
      </c>
      <c r="CD1009" s="121">
        <v>47.697499999999998</v>
      </c>
      <c r="CE1009" s="121">
        <f t="array" ref="CE1009:CE1036">TRANSPOSE(CF1008:DG1008)</f>
        <v>48.775999999999996</v>
      </c>
      <c r="CF1009" s="120">
        <f>(CE1009+CG1009)/2</f>
        <v>49.865499999999997</v>
      </c>
      <c r="CG1009" s="120">
        <f>(CG1008+CG1010)/2</f>
        <v>50.954999999999998</v>
      </c>
      <c r="CH1009" s="120">
        <f>(CG1009+CI1009)/2</f>
        <v>52.02825</v>
      </c>
      <c r="CI1009" s="120">
        <f>(CI1008+CI1010)/2</f>
        <v>53.101500000000001</v>
      </c>
      <c r="CJ1009" s="120">
        <f>(CI1009+CK1009)/2</f>
        <v>54.190249999999999</v>
      </c>
      <c r="CK1009" s="120">
        <f>(CK1008+CK1010)/2</f>
        <v>55.278999999999996</v>
      </c>
      <c r="CL1009" s="120">
        <f>(CK1009+CM1009)/2</f>
        <v>56.325749999999999</v>
      </c>
      <c r="CM1009" s="120">
        <f>(CM1008+CM1010)/2</f>
        <v>57.372500000000002</v>
      </c>
      <c r="CN1009" s="120">
        <f>(CM1009+CO1009)/2</f>
        <v>58.427250000000001</v>
      </c>
      <c r="CO1009" s="120">
        <f>(CO1008+CO1010)/2</f>
        <v>59.481999999999999</v>
      </c>
      <c r="CP1009" s="120">
        <f>(CO1009+CQ1009)/2</f>
        <v>60.540999999999997</v>
      </c>
      <c r="CQ1009" s="120">
        <f>(CQ1008+CQ1010)/2</f>
        <v>61.6</v>
      </c>
      <c r="CR1009" s="120">
        <f>(CQ1009+CS1009)/2</f>
        <v>62.6355</v>
      </c>
      <c r="CS1009" s="120">
        <f>(CS1008+CS1010)/2</f>
        <v>63.670999999999999</v>
      </c>
      <c r="CT1009" s="120">
        <f>(CS1009+CU1009)/2</f>
        <v>64.728499999999997</v>
      </c>
      <c r="CU1009" s="120">
        <f>(CU1008+CU1010)/2</f>
        <v>65.786000000000001</v>
      </c>
      <c r="CV1009" s="120">
        <f>(CU1009+CW1009)/2</f>
        <v>66.83775</v>
      </c>
      <c r="CW1009" s="120">
        <f>(CW1008+CW1010)/2</f>
        <v>67.889499999999998</v>
      </c>
      <c r="CX1009" s="120">
        <f>(CW1009+CY1009)/2</f>
        <v>68.936250000000001</v>
      </c>
      <c r="CY1009" s="120">
        <f>(CY1008+CY1010)/2</f>
        <v>69.983000000000004</v>
      </c>
      <c r="CZ1009" s="120">
        <f>(CY1009+DA1009)/2</f>
        <v>71.008250000000004</v>
      </c>
      <c r="DA1009" s="120">
        <f>(DA1008+DA1010)/2</f>
        <v>72.033500000000004</v>
      </c>
      <c r="DB1009" s="120">
        <f>(DA1009+DC1009)/2</f>
        <v>73.037000000000006</v>
      </c>
      <c r="DC1009" s="120">
        <f>(DC1008+DC1010)/2</f>
        <v>74.040499999999994</v>
      </c>
      <c r="DD1009" s="120">
        <f>(DC1009+DE1009)/2</f>
        <v>75.071249999999992</v>
      </c>
      <c r="DE1009" s="120">
        <f>(DE1008+DE1010)/2</f>
        <v>76.102000000000004</v>
      </c>
      <c r="DF1009" s="120">
        <f>(DE1009+DG1009)/2</f>
        <v>77.148250000000004</v>
      </c>
      <c r="DG1009" s="122">
        <f>(DG1008+DG1010)/2</f>
        <v>78.194500000000005</v>
      </c>
    </row>
    <row r="1010" spans="54:111" ht="15" customHeight="1" x14ac:dyDescent="0.2">
      <c r="BB1010" s="28">
        <v>34</v>
      </c>
      <c r="BC1010" s="121">
        <v>15.096</v>
      </c>
      <c r="BD1010" s="121">
        <v>16.659500000000001</v>
      </c>
      <c r="BE1010" s="121">
        <v>18.222999999999999</v>
      </c>
      <c r="BF1010" s="121">
        <v>19.615499999999997</v>
      </c>
      <c r="BG1010" s="121">
        <v>21.007999999999999</v>
      </c>
      <c r="BH1010" s="121">
        <v>22.337499999999999</v>
      </c>
      <c r="BI1010" s="121">
        <v>23.667000000000002</v>
      </c>
      <c r="BJ1010" s="121">
        <v>25.007000000000001</v>
      </c>
      <c r="BK1010" s="121">
        <v>26.347000000000001</v>
      </c>
      <c r="BL1010" s="121">
        <v>27.612000000000002</v>
      </c>
      <c r="BM1010" s="121">
        <v>28.876999999999999</v>
      </c>
      <c r="BN1010" s="121">
        <v>30.0565</v>
      </c>
      <c r="BO1010" s="121">
        <v>31.236000000000001</v>
      </c>
      <c r="BP1010" s="121">
        <v>32.500999999999998</v>
      </c>
      <c r="BQ1010" s="121">
        <v>33.765999999999998</v>
      </c>
      <c r="BR1010" s="121">
        <v>34.978499999999997</v>
      </c>
      <c r="BS1010" s="121">
        <v>36.191000000000003</v>
      </c>
      <c r="BT1010" s="121">
        <v>37.328500000000005</v>
      </c>
      <c r="BU1010" s="121">
        <v>38.466000000000001</v>
      </c>
      <c r="BV1010" s="121">
        <v>39.603499999999997</v>
      </c>
      <c r="BW1010" s="121">
        <v>40.741</v>
      </c>
      <c r="BX1010" s="121">
        <v>41.920500000000004</v>
      </c>
      <c r="BY1010" s="121">
        <v>43.1</v>
      </c>
      <c r="BZ1010" s="121">
        <v>44.247500000000002</v>
      </c>
      <c r="CA1010" s="121">
        <v>45.395000000000003</v>
      </c>
      <c r="CB1010" s="121">
        <v>46.532499999999999</v>
      </c>
      <c r="CC1010" s="121">
        <v>47.67</v>
      </c>
      <c r="CD1010" s="121">
        <v>48.743499999999997</v>
      </c>
      <c r="CE1010" s="121">
        <v>49.817</v>
      </c>
      <c r="CF1010" s="121">
        <f t="array" ref="CF1010:CF1036">TRANSPOSE(CG1009:DG1009)</f>
        <v>50.954999999999998</v>
      </c>
      <c r="CG1010" s="158">
        <v>52.093000000000004</v>
      </c>
      <c r="CH1010" s="120">
        <f>(CI1010+CG1010)/2</f>
        <v>53.156000000000006</v>
      </c>
      <c r="CI1010" s="158">
        <v>54.219000000000001</v>
      </c>
      <c r="CJ1010" s="120">
        <f>(CK1010+CI1010)/2</f>
        <v>55.355499999999999</v>
      </c>
      <c r="CK1010" s="158">
        <v>56.491999999999997</v>
      </c>
      <c r="CL1010" s="120">
        <f>(CM1010+CK1010)/2</f>
        <v>57.566000000000003</v>
      </c>
      <c r="CM1010" s="158">
        <v>58.64</v>
      </c>
      <c r="CN1010" s="120">
        <f>(CO1010+CM1010)/2</f>
        <v>59.72</v>
      </c>
      <c r="CO1010" s="158">
        <v>60.8</v>
      </c>
      <c r="CP1010" s="120">
        <f>(CQ1010+CO1010)/2</f>
        <v>61.876999999999995</v>
      </c>
      <c r="CQ1010" s="158">
        <v>62.954000000000001</v>
      </c>
      <c r="CR1010" s="120">
        <f>(CS1010+CQ1010)/2</f>
        <v>64.005499999999998</v>
      </c>
      <c r="CS1010" s="158">
        <v>65.057000000000002</v>
      </c>
      <c r="CT1010" s="120">
        <f>(CU1010+CS1010)/2</f>
        <v>66.130499999999998</v>
      </c>
      <c r="CU1010" s="158">
        <v>67.203999999999994</v>
      </c>
      <c r="CV1010" s="120">
        <f>(CW1010+CU1010)/2</f>
        <v>68.287999999999997</v>
      </c>
      <c r="CW1010" s="158">
        <v>69.372</v>
      </c>
      <c r="CX1010" s="120">
        <f>(CY1010+CW1010)/2</f>
        <v>70.445999999999998</v>
      </c>
      <c r="CY1010" s="158">
        <v>71.52</v>
      </c>
      <c r="CZ1010" s="120">
        <f>(DA1010+CY1010)/2</f>
        <v>72.593500000000006</v>
      </c>
      <c r="DA1010" s="158">
        <v>73.667000000000002</v>
      </c>
      <c r="DB1010" s="120">
        <f>(DC1010+DA1010)/2</f>
        <v>74.654499999999999</v>
      </c>
      <c r="DC1010" s="158">
        <v>75.641999999999996</v>
      </c>
      <c r="DD1010" s="120">
        <f>(DE1010+DC1010)/2</f>
        <v>76.725999999999999</v>
      </c>
      <c r="DE1010" s="158">
        <v>77.81</v>
      </c>
      <c r="DF1010" s="120">
        <f>(DG1010+DE1010)/2</f>
        <v>78.883499999999998</v>
      </c>
      <c r="DG1010" s="159">
        <v>79.956999999999994</v>
      </c>
    </row>
    <row r="1011" spans="54:111" ht="15" customHeight="1" x14ac:dyDescent="0.2">
      <c r="BB1011" s="28">
        <v>35</v>
      </c>
      <c r="BC1011" s="121">
        <v>15.436499999999999</v>
      </c>
      <c r="BD1011" s="121">
        <v>17.005749999999999</v>
      </c>
      <c r="BE1011" s="121">
        <v>18.574999999999999</v>
      </c>
      <c r="BF1011" s="121">
        <v>20.020999999999997</v>
      </c>
      <c r="BG1011" s="121">
        <v>21.466999999999999</v>
      </c>
      <c r="BH1011" s="121">
        <v>22.8125</v>
      </c>
      <c r="BI1011" s="121">
        <v>24.158000000000001</v>
      </c>
      <c r="BJ1011" s="121">
        <v>25.514250000000001</v>
      </c>
      <c r="BK1011" s="121">
        <v>26.8705</v>
      </c>
      <c r="BL1011" s="121">
        <v>28.152000000000001</v>
      </c>
      <c r="BM1011" s="121">
        <v>29.433499999999999</v>
      </c>
      <c r="BN1011" s="121">
        <v>30.687999999999999</v>
      </c>
      <c r="BO1011" s="121">
        <v>31.942500000000003</v>
      </c>
      <c r="BP1011" s="121">
        <v>33.191749999999999</v>
      </c>
      <c r="BQ1011" s="121">
        <v>34.441000000000003</v>
      </c>
      <c r="BR1011" s="121">
        <v>35.669499999999999</v>
      </c>
      <c r="BS1011" s="121">
        <v>36.897999999999996</v>
      </c>
      <c r="BT1011" s="121">
        <v>38.083750000000002</v>
      </c>
      <c r="BU1011" s="121">
        <v>39.269500000000001</v>
      </c>
      <c r="BV1011" s="121">
        <v>40.423000000000002</v>
      </c>
      <c r="BW1011" s="121">
        <v>41.576499999999996</v>
      </c>
      <c r="BX1011" s="121">
        <v>42.798999999999999</v>
      </c>
      <c r="BY1011" s="121">
        <v>44.021500000000003</v>
      </c>
      <c r="BZ1011" s="121">
        <v>45.180500000000002</v>
      </c>
      <c r="CA1011" s="121">
        <v>46.339500000000001</v>
      </c>
      <c r="CB1011" s="121">
        <v>47.498249999999999</v>
      </c>
      <c r="CC1011" s="121">
        <v>48.656999999999996</v>
      </c>
      <c r="CD1011" s="121">
        <v>49.778750000000002</v>
      </c>
      <c r="CE1011" s="121">
        <v>50.900500000000001</v>
      </c>
      <c r="CF1011" s="121">
        <v>52.02825</v>
      </c>
      <c r="CG1011" s="121">
        <f t="array" ref="CG1011:CG1036">TRANSPOSE(CH1010:DG1010)</f>
        <v>53.156000000000006</v>
      </c>
      <c r="CH1011" s="120">
        <f>(CG1011+CI1011)/2</f>
        <v>54.251000000000005</v>
      </c>
      <c r="CI1011" s="120">
        <f>(CI1010+CI1012)/2</f>
        <v>55.346000000000004</v>
      </c>
      <c r="CJ1011" s="120">
        <f>(CI1011+CK1011)/2</f>
        <v>56.504249999999999</v>
      </c>
      <c r="CK1011" s="120">
        <f>(CK1010+CK1012)/2</f>
        <v>57.662499999999994</v>
      </c>
      <c r="CL1011" s="120">
        <f>(CK1011+CM1011)/2</f>
        <v>58.78425</v>
      </c>
      <c r="CM1011" s="120">
        <f>(CM1010+CM1012)/2</f>
        <v>59.905999999999999</v>
      </c>
      <c r="CN1011" s="120">
        <f>(CM1011+CO1011)/2</f>
        <v>60.972250000000003</v>
      </c>
      <c r="CO1011" s="120">
        <f>(CO1010+CO1012)/2</f>
        <v>62.038499999999999</v>
      </c>
      <c r="CP1011" s="120">
        <f>(CO1011+CQ1011)/2</f>
        <v>63.161999999999999</v>
      </c>
      <c r="CQ1011" s="120">
        <f>(CQ1010+CQ1012)/2</f>
        <v>64.285499999999999</v>
      </c>
      <c r="CR1011" s="120">
        <f>(CQ1011+CS1011)/2</f>
        <v>65.407250000000005</v>
      </c>
      <c r="CS1011" s="120">
        <f>(CS1010+CS1012)/2</f>
        <v>66.528999999999996</v>
      </c>
      <c r="CT1011" s="120">
        <f>(CS1011+CU1011)/2</f>
        <v>67.591499999999996</v>
      </c>
      <c r="CU1011" s="120">
        <f>(CU1010+CU1012)/2</f>
        <v>68.653999999999996</v>
      </c>
      <c r="CV1011" s="120">
        <f>(CU1011+CW1011)/2</f>
        <v>69.781000000000006</v>
      </c>
      <c r="CW1011" s="120">
        <f>(CW1010+CW1012)/2</f>
        <v>70.908000000000001</v>
      </c>
      <c r="CX1011" s="120">
        <f>(CW1011+CY1011)/2</f>
        <v>71.971499999999992</v>
      </c>
      <c r="CY1011" s="120">
        <f>(CY1010+CY1012)/2</f>
        <v>73.034999999999997</v>
      </c>
      <c r="CZ1011" s="120">
        <f>(CY1011+DA1011)/2</f>
        <v>74.092500000000001</v>
      </c>
      <c r="DA1011" s="120">
        <f>(DA1010+DA1012)/2</f>
        <v>75.150000000000006</v>
      </c>
      <c r="DB1011" s="120">
        <f>(DA1011+DC1011)/2</f>
        <v>76.24475000000001</v>
      </c>
      <c r="DC1011" s="120">
        <f>(DC1010+DC1012)/2</f>
        <v>77.339500000000001</v>
      </c>
      <c r="DD1011" s="120">
        <f>(DC1011+DE1011)/2</f>
        <v>78.402250000000009</v>
      </c>
      <c r="DE1011" s="120">
        <f>(DE1010+DE1012)/2</f>
        <v>79.465000000000003</v>
      </c>
      <c r="DF1011" s="120">
        <f>(DE1011+DG1011)/2</f>
        <v>80.591999999999999</v>
      </c>
      <c r="DG1011" s="122">
        <f>(DG1010+DG1012)/2</f>
        <v>81.718999999999994</v>
      </c>
    </row>
    <row r="1012" spans="54:111" ht="15" customHeight="1" x14ac:dyDescent="0.2">
      <c r="BB1012" s="28">
        <v>36</v>
      </c>
      <c r="BC1012" s="121">
        <v>15.776999999999999</v>
      </c>
      <c r="BD1012" s="121">
        <v>17.352</v>
      </c>
      <c r="BE1012" s="121">
        <v>18.927</v>
      </c>
      <c r="BF1012" s="121">
        <v>20.426499999999997</v>
      </c>
      <c r="BG1012" s="121">
        <v>21.925999999999998</v>
      </c>
      <c r="BH1012" s="121">
        <v>23.287500000000001</v>
      </c>
      <c r="BI1012" s="121">
        <v>24.649000000000001</v>
      </c>
      <c r="BJ1012" s="121">
        <v>26.0215</v>
      </c>
      <c r="BK1012" s="121">
        <v>27.393999999999998</v>
      </c>
      <c r="BL1012" s="121">
        <v>28.692</v>
      </c>
      <c r="BM1012" s="121">
        <v>29.99</v>
      </c>
      <c r="BN1012" s="121">
        <v>31.319499999999998</v>
      </c>
      <c r="BO1012" s="121">
        <v>32.649000000000001</v>
      </c>
      <c r="BP1012" s="121">
        <v>33.8825</v>
      </c>
      <c r="BQ1012" s="121">
        <v>35.116</v>
      </c>
      <c r="BR1012" s="121">
        <v>36.360500000000002</v>
      </c>
      <c r="BS1012" s="121">
        <v>37.604999999999997</v>
      </c>
      <c r="BT1012" s="121">
        <v>38.838999999999999</v>
      </c>
      <c r="BU1012" s="121">
        <v>40.073</v>
      </c>
      <c r="BV1012" s="121">
        <v>41.2425</v>
      </c>
      <c r="BW1012" s="121">
        <v>42.411999999999999</v>
      </c>
      <c r="BX1012" s="121">
        <v>43.677499999999995</v>
      </c>
      <c r="BY1012" s="121">
        <v>44.942999999999998</v>
      </c>
      <c r="BZ1012" s="121">
        <v>46.113500000000002</v>
      </c>
      <c r="CA1012" s="121">
        <v>47.283999999999999</v>
      </c>
      <c r="CB1012" s="121">
        <v>48.463999999999999</v>
      </c>
      <c r="CC1012" s="121">
        <v>49.643999999999998</v>
      </c>
      <c r="CD1012" s="121">
        <v>50.814</v>
      </c>
      <c r="CE1012" s="121">
        <v>51.984000000000002</v>
      </c>
      <c r="CF1012" s="121">
        <v>53.101500000000001</v>
      </c>
      <c r="CG1012" s="121">
        <v>54.219000000000001</v>
      </c>
      <c r="CH1012" s="121">
        <f t="array" ref="CH1012:CH1036">TRANSPOSE(CI1011:DG1011)</f>
        <v>55.346000000000004</v>
      </c>
      <c r="CI1012" s="158">
        <v>56.472999999999999</v>
      </c>
      <c r="CJ1012" s="120">
        <f>(CK1012+CI1012)/2</f>
        <v>57.652999999999999</v>
      </c>
      <c r="CK1012" s="158">
        <v>58.832999999999998</v>
      </c>
      <c r="CL1012" s="120">
        <f>(CM1012+CK1012)/2</f>
        <v>60.002499999999998</v>
      </c>
      <c r="CM1012" s="158">
        <v>61.171999999999997</v>
      </c>
      <c r="CN1012" s="120">
        <f>(CO1012+CM1012)/2</f>
        <v>62.224499999999999</v>
      </c>
      <c r="CO1012" s="158">
        <v>63.277000000000001</v>
      </c>
      <c r="CP1012" s="120">
        <f>(CQ1012+CO1012)/2</f>
        <v>64.447000000000003</v>
      </c>
      <c r="CQ1012" s="158">
        <v>65.617000000000004</v>
      </c>
      <c r="CR1012" s="120">
        <f>(CS1012+CQ1012)/2</f>
        <v>66.808999999999997</v>
      </c>
      <c r="CS1012" s="158">
        <v>68.001000000000005</v>
      </c>
      <c r="CT1012" s="120">
        <f>(CU1012+CS1012)/2</f>
        <v>69.052500000000009</v>
      </c>
      <c r="CU1012" s="158">
        <v>70.103999999999999</v>
      </c>
      <c r="CV1012" s="120">
        <f>(CW1012+CU1012)/2</f>
        <v>71.274000000000001</v>
      </c>
      <c r="CW1012" s="158">
        <v>72.444000000000003</v>
      </c>
      <c r="CX1012" s="120">
        <f>(CY1012+CW1012)/2</f>
        <v>73.497</v>
      </c>
      <c r="CY1012" s="158">
        <v>74.55</v>
      </c>
      <c r="CZ1012" s="120">
        <f>(DA1012+CY1012)/2</f>
        <v>75.591499999999996</v>
      </c>
      <c r="DA1012" s="158">
        <v>76.632999999999996</v>
      </c>
      <c r="DB1012" s="120">
        <f>(DC1012+DA1012)/2</f>
        <v>77.835000000000008</v>
      </c>
      <c r="DC1012" s="158">
        <v>79.037000000000006</v>
      </c>
      <c r="DD1012" s="120">
        <f>(DE1012+DC1012)/2</f>
        <v>80.078500000000005</v>
      </c>
      <c r="DE1012" s="158">
        <v>81.12</v>
      </c>
      <c r="DF1012" s="120">
        <f>(DG1012+DE1012)/2</f>
        <v>82.3005</v>
      </c>
      <c r="DG1012" s="159">
        <v>83.480999999999995</v>
      </c>
    </row>
    <row r="1013" spans="54:111" ht="15" customHeight="1" x14ac:dyDescent="0.2">
      <c r="BB1013" s="28">
        <v>37</v>
      </c>
      <c r="BC1013" s="121">
        <v>16.075499999999998</v>
      </c>
      <c r="BD1013" s="121">
        <v>17.703499999999998</v>
      </c>
      <c r="BE1013" s="121">
        <v>19.331499999999998</v>
      </c>
      <c r="BF1013" s="121">
        <v>20.847499999999997</v>
      </c>
      <c r="BG1013" s="121">
        <v>22.363499999999998</v>
      </c>
      <c r="BH1013" s="121">
        <v>23.75225</v>
      </c>
      <c r="BI1013" s="121">
        <v>25.140999999999998</v>
      </c>
      <c r="BJ1013" s="121">
        <v>26.54025</v>
      </c>
      <c r="BK1013" s="121">
        <v>27.939499999999999</v>
      </c>
      <c r="BL1013" s="121">
        <v>29.290749999999999</v>
      </c>
      <c r="BM1013" s="121">
        <v>30.641999999999999</v>
      </c>
      <c r="BN1013" s="121">
        <v>31.950749999999999</v>
      </c>
      <c r="BO1013" s="121">
        <v>33.259500000000003</v>
      </c>
      <c r="BP1013" s="121">
        <v>34.546499999999995</v>
      </c>
      <c r="BQ1013" s="121">
        <v>35.833500000000001</v>
      </c>
      <c r="BR1013" s="121">
        <v>37.09975</v>
      </c>
      <c r="BS1013" s="121">
        <v>38.366</v>
      </c>
      <c r="BT1013" s="121">
        <v>39.631999999999998</v>
      </c>
      <c r="BU1013" s="121">
        <v>40.897999999999996</v>
      </c>
      <c r="BV1013" s="121">
        <v>42.08925</v>
      </c>
      <c r="BW1013" s="121">
        <v>43.280500000000004</v>
      </c>
      <c r="BX1013" s="121">
        <v>44.557249999999996</v>
      </c>
      <c r="BY1013" s="121">
        <v>45.834000000000003</v>
      </c>
      <c r="BZ1013" s="121">
        <v>47.025500000000001</v>
      </c>
      <c r="CA1013" s="121">
        <v>48.216999999999999</v>
      </c>
      <c r="CB1013" s="121">
        <v>49.423999999999999</v>
      </c>
      <c r="CC1013" s="121">
        <v>50.631</v>
      </c>
      <c r="CD1013" s="121">
        <v>51.828000000000003</v>
      </c>
      <c r="CE1013" s="121">
        <v>53.025000000000006</v>
      </c>
      <c r="CF1013" s="121">
        <v>54.190249999999999</v>
      </c>
      <c r="CG1013" s="121">
        <v>55.355499999999999</v>
      </c>
      <c r="CH1013" s="121">
        <v>56.504249999999999</v>
      </c>
      <c r="CI1013" s="121">
        <f t="array" ref="CI1013:CI1036">TRANSPOSE(CJ1012:DG1012)</f>
        <v>57.652999999999999</v>
      </c>
      <c r="CJ1013" s="120">
        <f>(CI1013+CK1013)/2</f>
        <v>58.843999999999994</v>
      </c>
      <c r="CK1013" s="120">
        <f>(CK1012+CK1014)/2</f>
        <v>60.034999999999997</v>
      </c>
      <c r="CL1013" s="120">
        <f>(CK1013+CM1013)/2</f>
        <v>61.236750000000001</v>
      </c>
      <c r="CM1013" s="120">
        <f>(CM1012+CM1014)/2</f>
        <v>62.438499999999998</v>
      </c>
      <c r="CN1013" s="120">
        <f>(CM1013+CO1013)/2</f>
        <v>63.518000000000001</v>
      </c>
      <c r="CO1013" s="120">
        <f>(CO1012+CO1014)/2</f>
        <v>64.597499999999997</v>
      </c>
      <c r="CP1013" s="120">
        <f>(CO1013+CQ1013)/2</f>
        <v>65.783749999999998</v>
      </c>
      <c r="CQ1013" s="120">
        <f>(CQ1012+CQ1014)/2</f>
        <v>66.97</v>
      </c>
      <c r="CR1013" s="120">
        <f>(CQ1013+CS1013)/2</f>
        <v>68.183250000000001</v>
      </c>
      <c r="CS1013" s="120">
        <f>(CS1012+CS1014)/2</f>
        <v>69.396500000000003</v>
      </c>
      <c r="CT1013" s="120">
        <f>(CS1013+CU1013)/2</f>
        <v>70.464750000000009</v>
      </c>
      <c r="CU1013" s="120">
        <f>(CU1012+CU1014)/2</f>
        <v>71.533000000000001</v>
      </c>
      <c r="CV1013" s="120">
        <f>(CU1013+CW1013)/2</f>
        <v>72.688250000000011</v>
      </c>
      <c r="CW1013" s="120">
        <f>(CW1012+CW1014)/2</f>
        <v>73.843500000000006</v>
      </c>
      <c r="CX1013" s="120">
        <f>(CW1013+CY1013)/2</f>
        <v>74.964750000000009</v>
      </c>
      <c r="CY1013" s="120">
        <f>(CY1012+CY1014)/2</f>
        <v>76.085999999999999</v>
      </c>
      <c r="CZ1013" s="120">
        <f>(CY1013+DA1013)/2</f>
        <v>77.207750000000004</v>
      </c>
      <c r="DA1013" s="120">
        <f>(DA1012+DA1014)/2</f>
        <v>78.329499999999996</v>
      </c>
      <c r="DB1013" s="120">
        <f>(DA1013+DC1013)/2</f>
        <v>79.483999999999995</v>
      </c>
      <c r="DC1013" s="120">
        <f>(DC1012+DC1014)/2</f>
        <v>80.638499999999993</v>
      </c>
      <c r="DD1013" s="120">
        <f>(DC1013+DE1013)/2</f>
        <v>81.701499999999996</v>
      </c>
      <c r="DE1013" s="120">
        <f>(DE1012+DE1014)/2</f>
        <v>82.764499999999998</v>
      </c>
      <c r="DF1013" s="120">
        <f>(DE1013+DG1013)/2</f>
        <v>83.96674999999999</v>
      </c>
      <c r="DG1013" s="122">
        <f>(DG1012+DG1014)/2</f>
        <v>85.168999999999997</v>
      </c>
    </row>
    <row r="1014" spans="54:111" ht="15" customHeight="1" x14ac:dyDescent="0.2">
      <c r="BB1014" s="28">
        <v>38</v>
      </c>
      <c r="BC1014" s="121">
        <v>16.373999999999999</v>
      </c>
      <c r="BD1014" s="121">
        <v>18.055</v>
      </c>
      <c r="BE1014" s="121">
        <v>19.736000000000001</v>
      </c>
      <c r="BF1014" s="121">
        <v>21.2685</v>
      </c>
      <c r="BG1014" s="121">
        <v>22.800999999999998</v>
      </c>
      <c r="BH1014" s="121">
        <v>24.216999999999999</v>
      </c>
      <c r="BI1014" s="121">
        <v>25.632999999999999</v>
      </c>
      <c r="BJ1014" s="121">
        <v>27.058999999999997</v>
      </c>
      <c r="BK1014" s="121">
        <v>28.484999999999999</v>
      </c>
      <c r="BL1014" s="121">
        <v>29.889499999999998</v>
      </c>
      <c r="BM1014" s="121">
        <v>31.294</v>
      </c>
      <c r="BN1014" s="121">
        <v>32.582000000000001</v>
      </c>
      <c r="BO1014" s="121">
        <v>33.869999999999997</v>
      </c>
      <c r="BP1014" s="121">
        <v>35.210499999999996</v>
      </c>
      <c r="BQ1014" s="121">
        <v>36.551000000000002</v>
      </c>
      <c r="BR1014" s="121">
        <v>37.838999999999999</v>
      </c>
      <c r="BS1014" s="121">
        <v>39.127000000000002</v>
      </c>
      <c r="BT1014" s="121">
        <v>40.424999999999997</v>
      </c>
      <c r="BU1014" s="121">
        <v>41.722999999999999</v>
      </c>
      <c r="BV1014" s="121">
        <v>42.936</v>
      </c>
      <c r="BW1014" s="121">
        <v>44.149000000000001</v>
      </c>
      <c r="BX1014" s="121">
        <v>45.436999999999998</v>
      </c>
      <c r="BY1014" s="121">
        <v>46.725000000000001</v>
      </c>
      <c r="BZ1014" s="121">
        <v>47.9375</v>
      </c>
      <c r="CA1014" s="121">
        <v>49.15</v>
      </c>
      <c r="CB1014" s="121">
        <v>50.384</v>
      </c>
      <c r="CC1014" s="121">
        <v>51.618000000000002</v>
      </c>
      <c r="CD1014" s="121">
        <v>52.841999999999999</v>
      </c>
      <c r="CE1014" s="121">
        <v>54.066000000000003</v>
      </c>
      <c r="CF1014" s="121">
        <v>55.278999999999996</v>
      </c>
      <c r="CG1014" s="121">
        <v>56.491999999999997</v>
      </c>
      <c r="CH1014" s="121">
        <v>57.662499999999994</v>
      </c>
      <c r="CI1014" s="121">
        <v>58.832999999999998</v>
      </c>
      <c r="CJ1014" s="121">
        <f t="array" ref="CJ1014:CJ1036">TRANSPOSE(CK1013:DG1013)</f>
        <v>60.034999999999997</v>
      </c>
      <c r="CK1014" s="158">
        <v>61.237000000000002</v>
      </c>
      <c r="CL1014" s="120">
        <f>(CM1014+CK1014)/2</f>
        <v>62.471000000000004</v>
      </c>
      <c r="CM1014" s="158">
        <v>63.704999999999998</v>
      </c>
      <c r="CN1014" s="120">
        <f>(CO1014+CM1014)/2</f>
        <v>64.811499999999995</v>
      </c>
      <c r="CO1014" s="158">
        <v>65.918000000000006</v>
      </c>
      <c r="CP1014" s="120">
        <f>(CQ1014+CO1014)/2</f>
        <v>67.120499999999993</v>
      </c>
      <c r="CQ1014" s="158">
        <v>68.322999999999993</v>
      </c>
      <c r="CR1014" s="120">
        <f>(CS1014+CQ1014)/2</f>
        <v>69.557500000000005</v>
      </c>
      <c r="CS1014" s="158">
        <v>70.792000000000002</v>
      </c>
      <c r="CT1014" s="120">
        <f>(CU1014+CS1014)/2</f>
        <v>71.87700000000001</v>
      </c>
      <c r="CU1014" s="158">
        <v>72.962000000000003</v>
      </c>
      <c r="CV1014" s="120">
        <f>(CW1014+CU1014)/2</f>
        <v>74.102499999999992</v>
      </c>
      <c r="CW1014" s="158">
        <v>75.242999999999995</v>
      </c>
      <c r="CX1014" s="120">
        <f>(CY1014+CW1014)/2</f>
        <v>76.432500000000005</v>
      </c>
      <c r="CY1014" s="158">
        <v>77.622</v>
      </c>
      <c r="CZ1014" s="120">
        <f>(DA1014+CY1014)/2</f>
        <v>78.823999999999998</v>
      </c>
      <c r="DA1014" s="158">
        <v>80.025999999999996</v>
      </c>
      <c r="DB1014" s="120">
        <f>(DC1014+DA1014)/2</f>
        <v>81.132999999999996</v>
      </c>
      <c r="DC1014" s="158">
        <v>82.24</v>
      </c>
      <c r="DD1014" s="120">
        <f>(DE1014+DC1014)/2</f>
        <v>83.3245</v>
      </c>
      <c r="DE1014" s="158">
        <v>84.409000000000006</v>
      </c>
      <c r="DF1014" s="120">
        <f>(DG1014+DE1014)/2</f>
        <v>85.63300000000001</v>
      </c>
      <c r="DG1014" s="159">
        <v>86.856999999999999</v>
      </c>
    </row>
    <row r="1015" spans="54:111" ht="15" customHeight="1" x14ac:dyDescent="0.2">
      <c r="BB1015" s="28">
        <v>39</v>
      </c>
      <c r="BC1015" s="121">
        <v>16.681999999999999</v>
      </c>
      <c r="BD1015" s="121">
        <v>18.379750000000001</v>
      </c>
      <c r="BE1015" s="121">
        <v>20.077500000000001</v>
      </c>
      <c r="BF1015" s="121">
        <v>21.63175</v>
      </c>
      <c r="BG1015" s="121">
        <v>23.186</v>
      </c>
      <c r="BH1015" s="121">
        <v>24.655249999999999</v>
      </c>
      <c r="BI1015" s="121">
        <v>26.124499999999998</v>
      </c>
      <c r="BJ1015" s="121">
        <v>27.566749999999999</v>
      </c>
      <c r="BK1015" s="121">
        <v>29.009</v>
      </c>
      <c r="BL1015" s="121">
        <v>30.440750000000001</v>
      </c>
      <c r="BM1015" s="121">
        <v>31.872500000000002</v>
      </c>
      <c r="BN1015" s="121">
        <v>33.213499999999996</v>
      </c>
      <c r="BO1015" s="121">
        <v>34.554499999999997</v>
      </c>
      <c r="BP1015" s="121">
        <v>35.89</v>
      </c>
      <c r="BQ1015" s="121">
        <v>37.225499999999997</v>
      </c>
      <c r="BR1015" s="121">
        <v>38.53</v>
      </c>
      <c r="BS1015" s="121">
        <v>39.834500000000006</v>
      </c>
      <c r="BT1015" s="121">
        <v>41.14875</v>
      </c>
      <c r="BU1015" s="121">
        <v>42.463000000000001</v>
      </c>
      <c r="BV1015" s="121">
        <v>43.734750000000005</v>
      </c>
      <c r="BW1015" s="121">
        <v>45.006500000000003</v>
      </c>
      <c r="BX1015" s="121">
        <v>46.315249999999999</v>
      </c>
      <c r="BY1015" s="121">
        <v>47.624000000000002</v>
      </c>
      <c r="BZ1015" s="121">
        <v>48.864000000000004</v>
      </c>
      <c r="CA1015" s="121">
        <v>50.103999999999999</v>
      </c>
      <c r="CB1015" s="121">
        <v>51.354750000000003</v>
      </c>
      <c r="CC1015" s="121">
        <v>52.605500000000006</v>
      </c>
      <c r="CD1015" s="121">
        <v>53.845500000000001</v>
      </c>
      <c r="CE1015" s="121">
        <v>55.085499999999996</v>
      </c>
      <c r="CF1015" s="121">
        <v>56.325749999999999</v>
      </c>
      <c r="CG1015" s="121">
        <v>57.566000000000003</v>
      </c>
      <c r="CH1015" s="121">
        <v>58.78425</v>
      </c>
      <c r="CI1015" s="121">
        <v>60.002499999999998</v>
      </c>
      <c r="CJ1015" s="121">
        <v>61.236750000000001</v>
      </c>
      <c r="CK1015" s="121">
        <f t="array" ref="CK1015:CK1036">TRANSPOSE(CL1014:DG1014)</f>
        <v>62.471000000000004</v>
      </c>
      <c r="CL1015" s="120">
        <f>(CK1015+CM1015)/2</f>
        <v>63.657499999999999</v>
      </c>
      <c r="CM1015" s="120">
        <f>(CM1014+CM1016)/2</f>
        <v>64.843999999999994</v>
      </c>
      <c r="CN1015" s="120">
        <f>(CM1015+CO1015)/2</f>
        <v>66.030749999999998</v>
      </c>
      <c r="CO1015" s="120">
        <f>(CO1014+CO1016)/2</f>
        <v>67.217500000000001</v>
      </c>
      <c r="CP1015" s="120">
        <f>(CO1015+CQ1015)/2</f>
        <v>68.447000000000003</v>
      </c>
      <c r="CQ1015" s="120">
        <f>(CQ1014+CQ1016)/2</f>
        <v>69.676500000000004</v>
      </c>
      <c r="CR1015" s="120">
        <f>(CQ1015+CS1015)/2</f>
        <v>70.863250000000008</v>
      </c>
      <c r="CS1015" s="120">
        <f>(CS1014+CS1016)/2</f>
        <v>72.050000000000011</v>
      </c>
      <c r="CT1015" s="120">
        <f>(CS1015+CU1015)/2</f>
        <v>73.225750000000005</v>
      </c>
      <c r="CU1015" s="120">
        <f>(CU1014+CU1016)/2</f>
        <v>74.401499999999999</v>
      </c>
      <c r="CV1015" s="120">
        <f>(CU1015+CW1015)/2</f>
        <v>75.605249999999998</v>
      </c>
      <c r="CW1015" s="120">
        <f>(CW1014+CW1016)/2</f>
        <v>76.808999999999997</v>
      </c>
      <c r="CX1015" s="120">
        <f>(CW1015+CY1015)/2</f>
        <v>77.972749999999991</v>
      </c>
      <c r="CY1015" s="120">
        <f>(CY1014+CY1016)/2</f>
        <v>79.136499999999998</v>
      </c>
      <c r="CZ1015" s="120">
        <f>(CY1015+DA1015)/2</f>
        <v>80.371250000000003</v>
      </c>
      <c r="DA1015" s="120">
        <f>(DA1014+DA1016)/2</f>
        <v>81.605999999999995</v>
      </c>
      <c r="DB1015" s="120">
        <f>(DA1015+DC1015)/2</f>
        <v>82.728999999999999</v>
      </c>
      <c r="DC1015" s="120">
        <f>(DC1014+DC1016)/2</f>
        <v>83.852000000000004</v>
      </c>
      <c r="DD1015" s="120">
        <f>(DC1015+DE1015)/2</f>
        <v>84.958500000000001</v>
      </c>
      <c r="DE1015" s="120">
        <f>(DE1014+DE1016)/2</f>
        <v>86.064999999999998</v>
      </c>
      <c r="DF1015" s="120">
        <f>(DE1015+DG1015)/2</f>
        <v>87.310249999999996</v>
      </c>
      <c r="DG1015" s="122">
        <f>(DG1014+DG1016)/2</f>
        <v>88.555499999999995</v>
      </c>
    </row>
    <row r="1016" spans="54:111" ht="15" customHeight="1" x14ac:dyDescent="0.2">
      <c r="BB1016" s="28">
        <v>40</v>
      </c>
      <c r="BC1016" s="121">
        <v>16.989999999999998</v>
      </c>
      <c r="BD1016" s="121">
        <v>18.704499999999999</v>
      </c>
      <c r="BE1016" s="121">
        <v>20.419</v>
      </c>
      <c r="BF1016" s="121">
        <v>21.995000000000001</v>
      </c>
      <c r="BG1016" s="121">
        <v>23.571000000000002</v>
      </c>
      <c r="BH1016" s="121">
        <v>25.093499999999999</v>
      </c>
      <c r="BI1016" s="121">
        <v>26.616</v>
      </c>
      <c r="BJ1016" s="121">
        <v>28.0745</v>
      </c>
      <c r="BK1016" s="121">
        <v>29.533000000000001</v>
      </c>
      <c r="BL1016" s="121">
        <v>30.992000000000001</v>
      </c>
      <c r="BM1016" s="121">
        <v>32.451000000000001</v>
      </c>
      <c r="BN1016" s="121">
        <v>33.844999999999999</v>
      </c>
      <c r="BO1016" s="121">
        <v>35.238999999999997</v>
      </c>
      <c r="BP1016" s="121">
        <v>36.569499999999998</v>
      </c>
      <c r="BQ1016" s="121">
        <v>37.9</v>
      </c>
      <c r="BR1016" s="121">
        <v>39.221000000000004</v>
      </c>
      <c r="BS1016" s="121">
        <v>40.542000000000002</v>
      </c>
      <c r="BT1016" s="121">
        <v>41.872500000000002</v>
      </c>
      <c r="BU1016" s="121">
        <v>43.203000000000003</v>
      </c>
      <c r="BV1016" s="121">
        <v>44.533500000000004</v>
      </c>
      <c r="BW1016" s="121">
        <v>45.863999999999997</v>
      </c>
      <c r="BX1016" s="121">
        <v>47.1935</v>
      </c>
      <c r="BY1016" s="121">
        <v>48.523000000000003</v>
      </c>
      <c r="BZ1016" s="121">
        <v>49.790500000000002</v>
      </c>
      <c r="CA1016" s="121">
        <v>51.058</v>
      </c>
      <c r="CB1016" s="121">
        <v>52.325500000000005</v>
      </c>
      <c r="CC1016" s="121">
        <v>53.593000000000004</v>
      </c>
      <c r="CD1016" s="121">
        <v>54.849000000000004</v>
      </c>
      <c r="CE1016" s="121">
        <v>56.104999999999997</v>
      </c>
      <c r="CF1016" s="121">
        <v>57.372500000000002</v>
      </c>
      <c r="CG1016" s="121">
        <v>58.64</v>
      </c>
      <c r="CH1016" s="121">
        <v>59.905999999999999</v>
      </c>
      <c r="CI1016" s="121">
        <v>61.171999999999997</v>
      </c>
      <c r="CJ1016" s="121">
        <v>62.438499999999998</v>
      </c>
      <c r="CK1016" s="121">
        <v>63.704999999999998</v>
      </c>
      <c r="CL1016" s="121">
        <f t="array" ref="CL1016:CL1036">TRANSPOSE(CM1015:DG1015)</f>
        <v>64.843999999999994</v>
      </c>
      <c r="CM1016" s="158">
        <v>65.983000000000004</v>
      </c>
      <c r="CN1016" s="120">
        <f>(CO1016+CM1016)/2</f>
        <v>67.25</v>
      </c>
      <c r="CO1016" s="158">
        <v>68.516999999999996</v>
      </c>
      <c r="CP1016" s="120">
        <f>(CQ1016+CO1016)/2</f>
        <v>69.773499999999999</v>
      </c>
      <c r="CQ1016" s="158">
        <v>71.03</v>
      </c>
      <c r="CR1016" s="120">
        <f>(CS1016+CQ1016)/2</f>
        <v>72.169000000000011</v>
      </c>
      <c r="CS1016" s="158">
        <v>73.308000000000007</v>
      </c>
      <c r="CT1016" s="120">
        <f>(CU1016+CS1016)/2</f>
        <v>74.5745</v>
      </c>
      <c r="CU1016" s="158">
        <v>75.840999999999994</v>
      </c>
      <c r="CV1016" s="120">
        <f>(CW1016+CU1016)/2</f>
        <v>77.108000000000004</v>
      </c>
      <c r="CW1016" s="158">
        <v>78.375</v>
      </c>
      <c r="CX1016" s="120">
        <f>(CY1016+CW1016)/2</f>
        <v>79.513000000000005</v>
      </c>
      <c r="CY1016" s="158">
        <v>80.650999999999996</v>
      </c>
      <c r="CZ1016" s="120">
        <f>(DA1016+CY1016)/2</f>
        <v>81.918499999999995</v>
      </c>
      <c r="DA1016" s="158">
        <v>83.186000000000007</v>
      </c>
      <c r="DB1016" s="120">
        <f>(DC1016+DA1016)/2</f>
        <v>84.325000000000003</v>
      </c>
      <c r="DC1016" s="158">
        <v>85.463999999999999</v>
      </c>
      <c r="DD1016" s="120">
        <f>(DE1016+DC1016)/2</f>
        <v>86.592500000000001</v>
      </c>
      <c r="DE1016" s="158">
        <v>87.721000000000004</v>
      </c>
      <c r="DF1016" s="120">
        <f>(DG1016+DE1016)/2</f>
        <v>88.987500000000011</v>
      </c>
      <c r="DG1016" s="159">
        <v>90.254000000000005</v>
      </c>
    </row>
    <row r="1017" spans="54:111" ht="15" customHeight="1" x14ac:dyDescent="0.2">
      <c r="BB1017" s="28">
        <v>41</v>
      </c>
      <c r="BC1017" s="121">
        <v>17.287999999999997</v>
      </c>
      <c r="BD1017" s="121">
        <v>19.050750000000001</v>
      </c>
      <c r="BE1017" s="121">
        <v>20.813499999999998</v>
      </c>
      <c r="BF1017" s="121">
        <v>22.421750000000003</v>
      </c>
      <c r="BG1017" s="121">
        <v>24.03</v>
      </c>
      <c r="BH1017" s="121">
        <v>25.5685</v>
      </c>
      <c r="BI1017" s="121">
        <v>27.106999999999999</v>
      </c>
      <c r="BJ1017" s="121">
        <v>28.582000000000001</v>
      </c>
      <c r="BK1017" s="121">
        <v>30.057000000000002</v>
      </c>
      <c r="BL1017" s="121">
        <v>31.557749999999999</v>
      </c>
      <c r="BM1017" s="121">
        <v>33.058499999999995</v>
      </c>
      <c r="BN1017" s="121">
        <v>34.454000000000001</v>
      </c>
      <c r="BO1017" s="121">
        <v>35.849499999999999</v>
      </c>
      <c r="BP1017" s="121">
        <v>37.239249999999998</v>
      </c>
      <c r="BQ1017" s="121">
        <v>38.628999999999998</v>
      </c>
      <c r="BR1017" s="121">
        <v>39.970750000000002</v>
      </c>
      <c r="BS1017" s="121">
        <v>41.3125</v>
      </c>
      <c r="BT1017" s="121">
        <v>42.659500000000001</v>
      </c>
      <c r="BU1017" s="121">
        <v>44.006500000000003</v>
      </c>
      <c r="BV1017" s="121">
        <v>45.364000000000004</v>
      </c>
      <c r="BW1017" s="121">
        <v>46.721499999999999</v>
      </c>
      <c r="BX1017" s="121">
        <v>48.03575</v>
      </c>
      <c r="BY1017" s="121">
        <v>49.35</v>
      </c>
      <c r="BZ1017" s="121">
        <v>50.676500000000004</v>
      </c>
      <c r="CA1017" s="121">
        <v>52.003</v>
      </c>
      <c r="CB1017" s="121">
        <v>53.286000000000001</v>
      </c>
      <c r="CC1017" s="121">
        <v>54.569000000000003</v>
      </c>
      <c r="CD1017" s="121">
        <v>55.851750000000003</v>
      </c>
      <c r="CE1017" s="121">
        <v>57.134500000000003</v>
      </c>
      <c r="CF1017" s="121">
        <v>58.427250000000001</v>
      </c>
      <c r="CG1017" s="121">
        <v>59.72</v>
      </c>
      <c r="CH1017" s="121">
        <v>60.972250000000003</v>
      </c>
      <c r="CI1017" s="121">
        <v>62.224499999999999</v>
      </c>
      <c r="CJ1017" s="121">
        <v>63.518000000000001</v>
      </c>
      <c r="CK1017" s="121">
        <v>64.811499999999995</v>
      </c>
      <c r="CL1017" s="121">
        <v>66.030749999999998</v>
      </c>
      <c r="CM1017" s="121">
        <f t="array" ref="CM1017:CM1036">TRANSPOSE(CN1016:DG1016)</f>
        <v>67.25</v>
      </c>
      <c r="CN1017" s="120">
        <f>(CM1017+CO1017)/2</f>
        <v>68.533000000000001</v>
      </c>
      <c r="CO1017" s="120">
        <f>(CO1016+CO1018)/2</f>
        <v>69.816000000000003</v>
      </c>
      <c r="CP1017" s="120">
        <f>(CO1017+CQ1017)/2</f>
        <v>71.104749999999996</v>
      </c>
      <c r="CQ1017" s="120">
        <f>(CQ1016+CQ1018)/2</f>
        <v>72.393500000000003</v>
      </c>
      <c r="CR1017" s="120">
        <f>(CQ1017+CS1017)/2</f>
        <v>73.548500000000004</v>
      </c>
      <c r="CS1017" s="120">
        <f>(CS1016+CS1018)/2</f>
        <v>74.703500000000005</v>
      </c>
      <c r="CT1017" s="120">
        <f>(CS1017+CU1017)/2</f>
        <v>75.997250000000008</v>
      </c>
      <c r="CU1017" s="120">
        <f>(CU1016+CU1018)/2</f>
        <v>77.290999999999997</v>
      </c>
      <c r="CV1017" s="120">
        <f>(CU1017+CW1017)/2</f>
        <v>78.509999999999991</v>
      </c>
      <c r="CW1017" s="120">
        <f>(CW1016+CW1018)/2</f>
        <v>79.728999999999999</v>
      </c>
      <c r="CX1017" s="120">
        <f>(CW1017+CY1017)/2</f>
        <v>80.947749999999999</v>
      </c>
      <c r="CY1017" s="120">
        <f>(CY1016+CY1018)/2</f>
        <v>82.166499999999999</v>
      </c>
      <c r="CZ1017" s="120">
        <f>(CY1017+DA1017)/2</f>
        <v>83.396749999999997</v>
      </c>
      <c r="DA1017" s="120">
        <f>(DA1016+DA1018)/2</f>
        <v>84.62700000000001</v>
      </c>
      <c r="DB1017" s="120">
        <f>(DA1017+DC1017)/2</f>
        <v>85.846000000000004</v>
      </c>
      <c r="DC1017" s="120">
        <f>(DC1016+DC1018)/2</f>
        <v>87.064999999999998</v>
      </c>
      <c r="DD1017" s="120">
        <f>(DC1017+DE1017)/2</f>
        <v>88.225999999999999</v>
      </c>
      <c r="DE1017" s="120">
        <f>(DE1016+DE1018)/2</f>
        <v>89.387</v>
      </c>
      <c r="DF1017" s="120">
        <f>(DE1017+DG1017)/2</f>
        <v>90.669499999999999</v>
      </c>
      <c r="DG1017" s="122">
        <f>(DG1016+DG1018)/2</f>
        <v>91.951999999999998</v>
      </c>
    </row>
    <row r="1018" spans="54:111" ht="15" customHeight="1" x14ac:dyDescent="0.2">
      <c r="BB1018" s="28">
        <v>42</v>
      </c>
      <c r="BC1018" s="121">
        <v>17.585999999999999</v>
      </c>
      <c r="BD1018" s="121">
        <v>19.396999999999998</v>
      </c>
      <c r="BE1018" s="121">
        <v>21.207999999999998</v>
      </c>
      <c r="BF1018" s="121">
        <v>22.848500000000001</v>
      </c>
      <c r="BG1018" s="121">
        <v>24.489000000000001</v>
      </c>
      <c r="BH1018" s="121">
        <v>26.043500000000002</v>
      </c>
      <c r="BI1018" s="121">
        <v>27.597999999999999</v>
      </c>
      <c r="BJ1018" s="121">
        <v>29.089500000000001</v>
      </c>
      <c r="BK1018" s="121">
        <v>30.581</v>
      </c>
      <c r="BL1018" s="121">
        <v>32.1235</v>
      </c>
      <c r="BM1018" s="121">
        <v>33.665999999999997</v>
      </c>
      <c r="BN1018" s="121">
        <v>35.063000000000002</v>
      </c>
      <c r="BO1018" s="121">
        <v>36.46</v>
      </c>
      <c r="BP1018" s="121">
        <v>37.908999999999999</v>
      </c>
      <c r="BQ1018" s="121">
        <v>39.357999999999997</v>
      </c>
      <c r="BR1018" s="121">
        <v>40.720500000000001</v>
      </c>
      <c r="BS1018" s="121">
        <v>42.082999999999998</v>
      </c>
      <c r="BT1018" s="121">
        <v>43.4465</v>
      </c>
      <c r="BU1018" s="121">
        <v>44.81</v>
      </c>
      <c r="BV1018" s="121">
        <v>46.194500000000005</v>
      </c>
      <c r="BW1018" s="121">
        <v>47.579000000000001</v>
      </c>
      <c r="BX1018" s="121">
        <v>48.878</v>
      </c>
      <c r="BY1018" s="121">
        <v>50.177</v>
      </c>
      <c r="BZ1018" s="121">
        <v>51.5625</v>
      </c>
      <c r="CA1018" s="121">
        <v>52.948</v>
      </c>
      <c r="CB1018" s="121">
        <v>54.246499999999997</v>
      </c>
      <c r="CC1018" s="121">
        <v>55.545000000000002</v>
      </c>
      <c r="CD1018" s="121">
        <v>56.854500000000002</v>
      </c>
      <c r="CE1018" s="121">
        <v>58.164000000000001</v>
      </c>
      <c r="CF1018" s="121">
        <v>59.481999999999999</v>
      </c>
      <c r="CG1018" s="121">
        <v>60.8</v>
      </c>
      <c r="CH1018" s="121">
        <v>62.038499999999999</v>
      </c>
      <c r="CI1018" s="121">
        <v>63.277000000000001</v>
      </c>
      <c r="CJ1018" s="121">
        <v>64.597499999999997</v>
      </c>
      <c r="CK1018" s="121">
        <v>65.918000000000006</v>
      </c>
      <c r="CL1018" s="121">
        <v>67.217500000000001</v>
      </c>
      <c r="CM1018" s="121">
        <v>68.516999999999996</v>
      </c>
      <c r="CN1018" s="121">
        <f t="array" ref="CN1018:CN1036">TRANSPOSE(CO1017:DG1017)</f>
        <v>69.816000000000003</v>
      </c>
      <c r="CO1018" s="158">
        <v>71.114999999999995</v>
      </c>
      <c r="CP1018" s="120">
        <f>(CQ1018+CO1018)/2</f>
        <v>72.436000000000007</v>
      </c>
      <c r="CQ1018" s="158">
        <v>73.757000000000005</v>
      </c>
      <c r="CR1018" s="120">
        <f>(CS1018+CQ1018)/2</f>
        <v>74.927999999999997</v>
      </c>
      <c r="CS1018" s="158">
        <v>76.099000000000004</v>
      </c>
      <c r="CT1018" s="120">
        <f>(CU1018+CS1018)/2</f>
        <v>77.42</v>
      </c>
      <c r="CU1018" s="158">
        <v>78.741</v>
      </c>
      <c r="CV1018" s="120">
        <f>(CW1018+CU1018)/2</f>
        <v>79.912000000000006</v>
      </c>
      <c r="CW1018" s="158">
        <v>81.082999999999998</v>
      </c>
      <c r="CX1018" s="120">
        <f>(CY1018+CW1018)/2</f>
        <v>82.382499999999993</v>
      </c>
      <c r="CY1018" s="158">
        <v>83.682000000000002</v>
      </c>
      <c r="CZ1018" s="120">
        <f>(DA1018+CY1018)/2</f>
        <v>84.875</v>
      </c>
      <c r="DA1018" s="158">
        <v>86.067999999999998</v>
      </c>
      <c r="DB1018" s="120">
        <f>(DC1018+DA1018)/2</f>
        <v>87.36699999999999</v>
      </c>
      <c r="DC1018" s="158">
        <v>88.665999999999997</v>
      </c>
      <c r="DD1018" s="120">
        <f>(DE1018+DC1018)/2</f>
        <v>89.859499999999997</v>
      </c>
      <c r="DE1018" s="158">
        <v>91.052999999999997</v>
      </c>
      <c r="DF1018" s="120">
        <f>(DG1018+DE1018)/2</f>
        <v>92.351500000000001</v>
      </c>
      <c r="DG1018" s="159">
        <v>93.65</v>
      </c>
    </row>
    <row r="1019" spans="54:111" ht="15" customHeight="1" x14ac:dyDescent="0.2">
      <c r="BB1019" s="28">
        <v>43</v>
      </c>
      <c r="BC1019" s="121">
        <v>17.948499999999999</v>
      </c>
      <c r="BD1019" s="121">
        <v>19.748750000000001</v>
      </c>
      <c r="BE1019" s="121">
        <v>21.548999999999999</v>
      </c>
      <c r="BF1019" s="121">
        <v>23.237500000000001</v>
      </c>
      <c r="BG1019" s="121">
        <v>24.926000000000002</v>
      </c>
      <c r="BH1019" s="121">
        <v>26.5105</v>
      </c>
      <c r="BI1019" s="121">
        <v>28.094999999999999</v>
      </c>
      <c r="BJ1019" s="121">
        <v>29.610749999999999</v>
      </c>
      <c r="BK1019" s="121">
        <v>31.1265</v>
      </c>
      <c r="BL1019" s="121">
        <v>32.6755</v>
      </c>
      <c r="BM1019" s="121">
        <v>34.224499999999999</v>
      </c>
      <c r="BN1019" s="121">
        <v>35.652749999999997</v>
      </c>
      <c r="BO1019" s="121">
        <v>37.081000000000003</v>
      </c>
      <c r="BP1019" s="121">
        <v>38.545999999999999</v>
      </c>
      <c r="BQ1019" s="121">
        <v>40.010999999999996</v>
      </c>
      <c r="BR1019" s="121">
        <v>41.401000000000003</v>
      </c>
      <c r="BS1019" s="121">
        <v>42.790999999999997</v>
      </c>
      <c r="BT1019" s="121">
        <v>44.213000000000001</v>
      </c>
      <c r="BU1019" s="121">
        <v>45.635000000000005</v>
      </c>
      <c r="BV1019" s="121">
        <v>47.009250000000002</v>
      </c>
      <c r="BW1019" s="121">
        <v>48.383499999999998</v>
      </c>
      <c r="BX1019" s="121">
        <v>49.73075</v>
      </c>
      <c r="BY1019" s="121">
        <v>51.078000000000003</v>
      </c>
      <c r="BZ1019" s="121">
        <v>52.47925</v>
      </c>
      <c r="CA1019" s="121">
        <v>53.880499999999998</v>
      </c>
      <c r="CB1019" s="121">
        <v>55.207000000000001</v>
      </c>
      <c r="CC1019" s="121">
        <v>56.533500000000004</v>
      </c>
      <c r="CD1019" s="121">
        <v>57.869250000000001</v>
      </c>
      <c r="CE1019" s="121">
        <v>59.204999999999998</v>
      </c>
      <c r="CF1019" s="121">
        <v>60.540999999999997</v>
      </c>
      <c r="CG1019" s="121">
        <v>61.876999999999995</v>
      </c>
      <c r="CH1019" s="121">
        <v>63.161999999999999</v>
      </c>
      <c r="CI1019" s="121">
        <v>64.447000000000003</v>
      </c>
      <c r="CJ1019" s="121">
        <v>65.783749999999998</v>
      </c>
      <c r="CK1019" s="121">
        <v>67.120499999999993</v>
      </c>
      <c r="CL1019" s="121">
        <v>68.447000000000003</v>
      </c>
      <c r="CM1019" s="121">
        <v>69.773499999999999</v>
      </c>
      <c r="CN1019" s="121">
        <v>71.104749999999996</v>
      </c>
      <c r="CO1019" s="121">
        <f t="array" ref="CO1019:CO1036">TRANSPOSE(CP1018:DG1018)</f>
        <v>72.436000000000007</v>
      </c>
      <c r="CP1019" s="120">
        <f>(CO1019+CQ1019)/2</f>
        <v>73.709249999999997</v>
      </c>
      <c r="CQ1019" s="120">
        <f>(CQ1018+CQ1020)/2</f>
        <v>74.982500000000002</v>
      </c>
      <c r="CR1019" s="120">
        <f>(CQ1019+CS1019)/2</f>
        <v>76.233750000000001</v>
      </c>
      <c r="CS1019" s="120">
        <f>(CS1018+CS1020)/2</f>
        <v>77.484999999999999</v>
      </c>
      <c r="CT1019" s="120">
        <f>(CS1019+CU1019)/2</f>
        <v>78.822000000000003</v>
      </c>
      <c r="CU1019" s="120">
        <f>(CU1018+CU1020)/2</f>
        <v>80.158999999999992</v>
      </c>
      <c r="CV1019" s="120">
        <f>(CU1019+CW1019)/2</f>
        <v>81.362499999999997</v>
      </c>
      <c r="CW1019" s="120">
        <f>(CW1018+CW1020)/2</f>
        <v>82.566000000000003</v>
      </c>
      <c r="CX1019" s="120">
        <f>(CW1019+CY1019)/2</f>
        <v>83.892250000000004</v>
      </c>
      <c r="CY1019" s="120">
        <f>(CY1018+CY1020)/2</f>
        <v>85.218500000000006</v>
      </c>
      <c r="CZ1019" s="120">
        <f>(CY1019+DA1019)/2</f>
        <v>86.427999999999997</v>
      </c>
      <c r="DA1019" s="120">
        <f>(DA1018+DA1020)/2</f>
        <v>87.637499999999989</v>
      </c>
      <c r="DB1019" s="120">
        <f>(DA1019+DC1019)/2</f>
        <v>88.952499999999986</v>
      </c>
      <c r="DC1019" s="120">
        <f>(DC1018+DC1020)/2</f>
        <v>90.267499999999998</v>
      </c>
      <c r="DD1019" s="120">
        <f>(DC1019+DE1019)/2</f>
        <v>91.477000000000004</v>
      </c>
      <c r="DE1019" s="120">
        <f>(DE1018+DE1020)/2</f>
        <v>92.686499999999995</v>
      </c>
      <c r="DF1019" s="120">
        <f>(DE1019+DG1019)/2</f>
        <v>94.017750000000007</v>
      </c>
      <c r="DG1019" s="122">
        <f>(DG1018+DG1020)/2</f>
        <v>95.349000000000004</v>
      </c>
    </row>
    <row r="1020" spans="54:111" ht="15" customHeight="1" x14ac:dyDescent="0.2">
      <c r="BB1020" s="28">
        <v>44</v>
      </c>
      <c r="BC1020" s="121">
        <v>18.311</v>
      </c>
      <c r="BD1020" s="121">
        <v>20.1005</v>
      </c>
      <c r="BE1020" s="121">
        <v>21.89</v>
      </c>
      <c r="BF1020" s="121">
        <v>23.6265</v>
      </c>
      <c r="BG1020" s="121">
        <v>25.363</v>
      </c>
      <c r="BH1020" s="121">
        <v>26.977499999999999</v>
      </c>
      <c r="BI1020" s="121">
        <v>28.591999999999999</v>
      </c>
      <c r="BJ1020" s="121">
        <v>30.131999999999998</v>
      </c>
      <c r="BK1020" s="121">
        <v>31.672000000000001</v>
      </c>
      <c r="BL1020" s="121">
        <v>33.227499999999999</v>
      </c>
      <c r="BM1020" s="121">
        <v>34.783000000000001</v>
      </c>
      <c r="BN1020" s="121">
        <v>36.2425</v>
      </c>
      <c r="BO1020" s="121">
        <v>37.701999999999998</v>
      </c>
      <c r="BP1020" s="121">
        <v>39.183</v>
      </c>
      <c r="BQ1020" s="121">
        <v>40.664000000000001</v>
      </c>
      <c r="BR1020" s="121">
        <v>42.081500000000005</v>
      </c>
      <c r="BS1020" s="121">
        <v>43.499000000000002</v>
      </c>
      <c r="BT1020" s="121">
        <v>44.979500000000002</v>
      </c>
      <c r="BU1020" s="121">
        <v>46.46</v>
      </c>
      <c r="BV1020" s="121">
        <v>47.823999999999998</v>
      </c>
      <c r="BW1020" s="121">
        <v>49.188000000000002</v>
      </c>
      <c r="BX1020" s="121">
        <v>50.583500000000001</v>
      </c>
      <c r="BY1020" s="121">
        <v>51.978999999999999</v>
      </c>
      <c r="BZ1020" s="121">
        <v>53.396000000000001</v>
      </c>
      <c r="CA1020" s="121">
        <v>54.813000000000002</v>
      </c>
      <c r="CB1020" s="121">
        <v>56.167500000000004</v>
      </c>
      <c r="CC1020" s="121">
        <v>57.521999999999998</v>
      </c>
      <c r="CD1020" s="121">
        <v>58.884</v>
      </c>
      <c r="CE1020" s="121">
        <v>60.246000000000002</v>
      </c>
      <c r="CF1020" s="121">
        <v>61.6</v>
      </c>
      <c r="CG1020" s="121">
        <v>62.954000000000001</v>
      </c>
      <c r="CH1020" s="121">
        <v>64.285499999999999</v>
      </c>
      <c r="CI1020" s="121">
        <v>65.617000000000004</v>
      </c>
      <c r="CJ1020" s="121">
        <v>66.97</v>
      </c>
      <c r="CK1020" s="121">
        <v>68.322999999999993</v>
      </c>
      <c r="CL1020" s="121">
        <v>69.676500000000004</v>
      </c>
      <c r="CM1020" s="121">
        <v>71.03</v>
      </c>
      <c r="CN1020" s="121">
        <v>72.393500000000003</v>
      </c>
      <c r="CO1020" s="121">
        <v>73.757000000000005</v>
      </c>
      <c r="CP1020" s="121">
        <f t="array" ref="CP1020:CP1036">TRANSPOSE(CQ1019:DG1019)</f>
        <v>74.982500000000002</v>
      </c>
      <c r="CQ1020" s="158">
        <v>76.207999999999998</v>
      </c>
      <c r="CR1020" s="121">
        <f>CS1019</f>
        <v>77.484999999999999</v>
      </c>
      <c r="CS1020" s="158">
        <v>78.870999999999995</v>
      </c>
      <c r="CT1020" s="121">
        <f>CU1019</f>
        <v>80.158999999999992</v>
      </c>
      <c r="CU1020" s="158">
        <v>81.576999999999998</v>
      </c>
      <c r="CV1020" s="121">
        <f>CW1019</f>
        <v>82.566000000000003</v>
      </c>
      <c r="CW1020" s="158">
        <v>84.049000000000007</v>
      </c>
      <c r="CX1020" s="121">
        <f>CY1019</f>
        <v>85.218500000000006</v>
      </c>
      <c r="CY1020" s="158">
        <v>86.754999999999995</v>
      </c>
      <c r="CZ1020" s="121">
        <f>DA1019</f>
        <v>87.637499999999989</v>
      </c>
      <c r="DA1020" s="158">
        <v>89.206999999999994</v>
      </c>
      <c r="DB1020" s="121">
        <f>DC1019</f>
        <v>90.267499999999998</v>
      </c>
      <c r="DC1020" s="158">
        <v>91.869</v>
      </c>
      <c r="DD1020" s="121">
        <f>DE1019</f>
        <v>92.686499999999995</v>
      </c>
      <c r="DE1020" s="158">
        <v>94.32</v>
      </c>
      <c r="DF1020" s="121">
        <f>DG1019</f>
        <v>95.349000000000004</v>
      </c>
      <c r="DG1020" s="159">
        <v>97.048000000000002</v>
      </c>
    </row>
    <row r="1021" spans="54:111" ht="15" customHeight="1" x14ac:dyDescent="0.2">
      <c r="BB1021" s="28">
        <v>45</v>
      </c>
      <c r="BC1021" s="121">
        <v>18.597999999999999</v>
      </c>
      <c r="BD1021" s="121">
        <v>20.420500000000001</v>
      </c>
      <c r="BE1021" s="121">
        <v>22.243000000000002</v>
      </c>
      <c r="BF1021" s="121">
        <v>24.00075</v>
      </c>
      <c r="BG1021" s="121">
        <v>25.758499999999998</v>
      </c>
      <c r="BH1021" s="121">
        <v>27.418500000000002</v>
      </c>
      <c r="BI1021" s="121">
        <v>29.078499999999998</v>
      </c>
      <c r="BJ1021" s="121">
        <v>30.637249999999998</v>
      </c>
      <c r="BK1021" s="121">
        <v>32.195999999999998</v>
      </c>
      <c r="BL1021" s="121">
        <v>33.767499999999998</v>
      </c>
      <c r="BM1021" s="121">
        <v>35.338999999999999</v>
      </c>
      <c r="BN1021" s="121">
        <v>36.836500000000001</v>
      </c>
      <c r="BO1021" s="121">
        <v>38.334000000000003</v>
      </c>
      <c r="BP1021" s="121">
        <v>39.83625</v>
      </c>
      <c r="BQ1021" s="121">
        <v>41.338499999999996</v>
      </c>
      <c r="BR1021" s="121">
        <v>42.804250000000003</v>
      </c>
      <c r="BS1021" s="121">
        <v>44.269999999999996</v>
      </c>
      <c r="BT1021" s="121">
        <v>45.740250000000003</v>
      </c>
      <c r="BU1021" s="121">
        <v>47.210499999999996</v>
      </c>
      <c r="BV1021" s="121">
        <v>48.617249999999999</v>
      </c>
      <c r="BW1021" s="121">
        <v>50.024000000000001</v>
      </c>
      <c r="BX1021" s="121">
        <v>51.457499999999996</v>
      </c>
      <c r="BY1021" s="121">
        <v>52.890999999999998</v>
      </c>
      <c r="BZ1021" s="121">
        <v>54.297499999999999</v>
      </c>
      <c r="CA1021" s="121">
        <v>55.704000000000001</v>
      </c>
      <c r="CB1021" s="121">
        <v>57.10575</v>
      </c>
      <c r="CC1021" s="121">
        <v>58.5075</v>
      </c>
      <c r="CD1021" s="121">
        <v>59.886499999999998</v>
      </c>
      <c r="CE1021" s="121">
        <v>61.265500000000003</v>
      </c>
      <c r="CF1021" s="121">
        <v>62.6355</v>
      </c>
      <c r="CG1021" s="121">
        <v>64.005499999999998</v>
      </c>
      <c r="CH1021" s="121">
        <v>65.407250000000005</v>
      </c>
      <c r="CI1021" s="121">
        <v>66.808999999999997</v>
      </c>
      <c r="CJ1021" s="121">
        <v>68.183250000000001</v>
      </c>
      <c r="CK1021" s="121">
        <v>69.557500000000005</v>
      </c>
      <c r="CL1021" s="121">
        <v>70.863250000000008</v>
      </c>
      <c r="CM1021" s="121">
        <v>72.169000000000011</v>
      </c>
      <c r="CN1021" s="121">
        <v>73.548500000000004</v>
      </c>
      <c r="CO1021" s="121">
        <v>74.927999999999997</v>
      </c>
      <c r="CP1021" s="121">
        <v>76.233750000000001</v>
      </c>
      <c r="CQ1021" s="121">
        <f t="array" ref="CQ1021:CQ1036">TRANSPOSE(CR1020:DG1020)</f>
        <v>77.484999999999999</v>
      </c>
      <c r="CR1021" s="120">
        <f>(CQ1021+CS1021)/2</f>
        <v>78.887</v>
      </c>
      <c r="CS1021" s="120">
        <f>(CS1020+CS1022)/2</f>
        <v>80.288999999999987</v>
      </c>
      <c r="CT1021" s="120">
        <f>(CS1021+CU1021)/2</f>
        <v>81.594249999999988</v>
      </c>
      <c r="CU1021" s="120">
        <f>(CU1020+CU1022)/2</f>
        <v>82.899499999999989</v>
      </c>
      <c r="CV1021" s="120">
        <f>(CU1021+CW1021)/2</f>
        <v>84.210250000000002</v>
      </c>
      <c r="CW1021" s="120">
        <f>(CW1020+CW1022)/2</f>
        <v>85.521000000000001</v>
      </c>
      <c r="CX1021" s="120">
        <f>(CW1021+CY1021)/2</f>
        <v>86.895499999999998</v>
      </c>
      <c r="CY1021" s="120">
        <f>(CY1020+CY1022)/2</f>
        <v>88.27</v>
      </c>
      <c r="CZ1021" s="120">
        <f>(CY1021+DA1021)/2</f>
        <v>89.512</v>
      </c>
      <c r="DA1021" s="120">
        <f>(DA1020+DA1022)/2</f>
        <v>90.753999999999991</v>
      </c>
      <c r="DB1021" s="120">
        <f>(DA1021+DC1021)/2</f>
        <v>92.128500000000003</v>
      </c>
      <c r="DC1021" s="120">
        <f>(DC1020+DC1022)/2</f>
        <v>93.503</v>
      </c>
      <c r="DD1021" s="120">
        <f>(DC1021+DE1021)/2</f>
        <v>94.74475000000001</v>
      </c>
      <c r="DE1021" s="120">
        <f>(DE1020+DE1022)/2</f>
        <v>95.986500000000007</v>
      </c>
      <c r="DF1021" s="120">
        <f>(DE1021+DG1021)/2</f>
        <v>97.361000000000004</v>
      </c>
      <c r="DG1021" s="122">
        <f>(DG1020+DG1022)/2</f>
        <v>98.735500000000002</v>
      </c>
    </row>
    <row r="1022" spans="54:111" ht="15" customHeight="1" x14ac:dyDescent="0.2">
      <c r="BB1022" s="28">
        <v>46</v>
      </c>
      <c r="BC1022" s="121">
        <v>18.885000000000002</v>
      </c>
      <c r="BD1022" s="121">
        <v>20.740500000000001</v>
      </c>
      <c r="BE1022" s="121">
        <v>22.596</v>
      </c>
      <c r="BF1022" s="121">
        <v>24.375</v>
      </c>
      <c r="BG1022" s="121">
        <v>26.154</v>
      </c>
      <c r="BH1022" s="121">
        <v>27.859500000000001</v>
      </c>
      <c r="BI1022" s="121">
        <v>29.565000000000001</v>
      </c>
      <c r="BJ1022" s="121">
        <v>31.142499999999998</v>
      </c>
      <c r="BK1022" s="121">
        <v>32.72</v>
      </c>
      <c r="BL1022" s="121">
        <v>34.307500000000005</v>
      </c>
      <c r="BM1022" s="121">
        <v>35.895000000000003</v>
      </c>
      <c r="BN1022" s="121">
        <v>37.430500000000002</v>
      </c>
      <c r="BO1022" s="121">
        <v>38.966000000000001</v>
      </c>
      <c r="BP1022" s="121">
        <v>40.4895</v>
      </c>
      <c r="BQ1022" s="121">
        <v>42.012999999999998</v>
      </c>
      <c r="BR1022" s="121">
        <v>43.527000000000001</v>
      </c>
      <c r="BS1022" s="121">
        <v>45.040999999999997</v>
      </c>
      <c r="BT1022" s="121">
        <v>46.500999999999998</v>
      </c>
      <c r="BU1022" s="121">
        <v>47.960999999999999</v>
      </c>
      <c r="BV1022" s="121">
        <v>49.410499999999999</v>
      </c>
      <c r="BW1022" s="121">
        <v>50.86</v>
      </c>
      <c r="BX1022" s="121">
        <v>52.331499999999998</v>
      </c>
      <c r="BY1022" s="121">
        <v>53.802999999999997</v>
      </c>
      <c r="BZ1022" s="121">
        <v>55.198999999999998</v>
      </c>
      <c r="CA1022" s="121">
        <v>56.594999999999999</v>
      </c>
      <c r="CB1022" s="121">
        <v>58.043999999999997</v>
      </c>
      <c r="CC1022" s="121">
        <v>59.493000000000002</v>
      </c>
      <c r="CD1022" s="121">
        <v>60.888999999999996</v>
      </c>
      <c r="CE1022" s="121">
        <v>62.284999999999997</v>
      </c>
      <c r="CF1022" s="121">
        <v>63.670999999999999</v>
      </c>
      <c r="CG1022" s="121">
        <v>65.057000000000002</v>
      </c>
      <c r="CH1022" s="121">
        <v>66.528999999999996</v>
      </c>
      <c r="CI1022" s="121">
        <v>68.001000000000005</v>
      </c>
      <c r="CJ1022" s="121">
        <v>69.396500000000003</v>
      </c>
      <c r="CK1022" s="121">
        <v>70.792000000000002</v>
      </c>
      <c r="CL1022" s="121">
        <v>72.050000000000011</v>
      </c>
      <c r="CM1022" s="121">
        <v>73.308000000000007</v>
      </c>
      <c r="CN1022" s="121">
        <v>74.703500000000005</v>
      </c>
      <c r="CO1022" s="121">
        <v>76.099000000000004</v>
      </c>
      <c r="CP1022" s="121">
        <v>77.484999999999999</v>
      </c>
      <c r="CQ1022" s="121">
        <v>78.870999999999995</v>
      </c>
      <c r="CR1022" s="150">
        <f t="array" ref="CR1022:CR1036">TRANSPOSE(CS1021:DG1021)</f>
        <v>80.288999999999987</v>
      </c>
      <c r="CS1022" s="158">
        <v>81.706999999999994</v>
      </c>
      <c r="CT1022" s="121">
        <f>CU1021</f>
        <v>82.899499999999989</v>
      </c>
      <c r="CU1022" s="158">
        <v>84.221999999999994</v>
      </c>
      <c r="CV1022" s="121">
        <f>CW1021</f>
        <v>85.521000000000001</v>
      </c>
      <c r="CW1022" s="158">
        <v>86.992999999999995</v>
      </c>
      <c r="CX1022" s="121">
        <f>CY1021</f>
        <v>88.27</v>
      </c>
      <c r="CY1022" s="158">
        <v>89.784999999999997</v>
      </c>
      <c r="CZ1022" s="121">
        <f>DA1021</f>
        <v>90.753999999999991</v>
      </c>
      <c r="DA1022" s="158">
        <v>92.301000000000002</v>
      </c>
      <c r="DB1022" s="121">
        <f>DC1021</f>
        <v>93.503</v>
      </c>
      <c r="DC1022" s="158">
        <v>95.137</v>
      </c>
      <c r="DD1022" s="121">
        <f>DE1021</f>
        <v>95.986500000000007</v>
      </c>
      <c r="DE1022" s="158">
        <v>97.653000000000006</v>
      </c>
      <c r="DF1022" s="121">
        <f>DG1021</f>
        <v>98.735500000000002</v>
      </c>
      <c r="DG1022" s="159">
        <v>100.423</v>
      </c>
    </row>
    <row r="1023" spans="54:111" ht="15" customHeight="1" x14ac:dyDescent="0.2">
      <c r="BB1023" s="28">
        <v>47</v>
      </c>
      <c r="BC1023" s="121">
        <v>19.183500000000002</v>
      </c>
      <c r="BD1023" s="121">
        <v>21.091999999999999</v>
      </c>
      <c r="BE1023" s="121">
        <v>23.000500000000002</v>
      </c>
      <c r="BF1023" s="121">
        <v>24.790749999999999</v>
      </c>
      <c r="BG1023" s="121">
        <v>26.581</v>
      </c>
      <c r="BH1023" s="121">
        <v>28.286749999999998</v>
      </c>
      <c r="BI1023" s="121">
        <v>29.9925</v>
      </c>
      <c r="BJ1023" s="121">
        <v>31.634250000000002</v>
      </c>
      <c r="BK1023" s="121">
        <v>33.275999999999996</v>
      </c>
      <c r="BL1023" s="121">
        <v>34.874750000000006</v>
      </c>
      <c r="BM1023" s="121">
        <v>36.473500000000001</v>
      </c>
      <c r="BN1023" s="121">
        <v>38.03</v>
      </c>
      <c r="BO1023" s="121">
        <v>39.586500000000001</v>
      </c>
      <c r="BP1023" s="121">
        <v>41.121250000000003</v>
      </c>
      <c r="BQ1023" s="121">
        <v>42.655999999999999</v>
      </c>
      <c r="BR1023" s="121">
        <v>44.201999999999998</v>
      </c>
      <c r="BS1023" s="121">
        <v>45.747999999999998</v>
      </c>
      <c r="BT1023" s="121">
        <v>47.235249999999994</v>
      </c>
      <c r="BU1023" s="121">
        <v>48.722499999999997</v>
      </c>
      <c r="BV1023" s="121">
        <v>50.22</v>
      </c>
      <c r="BW1023" s="121">
        <v>51.717500000000001</v>
      </c>
      <c r="BX1023" s="121">
        <v>53.178250000000006</v>
      </c>
      <c r="BY1023" s="121">
        <v>54.638999999999996</v>
      </c>
      <c r="BZ1023" s="121">
        <v>56.08325</v>
      </c>
      <c r="CA1023" s="121">
        <v>57.527500000000003</v>
      </c>
      <c r="CB1023" s="121">
        <v>59.003999999999998</v>
      </c>
      <c r="CC1023" s="121">
        <v>60.480500000000006</v>
      </c>
      <c r="CD1023" s="121">
        <v>61.903499999999994</v>
      </c>
      <c r="CE1023" s="121">
        <v>63.326499999999996</v>
      </c>
      <c r="CF1023" s="121">
        <v>64.728499999999997</v>
      </c>
      <c r="CG1023" s="121">
        <v>66.130499999999998</v>
      </c>
      <c r="CH1023" s="121">
        <v>67.591499999999996</v>
      </c>
      <c r="CI1023" s="121">
        <v>69.052500000000009</v>
      </c>
      <c r="CJ1023" s="121">
        <v>70.464750000000009</v>
      </c>
      <c r="CK1023" s="121">
        <v>71.87700000000001</v>
      </c>
      <c r="CL1023" s="121">
        <v>73.225750000000005</v>
      </c>
      <c r="CM1023" s="121">
        <v>74.5745</v>
      </c>
      <c r="CN1023" s="121">
        <v>75.997250000000008</v>
      </c>
      <c r="CO1023" s="121">
        <v>77.42</v>
      </c>
      <c r="CP1023" s="121">
        <v>78.822000000000003</v>
      </c>
      <c r="CQ1023" s="121">
        <v>80.158999999999992</v>
      </c>
      <c r="CR1023" s="160">
        <v>81.594249999999988</v>
      </c>
      <c r="CS1023" s="160">
        <f t="array" ref="CS1023:CS1036">TRANSPOSE(CT1022:DG1022)</f>
        <v>82.899499999999989</v>
      </c>
      <c r="CT1023" s="120">
        <f>(CS1023+CU1023)/2</f>
        <v>84.274999999999991</v>
      </c>
      <c r="CU1023" s="120">
        <f>(CU1022+CU1024)/2</f>
        <v>85.650499999999994</v>
      </c>
      <c r="CV1023" s="120">
        <f>(CU1023+CW1023)/2</f>
        <v>87.062999999999988</v>
      </c>
      <c r="CW1023" s="120">
        <f>(CW1022+CW1024)/2</f>
        <v>88.475499999999997</v>
      </c>
      <c r="CX1023" s="120">
        <f>(CW1023+CY1023)/2</f>
        <v>89.835000000000008</v>
      </c>
      <c r="CY1023" s="120">
        <f>(CY1022+CY1024)/2</f>
        <v>91.194500000000005</v>
      </c>
      <c r="CZ1023" s="120">
        <f>(CY1023+DA1023)/2</f>
        <v>92.532250000000005</v>
      </c>
      <c r="DA1023" s="120">
        <f>(DA1022+DA1024)/2</f>
        <v>93.87</v>
      </c>
      <c r="DB1023" s="120">
        <f>(DA1023+DC1023)/2</f>
        <v>95.304000000000002</v>
      </c>
      <c r="DC1023" s="120">
        <f>(DC1022+DC1024)/2</f>
        <v>96.738</v>
      </c>
      <c r="DD1023" s="120">
        <f>(DC1023+DE1023)/2</f>
        <v>98.017250000000004</v>
      </c>
      <c r="DE1023" s="120">
        <f>(DE1022+DE1024)/2</f>
        <v>99.296500000000009</v>
      </c>
      <c r="DF1023" s="120">
        <f>(DE1023+DG1023)/2</f>
        <v>100.709</v>
      </c>
      <c r="DG1023" s="122">
        <f>(DG1022+DG1024)/2</f>
        <v>102.1215</v>
      </c>
    </row>
    <row r="1024" spans="54:111" ht="15" customHeight="1" x14ac:dyDescent="0.2">
      <c r="BB1024" s="28">
        <v>48</v>
      </c>
      <c r="BC1024" s="121">
        <v>19.481999999999999</v>
      </c>
      <c r="BD1024" s="121">
        <v>21.4435</v>
      </c>
      <c r="BE1024" s="121">
        <v>23.405000000000001</v>
      </c>
      <c r="BF1024" s="121">
        <v>25.206499999999998</v>
      </c>
      <c r="BG1024" s="121">
        <v>27.007999999999999</v>
      </c>
      <c r="BH1024" s="121">
        <v>28.713999999999999</v>
      </c>
      <c r="BI1024" s="121">
        <v>30.42</v>
      </c>
      <c r="BJ1024" s="121">
        <v>32.126000000000005</v>
      </c>
      <c r="BK1024" s="121">
        <v>33.832000000000001</v>
      </c>
      <c r="BL1024" s="121">
        <v>35.442</v>
      </c>
      <c r="BM1024" s="121">
        <v>37.052</v>
      </c>
      <c r="BN1024" s="121">
        <v>38.6295</v>
      </c>
      <c r="BO1024" s="121">
        <v>40.207000000000001</v>
      </c>
      <c r="BP1024" s="121">
        <v>41.753</v>
      </c>
      <c r="BQ1024" s="121">
        <v>43.298999999999999</v>
      </c>
      <c r="BR1024" s="121">
        <v>44.876999999999995</v>
      </c>
      <c r="BS1024" s="121">
        <v>46.454999999999998</v>
      </c>
      <c r="BT1024" s="121">
        <v>47.969499999999996</v>
      </c>
      <c r="BU1024" s="121">
        <v>49.484000000000002</v>
      </c>
      <c r="BV1024" s="121">
        <v>51.029499999999999</v>
      </c>
      <c r="BW1024" s="121">
        <v>52.575000000000003</v>
      </c>
      <c r="BX1024" s="121">
        <v>54.025000000000006</v>
      </c>
      <c r="BY1024" s="121">
        <v>55.475000000000001</v>
      </c>
      <c r="BZ1024" s="121">
        <v>56.967500000000001</v>
      </c>
      <c r="CA1024" s="121">
        <v>58.46</v>
      </c>
      <c r="CB1024" s="121">
        <v>59.963999999999999</v>
      </c>
      <c r="CC1024" s="121">
        <v>61.468000000000004</v>
      </c>
      <c r="CD1024" s="121">
        <v>62.917999999999999</v>
      </c>
      <c r="CE1024" s="121">
        <v>64.367999999999995</v>
      </c>
      <c r="CF1024" s="121">
        <v>65.786000000000001</v>
      </c>
      <c r="CG1024" s="121">
        <v>67.203999999999994</v>
      </c>
      <c r="CH1024" s="121">
        <v>68.653999999999996</v>
      </c>
      <c r="CI1024" s="121">
        <v>70.103999999999999</v>
      </c>
      <c r="CJ1024" s="121">
        <v>71.533000000000001</v>
      </c>
      <c r="CK1024" s="121">
        <v>72.962000000000003</v>
      </c>
      <c r="CL1024" s="121">
        <v>74.401499999999999</v>
      </c>
      <c r="CM1024" s="121">
        <v>75.840999999999994</v>
      </c>
      <c r="CN1024" s="121">
        <v>77.290999999999997</v>
      </c>
      <c r="CO1024" s="121">
        <v>78.741</v>
      </c>
      <c r="CP1024" s="121">
        <v>80.158999999999992</v>
      </c>
      <c r="CQ1024" s="121">
        <v>81.576999999999998</v>
      </c>
      <c r="CR1024" s="160">
        <v>82.899499999999989</v>
      </c>
      <c r="CS1024" s="160">
        <v>84.221999999999994</v>
      </c>
      <c r="CT1024" s="121">
        <f t="array" ref="CT1024:CT1036">TRANSPOSE(CU1023:DG1023)</f>
        <v>85.650499999999994</v>
      </c>
      <c r="CU1024" s="158">
        <v>87.078999999999994</v>
      </c>
      <c r="CV1024" s="121">
        <f>CW1023</f>
        <v>88.475499999999997</v>
      </c>
      <c r="CW1024" s="158">
        <v>89.957999999999998</v>
      </c>
      <c r="CX1024" s="121">
        <f>CY1023</f>
        <v>91.194500000000005</v>
      </c>
      <c r="CY1024" s="158">
        <v>92.603999999999999</v>
      </c>
      <c r="CZ1024" s="121">
        <f>DA1023</f>
        <v>93.87</v>
      </c>
      <c r="DA1024" s="158">
        <v>95.438999999999993</v>
      </c>
      <c r="DB1024" s="121">
        <f>DC1023</f>
        <v>96.738</v>
      </c>
      <c r="DC1024" s="158">
        <v>98.338999999999999</v>
      </c>
      <c r="DD1024" s="121">
        <f>DE1023</f>
        <v>99.296500000000009</v>
      </c>
      <c r="DE1024" s="158">
        <v>100.94</v>
      </c>
      <c r="DF1024" s="121">
        <f>DG1023</f>
        <v>102.1215</v>
      </c>
      <c r="DG1024" s="159">
        <v>103.82</v>
      </c>
    </row>
    <row r="1025" spans="54:111" ht="15" customHeight="1" x14ac:dyDescent="0.2">
      <c r="BB1025" s="28">
        <v>49</v>
      </c>
      <c r="BC1025" s="121">
        <v>19.790500000000002</v>
      </c>
      <c r="BD1025" s="121">
        <v>21.762999999999998</v>
      </c>
      <c r="BE1025" s="121">
        <v>23.735500000000002</v>
      </c>
      <c r="BF1025" s="121">
        <v>25.569249999999997</v>
      </c>
      <c r="BG1025" s="121">
        <v>27.402999999999999</v>
      </c>
      <c r="BH1025" s="121">
        <v>29.157499999999999</v>
      </c>
      <c r="BI1025" s="121">
        <v>30.911999999999999</v>
      </c>
      <c r="BJ1025" s="121">
        <v>32.633750000000006</v>
      </c>
      <c r="BK1025" s="121">
        <v>34.355499999999999</v>
      </c>
      <c r="BL1025" s="121">
        <v>35.997749999999996</v>
      </c>
      <c r="BM1025" s="121">
        <v>37.64</v>
      </c>
      <c r="BN1025" s="121">
        <v>39.228999999999999</v>
      </c>
      <c r="BO1025" s="121">
        <v>40.817999999999998</v>
      </c>
      <c r="BP1025" s="121">
        <v>42.427999999999997</v>
      </c>
      <c r="BQ1025" s="121">
        <v>44.037999999999997</v>
      </c>
      <c r="BR1025" s="121">
        <v>45.599999999999994</v>
      </c>
      <c r="BS1025" s="121">
        <v>47.161999999999999</v>
      </c>
      <c r="BT1025" s="121">
        <v>48.72475</v>
      </c>
      <c r="BU1025" s="121">
        <v>50.287500000000001</v>
      </c>
      <c r="BV1025" s="121">
        <v>51.833500000000001</v>
      </c>
      <c r="BW1025" s="121">
        <v>53.3795</v>
      </c>
      <c r="BX1025" s="121">
        <v>54.872750000000003</v>
      </c>
      <c r="BY1025" s="121">
        <v>56.366</v>
      </c>
      <c r="BZ1025" s="121">
        <v>57.885249999999999</v>
      </c>
      <c r="CA1025" s="121">
        <v>59.404499999999999</v>
      </c>
      <c r="CB1025" s="121">
        <v>60.897750000000002</v>
      </c>
      <c r="CC1025" s="121">
        <v>62.391000000000005</v>
      </c>
      <c r="CD1025" s="121">
        <v>63.889250000000004</v>
      </c>
      <c r="CE1025" s="121">
        <v>65.387499999999989</v>
      </c>
      <c r="CF1025" s="121">
        <v>66.83775</v>
      </c>
      <c r="CG1025" s="121">
        <v>68.287999999999997</v>
      </c>
      <c r="CH1025" s="121">
        <v>69.781000000000006</v>
      </c>
      <c r="CI1025" s="121">
        <v>71.274000000000001</v>
      </c>
      <c r="CJ1025" s="121">
        <v>72.688250000000011</v>
      </c>
      <c r="CK1025" s="121">
        <v>74.102499999999992</v>
      </c>
      <c r="CL1025" s="121">
        <v>75.605249999999998</v>
      </c>
      <c r="CM1025" s="121">
        <v>77.108000000000004</v>
      </c>
      <c r="CN1025" s="121">
        <v>78.509999999999991</v>
      </c>
      <c r="CO1025" s="121">
        <v>79.912000000000006</v>
      </c>
      <c r="CP1025" s="121">
        <v>81.362499999999997</v>
      </c>
      <c r="CQ1025" s="121">
        <v>82.566000000000003</v>
      </c>
      <c r="CR1025" s="160">
        <v>84.210250000000002</v>
      </c>
      <c r="CS1025" s="160">
        <v>85.521000000000001</v>
      </c>
      <c r="CT1025" s="160">
        <v>87.062999999999988</v>
      </c>
      <c r="CU1025" s="160">
        <f t="array" ref="CU1025:CU1036">TRANSPOSE(CV1024:DG1024)</f>
        <v>88.475499999999997</v>
      </c>
      <c r="CV1025" s="120">
        <f>(CU1025+CW1025)/2</f>
        <v>89.958249999999992</v>
      </c>
      <c r="CW1025" s="120">
        <f>(CW1024+CW1026)/2</f>
        <v>91.441000000000003</v>
      </c>
      <c r="CX1025" s="120">
        <f>(CW1025+CY1025)/2</f>
        <v>92.779750000000007</v>
      </c>
      <c r="CY1025" s="120">
        <f>(CY1024+CY1026)/2</f>
        <v>94.118499999999997</v>
      </c>
      <c r="CZ1025" s="120">
        <f>(CY1025+DA1025)/2</f>
        <v>95.568250000000006</v>
      </c>
      <c r="DA1025" s="120">
        <f>(DA1024+DA1026)/2</f>
        <v>97.018000000000001</v>
      </c>
      <c r="DB1025" s="120">
        <f>(DA1025+DC1025)/2</f>
        <v>98.415500000000009</v>
      </c>
      <c r="DC1025" s="120">
        <f>(DC1024+DC1026)/2</f>
        <v>99.813000000000002</v>
      </c>
      <c r="DD1025" s="120">
        <f>(DC1025+DE1025)/2</f>
        <v>101.2045</v>
      </c>
      <c r="DE1025" s="120">
        <f>(DE1024+DE1026)/2</f>
        <v>102.596</v>
      </c>
      <c r="DF1025" s="120">
        <f>(DE1025+DG1025)/2</f>
        <v>104.057</v>
      </c>
      <c r="DG1025" s="122">
        <f>(DG1024+DG1026)/2</f>
        <v>105.518</v>
      </c>
    </row>
    <row r="1026" spans="54:111" ht="15" customHeight="1" x14ac:dyDescent="0.2">
      <c r="BB1026" s="28">
        <v>50</v>
      </c>
      <c r="BC1026" s="121">
        <v>20.099</v>
      </c>
      <c r="BD1026" s="121">
        <v>22.0825</v>
      </c>
      <c r="BE1026" s="121">
        <v>24.065999999999999</v>
      </c>
      <c r="BF1026" s="121">
        <v>25.931999999999999</v>
      </c>
      <c r="BG1026" s="121">
        <v>27.797999999999998</v>
      </c>
      <c r="BH1026" s="121">
        <v>29.600999999999999</v>
      </c>
      <c r="BI1026" s="121">
        <v>31.404</v>
      </c>
      <c r="BJ1026" s="121">
        <v>33.141500000000001</v>
      </c>
      <c r="BK1026" s="121">
        <v>34.878999999999998</v>
      </c>
      <c r="BL1026" s="121">
        <v>36.5535</v>
      </c>
      <c r="BM1026" s="121">
        <v>38.228000000000002</v>
      </c>
      <c r="BN1026" s="121">
        <v>39.828500000000005</v>
      </c>
      <c r="BO1026" s="121">
        <v>41.429000000000002</v>
      </c>
      <c r="BP1026" s="121">
        <v>43.103000000000002</v>
      </c>
      <c r="BQ1026" s="121">
        <v>44.777000000000001</v>
      </c>
      <c r="BR1026" s="121">
        <v>46.323</v>
      </c>
      <c r="BS1026" s="121">
        <v>47.869</v>
      </c>
      <c r="BT1026" s="121">
        <v>49.480000000000004</v>
      </c>
      <c r="BU1026" s="121">
        <v>51.091000000000001</v>
      </c>
      <c r="BV1026" s="121">
        <v>52.637500000000003</v>
      </c>
      <c r="BW1026" s="121">
        <v>54.183999999999997</v>
      </c>
      <c r="BX1026" s="121">
        <v>55.720500000000001</v>
      </c>
      <c r="BY1026" s="121">
        <v>57.256999999999998</v>
      </c>
      <c r="BZ1026" s="121">
        <v>58.802999999999997</v>
      </c>
      <c r="CA1026" s="121">
        <v>60.348999999999997</v>
      </c>
      <c r="CB1026" s="121">
        <v>61.831499999999998</v>
      </c>
      <c r="CC1026" s="121">
        <v>63.314</v>
      </c>
      <c r="CD1026" s="121">
        <v>64.860500000000002</v>
      </c>
      <c r="CE1026" s="121">
        <v>66.406999999999996</v>
      </c>
      <c r="CF1026" s="121">
        <v>67.889499999999998</v>
      </c>
      <c r="CG1026" s="121">
        <v>69.372</v>
      </c>
      <c r="CH1026" s="121">
        <v>70.908000000000001</v>
      </c>
      <c r="CI1026" s="121">
        <v>72.444000000000003</v>
      </c>
      <c r="CJ1026" s="121">
        <v>73.843500000000006</v>
      </c>
      <c r="CK1026" s="121">
        <v>75.242999999999995</v>
      </c>
      <c r="CL1026" s="121">
        <v>76.808999999999997</v>
      </c>
      <c r="CM1026" s="121">
        <v>78.375</v>
      </c>
      <c r="CN1026" s="121">
        <v>79.728999999999999</v>
      </c>
      <c r="CO1026" s="121">
        <v>81.082999999999998</v>
      </c>
      <c r="CP1026" s="121">
        <v>82.566000000000003</v>
      </c>
      <c r="CQ1026" s="121">
        <v>84.049000000000007</v>
      </c>
      <c r="CR1026" s="160">
        <v>85.521000000000001</v>
      </c>
      <c r="CS1026" s="160">
        <v>86.992999999999995</v>
      </c>
      <c r="CT1026" s="160">
        <v>88.475499999999997</v>
      </c>
      <c r="CU1026" s="160">
        <v>89.957999999999998</v>
      </c>
      <c r="CV1026" s="121">
        <f t="array" ref="CV1026:CV1036">TRANSPOSE(CW1025:DG1025)</f>
        <v>91.441000000000003</v>
      </c>
      <c r="CW1026" s="158">
        <v>92.924000000000007</v>
      </c>
      <c r="CX1026" s="121">
        <f>CY1025</f>
        <v>94.118499999999997</v>
      </c>
      <c r="CY1026" s="158">
        <v>95.632999999999996</v>
      </c>
      <c r="CZ1026" s="121">
        <f>DA1025</f>
        <v>97.018000000000001</v>
      </c>
      <c r="DA1026" s="158">
        <v>98.596999999999994</v>
      </c>
      <c r="DB1026" s="121">
        <f>DC1025</f>
        <v>99.813000000000002</v>
      </c>
      <c r="DC1026" s="158">
        <v>101.28700000000001</v>
      </c>
      <c r="DD1026" s="121">
        <f>DE1025</f>
        <v>102.596</v>
      </c>
      <c r="DE1026" s="158">
        <v>104.252</v>
      </c>
      <c r="DF1026" s="121">
        <f>DG1025</f>
        <v>105.518</v>
      </c>
      <c r="DG1026" s="159">
        <v>107.21599999999999</v>
      </c>
    </row>
    <row r="1027" spans="54:111" ht="15" customHeight="1" x14ac:dyDescent="0.2">
      <c r="BB1027" s="28">
        <v>51</v>
      </c>
      <c r="BC1027" s="121">
        <v>20.398</v>
      </c>
      <c r="BD1027" s="121">
        <v>22.402749999999997</v>
      </c>
      <c r="BE1027" s="121">
        <v>24.407499999999999</v>
      </c>
      <c r="BF1027" s="121">
        <v>26.332250000000002</v>
      </c>
      <c r="BG1027" s="121">
        <v>28.256999999999998</v>
      </c>
      <c r="BH1027" s="121">
        <v>30.075749999999999</v>
      </c>
      <c r="BI1027" s="121">
        <v>31.894500000000001</v>
      </c>
      <c r="BJ1027" s="121">
        <v>33.64875</v>
      </c>
      <c r="BK1027" s="121">
        <v>35.402999999999999</v>
      </c>
      <c r="BL1027" s="121">
        <v>37.104500000000002</v>
      </c>
      <c r="BM1027" s="121">
        <v>38.805999999999997</v>
      </c>
      <c r="BN1027" s="121">
        <v>40.427500000000002</v>
      </c>
      <c r="BO1027" s="121">
        <v>42.048999999999999</v>
      </c>
      <c r="BP1027" s="121">
        <v>43.750249999999994</v>
      </c>
      <c r="BQ1027" s="121">
        <v>45.451499999999996</v>
      </c>
      <c r="BR1027" s="121">
        <v>47.046250000000001</v>
      </c>
      <c r="BS1027" s="121">
        <v>48.640999999999998</v>
      </c>
      <c r="BT1027" s="121">
        <v>50.235750000000003</v>
      </c>
      <c r="BU1027" s="121">
        <v>51.830500000000001</v>
      </c>
      <c r="BV1027" s="121">
        <v>53.404000000000003</v>
      </c>
      <c r="BW1027" s="121">
        <v>54.977499999999999</v>
      </c>
      <c r="BX1027" s="121">
        <v>56.567500000000003</v>
      </c>
      <c r="BY1027" s="121">
        <v>58.157499999999999</v>
      </c>
      <c r="BZ1027" s="121">
        <v>59.698749999999997</v>
      </c>
      <c r="CA1027" s="121">
        <v>61.239999999999995</v>
      </c>
      <c r="CB1027" s="121">
        <v>62.770499999999998</v>
      </c>
      <c r="CC1027" s="121">
        <v>64.301000000000002</v>
      </c>
      <c r="CD1027" s="121">
        <v>65.863749999999996</v>
      </c>
      <c r="CE1027" s="121">
        <v>67.426500000000004</v>
      </c>
      <c r="CF1027" s="121">
        <v>68.936250000000001</v>
      </c>
      <c r="CG1027" s="121">
        <v>70.445999999999998</v>
      </c>
      <c r="CH1027" s="121">
        <v>71.971499999999992</v>
      </c>
      <c r="CI1027" s="121">
        <v>73.497</v>
      </c>
      <c r="CJ1027" s="121">
        <v>74.964750000000009</v>
      </c>
      <c r="CK1027" s="121">
        <v>76.432500000000005</v>
      </c>
      <c r="CL1027" s="121">
        <v>77.972749999999991</v>
      </c>
      <c r="CM1027" s="121">
        <v>79.513000000000005</v>
      </c>
      <c r="CN1027" s="121">
        <v>80.947749999999999</v>
      </c>
      <c r="CO1027" s="121">
        <v>82.382499999999993</v>
      </c>
      <c r="CP1027" s="121">
        <v>83.892250000000004</v>
      </c>
      <c r="CQ1027" s="121">
        <v>85.218500000000006</v>
      </c>
      <c r="CR1027" s="160">
        <v>86.895499999999998</v>
      </c>
      <c r="CS1027" s="160">
        <v>88.27</v>
      </c>
      <c r="CT1027" s="160">
        <v>89.835000000000008</v>
      </c>
      <c r="CU1027" s="160">
        <v>91.194500000000005</v>
      </c>
      <c r="CV1027" s="160">
        <v>92.779750000000007</v>
      </c>
      <c r="CW1027" s="160">
        <f t="array" ref="CW1027:CW1036">TRANSPOSE(CX1026:DG1026)</f>
        <v>94.118499999999997</v>
      </c>
      <c r="CX1027" s="120">
        <f>(CW1027+CY1027)/2</f>
        <v>95.63300000000001</v>
      </c>
      <c r="CY1027" s="120">
        <f>(CY1026+CY1028)/2</f>
        <v>97.147500000000008</v>
      </c>
      <c r="CZ1027" s="120">
        <f>(CY1027+DA1027)/2</f>
        <v>98.657000000000011</v>
      </c>
      <c r="DA1027" s="120">
        <f>(DA1026+DA1028)/2</f>
        <v>100.1665</v>
      </c>
      <c r="DB1027" s="120">
        <f>(DA1027+DC1027)/2</f>
        <v>101.53274999999999</v>
      </c>
      <c r="DC1027" s="120">
        <f>(DC1026+DC1028)/2</f>
        <v>102.899</v>
      </c>
      <c r="DD1027" s="120">
        <f>(DC1027+DE1027)/2</f>
        <v>104.4085</v>
      </c>
      <c r="DE1027" s="120">
        <f>(DE1026+DE1028)/2</f>
        <v>105.91800000000001</v>
      </c>
      <c r="DF1027" s="120">
        <f>(DE1027+DG1027)/2</f>
        <v>107.35250000000001</v>
      </c>
      <c r="DG1027" s="122">
        <f>(DG1026+DG1028)/2</f>
        <v>108.78700000000001</v>
      </c>
    </row>
    <row r="1028" spans="54:111" ht="15" customHeight="1" x14ac:dyDescent="0.2">
      <c r="BB1028" s="28">
        <v>52</v>
      </c>
      <c r="BC1028" s="121">
        <v>20.696999999999999</v>
      </c>
      <c r="BD1028" s="121">
        <v>22.722999999999999</v>
      </c>
      <c r="BE1028" s="121">
        <v>24.748999999999999</v>
      </c>
      <c r="BF1028" s="121">
        <v>26.732500000000002</v>
      </c>
      <c r="BG1028" s="121">
        <v>28.716000000000001</v>
      </c>
      <c r="BH1028" s="121">
        <v>30.5505</v>
      </c>
      <c r="BI1028" s="121">
        <v>32.384999999999998</v>
      </c>
      <c r="BJ1028" s="121">
        <v>34.155999999999999</v>
      </c>
      <c r="BK1028" s="121">
        <v>35.927</v>
      </c>
      <c r="BL1028" s="121">
        <v>37.655500000000004</v>
      </c>
      <c r="BM1028" s="121">
        <v>39.384</v>
      </c>
      <c r="BN1028" s="121">
        <v>41.026499999999999</v>
      </c>
      <c r="BO1028" s="121">
        <v>42.668999999999997</v>
      </c>
      <c r="BP1028" s="121">
        <v>44.397499999999994</v>
      </c>
      <c r="BQ1028" s="121">
        <v>46.125999999999998</v>
      </c>
      <c r="BR1028" s="121">
        <v>47.769499999999994</v>
      </c>
      <c r="BS1028" s="121">
        <v>49.412999999999997</v>
      </c>
      <c r="BT1028" s="121">
        <v>50.991500000000002</v>
      </c>
      <c r="BU1028" s="121">
        <v>52.57</v>
      </c>
      <c r="BV1028" s="121">
        <v>54.170500000000004</v>
      </c>
      <c r="BW1028" s="121">
        <v>55.771000000000001</v>
      </c>
      <c r="BX1028" s="121">
        <v>57.414500000000004</v>
      </c>
      <c r="BY1028" s="121">
        <v>59.058</v>
      </c>
      <c r="BZ1028" s="121">
        <v>60.594499999999996</v>
      </c>
      <c r="CA1028" s="121">
        <v>62.131</v>
      </c>
      <c r="CB1028" s="121">
        <v>63.709499999999998</v>
      </c>
      <c r="CC1028" s="121">
        <v>65.287999999999997</v>
      </c>
      <c r="CD1028" s="121">
        <v>66.86699999999999</v>
      </c>
      <c r="CE1028" s="121">
        <v>68.445999999999998</v>
      </c>
      <c r="CF1028" s="121">
        <v>69.983000000000004</v>
      </c>
      <c r="CG1028" s="121">
        <v>71.52</v>
      </c>
      <c r="CH1028" s="121">
        <v>73.034999999999997</v>
      </c>
      <c r="CI1028" s="121">
        <v>74.55</v>
      </c>
      <c r="CJ1028" s="121">
        <v>76.085999999999999</v>
      </c>
      <c r="CK1028" s="121">
        <v>77.622</v>
      </c>
      <c r="CL1028" s="121">
        <v>79.136499999999998</v>
      </c>
      <c r="CM1028" s="121">
        <v>80.650999999999996</v>
      </c>
      <c r="CN1028" s="121">
        <v>82.166499999999999</v>
      </c>
      <c r="CO1028" s="121">
        <v>83.682000000000002</v>
      </c>
      <c r="CP1028" s="121">
        <v>85.218500000000006</v>
      </c>
      <c r="CQ1028" s="121">
        <v>86.754999999999995</v>
      </c>
      <c r="CR1028" s="160">
        <v>88.27</v>
      </c>
      <c r="CS1028" s="160">
        <v>89.784999999999997</v>
      </c>
      <c r="CT1028" s="160">
        <v>91.194500000000005</v>
      </c>
      <c r="CU1028" s="160">
        <v>92.603999999999999</v>
      </c>
      <c r="CV1028" s="160">
        <v>94.118499999999997</v>
      </c>
      <c r="CW1028" s="160">
        <v>95.632999999999996</v>
      </c>
      <c r="CX1028" s="121">
        <f t="array" ref="CX1028:CX1036">TRANSPOSE(CY1027:DG1027)</f>
        <v>97.147500000000008</v>
      </c>
      <c r="CY1028" s="158">
        <v>98.662000000000006</v>
      </c>
      <c r="CZ1028" s="121">
        <f>DA1027</f>
        <v>100.1665</v>
      </c>
      <c r="DA1028" s="158">
        <v>101.736</v>
      </c>
      <c r="DB1028" s="121">
        <f>DC1027</f>
        <v>102.899</v>
      </c>
      <c r="DC1028" s="158">
        <v>104.511</v>
      </c>
      <c r="DD1028" s="121">
        <f>DE1027</f>
        <v>105.91800000000001</v>
      </c>
      <c r="DE1028" s="158">
        <v>107.584</v>
      </c>
      <c r="DF1028" s="121">
        <f>DG1027</f>
        <v>108.78700000000001</v>
      </c>
      <c r="DG1028" s="159">
        <v>110.358</v>
      </c>
    </row>
    <row r="1029" spans="54:111" ht="15" customHeight="1" x14ac:dyDescent="0.2">
      <c r="BB1029" s="28">
        <v>53</v>
      </c>
      <c r="BC1029" s="121">
        <v>20.994500000000002</v>
      </c>
      <c r="BD1029" s="121">
        <v>23.073999999999998</v>
      </c>
      <c r="BE1029" s="121">
        <v>25.153500000000001</v>
      </c>
      <c r="BF1029" s="121">
        <v>27.121500000000001</v>
      </c>
      <c r="BG1029" s="121">
        <v>29.089500000000001</v>
      </c>
      <c r="BH1029" s="121">
        <v>30.951250000000002</v>
      </c>
      <c r="BI1029" s="121">
        <v>32.813000000000002</v>
      </c>
      <c r="BJ1029" s="121">
        <v>34.611000000000004</v>
      </c>
      <c r="BK1029" s="121">
        <v>36.408999999999999</v>
      </c>
      <c r="BL1029" s="121">
        <v>38.185749999999999</v>
      </c>
      <c r="BM1029" s="121">
        <v>39.962499999999999</v>
      </c>
      <c r="BN1029" s="121">
        <v>41.621249999999996</v>
      </c>
      <c r="BO1029" s="121">
        <v>43.28</v>
      </c>
      <c r="BP1029" s="121">
        <v>45.029749999999993</v>
      </c>
      <c r="BQ1029" s="121">
        <v>46.779499999999999</v>
      </c>
      <c r="BR1029" s="121">
        <v>48.449749999999995</v>
      </c>
      <c r="BS1029" s="121">
        <v>50.12</v>
      </c>
      <c r="BT1029" s="121">
        <v>51.725750000000005</v>
      </c>
      <c r="BU1029" s="121">
        <v>53.331500000000005</v>
      </c>
      <c r="BV1029" s="121">
        <v>54.980500000000006</v>
      </c>
      <c r="BW1029" s="121">
        <v>56.6295</v>
      </c>
      <c r="BX1029" s="121">
        <v>58.256500000000003</v>
      </c>
      <c r="BY1029" s="121">
        <v>59.883499999999998</v>
      </c>
      <c r="BZ1029" s="121">
        <v>61.473749999999995</v>
      </c>
      <c r="CA1029" s="121">
        <v>63.064</v>
      </c>
      <c r="CB1029" s="121">
        <v>64.669499999999999</v>
      </c>
      <c r="CC1029" s="121">
        <v>66.275000000000006</v>
      </c>
      <c r="CD1029" s="121">
        <v>67.84899999999999</v>
      </c>
      <c r="CE1029" s="121">
        <v>69.423000000000002</v>
      </c>
      <c r="CF1029" s="121">
        <v>71.008250000000004</v>
      </c>
      <c r="CG1029" s="121">
        <v>72.593500000000006</v>
      </c>
      <c r="CH1029" s="121">
        <v>74.092500000000001</v>
      </c>
      <c r="CI1029" s="121">
        <v>75.591499999999996</v>
      </c>
      <c r="CJ1029" s="121">
        <v>77.207750000000004</v>
      </c>
      <c r="CK1029" s="121">
        <v>78.823999999999998</v>
      </c>
      <c r="CL1029" s="121">
        <v>80.371250000000003</v>
      </c>
      <c r="CM1029" s="121">
        <v>81.918499999999995</v>
      </c>
      <c r="CN1029" s="121">
        <v>83.396749999999997</v>
      </c>
      <c r="CO1029" s="121">
        <v>84.875</v>
      </c>
      <c r="CP1029" s="121">
        <v>86.427999999999997</v>
      </c>
      <c r="CQ1029" s="121">
        <v>87.637499999999989</v>
      </c>
      <c r="CR1029" s="160">
        <v>89.512</v>
      </c>
      <c r="CS1029" s="160">
        <v>90.753999999999991</v>
      </c>
      <c r="CT1029" s="160">
        <v>92.532250000000005</v>
      </c>
      <c r="CU1029" s="160">
        <v>93.87</v>
      </c>
      <c r="CV1029" s="160">
        <v>95.568250000000006</v>
      </c>
      <c r="CW1029" s="160">
        <v>97.018000000000001</v>
      </c>
      <c r="CX1029" s="160">
        <v>98.657000000000011</v>
      </c>
      <c r="CY1029" s="160">
        <f t="array" ref="CY1029:CY1036">TRANSPOSE(CZ1028:DG1028)</f>
        <v>100.1665</v>
      </c>
      <c r="CZ1029" s="120">
        <f>(CY1029+DA1029)/2</f>
        <v>101.73575</v>
      </c>
      <c r="DA1029" s="120">
        <f>(DA1028+DA1030)/2</f>
        <v>103.30500000000001</v>
      </c>
      <c r="DB1029" s="120">
        <f>(DA1029+DC1029)/2</f>
        <v>104.7405</v>
      </c>
      <c r="DC1029" s="120">
        <f>(DC1028+DC1030)/2</f>
        <v>106.17599999999999</v>
      </c>
      <c r="DD1029" s="120">
        <f>(DC1029+DE1029)/2</f>
        <v>107.69674999999999</v>
      </c>
      <c r="DE1029" s="120">
        <f>(DE1028+DE1030)/2</f>
        <v>109.2175</v>
      </c>
      <c r="DF1029" s="120">
        <f>(DE1029+DG1029)/2</f>
        <v>110.66875</v>
      </c>
      <c r="DG1029" s="122">
        <f>(DG1028+DG1030)/2</f>
        <v>112.12</v>
      </c>
    </row>
    <row r="1030" spans="54:111" ht="15" customHeight="1" x14ac:dyDescent="0.2">
      <c r="BB1030" s="28">
        <v>54</v>
      </c>
      <c r="BC1030" s="121">
        <v>21.292000000000002</v>
      </c>
      <c r="BD1030" s="121">
        <v>23.425000000000001</v>
      </c>
      <c r="BE1030" s="121">
        <v>25.558</v>
      </c>
      <c r="BF1030" s="121">
        <v>27.5105</v>
      </c>
      <c r="BG1030" s="121">
        <v>29.463000000000001</v>
      </c>
      <c r="BH1030" s="121">
        <v>31.352</v>
      </c>
      <c r="BI1030" s="121">
        <v>33.241</v>
      </c>
      <c r="BJ1030" s="121">
        <v>35.066000000000003</v>
      </c>
      <c r="BK1030" s="121">
        <v>36.890999999999998</v>
      </c>
      <c r="BL1030" s="121">
        <v>38.715999999999994</v>
      </c>
      <c r="BM1030" s="121">
        <v>40.540999999999997</v>
      </c>
      <c r="BN1030" s="121">
        <v>42.215999999999994</v>
      </c>
      <c r="BO1030" s="121">
        <v>43.890999999999998</v>
      </c>
      <c r="BP1030" s="121">
        <v>45.661999999999999</v>
      </c>
      <c r="BQ1030" s="121">
        <v>47.433</v>
      </c>
      <c r="BR1030" s="121">
        <v>49.129999999999995</v>
      </c>
      <c r="BS1030" s="121">
        <v>50.826999999999998</v>
      </c>
      <c r="BT1030" s="121">
        <v>52.46</v>
      </c>
      <c r="BU1030" s="121">
        <v>54.093000000000004</v>
      </c>
      <c r="BV1030" s="121">
        <v>55.790500000000002</v>
      </c>
      <c r="BW1030" s="121">
        <v>57.488</v>
      </c>
      <c r="BX1030" s="121">
        <v>59.098500000000001</v>
      </c>
      <c r="BY1030" s="121">
        <v>60.709000000000003</v>
      </c>
      <c r="BZ1030" s="121">
        <v>62.353000000000002</v>
      </c>
      <c r="CA1030" s="121">
        <v>63.997</v>
      </c>
      <c r="CB1030" s="121">
        <v>65.629500000000007</v>
      </c>
      <c r="CC1030" s="121">
        <v>67.262</v>
      </c>
      <c r="CD1030" s="121">
        <v>68.831000000000003</v>
      </c>
      <c r="CE1030" s="121">
        <v>70.400000000000006</v>
      </c>
      <c r="CF1030" s="121">
        <v>72.033500000000004</v>
      </c>
      <c r="CG1030" s="121">
        <v>73.667000000000002</v>
      </c>
      <c r="CH1030" s="121">
        <v>75.150000000000006</v>
      </c>
      <c r="CI1030" s="121">
        <v>76.632999999999996</v>
      </c>
      <c r="CJ1030" s="121">
        <v>78.329499999999996</v>
      </c>
      <c r="CK1030" s="121">
        <v>80.025999999999996</v>
      </c>
      <c r="CL1030" s="121">
        <v>81.605999999999995</v>
      </c>
      <c r="CM1030" s="121">
        <v>83.186000000000007</v>
      </c>
      <c r="CN1030" s="121">
        <v>84.62700000000001</v>
      </c>
      <c r="CO1030" s="121">
        <v>86.067999999999998</v>
      </c>
      <c r="CP1030" s="121">
        <v>87.637499999999989</v>
      </c>
      <c r="CQ1030" s="121">
        <v>89.206999999999994</v>
      </c>
      <c r="CR1030" s="160">
        <v>90.753999999999991</v>
      </c>
      <c r="CS1030" s="160">
        <v>92.301000000000002</v>
      </c>
      <c r="CT1030" s="160">
        <v>93.87</v>
      </c>
      <c r="CU1030" s="160">
        <v>95.438999999999993</v>
      </c>
      <c r="CV1030" s="160">
        <v>97.018000000000001</v>
      </c>
      <c r="CW1030" s="160">
        <v>98.596999999999994</v>
      </c>
      <c r="CX1030" s="160">
        <v>100.1665</v>
      </c>
      <c r="CY1030" s="160">
        <v>101.736</v>
      </c>
      <c r="CZ1030" s="121">
        <f t="array" ref="CZ1030:CZ1036">TRANSPOSE(DA1029:DG1029)</f>
        <v>103.30500000000001</v>
      </c>
      <c r="DA1030" s="158">
        <v>104.874</v>
      </c>
      <c r="DB1030" s="121">
        <f>DC1029</f>
        <v>106.17599999999999</v>
      </c>
      <c r="DC1030" s="158">
        <v>107.84099999999999</v>
      </c>
      <c r="DD1030" s="121">
        <f>DE1029</f>
        <v>109.2175</v>
      </c>
      <c r="DE1030" s="158">
        <v>110.851</v>
      </c>
      <c r="DF1030" s="121">
        <f>DG1029</f>
        <v>112.12</v>
      </c>
      <c r="DG1030" s="159">
        <v>113.88200000000001</v>
      </c>
    </row>
    <row r="1031" spans="54:111" ht="15" customHeight="1" x14ac:dyDescent="0.2">
      <c r="BB1031" s="28">
        <v>55</v>
      </c>
      <c r="BC1031" s="121">
        <v>21.578499999999998</v>
      </c>
      <c r="BD1031" s="121">
        <v>23.744500000000002</v>
      </c>
      <c r="BE1031" s="121">
        <v>25.910499999999999</v>
      </c>
      <c r="BF1031" s="121">
        <v>27.916250000000002</v>
      </c>
      <c r="BG1031" s="121">
        <v>29.922000000000001</v>
      </c>
      <c r="BH1031" s="121">
        <v>31.827500000000001</v>
      </c>
      <c r="BI1031" s="121">
        <v>33.733000000000004</v>
      </c>
      <c r="BJ1031" s="121">
        <v>35.573999999999998</v>
      </c>
      <c r="BK1031" s="121">
        <v>37.414999999999999</v>
      </c>
      <c r="BL1031" s="121">
        <v>39.229249999999993</v>
      </c>
      <c r="BM1031" s="121">
        <v>41.043499999999995</v>
      </c>
      <c r="BN1031" s="121">
        <v>42.788499999999999</v>
      </c>
      <c r="BO1031" s="121">
        <v>44.533500000000004</v>
      </c>
      <c r="BP1031" s="121">
        <v>46.3155</v>
      </c>
      <c r="BQ1031" s="121">
        <v>48.097499999999997</v>
      </c>
      <c r="BR1031" s="121">
        <v>49.815749999999994</v>
      </c>
      <c r="BS1031" s="121">
        <v>51.533999999999999</v>
      </c>
      <c r="BT1031" s="121">
        <v>53.215249999999997</v>
      </c>
      <c r="BU1031" s="121">
        <v>54.896500000000003</v>
      </c>
      <c r="BV1031" s="121">
        <v>56.582999999999998</v>
      </c>
      <c r="BW1031" s="121">
        <v>58.269500000000001</v>
      </c>
      <c r="BX1031" s="121">
        <v>59.918500000000002</v>
      </c>
      <c r="BY1031" s="121">
        <v>61.567500000000003</v>
      </c>
      <c r="BZ1031" s="121">
        <v>63.222250000000003</v>
      </c>
      <c r="CA1031" s="121">
        <v>64.87700000000001</v>
      </c>
      <c r="CB1031" s="121">
        <v>66.53125</v>
      </c>
      <c r="CC1031" s="121">
        <v>68.18549999999999</v>
      </c>
      <c r="CD1031" s="121">
        <v>69.802500000000009</v>
      </c>
      <c r="CE1031" s="121">
        <v>71.419499999999999</v>
      </c>
      <c r="CF1031" s="121">
        <v>73.037000000000006</v>
      </c>
      <c r="CG1031" s="121">
        <v>74.654499999999999</v>
      </c>
      <c r="CH1031" s="121">
        <v>76.24475000000001</v>
      </c>
      <c r="CI1031" s="121">
        <v>77.835000000000008</v>
      </c>
      <c r="CJ1031" s="121">
        <v>79.483999999999995</v>
      </c>
      <c r="CK1031" s="121">
        <v>81.132999999999996</v>
      </c>
      <c r="CL1031" s="121">
        <v>82.728999999999999</v>
      </c>
      <c r="CM1031" s="121">
        <v>84.325000000000003</v>
      </c>
      <c r="CN1031" s="121">
        <v>85.846000000000004</v>
      </c>
      <c r="CO1031" s="121">
        <v>87.36699999999999</v>
      </c>
      <c r="CP1031" s="121">
        <v>88.952499999999986</v>
      </c>
      <c r="CQ1031" s="121">
        <v>90.267499999999998</v>
      </c>
      <c r="CR1031" s="160">
        <v>92.128500000000003</v>
      </c>
      <c r="CS1031" s="160">
        <v>93.503</v>
      </c>
      <c r="CT1031" s="160">
        <v>95.304000000000002</v>
      </c>
      <c r="CU1031" s="160">
        <v>96.738</v>
      </c>
      <c r="CV1031" s="160">
        <v>98.415500000000009</v>
      </c>
      <c r="CW1031" s="160">
        <v>99.813000000000002</v>
      </c>
      <c r="CX1031" s="160">
        <v>101.53274999999999</v>
      </c>
      <c r="CY1031" s="160">
        <v>102.899</v>
      </c>
      <c r="CZ1031" s="160">
        <v>104.7405</v>
      </c>
      <c r="DA1031" s="160">
        <f t="array" ref="DA1031:DA1036">TRANSPOSE(DB1030:DG1030)</f>
        <v>106.17599999999999</v>
      </c>
      <c r="DB1031" s="120">
        <f>(DA1031+DC1031)/2</f>
        <v>107.79349999999999</v>
      </c>
      <c r="DC1031" s="120">
        <f>(DC1030+DC1032)/2</f>
        <v>109.411</v>
      </c>
      <c r="DD1031" s="120">
        <f>(DC1031+DE1031)/2</f>
        <v>110.932</v>
      </c>
      <c r="DE1031" s="120">
        <f>(DE1030+DE1032)/2</f>
        <v>112.453</v>
      </c>
      <c r="DF1031" s="120">
        <f>(DE1031+DG1031)/2</f>
        <v>113.9795</v>
      </c>
      <c r="DG1031" s="122">
        <f>(DG1030+DG1032)/2</f>
        <v>115.506</v>
      </c>
    </row>
    <row r="1032" spans="54:111" ht="15" customHeight="1" x14ac:dyDescent="0.2">
      <c r="BB1032" s="28">
        <v>56</v>
      </c>
      <c r="BC1032" s="121">
        <v>21.864999999999998</v>
      </c>
      <c r="BD1032" s="121">
        <v>24.064</v>
      </c>
      <c r="BE1032" s="121">
        <v>26.263000000000002</v>
      </c>
      <c r="BF1032" s="121">
        <v>28.322000000000003</v>
      </c>
      <c r="BG1032" s="121">
        <v>30.381</v>
      </c>
      <c r="BH1032" s="121">
        <v>32.302999999999997</v>
      </c>
      <c r="BI1032" s="121">
        <v>34.225000000000001</v>
      </c>
      <c r="BJ1032" s="121">
        <v>36.082000000000001</v>
      </c>
      <c r="BK1032" s="121">
        <v>37.939</v>
      </c>
      <c r="BL1032" s="121">
        <v>39.7425</v>
      </c>
      <c r="BM1032" s="121">
        <v>41.545999999999999</v>
      </c>
      <c r="BN1032" s="121">
        <v>43.361000000000004</v>
      </c>
      <c r="BO1032" s="121">
        <v>45.176000000000002</v>
      </c>
      <c r="BP1032" s="121">
        <v>46.969000000000001</v>
      </c>
      <c r="BQ1032" s="121">
        <v>48.762</v>
      </c>
      <c r="BR1032" s="121">
        <v>50.5015</v>
      </c>
      <c r="BS1032" s="121">
        <v>52.241</v>
      </c>
      <c r="BT1032" s="121">
        <v>53.970500000000001</v>
      </c>
      <c r="BU1032" s="121">
        <v>55.7</v>
      </c>
      <c r="BV1032" s="121">
        <v>57.375500000000002</v>
      </c>
      <c r="BW1032" s="121">
        <v>59.051000000000002</v>
      </c>
      <c r="BX1032" s="121">
        <v>60.738500000000002</v>
      </c>
      <c r="BY1032" s="121">
        <v>62.426000000000002</v>
      </c>
      <c r="BZ1032" s="121">
        <v>64.091499999999996</v>
      </c>
      <c r="CA1032" s="121">
        <v>65.757000000000005</v>
      </c>
      <c r="CB1032" s="121">
        <v>67.432999999999993</v>
      </c>
      <c r="CC1032" s="121">
        <v>69.108999999999995</v>
      </c>
      <c r="CD1032" s="121">
        <v>70.774000000000001</v>
      </c>
      <c r="CE1032" s="121">
        <v>72.438999999999993</v>
      </c>
      <c r="CF1032" s="121">
        <v>74.040499999999994</v>
      </c>
      <c r="CG1032" s="121">
        <v>75.641999999999996</v>
      </c>
      <c r="CH1032" s="121">
        <v>77.339500000000001</v>
      </c>
      <c r="CI1032" s="121">
        <v>79.037000000000006</v>
      </c>
      <c r="CJ1032" s="121">
        <v>80.638499999999993</v>
      </c>
      <c r="CK1032" s="121">
        <v>82.24</v>
      </c>
      <c r="CL1032" s="121">
        <v>83.852000000000004</v>
      </c>
      <c r="CM1032" s="121">
        <v>85.463999999999999</v>
      </c>
      <c r="CN1032" s="121">
        <v>87.064999999999998</v>
      </c>
      <c r="CO1032" s="121">
        <v>88.665999999999997</v>
      </c>
      <c r="CP1032" s="121">
        <v>90.267499999999998</v>
      </c>
      <c r="CQ1032" s="121">
        <v>91.869</v>
      </c>
      <c r="CR1032" s="160">
        <v>93.503</v>
      </c>
      <c r="CS1032" s="160">
        <v>95.137</v>
      </c>
      <c r="CT1032" s="160">
        <v>96.738</v>
      </c>
      <c r="CU1032" s="160">
        <v>98.338999999999999</v>
      </c>
      <c r="CV1032" s="160">
        <v>99.813000000000002</v>
      </c>
      <c r="CW1032" s="160">
        <v>101.28700000000001</v>
      </c>
      <c r="CX1032" s="160">
        <v>102.899</v>
      </c>
      <c r="CY1032" s="160">
        <v>104.511</v>
      </c>
      <c r="CZ1032" s="160">
        <v>106.17599999999999</v>
      </c>
      <c r="DA1032" s="160">
        <v>107.84099999999999</v>
      </c>
      <c r="DB1032" s="121">
        <f t="array" ref="DB1032:DB1036">TRANSPOSE(DC1031:DG1031)</f>
        <v>109.411</v>
      </c>
      <c r="DC1032" s="158">
        <v>110.98099999999999</v>
      </c>
      <c r="DD1032" s="121">
        <f>DE1031</f>
        <v>112.453</v>
      </c>
      <c r="DE1032" s="158">
        <v>114.05500000000001</v>
      </c>
      <c r="DF1032" s="121">
        <f>DG1031</f>
        <v>115.506</v>
      </c>
      <c r="DG1032" s="159">
        <v>117.13</v>
      </c>
    </row>
    <row r="1033" spans="54:111" ht="15" customHeight="1" x14ac:dyDescent="0.2">
      <c r="BB1033" s="28">
        <v>57</v>
      </c>
      <c r="BC1033" s="121">
        <v>22.163499999999999</v>
      </c>
      <c r="BD1033" s="121">
        <v>24.383749999999999</v>
      </c>
      <c r="BE1033" s="121">
        <v>26.603999999999999</v>
      </c>
      <c r="BF1033" s="121">
        <v>28.674250000000001</v>
      </c>
      <c r="BG1033" s="121">
        <v>30.744500000000002</v>
      </c>
      <c r="BH1033" s="121">
        <v>32.698250000000002</v>
      </c>
      <c r="BI1033" s="121">
        <v>34.652000000000001</v>
      </c>
      <c r="BJ1033" s="121">
        <v>36.5685</v>
      </c>
      <c r="BK1033" s="121">
        <v>38.484999999999999</v>
      </c>
      <c r="BL1033" s="121">
        <v>40.304749999999999</v>
      </c>
      <c r="BM1033" s="121">
        <v>42.124499999999998</v>
      </c>
      <c r="BN1033" s="121">
        <v>43.960500000000003</v>
      </c>
      <c r="BO1033" s="121">
        <v>45.796500000000002</v>
      </c>
      <c r="BP1033" s="121">
        <v>47.606000000000002</v>
      </c>
      <c r="BQ1033" s="121">
        <v>49.415500000000002</v>
      </c>
      <c r="BR1033" s="121">
        <v>51.182249999999996</v>
      </c>
      <c r="BS1033" s="121">
        <v>52.948999999999998</v>
      </c>
      <c r="BT1033" s="121">
        <v>54.705249999999999</v>
      </c>
      <c r="BU1033" s="121">
        <v>56.461500000000001</v>
      </c>
      <c r="BV1033" s="121">
        <v>58.15325</v>
      </c>
      <c r="BW1033" s="121">
        <v>59.844999999999999</v>
      </c>
      <c r="BX1033" s="121">
        <v>61.580750000000002</v>
      </c>
      <c r="BY1033" s="121">
        <v>63.316499999999998</v>
      </c>
      <c r="BZ1033" s="121">
        <v>65.003</v>
      </c>
      <c r="CA1033" s="121">
        <v>66.68950000000001</v>
      </c>
      <c r="CB1033" s="121">
        <v>68.392499999999998</v>
      </c>
      <c r="CC1033" s="121">
        <v>70.095499999999987</v>
      </c>
      <c r="CD1033" s="121">
        <v>71.756</v>
      </c>
      <c r="CE1033" s="121">
        <v>73.416499999999999</v>
      </c>
      <c r="CF1033" s="121">
        <v>75.071249999999992</v>
      </c>
      <c r="CG1033" s="121">
        <v>76.725999999999999</v>
      </c>
      <c r="CH1033" s="121">
        <v>78.402250000000009</v>
      </c>
      <c r="CI1033" s="121">
        <v>80.078500000000005</v>
      </c>
      <c r="CJ1033" s="121">
        <v>81.701499999999996</v>
      </c>
      <c r="CK1033" s="121">
        <v>83.3245</v>
      </c>
      <c r="CL1033" s="121">
        <v>84.958500000000001</v>
      </c>
      <c r="CM1033" s="121">
        <v>86.592500000000001</v>
      </c>
      <c r="CN1033" s="121">
        <v>88.225999999999999</v>
      </c>
      <c r="CO1033" s="121">
        <v>89.859499999999997</v>
      </c>
      <c r="CP1033" s="121">
        <v>91.477000000000004</v>
      </c>
      <c r="CQ1033" s="121">
        <v>92.686499999999995</v>
      </c>
      <c r="CR1033" s="160">
        <v>94.74475000000001</v>
      </c>
      <c r="CS1033" s="160">
        <v>95.986500000000007</v>
      </c>
      <c r="CT1033" s="160">
        <v>98.017250000000004</v>
      </c>
      <c r="CU1033" s="160">
        <v>99.296500000000009</v>
      </c>
      <c r="CV1033" s="160">
        <v>101.2045</v>
      </c>
      <c r="CW1033" s="160">
        <v>102.596</v>
      </c>
      <c r="CX1033" s="160">
        <v>104.4085</v>
      </c>
      <c r="CY1033" s="160">
        <v>105.91800000000001</v>
      </c>
      <c r="CZ1033" s="160">
        <v>107.69674999999999</v>
      </c>
      <c r="DA1033" s="160">
        <v>109.2175</v>
      </c>
      <c r="DB1033" s="160">
        <v>110.932</v>
      </c>
      <c r="DC1033" s="160">
        <f t="array" ref="DC1033:DC1036">TRANSPOSE(DD1032:DG1032)</f>
        <v>112.453</v>
      </c>
      <c r="DD1033" s="120">
        <f>(DC1033+DE1033)/2</f>
        <v>114.039</v>
      </c>
      <c r="DE1033" s="120">
        <f>(DE1032+DE1034)/2</f>
        <v>115.625</v>
      </c>
      <c r="DF1033" s="120">
        <f>(DE1033+DG1033)/2</f>
        <v>117.19475</v>
      </c>
      <c r="DG1033" s="122">
        <f>(DG1032+DG1034)/2</f>
        <v>118.7645</v>
      </c>
    </row>
    <row r="1034" spans="54:111" ht="15" customHeight="1" x14ac:dyDescent="0.2">
      <c r="BB1034" s="28">
        <v>58</v>
      </c>
      <c r="BC1034" s="121">
        <v>22.462</v>
      </c>
      <c r="BD1034" s="121">
        <v>24.703499999999998</v>
      </c>
      <c r="BE1034" s="121">
        <v>26.945</v>
      </c>
      <c r="BF1034" s="121">
        <v>29.026499999999999</v>
      </c>
      <c r="BG1034" s="121">
        <v>31.108000000000001</v>
      </c>
      <c r="BH1034" s="121">
        <v>33.093499999999999</v>
      </c>
      <c r="BI1034" s="121">
        <v>35.079000000000001</v>
      </c>
      <c r="BJ1034" s="121">
        <v>37.055</v>
      </c>
      <c r="BK1034" s="121">
        <v>39.030999999999999</v>
      </c>
      <c r="BL1034" s="121">
        <v>40.867000000000004</v>
      </c>
      <c r="BM1034" s="121">
        <v>42.703000000000003</v>
      </c>
      <c r="BN1034" s="121">
        <v>44.56</v>
      </c>
      <c r="BO1034" s="121">
        <v>46.417000000000002</v>
      </c>
      <c r="BP1034" s="121">
        <v>48.243000000000002</v>
      </c>
      <c r="BQ1034" s="121">
        <v>50.069000000000003</v>
      </c>
      <c r="BR1034" s="121">
        <v>51.863</v>
      </c>
      <c r="BS1034" s="121">
        <v>53.656999999999996</v>
      </c>
      <c r="BT1034" s="121">
        <v>55.44</v>
      </c>
      <c r="BU1034" s="121">
        <v>57.222999999999999</v>
      </c>
      <c r="BV1034" s="121">
        <v>58.930999999999997</v>
      </c>
      <c r="BW1034" s="121">
        <v>60.639000000000003</v>
      </c>
      <c r="BX1034" s="121">
        <v>62.423000000000002</v>
      </c>
      <c r="BY1034" s="121">
        <v>64.206999999999994</v>
      </c>
      <c r="BZ1034" s="121">
        <v>65.914500000000004</v>
      </c>
      <c r="CA1034" s="121">
        <v>67.622</v>
      </c>
      <c r="CB1034" s="121">
        <v>69.352000000000004</v>
      </c>
      <c r="CC1034" s="121">
        <v>71.081999999999994</v>
      </c>
      <c r="CD1034" s="121">
        <v>72.738</v>
      </c>
      <c r="CE1034" s="121">
        <v>74.394000000000005</v>
      </c>
      <c r="CF1034" s="121">
        <v>76.102000000000004</v>
      </c>
      <c r="CG1034" s="121">
        <v>77.81</v>
      </c>
      <c r="CH1034" s="121">
        <v>79.465000000000003</v>
      </c>
      <c r="CI1034" s="121">
        <v>81.12</v>
      </c>
      <c r="CJ1034" s="121">
        <v>82.764499999999998</v>
      </c>
      <c r="CK1034" s="121">
        <v>84.409000000000006</v>
      </c>
      <c r="CL1034" s="121">
        <v>86.064999999999998</v>
      </c>
      <c r="CM1034" s="121">
        <v>87.721000000000004</v>
      </c>
      <c r="CN1034" s="121">
        <v>89.387</v>
      </c>
      <c r="CO1034" s="121">
        <v>91.052999999999997</v>
      </c>
      <c r="CP1034" s="121">
        <v>92.686499999999995</v>
      </c>
      <c r="CQ1034" s="121">
        <v>94.32</v>
      </c>
      <c r="CR1034" s="160">
        <v>95.986500000000007</v>
      </c>
      <c r="CS1034" s="160">
        <v>97.653000000000006</v>
      </c>
      <c r="CT1034" s="160">
        <v>99.296500000000009</v>
      </c>
      <c r="CU1034" s="160">
        <v>100.94</v>
      </c>
      <c r="CV1034" s="160">
        <v>102.596</v>
      </c>
      <c r="CW1034" s="160">
        <v>104.252</v>
      </c>
      <c r="CX1034" s="160">
        <v>105.91800000000001</v>
      </c>
      <c r="CY1034" s="160">
        <v>107.584</v>
      </c>
      <c r="CZ1034" s="160">
        <v>109.2175</v>
      </c>
      <c r="DA1034" s="160">
        <v>110.851</v>
      </c>
      <c r="DB1034" s="160">
        <v>112.453</v>
      </c>
      <c r="DC1034" s="160">
        <v>114.05500000000001</v>
      </c>
      <c r="DD1034" s="121">
        <f t="array" ref="DD1034:DD1036">TRANSPOSE(DE1033:DG1033)</f>
        <v>115.625</v>
      </c>
      <c r="DE1034" s="158">
        <v>117.19499999999999</v>
      </c>
      <c r="DF1034" s="121">
        <f>DG1033</f>
        <v>118.7645</v>
      </c>
      <c r="DG1034" s="159">
        <v>120.399</v>
      </c>
    </row>
    <row r="1035" spans="54:111" ht="15" customHeight="1" x14ac:dyDescent="0.2">
      <c r="BB1035" s="28">
        <v>59</v>
      </c>
      <c r="BC1035" s="121">
        <v>22.771000000000001</v>
      </c>
      <c r="BD1035" s="121">
        <v>25.023249999999997</v>
      </c>
      <c r="BE1035" s="121">
        <v>27.275500000000001</v>
      </c>
      <c r="BF1035" s="121">
        <v>29.389499999999998</v>
      </c>
      <c r="BG1035" s="121">
        <v>31.503500000000003</v>
      </c>
      <c r="BH1035" s="121">
        <v>33.536999999999999</v>
      </c>
      <c r="BI1035" s="121">
        <v>35.570499999999996</v>
      </c>
      <c r="BJ1035" s="121">
        <v>37.535499999999999</v>
      </c>
      <c r="BK1035" s="121">
        <v>39.500500000000002</v>
      </c>
      <c r="BL1035" s="121">
        <v>41.390250000000002</v>
      </c>
      <c r="BM1035" s="121">
        <v>43.28</v>
      </c>
      <c r="BN1035" s="121">
        <v>45.153750000000002</v>
      </c>
      <c r="BO1035" s="121">
        <v>47.027500000000003</v>
      </c>
      <c r="BP1035" s="121">
        <v>48.8855</v>
      </c>
      <c r="BQ1035" s="121">
        <v>50.743499999999997</v>
      </c>
      <c r="BR1035" s="121">
        <v>52.553750000000001</v>
      </c>
      <c r="BS1035" s="121">
        <v>54.363999999999997</v>
      </c>
      <c r="BT1035" s="121">
        <v>56.163499999999999</v>
      </c>
      <c r="BU1035" s="121">
        <v>57.963000000000001</v>
      </c>
      <c r="BV1035" s="121">
        <v>59.73</v>
      </c>
      <c r="BW1035" s="121">
        <v>61.497</v>
      </c>
      <c r="BX1035" s="121">
        <v>63.27</v>
      </c>
      <c r="BY1035" s="121">
        <v>65.043000000000006</v>
      </c>
      <c r="BZ1035" s="121">
        <v>66.778000000000006</v>
      </c>
      <c r="CA1035" s="121">
        <v>68.513000000000005</v>
      </c>
      <c r="CB1035" s="121">
        <v>70.254000000000005</v>
      </c>
      <c r="CC1035" s="121">
        <v>71.995000000000005</v>
      </c>
      <c r="CD1035" s="121">
        <v>73.704000000000008</v>
      </c>
      <c r="CE1035" s="121">
        <v>75.413000000000011</v>
      </c>
      <c r="CF1035" s="121">
        <v>77.148250000000004</v>
      </c>
      <c r="CG1035" s="121">
        <v>78.883499999999998</v>
      </c>
      <c r="CH1035" s="121">
        <v>80.591999999999999</v>
      </c>
      <c r="CI1035" s="121">
        <v>82.3005</v>
      </c>
      <c r="CJ1035" s="121">
        <v>83.96674999999999</v>
      </c>
      <c r="CK1035" s="121">
        <v>85.63300000000001</v>
      </c>
      <c r="CL1035" s="121">
        <v>87.310249999999996</v>
      </c>
      <c r="CM1035" s="121">
        <v>88.987500000000011</v>
      </c>
      <c r="CN1035" s="121">
        <v>90.669499999999999</v>
      </c>
      <c r="CO1035" s="121">
        <v>92.351500000000001</v>
      </c>
      <c r="CP1035" s="121">
        <v>94.017750000000007</v>
      </c>
      <c r="CQ1035" s="121">
        <v>95.349000000000004</v>
      </c>
      <c r="CR1035" s="160">
        <v>97.361000000000004</v>
      </c>
      <c r="CS1035" s="160">
        <v>98.735500000000002</v>
      </c>
      <c r="CT1035" s="160">
        <v>100.709</v>
      </c>
      <c r="CU1035" s="160">
        <v>102.1215</v>
      </c>
      <c r="CV1035" s="160">
        <v>104.057</v>
      </c>
      <c r="CW1035" s="160">
        <v>105.518</v>
      </c>
      <c r="CX1035" s="160">
        <v>107.35250000000001</v>
      </c>
      <c r="CY1035" s="160">
        <v>108.78700000000001</v>
      </c>
      <c r="CZ1035" s="160">
        <v>110.66875</v>
      </c>
      <c r="DA1035" s="160">
        <v>112.12</v>
      </c>
      <c r="DB1035" s="160">
        <v>113.9795</v>
      </c>
      <c r="DC1035" s="160">
        <v>115.506</v>
      </c>
      <c r="DD1035" s="160">
        <v>117.19475</v>
      </c>
      <c r="DE1035" s="160">
        <f t="array" ref="DE1035:DE1036">TRANSPOSE(DF1034:DG1034)</f>
        <v>118.7645</v>
      </c>
      <c r="DF1035" s="120">
        <f>(DE1035+DG1035)/2</f>
        <v>120.399</v>
      </c>
      <c r="DG1035" s="122">
        <f>(DG1034+DG1036)/2</f>
        <v>122.0335</v>
      </c>
    </row>
    <row r="1036" spans="54:111" ht="15" customHeight="1" thickBot="1" x14ac:dyDescent="0.25">
      <c r="BB1036" s="149">
        <v>60</v>
      </c>
      <c r="BC1036" s="123">
        <v>23.08</v>
      </c>
      <c r="BD1036" s="123">
        <v>25.343</v>
      </c>
      <c r="BE1036" s="123">
        <v>27.606000000000002</v>
      </c>
      <c r="BF1036" s="123">
        <v>29.752500000000001</v>
      </c>
      <c r="BG1036" s="123">
        <v>31.899000000000001</v>
      </c>
      <c r="BH1036" s="123">
        <v>33.980499999999999</v>
      </c>
      <c r="BI1036" s="123">
        <v>36.061999999999998</v>
      </c>
      <c r="BJ1036" s="123">
        <v>38.015999999999998</v>
      </c>
      <c r="BK1036" s="123">
        <v>39.97</v>
      </c>
      <c r="BL1036" s="123">
        <v>41.913499999999999</v>
      </c>
      <c r="BM1036" s="123">
        <v>43.856999999999999</v>
      </c>
      <c r="BN1036" s="123">
        <v>45.747500000000002</v>
      </c>
      <c r="BO1036" s="123">
        <v>47.637999999999998</v>
      </c>
      <c r="BP1036" s="123">
        <v>49.527999999999999</v>
      </c>
      <c r="BQ1036" s="123">
        <v>51.417999999999999</v>
      </c>
      <c r="BR1036" s="123">
        <v>53.244500000000002</v>
      </c>
      <c r="BS1036" s="123">
        <v>55.070999999999998</v>
      </c>
      <c r="BT1036" s="123">
        <v>56.887</v>
      </c>
      <c r="BU1036" s="123">
        <v>58.703000000000003</v>
      </c>
      <c r="BV1036" s="123">
        <v>60.528999999999996</v>
      </c>
      <c r="BW1036" s="123">
        <v>62.354999999999997</v>
      </c>
      <c r="BX1036" s="123">
        <v>64.117000000000004</v>
      </c>
      <c r="BY1036" s="123">
        <v>65.879000000000005</v>
      </c>
      <c r="BZ1036" s="123">
        <v>67.641500000000008</v>
      </c>
      <c r="CA1036" s="123">
        <v>69.403999999999996</v>
      </c>
      <c r="CB1036" s="123">
        <v>71.156000000000006</v>
      </c>
      <c r="CC1036" s="123">
        <v>72.908000000000001</v>
      </c>
      <c r="CD1036" s="123">
        <v>74.67</v>
      </c>
      <c r="CE1036" s="123">
        <v>76.432000000000002</v>
      </c>
      <c r="CF1036" s="123">
        <v>78.194500000000005</v>
      </c>
      <c r="CG1036" s="123">
        <v>79.956999999999994</v>
      </c>
      <c r="CH1036" s="123">
        <v>81.718999999999994</v>
      </c>
      <c r="CI1036" s="123">
        <v>83.480999999999995</v>
      </c>
      <c r="CJ1036" s="123">
        <v>85.168999999999997</v>
      </c>
      <c r="CK1036" s="123">
        <v>86.856999999999999</v>
      </c>
      <c r="CL1036" s="123">
        <v>88.555499999999995</v>
      </c>
      <c r="CM1036" s="123">
        <v>90.254000000000005</v>
      </c>
      <c r="CN1036" s="123">
        <v>91.951999999999998</v>
      </c>
      <c r="CO1036" s="123">
        <v>93.65</v>
      </c>
      <c r="CP1036" s="123">
        <v>95.349000000000004</v>
      </c>
      <c r="CQ1036" s="123">
        <v>97.048000000000002</v>
      </c>
      <c r="CR1036" s="161">
        <v>98.735500000000002</v>
      </c>
      <c r="CS1036" s="161">
        <v>100.423</v>
      </c>
      <c r="CT1036" s="161">
        <v>102.1215</v>
      </c>
      <c r="CU1036" s="161">
        <v>103.82</v>
      </c>
      <c r="CV1036" s="161">
        <v>105.518</v>
      </c>
      <c r="CW1036" s="161">
        <v>107.21599999999999</v>
      </c>
      <c r="CX1036" s="161">
        <v>108.78700000000001</v>
      </c>
      <c r="CY1036" s="161">
        <v>110.358</v>
      </c>
      <c r="CZ1036" s="161">
        <v>112.12</v>
      </c>
      <c r="DA1036" s="161">
        <v>113.88200000000001</v>
      </c>
      <c r="DB1036" s="161">
        <v>115.506</v>
      </c>
      <c r="DC1036" s="161">
        <v>117.13</v>
      </c>
      <c r="DD1036" s="161">
        <v>118.7645</v>
      </c>
      <c r="DE1036" s="161">
        <v>120.399</v>
      </c>
      <c r="DF1036" s="151">
        <f>DG1035</f>
        <v>122.0335</v>
      </c>
      <c r="DG1036" s="162">
        <v>123.66800000000001</v>
      </c>
    </row>
    <row r="1037" spans="54:111" ht="15" customHeight="1" thickBot="1" x14ac:dyDescent="0.25">
      <c r="BB1037" s="25"/>
      <c r="BC1037" s="25"/>
      <c r="BD1037" s="25"/>
      <c r="BE1037" s="25"/>
      <c r="BF1037" s="25"/>
      <c r="BG1037" s="25"/>
      <c r="BH1037" s="25"/>
      <c r="BI1037" s="25"/>
      <c r="BJ1037" s="25"/>
      <c r="BK1037" s="25"/>
      <c r="BL1037" s="25"/>
      <c r="BM1037" s="25"/>
      <c r="BN1037" s="25"/>
      <c r="BO1037" s="25"/>
      <c r="BP1037" s="25"/>
      <c r="BQ1037" s="25"/>
      <c r="BR1037" s="25"/>
      <c r="BS1037" s="25"/>
      <c r="BT1037" s="25"/>
      <c r="BU1037" s="25"/>
      <c r="BV1037" s="25"/>
      <c r="BW1037" s="25"/>
      <c r="BX1037" s="25"/>
      <c r="BY1037" s="25"/>
      <c r="BZ1037" s="25"/>
      <c r="CA1037" s="25"/>
      <c r="CB1037" s="25"/>
      <c r="CC1037" s="25"/>
      <c r="CD1037" s="25"/>
      <c r="CE1037" s="25"/>
      <c r="CF1037" s="25"/>
      <c r="CG1037" s="25"/>
      <c r="CH1037" s="25"/>
      <c r="CI1037" s="25"/>
      <c r="CJ1037" s="25"/>
      <c r="CK1037" s="25"/>
      <c r="CL1037" s="25"/>
      <c r="CM1037" s="25"/>
      <c r="CN1037" s="25"/>
      <c r="CO1037" s="25"/>
      <c r="CP1037" s="25"/>
      <c r="CQ1037" s="25"/>
    </row>
    <row r="1038" spans="54:111" ht="15" customHeight="1" thickBot="1" x14ac:dyDescent="0.3">
      <c r="BB1038" s="1841" t="s">
        <v>312</v>
      </c>
      <c r="BC1038" s="1842"/>
      <c r="BD1038" s="1842"/>
      <c r="BE1038" s="1842"/>
      <c r="BF1038" s="1842"/>
      <c r="BG1038" s="1842"/>
      <c r="BH1038" s="1842"/>
      <c r="BI1038" s="1842"/>
      <c r="BJ1038" s="1842"/>
      <c r="BK1038" s="1842"/>
      <c r="BL1038" s="1842"/>
      <c r="BM1038" s="1842"/>
      <c r="BN1038" s="1842"/>
      <c r="BO1038" s="1842"/>
      <c r="BP1038" s="1842"/>
      <c r="BQ1038" s="1842"/>
      <c r="BR1038" s="1842"/>
      <c r="BS1038" s="1842"/>
      <c r="BT1038" s="1842"/>
      <c r="BU1038" s="1842"/>
      <c r="BV1038" s="1842"/>
      <c r="BW1038" s="1842"/>
      <c r="BX1038" s="1842"/>
      <c r="BY1038" s="1842"/>
      <c r="BZ1038" s="1842"/>
      <c r="CA1038" s="1842"/>
      <c r="CB1038" s="1842"/>
      <c r="CC1038" s="1842"/>
      <c r="CD1038" s="1842"/>
      <c r="CE1038" s="1842"/>
      <c r="CF1038" s="1842"/>
      <c r="CG1038" s="1842"/>
      <c r="CH1038" s="1842"/>
      <c r="CI1038" s="1842"/>
      <c r="CJ1038" s="1842"/>
      <c r="CK1038" s="1842"/>
      <c r="CL1038" s="1842"/>
      <c r="CM1038" s="1842"/>
      <c r="CN1038" s="1842"/>
      <c r="CO1038" s="1842"/>
      <c r="CP1038" s="1842"/>
      <c r="CQ1038" s="1842"/>
      <c r="CR1038" s="1842"/>
      <c r="CS1038" s="1842"/>
      <c r="CT1038" s="1842"/>
      <c r="CU1038" s="1842"/>
      <c r="CV1038" s="1842"/>
      <c r="CW1038" s="1842"/>
      <c r="CX1038" s="1842"/>
      <c r="CY1038" s="1842"/>
      <c r="CZ1038" s="1842"/>
      <c r="DA1038" s="1842"/>
      <c r="DB1038" s="1842"/>
      <c r="DC1038" s="1842"/>
      <c r="DD1038" s="1842"/>
      <c r="DE1038" s="1842"/>
      <c r="DF1038" s="1842"/>
      <c r="DG1038" s="1843"/>
    </row>
    <row r="1039" spans="54:111" ht="15" customHeight="1" x14ac:dyDescent="0.2">
      <c r="BB1039" s="26"/>
      <c r="BC1039" s="27">
        <v>4</v>
      </c>
      <c r="BD1039" s="27">
        <v>5</v>
      </c>
      <c r="BE1039" s="27">
        <v>6</v>
      </c>
      <c r="BF1039" s="27">
        <v>7</v>
      </c>
      <c r="BG1039" s="27">
        <v>8</v>
      </c>
      <c r="BH1039" s="27">
        <v>9</v>
      </c>
      <c r="BI1039" s="27">
        <v>10</v>
      </c>
      <c r="BJ1039" s="27">
        <v>11</v>
      </c>
      <c r="BK1039" s="27">
        <v>12</v>
      </c>
      <c r="BL1039" s="27">
        <v>13</v>
      </c>
      <c r="BM1039" s="27">
        <v>14</v>
      </c>
      <c r="BN1039" s="27">
        <v>15</v>
      </c>
      <c r="BO1039" s="27">
        <v>16</v>
      </c>
      <c r="BP1039" s="27">
        <v>17</v>
      </c>
      <c r="BQ1039" s="27">
        <v>18</v>
      </c>
      <c r="BR1039" s="27">
        <v>19</v>
      </c>
      <c r="BS1039" s="27">
        <v>20</v>
      </c>
      <c r="BT1039" s="27">
        <v>21</v>
      </c>
      <c r="BU1039" s="27">
        <v>22</v>
      </c>
      <c r="BV1039" s="27">
        <v>23</v>
      </c>
      <c r="BW1039" s="27">
        <v>24</v>
      </c>
      <c r="BX1039" s="27">
        <v>25</v>
      </c>
      <c r="BY1039" s="27">
        <v>26</v>
      </c>
      <c r="BZ1039" s="27">
        <v>27</v>
      </c>
      <c r="CA1039" s="27">
        <v>28</v>
      </c>
      <c r="CB1039" s="27">
        <v>29</v>
      </c>
      <c r="CC1039" s="27">
        <v>30</v>
      </c>
      <c r="CD1039" s="27">
        <v>31</v>
      </c>
      <c r="CE1039" s="27">
        <v>32</v>
      </c>
      <c r="CF1039" s="27">
        <v>33</v>
      </c>
      <c r="CG1039" s="27">
        <v>34</v>
      </c>
      <c r="CH1039" s="27">
        <v>35</v>
      </c>
      <c r="CI1039" s="27">
        <v>36</v>
      </c>
      <c r="CJ1039" s="27">
        <v>37</v>
      </c>
      <c r="CK1039" s="27">
        <v>38</v>
      </c>
      <c r="CL1039" s="27">
        <v>39</v>
      </c>
      <c r="CM1039" s="27">
        <v>40</v>
      </c>
      <c r="CN1039" s="27">
        <v>41</v>
      </c>
      <c r="CO1039" s="27">
        <v>42</v>
      </c>
      <c r="CP1039" s="27">
        <v>43</v>
      </c>
      <c r="CQ1039" s="27">
        <v>44</v>
      </c>
      <c r="CR1039" s="27">
        <v>45</v>
      </c>
      <c r="CS1039" s="27">
        <v>46</v>
      </c>
      <c r="CT1039" s="27">
        <v>47</v>
      </c>
      <c r="CU1039" s="27">
        <v>48</v>
      </c>
      <c r="CV1039" s="27">
        <v>49</v>
      </c>
      <c r="CW1039" s="27">
        <v>50</v>
      </c>
      <c r="CX1039" s="27">
        <v>51</v>
      </c>
      <c r="CY1039" s="27">
        <v>52</v>
      </c>
      <c r="CZ1039" s="27">
        <v>53</v>
      </c>
      <c r="DA1039" s="27">
        <v>54</v>
      </c>
      <c r="DB1039" s="27">
        <v>55</v>
      </c>
      <c r="DC1039" s="27">
        <v>56</v>
      </c>
      <c r="DD1039" s="27">
        <v>57</v>
      </c>
      <c r="DE1039" s="27">
        <v>58</v>
      </c>
      <c r="DF1039" s="27">
        <v>59</v>
      </c>
      <c r="DG1039" s="142">
        <v>60</v>
      </c>
    </row>
    <row r="1040" spans="54:111" ht="15" customHeight="1" x14ac:dyDescent="0.2">
      <c r="BB1040" s="28">
        <v>4</v>
      </c>
      <c r="BC1040" s="156">
        <v>3.6890000000000001</v>
      </c>
      <c r="BD1040" s="120">
        <f>(BE1040+BC1040)/2</f>
        <v>4.117</v>
      </c>
      <c r="BE1040" s="156">
        <v>4.5449999999999999</v>
      </c>
      <c r="BF1040" s="120">
        <f>(BG1040+BE1040)/2</f>
        <v>4.9180000000000001</v>
      </c>
      <c r="BG1040" s="156">
        <v>5.2910000000000004</v>
      </c>
      <c r="BH1040" s="120">
        <f>(BI1040+BG1040)/2</f>
        <v>5.681</v>
      </c>
      <c r="BI1040" s="156">
        <v>6.0709999999999997</v>
      </c>
      <c r="BJ1040" s="120">
        <f>(BK1040+BI1040)/2</f>
        <v>6.4219999999999997</v>
      </c>
      <c r="BK1040" s="156">
        <v>6.7729999999999997</v>
      </c>
      <c r="BL1040" s="120">
        <f>(BM1040+BK1040)/2</f>
        <v>7.1074999999999999</v>
      </c>
      <c r="BM1040" s="156">
        <v>7.4420000000000002</v>
      </c>
      <c r="BN1040" s="120">
        <f>(BO1040+BM1040)/2</f>
        <v>7.7934999999999999</v>
      </c>
      <c r="BO1040" s="156">
        <v>8.1449999999999996</v>
      </c>
      <c r="BP1040" s="120">
        <f>(BQ1040+BO1040)/2</f>
        <v>8.4329999999999998</v>
      </c>
      <c r="BQ1040" s="156">
        <v>8.7210000000000001</v>
      </c>
      <c r="BR1040" s="120">
        <f>(BS1040+BQ1040)/2</f>
        <v>9.0419999999999998</v>
      </c>
      <c r="BS1040" s="156">
        <v>9.3629999999999995</v>
      </c>
      <c r="BT1040" s="120">
        <f>(BU1040+BS1040)/2</f>
        <v>9.6754999999999995</v>
      </c>
      <c r="BU1040" s="156">
        <v>9.9879999999999995</v>
      </c>
      <c r="BV1040" s="120">
        <f>(BW1040+BU1040)/2</f>
        <v>10.2835</v>
      </c>
      <c r="BW1040" s="156">
        <v>10.579000000000001</v>
      </c>
      <c r="BX1040" s="120">
        <f>(BY1040+BW1040)/2</f>
        <v>10.853999999999999</v>
      </c>
      <c r="BY1040" s="156">
        <v>11.129</v>
      </c>
      <c r="BZ1040" s="120">
        <f>(CA1040+BY1040)/2</f>
        <v>11.417</v>
      </c>
      <c r="CA1040" s="156">
        <v>11.705</v>
      </c>
      <c r="CB1040" s="120">
        <f>(CC1040+CA1040)/2</f>
        <v>11.987</v>
      </c>
      <c r="CC1040" s="156">
        <v>12.269</v>
      </c>
      <c r="CD1040" s="120">
        <f>(CE1040+CC1040)/2</f>
        <v>12.5815</v>
      </c>
      <c r="CE1040" s="156">
        <v>12.894</v>
      </c>
      <c r="CF1040" s="120">
        <f>(CG1040+CE1040)/2</f>
        <v>13.151</v>
      </c>
      <c r="CG1040" s="156">
        <v>13.407999999999999</v>
      </c>
      <c r="CH1040" s="120">
        <f>(CI1040+CG1040)/2</f>
        <v>13.683</v>
      </c>
      <c r="CI1040" s="156">
        <v>13.958</v>
      </c>
      <c r="CJ1040" s="120">
        <f>(CK1040+CI1040)/2</f>
        <v>14.2075</v>
      </c>
      <c r="CK1040" s="156">
        <v>14.457000000000001</v>
      </c>
      <c r="CL1040" s="120">
        <f>(CM1040+CK1040)/2</f>
        <v>14.739000000000001</v>
      </c>
      <c r="CM1040" s="156">
        <v>15.021000000000001</v>
      </c>
      <c r="CN1040" s="120">
        <f>(CO1040+CM1040)/2</f>
        <v>15.295000000000002</v>
      </c>
      <c r="CO1040" s="156">
        <v>15.569000000000001</v>
      </c>
      <c r="CP1040" s="120">
        <f>(CQ1040+CO1040)/2</f>
        <v>15.818999999999999</v>
      </c>
      <c r="CQ1040" s="156">
        <v>16.068999999999999</v>
      </c>
      <c r="CR1040" s="120">
        <f>(CS1040+CQ1040)/2</f>
        <v>16.350999999999999</v>
      </c>
      <c r="CS1040" s="156">
        <v>16.632999999999999</v>
      </c>
      <c r="CT1040" s="120">
        <f>(CU1040+CS1040)/2</f>
        <v>16.8825</v>
      </c>
      <c r="CU1040" s="156">
        <v>17.132000000000001</v>
      </c>
      <c r="CV1040" s="120">
        <f>(CW1040+CU1040)/2</f>
        <v>17.413499999999999</v>
      </c>
      <c r="CW1040" s="156">
        <v>17.695</v>
      </c>
      <c r="CX1040" s="120">
        <f>(CY1040+CW1040)/2</f>
        <v>17.9695</v>
      </c>
      <c r="CY1040" s="156">
        <v>18.244</v>
      </c>
      <c r="CZ1040" s="120">
        <f>(DA1040+CY1040)/2</f>
        <v>18.494</v>
      </c>
      <c r="DA1040" s="156">
        <v>18.744</v>
      </c>
      <c r="DB1040" s="120">
        <f>(DC1040+DA1040)/2</f>
        <v>18.987500000000001</v>
      </c>
      <c r="DC1040" s="156">
        <v>19.231000000000002</v>
      </c>
      <c r="DD1040" s="120">
        <f>(DE1040+DC1040)/2</f>
        <v>19.480499999999999</v>
      </c>
      <c r="DE1040" s="156">
        <v>19.73</v>
      </c>
      <c r="DF1040" s="120">
        <f>(DG1040+DE1040)/2</f>
        <v>20.011499999999998</v>
      </c>
      <c r="DG1040" s="157">
        <v>20.292999999999999</v>
      </c>
    </row>
    <row r="1041" spans="54:111" ht="15" customHeight="1" x14ac:dyDescent="0.2">
      <c r="BB1041" s="28">
        <v>5</v>
      </c>
      <c r="BC1041" s="121">
        <f t="array" ref="BC1041:BC1096">TRANSPOSE(BD1040:DG1040)</f>
        <v>4.117</v>
      </c>
      <c r="BD1041" s="120">
        <f>(BC1041+BE1041)/2</f>
        <v>4.6062499999999993</v>
      </c>
      <c r="BE1041" s="120">
        <f>(BE1040+BE1042)/2</f>
        <v>5.0954999999999995</v>
      </c>
      <c r="BF1041" s="120">
        <f>(BE1041+BG1041)/2</f>
        <v>5.5147499999999994</v>
      </c>
      <c r="BG1041" s="120">
        <f>(BG1040+BG1042)/2</f>
        <v>5.9340000000000002</v>
      </c>
      <c r="BH1041" s="120">
        <f>(BG1041+BI1041)/2</f>
        <v>6.3657500000000002</v>
      </c>
      <c r="BI1041" s="120">
        <f>(BI1040+BI1042)/2</f>
        <v>6.7974999999999994</v>
      </c>
      <c r="BJ1041" s="120">
        <f>(BI1041+BK1041)/2</f>
        <v>7.1739999999999995</v>
      </c>
      <c r="BK1041" s="120">
        <f>(BK1040+BK1042)/2</f>
        <v>7.5504999999999995</v>
      </c>
      <c r="BL1041" s="120">
        <f>(BK1041+BM1041)/2</f>
        <v>7.9352499999999999</v>
      </c>
      <c r="BM1041" s="120">
        <f>(BM1040+BM1042)/2</f>
        <v>8.32</v>
      </c>
      <c r="BN1041" s="120">
        <f>(BM1041+BO1041)/2</f>
        <v>8.6937499999999996</v>
      </c>
      <c r="BO1041" s="120">
        <f>(BO1040+BO1042)/2</f>
        <v>9.067499999999999</v>
      </c>
      <c r="BP1041" s="120">
        <f>(BO1041+BQ1041)/2</f>
        <v>9.4057499999999994</v>
      </c>
      <c r="BQ1041" s="120">
        <f>(BQ1040+BQ1042)/2</f>
        <v>9.7439999999999998</v>
      </c>
      <c r="BR1041" s="120">
        <f>(BQ1041+BS1041)/2</f>
        <v>10.083500000000001</v>
      </c>
      <c r="BS1041" s="120">
        <f>(BS1040+BS1042)/2</f>
        <v>10.423</v>
      </c>
      <c r="BT1041" s="120">
        <f>(BS1041+BU1041)/2</f>
        <v>10.773499999999999</v>
      </c>
      <c r="BU1041" s="120">
        <f>(BU1040+BU1042)/2</f>
        <v>11.123999999999999</v>
      </c>
      <c r="BV1041" s="120">
        <f>(BU1041+BW1041)/2</f>
        <v>11.450749999999999</v>
      </c>
      <c r="BW1041" s="120">
        <f>(BW1040+BW1042)/2</f>
        <v>11.7775</v>
      </c>
      <c r="BX1041" s="120">
        <f>(BW1041+BY1041)/2</f>
        <v>12.09</v>
      </c>
      <c r="BY1041" s="120">
        <f>(BY1040+BY1042)/2</f>
        <v>12.4025</v>
      </c>
      <c r="BZ1041" s="120">
        <f>(BY1041+CA1041)/2</f>
        <v>12.725249999999999</v>
      </c>
      <c r="CA1041" s="120">
        <f>(CA1040+CA1042)/2</f>
        <v>13.048</v>
      </c>
      <c r="CB1041" s="120">
        <f>(CA1041+CC1041)/2</f>
        <v>13.367750000000001</v>
      </c>
      <c r="CC1041" s="120">
        <f>(CC1040+CC1042)/2</f>
        <v>13.6875</v>
      </c>
      <c r="CD1041" s="120">
        <f>(CC1041+CE1041)/2</f>
        <v>14.006499999999999</v>
      </c>
      <c r="CE1041" s="120">
        <f>(CE1040+CE1042)/2</f>
        <v>14.3255</v>
      </c>
      <c r="CF1041" s="120">
        <f>(CE1041+CG1041)/2</f>
        <v>14.632750000000001</v>
      </c>
      <c r="CG1041" s="120">
        <f>(CG1040+CG1042)/2</f>
        <v>14.940000000000001</v>
      </c>
      <c r="CH1041" s="120">
        <f>(CG1041+CI1041)/2</f>
        <v>15.252500000000001</v>
      </c>
      <c r="CI1041" s="120">
        <f>(CI1040+CI1042)/2</f>
        <v>15.565000000000001</v>
      </c>
      <c r="CJ1041" s="120">
        <f>(CI1041+CK1041)/2</f>
        <v>15.84925</v>
      </c>
      <c r="CK1041" s="120">
        <f>(CK1040+CK1042)/2</f>
        <v>16.133499999999998</v>
      </c>
      <c r="CL1041" s="120">
        <f>(CK1041+CM1041)/2</f>
        <v>16.453249999999997</v>
      </c>
      <c r="CM1041" s="120">
        <f>(CM1040+CM1042)/2</f>
        <v>16.773</v>
      </c>
      <c r="CN1041" s="120">
        <f>(CM1041+CO1041)/2</f>
        <v>17.066000000000003</v>
      </c>
      <c r="CO1041" s="120">
        <f>(CO1040+CO1042)/2</f>
        <v>17.359000000000002</v>
      </c>
      <c r="CP1041" s="120">
        <f>(CO1041+CQ1041)/2</f>
        <v>17.643750000000001</v>
      </c>
      <c r="CQ1041" s="120">
        <f>(CQ1040+CQ1042)/2</f>
        <v>17.9285</v>
      </c>
      <c r="CR1041" s="120">
        <f>(CQ1041+CS1041)/2</f>
        <v>18.244499999999999</v>
      </c>
      <c r="CS1041" s="120">
        <f>(CS1040+CS1042)/2</f>
        <v>18.560499999999998</v>
      </c>
      <c r="CT1041" s="120">
        <f>(CS1041+CU1041)/2</f>
        <v>18.844749999999998</v>
      </c>
      <c r="CU1041" s="120">
        <f>(CU1040+CU1042)/2</f>
        <v>19.129000000000001</v>
      </c>
      <c r="CV1041" s="120">
        <f>(CU1041+CW1041)/2</f>
        <v>19.4255</v>
      </c>
      <c r="CW1041" s="120">
        <f>(CW1040+CW1042)/2</f>
        <v>19.722000000000001</v>
      </c>
      <c r="CX1041" s="120">
        <f>(CW1041+CY1041)/2</f>
        <v>20.006250000000001</v>
      </c>
      <c r="CY1041" s="120">
        <f>(CY1040+CY1042)/2</f>
        <v>20.290500000000002</v>
      </c>
      <c r="CZ1041" s="120">
        <f>(CY1041+DA1041)/2</f>
        <v>20.57525</v>
      </c>
      <c r="DA1041" s="120">
        <f>(DA1040+DA1042)/2</f>
        <v>20.86</v>
      </c>
      <c r="DB1041" s="120">
        <f>(DA1041+DC1041)/2</f>
        <v>21.137499999999999</v>
      </c>
      <c r="DC1041" s="120">
        <f>(DC1040+DC1042)/2</f>
        <v>21.414999999999999</v>
      </c>
      <c r="DD1041" s="120">
        <f>(DC1041+DE1041)/2</f>
        <v>21.699249999999999</v>
      </c>
      <c r="DE1041" s="120">
        <f>(DE1040+DE1042)/2</f>
        <v>21.983499999999999</v>
      </c>
      <c r="DF1041" s="120">
        <f>(DE1041+DG1041)/2</f>
        <v>22.280249999999999</v>
      </c>
      <c r="DG1041" s="122">
        <f>(DG1040+DG1042)/2</f>
        <v>22.576999999999998</v>
      </c>
    </row>
    <row r="1042" spans="54:111" ht="15" customHeight="1" x14ac:dyDescent="0.2">
      <c r="BB1042" s="28">
        <v>6</v>
      </c>
      <c r="BC1042" s="121">
        <v>4.5449999999999999</v>
      </c>
      <c r="BD1042" s="121">
        <f t="array" ref="BD1042:BD1096">TRANSPOSE(BE1041:DG1041)</f>
        <v>5.0954999999999995</v>
      </c>
      <c r="BE1042" s="158">
        <v>5.6459999999999999</v>
      </c>
      <c r="BF1042" s="120">
        <f>(BG1042+BE1042)/2</f>
        <v>6.1114999999999995</v>
      </c>
      <c r="BG1042" s="158">
        <v>6.577</v>
      </c>
      <c r="BH1042" s="120">
        <f>(BI1042+BG1042)/2</f>
        <v>7.0504999999999995</v>
      </c>
      <c r="BI1042" s="158">
        <v>7.524</v>
      </c>
      <c r="BJ1042" s="120">
        <f>(BK1042+BI1042)/2</f>
        <v>7.9260000000000002</v>
      </c>
      <c r="BK1042" s="158">
        <v>8.3279999999999994</v>
      </c>
      <c r="BL1042" s="120">
        <f>(BM1042+BK1042)/2</f>
        <v>8.7629999999999999</v>
      </c>
      <c r="BM1042" s="158">
        <v>9.1980000000000004</v>
      </c>
      <c r="BN1042" s="120">
        <f>(BO1042+BM1042)/2</f>
        <v>9.5940000000000012</v>
      </c>
      <c r="BO1042" s="158">
        <v>9.99</v>
      </c>
      <c r="BP1042" s="120">
        <f>(BQ1042+BO1042)/2</f>
        <v>10.378499999999999</v>
      </c>
      <c r="BQ1042" s="158">
        <v>10.766999999999999</v>
      </c>
      <c r="BR1042" s="120">
        <f>(BS1042+BQ1042)/2</f>
        <v>11.125</v>
      </c>
      <c r="BS1042" s="158">
        <v>11.483000000000001</v>
      </c>
      <c r="BT1042" s="120">
        <f>(BU1042+BS1042)/2</f>
        <v>11.871500000000001</v>
      </c>
      <c r="BU1042" s="158">
        <v>12.26</v>
      </c>
      <c r="BV1042" s="120">
        <f>(BW1042+BU1042)/2</f>
        <v>12.618</v>
      </c>
      <c r="BW1042" s="158">
        <v>12.976000000000001</v>
      </c>
      <c r="BX1042" s="120">
        <f>(BY1042+BW1042)/2</f>
        <v>13.326000000000001</v>
      </c>
      <c r="BY1042" s="158">
        <v>13.676</v>
      </c>
      <c r="BZ1042" s="120">
        <f>(CA1042+BY1042)/2</f>
        <v>14.0335</v>
      </c>
      <c r="CA1042" s="158">
        <v>14.391</v>
      </c>
      <c r="CB1042" s="120">
        <f>(CC1042+CA1042)/2</f>
        <v>14.7485</v>
      </c>
      <c r="CC1042" s="158">
        <v>15.106</v>
      </c>
      <c r="CD1042" s="120">
        <f>(CE1042+CC1042)/2</f>
        <v>15.4315</v>
      </c>
      <c r="CE1042" s="158">
        <v>15.757</v>
      </c>
      <c r="CF1042" s="120">
        <f>(CG1042+CE1042)/2</f>
        <v>16.1145</v>
      </c>
      <c r="CG1042" s="158">
        <v>16.472000000000001</v>
      </c>
      <c r="CH1042" s="120">
        <f>(CI1042+CG1042)/2</f>
        <v>16.822000000000003</v>
      </c>
      <c r="CI1042" s="158">
        <v>17.172000000000001</v>
      </c>
      <c r="CJ1042" s="120">
        <f>(CK1042+CI1042)/2</f>
        <v>17.491</v>
      </c>
      <c r="CK1042" s="158">
        <v>17.809999999999999</v>
      </c>
      <c r="CL1042" s="120">
        <f>(CM1042+CK1042)/2</f>
        <v>18.167499999999997</v>
      </c>
      <c r="CM1042" s="158">
        <v>18.524999999999999</v>
      </c>
      <c r="CN1042" s="120">
        <f>(CO1042+CM1042)/2</f>
        <v>18.837</v>
      </c>
      <c r="CO1042" s="158">
        <v>19.149000000000001</v>
      </c>
      <c r="CP1042" s="120">
        <f>(CQ1042+CO1042)/2</f>
        <v>19.468499999999999</v>
      </c>
      <c r="CQ1042" s="158">
        <v>19.788</v>
      </c>
      <c r="CR1042" s="120">
        <f>(CS1042+CQ1042)/2</f>
        <v>20.137999999999998</v>
      </c>
      <c r="CS1042" s="158">
        <v>20.488</v>
      </c>
      <c r="CT1042" s="120">
        <f>(CU1042+CS1042)/2</f>
        <v>20.807000000000002</v>
      </c>
      <c r="CU1042" s="158">
        <v>21.126000000000001</v>
      </c>
      <c r="CV1042" s="120">
        <f>(CW1042+CU1042)/2</f>
        <v>21.4375</v>
      </c>
      <c r="CW1042" s="158">
        <v>21.748999999999999</v>
      </c>
      <c r="CX1042" s="120">
        <f>(CY1042+CW1042)/2</f>
        <v>22.042999999999999</v>
      </c>
      <c r="CY1042" s="158">
        <v>22.337</v>
      </c>
      <c r="CZ1042" s="120">
        <f>(DA1042+CY1042)/2</f>
        <v>22.656500000000001</v>
      </c>
      <c r="DA1042" s="158">
        <v>22.975999999999999</v>
      </c>
      <c r="DB1042" s="120">
        <f>(DC1042+DA1042)/2</f>
        <v>23.287500000000001</v>
      </c>
      <c r="DC1042" s="158">
        <v>23.599</v>
      </c>
      <c r="DD1042" s="120">
        <f>(DE1042+DC1042)/2</f>
        <v>23.917999999999999</v>
      </c>
      <c r="DE1042" s="158">
        <v>24.236999999999998</v>
      </c>
      <c r="DF1042" s="120">
        <f>(DG1042+DE1042)/2</f>
        <v>24.548999999999999</v>
      </c>
      <c r="DG1042" s="159">
        <v>24.861000000000001</v>
      </c>
    </row>
    <row r="1043" spans="54:111" ht="15" customHeight="1" x14ac:dyDescent="0.2">
      <c r="BB1043" s="28">
        <v>7</v>
      </c>
      <c r="BC1043" s="121">
        <v>4.9180000000000001</v>
      </c>
      <c r="BD1043" s="121">
        <v>5.5147499999999994</v>
      </c>
      <c r="BE1043" s="121">
        <f t="array" ref="BE1043:BE1096">TRANSPOSE(BF1042:DG1042)</f>
        <v>6.1114999999999995</v>
      </c>
      <c r="BF1043" s="120">
        <f>(BE1043+BG1043)/2</f>
        <v>6.6379999999999999</v>
      </c>
      <c r="BG1043" s="120">
        <f>(BG1042+BG1044)/2</f>
        <v>7.1645000000000003</v>
      </c>
      <c r="BH1043" s="120">
        <f>(BG1043+BI1043)/2</f>
        <v>7.6567499999999997</v>
      </c>
      <c r="BI1043" s="120">
        <f>(BI1042+BI1044)/2</f>
        <v>8.1489999999999991</v>
      </c>
      <c r="BJ1043" s="120">
        <f>(BI1043+BK1043)/2</f>
        <v>8.6050000000000004</v>
      </c>
      <c r="BK1043" s="120">
        <f>(BK1042+BK1044)/2</f>
        <v>9.0609999999999999</v>
      </c>
      <c r="BL1043" s="120">
        <f>(BK1043+BM1043)/2</f>
        <v>9.5107499999999998</v>
      </c>
      <c r="BM1043" s="120">
        <f>(BM1042+BM1044)/2</f>
        <v>9.9604999999999997</v>
      </c>
      <c r="BN1043" s="120">
        <f>(BM1043+BO1043)/2</f>
        <v>10.406749999999999</v>
      </c>
      <c r="BO1043" s="120">
        <f>(BO1042+BO1044)/2</f>
        <v>10.853</v>
      </c>
      <c r="BP1043" s="120">
        <f>(BO1043+BQ1043)/2</f>
        <v>11.263999999999999</v>
      </c>
      <c r="BQ1043" s="120">
        <f>(BQ1042+BQ1044)/2</f>
        <v>11.675000000000001</v>
      </c>
      <c r="BR1043" s="120">
        <f>(BQ1043+BS1043)/2</f>
        <v>12.07075</v>
      </c>
      <c r="BS1043" s="120">
        <f>(BS1042+BS1044)/2</f>
        <v>12.4665</v>
      </c>
      <c r="BT1043" s="120">
        <f>(BS1043+BU1043)/2</f>
        <v>12.8735</v>
      </c>
      <c r="BU1043" s="120">
        <f>(BU1042+BU1044)/2</f>
        <v>13.2805</v>
      </c>
      <c r="BV1043" s="120">
        <f>(BU1043+BW1043)/2</f>
        <v>13.67625</v>
      </c>
      <c r="BW1043" s="120">
        <f>(BW1042+BW1044)/2</f>
        <v>14.071999999999999</v>
      </c>
      <c r="BX1043" s="120">
        <f>(BW1043+BY1043)/2</f>
        <v>14.475999999999999</v>
      </c>
      <c r="BY1043" s="120">
        <f>(BY1042+BY1044)/2</f>
        <v>14.879999999999999</v>
      </c>
      <c r="BZ1043" s="120">
        <f>(BY1043+CA1043)/2</f>
        <v>15.25625</v>
      </c>
      <c r="CA1043" s="120">
        <f>(CA1042+CA1044)/2</f>
        <v>15.6325</v>
      </c>
      <c r="CB1043" s="120">
        <f>(CA1043+CC1043)/2</f>
        <v>16.027749999999997</v>
      </c>
      <c r="CC1043" s="120">
        <f>(CC1042+CC1044)/2</f>
        <v>16.422999999999998</v>
      </c>
      <c r="CD1043" s="120">
        <f>(CC1043+CE1043)/2</f>
        <v>16.779499999999999</v>
      </c>
      <c r="CE1043" s="120">
        <f>(CE1042+CE1044)/2</f>
        <v>17.135999999999999</v>
      </c>
      <c r="CF1043" s="120">
        <f>(CE1043+CG1043)/2</f>
        <v>17.512250000000002</v>
      </c>
      <c r="CG1043" s="120">
        <f>(CG1042+CG1044)/2</f>
        <v>17.888500000000001</v>
      </c>
      <c r="CH1043" s="120">
        <f>(CG1043+CI1043)/2</f>
        <v>18.273250000000001</v>
      </c>
      <c r="CI1043" s="120">
        <f>(CI1042+CI1044)/2</f>
        <v>18.658000000000001</v>
      </c>
      <c r="CJ1043" s="120">
        <f>(CI1043+CK1043)/2</f>
        <v>19.014749999999999</v>
      </c>
      <c r="CK1043" s="120">
        <f>(CK1042+CK1044)/2</f>
        <v>19.371499999999997</v>
      </c>
      <c r="CL1043" s="120">
        <f>(CK1043+CM1043)/2</f>
        <v>19.744</v>
      </c>
      <c r="CM1043" s="120">
        <f>(CM1042+CM1044)/2</f>
        <v>20.116499999999998</v>
      </c>
      <c r="CN1043" s="120">
        <f>(CM1043+CO1043)/2</f>
        <v>20.450749999999999</v>
      </c>
      <c r="CO1043" s="120">
        <f>(CO1042+CO1044)/2</f>
        <v>20.785</v>
      </c>
      <c r="CP1043" s="120">
        <f>(CO1043+CQ1043)/2</f>
        <v>21.142000000000003</v>
      </c>
      <c r="CQ1043" s="120">
        <f>(CQ1042+CQ1044)/2</f>
        <v>21.499000000000002</v>
      </c>
      <c r="CR1043" s="120">
        <f>(CQ1043+CS1043)/2</f>
        <v>21.883749999999999</v>
      </c>
      <c r="CS1043" s="120">
        <f>(CS1042+CS1044)/2</f>
        <v>22.2685</v>
      </c>
      <c r="CT1043" s="120">
        <f>(CS1043+CU1043)/2</f>
        <v>22.602499999999999</v>
      </c>
      <c r="CU1043" s="120">
        <f>(CU1042+CU1044)/2</f>
        <v>22.936500000000002</v>
      </c>
      <c r="CV1043" s="120">
        <f>(CU1043+CW1043)/2</f>
        <v>23.289750000000002</v>
      </c>
      <c r="CW1043" s="120">
        <f>(CW1042+CW1044)/2</f>
        <v>23.643000000000001</v>
      </c>
      <c r="CX1043" s="120">
        <f>(CW1043+CY1043)/2</f>
        <v>23.968</v>
      </c>
      <c r="CY1043" s="120">
        <f>(CY1042+CY1044)/2</f>
        <v>24.292999999999999</v>
      </c>
      <c r="CZ1043" s="120">
        <f>(CY1043+DA1043)/2</f>
        <v>24.65025</v>
      </c>
      <c r="DA1043" s="120">
        <f>(DA1042+DA1044)/2</f>
        <v>25.0075</v>
      </c>
      <c r="DB1043" s="120">
        <f>(DA1043+DC1043)/2</f>
        <v>25.353749999999998</v>
      </c>
      <c r="DC1043" s="120">
        <f>(DC1042+DC1044)/2</f>
        <v>25.7</v>
      </c>
      <c r="DD1043" s="120">
        <f>(DC1043+DE1043)/2</f>
        <v>26.033999999999999</v>
      </c>
      <c r="DE1043" s="120">
        <f>(DE1042+DE1044)/2</f>
        <v>26.367999999999999</v>
      </c>
      <c r="DF1043" s="120">
        <f>(DE1043+DG1043)/2</f>
        <v>26.721499999999999</v>
      </c>
      <c r="DG1043" s="122">
        <f>(DG1042+DG1044)/2</f>
        <v>27.075000000000003</v>
      </c>
    </row>
    <row r="1044" spans="54:111" ht="15" customHeight="1" x14ac:dyDescent="0.2">
      <c r="BB1044" s="28">
        <v>8</v>
      </c>
      <c r="BC1044" s="121">
        <v>5.2910000000000004</v>
      </c>
      <c r="BD1044" s="121">
        <v>5.9340000000000002</v>
      </c>
      <c r="BE1044" s="121">
        <v>6.577</v>
      </c>
      <c r="BF1044" s="121">
        <f t="array" ref="BF1044:BF1096">TRANSPOSE(BG1043:DG1043)</f>
        <v>7.1645000000000003</v>
      </c>
      <c r="BG1044" s="158">
        <v>7.7519999999999998</v>
      </c>
      <c r="BH1044" s="120">
        <f>(BI1044+BG1044)/2</f>
        <v>8.2629999999999999</v>
      </c>
      <c r="BI1044" s="158">
        <v>8.7739999999999991</v>
      </c>
      <c r="BJ1044" s="120">
        <f>(BK1044+BI1044)/2</f>
        <v>9.2839999999999989</v>
      </c>
      <c r="BK1044" s="158">
        <v>9.7940000000000005</v>
      </c>
      <c r="BL1044" s="120">
        <f>(BM1044+BK1044)/2</f>
        <v>10.258500000000002</v>
      </c>
      <c r="BM1044" s="158">
        <v>10.723000000000001</v>
      </c>
      <c r="BN1044" s="120">
        <f>(BO1044+BM1044)/2</f>
        <v>11.2195</v>
      </c>
      <c r="BO1044" s="158">
        <v>11.715999999999999</v>
      </c>
      <c r="BP1044" s="120">
        <f>(BQ1044+BO1044)/2</f>
        <v>12.1495</v>
      </c>
      <c r="BQ1044" s="158">
        <v>12.583</v>
      </c>
      <c r="BR1044" s="120">
        <f>(BS1044+BQ1044)/2</f>
        <v>13.016500000000001</v>
      </c>
      <c r="BS1044" s="158">
        <v>13.45</v>
      </c>
      <c r="BT1044" s="120">
        <f>(BU1044+BS1044)/2</f>
        <v>13.875499999999999</v>
      </c>
      <c r="BU1044" s="158">
        <v>14.301</v>
      </c>
      <c r="BV1044" s="120">
        <f>(BW1044+BU1044)/2</f>
        <v>14.734500000000001</v>
      </c>
      <c r="BW1044" s="158">
        <v>15.167999999999999</v>
      </c>
      <c r="BX1044" s="120">
        <f>(BY1044+BW1044)/2</f>
        <v>15.625999999999999</v>
      </c>
      <c r="BY1044" s="158">
        <v>16.084</v>
      </c>
      <c r="BZ1044" s="120">
        <f>(CA1044+BY1044)/2</f>
        <v>16.478999999999999</v>
      </c>
      <c r="CA1044" s="158">
        <v>16.873999999999999</v>
      </c>
      <c r="CB1044" s="120">
        <f>(CC1044+CA1044)/2</f>
        <v>17.306999999999999</v>
      </c>
      <c r="CC1044" s="158">
        <v>17.739999999999998</v>
      </c>
      <c r="CD1044" s="120">
        <f>(CE1044+CC1044)/2</f>
        <v>18.127499999999998</v>
      </c>
      <c r="CE1044" s="158">
        <v>18.515000000000001</v>
      </c>
      <c r="CF1044" s="120">
        <f>(CG1044+CE1044)/2</f>
        <v>18.91</v>
      </c>
      <c r="CG1044" s="158">
        <v>19.305</v>
      </c>
      <c r="CH1044" s="120">
        <f>(CI1044+CG1044)/2</f>
        <v>19.724499999999999</v>
      </c>
      <c r="CI1044" s="158">
        <v>20.143999999999998</v>
      </c>
      <c r="CJ1044" s="120">
        <f>(CK1044+CI1044)/2</f>
        <v>20.538499999999999</v>
      </c>
      <c r="CK1044" s="158">
        <v>20.933</v>
      </c>
      <c r="CL1044" s="120">
        <f>(CM1044+CK1044)/2</f>
        <v>21.320499999999999</v>
      </c>
      <c r="CM1044" s="158">
        <v>21.707999999999998</v>
      </c>
      <c r="CN1044" s="120">
        <f>(CO1044+CM1044)/2</f>
        <v>22.064499999999999</v>
      </c>
      <c r="CO1044" s="158">
        <v>22.420999999999999</v>
      </c>
      <c r="CP1044" s="120">
        <f>(CQ1044+CO1044)/2</f>
        <v>22.8155</v>
      </c>
      <c r="CQ1044" s="158">
        <v>23.21</v>
      </c>
      <c r="CR1044" s="120">
        <f>(CS1044+CQ1044)/2</f>
        <v>23.6295</v>
      </c>
      <c r="CS1044" s="158">
        <v>24.048999999999999</v>
      </c>
      <c r="CT1044" s="120">
        <f>(CU1044+CS1044)/2</f>
        <v>24.398</v>
      </c>
      <c r="CU1044" s="158">
        <v>24.747</v>
      </c>
      <c r="CV1044" s="120">
        <f>(CW1044+CU1044)/2</f>
        <v>25.141999999999999</v>
      </c>
      <c r="CW1044" s="158">
        <v>25.536999999999999</v>
      </c>
      <c r="CX1044" s="120">
        <f>(CY1044+CW1044)/2</f>
        <v>25.893000000000001</v>
      </c>
      <c r="CY1044" s="158">
        <v>26.248999999999999</v>
      </c>
      <c r="CZ1044" s="120">
        <f>(DA1044+CY1044)/2</f>
        <v>26.643999999999998</v>
      </c>
      <c r="DA1044" s="158">
        <v>27.039000000000001</v>
      </c>
      <c r="DB1044" s="120">
        <f>(DC1044+DA1044)/2</f>
        <v>27.42</v>
      </c>
      <c r="DC1044" s="158">
        <v>27.800999999999998</v>
      </c>
      <c r="DD1044" s="120">
        <f>(DE1044+DC1044)/2</f>
        <v>28.15</v>
      </c>
      <c r="DE1044" s="158">
        <v>28.498999999999999</v>
      </c>
      <c r="DF1044" s="120">
        <f>(DG1044+DE1044)/2</f>
        <v>28.893999999999998</v>
      </c>
      <c r="DG1044" s="159">
        <v>29.289000000000001</v>
      </c>
    </row>
    <row r="1045" spans="54:111" ht="15" customHeight="1" x14ac:dyDescent="0.2">
      <c r="BB1045" s="28">
        <v>9</v>
      </c>
      <c r="BC1045" s="121">
        <v>5.681</v>
      </c>
      <c r="BD1045" s="121">
        <v>6.3657500000000002</v>
      </c>
      <c r="BE1045" s="121">
        <v>7.0504999999999995</v>
      </c>
      <c r="BF1045" s="121">
        <v>7.6567499999999997</v>
      </c>
      <c r="BG1045" s="121">
        <f t="array" ref="BG1045:BG1096">TRANSPOSE(BH1044:DG1044)</f>
        <v>8.2629999999999999</v>
      </c>
      <c r="BH1045" s="120">
        <f>(BG1045+BI1045)/2</f>
        <v>8.8237500000000004</v>
      </c>
      <c r="BI1045" s="120">
        <f>(BI1044+BI1046)/2</f>
        <v>9.3844999999999992</v>
      </c>
      <c r="BJ1045" s="120">
        <f>(BI1045+BK1045)/2</f>
        <v>9.9134999999999991</v>
      </c>
      <c r="BK1045" s="120">
        <f>(BK1044+BK1046)/2</f>
        <v>10.442499999999999</v>
      </c>
      <c r="BL1045" s="120">
        <f>(BK1045+BM1045)/2</f>
        <v>10.9605</v>
      </c>
      <c r="BM1045" s="120">
        <f>(BM1044+BM1046)/2</f>
        <v>11.4785</v>
      </c>
      <c r="BN1045" s="120">
        <f>(BM1045+BO1045)/2</f>
        <v>11.9815</v>
      </c>
      <c r="BO1045" s="120">
        <f>(BO1044+BO1046)/2</f>
        <v>12.484500000000001</v>
      </c>
      <c r="BP1045" s="120">
        <f>(BO1045+BQ1045)/2</f>
        <v>12.968</v>
      </c>
      <c r="BQ1045" s="120">
        <f>(BQ1044+BQ1046)/2</f>
        <v>13.451499999999999</v>
      </c>
      <c r="BR1045" s="120">
        <f>(BQ1045+BS1045)/2</f>
        <v>13.922749999999999</v>
      </c>
      <c r="BS1045" s="120">
        <f>(BS1044+BS1046)/2</f>
        <v>14.393999999999998</v>
      </c>
      <c r="BT1045" s="120">
        <f>(BS1045+BU1045)/2</f>
        <v>14.8545</v>
      </c>
      <c r="BU1045" s="120">
        <f>(BU1044+BU1046)/2</f>
        <v>15.315000000000001</v>
      </c>
      <c r="BV1045" s="120">
        <f>(BU1045+BW1045)/2</f>
        <v>15.786250000000001</v>
      </c>
      <c r="BW1045" s="120">
        <f>(BW1044+BW1046)/2</f>
        <v>16.2575</v>
      </c>
      <c r="BX1045" s="120">
        <f>(BW1045+BY1045)/2</f>
        <v>16.730499999999999</v>
      </c>
      <c r="BY1045" s="120">
        <f>(BY1044+BY1046)/2</f>
        <v>17.203499999999998</v>
      </c>
      <c r="BZ1045" s="120">
        <f>(BY1045+CA1045)/2</f>
        <v>17.616999999999997</v>
      </c>
      <c r="CA1045" s="120">
        <f>(CA1044+CA1046)/2</f>
        <v>18.0305</v>
      </c>
      <c r="CB1045" s="120">
        <f>(CA1045+CC1045)/2</f>
        <v>18.49475</v>
      </c>
      <c r="CC1045" s="120">
        <f>(CC1044+CC1046)/2</f>
        <v>18.959</v>
      </c>
      <c r="CD1045" s="120">
        <f>(CC1045+CE1045)/2</f>
        <v>19.387999999999998</v>
      </c>
      <c r="CE1045" s="120">
        <f>(CE1044+CE1046)/2</f>
        <v>19.817</v>
      </c>
      <c r="CF1045" s="120">
        <f>(CE1045+CG1045)/2</f>
        <v>20.243000000000002</v>
      </c>
      <c r="CG1045" s="120">
        <f>(CG1044+CG1046)/2</f>
        <v>20.669</v>
      </c>
      <c r="CH1045" s="120">
        <f>(CG1045+CI1045)/2</f>
        <v>21.0945</v>
      </c>
      <c r="CI1045" s="120">
        <f>(CI1044+CI1046)/2</f>
        <v>21.52</v>
      </c>
      <c r="CJ1045" s="120">
        <f>(CI1045+CK1045)/2</f>
        <v>21.965</v>
      </c>
      <c r="CK1045" s="120">
        <f>(CK1044+CK1046)/2</f>
        <v>22.41</v>
      </c>
      <c r="CL1045" s="120">
        <f>(CK1045+CM1045)/2</f>
        <v>22.819749999999999</v>
      </c>
      <c r="CM1045" s="120">
        <f>(CM1044+CM1046)/2</f>
        <v>23.229500000000002</v>
      </c>
      <c r="CN1045" s="120">
        <f>(CM1045+CO1045)/2</f>
        <v>23.636000000000003</v>
      </c>
      <c r="CO1045" s="120">
        <f>(CO1044+CO1046)/2</f>
        <v>24.0425</v>
      </c>
      <c r="CP1045" s="120">
        <f>(CO1045+CQ1045)/2</f>
        <v>24.456000000000003</v>
      </c>
      <c r="CQ1045" s="120">
        <f>(CQ1044+CQ1046)/2</f>
        <v>24.869500000000002</v>
      </c>
      <c r="CR1045" s="120">
        <f>(CQ1045+CS1045)/2</f>
        <v>25.307500000000001</v>
      </c>
      <c r="CS1045" s="120">
        <f>(CS1044+CS1046)/2</f>
        <v>25.7455</v>
      </c>
      <c r="CT1045" s="120">
        <f>(CS1045+CU1045)/2</f>
        <v>26.13625</v>
      </c>
      <c r="CU1045" s="120">
        <f>(CU1044+CU1046)/2</f>
        <v>26.527000000000001</v>
      </c>
      <c r="CV1045" s="120">
        <f>(CU1045+CW1045)/2</f>
        <v>26.933500000000002</v>
      </c>
      <c r="CW1045" s="120">
        <f>(CW1044+CW1046)/2</f>
        <v>27.34</v>
      </c>
      <c r="CX1045" s="120">
        <f>(CW1045+CY1045)/2</f>
        <v>27.734000000000002</v>
      </c>
      <c r="CY1045" s="120">
        <f>(CY1044+CY1046)/2</f>
        <v>28.128</v>
      </c>
      <c r="CZ1045" s="120">
        <f>(CY1045+DA1045)/2</f>
        <v>28.554000000000002</v>
      </c>
      <c r="DA1045" s="120">
        <f>(DA1044+DA1046)/2</f>
        <v>28.98</v>
      </c>
      <c r="DB1045" s="120">
        <f>(DA1045+DC1045)/2</f>
        <v>29.366999999999997</v>
      </c>
      <c r="DC1045" s="120">
        <f>(DC1044+DC1046)/2</f>
        <v>29.753999999999998</v>
      </c>
      <c r="DD1045" s="120">
        <f>(DC1045+DE1045)/2</f>
        <v>30.157</v>
      </c>
      <c r="DE1045" s="120">
        <f>(DE1044+DE1046)/2</f>
        <v>30.560000000000002</v>
      </c>
      <c r="DF1045" s="120">
        <f>(DE1045+DG1045)/2</f>
        <v>30.954250000000002</v>
      </c>
      <c r="DG1045" s="122">
        <f>(DG1044+DG1046)/2</f>
        <v>31.348500000000001</v>
      </c>
    </row>
    <row r="1046" spans="54:111" ht="15" customHeight="1" x14ac:dyDescent="0.2">
      <c r="BB1046" s="28">
        <v>10</v>
      </c>
      <c r="BC1046" s="121">
        <v>6.0709999999999997</v>
      </c>
      <c r="BD1046" s="121">
        <v>6.7974999999999994</v>
      </c>
      <c r="BE1046" s="121">
        <v>7.524</v>
      </c>
      <c r="BF1046" s="121">
        <v>8.1489999999999991</v>
      </c>
      <c r="BG1046" s="121">
        <v>8.7739999999999991</v>
      </c>
      <c r="BH1046" s="121">
        <f t="array" ref="BH1046:BH1096">TRANSPOSE(BI1045:DG1045)</f>
        <v>9.3844999999999992</v>
      </c>
      <c r="BI1046" s="158">
        <v>9.9949999999999992</v>
      </c>
      <c r="BJ1046" s="120">
        <f>(BK1046+BI1046)/2</f>
        <v>10.542999999999999</v>
      </c>
      <c r="BK1046" s="158">
        <v>11.090999999999999</v>
      </c>
      <c r="BL1046" s="120">
        <f>(BM1046+BK1046)/2</f>
        <v>11.6625</v>
      </c>
      <c r="BM1046" s="158">
        <v>12.234</v>
      </c>
      <c r="BN1046" s="120">
        <f>(BO1046+BM1046)/2</f>
        <v>12.743500000000001</v>
      </c>
      <c r="BO1046" s="158">
        <v>13.253</v>
      </c>
      <c r="BP1046" s="120">
        <f>(BQ1046+BO1046)/2</f>
        <v>13.7865</v>
      </c>
      <c r="BQ1046" s="158">
        <v>14.32</v>
      </c>
      <c r="BR1046" s="120">
        <f>(BS1046+BQ1046)/2</f>
        <v>14.829000000000001</v>
      </c>
      <c r="BS1046" s="158">
        <v>15.337999999999999</v>
      </c>
      <c r="BT1046" s="120">
        <f>(BU1046+BS1046)/2</f>
        <v>15.833500000000001</v>
      </c>
      <c r="BU1046" s="158">
        <v>16.329000000000001</v>
      </c>
      <c r="BV1046" s="120">
        <f>(BW1046+BU1046)/2</f>
        <v>16.838000000000001</v>
      </c>
      <c r="BW1046" s="158">
        <v>17.347000000000001</v>
      </c>
      <c r="BX1046" s="120">
        <f>(BY1046+BW1046)/2</f>
        <v>17.835000000000001</v>
      </c>
      <c r="BY1046" s="158">
        <v>18.323</v>
      </c>
      <c r="BZ1046" s="120">
        <f>(CA1046+BY1046)/2</f>
        <v>18.755000000000003</v>
      </c>
      <c r="CA1046" s="158">
        <v>19.187000000000001</v>
      </c>
      <c r="CB1046" s="120">
        <f>(CC1046+CA1046)/2</f>
        <v>19.682500000000001</v>
      </c>
      <c r="CC1046" s="158">
        <v>20.178000000000001</v>
      </c>
      <c r="CD1046" s="120">
        <f>(CE1046+CC1046)/2</f>
        <v>20.648499999999999</v>
      </c>
      <c r="CE1046" s="158">
        <v>21.119</v>
      </c>
      <c r="CF1046" s="120">
        <f>(CG1046+CE1046)/2</f>
        <v>21.576000000000001</v>
      </c>
      <c r="CG1046" s="158">
        <v>22.033000000000001</v>
      </c>
      <c r="CH1046" s="120">
        <f>(CI1046+CG1046)/2</f>
        <v>22.464500000000001</v>
      </c>
      <c r="CI1046" s="158">
        <v>22.896000000000001</v>
      </c>
      <c r="CJ1046" s="120">
        <f>(CK1046+CI1046)/2</f>
        <v>23.391500000000001</v>
      </c>
      <c r="CK1046" s="158">
        <v>23.887</v>
      </c>
      <c r="CL1046" s="120">
        <f>(CM1046+CK1046)/2</f>
        <v>24.319000000000003</v>
      </c>
      <c r="CM1046" s="158">
        <v>24.751000000000001</v>
      </c>
      <c r="CN1046" s="120">
        <f>(CO1046+CM1046)/2</f>
        <v>25.207500000000003</v>
      </c>
      <c r="CO1046" s="158">
        <v>25.664000000000001</v>
      </c>
      <c r="CP1046" s="120">
        <f>(CQ1046+CO1046)/2</f>
        <v>26.096499999999999</v>
      </c>
      <c r="CQ1046" s="158">
        <v>26.529</v>
      </c>
      <c r="CR1046" s="120">
        <f>(CS1046+CQ1046)/2</f>
        <v>26.985500000000002</v>
      </c>
      <c r="CS1046" s="158">
        <v>27.442</v>
      </c>
      <c r="CT1046" s="120">
        <f>(CU1046+CS1046)/2</f>
        <v>27.874499999999998</v>
      </c>
      <c r="CU1046" s="158">
        <v>28.306999999999999</v>
      </c>
      <c r="CV1046" s="120">
        <f>(CW1046+CU1046)/2</f>
        <v>28.725000000000001</v>
      </c>
      <c r="CW1046" s="158">
        <v>29.143000000000001</v>
      </c>
      <c r="CX1046" s="120">
        <f>(CY1046+CW1046)/2</f>
        <v>29.575000000000003</v>
      </c>
      <c r="CY1046" s="158">
        <v>30.007000000000001</v>
      </c>
      <c r="CZ1046" s="120">
        <f>(DA1046+CY1046)/2</f>
        <v>30.463999999999999</v>
      </c>
      <c r="DA1046" s="158">
        <v>30.920999999999999</v>
      </c>
      <c r="DB1046" s="120">
        <f>(DC1046+DA1046)/2</f>
        <v>31.314</v>
      </c>
      <c r="DC1046" s="158">
        <v>31.707000000000001</v>
      </c>
      <c r="DD1046" s="120">
        <f>(DE1046+DC1046)/2</f>
        <v>32.164000000000001</v>
      </c>
      <c r="DE1046" s="158">
        <v>32.621000000000002</v>
      </c>
      <c r="DF1046" s="120">
        <f>(DG1046+DE1046)/2</f>
        <v>33.014499999999998</v>
      </c>
      <c r="DG1046" s="159">
        <v>33.408000000000001</v>
      </c>
    </row>
    <row r="1047" spans="54:111" ht="15" customHeight="1" x14ac:dyDescent="0.2">
      <c r="BB1047" s="28">
        <v>11</v>
      </c>
      <c r="BC1047" s="121">
        <v>6.4219999999999997</v>
      </c>
      <c r="BD1047" s="121">
        <v>7.1739999999999995</v>
      </c>
      <c r="BE1047" s="121">
        <v>7.9260000000000002</v>
      </c>
      <c r="BF1047" s="121">
        <v>8.6050000000000004</v>
      </c>
      <c r="BG1047" s="121">
        <v>9.2839999999999989</v>
      </c>
      <c r="BH1047" s="121">
        <v>9.9134999999999991</v>
      </c>
      <c r="BI1047" s="121">
        <f t="array" ref="BI1047:BI1096">TRANSPOSE(BJ1046:DG1046)</f>
        <v>10.542999999999999</v>
      </c>
      <c r="BJ1047" s="120">
        <f>(BI1047+BK1047)/2</f>
        <v>11.140749999999999</v>
      </c>
      <c r="BK1047" s="120">
        <f>(BK1046+BK1048)/2</f>
        <v>11.738499999999998</v>
      </c>
      <c r="BL1047" s="120">
        <f>(BK1047+BM1047)/2</f>
        <v>12.328999999999999</v>
      </c>
      <c r="BM1047" s="120">
        <f>(BM1046+BM1048)/2</f>
        <v>12.919499999999999</v>
      </c>
      <c r="BN1047" s="120">
        <f>(BM1047+BO1047)/2</f>
        <v>13.466749999999999</v>
      </c>
      <c r="BO1047" s="120">
        <f>(BO1046+BO1048)/2</f>
        <v>14.013999999999999</v>
      </c>
      <c r="BP1047" s="120">
        <f>(BO1047+BQ1047)/2</f>
        <v>14.5855</v>
      </c>
      <c r="BQ1047" s="120">
        <f>(BQ1046+BQ1048)/2</f>
        <v>15.157</v>
      </c>
      <c r="BR1047" s="120">
        <f>(BQ1047+BS1047)/2</f>
        <v>15.700749999999999</v>
      </c>
      <c r="BS1047" s="120">
        <f>(BS1046+BS1048)/2</f>
        <v>16.244499999999999</v>
      </c>
      <c r="BT1047" s="120">
        <f>(BS1047+BU1047)/2</f>
        <v>16.758499999999998</v>
      </c>
      <c r="BU1047" s="120">
        <f>(BU1046+BU1048)/2</f>
        <v>17.272500000000001</v>
      </c>
      <c r="BV1047" s="120">
        <f>(BU1047+BW1047)/2</f>
        <v>17.8125</v>
      </c>
      <c r="BW1047" s="120">
        <f>(BW1046+BW1048)/2</f>
        <v>18.352499999999999</v>
      </c>
      <c r="BX1047" s="120">
        <f>(BW1047+BY1047)/2</f>
        <v>18.850249999999999</v>
      </c>
      <c r="BY1047" s="120">
        <f>(BY1046+BY1048)/2</f>
        <v>19.347999999999999</v>
      </c>
      <c r="BZ1047" s="120">
        <f>(BY1047+CA1047)/2</f>
        <v>19.830500000000001</v>
      </c>
      <c r="CA1047" s="120">
        <f>(CA1046+CA1048)/2</f>
        <v>20.313000000000002</v>
      </c>
      <c r="CB1047" s="120">
        <f>(CA1047+CC1047)/2</f>
        <v>20.827000000000002</v>
      </c>
      <c r="CC1047" s="120">
        <f>(CC1046+CC1048)/2</f>
        <v>21.341000000000001</v>
      </c>
      <c r="CD1047" s="120">
        <f>(CC1047+CE1047)/2</f>
        <v>21.84225</v>
      </c>
      <c r="CE1047" s="120">
        <f>(CE1046+CE1048)/2</f>
        <v>22.343499999999999</v>
      </c>
      <c r="CF1047" s="120">
        <f>(CE1047+CG1047)/2</f>
        <v>22.841999999999999</v>
      </c>
      <c r="CG1047" s="120">
        <f>(CG1046+CG1048)/2</f>
        <v>23.340499999999999</v>
      </c>
      <c r="CH1047" s="120">
        <f>(CG1047+CI1047)/2</f>
        <v>23.81025</v>
      </c>
      <c r="CI1047" s="120">
        <f>(CI1046+CI1048)/2</f>
        <v>24.28</v>
      </c>
      <c r="CJ1047" s="120">
        <f>(CI1047+CK1047)/2</f>
        <v>24.774750000000001</v>
      </c>
      <c r="CK1047" s="120">
        <f>(CK1046+CK1048)/2</f>
        <v>25.269500000000001</v>
      </c>
      <c r="CL1047" s="120">
        <f>(CK1047+CM1047)/2</f>
        <v>25.752000000000002</v>
      </c>
      <c r="CM1047" s="120">
        <f>(CM1046+CM1048)/2</f>
        <v>26.234500000000001</v>
      </c>
      <c r="CN1047" s="120">
        <f>(CM1047+CO1047)/2</f>
        <v>26.709499999999998</v>
      </c>
      <c r="CO1047" s="120">
        <f>(CO1046+CO1048)/2</f>
        <v>27.1845</v>
      </c>
      <c r="CP1047" s="120">
        <f>(CO1047+CQ1047)/2</f>
        <v>27.647750000000002</v>
      </c>
      <c r="CQ1047" s="120">
        <f>(CQ1046+CQ1048)/2</f>
        <v>28.111000000000001</v>
      </c>
      <c r="CR1047" s="120">
        <f>(CQ1047+CS1047)/2</f>
        <v>28.573999999999998</v>
      </c>
      <c r="CS1047" s="120">
        <f>(CS1046+CS1048)/2</f>
        <v>29.036999999999999</v>
      </c>
      <c r="CT1047" s="120">
        <f>(CS1047+CU1047)/2</f>
        <v>29.503999999999998</v>
      </c>
      <c r="CU1047" s="120">
        <f>(CU1046+CU1048)/2</f>
        <v>29.971</v>
      </c>
      <c r="CV1047" s="120">
        <f>(CU1047+CW1047)/2</f>
        <v>30.427</v>
      </c>
      <c r="CW1047" s="120">
        <f>(CW1046+CW1048)/2</f>
        <v>30.882999999999999</v>
      </c>
      <c r="CX1047" s="120">
        <f>(CW1047+CY1047)/2</f>
        <v>31.345750000000002</v>
      </c>
      <c r="CY1047" s="120">
        <f>(CY1046+CY1048)/2</f>
        <v>31.808500000000002</v>
      </c>
      <c r="CZ1047" s="120">
        <f>(CY1047+DA1047)/2</f>
        <v>32.28425</v>
      </c>
      <c r="DA1047" s="120">
        <f>(DA1046+DA1048)/2</f>
        <v>32.76</v>
      </c>
      <c r="DB1047" s="120">
        <f>(DA1047+DC1047)/2</f>
        <v>33.191000000000003</v>
      </c>
      <c r="DC1047" s="120">
        <f>(DC1046+DC1048)/2</f>
        <v>33.622</v>
      </c>
      <c r="DD1047" s="120">
        <f>(DC1047+DE1047)/2</f>
        <v>34.097499999999997</v>
      </c>
      <c r="DE1047" s="120">
        <f>(DE1046+DE1048)/2</f>
        <v>34.573</v>
      </c>
      <c r="DF1047" s="120">
        <f>(DE1047+DG1047)/2</f>
        <v>35.0015</v>
      </c>
      <c r="DG1047" s="122">
        <f>(DG1046+DG1048)/2</f>
        <v>35.43</v>
      </c>
    </row>
    <row r="1048" spans="54:111" ht="15" customHeight="1" x14ac:dyDescent="0.2">
      <c r="BB1048" s="28">
        <v>12</v>
      </c>
      <c r="BC1048" s="121">
        <v>6.7729999999999997</v>
      </c>
      <c r="BD1048" s="121">
        <v>7.5504999999999995</v>
      </c>
      <c r="BE1048" s="121">
        <v>8.3279999999999994</v>
      </c>
      <c r="BF1048" s="121">
        <v>9.0609999999999999</v>
      </c>
      <c r="BG1048" s="121">
        <v>9.7940000000000005</v>
      </c>
      <c r="BH1048" s="121">
        <v>10.442499999999999</v>
      </c>
      <c r="BI1048" s="121">
        <v>11.090999999999999</v>
      </c>
      <c r="BJ1048" s="121">
        <f t="array" ref="BJ1048:BJ1096">TRANSPOSE(BK1047:DG1047)</f>
        <v>11.738499999999998</v>
      </c>
      <c r="BK1048" s="158">
        <v>12.385999999999999</v>
      </c>
      <c r="BL1048" s="120">
        <f>(BM1048+BK1048)/2</f>
        <v>12.9955</v>
      </c>
      <c r="BM1048" s="158">
        <v>13.605</v>
      </c>
      <c r="BN1048" s="120">
        <f>(BO1048+BM1048)/2</f>
        <v>14.190000000000001</v>
      </c>
      <c r="BO1048" s="158">
        <v>14.775</v>
      </c>
      <c r="BP1048" s="120">
        <f>(BQ1048+BO1048)/2</f>
        <v>15.384499999999999</v>
      </c>
      <c r="BQ1048" s="158">
        <v>15.994</v>
      </c>
      <c r="BR1048" s="120">
        <f>(BS1048+BQ1048)/2</f>
        <v>16.572499999999998</v>
      </c>
      <c r="BS1048" s="158">
        <v>17.151</v>
      </c>
      <c r="BT1048" s="120">
        <f>(BU1048+BS1048)/2</f>
        <v>17.683500000000002</v>
      </c>
      <c r="BU1048" s="158">
        <v>18.216000000000001</v>
      </c>
      <c r="BV1048" s="120">
        <f>(BW1048+BU1048)/2</f>
        <v>18.786999999999999</v>
      </c>
      <c r="BW1048" s="158">
        <v>19.358000000000001</v>
      </c>
      <c r="BX1048" s="120">
        <f>(BY1048+BW1048)/2</f>
        <v>19.865500000000001</v>
      </c>
      <c r="BY1048" s="158">
        <v>20.373000000000001</v>
      </c>
      <c r="BZ1048" s="120">
        <f>(CA1048+BY1048)/2</f>
        <v>20.905999999999999</v>
      </c>
      <c r="CA1048" s="158">
        <v>21.439</v>
      </c>
      <c r="CB1048" s="120">
        <f>(CC1048+CA1048)/2</f>
        <v>21.971499999999999</v>
      </c>
      <c r="CC1048" s="158">
        <v>22.504000000000001</v>
      </c>
      <c r="CD1048" s="120">
        <f>(CE1048+CC1048)/2</f>
        <v>23.036000000000001</v>
      </c>
      <c r="CE1048" s="158">
        <v>23.568000000000001</v>
      </c>
      <c r="CF1048" s="120">
        <f>(CG1048+CE1048)/2</f>
        <v>24.108000000000001</v>
      </c>
      <c r="CG1048" s="158">
        <v>24.648</v>
      </c>
      <c r="CH1048" s="120">
        <f>(CI1048+CG1048)/2</f>
        <v>25.155999999999999</v>
      </c>
      <c r="CI1048" s="158">
        <v>25.664000000000001</v>
      </c>
      <c r="CJ1048" s="120">
        <f>(CK1048+CI1048)/2</f>
        <v>26.158000000000001</v>
      </c>
      <c r="CK1048" s="158">
        <v>26.652000000000001</v>
      </c>
      <c r="CL1048" s="120">
        <f>(CM1048+CK1048)/2</f>
        <v>27.185000000000002</v>
      </c>
      <c r="CM1048" s="158">
        <v>27.718</v>
      </c>
      <c r="CN1048" s="120">
        <f>(CO1048+CM1048)/2</f>
        <v>28.211500000000001</v>
      </c>
      <c r="CO1048" s="158">
        <v>28.704999999999998</v>
      </c>
      <c r="CP1048" s="120">
        <f>(CQ1048+CO1048)/2</f>
        <v>29.198999999999998</v>
      </c>
      <c r="CQ1048" s="158">
        <v>29.693000000000001</v>
      </c>
      <c r="CR1048" s="120">
        <f>(CS1048+CQ1048)/2</f>
        <v>30.162500000000001</v>
      </c>
      <c r="CS1048" s="158">
        <v>30.632000000000001</v>
      </c>
      <c r="CT1048" s="120">
        <f>(CU1048+CS1048)/2</f>
        <v>31.133500000000002</v>
      </c>
      <c r="CU1048" s="158">
        <v>31.635000000000002</v>
      </c>
      <c r="CV1048" s="120">
        <f>(CW1048+CU1048)/2</f>
        <v>32.128999999999998</v>
      </c>
      <c r="CW1048" s="158">
        <v>32.622999999999998</v>
      </c>
      <c r="CX1048" s="120">
        <f>(CY1048+CW1048)/2</f>
        <v>33.116500000000002</v>
      </c>
      <c r="CY1048" s="158">
        <v>33.61</v>
      </c>
      <c r="CZ1048" s="120">
        <f>(DA1048+CY1048)/2</f>
        <v>34.104500000000002</v>
      </c>
      <c r="DA1048" s="158">
        <v>34.598999999999997</v>
      </c>
      <c r="DB1048" s="120">
        <f>(DC1048+DA1048)/2</f>
        <v>35.067999999999998</v>
      </c>
      <c r="DC1048" s="158">
        <v>35.536999999999999</v>
      </c>
      <c r="DD1048" s="120">
        <f>(DE1048+DC1048)/2</f>
        <v>36.030999999999999</v>
      </c>
      <c r="DE1048" s="158">
        <v>36.524999999999999</v>
      </c>
      <c r="DF1048" s="120">
        <f>(DG1048+DE1048)/2</f>
        <v>36.988500000000002</v>
      </c>
      <c r="DG1048" s="159">
        <v>37.451999999999998</v>
      </c>
    </row>
    <row r="1049" spans="54:111" ht="15" customHeight="1" x14ac:dyDescent="0.2">
      <c r="BB1049" s="28">
        <v>13</v>
      </c>
      <c r="BC1049" s="121">
        <v>7.1074999999999999</v>
      </c>
      <c r="BD1049" s="121">
        <v>7.9352499999999999</v>
      </c>
      <c r="BE1049" s="121">
        <v>8.7629999999999999</v>
      </c>
      <c r="BF1049" s="121">
        <v>9.5107499999999998</v>
      </c>
      <c r="BG1049" s="121">
        <v>10.258500000000002</v>
      </c>
      <c r="BH1049" s="121">
        <v>10.9605</v>
      </c>
      <c r="BI1049" s="121">
        <v>11.6625</v>
      </c>
      <c r="BJ1049" s="121">
        <v>12.328999999999999</v>
      </c>
      <c r="BK1049" s="121">
        <f t="array" ref="BK1049:BK1096">TRANSPOSE(BL1048:DG1048)</f>
        <v>12.9955</v>
      </c>
      <c r="BL1049" s="120">
        <f>(BK1049+BM1049)/2</f>
        <v>13.643000000000001</v>
      </c>
      <c r="BM1049" s="120">
        <f>(BM1048+BM1050)/2</f>
        <v>14.290500000000002</v>
      </c>
      <c r="BN1049" s="120">
        <f>(BM1049+BO1049)/2</f>
        <v>14.910250000000001</v>
      </c>
      <c r="BO1049" s="120">
        <f>(BO1048+BO1050)/2</f>
        <v>15.530000000000001</v>
      </c>
      <c r="BP1049" s="120">
        <f>(BO1049+BQ1049)/2</f>
        <v>16.15775</v>
      </c>
      <c r="BQ1049" s="120">
        <f>(BQ1048+BQ1050)/2</f>
        <v>16.785499999999999</v>
      </c>
      <c r="BR1049" s="120">
        <f>(BQ1049+BS1049)/2</f>
        <v>17.378999999999998</v>
      </c>
      <c r="BS1049" s="120">
        <f>(BS1048+BS1050)/2</f>
        <v>17.9725</v>
      </c>
      <c r="BT1049" s="120">
        <f>(BS1049+BU1049)/2</f>
        <v>18.566000000000003</v>
      </c>
      <c r="BU1049" s="120">
        <f>(BU1048+BU1050)/2</f>
        <v>19.159500000000001</v>
      </c>
      <c r="BV1049" s="120">
        <f>(BU1049+BW1049)/2</f>
        <v>19.729750000000003</v>
      </c>
      <c r="BW1049" s="120">
        <f>(BW1048+BW1050)/2</f>
        <v>20.3</v>
      </c>
      <c r="BX1049" s="120">
        <f>(BW1049+BY1049)/2</f>
        <v>20.857750000000003</v>
      </c>
      <c r="BY1049" s="120">
        <f>(BY1048+BY1050)/2</f>
        <v>21.415500000000002</v>
      </c>
      <c r="BZ1049" s="120">
        <f>(BY1049+CA1049)/2</f>
        <v>21.990000000000002</v>
      </c>
      <c r="CA1049" s="120">
        <f>(CA1048+CA1050)/2</f>
        <v>22.564500000000002</v>
      </c>
      <c r="CB1049" s="120">
        <f>(CA1049+CC1049)/2</f>
        <v>23.127750000000002</v>
      </c>
      <c r="CC1049" s="120">
        <f>(CC1048+CC1050)/2</f>
        <v>23.691000000000003</v>
      </c>
      <c r="CD1049" s="120">
        <f>(CC1049+CE1049)/2</f>
        <v>24.245750000000001</v>
      </c>
      <c r="CE1049" s="120">
        <f>(CE1048+CE1050)/2</f>
        <v>24.8005</v>
      </c>
      <c r="CF1049" s="120">
        <f>(CE1049+CG1049)/2</f>
        <v>25.355499999999999</v>
      </c>
      <c r="CG1049" s="120">
        <f>(CG1048+CG1050)/2</f>
        <v>25.910499999999999</v>
      </c>
      <c r="CH1049" s="120">
        <f>(CG1049+CI1049)/2</f>
        <v>26.4495</v>
      </c>
      <c r="CI1049" s="120">
        <f>(CI1048+CI1050)/2</f>
        <v>26.988500000000002</v>
      </c>
      <c r="CJ1049" s="120">
        <f>(CI1049+CK1049)/2</f>
        <v>27.524000000000001</v>
      </c>
      <c r="CK1049" s="120">
        <f>(CK1048+CK1050)/2</f>
        <v>28.0595</v>
      </c>
      <c r="CL1049" s="120">
        <f>(CK1049+CM1049)/2</f>
        <v>28.5915</v>
      </c>
      <c r="CM1049" s="120">
        <f>(CM1048+CM1050)/2</f>
        <v>29.1235</v>
      </c>
      <c r="CN1049" s="120">
        <f>(CM1049+CO1049)/2</f>
        <v>29.655249999999999</v>
      </c>
      <c r="CO1049" s="120">
        <f>(CO1048+CO1050)/2</f>
        <v>30.186999999999998</v>
      </c>
      <c r="CP1049" s="120">
        <f>(CO1049+CQ1049)/2</f>
        <v>30.703250000000001</v>
      </c>
      <c r="CQ1049" s="120">
        <f>(CQ1048+CQ1050)/2</f>
        <v>31.219500000000004</v>
      </c>
      <c r="CR1049" s="120">
        <f>(CQ1049+CS1049)/2</f>
        <v>31.739250000000002</v>
      </c>
      <c r="CS1049" s="120">
        <f>(CS1048+CS1050)/2</f>
        <v>32.259</v>
      </c>
      <c r="CT1049" s="120">
        <f>(CS1049+CU1049)/2</f>
        <v>32.77525</v>
      </c>
      <c r="CU1049" s="120">
        <f>(CU1048+CU1050)/2</f>
        <v>33.291499999999999</v>
      </c>
      <c r="CV1049" s="120">
        <f>(CU1049+CW1049)/2</f>
        <v>33.820250000000001</v>
      </c>
      <c r="CW1049" s="120">
        <f>(CW1048+CW1050)/2</f>
        <v>34.349000000000004</v>
      </c>
      <c r="CX1049" s="120">
        <f>(CW1049+CY1049)/2</f>
        <v>34.861249999999998</v>
      </c>
      <c r="CY1049" s="120">
        <f>(CY1048+CY1050)/2</f>
        <v>35.3735</v>
      </c>
      <c r="CZ1049" s="120">
        <f>(CY1049+DA1049)/2</f>
        <v>35.886499999999998</v>
      </c>
      <c r="DA1049" s="120">
        <f>(DA1048+DA1050)/2</f>
        <v>36.399500000000003</v>
      </c>
      <c r="DB1049" s="120">
        <f>(DA1049+DC1049)/2</f>
        <v>36.903500000000001</v>
      </c>
      <c r="DC1049" s="120">
        <f>(DC1048+DC1050)/2</f>
        <v>37.407499999999999</v>
      </c>
      <c r="DD1049" s="120">
        <f>(DC1049+DE1049)/2</f>
        <v>37.92</v>
      </c>
      <c r="DE1049" s="120">
        <f>(DE1048+DE1050)/2</f>
        <v>38.432500000000005</v>
      </c>
      <c r="DF1049" s="120">
        <f>(DE1049+DG1049)/2</f>
        <v>38.929749999999999</v>
      </c>
      <c r="DG1049" s="122">
        <f>(DG1048+DG1050)/2</f>
        <v>39.427</v>
      </c>
    </row>
    <row r="1050" spans="54:111" ht="15" customHeight="1" x14ac:dyDescent="0.2">
      <c r="BB1050" s="28">
        <v>14</v>
      </c>
      <c r="BC1050" s="121">
        <v>7.4420000000000002</v>
      </c>
      <c r="BD1050" s="121">
        <v>8.32</v>
      </c>
      <c r="BE1050" s="121">
        <v>9.1980000000000004</v>
      </c>
      <c r="BF1050" s="121">
        <v>9.9604999999999997</v>
      </c>
      <c r="BG1050" s="121">
        <v>10.723000000000001</v>
      </c>
      <c r="BH1050" s="121">
        <v>11.4785</v>
      </c>
      <c r="BI1050" s="121">
        <v>12.234</v>
      </c>
      <c r="BJ1050" s="121">
        <v>12.919499999999999</v>
      </c>
      <c r="BK1050" s="121">
        <v>13.605</v>
      </c>
      <c r="BL1050" s="121">
        <f t="array" ref="BL1050:BL1096">TRANSPOSE(BM1049:DG1049)</f>
        <v>14.290500000000002</v>
      </c>
      <c r="BM1050" s="158">
        <v>14.976000000000001</v>
      </c>
      <c r="BN1050" s="120">
        <f>(BO1050+BM1050)/2</f>
        <v>15.630500000000001</v>
      </c>
      <c r="BO1050" s="158">
        <v>16.285</v>
      </c>
      <c r="BP1050" s="120">
        <f>(BQ1050+BO1050)/2</f>
        <v>16.931000000000001</v>
      </c>
      <c r="BQ1050" s="158">
        <v>17.577000000000002</v>
      </c>
      <c r="BR1050" s="120">
        <f>(BS1050+BQ1050)/2</f>
        <v>18.185500000000001</v>
      </c>
      <c r="BS1050" s="158">
        <v>18.794</v>
      </c>
      <c r="BT1050" s="120">
        <f>(BU1050+BS1050)/2</f>
        <v>19.448500000000003</v>
      </c>
      <c r="BU1050" s="158">
        <v>20.103000000000002</v>
      </c>
      <c r="BV1050" s="120">
        <f>(BW1050+BU1050)/2</f>
        <v>20.672499999999999</v>
      </c>
      <c r="BW1050" s="158">
        <v>21.242000000000001</v>
      </c>
      <c r="BX1050" s="120">
        <f>(BY1050+BW1050)/2</f>
        <v>21.85</v>
      </c>
      <c r="BY1050" s="158">
        <v>22.457999999999998</v>
      </c>
      <c r="BZ1050" s="120">
        <f>(CA1050+BY1050)/2</f>
        <v>23.073999999999998</v>
      </c>
      <c r="CA1050" s="158">
        <v>23.69</v>
      </c>
      <c r="CB1050" s="120">
        <f>(CC1050+CA1050)/2</f>
        <v>24.283999999999999</v>
      </c>
      <c r="CC1050" s="158">
        <v>24.878</v>
      </c>
      <c r="CD1050" s="120">
        <f>(CE1050+CC1050)/2</f>
        <v>25.455500000000001</v>
      </c>
      <c r="CE1050" s="158">
        <v>26.033000000000001</v>
      </c>
      <c r="CF1050" s="120">
        <f>(CG1050+CE1050)/2</f>
        <v>26.603000000000002</v>
      </c>
      <c r="CG1050" s="158">
        <v>27.172999999999998</v>
      </c>
      <c r="CH1050" s="120">
        <f>(CI1050+CG1050)/2</f>
        <v>27.742999999999999</v>
      </c>
      <c r="CI1050" s="158">
        <v>28.312999999999999</v>
      </c>
      <c r="CJ1050" s="120">
        <f>(CK1050+CI1050)/2</f>
        <v>28.89</v>
      </c>
      <c r="CK1050" s="158">
        <v>29.466999999999999</v>
      </c>
      <c r="CL1050" s="120">
        <f>(CM1050+CK1050)/2</f>
        <v>29.997999999999998</v>
      </c>
      <c r="CM1050" s="158">
        <v>30.529</v>
      </c>
      <c r="CN1050" s="120">
        <f>(CO1050+CM1050)/2</f>
        <v>31.099</v>
      </c>
      <c r="CO1050" s="158">
        <v>31.669</v>
      </c>
      <c r="CP1050" s="120">
        <f>(CQ1050+CO1050)/2</f>
        <v>32.207500000000003</v>
      </c>
      <c r="CQ1050" s="158">
        <v>32.746000000000002</v>
      </c>
      <c r="CR1050" s="120">
        <f>(CS1050+CQ1050)/2</f>
        <v>33.316000000000003</v>
      </c>
      <c r="CS1050" s="158">
        <v>33.886000000000003</v>
      </c>
      <c r="CT1050" s="120">
        <f>(CU1050+CS1050)/2</f>
        <v>34.417000000000002</v>
      </c>
      <c r="CU1050" s="158">
        <v>34.948</v>
      </c>
      <c r="CV1050" s="120">
        <f>(CW1050+CU1050)/2</f>
        <v>35.511499999999998</v>
      </c>
      <c r="CW1050" s="158">
        <v>36.075000000000003</v>
      </c>
      <c r="CX1050" s="120">
        <f>(CY1050+CW1050)/2</f>
        <v>36.606000000000002</v>
      </c>
      <c r="CY1050" s="158">
        <v>37.137</v>
      </c>
      <c r="CZ1050" s="120">
        <f>(DA1050+CY1050)/2</f>
        <v>37.668500000000002</v>
      </c>
      <c r="DA1050" s="158">
        <v>38.200000000000003</v>
      </c>
      <c r="DB1050" s="120">
        <f>(DC1050+DA1050)/2</f>
        <v>38.739000000000004</v>
      </c>
      <c r="DC1050" s="158">
        <v>39.277999999999999</v>
      </c>
      <c r="DD1050" s="120">
        <f>(DE1050+DC1050)/2</f>
        <v>39.808999999999997</v>
      </c>
      <c r="DE1050" s="158">
        <v>40.340000000000003</v>
      </c>
      <c r="DF1050" s="120">
        <f>(DG1050+DE1050)/2</f>
        <v>40.871000000000002</v>
      </c>
      <c r="DG1050" s="159">
        <v>41.402000000000001</v>
      </c>
    </row>
    <row r="1051" spans="54:111" ht="15" customHeight="1" x14ac:dyDescent="0.2">
      <c r="BB1051" s="28">
        <v>15</v>
      </c>
      <c r="BC1051" s="121">
        <v>7.7934999999999999</v>
      </c>
      <c r="BD1051" s="121">
        <v>8.6937499999999996</v>
      </c>
      <c r="BE1051" s="121">
        <v>9.5940000000000012</v>
      </c>
      <c r="BF1051" s="121">
        <v>10.406749999999999</v>
      </c>
      <c r="BG1051" s="121">
        <v>11.2195</v>
      </c>
      <c r="BH1051" s="121">
        <v>11.9815</v>
      </c>
      <c r="BI1051" s="121">
        <v>12.743500000000001</v>
      </c>
      <c r="BJ1051" s="121">
        <v>13.466749999999999</v>
      </c>
      <c r="BK1051" s="121">
        <v>14.190000000000001</v>
      </c>
      <c r="BL1051" s="121">
        <v>14.910250000000001</v>
      </c>
      <c r="BM1051" s="121">
        <f t="array" ref="BM1051:BM1096">TRANSPOSE(BN1050:DG1050)</f>
        <v>15.630500000000001</v>
      </c>
      <c r="BN1051" s="120">
        <f>(BM1051+BO1051)/2</f>
        <v>16.318750000000001</v>
      </c>
      <c r="BO1051" s="120">
        <f>(BO1050+BO1052)/2</f>
        <v>17.006999999999998</v>
      </c>
      <c r="BP1051" s="120">
        <f>(BO1051+BQ1051)/2</f>
        <v>17.68825</v>
      </c>
      <c r="BQ1051" s="120">
        <f>(BQ1050+BQ1052)/2</f>
        <v>18.369500000000002</v>
      </c>
      <c r="BR1051" s="120">
        <f>(BQ1051+BS1051)/2</f>
        <v>19.015500000000003</v>
      </c>
      <c r="BS1051" s="120">
        <f>(BS1050+BS1052)/2</f>
        <v>19.6615</v>
      </c>
      <c r="BT1051" s="120">
        <f>(BS1051+BU1051)/2</f>
        <v>20.315249999999999</v>
      </c>
      <c r="BU1051" s="120">
        <f>(BU1050+BU1052)/2</f>
        <v>20.969000000000001</v>
      </c>
      <c r="BV1051" s="120">
        <f>(BU1051+BW1051)/2</f>
        <v>21.588999999999999</v>
      </c>
      <c r="BW1051" s="120">
        <f>(BW1050+BW1052)/2</f>
        <v>22.209</v>
      </c>
      <c r="BX1051" s="120">
        <f>(BW1051+BY1051)/2</f>
        <v>22.83925</v>
      </c>
      <c r="BY1051" s="120">
        <f>(BY1050+BY1052)/2</f>
        <v>23.4695</v>
      </c>
      <c r="BZ1051" s="120">
        <f>(BY1051+CA1051)/2</f>
        <v>24.116500000000002</v>
      </c>
      <c r="CA1051" s="120">
        <f>(CA1050+CA1052)/2</f>
        <v>24.763500000000001</v>
      </c>
      <c r="CB1051" s="120">
        <f>(CA1051+CC1051)/2</f>
        <v>25.38325</v>
      </c>
      <c r="CC1051" s="120">
        <f>(CC1050+CC1052)/2</f>
        <v>26.003</v>
      </c>
      <c r="CD1051" s="120">
        <f>(CC1051+CE1051)/2</f>
        <v>26.599</v>
      </c>
      <c r="CE1051" s="120">
        <f>(CE1050+CE1052)/2</f>
        <v>27.195</v>
      </c>
      <c r="CF1051" s="120">
        <f>(CE1051+CG1051)/2</f>
        <v>27.795999999999999</v>
      </c>
      <c r="CG1051" s="120">
        <f>(CG1050+CG1052)/2</f>
        <v>28.396999999999998</v>
      </c>
      <c r="CH1051" s="120">
        <f>(CG1051+CI1051)/2</f>
        <v>28.988999999999997</v>
      </c>
      <c r="CI1051" s="120">
        <f>(CI1050+CI1052)/2</f>
        <v>29.581</v>
      </c>
      <c r="CJ1051" s="120">
        <f>(CI1051+CK1051)/2</f>
        <v>30.185499999999998</v>
      </c>
      <c r="CK1051" s="120">
        <f>(CK1050+CK1052)/2</f>
        <v>30.79</v>
      </c>
      <c r="CL1051" s="120">
        <f>(CK1051+CM1051)/2</f>
        <v>31.362500000000001</v>
      </c>
      <c r="CM1051" s="120">
        <f>(CM1050+CM1052)/2</f>
        <v>31.935000000000002</v>
      </c>
      <c r="CN1051" s="120">
        <f>(CM1051+CO1051)/2</f>
        <v>32.523499999999999</v>
      </c>
      <c r="CO1051" s="120">
        <f>(CO1050+CO1052)/2</f>
        <v>33.112000000000002</v>
      </c>
      <c r="CP1051" s="120">
        <f>(CO1051+CQ1051)/2</f>
        <v>33.701000000000008</v>
      </c>
      <c r="CQ1051" s="120">
        <f>(CQ1050+CQ1052)/2</f>
        <v>34.290000000000006</v>
      </c>
      <c r="CR1051" s="120">
        <f>(CQ1051+CS1051)/2</f>
        <v>34.859000000000002</v>
      </c>
      <c r="CS1051" s="120">
        <f>(CS1050+CS1052)/2</f>
        <v>35.427999999999997</v>
      </c>
      <c r="CT1051" s="120">
        <f>(CS1051+CU1051)/2</f>
        <v>36.013249999999999</v>
      </c>
      <c r="CU1051" s="120">
        <f>(CU1050+CU1052)/2</f>
        <v>36.598500000000001</v>
      </c>
      <c r="CV1051" s="120">
        <f>(CU1051+CW1051)/2</f>
        <v>37.164500000000004</v>
      </c>
      <c r="CW1051" s="120">
        <f>(CW1050+CW1052)/2</f>
        <v>37.730500000000006</v>
      </c>
      <c r="CX1051" s="120">
        <f>(CW1051+CY1051)/2</f>
        <v>38.284000000000006</v>
      </c>
      <c r="CY1051" s="120">
        <f>(CY1050+CY1052)/2</f>
        <v>38.837499999999999</v>
      </c>
      <c r="CZ1051" s="120">
        <f>(CY1051+DA1051)/2</f>
        <v>39.419250000000005</v>
      </c>
      <c r="DA1051" s="120">
        <f>(DA1050+DA1052)/2</f>
        <v>40.001000000000005</v>
      </c>
      <c r="DB1051" s="120">
        <f>(DA1051+DC1051)/2</f>
        <v>40.558500000000002</v>
      </c>
      <c r="DC1051" s="120">
        <f>(DC1050+DC1052)/2</f>
        <v>41.116</v>
      </c>
      <c r="DD1051" s="120">
        <f>(DC1051+DE1051)/2</f>
        <v>41.682000000000002</v>
      </c>
      <c r="DE1051" s="120">
        <f>(DE1050+DE1052)/2</f>
        <v>42.248000000000005</v>
      </c>
      <c r="DF1051" s="120">
        <f>(DE1051+DG1051)/2</f>
        <v>42.797499999999999</v>
      </c>
      <c r="DG1051" s="122">
        <f>(DG1050+DG1052)/2</f>
        <v>43.347000000000001</v>
      </c>
    </row>
    <row r="1052" spans="54:111" ht="15" customHeight="1" x14ac:dyDescent="0.2">
      <c r="BB1052" s="28">
        <v>16</v>
      </c>
      <c r="BC1052" s="121">
        <v>8.1449999999999996</v>
      </c>
      <c r="BD1052" s="121">
        <v>9.067499999999999</v>
      </c>
      <c r="BE1052" s="121">
        <v>9.99</v>
      </c>
      <c r="BF1052" s="121">
        <v>10.853</v>
      </c>
      <c r="BG1052" s="121">
        <v>11.715999999999999</v>
      </c>
      <c r="BH1052" s="121">
        <v>12.484500000000001</v>
      </c>
      <c r="BI1052" s="121">
        <v>13.253</v>
      </c>
      <c r="BJ1052" s="121">
        <v>14.013999999999999</v>
      </c>
      <c r="BK1052" s="121">
        <v>14.775</v>
      </c>
      <c r="BL1052" s="121">
        <v>15.530000000000001</v>
      </c>
      <c r="BM1052" s="121">
        <v>16.285</v>
      </c>
      <c r="BN1052" s="121">
        <f t="array" ref="BN1052:BN1096">TRANSPOSE(BO1051:DG1051)</f>
        <v>17.006999999999998</v>
      </c>
      <c r="BO1052" s="158">
        <v>17.728999999999999</v>
      </c>
      <c r="BP1052" s="120">
        <f>(BQ1052+BO1052)/2</f>
        <v>18.445499999999999</v>
      </c>
      <c r="BQ1052" s="158">
        <v>19.161999999999999</v>
      </c>
      <c r="BR1052" s="120">
        <f>(BS1052+BQ1052)/2</f>
        <v>19.845500000000001</v>
      </c>
      <c r="BS1052" s="158">
        <v>20.529</v>
      </c>
      <c r="BT1052" s="120">
        <f>(BU1052+BS1052)/2</f>
        <v>21.182000000000002</v>
      </c>
      <c r="BU1052" s="158">
        <v>21.835000000000001</v>
      </c>
      <c r="BV1052" s="120">
        <f>(BW1052+BU1052)/2</f>
        <v>22.505499999999998</v>
      </c>
      <c r="BW1052" s="158">
        <v>23.175999999999998</v>
      </c>
      <c r="BX1052" s="120">
        <f>(BY1052+BW1052)/2</f>
        <v>23.828499999999998</v>
      </c>
      <c r="BY1052" s="158">
        <v>24.481000000000002</v>
      </c>
      <c r="BZ1052" s="120">
        <f>(CA1052+BY1052)/2</f>
        <v>25.158999999999999</v>
      </c>
      <c r="CA1052" s="158">
        <v>25.837</v>
      </c>
      <c r="CB1052" s="120">
        <f>(CC1052+CA1052)/2</f>
        <v>26.482500000000002</v>
      </c>
      <c r="CC1052" s="158">
        <v>27.128</v>
      </c>
      <c r="CD1052" s="120">
        <f>(CE1052+CC1052)/2</f>
        <v>27.7425</v>
      </c>
      <c r="CE1052" s="158">
        <v>28.356999999999999</v>
      </c>
      <c r="CF1052" s="120">
        <f>(CG1052+CE1052)/2</f>
        <v>28.988999999999997</v>
      </c>
      <c r="CG1052" s="158">
        <v>29.620999999999999</v>
      </c>
      <c r="CH1052" s="120">
        <f>(CI1052+CG1052)/2</f>
        <v>30.234999999999999</v>
      </c>
      <c r="CI1052" s="158">
        <v>30.849</v>
      </c>
      <c r="CJ1052" s="120">
        <f>(CK1052+CI1052)/2</f>
        <v>31.481000000000002</v>
      </c>
      <c r="CK1052" s="158">
        <v>32.113</v>
      </c>
      <c r="CL1052" s="120">
        <f>(CM1052+CK1052)/2</f>
        <v>32.727000000000004</v>
      </c>
      <c r="CM1052" s="158">
        <v>33.341000000000001</v>
      </c>
      <c r="CN1052" s="120">
        <f>(CO1052+CM1052)/2</f>
        <v>33.948</v>
      </c>
      <c r="CO1052" s="158">
        <v>34.555</v>
      </c>
      <c r="CP1052" s="120">
        <f>(CQ1052+CO1052)/2</f>
        <v>35.194500000000005</v>
      </c>
      <c r="CQ1052" s="158">
        <v>35.834000000000003</v>
      </c>
      <c r="CR1052" s="120">
        <f>(CS1052+CQ1052)/2</f>
        <v>36.402000000000001</v>
      </c>
      <c r="CS1052" s="158">
        <v>36.97</v>
      </c>
      <c r="CT1052" s="120">
        <f>(CU1052+CS1052)/2</f>
        <v>37.609499999999997</v>
      </c>
      <c r="CU1052" s="158">
        <v>38.249000000000002</v>
      </c>
      <c r="CV1052" s="120">
        <f>(CW1052+CU1052)/2</f>
        <v>38.817500000000003</v>
      </c>
      <c r="CW1052" s="158">
        <v>39.386000000000003</v>
      </c>
      <c r="CX1052" s="120">
        <f>(CY1052+CW1052)/2</f>
        <v>39.962000000000003</v>
      </c>
      <c r="CY1052" s="158">
        <v>40.537999999999997</v>
      </c>
      <c r="CZ1052" s="120">
        <f>(DA1052+CY1052)/2</f>
        <v>41.17</v>
      </c>
      <c r="DA1052" s="158">
        <v>41.802</v>
      </c>
      <c r="DB1052" s="120">
        <f>(DC1052+DA1052)/2</f>
        <v>42.378</v>
      </c>
      <c r="DC1052" s="158">
        <v>42.954000000000001</v>
      </c>
      <c r="DD1052" s="120">
        <f>(DE1052+DC1052)/2</f>
        <v>43.555</v>
      </c>
      <c r="DE1052" s="158">
        <v>44.155999999999999</v>
      </c>
      <c r="DF1052" s="120">
        <f>(DG1052+DE1052)/2</f>
        <v>44.724000000000004</v>
      </c>
      <c r="DG1052" s="159">
        <v>45.292000000000002</v>
      </c>
    </row>
    <row r="1053" spans="54:111" ht="15" customHeight="1" x14ac:dyDescent="0.2">
      <c r="BB1053" s="28">
        <v>17</v>
      </c>
      <c r="BC1053" s="121">
        <v>8.4329999999999998</v>
      </c>
      <c r="BD1053" s="121">
        <v>9.4057499999999994</v>
      </c>
      <c r="BE1053" s="121">
        <v>10.378499999999999</v>
      </c>
      <c r="BF1053" s="121">
        <v>11.263999999999999</v>
      </c>
      <c r="BG1053" s="121">
        <v>12.1495</v>
      </c>
      <c r="BH1053" s="121">
        <v>12.968</v>
      </c>
      <c r="BI1053" s="121">
        <v>13.7865</v>
      </c>
      <c r="BJ1053" s="121">
        <v>14.5855</v>
      </c>
      <c r="BK1053" s="121">
        <v>15.384499999999999</v>
      </c>
      <c r="BL1053" s="121">
        <v>16.15775</v>
      </c>
      <c r="BM1053" s="121">
        <v>16.931000000000001</v>
      </c>
      <c r="BN1053" s="121">
        <v>17.68825</v>
      </c>
      <c r="BO1053" s="121">
        <f t="array" ref="BO1053:BO1096">TRANSPOSE(BP1052:DG1052)</f>
        <v>18.445499999999999</v>
      </c>
      <c r="BP1053" s="120">
        <f>(BO1053+BQ1053)/2</f>
        <v>19.167999999999999</v>
      </c>
      <c r="BQ1053" s="120">
        <f>(BQ1052+BQ1054)/2</f>
        <v>19.890499999999999</v>
      </c>
      <c r="BR1053" s="120">
        <f>(BQ1053+BS1053)/2</f>
        <v>20.605249999999998</v>
      </c>
      <c r="BS1053" s="120">
        <f>(BS1052+BS1054)/2</f>
        <v>21.32</v>
      </c>
      <c r="BT1053" s="120">
        <f>(BS1053+BU1053)/2</f>
        <v>22.023</v>
      </c>
      <c r="BU1053" s="120">
        <f>(BU1052+BU1054)/2</f>
        <v>22.725999999999999</v>
      </c>
      <c r="BV1053" s="120">
        <f>(BU1053+BW1053)/2</f>
        <v>23.425750000000001</v>
      </c>
      <c r="BW1053" s="120">
        <f>(BW1052+BW1054)/2</f>
        <v>24.125499999999999</v>
      </c>
      <c r="BX1053" s="120">
        <f>(BW1053+BY1053)/2</f>
        <v>24.805250000000001</v>
      </c>
      <c r="BY1053" s="120">
        <f>(BY1052+BY1054)/2</f>
        <v>25.484999999999999</v>
      </c>
      <c r="BZ1053" s="120">
        <f>(BY1053+CA1053)/2</f>
        <v>26.181750000000001</v>
      </c>
      <c r="CA1053" s="120">
        <f>(CA1052+CA1054)/2</f>
        <v>26.878500000000003</v>
      </c>
      <c r="CB1053" s="120">
        <f>(CA1053+CC1053)/2</f>
        <v>27.558500000000002</v>
      </c>
      <c r="CC1053" s="120">
        <f>(CC1052+CC1054)/2</f>
        <v>28.238500000000002</v>
      </c>
      <c r="CD1053" s="120">
        <f>(CC1053+CE1053)/2</f>
        <v>28.871749999999999</v>
      </c>
      <c r="CE1053" s="120">
        <f>(CE1052+CE1054)/2</f>
        <v>29.504999999999999</v>
      </c>
      <c r="CF1053" s="120">
        <f>(CE1053+CG1053)/2</f>
        <v>30.174500000000002</v>
      </c>
      <c r="CG1053" s="120">
        <f>(CG1052+CG1054)/2</f>
        <v>30.844000000000001</v>
      </c>
      <c r="CH1053" s="120">
        <f>(CG1053+CI1053)/2</f>
        <v>31.4895</v>
      </c>
      <c r="CI1053" s="120">
        <f>(CI1052+CI1054)/2</f>
        <v>32.134999999999998</v>
      </c>
      <c r="CJ1053" s="120">
        <f>(CI1053+CK1053)/2</f>
        <v>32.776499999999999</v>
      </c>
      <c r="CK1053" s="120">
        <f>(CK1052+CK1054)/2</f>
        <v>33.417999999999999</v>
      </c>
      <c r="CL1053" s="120">
        <f>(CK1053+CM1053)/2</f>
        <v>34.063500000000005</v>
      </c>
      <c r="CM1053" s="120">
        <f>(CM1052+CM1054)/2</f>
        <v>34.709000000000003</v>
      </c>
      <c r="CN1053" s="120">
        <f>(CM1053+CO1053)/2</f>
        <v>35.34675</v>
      </c>
      <c r="CO1053" s="120">
        <f>(CO1052+CO1054)/2</f>
        <v>35.984499999999997</v>
      </c>
      <c r="CP1053" s="120">
        <f>(CO1053+CQ1053)/2</f>
        <v>36.630250000000004</v>
      </c>
      <c r="CQ1053" s="120">
        <f>(CQ1052+CQ1054)/2</f>
        <v>37.276000000000003</v>
      </c>
      <c r="CR1053" s="120">
        <f>(CQ1053+CS1053)/2</f>
        <v>37.897999999999996</v>
      </c>
      <c r="CS1053" s="120">
        <f>(CS1052+CS1054)/2</f>
        <v>38.519999999999996</v>
      </c>
      <c r="CT1053" s="120">
        <f>(CS1053+CU1053)/2</f>
        <v>39.174499999999995</v>
      </c>
      <c r="CU1053" s="120">
        <f>(CU1052+CU1054)/2</f>
        <v>39.829000000000001</v>
      </c>
      <c r="CV1053" s="120">
        <f>(CU1053+CW1053)/2</f>
        <v>40.432249999999996</v>
      </c>
      <c r="CW1053" s="120">
        <f>(CW1052+CW1054)/2</f>
        <v>41.035499999999999</v>
      </c>
      <c r="CX1053" s="120">
        <f>(CW1053+CY1053)/2</f>
        <v>41.649499999999996</v>
      </c>
      <c r="CY1053" s="120">
        <f>(CY1052+CY1054)/2</f>
        <v>42.263499999999993</v>
      </c>
      <c r="CZ1053" s="120">
        <f>(CY1053+DA1053)/2</f>
        <v>42.898249999999997</v>
      </c>
      <c r="DA1053" s="120">
        <f>(DA1052+DA1054)/2</f>
        <v>43.533000000000001</v>
      </c>
      <c r="DB1053" s="120">
        <f>(DA1053+DC1053)/2</f>
        <v>44.155500000000004</v>
      </c>
      <c r="DC1053" s="120">
        <f>(DC1052+DC1054)/2</f>
        <v>44.777999999999999</v>
      </c>
      <c r="DD1053" s="120">
        <f>(DC1053+DE1053)/2</f>
        <v>45.385000000000005</v>
      </c>
      <c r="DE1053" s="120">
        <f>(DE1052+DE1054)/2</f>
        <v>45.992000000000004</v>
      </c>
      <c r="DF1053" s="120">
        <f>(DE1053+DG1053)/2</f>
        <v>46.59525</v>
      </c>
      <c r="DG1053" s="122">
        <f>(DG1052+DG1054)/2</f>
        <v>47.198499999999996</v>
      </c>
    </row>
    <row r="1054" spans="54:111" ht="15" customHeight="1" x14ac:dyDescent="0.2">
      <c r="BB1054" s="28">
        <v>18</v>
      </c>
      <c r="BC1054" s="121">
        <v>8.7210000000000001</v>
      </c>
      <c r="BD1054" s="121">
        <v>9.7439999999999998</v>
      </c>
      <c r="BE1054" s="121">
        <v>10.766999999999999</v>
      </c>
      <c r="BF1054" s="121">
        <v>11.675000000000001</v>
      </c>
      <c r="BG1054" s="121">
        <v>12.583</v>
      </c>
      <c r="BH1054" s="121">
        <v>13.451499999999999</v>
      </c>
      <c r="BI1054" s="121">
        <v>14.32</v>
      </c>
      <c r="BJ1054" s="121">
        <v>15.157</v>
      </c>
      <c r="BK1054" s="121">
        <v>15.994</v>
      </c>
      <c r="BL1054" s="121">
        <v>16.785499999999999</v>
      </c>
      <c r="BM1054" s="121">
        <v>17.577000000000002</v>
      </c>
      <c r="BN1054" s="121">
        <v>18.369500000000002</v>
      </c>
      <c r="BO1054" s="121">
        <v>19.161999999999999</v>
      </c>
      <c r="BP1054" s="121">
        <f t="array" ref="BP1054:BP1096">TRANSPOSE(BQ1053:DG1053)</f>
        <v>19.890499999999999</v>
      </c>
      <c r="BQ1054" s="158">
        <v>20.619</v>
      </c>
      <c r="BR1054" s="120">
        <f>(BS1054+BQ1054)/2</f>
        <v>21.365000000000002</v>
      </c>
      <c r="BS1054" s="158">
        <v>22.111000000000001</v>
      </c>
      <c r="BT1054" s="120">
        <f>(BU1054+BS1054)/2</f>
        <v>22.864000000000001</v>
      </c>
      <c r="BU1054" s="158">
        <v>23.617000000000001</v>
      </c>
      <c r="BV1054" s="120">
        <f>(BW1054+BU1054)/2</f>
        <v>24.346</v>
      </c>
      <c r="BW1054" s="158">
        <v>25.074999999999999</v>
      </c>
      <c r="BX1054" s="120">
        <f>(BY1054+BW1054)/2</f>
        <v>25.782</v>
      </c>
      <c r="BY1054" s="158">
        <v>26.489000000000001</v>
      </c>
      <c r="BZ1054" s="120">
        <f>(CA1054+BY1054)/2</f>
        <v>27.204500000000003</v>
      </c>
      <c r="CA1054" s="158">
        <v>27.92</v>
      </c>
      <c r="CB1054" s="120">
        <f>(CC1054+CA1054)/2</f>
        <v>28.634500000000003</v>
      </c>
      <c r="CC1054" s="158">
        <v>29.349</v>
      </c>
      <c r="CD1054" s="120">
        <f>(CE1054+CC1054)/2</f>
        <v>30.000999999999998</v>
      </c>
      <c r="CE1054" s="158">
        <v>30.652999999999999</v>
      </c>
      <c r="CF1054" s="120">
        <f>(CG1054+CE1054)/2</f>
        <v>31.36</v>
      </c>
      <c r="CG1054" s="158">
        <v>32.067</v>
      </c>
      <c r="CH1054" s="120">
        <f>(CI1054+CG1054)/2</f>
        <v>32.744</v>
      </c>
      <c r="CI1054" s="158">
        <v>33.420999999999999</v>
      </c>
      <c r="CJ1054" s="120">
        <f>(CK1054+CI1054)/2</f>
        <v>34.072000000000003</v>
      </c>
      <c r="CK1054" s="158">
        <v>34.722999999999999</v>
      </c>
      <c r="CL1054" s="120">
        <f>(CM1054+CK1054)/2</f>
        <v>35.4</v>
      </c>
      <c r="CM1054" s="158">
        <v>36.076999999999998</v>
      </c>
      <c r="CN1054" s="120">
        <f>(CO1054+CM1054)/2</f>
        <v>36.7455</v>
      </c>
      <c r="CO1054" s="158">
        <v>37.414000000000001</v>
      </c>
      <c r="CP1054" s="120">
        <f>(CQ1054+CO1054)/2</f>
        <v>38.066000000000003</v>
      </c>
      <c r="CQ1054" s="158">
        <v>38.718000000000004</v>
      </c>
      <c r="CR1054" s="120">
        <f>(CS1054+CQ1054)/2</f>
        <v>39.394000000000005</v>
      </c>
      <c r="CS1054" s="158">
        <v>40.07</v>
      </c>
      <c r="CT1054" s="120">
        <f>(CU1054+CS1054)/2</f>
        <v>40.7395</v>
      </c>
      <c r="CU1054" s="158">
        <v>41.408999999999999</v>
      </c>
      <c r="CV1054" s="120">
        <f>(CW1054+CU1054)/2</f>
        <v>42.046999999999997</v>
      </c>
      <c r="CW1054" s="158">
        <v>42.685000000000002</v>
      </c>
      <c r="CX1054" s="120">
        <f>(CY1054+CW1054)/2</f>
        <v>43.337000000000003</v>
      </c>
      <c r="CY1054" s="158">
        <v>43.988999999999997</v>
      </c>
      <c r="CZ1054" s="120">
        <f>(DA1054+CY1054)/2</f>
        <v>44.6265</v>
      </c>
      <c r="DA1054" s="158">
        <v>45.264000000000003</v>
      </c>
      <c r="DB1054" s="120">
        <f>(DC1054+DA1054)/2</f>
        <v>45.933</v>
      </c>
      <c r="DC1054" s="158">
        <v>46.601999999999997</v>
      </c>
      <c r="DD1054" s="120">
        <f>(DE1054+DC1054)/2</f>
        <v>47.215000000000003</v>
      </c>
      <c r="DE1054" s="158">
        <v>47.828000000000003</v>
      </c>
      <c r="DF1054" s="120">
        <f>(DG1054+DE1054)/2</f>
        <v>48.466499999999996</v>
      </c>
      <c r="DG1054" s="159">
        <v>49.104999999999997</v>
      </c>
    </row>
    <row r="1055" spans="54:111" ht="15" customHeight="1" x14ac:dyDescent="0.2">
      <c r="BB1055" s="28">
        <v>19</v>
      </c>
      <c r="BC1055" s="121">
        <v>9.0419999999999998</v>
      </c>
      <c r="BD1055" s="121">
        <v>10.083500000000001</v>
      </c>
      <c r="BE1055" s="121">
        <v>11.125</v>
      </c>
      <c r="BF1055" s="121">
        <v>12.07075</v>
      </c>
      <c r="BG1055" s="121">
        <v>13.016500000000001</v>
      </c>
      <c r="BH1055" s="121">
        <v>13.922749999999999</v>
      </c>
      <c r="BI1055" s="121">
        <v>14.829000000000001</v>
      </c>
      <c r="BJ1055" s="121">
        <v>15.700749999999999</v>
      </c>
      <c r="BK1055" s="121">
        <v>16.572499999999998</v>
      </c>
      <c r="BL1055" s="121">
        <v>17.378999999999998</v>
      </c>
      <c r="BM1055" s="121">
        <v>18.185500000000001</v>
      </c>
      <c r="BN1055" s="121">
        <v>19.015500000000003</v>
      </c>
      <c r="BO1055" s="121">
        <v>19.845500000000001</v>
      </c>
      <c r="BP1055" s="121">
        <v>20.605249999999998</v>
      </c>
      <c r="BQ1055" s="121">
        <f t="array" ref="BQ1055:BQ1096">TRANSPOSE(BR1054:DG1054)</f>
        <v>21.365000000000002</v>
      </c>
      <c r="BR1055" s="120">
        <f>(BQ1055+BS1055)/2</f>
        <v>22.1525</v>
      </c>
      <c r="BS1055" s="120">
        <f>(BS1054+BS1056)/2</f>
        <v>22.939999999999998</v>
      </c>
      <c r="BT1055" s="120">
        <f>(BS1055+BU1055)/2</f>
        <v>23.712</v>
      </c>
      <c r="BU1055" s="120">
        <f>(BU1054+BU1056)/2</f>
        <v>24.484000000000002</v>
      </c>
      <c r="BV1055" s="120">
        <f>(BU1055+BW1055)/2</f>
        <v>25.243749999999999</v>
      </c>
      <c r="BW1055" s="120">
        <f>(BW1054+BW1056)/2</f>
        <v>26.003499999999999</v>
      </c>
      <c r="BX1055" s="120">
        <f>(BW1055+BY1055)/2</f>
        <v>26.732749999999999</v>
      </c>
      <c r="BY1055" s="120">
        <f>(BY1054+BY1056)/2</f>
        <v>27.462</v>
      </c>
      <c r="BZ1055" s="120">
        <f>(BY1055+CA1055)/2</f>
        <v>28.195999999999998</v>
      </c>
      <c r="CA1055" s="120">
        <f>(CA1054+CA1056)/2</f>
        <v>28.93</v>
      </c>
      <c r="CB1055" s="120">
        <f>(CA1055+CC1055)/2</f>
        <v>29.663249999999998</v>
      </c>
      <c r="CC1055" s="120">
        <f>(CC1054+CC1056)/2</f>
        <v>30.3965</v>
      </c>
      <c r="CD1055" s="120">
        <f>(CC1055+CE1055)/2</f>
        <v>31.098749999999999</v>
      </c>
      <c r="CE1055" s="120">
        <f>(CE1054+CE1056)/2</f>
        <v>31.800999999999998</v>
      </c>
      <c r="CF1055" s="120">
        <f>(CE1055+CG1055)/2</f>
        <v>32.530500000000004</v>
      </c>
      <c r="CG1055" s="120">
        <f>(CG1054+CG1056)/2</f>
        <v>33.260000000000005</v>
      </c>
      <c r="CH1055" s="120">
        <f>(CG1055+CI1055)/2</f>
        <v>33.955250000000007</v>
      </c>
      <c r="CI1055" s="120">
        <f>(CI1054+CI1056)/2</f>
        <v>34.650500000000001</v>
      </c>
      <c r="CJ1055" s="120">
        <f>(CI1055+CK1055)/2</f>
        <v>35.348500000000001</v>
      </c>
      <c r="CK1055" s="120">
        <f>(CK1054+CK1056)/2</f>
        <v>36.046499999999995</v>
      </c>
      <c r="CL1055" s="120">
        <f>(CK1055+CM1055)/2</f>
        <v>36.741749999999996</v>
      </c>
      <c r="CM1055" s="120">
        <f>(CM1054+CM1056)/2</f>
        <v>37.436999999999998</v>
      </c>
      <c r="CN1055" s="120">
        <f>(CM1055+CO1055)/2</f>
        <v>38.128</v>
      </c>
      <c r="CO1055" s="120">
        <f>(CO1054+CO1056)/2</f>
        <v>38.819000000000003</v>
      </c>
      <c r="CP1055" s="120">
        <f>(CO1055+CQ1055)/2</f>
        <v>39.501750000000001</v>
      </c>
      <c r="CQ1055" s="120">
        <f>(CQ1054+CQ1056)/2</f>
        <v>40.1845</v>
      </c>
      <c r="CR1055" s="120">
        <f>(CQ1055+CS1055)/2</f>
        <v>40.8795</v>
      </c>
      <c r="CS1055" s="120">
        <f>(CS1054+CS1056)/2</f>
        <v>41.5745</v>
      </c>
      <c r="CT1055" s="120">
        <f>(CS1055+CU1055)/2</f>
        <v>42.266249999999999</v>
      </c>
      <c r="CU1055" s="120">
        <f>(CU1054+CU1056)/2</f>
        <v>42.957999999999998</v>
      </c>
      <c r="CV1055" s="120">
        <f>(CU1055+CW1055)/2</f>
        <v>43.633749999999999</v>
      </c>
      <c r="CW1055" s="120">
        <f>(CW1054+CW1056)/2</f>
        <v>44.3095</v>
      </c>
      <c r="CX1055" s="120">
        <f>(CW1055+CY1055)/2</f>
        <v>44.972999999999999</v>
      </c>
      <c r="CY1055" s="120">
        <f>(CY1054+CY1056)/2</f>
        <v>45.636499999999998</v>
      </c>
      <c r="CZ1055" s="120">
        <f>(CY1055+DA1055)/2</f>
        <v>46.312249999999999</v>
      </c>
      <c r="DA1055" s="120">
        <f>(DA1054+DA1056)/2</f>
        <v>46.988</v>
      </c>
      <c r="DB1055" s="120">
        <f>(DA1055+DC1055)/2</f>
        <v>47.679249999999996</v>
      </c>
      <c r="DC1055" s="120">
        <f>(DC1054+DC1056)/2</f>
        <v>48.3705</v>
      </c>
      <c r="DD1055" s="120">
        <f>(DC1055+DE1055)/2</f>
        <v>49.014499999999998</v>
      </c>
      <c r="DE1055" s="120">
        <f>(DE1054+DE1056)/2</f>
        <v>49.658500000000004</v>
      </c>
      <c r="DF1055" s="120">
        <f>(DE1055+DG1055)/2</f>
        <v>50.315249999999999</v>
      </c>
      <c r="DG1055" s="122">
        <f>(DG1054+DG1056)/2</f>
        <v>50.971999999999994</v>
      </c>
    </row>
    <row r="1056" spans="54:111" ht="15" customHeight="1" x14ac:dyDescent="0.2">
      <c r="BB1056" s="28">
        <v>20</v>
      </c>
      <c r="BC1056" s="121">
        <v>9.3629999999999995</v>
      </c>
      <c r="BD1056" s="121">
        <v>10.423</v>
      </c>
      <c r="BE1056" s="121">
        <v>11.483000000000001</v>
      </c>
      <c r="BF1056" s="121">
        <v>12.4665</v>
      </c>
      <c r="BG1056" s="121">
        <v>13.45</v>
      </c>
      <c r="BH1056" s="121">
        <v>14.393999999999998</v>
      </c>
      <c r="BI1056" s="121">
        <v>15.337999999999999</v>
      </c>
      <c r="BJ1056" s="121">
        <v>16.244499999999999</v>
      </c>
      <c r="BK1056" s="121">
        <v>17.151</v>
      </c>
      <c r="BL1056" s="121">
        <v>17.9725</v>
      </c>
      <c r="BM1056" s="121">
        <v>18.794</v>
      </c>
      <c r="BN1056" s="121">
        <v>19.6615</v>
      </c>
      <c r="BO1056" s="121">
        <v>20.529</v>
      </c>
      <c r="BP1056" s="121">
        <v>21.32</v>
      </c>
      <c r="BQ1056" s="121">
        <v>22.111000000000001</v>
      </c>
      <c r="BR1056" s="121">
        <f t="array" ref="BR1056:BR1096">TRANSPOSE(BS1055:DG1055)</f>
        <v>22.939999999999998</v>
      </c>
      <c r="BS1056" s="158">
        <v>23.768999999999998</v>
      </c>
      <c r="BT1056" s="120">
        <f>(BU1056+BS1056)/2</f>
        <v>24.56</v>
      </c>
      <c r="BU1056" s="158">
        <v>25.350999999999999</v>
      </c>
      <c r="BV1056" s="120">
        <f>(BW1056+BU1056)/2</f>
        <v>26.141500000000001</v>
      </c>
      <c r="BW1056" s="158">
        <v>26.931999999999999</v>
      </c>
      <c r="BX1056" s="120">
        <f>(BY1056+BW1056)/2</f>
        <v>27.683499999999999</v>
      </c>
      <c r="BY1056" s="158">
        <v>28.434999999999999</v>
      </c>
      <c r="BZ1056" s="120">
        <f>(CA1056+BY1056)/2</f>
        <v>29.1875</v>
      </c>
      <c r="CA1056" s="158">
        <v>29.94</v>
      </c>
      <c r="CB1056" s="120">
        <f>(CC1056+CA1056)/2</f>
        <v>30.692</v>
      </c>
      <c r="CC1056" s="158">
        <v>31.443999999999999</v>
      </c>
      <c r="CD1056" s="120">
        <f>(CE1056+CC1056)/2</f>
        <v>32.1965</v>
      </c>
      <c r="CE1056" s="158">
        <v>32.948999999999998</v>
      </c>
      <c r="CF1056" s="120">
        <f>(CG1056+CE1056)/2</f>
        <v>33.701000000000001</v>
      </c>
      <c r="CG1056" s="158">
        <v>34.453000000000003</v>
      </c>
      <c r="CH1056" s="120">
        <f>(CI1056+CG1056)/2</f>
        <v>35.166499999999999</v>
      </c>
      <c r="CI1056" s="158">
        <v>35.880000000000003</v>
      </c>
      <c r="CJ1056" s="120">
        <f>(CK1056+CI1056)/2</f>
        <v>36.625</v>
      </c>
      <c r="CK1056" s="158">
        <v>37.369999999999997</v>
      </c>
      <c r="CL1056" s="120">
        <f>(CM1056+CK1056)/2</f>
        <v>38.083500000000001</v>
      </c>
      <c r="CM1056" s="158">
        <v>38.796999999999997</v>
      </c>
      <c r="CN1056" s="120">
        <f>(CO1056+CM1056)/2</f>
        <v>39.510499999999993</v>
      </c>
      <c r="CO1056" s="158">
        <v>40.223999999999997</v>
      </c>
      <c r="CP1056" s="120">
        <f>(CQ1056+CO1056)/2</f>
        <v>40.9375</v>
      </c>
      <c r="CQ1056" s="158">
        <v>41.651000000000003</v>
      </c>
      <c r="CR1056" s="120">
        <f>(CS1056+CQ1056)/2</f>
        <v>42.365000000000002</v>
      </c>
      <c r="CS1056" s="158">
        <v>43.079000000000001</v>
      </c>
      <c r="CT1056" s="120">
        <f>(CU1056+CS1056)/2</f>
        <v>43.792999999999999</v>
      </c>
      <c r="CU1056" s="158">
        <v>44.506999999999998</v>
      </c>
      <c r="CV1056" s="120">
        <f>(CW1056+CU1056)/2</f>
        <v>45.220500000000001</v>
      </c>
      <c r="CW1056" s="158">
        <v>45.933999999999997</v>
      </c>
      <c r="CX1056" s="120">
        <f>(CY1056+CW1056)/2</f>
        <v>46.608999999999995</v>
      </c>
      <c r="CY1056" s="158">
        <v>47.283999999999999</v>
      </c>
      <c r="CZ1056" s="120">
        <f>(DA1056+CY1056)/2</f>
        <v>47.998000000000005</v>
      </c>
      <c r="DA1056" s="158">
        <v>48.712000000000003</v>
      </c>
      <c r="DB1056" s="120">
        <f>(DC1056+DA1056)/2</f>
        <v>49.4255</v>
      </c>
      <c r="DC1056" s="158">
        <v>50.139000000000003</v>
      </c>
      <c r="DD1056" s="120">
        <f>(DE1056+DC1056)/2</f>
        <v>50.814</v>
      </c>
      <c r="DE1056" s="158">
        <v>51.488999999999997</v>
      </c>
      <c r="DF1056" s="120">
        <f>(DG1056+DE1056)/2</f>
        <v>52.164000000000001</v>
      </c>
      <c r="DG1056" s="159">
        <v>52.838999999999999</v>
      </c>
    </row>
    <row r="1057" spans="54:111" ht="15" customHeight="1" x14ac:dyDescent="0.2">
      <c r="BB1057" s="28">
        <v>21</v>
      </c>
      <c r="BC1057" s="121">
        <v>9.6754999999999995</v>
      </c>
      <c r="BD1057" s="121">
        <v>10.773499999999999</v>
      </c>
      <c r="BE1057" s="121">
        <v>11.871500000000001</v>
      </c>
      <c r="BF1057" s="121">
        <v>12.8735</v>
      </c>
      <c r="BG1057" s="121">
        <v>13.875499999999999</v>
      </c>
      <c r="BH1057" s="121">
        <v>14.8545</v>
      </c>
      <c r="BI1057" s="121">
        <v>15.833500000000001</v>
      </c>
      <c r="BJ1057" s="121">
        <v>16.758499999999998</v>
      </c>
      <c r="BK1057" s="121">
        <v>17.683500000000002</v>
      </c>
      <c r="BL1057" s="121">
        <v>18.566000000000003</v>
      </c>
      <c r="BM1057" s="121">
        <v>19.448500000000003</v>
      </c>
      <c r="BN1057" s="121">
        <v>20.315249999999999</v>
      </c>
      <c r="BO1057" s="121">
        <v>21.182000000000002</v>
      </c>
      <c r="BP1057" s="121">
        <v>22.023</v>
      </c>
      <c r="BQ1057" s="121">
        <v>22.864000000000001</v>
      </c>
      <c r="BR1057" s="121">
        <v>23.712</v>
      </c>
      <c r="BS1057" s="121">
        <f t="array" ref="BS1057:BS1096">TRANSPOSE(BT1056:DG1056)</f>
        <v>24.56</v>
      </c>
      <c r="BT1057" s="120">
        <f>(BS1057+BU1057)/2</f>
        <v>25.369250000000001</v>
      </c>
      <c r="BU1057" s="120">
        <f>(BU1056+BU1058)/2</f>
        <v>26.1785</v>
      </c>
      <c r="BV1057" s="120">
        <f>(BU1057+BW1057)/2</f>
        <v>27</v>
      </c>
      <c r="BW1057" s="120">
        <f>(BW1056+BW1058)/2</f>
        <v>27.8215</v>
      </c>
      <c r="BX1057" s="120">
        <f>(BW1057+BY1057)/2</f>
        <v>28.611000000000001</v>
      </c>
      <c r="BY1057" s="120">
        <f>(BY1056+BY1058)/2</f>
        <v>29.400500000000001</v>
      </c>
      <c r="BZ1057" s="120">
        <f>(BY1057+CA1057)/2</f>
        <v>30.1755</v>
      </c>
      <c r="CA1057" s="120">
        <f>(CA1056+CA1058)/2</f>
        <v>30.950499999999998</v>
      </c>
      <c r="CB1057" s="120">
        <f>(CA1057+CC1057)/2</f>
        <v>31.752749999999999</v>
      </c>
      <c r="CC1057" s="120">
        <f>(CC1056+CC1058)/2</f>
        <v>32.555</v>
      </c>
      <c r="CD1057" s="120">
        <f>(CC1057+CE1057)/2</f>
        <v>33.325749999999999</v>
      </c>
      <c r="CE1057" s="120">
        <f>(CE1056+CE1058)/2</f>
        <v>34.096499999999999</v>
      </c>
      <c r="CF1057" s="120">
        <f>(CE1057+CG1057)/2</f>
        <v>34.84825</v>
      </c>
      <c r="CG1057" s="120">
        <f>(CG1056+CG1058)/2</f>
        <v>35.6</v>
      </c>
      <c r="CH1057" s="120">
        <f>(CG1057+CI1057)/2</f>
        <v>36.351250000000007</v>
      </c>
      <c r="CI1057" s="120">
        <f>(CI1056+CI1058)/2</f>
        <v>37.102500000000006</v>
      </c>
      <c r="CJ1057" s="120">
        <f>(CI1057+CK1057)/2</f>
        <v>37.882000000000005</v>
      </c>
      <c r="CK1057" s="120">
        <f>(CK1056+CK1058)/2</f>
        <v>38.661500000000004</v>
      </c>
      <c r="CL1057" s="120">
        <f>(CK1057+CM1057)/2</f>
        <v>39.393500000000003</v>
      </c>
      <c r="CM1057" s="120">
        <f>(CM1056+CM1058)/2</f>
        <v>40.125500000000002</v>
      </c>
      <c r="CN1057" s="120">
        <f>(CM1057+CO1057)/2</f>
        <v>40.877499999999998</v>
      </c>
      <c r="CO1057" s="120">
        <f>(CO1056+CO1058)/2</f>
        <v>41.629499999999993</v>
      </c>
      <c r="CP1057" s="120">
        <f>(CO1057+CQ1057)/2</f>
        <v>42.373999999999995</v>
      </c>
      <c r="CQ1057" s="120">
        <f>(CQ1056+CQ1058)/2</f>
        <v>43.118499999999997</v>
      </c>
      <c r="CR1057" s="120">
        <f>(CQ1057+CS1057)/2</f>
        <v>43.854500000000002</v>
      </c>
      <c r="CS1057" s="120">
        <f>(CS1056+CS1058)/2</f>
        <v>44.590499999999999</v>
      </c>
      <c r="CT1057" s="120">
        <f>(CS1057+CU1057)/2</f>
        <v>45.322999999999993</v>
      </c>
      <c r="CU1057" s="120">
        <f>(CU1056+CU1058)/2</f>
        <v>46.055499999999995</v>
      </c>
      <c r="CV1057" s="120">
        <f>(CU1057+CW1057)/2</f>
        <v>46.8</v>
      </c>
      <c r="CW1057" s="120">
        <f>(CW1056+CW1058)/2</f>
        <v>47.544499999999999</v>
      </c>
      <c r="CX1057" s="120">
        <f>(CW1057+CY1057)/2</f>
        <v>48.2575</v>
      </c>
      <c r="CY1057" s="120">
        <f>(CY1056+CY1058)/2</f>
        <v>48.970500000000001</v>
      </c>
      <c r="CZ1057" s="120">
        <f>(CY1057+DA1057)/2</f>
        <v>49.683750000000003</v>
      </c>
      <c r="DA1057" s="120">
        <f>(DA1056+DA1058)/2</f>
        <v>50.397000000000006</v>
      </c>
      <c r="DB1057" s="120">
        <f>(DA1057+DC1057)/2</f>
        <v>51.129250000000006</v>
      </c>
      <c r="DC1057" s="120">
        <f>(DC1056+DC1058)/2</f>
        <v>51.861500000000007</v>
      </c>
      <c r="DD1057" s="120">
        <f>(DC1057+DE1057)/2</f>
        <v>52.586500000000001</v>
      </c>
      <c r="DE1057" s="120">
        <f>(DE1056+DE1058)/2</f>
        <v>53.311499999999995</v>
      </c>
      <c r="DF1057" s="120">
        <f>(DE1057+DG1057)/2</f>
        <v>54.005249999999997</v>
      </c>
      <c r="DG1057" s="122">
        <f>(DG1056+DG1058)/2</f>
        <v>54.698999999999998</v>
      </c>
    </row>
    <row r="1058" spans="54:111" ht="15" customHeight="1" x14ac:dyDescent="0.2">
      <c r="BB1058" s="28">
        <v>22</v>
      </c>
      <c r="BC1058" s="121">
        <v>9.9879999999999995</v>
      </c>
      <c r="BD1058" s="121">
        <v>11.123999999999999</v>
      </c>
      <c r="BE1058" s="121">
        <v>12.26</v>
      </c>
      <c r="BF1058" s="121">
        <v>13.2805</v>
      </c>
      <c r="BG1058" s="121">
        <v>14.301</v>
      </c>
      <c r="BH1058" s="121">
        <v>15.315000000000001</v>
      </c>
      <c r="BI1058" s="121">
        <v>16.329000000000001</v>
      </c>
      <c r="BJ1058" s="121">
        <v>17.272500000000001</v>
      </c>
      <c r="BK1058" s="121">
        <v>18.216000000000001</v>
      </c>
      <c r="BL1058" s="121">
        <v>19.159500000000001</v>
      </c>
      <c r="BM1058" s="121">
        <v>20.103000000000002</v>
      </c>
      <c r="BN1058" s="121">
        <v>20.969000000000001</v>
      </c>
      <c r="BO1058" s="121">
        <v>21.835000000000001</v>
      </c>
      <c r="BP1058" s="121">
        <v>22.725999999999999</v>
      </c>
      <c r="BQ1058" s="121">
        <v>23.617000000000001</v>
      </c>
      <c r="BR1058" s="121">
        <v>24.484000000000002</v>
      </c>
      <c r="BS1058" s="121">
        <v>25.350999999999999</v>
      </c>
      <c r="BT1058" s="121">
        <f t="array" ref="BT1058:BT1096">TRANSPOSE(BU1057:DG1057)</f>
        <v>26.1785</v>
      </c>
      <c r="BU1058" s="158">
        <v>27.006</v>
      </c>
      <c r="BV1058" s="120">
        <f>(BW1058+BU1058)/2</f>
        <v>27.858499999999999</v>
      </c>
      <c r="BW1058" s="158">
        <v>28.710999999999999</v>
      </c>
      <c r="BX1058" s="120">
        <f>(BY1058+BW1058)/2</f>
        <v>29.538499999999999</v>
      </c>
      <c r="BY1058" s="158">
        <v>30.366</v>
      </c>
      <c r="BZ1058" s="120">
        <f>(CA1058+BY1058)/2</f>
        <v>31.163499999999999</v>
      </c>
      <c r="CA1058" s="158">
        <v>31.960999999999999</v>
      </c>
      <c r="CB1058" s="120">
        <f>(CC1058+CA1058)/2</f>
        <v>32.813499999999998</v>
      </c>
      <c r="CC1058" s="158">
        <v>33.665999999999997</v>
      </c>
      <c r="CD1058" s="120">
        <f>(CE1058+CC1058)/2</f>
        <v>34.454999999999998</v>
      </c>
      <c r="CE1058" s="158">
        <v>35.244</v>
      </c>
      <c r="CF1058" s="120">
        <f>(CG1058+CE1058)/2</f>
        <v>35.9955</v>
      </c>
      <c r="CG1058" s="158">
        <v>36.747</v>
      </c>
      <c r="CH1058" s="120">
        <f>(CI1058+CG1058)/2</f>
        <v>37.536000000000001</v>
      </c>
      <c r="CI1058" s="158">
        <v>38.325000000000003</v>
      </c>
      <c r="CJ1058" s="120">
        <f>(CK1058+CI1058)/2</f>
        <v>39.139000000000003</v>
      </c>
      <c r="CK1058" s="158">
        <v>39.953000000000003</v>
      </c>
      <c r="CL1058" s="120">
        <f>(CM1058+CK1058)/2</f>
        <v>40.703500000000005</v>
      </c>
      <c r="CM1058" s="158">
        <v>41.454000000000001</v>
      </c>
      <c r="CN1058" s="120">
        <f>(CO1058+CM1058)/2</f>
        <v>42.244500000000002</v>
      </c>
      <c r="CO1058" s="158">
        <v>43.034999999999997</v>
      </c>
      <c r="CP1058" s="120">
        <f>(CQ1058+CO1058)/2</f>
        <v>43.810499999999998</v>
      </c>
      <c r="CQ1058" s="158">
        <v>44.585999999999999</v>
      </c>
      <c r="CR1058" s="120">
        <f>(CS1058+CQ1058)/2</f>
        <v>45.343999999999994</v>
      </c>
      <c r="CS1058" s="158">
        <v>46.101999999999997</v>
      </c>
      <c r="CT1058" s="120">
        <f>(CU1058+CS1058)/2</f>
        <v>46.852999999999994</v>
      </c>
      <c r="CU1058" s="158">
        <v>47.603999999999999</v>
      </c>
      <c r="CV1058" s="120">
        <f>(CW1058+CU1058)/2</f>
        <v>48.3795</v>
      </c>
      <c r="CW1058" s="158">
        <v>49.155000000000001</v>
      </c>
      <c r="CX1058" s="120">
        <f>(CY1058+CW1058)/2</f>
        <v>49.905999999999999</v>
      </c>
      <c r="CY1058" s="158">
        <v>50.656999999999996</v>
      </c>
      <c r="CZ1058" s="120">
        <f>(DA1058+CY1058)/2</f>
        <v>51.369500000000002</v>
      </c>
      <c r="DA1058" s="158">
        <v>52.082000000000001</v>
      </c>
      <c r="DB1058" s="120">
        <f>(DC1058+DA1058)/2</f>
        <v>52.832999999999998</v>
      </c>
      <c r="DC1058" s="158">
        <v>53.584000000000003</v>
      </c>
      <c r="DD1058" s="120">
        <f>(DE1058+DC1058)/2</f>
        <v>54.359000000000002</v>
      </c>
      <c r="DE1058" s="158">
        <v>55.134</v>
      </c>
      <c r="DF1058" s="120">
        <f>(DG1058+DE1058)/2</f>
        <v>55.846499999999999</v>
      </c>
      <c r="DG1058" s="159">
        <v>56.558999999999997</v>
      </c>
    </row>
    <row r="1059" spans="54:111" ht="15" customHeight="1" x14ac:dyDescent="0.2">
      <c r="BB1059" s="28">
        <v>23</v>
      </c>
      <c r="BC1059" s="121">
        <v>10.2835</v>
      </c>
      <c r="BD1059" s="121">
        <v>11.450749999999999</v>
      </c>
      <c r="BE1059" s="121">
        <v>12.618</v>
      </c>
      <c r="BF1059" s="121">
        <v>13.67625</v>
      </c>
      <c r="BG1059" s="121">
        <v>14.734500000000001</v>
      </c>
      <c r="BH1059" s="121">
        <v>15.786250000000001</v>
      </c>
      <c r="BI1059" s="121">
        <v>16.838000000000001</v>
      </c>
      <c r="BJ1059" s="121">
        <v>17.8125</v>
      </c>
      <c r="BK1059" s="121">
        <v>18.786999999999999</v>
      </c>
      <c r="BL1059" s="121">
        <v>19.729750000000003</v>
      </c>
      <c r="BM1059" s="121">
        <v>20.672499999999999</v>
      </c>
      <c r="BN1059" s="121">
        <v>21.588999999999999</v>
      </c>
      <c r="BO1059" s="121">
        <v>22.505499999999998</v>
      </c>
      <c r="BP1059" s="121">
        <v>23.425750000000001</v>
      </c>
      <c r="BQ1059" s="121">
        <v>24.346</v>
      </c>
      <c r="BR1059" s="121">
        <v>25.243749999999999</v>
      </c>
      <c r="BS1059" s="121">
        <v>26.141500000000001</v>
      </c>
      <c r="BT1059" s="121">
        <v>27</v>
      </c>
      <c r="BU1059" s="121">
        <f t="array" ref="BU1059:BU1096">TRANSPOSE(BV1058:DG1058)</f>
        <v>27.858499999999999</v>
      </c>
      <c r="BV1059" s="120">
        <f>(BU1059+BW1059)/2</f>
        <v>28.721</v>
      </c>
      <c r="BW1059" s="120">
        <f>(BW1058+BW1060)/2</f>
        <v>29.583500000000001</v>
      </c>
      <c r="BX1059" s="120">
        <f>(BW1059+BY1059)/2</f>
        <v>30.442250000000001</v>
      </c>
      <c r="BY1059" s="120">
        <f>(BY1058+BY1060)/2</f>
        <v>31.300999999999998</v>
      </c>
      <c r="BZ1059" s="120">
        <f>(BY1059+CA1059)/2</f>
        <v>32.132249999999999</v>
      </c>
      <c r="CA1059" s="120">
        <f>(CA1058+CA1060)/2</f>
        <v>32.963499999999996</v>
      </c>
      <c r="CB1059" s="120">
        <f>(CA1059+CC1059)/2</f>
        <v>33.819249999999997</v>
      </c>
      <c r="CC1059" s="120">
        <f>(CC1058+CC1060)/2</f>
        <v>34.674999999999997</v>
      </c>
      <c r="CD1059" s="120">
        <f>(CC1059+CE1059)/2</f>
        <v>35.514249999999997</v>
      </c>
      <c r="CE1059" s="120">
        <f>(CE1058+CE1060)/2</f>
        <v>36.353499999999997</v>
      </c>
      <c r="CF1059" s="120">
        <f>(CE1059+CG1059)/2</f>
        <v>37.142499999999998</v>
      </c>
      <c r="CG1059" s="120">
        <f>(CG1058+CG1060)/2</f>
        <v>37.9315</v>
      </c>
      <c r="CH1059" s="120">
        <f>(CG1059+CI1059)/2</f>
        <v>38.751750000000001</v>
      </c>
      <c r="CI1059" s="120">
        <f>(CI1058+CI1060)/2</f>
        <v>39.572000000000003</v>
      </c>
      <c r="CJ1059" s="120">
        <f>(CI1059+CK1059)/2</f>
        <v>40.377250000000004</v>
      </c>
      <c r="CK1059" s="120">
        <f>(CK1058+CK1060)/2</f>
        <v>41.182500000000005</v>
      </c>
      <c r="CL1059" s="120">
        <f>(CK1059+CM1059)/2</f>
        <v>41.983249999999998</v>
      </c>
      <c r="CM1059" s="120">
        <f>(CM1058+CM1060)/2</f>
        <v>42.783999999999999</v>
      </c>
      <c r="CN1059" s="120">
        <f>(CM1059+CO1059)/2</f>
        <v>43.604749999999996</v>
      </c>
      <c r="CO1059" s="120">
        <f>(CO1058+CO1060)/2</f>
        <v>44.4255</v>
      </c>
      <c r="CP1059" s="120">
        <f>(CO1059+CQ1059)/2</f>
        <v>45.210999999999999</v>
      </c>
      <c r="CQ1059" s="120">
        <f>(CQ1058+CQ1060)/2</f>
        <v>45.996499999999997</v>
      </c>
      <c r="CR1059" s="120">
        <f>(CQ1059+CS1059)/2</f>
        <v>46.781999999999996</v>
      </c>
      <c r="CS1059" s="120">
        <f>(CS1058+CS1060)/2</f>
        <v>47.567499999999995</v>
      </c>
      <c r="CT1059" s="120">
        <f>(CS1059+CU1059)/2</f>
        <v>48.337249999999997</v>
      </c>
      <c r="CU1059" s="120">
        <f>(CU1058+CU1060)/2</f>
        <v>49.106999999999999</v>
      </c>
      <c r="CV1059" s="120">
        <f>(CU1059+CW1059)/2</f>
        <v>49.90475</v>
      </c>
      <c r="CW1059" s="120">
        <f>(CW1058+CW1060)/2</f>
        <v>50.702500000000001</v>
      </c>
      <c r="CX1059" s="120">
        <f>(CW1059+CY1059)/2</f>
        <v>51.484499999999997</v>
      </c>
      <c r="CY1059" s="120">
        <f>(CY1058+CY1060)/2</f>
        <v>52.266499999999994</v>
      </c>
      <c r="CZ1059" s="120">
        <f>(CY1059+DA1059)/2</f>
        <v>53.016749999999995</v>
      </c>
      <c r="DA1059" s="120">
        <f>(DA1058+DA1060)/2</f>
        <v>53.766999999999996</v>
      </c>
      <c r="DB1059" s="120">
        <f>(DA1059+DC1059)/2</f>
        <v>54.552499999999995</v>
      </c>
      <c r="DC1059" s="120">
        <f>(DC1058+DC1060)/2</f>
        <v>55.338000000000001</v>
      </c>
      <c r="DD1059" s="120">
        <f>(DC1059+DE1059)/2</f>
        <v>56.119749999999996</v>
      </c>
      <c r="DE1059" s="120">
        <f>(DE1058+DE1060)/2</f>
        <v>56.901499999999999</v>
      </c>
      <c r="DF1059" s="120">
        <f>(DE1059+DG1059)/2</f>
        <v>57.664249999999996</v>
      </c>
      <c r="DG1059" s="122">
        <f>(DG1058+DG1060)/2</f>
        <v>58.427</v>
      </c>
    </row>
    <row r="1060" spans="54:111" ht="15" customHeight="1" x14ac:dyDescent="0.2">
      <c r="BB1060" s="28">
        <v>24</v>
      </c>
      <c r="BC1060" s="121">
        <v>10.579000000000001</v>
      </c>
      <c r="BD1060" s="121">
        <v>11.7775</v>
      </c>
      <c r="BE1060" s="121">
        <v>12.976000000000001</v>
      </c>
      <c r="BF1060" s="121">
        <v>14.071999999999999</v>
      </c>
      <c r="BG1060" s="121">
        <v>15.167999999999999</v>
      </c>
      <c r="BH1060" s="121">
        <v>16.2575</v>
      </c>
      <c r="BI1060" s="121">
        <v>17.347000000000001</v>
      </c>
      <c r="BJ1060" s="121">
        <v>18.352499999999999</v>
      </c>
      <c r="BK1060" s="121">
        <v>19.358000000000001</v>
      </c>
      <c r="BL1060" s="121">
        <v>20.3</v>
      </c>
      <c r="BM1060" s="121">
        <v>21.242000000000001</v>
      </c>
      <c r="BN1060" s="121">
        <v>22.209</v>
      </c>
      <c r="BO1060" s="121">
        <v>23.175999999999998</v>
      </c>
      <c r="BP1060" s="121">
        <v>24.125499999999999</v>
      </c>
      <c r="BQ1060" s="121">
        <v>25.074999999999999</v>
      </c>
      <c r="BR1060" s="121">
        <v>26.003499999999999</v>
      </c>
      <c r="BS1060" s="121">
        <v>26.931999999999999</v>
      </c>
      <c r="BT1060" s="121">
        <v>27.8215</v>
      </c>
      <c r="BU1060" s="121">
        <v>28.710999999999999</v>
      </c>
      <c r="BV1060" s="121">
        <f t="array" ref="BV1060:BV1096">TRANSPOSE(BW1059:DG1059)</f>
        <v>29.583500000000001</v>
      </c>
      <c r="BW1060" s="158">
        <v>30.456</v>
      </c>
      <c r="BX1060" s="120">
        <f>(BY1060+BW1060)/2</f>
        <v>31.345999999999997</v>
      </c>
      <c r="BY1060" s="158">
        <v>32.235999999999997</v>
      </c>
      <c r="BZ1060" s="120">
        <f>(CA1060+BY1060)/2</f>
        <v>33.100999999999999</v>
      </c>
      <c r="CA1060" s="158">
        <v>33.966000000000001</v>
      </c>
      <c r="CB1060" s="120">
        <f>(CC1060+CA1060)/2</f>
        <v>34.825000000000003</v>
      </c>
      <c r="CC1060" s="158">
        <v>35.683999999999997</v>
      </c>
      <c r="CD1060" s="120">
        <f>(CE1060+CC1060)/2</f>
        <v>36.573499999999996</v>
      </c>
      <c r="CE1060" s="158">
        <v>37.463000000000001</v>
      </c>
      <c r="CF1060" s="120">
        <f>(CG1060+CE1060)/2</f>
        <v>38.289500000000004</v>
      </c>
      <c r="CG1060" s="158">
        <v>39.116</v>
      </c>
      <c r="CH1060" s="120">
        <f>(CI1060+CG1060)/2</f>
        <v>39.967500000000001</v>
      </c>
      <c r="CI1060" s="158">
        <v>40.819000000000003</v>
      </c>
      <c r="CJ1060" s="120">
        <f>(CK1060+CI1060)/2</f>
        <v>41.615499999999997</v>
      </c>
      <c r="CK1060" s="158">
        <v>42.411999999999999</v>
      </c>
      <c r="CL1060" s="120">
        <f>(CM1060+CK1060)/2</f>
        <v>43.262999999999998</v>
      </c>
      <c r="CM1060" s="158">
        <v>44.113999999999997</v>
      </c>
      <c r="CN1060" s="120">
        <f>(CO1060+CM1060)/2</f>
        <v>44.965000000000003</v>
      </c>
      <c r="CO1060" s="158">
        <v>45.816000000000003</v>
      </c>
      <c r="CP1060" s="120">
        <f>(CQ1060+CO1060)/2</f>
        <v>46.611499999999999</v>
      </c>
      <c r="CQ1060" s="158">
        <v>47.406999999999996</v>
      </c>
      <c r="CR1060" s="120">
        <f>(CS1060+CQ1060)/2</f>
        <v>48.22</v>
      </c>
      <c r="CS1060" s="158">
        <v>49.033000000000001</v>
      </c>
      <c r="CT1060" s="120">
        <f>(CU1060+CS1060)/2</f>
        <v>49.8215</v>
      </c>
      <c r="CU1060" s="158">
        <v>50.61</v>
      </c>
      <c r="CV1060" s="120">
        <f>(CW1060+CU1060)/2</f>
        <v>51.43</v>
      </c>
      <c r="CW1060" s="158">
        <v>52.25</v>
      </c>
      <c r="CX1060" s="120">
        <f>(CY1060+CW1060)/2</f>
        <v>53.063000000000002</v>
      </c>
      <c r="CY1060" s="158">
        <v>53.875999999999998</v>
      </c>
      <c r="CZ1060" s="120">
        <f>(DA1060+CY1060)/2</f>
        <v>54.664000000000001</v>
      </c>
      <c r="DA1060" s="158">
        <v>55.451999999999998</v>
      </c>
      <c r="DB1060" s="120">
        <f>(DC1060+DA1060)/2</f>
        <v>56.271999999999998</v>
      </c>
      <c r="DC1060" s="158">
        <v>57.091999999999999</v>
      </c>
      <c r="DD1060" s="120">
        <f>(DE1060+DC1060)/2</f>
        <v>57.880499999999998</v>
      </c>
      <c r="DE1060" s="158">
        <v>58.668999999999997</v>
      </c>
      <c r="DF1060" s="120">
        <f>(DG1060+DE1060)/2</f>
        <v>59.481999999999999</v>
      </c>
      <c r="DG1060" s="159">
        <v>60.295000000000002</v>
      </c>
    </row>
    <row r="1061" spans="54:111" ht="15" customHeight="1" x14ac:dyDescent="0.2">
      <c r="BB1061" s="28">
        <v>25</v>
      </c>
      <c r="BC1061" s="121">
        <v>10.853999999999999</v>
      </c>
      <c r="BD1061" s="121">
        <v>12.09</v>
      </c>
      <c r="BE1061" s="121">
        <v>13.326000000000001</v>
      </c>
      <c r="BF1061" s="121">
        <v>14.475999999999999</v>
      </c>
      <c r="BG1061" s="121">
        <v>15.625999999999999</v>
      </c>
      <c r="BH1061" s="121">
        <v>16.730499999999999</v>
      </c>
      <c r="BI1061" s="121">
        <v>17.835000000000001</v>
      </c>
      <c r="BJ1061" s="121">
        <v>18.850249999999999</v>
      </c>
      <c r="BK1061" s="121">
        <v>19.865500000000001</v>
      </c>
      <c r="BL1061" s="121">
        <v>20.857750000000003</v>
      </c>
      <c r="BM1061" s="121">
        <v>21.85</v>
      </c>
      <c r="BN1061" s="121">
        <v>22.83925</v>
      </c>
      <c r="BO1061" s="121">
        <v>23.828499999999998</v>
      </c>
      <c r="BP1061" s="121">
        <v>24.805250000000001</v>
      </c>
      <c r="BQ1061" s="121">
        <v>25.782</v>
      </c>
      <c r="BR1061" s="121">
        <v>26.732749999999999</v>
      </c>
      <c r="BS1061" s="121">
        <v>27.683499999999999</v>
      </c>
      <c r="BT1061" s="121">
        <v>28.611000000000001</v>
      </c>
      <c r="BU1061" s="121">
        <v>29.538499999999999</v>
      </c>
      <c r="BV1061" s="121">
        <v>30.442250000000001</v>
      </c>
      <c r="BW1061" s="121">
        <f t="array" ref="BW1061:BW1096">TRANSPOSE(BX1060:DG1060)</f>
        <v>31.345999999999997</v>
      </c>
      <c r="BX1061" s="120">
        <f>(BW1061+BY1061)/2</f>
        <v>32.254499999999993</v>
      </c>
      <c r="BY1061" s="120">
        <f>(BY1060+BY1062)/2</f>
        <v>33.162999999999997</v>
      </c>
      <c r="BZ1061" s="120">
        <f>(BY1061+CA1061)/2</f>
        <v>34.062750000000001</v>
      </c>
      <c r="CA1061" s="120">
        <f>(CA1060+CA1062)/2</f>
        <v>34.962500000000006</v>
      </c>
      <c r="CB1061" s="120">
        <f>(CA1061+CC1061)/2</f>
        <v>35.855500000000006</v>
      </c>
      <c r="CC1061" s="120">
        <f>(CC1060+CC1062)/2</f>
        <v>36.7485</v>
      </c>
      <c r="CD1061" s="120">
        <f>(CC1061+CE1061)/2</f>
        <v>37.629000000000005</v>
      </c>
      <c r="CE1061" s="120">
        <f>(CE1060+CE1062)/2</f>
        <v>38.509500000000003</v>
      </c>
      <c r="CF1061" s="120">
        <f>(CE1061+CG1061)/2</f>
        <v>39.386250000000004</v>
      </c>
      <c r="CG1061" s="120">
        <f>(CG1060+CG1062)/2</f>
        <v>40.262999999999998</v>
      </c>
      <c r="CH1061" s="120">
        <f>(CG1061+CI1061)/2</f>
        <v>41.387</v>
      </c>
      <c r="CI1061" s="120">
        <f>(CI1060+CI1062)/2</f>
        <v>42.511000000000003</v>
      </c>
      <c r="CJ1061" s="120">
        <f>(CI1061+CK1061)/2</f>
        <v>43.103499999999997</v>
      </c>
      <c r="CK1061" s="120">
        <f>(CK1060+CK1062)/2</f>
        <v>43.695999999999998</v>
      </c>
      <c r="CL1061" s="120">
        <f>(CK1061+CM1061)/2</f>
        <v>44.550249999999998</v>
      </c>
      <c r="CM1061" s="120">
        <f>(CM1060+CM1062)/2</f>
        <v>45.404499999999999</v>
      </c>
      <c r="CN1061" s="120">
        <f>(CM1061+CO1061)/2</f>
        <v>46.274250000000002</v>
      </c>
      <c r="CO1061" s="120">
        <f>(CO1060+CO1062)/2</f>
        <v>47.144000000000005</v>
      </c>
      <c r="CP1061" s="120">
        <f>(CO1061+CQ1061)/2</f>
        <v>47.989750000000001</v>
      </c>
      <c r="CQ1061" s="120">
        <f>(CQ1060+CQ1062)/2</f>
        <v>48.835499999999996</v>
      </c>
      <c r="CR1061" s="120">
        <f>(CQ1061+CS1061)/2</f>
        <v>49.667249999999996</v>
      </c>
      <c r="CS1061" s="120">
        <f>(CS1060+CS1062)/2</f>
        <v>50.499000000000002</v>
      </c>
      <c r="CT1061" s="120">
        <f>(CS1061+CU1061)/2</f>
        <v>51.322000000000003</v>
      </c>
      <c r="CU1061" s="120">
        <f>(CU1060+CU1062)/2</f>
        <v>52.144999999999996</v>
      </c>
      <c r="CV1061" s="120">
        <f>(CU1061+CW1061)/2</f>
        <v>52.999249999999996</v>
      </c>
      <c r="CW1061" s="120">
        <f>(CW1060+CW1062)/2</f>
        <v>53.853499999999997</v>
      </c>
      <c r="CX1061" s="120">
        <f>(CW1061+CY1061)/2</f>
        <v>54.676249999999996</v>
      </c>
      <c r="CY1061" s="120">
        <f>(CY1060+CY1062)/2</f>
        <v>55.498999999999995</v>
      </c>
      <c r="CZ1061" s="120">
        <f>(CY1061+DA1061)/2</f>
        <v>56.317999999999998</v>
      </c>
      <c r="DA1061" s="120">
        <f>(DA1060+DA1062)/2</f>
        <v>57.137</v>
      </c>
      <c r="DB1061" s="120">
        <f>(DA1061+DC1061)/2</f>
        <v>57.975749999999998</v>
      </c>
      <c r="DC1061" s="120">
        <f>(DC1060+DC1062)/2</f>
        <v>58.814499999999995</v>
      </c>
      <c r="DD1061" s="120">
        <f>(DC1061+DE1061)/2</f>
        <v>59.633749999999999</v>
      </c>
      <c r="DE1061" s="120">
        <f>(DE1060+DE1062)/2</f>
        <v>60.453000000000003</v>
      </c>
      <c r="DF1061" s="120">
        <f>(DE1061+DG1061)/2</f>
        <v>61.288250000000005</v>
      </c>
      <c r="DG1061" s="122">
        <f>(DG1060+DG1062)/2</f>
        <v>62.1235</v>
      </c>
    </row>
    <row r="1062" spans="54:111" ht="15" customHeight="1" x14ac:dyDescent="0.2">
      <c r="BB1062" s="28">
        <v>26</v>
      </c>
      <c r="BC1062" s="121">
        <v>11.129</v>
      </c>
      <c r="BD1062" s="121">
        <v>12.4025</v>
      </c>
      <c r="BE1062" s="121">
        <v>13.676</v>
      </c>
      <c r="BF1062" s="121">
        <v>14.879999999999999</v>
      </c>
      <c r="BG1062" s="121">
        <v>16.084</v>
      </c>
      <c r="BH1062" s="121">
        <v>17.203499999999998</v>
      </c>
      <c r="BI1062" s="121">
        <v>18.323</v>
      </c>
      <c r="BJ1062" s="121">
        <v>19.347999999999999</v>
      </c>
      <c r="BK1062" s="121">
        <v>20.373000000000001</v>
      </c>
      <c r="BL1062" s="121">
        <v>21.415500000000002</v>
      </c>
      <c r="BM1062" s="121">
        <v>22.457999999999998</v>
      </c>
      <c r="BN1062" s="121">
        <v>23.4695</v>
      </c>
      <c r="BO1062" s="121">
        <v>24.481000000000002</v>
      </c>
      <c r="BP1062" s="121">
        <v>25.484999999999999</v>
      </c>
      <c r="BQ1062" s="121">
        <v>26.489000000000001</v>
      </c>
      <c r="BR1062" s="121">
        <v>27.462</v>
      </c>
      <c r="BS1062" s="121">
        <v>28.434999999999999</v>
      </c>
      <c r="BT1062" s="121">
        <v>29.400500000000001</v>
      </c>
      <c r="BU1062" s="121">
        <v>30.366</v>
      </c>
      <c r="BV1062" s="121">
        <v>31.300999999999998</v>
      </c>
      <c r="BW1062" s="121">
        <v>32.235999999999997</v>
      </c>
      <c r="BX1062" s="121">
        <f t="array" ref="BX1062:BX1096">TRANSPOSE(BY1061:DG1061)</f>
        <v>33.162999999999997</v>
      </c>
      <c r="BY1062" s="158">
        <v>34.090000000000003</v>
      </c>
      <c r="BZ1062" s="120">
        <f>(CA1062+BY1062)/2</f>
        <v>35.024500000000003</v>
      </c>
      <c r="CA1062" s="158">
        <v>35.959000000000003</v>
      </c>
      <c r="CB1062" s="120">
        <f>(CC1062+CA1062)/2</f>
        <v>36.886000000000003</v>
      </c>
      <c r="CC1062" s="158">
        <v>37.813000000000002</v>
      </c>
      <c r="CD1062" s="120">
        <f>(CE1062+CC1062)/2</f>
        <v>38.6845</v>
      </c>
      <c r="CE1062" s="158">
        <v>39.555999999999997</v>
      </c>
      <c r="CF1062" s="120">
        <f>(CG1062+CE1062)/2</f>
        <v>40.482999999999997</v>
      </c>
      <c r="CG1062" s="158">
        <v>41.41</v>
      </c>
      <c r="CH1062" s="120">
        <f>(CI1062+CG1062)/2</f>
        <v>42.8065</v>
      </c>
      <c r="CI1062" s="158">
        <v>44.203000000000003</v>
      </c>
      <c r="CJ1062" s="120">
        <f>(CK1062+CI1062)/2</f>
        <v>44.591499999999996</v>
      </c>
      <c r="CK1062" s="158">
        <v>44.98</v>
      </c>
      <c r="CL1062" s="120">
        <f>(CM1062+CK1062)/2</f>
        <v>45.837499999999999</v>
      </c>
      <c r="CM1062" s="158">
        <v>46.695</v>
      </c>
      <c r="CN1062" s="120">
        <f>(CO1062+CM1062)/2</f>
        <v>47.583500000000001</v>
      </c>
      <c r="CO1062" s="158">
        <v>48.472000000000001</v>
      </c>
      <c r="CP1062" s="120">
        <f>(CQ1062+CO1062)/2</f>
        <v>49.368000000000002</v>
      </c>
      <c r="CQ1062" s="158">
        <v>50.264000000000003</v>
      </c>
      <c r="CR1062" s="120">
        <f>(CS1062+CQ1062)/2</f>
        <v>51.114500000000007</v>
      </c>
      <c r="CS1062" s="158">
        <v>51.965000000000003</v>
      </c>
      <c r="CT1062" s="120">
        <f>(CU1062+CS1062)/2</f>
        <v>52.822500000000005</v>
      </c>
      <c r="CU1062" s="158">
        <v>53.68</v>
      </c>
      <c r="CV1062" s="120">
        <f>(CW1062+CU1062)/2</f>
        <v>54.5685</v>
      </c>
      <c r="CW1062" s="158">
        <v>55.457000000000001</v>
      </c>
      <c r="CX1062" s="120">
        <f>(CY1062+CW1062)/2</f>
        <v>56.289500000000004</v>
      </c>
      <c r="CY1062" s="158">
        <v>57.122</v>
      </c>
      <c r="CZ1062" s="120">
        <f>(DA1062+CY1062)/2</f>
        <v>57.972000000000001</v>
      </c>
      <c r="DA1062" s="158">
        <v>58.822000000000003</v>
      </c>
      <c r="DB1062" s="120">
        <f>(DC1062+DA1062)/2</f>
        <v>59.679500000000004</v>
      </c>
      <c r="DC1062" s="158">
        <v>60.536999999999999</v>
      </c>
      <c r="DD1062" s="120">
        <f>(DE1062+DC1062)/2</f>
        <v>61.387</v>
      </c>
      <c r="DE1062" s="158">
        <v>62.237000000000002</v>
      </c>
      <c r="DF1062" s="120">
        <f>(DG1062+DE1062)/2</f>
        <v>63.094499999999996</v>
      </c>
      <c r="DG1062" s="159">
        <v>63.951999999999998</v>
      </c>
    </row>
    <row r="1063" spans="54:111" ht="15" customHeight="1" x14ac:dyDescent="0.2">
      <c r="BB1063" s="28">
        <v>27</v>
      </c>
      <c r="BC1063" s="121">
        <v>11.417</v>
      </c>
      <c r="BD1063" s="121">
        <v>12.725249999999999</v>
      </c>
      <c r="BE1063" s="121">
        <v>14.0335</v>
      </c>
      <c r="BF1063" s="121">
        <v>15.25625</v>
      </c>
      <c r="BG1063" s="121">
        <v>16.478999999999999</v>
      </c>
      <c r="BH1063" s="121">
        <v>17.616999999999997</v>
      </c>
      <c r="BI1063" s="121">
        <v>18.755000000000003</v>
      </c>
      <c r="BJ1063" s="121">
        <v>19.830500000000001</v>
      </c>
      <c r="BK1063" s="121">
        <v>20.905999999999999</v>
      </c>
      <c r="BL1063" s="121">
        <v>21.990000000000002</v>
      </c>
      <c r="BM1063" s="121">
        <v>23.073999999999998</v>
      </c>
      <c r="BN1063" s="121">
        <v>24.116500000000002</v>
      </c>
      <c r="BO1063" s="121">
        <v>25.158999999999999</v>
      </c>
      <c r="BP1063" s="121">
        <v>26.181750000000001</v>
      </c>
      <c r="BQ1063" s="121">
        <v>27.204500000000003</v>
      </c>
      <c r="BR1063" s="121">
        <v>28.195999999999998</v>
      </c>
      <c r="BS1063" s="121">
        <v>29.1875</v>
      </c>
      <c r="BT1063" s="121">
        <v>30.1755</v>
      </c>
      <c r="BU1063" s="121">
        <v>31.163499999999999</v>
      </c>
      <c r="BV1063" s="121">
        <v>32.132249999999999</v>
      </c>
      <c r="BW1063" s="121">
        <v>33.100999999999999</v>
      </c>
      <c r="BX1063" s="121">
        <v>34.062750000000001</v>
      </c>
      <c r="BY1063" s="121">
        <f t="array" ref="BY1063:BY1096">TRANSPOSE(BZ1062:DG1062)</f>
        <v>35.024500000000003</v>
      </c>
      <c r="BZ1063" s="120">
        <f>(BY1063+CA1063)/2</f>
        <v>35.97775</v>
      </c>
      <c r="CA1063" s="120">
        <f>(CA1062+CA1064)/2</f>
        <v>36.930999999999997</v>
      </c>
      <c r="CB1063" s="120">
        <f>(CA1063+CC1063)/2</f>
        <v>37.8765</v>
      </c>
      <c r="CC1063" s="120">
        <f>(CC1062+CC1064)/2</f>
        <v>38.822000000000003</v>
      </c>
      <c r="CD1063" s="120">
        <f>(CC1063+CE1063)/2</f>
        <v>39.744</v>
      </c>
      <c r="CE1063" s="120">
        <f>(CE1062+CE1064)/2</f>
        <v>40.665999999999997</v>
      </c>
      <c r="CF1063" s="120">
        <f>(CE1063+CG1063)/2</f>
        <v>41.595999999999997</v>
      </c>
      <c r="CG1063" s="120">
        <f>(CG1062+CG1064)/2</f>
        <v>42.525999999999996</v>
      </c>
      <c r="CH1063" s="120">
        <f>(CG1063+CI1063)/2</f>
        <v>43.71875</v>
      </c>
      <c r="CI1063" s="120">
        <f>(CI1062+CI1064)/2</f>
        <v>44.911500000000004</v>
      </c>
      <c r="CJ1063" s="120">
        <f>(CI1063+CK1063)/2</f>
        <v>45.572500000000005</v>
      </c>
      <c r="CK1063" s="120">
        <f>(CK1062+CK1064)/2</f>
        <v>46.233499999999999</v>
      </c>
      <c r="CL1063" s="120">
        <f>(CK1063+CM1063)/2</f>
        <v>47.129000000000005</v>
      </c>
      <c r="CM1063" s="120">
        <f>(CM1062+CM1064)/2</f>
        <v>48.024500000000003</v>
      </c>
      <c r="CN1063" s="120">
        <f>(CM1063+CO1063)/2</f>
        <v>48.91225</v>
      </c>
      <c r="CO1063" s="120">
        <f>(CO1062+CO1064)/2</f>
        <v>49.8</v>
      </c>
      <c r="CP1063" s="120">
        <f>(CO1063+CQ1063)/2</f>
        <v>50.714749999999995</v>
      </c>
      <c r="CQ1063" s="120">
        <f>(CQ1062+CQ1064)/2</f>
        <v>51.6295</v>
      </c>
      <c r="CR1063" s="120">
        <f>(CQ1063+CS1063)/2</f>
        <v>52.533749999999998</v>
      </c>
      <c r="CS1063" s="120">
        <f>(CS1062+CS1064)/2</f>
        <v>53.438000000000002</v>
      </c>
      <c r="CT1063" s="120">
        <f>(CS1063+CU1063)/2</f>
        <v>54.314</v>
      </c>
      <c r="CU1063" s="120">
        <f>(CU1062+CU1064)/2</f>
        <v>55.19</v>
      </c>
      <c r="CV1063" s="120">
        <f>(CU1063+CW1063)/2</f>
        <v>56.097250000000003</v>
      </c>
      <c r="CW1063" s="120">
        <f>(CW1062+CW1064)/2</f>
        <v>57.0045</v>
      </c>
      <c r="CX1063" s="120">
        <f>(CW1063+CY1063)/2</f>
        <v>57.867999999999995</v>
      </c>
      <c r="CY1063" s="120">
        <f>(CY1062+CY1064)/2</f>
        <v>58.731499999999997</v>
      </c>
      <c r="CZ1063" s="120">
        <f>(CY1063+DA1063)/2</f>
        <v>59.603999999999999</v>
      </c>
      <c r="DA1063" s="120">
        <f>(DA1062+DA1064)/2</f>
        <v>60.476500000000001</v>
      </c>
      <c r="DB1063" s="120">
        <f>(DA1063+DC1063)/2</f>
        <v>61.361249999999998</v>
      </c>
      <c r="DC1063" s="120">
        <f>(DC1062+DC1064)/2</f>
        <v>62.245999999999995</v>
      </c>
      <c r="DD1063" s="120">
        <f>(DC1063+DE1063)/2</f>
        <v>63.118249999999996</v>
      </c>
      <c r="DE1063" s="120">
        <f>(DE1062+DE1064)/2</f>
        <v>63.990499999999997</v>
      </c>
      <c r="DF1063" s="120">
        <f>(DE1063+DG1063)/2</f>
        <v>64.866500000000002</v>
      </c>
      <c r="DG1063" s="122">
        <f>(DG1062+DG1064)/2</f>
        <v>65.742500000000007</v>
      </c>
    </row>
    <row r="1064" spans="54:111" ht="15" customHeight="1" x14ac:dyDescent="0.2">
      <c r="BB1064" s="28">
        <v>28</v>
      </c>
      <c r="BC1064" s="121">
        <v>11.705</v>
      </c>
      <c r="BD1064" s="121">
        <v>13.048</v>
      </c>
      <c r="BE1064" s="121">
        <v>14.391</v>
      </c>
      <c r="BF1064" s="121">
        <v>15.6325</v>
      </c>
      <c r="BG1064" s="121">
        <v>16.873999999999999</v>
      </c>
      <c r="BH1064" s="121">
        <v>18.0305</v>
      </c>
      <c r="BI1064" s="121">
        <v>19.187000000000001</v>
      </c>
      <c r="BJ1064" s="121">
        <v>20.313000000000002</v>
      </c>
      <c r="BK1064" s="121">
        <v>21.439</v>
      </c>
      <c r="BL1064" s="121">
        <v>22.564500000000002</v>
      </c>
      <c r="BM1064" s="121">
        <v>23.69</v>
      </c>
      <c r="BN1064" s="121">
        <v>24.763500000000001</v>
      </c>
      <c r="BO1064" s="121">
        <v>25.837</v>
      </c>
      <c r="BP1064" s="121">
        <v>26.878500000000003</v>
      </c>
      <c r="BQ1064" s="121">
        <v>27.92</v>
      </c>
      <c r="BR1064" s="121">
        <v>28.93</v>
      </c>
      <c r="BS1064" s="121">
        <v>29.94</v>
      </c>
      <c r="BT1064" s="121">
        <v>30.950499999999998</v>
      </c>
      <c r="BU1064" s="121">
        <v>31.960999999999999</v>
      </c>
      <c r="BV1064" s="121">
        <v>32.963499999999996</v>
      </c>
      <c r="BW1064" s="121">
        <v>33.966000000000001</v>
      </c>
      <c r="BX1064" s="121">
        <v>34.962500000000006</v>
      </c>
      <c r="BY1064" s="121">
        <v>35.959000000000003</v>
      </c>
      <c r="BZ1064" s="121">
        <f t="array" ref="BZ1064:BZ1096">TRANSPOSE(CA1063:DG1063)</f>
        <v>36.930999999999997</v>
      </c>
      <c r="CA1064" s="158">
        <v>37.902999999999999</v>
      </c>
      <c r="CB1064" s="120">
        <f>(CC1064+CA1064)/2</f>
        <v>38.867000000000004</v>
      </c>
      <c r="CC1064" s="158">
        <v>39.831000000000003</v>
      </c>
      <c r="CD1064" s="120">
        <f>(CE1064+CC1064)/2</f>
        <v>40.8035</v>
      </c>
      <c r="CE1064" s="158">
        <v>41.776000000000003</v>
      </c>
      <c r="CF1064" s="120">
        <f>(CG1064+CE1064)/2</f>
        <v>42.709000000000003</v>
      </c>
      <c r="CG1064" s="158">
        <v>43.642000000000003</v>
      </c>
      <c r="CH1064" s="120">
        <f>(CI1064+CG1064)/2</f>
        <v>44.631</v>
      </c>
      <c r="CI1064" s="158">
        <v>45.62</v>
      </c>
      <c r="CJ1064" s="120">
        <f>(CK1064+CI1064)/2</f>
        <v>46.5535</v>
      </c>
      <c r="CK1064" s="158">
        <v>47.487000000000002</v>
      </c>
      <c r="CL1064" s="120">
        <f>(CM1064+CK1064)/2</f>
        <v>48.420500000000004</v>
      </c>
      <c r="CM1064" s="158">
        <v>49.353999999999999</v>
      </c>
      <c r="CN1064" s="120">
        <f>(CO1064+CM1064)/2</f>
        <v>50.241</v>
      </c>
      <c r="CO1064" s="158">
        <v>51.128</v>
      </c>
      <c r="CP1064" s="120">
        <f>(CQ1064+CO1064)/2</f>
        <v>52.061499999999995</v>
      </c>
      <c r="CQ1064" s="158">
        <v>52.994999999999997</v>
      </c>
      <c r="CR1064" s="120">
        <f>(CS1064+CQ1064)/2</f>
        <v>53.953000000000003</v>
      </c>
      <c r="CS1064" s="158">
        <v>54.911000000000001</v>
      </c>
      <c r="CT1064" s="120">
        <f>(CU1064+CS1064)/2</f>
        <v>55.805500000000002</v>
      </c>
      <c r="CU1064" s="158">
        <v>56.7</v>
      </c>
      <c r="CV1064" s="120">
        <f>(CW1064+CU1064)/2</f>
        <v>57.626000000000005</v>
      </c>
      <c r="CW1064" s="158">
        <v>58.552</v>
      </c>
      <c r="CX1064" s="120">
        <f>(CY1064+CW1064)/2</f>
        <v>59.4465</v>
      </c>
      <c r="CY1064" s="158">
        <v>60.341000000000001</v>
      </c>
      <c r="CZ1064" s="120">
        <f>(DA1064+CY1064)/2</f>
        <v>61.236000000000004</v>
      </c>
      <c r="DA1064" s="158">
        <v>62.131</v>
      </c>
      <c r="DB1064" s="120">
        <f>(DC1064+DA1064)/2</f>
        <v>63.042999999999999</v>
      </c>
      <c r="DC1064" s="158">
        <v>63.954999999999998</v>
      </c>
      <c r="DD1064" s="120">
        <f>(DE1064+DC1064)/2</f>
        <v>64.849500000000006</v>
      </c>
      <c r="DE1064" s="158">
        <v>65.744</v>
      </c>
      <c r="DF1064" s="120">
        <f>(DG1064+DE1064)/2</f>
        <v>66.638499999999993</v>
      </c>
      <c r="DG1064" s="159">
        <v>67.533000000000001</v>
      </c>
    </row>
    <row r="1065" spans="54:111" ht="15" customHeight="1" x14ac:dyDescent="0.2">
      <c r="BB1065" s="28">
        <v>29</v>
      </c>
      <c r="BC1065" s="121">
        <v>11.987</v>
      </c>
      <c r="BD1065" s="121">
        <v>13.367750000000001</v>
      </c>
      <c r="BE1065" s="121">
        <v>14.7485</v>
      </c>
      <c r="BF1065" s="121">
        <v>16.027749999999997</v>
      </c>
      <c r="BG1065" s="121">
        <v>17.306999999999999</v>
      </c>
      <c r="BH1065" s="121">
        <v>18.49475</v>
      </c>
      <c r="BI1065" s="121">
        <v>19.682500000000001</v>
      </c>
      <c r="BJ1065" s="121">
        <v>20.827000000000002</v>
      </c>
      <c r="BK1065" s="121">
        <v>21.971499999999999</v>
      </c>
      <c r="BL1065" s="121">
        <v>23.127750000000002</v>
      </c>
      <c r="BM1065" s="121">
        <v>24.283999999999999</v>
      </c>
      <c r="BN1065" s="121">
        <v>25.38325</v>
      </c>
      <c r="BO1065" s="121">
        <v>26.482500000000002</v>
      </c>
      <c r="BP1065" s="121">
        <v>27.558500000000002</v>
      </c>
      <c r="BQ1065" s="121">
        <v>28.634500000000003</v>
      </c>
      <c r="BR1065" s="121">
        <v>29.663249999999998</v>
      </c>
      <c r="BS1065" s="121">
        <v>30.692</v>
      </c>
      <c r="BT1065" s="121">
        <v>31.752749999999999</v>
      </c>
      <c r="BU1065" s="121">
        <v>32.813499999999998</v>
      </c>
      <c r="BV1065" s="121">
        <v>33.819249999999997</v>
      </c>
      <c r="BW1065" s="121">
        <v>34.825000000000003</v>
      </c>
      <c r="BX1065" s="121">
        <v>35.855500000000006</v>
      </c>
      <c r="BY1065" s="121">
        <v>36.886000000000003</v>
      </c>
      <c r="BZ1065" s="121">
        <v>37.8765</v>
      </c>
      <c r="CA1065" s="121">
        <f t="array" ref="CA1065:CA1096">TRANSPOSE(CB1064:DG1064)</f>
        <v>38.867000000000004</v>
      </c>
      <c r="CB1065" s="120">
        <f>(CA1065+CC1065)/2</f>
        <v>39.866250000000001</v>
      </c>
      <c r="CC1065" s="120">
        <f>(CC1064+CC1066)/2</f>
        <v>40.865499999999997</v>
      </c>
      <c r="CD1065" s="120">
        <f>(CC1065+CE1065)/2</f>
        <v>41.856000000000002</v>
      </c>
      <c r="CE1065" s="120">
        <f>(CE1064+CE1066)/2</f>
        <v>42.846500000000006</v>
      </c>
      <c r="CF1065" s="120">
        <f>(CE1065+CG1065)/2</f>
        <v>43.830000000000005</v>
      </c>
      <c r="CG1065" s="120">
        <f>(CG1064+CG1066)/2</f>
        <v>44.813500000000005</v>
      </c>
      <c r="CH1065" s="120">
        <f>(CG1065+CI1065)/2</f>
        <v>45.79325</v>
      </c>
      <c r="CI1065" s="120">
        <f>(CI1064+CI1066)/2</f>
        <v>46.772999999999996</v>
      </c>
      <c r="CJ1065" s="120">
        <f>(CI1065+CK1065)/2</f>
        <v>47.737249999999996</v>
      </c>
      <c r="CK1065" s="120">
        <f>(CK1064+CK1066)/2</f>
        <v>48.701499999999996</v>
      </c>
      <c r="CL1065" s="120">
        <f>(CK1065+CM1065)/2</f>
        <v>49.653499999999994</v>
      </c>
      <c r="CM1065" s="120">
        <f>(CM1064+CM1066)/2</f>
        <v>50.605499999999999</v>
      </c>
      <c r="CN1065" s="120">
        <f>(CM1065+CO1065)/2</f>
        <v>51.542999999999999</v>
      </c>
      <c r="CO1065" s="120">
        <f>(CO1064+CO1066)/2</f>
        <v>52.480499999999999</v>
      </c>
      <c r="CP1065" s="120">
        <f>(CO1065+CQ1065)/2</f>
        <v>53.432500000000005</v>
      </c>
      <c r="CQ1065" s="120">
        <f>(CQ1064+CQ1066)/2</f>
        <v>54.384500000000003</v>
      </c>
      <c r="CR1065" s="120">
        <f>(CQ1065+CS1065)/2</f>
        <v>55.361000000000004</v>
      </c>
      <c r="CS1065" s="120">
        <f>(CS1064+CS1066)/2</f>
        <v>56.337500000000006</v>
      </c>
      <c r="CT1065" s="120">
        <f>(CS1065+CU1065)/2</f>
        <v>57.270250000000004</v>
      </c>
      <c r="CU1065" s="120">
        <f>(CU1064+CU1066)/2</f>
        <v>58.203000000000003</v>
      </c>
      <c r="CV1065" s="120">
        <f>(CU1065+CW1065)/2</f>
        <v>59.144075000000001</v>
      </c>
      <c r="CW1065" s="120">
        <f>(CW1064+CW1066)/2</f>
        <v>60.085149999999999</v>
      </c>
      <c r="CX1065" s="120">
        <f>(CW1065+CY1065)/2</f>
        <v>61.017575000000001</v>
      </c>
      <c r="CY1065" s="120">
        <f>(CY1064+CY1066)/2</f>
        <v>61.95</v>
      </c>
      <c r="CZ1065" s="120">
        <f>(CY1065+DA1065)/2</f>
        <v>62.876000000000005</v>
      </c>
      <c r="DA1065" s="120">
        <f>(DA1064+DA1066)/2</f>
        <v>63.802</v>
      </c>
      <c r="DB1065" s="120">
        <f>(DA1065+DC1065)/2</f>
        <v>64.724000000000004</v>
      </c>
      <c r="DC1065" s="120">
        <f>(DC1064+DC1066)/2</f>
        <v>65.646000000000001</v>
      </c>
      <c r="DD1065" s="120">
        <f>(DC1065+DE1065)/2</f>
        <v>66.5715</v>
      </c>
      <c r="DE1065" s="120">
        <f>(DE1064+DE1066)/2</f>
        <v>67.497</v>
      </c>
      <c r="DF1065" s="120">
        <f>(DE1065+DG1065)/2</f>
        <v>68.406499999999994</v>
      </c>
      <c r="DG1065" s="122">
        <f>(DG1064+DG1066)/2</f>
        <v>69.316000000000003</v>
      </c>
    </row>
    <row r="1066" spans="54:111" ht="15" customHeight="1" x14ac:dyDescent="0.2">
      <c r="BB1066" s="28">
        <v>30</v>
      </c>
      <c r="BC1066" s="121">
        <v>12.269</v>
      </c>
      <c r="BD1066" s="121">
        <v>13.6875</v>
      </c>
      <c r="BE1066" s="121">
        <v>15.106</v>
      </c>
      <c r="BF1066" s="121">
        <v>16.422999999999998</v>
      </c>
      <c r="BG1066" s="121">
        <v>17.739999999999998</v>
      </c>
      <c r="BH1066" s="121">
        <v>18.959</v>
      </c>
      <c r="BI1066" s="121">
        <v>20.178000000000001</v>
      </c>
      <c r="BJ1066" s="121">
        <v>21.341000000000001</v>
      </c>
      <c r="BK1066" s="121">
        <v>22.504000000000001</v>
      </c>
      <c r="BL1066" s="121">
        <v>23.691000000000003</v>
      </c>
      <c r="BM1066" s="121">
        <v>24.878</v>
      </c>
      <c r="BN1066" s="121">
        <v>26.003</v>
      </c>
      <c r="BO1066" s="121">
        <v>27.128</v>
      </c>
      <c r="BP1066" s="121">
        <v>28.238500000000002</v>
      </c>
      <c r="BQ1066" s="121">
        <v>29.349</v>
      </c>
      <c r="BR1066" s="121">
        <v>30.3965</v>
      </c>
      <c r="BS1066" s="121">
        <v>31.443999999999999</v>
      </c>
      <c r="BT1066" s="121">
        <v>32.555</v>
      </c>
      <c r="BU1066" s="121">
        <v>33.665999999999997</v>
      </c>
      <c r="BV1066" s="121">
        <v>34.674999999999997</v>
      </c>
      <c r="BW1066" s="121">
        <v>35.683999999999997</v>
      </c>
      <c r="BX1066" s="121">
        <v>36.7485</v>
      </c>
      <c r="BY1066" s="121">
        <v>37.813000000000002</v>
      </c>
      <c r="BZ1066" s="121">
        <v>38.822000000000003</v>
      </c>
      <c r="CA1066" s="121">
        <v>39.831000000000003</v>
      </c>
      <c r="CB1066" s="121">
        <f t="array" ref="CB1066:CB1096">TRANSPOSE(CC1065:DG1065)</f>
        <v>40.865499999999997</v>
      </c>
      <c r="CC1066" s="158">
        <v>41.9</v>
      </c>
      <c r="CD1066" s="120">
        <f>(CE1066+CC1066)/2</f>
        <v>42.908500000000004</v>
      </c>
      <c r="CE1066" s="158">
        <v>43.917000000000002</v>
      </c>
      <c r="CF1066" s="120">
        <f>(CG1066+CE1066)/2</f>
        <v>44.951000000000001</v>
      </c>
      <c r="CG1066" s="158">
        <v>45.984999999999999</v>
      </c>
      <c r="CH1066" s="120">
        <f>(CI1066+CG1066)/2</f>
        <v>46.955500000000001</v>
      </c>
      <c r="CI1066" s="158">
        <v>47.926000000000002</v>
      </c>
      <c r="CJ1066" s="120">
        <f>(CK1066+CI1066)/2</f>
        <v>48.920999999999999</v>
      </c>
      <c r="CK1066" s="158">
        <v>49.915999999999997</v>
      </c>
      <c r="CL1066" s="120">
        <f>(CM1066+CK1066)/2</f>
        <v>50.886499999999998</v>
      </c>
      <c r="CM1066" s="158">
        <v>51.856999999999999</v>
      </c>
      <c r="CN1066" s="120">
        <f>(CO1066+CM1066)/2</f>
        <v>52.844999999999999</v>
      </c>
      <c r="CO1066" s="158">
        <v>53.832999999999998</v>
      </c>
      <c r="CP1066" s="120">
        <f>(CQ1066+CO1066)/2</f>
        <v>54.8035</v>
      </c>
      <c r="CQ1066" s="158">
        <v>55.774000000000001</v>
      </c>
      <c r="CR1066" s="120">
        <f>(CS1066+CQ1066)/2</f>
        <v>56.769000000000005</v>
      </c>
      <c r="CS1066" s="158">
        <v>57.764000000000003</v>
      </c>
      <c r="CT1066" s="120">
        <f>(CU1066+CS1066)/2</f>
        <v>58.734999999999999</v>
      </c>
      <c r="CU1066" s="158">
        <v>59.706000000000003</v>
      </c>
      <c r="CV1066" s="120">
        <f>(CW1066+CU1066)/2</f>
        <v>60.662149999999997</v>
      </c>
      <c r="CW1066" s="158">
        <v>61.618299999999998</v>
      </c>
      <c r="CX1066" s="120">
        <f>(CY1066+CW1066)/2</f>
        <v>62.588650000000001</v>
      </c>
      <c r="CY1066" s="158">
        <v>63.558999999999997</v>
      </c>
      <c r="CZ1066" s="120">
        <f>(DA1066+CY1066)/2</f>
        <v>64.515999999999991</v>
      </c>
      <c r="DA1066" s="158">
        <v>65.472999999999999</v>
      </c>
      <c r="DB1066" s="120">
        <f>(DC1066+DA1066)/2</f>
        <v>66.405000000000001</v>
      </c>
      <c r="DC1066" s="158">
        <v>67.337000000000003</v>
      </c>
      <c r="DD1066" s="120">
        <f>(DE1066+DC1066)/2</f>
        <v>68.293499999999995</v>
      </c>
      <c r="DE1066" s="158">
        <v>69.25</v>
      </c>
      <c r="DF1066" s="120">
        <f>(DG1066+DE1066)/2</f>
        <v>70.174499999999995</v>
      </c>
      <c r="DG1066" s="159">
        <v>71.099000000000004</v>
      </c>
    </row>
    <row r="1067" spans="54:111" ht="15" customHeight="1" x14ac:dyDescent="0.2">
      <c r="BB1067" s="28">
        <v>31</v>
      </c>
      <c r="BC1067" s="121">
        <v>12.5815</v>
      </c>
      <c r="BD1067" s="121">
        <v>14.006499999999999</v>
      </c>
      <c r="BE1067" s="121">
        <v>15.4315</v>
      </c>
      <c r="BF1067" s="121">
        <v>16.779499999999999</v>
      </c>
      <c r="BG1067" s="121">
        <v>18.127499999999998</v>
      </c>
      <c r="BH1067" s="121">
        <v>19.387999999999998</v>
      </c>
      <c r="BI1067" s="121">
        <v>20.648499999999999</v>
      </c>
      <c r="BJ1067" s="121">
        <v>21.84225</v>
      </c>
      <c r="BK1067" s="121">
        <v>23.036000000000001</v>
      </c>
      <c r="BL1067" s="121">
        <v>24.245750000000001</v>
      </c>
      <c r="BM1067" s="121">
        <v>25.455500000000001</v>
      </c>
      <c r="BN1067" s="121">
        <v>26.599</v>
      </c>
      <c r="BO1067" s="121">
        <v>27.7425</v>
      </c>
      <c r="BP1067" s="121">
        <v>28.871749999999999</v>
      </c>
      <c r="BQ1067" s="121">
        <v>30.000999999999998</v>
      </c>
      <c r="BR1067" s="121">
        <v>31.098749999999999</v>
      </c>
      <c r="BS1067" s="121">
        <v>32.1965</v>
      </c>
      <c r="BT1067" s="121">
        <v>33.325749999999999</v>
      </c>
      <c r="BU1067" s="121">
        <v>34.454999999999998</v>
      </c>
      <c r="BV1067" s="121">
        <v>35.514249999999997</v>
      </c>
      <c r="BW1067" s="121">
        <v>36.573499999999996</v>
      </c>
      <c r="BX1067" s="121">
        <v>37.629000000000005</v>
      </c>
      <c r="BY1067" s="121">
        <v>38.6845</v>
      </c>
      <c r="BZ1067" s="121">
        <v>39.744</v>
      </c>
      <c r="CA1067" s="121">
        <v>40.8035</v>
      </c>
      <c r="CB1067" s="121">
        <v>41.856000000000002</v>
      </c>
      <c r="CC1067" s="121">
        <f t="array" ref="CC1067:CC1096">TRANSPOSE(CD1066:DG1066)</f>
        <v>42.908500000000004</v>
      </c>
      <c r="CD1067" s="120">
        <f>(CC1067+CE1067)/2</f>
        <v>43.948250000000002</v>
      </c>
      <c r="CE1067" s="120">
        <f>(CE1066+CE1068)/2</f>
        <v>44.988</v>
      </c>
      <c r="CF1067" s="120">
        <f>(CE1067+CG1067)/2</f>
        <v>46.040500000000002</v>
      </c>
      <c r="CG1067" s="120">
        <f>(CG1066+CG1068)/2</f>
        <v>47.093000000000004</v>
      </c>
      <c r="CH1067" s="120">
        <f>(CG1067+CI1067)/2</f>
        <v>48.082250000000002</v>
      </c>
      <c r="CI1067" s="120">
        <f>(CI1066+CI1068)/2</f>
        <v>49.0715</v>
      </c>
      <c r="CJ1067" s="120">
        <f>(CI1067+CK1067)/2</f>
        <v>50.104500000000002</v>
      </c>
      <c r="CK1067" s="120">
        <f>(CK1066+CK1068)/2</f>
        <v>51.137500000000003</v>
      </c>
      <c r="CL1067" s="120">
        <f>(CK1067+CM1067)/2</f>
        <v>52.138750000000002</v>
      </c>
      <c r="CM1067" s="120">
        <f>(CM1066+CM1068)/2</f>
        <v>53.14</v>
      </c>
      <c r="CN1067" s="120">
        <f>(CM1067+CO1067)/2</f>
        <v>54.153999999999996</v>
      </c>
      <c r="CO1067" s="120">
        <f>(CO1066+CO1068)/2</f>
        <v>55.167999999999999</v>
      </c>
      <c r="CP1067" s="120">
        <f>(CO1067+CQ1067)/2</f>
        <v>56.169499999999999</v>
      </c>
      <c r="CQ1067" s="120">
        <f>(CQ1066+CQ1068)/2</f>
        <v>57.170999999999999</v>
      </c>
      <c r="CR1067" s="120">
        <f>(CQ1067+CS1067)/2</f>
        <v>58.172499999999999</v>
      </c>
      <c r="CS1067" s="120">
        <f>(CS1066+CS1068)/2</f>
        <v>59.174000000000007</v>
      </c>
      <c r="CT1067" s="120">
        <f>(CS1067+CU1067)/2</f>
        <v>60.175750000000008</v>
      </c>
      <c r="CU1067" s="120">
        <f>(CU1066+CU1068)/2</f>
        <v>61.177500000000002</v>
      </c>
      <c r="CV1067" s="120">
        <f>(CU1067+CW1067)/2</f>
        <v>62.152325000000005</v>
      </c>
      <c r="CW1067" s="120">
        <f>(CW1066+CW1068)/2</f>
        <v>63.12715</v>
      </c>
      <c r="CX1067" s="120">
        <f>(CW1067+CY1067)/2</f>
        <v>64.128574999999998</v>
      </c>
      <c r="CY1067" s="120">
        <f>(CY1066+CY1068)/2</f>
        <v>65.13</v>
      </c>
      <c r="CZ1067" s="120">
        <f>(CY1067+DA1067)/2</f>
        <v>66.105499999999992</v>
      </c>
      <c r="DA1067" s="120">
        <f>(DA1066+DA1068)/2</f>
        <v>67.080999999999989</v>
      </c>
      <c r="DB1067" s="120">
        <f>(DA1067+DC1067)/2</f>
        <v>68.050999999999988</v>
      </c>
      <c r="DC1067" s="120">
        <f>(DC1066+DC1068)/2</f>
        <v>69.021000000000001</v>
      </c>
      <c r="DD1067" s="120">
        <f>(DC1067+DE1067)/2</f>
        <v>69.996000000000009</v>
      </c>
      <c r="DE1067" s="120">
        <f>(DE1066+DE1068)/2</f>
        <v>70.971000000000004</v>
      </c>
      <c r="DF1067" s="120">
        <f>(DE1067+DG1067)/2</f>
        <v>71.930250000000001</v>
      </c>
      <c r="DG1067" s="122">
        <f>(DG1066+DG1068)/2</f>
        <v>72.889499999999998</v>
      </c>
    </row>
    <row r="1068" spans="54:111" ht="15" customHeight="1" x14ac:dyDescent="0.2">
      <c r="BB1068" s="28">
        <v>32</v>
      </c>
      <c r="BC1068" s="121">
        <v>12.894</v>
      </c>
      <c r="BD1068" s="121">
        <v>14.3255</v>
      </c>
      <c r="BE1068" s="121">
        <v>15.757</v>
      </c>
      <c r="BF1068" s="121">
        <v>17.135999999999999</v>
      </c>
      <c r="BG1068" s="121">
        <v>18.515000000000001</v>
      </c>
      <c r="BH1068" s="121">
        <v>19.817</v>
      </c>
      <c r="BI1068" s="121">
        <v>21.119</v>
      </c>
      <c r="BJ1068" s="121">
        <v>22.343499999999999</v>
      </c>
      <c r="BK1068" s="121">
        <v>23.568000000000001</v>
      </c>
      <c r="BL1068" s="121">
        <v>24.8005</v>
      </c>
      <c r="BM1068" s="121">
        <v>26.033000000000001</v>
      </c>
      <c r="BN1068" s="121">
        <v>27.195</v>
      </c>
      <c r="BO1068" s="121">
        <v>28.356999999999999</v>
      </c>
      <c r="BP1068" s="121">
        <v>29.504999999999999</v>
      </c>
      <c r="BQ1068" s="121">
        <v>30.652999999999999</v>
      </c>
      <c r="BR1068" s="121">
        <v>31.800999999999998</v>
      </c>
      <c r="BS1068" s="121">
        <v>32.948999999999998</v>
      </c>
      <c r="BT1068" s="121">
        <v>34.096499999999999</v>
      </c>
      <c r="BU1068" s="121">
        <v>35.244</v>
      </c>
      <c r="BV1068" s="121">
        <v>36.353499999999997</v>
      </c>
      <c r="BW1068" s="121">
        <v>37.463000000000001</v>
      </c>
      <c r="BX1068" s="121">
        <v>38.509500000000003</v>
      </c>
      <c r="BY1068" s="121">
        <v>39.555999999999997</v>
      </c>
      <c r="BZ1068" s="121">
        <v>40.665999999999997</v>
      </c>
      <c r="CA1068" s="121">
        <v>41.776000000000003</v>
      </c>
      <c r="CB1068" s="121">
        <v>42.846500000000006</v>
      </c>
      <c r="CC1068" s="121">
        <v>43.917000000000002</v>
      </c>
      <c r="CD1068" s="121">
        <f t="array" ref="CD1068:CD1096">TRANSPOSE(CE1067:DG1067)</f>
        <v>44.988</v>
      </c>
      <c r="CE1068" s="158">
        <v>46.058999999999997</v>
      </c>
      <c r="CF1068" s="120">
        <f>(CG1068+CE1068)/2</f>
        <v>47.129999999999995</v>
      </c>
      <c r="CG1068" s="158">
        <v>48.201000000000001</v>
      </c>
      <c r="CH1068" s="120">
        <f>(CI1068+CG1068)/2</f>
        <v>49.209000000000003</v>
      </c>
      <c r="CI1068" s="158">
        <v>50.216999999999999</v>
      </c>
      <c r="CJ1068" s="120">
        <f>(CK1068+CI1068)/2</f>
        <v>51.287999999999997</v>
      </c>
      <c r="CK1068" s="158">
        <v>52.359000000000002</v>
      </c>
      <c r="CL1068" s="120">
        <f>(CM1068+CK1068)/2</f>
        <v>53.391000000000005</v>
      </c>
      <c r="CM1068" s="158">
        <v>54.423000000000002</v>
      </c>
      <c r="CN1068" s="120">
        <f>(CO1068+CM1068)/2</f>
        <v>55.463000000000001</v>
      </c>
      <c r="CO1068" s="158">
        <v>56.503</v>
      </c>
      <c r="CP1068" s="120">
        <f>(CQ1068+CO1068)/2</f>
        <v>57.535499999999999</v>
      </c>
      <c r="CQ1068" s="158">
        <v>58.567999999999998</v>
      </c>
      <c r="CR1068" s="120">
        <f>(CS1068+CQ1068)/2</f>
        <v>59.576000000000001</v>
      </c>
      <c r="CS1068" s="158">
        <v>60.584000000000003</v>
      </c>
      <c r="CT1068" s="120">
        <f>(CU1068+CS1068)/2</f>
        <v>61.616500000000002</v>
      </c>
      <c r="CU1068" s="158">
        <v>62.649000000000001</v>
      </c>
      <c r="CV1068" s="120">
        <f>(CW1068+CU1068)/2</f>
        <v>63.642499999999998</v>
      </c>
      <c r="CW1068" s="158">
        <v>64.635999999999996</v>
      </c>
      <c r="CX1068" s="120">
        <f>(CY1068+CW1068)/2</f>
        <v>65.668499999999995</v>
      </c>
      <c r="CY1068" s="158">
        <v>66.700999999999993</v>
      </c>
      <c r="CZ1068" s="120">
        <f>(DA1068+CY1068)/2</f>
        <v>67.694999999999993</v>
      </c>
      <c r="DA1068" s="158">
        <v>68.688999999999993</v>
      </c>
      <c r="DB1068" s="120">
        <f>(DC1068+DA1068)/2</f>
        <v>69.697000000000003</v>
      </c>
      <c r="DC1068" s="158">
        <v>70.704999999999998</v>
      </c>
      <c r="DD1068" s="120">
        <f>(DE1068+DC1068)/2</f>
        <v>71.698499999999996</v>
      </c>
      <c r="DE1068" s="158">
        <v>72.691999999999993</v>
      </c>
      <c r="DF1068" s="120">
        <f>(DG1068+DE1068)/2</f>
        <v>73.686000000000007</v>
      </c>
      <c r="DG1068" s="159">
        <v>74.680000000000007</v>
      </c>
    </row>
    <row r="1069" spans="54:111" ht="15" customHeight="1" x14ac:dyDescent="0.2">
      <c r="BB1069" s="28">
        <v>33</v>
      </c>
      <c r="BC1069" s="121">
        <v>13.151</v>
      </c>
      <c r="BD1069" s="121">
        <v>14.632750000000001</v>
      </c>
      <c r="BE1069" s="121">
        <v>16.1145</v>
      </c>
      <c r="BF1069" s="121">
        <v>17.512250000000002</v>
      </c>
      <c r="BG1069" s="121">
        <v>18.91</v>
      </c>
      <c r="BH1069" s="121">
        <v>20.243000000000002</v>
      </c>
      <c r="BI1069" s="121">
        <v>21.576000000000001</v>
      </c>
      <c r="BJ1069" s="121">
        <v>22.841999999999999</v>
      </c>
      <c r="BK1069" s="121">
        <v>24.108000000000001</v>
      </c>
      <c r="BL1069" s="121">
        <v>25.355499999999999</v>
      </c>
      <c r="BM1069" s="121">
        <v>26.603000000000002</v>
      </c>
      <c r="BN1069" s="121">
        <v>27.795999999999999</v>
      </c>
      <c r="BO1069" s="121">
        <v>28.988999999999997</v>
      </c>
      <c r="BP1069" s="121">
        <v>30.174500000000002</v>
      </c>
      <c r="BQ1069" s="121">
        <v>31.36</v>
      </c>
      <c r="BR1069" s="121">
        <v>32.530500000000004</v>
      </c>
      <c r="BS1069" s="121">
        <v>33.701000000000001</v>
      </c>
      <c r="BT1069" s="121">
        <v>34.84825</v>
      </c>
      <c r="BU1069" s="121">
        <v>35.9955</v>
      </c>
      <c r="BV1069" s="121">
        <v>37.142499999999998</v>
      </c>
      <c r="BW1069" s="121">
        <v>38.289500000000004</v>
      </c>
      <c r="BX1069" s="121">
        <v>39.386250000000004</v>
      </c>
      <c r="BY1069" s="121">
        <v>40.482999999999997</v>
      </c>
      <c r="BZ1069" s="121">
        <v>41.595999999999997</v>
      </c>
      <c r="CA1069" s="121">
        <v>42.709000000000003</v>
      </c>
      <c r="CB1069" s="121">
        <v>43.830000000000005</v>
      </c>
      <c r="CC1069" s="121">
        <v>44.951000000000001</v>
      </c>
      <c r="CD1069" s="121">
        <v>46.040500000000002</v>
      </c>
      <c r="CE1069" s="121">
        <f t="array" ref="CE1069:CE1096">TRANSPOSE(CF1068:DG1068)</f>
        <v>47.129999999999995</v>
      </c>
      <c r="CF1069" s="120">
        <f>(CE1069+CG1069)/2</f>
        <v>48.219749999999998</v>
      </c>
      <c r="CG1069" s="120">
        <f>(CG1068+CG1070)/2</f>
        <v>49.3095</v>
      </c>
      <c r="CH1069" s="120">
        <f>(CG1069+CI1069)/2</f>
        <v>50.351749999999996</v>
      </c>
      <c r="CI1069" s="120">
        <f>(CI1068+CI1070)/2</f>
        <v>51.393999999999998</v>
      </c>
      <c r="CJ1069" s="120">
        <f>(CI1069+CK1069)/2</f>
        <v>52.483750000000001</v>
      </c>
      <c r="CK1069" s="120">
        <f>(CK1068+CK1070)/2</f>
        <v>53.573499999999996</v>
      </c>
      <c r="CL1069" s="120">
        <f>(CK1069+CM1069)/2</f>
        <v>54.624499999999998</v>
      </c>
      <c r="CM1069" s="120">
        <f>(CM1068+CM1070)/2</f>
        <v>55.6755</v>
      </c>
      <c r="CN1069" s="120">
        <f>(CM1069+CO1069)/2</f>
        <v>56.753</v>
      </c>
      <c r="CO1069" s="120">
        <f>(CO1068+CO1070)/2</f>
        <v>57.830500000000001</v>
      </c>
      <c r="CP1069" s="120">
        <f>(CO1069+CQ1069)/2</f>
        <v>58.881749999999997</v>
      </c>
      <c r="CQ1069" s="120">
        <f>(CQ1068+CQ1070)/2</f>
        <v>59.933</v>
      </c>
      <c r="CR1069" s="120">
        <f>(CQ1069+CS1069)/2</f>
        <v>60.972000000000001</v>
      </c>
      <c r="CS1069" s="120">
        <f>(CS1068+CS1070)/2</f>
        <v>62.011000000000003</v>
      </c>
      <c r="CT1069" s="120">
        <f>(CS1069+CU1069)/2</f>
        <v>63.061750000000004</v>
      </c>
      <c r="CU1069" s="120">
        <f>(CU1068+CU1070)/2</f>
        <v>64.112499999999997</v>
      </c>
      <c r="CV1069" s="120">
        <f>(CU1069+CW1069)/2</f>
        <v>65.160249999999991</v>
      </c>
      <c r="CW1069" s="120">
        <f>(CW1068+CW1070)/2</f>
        <v>66.207999999999998</v>
      </c>
      <c r="CX1069" s="120">
        <f>(CW1069+CY1069)/2</f>
        <v>67.239999999999995</v>
      </c>
      <c r="CY1069" s="120">
        <f>(CY1068+CY1070)/2</f>
        <v>68.271999999999991</v>
      </c>
      <c r="CZ1069" s="120">
        <f>(CY1069+DA1069)/2</f>
        <v>69.304000000000002</v>
      </c>
      <c r="DA1069" s="120">
        <f>(DA1068+DA1070)/2</f>
        <v>70.335999999999999</v>
      </c>
      <c r="DB1069" s="120">
        <f>(DA1069+DC1069)/2</f>
        <v>71.355249999999998</v>
      </c>
      <c r="DC1069" s="120">
        <f>(DC1068+DC1070)/2</f>
        <v>72.374499999999998</v>
      </c>
      <c r="DD1069" s="120">
        <f>(DC1069+DE1069)/2</f>
        <v>73.41</v>
      </c>
      <c r="DE1069" s="120">
        <f>(DE1068+DE1070)/2</f>
        <v>74.445499999999996</v>
      </c>
      <c r="DF1069" s="120">
        <f>(DE1069+DG1069)/2</f>
        <v>75.458249999999992</v>
      </c>
      <c r="DG1069" s="122">
        <f>(DG1068+DG1070)/2</f>
        <v>76.471000000000004</v>
      </c>
    </row>
    <row r="1070" spans="54:111" ht="15" customHeight="1" x14ac:dyDescent="0.2">
      <c r="BB1070" s="28">
        <v>34</v>
      </c>
      <c r="BC1070" s="121">
        <v>13.407999999999999</v>
      </c>
      <c r="BD1070" s="121">
        <v>14.940000000000001</v>
      </c>
      <c r="BE1070" s="121">
        <v>16.472000000000001</v>
      </c>
      <c r="BF1070" s="121">
        <v>17.888500000000001</v>
      </c>
      <c r="BG1070" s="121">
        <v>19.305</v>
      </c>
      <c r="BH1070" s="121">
        <v>20.669</v>
      </c>
      <c r="BI1070" s="121">
        <v>22.033000000000001</v>
      </c>
      <c r="BJ1070" s="121">
        <v>23.340499999999999</v>
      </c>
      <c r="BK1070" s="121">
        <v>24.648</v>
      </c>
      <c r="BL1070" s="121">
        <v>25.910499999999999</v>
      </c>
      <c r="BM1070" s="121">
        <v>27.172999999999998</v>
      </c>
      <c r="BN1070" s="121">
        <v>28.396999999999998</v>
      </c>
      <c r="BO1070" s="121">
        <v>29.620999999999999</v>
      </c>
      <c r="BP1070" s="121">
        <v>30.844000000000001</v>
      </c>
      <c r="BQ1070" s="121">
        <v>32.067</v>
      </c>
      <c r="BR1070" s="121">
        <v>33.260000000000005</v>
      </c>
      <c r="BS1070" s="121">
        <v>34.453000000000003</v>
      </c>
      <c r="BT1070" s="121">
        <v>35.6</v>
      </c>
      <c r="BU1070" s="121">
        <v>36.747</v>
      </c>
      <c r="BV1070" s="121">
        <v>37.9315</v>
      </c>
      <c r="BW1070" s="121">
        <v>39.116</v>
      </c>
      <c r="BX1070" s="121">
        <v>40.262999999999998</v>
      </c>
      <c r="BY1070" s="121">
        <v>41.41</v>
      </c>
      <c r="BZ1070" s="121">
        <v>42.525999999999996</v>
      </c>
      <c r="CA1070" s="121">
        <v>43.642000000000003</v>
      </c>
      <c r="CB1070" s="121">
        <v>44.813500000000005</v>
      </c>
      <c r="CC1070" s="121">
        <v>45.984999999999999</v>
      </c>
      <c r="CD1070" s="121">
        <v>47.093000000000004</v>
      </c>
      <c r="CE1070" s="121">
        <v>48.201000000000001</v>
      </c>
      <c r="CF1070" s="121">
        <f t="array" ref="CF1070:CF1096">TRANSPOSE(CG1069:DG1069)</f>
        <v>49.3095</v>
      </c>
      <c r="CG1070" s="158">
        <v>50.417999999999999</v>
      </c>
      <c r="CH1070" s="120">
        <f>(CI1070+CG1070)/2</f>
        <v>51.494500000000002</v>
      </c>
      <c r="CI1070" s="158">
        <v>52.570999999999998</v>
      </c>
      <c r="CJ1070" s="120">
        <f>(CK1070+CI1070)/2</f>
        <v>53.679499999999997</v>
      </c>
      <c r="CK1070" s="158">
        <v>54.787999999999997</v>
      </c>
      <c r="CL1070" s="120">
        <f>(CM1070+CK1070)/2</f>
        <v>55.857999999999997</v>
      </c>
      <c r="CM1070" s="158">
        <v>56.927999999999997</v>
      </c>
      <c r="CN1070" s="120">
        <f>(CO1070+CM1070)/2</f>
        <v>58.042999999999999</v>
      </c>
      <c r="CO1070" s="158">
        <v>59.158000000000001</v>
      </c>
      <c r="CP1070" s="120">
        <f>(CQ1070+CO1070)/2</f>
        <v>60.228000000000002</v>
      </c>
      <c r="CQ1070" s="158">
        <v>61.298000000000002</v>
      </c>
      <c r="CR1070" s="120">
        <f>(CS1070+CQ1070)/2</f>
        <v>62.368000000000002</v>
      </c>
      <c r="CS1070" s="158">
        <v>63.438000000000002</v>
      </c>
      <c r="CT1070" s="120">
        <f>(CU1070+CS1070)/2</f>
        <v>64.507000000000005</v>
      </c>
      <c r="CU1070" s="158">
        <v>65.575999999999993</v>
      </c>
      <c r="CV1070" s="120">
        <f>(CW1070+CU1070)/2</f>
        <v>66.677999999999997</v>
      </c>
      <c r="CW1070" s="158">
        <v>67.78</v>
      </c>
      <c r="CX1070" s="120">
        <f>(CY1070+CW1070)/2</f>
        <v>68.811499999999995</v>
      </c>
      <c r="CY1070" s="158">
        <v>69.843000000000004</v>
      </c>
      <c r="CZ1070" s="120">
        <f>(DA1070+CY1070)/2</f>
        <v>70.913000000000011</v>
      </c>
      <c r="DA1070" s="158">
        <v>71.983000000000004</v>
      </c>
      <c r="DB1070" s="120">
        <f>(DC1070+DA1070)/2</f>
        <v>73.013499999999993</v>
      </c>
      <c r="DC1070" s="158">
        <v>74.043999999999997</v>
      </c>
      <c r="DD1070" s="120">
        <f>(DE1070+DC1070)/2</f>
        <v>75.121499999999997</v>
      </c>
      <c r="DE1070" s="158">
        <v>76.198999999999998</v>
      </c>
      <c r="DF1070" s="120">
        <f>(DG1070+DE1070)/2</f>
        <v>77.230500000000006</v>
      </c>
      <c r="DG1070" s="159">
        <v>78.262</v>
      </c>
    </row>
    <row r="1071" spans="54:111" ht="15" customHeight="1" x14ac:dyDescent="0.2">
      <c r="BB1071" s="28">
        <v>35</v>
      </c>
      <c r="BC1071" s="121">
        <v>13.683</v>
      </c>
      <c r="BD1071" s="121">
        <v>15.252500000000001</v>
      </c>
      <c r="BE1071" s="121">
        <v>16.822000000000003</v>
      </c>
      <c r="BF1071" s="121">
        <v>18.273250000000001</v>
      </c>
      <c r="BG1071" s="121">
        <v>19.724499999999999</v>
      </c>
      <c r="BH1071" s="121">
        <v>21.0945</v>
      </c>
      <c r="BI1071" s="121">
        <v>22.464500000000001</v>
      </c>
      <c r="BJ1071" s="121">
        <v>23.81025</v>
      </c>
      <c r="BK1071" s="121">
        <v>25.155999999999999</v>
      </c>
      <c r="BL1071" s="121">
        <v>26.4495</v>
      </c>
      <c r="BM1071" s="121">
        <v>27.742999999999999</v>
      </c>
      <c r="BN1071" s="121">
        <v>28.988999999999997</v>
      </c>
      <c r="BO1071" s="121">
        <v>30.234999999999999</v>
      </c>
      <c r="BP1071" s="121">
        <v>31.4895</v>
      </c>
      <c r="BQ1071" s="121">
        <v>32.744</v>
      </c>
      <c r="BR1071" s="121">
        <v>33.955250000000007</v>
      </c>
      <c r="BS1071" s="121">
        <v>35.166499999999999</v>
      </c>
      <c r="BT1071" s="121">
        <v>36.351250000000007</v>
      </c>
      <c r="BU1071" s="121">
        <v>37.536000000000001</v>
      </c>
      <c r="BV1071" s="121">
        <v>38.751750000000001</v>
      </c>
      <c r="BW1071" s="121">
        <v>39.967500000000001</v>
      </c>
      <c r="BX1071" s="121">
        <v>41.387</v>
      </c>
      <c r="BY1071" s="121">
        <v>42.8065</v>
      </c>
      <c r="BZ1071" s="121">
        <v>43.71875</v>
      </c>
      <c r="CA1071" s="121">
        <v>44.631</v>
      </c>
      <c r="CB1071" s="121">
        <v>45.79325</v>
      </c>
      <c r="CC1071" s="121">
        <v>46.955500000000001</v>
      </c>
      <c r="CD1071" s="121">
        <v>48.082250000000002</v>
      </c>
      <c r="CE1071" s="121">
        <v>49.209000000000003</v>
      </c>
      <c r="CF1071" s="121">
        <v>50.351749999999996</v>
      </c>
      <c r="CG1071" s="121">
        <f t="array" ref="CG1071:CG1096">TRANSPOSE(CH1070:DG1070)</f>
        <v>51.494500000000002</v>
      </c>
      <c r="CH1071" s="120">
        <f>(CG1071+CI1071)/2</f>
        <v>52.625</v>
      </c>
      <c r="CI1071" s="120">
        <f>(CI1070+CI1072)/2</f>
        <v>53.755499999999998</v>
      </c>
      <c r="CJ1071" s="120">
        <f>(CI1071+CK1071)/2</f>
        <v>54.898499999999999</v>
      </c>
      <c r="CK1071" s="120">
        <f>(CK1070+CK1072)/2</f>
        <v>56.041499999999999</v>
      </c>
      <c r="CL1071" s="120">
        <f>(CK1071+CM1071)/2</f>
        <v>57.110749999999996</v>
      </c>
      <c r="CM1071" s="120">
        <f>(CM1070+CM1072)/2</f>
        <v>58.18</v>
      </c>
      <c r="CN1071" s="120">
        <f>(CM1071+CO1071)/2</f>
        <v>59.314</v>
      </c>
      <c r="CO1071" s="120">
        <f>(CO1070+CO1072)/2</f>
        <v>60.448</v>
      </c>
      <c r="CP1071" s="120">
        <f>(CO1071+CQ1071)/2</f>
        <v>61.567750000000004</v>
      </c>
      <c r="CQ1071" s="120">
        <f>(CQ1070+CQ1072)/2</f>
        <v>62.6875</v>
      </c>
      <c r="CR1071" s="120">
        <f>(CQ1071+CS1071)/2</f>
        <v>63.757000000000005</v>
      </c>
      <c r="CS1071" s="120">
        <f>(CS1070+CS1072)/2</f>
        <v>64.82650000000001</v>
      </c>
      <c r="CT1071" s="120">
        <f>(CS1071+CU1071)/2</f>
        <v>65.9495</v>
      </c>
      <c r="CU1071" s="120">
        <f>(CU1070+CU1072)/2</f>
        <v>67.072499999999991</v>
      </c>
      <c r="CV1071" s="120">
        <f>(CU1071+CW1071)/2</f>
        <v>68.157749999999993</v>
      </c>
      <c r="CW1071" s="120">
        <f>(CW1070+CW1072)/2</f>
        <v>69.242999999999995</v>
      </c>
      <c r="CX1071" s="120">
        <f>(CW1071+CY1071)/2</f>
        <v>70.335499999999996</v>
      </c>
      <c r="CY1071" s="120">
        <f>(CY1070+CY1072)/2</f>
        <v>71.427999999999997</v>
      </c>
      <c r="CZ1071" s="120">
        <f>(CY1071+DA1071)/2</f>
        <v>72.509249999999994</v>
      </c>
      <c r="DA1071" s="120">
        <f>(DA1070+DA1072)/2</f>
        <v>73.590499999999992</v>
      </c>
      <c r="DB1071" s="120">
        <f>(DA1071+DC1071)/2</f>
        <v>74.643749999999997</v>
      </c>
      <c r="DC1071" s="120">
        <f>(DC1070+DC1072)/2</f>
        <v>75.697000000000003</v>
      </c>
      <c r="DD1071" s="120">
        <f>(DC1071+DE1071)/2</f>
        <v>76.782250000000005</v>
      </c>
      <c r="DE1071" s="120">
        <f>(DE1070+DE1072)/2</f>
        <v>77.867500000000007</v>
      </c>
      <c r="DF1071" s="120">
        <f>(DE1071+DG1071)/2</f>
        <v>78.95975</v>
      </c>
      <c r="DG1071" s="122">
        <f>(DG1070+DG1072)/2</f>
        <v>80.051999999999992</v>
      </c>
    </row>
    <row r="1072" spans="54:111" ht="15" customHeight="1" x14ac:dyDescent="0.2">
      <c r="BB1072" s="28">
        <v>36</v>
      </c>
      <c r="BC1072" s="121">
        <v>13.958</v>
      </c>
      <c r="BD1072" s="121">
        <v>15.565000000000001</v>
      </c>
      <c r="BE1072" s="121">
        <v>17.172000000000001</v>
      </c>
      <c r="BF1072" s="121">
        <v>18.658000000000001</v>
      </c>
      <c r="BG1072" s="121">
        <v>20.143999999999998</v>
      </c>
      <c r="BH1072" s="121">
        <v>21.52</v>
      </c>
      <c r="BI1072" s="121">
        <v>22.896000000000001</v>
      </c>
      <c r="BJ1072" s="121">
        <v>24.28</v>
      </c>
      <c r="BK1072" s="121">
        <v>25.664000000000001</v>
      </c>
      <c r="BL1072" s="121">
        <v>26.988500000000002</v>
      </c>
      <c r="BM1072" s="121">
        <v>28.312999999999999</v>
      </c>
      <c r="BN1072" s="121">
        <v>29.581</v>
      </c>
      <c r="BO1072" s="121">
        <v>30.849</v>
      </c>
      <c r="BP1072" s="121">
        <v>32.134999999999998</v>
      </c>
      <c r="BQ1072" s="121">
        <v>33.420999999999999</v>
      </c>
      <c r="BR1072" s="121">
        <v>34.650500000000001</v>
      </c>
      <c r="BS1072" s="121">
        <v>35.880000000000003</v>
      </c>
      <c r="BT1072" s="121">
        <v>37.102500000000006</v>
      </c>
      <c r="BU1072" s="121">
        <v>38.325000000000003</v>
      </c>
      <c r="BV1072" s="121">
        <v>39.572000000000003</v>
      </c>
      <c r="BW1072" s="121">
        <v>40.819000000000003</v>
      </c>
      <c r="BX1072" s="121">
        <v>42.511000000000003</v>
      </c>
      <c r="BY1072" s="121">
        <v>44.203000000000003</v>
      </c>
      <c r="BZ1072" s="121">
        <v>44.911500000000004</v>
      </c>
      <c r="CA1072" s="121">
        <v>45.62</v>
      </c>
      <c r="CB1072" s="121">
        <v>46.772999999999996</v>
      </c>
      <c r="CC1072" s="121">
        <v>47.926000000000002</v>
      </c>
      <c r="CD1072" s="121">
        <v>49.0715</v>
      </c>
      <c r="CE1072" s="121">
        <v>50.216999999999999</v>
      </c>
      <c r="CF1072" s="121">
        <v>51.393999999999998</v>
      </c>
      <c r="CG1072" s="121">
        <v>52.570999999999998</v>
      </c>
      <c r="CH1072" s="121">
        <f t="array" ref="CH1072:CH1096">TRANSPOSE(CI1071:DG1071)</f>
        <v>53.755499999999998</v>
      </c>
      <c r="CI1072" s="158">
        <v>54.94</v>
      </c>
      <c r="CJ1072" s="120">
        <f>(CK1072+CI1072)/2</f>
        <v>56.1175</v>
      </c>
      <c r="CK1072" s="158">
        <v>57.295000000000002</v>
      </c>
      <c r="CL1072" s="120">
        <f>(CM1072+CK1072)/2</f>
        <v>58.363500000000002</v>
      </c>
      <c r="CM1072" s="158">
        <v>59.432000000000002</v>
      </c>
      <c r="CN1072" s="120">
        <f>(CO1072+CM1072)/2</f>
        <v>60.585000000000001</v>
      </c>
      <c r="CO1072" s="158">
        <v>61.738</v>
      </c>
      <c r="CP1072" s="120">
        <f>(CQ1072+CO1072)/2</f>
        <v>62.907499999999999</v>
      </c>
      <c r="CQ1072" s="158">
        <v>64.076999999999998</v>
      </c>
      <c r="CR1072" s="120">
        <f>(CS1072+CQ1072)/2</f>
        <v>65.146000000000001</v>
      </c>
      <c r="CS1072" s="158">
        <v>66.215000000000003</v>
      </c>
      <c r="CT1072" s="120">
        <f>(CU1072+CS1072)/2</f>
        <v>67.391999999999996</v>
      </c>
      <c r="CU1072" s="158">
        <v>68.569000000000003</v>
      </c>
      <c r="CV1072" s="120">
        <f>(CW1072+CU1072)/2</f>
        <v>69.637500000000003</v>
      </c>
      <c r="CW1072" s="158">
        <v>70.706000000000003</v>
      </c>
      <c r="CX1072" s="120">
        <f>(CY1072+CW1072)/2</f>
        <v>71.859499999999997</v>
      </c>
      <c r="CY1072" s="158">
        <v>73.013000000000005</v>
      </c>
      <c r="CZ1072" s="120">
        <f>(DA1072+CY1072)/2</f>
        <v>74.105500000000006</v>
      </c>
      <c r="DA1072" s="158">
        <v>75.197999999999993</v>
      </c>
      <c r="DB1072" s="120">
        <f>(DC1072+DA1072)/2</f>
        <v>76.274000000000001</v>
      </c>
      <c r="DC1072" s="158">
        <v>77.349999999999994</v>
      </c>
      <c r="DD1072" s="120">
        <f>(DE1072+DC1072)/2</f>
        <v>78.442999999999998</v>
      </c>
      <c r="DE1072" s="158">
        <v>79.536000000000001</v>
      </c>
      <c r="DF1072" s="120">
        <f>(DG1072+DE1072)/2</f>
        <v>80.688999999999993</v>
      </c>
      <c r="DG1072" s="159">
        <v>81.841999999999999</v>
      </c>
    </row>
    <row r="1073" spans="54:111" ht="15" customHeight="1" x14ac:dyDescent="0.2">
      <c r="BB1073" s="28">
        <v>37</v>
      </c>
      <c r="BC1073" s="121">
        <v>14.2075</v>
      </c>
      <c r="BD1073" s="121">
        <v>15.84925</v>
      </c>
      <c r="BE1073" s="121">
        <v>17.491</v>
      </c>
      <c r="BF1073" s="121">
        <v>19.014749999999999</v>
      </c>
      <c r="BG1073" s="121">
        <v>20.538499999999999</v>
      </c>
      <c r="BH1073" s="121">
        <v>21.965</v>
      </c>
      <c r="BI1073" s="121">
        <v>23.391500000000001</v>
      </c>
      <c r="BJ1073" s="121">
        <v>24.774750000000001</v>
      </c>
      <c r="BK1073" s="121">
        <v>26.158000000000001</v>
      </c>
      <c r="BL1073" s="121">
        <v>27.524000000000001</v>
      </c>
      <c r="BM1073" s="121">
        <v>28.89</v>
      </c>
      <c r="BN1073" s="121">
        <v>30.185499999999998</v>
      </c>
      <c r="BO1073" s="121">
        <v>31.481000000000002</v>
      </c>
      <c r="BP1073" s="121">
        <v>32.776499999999999</v>
      </c>
      <c r="BQ1073" s="121">
        <v>34.072000000000003</v>
      </c>
      <c r="BR1073" s="121">
        <v>35.348500000000001</v>
      </c>
      <c r="BS1073" s="121">
        <v>36.625</v>
      </c>
      <c r="BT1073" s="121">
        <v>37.882000000000005</v>
      </c>
      <c r="BU1073" s="121">
        <v>39.139000000000003</v>
      </c>
      <c r="BV1073" s="121">
        <v>40.377250000000004</v>
      </c>
      <c r="BW1073" s="121">
        <v>41.615499999999997</v>
      </c>
      <c r="BX1073" s="121">
        <v>43.103499999999997</v>
      </c>
      <c r="BY1073" s="121">
        <v>44.591499999999996</v>
      </c>
      <c r="BZ1073" s="121">
        <v>45.572500000000005</v>
      </c>
      <c r="CA1073" s="121">
        <v>46.5535</v>
      </c>
      <c r="CB1073" s="121">
        <v>47.737249999999996</v>
      </c>
      <c r="CC1073" s="121">
        <v>48.920999999999999</v>
      </c>
      <c r="CD1073" s="121">
        <v>50.104500000000002</v>
      </c>
      <c r="CE1073" s="121">
        <v>51.287999999999997</v>
      </c>
      <c r="CF1073" s="121">
        <v>52.483750000000001</v>
      </c>
      <c r="CG1073" s="121">
        <v>53.679499999999997</v>
      </c>
      <c r="CH1073" s="121">
        <v>54.898499999999999</v>
      </c>
      <c r="CI1073" s="121">
        <f t="array" ref="CI1073:CI1096">TRANSPOSE(CJ1072:DG1072)</f>
        <v>56.1175</v>
      </c>
      <c r="CJ1073" s="120">
        <f>(CI1073+CK1073)/2</f>
        <v>57.259</v>
      </c>
      <c r="CK1073" s="120">
        <f>(CK1072+CK1074)/2</f>
        <v>58.400500000000001</v>
      </c>
      <c r="CL1073" s="120">
        <f>(CK1073+CM1073)/2</f>
        <v>59.542000000000002</v>
      </c>
      <c r="CM1073" s="120">
        <f>(CM1072+CM1074)/2</f>
        <v>60.683500000000002</v>
      </c>
      <c r="CN1073" s="120">
        <f>(CM1073+CO1073)/2</f>
        <v>61.8675</v>
      </c>
      <c r="CO1073" s="120">
        <f>(CO1072+CO1074)/2</f>
        <v>63.051499999999997</v>
      </c>
      <c r="CP1073" s="120">
        <f>(CO1073+CQ1073)/2</f>
        <v>64.227500000000006</v>
      </c>
      <c r="CQ1073" s="120">
        <f>(CQ1072+CQ1074)/2</f>
        <v>65.403500000000008</v>
      </c>
      <c r="CR1073" s="120">
        <f>(CQ1073+CS1073)/2</f>
        <v>66.507000000000005</v>
      </c>
      <c r="CS1073" s="120">
        <f>(CS1072+CS1074)/2</f>
        <v>67.610500000000002</v>
      </c>
      <c r="CT1073" s="120">
        <f>(CS1073+CU1073)/2</f>
        <v>68.8065</v>
      </c>
      <c r="CU1073" s="120">
        <f>(CU1072+CU1074)/2</f>
        <v>70.002499999999998</v>
      </c>
      <c r="CV1073" s="120">
        <f>(CU1073+CW1073)/2</f>
        <v>71.140500000000003</v>
      </c>
      <c r="CW1073" s="120">
        <f>(CW1072+CW1074)/2</f>
        <v>72.278500000000008</v>
      </c>
      <c r="CX1073" s="120">
        <f>(CW1073+CY1073)/2</f>
        <v>73.411750000000012</v>
      </c>
      <c r="CY1073" s="120">
        <f>(CY1072+CY1074)/2</f>
        <v>74.545000000000002</v>
      </c>
      <c r="CZ1073" s="120">
        <f>(CY1073+DA1073)/2</f>
        <v>75.656499999999994</v>
      </c>
      <c r="DA1073" s="120">
        <f>(DA1072+DA1074)/2</f>
        <v>76.768000000000001</v>
      </c>
      <c r="DB1073" s="120">
        <f>(DA1073+DC1073)/2</f>
        <v>77.913250000000005</v>
      </c>
      <c r="DC1073" s="120">
        <f>(DC1072+DC1074)/2</f>
        <v>79.058499999999995</v>
      </c>
      <c r="DD1073" s="120">
        <f>(DC1073+DE1073)/2</f>
        <v>80.161749999999998</v>
      </c>
      <c r="DE1073" s="120">
        <f>(DE1072+DE1074)/2</f>
        <v>81.265000000000001</v>
      </c>
      <c r="DF1073" s="120">
        <f>(DE1073+DG1073)/2</f>
        <v>82.406499999999994</v>
      </c>
      <c r="DG1073" s="122">
        <f>(DG1072+DG1074)/2</f>
        <v>83.548000000000002</v>
      </c>
    </row>
    <row r="1074" spans="54:111" ht="15" customHeight="1" x14ac:dyDescent="0.2">
      <c r="BB1074" s="28">
        <v>38</v>
      </c>
      <c r="BC1074" s="121">
        <v>14.457000000000001</v>
      </c>
      <c r="BD1074" s="121">
        <v>16.133499999999998</v>
      </c>
      <c r="BE1074" s="121">
        <v>17.809999999999999</v>
      </c>
      <c r="BF1074" s="121">
        <v>19.371499999999997</v>
      </c>
      <c r="BG1074" s="121">
        <v>20.933</v>
      </c>
      <c r="BH1074" s="121">
        <v>22.41</v>
      </c>
      <c r="BI1074" s="121">
        <v>23.887</v>
      </c>
      <c r="BJ1074" s="121">
        <v>25.269500000000001</v>
      </c>
      <c r="BK1074" s="121">
        <v>26.652000000000001</v>
      </c>
      <c r="BL1074" s="121">
        <v>28.0595</v>
      </c>
      <c r="BM1074" s="121">
        <v>29.466999999999999</v>
      </c>
      <c r="BN1074" s="121">
        <v>30.79</v>
      </c>
      <c r="BO1074" s="121">
        <v>32.113</v>
      </c>
      <c r="BP1074" s="121">
        <v>33.417999999999999</v>
      </c>
      <c r="BQ1074" s="121">
        <v>34.722999999999999</v>
      </c>
      <c r="BR1074" s="121">
        <v>36.046499999999995</v>
      </c>
      <c r="BS1074" s="121">
        <v>37.369999999999997</v>
      </c>
      <c r="BT1074" s="121">
        <v>38.661500000000004</v>
      </c>
      <c r="BU1074" s="121">
        <v>39.953000000000003</v>
      </c>
      <c r="BV1074" s="121">
        <v>41.182500000000005</v>
      </c>
      <c r="BW1074" s="121">
        <v>42.411999999999999</v>
      </c>
      <c r="BX1074" s="121">
        <v>43.695999999999998</v>
      </c>
      <c r="BY1074" s="121">
        <v>44.98</v>
      </c>
      <c r="BZ1074" s="121">
        <v>46.233499999999999</v>
      </c>
      <c r="CA1074" s="121">
        <v>47.487000000000002</v>
      </c>
      <c r="CB1074" s="121">
        <v>48.701499999999996</v>
      </c>
      <c r="CC1074" s="121">
        <v>49.915999999999997</v>
      </c>
      <c r="CD1074" s="121">
        <v>51.137500000000003</v>
      </c>
      <c r="CE1074" s="121">
        <v>52.359000000000002</v>
      </c>
      <c r="CF1074" s="121">
        <v>53.573499999999996</v>
      </c>
      <c r="CG1074" s="121">
        <v>54.787999999999997</v>
      </c>
      <c r="CH1074" s="121">
        <v>56.041499999999999</v>
      </c>
      <c r="CI1074" s="121">
        <v>57.295000000000002</v>
      </c>
      <c r="CJ1074" s="121">
        <f t="array" ref="CJ1074:CJ1096">TRANSPOSE(CK1073:DG1073)</f>
        <v>58.400500000000001</v>
      </c>
      <c r="CK1074" s="158">
        <v>59.506</v>
      </c>
      <c r="CL1074" s="120">
        <f>(CM1074+CK1074)/2</f>
        <v>60.720500000000001</v>
      </c>
      <c r="CM1074" s="158">
        <v>61.935000000000002</v>
      </c>
      <c r="CN1074" s="120">
        <f>(CO1074+CM1074)/2</f>
        <v>63.15</v>
      </c>
      <c r="CO1074" s="158">
        <v>64.364999999999995</v>
      </c>
      <c r="CP1074" s="120">
        <f>(CQ1074+CO1074)/2</f>
        <v>65.547499999999999</v>
      </c>
      <c r="CQ1074" s="158">
        <v>66.73</v>
      </c>
      <c r="CR1074" s="120">
        <f>(CS1074+CQ1074)/2</f>
        <v>67.867999999999995</v>
      </c>
      <c r="CS1074" s="158">
        <v>69.006</v>
      </c>
      <c r="CT1074" s="120">
        <f>(CU1074+CS1074)/2</f>
        <v>70.221000000000004</v>
      </c>
      <c r="CU1074" s="158">
        <v>71.436000000000007</v>
      </c>
      <c r="CV1074" s="120">
        <f>(CW1074+CU1074)/2</f>
        <v>72.643500000000003</v>
      </c>
      <c r="CW1074" s="158">
        <v>73.850999999999999</v>
      </c>
      <c r="CX1074" s="120">
        <f>(CY1074+CW1074)/2</f>
        <v>74.963999999999999</v>
      </c>
      <c r="CY1074" s="158">
        <v>76.076999999999998</v>
      </c>
      <c r="CZ1074" s="120">
        <f>(DA1074+CY1074)/2</f>
        <v>77.207499999999996</v>
      </c>
      <c r="DA1074" s="158">
        <v>78.337999999999994</v>
      </c>
      <c r="DB1074" s="120">
        <f>(DC1074+DA1074)/2</f>
        <v>79.552499999999995</v>
      </c>
      <c r="DC1074" s="158">
        <v>80.766999999999996</v>
      </c>
      <c r="DD1074" s="120">
        <f>(DE1074+DC1074)/2</f>
        <v>81.880499999999998</v>
      </c>
      <c r="DE1074" s="158">
        <v>82.994</v>
      </c>
      <c r="DF1074" s="120">
        <f>(DG1074+DE1074)/2</f>
        <v>84.123999999999995</v>
      </c>
      <c r="DG1074" s="159">
        <v>85.254000000000005</v>
      </c>
    </row>
    <row r="1075" spans="54:111" ht="15" customHeight="1" x14ac:dyDescent="0.2">
      <c r="BB1075" s="28">
        <v>39</v>
      </c>
      <c r="BC1075" s="121">
        <v>14.739000000000001</v>
      </c>
      <c r="BD1075" s="121">
        <v>16.453249999999997</v>
      </c>
      <c r="BE1075" s="121">
        <v>18.167499999999997</v>
      </c>
      <c r="BF1075" s="121">
        <v>19.744</v>
      </c>
      <c r="BG1075" s="121">
        <v>21.320499999999999</v>
      </c>
      <c r="BH1075" s="121">
        <v>22.819749999999999</v>
      </c>
      <c r="BI1075" s="121">
        <v>24.319000000000003</v>
      </c>
      <c r="BJ1075" s="121">
        <v>25.752000000000002</v>
      </c>
      <c r="BK1075" s="121">
        <v>27.185000000000002</v>
      </c>
      <c r="BL1075" s="121">
        <v>28.5915</v>
      </c>
      <c r="BM1075" s="121">
        <v>29.997999999999998</v>
      </c>
      <c r="BN1075" s="121">
        <v>31.362500000000001</v>
      </c>
      <c r="BO1075" s="121">
        <v>32.727000000000004</v>
      </c>
      <c r="BP1075" s="121">
        <v>34.063500000000005</v>
      </c>
      <c r="BQ1075" s="121">
        <v>35.4</v>
      </c>
      <c r="BR1075" s="121">
        <v>36.741749999999996</v>
      </c>
      <c r="BS1075" s="121">
        <v>38.083500000000001</v>
      </c>
      <c r="BT1075" s="121">
        <v>39.393500000000003</v>
      </c>
      <c r="BU1075" s="121">
        <v>40.703500000000005</v>
      </c>
      <c r="BV1075" s="121">
        <v>41.983249999999998</v>
      </c>
      <c r="BW1075" s="121">
        <v>43.262999999999998</v>
      </c>
      <c r="BX1075" s="121">
        <v>44.550249999999998</v>
      </c>
      <c r="BY1075" s="121">
        <v>45.837499999999999</v>
      </c>
      <c r="BZ1075" s="121">
        <v>47.129000000000005</v>
      </c>
      <c r="CA1075" s="121">
        <v>48.420500000000004</v>
      </c>
      <c r="CB1075" s="121">
        <v>49.653499999999994</v>
      </c>
      <c r="CC1075" s="121">
        <v>50.886499999999998</v>
      </c>
      <c r="CD1075" s="121">
        <v>52.138750000000002</v>
      </c>
      <c r="CE1075" s="121">
        <v>53.391000000000005</v>
      </c>
      <c r="CF1075" s="121">
        <v>54.624499999999998</v>
      </c>
      <c r="CG1075" s="121">
        <v>55.857999999999997</v>
      </c>
      <c r="CH1075" s="121">
        <v>57.110749999999996</v>
      </c>
      <c r="CI1075" s="121">
        <v>58.363500000000002</v>
      </c>
      <c r="CJ1075" s="121">
        <v>59.542000000000002</v>
      </c>
      <c r="CK1075" s="121">
        <f t="array" ref="CK1075:CK1096">TRANSPOSE(CL1074:DG1074)</f>
        <v>60.720500000000001</v>
      </c>
      <c r="CL1075" s="120">
        <f>(CK1075+CM1075)/2</f>
        <v>61.954000000000001</v>
      </c>
      <c r="CM1075" s="120">
        <f>(CM1074+CM1076)/2</f>
        <v>63.1875</v>
      </c>
      <c r="CN1075" s="120">
        <f>(CM1075+CO1075)/2</f>
        <v>64.420999999999992</v>
      </c>
      <c r="CO1075" s="120">
        <f>(CO1074+CO1076)/2</f>
        <v>65.654499999999999</v>
      </c>
      <c r="CP1075" s="120">
        <f>(CO1075+CQ1075)/2</f>
        <v>66.867999999999995</v>
      </c>
      <c r="CQ1075" s="120">
        <f>(CQ1074+CQ1076)/2</f>
        <v>68.081500000000005</v>
      </c>
      <c r="CR1075" s="120">
        <f>(CQ1075+CS1075)/2</f>
        <v>69.276499999999999</v>
      </c>
      <c r="CS1075" s="120">
        <f>(CS1074+CS1076)/2</f>
        <v>70.471499999999992</v>
      </c>
      <c r="CT1075" s="120">
        <f>(CS1075+CU1075)/2</f>
        <v>71.666499999999999</v>
      </c>
      <c r="CU1075" s="120">
        <f>(CU1074+CU1076)/2</f>
        <v>72.861500000000007</v>
      </c>
      <c r="CV1075" s="120">
        <f>(CU1075+CW1075)/2</f>
        <v>74.091499999999996</v>
      </c>
      <c r="CW1075" s="120">
        <f>(CW1074+CW1076)/2</f>
        <v>75.3215</v>
      </c>
      <c r="CX1075" s="120">
        <f>(CW1075+CY1075)/2</f>
        <v>76.465499999999992</v>
      </c>
      <c r="CY1075" s="120">
        <f>(CY1074+CY1076)/2</f>
        <v>77.609499999999997</v>
      </c>
      <c r="CZ1075" s="120">
        <f>(CY1075+DA1075)/2</f>
        <v>78.800749999999994</v>
      </c>
      <c r="DA1075" s="120">
        <f>(DA1074+DA1076)/2</f>
        <v>79.99199999999999</v>
      </c>
      <c r="DB1075" s="120">
        <f>(DA1075+DC1075)/2</f>
        <v>81.186749999999989</v>
      </c>
      <c r="DC1075" s="120">
        <f>(DC1074+DC1076)/2</f>
        <v>82.381499999999988</v>
      </c>
      <c r="DD1075" s="120">
        <f>(DC1075+DE1075)/2</f>
        <v>83.521999999999991</v>
      </c>
      <c r="DE1075" s="120">
        <f>(DE1074+DE1076)/2</f>
        <v>84.662499999999994</v>
      </c>
      <c r="DF1075" s="120">
        <f>(DE1075+DG1075)/2</f>
        <v>85.853499999999997</v>
      </c>
      <c r="DG1075" s="122">
        <f>(DG1074+DG1076)/2</f>
        <v>87.044499999999999</v>
      </c>
    </row>
    <row r="1076" spans="54:111" ht="15" customHeight="1" x14ac:dyDescent="0.2">
      <c r="BB1076" s="28">
        <v>40</v>
      </c>
      <c r="BC1076" s="121">
        <v>15.021000000000001</v>
      </c>
      <c r="BD1076" s="121">
        <v>16.773</v>
      </c>
      <c r="BE1076" s="121">
        <v>18.524999999999999</v>
      </c>
      <c r="BF1076" s="121">
        <v>20.116499999999998</v>
      </c>
      <c r="BG1076" s="121">
        <v>21.707999999999998</v>
      </c>
      <c r="BH1076" s="121">
        <v>23.229500000000002</v>
      </c>
      <c r="BI1076" s="121">
        <v>24.751000000000001</v>
      </c>
      <c r="BJ1076" s="121">
        <v>26.234500000000001</v>
      </c>
      <c r="BK1076" s="121">
        <v>27.718</v>
      </c>
      <c r="BL1076" s="121">
        <v>29.1235</v>
      </c>
      <c r="BM1076" s="121">
        <v>30.529</v>
      </c>
      <c r="BN1076" s="121">
        <v>31.935000000000002</v>
      </c>
      <c r="BO1076" s="121">
        <v>33.341000000000001</v>
      </c>
      <c r="BP1076" s="121">
        <v>34.709000000000003</v>
      </c>
      <c r="BQ1076" s="121">
        <v>36.076999999999998</v>
      </c>
      <c r="BR1076" s="121">
        <v>37.436999999999998</v>
      </c>
      <c r="BS1076" s="121">
        <v>38.796999999999997</v>
      </c>
      <c r="BT1076" s="121">
        <v>40.125500000000002</v>
      </c>
      <c r="BU1076" s="121">
        <v>41.454000000000001</v>
      </c>
      <c r="BV1076" s="121">
        <v>42.783999999999999</v>
      </c>
      <c r="BW1076" s="121">
        <v>44.113999999999997</v>
      </c>
      <c r="BX1076" s="121">
        <v>45.404499999999999</v>
      </c>
      <c r="BY1076" s="121">
        <v>46.695</v>
      </c>
      <c r="BZ1076" s="121">
        <v>48.024500000000003</v>
      </c>
      <c r="CA1076" s="121">
        <v>49.353999999999999</v>
      </c>
      <c r="CB1076" s="121">
        <v>50.605499999999999</v>
      </c>
      <c r="CC1076" s="121">
        <v>51.856999999999999</v>
      </c>
      <c r="CD1076" s="121">
        <v>53.14</v>
      </c>
      <c r="CE1076" s="121">
        <v>54.423000000000002</v>
      </c>
      <c r="CF1076" s="121">
        <v>55.6755</v>
      </c>
      <c r="CG1076" s="121">
        <v>56.927999999999997</v>
      </c>
      <c r="CH1076" s="121">
        <v>58.18</v>
      </c>
      <c r="CI1076" s="121">
        <v>59.432000000000002</v>
      </c>
      <c r="CJ1076" s="121">
        <v>60.683500000000002</v>
      </c>
      <c r="CK1076" s="121">
        <v>61.935000000000002</v>
      </c>
      <c r="CL1076" s="121">
        <f t="array" ref="CL1076:CL1096">TRANSPOSE(CM1075:DG1075)</f>
        <v>63.1875</v>
      </c>
      <c r="CM1076" s="158">
        <v>64.44</v>
      </c>
      <c r="CN1076" s="120">
        <f>(CO1076+CM1076)/2</f>
        <v>65.692000000000007</v>
      </c>
      <c r="CO1076" s="158">
        <v>66.944000000000003</v>
      </c>
      <c r="CP1076" s="120">
        <f>(CQ1076+CO1076)/2</f>
        <v>68.188500000000005</v>
      </c>
      <c r="CQ1076" s="158">
        <v>69.433000000000007</v>
      </c>
      <c r="CR1076" s="120">
        <f>(CS1076+CQ1076)/2</f>
        <v>70.685000000000002</v>
      </c>
      <c r="CS1076" s="158">
        <v>71.936999999999998</v>
      </c>
      <c r="CT1076" s="120">
        <f>(CU1076+CS1076)/2</f>
        <v>73.111999999999995</v>
      </c>
      <c r="CU1076" s="158">
        <v>74.287000000000006</v>
      </c>
      <c r="CV1076" s="120">
        <f>(CW1076+CU1076)/2</f>
        <v>75.539500000000004</v>
      </c>
      <c r="CW1076" s="158">
        <v>76.792000000000002</v>
      </c>
      <c r="CX1076" s="120">
        <f>(CY1076+CW1076)/2</f>
        <v>77.966999999999999</v>
      </c>
      <c r="CY1076" s="158">
        <v>79.141999999999996</v>
      </c>
      <c r="CZ1076" s="120">
        <f>(DA1076+CY1076)/2</f>
        <v>80.394000000000005</v>
      </c>
      <c r="DA1076" s="158">
        <v>81.646000000000001</v>
      </c>
      <c r="DB1076" s="120">
        <f>(DC1076+DA1076)/2</f>
        <v>82.820999999999998</v>
      </c>
      <c r="DC1076" s="158">
        <v>83.995999999999995</v>
      </c>
      <c r="DD1076" s="120">
        <f>(DE1076+DC1076)/2</f>
        <v>85.163499999999999</v>
      </c>
      <c r="DE1076" s="158">
        <v>86.331000000000003</v>
      </c>
      <c r="DF1076" s="120">
        <f>(DG1076+DE1076)/2</f>
        <v>87.582999999999998</v>
      </c>
      <c r="DG1076" s="159">
        <v>88.834999999999994</v>
      </c>
    </row>
    <row r="1077" spans="54:111" ht="15" customHeight="1" x14ac:dyDescent="0.2">
      <c r="BB1077" s="28">
        <v>41</v>
      </c>
      <c r="BC1077" s="121">
        <v>15.295000000000002</v>
      </c>
      <c r="BD1077" s="121">
        <v>17.066000000000003</v>
      </c>
      <c r="BE1077" s="121">
        <v>18.837</v>
      </c>
      <c r="BF1077" s="121">
        <v>20.450749999999999</v>
      </c>
      <c r="BG1077" s="121">
        <v>22.064499999999999</v>
      </c>
      <c r="BH1077" s="121">
        <v>23.636000000000003</v>
      </c>
      <c r="BI1077" s="121">
        <v>25.207500000000003</v>
      </c>
      <c r="BJ1077" s="121">
        <v>26.709499999999998</v>
      </c>
      <c r="BK1077" s="121">
        <v>28.211500000000001</v>
      </c>
      <c r="BL1077" s="121">
        <v>29.655249999999999</v>
      </c>
      <c r="BM1077" s="121">
        <v>31.099</v>
      </c>
      <c r="BN1077" s="121">
        <v>32.523499999999999</v>
      </c>
      <c r="BO1077" s="121">
        <v>33.948</v>
      </c>
      <c r="BP1077" s="121">
        <v>35.34675</v>
      </c>
      <c r="BQ1077" s="121">
        <v>36.7455</v>
      </c>
      <c r="BR1077" s="121">
        <v>38.128</v>
      </c>
      <c r="BS1077" s="121">
        <v>39.510499999999993</v>
      </c>
      <c r="BT1077" s="121">
        <v>40.877499999999998</v>
      </c>
      <c r="BU1077" s="121">
        <v>42.244500000000002</v>
      </c>
      <c r="BV1077" s="121">
        <v>43.604749999999996</v>
      </c>
      <c r="BW1077" s="121">
        <v>44.965000000000003</v>
      </c>
      <c r="BX1077" s="121">
        <v>46.274250000000002</v>
      </c>
      <c r="BY1077" s="121">
        <v>47.583500000000001</v>
      </c>
      <c r="BZ1077" s="121">
        <v>48.91225</v>
      </c>
      <c r="CA1077" s="121">
        <v>50.241</v>
      </c>
      <c r="CB1077" s="121">
        <v>51.542999999999999</v>
      </c>
      <c r="CC1077" s="121">
        <v>52.844999999999999</v>
      </c>
      <c r="CD1077" s="121">
        <v>54.153999999999996</v>
      </c>
      <c r="CE1077" s="121">
        <v>55.463000000000001</v>
      </c>
      <c r="CF1077" s="121">
        <v>56.753</v>
      </c>
      <c r="CG1077" s="121">
        <v>58.042999999999999</v>
      </c>
      <c r="CH1077" s="121">
        <v>59.314</v>
      </c>
      <c r="CI1077" s="121">
        <v>60.585000000000001</v>
      </c>
      <c r="CJ1077" s="121">
        <v>61.8675</v>
      </c>
      <c r="CK1077" s="121">
        <v>63.15</v>
      </c>
      <c r="CL1077" s="121">
        <v>64.420999999999992</v>
      </c>
      <c r="CM1077" s="121">
        <f t="array" ref="CM1077:CM1096">TRANSPOSE(CN1076:DG1076)</f>
        <v>65.692000000000007</v>
      </c>
      <c r="CN1077" s="120">
        <f>(CM1077+CO1077)/2</f>
        <v>66.96275</v>
      </c>
      <c r="CO1077" s="120">
        <f>(CO1076+CO1078)/2</f>
        <v>68.233499999999992</v>
      </c>
      <c r="CP1077" s="120">
        <f>(CO1077+CQ1077)/2</f>
        <v>69.512749999999997</v>
      </c>
      <c r="CQ1077" s="120">
        <f>(CQ1076+CQ1078)/2</f>
        <v>70.792000000000002</v>
      </c>
      <c r="CR1077" s="120">
        <f>(CQ1077+CS1077)/2</f>
        <v>72.0625</v>
      </c>
      <c r="CS1077" s="120">
        <f>(CS1076+CS1078)/2</f>
        <v>73.332999999999998</v>
      </c>
      <c r="CT1077" s="120">
        <f>(CS1077+CU1077)/2</f>
        <v>74.526499999999999</v>
      </c>
      <c r="CU1077" s="120">
        <f>(CU1076+CU1078)/2</f>
        <v>75.72</v>
      </c>
      <c r="CV1077" s="120">
        <f>(CU1077+CW1077)/2</f>
        <v>77.003500000000003</v>
      </c>
      <c r="CW1077" s="120">
        <f>(CW1076+CW1078)/2</f>
        <v>78.287000000000006</v>
      </c>
      <c r="CX1077" s="120">
        <f>(CW1077+CY1077)/2</f>
        <v>79.480500000000006</v>
      </c>
      <c r="CY1077" s="120">
        <f>(CY1076+CY1078)/2</f>
        <v>80.674000000000007</v>
      </c>
      <c r="CZ1077" s="120">
        <f>(CY1077+DA1077)/2</f>
        <v>81.944749999999999</v>
      </c>
      <c r="DA1077" s="120">
        <f>(DA1076+DA1078)/2</f>
        <v>83.215499999999992</v>
      </c>
      <c r="DB1077" s="120">
        <f>(DA1077+DC1077)/2</f>
        <v>84.408999999999992</v>
      </c>
      <c r="DC1077" s="120">
        <f>(DC1076+DC1078)/2</f>
        <v>85.602499999999992</v>
      </c>
      <c r="DD1077" s="120">
        <f>(DC1077+DE1077)/2</f>
        <v>86.843499999999992</v>
      </c>
      <c r="DE1077" s="120">
        <f>(DE1076+DE1078)/2</f>
        <v>88.084499999999991</v>
      </c>
      <c r="DF1077" s="120">
        <f>(DE1077+DG1077)/2</f>
        <v>89.316499999999991</v>
      </c>
      <c r="DG1077" s="122">
        <f>(DG1076+DG1078)/2</f>
        <v>90.54849999999999</v>
      </c>
    </row>
    <row r="1078" spans="54:111" ht="15" customHeight="1" x14ac:dyDescent="0.2">
      <c r="BB1078" s="28">
        <v>42</v>
      </c>
      <c r="BC1078" s="121">
        <v>15.569000000000001</v>
      </c>
      <c r="BD1078" s="121">
        <v>17.359000000000002</v>
      </c>
      <c r="BE1078" s="121">
        <v>19.149000000000001</v>
      </c>
      <c r="BF1078" s="121">
        <v>20.785</v>
      </c>
      <c r="BG1078" s="121">
        <v>22.420999999999999</v>
      </c>
      <c r="BH1078" s="121">
        <v>24.0425</v>
      </c>
      <c r="BI1078" s="121">
        <v>25.664000000000001</v>
      </c>
      <c r="BJ1078" s="121">
        <v>27.1845</v>
      </c>
      <c r="BK1078" s="121">
        <v>28.704999999999998</v>
      </c>
      <c r="BL1078" s="121">
        <v>30.186999999999998</v>
      </c>
      <c r="BM1078" s="121">
        <v>31.669</v>
      </c>
      <c r="BN1078" s="121">
        <v>33.112000000000002</v>
      </c>
      <c r="BO1078" s="121">
        <v>34.555</v>
      </c>
      <c r="BP1078" s="121">
        <v>35.984499999999997</v>
      </c>
      <c r="BQ1078" s="121">
        <v>37.414000000000001</v>
      </c>
      <c r="BR1078" s="121">
        <v>38.819000000000003</v>
      </c>
      <c r="BS1078" s="121">
        <v>40.223999999999997</v>
      </c>
      <c r="BT1078" s="121">
        <v>41.629499999999993</v>
      </c>
      <c r="BU1078" s="121">
        <v>43.034999999999997</v>
      </c>
      <c r="BV1078" s="121">
        <v>44.4255</v>
      </c>
      <c r="BW1078" s="121">
        <v>45.816000000000003</v>
      </c>
      <c r="BX1078" s="121">
        <v>47.144000000000005</v>
      </c>
      <c r="BY1078" s="121">
        <v>48.472000000000001</v>
      </c>
      <c r="BZ1078" s="121">
        <v>49.8</v>
      </c>
      <c r="CA1078" s="121">
        <v>51.128</v>
      </c>
      <c r="CB1078" s="121">
        <v>52.480499999999999</v>
      </c>
      <c r="CC1078" s="121">
        <v>53.832999999999998</v>
      </c>
      <c r="CD1078" s="121">
        <v>55.167999999999999</v>
      </c>
      <c r="CE1078" s="121">
        <v>56.503</v>
      </c>
      <c r="CF1078" s="121">
        <v>57.830500000000001</v>
      </c>
      <c r="CG1078" s="121">
        <v>59.158000000000001</v>
      </c>
      <c r="CH1078" s="121">
        <v>60.448</v>
      </c>
      <c r="CI1078" s="121">
        <v>61.738</v>
      </c>
      <c r="CJ1078" s="121">
        <v>63.051499999999997</v>
      </c>
      <c r="CK1078" s="121">
        <v>64.364999999999995</v>
      </c>
      <c r="CL1078" s="121">
        <v>65.654499999999999</v>
      </c>
      <c r="CM1078" s="121">
        <v>66.944000000000003</v>
      </c>
      <c r="CN1078" s="121">
        <f t="array" ref="CN1078:CN1096">TRANSPOSE(CO1077:DG1077)</f>
        <v>68.233499999999992</v>
      </c>
      <c r="CO1078" s="158">
        <v>69.522999999999996</v>
      </c>
      <c r="CP1078" s="120">
        <f>(CQ1078+CO1078)/2</f>
        <v>70.836999999999989</v>
      </c>
      <c r="CQ1078" s="158">
        <v>72.150999999999996</v>
      </c>
      <c r="CR1078" s="120">
        <f>(CS1078+CQ1078)/2</f>
        <v>73.44</v>
      </c>
      <c r="CS1078" s="158">
        <v>74.728999999999999</v>
      </c>
      <c r="CT1078" s="120">
        <f>(CU1078+CS1078)/2</f>
        <v>75.941000000000003</v>
      </c>
      <c r="CU1078" s="158">
        <v>77.153000000000006</v>
      </c>
      <c r="CV1078" s="120">
        <f>(CW1078+CU1078)/2</f>
        <v>78.467500000000001</v>
      </c>
      <c r="CW1078" s="158">
        <v>79.781999999999996</v>
      </c>
      <c r="CX1078" s="120">
        <f>(CY1078+CW1078)/2</f>
        <v>80.994</v>
      </c>
      <c r="CY1078" s="158">
        <v>82.206000000000003</v>
      </c>
      <c r="CZ1078" s="120">
        <f>(DA1078+CY1078)/2</f>
        <v>83.495499999999993</v>
      </c>
      <c r="DA1078" s="158">
        <v>84.784999999999997</v>
      </c>
      <c r="DB1078" s="120">
        <f>(DC1078+DA1078)/2</f>
        <v>85.997</v>
      </c>
      <c r="DC1078" s="158">
        <v>87.209000000000003</v>
      </c>
      <c r="DD1078" s="120">
        <f>(DE1078+DC1078)/2</f>
        <v>88.523499999999999</v>
      </c>
      <c r="DE1078" s="158">
        <v>89.837999999999994</v>
      </c>
      <c r="DF1078" s="120">
        <f>(DG1078+DE1078)/2</f>
        <v>91.05</v>
      </c>
      <c r="DG1078" s="159">
        <v>92.262</v>
      </c>
    </row>
    <row r="1079" spans="54:111" ht="15" customHeight="1" x14ac:dyDescent="0.2">
      <c r="BB1079" s="28">
        <v>43</v>
      </c>
      <c r="BC1079" s="121">
        <v>15.818999999999999</v>
      </c>
      <c r="BD1079" s="121">
        <v>17.643750000000001</v>
      </c>
      <c r="BE1079" s="121">
        <v>19.468499999999999</v>
      </c>
      <c r="BF1079" s="121">
        <v>21.142000000000003</v>
      </c>
      <c r="BG1079" s="121">
        <v>22.8155</v>
      </c>
      <c r="BH1079" s="121">
        <v>24.456000000000003</v>
      </c>
      <c r="BI1079" s="121">
        <v>26.096499999999999</v>
      </c>
      <c r="BJ1079" s="121">
        <v>27.647750000000002</v>
      </c>
      <c r="BK1079" s="121">
        <v>29.198999999999998</v>
      </c>
      <c r="BL1079" s="121">
        <v>30.703250000000001</v>
      </c>
      <c r="BM1079" s="121">
        <v>32.207500000000003</v>
      </c>
      <c r="BN1079" s="121">
        <v>33.701000000000008</v>
      </c>
      <c r="BO1079" s="121">
        <v>35.194500000000005</v>
      </c>
      <c r="BP1079" s="121">
        <v>36.630250000000004</v>
      </c>
      <c r="BQ1079" s="121">
        <v>38.066000000000003</v>
      </c>
      <c r="BR1079" s="121">
        <v>39.501750000000001</v>
      </c>
      <c r="BS1079" s="121">
        <v>40.9375</v>
      </c>
      <c r="BT1079" s="121">
        <v>42.373999999999995</v>
      </c>
      <c r="BU1079" s="121">
        <v>43.810499999999998</v>
      </c>
      <c r="BV1079" s="121">
        <v>45.210999999999999</v>
      </c>
      <c r="BW1079" s="121">
        <v>46.611499999999999</v>
      </c>
      <c r="BX1079" s="121">
        <v>47.989750000000001</v>
      </c>
      <c r="BY1079" s="121">
        <v>49.368000000000002</v>
      </c>
      <c r="BZ1079" s="121">
        <v>50.714749999999995</v>
      </c>
      <c r="CA1079" s="121">
        <v>52.061499999999995</v>
      </c>
      <c r="CB1079" s="121">
        <v>53.432500000000005</v>
      </c>
      <c r="CC1079" s="121">
        <v>54.8035</v>
      </c>
      <c r="CD1079" s="121">
        <v>56.169499999999999</v>
      </c>
      <c r="CE1079" s="121">
        <v>57.535499999999999</v>
      </c>
      <c r="CF1079" s="121">
        <v>58.881749999999997</v>
      </c>
      <c r="CG1079" s="121">
        <v>60.228000000000002</v>
      </c>
      <c r="CH1079" s="121">
        <v>61.567750000000004</v>
      </c>
      <c r="CI1079" s="121">
        <v>62.907499999999999</v>
      </c>
      <c r="CJ1079" s="121">
        <v>64.227500000000006</v>
      </c>
      <c r="CK1079" s="121">
        <v>65.547499999999999</v>
      </c>
      <c r="CL1079" s="121">
        <v>66.867999999999995</v>
      </c>
      <c r="CM1079" s="121">
        <v>68.188500000000005</v>
      </c>
      <c r="CN1079" s="121">
        <v>69.512749999999997</v>
      </c>
      <c r="CO1079" s="121">
        <f t="array" ref="CO1079:CO1096">TRANSPOSE(CP1078:DG1078)</f>
        <v>70.836999999999989</v>
      </c>
      <c r="CP1079" s="120">
        <f>(CO1079+CQ1079)/2</f>
        <v>72.157249999999991</v>
      </c>
      <c r="CQ1079" s="120">
        <f>(CQ1078+CQ1080)/2</f>
        <v>73.477499999999992</v>
      </c>
      <c r="CR1079" s="120">
        <f>(CQ1079+CS1079)/2</f>
        <v>74.759</v>
      </c>
      <c r="CS1079" s="120">
        <f>(CS1078+CS1080)/2</f>
        <v>76.040500000000009</v>
      </c>
      <c r="CT1079" s="120">
        <f>(CS1079+CU1079)/2</f>
        <v>77.309750000000008</v>
      </c>
      <c r="CU1079" s="120">
        <f>(CU1078+CU1080)/2</f>
        <v>78.579000000000008</v>
      </c>
      <c r="CV1079" s="120">
        <f>(CU1079+CW1079)/2</f>
        <v>79.915500000000009</v>
      </c>
      <c r="CW1079" s="120">
        <f>(CW1078+CW1080)/2</f>
        <v>81.251999999999995</v>
      </c>
      <c r="CX1079" s="120">
        <f>(CW1079+CY1079)/2</f>
        <v>82.533749999999998</v>
      </c>
      <c r="CY1079" s="120">
        <f>(CY1078+CY1080)/2</f>
        <v>83.8155</v>
      </c>
      <c r="CZ1079" s="120">
        <f>(CY1079+DA1079)/2</f>
        <v>85.085000000000008</v>
      </c>
      <c r="DA1079" s="120">
        <f>(DA1078+DA1080)/2</f>
        <v>86.354500000000002</v>
      </c>
      <c r="DB1079" s="120">
        <f>(DA1079+DC1079)/2</f>
        <v>87.636250000000004</v>
      </c>
      <c r="DC1079" s="120">
        <f>(DC1078+DC1080)/2</f>
        <v>88.918000000000006</v>
      </c>
      <c r="DD1079" s="120">
        <f>(DC1079+DE1079)/2</f>
        <v>90.199749999999995</v>
      </c>
      <c r="DE1079" s="120">
        <f>(DE1078+DE1080)/2</f>
        <v>91.481499999999997</v>
      </c>
      <c r="DF1079" s="120">
        <f>(DE1079+DG1079)/2</f>
        <v>92.766999999999996</v>
      </c>
      <c r="DG1079" s="122">
        <f>(DG1078+DG1080)/2</f>
        <v>94.052500000000009</v>
      </c>
    </row>
    <row r="1080" spans="54:111" ht="15" customHeight="1" x14ac:dyDescent="0.2">
      <c r="BB1080" s="28">
        <v>44</v>
      </c>
      <c r="BC1080" s="121">
        <v>16.068999999999999</v>
      </c>
      <c r="BD1080" s="121">
        <v>17.9285</v>
      </c>
      <c r="BE1080" s="121">
        <v>19.788</v>
      </c>
      <c r="BF1080" s="121">
        <v>21.499000000000002</v>
      </c>
      <c r="BG1080" s="121">
        <v>23.21</v>
      </c>
      <c r="BH1080" s="121">
        <v>24.869500000000002</v>
      </c>
      <c r="BI1080" s="121">
        <v>26.529</v>
      </c>
      <c r="BJ1080" s="121">
        <v>28.111000000000001</v>
      </c>
      <c r="BK1080" s="121">
        <v>29.693000000000001</v>
      </c>
      <c r="BL1080" s="121">
        <v>31.219500000000004</v>
      </c>
      <c r="BM1080" s="121">
        <v>32.746000000000002</v>
      </c>
      <c r="BN1080" s="121">
        <v>34.290000000000006</v>
      </c>
      <c r="BO1080" s="121">
        <v>35.834000000000003</v>
      </c>
      <c r="BP1080" s="121">
        <v>37.276000000000003</v>
      </c>
      <c r="BQ1080" s="121">
        <v>38.718000000000004</v>
      </c>
      <c r="BR1080" s="121">
        <v>40.1845</v>
      </c>
      <c r="BS1080" s="121">
        <v>41.651000000000003</v>
      </c>
      <c r="BT1080" s="121">
        <v>43.118499999999997</v>
      </c>
      <c r="BU1080" s="121">
        <v>44.585999999999999</v>
      </c>
      <c r="BV1080" s="121">
        <v>45.996499999999997</v>
      </c>
      <c r="BW1080" s="121">
        <v>47.406999999999996</v>
      </c>
      <c r="BX1080" s="121">
        <v>48.835499999999996</v>
      </c>
      <c r="BY1080" s="121">
        <v>50.264000000000003</v>
      </c>
      <c r="BZ1080" s="121">
        <v>51.6295</v>
      </c>
      <c r="CA1080" s="121">
        <v>52.994999999999997</v>
      </c>
      <c r="CB1080" s="121">
        <v>54.384500000000003</v>
      </c>
      <c r="CC1080" s="121">
        <v>55.774000000000001</v>
      </c>
      <c r="CD1080" s="121">
        <v>57.170999999999999</v>
      </c>
      <c r="CE1080" s="121">
        <v>58.567999999999998</v>
      </c>
      <c r="CF1080" s="121">
        <v>59.933</v>
      </c>
      <c r="CG1080" s="121">
        <v>61.298000000000002</v>
      </c>
      <c r="CH1080" s="121">
        <v>62.6875</v>
      </c>
      <c r="CI1080" s="121">
        <v>64.076999999999998</v>
      </c>
      <c r="CJ1080" s="121">
        <v>65.403500000000008</v>
      </c>
      <c r="CK1080" s="121">
        <v>66.73</v>
      </c>
      <c r="CL1080" s="121">
        <v>68.081500000000005</v>
      </c>
      <c r="CM1080" s="121">
        <v>69.433000000000007</v>
      </c>
      <c r="CN1080" s="121">
        <v>70.792000000000002</v>
      </c>
      <c r="CO1080" s="121">
        <v>72.150999999999996</v>
      </c>
      <c r="CP1080" s="121">
        <f t="array" ref="CP1080:CP1096">TRANSPOSE(CQ1079:DG1079)</f>
        <v>73.477499999999992</v>
      </c>
      <c r="CQ1080" s="158">
        <v>74.804000000000002</v>
      </c>
      <c r="CR1080" s="121">
        <f>CS1079</f>
        <v>76.040500000000009</v>
      </c>
      <c r="CS1080" s="158">
        <v>77.352000000000004</v>
      </c>
      <c r="CT1080" s="121">
        <f>CU1079</f>
        <v>78.579000000000008</v>
      </c>
      <c r="CU1080" s="158">
        <v>80.004999999999995</v>
      </c>
      <c r="CV1080" s="121">
        <f>CW1079</f>
        <v>81.251999999999995</v>
      </c>
      <c r="CW1080" s="158">
        <v>82.721999999999994</v>
      </c>
      <c r="CX1080" s="121">
        <f>CY1079</f>
        <v>83.8155</v>
      </c>
      <c r="CY1080" s="158">
        <v>85.424999999999997</v>
      </c>
      <c r="CZ1080" s="121">
        <f>DA1079</f>
        <v>86.354500000000002</v>
      </c>
      <c r="DA1080" s="158">
        <v>87.924000000000007</v>
      </c>
      <c r="DB1080" s="121">
        <f>DC1079</f>
        <v>88.918000000000006</v>
      </c>
      <c r="DC1080" s="158">
        <v>90.626999999999995</v>
      </c>
      <c r="DD1080" s="121">
        <f>DE1079</f>
        <v>91.481499999999997</v>
      </c>
      <c r="DE1080" s="158">
        <v>93.125</v>
      </c>
      <c r="DF1080" s="121">
        <f>DG1079</f>
        <v>94.052500000000009</v>
      </c>
      <c r="DG1080" s="159">
        <v>95.843000000000004</v>
      </c>
    </row>
    <row r="1081" spans="54:111" ht="15" customHeight="1" x14ac:dyDescent="0.2">
      <c r="BB1081" s="28">
        <v>45</v>
      </c>
      <c r="BC1081" s="121">
        <v>16.350999999999999</v>
      </c>
      <c r="BD1081" s="121">
        <v>18.244499999999999</v>
      </c>
      <c r="BE1081" s="121">
        <v>20.137999999999998</v>
      </c>
      <c r="BF1081" s="121">
        <v>21.883749999999999</v>
      </c>
      <c r="BG1081" s="121">
        <v>23.6295</v>
      </c>
      <c r="BH1081" s="121">
        <v>25.307500000000001</v>
      </c>
      <c r="BI1081" s="121">
        <v>26.985500000000002</v>
      </c>
      <c r="BJ1081" s="121">
        <v>28.573999999999998</v>
      </c>
      <c r="BK1081" s="121">
        <v>30.162500000000001</v>
      </c>
      <c r="BL1081" s="121">
        <v>31.739250000000002</v>
      </c>
      <c r="BM1081" s="121">
        <v>33.316000000000003</v>
      </c>
      <c r="BN1081" s="121">
        <v>34.859000000000002</v>
      </c>
      <c r="BO1081" s="121">
        <v>36.402000000000001</v>
      </c>
      <c r="BP1081" s="121">
        <v>37.897999999999996</v>
      </c>
      <c r="BQ1081" s="121">
        <v>39.394000000000005</v>
      </c>
      <c r="BR1081" s="121">
        <v>40.8795</v>
      </c>
      <c r="BS1081" s="121">
        <v>42.365000000000002</v>
      </c>
      <c r="BT1081" s="121">
        <v>43.854500000000002</v>
      </c>
      <c r="BU1081" s="121">
        <v>45.343999999999994</v>
      </c>
      <c r="BV1081" s="121">
        <v>46.781999999999996</v>
      </c>
      <c r="BW1081" s="121">
        <v>48.22</v>
      </c>
      <c r="BX1081" s="121">
        <v>49.667249999999996</v>
      </c>
      <c r="BY1081" s="121">
        <v>51.114500000000007</v>
      </c>
      <c r="BZ1081" s="121">
        <v>52.533749999999998</v>
      </c>
      <c r="CA1081" s="121">
        <v>53.953000000000003</v>
      </c>
      <c r="CB1081" s="121">
        <v>55.361000000000004</v>
      </c>
      <c r="CC1081" s="121">
        <v>56.769000000000005</v>
      </c>
      <c r="CD1081" s="121">
        <v>58.172499999999999</v>
      </c>
      <c r="CE1081" s="121">
        <v>59.576000000000001</v>
      </c>
      <c r="CF1081" s="121">
        <v>60.972000000000001</v>
      </c>
      <c r="CG1081" s="121">
        <v>62.368000000000002</v>
      </c>
      <c r="CH1081" s="121">
        <v>63.757000000000005</v>
      </c>
      <c r="CI1081" s="121">
        <v>65.146000000000001</v>
      </c>
      <c r="CJ1081" s="121">
        <v>66.507000000000005</v>
      </c>
      <c r="CK1081" s="121">
        <v>67.867999999999995</v>
      </c>
      <c r="CL1081" s="121">
        <v>69.276499999999999</v>
      </c>
      <c r="CM1081" s="121">
        <v>70.685000000000002</v>
      </c>
      <c r="CN1081" s="121">
        <v>72.0625</v>
      </c>
      <c r="CO1081" s="121">
        <v>73.44</v>
      </c>
      <c r="CP1081" s="121">
        <v>74.759</v>
      </c>
      <c r="CQ1081" s="121">
        <f t="array" ref="CQ1081:CQ1096">TRANSPOSE(CR1080:DG1080)</f>
        <v>76.040500000000009</v>
      </c>
      <c r="CR1081" s="120">
        <f>(CQ1081+CS1081)/2</f>
        <v>77.39425</v>
      </c>
      <c r="CS1081" s="120">
        <f>(CS1080+CS1082)/2</f>
        <v>78.748000000000005</v>
      </c>
      <c r="CT1081" s="120">
        <f>(CS1081+CU1081)/2</f>
        <v>80.105500000000006</v>
      </c>
      <c r="CU1081" s="120">
        <f>(CU1080+CU1082)/2</f>
        <v>81.462999999999994</v>
      </c>
      <c r="CV1081" s="120">
        <f>(CU1081+CW1081)/2</f>
        <v>82.836500000000001</v>
      </c>
      <c r="CW1081" s="120">
        <f>(CW1080+CW1082)/2</f>
        <v>84.21</v>
      </c>
      <c r="CX1081" s="120">
        <f>(CW1081+CY1081)/2</f>
        <v>85.571249999999992</v>
      </c>
      <c r="CY1081" s="120">
        <f>(CY1080+CY1082)/2</f>
        <v>86.932500000000005</v>
      </c>
      <c r="CZ1081" s="120">
        <f>(CY1081+DA1081)/2</f>
        <v>88.213000000000008</v>
      </c>
      <c r="DA1081" s="120">
        <f>(DA1080+DA1082)/2</f>
        <v>89.493500000000012</v>
      </c>
      <c r="DB1081" s="120">
        <f>(DA1081+DC1081)/2</f>
        <v>90.867500000000007</v>
      </c>
      <c r="DC1081" s="120">
        <f>(DC1080+DC1082)/2</f>
        <v>92.241500000000002</v>
      </c>
      <c r="DD1081" s="120">
        <f>(DC1081+DE1081)/2</f>
        <v>93.521749999999997</v>
      </c>
      <c r="DE1081" s="120">
        <f>(DE1080+DE1082)/2</f>
        <v>94.801999999999992</v>
      </c>
      <c r="DF1081" s="120">
        <f>(DE1081+DG1081)/2</f>
        <v>96.1755</v>
      </c>
      <c r="DG1081" s="122">
        <f>(DG1080+DG1082)/2</f>
        <v>97.549000000000007</v>
      </c>
    </row>
    <row r="1082" spans="54:111" ht="15" customHeight="1" x14ac:dyDescent="0.2">
      <c r="BB1082" s="28">
        <v>46</v>
      </c>
      <c r="BC1082" s="121">
        <v>16.632999999999999</v>
      </c>
      <c r="BD1082" s="121">
        <v>18.560499999999998</v>
      </c>
      <c r="BE1082" s="121">
        <v>20.488</v>
      </c>
      <c r="BF1082" s="121">
        <v>22.2685</v>
      </c>
      <c r="BG1082" s="121">
        <v>24.048999999999999</v>
      </c>
      <c r="BH1082" s="121">
        <v>25.7455</v>
      </c>
      <c r="BI1082" s="121">
        <v>27.442</v>
      </c>
      <c r="BJ1082" s="121">
        <v>29.036999999999999</v>
      </c>
      <c r="BK1082" s="121">
        <v>30.632000000000001</v>
      </c>
      <c r="BL1082" s="121">
        <v>32.259</v>
      </c>
      <c r="BM1082" s="121">
        <v>33.886000000000003</v>
      </c>
      <c r="BN1082" s="121">
        <v>35.427999999999997</v>
      </c>
      <c r="BO1082" s="121">
        <v>36.97</v>
      </c>
      <c r="BP1082" s="121">
        <v>38.519999999999996</v>
      </c>
      <c r="BQ1082" s="121">
        <v>40.07</v>
      </c>
      <c r="BR1082" s="121">
        <v>41.5745</v>
      </c>
      <c r="BS1082" s="121">
        <v>43.079000000000001</v>
      </c>
      <c r="BT1082" s="121">
        <v>44.590499999999999</v>
      </c>
      <c r="BU1082" s="121">
        <v>46.101999999999997</v>
      </c>
      <c r="BV1082" s="121">
        <v>47.567499999999995</v>
      </c>
      <c r="BW1082" s="121">
        <v>49.033000000000001</v>
      </c>
      <c r="BX1082" s="121">
        <v>50.499000000000002</v>
      </c>
      <c r="BY1082" s="121">
        <v>51.965000000000003</v>
      </c>
      <c r="BZ1082" s="121">
        <v>53.438000000000002</v>
      </c>
      <c r="CA1082" s="121">
        <v>54.911000000000001</v>
      </c>
      <c r="CB1082" s="121">
        <v>56.337500000000006</v>
      </c>
      <c r="CC1082" s="121">
        <v>57.764000000000003</v>
      </c>
      <c r="CD1082" s="121">
        <v>59.174000000000007</v>
      </c>
      <c r="CE1082" s="121">
        <v>60.584000000000003</v>
      </c>
      <c r="CF1082" s="121">
        <v>62.011000000000003</v>
      </c>
      <c r="CG1082" s="121">
        <v>63.438000000000002</v>
      </c>
      <c r="CH1082" s="121">
        <v>64.82650000000001</v>
      </c>
      <c r="CI1082" s="121">
        <v>66.215000000000003</v>
      </c>
      <c r="CJ1082" s="121">
        <v>67.610500000000002</v>
      </c>
      <c r="CK1082" s="121">
        <v>69.006</v>
      </c>
      <c r="CL1082" s="121">
        <v>70.471499999999992</v>
      </c>
      <c r="CM1082" s="121">
        <v>71.936999999999998</v>
      </c>
      <c r="CN1082" s="121">
        <v>73.332999999999998</v>
      </c>
      <c r="CO1082" s="121">
        <v>74.728999999999999</v>
      </c>
      <c r="CP1082" s="121">
        <v>76.040500000000009</v>
      </c>
      <c r="CQ1082" s="121">
        <v>77.352000000000004</v>
      </c>
      <c r="CR1082" s="150">
        <f t="array" ref="CR1082:CR1096">TRANSPOSE(CS1081:DG1081)</f>
        <v>78.748000000000005</v>
      </c>
      <c r="CS1082" s="158">
        <v>80.144000000000005</v>
      </c>
      <c r="CT1082" s="121">
        <f>CU1081</f>
        <v>81.462999999999994</v>
      </c>
      <c r="CU1082" s="158">
        <v>82.921000000000006</v>
      </c>
      <c r="CV1082" s="121">
        <f>CW1081</f>
        <v>84.21</v>
      </c>
      <c r="CW1082" s="158">
        <v>85.697999999999993</v>
      </c>
      <c r="CX1082" s="121">
        <f>CY1081</f>
        <v>86.932500000000005</v>
      </c>
      <c r="CY1082" s="158">
        <v>88.44</v>
      </c>
      <c r="CZ1082" s="121">
        <f>DA1081</f>
        <v>89.493500000000012</v>
      </c>
      <c r="DA1082" s="158">
        <v>91.063000000000002</v>
      </c>
      <c r="DB1082" s="121">
        <f>DC1081</f>
        <v>92.241500000000002</v>
      </c>
      <c r="DC1082" s="158">
        <v>93.855999999999995</v>
      </c>
      <c r="DD1082" s="121">
        <f>DE1081</f>
        <v>94.801999999999992</v>
      </c>
      <c r="DE1082" s="158">
        <v>96.478999999999999</v>
      </c>
      <c r="DF1082" s="121">
        <f>DG1081</f>
        <v>97.549000000000007</v>
      </c>
      <c r="DG1082" s="159">
        <v>99.254999999999995</v>
      </c>
    </row>
    <row r="1083" spans="54:111" ht="15" customHeight="1" x14ac:dyDescent="0.2">
      <c r="BB1083" s="28">
        <v>47</v>
      </c>
      <c r="BC1083" s="121">
        <v>16.8825</v>
      </c>
      <c r="BD1083" s="121">
        <v>18.844749999999998</v>
      </c>
      <c r="BE1083" s="121">
        <v>20.807000000000002</v>
      </c>
      <c r="BF1083" s="121">
        <v>22.602499999999999</v>
      </c>
      <c r="BG1083" s="121">
        <v>24.398</v>
      </c>
      <c r="BH1083" s="121">
        <v>26.13625</v>
      </c>
      <c r="BI1083" s="121">
        <v>27.874499999999998</v>
      </c>
      <c r="BJ1083" s="121">
        <v>29.503999999999998</v>
      </c>
      <c r="BK1083" s="121">
        <v>31.133500000000002</v>
      </c>
      <c r="BL1083" s="121">
        <v>32.77525</v>
      </c>
      <c r="BM1083" s="121">
        <v>34.417000000000002</v>
      </c>
      <c r="BN1083" s="121">
        <v>36.013249999999999</v>
      </c>
      <c r="BO1083" s="121">
        <v>37.609499999999997</v>
      </c>
      <c r="BP1083" s="121">
        <v>39.174499999999995</v>
      </c>
      <c r="BQ1083" s="121">
        <v>40.7395</v>
      </c>
      <c r="BR1083" s="121">
        <v>42.266249999999999</v>
      </c>
      <c r="BS1083" s="121">
        <v>43.792999999999999</v>
      </c>
      <c r="BT1083" s="121">
        <v>45.322999999999993</v>
      </c>
      <c r="BU1083" s="121">
        <v>46.852999999999994</v>
      </c>
      <c r="BV1083" s="121">
        <v>48.337249999999997</v>
      </c>
      <c r="BW1083" s="121">
        <v>49.8215</v>
      </c>
      <c r="BX1083" s="121">
        <v>51.322000000000003</v>
      </c>
      <c r="BY1083" s="121">
        <v>52.822500000000005</v>
      </c>
      <c r="BZ1083" s="121">
        <v>54.314</v>
      </c>
      <c r="CA1083" s="121">
        <v>55.805500000000002</v>
      </c>
      <c r="CB1083" s="121">
        <v>57.270250000000004</v>
      </c>
      <c r="CC1083" s="121">
        <v>58.734999999999999</v>
      </c>
      <c r="CD1083" s="121">
        <v>60.175750000000008</v>
      </c>
      <c r="CE1083" s="121">
        <v>61.616500000000002</v>
      </c>
      <c r="CF1083" s="121">
        <v>63.061750000000004</v>
      </c>
      <c r="CG1083" s="121">
        <v>64.507000000000005</v>
      </c>
      <c r="CH1083" s="121">
        <v>65.9495</v>
      </c>
      <c r="CI1083" s="121">
        <v>67.391999999999996</v>
      </c>
      <c r="CJ1083" s="121">
        <v>68.8065</v>
      </c>
      <c r="CK1083" s="121">
        <v>70.221000000000004</v>
      </c>
      <c r="CL1083" s="121">
        <v>71.666499999999999</v>
      </c>
      <c r="CM1083" s="121">
        <v>73.111999999999995</v>
      </c>
      <c r="CN1083" s="121">
        <v>74.526499999999999</v>
      </c>
      <c r="CO1083" s="121">
        <v>75.941000000000003</v>
      </c>
      <c r="CP1083" s="121">
        <v>77.309750000000008</v>
      </c>
      <c r="CQ1083" s="121">
        <v>78.579000000000008</v>
      </c>
      <c r="CR1083" s="160">
        <v>80.105500000000006</v>
      </c>
      <c r="CS1083" s="160">
        <f t="array" ref="CS1083:CS1096">TRANSPOSE(CT1082:DG1082)</f>
        <v>81.462999999999994</v>
      </c>
      <c r="CT1083" s="120">
        <f>(CS1083+CU1083)/2</f>
        <v>82.908500000000004</v>
      </c>
      <c r="CU1083" s="120">
        <f>(CU1082+CU1084)/2</f>
        <v>84.354000000000013</v>
      </c>
      <c r="CV1083" s="120">
        <f>(CU1083+CW1083)/2</f>
        <v>85.76100000000001</v>
      </c>
      <c r="CW1083" s="120">
        <f>(CW1082+CW1084)/2</f>
        <v>87.168000000000006</v>
      </c>
      <c r="CX1083" s="120">
        <f>(CW1083+CY1083)/2</f>
        <v>88.570250000000001</v>
      </c>
      <c r="CY1083" s="120">
        <f>(CY1082+CY1084)/2</f>
        <v>89.972499999999997</v>
      </c>
      <c r="CZ1083" s="120">
        <f>(CY1083+DA1083)/2</f>
        <v>91.302499999999995</v>
      </c>
      <c r="DA1083" s="120">
        <f>(DA1082+DA1084)/2</f>
        <v>92.632499999999993</v>
      </c>
      <c r="DB1083" s="120">
        <f>(DA1083+DC1083)/2</f>
        <v>94.059749999999994</v>
      </c>
      <c r="DC1083" s="120">
        <f>(DC1082+DC1084)/2</f>
        <v>95.486999999999995</v>
      </c>
      <c r="DD1083" s="120">
        <f>(DC1083+DE1083)/2</f>
        <v>96.820999999999998</v>
      </c>
      <c r="DE1083" s="120">
        <f>(DE1082+DE1084)/2</f>
        <v>98.155000000000001</v>
      </c>
      <c r="DF1083" s="120">
        <f>(DE1083+DG1083)/2</f>
        <v>99.561999999999998</v>
      </c>
      <c r="DG1083" s="122">
        <f>(DG1082+DG1084)/2</f>
        <v>100.96899999999999</v>
      </c>
    </row>
    <row r="1084" spans="54:111" ht="15" customHeight="1" x14ac:dyDescent="0.2">
      <c r="BB1084" s="28">
        <v>48</v>
      </c>
      <c r="BC1084" s="121">
        <v>17.132000000000001</v>
      </c>
      <c r="BD1084" s="121">
        <v>19.129000000000001</v>
      </c>
      <c r="BE1084" s="121">
        <v>21.126000000000001</v>
      </c>
      <c r="BF1084" s="121">
        <v>22.936500000000002</v>
      </c>
      <c r="BG1084" s="121">
        <v>24.747</v>
      </c>
      <c r="BH1084" s="121">
        <v>26.527000000000001</v>
      </c>
      <c r="BI1084" s="121">
        <v>28.306999999999999</v>
      </c>
      <c r="BJ1084" s="121">
        <v>29.971</v>
      </c>
      <c r="BK1084" s="121">
        <v>31.635000000000002</v>
      </c>
      <c r="BL1084" s="121">
        <v>33.291499999999999</v>
      </c>
      <c r="BM1084" s="121">
        <v>34.948</v>
      </c>
      <c r="BN1084" s="121">
        <v>36.598500000000001</v>
      </c>
      <c r="BO1084" s="121">
        <v>38.249000000000002</v>
      </c>
      <c r="BP1084" s="121">
        <v>39.829000000000001</v>
      </c>
      <c r="BQ1084" s="121">
        <v>41.408999999999999</v>
      </c>
      <c r="BR1084" s="121">
        <v>42.957999999999998</v>
      </c>
      <c r="BS1084" s="121">
        <v>44.506999999999998</v>
      </c>
      <c r="BT1084" s="121">
        <v>46.055499999999995</v>
      </c>
      <c r="BU1084" s="121">
        <v>47.603999999999999</v>
      </c>
      <c r="BV1084" s="121">
        <v>49.106999999999999</v>
      </c>
      <c r="BW1084" s="121">
        <v>50.61</v>
      </c>
      <c r="BX1084" s="121">
        <v>52.144999999999996</v>
      </c>
      <c r="BY1084" s="121">
        <v>53.68</v>
      </c>
      <c r="BZ1084" s="121">
        <v>55.19</v>
      </c>
      <c r="CA1084" s="121">
        <v>56.7</v>
      </c>
      <c r="CB1084" s="121">
        <v>58.203000000000003</v>
      </c>
      <c r="CC1084" s="121">
        <v>59.706000000000003</v>
      </c>
      <c r="CD1084" s="121">
        <v>61.177500000000002</v>
      </c>
      <c r="CE1084" s="121">
        <v>62.649000000000001</v>
      </c>
      <c r="CF1084" s="121">
        <v>64.112499999999997</v>
      </c>
      <c r="CG1084" s="121">
        <v>65.575999999999993</v>
      </c>
      <c r="CH1084" s="121">
        <v>67.072499999999991</v>
      </c>
      <c r="CI1084" s="121">
        <v>68.569000000000003</v>
      </c>
      <c r="CJ1084" s="121">
        <v>70.002499999999998</v>
      </c>
      <c r="CK1084" s="121">
        <v>71.436000000000007</v>
      </c>
      <c r="CL1084" s="121">
        <v>72.861500000000007</v>
      </c>
      <c r="CM1084" s="121">
        <v>74.287000000000006</v>
      </c>
      <c r="CN1084" s="121">
        <v>75.72</v>
      </c>
      <c r="CO1084" s="121">
        <v>77.153000000000006</v>
      </c>
      <c r="CP1084" s="121">
        <v>78.579000000000008</v>
      </c>
      <c r="CQ1084" s="121">
        <v>80.004999999999995</v>
      </c>
      <c r="CR1084" s="160">
        <v>81.462999999999994</v>
      </c>
      <c r="CS1084" s="160">
        <v>82.921000000000006</v>
      </c>
      <c r="CT1084" s="121">
        <f t="array" ref="CT1084:CT1096">TRANSPOSE(CU1083:DG1083)</f>
        <v>84.354000000000013</v>
      </c>
      <c r="CU1084" s="158">
        <v>85.787000000000006</v>
      </c>
      <c r="CV1084" s="121">
        <f>CW1083</f>
        <v>87.168000000000006</v>
      </c>
      <c r="CW1084" s="158">
        <v>88.638000000000005</v>
      </c>
      <c r="CX1084" s="121">
        <f>CY1083</f>
        <v>89.972499999999997</v>
      </c>
      <c r="CY1084" s="158">
        <v>91.504999999999995</v>
      </c>
      <c r="CZ1084" s="121">
        <f>DA1083</f>
        <v>92.632499999999993</v>
      </c>
      <c r="DA1084" s="158">
        <v>94.201999999999998</v>
      </c>
      <c r="DB1084" s="121">
        <f>DC1083</f>
        <v>95.486999999999995</v>
      </c>
      <c r="DC1084" s="158">
        <v>97.117999999999995</v>
      </c>
      <c r="DD1084" s="121">
        <f>DE1083</f>
        <v>98.155000000000001</v>
      </c>
      <c r="DE1084" s="158">
        <v>99.831000000000003</v>
      </c>
      <c r="DF1084" s="121">
        <f>DG1083</f>
        <v>100.96899999999999</v>
      </c>
      <c r="DG1084" s="159">
        <v>102.68300000000001</v>
      </c>
    </row>
    <row r="1085" spans="54:111" ht="15" customHeight="1" x14ac:dyDescent="0.2">
      <c r="BB1085" s="28">
        <v>49</v>
      </c>
      <c r="BC1085" s="121">
        <v>17.413499999999999</v>
      </c>
      <c r="BD1085" s="121">
        <v>19.4255</v>
      </c>
      <c r="BE1085" s="121">
        <v>21.4375</v>
      </c>
      <c r="BF1085" s="121">
        <v>23.289750000000002</v>
      </c>
      <c r="BG1085" s="121">
        <v>25.141999999999999</v>
      </c>
      <c r="BH1085" s="121">
        <v>26.933500000000002</v>
      </c>
      <c r="BI1085" s="121">
        <v>28.725000000000001</v>
      </c>
      <c r="BJ1085" s="121">
        <v>30.427</v>
      </c>
      <c r="BK1085" s="121">
        <v>32.128999999999998</v>
      </c>
      <c r="BL1085" s="121">
        <v>33.820250000000001</v>
      </c>
      <c r="BM1085" s="121">
        <v>35.511499999999998</v>
      </c>
      <c r="BN1085" s="121">
        <v>37.164500000000004</v>
      </c>
      <c r="BO1085" s="121">
        <v>38.817500000000003</v>
      </c>
      <c r="BP1085" s="121">
        <v>40.432249999999996</v>
      </c>
      <c r="BQ1085" s="121">
        <v>42.046999999999997</v>
      </c>
      <c r="BR1085" s="121">
        <v>43.633749999999999</v>
      </c>
      <c r="BS1085" s="121">
        <v>45.220500000000001</v>
      </c>
      <c r="BT1085" s="121">
        <v>46.8</v>
      </c>
      <c r="BU1085" s="121">
        <v>48.3795</v>
      </c>
      <c r="BV1085" s="121">
        <v>49.90475</v>
      </c>
      <c r="BW1085" s="121">
        <v>51.43</v>
      </c>
      <c r="BX1085" s="121">
        <v>52.999249999999996</v>
      </c>
      <c r="BY1085" s="121">
        <v>54.5685</v>
      </c>
      <c r="BZ1085" s="121">
        <v>56.097250000000003</v>
      </c>
      <c r="CA1085" s="121">
        <v>57.626000000000005</v>
      </c>
      <c r="CB1085" s="121">
        <v>59.144075000000001</v>
      </c>
      <c r="CC1085" s="121">
        <v>60.662149999999997</v>
      </c>
      <c r="CD1085" s="121">
        <v>62.152325000000005</v>
      </c>
      <c r="CE1085" s="121">
        <v>63.642499999999998</v>
      </c>
      <c r="CF1085" s="121">
        <v>65.160249999999991</v>
      </c>
      <c r="CG1085" s="121">
        <v>66.677999999999997</v>
      </c>
      <c r="CH1085" s="121">
        <v>68.157749999999993</v>
      </c>
      <c r="CI1085" s="121">
        <v>69.637500000000003</v>
      </c>
      <c r="CJ1085" s="121">
        <v>71.140500000000003</v>
      </c>
      <c r="CK1085" s="121">
        <v>72.643500000000003</v>
      </c>
      <c r="CL1085" s="121">
        <v>74.091499999999996</v>
      </c>
      <c r="CM1085" s="121">
        <v>75.539500000000004</v>
      </c>
      <c r="CN1085" s="121">
        <v>77.003500000000003</v>
      </c>
      <c r="CO1085" s="121">
        <v>78.467500000000001</v>
      </c>
      <c r="CP1085" s="121">
        <v>79.915500000000009</v>
      </c>
      <c r="CQ1085" s="121">
        <v>81.251999999999995</v>
      </c>
      <c r="CR1085" s="160">
        <v>82.836500000000001</v>
      </c>
      <c r="CS1085" s="160">
        <v>84.21</v>
      </c>
      <c r="CT1085" s="160">
        <v>85.76100000000001</v>
      </c>
      <c r="CU1085" s="160">
        <f t="array" ref="CU1085:CU1096">TRANSPOSE(CV1084:DG1084)</f>
        <v>87.168000000000006</v>
      </c>
      <c r="CV1085" s="120">
        <f>(CU1085+CW1085)/2</f>
        <v>88.650750000000002</v>
      </c>
      <c r="CW1085" s="120">
        <f>(CW1084+CW1086)/2</f>
        <v>90.133499999999998</v>
      </c>
      <c r="CX1085" s="120">
        <f>(CW1085+CY1085)/2</f>
        <v>91.546999999999997</v>
      </c>
      <c r="CY1085" s="120">
        <f>(CY1084+CY1086)/2</f>
        <v>92.960499999999996</v>
      </c>
      <c r="CZ1085" s="120">
        <f>(CY1085+DA1085)/2</f>
        <v>94.382249999999999</v>
      </c>
      <c r="DA1085" s="120">
        <f>(DA1084+DA1086)/2</f>
        <v>95.804000000000002</v>
      </c>
      <c r="DB1085" s="120">
        <f>(DA1085+DC1085)/2</f>
        <v>97.264749999999992</v>
      </c>
      <c r="DC1085" s="120">
        <f>(DC1084+DC1086)/2</f>
        <v>98.725499999999997</v>
      </c>
      <c r="DD1085" s="120">
        <f>(DC1085+DE1085)/2</f>
        <v>100.113</v>
      </c>
      <c r="DE1085" s="120">
        <f>(DE1084+DE1086)/2</f>
        <v>101.5005</v>
      </c>
      <c r="DF1085" s="120">
        <f>(DE1085+DG1085)/2</f>
        <v>102.9485</v>
      </c>
      <c r="DG1085" s="122">
        <f>(DG1084+DG1086)/2</f>
        <v>104.3965</v>
      </c>
    </row>
    <row r="1086" spans="54:111" ht="15" customHeight="1" x14ac:dyDescent="0.2">
      <c r="BB1086" s="28">
        <v>50</v>
      </c>
      <c r="BC1086" s="121">
        <v>17.695</v>
      </c>
      <c r="BD1086" s="121">
        <v>19.722000000000001</v>
      </c>
      <c r="BE1086" s="121">
        <v>21.748999999999999</v>
      </c>
      <c r="BF1086" s="121">
        <v>23.643000000000001</v>
      </c>
      <c r="BG1086" s="121">
        <v>25.536999999999999</v>
      </c>
      <c r="BH1086" s="121">
        <v>27.34</v>
      </c>
      <c r="BI1086" s="121">
        <v>29.143000000000001</v>
      </c>
      <c r="BJ1086" s="121">
        <v>30.882999999999999</v>
      </c>
      <c r="BK1086" s="121">
        <v>32.622999999999998</v>
      </c>
      <c r="BL1086" s="121">
        <v>34.349000000000004</v>
      </c>
      <c r="BM1086" s="121">
        <v>36.075000000000003</v>
      </c>
      <c r="BN1086" s="121">
        <v>37.730500000000006</v>
      </c>
      <c r="BO1086" s="121">
        <v>39.386000000000003</v>
      </c>
      <c r="BP1086" s="121">
        <v>41.035499999999999</v>
      </c>
      <c r="BQ1086" s="121">
        <v>42.685000000000002</v>
      </c>
      <c r="BR1086" s="121">
        <v>44.3095</v>
      </c>
      <c r="BS1086" s="121">
        <v>45.933999999999997</v>
      </c>
      <c r="BT1086" s="121">
        <v>47.544499999999999</v>
      </c>
      <c r="BU1086" s="121">
        <v>49.155000000000001</v>
      </c>
      <c r="BV1086" s="121">
        <v>50.702500000000001</v>
      </c>
      <c r="BW1086" s="121">
        <v>52.25</v>
      </c>
      <c r="BX1086" s="121">
        <v>53.853499999999997</v>
      </c>
      <c r="BY1086" s="121">
        <v>55.457000000000001</v>
      </c>
      <c r="BZ1086" s="121">
        <v>57.0045</v>
      </c>
      <c r="CA1086" s="121">
        <v>58.552</v>
      </c>
      <c r="CB1086" s="121">
        <v>60.085149999999999</v>
      </c>
      <c r="CC1086" s="121">
        <v>61.618299999999998</v>
      </c>
      <c r="CD1086" s="121">
        <v>63.12715</v>
      </c>
      <c r="CE1086" s="121">
        <v>64.635999999999996</v>
      </c>
      <c r="CF1086" s="121">
        <v>66.207999999999998</v>
      </c>
      <c r="CG1086" s="121">
        <v>67.78</v>
      </c>
      <c r="CH1086" s="121">
        <v>69.242999999999995</v>
      </c>
      <c r="CI1086" s="121">
        <v>70.706000000000003</v>
      </c>
      <c r="CJ1086" s="121">
        <v>72.278500000000008</v>
      </c>
      <c r="CK1086" s="121">
        <v>73.850999999999999</v>
      </c>
      <c r="CL1086" s="121">
        <v>75.3215</v>
      </c>
      <c r="CM1086" s="121">
        <v>76.792000000000002</v>
      </c>
      <c r="CN1086" s="121">
        <v>78.287000000000006</v>
      </c>
      <c r="CO1086" s="121">
        <v>79.781999999999996</v>
      </c>
      <c r="CP1086" s="121">
        <v>81.251999999999995</v>
      </c>
      <c r="CQ1086" s="121">
        <v>82.721999999999994</v>
      </c>
      <c r="CR1086" s="160">
        <v>84.21</v>
      </c>
      <c r="CS1086" s="160">
        <v>85.697999999999993</v>
      </c>
      <c r="CT1086" s="160">
        <v>87.168000000000006</v>
      </c>
      <c r="CU1086" s="160">
        <v>88.638000000000005</v>
      </c>
      <c r="CV1086" s="121">
        <f t="array" ref="CV1086:CV1096">TRANSPOSE(CW1085:DG1085)</f>
        <v>90.133499999999998</v>
      </c>
      <c r="CW1086" s="158">
        <v>91.629000000000005</v>
      </c>
      <c r="CX1086" s="121">
        <f>CY1085</f>
        <v>92.960499999999996</v>
      </c>
      <c r="CY1086" s="158">
        <v>94.415999999999997</v>
      </c>
      <c r="CZ1086" s="121">
        <f>DA1085</f>
        <v>95.804000000000002</v>
      </c>
      <c r="DA1086" s="158">
        <v>97.406000000000006</v>
      </c>
      <c r="DB1086" s="121">
        <f>DC1085</f>
        <v>98.725499999999997</v>
      </c>
      <c r="DC1086" s="158">
        <v>100.333</v>
      </c>
      <c r="DD1086" s="121">
        <f>DE1085</f>
        <v>101.5005</v>
      </c>
      <c r="DE1086" s="158">
        <v>103.17</v>
      </c>
      <c r="DF1086" s="121">
        <f>DG1085</f>
        <v>104.3965</v>
      </c>
      <c r="DG1086" s="159">
        <v>106.11</v>
      </c>
    </row>
    <row r="1087" spans="54:111" ht="15" customHeight="1" x14ac:dyDescent="0.2">
      <c r="BB1087" s="28">
        <v>51</v>
      </c>
      <c r="BC1087" s="121">
        <v>17.9695</v>
      </c>
      <c r="BD1087" s="121">
        <v>20.006250000000001</v>
      </c>
      <c r="BE1087" s="121">
        <v>22.042999999999999</v>
      </c>
      <c r="BF1087" s="121">
        <v>23.968</v>
      </c>
      <c r="BG1087" s="121">
        <v>25.893000000000001</v>
      </c>
      <c r="BH1087" s="121">
        <v>27.734000000000002</v>
      </c>
      <c r="BI1087" s="121">
        <v>29.575000000000003</v>
      </c>
      <c r="BJ1087" s="121">
        <v>31.345750000000002</v>
      </c>
      <c r="BK1087" s="121">
        <v>33.116500000000002</v>
      </c>
      <c r="BL1087" s="121">
        <v>34.861249999999998</v>
      </c>
      <c r="BM1087" s="121">
        <v>36.606000000000002</v>
      </c>
      <c r="BN1087" s="121">
        <v>38.284000000000006</v>
      </c>
      <c r="BO1087" s="121">
        <v>39.962000000000003</v>
      </c>
      <c r="BP1087" s="121">
        <v>41.649499999999996</v>
      </c>
      <c r="BQ1087" s="121">
        <v>43.337000000000003</v>
      </c>
      <c r="BR1087" s="121">
        <v>44.972999999999999</v>
      </c>
      <c r="BS1087" s="121">
        <v>46.608999999999995</v>
      </c>
      <c r="BT1087" s="121">
        <v>48.2575</v>
      </c>
      <c r="BU1087" s="121">
        <v>49.905999999999999</v>
      </c>
      <c r="BV1087" s="121">
        <v>51.484499999999997</v>
      </c>
      <c r="BW1087" s="121">
        <v>53.063000000000002</v>
      </c>
      <c r="BX1087" s="121">
        <v>54.676249999999996</v>
      </c>
      <c r="BY1087" s="121">
        <v>56.289500000000004</v>
      </c>
      <c r="BZ1087" s="121">
        <v>57.867999999999995</v>
      </c>
      <c r="CA1087" s="121">
        <v>59.4465</v>
      </c>
      <c r="CB1087" s="121">
        <v>61.017575000000001</v>
      </c>
      <c r="CC1087" s="121">
        <v>62.588650000000001</v>
      </c>
      <c r="CD1087" s="121">
        <v>64.128574999999998</v>
      </c>
      <c r="CE1087" s="121">
        <v>65.668499999999995</v>
      </c>
      <c r="CF1087" s="121">
        <v>67.239999999999995</v>
      </c>
      <c r="CG1087" s="121">
        <v>68.811499999999995</v>
      </c>
      <c r="CH1087" s="121">
        <v>70.335499999999996</v>
      </c>
      <c r="CI1087" s="121">
        <v>71.859499999999997</v>
      </c>
      <c r="CJ1087" s="121">
        <v>73.411750000000012</v>
      </c>
      <c r="CK1087" s="121">
        <v>74.963999999999999</v>
      </c>
      <c r="CL1087" s="121">
        <v>76.465499999999992</v>
      </c>
      <c r="CM1087" s="121">
        <v>77.966999999999999</v>
      </c>
      <c r="CN1087" s="121">
        <v>79.480500000000006</v>
      </c>
      <c r="CO1087" s="121">
        <v>80.994</v>
      </c>
      <c r="CP1087" s="121">
        <v>82.533749999999998</v>
      </c>
      <c r="CQ1087" s="121">
        <v>83.8155</v>
      </c>
      <c r="CR1087" s="160">
        <v>85.571249999999992</v>
      </c>
      <c r="CS1087" s="160">
        <v>86.932500000000005</v>
      </c>
      <c r="CT1087" s="160">
        <v>88.570250000000001</v>
      </c>
      <c r="CU1087" s="160">
        <v>89.972499999999997</v>
      </c>
      <c r="CV1087" s="160">
        <v>91.546999999999997</v>
      </c>
      <c r="CW1087" s="160">
        <f t="array" ref="CW1087:CW1096">TRANSPOSE(CX1086:DG1086)</f>
        <v>92.960499999999996</v>
      </c>
      <c r="CX1087" s="120">
        <f>(CW1087+CY1087)/2</f>
        <v>94.454499999999996</v>
      </c>
      <c r="CY1087" s="120">
        <f>(CY1086+CY1088)/2</f>
        <v>95.948499999999996</v>
      </c>
      <c r="CZ1087" s="120">
        <f>(CY1087+DA1087)/2</f>
        <v>97.462249999999997</v>
      </c>
      <c r="DA1087" s="120">
        <f>(DA1086+DA1088)/2</f>
        <v>98.975999999999999</v>
      </c>
      <c r="DB1087" s="120">
        <f>(DA1087+DC1087)/2</f>
        <v>100.4615</v>
      </c>
      <c r="DC1087" s="120">
        <f>(DC1086+DC1088)/2</f>
        <v>101.947</v>
      </c>
      <c r="DD1087" s="120">
        <f>(DC1087+DE1087)/2</f>
        <v>103.384</v>
      </c>
      <c r="DE1087" s="120">
        <f>(DE1086+DE1088)/2</f>
        <v>104.821</v>
      </c>
      <c r="DF1087" s="120">
        <f>(DE1087+DG1087)/2</f>
        <v>106.32225</v>
      </c>
      <c r="DG1087" s="122">
        <f>(DG1086+DG1088)/2</f>
        <v>107.8235</v>
      </c>
    </row>
    <row r="1088" spans="54:111" ht="15" customHeight="1" x14ac:dyDescent="0.2">
      <c r="BB1088" s="28">
        <v>52</v>
      </c>
      <c r="BC1088" s="121">
        <v>18.244</v>
      </c>
      <c r="BD1088" s="121">
        <v>20.290500000000002</v>
      </c>
      <c r="BE1088" s="121">
        <v>22.337</v>
      </c>
      <c r="BF1088" s="121">
        <v>24.292999999999999</v>
      </c>
      <c r="BG1088" s="121">
        <v>26.248999999999999</v>
      </c>
      <c r="BH1088" s="121">
        <v>28.128</v>
      </c>
      <c r="BI1088" s="121">
        <v>30.007000000000001</v>
      </c>
      <c r="BJ1088" s="121">
        <v>31.808500000000002</v>
      </c>
      <c r="BK1088" s="121">
        <v>33.61</v>
      </c>
      <c r="BL1088" s="121">
        <v>35.3735</v>
      </c>
      <c r="BM1088" s="121">
        <v>37.137</v>
      </c>
      <c r="BN1088" s="121">
        <v>38.837499999999999</v>
      </c>
      <c r="BO1088" s="121">
        <v>40.537999999999997</v>
      </c>
      <c r="BP1088" s="121">
        <v>42.263499999999993</v>
      </c>
      <c r="BQ1088" s="121">
        <v>43.988999999999997</v>
      </c>
      <c r="BR1088" s="121">
        <v>45.636499999999998</v>
      </c>
      <c r="BS1088" s="121">
        <v>47.283999999999999</v>
      </c>
      <c r="BT1088" s="121">
        <v>48.970500000000001</v>
      </c>
      <c r="BU1088" s="121">
        <v>50.656999999999996</v>
      </c>
      <c r="BV1088" s="121">
        <v>52.266499999999994</v>
      </c>
      <c r="BW1088" s="121">
        <v>53.875999999999998</v>
      </c>
      <c r="BX1088" s="121">
        <v>55.498999999999995</v>
      </c>
      <c r="BY1088" s="121">
        <v>57.122</v>
      </c>
      <c r="BZ1088" s="121">
        <v>58.731499999999997</v>
      </c>
      <c r="CA1088" s="121">
        <v>60.341000000000001</v>
      </c>
      <c r="CB1088" s="121">
        <v>61.95</v>
      </c>
      <c r="CC1088" s="121">
        <v>63.558999999999997</v>
      </c>
      <c r="CD1088" s="121">
        <v>65.13</v>
      </c>
      <c r="CE1088" s="121">
        <v>66.700999999999993</v>
      </c>
      <c r="CF1088" s="121">
        <v>68.271999999999991</v>
      </c>
      <c r="CG1088" s="121">
        <v>69.843000000000004</v>
      </c>
      <c r="CH1088" s="121">
        <v>71.427999999999997</v>
      </c>
      <c r="CI1088" s="121">
        <v>73.013000000000005</v>
      </c>
      <c r="CJ1088" s="121">
        <v>74.545000000000002</v>
      </c>
      <c r="CK1088" s="121">
        <v>76.076999999999998</v>
      </c>
      <c r="CL1088" s="121">
        <v>77.609499999999997</v>
      </c>
      <c r="CM1088" s="121">
        <v>79.141999999999996</v>
      </c>
      <c r="CN1088" s="121">
        <v>80.674000000000007</v>
      </c>
      <c r="CO1088" s="121">
        <v>82.206000000000003</v>
      </c>
      <c r="CP1088" s="121">
        <v>83.8155</v>
      </c>
      <c r="CQ1088" s="121">
        <v>85.424999999999997</v>
      </c>
      <c r="CR1088" s="160">
        <v>86.932500000000005</v>
      </c>
      <c r="CS1088" s="160">
        <v>88.44</v>
      </c>
      <c r="CT1088" s="160">
        <v>89.972499999999997</v>
      </c>
      <c r="CU1088" s="160">
        <v>91.504999999999995</v>
      </c>
      <c r="CV1088" s="160">
        <v>92.960499999999996</v>
      </c>
      <c r="CW1088" s="160">
        <v>94.415999999999997</v>
      </c>
      <c r="CX1088" s="121">
        <f t="array" ref="CX1088:CX1096">TRANSPOSE(CY1087:DG1087)</f>
        <v>95.948499999999996</v>
      </c>
      <c r="CY1088" s="158">
        <v>97.480999999999995</v>
      </c>
      <c r="CZ1088" s="121">
        <f>DA1087</f>
        <v>98.975999999999999</v>
      </c>
      <c r="DA1088" s="158">
        <v>100.54600000000001</v>
      </c>
      <c r="DB1088" s="121">
        <f>DC1087</f>
        <v>101.947</v>
      </c>
      <c r="DC1088" s="158">
        <v>103.56100000000001</v>
      </c>
      <c r="DD1088" s="121">
        <f>DE1087</f>
        <v>104.821</v>
      </c>
      <c r="DE1088" s="158">
        <v>106.47199999999999</v>
      </c>
      <c r="DF1088" s="121">
        <f>DG1087</f>
        <v>107.8235</v>
      </c>
      <c r="DG1088" s="159">
        <v>109.53700000000001</v>
      </c>
    </row>
    <row r="1089" spans="54:111" ht="15" customHeight="1" x14ac:dyDescent="0.2">
      <c r="BB1089" s="28">
        <v>53</v>
      </c>
      <c r="BC1089" s="121">
        <v>18.494</v>
      </c>
      <c r="BD1089" s="121">
        <v>20.57525</v>
      </c>
      <c r="BE1089" s="121">
        <v>22.656500000000001</v>
      </c>
      <c r="BF1089" s="121">
        <v>24.65025</v>
      </c>
      <c r="BG1089" s="121">
        <v>26.643999999999998</v>
      </c>
      <c r="BH1089" s="121">
        <v>28.554000000000002</v>
      </c>
      <c r="BI1089" s="121">
        <v>30.463999999999999</v>
      </c>
      <c r="BJ1089" s="121">
        <v>32.28425</v>
      </c>
      <c r="BK1089" s="121">
        <v>34.104500000000002</v>
      </c>
      <c r="BL1089" s="121">
        <v>35.886499999999998</v>
      </c>
      <c r="BM1089" s="121">
        <v>37.668500000000002</v>
      </c>
      <c r="BN1089" s="121">
        <v>39.419250000000005</v>
      </c>
      <c r="BO1089" s="121">
        <v>41.17</v>
      </c>
      <c r="BP1089" s="121">
        <v>42.898249999999997</v>
      </c>
      <c r="BQ1089" s="121">
        <v>44.6265</v>
      </c>
      <c r="BR1089" s="121">
        <v>46.312249999999999</v>
      </c>
      <c r="BS1089" s="121">
        <v>47.998000000000005</v>
      </c>
      <c r="BT1089" s="121">
        <v>49.683750000000003</v>
      </c>
      <c r="BU1089" s="121">
        <v>51.369500000000002</v>
      </c>
      <c r="BV1089" s="121">
        <v>53.016749999999995</v>
      </c>
      <c r="BW1089" s="121">
        <v>54.664000000000001</v>
      </c>
      <c r="BX1089" s="121">
        <v>56.317999999999998</v>
      </c>
      <c r="BY1089" s="121">
        <v>57.972000000000001</v>
      </c>
      <c r="BZ1089" s="121">
        <v>59.603999999999999</v>
      </c>
      <c r="CA1089" s="121">
        <v>61.236000000000004</v>
      </c>
      <c r="CB1089" s="121">
        <v>62.876000000000005</v>
      </c>
      <c r="CC1089" s="121">
        <v>64.515999999999991</v>
      </c>
      <c r="CD1089" s="121">
        <v>66.105499999999992</v>
      </c>
      <c r="CE1089" s="121">
        <v>67.694999999999993</v>
      </c>
      <c r="CF1089" s="121">
        <v>69.304000000000002</v>
      </c>
      <c r="CG1089" s="121">
        <v>70.913000000000011</v>
      </c>
      <c r="CH1089" s="121">
        <v>72.509249999999994</v>
      </c>
      <c r="CI1089" s="121">
        <v>74.105500000000006</v>
      </c>
      <c r="CJ1089" s="121">
        <v>75.656499999999994</v>
      </c>
      <c r="CK1089" s="121">
        <v>77.207499999999996</v>
      </c>
      <c r="CL1089" s="121">
        <v>78.800749999999994</v>
      </c>
      <c r="CM1089" s="121">
        <v>80.394000000000005</v>
      </c>
      <c r="CN1089" s="121">
        <v>81.944749999999999</v>
      </c>
      <c r="CO1089" s="121">
        <v>83.495499999999993</v>
      </c>
      <c r="CP1089" s="121">
        <v>85.085000000000008</v>
      </c>
      <c r="CQ1089" s="121">
        <v>86.354500000000002</v>
      </c>
      <c r="CR1089" s="160">
        <v>88.213000000000008</v>
      </c>
      <c r="CS1089" s="160">
        <v>89.493500000000012</v>
      </c>
      <c r="CT1089" s="160">
        <v>91.302499999999995</v>
      </c>
      <c r="CU1089" s="160">
        <v>92.632499999999993</v>
      </c>
      <c r="CV1089" s="160">
        <v>94.382249999999999</v>
      </c>
      <c r="CW1089" s="160">
        <v>95.804000000000002</v>
      </c>
      <c r="CX1089" s="160">
        <v>97.462249999999997</v>
      </c>
      <c r="CY1089" s="160">
        <f t="array" ref="CY1089:CY1096">TRANSPOSE(CZ1088:DG1088)</f>
        <v>98.975999999999999</v>
      </c>
      <c r="CZ1089" s="120">
        <f>(CY1089+DA1089)/2</f>
        <v>100.54575</v>
      </c>
      <c r="DA1089" s="120">
        <f>(DA1088+DA1090)/2</f>
        <v>102.1155</v>
      </c>
      <c r="DB1089" s="120">
        <f>(DA1089+DC1089)/2</f>
        <v>103.65425</v>
      </c>
      <c r="DC1089" s="120">
        <f>(DC1088+DC1090)/2</f>
        <v>105.19300000000001</v>
      </c>
      <c r="DD1089" s="120">
        <f>(DC1089+DE1089)/2</f>
        <v>106.70525000000001</v>
      </c>
      <c r="DE1089" s="120">
        <f>(DE1088+DE1090)/2</f>
        <v>108.2175</v>
      </c>
      <c r="DF1089" s="120">
        <f>(DE1089+DG1089)/2</f>
        <v>109.71475000000001</v>
      </c>
      <c r="DG1089" s="122">
        <f>(DG1088+DG1090)/2</f>
        <v>111.212</v>
      </c>
    </row>
    <row r="1090" spans="54:111" ht="15" customHeight="1" x14ac:dyDescent="0.2">
      <c r="BB1090" s="28">
        <v>54</v>
      </c>
      <c r="BC1090" s="121">
        <v>18.744</v>
      </c>
      <c r="BD1090" s="121">
        <v>20.86</v>
      </c>
      <c r="BE1090" s="121">
        <v>22.975999999999999</v>
      </c>
      <c r="BF1090" s="121">
        <v>25.0075</v>
      </c>
      <c r="BG1090" s="121">
        <v>27.039000000000001</v>
      </c>
      <c r="BH1090" s="121">
        <v>28.98</v>
      </c>
      <c r="BI1090" s="121">
        <v>30.920999999999999</v>
      </c>
      <c r="BJ1090" s="121">
        <v>32.76</v>
      </c>
      <c r="BK1090" s="121">
        <v>34.598999999999997</v>
      </c>
      <c r="BL1090" s="121">
        <v>36.399500000000003</v>
      </c>
      <c r="BM1090" s="121">
        <v>38.200000000000003</v>
      </c>
      <c r="BN1090" s="121">
        <v>40.001000000000005</v>
      </c>
      <c r="BO1090" s="121">
        <v>41.802</v>
      </c>
      <c r="BP1090" s="121">
        <v>43.533000000000001</v>
      </c>
      <c r="BQ1090" s="121">
        <v>45.264000000000003</v>
      </c>
      <c r="BR1090" s="121">
        <v>46.988</v>
      </c>
      <c r="BS1090" s="121">
        <v>48.712000000000003</v>
      </c>
      <c r="BT1090" s="121">
        <v>50.397000000000006</v>
      </c>
      <c r="BU1090" s="121">
        <v>52.082000000000001</v>
      </c>
      <c r="BV1090" s="121">
        <v>53.766999999999996</v>
      </c>
      <c r="BW1090" s="121">
        <v>55.451999999999998</v>
      </c>
      <c r="BX1090" s="121">
        <v>57.137</v>
      </c>
      <c r="BY1090" s="121">
        <v>58.822000000000003</v>
      </c>
      <c r="BZ1090" s="121">
        <v>60.476500000000001</v>
      </c>
      <c r="CA1090" s="121">
        <v>62.131</v>
      </c>
      <c r="CB1090" s="121">
        <v>63.802</v>
      </c>
      <c r="CC1090" s="121">
        <v>65.472999999999999</v>
      </c>
      <c r="CD1090" s="121">
        <v>67.080999999999989</v>
      </c>
      <c r="CE1090" s="121">
        <v>68.688999999999993</v>
      </c>
      <c r="CF1090" s="121">
        <v>70.335999999999999</v>
      </c>
      <c r="CG1090" s="121">
        <v>71.983000000000004</v>
      </c>
      <c r="CH1090" s="121">
        <v>73.590499999999992</v>
      </c>
      <c r="CI1090" s="121">
        <v>75.197999999999993</v>
      </c>
      <c r="CJ1090" s="121">
        <v>76.768000000000001</v>
      </c>
      <c r="CK1090" s="121">
        <v>78.337999999999994</v>
      </c>
      <c r="CL1090" s="121">
        <v>79.99199999999999</v>
      </c>
      <c r="CM1090" s="121">
        <v>81.646000000000001</v>
      </c>
      <c r="CN1090" s="121">
        <v>83.215499999999992</v>
      </c>
      <c r="CO1090" s="121">
        <v>84.784999999999997</v>
      </c>
      <c r="CP1090" s="121">
        <v>86.354500000000002</v>
      </c>
      <c r="CQ1090" s="121">
        <v>87.924000000000007</v>
      </c>
      <c r="CR1090" s="160">
        <v>89.493500000000012</v>
      </c>
      <c r="CS1090" s="160">
        <v>91.063000000000002</v>
      </c>
      <c r="CT1090" s="160">
        <v>92.632499999999993</v>
      </c>
      <c r="CU1090" s="160">
        <v>94.201999999999998</v>
      </c>
      <c r="CV1090" s="160">
        <v>95.804000000000002</v>
      </c>
      <c r="CW1090" s="160">
        <v>97.406000000000006</v>
      </c>
      <c r="CX1090" s="160">
        <v>98.975999999999999</v>
      </c>
      <c r="CY1090" s="160">
        <v>100.54600000000001</v>
      </c>
      <c r="CZ1090" s="121">
        <f t="array" ref="CZ1090:CZ1096">TRANSPOSE(DA1089:DG1089)</f>
        <v>102.1155</v>
      </c>
      <c r="DA1090" s="158">
        <v>103.685</v>
      </c>
      <c r="DB1090" s="121">
        <f>DC1089</f>
        <v>105.19300000000001</v>
      </c>
      <c r="DC1090" s="158">
        <v>106.825</v>
      </c>
      <c r="DD1090" s="121">
        <f>DE1089</f>
        <v>108.2175</v>
      </c>
      <c r="DE1090" s="158">
        <v>109.96299999999999</v>
      </c>
      <c r="DF1090" s="121">
        <f>DG1089</f>
        <v>111.212</v>
      </c>
      <c r="DG1090" s="159">
        <v>112.887</v>
      </c>
    </row>
    <row r="1091" spans="54:111" ht="15" customHeight="1" x14ac:dyDescent="0.2">
      <c r="BB1091" s="28">
        <v>55</v>
      </c>
      <c r="BC1091" s="121">
        <v>18.987500000000001</v>
      </c>
      <c r="BD1091" s="121">
        <v>21.137499999999999</v>
      </c>
      <c r="BE1091" s="121">
        <v>23.287500000000001</v>
      </c>
      <c r="BF1091" s="121">
        <v>25.353749999999998</v>
      </c>
      <c r="BG1091" s="121">
        <v>27.42</v>
      </c>
      <c r="BH1091" s="121">
        <v>29.366999999999997</v>
      </c>
      <c r="BI1091" s="121">
        <v>31.314</v>
      </c>
      <c r="BJ1091" s="121">
        <v>33.191000000000003</v>
      </c>
      <c r="BK1091" s="121">
        <v>35.067999999999998</v>
      </c>
      <c r="BL1091" s="121">
        <v>36.903500000000001</v>
      </c>
      <c r="BM1091" s="121">
        <v>38.739000000000004</v>
      </c>
      <c r="BN1091" s="121">
        <v>40.558500000000002</v>
      </c>
      <c r="BO1091" s="121">
        <v>42.378</v>
      </c>
      <c r="BP1091" s="121">
        <v>44.155500000000004</v>
      </c>
      <c r="BQ1091" s="121">
        <v>45.933</v>
      </c>
      <c r="BR1091" s="121">
        <v>47.679249999999996</v>
      </c>
      <c r="BS1091" s="121">
        <v>49.4255</v>
      </c>
      <c r="BT1091" s="121">
        <v>51.129250000000006</v>
      </c>
      <c r="BU1091" s="121">
        <v>52.832999999999998</v>
      </c>
      <c r="BV1091" s="121">
        <v>54.552499999999995</v>
      </c>
      <c r="BW1091" s="121">
        <v>56.271999999999998</v>
      </c>
      <c r="BX1091" s="121">
        <v>57.975749999999998</v>
      </c>
      <c r="BY1091" s="121">
        <v>59.679500000000004</v>
      </c>
      <c r="BZ1091" s="121">
        <v>61.361249999999998</v>
      </c>
      <c r="CA1091" s="121">
        <v>63.042999999999999</v>
      </c>
      <c r="CB1091" s="121">
        <v>64.724000000000004</v>
      </c>
      <c r="CC1091" s="121">
        <v>66.405000000000001</v>
      </c>
      <c r="CD1091" s="121">
        <v>68.050999999999988</v>
      </c>
      <c r="CE1091" s="121">
        <v>69.697000000000003</v>
      </c>
      <c r="CF1091" s="121">
        <v>71.355249999999998</v>
      </c>
      <c r="CG1091" s="121">
        <v>73.013499999999993</v>
      </c>
      <c r="CH1091" s="121">
        <v>74.643749999999997</v>
      </c>
      <c r="CI1091" s="121">
        <v>76.274000000000001</v>
      </c>
      <c r="CJ1091" s="121">
        <v>77.913250000000005</v>
      </c>
      <c r="CK1091" s="121">
        <v>79.552499999999995</v>
      </c>
      <c r="CL1091" s="121">
        <v>81.186749999999989</v>
      </c>
      <c r="CM1091" s="121">
        <v>82.820999999999998</v>
      </c>
      <c r="CN1091" s="121">
        <v>84.408999999999992</v>
      </c>
      <c r="CO1091" s="121">
        <v>85.997</v>
      </c>
      <c r="CP1091" s="121">
        <v>87.636250000000004</v>
      </c>
      <c r="CQ1091" s="121">
        <v>88.918000000000006</v>
      </c>
      <c r="CR1091" s="160">
        <v>90.867500000000007</v>
      </c>
      <c r="CS1091" s="160">
        <v>92.241500000000002</v>
      </c>
      <c r="CT1091" s="160">
        <v>94.059749999999994</v>
      </c>
      <c r="CU1091" s="160">
        <v>95.486999999999995</v>
      </c>
      <c r="CV1091" s="160">
        <v>97.264749999999992</v>
      </c>
      <c r="CW1091" s="160">
        <v>98.725499999999997</v>
      </c>
      <c r="CX1091" s="160">
        <v>100.4615</v>
      </c>
      <c r="CY1091" s="160">
        <v>101.947</v>
      </c>
      <c r="CZ1091" s="160">
        <v>103.65425</v>
      </c>
      <c r="DA1091" s="160">
        <f t="array" ref="DA1091:DA1096">TRANSPOSE(DB1090:DG1090)</f>
        <v>105.19300000000001</v>
      </c>
      <c r="DB1091" s="120">
        <f>(DA1091+DC1091)/2</f>
        <v>106.816</v>
      </c>
      <c r="DC1091" s="120">
        <f>(DC1090+DC1092)/2</f>
        <v>108.43899999999999</v>
      </c>
      <c r="DD1091" s="120">
        <f>(DC1091+DE1091)/2</f>
        <v>109.9815</v>
      </c>
      <c r="DE1091" s="120">
        <f>(DE1090+DE1092)/2</f>
        <v>111.524</v>
      </c>
      <c r="DF1091" s="120">
        <f>(DE1091+DG1091)/2</f>
        <v>113.05825</v>
      </c>
      <c r="DG1091" s="122">
        <f>(DG1090+DG1092)/2</f>
        <v>114.5925</v>
      </c>
    </row>
    <row r="1092" spans="54:111" ht="15" customHeight="1" x14ac:dyDescent="0.2">
      <c r="BB1092" s="28">
        <v>56</v>
      </c>
      <c r="BC1092" s="121">
        <v>19.231000000000002</v>
      </c>
      <c r="BD1092" s="121">
        <v>21.414999999999999</v>
      </c>
      <c r="BE1092" s="121">
        <v>23.599</v>
      </c>
      <c r="BF1092" s="121">
        <v>25.7</v>
      </c>
      <c r="BG1092" s="121">
        <v>27.800999999999998</v>
      </c>
      <c r="BH1092" s="121">
        <v>29.753999999999998</v>
      </c>
      <c r="BI1092" s="121">
        <v>31.707000000000001</v>
      </c>
      <c r="BJ1092" s="121">
        <v>33.622</v>
      </c>
      <c r="BK1092" s="121">
        <v>35.536999999999999</v>
      </c>
      <c r="BL1092" s="121">
        <v>37.407499999999999</v>
      </c>
      <c r="BM1092" s="121">
        <v>39.277999999999999</v>
      </c>
      <c r="BN1092" s="121">
        <v>41.116</v>
      </c>
      <c r="BO1092" s="121">
        <v>42.954000000000001</v>
      </c>
      <c r="BP1092" s="121">
        <v>44.777999999999999</v>
      </c>
      <c r="BQ1092" s="121">
        <v>46.601999999999997</v>
      </c>
      <c r="BR1092" s="121">
        <v>48.3705</v>
      </c>
      <c r="BS1092" s="121">
        <v>50.139000000000003</v>
      </c>
      <c r="BT1092" s="121">
        <v>51.861500000000007</v>
      </c>
      <c r="BU1092" s="121">
        <v>53.584000000000003</v>
      </c>
      <c r="BV1092" s="121">
        <v>55.338000000000001</v>
      </c>
      <c r="BW1092" s="121">
        <v>57.091999999999999</v>
      </c>
      <c r="BX1092" s="121">
        <v>58.814499999999995</v>
      </c>
      <c r="BY1092" s="121">
        <v>60.536999999999999</v>
      </c>
      <c r="BZ1092" s="121">
        <v>62.245999999999995</v>
      </c>
      <c r="CA1092" s="121">
        <v>63.954999999999998</v>
      </c>
      <c r="CB1092" s="121">
        <v>65.646000000000001</v>
      </c>
      <c r="CC1092" s="121">
        <v>67.337000000000003</v>
      </c>
      <c r="CD1092" s="121">
        <v>69.021000000000001</v>
      </c>
      <c r="CE1092" s="121">
        <v>70.704999999999998</v>
      </c>
      <c r="CF1092" s="121">
        <v>72.374499999999998</v>
      </c>
      <c r="CG1092" s="121">
        <v>74.043999999999997</v>
      </c>
      <c r="CH1092" s="121">
        <v>75.697000000000003</v>
      </c>
      <c r="CI1092" s="121">
        <v>77.349999999999994</v>
      </c>
      <c r="CJ1092" s="121">
        <v>79.058499999999995</v>
      </c>
      <c r="CK1092" s="121">
        <v>80.766999999999996</v>
      </c>
      <c r="CL1092" s="121">
        <v>82.381499999999988</v>
      </c>
      <c r="CM1092" s="121">
        <v>83.995999999999995</v>
      </c>
      <c r="CN1092" s="121">
        <v>85.602499999999992</v>
      </c>
      <c r="CO1092" s="121">
        <v>87.209000000000003</v>
      </c>
      <c r="CP1092" s="121">
        <v>88.918000000000006</v>
      </c>
      <c r="CQ1092" s="121">
        <v>90.626999999999995</v>
      </c>
      <c r="CR1092" s="160">
        <v>92.241500000000002</v>
      </c>
      <c r="CS1092" s="160">
        <v>93.855999999999995</v>
      </c>
      <c r="CT1092" s="160">
        <v>95.486999999999995</v>
      </c>
      <c r="CU1092" s="160">
        <v>97.117999999999995</v>
      </c>
      <c r="CV1092" s="160">
        <v>98.725499999999997</v>
      </c>
      <c r="CW1092" s="160">
        <v>100.333</v>
      </c>
      <c r="CX1092" s="160">
        <v>101.947</v>
      </c>
      <c r="CY1092" s="160">
        <v>103.56100000000001</v>
      </c>
      <c r="CZ1092" s="160">
        <v>105.19300000000001</v>
      </c>
      <c r="DA1092" s="160">
        <v>106.825</v>
      </c>
      <c r="DB1092" s="121">
        <f t="array" ref="DB1092:DB1096">TRANSPOSE(DC1091:DG1091)</f>
        <v>108.43899999999999</v>
      </c>
      <c r="DC1092" s="158">
        <v>110.053</v>
      </c>
      <c r="DD1092" s="121">
        <f>DE1091</f>
        <v>111.524</v>
      </c>
      <c r="DE1092" s="158">
        <v>113.08499999999999</v>
      </c>
      <c r="DF1092" s="121">
        <f>DG1091</f>
        <v>114.5925</v>
      </c>
      <c r="DG1092" s="159">
        <v>116.298</v>
      </c>
    </row>
    <row r="1093" spans="54:111" ht="15" customHeight="1" x14ac:dyDescent="0.2">
      <c r="BB1093" s="28">
        <v>57</v>
      </c>
      <c r="BC1093" s="121">
        <v>19.480499999999999</v>
      </c>
      <c r="BD1093" s="121">
        <v>21.699249999999999</v>
      </c>
      <c r="BE1093" s="121">
        <v>23.917999999999999</v>
      </c>
      <c r="BF1093" s="121">
        <v>26.033999999999999</v>
      </c>
      <c r="BG1093" s="121">
        <v>28.15</v>
      </c>
      <c r="BH1093" s="121">
        <v>30.157</v>
      </c>
      <c r="BI1093" s="121">
        <v>32.164000000000001</v>
      </c>
      <c r="BJ1093" s="121">
        <v>34.097499999999997</v>
      </c>
      <c r="BK1093" s="121">
        <v>36.030999999999999</v>
      </c>
      <c r="BL1093" s="121">
        <v>37.92</v>
      </c>
      <c r="BM1093" s="121">
        <v>39.808999999999997</v>
      </c>
      <c r="BN1093" s="121">
        <v>41.682000000000002</v>
      </c>
      <c r="BO1093" s="121">
        <v>43.555</v>
      </c>
      <c r="BP1093" s="121">
        <v>45.385000000000005</v>
      </c>
      <c r="BQ1093" s="121">
        <v>47.215000000000003</v>
      </c>
      <c r="BR1093" s="121">
        <v>49.014499999999998</v>
      </c>
      <c r="BS1093" s="121">
        <v>50.814</v>
      </c>
      <c r="BT1093" s="121">
        <v>52.586500000000001</v>
      </c>
      <c r="BU1093" s="121">
        <v>54.359000000000002</v>
      </c>
      <c r="BV1093" s="121">
        <v>56.119749999999996</v>
      </c>
      <c r="BW1093" s="121">
        <v>57.880499999999998</v>
      </c>
      <c r="BX1093" s="121">
        <v>59.633749999999999</v>
      </c>
      <c r="BY1093" s="121">
        <v>61.387</v>
      </c>
      <c r="BZ1093" s="121">
        <v>63.118249999999996</v>
      </c>
      <c r="CA1093" s="121">
        <v>64.849500000000006</v>
      </c>
      <c r="CB1093" s="121">
        <v>66.5715</v>
      </c>
      <c r="CC1093" s="121">
        <v>68.293499999999995</v>
      </c>
      <c r="CD1093" s="121">
        <v>69.996000000000009</v>
      </c>
      <c r="CE1093" s="121">
        <v>71.698499999999996</v>
      </c>
      <c r="CF1093" s="121">
        <v>73.41</v>
      </c>
      <c r="CG1093" s="121">
        <v>75.121499999999997</v>
      </c>
      <c r="CH1093" s="121">
        <v>76.782250000000005</v>
      </c>
      <c r="CI1093" s="121">
        <v>78.442999999999998</v>
      </c>
      <c r="CJ1093" s="121">
        <v>80.161749999999998</v>
      </c>
      <c r="CK1093" s="121">
        <v>81.880499999999998</v>
      </c>
      <c r="CL1093" s="121">
        <v>83.521999999999991</v>
      </c>
      <c r="CM1093" s="121">
        <v>85.163499999999999</v>
      </c>
      <c r="CN1093" s="121">
        <v>86.843499999999992</v>
      </c>
      <c r="CO1093" s="121">
        <v>88.523499999999999</v>
      </c>
      <c r="CP1093" s="121">
        <v>90.199749999999995</v>
      </c>
      <c r="CQ1093" s="121">
        <v>91.481499999999997</v>
      </c>
      <c r="CR1093" s="160">
        <v>93.521749999999997</v>
      </c>
      <c r="CS1093" s="160">
        <v>94.801999999999992</v>
      </c>
      <c r="CT1093" s="160">
        <v>96.820999999999998</v>
      </c>
      <c r="CU1093" s="160">
        <v>98.155000000000001</v>
      </c>
      <c r="CV1093" s="160">
        <v>100.113</v>
      </c>
      <c r="CW1093" s="160">
        <v>101.5005</v>
      </c>
      <c r="CX1093" s="160">
        <v>103.384</v>
      </c>
      <c r="CY1093" s="160">
        <v>104.821</v>
      </c>
      <c r="CZ1093" s="160">
        <v>106.70525000000001</v>
      </c>
      <c r="DA1093" s="160">
        <v>108.2175</v>
      </c>
      <c r="DB1093" s="160">
        <v>109.9815</v>
      </c>
      <c r="DC1093" s="160">
        <f t="array" ref="DC1093:DC1096">TRANSPOSE(DD1092:DG1092)</f>
        <v>111.524</v>
      </c>
      <c r="DD1093" s="120">
        <f>(DC1093+DE1093)/2</f>
        <v>113.12649999999999</v>
      </c>
      <c r="DE1093" s="120">
        <f>(DE1092+DE1094)/2</f>
        <v>114.729</v>
      </c>
      <c r="DF1093" s="120">
        <f>(DE1093+DG1093)/2</f>
        <v>116.37049999999999</v>
      </c>
      <c r="DG1093" s="122">
        <f>(DG1092+DG1094)/2</f>
        <v>118.012</v>
      </c>
    </row>
    <row r="1094" spans="54:111" ht="15" customHeight="1" x14ac:dyDescent="0.2">
      <c r="BB1094" s="28">
        <v>58</v>
      </c>
      <c r="BC1094" s="121">
        <v>19.73</v>
      </c>
      <c r="BD1094" s="121">
        <v>21.983499999999999</v>
      </c>
      <c r="BE1094" s="121">
        <v>24.236999999999998</v>
      </c>
      <c r="BF1094" s="121">
        <v>26.367999999999999</v>
      </c>
      <c r="BG1094" s="121">
        <v>28.498999999999999</v>
      </c>
      <c r="BH1094" s="121">
        <v>30.560000000000002</v>
      </c>
      <c r="BI1094" s="121">
        <v>32.621000000000002</v>
      </c>
      <c r="BJ1094" s="121">
        <v>34.573</v>
      </c>
      <c r="BK1094" s="121">
        <v>36.524999999999999</v>
      </c>
      <c r="BL1094" s="121">
        <v>38.432500000000005</v>
      </c>
      <c r="BM1094" s="121">
        <v>40.340000000000003</v>
      </c>
      <c r="BN1094" s="121">
        <v>42.248000000000005</v>
      </c>
      <c r="BO1094" s="121">
        <v>44.155999999999999</v>
      </c>
      <c r="BP1094" s="121">
        <v>45.992000000000004</v>
      </c>
      <c r="BQ1094" s="121">
        <v>47.828000000000003</v>
      </c>
      <c r="BR1094" s="121">
        <v>49.658500000000004</v>
      </c>
      <c r="BS1094" s="121">
        <v>51.488999999999997</v>
      </c>
      <c r="BT1094" s="121">
        <v>53.311499999999995</v>
      </c>
      <c r="BU1094" s="121">
        <v>55.134</v>
      </c>
      <c r="BV1094" s="121">
        <v>56.901499999999999</v>
      </c>
      <c r="BW1094" s="121">
        <v>58.668999999999997</v>
      </c>
      <c r="BX1094" s="121">
        <v>60.453000000000003</v>
      </c>
      <c r="BY1094" s="121">
        <v>62.237000000000002</v>
      </c>
      <c r="BZ1094" s="121">
        <v>63.990499999999997</v>
      </c>
      <c r="CA1094" s="121">
        <v>65.744</v>
      </c>
      <c r="CB1094" s="121">
        <v>67.497</v>
      </c>
      <c r="CC1094" s="121">
        <v>69.25</v>
      </c>
      <c r="CD1094" s="121">
        <v>70.971000000000004</v>
      </c>
      <c r="CE1094" s="121">
        <v>72.691999999999993</v>
      </c>
      <c r="CF1094" s="121">
        <v>74.445499999999996</v>
      </c>
      <c r="CG1094" s="121">
        <v>76.198999999999998</v>
      </c>
      <c r="CH1094" s="121">
        <v>77.867500000000007</v>
      </c>
      <c r="CI1094" s="121">
        <v>79.536000000000001</v>
      </c>
      <c r="CJ1094" s="121">
        <v>81.265000000000001</v>
      </c>
      <c r="CK1094" s="121">
        <v>82.994</v>
      </c>
      <c r="CL1094" s="121">
        <v>84.662499999999994</v>
      </c>
      <c r="CM1094" s="121">
        <v>86.331000000000003</v>
      </c>
      <c r="CN1094" s="121">
        <v>88.084499999999991</v>
      </c>
      <c r="CO1094" s="121">
        <v>89.837999999999994</v>
      </c>
      <c r="CP1094" s="121">
        <v>91.481499999999997</v>
      </c>
      <c r="CQ1094" s="121">
        <v>93.125</v>
      </c>
      <c r="CR1094" s="160">
        <v>94.801999999999992</v>
      </c>
      <c r="CS1094" s="160">
        <v>96.478999999999999</v>
      </c>
      <c r="CT1094" s="160">
        <v>98.155000000000001</v>
      </c>
      <c r="CU1094" s="160">
        <v>99.831000000000003</v>
      </c>
      <c r="CV1094" s="160">
        <v>101.5005</v>
      </c>
      <c r="CW1094" s="160">
        <v>103.17</v>
      </c>
      <c r="CX1094" s="160">
        <v>104.821</v>
      </c>
      <c r="CY1094" s="160">
        <v>106.47199999999999</v>
      </c>
      <c r="CZ1094" s="160">
        <v>108.2175</v>
      </c>
      <c r="DA1094" s="160">
        <v>109.96299999999999</v>
      </c>
      <c r="DB1094" s="160">
        <v>111.524</v>
      </c>
      <c r="DC1094" s="160">
        <v>113.08499999999999</v>
      </c>
      <c r="DD1094" s="121">
        <f t="array" ref="DD1094:DD1096">TRANSPOSE(DE1093:DG1093)</f>
        <v>114.729</v>
      </c>
      <c r="DE1094" s="158">
        <v>116.373</v>
      </c>
      <c r="DF1094" s="121">
        <f>DG1093</f>
        <v>118.012</v>
      </c>
      <c r="DG1094" s="159">
        <v>119.726</v>
      </c>
    </row>
    <row r="1095" spans="54:111" ht="15" customHeight="1" x14ac:dyDescent="0.2">
      <c r="BB1095" s="28">
        <v>59</v>
      </c>
      <c r="BC1095" s="121">
        <v>20.011499999999998</v>
      </c>
      <c r="BD1095" s="121">
        <v>22.280249999999999</v>
      </c>
      <c r="BE1095" s="121">
        <v>24.548999999999999</v>
      </c>
      <c r="BF1095" s="121">
        <v>26.721499999999999</v>
      </c>
      <c r="BG1095" s="121">
        <v>28.893999999999998</v>
      </c>
      <c r="BH1095" s="121">
        <v>30.954250000000002</v>
      </c>
      <c r="BI1095" s="121">
        <v>33.014499999999998</v>
      </c>
      <c r="BJ1095" s="121">
        <v>35.0015</v>
      </c>
      <c r="BK1095" s="121">
        <v>36.988500000000002</v>
      </c>
      <c r="BL1095" s="121">
        <v>38.929749999999999</v>
      </c>
      <c r="BM1095" s="121">
        <v>40.871000000000002</v>
      </c>
      <c r="BN1095" s="121">
        <v>42.797499999999999</v>
      </c>
      <c r="BO1095" s="121">
        <v>44.724000000000004</v>
      </c>
      <c r="BP1095" s="121">
        <v>46.59525</v>
      </c>
      <c r="BQ1095" s="121">
        <v>48.466499999999996</v>
      </c>
      <c r="BR1095" s="121">
        <v>50.315249999999999</v>
      </c>
      <c r="BS1095" s="121">
        <v>52.164000000000001</v>
      </c>
      <c r="BT1095" s="121">
        <v>54.005249999999997</v>
      </c>
      <c r="BU1095" s="121">
        <v>55.846499999999999</v>
      </c>
      <c r="BV1095" s="121">
        <v>57.664249999999996</v>
      </c>
      <c r="BW1095" s="121">
        <v>59.481999999999999</v>
      </c>
      <c r="BX1095" s="121">
        <v>61.288250000000005</v>
      </c>
      <c r="BY1095" s="121">
        <v>63.094499999999996</v>
      </c>
      <c r="BZ1095" s="121">
        <v>64.866500000000002</v>
      </c>
      <c r="CA1095" s="121">
        <v>66.638499999999993</v>
      </c>
      <c r="CB1095" s="121">
        <v>68.406499999999994</v>
      </c>
      <c r="CC1095" s="121">
        <v>70.174499999999995</v>
      </c>
      <c r="CD1095" s="121">
        <v>71.930250000000001</v>
      </c>
      <c r="CE1095" s="121">
        <v>73.686000000000007</v>
      </c>
      <c r="CF1095" s="121">
        <v>75.458249999999992</v>
      </c>
      <c r="CG1095" s="121">
        <v>77.230500000000006</v>
      </c>
      <c r="CH1095" s="121">
        <v>78.95975</v>
      </c>
      <c r="CI1095" s="121">
        <v>80.688999999999993</v>
      </c>
      <c r="CJ1095" s="121">
        <v>82.406499999999994</v>
      </c>
      <c r="CK1095" s="121">
        <v>84.123999999999995</v>
      </c>
      <c r="CL1095" s="121">
        <v>85.853499999999997</v>
      </c>
      <c r="CM1095" s="121">
        <v>87.582999999999998</v>
      </c>
      <c r="CN1095" s="121">
        <v>89.316499999999991</v>
      </c>
      <c r="CO1095" s="121">
        <v>91.05</v>
      </c>
      <c r="CP1095" s="121">
        <v>92.766999999999996</v>
      </c>
      <c r="CQ1095" s="121">
        <v>94.052500000000009</v>
      </c>
      <c r="CR1095" s="160">
        <v>96.1755</v>
      </c>
      <c r="CS1095" s="160">
        <v>97.549000000000007</v>
      </c>
      <c r="CT1095" s="160">
        <v>99.561999999999998</v>
      </c>
      <c r="CU1095" s="160">
        <v>100.96899999999999</v>
      </c>
      <c r="CV1095" s="160">
        <v>102.9485</v>
      </c>
      <c r="CW1095" s="160">
        <v>104.3965</v>
      </c>
      <c r="CX1095" s="160">
        <v>106.32225</v>
      </c>
      <c r="CY1095" s="160">
        <v>107.8235</v>
      </c>
      <c r="CZ1095" s="160">
        <v>109.71475000000001</v>
      </c>
      <c r="DA1095" s="160">
        <v>111.212</v>
      </c>
      <c r="DB1095" s="160">
        <v>113.05825</v>
      </c>
      <c r="DC1095" s="160">
        <v>114.5925</v>
      </c>
      <c r="DD1095" s="160">
        <v>116.37049999999999</v>
      </c>
      <c r="DE1095" s="160">
        <f t="array" ref="DE1095:DE1096">TRANSPOSE(DF1094:DG1094)</f>
        <v>118.012</v>
      </c>
      <c r="DF1095" s="120">
        <f>(DE1095+DG1095)/2</f>
        <v>119.72575000000001</v>
      </c>
      <c r="DG1095" s="122">
        <f>(DG1094+DG1096)/2</f>
        <v>121.43950000000001</v>
      </c>
    </row>
    <row r="1096" spans="54:111" ht="15" customHeight="1" thickBot="1" x14ac:dyDescent="0.25">
      <c r="BB1096" s="149">
        <v>60</v>
      </c>
      <c r="BC1096" s="123">
        <v>20.292999999999999</v>
      </c>
      <c r="BD1096" s="123">
        <v>22.576999999999998</v>
      </c>
      <c r="BE1096" s="123">
        <v>24.861000000000001</v>
      </c>
      <c r="BF1096" s="123">
        <v>27.075000000000003</v>
      </c>
      <c r="BG1096" s="123">
        <v>29.289000000000001</v>
      </c>
      <c r="BH1096" s="123">
        <v>31.348500000000001</v>
      </c>
      <c r="BI1096" s="123">
        <v>33.408000000000001</v>
      </c>
      <c r="BJ1096" s="123">
        <v>35.43</v>
      </c>
      <c r="BK1096" s="123">
        <v>37.451999999999998</v>
      </c>
      <c r="BL1096" s="123">
        <v>39.427</v>
      </c>
      <c r="BM1096" s="123">
        <v>41.402000000000001</v>
      </c>
      <c r="BN1096" s="123">
        <v>43.347000000000001</v>
      </c>
      <c r="BO1096" s="123">
        <v>45.292000000000002</v>
      </c>
      <c r="BP1096" s="123">
        <v>47.198499999999996</v>
      </c>
      <c r="BQ1096" s="123">
        <v>49.104999999999997</v>
      </c>
      <c r="BR1096" s="123">
        <v>50.971999999999994</v>
      </c>
      <c r="BS1096" s="123">
        <v>52.838999999999999</v>
      </c>
      <c r="BT1096" s="123">
        <v>54.698999999999998</v>
      </c>
      <c r="BU1096" s="123">
        <v>56.558999999999997</v>
      </c>
      <c r="BV1096" s="123">
        <v>58.427</v>
      </c>
      <c r="BW1096" s="123">
        <v>60.295000000000002</v>
      </c>
      <c r="BX1096" s="123">
        <v>62.1235</v>
      </c>
      <c r="BY1096" s="123">
        <v>63.951999999999998</v>
      </c>
      <c r="BZ1096" s="123">
        <v>65.742500000000007</v>
      </c>
      <c r="CA1096" s="123">
        <v>67.533000000000001</v>
      </c>
      <c r="CB1096" s="123">
        <v>69.316000000000003</v>
      </c>
      <c r="CC1096" s="123">
        <v>71.099000000000004</v>
      </c>
      <c r="CD1096" s="123">
        <v>72.889499999999998</v>
      </c>
      <c r="CE1096" s="123">
        <v>74.680000000000007</v>
      </c>
      <c r="CF1096" s="123">
        <v>76.471000000000004</v>
      </c>
      <c r="CG1096" s="123">
        <v>78.262</v>
      </c>
      <c r="CH1096" s="123">
        <v>80.051999999999992</v>
      </c>
      <c r="CI1096" s="123">
        <v>81.841999999999999</v>
      </c>
      <c r="CJ1096" s="123">
        <v>83.548000000000002</v>
      </c>
      <c r="CK1096" s="123">
        <v>85.254000000000005</v>
      </c>
      <c r="CL1096" s="123">
        <v>87.044499999999999</v>
      </c>
      <c r="CM1096" s="123">
        <v>88.834999999999994</v>
      </c>
      <c r="CN1096" s="123">
        <v>90.54849999999999</v>
      </c>
      <c r="CO1096" s="123">
        <v>92.262</v>
      </c>
      <c r="CP1096" s="123">
        <v>94.052500000000009</v>
      </c>
      <c r="CQ1096" s="123">
        <v>95.843000000000004</v>
      </c>
      <c r="CR1096" s="161">
        <v>97.549000000000007</v>
      </c>
      <c r="CS1096" s="161">
        <v>99.254999999999995</v>
      </c>
      <c r="CT1096" s="161">
        <v>100.96899999999999</v>
      </c>
      <c r="CU1096" s="161">
        <v>102.68300000000001</v>
      </c>
      <c r="CV1096" s="161">
        <v>104.3965</v>
      </c>
      <c r="CW1096" s="161">
        <v>106.11</v>
      </c>
      <c r="CX1096" s="161">
        <v>107.8235</v>
      </c>
      <c r="CY1096" s="161">
        <v>109.53700000000001</v>
      </c>
      <c r="CZ1096" s="161">
        <v>111.212</v>
      </c>
      <c r="DA1096" s="161">
        <v>112.887</v>
      </c>
      <c r="DB1096" s="161">
        <v>114.5925</v>
      </c>
      <c r="DC1096" s="161">
        <v>116.298</v>
      </c>
      <c r="DD1096" s="161">
        <v>118.012</v>
      </c>
      <c r="DE1096" s="161">
        <v>119.726</v>
      </c>
      <c r="DF1096" s="151">
        <f>DG1095</f>
        <v>121.43950000000001</v>
      </c>
      <c r="DG1096" s="162">
        <v>123.15300000000001</v>
      </c>
    </row>
    <row r="1097" spans="54:111" ht="15" customHeight="1" thickBot="1" x14ac:dyDescent="0.25">
      <c r="BB1097" s="25"/>
      <c r="BC1097" s="25"/>
      <c r="BD1097" s="25"/>
      <c r="BE1097" s="25"/>
      <c r="BF1097" s="25"/>
      <c r="BG1097" s="25"/>
      <c r="BH1097" s="25"/>
      <c r="BI1097" s="25"/>
      <c r="BJ1097" s="25"/>
      <c r="BK1097" s="25"/>
      <c r="BL1097" s="25"/>
      <c r="BM1097" s="25"/>
      <c r="BN1097" s="25"/>
      <c r="BO1097" s="25"/>
      <c r="BP1097" s="25"/>
      <c r="BQ1097" s="25"/>
      <c r="BR1097" s="25"/>
      <c r="BS1097" s="25"/>
      <c r="BT1097" s="25"/>
      <c r="BU1097" s="25"/>
      <c r="BV1097" s="25"/>
      <c r="BW1097" s="25"/>
      <c r="BX1097" s="25"/>
      <c r="BY1097" s="25"/>
      <c r="BZ1097" s="25"/>
      <c r="CA1097" s="25"/>
      <c r="CB1097" s="25"/>
      <c r="CC1097" s="25"/>
      <c r="CD1097" s="25"/>
      <c r="CE1097" s="25"/>
      <c r="CF1097" s="25"/>
      <c r="CG1097" s="25"/>
      <c r="CH1097" s="25"/>
      <c r="CI1097" s="25"/>
      <c r="CJ1097" s="25"/>
      <c r="CK1097" s="25"/>
      <c r="CL1097" s="25"/>
      <c r="CM1097" s="25"/>
      <c r="CN1097" s="25"/>
      <c r="CO1097" s="25"/>
      <c r="CP1097" s="25"/>
      <c r="CQ1097" s="25"/>
    </row>
    <row r="1098" spans="54:111" ht="15" customHeight="1" thickBot="1" x14ac:dyDescent="0.3">
      <c r="BB1098" s="1841" t="s">
        <v>313</v>
      </c>
      <c r="BC1098" s="1842"/>
      <c r="BD1098" s="1842"/>
      <c r="BE1098" s="1842"/>
      <c r="BF1098" s="1842"/>
      <c r="BG1098" s="1842"/>
      <c r="BH1098" s="1842"/>
      <c r="BI1098" s="1842"/>
      <c r="BJ1098" s="1842"/>
      <c r="BK1098" s="1842"/>
      <c r="BL1098" s="1842"/>
      <c r="BM1098" s="1842"/>
      <c r="BN1098" s="1842"/>
      <c r="BO1098" s="1842"/>
      <c r="BP1098" s="1842"/>
      <c r="BQ1098" s="1842"/>
      <c r="BR1098" s="1842"/>
      <c r="BS1098" s="1842"/>
      <c r="BT1098" s="1842"/>
      <c r="BU1098" s="1842"/>
      <c r="BV1098" s="1842"/>
      <c r="BW1098" s="1842"/>
      <c r="BX1098" s="1842"/>
      <c r="BY1098" s="1842"/>
      <c r="BZ1098" s="1842"/>
      <c r="CA1098" s="1842"/>
      <c r="CB1098" s="1842"/>
      <c r="CC1098" s="1842"/>
      <c r="CD1098" s="1842"/>
      <c r="CE1098" s="1842"/>
      <c r="CF1098" s="1842"/>
      <c r="CG1098" s="1842"/>
      <c r="CH1098" s="1842"/>
      <c r="CI1098" s="1842"/>
      <c r="CJ1098" s="1842"/>
      <c r="CK1098" s="1842"/>
      <c r="CL1098" s="1842"/>
      <c r="CM1098" s="1842"/>
      <c r="CN1098" s="1842"/>
      <c r="CO1098" s="1842"/>
      <c r="CP1098" s="1842"/>
      <c r="CQ1098" s="1842"/>
      <c r="CR1098" s="1842"/>
      <c r="CS1098" s="1842"/>
      <c r="CT1098" s="1842"/>
      <c r="CU1098" s="1842"/>
      <c r="CV1098" s="1842"/>
      <c r="CW1098" s="1842"/>
      <c r="CX1098" s="1842"/>
      <c r="CY1098" s="1842"/>
      <c r="CZ1098" s="1842"/>
      <c r="DA1098" s="1842"/>
      <c r="DB1098" s="1842"/>
      <c r="DC1098" s="1842"/>
      <c r="DD1098" s="1842"/>
      <c r="DE1098" s="1842"/>
      <c r="DF1098" s="1842"/>
      <c r="DG1098" s="1843"/>
    </row>
    <row r="1099" spans="54:111" ht="15" customHeight="1" x14ac:dyDescent="0.2">
      <c r="BB1099" s="26"/>
      <c r="BC1099" s="27">
        <v>4</v>
      </c>
      <c r="BD1099" s="27">
        <v>5</v>
      </c>
      <c r="BE1099" s="27">
        <v>6</v>
      </c>
      <c r="BF1099" s="27">
        <v>7</v>
      </c>
      <c r="BG1099" s="27">
        <v>8</v>
      </c>
      <c r="BH1099" s="27">
        <v>9</v>
      </c>
      <c r="BI1099" s="27">
        <v>10</v>
      </c>
      <c r="BJ1099" s="27">
        <v>11</v>
      </c>
      <c r="BK1099" s="27">
        <v>12</v>
      </c>
      <c r="BL1099" s="27">
        <v>13</v>
      </c>
      <c r="BM1099" s="27">
        <v>14</v>
      </c>
      <c r="BN1099" s="27">
        <v>15</v>
      </c>
      <c r="BO1099" s="27">
        <v>16</v>
      </c>
      <c r="BP1099" s="27">
        <v>17</v>
      </c>
      <c r="BQ1099" s="27">
        <v>18</v>
      </c>
      <c r="BR1099" s="27">
        <v>19</v>
      </c>
      <c r="BS1099" s="27">
        <v>20</v>
      </c>
      <c r="BT1099" s="27">
        <v>21</v>
      </c>
      <c r="BU1099" s="27">
        <v>22</v>
      </c>
      <c r="BV1099" s="27">
        <v>23</v>
      </c>
      <c r="BW1099" s="27">
        <v>24</v>
      </c>
      <c r="BX1099" s="27">
        <v>25</v>
      </c>
      <c r="BY1099" s="27">
        <v>26</v>
      </c>
      <c r="BZ1099" s="27">
        <v>27</v>
      </c>
      <c r="CA1099" s="27">
        <v>28</v>
      </c>
      <c r="CB1099" s="27">
        <v>29</v>
      </c>
      <c r="CC1099" s="27">
        <v>30</v>
      </c>
      <c r="CD1099" s="27">
        <v>31</v>
      </c>
      <c r="CE1099" s="27">
        <v>32</v>
      </c>
      <c r="CF1099" s="27">
        <v>33</v>
      </c>
      <c r="CG1099" s="27">
        <v>34</v>
      </c>
      <c r="CH1099" s="27">
        <v>35</v>
      </c>
      <c r="CI1099" s="27">
        <v>36</v>
      </c>
      <c r="CJ1099" s="27">
        <v>37</v>
      </c>
      <c r="CK1099" s="27">
        <v>38</v>
      </c>
      <c r="CL1099" s="27">
        <v>39</v>
      </c>
      <c r="CM1099" s="27">
        <v>40</v>
      </c>
      <c r="CN1099" s="27">
        <v>41</v>
      </c>
      <c r="CO1099" s="27">
        <v>42</v>
      </c>
      <c r="CP1099" s="27">
        <v>43</v>
      </c>
      <c r="CQ1099" s="27">
        <v>44</v>
      </c>
      <c r="CR1099" s="27">
        <v>45</v>
      </c>
      <c r="CS1099" s="27">
        <v>46</v>
      </c>
      <c r="CT1099" s="27">
        <v>47</v>
      </c>
      <c r="CU1099" s="27">
        <v>48</v>
      </c>
      <c r="CV1099" s="27">
        <v>49</v>
      </c>
      <c r="CW1099" s="27">
        <v>50</v>
      </c>
      <c r="CX1099" s="27">
        <v>51</v>
      </c>
      <c r="CY1099" s="27">
        <v>52</v>
      </c>
      <c r="CZ1099" s="27">
        <v>53</v>
      </c>
      <c r="DA1099" s="27">
        <v>54</v>
      </c>
      <c r="DB1099" s="27">
        <v>55</v>
      </c>
      <c r="DC1099" s="27">
        <v>56</v>
      </c>
      <c r="DD1099" s="27">
        <v>57</v>
      </c>
      <c r="DE1099" s="27">
        <v>58</v>
      </c>
      <c r="DF1099" s="27">
        <v>59</v>
      </c>
      <c r="DG1099" s="142">
        <v>60</v>
      </c>
    </row>
    <row r="1100" spans="54:111" ht="15" customHeight="1" x14ac:dyDescent="0.2">
      <c r="BB1100" s="28">
        <v>4</v>
      </c>
      <c r="BC1100" s="156">
        <v>2.9329999999999998</v>
      </c>
      <c r="BD1100" s="120">
        <f>(BE1100+BC1100)/2</f>
        <v>3.2629999999999999</v>
      </c>
      <c r="BE1100" s="156">
        <v>3.593</v>
      </c>
      <c r="BF1100" s="120">
        <f>(BG1100+BE1100)/2</f>
        <v>3.9144999999999999</v>
      </c>
      <c r="BG1100" s="156">
        <v>4.2359999999999998</v>
      </c>
      <c r="BH1100" s="120">
        <f>(BI1100+BG1100)/2</f>
        <v>4.5120000000000005</v>
      </c>
      <c r="BI1100" s="156">
        <v>4.7880000000000003</v>
      </c>
      <c r="BJ1100" s="120">
        <f>(BK1100+BI1100)/2</f>
        <v>5.0645000000000007</v>
      </c>
      <c r="BK1100" s="156">
        <v>5.3410000000000002</v>
      </c>
      <c r="BL1100" s="120">
        <f>(BM1100+BK1100)/2</f>
        <v>5.625</v>
      </c>
      <c r="BM1100" s="156">
        <v>5.9089999999999998</v>
      </c>
      <c r="BN1100" s="120">
        <f>(BO1100+BM1100)/2</f>
        <v>6.1630000000000003</v>
      </c>
      <c r="BO1100" s="156">
        <v>6.4169999999999998</v>
      </c>
      <c r="BP1100" s="120">
        <f>(BQ1100+BO1100)/2</f>
        <v>6.6555</v>
      </c>
      <c r="BQ1100" s="156">
        <v>6.8940000000000001</v>
      </c>
      <c r="BR1100" s="120">
        <f>(BS1100+BQ1100)/2</f>
        <v>7.1775000000000002</v>
      </c>
      <c r="BS1100" s="156">
        <v>7.4610000000000003</v>
      </c>
      <c r="BT1100" s="120">
        <f>(BU1100+BS1100)/2</f>
        <v>7.6995000000000005</v>
      </c>
      <c r="BU1100" s="156">
        <v>7.9379999999999997</v>
      </c>
      <c r="BV1100" s="120">
        <f>(BW1100+BU1100)/2</f>
        <v>8.1839999999999993</v>
      </c>
      <c r="BW1100" s="156">
        <v>8.43</v>
      </c>
      <c r="BX1100" s="120">
        <f>(BY1100+BW1100)/2</f>
        <v>8.6470000000000002</v>
      </c>
      <c r="BY1100" s="156">
        <v>8.8640000000000008</v>
      </c>
      <c r="BZ1100" s="120">
        <f>(CA1100+BY1100)/2</f>
        <v>9.1024999999999991</v>
      </c>
      <c r="CA1100" s="156">
        <v>9.3409999999999993</v>
      </c>
      <c r="CB1100" s="120">
        <f>(CC1100+CA1100)/2</f>
        <v>9.5869999999999997</v>
      </c>
      <c r="CC1100" s="156">
        <v>9.8330000000000002</v>
      </c>
      <c r="CD1100" s="120">
        <f>(CE1100+CC1100)/2</f>
        <v>10.0715</v>
      </c>
      <c r="CE1100" s="156">
        <v>10.31</v>
      </c>
      <c r="CF1100" s="120">
        <f>(CG1100+CE1100)/2</f>
        <v>10.5175</v>
      </c>
      <c r="CG1100" s="156">
        <v>10.725</v>
      </c>
      <c r="CH1100" s="120">
        <f>(CI1100+CG1100)/2</f>
        <v>10.942</v>
      </c>
      <c r="CI1100" s="156">
        <v>11.159000000000001</v>
      </c>
      <c r="CJ1100" s="120">
        <f>(CK1100+CI1100)/2</f>
        <v>11.397500000000001</v>
      </c>
      <c r="CK1100" s="156">
        <v>11.635999999999999</v>
      </c>
      <c r="CL1100" s="120">
        <f>(CM1100+CK1100)/2</f>
        <v>11.8445</v>
      </c>
      <c r="CM1100" s="156">
        <v>12.053000000000001</v>
      </c>
      <c r="CN1100" s="120">
        <f>(CO1100+CM1100)/2</f>
        <v>12.291499999999999</v>
      </c>
      <c r="CO1100" s="156">
        <v>12.53</v>
      </c>
      <c r="CP1100" s="120">
        <f>(CQ1100+CO1100)/2</f>
        <v>12.731</v>
      </c>
      <c r="CQ1100" s="156">
        <v>12.932</v>
      </c>
      <c r="CR1100" s="120">
        <f>(CS1100+CQ1100)/2</f>
        <v>13.1555</v>
      </c>
      <c r="CS1100" s="156">
        <v>13.379</v>
      </c>
      <c r="CT1100" s="120">
        <f>(CU1100+CS1100)/2</f>
        <v>13.58</v>
      </c>
      <c r="CU1100" s="156">
        <v>13.781000000000001</v>
      </c>
      <c r="CV1100" s="120">
        <f>(CW1100+CU1100)/2</f>
        <v>13.989000000000001</v>
      </c>
      <c r="CW1100" s="156">
        <v>14.196999999999999</v>
      </c>
      <c r="CX1100" s="120">
        <f>(CY1100+CW1100)/2</f>
        <v>14.435499999999999</v>
      </c>
      <c r="CY1100" s="156">
        <v>14.673999999999999</v>
      </c>
      <c r="CZ1100" s="120">
        <f>(DA1100+CY1100)/2</f>
        <v>14.874499999999999</v>
      </c>
      <c r="DA1100" s="156">
        <v>15.074999999999999</v>
      </c>
      <c r="DB1100" s="120">
        <f>(DC1100+DA1100)/2</f>
        <v>15.2615</v>
      </c>
      <c r="DC1100" s="156">
        <v>15.448</v>
      </c>
      <c r="DD1100" s="120">
        <f>(DE1100+DC1100)/2</f>
        <v>15.686500000000001</v>
      </c>
      <c r="DE1100" s="156">
        <v>15.925000000000001</v>
      </c>
      <c r="DF1100" s="120">
        <f>(DG1100+DE1100)/2</f>
        <v>16.133499999999998</v>
      </c>
      <c r="DG1100" s="157">
        <v>16.341999999999999</v>
      </c>
    </row>
    <row r="1101" spans="54:111" ht="15" customHeight="1" x14ac:dyDescent="0.2">
      <c r="BB1101" s="28">
        <v>5</v>
      </c>
      <c r="BC1101" s="121">
        <f t="array" ref="BC1101:BC1156">TRANSPOSE(BD1100:DG1100)</f>
        <v>3.2629999999999999</v>
      </c>
      <c r="BD1101" s="120">
        <f>(BC1101+BE1101)/2</f>
        <v>3.6302500000000002</v>
      </c>
      <c r="BE1101" s="120">
        <f>(BE1100+BE1102)/2</f>
        <v>3.9975000000000001</v>
      </c>
      <c r="BF1101" s="120">
        <f>(BE1101+BG1101)/2</f>
        <v>4.3460000000000001</v>
      </c>
      <c r="BG1101" s="120">
        <f>(BG1100+BG1102)/2</f>
        <v>4.6944999999999997</v>
      </c>
      <c r="BH1101" s="120">
        <f>(BG1101+BI1101)/2</f>
        <v>5.0237499999999997</v>
      </c>
      <c r="BI1101" s="120">
        <f>(BI1100+BI1102)/2</f>
        <v>5.3529999999999998</v>
      </c>
      <c r="BJ1101" s="120">
        <f>(BI1101+BK1101)/2</f>
        <v>5.641</v>
      </c>
      <c r="BK1101" s="120">
        <f>(BK1100+BK1102)/2</f>
        <v>5.9290000000000003</v>
      </c>
      <c r="BL1101" s="120">
        <f>(BK1101+BM1101)/2</f>
        <v>6.2435</v>
      </c>
      <c r="BM1101" s="120">
        <f>(BM1100+BM1102)/2</f>
        <v>6.5579999999999998</v>
      </c>
      <c r="BN1101" s="120">
        <f>(BM1101+BO1101)/2</f>
        <v>6.8492499999999996</v>
      </c>
      <c r="BO1101" s="120">
        <f>(BO1100+BO1102)/2</f>
        <v>7.1404999999999994</v>
      </c>
      <c r="BP1101" s="120">
        <f>(BO1101+BQ1101)/2</f>
        <v>7.4097499999999998</v>
      </c>
      <c r="BQ1101" s="120">
        <f>(BQ1100+BQ1102)/2</f>
        <v>7.6790000000000003</v>
      </c>
      <c r="BR1101" s="120">
        <f>(BQ1101+BS1101)/2</f>
        <v>7.9742500000000005</v>
      </c>
      <c r="BS1101" s="120">
        <f>(BS1100+BS1102)/2</f>
        <v>8.2695000000000007</v>
      </c>
      <c r="BT1101" s="120">
        <f>(BS1101+BU1101)/2</f>
        <v>8.5197500000000002</v>
      </c>
      <c r="BU1101" s="120">
        <f>(BU1100+BU1102)/2</f>
        <v>8.77</v>
      </c>
      <c r="BV1101" s="120">
        <f>(BU1101+BW1101)/2</f>
        <v>9.0462500000000006</v>
      </c>
      <c r="BW1101" s="120">
        <f>(BW1100+BW1102)/2</f>
        <v>9.3224999999999998</v>
      </c>
      <c r="BX1101" s="120">
        <f>(BW1101+BY1101)/2</f>
        <v>9.5730000000000004</v>
      </c>
      <c r="BY1101" s="120">
        <f>(BY1100+BY1102)/2</f>
        <v>9.8234999999999992</v>
      </c>
      <c r="BZ1101" s="120">
        <f>(BY1101+CA1101)/2</f>
        <v>10.096499999999999</v>
      </c>
      <c r="CA1101" s="120">
        <f>(CA1100+CA1102)/2</f>
        <v>10.369499999999999</v>
      </c>
      <c r="CB1101" s="120">
        <f>(CA1101+CC1101)/2</f>
        <v>10.626999999999999</v>
      </c>
      <c r="CC1101" s="120">
        <f>(CC1100+CC1102)/2</f>
        <v>10.884499999999999</v>
      </c>
      <c r="CD1101" s="120">
        <f>(CC1101+CE1101)/2</f>
        <v>11.13475</v>
      </c>
      <c r="CE1101" s="120">
        <f>(CE1100+CE1102)/2</f>
        <v>11.385000000000002</v>
      </c>
      <c r="CF1101" s="120">
        <f>(CE1101+CG1101)/2</f>
        <v>11.623250000000001</v>
      </c>
      <c r="CG1101" s="120">
        <f>(CG1100+CG1102)/2</f>
        <v>11.861499999999999</v>
      </c>
      <c r="CH1101" s="120">
        <f>(CG1101+CI1101)/2</f>
        <v>12.112</v>
      </c>
      <c r="CI1101" s="120">
        <f>(CI1100+CI1102)/2</f>
        <v>12.362500000000001</v>
      </c>
      <c r="CJ1101" s="120">
        <f>(CI1101+CK1101)/2</f>
        <v>12.61675</v>
      </c>
      <c r="CK1101" s="120">
        <f>(CK1100+CK1102)/2</f>
        <v>12.870999999999999</v>
      </c>
      <c r="CL1101" s="120">
        <f>(CK1101+CM1101)/2</f>
        <v>13.10975</v>
      </c>
      <c r="CM1101" s="120">
        <f>(CM1100+CM1102)/2</f>
        <v>13.348500000000001</v>
      </c>
      <c r="CN1101" s="120">
        <f>(CM1101+CO1101)/2</f>
        <v>13.598750000000001</v>
      </c>
      <c r="CO1101" s="120">
        <f>(CO1100+CO1102)/2</f>
        <v>13.849</v>
      </c>
      <c r="CP1101" s="120">
        <f>(CO1101+CQ1101)/2</f>
        <v>14.06475</v>
      </c>
      <c r="CQ1101" s="120">
        <f>(CQ1100+CQ1102)/2</f>
        <v>14.2805</v>
      </c>
      <c r="CR1101" s="120">
        <f>(CQ1101+CS1101)/2</f>
        <v>14.53425</v>
      </c>
      <c r="CS1101" s="120">
        <f>(CS1100+CS1102)/2</f>
        <v>14.788</v>
      </c>
      <c r="CT1101" s="120">
        <f>(CS1101+CU1101)/2</f>
        <v>15.0235</v>
      </c>
      <c r="CU1101" s="120">
        <f>(CU1100+CU1102)/2</f>
        <v>15.259</v>
      </c>
      <c r="CV1101" s="120">
        <f>(CU1101+CW1101)/2</f>
        <v>15.494</v>
      </c>
      <c r="CW1101" s="120">
        <f>(CW1100+CW1102)/2</f>
        <v>15.728999999999999</v>
      </c>
      <c r="CX1101" s="120">
        <f>(CW1101+CY1101)/2</f>
        <v>15.963749999999999</v>
      </c>
      <c r="CY1101" s="120">
        <f>(CY1100+CY1102)/2</f>
        <v>16.198499999999999</v>
      </c>
      <c r="CZ1101" s="120">
        <f>(CY1101+DA1101)/2</f>
        <v>16.433250000000001</v>
      </c>
      <c r="DA1101" s="120">
        <f>(DA1100+DA1102)/2</f>
        <v>16.667999999999999</v>
      </c>
      <c r="DB1101" s="120">
        <f>(DA1101+DC1101)/2</f>
        <v>16.884499999999999</v>
      </c>
      <c r="DC1101" s="120">
        <f>(DC1100+DC1102)/2</f>
        <v>17.100999999999999</v>
      </c>
      <c r="DD1101" s="120">
        <f>(DC1101+DE1101)/2</f>
        <v>17.355</v>
      </c>
      <c r="DE1101" s="120">
        <f>(DE1100+DE1102)/2</f>
        <v>17.609000000000002</v>
      </c>
      <c r="DF1101" s="120">
        <f>(DE1101+DG1101)/2</f>
        <v>17.825500000000002</v>
      </c>
      <c r="DG1101" s="122">
        <f>(DG1100+DG1102)/2</f>
        <v>18.042000000000002</v>
      </c>
    </row>
    <row r="1102" spans="54:111" ht="15" customHeight="1" x14ac:dyDescent="0.2">
      <c r="BB1102" s="28">
        <v>6</v>
      </c>
      <c r="BC1102" s="121">
        <v>3.593</v>
      </c>
      <c r="BD1102" s="121">
        <f t="array" ref="BD1102:BD1156">TRANSPOSE(BE1101:DG1101)</f>
        <v>3.9975000000000001</v>
      </c>
      <c r="BE1102" s="158">
        <v>4.4020000000000001</v>
      </c>
      <c r="BF1102" s="120">
        <f>(BG1102+BE1102)/2</f>
        <v>4.7774999999999999</v>
      </c>
      <c r="BG1102" s="158">
        <v>5.1529999999999996</v>
      </c>
      <c r="BH1102" s="120">
        <f>(BI1102+BG1102)/2</f>
        <v>5.5354999999999999</v>
      </c>
      <c r="BI1102" s="158">
        <v>5.9180000000000001</v>
      </c>
      <c r="BJ1102" s="120">
        <f>(BK1102+BI1102)/2</f>
        <v>6.2175000000000002</v>
      </c>
      <c r="BK1102" s="158">
        <v>6.5170000000000003</v>
      </c>
      <c r="BL1102" s="120">
        <f>(BM1102+BK1102)/2</f>
        <v>6.8620000000000001</v>
      </c>
      <c r="BM1102" s="158">
        <v>7.2069999999999999</v>
      </c>
      <c r="BN1102" s="120">
        <f>(BO1102+BM1102)/2</f>
        <v>7.5354999999999999</v>
      </c>
      <c r="BO1102" s="158">
        <v>7.8639999999999999</v>
      </c>
      <c r="BP1102" s="120">
        <f>(BQ1102+BO1102)/2</f>
        <v>8.1639999999999997</v>
      </c>
      <c r="BQ1102" s="158">
        <v>8.4640000000000004</v>
      </c>
      <c r="BR1102" s="120">
        <f>(BS1102+BQ1102)/2</f>
        <v>8.7710000000000008</v>
      </c>
      <c r="BS1102" s="158">
        <v>9.0779999999999994</v>
      </c>
      <c r="BT1102" s="120">
        <f>(BU1102+BS1102)/2</f>
        <v>9.34</v>
      </c>
      <c r="BU1102" s="158">
        <v>9.6020000000000003</v>
      </c>
      <c r="BV1102" s="120">
        <f>(BW1102+BU1102)/2</f>
        <v>9.9085000000000001</v>
      </c>
      <c r="BW1102" s="158">
        <v>10.215</v>
      </c>
      <c r="BX1102" s="120">
        <f>(BY1102+BW1102)/2</f>
        <v>10.498999999999999</v>
      </c>
      <c r="BY1102" s="158">
        <v>10.782999999999999</v>
      </c>
      <c r="BZ1102" s="120">
        <f>(CA1102+BY1102)/2</f>
        <v>11.090499999999999</v>
      </c>
      <c r="CA1102" s="158">
        <v>11.398</v>
      </c>
      <c r="CB1102" s="120">
        <f>(CC1102+CA1102)/2</f>
        <v>11.667</v>
      </c>
      <c r="CC1102" s="158">
        <v>11.936</v>
      </c>
      <c r="CD1102" s="120">
        <f>(CE1102+CC1102)/2</f>
        <v>12.198</v>
      </c>
      <c r="CE1102" s="158">
        <v>12.46</v>
      </c>
      <c r="CF1102" s="120">
        <f>(CG1102+CE1102)/2</f>
        <v>12.728999999999999</v>
      </c>
      <c r="CG1102" s="158">
        <v>12.997999999999999</v>
      </c>
      <c r="CH1102" s="120">
        <f>(CI1102+CG1102)/2</f>
        <v>13.282</v>
      </c>
      <c r="CI1102" s="158">
        <v>13.566000000000001</v>
      </c>
      <c r="CJ1102" s="120">
        <f>(CK1102+CI1102)/2</f>
        <v>13.836</v>
      </c>
      <c r="CK1102" s="158">
        <v>14.106</v>
      </c>
      <c r="CL1102" s="120">
        <f>(CM1102+CK1102)/2</f>
        <v>14.375</v>
      </c>
      <c r="CM1102" s="158">
        <v>14.644</v>
      </c>
      <c r="CN1102" s="120">
        <f>(CO1102+CM1102)/2</f>
        <v>14.905999999999999</v>
      </c>
      <c r="CO1102" s="158">
        <v>15.167999999999999</v>
      </c>
      <c r="CP1102" s="120">
        <f>(CQ1102+CO1102)/2</f>
        <v>15.398499999999999</v>
      </c>
      <c r="CQ1102" s="158">
        <v>15.629</v>
      </c>
      <c r="CR1102" s="120">
        <f>(CS1102+CQ1102)/2</f>
        <v>15.913</v>
      </c>
      <c r="CS1102" s="158">
        <v>16.196999999999999</v>
      </c>
      <c r="CT1102" s="120">
        <f>(CU1102+CS1102)/2</f>
        <v>16.466999999999999</v>
      </c>
      <c r="CU1102" s="158">
        <v>16.736999999999998</v>
      </c>
      <c r="CV1102" s="120">
        <f>(CW1102+CU1102)/2</f>
        <v>16.998999999999999</v>
      </c>
      <c r="CW1102" s="158">
        <v>17.260999999999999</v>
      </c>
      <c r="CX1102" s="120">
        <f>(CY1102+CW1102)/2</f>
        <v>17.491999999999997</v>
      </c>
      <c r="CY1102" s="158">
        <v>17.722999999999999</v>
      </c>
      <c r="CZ1102" s="120">
        <f>(DA1102+CY1102)/2</f>
        <v>17.991999999999997</v>
      </c>
      <c r="DA1102" s="158">
        <v>18.260999999999999</v>
      </c>
      <c r="DB1102" s="120">
        <f>(DC1102+DA1102)/2</f>
        <v>18.5075</v>
      </c>
      <c r="DC1102" s="158">
        <v>18.754000000000001</v>
      </c>
      <c r="DD1102" s="120">
        <f>(DE1102+DC1102)/2</f>
        <v>19.023499999999999</v>
      </c>
      <c r="DE1102" s="158">
        <v>19.292999999999999</v>
      </c>
      <c r="DF1102" s="120">
        <f>(DG1102+DE1102)/2</f>
        <v>19.517499999999998</v>
      </c>
      <c r="DG1102" s="159">
        <v>19.742000000000001</v>
      </c>
    </row>
    <row r="1103" spans="54:111" ht="15" customHeight="1" x14ac:dyDescent="0.2">
      <c r="BB1103" s="28">
        <v>7</v>
      </c>
      <c r="BC1103" s="121">
        <v>3.9144999999999999</v>
      </c>
      <c r="BD1103" s="121">
        <v>4.3460000000000001</v>
      </c>
      <c r="BE1103" s="121">
        <f t="array" ref="BE1103:BE1156">TRANSPOSE(BF1102:DG1102)</f>
        <v>4.7774999999999999</v>
      </c>
      <c r="BF1103" s="120">
        <f>(BE1103+BG1103)/2</f>
        <v>5.18675</v>
      </c>
      <c r="BG1103" s="120">
        <f>(BG1102+BG1104)/2</f>
        <v>5.5960000000000001</v>
      </c>
      <c r="BH1103" s="120">
        <f>(BG1103+BI1103)/2</f>
        <v>6.0012499999999998</v>
      </c>
      <c r="BI1103" s="120">
        <f>(BI1102+BI1104)/2</f>
        <v>6.4064999999999994</v>
      </c>
      <c r="BJ1103" s="120">
        <f>(BI1103+BK1103)/2</f>
        <v>6.7515000000000001</v>
      </c>
      <c r="BK1103" s="120">
        <f>(BK1102+BK1104)/2</f>
        <v>7.0965000000000007</v>
      </c>
      <c r="BL1103" s="120">
        <f>(BK1103+BM1103)/2</f>
        <v>7.4492500000000001</v>
      </c>
      <c r="BM1103" s="120">
        <f>(BM1102+BM1104)/2</f>
        <v>7.8019999999999996</v>
      </c>
      <c r="BN1103" s="120">
        <f>(BM1103+BO1103)/2</f>
        <v>8.1615000000000002</v>
      </c>
      <c r="BO1103" s="120">
        <f>(BO1102+BO1104)/2</f>
        <v>8.5210000000000008</v>
      </c>
      <c r="BP1103" s="120">
        <f>(BO1103+BQ1103)/2</f>
        <v>8.8360000000000003</v>
      </c>
      <c r="BQ1103" s="120">
        <f>(BQ1102+BQ1104)/2</f>
        <v>9.1509999999999998</v>
      </c>
      <c r="BR1103" s="120">
        <f>(BQ1103+BS1103)/2</f>
        <v>9.4809999999999999</v>
      </c>
      <c r="BS1103" s="120">
        <f>(BS1102+BS1104)/2</f>
        <v>9.8109999999999999</v>
      </c>
      <c r="BT1103" s="120">
        <f>(BS1103+BU1103)/2</f>
        <v>10.1145</v>
      </c>
      <c r="BU1103" s="120">
        <f>(BU1102+BU1104)/2</f>
        <v>10.417999999999999</v>
      </c>
      <c r="BV1103" s="120">
        <f>(BU1103+BW1103)/2</f>
        <v>10.73625</v>
      </c>
      <c r="BW1103" s="120">
        <f>(BW1102+BW1104)/2</f>
        <v>11.054500000000001</v>
      </c>
      <c r="BX1103" s="120">
        <f>(BW1103+BY1103)/2</f>
        <v>11.37275</v>
      </c>
      <c r="BY1103" s="120">
        <f>(BY1102+BY1104)/2</f>
        <v>11.690999999999999</v>
      </c>
      <c r="BZ1103" s="120">
        <f>(BY1103+CA1103)/2</f>
        <v>11.991</v>
      </c>
      <c r="CA1103" s="120">
        <f>(CA1102+CA1104)/2</f>
        <v>12.291</v>
      </c>
      <c r="CB1103" s="120">
        <f>(CA1103+CC1103)/2</f>
        <v>12.601749999999999</v>
      </c>
      <c r="CC1103" s="120">
        <f>(CC1102+CC1104)/2</f>
        <v>12.9125</v>
      </c>
      <c r="CD1103" s="120">
        <f>(CC1103+CE1103)/2</f>
        <v>13.19725</v>
      </c>
      <c r="CE1103" s="120">
        <f>(CE1102+CE1104)/2</f>
        <v>13.481999999999999</v>
      </c>
      <c r="CF1103" s="120">
        <f>(CE1103+CG1103)/2</f>
        <v>13.78125</v>
      </c>
      <c r="CG1103" s="120">
        <f>(CG1102+CG1104)/2</f>
        <v>14.080500000000001</v>
      </c>
      <c r="CH1103" s="120">
        <f>(CG1103+CI1103)/2</f>
        <v>14.38025</v>
      </c>
      <c r="CI1103" s="120">
        <f>(CI1102+CI1104)/2</f>
        <v>14.68</v>
      </c>
      <c r="CJ1103" s="120">
        <f>(CI1103+CK1103)/2</f>
        <v>14.96125</v>
      </c>
      <c r="CK1103" s="120">
        <f>(CK1102+CK1104)/2</f>
        <v>15.2425</v>
      </c>
      <c r="CL1103" s="120">
        <f>(CK1103+CM1103)/2</f>
        <v>15.5305</v>
      </c>
      <c r="CM1103" s="120">
        <f>(CM1102+CM1104)/2</f>
        <v>15.8185</v>
      </c>
      <c r="CN1103" s="120">
        <f>(CM1103+CO1103)/2</f>
        <v>16.106749999999998</v>
      </c>
      <c r="CO1103" s="120">
        <f>(CO1102+CO1104)/2</f>
        <v>16.395</v>
      </c>
      <c r="CP1103" s="120">
        <f>(CO1103+CQ1103)/2</f>
        <v>16.656749999999999</v>
      </c>
      <c r="CQ1103" s="120">
        <f>(CQ1102+CQ1104)/2</f>
        <v>16.918499999999998</v>
      </c>
      <c r="CR1103" s="120">
        <f>(CQ1103+CS1103)/2</f>
        <v>17.217500000000001</v>
      </c>
      <c r="CS1103" s="120">
        <f>(CS1102+CS1104)/2</f>
        <v>17.516500000000001</v>
      </c>
      <c r="CT1103" s="120">
        <f>(CS1103+CU1103)/2</f>
        <v>17.794249999999998</v>
      </c>
      <c r="CU1103" s="120">
        <f>(CU1102+CU1104)/2</f>
        <v>18.071999999999999</v>
      </c>
      <c r="CV1103" s="120">
        <f>(CU1103+CW1103)/2</f>
        <v>18.360250000000001</v>
      </c>
      <c r="CW1103" s="120">
        <f>(CW1102+CW1104)/2</f>
        <v>18.648499999999999</v>
      </c>
      <c r="CX1103" s="120">
        <f>(CW1103+CY1103)/2</f>
        <v>18.921250000000001</v>
      </c>
      <c r="CY1103" s="120">
        <f>(CY1102+CY1104)/2</f>
        <v>19.193999999999999</v>
      </c>
      <c r="CZ1103" s="120">
        <f>(CY1103+DA1103)/2</f>
        <v>19.47475</v>
      </c>
      <c r="DA1103" s="120">
        <f>(DA1102+DA1104)/2</f>
        <v>19.755499999999998</v>
      </c>
      <c r="DB1103" s="120">
        <f>(DA1103+DC1103)/2</f>
        <v>20.036249999999999</v>
      </c>
      <c r="DC1103" s="120">
        <f>(DC1102+DC1104)/2</f>
        <v>20.317</v>
      </c>
      <c r="DD1103" s="120">
        <f>(DC1103+DE1103)/2</f>
        <v>20.57525</v>
      </c>
      <c r="DE1103" s="120">
        <f>(DE1102+DE1104)/2</f>
        <v>20.833500000000001</v>
      </c>
      <c r="DF1103" s="120">
        <f>(DE1103+DG1103)/2</f>
        <v>21.103250000000003</v>
      </c>
      <c r="DG1103" s="122">
        <f>(DG1102+DG1104)/2</f>
        <v>21.373000000000001</v>
      </c>
    </row>
    <row r="1104" spans="54:111" ht="15" customHeight="1" x14ac:dyDescent="0.2">
      <c r="BB1104" s="28">
        <v>8</v>
      </c>
      <c r="BC1104" s="121">
        <v>4.2359999999999998</v>
      </c>
      <c r="BD1104" s="121">
        <v>4.6944999999999997</v>
      </c>
      <c r="BE1104" s="121">
        <v>5.1529999999999996</v>
      </c>
      <c r="BF1104" s="121">
        <f t="array" ref="BF1104:BF1156">TRANSPOSE(BG1103:DG1103)</f>
        <v>5.5960000000000001</v>
      </c>
      <c r="BG1104" s="158">
        <v>6.0389999999999997</v>
      </c>
      <c r="BH1104" s="120">
        <f>(BI1104+BG1104)/2</f>
        <v>6.4669999999999996</v>
      </c>
      <c r="BI1104" s="158">
        <v>6.8949999999999996</v>
      </c>
      <c r="BJ1104" s="120">
        <f>(BK1104+BI1104)/2</f>
        <v>7.2854999999999999</v>
      </c>
      <c r="BK1104" s="158">
        <v>7.6760000000000002</v>
      </c>
      <c r="BL1104" s="120">
        <f>(BM1104+BK1104)/2</f>
        <v>8.0365000000000002</v>
      </c>
      <c r="BM1104" s="158">
        <v>8.3970000000000002</v>
      </c>
      <c r="BN1104" s="120">
        <f>(BO1104+BM1104)/2</f>
        <v>8.7875000000000014</v>
      </c>
      <c r="BO1104" s="158">
        <v>9.1780000000000008</v>
      </c>
      <c r="BP1104" s="120">
        <f>(BQ1104+BO1104)/2</f>
        <v>9.5079999999999991</v>
      </c>
      <c r="BQ1104" s="158">
        <v>9.8379999999999992</v>
      </c>
      <c r="BR1104" s="120">
        <f>(BS1104+BQ1104)/2</f>
        <v>10.190999999999999</v>
      </c>
      <c r="BS1104" s="158">
        <v>10.544</v>
      </c>
      <c r="BT1104" s="120">
        <f>(BU1104+BS1104)/2</f>
        <v>10.888999999999999</v>
      </c>
      <c r="BU1104" s="158">
        <v>11.234</v>
      </c>
      <c r="BV1104" s="120">
        <f>(BW1104+BU1104)/2</f>
        <v>11.564</v>
      </c>
      <c r="BW1104" s="158">
        <v>11.894</v>
      </c>
      <c r="BX1104" s="120">
        <f>(BY1104+BW1104)/2</f>
        <v>12.246500000000001</v>
      </c>
      <c r="BY1104" s="158">
        <v>12.599</v>
      </c>
      <c r="BZ1104" s="120">
        <f>(CA1104+BY1104)/2</f>
        <v>12.891500000000001</v>
      </c>
      <c r="CA1104" s="158">
        <v>13.183999999999999</v>
      </c>
      <c r="CB1104" s="120">
        <f>(CC1104+CA1104)/2</f>
        <v>13.5365</v>
      </c>
      <c r="CC1104" s="158">
        <v>13.888999999999999</v>
      </c>
      <c r="CD1104" s="120">
        <f>(CE1104+CC1104)/2</f>
        <v>14.1965</v>
      </c>
      <c r="CE1104" s="158">
        <v>14.504</v>
      </c>
      <c r="CF1104" s="120">
        <f>(CG1104+CE1104)/2</f>
        <v>14.833500000000001</v>
      </c>
      <c r="CG1104" s="158">
        <v>15.163</v>
      </c>
      <c r="CH1104" s="120">
        <f>(CI1104+CG1104)/2</f>
        <v>15.4785</v>
      </c>
      <c r="CI1104" s="158">
        <v>15.794</v>
      </c>
      <c r="CJ1104" s="120">
        <f>(CK1104+CI1104)/2</f>
        <v>16.086500000000001</v>
      </c>
      <c r="CK1104" s="158">
        <v>16.379000000000001</v>
      </c>
      <c r="CL1104" s="120">
        <f>(CM1104+CK1104)/2</f>
        <v>16.686</v>
      </c>
      <c r="CM1104" s="158">
        <v>16.992999999999999</v>
      </c>
      <c r="CN1104" s="120">
        <f>(CO1104+CM1104)/2</f>
        <v>17.307499999999997</v>
      </c>
      <c r="CO1104" s="158">
        <v>17.622</v>
      </c>
      <c r="CP1104" s="120">
        <f>(CQ1104+CO1104)/2</f>
        <v>17.914999999999999</v>
      </c>
      <c r="CQ1104" s="158">
        <v>18.207999999999998</v>
      </c>
      <c r="CR1104" s="120">
        <f>(CS1104+CQ1104)/2</f>
        <v>18.521999999999998</v>
      </c>
      <c r="CS1104" s="158">
        <v>18.835999999999999</v>
      </c>
      <c r="CT1104" s="120">
        <f>(CU1104+CS1104)/2</f>
        <v>19.121499999999997</v>
      </c>
      <c r="CU1104" s="158">
        <v>19.407</v>
      </c>
      <c r="CV1104" s="120">
        <f>(CW1104+CU1104)/2</f>
        <v>19.721499999999999</v>
      </c>
      <c r="CW1104" s="158">
        <v>20.036000000000001</v>
      </c>
      <c r="CX1104" s="120">
        <f>(CY1104+CW1104)/2</f>
        <v>20.3505</v>
      </c>
      <c r="CY1104" s="158">
        <v>20.664999999999999</v>
      </c>
      <c r="CZ1104" s="120">
        <f>(DA1104+CY1104)/2</f>
        <v>20.9575</v>
      </c>
      <c r="DA1104" s="158">
        <v>21.25</v>
      </c>
      <c r="DB1104" s="120">
        <f>(DC1104+DA1104)/2</f>
        <v>21.564999999999998</v>
      </c>
      <c r="DC1104" s="158">
        <v>21.88</v>
      </c>
      <c r="DD1104" s="120">
        <f>(DE1104+DC1104)/2</f>
        <v>22.126999999999999</v>
      </c>
      <c r="DE1104" s="158">
        <v>22.373999999999999</v>
      </c>
      <c r="DF1104" s="120">
        <f>(DG1104+DE1104)/2</f>
        <v>22.689</v>
      </c>
      <c r="DG1104" s="159">
        <v>23.004000000000001</v>
      </c>
    </row>
    <row r="1105" spans="54:111" ht="15" customHeight="1" x14ac:dyDescent="0.2">
      <c r="BB1105" s="28">
        <v>9</v>
      </c>
      <c r="BC1105" s="121">
        <v>4.5120000000000005</v>
      </c>
      <c r="BD1105" s="121">
        <v>5.0237499999999997</v>
      </c>
      <c r="BE1105" s="121">
        <v>5.5354999999999999</v>
      </c>
      <c r="BF1105" s="121">
        <v>6.0012499999999998</v>
      </c>
      <c r="BG1105" s="121">
        <f t="array" ref="BG1105:BG1156">TRANSPOSE(BH1104:DG1104)</f>
        <v>6.4669999999999996</v>
      </c>
      <c r="BH1105" s="120">
        <f>(BG1105+BI1105)/2</f>
        <v>6.907</v>
      </c>
      <c r="BI1105" s="120">
        <f>(BI1104+BI1106)/2</f>
        <v>7.3469999999999995</v>
      </c>
      <c r="BJ1105" s="120">
        <f>(BI1105+BK1105)/2</f>
        <v>7.7677500000000004</v>
      </c>
      <c r="BK1105" s="120">
        <f>(BK1104+BK1106)/2</f>
        <v>8.1885000000000012</v>
      </c>
      <c r="BL1105" s="120">
        <f>(BK1105+BM1105)/2</f>
        <v>8.5752500000000005</v>
      </c>
      <c r="BM1105" s="120">
        <f>(BM1104+BM1106)/2</f>
        <v>8.9619999999999997</v>
      </c>
      <c r="BN1105" s="120">
        <f>(BM1105+BO1105)/2</f>
        <v>9.3642500000000002</v>
      </c>
      <c r="BO1105" s="120">
        <f>(BO1104+BO1106)/2</f>
        <v>9.7665000000000006</v>
      </c>
      <c r="BP1105" s="120">
        <f>(BO1105+BQ1105)/2</f>
        <v>10.138</v>
      </c>
      <c r="BQ1105" s="120">
        <f>(BQ1104+BQ1106)/2</f>
        <v>10.509499999999999</v>
      </c>
      <c r="BR1105" s="120">
        <f>(BQ1105+BS1105)/2</f>
        <v>10.873999999999999</v>
      </c>
      <c r="BS1105" s="120">
        <f>(BS1104+BS1106)/2</f>
        <v>11.2385</v>
      </c>
      <c r="BT1105" s="120">
        <f>(BS1105+BU1105)/2</f>
        <v>11.617750000000001</v>
      </c>
      <c r="BU1105" s="120">
        <f>(BU1104+BU1106)/2</f>
        <v>11.997</v>
      </c>
      <c r="BV1105" s="120">
        <f>(BU1105+BW1105)/2</f>
        <v>12.35</v>
      </c>
      <c r="BW1105" s="120">
        <f>(BW1104+BW1106)/2</f>
        <v>12.702999999999999</v>
      </c>
      <c r="BX1105" s="120">
        <f>(BW1105+BY1105)/2</f>
        <v>13.06325</v>
      </c>
      <c r="BY1105" s="120">
        <f>(BY1104+BY1106)/2</f>
        <v>13.423500000000001</v>
      </c>
      <c r="BZ1105" s="120">
        <f>(BY1105+CA1105)/2</f>
        <v>13.7575</v>
      </c>
      <c r="CA1105" s="120">
        <f>(CA1104+CA1106)/2</f>
        <v>14.0915</v>
      </c>
      <c r="CB1105" s="120">
        <f>(CA1105+CC1105)/2</f>
        <v>14.456</v>
      </c>
      <c r="CC1105" s="120">
        <f>(CC1104+CC1106)/2</f>
        <v>14.820499999999999</v>
      </c>
      <c r="CD1105" s="120">
        <f>(CC1105+CE1105)/2</f>
        <v>15.142999999999999</v>
      </c>
      <c r="CE1105" s="120">
        <f>(CE1104+CE1106)/2</f>
        <v>15.465499999999999</v>
      </c>
      <c r="CF1105" s="120">
        <f>(CE1105+CG1105)/2</f>
        <v>15.818</v>
      </c>
      <c r="CG1105" s="120">
        <f>(CG1104+CG1106)/2</f>
        <v>16.170500000000001</v>
      </c>
      <c r="CH1105" s="120">
        <f>(CG1105+CI1105)/2</f>
        <v>16.497500000000002</v>
      </c>
      <c r="CI1105" s="120">
        <f>(CI1104+CI1106)/2</f>
        <v>16.8245</v>
      </c>
      <c r="CJ1105" s="120">
        <f>(CI1105+CK1105)/2</f>
        <v>17.1585</v>
      </c>
      <c r="CK1105" s="120">
        <f>(CK1104+CK1106)/2</f>
        <v>17.4925</v>
      </c>
      <c r="CL1105" s="120">
        <f>(CK1105+CM1105)/2</f>
        <v>17.81475</v>
      </c>
      <c r="CM1105" s="120">
        <f>(CM1104+CM1106)/2</f>
        <v>18.137</v>
      </c>
      <c r="CN1105" s="120">
        <f>(CM1105+CO1105)/2</f>
        <v>18.463250000000002</v>
      </c>
      <c r="CO1105" s="120">
        <f>(CO1104+CO1106)/2</f>
        <v>18.7895</v>
      </c>
      <c r="CP1105" s="120">
        <f>(CO1105+CQ1105)/2</f>
        <v>19.124000000000002</v>
      </c>
      <c r="CQ1105" s="120">
        <f>(CQ1104+CQ1106)/2</f>
        <v>19.458500000000001</v>
      </c>
      <c r="CR1105" s="120">
        <f>(CQ1105+CS1105)/2</f>
        <v>19.78425</v>
      </c>
      <c r="CS1105" s="120">
        <f>(CS1104+CS1106)/2</f>
        <v>20.11</v>
      </c>
      <c r="CT1105" s="120">
        <f>(CS1105+CU1105)/2</f>
        <v>20.422000000000001</v>
      </c>
      <c r="CU1105" s="120">
        <f>(CU1104+CU1106)/2</f>
        <v>20.734000000000002</v>
      </c>
      <c r="CV1105" s="120">
        <f>(CU1105+CW1105)/2</f>
        <v>21.060000000000002</v>
      </c>
      <c r="CW1105" s="120">
        <f>(CW1104+CW1106)/2</f>
        <v>21.386000000000003</v>
      </c>
      <c r="CX1105" s="120">
        <f>(CW1105+CY1105)/2</f>
        <v>21.712250000000001</v>
      </c>
      <c r="CY1105" s="120">
        <f>(CY1104+CY1106)/2</f>
        <v>22.038499999999999</v>
      </c>
      <c r="CZ1105" s="120">
        <f>(CY1105+DA1105)/2</f>
        <v>22.353999999999999</v>
      </c>
      <c r="DA1105" s="120">
        <f>(DA1104+DA1106)/2</f>
        <v>22.669499999999999</v>
      </c>
      <c r="DB1105" s="120">
        <f>(DA1105+DC1105)/2</f>
        <v>22.995750000000001</v>
      </c>
      <c r="DC1105" s="120">
        <f>(DC1104+DC1106)/2</f>
        <v>23.321999999999999</v>
      </c>
      <c r="DD1105" s="120">
        <f>(DC1105+DE1105)/2</f>
        <v>23.6145</v>
      </c>
      <c r="DE1105" s="120">
        <f>(DE1104+DE1106)/2</f>
        <v>23.907</v>
      </c>
      <c r="DF1105" s="120">
        <f>(DE1105+DG1105)/2</f>
        <v>24.233499999999999</v>
      </c>
      <c r="DG1105" s="122">
        <f>(DG1104+DG1106)/2</f>
        <v>24.560000000000002</v>
      </c>
    </row>
    <row r="1106" spans="54:111" ht="15" customHeight="1" x14ac:dyDescent="0.2">
      <c r="BB1106" s="28">
        <v>10</v>
      </c>
      <c r="BC1106" s="121">
        <v>4.7880000000000003</v>
      </c>
      <c r="BD1106" s="121">
        <v>5.3529999999999998</v>
      </c>
      <c r="BE1106" s="121">
        <v>5.9180000000000001</v>
      </c>
      <c r="BF1106" s="121">
        <v>6.4064999999999994</v>
      </c>
      <c r="BG1106" s="121">
        <v>6.8949999999999996</v>
      </c>
      <c r="BH1106" s="121">
        <f t="array" ref="BH1106:BH1156">TRANSPOSE(BI1105:DG1105)</f>
        <v>7.3469999999999995</v>
      </c>
      <c r="BI1106" s="158">
        <v>7.7990000000000004</v>
      </c>
      <c r="BJ1106" s="120">
        <f>(BK1106+BI1106)/2</f>
        <v>8.25</v>
      </c>
      <c r="BK1106" s="158">
        <v>8.7010000000000005</v>
      </c>
      <c r="BL1106" s="120">
        <f>(BM1106+BK1106)/2</f>
        <v>9.1140000000000008</v>
      </c>
      <c r="BM1106" s="158">
        <v>9.5269999999999992</v>
      </c>
      <c r="BN1106" s="120">
        <f>(BO1106+BM1106)/2</f>
        <v>9.9409999999999989</v>
      </c>
      <c r="BO1106" s="158">
        <v>10.355</v>
      </c>
      <c r="BP1106" s="120">
        <f>(BQ1106+BO1106)/2</f>
        <v>10.768000000000001</v>
      </c>
      <c r="BQ1106" s="158">
        <v>11.180999999999999</v>
      </c>
      <c r="BR1106" s="120">
        <f>(BS1106+BQ1106)/2</f>
        <v>11.556999999999999</v>
      </c>
      <c r="BS1106" s="158">
        <v>11.933</v>
      </c>
      <c r="BT1106" s="120">
        <f>(BU1106+BS1106)/2</f>
        <v>12.346499999999999</v>
      </c>
      <c r="BU1106" s="158">
        <v>12.76</v>
      </c>
      <c r="BV1106" s="120">
        <f>(BW1106+BU1106)/2</f>
        <v>13.135999999999999</v>
      </c>
      <c r="BW1106" s="158">
        <v>13.512</v>
      </c>
      <c r="BX1106" s="120">
        <f>(BY1106+BW1106)/2</f>
        <v>13.879999999999999</v>
      </c>
      <c r="BY1106" s="158">
        <v>14.247999999999999</v>
      </c>
      <c r="BZ1106" s="120">
        <f>(CA1106+BY1106)/2</f>
        <v>14.6235</v>
      </c>
      <c r="CA1106" s="158">
        <v>14.999000000000001</v>
      </c>
      <c r="CB1106" s="120">
        <f>(CC1106+CA1106)/2</f>
        <v>15.375500000000001</v>
      </c>
      <c r="CC1106" s="158">
        <v>15.752000000000001</v>
      </c>
      <c r="CD1106" s="120">
        <f>(CE1106+CC1106)/2</f>
        <v>16.089500000000001</v>
      </c>
      <c r="CE1106" s="158">
        <v>16.427</v>
      </c>
      <c r="CF1106" s="120">
        <f>(CG1106+CE1106)/2</f>
        <v>16.802500000000002</v>
      </c>
      <c r="CG1106" s="158">
        <v>17.178000000000001</v>
      </c>
      <c r="CH1106" s="120">
        <f>(CI1106+CG1106)/2</f>
        <v>17.516500000000001</v>
      </c>
      <c r="CI1106" s="158">
        <v>17.855</v>
      </c>
      <c r="CJ1106" s="120">
        <f>(CK1106+CI1106)/2</f>
        <v>18.230499999999999</v>
      </c>
      <c r="CK1106" s="158">
        <v>18.606000000000002</v>
      </c>
      <c r="CL1106" s="120">
        <f>(CM1106+CK1106)/2</f>
        <v>18.9435</v>
      </c>
      <c r="CM1106" s="158">
        <v>19.280999999999999</v>
      </c>
      <c r="CN1106" s="120">
        <f>(CO1106+CM1106)/2</f>
        <v>19.619</v>
      </c>
      <c r="CO1106" s="158">
        <v>19.957000000000001</v>
      </c>
      <c r="CP1106" s="120">
        <f>(CQ1106+CO1106)/2</f>
        <v>20.332999999999998</v>
      </c>
      <c r="CQ1106" s="158">
        <v>20.709</v>
      </c>
      <c r="CR1106" s="120">
        <f>(CS1106+CQ1106)/2</f>
        <v>21.046500000000002</v>
      </c>
      <c r="CS1106" s="158">
        <v>21.384</v>
      </c>
      <c r="CT1106" s="120">
        <f>(CU1106+CS1106)/2</f>
        <v>21.7225</v>
      </c>
      <c r="CU1106" s="158">
        <v>22.061</v>
      </c>
      <c r="CV1106" s="120">
        <f>(CW1106+CU1106)/2</f>
        <v>22.398499999999999</v>
      </c>
      <c r="CW1106" s="158">
        <v>22.736000000000001</v>
      </c>
      <c r="CX1106" s="120">
        <f>(CY1106+CW1106)/2</f>
        <v>23.073999999999998</v>
      </c>
      <c r="CY1106" s="158">
        <v>23.411999999999999</v>
      </c>
      <c r="CZ1106" s="120">
        <f>(DA1106+CY1106)/2</f>
        <v>23.750499999999999</v>
      </c>
      <c r="DA1106" s="158">
        <v>24.088999999999999</v>
      </c>
      <c r="DB1106" s="120">
        <f>(DC1106+DA1106)/2</f>
        <v>24.426499999999997</v>
      </c>
      <c r="DC1106" s="158">
        <v>24.763999999999999</v>
      </c>
      <c r="DD1106" s="120">
        <f>(DE1106+DC1106)/2</f>
        <v>25.102</v>
      </c>
      <c r="DE1106" s="158">
        <v>25.44</v>
      </c>
      <c r="DF1106" s="120">
        <f>(DG1106+DE1106)/2</f>
        <v>25.777999999999999</v>
      </c>
      <c r="DG1106" s="159">
        <v>26.116</v>
      </c>
    </row>
    <row r="1107" spans="54:111" ht="15" customHeight="1" x14ac:dyDescent="0.2">
      <c r="BB1107" s="28">
        <v>11</v>
      </c>
      <c r="BC1107" s="121">
        <v>5.0645000000000007</v>
      </c>
      <c r="BD1107" s="121">
        <v>5.641</v>
      </c>
      <c r="BE1107" s="121">
        <v>6.2175000000000002</v>
      </c>
      <c r="BF1107" s="121">
        <v>6.7515000000000001</v>
      </c>
      <c r="BG1107" s="121">
        <v>7.2854999999999999</v>
      </c>
      <c r="BH1107" s="121">
        <v>7.7677500000000004</v>
      </c>
      <c r="BI1107" s="121">
        <f t="array" ref="BI1107:BI1156">TRANSPOSE(BJ1106:DG1106)</f>
        <v>8.25</v>
      </c>
      <c r="BJ1107" s="120">
        <f>(BI1107+BK1107)/2</f>
        <v>8.7125000000000004</v>
      </c>
      <c r="BK1107" s="120">
        <f>(BK1106+BK1108)/2</f>
        <v>9.1750000000000007</v>
      </c>
      <c r="BL1107" s="120">
        <f>(BK1107+BM1107)/2</f>
        <v>9.6300000000000008</v>
      </c>
      <c r="BM1107" s="120">
        <f>(BM1106+BM1108)/2</f>
        <v>10.085000000000001</v>
      </c>
      <c r="BN1107" s="120">
        <f>(BM1107+BO1107)/2</f>
        <v>10.5105</v>
      </c>
      <c r="BO1107" s="120">
        <f>(BO1106+BO1108)/2</f>
        <v>10.936</v>
      </c>
      <c r="BP1107" s="120">
        <f>(BO1107+BQ1107)/2</f>
        <v>11.371749999999999</v>
      </c>
      <c r="BQ1107" s="120">
        <f>(BQ1106+BQ1108)/2</f>
        <v>11.807499999999999</v>
      </c>
      <c r="BR1107" s="120">
        <f>(BQ1107+BS1107)/2</f>
        <v>12.217749999999999</v>
      </c>
      <c r="BS1107" s="120">
        <f>(BS1106+BS1108)/2</f>
        <v>12.628</v>
      </c>
      <c r="BT1107" s="120">
        <f>(BS1107+BU1107)/2</f>
        <v>13.033999999999999</v>
      </c>
      <c r="BU1107" s="120">
        <f>(BU1106+BU1108)/2</f>
        <v>13.44</v>
      </c>
      <c r="BV1107" s="120">
        <f>(BU1107+BW1107)/2</f>
        <v>13.857749999999999</v>
      </c>
      <c r="BW1107" s="120">
        <f>(BW1106+BW1108)/2</f>
        <v>14.275500000000001</v>
      </c>
      <c r="BX1107" s="120">
        <f>(BW1107+BY1107)/2</f>
        <v>14.658750000000001</v>
      </c>
      <c r="BY1107" s="120">
        <f>(BY1106+BY1108)/2</f>
        <v>15.042</v>
      </c>
      <c r="BZ1107" s="120">
        <f>(BY1107+CA1107)/2</f>
        <v>15.4405</v>
      </c>
      <c r="CA1107" s="120">
        <f>(CA1106+CA1108)/2</f>
        <v>15.838999999999999</v>
      </c>
      <c r="CB1107" s="120">
        <f>(CA1107+CC1107)/2</f>
        <v>16.227</v>
      </c>
      <c r="CC1107" s="120">
        <f>(CC1106+CC1108)/2</f>
        <v>16.615000000000002</v>
      </c>
      <c r="CD1107" s="120">
        <f>(CC1107+CE1107)/2</f>
        <v>16.983000000000001</v>
      </c>
      <c r="CE1107" s="120">
        <f>(CE1106+CE1108)/2</f>
        <v>17.350999999999999</v>
      </c>
      <c r="CF1107" s="120">
        <f>(CE1107+CG1107)/2</f>
        <v>17.753</v>
      </c>
      <c r="CG1107" s="120">
        <f>(CG1106+CG1108)/2</f>
        <v>18.155000000000001</v>
      </c>
      <c r="CH1107" s="120">
        <f>(CG1107+CI1107)/2</f>
        <v>18.523499999999999</v>
      </c>
      <c r="CI1107" s="120">
        <f>(CI1106+CI1108)/2</f>
        <v>18.891999999999999</v>
      </c>
      <c r="CJ1107" s="120">
        <f>(CI1107+CK1107)/2</f>
        <v>19.271749999999997</v>
      </c>
      <c r="CK1107" s="120">
        <f>(CK1106+CK1108)/2</f>
        <v>19.651499999999999</v>
      </c>
      <c r="CL1107" s="120">
        <f>(CK1107+CM1107)/2</f>
        <v>20.019749999999998</v>
      </c>
      <c r="CM1107" s="120">
        <f>(CM1106+CM1108)/2</f>
        <v>20.387999999999998</v>
      </c>
      <c r="CN1107" s="120">
        <f>(CM1107+CO1107)/2</f>
        <v>20.737499999999997</v>
      </c>
      <c r="CO1107" s="120">
        <f>(CO1106+CO1108)/2</f>
        <v>21.087</v>
      </c>
      <c r="CP1107" s="120">
        <f>(CO1107+CQ1107)/2</f>
        <v>21.485749999999999</v>
      </c>
      <c r="CQ1107" s="120">
        <f>(CQ1106+CQ1108)/2</f>
        <v>21.884499999999999</v>
      </c>
      <c r="CR1107" s="120">
        <f>(CQ1107+CS1107)/2</f>
        <v>22.233750000000001</v>
      </c>
      <c r="CS1107" s="120">
        <f>(CS1106+CS1108)/2</f>
        <v>22.582999999999998</v>
      </c>
      <c r="CT1107" s="120">
        <f>(CS1107+CU1107)/2</f>
        <v>22.966249999999999</v>
      </c>
      <c r="CU1107" s="120">
        <f>(CU1106+CU1108)/2</f>
        <v>23.349499999999999</v>
      </c>
      <c r="CV1107" s="120">
        <f>(CU1107+CW1107)/2</f>
        <v>23.699249999999999</v>
      </c>
      <c r="CW1107" s="120">
        <f>(CW1106+CW1108)/2</f>
        <v>24.048999999999999</v>
      </c>
      <c r="CX1107" s="120">
        <f>(CW1107+CY1107)/2</f>
        <v>24.398499999999999</v>
      </c>
      <c r="CY1107" s="120">
        <f>(CY1106+CY1108)/2</f>
        <v>24.747999999999998</v>
      </c>
      <c r="CZ1107" s="120">
        <f>(CY1107+DA1107)/2</f>
        <v>25.108999999999998</v>
      </c>
      <c r="DA1107" s="120">
        <f>(DA1106+DA1108)/2</f>
        <v>25.47</v>
      </c>
      <c r="DB1107" s="120">
        <f>(DA1107+DC1107)/2</f>
        <v>25.81925</v>
      </c>
      <c r="DC1107" s="120">
        <f>(DC1106+DC1108)/2</f>
        <v>26.168500000000002</v>
      </c>
      <c r="DD1107" s="120">
        <f>(DC1107+DE1107)/2</f>
        <v>26.529</v>
      </c>
      <c r="DE1107" s="120">
        <f>(DE1106+DE1108)/2</f>
        <v>26.889499999999998</v>
      </c>
      <c r="DF1107" s="120">
        <f>(DE1107+DG1107)/2</f>
        <v>27.262</v>
      </c>
      <c r="DG1107" s="122">
        <f>(DG1106+DG1108)/2</f>
        <v>27.634499999999999</v>
      </c>
    </row>
    <row r="1108" spans="54:111" ht="15" customHeight="1" x14ac:dyDescent="0.2">
      <c r="BB1108" s="28">
        <v>12</v>
      </c>
      <c r="BC1108" s="121">
        <v>5.3410000000000002</v>
      </c>
      <c r="BD1108" s="121">
        <v>5.9290000000000003</v>
      </c>
      <c r="BE1108" s="121">
        <v>6.5170000000000003</v>
      </c>
      <c r="BF1108" s="121">
        <v>7.0965000000000007</v>
      </c>
      <c r="BG1108" s="121">
        <v>7.6760000000000002</v>
      </c>
      <c r="BH1108" s="121">
        <v>8.1885000000000012</v>
      </c>
      <c r="BI1108" s="121">
        <v>8.7010000000000005</v>
      </c>
      <c r="BJ1108" s="121">
        <f t="array" ref="BJ1108:BJ1156">TRANSPOSE(BK1107:DG1107)</f>
        <v>9.1750000000000007</v>
      </c>
      <c r="BK1108" s="158">
        <v>9.6489999999999991</v>
      </c>
      <c r="BL1108" s="120">
        <f>(BM1108+BK1108)/2</f>
        <v>10.146000000000001</v>
      </c>
      <c r="BM1108" s="158">
        <v>10.643000000000001</v>
      </c>
      <c r="BN1108" s="120">
        <f>(BO1108+BM1108)/2</f>
        <v>11.08</v>
      </c>
      <c r="BO1108" s="158">
        <v>11.516999999999999</v>
      </c>
      <c r="BP1108" s="120">
        <f>(BQ1108+BO1108)/2</f>
        <v>11.9755</v>
      </c>
      <c r="BQ1108" s="158">
        <v>12.433999999999999</v>
      </c>
      <c r="BR1108" s="120">
        <f>(BS1108+BQ1108)/2</f>
        <v>12.878499999999999</v>
      </c>
      <c r="BS1108" s="158">
        <v>13.323</v>
      </c>
      <c r="BT1108" s="120">
        <f>(BU1108+BS1108)/2</f>
        <v>13.721499999999999</v>
      </c>
      <c r="BU1108" s="158">
        <v>14.12</v>
      </c>
      <c r="BV1108" s="120">
        <f>(BW1108+BU1108)/2</f>
        <v>14.579499999999999</v>
      </c>
      <c r="BW1108" s="158">
        <v>15.039</v>
      </c>
      <c r="BX1108" s="120">
        <f>(BY1108+BW1108)/2</f>
        <v>15.4375</v>
      </c>
      <c r="BY1108" s="158">
        <v>15.836</v>
      </c>
      <c r="BZ1108" s="120">
        <f>(CA1108+BY1108)/2</f>
        <v>16.2575</v>
      </c>
      <c r="CA1108" s="158">
        <v>16.678999999999998</v>
      </c>
      <c r="CB1108" s="120">
        <f>(CC1108+CA1108)/2</f>
        <v>17.078499999999998</v>
      </c>
      <c r="CC1108" s="158">
        <v>17.478000000000002</v>
      </c>
      <c r="CD1108" s="120">
        <f>(CE1108+CC1108)/2</f>
        <v>17.8765</v>
      </c>
      <c r="CE1108" s="158">
        <v>18.274999999999999</v>
      </c>
      <c r="CF1108" s="120">
        <f>(CG1108+CE1108)/2</f>
        <v>18.703499999999998</v>
      </c>
      <c r="CG1108" s="158">
        <v>19.132000000000001</v>
      </c>
      <c r="CH1108" s="120">
        <f>(CI1108+CG1108)/2</f>
        <v>19.5305</v>
      </c>
      <c r="CI1108" s="158">
        <v>19.928999999999998</v>
      </c>
      <c r="CJ1108" s="120">
        <f>(CK1108+CI1108)/2</f>
        <v>20.312999999999999</v>
      </c>
      <c r="CK1108" s="158">
        <v>20.696999999999999</v>
      </c>
      <c r="CL1108" s="120">
        <f>(CM1108+CK1108)/2</f>
        <v>21.096</v>
      </c>
      <c r="CM1108" s="158">
        <v>21.495000000000001</v>
      </c>
      <c r="CN1108" s="120">
        <f>(CO1108+CM1108)/2</f>
        <v>21.856000000000002</v>
      </c>
      <c r="CO1108" s="158">
        <v>22.216999999999999</v>
      </c>
      <c r="CP1108" s="120">
        <f>(CQ1108+CO1108)/2</f>
        <v>22.638500000000001</v>
      </c>
      <c r="CQ1108" s="158">
        <v>23.06</v>
      </c>
      <c r="CR1108" s="120">
        <f>(CS1108+CQ1108)/2</f>
        <v>23.420999999999999</v>
      </c>
      <c r="CS1108" s="158">
        <v>23.782</v>
      </c>
      <c r="CT1108" s="120">
        <f>(CU1108+CS1108)/2</f>
        <v>24.21</v>
      </c>
      <c r="CU1108" s="158">
        <v>24.638000000000002</v>
      </c>
      <c r="CV1108" s="120">
        <f>(CW1108+CU1108)/2</f>
        <v>25</v>
      </c>
      <c r="CW1108" s="158">
        <v>25.361999999999998</v>
      </c>
      <c r="CX1108" s="120">
        <f>(CY1108+CW1108)/2</f>
        <v>25.722999999999999</v>
      </c>
      <c r="CY1108" s="158">
        <v>26.084</v>
      </c>
      <c r="CZ1108" s="120">
        <f>(DA1108+CY1108)/2</f>
        <v>26.467500000000001</v>
      </c>
      <c r="DA1108" s="158">
        <v>26.850999999999999</v>
      </c>
      <c r="DB1108" s="120">
        <f>(DC1108+DA1108)/2</f>
        <v>27.212</v>
      </c>
      <c r="DC1108" s="158">
        <v>27.573</v>
      </c>
      <c r="DD1108" s="120">
        <f>(DE1108+DC1108)/2</f>
        <v>27.956</v>
      </c>
      <c r="DE1108" s="158">
        <v>28.338999999999999</v>
      </c>
      <c r="DF1108" s="120">
        <f>(DG1108+DE1108)/2</f>
        <v>28.745999999999999</v>
      </c>
      <c r="DG1108" s="159">
        <v>29.152999999999999</v>
      </c>
    </row>
    <row r="1109" spans="54:111" ht="15" customHeight="1" x14ac:dyDescent="0.2">
      <c r="BB1109" s="28">
        <v>13</v>
      </c>
      <c r="BC1109" s="121">
        <v>5.625</v>
      </c>
      <c r="BD1109" s="121">
        <v>6.2435</v>
      </c>
      <c r="BE1109" s="121">
        <v>6.8620000000000001</v>
      </c>
      <c r="BF1109" s="121">
        <v>7.4492500000000001</v>
      </c>
      <c r="BG1109" s="121">
        <v>8.0365000000000002</v>
      </c>
      <c r="BH1109" s="121">
        <v>8.5752500000000005</v>
      </c>
      <c r="BI1109" s="121">
        <v>9.1140000000000008</v>
      </c>
      <c r="BJ1109" s="121">
        <v>9.6300000000000008</v>
      </c>
      <c r="BK1109" s="121">
        <f t="array" ref="BK1109:BK1156">TRANSPOSE(BL1108:DG1108)</f>
        <v>10.146000000000001</v>
      </c>
      <c r="BL1109" s="120">
        <f>(BK1109+BM1109)/2</f>
        <v>10.654500000000001</v>
      </c>
      <c r="BM1109" s="120">
        <f>(BM1108+BM1110)/2</f>
        <v>11.163</v>
      </c>
      <c r="BN1109" s="120">
        <f>(BM1109+BO1109)/2</f>
        <v>11.61525</v>
      </c>
      <c r="BO1109" s="120">
        <f>(BO1108+BO1110)/2</f>
        <v>12.067499999999999</v>
      </c>
      <c r="BP1109" s="120">
        <f>(BO1109+BQ1109)/2</f>
        <v>12.556749999999999</v>
      </c>
      <c r="BQ1109" s="120">
        <f>(BQ1108+BQ1110)/2</f>
        <v>13.045999999999999</v>
      </c>
      <c r="BR1109" s="120">
        <f>(BQ1109+BS1109)/2</f>
        <v>13.50925</v>
      </c>
      <c r="BS1109" s="120">
        <f>(BS1108+BS1110)/2</f>
        <v>13.9725</v>
      </c>
      <c r="BT1109" s="120">
        <f>(BS1109+BU1109)/2</f>
        <v>14.416499999999999</v>
      </c>
      <c r="BU1109" s="120">
        <f>(BU1108+BU1110)/2</f>
        <v>14.8605</v>
      </c>
      <c r="BV1109" s="120">
        <f>(BU1109+BW1109)/2</f>
        <v>15.3125</v>
      </c>
      <c r="BW1109" s="120">
        <f>(BW1108+BW1110)/2</f>
        <v>15.764499999999998</v>
      </c>
      <c r="BX1109" s="120">
        <f>(BW1109+BY1109)/2</f>
        <v>16.193999999999999</v>
      </c>
      <c r="BY1109" s="120">
        <f>(BY1108+BY1110)/2</f>
        <v>16.6235</v>
      </c>
      <c r="BZ1109" s="120">
        <f>(BY1109+CA1109)/2</f>
        <v>17.059999999999999</v>
      </c>
      <c r="CA1109" s="120">
        <f>(CA1108+CA1110)/2</f>
        <v>17.496499999999997</v>
      </c>
      <c r="CB1109" s="120">
        <f>(CA1109+CC1109)/2</f>
        <v>17.918499999999998</v>
      </c>
      <c r="CC1109" s="120">
        <f>(CC1108+CC1110)/2</f>
        <v>18.340499999999999</v>
      </c>
      <c r="CD1109" s="120">
        <f>(CC1109+CE1109)/2</f>
        <v>18.784499999999998</v>
      </c>
      <c r="CE1109" s="120">
        <f>(CE1108+CE1110)/2</f>
        <v>19.228499999999997</v>
      </c>
      <c r="CF1109" s="120">
        <f>(CE1109+CG1109)/2</f>
        <v>19.664999999999999</v>
      </c>
      <c r="CG1109" s="120">
        <f>(CG1108+CG1110)/2</f>
        <v>20.101500000000001</v>
      </c>
      <c r="CH1109" s="120">
        <f>(CG1109+CI1109)/2</f>
        <v>20.493000000000002</v>
      </c>
      <c r="CI1109" s="120">
        <f>(CI1108+CI1110)/2</f>
        <v>20.884499999999999</v>
      </c>
      <c r="CJ1109" s="120">
        <f>(CI1109+CK1109)/2</f>
        <v>21.302500000000002</v>
      </c>
      <c r="CK1109" s="120">
        <f>(CK1108+CK1110)/2</f>
        <v>21.720500000000001</v>
      </c>
      <c r="CL1109" s="120">
        <f>(CK1109+CM1109)/2</f>
        <v>22.142000000000003</v>
      </c>
      <c r="CM1109" s="120">
        <f>(CM1108+CM1110)/2</f>
        <v>22.563500000000001</v>
      </c>
      <c r="CN1109" s="120">
        <f>(CM1109+CO1109)/2</f>
        <v>22.966250000000002</v>
      </c>
      <c r="CO1109" s="120">
        <f>(CO1108+CO1110)/2</f>
        <v>23.369</v>
      </c>
      <c r="CP1109" s="120">
        <f>(CO1109+CQ1109)/2</f>
        <v>23.7865</v>
      </c>
      <c r="CQ1109" s="120">
        <f>(CQ1108+CQ1110)/2</f>
        <v>24.204000000000001</v>
      </c>
      <c r="CR1109" s="120">
        <f>(CQ1109+CS1109)/2</f>
        <v>24.595750000000002</v>
      </c>
      <c r="CS1109" s="120">
        <f>(CS1108+CS1110)/2</f>
        <v>24.987500000000001</v>
      </c>
      <c r="CT1109" s="120">
        <f>(CS1109+CU1109)/2</f>
        <v>25.405000000000001</v>
      </c>
      <c r="CU1109" s="120">
        <f>(CU1108+CU1110)/2</f>
        <v>25.822500000000002</v>
      </c>
      <c r="CV1109" s="120">
        <f>(CU1109+CW1109)/2</f>
        <v>26.22925</v>
      </c>
      <c r="CW1109" s="120">
        <f>(CW1108+CW1110)/2</f>
        <v>26.635999999999999</v>
      </c>
      <c r="CX1109" s="120">
        <f>(CW1109+CY1109)/2</f>
        <v>27.02</v>
      </c>
      <c r="CY1109" s="120">
        <f>(CY1108+CY1110)/2</f>
        <v>27.404</v>
      </c>
      <c r="CZ1109" s="120">
        <f>(CY1109+DA1109)/2</f>
        <v>27.798999999999999</v>
      </c>
      <c r="DA1109" s="120">
        <f>(DA1108+DA1110)/2</f>
        <v>28.193999999999999</v>
      </c>
      <c r="DB1109" s="120">
        <f>(DA1109+DC1109)/2</f>
        <v>28.589500000000001</v>
      </c>
      <c r="DC1109" s="120">
        <f>(DC1108+DC1110)/2</f>
        <v>28.984999999999999</v>
      </c>
      <c r="DD1109" s="120">
        <f>(DC1109+DE1109)/2</f>
        <v>29.379750000000001</v>
      </c>
      <c r="DE1109" s="120">
        <f>(DE1108+DE1110)/2</f>
        <v>29.7745</v>
      </c>
      <c r="DF1109" s="120">
        <f>(DE1109+DG1109)/2</f>
        <v>30.1815</v>
      </c>
      <c r="DG1109" s="122">
        <f>(DG1108+DG1110)/2</f>
        <v>30.5885</v>
      </c>
    </row>
    <row r="1110" spans="54:111" ht="15" customHeight="1" x14ac:dyDescent="0.2">
      <c r="BB1110" s="28">
        <v>14</v>
      </c>
      <c r="BC1110" s="121">
        <v>5.9089999999999998</v>
      </c>
      <c r="BD1110" s="121">
        <v>6.5579999999999998</v>
      </c>
      <c r="BE1110" s="121">
        <v>7.2069999999999999</v>
      </c>
      <c r="BF1110" s="121">
        <v>7.8019999999999996</v>
      </c>
      <c r="BG1110" s="121">
        <v>8.3970000000000002</v>
      </c>
      <c r="BH1110" s="121">
        <v>8.9619999999999997</v>
      </c>
      <c r="BI1110" s="121">
        <v>9.5269999999999992</v>
      </c>
      <c r="BJ1110" s="121">
        <v>10.085000000000001</v>
      </c>
      <c r="BK1110" s="121">
        <v>10.643000000000001</v>
      </c>
      <c r="BL1110" s="121">
        <f t="array" ref="BL1110:BL1156">TRANSPOSE(BM1109:DG1109)</f>
        <v>11.163</v>
      </c>
      <c r="BM1110" s="158">
        <v>11.683</v>
      </c>
      <c r="BN1110" s="120">
        <f>(BO1110+BM1110)/2</f>
        <v>12.150500000000001</v>
      </c>
      <c r="BO1110" s="158">
        <v>12.618</v>
      </c>
      <c r="BP1110" s="120">
        <f>(BQ1110+BO1110)/2</f>
        <v>13.138</v>
      </c>
      <c r="BQ1110" s="158">
        <v>13.657999999999999</v>
      </c>
      <c r="BR1110" s="120">
        <f>(BS1110+BQ1110)/2</f>
        <v>14.14</v>
      </c>
      <c r="BS1110" s="158">
        <v>14.622</v>
      </c>
      <c r="BT1110" s="120">
        <f>(BU1110+BS1110)/2</f>
        <v>15.111499999999999</v>
      </c>
      <c r="BU1110" s="158">
        <v>15.601000000000001</v>
      </c>
      <c r="BV1110" s="120">
        <f>(BW1110+BU1110)/2</f>
        <v>16.045500000000001</v>
      </c>
      <c r="BW1110" s="158">
        <v>16.489999999999998</v>
      </c>
      <c r="BX1110" s="120">
        <f>(BY1110+BW1110)/2</f>
        <v>16.950499999999998</v>
      </c>
      <c r="BY1110" s="158">
        <v>17.411000000000001</v>
      </c>
      <c r="BZ1110" s="120">
        <f>(CA1110+BY1110)/2</f>
        <v>17.862500000000001</v>
      </c>
      <c r="CA1110" s="158">
        <v>18.314</v>
      </c>
      <c r="CB1110" s="120">
        <f>(CC1110+CA1110)/2</f>
        <v>18.758499999999998</v>
      </c>
      <c r="CC1110" s="158">
        <v>19.202999999999999</v>
      </c>
      <c r="CD1110" s="120">
        <f>(CE1110+CC1110)/2</f>
        <v>19.692499999999999</v>
      </c>
      <c r="CE1110" s="158">
        <v>20.181999999999999</v>
      </c>
      <c r="CF1110" s="120">
        <f>(CG1110+CE1110)/2</f>
        <v>20.6265</v>
      </c>
      <c r="CG1110" s="158">
        <v>21.071000000000002</v>
      </c>
      <c r="CH1110" s="120">
        <f>(CI1110+CG1110)/2</f>
        <v>21.455500000000001</v>
      </c>
      <c r="CI1110" s="158">
        <v>21.84</v>
      </c>
      <c r="CJ1110" s="120">
        <f>(CK1110+CI1110)/2</f>
        <v>22.292000000000002</v>
      </c>
      <c r="CK1110" s="158">
        <v>22.744</v>
      </c>
      <c r="CL1110" s="120">
        <f>(CM1110+CK1110)/2</f>
        <v>23.188000000000002</v>
      </c>
      <c r="CM1110" s="158">
        <v>23.632000000000001</v>
      </c>
      <c r="CN1110" s="120">
        <f>(CO1110+CM1110)/2</f>
        <v>24.076500000000003</v>
      </c>
      <c r="CO1110" s="158">
        <v>24.521000000000001</v>
      </c>
      <c r="CP1110" s="120">
        <f>(CQ1110+CO1110)/2</f>
        <v>24.9345</v>
      </c>
      <c r="CQ1110" s="158">
        <v>25.347999999999999</v>
      </c>
      <c r="CR1110" s="120">
        <f>(CS1110+CQ1110)/2</f>
        <v>25.770499999999998</v>
      </c>
      <c r="CS1110" s="158">
        <v>26.193000000000001</v>
      </c>
      <c r="CT1110" s="120">
        <f>(CU1110+CS1110)/2</f>
        <v>26.6</v>
      </c>
      <c r="CU1110" s="158">
        <v>27.007000000000001</v>
      </c>
      <c r="CV1110" s="120">
        <f>(CW1110+CU1110)/2</f>
        <v>27.458500000000001</v>
      </c>
      <c r="CW1110" s="158">
        <v>27.91</v>
      </c>
      <c r="CX1110" s="120">
        <f>(CY1110+CW1110)/2</f>
        <v>28.317</v>
      </c>
      <c r="CY1110" s="158">
        <v>28.724</v>
      </c>
      <c r="CZ1110" s="120">
        <f>(DA1110+CY1110)/2</f>
        <v>29.130499999999998</v>
      </c>
      <c r="DA1110" s="158">
        <v>29.536999999999999</v>
      </c>
      <c r="DB1110" s="120">
        <f>(DC1110+DA1110)/2</f>
        <v>29.966999999999999</v>
      </c>
      <c r="DC1110" s="158">
        <v>30.396999999999998</v>
      </c>
      <c r="DD1110" s="120">
        <f>(DE1110+DC1110)/2</f>
        <v>30.8035</v>
      </c>
      <c r="DE1110" s="158">
        <v>31.21</v>
      </c>
      <c r="DF1110" s="120">
        <f>(DG1110+DE1110)/2</f>
        <v>31.617000000000001</v>
      </c>
      <c r="DG1110" s="159">
        <v>32.024000000000001</v>
      </c>
    </row>
    <row r="1111" spans="54:111" ht="15" customHeight="1" x14ac:dyDescent="0.2">
      <c r="BB1111" s="28">
        <v>15</v>
      </c>
      <c r="BC1111" s="121">
        <v>6.1630000000000003</v>
      </c>
      <c r="BD1111" s="121">
        <v>6.8492499999999996</v>
      </c>
      <c r="BE1111" s="121">
        <v>7.5354999999999999</v>
      </c>
      <c r="BF1111" s="121">
        <v>8.1615000000000002</v>
      </c>
      <c r="BG1111" s="121">
        <v>8.7875000000000014</v>
      </c>
      <c r="BH1111" s="121">
        <v>9.3642500000000002</v>
      </c>
      <c r="BI1111" s="121">
        <v>9.9409999999999989</v>
      </c>
      <c r="BJ1111" s="121">
        <v>10.5105</v>
      </c>
      <c r="BK1111" s="121">
        <v>11.08</v>
      </c>
      <c r="BL1111" s="121">
        <v>11.61525</v>
      </c>
      <c r="BM1111" s="121">
        <f t="array" ref="BM1111:BM1156">TRANSPOSE(BN1110:DG1110)</f>
        <v>12.150500000000001</v>
      </c>
      <c r="BN1111" s="120">
        <f>(BM1111+BO1111)/2</f>
        <v>12.667000000000002</v>
      </c>
      <c r="BO1111" s="120">
        <f>(BO1110+BO1112)/2</f>
        <v>13.1835</v>
      </c>
      <c r="BP1111" s="120">
        <f>(BO1111+BQ1111)/2</f>
        <v>13.719000000000001</v>
      </c>
      <c r="BQ1111" s="120">
        <f>(BQ1110+BQ1112)/2</f>
        <v>14.2545</v>
      </c>
      <c r="BR1111" s="120">
        <f>(BQ1111+BS1111)/2</f>
        <v>14.748000000000001</v>
      </c>
      <c r="BS1111" s="120">
        <f>(BS1110+BS1112)/2</f>
        <v>15.2415</v>
      </c>
      <c r="BT1111" s="120">
        <f>(BS1111+BU1111)/2</f>
        <v>15.742750000000001</v>
      </c>
      <c r="BU1111" s="120">
        <f>(BU1110+BU1112)/2</f>
        <v>16.244</v>
      </c>
      <c r="BV1111" s="120">
        <f>(BU1111+BW1111)/2</f>
        <v>16.719000000000001</v>
      </c>
      <c r="BW1111" s="120">
        <f>(BW1110+BW1112)/2</f>
        <v>17.193999999999999</v>
      </c>
      <c r="BX1111" s="120">
        <f>(BW1111+BY1111)/2</f>
        <v>17.691499999999998</v>
      </c>
      <c r="BY1111" s="120">
        <f>(BY1110+BY1112)/2</f>
        <v>18.189</v>
      </c>
      <c r="BZ1111" s="120">
        <f>(BY1111+CA1111)/2</f>
        <v>18.671250000000001</v>
      </c>
      <c r="CA1111" s="120">
        <f>(CA1110+CA1112)/2</f>
        <v>19.153500000000001</v>
      </c>
      <c r="CB1111" s="120">
        <f>(CA1111+CC1111)/2</f>
        <v>19.609749999999998</v>
      </c>
      <c r="CC1111" s="120">
        <f>(CC1110+CC1112)/2</f>
        <v>20.065999999999999</v>
      </c>
      <c r="CD1111" s="120">
        <f>(CC1111+CE1111)/2</f>
        <v>20.548000000000002</v>
      </c>
      <c r="CE1111" s="120">
        <f>(CE1110+CE1112)/2</f>
        <v>21.03</v>
      </c>
      <c r="CF1111" s="120">
        <f>(CE1111+CG1111)/2</f>
        <v>21.50525</v>
      </c>
      <c r="CG1111" s="120">
        <f>(CG1110+CG1112)/2</f>
        <v>21.980499999999999</v>
      </c>
      <c r="CH1111" s="120">
        <f>(CG1111+CI1111)/2</f>
        <v>22.421250000000001</v>
      </c>
      <c r="CI1111" s="120">
        <f>(CI1110+CI1112)/2</f>
        <v>22.862000000000002</v>
      </c>
      <c r="CJ1111" s="120">
        <f>(CI1111+CK1111)/2</f>
        <v>23.321750000000002</v>
      </c>
      <c r="CK1111" s="120">
        <f>(CK1110+CK1112)/2</f>
        <v>23.781500000000001</v>
      </c>
      <c r="CL1111" s="120">
        <f>(CK1111+CM1111)/2</f>
        <v>24.241</v>
      </c>
      <c r="CM1111" s="120">
        <f>(CM1110+CM1112)/2</f>
        <v>24.700499999999998</v>
      </c>
      <c r="CN1111" s="120">
        <f>(CM1111+CO1111)/2</f>
        <v>25.137999999999998</v>
      </c>
      <c r="CO1111" s="120">
        <f>(CO1110+CO1112)/2</f>
        <v>25.575499999999998</v>
      </c>
      <c r="CP1111" s="120">
        <f>(CO1111+CQ1111)/2</f>
        <v>26.019749999999998</v>
      </c>
      <c r="CQ1111" s="120">
        <f>(CQ1110+CQ1112)/2</f>
        <v>26.463999999999999</v>
      </c>
      <c r="CR1111" s="120">
        <f>(CQ1111+CS1111)/2</f>
        <v>26.92</v>
      </c>
      <c r="CS1111" s="120">
        <f>(CS1110+CS1112)/2</f>
        <v>27.376000000000001</v>
      </c>
      <c r="CT1111" s="120">
        <f>(CS1111+CU1111)/2</f>
        <v>27.798500000000001</v>
      </c>
      <c r="CU1111" s="120">
        <f>(CU1110+CU1112)/2</f>
        <v>28.221</v>
      </c>
      <c r="CV1111" s="120">
        <f>(CU1111+CW1111)/2</f>
        <v>28.680500000000002</v>
      </c>
      <c r="CW1111" s="120">
        <f>(CW1110+CW1112)/2</f>
        <v>29.14</v>
      </c>
      <c r="CX1111" s="120">
        <f>(CW1111+CY1111)/2</f>
        <v>29.581</v>
      </c>
      <c r="CY1111" s="120">
        <f>(CY1110+CY1112)/2</f>
        <v>30.021999999999998</v>
      </c>
      <c r="CZ1111" s="120">
        <f>(CY1111+DA1111)/2</f>
        <v>30.440249999999999</v>
      </c>
      <c r="DA1111" s="120">
        <f>(DA1110+DA1112)/2</f>
        <v>30.858499999999999</v>
      </c>
      <c r="DB1111" s="120">
        <f>(DA1111+DC1111)/2</f>
        <v>31.303249999999998</v>
      </c>
      <c r="DC1111" s="120">
        <f>(DC1110+DC1112)/2</f>
        <v>31.747999999999998</v>
      </c>
      <c r="DD1111" s="120">
        <f>(DC1111+DE1111)/2</f>
        <v>32.188500000000005</v>
      </c>
      <c r="DE1111" s="120">
        <f>(DE1110+DE1112)/2</f>
        <v>32.629000000000005</v>
      </c>
      <c r="DF1111" s="120">
        <f>(DE1111+DG1111)/2</f>
        <v>33.047750000000001</v>
      </c>
      <c r="DG1111" s="122">
        <f>(DG1110+DG1112)/2</f>
        <v>33.466499999999996</v>
      </c>
    </row>
    <row r="1112" spans="54:111" ht="15" customHeight="1" x14ac:dyDescent="0.2">
      <c r="BB1112" s="28">
        <v>16</v>
      </c>
      <c r="BC1112" s="121">
        <v>6.4169999999999998</v>
      </c>
      <c r="BD1112" s="121">
        <v>7.1404999999999994</v>
      </c>
      <c r="BE1112" s="121">
        <v>7.8639999999999999</v>
      </c>
      <c r="BF1112" s="121">
        <v>8.5210000000000008</v>
      </c>
      <c r="BG1112" s="121">
        <v>9.1780000000000008</v>
      </c>
      <c r="BH1112" s="121">
        <v>9.7665000000000006</v>
      </c>
      <c r="BI1112" s="121">
        <v>10.355</v>
      </c>
      <c r="BJ1112" s="121">
        <v>10.936</v>
      </c>
      <c r="BK1112" s="121">
        <v>11.516999999999999</v>
      </c>
      <c r="BL1112" s="121">
        <v>12.067499999999999</v>
      </c>
      <c r="BM1112" s="121">
        <v>12.618</v>
      </c>
      <c r="BN1112" s="121">
        <f t="array" ref="BN1112:BN1156">TRANSPOSE(BO1111:DG1111)</f>
        <v>13.1835</v>
      </c>
      <c r="BO1112" s="158">
        <v>13.749000000000001</v>
      </c>
      <c r="BP1112" s="120">
        <f>(BQ1112+BO1112)/2</f>
        <v>14.3</v>
      </c>
      <c r="BQ1112" s="158">
        <v>14.851000000000001</v>
      </c>
      <c r="BR1112" s="120">
        <f>(BS1112+BQ1112)/2</f>
        <v>15.356000000000002</v>
      </c>
      <c r="BS1112" s="158">
        <v>15.861000000000001</v>
      </c>
      <c r="BT1112" s="120">
        <f>(BU1112+BS1112)/2</f>
        <v>16.374000000000002</v>
      </c>
      <c r="BU1112" s="158">
        <v>16.887</v>
      </c>
      <c r="BV1112" s="120">
        <f>(BW1112+BU1112)/2</f>
        <v>17.392499999999998</v>
      </c>
      <c r="BW1112" s="158">
        <v>17.898</v>
      </c>
      <c r="BX1112" s="120">
        <f>(BY1112+BW1112)/2</f>
        <v>18.432499999999997</v>
      </c>
      <c r="BY1112" s="158">
        <v>18.966999999999999</v>
      </c>
      <c r="BZ1112" s="120">
        <f>(CA1112+BY1112)/2</f>
        <v>19.479999999999997</v>
      </c>
      <c r="CA1112" s="158">
        <v>19.992999999999999</v>
      </c>
      <c r="CB1112" s="120">
        <f>(CC1112+CA1112)/2</f>
        <v>20.460999999999999</v>
      </c>
      <c r="CC1112" s="158">
        <v>20.928999999999998</v>
      </c>
      <c r="CD1112" s="120">
        <f>(CE1112+CC1112)/2</f>
        <v>21.403500000000001</v>
      </c>
      <c r="CE1112" s="158">
        <v>21.878</v>
      </c>
      <c r="CF1112" s="120">
        <f>(CG1112+CE1112)/2</f>
        <v>22.384</v>
      </c>
      <c r="CG1112" s="158">
        <v>22.89</v>
      </c>
      <c r="CH1112" s="120">
        <f>(CI1112+CG1112)/2</f>
        <v>23.387</v>
      </c>
      <c r="CI1112" s="158">
        <v>23.884</v>
      </c>
      <c r="CJ1112" s="120">
        <f>(CK1112+CI1112)/2</f>
        <v>24.351500000000001</v>
      </c>
      <c r="CK1112" s="158">
        <v>24.818999999999999</v>
      </c>
      <c r="CL1112" s="120">
        <f>(CM1112+CK1112)/2</f>
        <v>25.293999999999997</v>
      </c>
      <c r="CM1112" s="158">
        <v>25.768999999999998</v>
      </c>
      <c r="CN1112" s="120">
        <f>(CO1112+CM1112)/2</f>
        <v>26.1995</v>
      </c>
      <c r="CO1112" s="158">
        <v>26.63</v>
      </c>
      <c r="CP1112" s="120">
        <f>(CQ1112+CO1112)/2</f>
        <v>27.104999999999997</v>
      </c>
      <c r="CQ1112" s="158">
        <v>27.58</v>
      </c>
      <c r="CR1112" s="120">
        <f>(CS1112+CQ1112)/2</f>
        <v>28.069499999999998</v>
      </c>
      <c r="CS1112" s="158">
        <v>28.559000000000001</v>
      </c>
      <c r="CT1112" s="120">
        <f>(CU1112+CS1112)/2</f>
        <v>28.997</v>
      </c>
      <c r="CU1112" s="158">
        <v>29.434999999999999</v>
      </c>
      <c r="CV1112" s="120">
        <f>(CW1112+CU1112)/2</f>
        <v>29.9025</v>
      </c>
      <c r="CW1112" s="158">
        <v>30.37</v>
      </c>
      <c r="CX1112" s="120">
        <f>(CY1112+CW1112)/2</f>
        <v>30.844999999999999</v>
      </c>
      <c r="CY1112" s="158">
        <v>31.32</v>
      </c>
      <c r="CZ1112" s="120">
        <f>(DA1112+CY1112)/2</f>
        <v>31.75</v>
      </c>
      <c r="DA1112" s="158">
        <v>32.18</v>
      </c>
      <c r="DB1112" s="120">
        <f>(DC1112+DA1112)/2</f>
        <v>32.639499999999998</v>
      </c>
      <c r="DC1112" s="158">
        <v>33.098999999999997</v>
      </c>
      <c r="DD1112" s="120">
        <f>(DE1112+DC1112)/2</f>
        <v>33.573499999999996</v>
      </c>
      <c r="DE1112" s="158">
        <v>34.048000000000002</v>
      </c>
      <c r="DF1112" s="120">
        <f>(DG1112+DE1112)/2</f>
        <v>34.478499999999997</v>
      </c>
      <c r="DG1112" s="159">
        <v>34.908999999999999</v>
      </c>
    </row>
    <row r="1113" spans="54:111" ht="15" customHeight="1" x14ac:dyDescent="0.2">
      <c r="BB1113" s="28">
        <v>17</v>
      </c>
      <c r="BC1113" s="121">
        <v>6.6555</v>
      </c>
      <c r="BD1113" s="121">
        <v>7.4097499999999998</v>
      </c>
      <c r="BE1113" s="121">
        <v>8.1639999999999997</v>
      </c>
      <c r="BF1113" s="121">
        <v>8.8360000000000003</v>
      </c>
      <c r="BG1113" s="121">
        <v>9.5079999999999991</v>
      </c>
      <c r="BH1113" s="121">
        <v>10.138</v>
      </c>
      <c r="BI1113" s="121">
        <v>10.768000000000001</v>
      </c>
      <c r="BJ1113" s="121">
        <v>11.371749999999999</v>
      </c>
      <c r="BK1113" s="121">
        <v>11.9755</v>
      </c>
      <c r="BL1113" s="121">
        <v>12.556749999999999</v>
      </c>
      <c r="BM1113" s="121">
        <v>13.138</v>
      </c>
      <c r="BN1113" s="121">
        <v>13.719000000000001</v>
      </c>
      <c r="BO1113" s="121">
        <f t="array" ref="BO1113:BO1156">TRANSPOSE(BP1112:DG1112)</f>
        <v>14.3</v>
      </c>
      <c r="BP1113" s="120">
        <f>(BO1113+BQ1113)/2</f>
        <v>14.862</v>
      </c>
      <c r="BQ1113" s="120">
        <f>(BQ1112+BQ1114)/2</f>
        <v>15.423999999999999</v>
      </c>
      <c r="BR1113" s="120">
        <f>(BQ1113+BS1113)/2</f>
        <v>15.952249999999999</v>
      </c>
      <c r="BS1113" s="120">
        <f>(BS1112+BS1114)/2</f>
        <v>16.480499999999999</v>
      </c>
      <c r="BT1113" s="120">
        <f>(BS1113+BU1113)/2</f>
        <v>17.034749999999999</v>
      </c>
      <c r="BU1113" s="120">
        <f>(BU1112+BU1114)/2</f>
        <v>17.588999999999999</v>
      </c>
      <c r="BV1113" s="120">
        <f>(BU1113+BW1113)/2</f>
        <v>18.109749999999998</v>
      </c>
      <c r="BW1113" s="120">
        <f>(BW1112+BW1114)/2</f>
        <v>18.630499999999998</v>
      </c>
      <c r="BX1113" s="120">
        <f>(BW1113+BY1113)/2</f>
        <v>19.173749999999998</v>
      </c>
      <c r="BY1113" s="120">
        <f>(BY1112+BY1114)/2</f>
        <v>19.716999999999999</v>
      </c>
      <c r="BZ1113" s="120">
        <f>(BY1113+CA1113)/2</f>
        <v>20.222249999999999</v>
      </c>
      <c r="CA1113" s="120">
        <f>(CA1112+CA1114)/2</f>
        <v>20.727499999999999</v>
      </c>
      <c r="CB1113" s="120">
        <f>(CA1113+CC1113)/2</f>
        <v>21.241</v>
      </c>
      <c r="CC1113" s="120">
        <f>(CC1112+CC1114)/2</f>
        <v>21.7545</v>
      </c>
      <c r="CD1113" s="120">
        <f>(CC1113+CE1113)/2</f>
        <v>22.270499999999998</v>
      </c>
      <c r="CE1113" s="120">
        <f>(CE1112+CE1114)/2</f>
        <v>22.7865</v>
      </c>
      <c r="CF1113" s="120">
        <f>(CE1113+CG1113)/2</f>
        <v>23.285249999999998</v>
      </c>
      <c r="CG1113" s="120">
        <f>(CG1112+CG1114)/2</f>
        <v>23.783999999999999</v>
      </c>
      <c r="CH1113" s="120">
        <f>(CG1113+CI1113)/2</f>
        <v>24.292749999999998</v>
      </c>
      <c r="CI1113" s="120">
        <f>(CI1112+CI1114)/2</f>
        <v>24.801500000000001</v>
      </c>
      <c r="CJ1113" s="120">
        <f>(CI1113+CK1113)/2</f>
        <v>25.28425</v>
      </c>
      <c r="CK1113" s="120">
        <f>(CK1112+CK1114)/2</f>
        <v>25.766999999999999</v>
      </c>
      <c r="CL1113" s="120">
        <f>(CK1113+CM1113)/2</f>
        <v>26.283749999999998</v>
      </c>
      <c r="CM1113" s="120">
        <f>(CM1112+CM1114)/2</f>
        <v>26.8005</v>
      </c>
      <c r="CN1113" s="120">
        <f>(CM1113+CO1113)/2</f>
        <v>27.253250000000001</v>
      </c>
      <c r="CO1113" s="120">
        <f>(CO1112+CO1114)/2</f>
        <v>27.706</v>
      </c>
      <c r="CP1113" s="120">
        <f>(CO1113+CQ1113)/2</f>
        <v>28.192999999999998</v>
      </c>
      <c r="CQ1113" s="120">
        <f>(CQ1112+CQ1114)/2</f>
        <v>28.68</v>
      </c>
      <c r="CR1113" s="120">
        <f>(CQ1113+CS1113)/2</f>
        <v>29.184750000000001</v>
      </c>
      <c r="CS1113" s="120">
        <f>(CS1112+CS1114)/2</f>
        <v>29.689500000000002</v>
      </c>
      <c r="CT1113" s="120">
        <f>(CS1113+CU1113)/2</f>
        <v>30.154250000000001</v>
      </c>
      <c r="CU1113" s="120">
        <f>(CU1112+CU1114)/2</f>
        <v>30.619</v>
      </c>
      <c r="CV1113" s="120">
        <f>(CU1113+CW1113)/2</f>
        <v>31.113</v>
      </c>
      <c r="CW1113" s="120">
        <f>(CW1112+CW1114)/2</f>
        <v>31.606999999999999</v>
      </c>
      <c r="CX1113" s="120">
        <f>(CW1113+CY1113)/2</f>
        <v>32.085749999999997</v>
      </c>
      <c r="CY1113" s="120">
        <f>(CY1112+CY1114)/2</f>
        <v>32.564499999999995</v>
      </c>
      <c r="CZ1113" s="120">
        <f>(CY1113+DA1113)/2</f>
        <v>33.028499999999994</v>
      </c>
      <c r="DA1113" s="120">
        <f>(DA1112+DA1114)/2</f>
        <v>33.4925</v>
      </c>
      <c r="DB1113" s="120">
        <f>(DA1113+DC1113)/2</f>
        <v>33.978750000000005</v>
      </c>
      <c r="DC1113" s="120">
        <f>(DC1112+DC1114)/2</f>
        <v>34.465000000000003</v>
      </c>
      <c r="DD1113" s="120">
        <f>(DC1113+DE1113)/2</f>
        <v>34.932749999999999</v>
      </c>
      <c r="DE1113" s="120">
        <f>(DE1112+DE1114)/2</f>
        <v>35.400500000000001</v>
      </c>
      <c r="DF1113" s="120">
        <f>(DE1113+DG1113)/2</f>
        <v>35.856999999999999</v>
      </c>
      <c r="DG1113" s="122">
        <f>(DG1112+DG1114)/2</f>
        <v>36.313500000000005</v>
      </c>
    </row>
    <row r="1114" spans="54:111" ht="15" customHeight="1" x14ac:dyDescent="0.2">
      <c r="BB1114" s="28">
        <v>18</v>
      </c>
      <c r="BC1114" s="121">
        <v>6.8940000000000001</v>
      </c>
      <c r="BD1114" s="121">
        <v>7.6790000000000003</v>
      </c>
      <c r="BE1114" s="121">
        <v>8.4640000000000004</v>
      </c>
      <c r="BF1114" s="121">
        <v>9.1509999999999998</v>
      </c>
      <c r="BG1114" s="121">
        <v>9.8379999999999992</v>
      </c>
      <c r="BH1114" s="121">
        <v>10.509499999999999</v>
      </c>
      <c r="BI1114" s="121">
        <v>11.180999999999999</v>
      </c>
      <c r="BJ1114" s="121">
        <v>11.807499999999999</v>
      </c>
      <c r="BK1114" s="121">
        <v>12.433999999999999</v>
      </c>
      <c r="BL1114" s="121">
        <v>13.045999999999999</v>
      </c>
      <c r="BM1114" s="121">
        <v>13.657999999999999</v>
      </c>
      <c r="BN1114" s="121">
        <v>14.2545</v>
      </c>
      <c r="BO1114" s="121">
        <v>14.851000000000001</v>
      </c>
      <c r="BP1114" s="121">
        <f t="array" ref="BP1114:BP1156">TRANSPOSE(BQ1113:DG1113)</f>
        <v>15.423999999999999</v>
      </c>
      <c r="BQ1114" s="158">
        <v>15.997</v>
      </c>
      <c r="BR1114" s="120">
        <f>(BS1114+BQ1114)/2</f>
        <v>16.548500000000001</v>
      </c>
      <c r="BS1114" s="158">
        <v>17.100000000000001</v>
      </c>
      <c r="BT1114" s="120">
        <f>(BU1114+BS1114)/2</f>
        <v>17.695500000000003</v>
      </c>
      <c r="BU1114" s="158">
        <v>18.291</v>
      </c>
      <c r="BV1114" s="120">
        <f>(BW1114+BU1114)/2</f>
        <v>18.826999999999998</v>
      </c>
      <c r="BW1114" s="158">
        <v>19.363</v>
      </c>
      <c r="BX1114" s="120">
        <f>(BY1114+BW1114)/2</f>
        <v>19.914999999999999</v>
      </c>
      <c r="BY1114" s="158">
        <v>20.466999999999999</v>
      </c>
      <c r="BZ1114" s="120">
        <f>(CA1114+BY1114)/2</f>
        <v>20.964500000000001</v>
      </c>
      <c r="CA1114" s="158">
        <v>21.462</v>
      </c>
      <c r="CB1114" s="120">
        <f>(CC1114+CA1114)/2</f>
        <v>22.021000000000001</v>
      </c>
      <c r="CC1114" s="158">
        <v>22.58</v>
      </c>
      <c r="CD1114" s="120">
        <f>(CE1114+CC1114)/2</f>
        <v>23.137499999999999</v>
      </c>
      <c r="CE1114" s="158">
        <v>23.695</v>
      </c>
      <c r="CF1114" s="120">
        <f>(CG1114+CE1114)/2</f>
        <v>24.186500000000002</v>
      </c>
      <c r="CG1114" s="158">
        <v>24.678000000000001</v>
      </c>
      <c r="CH1114" s="120">
        <f>(CI1114+CG1114)/2</f>
        <v>25.198500000000003</v>
      </c>
      <c r="CI1114" s="158">
        <v>25.719000000000001</v>
      </c>
      <c r="CJ1114" s="120">
        <f>(CK1114+CI1114)/2</f>
        <v>26.216999999999999</v>
      </c>
      <c r="CK1114" s="158">
        <v>26.715</v>
      </c>
      <c r="CL1114" s="120">
        <f>(CM1114+CK1114)/2</f>
        <v>27.273499999999999</v>
      </c>
      <c r="CM1114" s="158">
        <v>27.832000000000001</v>
      </c>
      <c r="CN1114" s="120">
        <f>(CO1114+CM1114)/2</f>
        <v>28.307000000000002</v>
      </c>
      <c r="CO1114" s="158">
        <v>28.782</v>
      </c>
      <c r="CP1114" s="120">
        <f>(CQ1114+CO1114)/2</f>
        <v>29.280999999999999</v>
      </c>
      <c r="CQ1114" s="158">
        <v>29.78</v>
      </c>
      <c r="CR1114" s="120">
        <f>(CS1114+CQ1114)/2</f>
        <v>30.3</v>
      </c>
      <c r="CS1114" s="158">
        <v>30.82</v>
      </c>
      <c r="CT1114" s="120">
        <f>(CU1114+CS1114)/2</f>
        <v>31.311500000000002</v>
      </c>
      <c r="CU1114" s="158">
        <v>31.803000000000001</v>
      </c>
      <c r="CV1114" s="120">
        <f>(CW1114+CU1114)/2</f>
        <v>32.323500000000003</v>
      </c>
      <c r="CW1114" s="158">
        <v>32.844000000000001</v>
      </c>
      <c r="CX1114" s="120">
        <f>(CY1114+CW1114)/2</f>
        <v>33.326499999999996</v>
      </c>
      <c r="CY1114" s="158">
        <v>33.808999999999997</v>
      </c>
      <c r="CZ1114" s="120">
        <f>(DA1114+CY1114)/2</f>
        <v>34.307000000000002</v>
      </c>
      <c r="DA1114" s="158">
        <v>34.805</v>
      </c>
      <c r="DB1114" s="120">
        <f>(DC1114+DA1114)/2</f>
        <v>35.317999999999998</v>
      </c>
      <c r="DC1114" s="158">
        <v>35.831000000000003</v>
      </c>
      <c r="DD1114" s="120">
        <f>(DE1114+DC1114)/2</f>
        <v>36.292000000000002</v>
      </c>
      <c r="DE1114" s="158">
        <v>36.753</v>
      </c>
      <c r="DF1114" s="120">
        <f>(DG1114+DE1114)/2</f>
        <v>37.235500000000002</v>
      </c>
      <c r="DG1114" s="159">
        <v>37.718000000000004</v>
      </c>
    </row>
    <row r="1115" spans="54:111" ht="15" customHeight="1" x14ac:dyDescent="0.2">
      <c r="BB1115" s="28">
        <v>19</v>
      </c>
      <c r="BC1115" s="121">
        <v>7.1775000000000002</v>
      </c>
      <c r="BD1115" s="121">
        <v>7.9742500000000005</v>
      </c>
      <c r="BE1115" s="121">
        <v>8.7710000000000008</v>
      </c>
      <c r="BF1115" s="121">
        <v>9.4809999999999999</v>
      </c>
      <c r="BG1115" s="121">
        <v>10.190999999999999</v>
      </c>
      <c r="BH1115" s="121">
        <v>10.873999999999999</v>
      </c>
      <c r="BI1115" s="121">
        <v>11.556999999999999</v>
      </c>
      <c r="BJ1115" s="121">
        <v>12.217749999999999</v>
      </c>
      <c r="BK1115" s="121">
        <v>12.878499999999999</v>
      </c>
      <c r="BL1115" s="121">
        <v>13.50925</v>
      </c>
      <c r="BM1115" s="121">
        <v>14.14</v>
      </c>
      <c r="BN1115" s="121">
        <v>14.748000000000001</v>
      </c>
      <c r="BO1115" s="121">
        <v>15.356000000000002</v>
      </c>
      <c r="BP1115" s="121">
        <v>15.952249999999999</v>
      </c>
      <c r="BQ1115" s="121">
        <f t="array" ref="BQ1115:BQ1156">TRANSPOSE(BR1114:DG1114)</f>
        <v>16.548500000000001</v>
      </c>
      <c r="BR1115" s="120">
        <f>(BQ1115+BS1115)/2</f>
        <v>17.133749999999999</v>
      </c>
      <c r="BS1115" s="120">
        <f>(BS1114+BS1116)/2</f>
        <v>17.719000000000001</v>
      </c>
      <c r="BT1115" s="120">
        <f>(BS1115+BU1115)/2</f>
        <v>18.326500000000003</v>
      </c>
      <c r="BU1115" s="120">
        <f>(BU1114+BU1116)/2</f>
        <v>18.934000000000001</v>
      </c>
      <c r="BV1115" s="120">
        <f>(BU1115+BW1115)/2</f>
        <v>19.492750000000001</v>
      </c>
      <c r="BW1115" s="120">
        <f>(BW1114+BW1116)/2</f>
        <v>20.051499999999997</v>
      </c>
      <c r="BX1115" s="120">
        <f>(BW1115+BY1115)/2</f>
        <v>20.617999999999999</v>
      </c>
      <c r="BY1115" s="120">
        <f>(BY1114+BY1116)/2</f>
        <v>21.1845</v>
      </c>
      <c r="BZ1115" s="120">
        <f>(BY1115+CA1115)/2</f>
        <v>21.724249999999998</v>
      </c>
      <c r="CA1115" s="120">
        <f>(CA1114+CA1116)/2</f>
        <v>22.263999999999999</v>
      </c>
      <c r="CB1115" s="120">
        <f>(CA1115+CC1115)/2</f>
        <v>22.834499999999998</v>
      </c>
      <c r="CC1115" s="120">
        <f>(CC1114+CC1116)/2</f>
        <v>23.405000000000001</v>
      </c>
      <c r="CD1115" s="120">
        <f>(CC1115+CE1115)/2</f>
        <v>23.974250000000001</v>
      </c>
      <c r="CE1115" s="120">
        <f>(CE1114+CE1116)/2</f>
        <v>24.543500000000002</v>
      </c>
      <c r="CF1115" s="120">
        <f>(CE1115+CG1115)/2</f>
        <v>25.061250000000001</v>
      </c>
      <c r="CG1115" s="120">
        <f>(CG1114+CG1116)/2</f>
        <v>25.579000000000001</v>
      </c>
      <c r="CH1115" s="120">
        <f>(CG1115+CI1115)/2</f>
        <v>26.130000000000003</v>
      </c>
      <c r="CI1115" s="120">
        <f>(CI1114+CI1116)/2</f>
        <v>26.681000000000001</v>
      </c>
      <c r="CJ1115" s="120">
        <f>(CI1115+CK1115)/2</f>
        <v>27.198250000000002</v>
      </c>
      <c r="CK1115" s="120">
        <f>(CK1114+CK1116)/2</f>
        <v>27.715499999999999</v>
      </c>
      <c r="CL1115" s="120">
        <f>(CK1115+CM1115)/2</f>
        <v>28.266749999999998</v>
      </c>
      <c r="CM1115" s="120">
        <f>(CM1114+CM1116)/2</f>
        <v>28.817999999999998</v>
      </c>
      <c r="CN1115" s="120">
        <f>(CM1115+CO1115)/2</f>
        <v>29.327500000000001</v>
      </c>
      <c r="CO1115" s="120">
        <f>(CO1114+CO1116)/2</f>
        <v>29.837</v>
      </c>
      <c r="CP1115" s="120">
        <f>(CO1115+CQ1115)/2</f>
        <v>30.358000000000001</v>
      </c>
      <c r="CQ1115" s="120">
        <f>(CQ1114+CQ1116)/2</f>
        <v>30.879000000000001</v>
      </c>
      <c r="CR1115" s="120">
        <f>(CQ1115+CS1115)/2</f>
        <v>31.411000000000001</v>
      </c>
      <c r="CS1115" s="120">
        <f>(CS1114+CS1116)/2</f>
        <v>31.943000000000001</v>
      </c>
      <c r="CT1115" s="120">
        <f>(CS1115+CU1115)/2</f>
        <v>32.460750000000004</v>
      </c>
      <c r="CU1115" s="120">
        <f>(CU1114+CU1116)/2</f>
        <v>32.978500000000004</v>
      </c>
      <c r="CV1115" s="120">
        <f>(CU1115+CW1115)/2</f>
        <v>33.510500000000008</v>
      </c>
      <c r="CW1115" s="120">
        <f>(CW1114+CW1116)/2</f>
        <v>34.042500000000004</v>
      </c>
      <c r="CX1115" s="120">
        <f>(CW1115+CY1115)/2</f>
        <v>34.555750000000003</v>
      </c>
      <c r="CY1115" s="120">
        <f>(CY1114+CY1116)/2</f>
        <v>35.069000000000003</v>
      </c>
      <c r="CZ1115" s="120">
        <f>(CY1115+DA1115)/2</f>
        <v>35.570999999999998</v>
      </c>
      <c r="DA1115" s="120">
        <f>(DA1114+DA1116)/2</f>
        <v>36.073</v>
      </c>
      <c r="DB1115" s="120">
        <f>(DA1115+DC1115)/2</f>
        <v>36.60125</v>
      </c>
      <c r="DC1115" s="120">
        <f>(DC1114+DC1116)/2</f>
        <v>37.1295</v>
      </c>
      <c r="DD1115" s="120">
        <f>(DC1115+DE1115)/2</f>
        <v>37.631749999999997</v>
      </c>
      <c r="DE1115" s="120">
        <f>(DE1114+DE1116)/2</f>
        <v>38.134</v>
      </c>
      <c r="DF1115" s="120">
        <f>(DE1115+DG1115)/2</f>
        <v>38.628750000000004</v>
      </c>
      <c r="DG1115" s="122">
        <f>(DG1114+DG1116)/2</f>
        <v>39.123500000000007</v>
      </c>
    </row>
    <row r="1116" spans="54:111" ht="15" customHeight="1" x14ac:dyDescent="0.2">
      <c r="BB1116" s="28">
        <v>20</v>
      </c>
      <c r="BC1116" s="121">
        <v>7.4610000000000003</v>
      </c>
      <c r="BD1116" s="121">
        <v>8.2695000000000007</v>
      </c>
      <c r="BE1116" s="121">
        <v>9.0779999999999994</v>
      </c>
      <c r="BF1116" s="121">
        <v>9.8109999999999999</v>
      </c>
      <c r="BG1116" s="121">
        <v>10.544</v>
      </c>
      <c r="BH1116" s="121">
        <v>11.2385</v>
      </c>
      <c r="BI1116" s="121">
        <v>11.933</v>
      </c>
      <c r="BJ1116" s="121">
        <v>12.628</v>
      </c>
      <c r="BK1116" s="121">
        <v>13.323</v>
      </c>
      <c r="BL1116" s="121">
        <v>13.9725</v>
      </c>
      <c r="BM1116" s="121">
        <v>14.622</v>
      </c>
      <c r="BN1116" s="121">
        <v>15.2415</v>
      </c>
      <c r="BO1116" s="121">
        <v>15.861000000000001</v>
      </c>
      <c r="BP1116" s="121">
        <v>16.480499999999999</v>
      </c>
      <c r="BQ1116" s="121">
        <v>17.100000000000001</v>
      </c>
      <c r="BR1116" s="121">
        <f t="array" ref="BR1116:BR1156">TRANSPOSE(BS1115:DG1115)</f>
        <v>17.719000000000001</v>
      </c>
      <c r="BS1116" s="158">
        <v>18.338000000000001</v>
      </c>
      <c r="BT1116" s="120">
        <f>(BU1116+BS1116)/2</f>
        <v>18.957500000000003</v>
      </c>
      <c r="BU1116" s="158">
        <v>19.577000000000002</v>
      </c>
      <c r="BV1116" s="120">
        <f>(BW1116+BU1116)/2</f>
        <v>20.1585</v>
      </c>
      <c r="BW1116" s="158">
        <v>20.74</v>
      </c>
      <c r="BX1116" s="120">
        <f>(BY1116+BW1116)/2</f>
        <v>21.320999999999998</v>
      </c>
      <c r="BY1116" s="158">
        <v>21.902000000000001</v>
      </c>
      <c r="BZ1116" s="120">
        <f>(CA1116+BY1116)/2</f>
        <v>22.484000000000002</v>
      </c>
      <c r="CA1116" s="158">
        <v>23.065999999999999</v>
      </c>
      <c r="CB1116" s="120">
        <f>(CC1116+CA1116)/2</f>
        <v>23.648</v>
      </c>
      <c r="CC1116" s="158">
        <v>24.23</v>
      </c>
      <c r="CD1116" s="120">
        <f>(CE1116+CC1116)/2</f>
        <v>24.811</v>
      </c>
      <c r="CE1116" s="158">
        <v>25.391999999999999</v>
      </c>
      <c r="CF1116" s="120">
        <f>(CG1116+CE1116)/2</f>
        <v>25.936</v>
      </c>
      <c r="CG1116" s="158">
        <v>26.48</v>
      </c>
      <c r="CH1116" s="120">
        <f>(CI1116+CG1116)/2</f>
        <v>27.061500000000002</v>
      </c>
      <c r="CI1116" s="158">
        <v>27.643000000000001</v>
      </c>
      <c r="CJ1116" s="120">
        <f>(CK1116+CI1116)/2</f>
        <v>28.179500000000001</v>
      </c>
      <c r="CK1116" s="158">
        <v>28.716000000000001</v>
      </c>
      <c r="CL1116" s="120">
        <f>(CM1116+CK1116)/2</f>
        <v>29.259999999999998</v>
      </c>
      <c r="CM1116" s="158">
        <v>29.803999999999998</v>
      </c>
      <c r="CN1116" s="120">
        <f>(CO1116+CM1116)/2</f>
        <v>30.347999999999999</v>
      </c>
      <c r="CO1116" s="158">
        <v>30.891999999999999</v>
      </c>
      <c r="CP1116" s="120">
        <f>(CQ1116+CO1116)/2</f>
        <v>31.435000000000002</v>
      </c>
      <c r="CQ1116" s="158">
        <v>31.978000000000002</v>
      </c>
      <c r="CR1116" s="120">
        <f>(CS1116+CQ1116)/2</f>
        <v>32.522000000000006</v>
      </c>
      <c r="CS1116" s="158">
        <v>33.066000000000003</v>
      </c>
      <c r="CT1116" s="120">
        <f>(CU1116+CS1116)/2</f>
        <v>33.61</v>
      </c>
      <c r="CU1116" s="158">
        <v>34.154000000000003</v>
      </c>
      <c r="CV1116" s="120">
        <f>(CW1116+CU1116)/2</f>
        <v>34.697500000000005</v>
      </c>
      <c r="CW1116" s="158">
        <v>35.241</v>
      </c>
      <c r="CX1116" s="120">
        <f>(CY1116+CW1116)/2</f>
        <v>35.784999999999997</v>
      </c>
      <c r="CY1116" s="158">
        <v>36.329000000000001</v>
      </c>
      <c r="CZ1116" s="120">
        <f>(DA1116+CY1116)/2</f>
        <v>36.835000000000001</v>
      </c>
      <c r="DA1116" s="158">
        <v>37.341000000000001</v>
      </c>
      <c r="DB1116" s="120">
        <f>(DC1116+DA1116)/2</f>
        <v>37.884500000000003</v>
      </c>
      <c r="DC1116" s="158">
        <v>38.427999999999997</v>
      </c>
      <c r="DD1116" s="120">
        <f>(DE1116+DC1116)/2</f>
        <v>38.971499999999999</v>
      </c>
      <c r="DE1116" s="158">
        <v>39.515000000000001</v>
      </c>
      <c r="DF1116" s="120">
        <f>(DG1116+DE1116)/2</f>
        <v>40.022000000000006</v>
      </c>
      <c r="DG1116" s="159">
        <v>40.529000000000003</v>
      </c>
    </row>
    <row r="1117" spans="54:111" ht="15" customHeight="1" x14ac:dyDescent="0.2">
      <c r="BB1117" s="28">
        <v>21</v>
      </c>
      <c r="BC1117" s="121">
        <v>7.6995000000000005</v>
      </c>
      <c r="BD1117" s="121">
        <v>8.5197500000000002</v>
      </c>
      <c r="BE1117" s="121">
        <v>9.34</v>
      </c>
      <c r="BF1117" s="121">
        <v>10.1145</v>
      </c>
      <c r="BG1117" s="121">
        <v>10.888999999999999</v>
      </c>
      <c r="BH1117" s="121">
        <v>11.617750000000001</v>
      </c>
      <c r="BI1117" s="121">
        <v>12.346499999999999</v>
      </c>
      <c r="BJ1117" s="121">
        <v>13.033999999999999</v>
      </c>
      <c r="BK1117" s="121">
        <v>13.721499999999999</v>
      </c>
      <c r="BL1117" s="121">
        <v>14.416499999999999</v>
      </c>
      <c r="BM1117" s="121">
        <v>15.111499999999999</v>
      </c>
      <c r="BN1117" s="121">
        <v>15.742750000000001</v>
      </c>
      <c r="BO1117" s="121">
        <v>16.374000000000002</v>
      </c>
      <c r="BP1117" s="121">
        <v>17.034749999999999</v>
      </c>
      <c r="BQ1117" s="121">
        <v>17.695500000000003</v>
      </c>
      <c r="BR1117" s="121">
        <v>18.326500000000003</v>
      </c>
      <c r="BS1117" s="121">
        <f t="array" ref="BS1117:BS1156">TRANSPOSE(BT1116:DG1116)</f>
        <v>18.957500000000003</v>
      </c>
      <c r="BT1117" s="120">
        <f>(BS1117+BU1117)/2</f>
        <v>19.569750000000003</v>
      </c>
      <c r="BU1117" s="120">
        <f>(BU1116+BU1118)/2</f>
        <v>20.182000000000002</v>
      </c>
      <c r="BV1117" s="120">
        <f>(BU1117+BW1117)/2</f>
        <v>20.805250000000001</v>
      </c>
      <c r="BW1117" s="120">
        <f>(BW1116+BW1118)/2</f>
        <v>21.4285</v>
      </c>
      <c r="BX1117" s="120">
        <f>(BW1117+BY1117)/2</f>
        <v>22.021250000000002</v>
      </c>
      <c r="BY1117" s="120">
        <f>(BY1116+BY1118)/2</f>
        <v>22.614000000000001</v>
      </c>
      <c r="BZ1117" s="120">
        <f>(BY1117+CA1117)/2</f>
        <v>23.222000000000001</v>
      </c>
      <c r="CA1117" s="120">
        <f>(CA1116+CA1118)/2</f>
        <v>23.83</v>
      </c>
      <c r="CB1117" s="120">
        <f>(CA1117+CC1117)/2</f>
        <v>24.423749999999998</v>
      </c>
      <c r="CC1117" s="120">
        <f>(CC1116+CC1118)/2</f>
        <v>25.017499999999998</v>
      </c>
      <c r="CD1117" s="120">
        <f>(CC1117+CE1117)/2</f>
        <v>25.610250000000001</v>
      </c>
      <c r="CE1117" s="120">
        <f>(CE1116+CE1118)/2</f>
        <v>26.202999999999999</v>
      </c>
      <c r="CF1117" s="120">
        <f>(CE1117+CG1117)/2</f>
        <v>26.788249999999998</v>
      </c>
      <c r="CG1117" s="120">
        <f>(CG1116+CG1118)/2</f>
        <v>27.3735</v>
      </c>
      <c r="CH1117" s="120">
        <f>(CG1117+CI1117)/2</f>
        <v>27.948</v>
      </c>
      <c r="CI1117" s="120">
        <f>(CI1116+CI1118)/2</f>
        <v>28.522500000000001</v>
      </c>
      <c r="CJ1117" s="120">
        <f>(CI1117+CK1117)/2</f>
        <v>29.10425</v>
      </c>
      <c r="CK1117" s="120">
        <f>(CK1116+CK1118)/2</f>
        <v>29.686</v>
      </c>
      <c r="CL1117" s="120">
        <f>(CK1117+CM1117)/2</f>
        <v>30.241250000000001</v>
      </c>
      <c r="CM1117" s="120">
        <f>(CM1116+CM1118)/2</f>
        <v>30.796500000000002</v>
      </c>
      <c r="CN1117" s="120">
        <f>(CM1117+CO1117)/2</f>
        <v>31.37125</v>
      </c>
      <c r="CO1117" s="120">
        <f>(CO1116+CO1118)/2</f>
        <v>31.945999999999998</v>
      </c>
      <c r="CP1117" s="120">
        <f>(CO1117+CQ1117)/2</f>
        <v>32.512</v>
      </c>
      <c r="CQ1117" s="120">
        <f>(CQ1116+CQ1118)/2</f>
        <v>33.078000000000003</v>
      </c>
      <c r="CR1117" s="120">
        <f>(CQ1117+CS1117)/2</f>
        <v>33.637250000000002</v>
      </c>
      <c r="CS1117" s="120">
        <f>(CS1116+CS1118)/2</f>
        <v>34.1965</v>
      </c>
      <c r="CT1117" s="120">
        <f>(CS1117+CU1117)/2</f>
        <v>34.763000000000005</v>
      </c>
      <c r="CU1117" s="120">
        <f>(CU1116+CU1118)/2</f>
        <v>35.329500000000003</v>
      </c>
      <c r="CV1117" s="120">
        <f>(CU1117+CW1117)/2</f>
        <v>35.884749999999997</v>
      </c>
      <c r="CW1117" s="120">
        <f>(CW1116+CW1118)/2</f>
        <v>36.44</v>
      </c>
      <c r="CX1117" s="120">
        <f>(CW1117+CY1117)/2</f>
        <v>36.995750000000001</v>
      </c>
      <c r="CY1117" s="120">
        <f>(CY1116+CY1118)/2</f>
        <v>37.551500000000004</v>
      </c>
      <c r="CZ1117" s="120">
        <f>(CY1117+DA1117)/2</f>
        <v>38.099000000000004</v>
      </c>
      <c r="DA1117" s="120">
        <f>(DA1116+DA1118)/2</f>
        <v>38.646500000000003</v>
      </c>
      <c r="DB1117" s="120">
        <f>(DA1117+DC1117)/2</f>
        <v>39.183</v>
      </c>
      <c r="DC1117" s="120">
        <f>(DC1116+DC1118)/2</f>
        <v>39.719499999999996</v>
      </c>
      <c r="DD1117" s="120">
        <f>(DC1117+DE1117)/2</f>
        <v>40.28575</v>
      </c>
      <c r="DE1117" s="120">
        <f>(DE1116+DE1118)/2</f>
        <v>40.852000000000004</v>
      </c>
      <c r="DF1117" s="120">
        <f>(DE1117+DG1117)/2</f>
        <v>41.389000000000003</v>
      </c>
      <c r="DG1117" s="122">
        <f>(DG1116+DG1118)/2</f>
        <v>41.926000000000002</v>
      </c>
    </row>
    <row r="1118" spans="54:111" ht="15" customHeight="1" x14ac:dyDescent="0.2">
      <c r="BB1118" s="28">
        <v>22</v>
      </c>
      <c r="BC1118" s="121">
        <v>7.9379999999999997</v>
      </c>
      <c r="BD1118" s="121">
        <v>8.77</v>
      </c>
      <c r="BE1118" s="121">
        <v>9.6020000000000003</v>
      </c>
      <c r="BF1118" s="121">
        <v>10.417999999999999</v>
      </c>
      <c r="BG1118" s="121">
        <v>11.234</v>
      </c>
      <c r="BH1118" s="121">
        <v>11.997</v>
      </c>
      <c r="BI1118" s="121">
        <v>12.76</v>
      </c>
      <c r="BJ1118" s="121">
        <v>13.44</v>
      </c>
      <c r="BK1118" s="121">
        <v>14.12</v>
      </c>
      <c r="BL1118" s="121">
        <v>14.8605</v>
      </c>
      <c r="BM1118" s="121">
        <v>15.601000000000001</v>
      </c>
      <c r="BN1118" s="121">
        <v>16.244</v>
      </c>
      <c r="BO1118" s="121">
        <v>16.887</v>
      </c>
      <c r="BP1118" s="121">
        <v>17.588999999999999</v>
      </c>
      <c r="BQ1118" s="121">
        <v>18.291</v>
      </c>
      <c r="BR1118" s="121">
        <v>18.934000000000001</v>
      </c>
      <c r="BS1118" s="121">
        <v>19.577000000000002</v>
      </c>
      <c r="BT1118" s="121">
        <f t="array" ref="BT1118:BT1156">TRANSPOSE(BU1117:DG1117)</f>
        <v>20.182000000000002</v>
      </c>
      <c r="BU1118" s="158">
        <v>20.786999999999999</v>
      </c>
      <c r="BV1118" s="120">
        <f>(BW1118+BU1118)/2</f>
        <v>21.451999999999998</v>
      </c>
      <c r="BW1118" s="158">
        <v>22.117000000000001</v>
      </c>
      <c r="BX1118" s="120">
        <f>(BY1118+BW1118)/2</f>
        <v>22.721499999999999</v>
      </c>
      <c r="BY1118" s="158">
        <v>23.326000000000001</v>
      </c>
      <c r="BZ1118" s="120">
        <f>(CA1118+BY1118)/2</f>
        <v>23.96</v>
      </c>
      <c r="CA1118" s="158">
        <v>24.594000000000001</v>
      </c>
      <c r="CB1118" s="120">
        <f>(CC1118+CA1118)/2</f>
        <v>25.1995</v>
      </c>
      <c r="CC1118" s="158">
        <v>25.805</v>
      </c>
      <c r="CD1118" s="120">
        <f>(CE1118+CC1118)/2</f>
        <v>26.409500000000001</v>
      </c>
      <c r="CE1118" s="158">
        <v>27.013999999999999</v>
      </c>
      <c r="CF1118" s="120">
        <f>(CG1118+CE1118)/2</f>
        <v>27.640499999999999</v>
      </c>
      <c r="CG1118" s="158">
        <v>28.266999999999999</v>
      </c>
      <c r="CH1118" s="120">
        <f>(CI1118+CG1118)/2</f>
        <v>28.834499999999998</v>
      </c>
      <c r="CI1118" s="158">
        <v>29.402000000000001</v>
      </c>
      <c r="CJ1118" s="120">
        <f>(CK1118+CI1118)/2</f>
        <v>30.029</v>
      </c>
      <c r="CK1118" s="158">
        <v>30.655999999999999</v>
      </c>
      <c r="CL1118" s="120">
        <f>(CM1118+CK1118)/2</f>
        <v>31.2225</v>
      </c>
      <c r="CM1118" s="158">
        <v>31.789000000000001</v>
      </c>
      <c r="CN1118" s="120">
        <f>(CO1118+CM1118)/2</f>
        <v>32.394500000000001</v>
      </c>
      <c r="CO1118" s="158">
        <v>33</v>
      </c>
      <c r="CP1118" s="120">
        <f>(CQ1118+CO1118)/2</f>
        <v>33.588999999999999</v>
      </c>
      <c r="CQ1118" s="158">
        <v>34.177999999999997</v>
      </c>
      <c r="CR1118" s="120">
        <f>(CS1118+CQ1118)/2</f>
        <v>34.752499999999998</v>
      </c>
      <c r="CS1118" s="158">
        <v>35.326999999999998</v>
      </c>
      <c r="CT1118" s="120">
        <f>(CU1118+CS1118)/2</f>
        <v>35.915999999999997</v>
      </c>
      <c r="CU1118" s="158">
        <v>36.505000000000003</v>
      </c>
      <c r="CV1118" s="120">
        <f>(CW1118+CU1118)/2</f>
        <v>37.072000000000003</v>
      </c>
      <c r="CW1118" s="158">
        <v>37.639000000000003</v>
      </c>
      <c r="CX1118" s="120">
        <f>(CY1118+CW1118)/2</f>
        <v>38.206500000000005</v>
      </c>
      <c r="CY1118" s="158">
        <v>38.774000000000001</v>
      </c>
      <c r="CZ1118" s="120">
        <f>(DA1118+CY1118)/2</f>
        <v>39.363</v>
      </c>
      <c r="DA1118" s="158">
        <v>39.951999999999998</v>
      </c>
      <c r="DB1118" s="120">
        <f>(DC1118+DA1118)/2</f>
        <v>40.481499999999997</v>
      </c>
      <c r="DC1118" s="158">
        <v>41.011000000000003</v>
      </c>
      <c r="DD1118" s="120">
        <f>(DE1118+DC1118)/2</f>
        <v>41.6</v>
      </c>
      <c r="DE1118" s="158">
        <v>42.189</v>
      </c>
      <c r="DF1118" s="120">
        <f>(DG1118+DE1118)/2</f>
        <v>42.756</v>
      </c>
      <c r="DG1118" s="159">
        <v>43.323</v>
      </c>
    </row>
    <row r="1119" spans="54:111" ht="15" customHeight="1" x14ac:dyDescent="0.2">
      <c r="BB1119" s="28">
        <v>23</v>
      </c>
      <c r="BC1119" s="121">
        <v>8.1839999999999993</v>
      </c>
      <c r="BD1119" s="121">
        <v>9.0462500000000006</v>
      </c>
      <c r="BE1119" s="121">
        <v>9.9085000000000001</v>
      </c>
      <c r="BF1119" s="121">
        <v>10.73625</v>
      </c>
      <c r="BG1119" s="121">
        <v>11.564</v>
      </c>
      <c r="BH1119" s="121">
        <v>12.35</v>
      </c>
      <c r="BI1119" s="121">
        <v>13.135999999999999</v>
      </c>
      <c r="BJ1119" s="121">
        <v>13.857749999999999</v>
      </c>
      <c r="BK1119" s="121">
        <v>14.579499999999999</v>
      </c>
      <c r="BL1119" s="121">
        <v>15.3125</v>
      </c>
      <c r="BM1119" s="121">
        <v>16.045500000000001</v>
      </c>
      <c r="BN1119" s="121">
        <v>16.719000000000001</v>
      </c>
      <c r="BO1119" s="121">
        <v>17.392499999999998</v>
      </c>
      <c r="BP1119" s="121">
        <v>18.109749999999998</v>
      </c>
      <c r="BQ1119" s="121">
        <v>18.826999999999998</v>
      </c>
      <c r="BR1119" s="121">
        <v>19.492750000000001</v>
      </c>
      <c r="BS1119" s="121">
        <v>20.1585</v>
      </c>
      <c r="BT1119" s="121">
        <v>20.805250000000001</v>
      </c>
      <c r="BU1119" s="121">
        <f t="array" ref="BU1119:BU1156">TRANSPOSE(BV1118:DG1118)</f>
        <v>21.451999999999998</v>
      </c>
      <c r="BV1119" s="120">
        <f>(BU1119+BW1119)/2</f>
        <v>22.13175</v>
      </c>
      <c r="BW1119" s="120">
        <f>(BW1118+BW1120)/2</f>
        <v>22.811500000000002</v>
      </c>
      <c r="BX1119" s="120">
        <f>(BW1119+BY1119)/2</f>
        <v>23.428000000000001</v>
      </c>
      <c r="BY1119" s="120">
        <f>(BY1118+BY1120)/2</f>
        <v>24.044499999999999</v>
      </c>
      <c r="BZ1119" s="120">
        <f>(BY1119+CA1119)/2</f>
        <v>24.68675</v>
      </c>
      <c r="CA1119" s="120">
        <f>(CA1118+CA1120)/2</f>
        <v>25.329000000000001</v>
      </c>
      <c r="CB1119" s="120">
        <f>(CA1119+CC1119)/2</f>
        <v>25.979500000000002</v>
      </c>
      <c r="CC1119" s="120">
        <f>(CC1118+CC1120)/2</f>
        <v>26.63</v>
      </c>
      <c r="CD1119" s="120">
        <f>(CC1119+CE1119)/2</f>
        <v>27.238500000000002</v>
      </c>
      <c r="CE1119" s="120">
        <f>(CE1118+CE1120)/2</f>
        <v>27.847000000000001</v>
      </c>
      <c r="CF1119" s="120">
        <f>(CE1119+CG1119)/2</f>
        <v>28.485250000000001</v>
      </c>
      <c r="CG1119" s="120">
        <f>(CG1118+CG1120)/2</f>
        <v>29.1235</v>
      </c>
      <c r="CH1119" s="120">
        <f>(CG1119+CI1119)/2</f>
        <v>29.721499999999999</v>
      </c>
      <c r="CI1119" s="120">
        <f>(CI1118+CI1120)/2</f>
        <v>30.319499999999998</v>
      </c>
      <c r="CJ1119" s="120">
        <f>(CI1119+CK1119)/2</f>
        <v>30.961500000000001</v>
      </c>
      <c r="CK1119" s="120">
        <f>(CK1118+CK1120)/2</f>
        <v>31.6035</v>
      </c>
      <c r="CL1119" s="120">
        <f>(CK1119+CM1119)/2</f>
        <v>32.193249999999999</v>
      </c>
      <c r="CM1119" s="120">
        <f>(CM1118+CM1120)/2</f>
        <v>32.783000000000001</v>
      </c>
      <c r="CN1119" s="120">
        <f>(CM1119+CO1119)/2</f>
        <v>33.41075</v>
      </c>
      <c r="CO1119" s="120">
        <f>(CO1118+CO1120)/2</f>
        <v>34.038499999999999</v>
      </c>
      <c r="CP1119" s="120">
        <f>(CO1119+CQ1119)/2</f>
        <v>34.642749999999999</v>
      </c>
      <c r="CQ1119" s="120">
        <f>(CQ1118+CQ1120)/2</f>
        <v>35.247</v>
      </c>
      <c r="CR1119" s="120">
        <f>(CQ1119+CS1119)/2</f>
        <v>35.829499999999996</v>
      </c>
      <c r="CS1119" s="120">
        <f>(CS1118+CS1120)/2</f>
        <v>36.411999999999999</v>
      </c>
      <c r="CT1119" s="120">
        <f>(CS1119+CU1119)/2</f>
        <v>37.013000000000005</v>
      </c>
      <c r="CU1119" s="120">
        <f>(CU1118+CU1120)/2</f>
        <v>37.614000000000004</v>
      </c>
      <c r="CV1119" s="120">
        <f>(CU1119+CW1119)/2</f>
        <v>38.207250000000002</v>
      </c>
      <c r="CW1119" s="120">
        <f>(CW1118+CW1120)/2</f>
        <v>38.8005</v>
      </c>
      <c r="CX1119" s="120">
        <f>(CW1119+CY1119)/2</f>
        <v>39.390250000000002</v>
      </c>
      <c r="CY1119" s="120">
        <f>(CY1118+CY1120)/2</f>
        <v>39.980000000000004</v>
      </c>
      <c r="CZ1119" s="120">
        <f>(CY1119+DA1119)/2</f>
        <v>40.581000000000003</v>
      </c>
      <c r="DA1119" s="120">
        <f>(DA1118+DA1120)/2</f>
        <v>41.182000000000002</v>
      </c>
      <c r="DB1119" s="120">
        <f>(DA1119+DC1119)/2</f>
        <v>41.745750000000001</v>
      </c>
      <c r="DC1119" s="120">
        <f>(DC1118+DC1120)/2</f>
        <v>42.3095</v>
      </c>
      <c r="DD1119" s="120">
        <f>(DC1119+DE1119)/2</f>
        <v>42.91</v>
      </c>
      <c r="DE1119" s="120">
        <f>(DE1118+DE1120)/2</f>
        <v>43.5105</v>
      </c>
      <c r="DF1119" s="120">
        <f>(DE1119+DG1119)/2</f>
        <v>44.100250000000003</v>
      </c>
      <c r="DG1119" s="122">
        <f>(DG1118+DG1120)/2</f>
        <v>44.69</v>
      </c>
    </row>
    <row r="1120" spans="54:111" ht="15" customHeight="1" x14ac:dyDescent="0.2">
      <c r="BB1120" s="28">
        <v>24</v>
      </c>
      <c r="BC1120" s="121">
        <v>8.43</v>
      </c>
      <c r="BD1120" s="121">
        <v>9.3224999999999998</v>
      </c>
      <c r="BE1120" s="121">
        <v>10.215</v>
      </c>
      <c r="BF1120" s="121">
        <v>11.054500000000001</v>
      </c>
      <c r="BG1120" s="121">
        <v>11.894</v>
      </c>
      <c r="BH1120" s="121">
        <v>12.702999999999999</v>
      </c>
      <c r="BI1120" s="121">
        <v>13.512</v>
      </c>
      <c r="BJ1120" s="121">
        <v>14.275500000000001</v>
      </c>
      <c r="BK1120" s="121">
        <v>15.039</v>
      </c>
      <c r="BL1120" s="121">
        <v>15.764499999999998</v>
      </c>
      <c r="BM1120" s="121">
        <v>16.489999999999998</v>
      </c>
      <c r="BN1120" s="121">
        <v>17.193999999999999</v>
      </c>
      <c r="BO1120" s="121">
        <v>17.898</v>
      </c>
      <c r="BP1120" s="121">
        <v>18.630499999999998</v>
      </c>
      <c r="BQ1120" s="121">
        <v>19.363</v>
      </c>
      <c r="BR1120" s="121">
        <v>20.051499999999997</v>
      </c>
      <c r="BS1120" s="121">
        <v>20.74</v>
      </c>
      <c r="BT1120" s="121">
        <v>21.4285</v>
      </c>
      <c r="BU1120" s="121">
        <v>22.117000000000001</v>
      </c>
      <c r="BV1120" s="121">
        <f t="array" ref="BV1120:BV1156">TRANSPOSE(BW1119:DG1119)</f>
        <v>22.811500000000002</v>
      </c>
      <c r="BW1120" s="158">
        <v>23.506</v>
      </c>
      <c r="BX1120" s="120">
        <f>(BY1120+BW1120)/2</f>
        <v>24.134500000000003</v>
      </c>
      <c r="BY1120" s="158">
        <v>24.763000000000002</v>
      </c>
      <c r="BZ1120" s="120">
        <f>(CA1120+BY1120)/2</f>
        <v>25.413499999999999</v>
      </c>
      <c r="CA1120" s="158">
        <v>26.064</v>
      </c>
      <c r="CB1120" s="120">
        <f>(CC1120+CA1120)/2</f>
        <v>26.759499999999999</v>
      </c>
      <c r="CC1120" s="158">
        <v>27.454999999999998</v>
      </c>
      <c r="CD1120" s="120">
        <f>(CE1120+CC1120)/2</f>
        <v>28.067499999999999</v>
      </c>
      <c r="CE1120" s="158">
        <v>28.68</v>
      </c>
      <c r="CF1120" s="120">
        <f>(CG1120+CE1120)/2</f>
        <v>29.33</v>
      </c>
      <c r="CG1120" s="158">
        <v>29.98</v>
      </c>
      <c r="CH1120" s="120">
        <f>(CI1120+CG1120)/2</f>
        <v>30.608499999999999</v>
      </c>
      <c r="CI1120" s="158">
        <v>31.236999999999998</v>
      </c>
      <c r="CJ1120" s="120">
        <f>(CK1120+CI1120)/2</f>
        <v>31.893999999999998</v>
      </c>
      <c r="CK1120" s="158">
        <v>32.551000000000002</v>
      </c>
      <c r="CL1120" s="120">
        <f>(CM1120+CK1120)/2</f>
        <v>33.164000000000001</v>
      </c>
      <c r="CM1120" s="158">
        <v>33.777000000000001</v>
      </c>
      <c r="CN1120" s="120">
        <f>(CO1120+CM1120)/2</f>
        <v>34.427</v>
      </c>
      <c r="CO1120" s="158">
        <v>35.076999999999998</v>
      </c>
      <c r="CP1120" s="120">
        <f>(CQ1120+CO1120)/2</f>
        <v>35.6965</v>
      </c>
      <c r="CQ1120" s="158">
        <v>36.316000000000003</v>
      </c>
      <c r="CR1120" s="120">
        <f>(CS1120+CQ1120)/2</f>
        <v>36.906500000000001</v>
      </c>
      <c r="CS1120" s="158">
        <v>37.497</v>
      </c>
      <c r="CT1120" s="120">
        <f>(CU1120+CS1120)/2</f>
        <v>38.11</v>
      </c>
      <c r="CU1120" s="158">
        <v>38.722999999999999</v>
      </c>
      <c r="CV1120" s="120">
        <f>(CW1120+CU1120)/2</f>
        <v>39.342500000000001</v>
      </c>
      <c r="CW1120" s="158">
        <v>39.962000000000003</v>
      </c>
      <c r="CX1120" s="120">
        <f>(CY1120+CW1120)/2</f>
        <v>40.573999999999998</v>
      </c>
      <c r="CY1120" s="158">
        <v>41.186</v>
      </c>
      <c r="CZ1120" s="120">
        <f>(DA1120+CY1120)/2</f>
        <v>41.798999999999999</v>
      </c>
      <c r="DA1120" s="158">
        <v>42.411999999999999</v>
      </c>
      <c r="DB1120" s="120">
        <f>(DC1120+DA1120)/2</f>
        <v>43.01</v>
      </c>
      <c r="DC1120" s="158">
        <v>43.607999999999997</v>
      </c>
      <c r="DD1120" s="120">
        <f>(DE1120+DC1120)/2</f>
        <v>44.22</v>
      </c>
      <c r="DE1120" s="158">
        <v>44.832000000000001</v>
      </c>
      <c r="DF1120" s="120">
        <f>(DG1120+DE1120)/2</f>
        <v>45.444500000000005</v>
      </c>
      <c r="DG1120" s="159">
        <v>46.057000000000002</v>
      </c>
    </row>
    <row r="1121" spans="54:111" ht="15" customHeight="1" x14ac:dyDescent="0.2">
      <c r="BB1121" s="28">
        <v>25</v>
      </c>
      <c r="BC1121" s="121">
        <v>8.6470000000000002</v>
      </c>
      <c r="BD1121" s="121">
        <v>9.5730000000000004</v>
      </c>
      <c r="BE1121" s="121">
        <v>10.498999999999999</v>
      </c>
      <c r="BF1121" s="121">
        <v>11.37275</v>
      </c>
      <c r="BG1121" s="121">
        <v>12.246500000000001</v>
      </c>
      <c r="BH1121" s="121">
        <v>13.06325</v>
      </c>
      <c r="BI1121" s="121">
        <v>13.879999999999999</v>
      </c>
      <c r="BJ1121" s="121">
        <v>14.658750000000001</v>
      </c>
      <c r="BK1121" s="121">
        <v>15.4375</v>
      </c>
      <c r="BL1121" s="121">
        <v>16.193999999999999</v>
      </c>
      <c r="BM1121" s="121">
        <v>16.950499999999998</v>
      </c>
      <c r="BN1121" s="121">
        <v>17.691499999999998</v>
      </c>
      <c r="BO1121" s="121">
        <v>18.432499999999997</v>
      </c>
      <c r="BP1121" s="121">
        <v>19.173749999999998</v>
      </c>
      <c r="BQ1121" s="121">
        <v>19.914999999999999</v>
      </c>
      <c r="BR1121" s="121">
        <v>20.617999999999999</v>
      </c>
      <c r="BS1121" s="121">
        <v>21.320999999999998</v>
      </c>
      <c r="BT1121" s="121">
        <v>22.021250000000002</v>
      </c>
      <c r="BU1121" s="121">
        <v>22.721499999999999</v>
      </c>
      <c r="BV1121" s="121">
        <v>23.428000000000001</v>
      </c>
      <c r="BW1121" s="121">
        <f t="array" ref="BW1121:BW1156">TRANSPOSE(BX1120:DG1120)</f>
        <v>24.134500000000003</v>
      </c>
      <c r="BX1121" s="120">
        <f>(BW1121+BY1121)/2</f>
        <v>24.815750000000001</v>
      </c>
      <c r="BY1121" s="120">
        <f>(BY1120+BY1122)/2</f>
        <v>25.497</v>
      </c>
      <c r="BZ1121" s="120">
        <f>(BY1121+CA1121)/2</f>
        <v>26.162500000000001</v>
      </c>
      <c r="CA1121" s="120">
        <f>(CA1120+CA1122)/2</f>
        <v>26.827999999999999</v>
      </c>
      <c r="CB1121" s="120">
        <f>(CA1121+CC1121)/2</f>
        <v>27.512499999999999</v>
      </c>
      <c r="CC1121" s="120">
        <f>(CC1120+CC1122)/2</f>
        <v>28.196999999999999</v>
      </c>
      <c r="CD1121" s="120">
        <f>(CC1121+CE1121)/2</f>
        <v>28.862749999999998</v>
      </c>
      <c r="CE1121" s="120">
        <f>(CE1120+CE1122)/2</f>
        <v>29.528500000000001</v>
      </c>
      <c r="CF1121" s="120">
        <f>(CE1121+CG1121)/2</f>
        <v>30.19</v>
      </c>
      <c r="CG1121" s="120">
        <f>(CG1120+CG1122)/2</f>
        <v>30.851500000000001</v>
      </c>
      <c r="CH1121" s="120">
        <f>(CG1121+CI1121)/2</f>
        <v>31.4985</v>
      </c>
      <c r="CI1121" s="120">
        <f>(CI1120+CI1122)/2</f>
        <v>32.145499999999998</v>
      </c>
      <c r="CJ1121" s="120">
        <f>(CI1121+CK1121)/2</f>
        <v>32.810749999999999</v>
      </c>
      <c r="CK1121" s="120">
        <f>(CK1120+CK1122)/2</f>
        <v>33.475999999999999</v>
      </c>
      <c r="CL1121" s="120">
        <f>(CK1121+CM1121)/2</f>
        <v>34.122999999999998</v>
      </c>
      <c r="CM1121" s="120">
        <f>(CM1120+CM1122)/2</f>
        <v>34.769999999999996</v>
      </c>
      <c r="CN1121" s="120">
        <f>(CM1121+CO1121)/2</f>
        <v>35.412999999999997</v>
      </c>
      <c r="CO1121" s="120">
        <f>(CO1120+CO1122)/2</f>
        <v>36.055999999999997</v>
      </c>
      <c r="CP1121" s="120">
        <f>(CO1121+CQ1121)/2</f>
        <v>36.706249999999997</v>
      </c>
      <c r="CQ1121" s="120">
        <f>(CQ1120+CQ1122)/2</f>
        <v>37.356499999999997</v>
      </c>
      <c r="CR1121" s="120">
        <f>(CQ1121+CS1121)/2</f>
        <v>37.980499999999999</v>
      </c>
      <c r="CS1121" s="120">
        <f>(CS1120+CS1122)/2</f>
        <v>38.604500000000002</v>
      </c>
      <c r="CT1121" s="120">
        <f>(CS1121+CU1121)/2</f>
        <v>39.232500000000002</v>
      </c>
      <c r="CU1121" s="120">
        <f>(CU1120+CU1122)/2</f>
        <v>39.860500000000002</v>
      </c>
      <c r="CV1121" s="120">
        <f>(CU1121+CW1121)/2</f>
        <v>40.507000000000005</v>
      </c>
      <c r="CW1121" s="120">
        <f>(CW1120+CW1122)/2</f>
        <v>41.153500000000001</v>
      </c>
      <c r="CX1121" s="120">
        <f>(CW1121+CY1121)/2</f>
        <v>41.781000000000006</v>
      </c>
      <c r="CY1121" s="120">
        <f>(CY1120+CY1122)/2</f>
        <v>42.408500000000004</v>
      </c>
      <c r="CZ1121" s="120">
        <f>(CY1121+DA1121)/2</f>
        <v>43.033250000000002</v>
      </c>
      <c r="DA1121" s="120">
        <f>(DA1120+DA1122)/2</f>
        <v>43.658000000000001</v>
      </c>
      <c r="DB1121" s="120">
        <f>(DA1121+DC1121)/2</f>
        <v>44.289249999999996</v>
      </c>
      <c r="DC1121" s="120">
        <f>(DC1120+DC1122)/2</f>
        <v>44.920499999999997</v>
      </c>
      <c r="DD1121" s="120">
        <f>(DC1121+DE1121)/2</f>
        <v>45.544499999999999</v>
      </c>
      <c r="DE1121" s="120">
        <f>(DE1120+DE1122)/2</f>
        <v>46.168500000000002</v>
      </c>
      <c r="DF1121" s="120">
        <f>(DE1121+DG1121)/2</f>
        <v>46.796250000000001</v>
      </c>
      <c r="DG1121" s="122">
        <f>(DG1120+DG1122)/2</f>
        <v>47.423999999999999</v>
      </c>
    </row>
    <row r="1122" spans="54:111" ht="15" customHeight="1" x14ac:dyDescent="0.2">
      <c r="BB1122" s="28">
        <v>26</v>
      </c>
      <c r="BC1122" s="121">
        <v>8.8640000000000008</v>
      </c>
      <c r="BD1122" s="121">
        <v>9.8234999999999992</v>
      </c>
      <c r="BE1122" s="121">
        <v>10.782999999999999</v>
      </c>
      <c r="BF1122" s="121">
        <v>11.690999999999999</v>
      </c>
      <c r="BG1122" s="121">
        <v>12.599</v>
      </c>
      <c r="BH1122" s="121">
        <v>13.423500000000001</v>
      </c>
      <c r="BI1122" s="121">
        <v>14.247999999999999</v>
      </c>
      <c r="BJ1122" s="121">
        <v>15.042</v>
      </c>
      <c r="BK1122" s="121">
        <v>15.836</v>
      </c>
      <c r="BL1122" s="121">
        <v>16.6235</v>
      </c>
      <c r="BM1122" s="121">
        <v>17.411000000000001</v>
      </c>
      <c r="BN1122" s="121">
        <v>18.189</v>
      </c>
      <c r="BO1122" s="121">
        <v>18.966999999999999</v>
      </c>
      <c r="BP1122" s="121">
        <v>19.716999999999999</v>
      </c>
      <c r="BQ1122" s="121">
        <v>20.466999999999999</v>
      </c>
      <c r="BR1122" s="121">
        <v>21.1845</v>
      </c>
      <c r="BS1122" s="121">
        <v>21.902000000000001</v>
      </c>
      <c r="BT1122" s="121">
        <v>22.614000000000001</v>
      </c>
      <c r="BU1122" s="121">
        <v>23.326000000000001</v>
      </c>
      <c r="BV1122" s="121">
        <v>24.044499999999999</v>
      </c>
      <c r="BW1122" s="121">
        <v>24.763000000000002</v>
      </c>
      <c r="BX1122" s="121">
        <f t="array" ref="BX1122:BX1156">TRANSPOSE(BY1121:DG1121)</f>
        <v>25.497</v>
      </c>
      <c r="BY1122" s="158">
        <v>26.231000000000002</v>
      </c>
      <c r="BZ1122" s="120">
        <f>(CA1122+BY1122)/2</f>
        <v>26.9115</v>
      </c>
      <c r="CA1122" s="158">
        <v>27.591999999999999</v>
      </c>
      <c r="CB1122" s="120">
        <f>(CC1122+CA1122)/2</f>
        <v>28.265499999999999</v>
      </c>
      <c r="CC1122" s="158">
        <v>28.939</v>
      </c>
      <c r="CD1122" s="120">
        <f>(CE1122+CC1122)/2</f>
        <v>29.658000000000001</v>
      </c>
      <c r="CE1122" s="158">
        <v>30.376999999999999</v>
      </c>
      <c r="CF1122" s="120">
        <f>(CG1122+CE1122)/2</f>
        <v>31.049999999999997</v>
      </c>
      <c r="CG1122" s="158">
        <v>31.722999999999999</v>
      </c>
      <c r="CH1122" s="120">
        <f>(CI1122+CG1122)/2</f>
        <v>32.388500000000001</v>
      </c>
      <c r="CI1122" s="158">
        <v>33.054000000000002</v>
      </c>
      <c r="CJ1122" s="120">
        <f>(CK1122+CI1122)/2</f>
        <v>33.727500000000006</v>
      </c>
      <c r="CK1122" s="158">
        <v>34.401000000000003</v>
      </c>
      <c r="CL1122" s="120">
        <f>(CM1122+CK1122)/2</f>
        <v>35.082000000000001</v>
      </c>
      <c r="CM1122" s="158">
        <v>35.762999999999998</v>
      </c>
      <c r="CN1122" s="120">
        <f>(CO1122+CM1122)/2</f>
        <v>36.399000000000001</v>
      </c>
      <c r="CO1122" s="158">
        <v>37.034999999999997</v>
      </c>
      <c r="CP1122" s="120">
        <f>(CQ1122+CO1122)/2</f>
        <v>37.715999999999994</v>
      </c>
      <c r="CQ1122" s="158">
        <v>38.396999999999998</v>
      </c>
      <c r="CR1122" s="120">
        <f>(CS1122+CQ1122)/2</f>
        <v>39.054500000000004</v>
      </c>
      <c r="CS1122" s="158">
        <v>39.712000000000003</v>
      </c>
      <c r="CT1122" s="120">
        <f>(CU1122+CS1122)/2</f>
        <v>40.355000000000004</v>
      </c>
      <c r="CU1122" s="158">
        <v>40.997999999999998</v>
      </c>
      <c r="CV1122" s="120">
        <f>(CW1122+CU1122)/2</f>
        <v>41.671499999999995</v>
      </c>
      <c r="CW1122" s="158">
        <v>42.344999999999999</v>
      </c>
      <c r="CX1122" s="120">
        <f>(CY1122+CW1122)/2</f>
        <v>42.988</v>
      </c>
      <c r="CY1122" s="158">
        <v>43.631</v>
      </c>
      <c r="CZ1122" s="120">
        <f>(DA1122+CY1122)/2</f>
        <v>44.267499999999998</v>
      </c>
      <c r="DA1122" s="158">
        <v>44.904000000000003</v>
      </c>
      <c r="DB1122" s="120">
        <f>(DC1122+DA1122)/2</f>
        <v>45.5685</v>
      </c>
      <c r="DC1122" s="158">
        <v>46.232999999999997</v>
      </c>
      <c r="DD1122" s="120">
        <f>(DE1122+DC1122)/2</f>
        <v>46.869</v>
      </c>
      <c r="DE1122" s="158">
        <v>47.505000000000003</v>
      </c>
      <c r="DF1122" s="120">
        <f>(DG1122+DE1122)/2</f>
        <v>48.147999999999996</v>
      </c>
      <c r="DG1122" s="159">
        <v>48.790999999999997</v>
      </c>
    </row>
    <row r="1123" spans="54:111" ht="15" customHeight="1" x14ac:dyDescent="0.2">
      <c r="BB1123" s="28">
        <v>27</v>
      </c>
      <c r="BC1123" s="121">
        <v>9.1024999999999991</v>
      </c>
      <c r="BD1123" s="121">
        <v>10.096499999999999</v>
      </c>
      <c r="BE1123" s="121">
        <v>11.090499999999999</v>
      </c>
      <c r="BF1123" s="121">
        <v>11.991</v>
      </c>
      <c r="BG1123" s="121">
        <v>12.891500000000001</v>
      </c>
      <c r="BH1123" s="121">
        <v>13.7575</v>
      </c>
      <c r="BI1123" s="121">
        <v>14.6235</v>
      </c>
      <c r="BJ1123" s="121">
        <v>15.4405</v>
      </c>
      <c r="BK1123" s="121">
        <v>16.2575</v>
      </c>
      <c r="BL1123" s="121">
        <v>17.059999999999999</v>
      </c>
      <c r="BM1123" s="121">
        <v>17.862500000000001</v>
      </c>
      <c r="BN1123" s="121">
        <v>18.671250000000001</v>
      </c>
      <c r="BO1123" s="121">
        <v>19.479999999999997</v>
      </c>
      <c r="BP1123" s="121">
        <v>20.222249999999999</v>
      </c>
      <c r="BQ1123" s="121">
        <v>20.964500000000001</v>
      </c>
      <c r="BR1123" s="121">
        <v>21.724249999999998</v>
      </c>
      <c r="BS1123" s="121">
        <v>22.484000000000002</v>
      </c>
      <c r="BT1123" s="121">
        <v>23.222000000000001</v>
      </c>
      <c r="BU1123" s="121">
        <v>23.96</v>
      </c>
      <c r="BV1123" s="121">
        <v>24.68675</v>
      </c>
      <c r="BW1123" s="121">
        <v>25.413499999999999</v>
      </c>
      <c r="BX1123" s="121">
        <v>26.162500000000001</v>
      </c>
      <c r="BY1123" s="121">
        <f t="array" ref="BY1123:BY1156">TRANSPOSE(BZ1122:DG1122)</f>
        <v>26.9115</v>
      </c>
      <c r="BZ1123" s="120">
        <f>(BY1123+CA1123)/2</f>
        <v>27.62275</v>
      </c>
      <c r="CA1123" s="120">
        <f>(CA1122+CA1124)/2</f>
        <v>28.334</v>
      </c>
      <c r="CB1123" s="120">
        <f>(CA1123+CC1123)/2</f>
        <v>29.030250000000002</v>
      </c>
      <c r="CC1123" s="120">
        <f>(CC1122+CC1124)/2</f>
        <v>29.726500000000001</v>
      </c>
      <c r="CD1123" s="120">
        <f>(CC1123+CE1123)/2</f>
        <v>30.449249999999999</v>
      </c>
      <c r="CE1123" s="120">
        <f>(CE1122+CE1124)/2</f>
        <v>31.171999999999997</v>
      </c>
      <c r="CF1123" s="120">
        <f>(CE1123+CG1123)/2</f>
        <v>31.8795</v>
      </c>
      <c r="CG1123" s="120">
        <f>(CG1122+CG1124)/2</f>
        <v>32.587000000000003</v>
      </c>
      <c r="CH1123" s="120">
        <f>(CG1123+CI1123)/2</f>
        <v>33.279000000000003</v>
      </c>
      <c r="CI1123" s="120">
        <f>(CI1122+CI1124)/2</f>
        <v>33.971000000000004</v>
      </c>
      <c r="CJ1123" s="120">
        <f>(CI1123+CK1123)/2</f>
        <v>34.641000000000005</v>
      </c>
      <c r="CK1123" s="120">
        <f>(CK1122+CK1124)/2</f>
        <v>35.311</v>
      </c>
      <c r="CL1123" s="120">
        <f>(CK1123+CM1123)/2</f>
        <v>36.014499999999998</v>
      </c>
      <c r="CM1123" s="120">
        <f>(CM1122+CM1124)/2</f>
        <v>36.718000000000004</v>
      </c>
      <c r="CN1123" s="120">
        <f>(CM1123+CO1123)/2</f>
        <v>37.39575</v>
      </c>
      <c r="CO1123" s="120">
        <f>(CO1122+CO1124)/2</f>
        <v>38.073499999999996</v>
      </c>
      <c r="CP1123" s="120">
        <f>(CO1123+CQ1123)/2</f>
        <v>38.747249999999994</v>
      </c>
      <c r="CQ1123" s="120">
        <f>(CQ1122+CQ1124)/2</f>
        <v>39.420999999999999</v>
      </c>
      <c r="CR1123" s="120">
        <f>(CQ1123+CS1123)/2</f>
        <v>40.112750000000005</v>
      </c>
      <c r="CS1123" s="120">
        <f>(CS1122+CS1124)/2</f>
        <v>40.804500000000004</v>
      </c>
      <c r="CT1123" s="120">
        <f>(CS1123+CU1123)/2</f>
        <v>41.459249999999997</v>
      </c>
      <c r="CU1123" s="120">
        <f>(CU1122+CU1124)/2</f>
        <v>42.113999999999997</v>
      </c>
      <c r="CV1123" s="120">
        <f>(CU1123+CW1123)/2</f>
        <v>42.810249999999996</v>
      </c>
      <c r="CW1123" s="120">
        <f>(CW1122+CW1124)/2</f>
        <v>43.506500000000003</v>
      </c>
      <c r="CX1123" s="120">
        <f>(CW1123+CY1123)/2</f>
        <v>44.172250000000005</v>
      </c>
      <c r="CY1123" s="120">
        <f>(CY1122+CY1124)/2</f>
        <v>44.838000000000001</v>
      </c>
      <c r="CZ1123" s="120">
        <f>(CY1123+DA1123)/2</f>
        <v>45.489500000000007</v>
      </c>
      <c r="DA1123" s="120">
        <f>(DA1122+DA1124)/2</f>
        <v>46.141000000000005</v>
      </c>
      <c r="DB1123" s="120">
        <f>(DA1123+DC1123)/2</f>
        <v>46.813749999999999</v>
      </c>
      <c r="DC1123" s="120">
        <f>(DC1122+DC1124)/2</f>
        <v>47.486499999999999</v>
      </c>
      <c r="DD1123" s="120">
        <f>(DC1123+DE1123)/2</f>
        <v>48.137500000000003</v>
      </c>
      <c r="DE1123" s="120">
        <f>(DE1122+DE1124)/2</f>
        <v>48.788499999999999</v>
      </c>
      <c r="DF1123" s="120">
        <f>(DE1123+DG1123)/2</f>
        <v>49.454250000000002</v>
      </c>
      <c r="DG1123" s="122">
        <f>(DG1122+DG1124)/2</f>
        <v>50.12</v>
      </c>
    </row>
    <row r="1124" spans="54:111" ht="15" customHeight="1" x14ac:dyDescent="0.2">
      <c r="BB1124" s="28">
        <v>28</v>
      </c>
      <c r="BC1124" s="121">
        <v>9.3409999999999993</v>
      </c>
      <c r="BD1124" s="121">
        <v>10.369499999999999</v>
      </c>
      <c r="BE1124" s="121">
        <v>11.398</v>
      </c>
      <c r="BF1124" s="121">
        <v>12.291</v>
      </c>
      <c r="BG1124" s="121">
        <v>13.183999999999999</v>
      </c>
      <c r="BH1124" s="121">
        <v>14.0915</v>
      </c>
      <c r="BI1124" s="121">
        <v>14.999000000000001</v>
      </c>
      <c r="BJ1124" s="121">
        <v>15.838999999999999</v>
      </c>
      <c r="BK1124" s="121">
        <v>16.678999999999998</v>
      </c>
      <c r="BL1124" s="121">
        <v>17.496499999999997</v>
      </c>
      <c r="BM1124" s="121">
        <v>18.314</v>
      </c>
      <c r="BN1124" s="121">
        <v>19.153500000000001</v>
      </c>
      <c r="BO1124" s="121">
        <v>19.992999999999999</v>
      </c>
      <c r="BP1124" s="121">
        <v>20.727499999999999</v>
      </c>
      <c r="BQ1124" s="121">
        <v>21.462</v>
      </c>
      <c r="BR1124" s="121">
        <v>22.263999999999999</v>
      </c>
      <c r="BS1124" s="121">
        <v>23.065999999999999</v>
      </c>
      <c r="BT1124" s="121">
        <v>23.83</v>
      </c>
      <c r="BU1124" s="121">
        <v>24.594000000000001</v>
      </c>
      <c r="BV1124" s="121">
        <v>25.329000000000001</v>
      </c>
      <c r="BW1124" s="121">
        <v>26.064</v>
      </c>
      <c r="BX1124" s="121">
        <v>26.827999999999999</v>
      </c>
      <c r="BY1124" s="121">
        <v>27.591999999999999</v>
      </c>
      <c r="BZ1124" s="121">
        <f t="array" ref="BZ1124:BZ1156">TRANSPOSE(CA1123:DG1123)</f>
        <v>28.334</v>
      </c>
      <c r="CA1124" s="158">
        <v>29.076000000000001</v>
      </c>
      <c r="CB1124" s="120">
        <f>(CC1124+CA1124)/2</f>
        <v>29.795000000000002</v>
      </c>
      <c r="CC1124" s="158">
        <v>30.513999999999999</v>
      </c>
      <c r="CD1124" s="120">
        <f>(CE1124+CC1124)/2</f>
        <v>31.240499999999997</v>
      </c>
      <c r="CE1124" s="158">
        <v>31.966999999999999</v>
      </c>
      <c r="CF1124" s="120">
        <f>(CG1124+CE1124)/2</f>
        <v>32.709000000000003</v>
      </c>
      <c r="CG1124" s="158">
        <v>33.451000000000001</v>
      </c>
      <c r="CH1124" s="120">
        <f>(CI1124+CG1124)/2</f>
        <v>34.169499999999999</v>
      </c>
      <c r="CI1124" s="158">
        <v>34.887999999999998</v>
      </c>
      <c r="CJ1124" s="120">
        <f>(CK1124+CI1124)/2</f>
        <v>35.554499999999997</v>
      </c>
      <c r="CK1124" s="158">
        <v>36.220999999999997</v>
      </c>
      <c r="CL1124" s="120">
        <f>(CM1124+CK1124)/2</f>
        <v>36.947000000000003</v>
      </c>
      <c r="CM1124" s="158">
        <v>37.673000000000002</v>
      </c>
      <c r="CN1124" s="120">
        <f>(CO1124+CM1124)/2</f>
        <v>38.392499999999998</v>
      </c>
      <c r="CO1124" s="158">
        <v>39.112000000000002</v>
      </c>
      <c r="CP1124" s="120">
        <f>(CQ1124+CO1124)/2</f>
        <v>39.778500000000001</v>
      </c>
      <c r="CQ1124" s="158">
        <v>40.445</v>
      </c>
      <c r="CR1124" s="120">
        <f>(CS1124+CQ1124)/2</f>
        <v>41.170999999999999</v>
      </c>
      <c r="CS1124" s="158">
        <v>41.896999999999998</v>
      </c>
      <c r="CT1124" s="120">
        <f>(CU1124+CS1124)/2</f>
        <v>42.563499999999998</v>
      </c>
      <c r="CU1124" s="158">
        <v>43.23</v>
      </c>
      <c r="CV1124" s="120">
        <f>(CW1124+CU1124)/2</f>
        <v>43.948999999999998</v>
      </c>
      <c r="CW1124" s="158">
        <v>44.667999999999999</v>
      </c>
      <c r="CX1124" s="120">
        <f>(CY1124+CW1124)/2</f>
        <v>45.356499999999997</v>
      </c>
      <c r="CY1124" s="158">
        <v>46.045000000000002</v>
      </c>
      <c r="CZ1124" s="120">
        <f>(DA1124+CY1124)/2</f>
        <v>46.711500000000001</v>
      </c>
      <c r="DA1124" s="158">
        <v>47.378</v>
      </c>
      <c r="DB1124" s="120">
        <f>(DC1124+DA1124)/2</f>
        <v>48.058999999999997</v>
      </c>
      <c r="DC1124" s="158">
        <v>48.74</v>
      </c>
      <c r="DD1124" s="120">
        <f>(DE1124+DC1124)/2</f>
        <v>49.406000000000006</v>
      </c>
      <c r="DE1124" s="158">
        <v>50.072000000000003</v>
      </c>
      <c r="DF1124" s="120">
        <f>(DG1124+DE1124)/2</f>
        <v>50.7605</v>
      </c>
      <c r="DG1124" s="159">
        <v>51.448999999999998</v>
      </c>
    </row>
    <row r="1125" spans="54:111" ht="15" customHeight="1" x14ac:dyDescent="0.2">
      <c r="BB1125" s="28">
        <v>29</v>
      </c>
      <c r="BC1125" s="121">
        <v>9.5869999999999997</v>
      </c>
      <c r="BD1125" s="121">
        <v>10.626999999999999</v>
      </c>
      <c r="BE1125" s="121">
        <v>11.667</v>
      </c>
      <c r="BF1125" s="121">
        <v>12.601749999999999</v>
      </c>
      <c r="BG1125" s="121">
        <v>13.5365</v>
      </c>
      <c r="BH1125" s="121">
        <v>14.456</v>
      </c>
      <c r="BI1125" s="121">
        <v>15.375500000000001</v>
      </c>
      <c r="BJ1125" s="121">
        <v>16.227</v>
      </c>
      <c r="BK1125" s="121">
        <v>17.078499999999998</v>
      </c>
      <c r="BL1125" s="121">
        <v>17.918499999999998</v>
      </c>
      <c r="BM1125" s="121">
        <v>18.758499999999998</v>
      </c>
      <c r="BN1125" s="121">
        <v>19.609749999999998</v>
      </c>
      <c r="BO1125" s="121">
        <v>20.460999999999999</v>
      </c>
      <c r="BP1125" s="121">
        <v>21.241</v>
      </c>
      <c r="BQ1125" s="121">
        <v>22.021000000000001</v>
      </c>
      <c r="BR1125" s="121">
        <v>22.834499999999998</v>
      </c>
      <c r="BS1125" s="121">
        <v>23.648</v>
      </c>
      <c r="BT1125" s="121">
        <v>24.423749999999998</v>
      </c>
      <c r="BU1125" s="121">
        <v>25.1995</v>
      </c>
      <c r="BV1125" s="121">
        <v>25.979500000000002</v>
      </c>
      <c r="BW1125" s="121">
        <v>26.759499999999999</v>
      </c>
      <c r="BX1125" s="121">
        <v>27.512499999999999</v>
      </c>
      <c r="BY1125" s="121">
        <v>28.265499999999999</v>
      </c>
      <c r="BZ1125" s="121">
        <v>29.030250000000002</v>
      </c>
      <c r="CA1125" s="121">
        <f t="array" ref="CA1125:CA1156">TRANSPOSE(CB1124:DG1124)</f>
        <v>29.795000000000002</v>
      </c>
      <c r="CB1125" s="120">
        <f>(CA1125+CC1125)/2</f>
        <v>30.548249999999999</v>
      </c>
      <c r="CC1125" s="120">
        <f>(CC1124+CC1126)/2</f>
        <v>31.301499999999997</v>
      </c>
      <c r="CD1125" s="120">
        <f>(CC1125+CE1125)/2</f>
        <v>32.007199999999997</v>
      </c>
      <c r="CE1125" s="120">
        <f>(CE1124+CE1126)/2</f>
        <v>32.712899999999998</v>
      </c>
      <c r="CF1125" s="120">
        <f>(CE1125+CG1125)/2</f>
        <v>33.490949999999998</v>
      </c>
      <c r="CG1125" s="120">
        <f>(CG1124+CG1126)/2</f>
        <v>34.269000000000005</v>
      </c>
      <c r="CH1125" s="120">
        <f>(CG1125+CI1125)/2</f>
        <v>35.003</v>
      </c>
      <c r="CI1125" s="120">
        <f>(CI1124+CI1126)/2</f>
        <v>35.736999999999995</v>
      </c>
      <c r="CJ1125" s="120">
        <f>(CI1125+CK1125)/2</f>
        <v>36.444999999999993</v>
      </c>
      <c r="CK1125" s="120">
        <f>(CK1124+CK1126)/2</f>
        <v>37.152999999999999</v>
      </c>
      <c r="CL1125" s="120">
        <f>(CK1125+CM1125)/2</f>
        <v>37.891000000000005</v>
      </c>
      <c r="CM1125" s="120">
        <f>(CM1124+CM1126)/2</f>
        <v>38.629000000000005</v>
      </c>
      <c r="CN1125" s="120">
        <f>(CM1125+CO1125)/2</f>
        <v>39.359750000000005</v>
      </c>
      <c r="CO1125" s="120">
        <f>(CO1124+CO1126)/2</f>
        <v>40.090500000000006</v>
      </c>
      <c r="CP1125" s="120">
        <f>(CO1125+CQ1125)/2</f>
        <v>40.798500000000004</v>
      </c>
      <c r="CQ1125" s="120">
        <f>(CQ1124+CQ1126)/2</f>
        <v>41.506500000000003</v>
      </c>
      <c r="CR1125" s="120">
        <f>(CQ1125+CS1125)/2</f>
        <v>42.225499999999997</v>
      </c>
      <c r="CS1125" s="120">
        <f>(CS1124+CS1126)/2</f>
        <v>42.944499999999998</v>
      </c>
      <c r="CT1125" s="120">
        <f>(CS1125+CU1125)/2</f>
        <v>43.652500000000003</v>
      </c>
      <c r="CU1125" s="120">
        <f>(CU1124+CU1126)/2</f>
        <v>44.360500000000002</v>
      </c>
      <c r="CV1125" s="120">
        <f>(CU1125+CW1125)/2</f>
        <v>45.076000000000001</v>
      </c>
      <c r="CW1125" s="120">
        <f>(CW1124+CW1126)/2</f>
        <v>45.791499999999999</v>
      </c>
      <c r="CX1125" s="120">
        <f>(CW1125+CY1125)/2</f>
        <v>46.5105</v>
      </c>
      <c r="CY1125" s="120">
        <f>(CY1124+CY1126)/2</f>
        <v>47.229500000000002</v>
      </c>
      <c r="CZ1125" s="120">
        <f>(CY1125+DA1125)/2</f>
        <v>47.918500000000002</v>
      </c>
      <c r="DA1125" s="120">
        <f>(DA1124+DA1126)/2</f>
        <v>48.607500000000002</v>
      </c>
      <c r="DB1125" s="120">
        <f>(DA1125+DC1125)/2</f>
        <v>49.304000000000002</v>
      </c>
      <c r="DC1125" s="120">
        <f>(DC1124+DC1126)/2</f>
        <v>50.000500000000002</v>
      </c>
      <c r="DD1125" s="120">
        <f>(DC1125+DE1125)/2</f>
        <v>50.689500000000002</v>
      </c>
      <c r="DE1125" s="120">
        <f>(DE1124+DE1126)/2</f>
        <v>51.378500000000003</v>
      </c>
      <c r="DF1125" s="120">
        <f>(DE1125+DG1125)/2</f>
        <v>52.075000000000003</v>
      </c>
      <c r="DG1125" s="122">
        <f>(DG1124+DG1126)/2</f>
        <v>52.771500000000003</v>
      </c>
    </row>
    <row r="1126" spans="54:111" ht="15" customHeight="1" x14ac:dyDescent="0.2">
      <c r="BB1126" s="28">
        <v>30</v>
      </c>
      <c r="BC1126" s="121">
        <v>9.8330000000000002</v>
      </c>
      <c r="BD1126" s="121">
        <v>10.884499999999999</v>
      </c>
      <c r="BE1126" s="121">
        <v>11.936</v>
      </c>
      <c r="BF1126" s="121">
        <v>12.9125</v>
      </c>
      <c r="BG1126" s="121">
        <v>13.888999999999999</v>
      </c>
      <c r="BH1126" s="121">
        <v>14.820499999999999</v>
      </c>
      <c r="BI1126" s="121">
        <v>15.752000000000001</v>
      </c>
      <c r="BJ1126" s="121">
        <v>16.615000000000002</v>
      </c>
      <c r="BK1126" s="121">
        <v>17.478000000000002</v>
      </c>
      <c r="BL1126" s="121">
        <v>18.340499999999999</v>
      </c>
      <c r="BM1126" s="121">
        <v>19.202999999999999</v>
      </c>
      <c r="BN1126" s="121">
        <v>20.065999999999999</v>
      </c>
      <c r="BO1126" s="121">
        <v>20.928999999999998</v>
      </c>
      <c r="BP1126" s="121">
        <v>21.7545</v>
      </c>
      <c r="BQ1126" s="121">
        <v>22.58</v>
      </c>
      <c r="BR1126" s="121">
        <v>23.405000000000001</v>
      </c>
      <c r="BS1126" s="121">
        <v>24.23</v>
      </c>
      <c r="BT1126" s="121">
        <v>25.017499999999998</v>
      </c>
      <c r="BU1126" s="121">
        <v>25.805</v>
      </c>
      <c r="BV1126" s="121">
        <v>26.63</v>
      </c>
      <c r="BW1126" s="121">
        <v>27.454999999999998</v>
      </c>
      <c r="BX1126" s="121">
        <v>28.196999999999999</v>
      </c>
      <c r="BY1126" s="121">
        <v>28.939</v>
      </c>
      <c r="BZ1126" s="121">
        <v>29.726500000000001</v>
      </c>
      <c r="CA1126" s="121">
        <v>30.513999999999999</v>
      </c>
      <c r="CB1126" s="121">
        <f t="array" ref="CB1126:CB1156">TRANSPOSE(CC1125:DG1125)</f>
        <v>31.301499999999997</v>
      </c>
      <c r="CC1126" s="158">
        <v>32.088999999999999</v>
      </c>
      <c r="CD1126" s="120">
        <f>(CE1126+CC1126)/2</f>
        <v>32.773899999999998</v>
      </c>
      <c r="CE1126" s="158">
        <v>33.458799999999997</v>
      </c>
      <c r="CF1126" s="120">
        <f>(CG1126+CE1126)/2</f>
        <v>34.2729</v>
      </c>
      <c r="CG1126" s="158">
        <v>35.087000000000003</v>
      </c>
      <c r="CH1126" s="120">
        <f>(CI1126+CG1126)/2</f>
        <v>35.836500000000001</v>
      </c>
      <c r="CI1126" s="158">
        <v>36.585999999999999</v>
      </c>
      <c r="CJ1126" s="120">
        <f>(CK1126+CI1126)/2</f>
        <v>37.335499999999996</v>
      </c>
      <c r="CK1126" s="158">
        <v>38.085000000000001</v>
      </c>
      <c r="CL1126" s="120">
        <f>(CM1126+CK1126)/2</f>
        <v>38.835000000000001</v>
      </c>
      <c r="CM1126" s="158">
        <v>39.585000000000001</v>
      </c>
      <c r="CN1126" s="120">
        <f>(CO1126+CM1126)/2</f>
        <v>40.326999999999998</v>
      </c>
      <c r="CO1126" s="158">
        <v>41.069000000000003</v>
      </c>
      <c r="CP1126" s="120">
        <f>(CQ1126+CO1126)/2</f>
        <v>41.8185</v>
      </c>
      <c r="CQ1126" s="158">
        <v>42.567999999999998</v>
      </c>
      <c r="CR1126" s="120">
        <f>(CS1126+CQ1126)/2</f>
        <v>43.28</v>
      </c>
      <c r="CS1126" s="158">
        <v>43.991999999999997</v>
      </c>
      <c r="CT1126" s="120">
        <f>(CU1126+CS1126)/2</f>
        <v>44.741500000000002</v>
      </c>
      <c r="CU1126" s="158">
        <v>45.491</v>
      </c>
      <c r="CV1126" s="120">
        <f>(CW1126+CU1126)/2</f>
        <v>46.203000000000003</v>
      </c>
      <c r="CW1126" s="158">
        <v>46.914999999999999</v>
      </c>
      <c r="CX1126" s="120">
        <f>(CY1126+CW1126)/2</f>
        <v>47.664500000000004</v>
      </c>
      <c r="CY1126" s="158">
        <v>48.414000000000001</v>
      </c>
      <c r="CZ1126" s="120">
        <f>(DA1126+CY1126)/2</f>
        <v>49.125500000000002</v>
      </c>
      <c r="DA1126" s="158">
        <v>49.837000000000003</v>
      </c>
      <c r="DB1126" s="120">
        <f>(DC1126+DA1126)/2</f>
        <v>50.549000000000007</v>
      </c>
      <c r="DC1126" s="158">
        <v>51.261000000000003</v>
      </c>
      <c r="DD1126" s="120">
        <f>(DE1126+DC1126)/2</f>
        <v>51.972999999999999</v>
      </c>
      <c r="DE1126" s="158">
        <v>52.685000000000002</v>
      </c>
      <c r="DF1126" s="120">
        <f>(DG1126+DE1126)/2</f>
        <v>53.389499999999998</v>
      </c>
      <c r="DG1126" s="159">
        <v>54.094000000000001</v>
      </c>
    </row>
    <row r="1127" spans="54:111" ht="15" customHeight="1" x14ac:dyDescent="0.2">
      <c r="BB1127" s="28">
        <v>31</v>
      </c>
      <c r="BC1127" s="121">
        <v>10.0715</v>
      </c>
      <c r="BD1127" s="121">
        <v>11.13475</v>
      </c>
      <c r="BE1127" s="121">
        <v>12.198</v>
      </c>
      <c r="BF1127" s="121">
        <v>13.19725</v>
      </c>
      <c r="BG1127" s="121">
        <v>14.1965</v>
      </c>
      <c r="BH1127" s="121">
        <v>15.142999999999999</v>
      </c>
      <c r="BI1127" s="121">
        <v>16.089500000000001</v>
      </c>
      <c r="BJ1127" s="121">
        <v>16.983000000000001</v>
      </c>
      <c r="BK1127" s="121">
        <v>17.8765</v>
      </c>
      <c r="BL1127" s="121">
        <v>18.784499999999998</v>
      </c>
      <c r="BM1127" s="121">
        <v>19.692499999999999</v>
      </c>
      <c r="BN1127" s="121">
        <v>20.548000000000002</v>
      </c>
      <c r="BO1127" s="121">
        <v>21.403500000000001</v>
      </c>
      <c r="BP1127" s="121">
        <v>22.270499999999998</v>
      </c>
      <c r="BQ1127" s="121">
        <v>23.137499999999999</v>
      </c>
      <c r="BR1127" s="121">
        <v>23.974250000000001</v>
      </c>
      <c r="BS1127" s="121">
        <v>24.811</v>
      </c>
      <c r="BT1127" s="121">
        <v>25.610250000000001</v>
      </c>
      <c r="BU1127" s="121">
        <v>26.409500000000001</v>
      </c>
      <c r="BV1127" s="121">
        <v>27.238500000000002</v>
      </c>
      <c r="BW1127" s="121">
        <v>28.067499999999999</v>
      </c>
      <c r="BX1127" s="121">
        <v>28.862749999999998</v>
      </c>
      <c r="BY1127" s="121">
        <v>29.658000000000001</v>
      </c>
      <c r="BZ1127" s="121">
        <v>30.449249999999999</v>
      </c>
      <c r="CA1127" s="121">
        <v>31.240499999999997</v>
      </c>
      <c r="CB1127" s="121">
        <v>32.007199999999997</v>
      </c>
      <c r="CC1127" s="121">
        <f t="array" ref="CC1127:CC1156">TRANSPOSE(CD1126:DG1126)</f>
        <v>32.773899999999998</v>
      </c>
      <c r="CD1127" s="120">
        <f>(CC1127+CE1127)/2</f>
        <v>33.55415</v>
      </c>
      <c r="CE1127" s="120">
        <f>(CE1126+CE1128)/2</f>
        <v>34.334400000000002</v>
      </c>
      <c r="CF1127" s="120">
        <f>(CE1127+CG1127)/2</f>
        <v>35.138950000000001</v>
      </c>
      <c r="CG1127" s="120">
        <f>(CG1126+CG1128)/2</f>
        <v>35.9435</v>
      </c>
      <c r="CH1127" s="120">
        <f>(CG1127+CI1127)/2</f>
        <v>36.704499999999996</v>
      </c>
      <c r="CI1127" s="120">
        <f>(CI1126+CI1128)/2</f>
        <v>37.465499999999999</v>
      </c>
      <c r="CJ1127" s="120">
        <f>(CI1127+CK1127)/2</f>
        <v>38.237750000000005</v>
      </c>
      <c r="CK1127" s="120">
        <f>(CK1126+CK1128)/2</f>
        <v>39.010000000000005</v>
      </c>
      <c r="CL1127" s="120">
        <f>(CK1127+CM1127)/2</f>
        <v>39.771500000000003</v>
      </c>
      <c r="CM1127" s="120">
        <f>(CM1126+CM1128)/2</f>
        <v>40.533000000000001</v>
      </c>
      <c r="CN1127" s="120">
        <f>(CM1127+CO1127)/2</f>
        <v>41.294250000000005</v>
      </c>
      <c r="CO1127" s="120">
        <f>(CO1126+CO1128)/2</f>
        <v>42.055500000000002</v>
      </c>
      <c r="CP1127" s="120">
        <f>(CO1127+CQ1127)/2</f>
        <v>42.827500000000001</v>
      </c>
      <c r="CQ1127" s="120">
        <f>(CQ1126+CQ1128)/2</f>
        <v>43.599499999999999</v>
      </c>
      <c r="CR1127" s="120">
        <f>(CQ1127+CS1127)/2</f>
        <v>44.341999999999999</v>
      </c>
      <c r="CS1127" s="120">
        <f>(CS1126+CS1128)/2</f>
        <v>45.084499999999998</v>
      </c>
      <c r="CT1127" s="120">
        <f>(CS1127+CU1127)/2</f>
        <v>45.837999999999994</v>
      </c>
      <c r="CU1127" s="120">
        <f>(CU1126+CU1128)/2</f>
        <v>46.591499999999996</v>
      </c>
      <c r="CV1127" s="120">
        <f>(CU1127+CW1127)/2</f>
        <v>47.333749999999995</v>
      </c>
      <c r="CW1127" s="120">
        <f>(CW1126+CW1128)/2</f>
        <v>48.076000000000001</v>
      </c>
      <c r="CX1127" s="120">
        <f>(CW1127+CY1127)/2</f>
        <v>48.818250000000006</v>
      </c>
      <c r="CY1127" s="120">
        <f>(CY1126+CY1128)/2</f>
        <v>49.560500000000005</v>
      </c>
      <c r="CZ1127" s="120">
        <f>(CY1127+DA1127)/2</f>
        <v>50.314000000000007</v>
      </c>
      <c r="DA1127" s="120">
        <f>(DA1126+DA1128)/2</f>
        <v>51.067500000000003</v>
      </c>
      <c r="DB1127" s="120">
        <f>(DA1127+DC1127)/2</f>
        <v>51.790750000000003</v>
      </c>
      <c r="DC1127" s="120">
        <f>(DC1126+DC1128)/2</f>
        <v>52.514000000000003</v>
      </c>
      <c r="DD1127" s="120">
        <f>(DC1127+DE1127)/2</f>
        <v>53.248750000000001</v>
      </c>
      <c r="DE1127" s="120">
        <f>(DE1126+DE1128)/2</f>
        <v>53.983499999999999</v>
      </c>
      <c r="DF1127" s="120">
        <f>(DE1127+DG1127)/2</f>
        <v>54.703500000000005</v>
      </c>
      <c r="DG1127" s="122">
        <f>(DG1126+DG1128)/2</f>
        <v>55.423500000000004</v>
      </c>
    </row>
    <row r="1128" spans="54:111" ht="15" customHeight="1" x14ac:dyDescent="0.2">
      <c r="BB1128" s="28">
        <v>32</v>
      </c>
      <c r="BC1128" s="121">
        <v>10.31</v>
      </c>
      <c r="BD1128" s="121">
        <v>11.385000000000002</v>
      </c>
      <c r="BE1128" s="121">
        <v>12.46</v>
      </c>
      <c r="BF1128" s="121">
        <v>13.481999999999999</v>
      </c>
      <c r="BG1128" s="121">
        <v>14.504</v>
      </c>
      <c r="BH1128" s="121">
        <v>15.465499999999999</v>
      </c>
      <c r="BI1128" s="121">
        <v>16.427</v>
      </c>
      <c r="BJ1128" s="121">
        <v>17.350999999999999</v>
      </c>
      <c r="BK1128" s="121">
        <v>18.274999999999999</v>
      </c>
      <c r="BL1128" s="121">
        <v>19.228499999999997</v>
      </c>
      <c r="BM1128" s="121">
        <v>20.181999999999999</v>
      </c>
      <c r="BN1128" s="121">
        <v>21.03</v>
      </c>
      <c r="BO1128" s="121">
        <v>21.878</v>
      </c>
      <c r="BP1128" s="121">
        <v>22.7865</v>
      </c>
      <c r="BQ1128" s="121">
        <v>23.695</v>
      </c>
      <c r="BR1128" s="121">
        <v>24.543500000000002</v>
      </c>
      <c r="BS1128" s="121">
        <v>25.391999999999999</v>
      </c>
      <c r="BT1128" s="121">
        <v>26.202999999999999</v>
      </c>
      <c r="BU1128" s="121">
        <v>27.013999999999999</v>
      </c>
      <c r="BV1128" s="121">
        <v>27.847000000000001</v>
      </c>
      <c r="BW1128" s="121">
        <v>28.68</v>
      </c>
      <c r="BX1128" s="121">
        <v>29.528500000000001</v>
      </c>
      <c r="BY1128" s="121">
        <v>30.376999999999999</v>
      </c>
      <c r="BZ1128" s="121">
        <v>31.171999999999997</v>
      </c>
      <c r="CA1128" s="121">
        <v>31.966999999999999</v>
      </c>
      <c r="CB1128" s="121">
        <v>32.712899999999998</v>
      </c>
      <c r="CC1128" s="121">
        <v>33.458799999999997</v>
      </c>
      <c r="CD1128" s="121">
        <f t="array" ref="CD1128:CD1156">TRANSPOSE(CE1127:DG1127)</f>
        <v>34.334400000000002</v>
      </c>
      <c r="CE1128" s="158">
        <v>35.21</v>
      </c>
      <c r="CF1128" s="120">
        <f>(CG1128+CE1128)/2</f>
        <v>36.004999999999995</v>
      </c>
      <c r="CG1128" s="158">
        <v>36.799999999999997</v>
      </c>
      <c r="CH1128" s="120">
        <f>(CI1128+CG1128)/2</f>
        <v>37.572499999999998</v>
      </c>
      <c r="CI1128" s="158">
        <v>38.344999999999999</v>
      </c>
      <c r="CJ1128" s="120">
        <f>(CK1128+CI1128)/2</f>
        <v>39.14</v>
      </c>
      <c r="CK1128" s="158">
        <v>39.935000000000002</v>
      </c>
      <c r="CL1128" s="120">
        <f>(CM1128+CK1128)/2</f>
        <v>40.707999999999998</v>
      </c>
      <c r="CM1128" s="158">
        <v>41.481000000000002</v>
      </c>
      <c r="CN1128" s="120">
        <f>(CO1128+CM1128)/2</f>
        <v>42.261499999999998</v>
      </c>
      <c r="CO1128" s="158">
        <v>43.042000000000002</v>
      </c>
      <c r="CP1128" s="120">
        <f>(CQ1128+CO1128)/2</f>
        <v>43.836500000000001</v>
      </c>
      <c r="CQ1128" s="158">
        <v>44.631</v>
      </c>
      <c r="CR1128" s="120">
        <f>(CS1128+CQ1128)/2</f>
        <v>45.403999999999996</v>
      </c>
      <c r="CS1128" s="158">
        <v>46.177</v>
      </c>
      <c r="CT1128" s="120">
        <f>(CU1128+CS1128)/2</f>
        <v>46.9345</v>
      </c>
      <c r="CU1128" s="158">
        <v>47.692</v>
      </c>
      <c r="CV1128" s="120">
        <f>(CW1128+CU1128)/2</f>
        <v>48.464500000000001</v>
      </c>
      <c r="CW1128" s="158">
        <v>49.237000000000002</v>
      </c>
      <c r="CX1128" s="120">
        <f>(CY1128+CW1128)/2</f>
        <v>49.972000000000001</v>
      </c>
      <c r="CY1128" s="158">
        <v>50.707000000000001</v>
      </c>
      <c r="CZ1128" s="120">
        <f>(DA1128+CY1128)/2</f>
        <v>51.502499999999998</v>
      </c>
      <c r="DA1128" s="158">
        <v>52.298000000000002</v>
      </c>
      <c r="DB1128" s="120">
        <f>(DC1128+DA1128)/2</f>
        <v>53.032499999999999</v>
      </c>
      <c r="DC1128" s="158">
        <v>53.767000000000003</v>
      </c>
      <c r="DD1128" s="120">
        <f>(DE1128+DC1128)/2</f>
        <v>54.524500000000003</v>
      </c>
      <c r="DE1128" s="158">
        <v>55.281999999999996</v>
      </c>
      <c r="DF1128" s="120">
        <f>(DG1128+DE1128)/2</f>
        <v>56.017499999999998</v>
      </c>
      <c r="DG1128" s="159">
        <v>56.753</v>
      </c>
    </row>
    <row r="1129" spans="54:111" ht="15" customHeight="1" x14ac:dyDescent="0.2">
      <c r="BB1129" s="28">
        <v>33</v>
      </c>
      <c r="BC1129" s="121">
        <v>10.5175</v>
      </c>
      <c r="BD1129" s="121">
        <v>11.623250000000001</v>
      </c>
      <c r="BE1129" s="121">
        <v>12.728999999999999</v>
      </c>
      <c r="BF1129" s="121">
        <v>13.78125</v>
      </c>
      <c r="BG1129" s="121">
        <v>14.833500000000001</v>
      </c>
      <c r="BH1129" s="121">
        <v>15.818</v>
      </c>
      <c r="BI1129" s="121">
        <v>16.802500000000002</v>
      </c>
      <c r="BJ1129" s="121">
        <v>17.753</v>
      </c>
      <c r="BK1129" s="121">
        <v>18.703499999999998</v>
      </c>
      <c r="BL1129" s="121">
        <v>19.664999999999999</v>
      </c>
      <c r="BM1129" s="121">
        <v>20.6265</v>
      </c>
      <c r="BN1129" s="121">
        <v>21.50525</v>
      </c>
      <c r="BO1129" s="121">
        <v>22.384</v>
      </c>
      <c r="BP1129" s="121">
        <v>23.285249999999998</v>
      </c>
      <c r="BQ1129" s="121">
        <v>24.186500000000002</v>
      </c>
      <c r="BR1129" s="121">
        <v>25.061250000000001</v>
      </c>
      <c r="BS1129" s="121">
        <v>25.936</v>
      </c>
      <c r="BT1129" s="121">
        <v>26.788249999999998</v>
      </c>
      <c r="BU1129" s="121">
        <v>27.640499999999999</v>
      </c>
      <c r="BV1129" s="121">
        <v>28.485250000000001</v>
      </c>
      <c r="BW1129" s="121">
        <v>29.33</v>
      </c>
      <c r="BX1129" s="121">
        <v>30.19</v>
      </c>
      <c r="BY1129" s="121">
        <v>31.049999999999997</v>
      </c>
      <c r="BZ1129" s="121">
        <v>31.8795</v>
      </c>
      <c r="CA1129" s="121">
        <v>32.709000000000003</v>
      </c>
      <c r="CB1129" s="121">
        <v>33.490949999999998</v>
      </c>
      <c r="CC1129" s="121">
        <v>34.2729</v>
      </c>
      <c r="CD1129" s="121">
        <v>35.138950000000001</v>
      </c>
      <c r="CE1129" s="121">
        <f t="array" ref="CE1129:CE1156">TRANSPOSE(CF1128:DG1128)</f>
        <v>36.004999999999995</v>
      </c>
      <c r="CF1129" s="120">
        <f>(CE1129+CG1129)/2</f>
        <v>36.830249999999999</v>
      </c>
      <c r="CG1129" s="120">
        <f>(CG1128+CG1130)/2</f>
        <v>37.655500000000004</v>
      </c>
      <c r="CH1129" s="120">
        <f>(CG1129+CI1129)/2</f>
        <v>38.443750000000001</v>
      </c>
      <c r="CI1129" s="120">
        <f>(CI1128+CI1130)/2</f>
        <v>39.231999999999999</v>
      </c>
      <c r="CJ1129" s="120">
        <f>(CI1129+CK1129)/2</f>
        <v>40.038499999999999</v>
      </c>
      <c r="CK1129" s="120">
        <f>(CK1128+CK1130)/2</f>
        <v>40.844999999999999</v>
      </c>
      <c r="CL1129" s="120">
        <f>(CK1129+CM1129)/2</f>
        <v>41.640749999999997</v>
      </c>
      <c r="CM1129" s="120">
        <f>(CM1128+CM1130)/2</f>
        <v>42.436500000000002</v>
      </c>
      <c r="CN1129" s="120">
        <f>(CM1129+CO1129)/2</f>
        <v>43.239249999999998</v>
      </c>
      <c r="CO1129" s="120">
        <f>(CO1128+CO1130)/2</f>
        <v>44.042000000000002</v>
      </c>
      <c r="CP1129" s="120">
        <f>(CO1129+CQ1129)/2</f>
        <v>44.848500000000001</v>
      </c>
      <c r="CQ1129" s="120">
        <f>(CQ1128+CQ1130)/2</f>
        <v>45.655000000000001</v>
      </c>
      <c r="CR1129" s="120">
        <f>(CQ1129+CS1129)/2</f>
        <v>46.439750000000004</v>
      </c>
      <c r="CS1129" s="120">
        <f>(CS1128+CS1130)/2</f>
        <v>47.224499999999999</v>
      </c>
      <c r="CT1129" s="120">
        <f>(CS1129+CU1129)/2</f>
        <v>48.012249999999995</v>
      </c>
      <c r="CU1129" s="120">
        <f>(CU1128+CU1130)/2</f>
        <v>48.8</v>
      </c>
      <c r="CV1129" s="120">
        <f>(CU1129+CW1129)/2</f>
        <v>49.580500000000001</v>
      </c>
      <c r="CW1129" s="120">
        <f>(CW1128+CW1130)/2</f>
        <v>50.361000000000004</v>
      </c>
      <c r="CX1129" s="120">
        <f>(CW1129+CY1129)/2</f>
        <v>51.137500000000003</v>
      </c>
      <c r="CY1129" s="120">
        <f>(CY1128+CY1130)/2</f>
        <v>51.914000000000001</v>
      </c>
      <c r="CZ1129" s="120">
        <f>(CY1129+DA1129)/2</f>
        <v>52.701999999999998</v>
      </c>
      <c r="DA1129" s="120">
        <f>(DA1128+DA1130)/2</f>
        <v>53.49</v>
      </c>
      <c r="DB1129" s="120">
        <f>(DA1129+DC1129)/2</f>
        <v>54.236500000000007</v>
      </c>
      <c r="DC1129" s="120">
        <f>(DC1128+DC1130)/2</f>
        <v>54.983000000000004</v>
      </c>
      <c r="DD1129" s="120">
        <f>(DC1129+DE1129)/2</f>
        <v>55.774500000000003</v>
      </c>
      <c r="DE1129" s="120">
        <f>(DE1128+DE1130)/2</f>
        <v>56.566000000000003</v>
      </c>
      <c r="DF1129" s="120">
        <f>(DE1129+DG1129)/2</f>
        <v>57.323999999999998</v>
      </c>
      <c r="DG1129" s="122">
        <f>(DG1128+DG1130)/2</f>
        <v>58.082000000000001</v>
      </c>
    </row>
    <row r="1130" spans="54:111" ht="15" customHeight="1" x14ac:dyDescent="0.2">
      <c r="BB1130" s="28">
        <v>34</v>
      </c>
      <c r="BC1130" s="121">
        <v>10.725</v>
      </c>
      <c r="BD1130" s="121">
        <v>11.861499999999999</v>
      </c>
      <c r="BE1130" s="121">
        <v>12.997999999999999</v>
      </c>
      <c r="BF1130" s="121">
        <v>14.080500000000001</v>
      </c>
      <c r="BG1130" s="121">
        <v>15.163</v>
      </c>
      <c r="BH1130" s="121">
        <v>16.170500000000001</v>
      </c>
      <c r="BI1130" s="121">
        <v>17.178000000000001</v>
      </c>
      <c r="BJ1130" s="121">
        <v>18.155000000000001</v>
      </c>
      <c r="BK1130" s="121">
        <v>19.132000000000001</v>
      </c>
      <c r="BL1130" s="121">
        <v>20.101500000000001</v>
      </c>
      <c r="BM1130" s="121">
        <v>21.071000000000002</v>
      </c>
      <c r="BN1130" s="121">
        <v>21.980499999999999</v>
      </c>
      <c r="BO1130" s="121">
        <v>22.89</v>
      </c>
      <c r="BP1130" s="121">
        <v>23.783999999999999</v>
      </c>
      <c r="BQ1130" s="121">
        <v>24.678000000000001</v>
      </c>
      <c r="BR1130" s="121">
        <v>25.579000000000001</v>
      </c>
      <c r="BS1130" s="121">
        <v>26.48</v>
      </c>
      <c r="BT1130" s="121">
        <v>27.3735</v>
      </c>
      <c r="BU1130" s="121">
        <v>28.266999999999999</v>
      </c>
      <c r="BV1130" s="121">
        <v>29.1235</v>
      </c>
      <c r="BW1130" s="121">
        <v>29.98</v>
      </c>
      <c r="BX1130" s="121">
        <v>30.851500000000001</v>
      </c>
      <c r="BY1130" s="121">
        <v>31.722999999999999</v>
      </c>
      <c r="BZ1130" s="121">
        <v>32.587000000000003</v>
      </c>
      <c r="CA1130" s="121">
        <v>33.451000000000001</v>
      </c>
      <c r="CB1130" s="121">
        <v>34.269000000000005</v>
      </c>
      <c r="CC1130" s="121">
        <v>35.087000000000003</v>
      </c>
      <c r="CD1130" s="121">
        <v>35.9435</v>
      </c>
      <c r="CE1130" s="121">
        <v>36.799999999999997</v>
      </c>
      <c r="CF1130" s="121">
        <f t="array" ref="CF1130:CF1156">TRANSPOSE(CG1129:DG1129)</f>
        <v>37.655500000000004</v>
      </c>
      <c r="CG1130" s="158">
        <v>38.511000000000003</v>
      </c>
      <c r="CH1130" s="120">
        <f>(CI1130+CG1130)/2</f>
        <v>39.314999999999998</v>
      </c>
      <c r="CI1130" s="158">
        <v>40.119</v>
      </c>
      <c r="CJ1130" s="120">
        <f>(CK1130+CI1130)/2</f>
        <v>40.936999999999998</v>
      </c>
      <c r="CK1130" s="158">
        <v>41.755000000000003</v>
      </c>
      <c r="CL1130" s="120">
        <f>(CM1130+CK1130)/2</f>
        <v>42.573500000000003</v>
      </c>
      <c r="CM1130" s="158">
        <v>43.392000000000003</v>
      </c>
      <c r="CN1130" s="120">
        <f>(CO1130+CM1130)/2</f>
        <v>44.216999999999999</v>
      </c>
      <c r="CO1130" s="158">
        <v>45.042000000000002</v>
      </c>
      <c r="CP1130" s="120">
        <f>(CQ1130+CO1130)/2</f>
        <v>45.860500000000002</v>
      </c>
      <c r="CQ1130" s="158">
        <v>46.679000000000002</v>
      </c>
      <c r="CR1130" s="120">
        <f>(CS1130+CQ1130)/2</f>
        <v>47.475499999999997</v>
      </c>
      <c r="CS1130" s="158">
        <v>48.271999999999998</v>
      </c>
      <c r="CT1130" s="120">
        <f>(CU1130+CS1130)/2</f>
        <v>49.09</v>
      </c>
      <c r="CU1130" s="158">
        <v>49.908000000000001</v>
      </c>
      <c r="CV1130" s="120">
        <f>(CW1130+CU1130)/2</f>
        <v>50.6965</v>
      </c>
      <c r="CW1130" s="158">
        <v>51.484999999999999</v>
      </c>
      <c r="CX1130" s="120">
        <f>(CY1130+CW1130)/2</f>
        <v>52.302999999999997</v>
      </c>
      <c r="CY1130" s="158">
        <v>53.121000000000002</v>
      </c>
      <c r="CZ1130" s="120">
        <f>(DA1130+CY1130)/2</f>
        <v>53.901499999999999</v>
      </c>
      <c r="DA1130" s="158">
        <v>54.682000000000002</v>
      </c>
      <c r="DB1130" s="120">
        <f>(DC1130+DA1130)/2</f>
        <v>55.4405</v>
      </c>
      <c r="DC1130" s="158">
        <v>56.198999999999998</v>
      </c>
      <c r="DD1130" s="120">
        <f>(DE1130+DC1130)/2</f>
        <v>57.024500000000003</v>
      </c>
      <c r="DE1130" s="158">
        <v>57.85</v>
      </c>
      <c r="DF1130" s="120">
        <f>(DG1130+DE1130)/2</f>
        <v>58.630499999999998</v>
      </c>
      <c r="DG1130" s="159">
        <v>59.411000000000001</v>
      </c>
    </row>
    <row r="1131" spans="54:111" ht="15" customHeight="1" x14ac:dyDescent="0.2">
      <c r="BB1131" s="28">
        <v>35</v>
      </c>
      <c r="BC1131" s="121">
        <v>10.942</v>
      </c>
      <c r="BD1131" s="121">
        <v>12.112</v>
      </c>
      <c r="BE1131" s="121">
        <v>13.282</v>
      </c>
      <c r="BF1131" s="121">
        <v>14.38025</v>
      </c>
      <c r="BG1131" s="121">
        <v>15.4785</v>
      </c>
      <c r="BH1131" s="121">
        <v>16.497500000000002</v>
      </c>
      <c r="BI1131" s="121">
        <v>17.516500000000001</v>
      </c>
      <c r="BJ1131" s="121">
        <v>18.523499999999999</v>
      </c>
      <c r="BK1131" s="121">
        <v>19.5305</v>
      </c>
      <c r="BL1131" s="121">
        <v>20.493000000000002</v>
      </c>
      <c r="BM1131" s="121">
        <v>21.455500000000001</v>
      </c>
      <c r="BN1131" s="121">
        <v>22.421250000000001</v>
      </c>
      <c r="BO1131" s="121">
        <v>23.387</v>
      </c>
      <c r="BP1131" s="121">
        <v>24.292749999999998</v>
      </c>
      <c r="BQ1131" s="121">
        <v>25.198500000000003</v>
      </c>
      <c r="BR1131" s="121">
        <v>26.130000000000003</v>
      </c>
      <c r="BS1131" s="121">
        <v>27.061500000000002</v>
      </c>
      <c r="BT1131" s="121">
        <v>27.948</v>
      </c>
      <c r="BU1131" s="121">
        <v>28.834499999999998</v>
      </c>
      <c r="BV1131" s="121">
        <v>29.721499999999999</v>
      </c>
      <c r="BW1131" s="121">
        <v>30.608499999999999</v>
      </c>
      <c r="BX1131" s="121">
        <v>31.4985</v>
      </c>
      <c r="BY1131" s="121">
        <v>32.388500000000001</v>
      </c>
      <c r="BZ1131" s="121">
        <v>33.279000000000003</v>
      </c>
      <c r="CA1131" s="121">
        <v>34.169499999999999</v>
      </c>
      <c r="CB1131" s="121">
        <v>35.003</v>
      </c>
      <c r="CC1131" s="121">
        <v>35.836500000000001</v>
      </c>
      <c r="CD1131" s="121">
        <v>36.704499999999996</v>
      </c>
      <c r="CE1131" s="121">
        <v>37.572499999999998</v>
      </c>
      <c r="CF1131" s="121">
        <v>38.443750000000001</v>
      </c>
      <c r="CG1131" s="121">
        <f t="array" ref="CG1131:CG1156">TRANSPOSE(CH1130:DG1130)</f>
        <v>39.314999999999998</v>
      </c>
      <c r="CH1131" s="120">
        <f>(CG1131+CI1131)/2</f>
        <v>40.14875</v>
      </c>
      <c r="CI1131" s="120">
        <f>(CI1130+CI1132)/2</f>
        <v>40.982500000000002</v>
      </c>
      <c r="CJ1131" s="120">
        <f>(CI1131+CK1131)/2</f>
        <v>41.815750000000001</v>
      </c>
      <c r="CK1131" s="120">
        <f>(CK1130+CK1132)/2</f>
        <v>42.649000000000001</v>
      </c>
      <c r="CL1131" s="120">
        <f>(CK1131+CM1131)/2</f>
        <v>43.478999999999999</v>
      </c>
      <c r="CM1131" s="120">
        <f>(CM1130+CM1132)/2</f>
        <v>44.308999999999997</v>
      </c>
      <c r="CN1131" s="120">
        <f>(CM1131+CO1131)/2</f>
        <v>45.146249999999995</v>
      </c>
      <c r="CO1131" s="120">
        <f>(CO1130+CO1132)/2</f>
        <v>45.983499999999999</v>
      </c>
      <c r="CP1131" s="120">
        <f>(CO1131+CQ1131)/2</f>
        <v>46.813749999999999</v>
      </c>
      <c r="CQ1131" s="120">
        <f>(CQ1130+CQ1132)/2</f>
        <v>47.644000000000005</v>
      </c>
      <c r="CR1131" s="120">
        <f>(CQ1131+CS1131)/2</f>
        <v>48.474000000000004</v>
      </c>
      <c r="CS1131" s="120">
        <f>(CS1130+CS1132)/2</f>
        <v>49.304000000000002</v>
      </c>
      <c r="CT1131" s="120">
        <f>(CS1131+CU1131)/2</f>
        <v>50.137250000000002</v>
      </c>
      <c r="CU1131" s="120">
        <f>(CU1130+CU1132)/2</f>
        <v>50.970500000000001</v>
      </c>
      <c r="CV1131" s="120">
        <f>(CU1131+CW1131)/2</f>
        <v>51.785499999999999</v>
      </c>
      <c r="CW1131" s="120">
        <f>(CW1130+CW1132)/2</f>
        <v>52.600499999999997</v>
      </c>
      <c r="CX1131" s="120">
        <f>(CW1131+CY1131)/2</f>
        <v>53.434249999999999</v>
      </c>
      <c r="CY1131" s="120">
        <f>(CY1130+CY1132)/2</f>
        <v>54.268000000000001</v>
      </c>
      <c r="CZ1131" s="120">
        <f>(CY1131+DA1131)/2</f>
        <v>55.079000000000001</v>
      </c>
      <c r="DA1131" s="120">
        <f>(DA1130+DA1132)/2</f>
        <v>55.89</v>
      </c>
      <c r="DB1131" s="120">
        <f>(DA1131+DC1131)/2</f>
        <v>56.667000000000002</v>
      </c>
      <c r="DC1131" s="120">
        <f>(DC1130+DC1132)/2</f>
        <v>57.444000000000003</v>
      </c>
      <c r="DD1131" s="120">
        <f>(DC1131+DE1131)/2</f>
        <v>58.277500000000003</v>
      </c>
      <c r="DE1131" s="120">
        <f>(DE1130+DE1132)/2</f>
        <v>59.111000000000004</v>
      </c>
      <c r="DF1131" s="120">
        <f>(DE1131+DG1131)/2</f>
        <v>59.9255</v>
      </c>
      <c r="DG1131" s="122">
        <f>(DG1130+DG1132)/2</f>
        <v>60.74</v>
      </c>
    </row>
    <row r="1132" spans="54:111" ht="15" customHeight="1" x14ac:dyDescent="0.2">
      <c r="BB1132" s="28">
        <v>36</v>
      </c>
      <c r="BC1132" s="121">
        <v>11.159000000000001</v>
      </c>
      <c r="BD1132" s="121">
        <v>12.362500000000001</v>
      </c>
      <c r="BE1132" s="121">
        <v>13.566000000000001</v>
      </c>
      <c r="BF1132" s="121">
        <v>14.68</v>
      </c>
      <c r="BG1132" s="121">
        <v>15.794</v>
      </c>
      <c r="BH1132" s="121">
        <v>16.8245</v>
      </c>
      <c r="BI1132" s="121">
        <v>17.855</v>
      </c>
      <c r="BJ1132" s="121">
        <v>18.891999999999999</v>
      </c>
      <c r="BK1132" s="121">
        <v>19.928999999999998</v>
      </c>
      <c r="BL1132" s="121">
        <v>20.884499999999999</v>
      </c>
      <c r="BM1132" s="121">
        <v>21.84</v>
      </c>
      <c r="BN1132" s="121">
        <v>22.862000000000002</v>
      </c>
      <c r="BO1132" s="121">
        <v>23.884</v>
      </c>
      <c r="BP1132" s="121">
        <v>24.801500000000001</v>
      </c>
      <c r="BQ1132" s="121">
        <v>25.719000000000001</v>
      </c>
      <c r="BR1132" s="121">
        <v>26.681000000000001</v>
      </c>
      <c r="BS1132" s="121">
        <v>27.643000000000001</v>
      </c>
      <c r="BT1132" s="121">
        <v>28.522500000000001</v>
      </c>
      <c r="BU1132" s="121">
        <v>29.402000000000001</v>
      </c>
      <c r="BV1132" s="121">
        <v>30.319499999999998</v>
      </c>
      <c r="BW1132" s="121">
        <v>31.236999999999998</v>
      </c>
      <c r="BX1132" s="121">
        <v>32.145499999999998</v>
      </c>
      <c r="BY1132" s="121">
        <v>33.054000000000002</v>
      </c>
      <c r="BZ1132" s="121">
        <v>33.971000000000004</v>
      </c>
      <c r="CA1132" s="121">
        <v>34.887999999999998</v>
      </c>
      <c r="CB1132" s="121">
        <v>35.736999999999995</v>
      </c>
      <c r="CC1132" s="121">
        <v>36.585999999999999</v>
      </c>
      <c r="CD1132" s="121">
        <v>37.465499999999999</v>
      </c>
      <c r="CE1132" s="121">
        <v>38.344999999999999</v>
      </c>
      <c r="CF1132" s="121">
        <v>39.231999999999999</v>
      </c>
      <c r="CG1132" s="121">
        <v>40.119</v>
      </c>
      <c r="CH1132" s="121">
        <f t="array" ref="CH1132:CH1156">TRANSPOSE(CI1131:DG1131)</f>
        <v>40.982500000000002</v>
      </c>
      <c r="CI1132" s="158">
        <v>41.845999999999997</v>
      </c>
      <c r="CJ1132" s="120">
        <f>(CK1132+CI1132)/2</f>
        <v>42.694499999999998</v>
      </c>
      <c r="CK1132" s="158">
        <v>43.542999999999999</v>
      </c>
      <c r="CL1132" s="120">
        <f>(CM1132+CK1132)/2</f>
        <v>44.384500000000003</v>
      </c>
      <c r="CM1132" s="158">
        <v>45.225999999999999</v>
      </c>
      <c r="CN1132" s="120">
        <f>(CO1132+CM1132)/2</f>
        <v>46.075499999999998</v>
      </c>
      <c r="CO1132" s="158">
        <v>46.924999999999997</v>
      </c>
      <c r="CP1132" s="120">
        <f>(CQ1132+CO1132)/2</f>
        <v>47.766999999999996</v>
      </c>
      <c r="CQ1132" s="158">
        <v>48.609000000000002</v>
      </c>
      <c r="CR1132" s="120">
        <f>(CS1132+CQ1132)/2</f>
        <v>49.472499999999997</v>
      </c>
      <c r="CS1132" s="158">
        <v>50.335999999999999</v>
      </c>
      <c r="CT1132" s="120">
        <f>(CU1132+CS1132)/2</f>
        <v>51.1845</v>
      </c>
      <c r="CU1132" s="158">
        <v>52.033000000000001</v>
      </c>
      <c r="CV1132" s="120">
        <f>(CW1132+CU1132)/2</f>
        <v>52.874499999999998</v>
      </c>
      <c r="CW1132" s="158">
        <v>53.716000000000001</v>
      </c>
      <c r="CX1132" s="120">
        <f>(CY1132+CW1132)/2</f>
        <v>54.5655</v>
      </c>
      <c r="CY1132" s="158">
        <v>55.414999999999999</v>
      </c>
      <c r="CZ1132" s="120">
        <f>(DA1132+CY1132)/2</f>
        <v>56.256500000000003</v>
      </c>
      <c r="DA1132" s="158">
        <v>57.097999999999999</v>
      </c>
      <c r="DB1132" s="120">
        <f>(DC1132+DA1132)/2</f>
        <v>57.893500000000003</v>
      </c>
      <c r="DC1132" s="158">
        <v>58.689</v>
      </c>
      <c r="DD1132" s="120">
        <f>(DE1132+DC1132)/2</f>
        <v>59.530500000000004</v>
      </c>
      <c r="DE1132" s="158">
        <v>60.372</v>
      </c>
      <c r="DF1132" s="120">
        <f>(DG1132+DE1132)/2</f>
        <v>61.220500000000001</v>
      </c>
      <c r="DG1132" s="159">
        <v>62.069000000000003</v>
      </c>
    </row>
    <row r="1133" spans="54:111" ht="15" customHeight="1" x14ac:dyDescent="0.2">
      <c r="BB1133" s="28">
        <v>37</v>
      </c>
      <c r="BC1133" s="121">
        <v>11.397500000000001</v>
      </c>
      <c r="BD1133" s="121">
        <v>12.61675</v>
      </c>
      <c r="BE1133" s="121">
        <v>13.836</v>
      </c>
      <c r="BF1133" s="121">
        <v>14.96125</v>
      </c>
      <c r="BG1133" s="121">
        <v>16.086500000000001</v>
      </c>
      <c r="BH1133" s="121">
        <v>17.1585</v>
      </c>
      <c r="BI1133" s="121">
        <v>18.230499999999999</v>
      </c>
      <c r="BJ1133" s="121">
        <v>19.271749999999997</v>
      </c>
      <c r="BK1133" s="121">
        <v>20.312999999999999</v>
      </c>
      <c r="BL1133" s="121">
        <v>21.302500000000002</v>
      </c>
      <c r="BM1133" s="121">
        <v>22.292000000000002</v>
      </c>
      <c r="BN1133" s="121">
        <v>23.321750000000002</v>
      </c>
      <c r="BO1133" s="121">
        <v>24.351500000000001</v>
      </c>
      <c r="BP1133" s="121">
        <v>25.28425</v>
      </c>
      <c r="BQ1133" s="121">
        <v>26.216999999999999</v>
      </c>
      <c r="BR1133" s="121">
        <v>27.198250000000002</v>
      </c>
      <c r="BS1133" s="121">
        <v>28.179500000000001</v>
      </c>
      <c r="BT1133" s="121">
        <v>29.10425</v>
      </c>
      <c r="BU1133" s="121">
        <v>30.029</v>
      </c>
      <c r="BV1133" s="121">
        <v>30.961500000000001</v>
      </c>
      <c r="BW1133" s="121">
        <v>31.893999999999998</v>
      </c>
      <c r="BX1133" s="121">
        <v>32.810749999999999</v>
      </c>
      <c r="BY1133" s="121">
        <v>33.727500000000006</v>
      </c>
      <c r="BZ1133" s="121">
        <v>34.641000000000005</v>
      </c>
      <c r="CA1133" s="121">
        <v>35.554499999999997</v>
      </c>
      <c r="CB1133" s="121">
        <v>36.444999999999993</v>
      </c>
      <c r="CC1133" s="121">
        <v>37.335499999999996</v>
      </c>
      <c r="CD1133" s="121">
        <v>38.237750000000005</v>
      </c>
      <c r="CE1133" s="121">
        <v>39.14</v>
      </c>
      <c r="CF1133" s="121">
        <v>40.038499999999999</v>
      </c>
      <c r="CG1133" s="121">
        <v>40.936999999999998</v>
      </c>
      <c r="CH1133" s="121">
        <v>41.815750000000001</v>
      </c>
      <c r="CI1133" s="121">
        <f t="array" ref="CI1133:CI1156">TRANSPOSE(CJ1132:DG1132)</f>
        <v>42.694499999999998</v>
      </c>
      <c r="CJ1133" s="120">
        <f>(CI1133+CK1133)/2</f>
        <v>43.588999999999999</v>
      </c>
      <c r="CK1133" s="120">
        <f>(CK1132+CK1134)/2</f>
        <v>44.483499999999999</v>
      </c>
      <c r="CL1133" s="120">
        <f>(CK1133+CM1133)/2</f>
        <v>45.351749999999996</v>
      </c>
      <c r="CM1133" s="120">
        <f>(CM1132+CM1134)/2</f>
        <v>46.22</v>
      </c>
      <c r="CN1133" s="120">
        <f>(CM1133+CO1133)/2</f>
        <v>47.091749999999998</v>
      </c>
      <c r="CO1133" s="120">
        <f>(CO1132+CO1134)/2</f>
        <v>47.963499999999996</v>
      </c>
      <c r="CP1133" s="120">
        <f>(CO1133+CQ1133)/2</f>
        <v>48.817</v>
      </c>
      <c r="CQ1133" s="120">
        <f>(CQ1132+CQ1134)/2</f>
        <v>49.670500000000004</v>
      </c>
      <c r="CR1133" s="120">
        <f>(CQ1133+CS1133)/2</f>
        <v>50.549250000000001</v>
      </c>
      <c r="CS1133" s="120">
        <f>(CS1132+CS1134)/2</f>
        <v>51.427999999999997</v>
      </c>
      <c r="CT1133" s="120">
        <f>(CS1133+CU1133)/2</f>
        <v>52.288499999999999</v>
      </c>
      <c r="CU1133" s="120">
        <f>(CU1132+CU1134)/2</f>
        <v>53.149000000000001</v>
      </c>
      <c r="CV1133" s="120">
        <f>(CU1133+CW1133)/2</f>
        <v>54.013500000000001</v>
      </c>
      <c r="CW1133" s="120">
        <f>(CW1132+CW1134)/2</f>
        <v>54.878</v>
      </c>
      <c r="CX1133" s="120">
        <f>(CW1133+CY1133)/2</f>
        <v>55.712000000000003</v>
      </c>
      <c r="CY1133" s="120">
        <f>(CY1132+CY1134)/2</f>
        <v>56.545999999999999</v>
      </c>
      <c r="CZ1133" s="120">
        <f>(CY1133+DA1133)/2</f>
        <v>57.399249999999995</v>
      </c>
      <c r="DA1133" s="120">
        <f>(DA1132+DA1134)/2</f>
        <v>58.252499999999998</v>
      </c>
      <c r="DB1133" s="120">
        <f>(DA1133+DC1133)/2</f>
        <v>59.097250000000003</v>
      </c>
      <c r="DC1133" s="120">
        <f>(DC1132+DC1134)/2</f>
        <v>59.942</v>
      </c>
      <c r="DD1133" s="120">
        <f>(DC1133+DE1133)/2</f>
        <v>60.798999999999999</v>
      </c>
      <c r="DE1133" s="120">
        <f>(DE1132+DE1134)/2</f>
        <v>61.655999999999999</v>
      </c>
      <c r="DF1133" s="120">
        <f>(DE1133+DG1133)/2</f>
        <v>62.524000000000001</v>
      </c>
      <c r="DG1133" s="122">
        <f>(DG1132+DG1134)/2</f>
        <v>63.392000000000003</v>
      </c>
    </row>
    <row r="1134" spans="54:111" ht="15" customHeight="1" x14ac:dyDescent="0.2">
      <c r="BB1134" s="28">
        <v>38</v>
      </c>
      <c r="BC1134" s="121">
        <v>11.635999999999999</v>
      </c>
      <c r="BD1134" s="121">
        <v>12.870999999999999</v>
      </c>
      <c r="BE1134" s="121">
        <v>14.106</v>
      </c>
      <c r="BF1134" s="121">
        <v>15.2425</v>
      </c>
      <c r="BG1134" s="121">
        <v>16.379000000000001</v>
      </c>
      <c r="BH1134" s="121">
        <v>17.4925</v>
      </c>
      <c r="BI1134" s="121">
        <v>18.606000000000002</v>
      </c>
      <c r="BJ1134" s="121">
        <v>19.651499999999999</v>
      </c>
      <c r="BK1134" s="121">
        <v>20.696999999999999</v>
      </c>
      <c r="BL1134" s="121">
        <v>21.720500000000001</v>
      </c>
      <c r="BM1134" s="121">
        <v>22.744</v>
      </c>
      <c r="BN1134" s="121">
        <v>23.781500000000001</v>
      </c>
      <c r="BO1134" s="121">
        <v>24.818999999999999</v>
      </c>
      <c r="BP1134" s="121">
        <v>25.766999999999999</v>
      </c>
      <c r="BQ1134" s="121">
        <v>26.715</v>
      </c>
      <c r="BR1134" s="121">
        <v>27.715499999999999</v>
      </c>
      <c r="BS1134" s="121">
        <v>28.716000000000001</v>
      </c>
      <c r="BT1134" s="121">
        <v>29.686</v>
      </c>
      <c r="BU1134" s="121">
        <v>30.655999999999999</v>
      </c>
      <c r="BV1134" s="121">
        <v>31.6035</v>
      </c>
      <c r="BW1134" s="121">
        <v>32.551000000000002</v>
      </c>
      <c r="BX1134" s="121">
        <v>33.475999999999999</v>
      </c>
      <c r="BY1134" s="121">
        <v>34.401000000000003</v>
      </c>
      <c r="BZ1134" s="121">
        <v>35.311</v>
      </c>
      <c r="CA1134" s="121">
        <v>36.220999999999997</v>
      </c>
      <c r="CB1134" s="121">
        <v>37.152999999999999</v>
      </c>
      <c r="CC1134" s="121">
        <v>38.085000000000001</v>
      </c>
      <c r="CD1134" s="121">
        <v>39.010000000000005</v>
      </c>
      <c r="CE1134" s="121">
        <v>39.935000000000002</v>
      </c>
      <c r="CF1134" s="121">
        <v>40.844999999999999</v>
      </c>
      <c r="CG1134" s="121">
        <v>41.755000000000003</v>
      </c>
      <c r="CH1134" s="121">
        <v>42.649000000000001</v>
      </c>
      <c r="CI1134" s="121">
        <v>43.542999999999999</v>
      </c>
      <c r="CJ1134" s="121">
        <f t="array" ref="CJ1134:CJ1156">TRANSPOSE(CK1133:DG1133)</f>
        <v>44.483499999999999</v>
      </c>
      <c r="CK1134" s="158">
        <v>45.423999999999999</v>
      </c>
      <c r="CL1134" s="120">
        <f>(CM1134+CK1134)/2</f>
        <v>46.319000000000003</v>
      </c>
      <c r="CM1134" s="158">
        <v>47.213999999999999</v>
      </c>
      <c r="CN1134" s="120">
        <f>(CO1134+CM1134)/2</f>
        <v>48.108000000000004</v>
      </c>
      <c r="CO1134" s="158">
        <v>49.002000000000002</v>
      </c>
      <c r="CP1134" s="120">
        <f>(CQ1134+CO1134)/2</f>
        <v>49.867000000000004</v>
      </c>
      <c r="CQ1134" s="158">
        <v>50.731999999999999</v>
      </c>
      <c r="CR1134" s="120">
        <f>(CS1134+CQ1134)/2</f>
        <v>51.626000000000005</v>
      </c>
      <c r="CS1134" s="158">
        <v>52.52</v>
      </c>
      <c r="CT1134" s="120">
        <f>(CU1134+CS1134)/2</f>
        <v>53.392499999999998</v>
      </c>
      <c r="CU1134" s="158">
        <v>54.265000000000001</v>
      </c>
      <c r="CV1134" s="120">
        <f>(CW1134+CU1134)/2</f>
        <v>55.152500000000003</v>
      </c>
      <c r="CW1134" s="158">
        <v>56.04</v>
      </c>
      <c r="CX1134" s="120">
        <f>(CY1134+CW1134)/2</f>
        <v>56.858499999999999</v>
      </c>
      <c r="CY1134" s="158">
        <v>57.677</v>
      </c>
      <c r="CZ1134" s="120">
        <f>(DA1134+CY1134)/2</f>
        <v>58.542000000000002</v>
      </c>
      <c r="DA1134" s="158">
        <v>59.406999999999996</v>
      </c>
      <c r="DB1134" s="120">
        <f>(DC1134+DA1134)/2</f>
        <v>60.301000000000002</v>
      </c>
      <c r="DC1134" s="158">
        <v>61.195</v>
      </c>
      <c r="DD1134" s="120">
        <f>(DE1134+DC1134)/2</f>
        <v>62.067499999999995</v>
      </c>
      <c r="DE1134" s="158">
        <v>62.94</v>
      </c>
      <c r="DF1134" s="120">
        <f>(DG1134+DE1134)/2</f>
        <v>63.827500000000001</v>
      </c>
      <c r="DG1134" s="159">
        <v>64.715000000000003</v>
      </c>
    </row>
    <row r="1135" spans="54:111" ht="15" customHeight="1" x14ac:dyDescent="0.2">
      <c r="BB1135" s="28">
        <v>39</v>
      </c>
      <c r="BC1135" s="121">
        <v>11.8445</v>
      </c>
      <c r="BD1135" s="121">
        <v>13.10975</v>
      </c>
      <c r="BE1135" s="121">
        <v>14.375</v>
      </c>
      <c r="BF1135" s="121">
        <v>15.5305</v>
      </c>
      <c r="BG1135" s="121">
        <v>16.686</v>
      </c>
      <c r="BH1135" s="121">
        <v>17.81475</v>
      </c>
      <c r="BI1135" s="121">
        <v>18.9435</v>
      </c>
      <c r="BJ1135" s="121">
        <v>20.019749999999998</v>
      </c>
      <c r="BK1135" s="121">
        <v>21.096</v>
      </c>
      <c r="BL1135" s="121">
        <v>22.142000000000003</v>
      </c>
      <c r="BM1135" s="121">
        <v>23.188000000000002</v>
      </c>
      <c r="BN1135" s="121">
        <v>24.241</v>
      </c>
      <c r="BO1135" s="121">
        <v>25.293999999999997</v>
      </c>
      <c r="BP1135" s="121">
        <v>26.283749999999998</v>
      </c>
      <c r="BQ1135" s="121">
        <v>27.273499999999999</v>
      </c>
      <c r="BR1135" s="121">
        <v>28.266749999999998</v>
      </c>
      <c r="BS1135" s="121">
        <v>29.259999999999998</v>
      </c>
      <c r="BT1135" s="121">
        <v>30.241250000000001</v>
      </c>
      <c r="BU1135" s="121">
        <v>31.2225</v>
      </c>
      <c r="BV1135" s="121">
        <v>32.193249999999999</v>
      </c>
      <c r="BW1135" s="121">
        <v>33.164000000000001</v>
      </c>
      <c r="BX1135" s="121">
        <v>34.122999999999998</v>
      </c>
      <c r="BY1135" s="121">
        <v>35.082000000000001</v>
      </c>
      <c r="BZ1135" s="121">
        <v>36.014499999999998</v>
      </c>
      <c r="CA1135" s="121">
        <v>36.947000000000003</v>
      </c>
      <c r="CB1135" s="121">
        <v>37.891000000000005</v>
      </c>
      <c r="CC1135" s="121">
        <v>38.835000000000001</v>
      </c>
      <c r="CD1135" s="121">
        <v>39.771500000000003</v>
      </c>
      <c r="CE1135" s="121">
        <v>40.707999999999998</v>
      </c>
      <c r="CF1135" s="121">
        <v>41.640749999999997</v>
      </c>
      <c r="CG1135" s="121">
        <v>42.573500000000003</v>
      </c>
      <c r="CH1135" s="121">
        <v>43.478999999999999</v>
      </c>
      <c r="CI1135" s="121">
        <v>44.384500000000003</v>
      </c>
      <c r="CJ1135" s="121">
        <v>45.351749999999996</v>
      </c>
      <c r="CK1135" s="121">
        <f t="array" ref="CK1135:CK1156">TRANSPOSE(CL1134:DG1134)</f>
        <v>46.319000000000003</v>
      </c>
      <c r="CL1135" s="120">
        <f>(CK1135+CM1135)/2</f>
        <v>47.225250000000003</v>
      </c>
      <c r="CM1135" s="120">
        <f>(CM1134+CM1136)/2</f>
        <v>48.131500000000003</v>
      </c>
      <c r="CN1135" s="120">
        <f>(CM1135+CO1135)/2</f>
        <v>49.037000000000006</v>
      </c>
      <c r="CO1135" s="120">
        <f>(CO1134+CO1136)/2</f>
        <v>49.942500000000003</v>
      </c>
      <c r="CP1135" s="120">
        <f>(CO1135+CQ1135)/2</f>
        <v>50.830250000000007</v>
      </c>
      <c r="CQ1135" s="120">
        <f>(CQ1134+CQ1136)/2</f>
        <v>51.718000000000004</v>
      </c>
      <c r="CR1135" s="120">
        <f>(CQ1135+CS1135)/2</f>
        <v>52.624000000000002</v>
      </c>
      <c r="CS1135" s="120">
        <f>(CS1134+CS1136)/2</f>
        <v>53.53</v>
      </c>
      <c r="CT1135" s="120">
        <f>(CS1135+CU1135)/2</f>
        <v>54.425249999999998</v>
      </c>
      <c r="CU1135" s="120">
        <f>(CU1134+CU1136)/2</f>
        <v>55.320499999999996</v>
      </c>
      <c r="CV1135" s="120">
        <f>(CU1135+CW1135)/2</f>
        <v>56.222749999999998</v>
      </c>
      <c r="CW1135" s="120">
        <f>(CW1134+CW1136)/2</f>
        <v>57.125</v>
      </c>
      <c r="CX1135" s="120">
        <f>(CW1135+CY1135)/2</f>
        <v>57.993250000000003</v>
      </c>
      <c r="CY1135" s="120">
        <f>(CY1134+CY1136)/2</f>
        <v>58.861499999999999</v>
      </c>
      <c r="CZ1135" s="120">
        <f>(CY1135+DA1135)/2</f>
        <v>59.752749999999999</v>
      </c>
      <c r="DA1135" s="120">
        <f>(DA1134+DA1136)/2</f>
        <v>60.643999999999998</v>
      </c>
      <c r="DB1135" s="120">
        <f>(DA1135+DC1135)/2</f>
        <v>61.549499999999995</v>
      </c>
      <c r="DC1135" s="120">
        <f>(DC1134+DC1136)/2</f>
        <v>62.454999999999998</v>
      </c>
      <c r="DD1135" s="120">
        <f>(DC1135+DE1135)/2</f>
        <v>63.309249999999999</v>
      </c>
      <c r="DE1135" s="120">
        <f>(DE1134+DE1136)/2</f>
        <v>64.163499999999999</v>
      </c>
      <c r="DF1135" s="120">
        <f>(DE1135+DG1135)/2</f>
        <v>65.066000000000003</v>
      </c>
      <c r="DG1135" s="122">
        <f>(DG1134+DG1136)/2</f>
        <v>65.968500000000006</v>
      </c>
    </row>
    <row r="1136" spans="54:111" ht="15" customHeight="1" x14ac:dyDescent="0.2">
      <c r="BB1136" s="28">
        <v>40</v>
      </c>
      <c r="BC1136" s="121">
        <v>12.053000000000001</v>
      </c>
      <c r="BD1136" s="121">
        <v>13.348500000000001</v>
      </c>
      <c r="BE1136" s="121">
        <v>14.644</v>
      </c>
      <c r="BF1136" s="121">
        <v>15.8185</v>
      </c>
      <c r="BG1136" s="121">
        <v>16.992999999999999</v>
      </c>
      <c r="BH1136" s="121">
        <v>18.137</v>
      </c>
      <c r="BI1136" s="121">
        <v>19.280999999999999</v>
      </c>
      <c r="BJ1136" s="121">
        <v>20.387999999999998</v>
      </c>
      <c r="BK1136" s="121">
        <v>21.495000000000001</v>
      </c>
      <c r="BL1136" s="121">
        <v>22.563500000000001</v>
      </c>
      <c r="BM1136" s="121">
        <v>23.632000000000001</v>
      </c>
      <c r="BN1136" s="121">
        <v>24.700499999999998</v>
      </c>
      <c r="BO1136" s="121">
        <v>25.768999999999998</v>
      </c>
      <c r="BP1136" s="121">
        <v>26.8005</v>
      </c>
      <c r="BQ1136" s="121">
        <v>27.832000000000001</v>
      </c>
      <c r="BR1136" s="121">
        <v>28.817999999999998</v>
      </c>
      <c r="BS1136" s="121">
        <v>29.803999999999998</v>
      </c>
      <c r="BT1136" s="121">
        <v>30.796500000000002</v>
      </c>
      <c r="BU1136" s="121">
        <v>31.789000000000001</v>
      </c>
      <c r="BV1136" s="121">
        <v>32.783000000000001</v>
      </c>
      <c r="BW1136" s="121">
        <v>33.777000000000001</v>
      </c>
      <c r="BX1136" s="121">
        <v>34.769999999999996</v>
      </c>
      <c r="BY1136" s="121">
        <v>35.762999999999998</v>
      </c>
      <c r="BZ1136" s="121">
        <v>36.718000000000004</v>
      </c>
      <c r="CA1136" s="121">
        <v>37.673000000000002</v>
      </c>
      <c r="CB1136" s="121">
        <v>38.629000000000005</v>
      </c>
      <c r="CC1136" s="121">
        <v>39.585000000000001</v>
      </c>
      <c r="CD1136" s="121">
        <v>40.533000000000001</v>
      </c>
      <c r="CE1136" s="121">
        <v>41.481000000000002</v>
      </c>
      <c r="CF1136" s="121">
        <v>42.436500000000002</v>
      </c>
      <c r="CG1136" s="121">
        <v>43.392000000000003</v>
      </c>
      <c r="CH1136" s="121">
        <v>44.308999999999997</v>
      </c>
      <c r="CI1136" s="121">
        <v>45.225999999999999</v>
      </c>
      <c r="CJ1136" s="121">
        <v>46.22</v>
      </c>
      <c r="CK1136" s="121">
        <v>47.213999999999999</v>
      </c>
      <c r="CL1136" s="121">
        <f t="array" ref="CL1136:CL1156">TRANSPOSE(CM1135:DG1135)</f>
        <v>48.131500000000003</v>
      </c>
      <c r="CM1136" s="158">
        <v>49.048999999999999</v>
      </c>
      <c r="CN1136" s="120">
        <f>(CO1136+CM1136)/2</f>
        <v>49.966000000000001</v>
      </c>
      <c r="CO1136" s="158">
        <v>50.883000000000003</v>
      </c>
      <c r="CP1136" s="120">
        <f>(CQ1136+CO1136)/2</f>
        <v>51.793500000000002</v>
      </c>
      <c r="CQ1136" s="158">
        <v>52.704000000000001</v>
      </c>
      <c r="CR1136" s="120">
        <f>(CS1136+CQ1136)/2</f>
        <v>53.622</v>
      </c>
      <c r="CS1136" s="158">
        <v>54.54</v>
      </c>
      <c r="CT1136" s="120">
        <f>(CU1136+CS1136)/2</f>
        <v>55.457999999999998</v>
      </c>
      <c r="CU1136" s="158">
        <v>56.375999999999998</v>
      </c>
      <c r="CV1136" s="120">
        <f>(CW1136+CU1136)/2</f>
        <v>57.292999999999999</v>
      </c>
      <c r="CW1136" s="158">
        <v>58.21</v>
      </c>
      <c r="CX1136" s="120">
        <f>(CY1136+CW1136)/2</f>
        <v>59.128</v>
      </c>
      <c r="CY1136" s="158">
        <v>60.045999999999999</v>
      </c>
      <c r="CZ1136" s="120">
        <f>(DA1136+CY1136)/2</f>
        <v>60.963499999999996</v>
      </c>
      <c r="DA1136" s="158">
        <v>61.881</v>
      </c>
      <c r="DB1136" s="120">
        <f>(DC1136+DA1136)/2</f>
        <v>62.798000000000002</v>
      </c>
      <c r="DC1136" s="158">
        <v>63.715000000000003</v>
      </c>
      <c r="DD1136" s="120">
        <f>(DE1136+DC1136)/2</f>
        <v>64.551000000000002</v>
      </c>
      <c r="DE1136" s="158">
        <v>65.387</v>
      </c>
      <c r="DF1136" s="120">
        <f>(DG1136+DE1136)/2</f>
        <v>66.30449999999999</v>
      </c>
      <c r="DG1136" s="159">
        <v>67.221999999999994</v>
      </c>
    </row>
    <row r="1137" spans="54:111" ht="15" customHeight="1" x14ac:dyDescent="0.2">
      <c r="BB1137" s="28">
        <v>41</v>
      </c>
      <c r="BC1137" s="121">
        <v>12.291499999999999</v>
      </c>
      <c r="BD1137" s="121">
        <v>13.598750000000001</v>
      </c>
      <c r="BE1137" s="121">
        <v>14.905999999999999</v>
      </c>
      <c r="BF1137" s="121">
        <v>16.106749999999998</v>
      </c>
      <c r="BG1137" s="121">
        <v>17.307499999999997</v>
      </c>
      <c r="BH1137" s="121">
        <v>18.463250000000002</v>
      </c>
      <c r="BI1137" s="121">
        <v>19.619</v>
      </c>
      <c r="BJ1137" s="121">
        <v>20.737499999999997</v>
      </c>
      <c r="BK1137" s="121">
        <v>21.856000000000002</v>
      </c>
      <c r="BL1137" s="121">
        <v>22.966250000000002</v>
      </c>
      <c r="BM1137" s="121">
        <v>24.076500000000003</v>
      </c>
      <c r="BN1137" s="121">
        <v>25.137999999999998</v>
      </c>
      <c r="BO1137" s="121">
        <v>26.1995</v>
      </c>
      <c r="BP1137" s="121">
        <v>27.253250000000001</v>
      </c>
      <c r="BQ1137" s="121">
        <v>28.307000000000002</v>
      </c>
      <c r="BR1137" s="121">
        <v>29.327500000000001</v>
      </c>
      <c r="BS1137" s="121">
        <v>30.347999999999999</v>
      </c>
      <c r="BT1137" s="121">
        <v>31.37125</v>
      </c>
      <c r="BU1137" s="121">
        <v>32.394500000000001</v>
      </c>
      <c r="BV1137" s="121">
        <v>33.41075</v>
      </c>
      <c r="BW1137" s="121">
        <v>34.427</v>
      </c>
      <c r="BX1137" s="121">
        <v>35.412999999999997</v>
      </c>
      <c r="BY1137" s="121">
        <v>36.399000000000001</v>
      </c>
      <c r="BZ1137" s="121">
        <v>37.39575</v>
      </c>
      <c r="CA1137" s="121">
        <v>38.392499999999998</v>
      </c>
      <c r="CB1137" s="121">
        <v>39.359750000000005</v>
      </c>
      <c r="CC1137" s="121">
        <v>40.326999999999998</v>
      </c>
      <c r="CD1137" s="121">
        <v>41.294250000000005</v>
      </c>
      <c r="CE1137" s="121">
        <v>42.261499999999998</v>
      </c>
      <c r="CF1137" s="121">
        <v>43.239249999999998</v>
      </c>
      <c r="CG1137" s="121">
        <v>44.216999999999999</v>
      </c>
      <c r="CH1137" s="121">
        <v>45.146249999999995</v>
      </c>
      <c r="CI1137" s="121">
        <v>46.075499999999998</v>
      </c>
      <c r="CJ1137" s="121">
        <v>47.091749999999998</v>
      </c>
      <c r="CK1137" s="121">
        <v>48.108000000000004</v>
      </c>
      <c r="CL1137" s="121">
        <v>49.037000000000006</v>
      </c>
      <c r="CM1137" s="121">
        <f t="array" ref="CM1137:CM1156">TRANSPOSE(CN1136:DG1136)</f>
        <v>49.966000000000001</v>
      </c>
      <c r="CN1137" s="120">
        <f>(CM1137+CO1137)/2</f>
        <v>50.895250000000004</v>
      </c>
      <c r="CO1137" s="120">
        <f>(CO1136+CO1138)/2</f>
        <v>51.8245</v>
      </c>
      <c r="CP1137" s="120">
        <f>(CO1137+CQ1137)/2</f>
        <v>52.761000000000003</v>
      </c>
      <c r="CQ1137" s="120">
        <f>(CQ1136+CQ1138)/2</f>
        <v>53.697500000000005</v>
      </c>
      <c r="CR1137" s="120">
        <f>(CQ1137+CS1137)/2</f>
        <v>54.627250000000004</v>
      </c>
      <c r="CS1137" s="120">
        <f>(CS1136+CS1138)/2</f>
        <v>55.557000000000002</v>
      </c>
      <c r="CT1137" s="120">
        <f>(CS1137+CU1137)/2</f>
        <v>56.497500000000002</v>
      </c>
      <c r="CU1137" s="120">
        <f>(CU1136+CU1138)/2</f>
        <v>57.438000000000002</v>
      </c>
      <c r="CV1137" s="120">
        <f>(CU1137+CW1137)/2</f>
        <v>58.367000000000004</v>
      </c>
      <c r="CW1137" s="120">
        <f>(CW1136+CW1138)/2</f>
        <v>59.295999999999999</v>
      </c>
      <c r="CX1137" s="120">
        <f>(CW1137+CY1137)/2</f>
        <v>60.225250000000003</v>
      </c>
      <c r="CY1137" s="120">
        <f>(CY1136+CY1138)/2</f>
        <v>61.154499999999999</v>
      </c>
      <c r="CZ1137" s="120">
        <f>(CY1137+DA1137)/2</f>
        <v>62.094999999999999</v>
      </c>
      <c r="DA1137" s="120">
        <f>(DA1136+DA1138)/2</f>
        <v>63.035499999999999</v>
      </c>
      <c r="DB1137" s="120">
        <f>(DA1137+DC1137)/2</f>
        <v>63.964500000000001</v>
      </c>
      <c r="DC1137" s="120">
        <f>(DC1136+DC1138)/2</f>
        <v>64.893500000000003</v>
      </c>
      <c r="DD1137" s="120">
        <f>(DC1137+DE1137)/2</f>
        <v>65.79325</v>
      </c>
      <c r="DE1137" s="120">
        <f>(DE1136+DE1138)/2</f>
        <v>66.692999999999998</v>
      </c>
      <c r="DF1137" s="120">
        <f>(DE1137+DG1137)/2</f>
        <v>67.621999999999986</v>
      </c>
      <c r="DG1137" s="122">
        <f>(DG1136+DG1138)/2</f>
        <v>68.550999999999988</v>
      </c>
    </row>
    <row r="1138" spans="54:111" ht="15" customHeight="1" x14ac:dyDescent="0.2">
      <c r="BB1138" s="28">
        <v>42</v>
      </c>
      <c r="BC1138" s="121">
        <v>12.53</v>
      </c>
      <c r="BD1138" s="121">
        <v>13.849</v>
      </c>
      <c r="BE1138" s="121">
        <v>15.167999999999999</v>
      </c>
      <c r="BF1138" s="121">
        <v>16.395</v>
      </c>
      <c r="BG1138" s="121">
        <v>17.622</v>
      </c>
      <c r="BH1138" s="121">
        <v>18.7895</v>
      </c>
      <c r="BI1138" s="121">
        <v>19.957000000000001</v>
      </c>
      <c r="BJ1138" s="121">
        <v>21.087</v>
      </c>
      <c r="BK1138" s="121">
        <v>22.216999999999999</v>
      </c>
      <c r="BL1138" s="121">
        <v>23.369</v>
      </c>
      <c r="BM1138" s="121">
        <v>24.521000000000001</v>
      </c>
      <c r="BN1138" s="121">
        <v>25.575499999999998</v>
      </c>
      <c r="BO1138" s="121">
        <v>26.63</v>
      </c>
      <c r="BP1138" s="121">
        <v>27.706</v>
      </c>
      <c r="BQ1138" s="121">
        <v>28.782</v>
      </c>
      <c r="BR1138" s="121">
        <v>29.837</v>
      </c>
      <c r="BS1138" s="121">
        <v>30.891999999999999</v>
      </c>
      <c r="BT1138" s="121">
        <v>31.945999999999998</v>
      </c>
      <c r="BU1138" s="121">
        <v>33</v>
      </c>
      <c r="BV1138" s="121">
        <v>34.038499999999999</v>
      </c>
      <c r="BW1138" s="121">
        <v>35.076999999999998</v>
      </c>
      <c r="BX1138" s="121">
        <v>36.055999999999997</v>
      </c>
      <c r="BY1138" s="121">
        <v>37.034999999999997</v>
      </c>
      <c r="BZ1138" s="121">
        <v>38.073499999999996</v>
      </c>
      <c r="CA1138" s="121">
        <v>39.112000000000002</v>
      </c>
      <c r="CB1138" s="121">
        <v>40.090500000000006</v>
      </c>
      <c r="CC1138" s="121">
        <v>41.069000000000003</v>
      </c>
      <c r="CD1138" s="121">
        <v>42.055500000000002</v>
      </c>
      <c r="CE1138" s="121">
        <v>43.042000000000002</v>
      </c>
      <c r="CF1138" s="121">
        <v>44.042000000000002</v>
      </c>
      <c r="CG1138" s="121">
        <v>45.042000000000002</v>
      </c>
      <c r="CH1138" s="121">
        <v>45.983499999999999</v>
      </c>
      <c r="CI1138" s="121">
        <v>46.924999999999997</v>
      </c>
      <c r="CJ1138" s="121">
        <v>47.963499999999996</v>
      </c>
      <c r="CK1138" s="121">
        <v>49.002000000000002</v>
      </c>
      <c r="CL1138" s="121">
        <v>49.942500000000003</v>
      </c>
      <c r="CM1138" s="121">
        <v>50.883000000000003</v>
      </c>
      <c r="CN1138" s="121">
        <f t="array" ref="CN1138:CN1156">TRANSPOSE(CO1137:DG1137)</f>
        <v>51.8245</v>
      </c>
      <c r="CO1138" s="158">
        <v>52.765999999999998</v>
      </c>
      <c r="CP1138" s="120">
        <f>(CQ1138+CO1138)/2</f>
        <v>53.728499999999997</v>
      </c>
      <c r="CQ1138" s="158">
        <v>54.691000000000003</v>
      </c>
      <c r="CR1138" s="120">
        <f>(CS1138+CQ1138)/2</f>
        <v>55.6325</v>
      </c>
      <c r="CS1138" s="158">
        <v>56.573999999999998</v>
      </c>
      <c r="CT1138" s="120">
        <f>(CU1138+CS1138)/2</f>
        <v>57.536999999999999</v>
      </c>
      <c r="CU1138" s="158">
        <v>58.5</v>
      </c>
      <c r="CV1138" s="120">
        <f>(CW1138+CU1138)/2</f>
        <v>59.441000000000003</v>
      </c>
      <c r="CW1138" s="158">
        <v>60.381999999999998</v>
      </c>
      <c r="CX1138" s="120">
        <f>(CY1138+CW1138)/2</f>
        <v>61.322499999999998</v>
      </c>
      <c r="CY1138" s="158">
        <v>62.262999999999998</v>
      </c>
      <c r="CZ1138" s="120">
        <f>(DA1138+CY1138)/2</f>
        <v>63.226500000000001</v>
      </c>
      <c r="DA1138" s="158">
        <v>64.19</v>
      </c>
      <c r="DB1138" s="120">
        <f>(DC1138+DA1138)/2</f>
        <v>65.131</v>
      </c>
      <c r="DC1138" s="158">
        <v>66.072000000000003</v>
      </c>
      <c r="DD1138" s="120">
        <f>(DE1138+DC1138)/2</f>
        <v>67.035499999999999</v>
      </c>
      <c r="DE1138" s="158">
        <v>67.998999999999995</v>
      </c>
      <c r="DF1138" s="120">
        <f>(DG1138+DE1138)/2</f>
        <v>68.939499999999995</v>
      </c>
      <c r="DG1138" s="159">
        <v>69.88</v>
      </c>
    </row>
    <row r="1139" spans="54:111" ht="15" customHeight="1" x14ac:dyDescent="0.2">
      <c r="BB1139" s="28">
        <v>43</v>
      </c>
      <c r="BC1139" s="121">
        <v>12.731</v>
      </c>
      <c r="BD1139" s="121">
        <v>14.06475</v>
      </c>
      <c r="BE1139" s="121">
        <v>15.398499999999999</v>
      </c>
      <c r="BF1139" s="121">
        <v>16.656749999999999</v>
      </c>
      <c r="BG1139" s="121">
        <v>17.914999999999999</v>
      </c>
      <c r="BH1139" s="121">
        <v>19.124000000000002</v>
      </c>
      <c r="BI1139" s="121">
        <v>20.332999999999998</v>
      </c>
      <c r="BJ1139" s="121">
        <v>21.485749999999999</v>
      </c>
      <c r="BK1139" s="121">
        <v>22.638500000000001</v>
      </c>
      <c r="BL1139" s="121">
        <v>23.7865</v>
      </c>
      <c r="BM1139" s="121">
        <v>24.9345</v>
      </c>
      <c r="BN1139" s="121">
        <v>26.019749999999998</v>
      </c>
      <c r="BO1139" s="121">
        <v>27.104999999999997</v>
      </c>
      <c r="BP1139" s="121">
        <v>28.192999999999998</v>
      </c>
      <c r="BQ1139" s="121">
        <v>29.280999999999999</v>
      </c>
      <c r="BR1139" s="121">
        <v>30.358000000000001</v>
      </c>
      <c r="BS1139" s="121">
        <v>31.435000000000002</v>
      </c>
      <c r="BT1139" s="121">
        <v>32.512</v>
      </c>
      <c r="BU1139" s="121">
        <v>33.588999999999999</v>
      </c>
      <c r="BV1139" s="121">
        <v>34.642749999999999</v>
      </c>
      <c r="BW1139" s="121">
        <v>35.6965</v>
      </c>
      <c r="BX1139" s="121">
        <v>36.706249999999997</v>
      </c>
      <c r="BY1139" s="121">
        <v>37.715999999999994</v>
      </c>
      <c r="BZ1139" s="121">
        <v>38.747249999999994</v>
      </c>
      <c r="CA1139" s="121">
        <v>39.778500000000001</v>
      </c>
      <c r="CB1139" s="121">
        <v>40.798500000000004</v>
      </c>
      <c r="CC1139" s="121">
        <v>41.8185</v>
      </c>
      <c r="CD1139" s="121">
        <v>42.827500000000001</v>
      </c>
      <c r="CE1139" s="121">
        <v>43.836500000000001</v>
      </c>
      <c r="CF1139" s="121">
        <v>44.848500000000001</v>
      </c>
      <c r="CG1139" s="121">
        <v>45.860500000000002</v>
      </c>
      <c r="CH1139" s="121">
        <v>46.813749999999999</v>
      </c>
      <c r="CI1139" s="121">
        <v>47.766999999999996</v>
      </c>
      <c r="CJ1139" s="121">
        <v>48.817</v>
      </c>
      <c r="CK1139" s="121">
        <v>49.867000000000004</v>
      </c>
      <c r="CL1139" s="121">
        <v>50.830250000000007</v>
      </c>
      <c r="CM1139" s="121">
        <v>51.793500000000002</v>
      </c>
      <c r="CN1139" s="121">
        <v>52.761000000000003</v>
      </c>
      <c r="CO1139" s="121">
        <f t="array" ref="CO1139:CO1156">TRANSPOSE(CP1138:DG1138)</f>
        <v>53.728499999999997</v>
      </c>
      <c r="CP1139" s="120">
        <f>(CO1139+CQ1139)/2</f>
        <v>54.741</v>
      </c>
      <c r="CQ1139" s="120">
        <f>(CQ1138+CQ1140)/2</f>
        <v>55.753500000000003</v>
      </c>
      <c r="CR1139" s="120">
        <f>(CQ1139+CS1139)/2</f>
        <v>56.706499999999998</v>
      </c>
      <c r="CS1139" s="120">
        <f>(CS1138+CS1140)/2</f>
        <v>57.659499999999994</v>
      </c>
      <c r="CT1139" s="120">
        <f>(CS1139+CU1139)/2</f>
        <v>58.634</v>
      </c>
      <c r="CU1139" s="120">
        <f>(CU1138+CU1140)/2</f>
        <v>59.608499999999999</v>
      </c>
      <c r="CV1139" s="120">
        <f>(CU1139+CW1139)/2</f>
        <v>60.575749999999999</v>
      </c>
      <c r="CW1139" s="120">
        <f>(CW1138+CW1140)/2</f>
        <v>61.542999999999999</v>
      </c>
      <c r="CX1139" s="120">
        <f>(CW1139+CY1139)/2</f>
        <v>62.506500000000003</v>
      </c>
      <c r="CY1139" s="120">
        <f>(CY1138+CY1140)/2</f>
        <v>63.47</v>
      </c>
      <c r="CZ1139" s="120">
        <f>(CY1139+DA1139)/2</f>
        <v>64.445250000000001</v>
      </c>
      <c r="DA1139" s="120">
        <f>(DA1138+DA1140)/2</f>
        <v>65.420500000000004</v>
      </c>
      <c r="DB1139" s="120">
        <f>(DA1139+DC1139)/2</f>
        <v>66.373000000000005</v>
      </c>
      <c r="DC1139" s="120">
        <f>(DC1138+DC1140)/2</f>
        <v>67.325500000000005</v>
      </c>
      <c r="DD1139" s="120">
        <f>(DC1139+DE1139)/2</f>
        <v>68.262500000000003</v>
      </c>
      <c r="DE1139" s="120">
        <f>(DE1138+DE1140)/2</f>
        <v>69.1995</v>
      </c>
      <c r="DF1139" s="120">
        <f>(DE1139+DG1139)/2</f>
        <v>70.166499999999999</v>
      </c>
      <c r="DG1139" s="122">
        <f>(DG1138+DG1140)/2</f>
        <v>71.133499999999998</v>
      </c>
    </row>
    <row r="1140" spans="54:111" ht="15" customHeight="1" x14ac:dyDescent="0.2">
      <c r="BB1140" s="28">
        <v>44</v>
      </c>
      <c r="BC1140" s="121">
        <v>12.932</v>
      </c>
      <c r="BD1140" s="121">
        <v>14.2805</v>
      </c>
      <c r="BE1140" s="121">
        <v>15.629</v>
      </c>
      <c r="BF1140" s="121">
        <v>16.918499999999998</v>
      </c>
      <c r="BG1140" s="121">
        <v>18.207999999999998</v>
      </c>
      <c r="BH1140" s="121">
        <v>19.458500000000001</v>
      </c>
      <c r="BI1140" s="121">
        <v>20.709</v>
      </c>
      <c r="BJ1140" s="121">
        <v>21.884499999999999</v>
      </c>
      <c r="BK1140" s="121">
        <v>23.06</v>
      </c>
      <c r="BL1140" s="121">
        <v>24.204000000000001</v>
      </c>
      <c r="BM1140" s="121">
        <v>25.347999999999999</v>
      </c>
      <c r="BN1140" s="121">
        <v>26.463999999999999</v>
      </c>
      <c r="BO1140" s="121">
        <v>27.58</v>
      </c>
      <c r="BP1140" s="121">
        <v>28.68</v>
      </c>
      <c r="BQ1140" s="121">
        <v>29.78</v>
      </c>
      <c r="BR1140" s="121">
        <v>30.879000000000001</v>
      </c>
      <c r="BS1140" s="121">
        <v>31.978000000000002</v>
      </c>
      <c r="BT1140" s="121">
        <v>33.078000000000003</v>
      </c>
      <c r="BU1140" s="121">
        <v>34.177999999999997</v>
      </c>
      <c r="BV1140" s="121">
        <v>35.247</v>
      </c>
      <c r="BW1140" s="121">
        <v>36.316000000000003</v>
      </c>
      <c r="BX1140" s="121">
        <v>37.356499999999997</v>
      </c>
      <c r="BY1140" s="121">
        <v>38.396999999999998</v>
      </c>
      <c r="BZ1140" s="121">
        <v>39.420999999999999</v>
      </c>
      <c r="CA1140" s="121">
        <v>40.445</v>
      </c>
      <c r="CB1140" s="121">
        <v>41.506500000000003</v>
      </c>
      <c r="CC1140" s="121">
        <v>42.567999999999998</v>
      </c>
      <c r="CD1140" s="121">
        <v>43.599499999999999</v>
      </c>
      <c r="CE1140" s="121">
        <v>44.631</v>
      </c>
      <c r="CF1140" s="121">
        <v>45.655000000000001</v>
      </c>
      <c r="CG1140" s="121">
        <v>46.679000000000002</v>
      </c>
      <c r="CH1140" s="121">
        <v>47.644000000000005</v>
      </c>
      <c r="CI1140" s="121">
        <v>48.609000000000002</v>
      </c>
      <c r="CJ1140" s="121">
        <v>49.670500000000004</v>
      </c>
      <c r="CK1140" s="121">
        <v>50.731999999999999</v>
      </c>
      <c r="CL1140" s="121">
        <v>51.718000000000004</v>
      </c>
      <c r="CM1140" s="121">
        <v>52.704000000000001</v>
      </c>
      <c r="CN1140" s="121">
        <v>53.697500000000005</v>
      </c>
      <c r="CO1140" s="121">
        <v>54.691000000000003</v>
      </c>
      <c r="CP1140" s="121">
        <f t="array" ref="CP1140:CP1156">TRANSPOSE(CQ1139:DG1139)</f>
        <v>55.753500000000003</v>
      </c>
      <c r="CQ1140" s="158">
        <v>56.816000000000003</v>
      </c>
      <c r="CR1140" s="121">
        <f>CS1139</f>
        <v>57.659499999999994</v>
      </c>
      <c r="CS1140" s="158">
        <v>58.744999999999997</v>
      </c>
      <c r="CT1140" s="121">
        <f>CU1139</f>
        <v>59.608499999999999</v>
      </c>
      <c r="CU1140" s="158">
        <v>60.716999999999999</v>
      </c>
      <c r="CV1140" s="121">
        <f>CW1139</f>
        <v>61.542999999999999</v>
      </c>
      <c r="CW1140" s="158">
        <v>62.704000000000001</v>
      </c>
      <c r="CX1140" s="121">
        <f>CY1139</f>
        <v>63.47</v>
      </c>
      <c r="CY1140" s="158">
        <v>64.677000000000007</v>
      </c>
      <c r="CZ1140" s="121">
        <f>DA1139</f>
        <v>65.420500000000004</v>
      </c>
      <c r="DA1140" s="158">
        <v>66.650999999999996</v>
      </c>
      <c r="DB1140" s="121">
        <f>DC1139</f>
        <v>67.325500000000005</v>
      </c>
      <c r="DC1140" s="158">
        <v>68.578999999999994</v>
      </c>
      <c r="DD1140" s="121">
        <f>DE1139</f>
        <v>69.1995</v>
      </c>
      <c r="DE1140" s="158">
        <v>70.400000000000006</v>
      </c>
      <c r="DF1140" s="121">
        <f>DG1139</f>
        <v>71.133499999999998</v>
      </c>
      <c r="DG1140" s="159">
        <v>72.387</v>
      </c>
    </row>
    <row r="1141" spans="54:111" ht="15" customHeight="1" x14ac:dyDescent="0.2">
      <c r="BB1141" s="28">
        <v>45</v>
      </c>
      <c r="BC1141" s="121">
        <v>13.1555</v>
      </c>
      <c r="BD1141" s="121">
        <v>14.53425</v>
      </c>
      <c r="BE1141" s="121">
        <v>15.913</v>
      </c>
      <c r="BF1141" s="121">
        <v>17.217500000000001</v>
      </c>
      <c r="BG1141" s="121">
        <v>18.521999999999998</v>
      </c>
      <c r="BH1141" s="121">
        <v>19.78425</v>
      </c>
      <c r="BI1141" s="121">
        <v>21.046500000000002</v>
      </c>
      <c r="BJ1141" s="121">
        <v>22.233750000000001</v>
      </c>
      <c r="BK1141" s="121">
        <v>23.420999999999999</v>
      </c>
      <c r="BL1141" s="121">
        <v>24.595750000000002</v>
      </c>
      <c r="BM1141" s="121">
        <v>25.770499999999998</v>
      </c>
      <c r="BN1141" s="121">
        <v>26.92</v>
      </c>
      <c r="BO1141" s="121">
        <v>28.069499999999998</v>
      </c>
      <c r="BP1141" s="121">
        <v>29.184750000000001</v>
      </c>
      <c r="BQ1141" s="121">
        <v>30.3</v>
      </c>
      <c r="BR1141" s="121">
        <v>31.411000000000001</v>
      </c>
      <c r="BS1141" s="121">
        <v>32.522000000000006</v>
      </c>
      <c r="BT1141" s="121">
        <v>33.637250000000002</v>
      </c>
      <c r="BU1141" s="121">
        <v>34.752499999999998</v>
      </c>
      <c r="BV1141" s="121">
        <v>35.829499999999996</v>
      </c>
      <c r="BW1141" s="121">
        <v>36.906500000000001</v>
      </c>
      <c r="BX1141" s="121">
        <v>37.980499999999999</v>
      </c>
      <c r="BY1141" s="121">
        <v>39.054500000000004</v>
      </c>
      <c r="BZ1141" s="121">
        <v>40.112750000000005</v>
      </c>
      <c r="CA1141" s="121">
        <v>41.170999999999999</v>
      </c>
      <c r="CB1141" s="121">
        <v>42.225499999999997</v>
      </c>
      <c r="CC1141" s="121">
        <v>43.28</v>
      </c>
      <c r="CD1141" s="121">
        <v>44.341999999999999</v>
      </c>
      <c r="CE1141" s="121">
        <v>45.403999999999996</v>
      </c>
      <c r="CF1141" s="121">
        <v>46.439750000000004</v>
      </c>
      <c r="CG1141" s="121">
        <v>47.475499999999997</v>
      </c>
      <c r="CH1141" s="121">
        <v>48.474000000000004</v>
      </c>
      <c r="CI1141" s="121">
        <v>49.472499999999997</v>
      </c>
      <c r="CJ1141" s="121">
        <v>50.549250000000001</v>
      </c>
      <c r="CK1141" s="121">
        <v>51.626000000000005</v>
      </c>
      <c r="CL1141" s="121">
        <v>52.624000000000002</v>
      </c>
      <c r="CM1141" s="121">
        <v>53.622</v>
      </c>
      <c r="CN1141" s="121">
        <v>54.627250000000004</v>
      </c>
      <c r="CO1141" s="121">
        <v>55.6325</v>
      </c>
      <c r="CP1141" s="121">
        <v>56.706499999999998</v>
      </c>
      <c r="CQ1141" s="121">
        <f t="array" ref="CQ1141:CQ1156">TRANSPOSE(CR1140:DG1140)</f>
        <v>57.659499999999994</v>
      </c>
      <c r="CR1141" s="120">
        <f>(CQ1141+CS1141)/2</f>
        <v>58.721499999999999</v>
      </c>
      <c r="CS1141" s="120">
        <f>(CS1140+CS1142)/2</f>
        <v>59.783500000000004</v>
      </c>
      <c r="CT1141" s="120">
        <f>(CS1141+CU1141)/2</f>
        <v>60.781500000000001</v>
      </c>
      <c r="CU1141" s="120">
        <f>(CU1140+CU1142)/2</f>
        <v>61.779499999999999</v>
      </c>
      <c r="CV1141" s="120">
        <f>(CU1141+CW1141)/2</f>
        <v>62.78125</v>
      </c>
      <c r="CW1141" s="120">
        <f>(CW1140+CW1142)/2</f>
        <v>63.783000000000001</v>
      </c>
      <c r="CX1141" s="120">
        <f>(CW1141+CY1141)/2</f>
        <v>64.784750000000003</v>
      </c>
      <c r="CY1141" s="120">
        <f>(CY1140+CY1142)/2</f>
        <v>65.786500000000004</v>
      </c>
      <c r="CZ1141" s="120">
        <f>(CY1141+DA1141)/2</f>
        <v>66.784750000000003</v>
      </c>
      <c r="DA1141" s="120">
        <f>(DA1140+DA1142)/2</f>
        <v>67.783000000000001</v>
      </c>
      <c r="DB1141" s="120">
        <f>(DA1141+DC1141)/2</f>
        <v>68.784500000000008</v>
      </c>
      <c r="DC1141" s="120">
        <f>(DC1140+DC1142)/2</f>
        <v>69.786000000000001</v>
      </c>
      <c r="DD1141" s="120">
        <f>(DC1141+DE1141)/2</f>
        <v>70.746000000000009</v>
      </c>
      <c r="DE1141" s="120">
        <f>(DE1140+DE1142)/2</f>
        <v>71.706000000000003</v>
      </c>
      <c r="DF1141" s="120">
        <f>(DE1141+DG1141)/2</f>
        <v>72.707999999999998</v>
      </c>
      <c r="DG1141" s="122">
        <f>(DG1140+DG1142)/2</f>
        <v>73.710000000000008</v>
      </c>
    </row>
    <row r="1142" spans="54:111" ht="15" customHeight="1" x14ac:dyDescent="0.2">
      <c r="BB1142" s="28">
        <v>46</v>
      </c>
      <c r="BC1142" s="121">
        <v>13.379</v>
      </c>
      <c r="BD1142" s="121">
        <v>14.788</v>
      </c>
      <c r="BE1142" s="121">
        <v>16.196999999999999</v>
      </c>
      <c r="BF1142" s="121">
        <v>17.516500000000001</v>
      </c>
      <c r="BG1142" s="121">
        <v>18.835999999999999</v>
      </c>
      <c r="BH1142" s="121">
        <v>20.11</v>
      </c>
      <c r="BI1142" s="121">
        <v>21.384</v>
      </c>
      <c r="BJ1142" s="121">
        <v>22.582999999999998</v>
      </c>
      <c r="BK1142" s="121">
        <v>23.782</v>
      </c>
      <c r="BL1142" s="121">
        <v>24.987500000000001</v>
      </c>
      <c r="BM1142" s="121">
        <v>26.193000000000001</v>
      </c>
      <c r="BN1142" s="121">
        <v>27.376000000000001</v>
      </c>
      <c r="BO1142" s="121">
        <v>28.559000000000001</v>
      </c>
      <c r="BP1142" s="121">
        <v>29.689500000000002</v>
      </c>
      <c r="BQ1142" s="121">
        <v>30.82</v>
      </c>
      <c r="BR1142" s="121">
        <v>31.943000000000001</v>
      </c>
      <c r="BS1142" s="121">
        <v>33.066000000000003</v>
      </c>
      <c r="BT1142" s="121">
        <v>34.1965</v>
      </c>
      <c r="BU1142" s="121">
        <v>35.326999999999998</v>
      </c>
      <c r="BV1142" s="121">
        <v>36.411999999999999</v>
      </c>
      <c r="BW1142" s="121">
        <v>37.497</v>
      </c>
      <c r="BX1142" s="121">
        <v>38.604500000000002</v>
      </c>
      <c r="BY1142" s="121">
        <v>39.712000000000003</v>
      </c>
      <c r="BZ1142" s="121">
        <v>40.804500000000004</v>
      </c>
      <c r="CA1142" s="121">
        <v>41.896999999999998</v>
      </c>
      <c r="CB1142" s="121">
        <v>42.944499999999998</v>
      </c>
      <c r="CC1142" s="121">
        <v>43.991999999999997</v>
      </c>
      <c r="CD1142" s="121">
        <v>45.084499999999998</v>
      </c>
      <c r="CE1142" s="121">
        <v>46.177</v>
      </c>
      <c r="CF1142" s="121">
        <v>47.224499999999999</v>
      </c>
      <c r="CG1142" s="121">
        <v>48.271999999999998</v>
      </c>
      <c r="CH1142" s="121">
        <v>49.304000000000002</v>
      </c>
      <c r="CI1142" s="121">
        <v>50.335999999999999</v>
      </c>
      <c r="CJ1142" s="121">
        <v>51.427999999999997</v>
      </c>
      <c r="CK1142" s="121">
        <v>52.52</v>
      </c>
      <c r="CL1142" s="121">
        <v>53.53</v>
      </c>
      <c r="CM1142" s="121">
        <v>54.54</v>
      </c>
      <c r="CN1142" s="121">
        <v>55.557000000000002</v>
      </c>
      <c r="CO1142" s="121">
        <v>56.573999999999998</v>
      </c>
      <c r="CP1142" s="121">
        <v>57.659499999999994</v>
      </c>
      <c r="CQ1142" s="121">
        <v>58.744999999999997</v>
      </c>
      <c r="CR1142" s="150">
        <f t="array" ref="CR1142:CR1156">TRANSPOSE(CS1141:DG1141)</f>
        <v>59.783500000000004</v>
      </c>
      <c r="CS1142" s="158">
        <v>60.822000000000003</v>
      </c>
      <c r="CT1142" s="121">
        <f>CU1141</f>
        <v>61.779499999999999</v>
      </c>
      <c r="CU1142" s="158">
        <v>62.841999999999999</v>
      </c>
      <c r="CV1142" s="121">
        <f>CW1141</f>
        <v>63.783000000000001</v>
      </c>
      <c r="CW1142" s="158">
        <v>64.861999999999995</v>
      </c>
      <c r="CX1142" s="121">
        <f>CY1141</f>
        <v>65.786500000000004</v>
      </c>
      <c r="CY1142" s="158">
        <v>66.896000000000001</v>
      </c>
      <c r="CZ1142" s="121">
        <f>DA1141</f>
        <v>67.783000000000001</v>
      </c>
      <c r="DA1142" s="158">
        <v>68.915000000000006</v>
      </c>
      <c r="DB1142" s="121">
        <f>DC1141</f>
        <v>69.786000000000001</v>
      </c>
      <c r="DC1142" s="158">
        <v>70.992999999999995</v>
      </c>
      <c r="DD1142" s="121">
        <f>DE1141</f>
        <v>71.706000000000003</v>
      </c>
      <c r="DE1142" s="158">
        <v>73.012</v>
      </c>
      <c r="DF1142" s="121">
        <f>DG1141</f>
        <v>73.710000000000008</v>
      </c>
      <c r="DG1142" s="159">
        <v>75.033000000000001</v>
      </c>
    </row>
    <row r="1143" spans="54:111" ht="15" customHeight="1" x14ac:dyDescent="0.2">
      <c r="BB1143" s="28">
        <v>47</v>
      </c>
      <c r="BC1143" s="121">
        <v>13.58</v>
      </c>
      <c r="BD1143" s="121">
        <v>15.0235</v>
      </c>
      <c r="BE1143" s="121">
        <v>16.466999999999999</v>
      </c>
      <c r="BF1143" s="121">
        <v>17.794249999999998</v>
      </c>
      <c r="BG1143" s="121">
        <v>19.121499999999997</v>
      </c>
      <c r="BH1143" s="121">
        <v>20.422000000000001</v>
      </c>
      <c r="BI1143" s="121">
        <v>21.7225</v>
      </c>
      <c r="BJ1143" s="121">
        <v>22.966249999999999</v>
      </c>
      <c r="BK1143" s="121">
        <v>24.21</v>
      </c>
      <c r="BL1143" s="121">
        <v>25.405000000000001</v>
      </c>
      <c r="BM1143" s="121">
        <v>26.6</v>
      </c>
      <c r="BN1143" s="121">
        <v>27.798500000000001</v>
      </c>
      <c r="BO1143" s="121">
        <v>28.997</v>
      </c>
      <c r="BP1143" s="121">
        <v>30.154250000000001</v>
      </c>
      <c r="BQ1143" s="121">
        <v>31.311500000000002</v>
      </c>
      <c r="BR1143" s="121">
        <v>32.460750000000004</v>
      </c>
      <c r="BS1143" s="121">
        <v>33.61</v>
      </c>
      <c r="BT1143" s="121">
        <v>34.763000000000005</v>
      </c>
      <c r="BU1143" s="121">
        <v>35.915999999999997</v>
      </c>
      <c r="BV1143" s="121">
        <v>37.013000000000005</v>
      </c>
      <c r="BW1143" s="121">
        <v>38.11</v>
      </c>
      <c r="BX1143" s="121">
        <v>39.232500000000002</v>
      </c>
      <c r="BY1143" s="121">
        <v>40.355000000000004</v>
      </c>
      <c r="BZ1143" s="121">
        <v>41.459249999999997</v>
      </c>
      <c r="CA1143" s="121">
        <v>42.563499999999998</v>
      </c>
      <c r="CB1143" s="121">
        <v>43.652500000000003</v>
      </c>
      <c r="CC1143" s="121">
        <v>44.741500000000002</v>
      </c>
      <c r="CD1143" s="121">
        <v>45.837999999999994</v>
      </c>
      <c r="CE1143" s="121">
        <v>46.9345</v>
      </c>
      <c r="CF1143" s="121">
        <v>48.012249999999995</v>
      </c>
      <c r="CG1143" s="121">
        <v>49.09</v>
      </c>
      <c r="CH1143" s="121">
        <v>50.137250000000002</v>
      </c>
      <c r="CI1143" s="121">
        <v>51.1845</v>
      </c>
      <c r="CJ1143" s="121">
        <v>52.288499999999999</v>
      </c>
      <c r="CK1143" s="121">
        <v>53.392499999999998</v>
      </c>
      <c r="CL1143" s="121">
        <v>54.425249999999998</v>
      </c>
      <c r="CM1143" s="121">
        <v>55.457999999999998</v>
      </c>
      <c r="CN1143" s="121">
        <v>56.497500000000002</v>
      </c>
      <c r="CO1143" s="121">
        <v>57.536999999999999</v>
      </c>
      <c r="CP1143" s="121">
        <v>58.634</v>
      </c>
      <c r="CQ1143" s="121">
        <v>59.608499999999999</v>
      </c>
      <c r="CR1143" s="160">
        <v>60.781500000000001</v>
      </c>
      <c r="CS1143" s="160">
        <f t="array" ref="CS1143:CS1156">TRANSPOSE(CT1142:DG1142)</f>
        <v>61.779499999999999</v>
      </c>
      <c r="CT1143" s="120">
        <f>(CS1143+CU1143)/2</f>
        <v>62.830749999999995</v>
      </c>
      <c r="CU1143" s="120">
        <f>(CU1142+CU1144)/2</f>
        <v>63.881999999999998</v>
      </c>
      <c r="CV1143" s="120">
        <f>(CU1143+CW1143)/2</f>
        <v>64.914749999999998</v>
      </c>
      <c r="CW1143" s="120">
        <f>(CW1142+CW1144)/2</f>
        <v>65.947499999999991</v>
      </c>
      <c r="CX1143" s="120">
        <f>(CW1143+CY1143)/2</f>
        <v>66.987249999999989</v>
      </c>
      <c r="CY1143" s="120">
        <f>(CY1142+CY1144)/2</f>
        <v>68.027000000000001</v>
      </c>
      <c r="CZ1143" s="120">
        <f>(CY1143+DA1143)/2</f>
        <v>69.048249999999996</v>
      </c>
      <c r="DA1143" s="120">
        <f>(DA1142+DA1144)/2</f>
        <v>70.069500000000005</v>
      </c>
      <c r="DB1143" s="120">
        <f>(DA1143+DC1143)/2</f>
        <v>71.12</v>
      </c>
      <c r="DC1143" s="120">
        <f>(DC1142+DC1144)/2</f>
        <v>72.170500000000004</v>
      </c>
      <c r="DD1143" s="120">
        <f>(DC1143+DE1143)/2</f>
        <v>73.19550000000001</v>
      </c>
      <c r="DE1143" s="120">
        <f>(DE1142+DE1144)/2</f>
        <v>74.220500000000001</v>
      </c>
      <c r="DF1143" s="120">
        <f>(DE1143+DG1143)/2</f>
        <v>75.253500000000003</v>
      </c>
      <c r="DG1143" s="122">
        <f>(DG1142+DG1144)/2</f>
        <v>76.286500000000004</v>
      </c>
    </row>
    <row r="1144" spans="54:111" ht="15" customHeight="1" x14ac:dyDescent="0.2">
      <c r="BB1144" s="28">
        <v>48</v>
      </c>
      <c r="BC1144" s="121">
        <v>13.781000000000001</v>
      </c>
      <c r="BD1144" s="121">
        <v>15.259</v>
      </c>
      <c r="BE1144" s="121">
        <v>16.736999999999998</v>
      </c>
      <c r="BF1144" s="121">
        <v>18.071999999999999</v>
      </c>
      <c r="BG1144" s="121">
        <v>19.407</v>
      </c>
      <c r="BH1144" s="121">
        <v>20.734000000000002</v>
      </c>
      <c r="BI1144" s="121">
        <v>22.061</v>
      </c>
      <c r="BJ1144" s="121">
        <v>23.349499999999999</v>
      </c>
      <c r="BK1144" s="121">
        <v>24.638000000000002</v>
      </c>
      <c r="BL1144" s="121">
        <v>25.822500000000002</v>
      </c>
      <c r="BM1144" s="121">
        <v>27.007000000000001</v>
      </c>
      <c r="BN1144" s="121">
        <v>28.221</v>
      </c>
      <c r="BO1144" s="121">
        <v>29.434999999999999</v>
      </c>
      <c r="BP1144" s="121">
        <v>30.619</v>
      </c>
      <c r="BQ1144" s="121">
        <v>31.803000000000001</v>
      </c>
      <c r="BR1144" s="121">
        <v>32.978500000000004</v>
      </c>
      <c r="BS1144" s="121">
        <v>34.154000000000003</v>
      </c>
      <c r="BT1144" s="121">
        <v>35.329500000000003</v>
      </c>
      <c r="BU1144" s="121">
        <v>36.505000000000003</v>
      </c>
      <c r="BV1144" s="121">
        <v>37.614000000000004</v>
      </c>
      <c r="BW1144" s="121">
        <v>38.722999999999999</v>
      </c>
      <c r="BX1144" s="121">
        <v>39.860500000000002</v>
      </c>
      <c r="BY1144" s="121">
        <v>40.997999999999998</v>
      </c>
      <c r="BZ1144" s="121">
        <v>42.113999999999997</v>
      </c>
      <c r="CA1144" s="121">
        <v>43.23</v>
      </c>
      <c r="CB1144" s="121">
        <v>44.360500000000002</v>
      </c>
      <c r="CC1144" s="121">
        <v>45.491</v>
      </c>
      <c r="CD1144" s="121">
        <v>46.591499999999996</v>
      </c>
      <c r="CE1144" s="121">
        <v>47.692</v>
      </c>
      <c r="CF1144" s="121">
        <v>48.8</v>
      </c>
      <c r="CG1144" s="121">
        <v>49.908000000000001</v>
      </c>
      <c r="CH1144" s="121">
        <v>50.970500000000001</v>
      </c>
      <c r="CI1144" s="121">
        <v>52.033000000000001</v>
      </c>
      <c r="CJ1144" s="121">
        <v>53.149000000000001</v>
      </c>
      <c r="CK1144" s="121">
        <v>54.265000000000001</v>
      </c>
      <c r="CL1144" s="121">
        <v>55.320499999999996</v>
      </c>
      <c r="CM1144" s="121">
        <v>56.375999999999998</v>
      </c>
      <c r="CN1144" s="121">
        <v>57.438000000000002</v>
      </c>
      <c r="CO1144" s="121">
        <v>58.5</v>
      </c>
      <c r="CP1144" s="121">
        <v>59.608499999999999</v>
      </c>
      <c r="CQ1144" s="121">
        <v>60.716999999999999</v>
      </c>
      <c r="CR1144" s="160">
        <v>61.779499999999999</v>
      </c>
      <c r="CS1144" s="160">
        <v>62.841999999999999</v>
      </c>
      <c r="CT1144" s="121">
        <f t="array" ref="CT1144:CT1156">TRANSPOSE(CU1143:DG1143)</f>
        <v>63.881999999999998</v>
      </c>
      <c r="CU1144" s="158">
        <v>64.921999999999997</v>
      </c>
      <c r="CV1144" s="121">
        <f>CW1143</f>
        <v>65.947499999999991</v>
      </c>
      <c r="CW1144" s="158">
        <v>67.033000000000001</v>
      </c>
      <c r="CX1144" s="121">
        <f>CY1143</f>
        <v>68.027000000000001</v>
      </c>
      <c r="CY1144" s="158">
        <v>69.158000000000001</v>
      </c>
      <c r="CZ1144" s="121">
        <f>DA1143</f>
        <v>70.069500000000005</v>
      </c>
      <c r="DA1144" s="158">
        <v>71.224000000000004</v>
      </c>
      <c r="DB1144" s="121">
        <f>DC1143</f>
        <v>72.170500000000004</v>
      </c>
      <c r="DC1144" s="158">
        <v>73.347999999999999</v>
      </c>
      <c r="DD1144" s="121">
        <f>DE1143</f>
        <v>74.220500000000001</v>
      </c>
      <c r="DE1144" s="158">
        <v>75.429000000000002</v>
      </c>
      <c r="DF1144" s="121">
        <f>DG1143</f>
        <v>76.286500000000004</v>
      </c>
      <c r="DG1144" s="159">
        <v>77.540000000000006</v>
      </c>
    </row>
    <row r="1145" spans="54:111" ht="15" customHeight="1" x14ac:dyDescent="0.2">
      <c r="BB1145" s="28">
        <v>49</v>
      </c>
      <c r="BC1145" s="121">
        <v>13.989000000000001</v>
      </c>
      <c r="BD1145" s="121">
        <v>15.494</v>
      </c>
      <c r="BE1145" s="121">
        <v>16.998999999999999</v>
      </c>
      <c r="BF1145" s="121">
        <v>18.360250000000001</v>
      </c>
      <c r="BG1145" s="121">
        <v>19.721499999999999</v>
      </c>
      <c r="BH1145" s="121">
        <v>21.060000000000002</v>
      </c>
      <c r="BI1145" s="121">
        <v>22.398499999999999</v>
      </c>
      <c r="BJ1145" s="121">
        <v>23.699249999999999</v>
      </c>
      <c r="BK1145" s="121">
        <v>25</v>
      </c>
      <c r="BL1145" s="121">
        <v>26.22925</v>
      </c>
      <c r="BM1145" s="121">
        <v>27.458500000000001</v>
      </c>
      <c r="BN1145" s="121">
        <v>28.680500000000002</v>
      </c>
      <c r="BO1145" s="121">
        <v>29.9025</v>
      </c>
      <c r="BP1145" s="121">
        <v>31.113</v>
      </c>
      <c r="BQ1145" s="121">
        <v>32.323500000000003</v>
      </c>
      <c r="BR1145" s="121">
        <v>33.510500000000008</v>
      </c>
      <c r="BS1145" s="121">
        <v>34.697500000000005</v>
      </c>
      <c r="BT1145" s="121">
        <v>35.884749999999997</v>
      </c>
      <c r="BU1145" s="121">
        <v>37.072000000000003</v>
      </c>
      <c r="BV1145" s="121">
        <v>38.207250000000002</v>
      </c>
      <c r="BW1145" s="121">
        <v>39.342500000000001</v>
      </c>
      <c r="BX1145" s="121">
        <v>40.507000000000005</v>
      </c>
      <c r="BY1145" s="121">
        <v>41.671499999999995</v>
      </c>
      <c r="BZ1145" s="121">
        <v>42.810249999999996</v>
      </c>
      <c r="CA1145" s="121">
        <v>43.948999999999998</v>
      </c>
      <c r="CB1145" s="121">
        <v>45.076000000000001</v>
      </c>
      <c r="CC1145" s="121">
        <v>46.203000000000003</v>
      </c>
      <c r="CD1145" s="121">
        <v>47.333749999999995</v>
      </c>
      <c r="CE1145" s="121">
        <v>48.464500000000001</v>
      </c>
      <c r="CF1145" s="121">
        <v>49.580500000000001</v>
      </c>
      <c r="CG1145" s="121">
        <v>50.6965</v>
      </c>
      <c r="CH1145" s="121">
        <v>51.785499999999999</v>
      </c>
      <c r="CI1145" s="121">
        <v>52.874499999999998</v>
      </c>
      <c r="CJ1145" s="121">
        <v>54.013500000000001</v>
      </c>
      <c r="CK1145" s="121">
        <v>55.152500000000003</v>
      </c>
      <c r="CL1145" s="121">
        <v>56.222749999999998</v>
      </c>
      <c r="CM1145" s="121">
        <v>57.292999999999999</v>
      </c>
      <c r="CN1145" s="121">
        <v>58.367000000000004</v>
      </c>
      <c r="CO1145" s="121">
        <v>59.441000000000003</v>
      </c>
      <c r="CP1145" s="121">
        <v>60.575749999999999</v>
      </c>
      <c r="CQ1145" s="121">
        <v>61.542999999999999</v>
      </c>
      <c r="CR1145" s="160">
        <v>62.78125</v>
      </c>
      <c r="CS1145" s="160">
        <v>63.783000000000001</v>
      </c>
      <c r="CT1145" s="160">
        <v>64.914749999999998</v>
      </c>
      <c r="CU1145" s="160">
        <f t="array" ref="CU1145:CU1156">TRANSPOSE(CV1144:DG1144)</f>
        <v>65.947499999999991</v>
      </c>
      <c r="CV1145" s="120">
        <f>(CU1145+CW1145)/2</f>
        <v>67.033249999999995</v>
      </c>
      <c r="CW1145" s="120">
        <f>(CW1144+CW1146)/2</f>
        <v>68.119</v>
      </c>
      <c r="CX1145" s="120">
        <f>(CW1145+CY1145)/2</f>
        <v>69.192750000000004</v>
      </c>
      <c r="CY1145" s="120">
        <f>(CY1144+CY1146)/2</f>
        <v>70.266500000000008</v>
      </c>
      <c r="CZ1145" s="120">
        <f>(CY1145+DA1145)/2</f>
        <v>71.326000000000008</v>
      </c>
      <c r="DA1145" s="120">
        <f>(DA1144+DA1146)/2</f>
        <v>72.385500000000008</v>
      </c>
      <c r="DB1145" s="120">
        <f>(DA1145+DC1145)/2</f>
        <v>73.455749999999995</v>
      </c>
      <c r="DC1145" s="120">
        <f>(DC1144+DC1146)/2</f>
        <v>74.525999999999996</v>
      </c>
      <c r="DD1145" s="120">
        <f>(DC1145+DE1145)/2</f>
        <v>75.589249999999993</v>
      </c>
      <c r="DE1145" s="120">
        <f>(DE1144+DE1146)/2</f>
        <v>76.652500000000003</v>
      </c>
      <c r="DF1145" s="120">
        <f>(DE1145+DG1145)/2</f>
        <v>77.722999999999999</v>
      </c>
      <c r="DG1145" s="122">
        <f>(DG1144+DG1146)/2</f>
        <v>78.793499999999995</v>
      </c>
    </row>
    <row r="1146" spans="54:111" ht="15" customHeight="1" x14ac:dyDescent="0.2">
      <c r="BB1146" s="28">
        <v>50</v>
      </c>
      <c r="BC1146" s="121">
        <v>14.196999999999999</v>
      </c>
      <c r="BD1146" s="121">
        <v>15.728999999999999</v>
      </c>
      <c r="BE1146" s="121">
        <v>17.260999999999999</v>
      </c>
      <c r="BF1146" s="121">
        <v>18.648499999999999</v>
      </c>
      <c r="BG1146" s="121">
        <v>20.036000000000001</v>
      </c>
      <c r="BH1146" s="121">
        <v>21.386000000000003</v>
      </c>
      <c r="BI1146" s="121">
        <v>22.736000000000001</v>
      </c>
      <c r="BJ1146" s="121">
        <v>24.048999999999999</v>
      </c>
      <c r="BK1146" s="121">
        <v>25.361999999999998</v>
      </c>
      <c r="BL1146" s="121">
        <v>26.635999999999999</v>
      </c>
      <c r="BM1146" s="121">
        <v>27.91</v>
      </c>
      <c r="BN1146" s="121">
        <v>29.14</v>
      </c>
      <c r="BO1146" s="121">
        <v>30.37</v>
      </c>
      <c r="BP1146" s="121">
        <v>31.606999999999999</v>
      </c>
      <c r="BQ1146" s="121">
        <v>32.844000000000001</v>
      </c>
      <c r="BR1146" s="121">
        <v>34.042500000000004</v>
      </c>
      <c r="BS1146" s="121">
        <v>35.241</v>
      </c>
      <c r="BT1146" s="121">
        <v>36.44</v>
      </c>
      <c r="BU1146" s="121">
        <v>37.639000000000003</v>
      </c>
      <c r="BV1146" s="121">
        <v>38.8005</v>
      </c>
      <c r="BW1146" s="121">
        <v>39.962000000000003</v>
      </c>
      <c r="BX1146" s="121">
        <v>41.153500000000001</v>
      </c>
      <c r="BY1146" s="121">
        <v>42.344999999999999</v>
      </c>
      <c r="BZ1146" s="121">
        <v>43.506500000000003</v>
      </c>
      <c r="CA1146" s="121">
        <v>44.667999999999999</v>
      </c>
      <c r="CB1146" s="121">
        <v>45.791499999999999</v>
      </c>
      <c r="CC1146" s="121">
        <v>46.914999999999999</v>
      </c>
      <c r="CD1146" s="121">
        <v>48.076000000000001</v>
      </c>
      <c r="CE1146" s="121">
        <v>49.237000000000002</v>
      </c>
      <c r="CF1146" s="121">
        <v>50.361000000000004</v>
      </c>
      <c r="CG1146" s="121">
        <v>51.484999999999999</v>
      </c>
      <c r="CH1146" s="121">
        <v>52.600499999999997</v>
      </c>
      <c r="CI1146" s="121">
        <v>53.716000000000001</v>
      </c>
      <c r="CJ1146" s="121">
        <v>54.878</v>
      </c>
      <c r="CK1146" s="121">
        <v>56.04</v>
      </c>
      <c r="CL1146" s="121">
        <v>57.125</v>
      </c>
      <c r="CM1146" s="121">
        <v>58.21</v>
      </c>
      <c r="CN1146" s="121">
        <v>59.295999999999999</v>
      </c>
      <c r="CO1146" s="121">
        <v>60.381999999999998</v>
      </c>
      <c r="CP1146" s="121">
        <v>61.542999999999999</v>
      </c>
      <c r="CQ1146" s="121">
        <v>62.704000000000001</v>
      </c>
      <c r="CR1146" s="160">
        <v>63.783000000000001</v>
      </c>
      <c r="CS1146" s="160">
        <v>64.861999999999995</v>
      </c>
      <c r="CT1146" s="160">
        <v>65.947499999999991</v>
      </c>
      <c r="CU1146" s="160">
        <v>67.033000000000001</v>
      </c>
      <c r="CV1146" s="121">
        <f t="array" ref="CV1146:CV1156">TRANSPOSE(CW1145:DG1145)</f>
        <v>68.119</v>
      </c>
      <c r="CW1146" s="158">
        <v>69.204999999999998</v>
      </c>
      <c r="CX1146" s="121">
        <f>CY1145</f>
        <v>70.266500000000008</v>
      </c>
      <c r="CY1146" s="158">
        <v>71.375</v>
      </c>
      <c r="CZ1146" s="121">
        <f>DA1145</f>
        <v>72.385500000000008</v>
      </c>
      <c r="DA1146" s="158">
        <v>73.546999999999997</v>
      </c>
      <c r="DB1146" s="121">
        <f>DC1145</f>
        <v>74.525999999999996</v>
      </c>
      <c r="DC1146" s="158">
        <v>75.703999999999994</v>
      </c>
      <c r="DD1146" s="121">
        <f>DE1145</f>
        <v>76.652500000000003</v>
      </c>
      <c r="DE1146" s="158">
        <v>77.876000000000005</v>
      </c>
      <c r="DF1146" s="121">
        <f>DG1145</f>
        <v>78.793499999999995</v>
      </c>
      <c r="DG1146" s="159">
        <v>80.046999999999997</v>
      </c>
    </row>
    <row r="1147" spans="54:111" ht="15" customHeight="1" x14ac:dyDescent="0.2">
      <c r="BB1147" s="28">
        <v>51</v>
      </c>
      <c r="BC1147" s="121">
        <v>14.435499999999999</v>
      </c>
      <c r="BD1147" s="121">
        <v>15.963749999999999</v>
      </c>
      <c r="BE1147" s="121">
        <v>17.491999999999997</v>
      </c>
      <c r="BF1147" s="121">
        <v>18.921250000000001</v>
      </c>
      <c r="BG1147" s="121">
        <v>20.3505</v>
      </c>
      <c r="BH1147" s="121">
        <v>21.712250000000001</v>
      </c>
      <c r="BI1147" s="121">
        <v>23.073999999999998</v>
      </c>
      <c r="BJ1147" s="121">
        <v>24.398499999999999</v>
      </c>
      <c r="BK1147" s="121">
        <v>25.722999999999999</v>
      </c>
      <c r="BL1147" s="121">
        <v>27.02</v>
      </c>
      <c r="BM1147" s="121">
        <v>28.317</v>
      </c>
      <c r="BN1147" s="121">
        <v>29.581</v>
      </c>
      <c r="BO1147" s="121">
        <v>30.844999999999999</v>
      </c>
      <c r="BP1147" s="121">
        <v>32.085749999999997</v>
      </c>
      <c r="BQ1147" s="121">
        <v>33.326499999999996</v>
      </c>
      <c r="BR1147" s="121">
        <v>34.555750000000003</v>
      </c>
      <c r="BS1147" s="121">
        <v>35.784999999999997</v>
      </c>
      <c r="BT1147" s="121">
        <v>36.995750000000001</v>
      </c>
      <c r="BU1147" s="121">
        <v>38.206500000000005</v>
      </c>
      <c r="BV1147" s="121">
        <v>39.390250000000002</v>
      </c>
      <c r="BW1147" s="121">
        <v>40.573999999999998</v>
      </c>
      <c r="BX1147" s="121">
        <v>41.781000000000006</v>
      </c>
      <c r="BY1147" s="121">
        <v>42.988</v>
      </c>
      <c r="BZ1147" s="121">
        <v>44.172250000000005</v>
      </c>
      <c r="CA1147" s="121">
        <v>45.356499999999997</v>
      </c>
      <c r="CB1147" s="121">
        <v>46.5105</v>
      </c>
      <c r="CC1147" s="121">
        <v>47.664500000000004</v>
      </c>
      <c r="CD1147" s="121">
        <v>48.818250000000006</v>
      </c>
      <c r="CE1147" s="121">
        <v>49.972000000000001</v>
      </c>
      <c r="CF1147" s="121">
        <v>51.137500000000003</v>
      </c>
      <c r="CG1147" s="121">
        <v>52.302999999999997</v>
      </c>
      <c r="CH1147" s="121">
        <v>53.434249999999999</v>
      </c>
      <c r="CI1147" s="121">
        <v>54.5655</v>
      </c>
      <c r="CJ1147" s="121">
        <v>55.712000000000003</v>
      </c>
      <c r="CK1147" s="121">
        <v>56.858499999999999</v>
      </c>
      <c r="CL1147" s="121">
        <v>57.993250000000003</v>
      </c>
      <c r="CM1147" s="121">
        <v>59.128</v>
      </c>
      <c r="CN1147" s="121">
        <v>60.225250000000003</v>
      </c>
      <c r="CO1147" s="121">
        <v>61.322499999999998</v>
      </c>
      <c r="CP1147" s="121">
        <v>62.506500000000003</v>
      </c>
      <c r="CQ1147" s="121">
        <v>63.47</v>
      </c>
      <c r="CR1147" s="160">
        <v>64.784750000000003</v>
      </c>
      <c r="CS1147" s="160">
        <v>65.786500000000004</v>
      </c>
      <c r="CT1147" s="160">
        <v>66.987249999999989</v>
      </c>
      <c r="CU1147" s="160">
        <v>68.027000000000001</v>
      </c>
      <c r="CV1147" s="160">
        <v>69.192750000000004</v>
      </c>
      <c r="CW1147" s="160">
        <f t="array" ref="CW1147:CW1156">TRANSPOSE(CX1146:DG1146)</f>
        <v>70.266500000000008</v>
      </c>
      <c r="CX1147" s="120">
        <f>(CW1147+CY1147)/2</f>
        <v>71.413000000000011</v>
      </c>
      <c r="CY1147" s="120">
        <f>(CY1146+CY1148)/2</f>
        <v>72.5595</v>
      </c>
      <c r="CZ1147" s="120">
        <f>(CY1147+DA1147)/2</f>
        <v>73.668499999999995</v>
      </c>
      <c r="DA1147" s="120">
        <f>(DA1146+DA1148)/2</f>
        <v>74.777500000000003</v>
      </c>
      <c r="DB1147" s="120">
        <f>(DA1147+DC1147)/2</f>
        <v>75.870999999999995</v>
      </c>
      <c r="DC1147" s="120">
        <f>(DC1146+DC1148)/2</f>
        <v>76.964499999999987</v>
      </c>
      <c r="DD1147" s="120">
        <f>(DC1147+DE1147)/2</f>
        <v>78.072999999999993</v>
      </c>
      <c r="DE1147" s="120">
        <f>(DE1146+DE1148)/2</f>
        <v>79.1815</v>
      </c>
      <c r="DF1147" s="120">
        <f>(DE1147+DG1147)/2</f>
        <v>80.278750000000002</v>
      </c>
      <c r="DG1147" s="122">
        <f>(DG1146+DG1148)/2</f>
        <v>81.376000000000005</v>
      </c>
    </row>
    <row r="1148" spans="54:111" ht="15" customHeight="1" x14ac:dyDescent="0.2">
      <c r="BB1148" s="28">
        <v>52</v>
      </c>
      <c r="BC1148" s="121">
        <v>14.673999999999999</v>
      </c>
      <c r="BD1148" s="121">
        <v>16.198499999999999</v>
      </c>
      <c r="BE1148" s="121">
        <v>17.722999999999999</v>
      </c>
      <c r="BF1148" s="121">
        <v>19.193999999999999</v>
      </c>
      <c r="BG1148" s="121">
        <v>20.664999999999999</v>
      </c>
      <c r="BH1148" s="121">
        <v>22.038499999999999</v>
      </c>
      <c r="BI1148" s="121">
        <v>23.411999999999999</v>
      </c>
      <c r="BJ1148" s="121">
        <v>24.747999999999998</v>
      </c>
      <c r="BK1148" s="121">
        <v>26.084</v>
      </c>
      <c r="BL1148" s="121">
        <v>27.404</v>
      </c>
      <c r="BM1148" s="121">
        <v>28.724</v>
      </c>
      <c r="BN1148" s="121">
        <v>30.021999999999998</v>
      </c>
      <c r="BO1148" s="121">
        <v>31.32</v>
      </c>
      <c r="BP1148" s="121">
        <v>32.564499999999995</v>
      </c>
      <c r="BQ1148" s="121">
        <v>33.808999999999997</v>
      </c>
      <c r="BR1148" s="121">
        <v>35.069000000000003</v>
      </c>
      <c r="BS1148" s="121">
        <v>36.329000000000001</v>
      </c>
      <c r="BT1148" s="121">
        <v>37.551500000000004</v>
      </c>
      <c r="BU1148" s="121">
        <v>38.774000000000001</v>
      </c>
      <c r="BV1148" s="121">
        <v>39.980000000000004</v>
      </c>
      <c r="BW1148" s="121">
        <v>41.186</v>
      </c>
      <c r="BX1148" s="121">
        <v>42.408500000000004</v>
      </c>
      <c r="BY1148" s="121">
        <v>43.631</v>
      </c>
      <c r="BZ1148" s="121">
        <v>44.838000000000001</v>
      </c>
      <c r="CA1148" s="121">
        <v>46.045000000000002</v>
      </c>
      <c r="CB1148" s="121">
        <v>47.229500000000002</v>
      </c>
      <c r="CC1148" s="121">
        <v>48.414000000000001</v>
      </c>
      <c r="CD1148" s="121">
        <v>49.560500000000005</v>
      </c>
      <c r="CE1148" s="121">
        <v>50.707000000000001</v>
      </c>
      <c r="CF1148" s="121">
        <v>51.914000000000001</v>
      </c>
      <c r="CG1148" s="121">
        <v>53.121000000000002</v>
      </c>
      <c r="CH1148" s="121">
        <v>54.268000000000001</v>
      </c>
      <c r="CI1148" s="121">
        <v>55.414999999999999</v>
      </c>
      <c r="CJ1148" s="121">
        <v>56.545999999999999</v>
      </c>
      <c r="CK1148" s="121">
        <v>57.677</v>
      </c>
      <c r="CL1148" s="121">
        <v>58.861499999999999</v>
      </c>
      <c r="CM1148" s="121">
        <v>60.045999999999999</v>
      </c>
      <c r="CN1148" s="121">
        <v>61.154499999999999</v>
      </c>
      <c r="CO1148" s="121">
        <v>62.262999999999998</v>
      </c>
      <c r="CP1148" s="121">
        <v>63.47</v>
      </c>
      <c r="CQ1148" s="121">
        <v>64.677000000000007</v>
      </c>
      <c r="CR1148" s="160">
        <v>65.786500000000004</v>
      </c>
      <c r="CS1148" s="160">
        <v>66.896000000000001</v>
      </c>
      <c r="CT1148" s="160">
        <v>68.027000000000001</v>
      </c>
      <c r="CU1148" s="160">
        <v>69.158000000000001</v>
      </c>
      <c r="CV1148" s="160">
        <v>70.266500000000008</v>
      </c>
      <c r="CW1148" s="160">
        <v>71.375</v>
      </c>
      <c r="CX1148" s="121">
        <f t="array" ref="CX1148:CX1156">TRANSPOSE(CY1147:DG1147)</f>
        <v>72.5595</v>
      </c>
      <c r="CY1148" s="158">
        <v>73.744</v>
      </c>
      <c r="CZ1148" s="121">
        <f>DA1147</f>
        <v>74.777500000000003</v>
      </c>
      <c r="DA1148" s="158">
        <v>76.007999999999996</v>
      </c>
      <c r="DB1148" s="121">
        <f>DC1147</f>
        <v>76.964499999999987</v>
      </c>
      <c r="DC1148" s="158">
        <v>78.224999999999994</v>
      </c>
      <c r="DD1148" s="121">
        <f>DE1147</f>
        <v>79.1815</v>
      </c>
      <c r="DE1148" s="158">
        <v>80.486999999999995</v>
      </c>
      <c r="DF1148" s="121">
        <f>DG1147</f>
        <v>81.376000000000005</v>
      </c>
      <c r="DG1148" s="159">
        <v>82.704999999999998</v>
      </c>
    </row>
    <row r="1149" spans="54:111" ht="15" customHeight="1" x14ac:dyDescent="0.2">
      <c r="BB1149" s="28">
        <v>53</v>
      </c>
      <c r="BC1149" s="121">
        <v>14.874499999999999</v>
      </c>
      <c r="BD1149" s="121">
        <v>16.433250000000001</v>
      </c>
      <c r="BE1149" s="121">
        <v>17.991999999999997</v>
      </c>
      <c r="BF1149" s="121">
        <v>19.47475</v>
      </c>
      <c r="BG1149" s="121">
        <v>20.9575</v>
      </c>
      <c r="BH1149" s="121">
        <v>22.353999999999999</v>
      </c>
      <c r="BI1149" s="121">
        <v>23.750499999999999</v>
      </c>
      <c r="BJ1149" s="121">
        <v>25.108999999999998</v>
      </c>
      <c r="BK1149" s="121">
        <v>26.467500000000001</v>
      </c>
      <c r="BL1149" s="121">
        <v>27.798999999999999</v>
      </c>
      <c r="BM1149" s="121">
        <v>29.130499999999998</v>
      </c>
      <c r="BN1149" s="121">
        <v>30.440249999999999</v>
      </c>
      <c r="BO1149" s="121">
        <v>31.75</v>
      </c>
      <c r="BP1149" s="121">
        <v>33.028499999999994</v>
      </c>
      <c r="BQ1149" s="121">
        <v>34.307000000000002</v>
      </c>
      <c r="BR1149" s="121">
        <v>35.570999999999998</v>
      </c>
      <c r="BS1149" s="121">
        <v>36.835000000000001</v>
      </c>
      <c r="BT1149" s="121">
        <v>38.099000000000004</v>
      </c>
      <c r="BU1149" s="121">
        <v>39.363</v>
      </c>
      <c r="BV1149" s="121">
        <v>40.581000000000003</v>
      </c>
      <c r="BW1149" s="121">
        <v>41.798999999999999</v>
      </c>
      <c r="BX1149" s="121">
        <v>43.033250000000002</v>
      </c>
      <c r="BY1149" s="121">
        <v>44.267499999999998</v>
      </c>
      <c r="BZ1149" s="121">
        <v>45.489500000000007</v>
      </c>
      <c r="CA1149" s="121">
        <v>46.711500000000001</v>
      </c>
      <c r="CB1149" s="121">
        <v>47.918500000000002</v>
      </c>
      <c r="CC1149" s="121">
        <v>49.125500000000002</v>
      </c>
      <c r="CD1149" s="121">
        <v>50.314000000000007</v>
      </c>
      <c r="CE1149" s="121">
        <v>51.502499999999998</v>
      </c>
      <c r="CF1149" s="121">
        <v>52.701999999999998</v>
      </c>
      <c r="CG1149" s="121">
        <v>53.901499999999999</v>
      </c>
      <c r="CH1149" s="121">
        <v>55.079000000000001</v>
      </c>
      <c r="CI1149" s="121">
        <v>56.256500000000003</v>
      </c>
      <c r="CJ1149" s="121">
        <v>57.399249999999995</v>
      </c>
      <c r="CK1149" s="121">
        <v>58.542000000000002</v>
      </c>
      <c r="CL1149" s="121">
        <v>59.752749999999999</v>
      </c>
      <c r="CM1149" s="121">
        <v>60.963499999999996</v>
      </c>
      <c r="CN1149" s="121">
        <v>62.094999999999999</v>
      </c>
      <c r="CO1149" s="121">
        <v>63.226500000000001</v>
      </c>
      <c r="CP1149" s="121">
        <v>64.445250000000001</v>
      </c>
      <c r="CQ1149" s="121">
        <v>65.420500000000004</v>
      </c>
      <c r="CR1149" s="160">
        <v>66.784750000000003</v>
      </c>
      <c r="CS1149" s="160">
        <v>67.783000000000001</v>
      </c>
      <c r="CT1149" s="160">
        <v>69.048249999999996</v>
      </c>
      <c r="CU1149" s="160">
        <v>70.069500000000005</v>
      </c>
      <c r="CV1149" s="160">
        <v>71.326000000000008</v>
      </c>
      <c r="CW1149" s="160">
        <v>72.385500000000008</v>
      </c>
      <c r="CX1149" s="160">
        <v>73.668499999999995</v>
      </c>
      <c r="CY1149" s="160">
        <f t="array" ref="CY1149:CY1156">TRANSPOSE(CZ1148:DG1148)</f>
        <v>74.777500000000003</v>
      </c>
      <c r="CZ1149" s="120">
        <f>(CY1149+DA1149)/2</f>
        <v>75.988500000000002</v>
      </c>
      <c r="DA1149" s="120">
        <f>(DA1148+DA1150)/2</f>
        <v>77.1995</v>
      </c>
      <c r="DB1149" s="120">
        <f>(DA1149+DC1149)/2</f>
        <v>78.301000000000002</v>
      </c>
      <c r="DC1149" s="120">
        <f>(DC1148+DC1150)/2</f>
        <v>79.402500000000003</v>
      </c>
      <c r="DD1149" s="120">
        <f>(DC1149+DE1149)/2</f>
        <v>80.526499999999999</v>
      </c>
      <c r="DE1149" s="120">
        <f>(DE1148+DE1150)/2</f>
        <v>81.650499999999994</v>
      </c>
      <c r="DF1149" s="120">
        <f>(DE1149+DG1149)/2</f>
        <v>82.823499999999996</v>
      </c>
      <c r="DG1149" s="122">
        <f>(DG1148+DG1150)/2</f>
        <v>83.996499999999997</v>
      </c>
    </row>
    <row r="1150" spans="54:111" ht="15" customHeight="1" x14ac:dyDescent="0.2">
      <c r="BB1150" s="28">
        <v>54</v>
      </c>
      <c r="BC1150" s="121">
        <v>15.074999999999999</v>
      </c>
      <c r="BD1150" s="121">
        <v>16.667999999999999</v>
      </c>
      <c r="BE1150" s="121">
        <v>18.260999999999999</v>
      </c>
      <c r="BF1150" s="121">
        <v>19.755499999999998</v>
      </c>
      <c r="BG1150" s="121">
        <v>21.25</v>
      </c>
      <c r="BH1150" s="121">
        <v>22.669499999999999</v>
      </c>
      <c r="BI1150" s="121">
        <v>24.088999999999999</v>
      </c>
      <c r="BJ1150" s="121">
        <v>25.47</v>
      </c>
      <c r="BK1150" s="121">
        <v>26.850999999999999</v>
      </c>
      <c r="BL1150" s="121">
        <v>28.193999999999999</v>
      </c>
      <c r="BM1150" s="121">
        <v>29.536999999999999</v>
      </c>
      <c r="BN1150" s="121">
        <v>30.858499999999999</v>
      </c>
      <c r="BO1150" s="121">
        <v>32.18</v>
      </c>
      <c r="BP1150" s="121">
        <v>33.4925</v>
      </c>
      <c r="BQ1150" s="121">
        <v>34.805</v>
      </c>
      <c r="BR1150" s="121">
        <v>36.073</v>
      </c>
      <c r="BS1150" s="121">
        <v>37.341000000000001</v>
      </c>
      <c r="BT1150" s="121">
        <v>38.646500000000003</v>
      </c>
      <c r="BU1150" s="121">
        <v>39.951999999999998</v>
      </c>
      <c r="BV1150" s="121">
        <v>41.182000000000002</v>
      </c>
      <c r="BW1150" s="121">
        <v>42.411999999999999</v>
      </c>
      <c r="BX1150" s="121">
        <v>43.658000000000001</v>
      </c>
      <c r="BY1150" s="121">
        <v>44.904000000000003</v>
      </c>
      <c r="BZ1150" s="121">
        <v>46.141000000000005</v>
      </c>
      <c r="CA1150" s="121">
        <v>47.378</v>
      </c>
      <c r="CB1150" s="121">
        <v>48.607500000000002</v>
      </c>
      <c r="CC1150" s="121">
        <v>49.837000000000003</v>
      </c>
      <c r="CD1150" s="121">
        <v>51.067500000000003</v>
      </c>
      <c r="CE1150" s="121">
        <v>52.298000000000002</v>
      </c>
      <c r="CF1150" s="121">
        <v>53.49</v>
      </c>
      <c r="CG1150" s="121">
        <v>54.682000000000002</v>
      </c>
      <c r="CH1150" s="121">
        <v>55.89</v>
      </c>
      <c r="CI1150" s="121">
        <v>57.097999999999999</v>
      </c>
      <c r="CJ1150" s="121">
        <v>58.252499999999998</v>
      </c>
      <c r="CK1150" s="121">
        <v>59.406999999999996</v>
      </c>
      <c r="CL1150" s="121">
        <v>60.643999999999998</v>
      </c>
      <c r="CM1150" s="121">
        <v>61.881</v>
      </c>
      <c r="CN1150" s="121">
        <v>63.035499999999999</v>
      </c>
      <c r="CO1150" s="121">
        <v>64.19</v>
      </c>
      <c r="CP1150" s="121">
        <v>65.420500000000004</v>
      </c>
      <c r="CQ1150" s="121">
        <v>66.650999999999996</v>
      </c>
      <c r="CR1150" s="160">
        <v>67.783000000000001</v>
      </c>
      <c r="CS1150" s="160">
        <v>68.915000000000006</v>
      </c>
      <c r="CT1150" s="160">
        <v>70.069500000000005</v>
      </c>
      <c r="CU1150" s="160">
        <v>71.224000000000004</v>
      </c>
      <c r="CV1150" s="160">
        <v>72.385500000000008</v>
      </c>
      <c r="CW1150" s="160">
        <v>73.546999999999997</v>
      </c>
      <c r="CX1150" s="160">
        <v>74.777500000000003</v>
      </c>
      <c r="CY1150" s="160">
        <v>76.007999999999996</v>
      </c>
      <c r="CZ1150" s="121">
        <f t="array" ref="CZ1150:CZ1156">TRANSPOSE(DA1149:DG1149)</f>
        <v>77.1995</v>
      </c>
      <c r="DA1150" s="158">
        <v>78.391000000000005</v>
      </c>
      <c r="DB1150" s="121">
        <f>DC1149</f>
        <v>79.402500000000003</v>
      </c>
      <c r="DC1150" s="158">
        <v>80.58</v>
      </c>
      <c r="DD1150" s="121">
        <f>DE1149</f>
        <v>81.650499999999994</v>
      </c>
      <c r="DE1150" s="158">
        <v>82.813999999999993</v>
      </c>
      <c r="DF1150" s="121">
        <f>DG1149</f>
        <v>83.996499999999997</v>
      </c>
      <c r="DG1150" s="159">
        <v>85.287999999999997</v>
      </c>
    </row>
    <row r="1151" spans="54:111" ht="15" customHeight="1" x14ac:dyDescent="0.2">
      <c r="BB1151" s="28">
        <v>55</v>
      </c>
      <c r="BC1151" s="121">
        <v>15.2615</v>
      </c>
      <c r="BD1151" s="121">
        <v>16.884499999999999</v>
      </c>
      <c r="BE1151" s="121">
        <v>18.5075</v>
      </c>
      <c r="BF1151" s="121">
        <v>20.036249999999999</v>
      </c>
      <c r="BG1151" s="121">
        <v>21.564999999999998</v>
      </c>
      <c r="BH1151" s="121">
        <v>22.995750000000001</v>
      </c>
      <c r="BI1151" s="121">
        <v>24.426499999999997</v>
      </c>
      <c r="BJ1151" s="121">
        <v>25.81925</v>
      </c>
      <c r="BK1151" s="121">
        <v>27.212</v>
      </c>
      <c r="BL1151" s="121">
        <v>28.589500000000001</v>
      </c>
      <c r="BM1151" s="121">
        <v>29.966999999999999</v>
      </c>
      <c r="BN1151" s="121">
        <v>31.303249999999998</v>
      </c>
      <c r="BO1151" s="121">
        <v>32.639499999999998</v>
      </c>
      <c r="BP1151" s="121">
        <v>33.978750000000005</v>
      </c>
      <c r="BQ1151" s="121">
        <v>35.317999999999998</v>
      </c>
      <c r="BR1151" s="121">
        <v>36.60125</v>
      </c>
      <c r="BS1151" s="121">
        <v>37.884500000000003</v>
      </c>
      <c r="BT1151" s="121">
        <v>39.183</v>
      </c>
      <c r="BU1151" s="121">
        <v>40.481499999999997</v>
      </c>
      <c r="BV1151" s="121">
        <v>41.745750000000001</v>
      </c>
      <c r="BW1151" s="121">
        <v>43.01</v>
      </c>
      <c r="BX1151" s="121">
        <v>44.289249999999996</v>
      </c>
      <c r="BY1151" s="121">
        <v>45.5685</v>
      </c>
      <c r="BZ1151" s="121">
        <v>46.813749999999999</v>
      </c>
      <c r="CA1151" s="121">
        <v>48.058999999999997</v>
      </c>
      <c r="CB1151" s="121">
        <v>49.304000000000002</v>
      </c>
      <c r="CC1151" s="121">
        <v>50.549000000000007</v>
      </c>
      <c r="CD1151" s="121">
        <v>51.790750000000003</v>
      </c>
      <c r="CE1151" s="121">
        <v>53.032499999999999</v>
      </c>
      <c r="CF1151" s="121">
        <v>54.236500000000007</v>
      </c>
      <c r="CG1151" s="121">
        <v>55.4405</v>
      </c>
      <c r="CH1151" s="121">
        <v>56.667000000000002</v>
      </c>
      <c r="CI1151" s="121">
        <v>57.893500000000003</v>
      </c>
      <c r="CJ1151" s="121">
        <v>59.097250000000003</v>
      </c>
      <c r="CK1151" s="121">
        <v>60.301000000000002</v>
      </c>
      <c r="CL1151" s="121">
        <v>61.549499999999995</v>
      </c>
      <c r="CM1151" s="121">
        <v>62.798000000000002</v>
      </c>
      <c r="CN1151" s="121">
        <v>63.964500000000001</v>
      </c>
      <c r="CO1151" s="121">
        <v>65.131</v>
      </c>
      <c r="CP1151" s="121">
        <v>66.373000000000005</v>
      </c>
      <c r="CQ1151" s="121">
        <v>67.325500000000005</v>
      </c>
      <c r="CR1151" s="160">
        <v>68.784500000000008</v>
      </c>
      <c r="CS1151" s="160">
        <v>69.786000000000001</v>
      </c>
      <c r="CT1151" s="160">
        <v>71.12</v>
      </c>
      <c r="CU1151" s="160">
        <v>72.170500000000004</v>
      </c>
      <c r="CV1151" s="160">
        <v>73.455749999999995</v>
      </c>
      <c r="CW1151" s="160">
        <v>74.525999999999996</v>
      </c>
      <c r="CX1151" s="160">
        <v>75.870999999999995</v>
      </c>
      <c r="CY1151" s="160">
        <v>76.964499999999987</v>
      </c>
      <c r="CZ1151" s="160">
        <v>78.301000000000002</v>
      </c>
      <c r="DA1151" s="160">
        <f t="array" ref="DA1151:DA1156">TRANSPOSE(DB1150:DG1150)</f>
        <v>79.402500000000003</v>
      </c>
      <c r="DB1151" s="120">
        <f>(DA1151+DC1151)/2</f>
        <v>80.575999999999993</v>
      </c>
      <c r="DC1151" s="120">
        <f>(DC1150+DC1152)/2</f>
        <v>81.749499999999998</v>
      </c>
      <c r="DD1151" s="120">
        <f>(DC1151+DE1151)/2</f>
        <v>82.934750000000008</v>
      </c>
      <c r="DE1151" s="120">
        <f>(DE1150+DE1152)/2</f>
        <v>84.12</v>
      </c>
      <c r="DF1151" s="120">
        <f>(DE1151+DG1151)/2</f>
        <v>85.308500000000009</v>
      </c>
      <c r="DG1151" s="122">
        <f>(DG1150+DG1152)/2</f>
        <v>86.497</v>
      </c>
    </row>
    <row r="1152" spans="54:111" ht="15" customHeight="1" x14ac:dyDescent="0.2">
      <c r="BB1152" s="28">
        <v>56</v>
      </c>
      <c r="BC1152" s="121">
        <v>15.448</v>
      </c>
      <c r="BD1152" s="121">
        <v>17.100999999999999</v>
      </c>
      <c r="BE1152" s="121">
        <v>18.754000000000001</v>
      </c>
      <c r="BF1152" s="121">
        <v>20.317</v>
      </c>
      <c r="BG1152" s="121">
        <v>21.88</v>
      </c>
      <c r="BH1152" s="121">
        <v>23.321999999999999</v>
      </c>
      <c r="BI1152" s="121">
        <v>24.763999999999999</v>
      </c>
      <c r="BJ1152" s="121">
        <v>26.168500000000002</v>
      </c>
      <c r="BK1152" s="121">
        <v>27.573</v>
      </c>
      <c r="BL1152" s="121">
        <v>28.984999999999999</v>
      </c>
      <c r="BM1152" s="121">
        <v>30.396999999999998</v>
      </c>
      <c r="BN1152" s="121">
        <v>31.747999999999998</v>
      </c>
      <c r="BO1152" s="121">
        <v>33.098999999999997</v>
      </c>
      <c r="BP1152" s="121">
        <v>34.465000000000003</v>
      </c>
      <c r="BQ1152" s="121">
        <v>35.831000000000003</v>
      </c>
      <c r="BR1152" s="121">
        <v>37.1295</v>
      </c>
      <c r="BS1152" s="121">
        <v>38.427999999999997</v>
      </c>
      <c r="BT1152" s="121">
        <v>39.719499999999996</v>
      </c>
      <c r="BU1152" s="121">
        <v>41.011000000000003</v>
      </c>
      <c r="BV1152" s="121">
        <v>42.3095</v>
      </c>
      <c r="BW1152" s="121">
        <v>43.607999999999997</v>
      </c>
      <c r="BX1152" s="121">
        <v>44.920499999999997</v>
      </c>
      <c r="BY1152" s="121">
        <v>46.232999999999997</v>
      </c>
      <c r="BZ1152" s="121">
        <v>47.486499999999999</v>
      </c>
      <c r="CA1152" s="121">
        <v>48.74</v>
      </c>
      <c r="CB1152" s="121">
        <v>50.000500000000002</v>
      </c>
      <c r="CC1152" s="121">
        <v>51.261000000000003</v>
      </c>
      <c r="CD1152" s="121">
        <v>52.514000000000003</v>
      </c>
      <c r="CE1152" s="121">
        <v>53.767000000000003</v>
      </c>
      <c r="CF1152" s="121">
        <v>54.983000000000004</v>
      </c>
      <c r="CG1152" s="121">
        <v>56.198999999999998</v>
      </c>
      <c r="CH1152" s="121">
        <v>57.444000000000003</v>
      </c>
      <c r="CI1152" s="121">
        <v>58.689</v>
      </c>
      <c r="CJ1152" s="121">
        <v>59.942</v>
      </c>
      <c r="CK1152" s="121">
        <v>61.195</v>
      </c>
      <c r="CL1152" s="121">
        <v>62.454999999999998</v>
      </c>
      <c r="CM1152" s="121">
        <v>63.715000000000003</v>
      </c>
      <c r="CN1152" s="121">
        <v>64.893500000000003</v>
      </c>
      <c r="CO1152" s="121">
        <v>66.072000000000003</v>
      </c>
      <c r="CP1152" s="121">
        <v>67.325500000000005</v>
      </c>
      <c r="CQ1152" s="121">
        <v>68.578999999999994</v>
      </c>
      <c r="CR1152" s="160">
        <v>69.786000000000001</v>
      </c>
      <c r="CS1152" s="160">
        <v>70.992999999999995</v>
      </c>
      <c r="CT1152" s="160">
        <v>72.170500000000004</v>
      </c>
      <c r="CU1152" s="160">
        <v>73.347999999999999</v>
      </c>
      <c r="CV1152" s="160">
        <v>74.525999999999996</v>
      </c>
      <c r="CW1152" s="160">
        <v>75.703999999999994</v>
      </c>
      <c r="CX1152" s="160">
        <v>76.964499999999987</v>
      </c>
      <c r="CY1152" s="160">
        <v>78.224999999999994</v>
      </c>
      <c r="CZ1152" s="160">
        <v>79.402500000000003</v>
      </c>
      <c r="DA1152" s="160">
        <v>80.58</v>
      </c>
      <c r="DB1152" s="121">
        <f t="array" ref="DB1152:DB1156">TRANSPOSE(DC1151:DG1151)</f>
        <v>81.749499999999998</v>
      </c>
      <c r="DC1152" s="158">
        <v>82.918999999999997</v>
      </c>
      <c r="DD1152" s="121">
        <f>DE1151</f>
        <v>84.12</v>
      </c>
      <c r="DE1152" s="158">
        <v>85.426000000000002</v>
      </c>
      <c r="DF1152" s="121">
        <f>DG1151</f>
        <v>86.497</v>
      </c>
      <c r="DG1152" s="159">
        <v>87.706000000000003</v>
      </c>
    </row>
    <row r="1153" spans="54:111" ht="15" customHeight="1" x14ac:dyDescent="0.2">
      <c r="BB1153" s="28">
        <v>57</v>
      </c>
      <c r="BC1153" s="121">
        <v>15.686500000000001</v>
      </c>
      <c r="BD1153" s="121">
        <v>17.355</v>
      </c>
      <c r="BE1153" s="121">
        <v>19.023499999999999</v>
      </c>
      <c r="BF1153" s="121">
        <v>20.57525</v>
      </c>
      <c r="BG1153" s="121">
        <v>22.126999999999999</v>
      </c>
      <c r="BH1153" s="121">
        <v>23.6145</v>
      </c>
      <c r="BI1153" s="121">
        <v>25.102</v>
      </c>
      <c r="BJ1153" s="121">
        <v>26.529</v>
      </c>
      <c r="BK1153" s="121">
        <v>27.956</v>
      </c>
      <c r="BL1153" s="121">
        <v>29.379750000000001</v>
      </c>
      <c r="BM1153" s="121">
        <v>30.8035</v>
      </c>
      <c r="BN1153" s="121">
        <v>32.188500000000005</v>
      </c>
      <c r="BO1153" s="121">
        <v>33.573499999999996</v>
      </c>
      <c r="BP1153" s="121">
        <v>34.932749999999999</v>
      </c>
      <c r="BQ1153" s="121">
        <v>36.292000000000002</v>
      </c>
      <c r="BR1153" s="121">
        <v>37.631749999999997</v>
      </c>
      <c r="BS1153" s="121">
        <v>38.971499999999999</v>
      </c>
      <c r="BT1153" s="121">
        <v>40.28575</v>
      </c>
      <c r="BU1153" s="121">
        <v>41.6</v>
      </c>
      <c r="BV1153" s="121">
        <v>42.91</v>
      </c>
      <c r="BW1153" s="121">
        <v>44.22</v>
      </c>
      <c r="BX1153" s="121">
        <v>45.544499999999999</v>
      </c>
      <c r="BY1153" s="121">
        <v>46.869</v>
      </c>
      <c r="BZ1153" s="121">
        <v>48.137500000000003</v>
      </c>
      <c r="CA1153" s="121">
        <v>49.406000000000006</v>
      </c>
      <c r="CB1153" s="121">
        <v>50.689500000000002</v>
      </c>
      <c r="CC1153" s="121">
        <v>51.972999999999999</v>
      </c>
      <c r="CD1153" s="121">
        <v>53.248750000000001</v>
      </c>
      <c r="CE1153" s="121">
        <v>54.524500000000003</v>
      </c>
      <c r="CF1153" s="121">
        <v>55.774500000000003</v>
      </c>
      <c r="CG1153" s="121">
        <v>57.024500000000003</v>
      </c>
      <c r="CH1153" s="121">
        <v>58.277500000000003</v>
      </c>
      <c r="CI1153" s="121">
        <v>59.530500000000004</v>
      </c>
      <c r="CJ1153" s="121">
        <v>60.798999999999999</v>
      </c>
      <c r="CK1153" s="121">
        <v>62.067499999999995</v>
      </c>
      <c r="CL1153" s="121">
        <v>63.309249999999999</v>
      </c>
      <c r="CM1153" s="121">
        <v>64.551000000000002</v>
      </c>
      <c r="CN1153" s="121">
        <v>65.79325</v>
      </c>
      <c r="CO1153" s="121">
        <v>67.035499999999999</v>
      </c>
      <c r="CP1153" s="121">
        <v>68.262500000000003</v>
      </c>
      <c r="CQ1153" s="121">
        <v>69.1995</v>
      </c>
      <c r="CR1153" s="160">
        <v>70.746000000000009</v>
      </c>
      <c r="CS1153" s="160">
        <v>71.706000000000003</v>
      </c>
      <c r="CT1153" s="160">
        <v>73.19550000000001</v>
      </c>
      <c r="CU1153" s="160">
        <v>74.220500000000001</v>
      </c>
      <c r="CV1153" s="160">
        <v>75.589249999999993</v>
      </c>
      <c r="CW1153" s="160">
        <v>76.652500000000003</v>
      </c>
      <c r="CX1153" s="160">
        <v>78.072999999999993</v>
      </c>
      <c r="CY1153" s="160">
        <v>79.1815</v>
      </c>
      <c r="CZ1153" s="160">
        <v>80.526499999999999</v>
      </c>
      <c r="DA1153" s="160">
        <v>81.650499999999994</v>
      </c>
      <c r="DB1153" s="160">
        <v>82.934750000000008</v>
      </c>
      <c r="DC1153" s="160">
        <f t="array" ref="DC1153:DC1156">TRANSPOSE(DD1152:DG1152)</f>
        <v>84.12</v>
      </c>
      <c r="DD1153" s="120">
        <f>(DC1153+DE1153)/2</f>
        <v>85.354749999999996</v>
      </c>
      <c r="DE1153" s="120">
        <f>(DE1152+DE1154)/2</f>
        <v>86.589500000000001</v>
      </c>
      <c r="DF1153" s="120">
        <f>(DE1153+DG1153)/2</f>
        <v>87.755500000000012</v>
      </c>
      <c r="DG1153" s="122">
        <f>(DG1152+DG1154)/2</f>
        <v>88.921500000000009</v>
      </c>
    </row>
    <row r="1154" spans="54:111" ht="15" customHeight="1" x14ac:dyDescent="0.2">
      <c r="BB1154" s="28">
        <v>58</v>
      </c>
      <c r="BC1154" s="121">
        <v>15.925000000000001</v>
      </c>
      <c r="BD1154" s="121">
        <v>17.609000000000002</v>
      </c>
      <c r="BE1154" s="121">
        <v>19.292999999999999</v>
      </c>
      <c r="BF1154" s="121">
        <v>20.833500000000001</v>
      </c>
      <c r="BG1154" s="121">
        <v>22.373999999999999</v>
      </c>
      <c r="BH1154" s="121">
        <v>23.907</v>
      </c>
      <c r="BI1154" s="121">
        <v>25.44</v>
      </c>
      <c r="BJ1154" s="121">
        <v>26.889499999999998</v>
      </c>
      <c r="BK1154" s="121">
        <v>28.338999999999999</v>
      </c>
      <c r="BL1154" s="121">
        <v>29.7745</v>
      </c>
      <c r="BM1154" s="121">
        <v>31.21</v>
      </c>
      <c r="BN1154" s="121">
        <v>32.629000000000005</v>
      </c>
      <c r="BO1154" s="121">
        <v>34.048000000000002</v>
      </c>
      <c r="BP1154" s="121">
        <v>35.400500000000001</v>
      </c>
      <c r="BQ1154" s="121">
        <v>36.753</v>
      </c>
      <c r="BR1154" s="121">
        <v>38.134</v>
      </c>
      <c r="BS1154" s="121">
        <v>39.515000000000001</v>
      </c>
      <c r="BT1154" s="121">
        <v>40.852000000000004</v>
      </c>
      <c r="BU1154" s="121">
        <v>42.189</v>
      </c>
      <c r="BV1154" s="121">
        <v>43.5105</v>
      </c>
      <c r="BW1154" s="121">
        <v>44.832000000000001</v>
      </c>
      <c r="BX1154" s="121">
        <v>46.168500000000002</v>
      </c>
      <c r="BY1154" s="121">
        <v>47.505000000000003</v>
      </c>
      <c r="BZ1154" s="121">
        <v>48.788499999999999</v>
      </c>
      <c r="CA1154" s="121">
        <v>50.072000000000003</v>
      </c>
      <c r="CB1154" s="121">
        <v>51.378500000000003</v>
      </c>
      <c r="CC1154" s="121">
        <v>52.685000000000002</v>
      </c>
      <c r="CD1154" s="121">
        <v>53.983499999999999</v>
      </c>
      <c r="CE1154" s="121">
        <v>55.281999999999996</v>
      </c>
      <c r="CF1154" s="121">
        <v>56.566000000000003</v>
      </c>
      <c r="CG1154" s="121">
        <v>57.85</v>
      </c>
      <c r="CH1154" s="121">
        <v>59.111000000000004</v>
      </c>
      <c r="CI1154" s="121">
        <v>60.372</v>
      </c>
      <c r="CJ1154" s="121">
        <v>61.655999999999999</v>
      </c>
      <c r="CK1154" s="121">
        <v>62.94</v>
      </c>
      <c r="CL1154" s="121">
        <v>64.163499999999999</v>
      </c>
      <c r="CM1154" s="121">
        <v>65.387</v>
      </c>
      <c r="CN1154" s="121">
        <v>66.692999999999998</v>
      </c>
      <c r="CO1154" s="121">
        <v>67.998999999999995</v>
      </c>
      <c r="CP1154" s="121">
        <v>69.1995</v>
      </c>
      <c r="CQ1154" s="121">
        <v>70.400000000000006</v>
      </c>
      <c r="CR1154" s="160">
        <v>71.706000000000003</v>
      </c>
      <c r="CS1154" s="160">
        <v>73.012</v>
      </c>
      <c r="CT1154" s="160">
        <v>74.220500000000001</v>
      </c>
      <c r="CU1154" s="160">
        <v>75.429000000000002</v>
      </c>
      <c r="CV1154" s="160">
        <v>76.652500000000003</v>
      </c>
      <c r="CW1154" s="160">
        <v>77.876000000000005</v>
      </c>
      <c r="CX1154" s="160">
        <v>79.1815</v>
      </c>
      <c r="CY1154" s="160">
        <v>80.486999999999995</v>
      </c>
      <c r="CZ1154" s="160">
        <v>81.650499999999994</v>
      </c>
      <c r="DA1154" s="160">
        <v>82.813999999999993</v>
      </c>
      <c r="DB1154" s="160">
        <v>84.12</v>
      </c>
      <c r="DC1154" s="160">
        <v>85.426000000000002</v>
      </c>
      <c r="DD1154" s="121">
        <f t="array" ref="DD1154:DD1156">TRANSPOSE(DE1153:DG1153)</f>
        <v>86.589500000000001</v>
      </c>
      <c r="DE1154" s="158">
        <v>87.753</v>
      </c>
      <c r="DF1154" s="121">
        <f>DG1153</f>
        <v>88.921500000000009</v>
      </c>
      <c r="DG1154" s="159">
        <v>90.137</v>
      </c>
    </row>
    <row r="1155" spans="54:111" ht="15" customHeight="1" x14ac:dyDescent="0.2">
      <c r="BB1155" s="28">
        <v>59</v>
      </c>
      <c r="BC1155" s="121">
        <v>16.133499999999998</v>
      </c>
      <c r="BD1155" s="121">
        <v>17.825500000000002</v>
      </c>
      <c r="BE1155" s="121">
        <v>19.517499999999998</v>
      </c>
      <c r="BF1155" s="121">
        <v>21.103250000000003</v>
      </c>
      <c r="BG1155" s="121">
        <v>22.689</v>
      </c>
      <c r="BH1155" s="121">
        <v>24.233499999999999</v>
      </c>
      <c r="BI1155" s="121">
        <v>25.777999999999999</v>
      </c>
      <c r="BJ1155" s="121">
        <v>27.262</v>
      </c>
      <c r="BK1155" s="121">
        <v>28.745999999999999</v>
      </c>
      <c r="BL1155" s="121">
        <v>30.1815</v>
      </c>
      <c r="BM1155" s="121">
        <v>31.617000000000001</v>
      </c>
      <c r="BN1155" s="121">
        <v>33.047750000000001</v>
      </c>
      <c r="BO1155" s="121">
        <v>34.478499999999997</v>
      </c>
      <c r="BP1155" s="121">
        <v>35.856999999999999</v>
      </c>
      <c r="BQ1155" s="121">
        <v>37.235500000000002</v>
      </c>
      <c r="BR1155" s="121">
        <v>38.628750000000004</v>
      </c>
      <c r="BS1155" s="121">
        <v>40.022000000000006</v>
      </c>
      <c r="BT1155" s="121">
        <v>41.389000000000003</v>
      </c>
      <c r="BU1155" s="121">
        <v>42.756</v>
      </c>
      <c r="BV1155" s="121">
        <v>44.100250000000003</v>
      </c>
      <c r="BW1155" s="121">
        <v>45.444500000000005</v>
      </c>
      <c r="BX1155" s="121">
        <v>46.796250000000001</v>
      </c>
      <c r="BY1155" s="121">
        <v>48.147999999999996</v>
      </c>
      <c r="BZ1155" s="121">
        <v>49.454250000000002</v>
      </c>
      <c r="CA1155" s="121">
        <v>50.7605</v>
      </c>
      <c r="CB1155" s="121">
        <v>52.075000000000003</v>
      </c>
      <c r="CC1155" s="121">
        <v>53.389499999999998</v>
      </c>
      <c r="CD1155" s="121">
        <v>54.703500000000005</v>
      </c>
      <c r="CE1155" s="121">
        <v>56.017499999999998</v>
      </c>
      <c r="CF1155" s="121">
        <v>57.323999999999998</v>
      </c>
      <c r="CG1155" s="121">
        <v>58.630499999999998</v>
      </c>
      <c r="CH1155" s="121">
        <v>59.9255</v>
      </c>
      <c r="CI1155" s="121">
        <v>61.220500000000001</v>
      </c>
      <c r="CJ1155" s="121">
        <v>62.524000000000001</v>
      </c>
      <c r="CK1155" s="121">
        <v>63.827500000000001</v>
      </c>
      <c r="CL1155" s="121">
        <v>65.066000000000003</v>
      </c>
      <c r="CM1155" s="121">
        <v>66.30449999999999</v>
      </c>
      <c r="CN1155" s="121">
        <v>67.621999999999986</v>
      </c>
      <c r="CO1155" s="121">
        <v>68.939499999999995</v>
      </c>
      <c r="CP1155" s="121">
        <v>70.166499999999999</v>
      </c>
      <c r="CQ1155" s="121">
        <v>71.133499999999998</v>
      </c>
      <c r="CR1155" s="160">
        <v>72.707999999999998</v>
      </c>
      <c r="CS1155" s="160">
        <v>73.710000000000008</v>
      </c>
      <c r="CT1155" s="160">
        <v>75.253500000000003</v>
      </c>
      <c r="CU1155" s="160">
        <v>76.286500000000004</v>
      </c>
      <c r="CV1155" s="160">
        <v>77.722999999999999</v>
      </c>
      <c r="CW1155" s="160">
        <v>78.793499999999995</v>
      </c>
      <c r="CX1155" s="160">
        <v>80.278750000000002</v>
      </c>
      <c r="CY1155" s="160">
        <v>81.376000000000005</v>
      </c>
      <c r="CZ1155" s="160">
        <v>82.823499999999996</v>
      </c>
      <c r="DA1155" s="160">
        <v>83.996499999999997</v>
      </c>
      <c r="DB1155" s="160">
        <v>85.308500000000009</v>
      </c>
      <c r="DC1155" s="160">
        <v>86.497</v>
      </c>
      <c r="DD1155" s="160">
        <v>87.755500000000012</v>
      </c>
      <c r="DE1155" s="160">
        <f t="array" ref="DE1155:DE1156">TRANSPOSE(DF1154:DG1154)</f>
        <v>88.921500000000009</v>
      </c>
      <c r="DF1155" s="120">
        <f>(DE1155+DG1155)/2</f>
        <v>90.194000000000003</v>
      </c>
      <c r="DG1155" s="122">
        <f>(DG1154+DG1156)/2</f>
        <v>91.466499999999996</v>
      </c>
    </row>
    <row r="1156" spans="54:111" ht="15" customHeight="1" thickBot="1" x14ac:dyDescent="0.25">
      <c r="BB1156" s="149">
        <v>60</v>
      </c>
      <c r="BC1156" s="123">
        <v>16.341999999999999</v>
      </c>
      <c r="BD1156" s="123">
        <v>18.042000000000002</v>
      </c>
      <c r="BE1156" s="123">
        <v>19.742000000000001</v>
      </c>
      <c r="BF1156" s="123">
        <v>21.373000000000001</v>
      </c>
      <c r="BG1156" s="123">
        <v>23.004000000000001</v>
      </c>
      <c r="BH1156" s="123">
        <v>24.560000000000002</v>
      </c>
      <c r="BI1156" s="123">
        <v>26.116</v>
      </c>
      <c r="BJ1156" s="123">
        <v>27.634499999999999</v>
      </c>
      <c r="BK1156" s="123">
        <v>29.152999999999999</v>
      </c>
      <c r="BL1156" s="123">
        <v>30.5885</v>
      </c>
      <c r="BM1156" s="123">
        <v>32.024000000000001</v>
      </c>
      <c r="BN1156" s="123">
        <v>33.466499999999996</v>
      </c>
      <c r="BO1156" s="123">
        <v>34.908999999999999</v>
      </c>
      <c r="BP1156" s="123">
        <v>36.313500000000005</v>
      </c>
      <c r="BQ1156" s="123">
        <v>37.718000000000004</v>
      </c>
      <c r="BR1156" s="123">
        <v>39.123500000000007</v>
      </c>
      <c r="BS1156" s="123">
        <v>40.529000000000003</v>
      </c>
      <c r="BT1156" s="123">
        <v>41.926000000000002</v>
      </c>
      <c r="BU1156" s="123">
        <v>43.323</v>
      </c>
      <c r="BV1156" s="123">
        <v>44.69</v>
      </c>
      <c r="BW1156" s="123">
        <v>46.057000000000002</v>
      </c>
      <c r="BX1156" s="123">
        <v>47.423999999999999</v>
      </c>
      <c r="BY1156" s="123">
        <v>48.790999999999997</v>
      </c>
      <c r="BZ1156" s="123">
        <v>50.12</v>
      </c>
      <c r="CA1156" s="123">
        <v>51.448999999999998</v>
      </c>
      <c r="CB1156" s="123">
        <v>52.771500000000003</v>
      </c>
      <c r="CC1156" s="123">
        <v>54.094000000000001</v>
      </c>
      <c r="CD1156" s="123">
        <v>55.423500000000004</v>
      </c>
      <c r="CE1156" s="123">
        <v>56.753</v>
      </c>
      <c r="CF1156" s="123">
        <v>58.082000000000001</v>
      </c>
      <c r="CG1156" s="123">
        <v>59.411000000000001</v>
      </c>
      <c r="CH1156" s="123">
        <v>60.74</v>
      </c>
      <c r="CI1156" s="123">
        <v>62.069000000000003</v>
      </c>
      <c r="CJ1156" s="123">
        <v>63.392000000000003</v>
      </c>
      <c r="CK1156" s="123">
        <v>64.715000000000003</v>
      </c>
      <c r="CL1156" s="123">
        <v>65.968500000000006</v>
      </c>
      <c r="CM1156" s="123">
        <v>67.221999999999994</v>
      </c>
      <c r="CN1156" s="123">
        <v>68.550999999999988</v>
      </c>
      <c r="CO1156" s="123">
        <v>69.88</v>
      </c>
      <c r="CP1156" s="123">
        <v>71.133499999999998</v>
      </c>
      <c r="CQ1156" s="123">
        <v>72.387</v>
      </c>
      <c r="CR1156" s="161">
        <v>73.710000000000008</v>
      </c>
      <c r="CS1156" s="161">
        <v>75.033000000000001</v>
      </c>
      <c r="CT1156" s="161">
        <v>76.286500000000004</v>
      </c>
      <c r="CU1156" s="161">
        <v>77.540000000000006</v>
      </c>
      <c r="CV1156" s="161">
        <v>78.793499999999995</v>
      </c>
      <c r="CW1156" s="161">
        <v>80.046999999999997</v>
      </c>
      <c r="CX1156" s="161">
        <v>81.376000000000005</v>
      </c>
      <c r="CY1156" s="161">
        <v>82.704999999999998</v>
      </c>
      <c r="CZ1156" s="161">
        <v>83.996499999999997</v>
      </c>
      <c r="DA1156" s="161">
        <v>85.287999999999997</v>
      </c>
      <c r="DB1156" s="161">
        <v>86.497</v>
      </c>
      <c r="DC1156" s="161">
        <v>87.706000000000003</v>
      </c>
      <c r="DD1156" s="161">
        <v>88.921500000000009</v>
      </c>
      <c r="DE1156" s="161">
        <v>90.137</v>
      </c>
      <c r="DF1156" s="151">
        <f>DG1155</f>
        <v>91.466499999999996</v>
      </c>
      <c r="DG1156" s="162">
        <v>92.796000000000006</v>
      </c>
    </row>
    <row r="1157" spans="54:111" ht="15" customHeight="1" thickBot="1" x14ac:dyDescent="0.25">
      <c r="BB1157" s="25"/>
      <c r="BC1157" s="25"/>
      <c r="BD1157" s="25"/>
      <c r="BE1157" s="25"/>
      <c r="BF1157" s="25"/>
      <c r="BG1157" s="25"/>
      <c r="BH1157" s="25"/>
      <c r="BI1157" s="25"/>
      <c r="BJ1157" s="25"/>
      <c r="BK1157" s="25"/>
      <c r="BL1157" s="25"/>
      <c r="BM1157" s="25"/>
      <c r="BN1157" s="25"/>
      <c r="BO1157" s="25"/>
      <c r="BP1157" s="25"/>
      <c r="BQ1157" s="25"/>
      <c r="BR1157" s="25"/>
      <c r="BS1157" s="25"/>
      <c r="BT1157" s="25"/>
      <c r="BU1157" s="25"/>
      <c r="BV1157" s="25"/>
      <c r="BW1157" s="25"/>
      <c r="BX1157" s="25"/>
      <c r="BY1157" s="25"/>
      <c r="BZ1157" s="25"/>
      <c r="CA1157" s="25"/>
      <c r="CB1157" s="25"/>
      <c r="CC1157" s="25"/>
      <c r="CD1157" s="25"/>
      <c r="CE1157" s="25"/>
      <c r="CF1157" s="25"/>
      <c r="CG1157" s="25"/>
      <c r="CH1157" s="25"/>
      <c r="CI1157" s="25"/>
      <c r="CJ1157" s="25"/>
      <c r="CK1157" s="25"/>
      <c r="CL1157" s="25"/>
      <c r="CM1157" s="25"/>
      <c r="CN1157" s="25"/>
      <c r="CO1157" s="25"/>
      <c r="CP1157" s="25"/>
      <c r="CQ1157" s="25"/>
    </row>
    <row r="1158" spans="54:111" ht="15" customHeight="1" thickBot="1" x14ac:dyDescent="0.3">
      <c r="BB1158" s="1841" t="s">
        <v>314</v>
      </c>
      <c r="BC1158" s="1842"/>
      <c r="BD1158" s="1842"/>
      <c r="BE1158" s="1842"/>
      <c r="BF1158" s="1842"/>
      <c r="BG1158" s="1842"/>
      <c r="BH1158" s="1842"/>
      <c r="BI1158" s="1842"/>
      <c r="BJ1158" s="1842"/>
      <c r="BK1158" s="1842"/>
      <c r="BL1158" s="1842"/>
      <c r="BM1158" s="1842"/>
      <c r="BN1158" s="1842"/>
      <c r="BO1158" s="1842"/>
      <c r="BP1158" s="1842"/>
      <c r="BQ1158" s="1842"/>
      <c r="BR1158" s="1842"/>
      <c r="BS1158" s="1842"/>
      <c r="BT1158" s="1842"/>
      <c r="BU1158" s="1842"/>
      <c r="BV1158" s="1842"/>
      <c r="BW1158" s="1842"/>
      <c r="BX1158" s="1842"/>
      <c r="BY1158" s="1842"/>
      <c r="BZ1158" s="1842"/>
      <c r="CA1158" s="1842"/>
      <c r="CB1158" s="1842"/>
      <c r="CC1158" s="1842"/>
      <c r="CD1158" s="1842"/>
      <c r="CE1158" s="1842"/>
      <c r="CF1158" s="1842"/>
      <c r="CG1158" s="1842"/>
      <c r="CH1158" s="1842"/>
      <c r="CI1158" s="1842"/>
      <c r="CJ1158" s="1842"/>
      <c r="CK1158" s="1842"/>
      <c r="CL1158" s="1842"/>
      <c r="CM1158" s="1842"/>
      <c r="CN1158" s="1842"/>
      <c r="CO1158" s="1842"/>
      <c r="CP1158" s="1842"/>
      <c r="CQ1158" s="1842"/>
      <c r="CR1158" s="1842"/>
      <c r="CS1158" s="1842"/>
      <c r="CT1158" s="1842"/>
      <c r="CU1158" s="1842"/>
      <c r="CV1158" s="1842"/>
      <c r="CW1158" s="1842"/>
      <c r="CX1158" s="1842"/>
      <c r="CY1158" s="1842"/>
      <c r="CZ1158" s="1842"/>
      <c r="DA1158" s="1842"/>
      <c r="DB1158" s="1842"/>
      <c r="DC1158" s="1842"/>
      <c r="DD1158" s="1842"/>
      <c r="DE1158" s="1842"/>
      <c r="DF1158" s="1842"/>
      <c r="DG1158" s="1843"/>
    </row>
    <row r="1159" spans="54:111" ht="15" customHeight="1" x14ac:dyDescent="0.2">
      <c r="BB1159" s="26"/>
      <c r="BC1159" s="27">
        <v>4</v>
      </c>
      <c r="BD1159" s="27">
        <v>5</v>
      </c>
      <c r="BE1159" s="27">
        <v>6</v>
      </c>
      <c r="BF1159" s="27">
        <v>7</v>
      </c>
      <c r="BG1159" s="27">
        <v>8</v>
      </c>
      <c r="BH1159" s="27">
        <v>9</v>
      </c>
      <c r="BI1159" s="27">
        <v>10</v>
      </c>
      <c r="BJ1159" s="27">
        <v>11</v>
      </c>
      <c r="BK1159" s="27">
        <v>12</v>
      </c>
      <c r="BL1159" s="27">
        <v>13</v>
      </c>
      <c r="BM1159" s="27">
        <v>14</v>
      </c>
      <c r="BN1159" s="27">
        <v>15</v>
      </c>
      <c r="BO1159" s="27">
        <v>16</v>
      </c>
      <c r="BP1159" s="27">
        <v>17</v>
      </c>
      <c r="BQ1159" s="27">
        <v>18</v>
      </c>
      <c r="BR1159" s="27">
        <v>19</v>
      </c>
      <c r="BS1159" s="27">
        <v>20</v>
      </c>
      <c r="BT1159" s="27">
        <v>21</v>
      </c>
      <c r="BU1159" s="27">
        <v>22</v>
      </c>
      <c r="BV1159" s="27">
        <v>23</v>
      </c>
      <c r="BW1159" s="27">
        <v>24</v>
      </c>
      <c r="BX1159" s="27">
        <v>25</v>
      </c>
      <c r="BY1159" s="27">
        <v>26</v>
      </c>
      <c r="BZ1159" s="27">
        <v>27</v>
      </c>
      <c r="CA1159" s="27">
        <v>28</v>
      </c>
      <c r="CB1159" s="27">
        <v>29</v>
      </c>
      <c r="CC1159" s="27">
        <v>30</v>
      </c>
      <c r="CD1159" s="27">
        <v>31</v>
      </c>
      <c r="CE1159" s="27">
        <v>32</v>
      </c>
      <c r="CF1159" s="27">
        <v>33</v>
      </c>
      <c r="CG1159" s="27">
        <v>34</v>
      </c>
      <c r="CH1159" s="27">
        <v>35</v>
      </c>
      <c r="CI1159" s="27">
        <v>36</v>
      </c>
      <c r="CJ1159" s="27">
        <v>37</v>
      </c>
      <c r="CK1159" s="27">
        <v>38</v>
      </c>
      <c r="CL1159" s="27">
        <v>39</v>
      </c>
      <c r="CM1159" s="27">
        <v>40</v>
      </c>
      <c r="CN1159" s="27">
        <v>41</v>
      </c>
      <c r="CO1159" s="27">
        <v>42</v>
      </c>
      <c r="CP1159" s="27">
        <v>43</v>
      </c>
      <c r="CQ1159" s="27">
        <v>44</v>
      </c>
      <c r="CR1159" s="27">
        <v>45</v>
      </c>
      <c r="CS1159" s="27">
        <v>46</v>
      </c>
      <c r="CT1159" s="27">
        <v>47</v>
      </c>
      <c r="CU1159" s="27">
        <v>48</v>
      </c>
      <c r="CV1159" s="27">
        <v>49</v>
      </c>
      <c r="CW1159" s="27">
        <v>50</v>
      </c>
      <c r="CX1159" s="27">
        <v>51</v>
      </c>
      <c r="CY1159" s="27">
        <v>52</v>
      </c>
      <c r="CZ1159" s="27">
        <v>53</v>
      </c>
      <c r="DA1159" s="27">
        <v>54</v>
      </c>
      <c r="DB1159" s="27">
        <v>55</v>
      </c>
      <c r="DC1159" s="27">
        <v>56</v>
      </c>
      <c r="DD1159" s="27">
        <v>57</v>
      </c>
      <c r="DE1159" s="27">
        <v>58</v>
      </c>
      <c r="DF1159" s="27">
        <v>59</v>
      </c>
      <c r="DG1159" s="142">
        <v>60</v>
      </c>
    </row>
    <row r="1160" spans="54:111" ht="15" customHeight="1" x14ac:dyDescent="0.2">
      <c r="BB1160" s="28">
        <v>4</v>
      </c>
      <c r="BC1160" s="156">
        <v>3.544</v>
      </c>
      <c r="BD1160" s="120">
        <f>(BE1160+BC1160)/2</f>
        <v>3.9935</v>
      </c>
      <c r="BE1160" s="156">
        <v>4.4429999999999996</v>
      </c>
      <c r="BF1160" s="120">
        <f>(BG1160+BE1160)/2</f>
        <v>4.8010000000000002</v>
      </c>
      <c r="BG1160" s="156">
        <v>5.1589999999999998</v>
      </c>
      <c r="BH1160" s="120">
        <f>(BI1160+BG1160)/2</f>
        <v>5.5344999999999995</v>
      </c>
      <c r="BI1160" s="156">
        <v>5.91</v>
      </c>
      <c r="BJ1160" s="120">
        <f>(BK1160+BI1160)/2</f>
        <v>6.2484999999999999</v>
      </c>
      <c r="BK1160" s="156">
        <v>6.5869999999999997</v>
      </c>
      <c r="BL1160" s="120">
        <f>(BM1160+BK1160)/2</f>
        <v>6.9074999999999998</v>
      </c>
      <c r="BM1160" s="156">
        <v>7.2279999999999998</v>
      </c>
      <c r="BN1160" s="120">
        <f>(BO1160+BM1160)/2</f>
        <v>7.5670000000000002</v>
      </c>
      <c r="BO1160" s="156">
        <v>7.9059999999999997</v>
      </c>
      <c r="BP1160" s="120">
        <f>(BQ1160+BO1160)/2</f>
        <v>8.1824999999999992</v>
      </c>
      <c r="BQ1160" s="156">
        <v>8.4589999999999996</v>
      </c>
      <c r="BR1160" s="120">
        <f>(BS1160+BQ1160)/2</f>
        <v>8.7680000000000007</v>
      </c>
      <c r="BS1160" s="156">
        <v>9.077</v>
      </c>
      <c r="BT1160" s="120">
        <f>(BU1160+BS1160)/2</f>
        <v>9.3789999999999996</v>
      </c>
      <c r="BU1160" s="156">
        <v>9.6809999999999992</v>
      </c>
      <c r="BV1160" s="120">
        <f>(BW1160+BU1160)/2</f>
        <v>9.9654999999999987</v>
      </c>
      <c r="BW1160" s="156">
        <v>10.25</v>
      </c>
      <c r="BX1160" s="120">
        <f>(BY1160+BW1160)/2</f>
        <v>10.551</v>
      </c>
      <c r="BY1160" s="156">
        <v>10.852</v>
      </c>
      <c r="BZ1160" s="120">
        <f>(CA1160+BY1160)/2</f>
        <v>11.092500000000001</v>
      </c>
      <c r="CA1160" s="156">
        <v>11.333</v>
      </c>
      <c r="CB1160" s="120">
        <f>(CC1160+CA1160)/2</f>
        <v>11.641500000000001</v>
      </c>
      <c r="CC1160" s="156">
        <v>11.95</v>
      </c>
      <c r="CD1160" s="120">
        <f>(CE1160+CC1160)/2</f>
        <v>12.214499999999999</v>
      </c>
      <c r="CE1160" s="156">
        <v>12.478999999999999</v>
      </c>
      <c r="CF1160" s="120">
        <f>(CG1160+CE1160)/2</f>
        <v>12.727</v>
      </c>
      <c r="CG1160" s="156">
        <v>12.975</v>
      </c>
      <c r="CH1160" s="120">
        <f>(CI1160+CG1160)/2</f>
        <v>13.276</v>
      </c>
      <c r="CI1160" s="156">
        <v>13.577</v>
      </c>
      <c r="CJ1160" s="120">
        <f>(CK1160+CI1160)/2</f>
        <v>13.817</v>
      </c>
      <c r="CK1160" s="156">
        <v>14.057</v>
      </c>
      <c r="CL1160" s="120">
        <f>(CM1160+CK1160)/2</f>
        <v>14.33</v>
      </c>
      <c r="CM1160" s="156">
        <v>14.603</v>
      </c>
      <c r="CN1160" s="120">
        <f>(CO1160+CM1160)/2</f>
        <v>14.867000000000001</v>
      </c>
      <c r="CO1160" s="156">
        <v>15.131</v>
      </c>
      <c r="CP1160" s="120">
        <f>(CQ1160+CO1160)/2</f>
        <v>15.371</v>
      </c>
      <c r="CQ1160" s="156">
        <v>15.611000000000001</v>
      </c>
      <c r="CR1160" s="120">
        <f>(CS1160+CQ1160)/2</f>
        <v>15.883000000000001</v>
      </c>
      <c r="CS1160" s="156">
        <v>16.155000000000001</v>
      </c>
      <c r="CT1160" s="120">
        <f>(CU1160+CS1160)/2</f>
        <v>16.395000000000003</v>
      </c>
      <c r="CU1160" s="156">
        <v>16.635000000000002</v>
      </c>
      <c r="CV1160" s="120">
        <f>(CW1160+CU1160)/2</f>
        <v>16.907</v>
      </c>
      <c r="CW1160" s="156">
        <v>17.178999999999998</v>
      </c>
      <c r="CX1160" s="120">
        <f>(CY1160+CW1160)/2</f>
        <v>17.443999999999999</v>
      </c>
      <c r="CY1160" s="156">
        <v>17.709</v>
      </c>
      <c r="CZ1160" s="120">
        <f>(DA1160+CY1160)/2</f>
        <v>17.911999999999999</v>
      </c>
      <c r="DA1160" s="156">
        <v>18.114999999999998</v>
      </c>
      <c r="DB1160" s="120">
        <f>(DC1160+DA1160)/2</f>
        <v>18.387</v>
      </c>
      <c r="DC1160" s="156">
        <v>18.658999999999999</v>
      </c>
      <c r="DD1160" s="120">
        <f>(DE1160+DC1160)/2</f>
        <v>18.899000000000001</v>
      </c>
      <c r="DE1160" s="156">
        <v>19.138999999999999</v>
      </c>
      <c r="DF1160" s="120">
        <f>(DG1160+DE1160)/2</f>
        <v>19.374499999999998</v>
      </c>
      <c r="DG1160" s="157">
        <v>19.61</v>
      </c>
    </row>
    <row r="1161" spans="54:111" ht="15" customHeight="1" x14ac:dyDescent="0.2">
      <c r="BB1161" s="28">
        <v>5</v>
      </c>
      <c r="BC1161" s="121">
        <f t="array" ref="BC1161:BC1216">TRANSPOSE(BD1160:DG1160)</f>
        <v>3.9935</v>
      </c>
      <c r="BD1161" s="120">
        <f>(BC1161+BE1161)/2</f>
        <v>4.4827499999999993</v>
      </c>
      <c r="BE1161" s="120">
        <f>(BE1160+BE1162)/2</f>
        <v>4.9719999999999995</v>
      </c>
      <c r="BF1161" s="120">
        <f>(BE1161+BG1161)/2</f>
        <v>5.375</v>
      </c>
      <c r="BG1161" s="120">
        <f>(BG1160+BG1162)/2</f>
        <v>5.7780000000000005</v>
      </c>
      <c r="BH1161" s="120">
        <f>(BG1161+BI1161)/2</f>
        <v>6.1930000000000005</v>
      </c>
      <c r="BI1161" s="120">
        <f>(BI1160+BI1162)/2</f>
        <v>6.6080000000000005</v>
      </c>
      <c r="BJ1161" s="120">
        <f>(BI1161+BK1161)/2</f>
        <v>6.9705000000000004</v>
      </c>
      <c r="BK1161" s="120">
        <f>(BK1160+BK1162)/2</f>
        <v>7.3330000000000002</v>
      </c>
      <c r="BL1161" s="120">
        <f>(BK1161+BM1161)/2</f>
        <v>7.7024999999999997</v>
      </c>
      <c r="BM1161" s="120">
        <f>(BM1160+BM1162)/2</f>
        <v>8.0719999999999992</v>
      </c>
      <c r="BN1161" s="120">
        <f>(BM1161+BO1161)/2</f>
        <v>8.4324999999999992</v>
      </c>
      <c r="BO1161" s="120">
        <f>(BO1160+BO1162)/2</f>
        <v>8.7929999999999993</v>
      </c>
      <c r="BP1161" s="120">
        <f>(BO1161+BQ1161)/2</f>
        <v>9.1182499999999997</v>
      </c>
      <c r="BQ1161" s="120">
        <f>(BQ1160+BQ1162)/2</f>
        <v>9.4435000000000002</v>
      </c>
      <c r="BR1161" s="120">
        <f>(BQ1161+BS1161)/2</f>
        <v>9.7884999999999991</v>
      </c>
      <c r="BS1161" s="120">
        <f>(BS1160+BS1162)/2</f>
        <v>10.1335</v>
      </c>
      <c r="BT1161" s="120">
        <f>(BS1161+BU1161)/2</f>
        <v>10.452999999999999</v>
      </c>
      <c r="BU1161" s="120">
        <f>(BU1160+BU1162)/2</f>
        <v>10.772500000000001</v>
      </c>
      <c r="BV1161" s="120">
        <f>(BU1161+BW1161)/2</f>
        <v>11.105500000000001</v>
      </c>
      <c r="BW1161" s="120">
        <f>(BW1160+BW1162)/2</f>
        <v>11.438500000000001</v>
      </c>
      <c r="BX1161" s="120">
        <f>(BW1161+BY1161)/2</f>
        <v>11.7575</v>
      </c>
      <c r="BY1161" s="120">
        <f>(BY1160+BY1162)/2</f>
        <v>12.076499999999999</v>
      </c>
      <c r="BZ1161" s="120">
        <f>(BY1161+CA1161)/2</f>
        <v>12.369</v>
      </c>
      <c r="CA1161" s="120">
        <f>(CA1160+CA1162)/2</f>
        <v>12.6615</v>
      </c>
      <c r="CB1161" s="120">
        <f>(CA1161+CC1161)/2</f>
        <v>12.988250000000001</v>
      </c>
      <c r="CC1161" s="120">
        <f>(CC1160+CC1162)/2</f>
        <v>13.315</v>
      </c>
      <c r="CD1161" s="120">
        <f>(CC1161+CE1161)/2</f>
        <v>13.603249999999999</v>
      </c>
      <c r="CE1161" s="120">
        <f>(CE1160+CE1162)/2</f>
        <v>13.891500000000001</v>
      </c>
      <c r="CF1161" s="120">
        <f>(CE1161+CG1161)/2</f>
        <v>14.187750000000001</v>
      </c>
      <c r="CG1161" s="120">
        <f>(CG1160+CG1162)/2</f>
        <v>14.484</v>
      </c>
      <c r="CH1161" s="120">
        <f>(CG1161+CI1161)/2</f>
        <v>14.784749999999999</v>
      </c>
      <c r="CI1161" s="120">
        <f>(CI1160+CI1162)/2</f>
        <v>15.0855</v>
      </c>
      <c r="CJ1161" s="120">
        <f>(CI1161+CK1161)/2</f>
        <v>15.377750000000001</v>
      </c>
      <c r="CK1161" s="120">
        <f>(CK1160+CK1162)/2</f>
        <v>15.670000000000002</v>
      </c>
      <c r="CL1161" s="120">
        <f>(CK1161+CM1161)/2</f>
        <v>15.960500000000001</v>
      </c>
      <c r="CM1161" s="120">
        <f>(CM1160+CM1162)/2</f>
        <v>16.251000000000001</v>
      </c>
      <c r="CN1161" s="120">
        <f>(CM1161+CO1161)/2</f>
        <v>16.551500000000001</v>
      </c>
      <c r="CO1161" s="120">
        <f>(CO1160+CO1162)/2</f>
        <v>16.852</v>
      </c>
      <c r="CP1161" s="120">
        <f>(CO1161+CQ1161)/2</f>
        <v>17.125999999999998</v>
      </c>
      <c r="CQ1161" s="120">
        <f>(CQ1160+CQ1162)/2</f>
        <v>17.399999999999999</v>
      </c>
      <c r="CR1161" s="120">
        <f>(CQ1161+CS1161)/2</f>
        <v>17.704499999999999</v>
      </c>
      <c r="CS1161" s="120">
        <f>(CS1160+CS1162)/2</f>
        <v>18.009</v>
      </c>
      <c r="CT1161" s="120">
        <f>(CS1161+CU1161)/2</f>
        <v>18.28275</v>
      </c>
      <c r="CU1161" s="120">
        <f>(CU1160+CU1162)/2</f>
        <v>18.5565</v>
      </c>
      <c r="CV1161" s="120">
        <f>(CU1161+CW1161)/2</f>
        <v>18.842749999999999</v>
      </c>
      <c r="CW1161" s="120">
        <f>(CW1160+CW1162)/2</f>
        <v>19.128999999999998</v>
      </c>
      <c r="CX1161" s="120">
        <f>(CW1161+CY1161)/2</f>
        <v>19.402999999999999</v>
      </c>
      <c r="CY1161" s="120">
        <f>(CY1160+CY1162)/2</f>
        <v>19.677</v>
      </c>
      <c r="CZ1161" s="120">
        <f>(CY1161+DA1161)/2</f>
        <v>19.93225</v>
      </c>
      <c r="DA1161" s="120">
        <f>(DA1160+DA1162)/2</f>
        <v>20.1875</v>
      </c>
      <c r="DB1161" s="120">
        <f>(DA1161+DC1161)/2</f>
        <v>20.492249999999999</v>
      </c>
      <c r="DC1161" s="120">
        <f>(DC1160+DC1162)/2</f>
        <v>20.796999999999997</v>
      </c>
      <c r="DD1161" s="120">
        <f>(DC1161+DE1161)/2</f>
        <v>21.070499999999999</v>
      </c>
      <c r="DE1161" s="120">
        <f>(DE1160+DE1162)/2</f>
        <v>21.344000000000001</v>
      </c>
      <c r="DF1161" s="120">
        <f>(DE1161+DG1161)/2</f>
        <v>21.612000000000002</v>
      </c>
      <c r="DG1161" s="122">
        <f>(DG1160+DG1162)/2</f>
        <v>21.88</v>
      </c>
    </row>
    <row r="1162" spans="54:111" ht="15" customHeight="1" x14ac:dyDescent="0.2">
      <c r="BB1162" s="28">
        <v>6</v>
      </c>
      <c r="BC1162" s="121">
        <v>4.4429999999999996</v>
      </c>
      <c r="BD1162" s="121">
        <f t="array" ref="BD1162:BD1216">TRANSPOSE(BE1161:DG1161)</f>
        <v>4.9719999999999995</v>
      </c>
      <c r="BE1162" s="158">
        <v>5.5010000000000003</v>
      </c>
      <c r="BF1162" s="120">
        <f>(BG1162+BE1162)/2</f>
        <v>5.9489999999999998</v>
      </c>
      <c r="BG1162" s="158">
        <v>6.3970000000000002</v>
      </c>
      <c r="BH1162" s="120">
        <f>(BI1162+BG1162)/2</f>
        <v>6.8514999999999997</v>
      </c>
      <c r="BI1162" s="158">
        <v>7.306</v>
      </c>
      <c r="BJ1162" s="120">
        <f>(BK1162+BI1162)/2</f>
        <v>7.6925000000000008</v>
      </c>
      <c r="BK1162" s="158">
        <v>8.0790000000000006</v>
      </c>
      <c r="BL1162" s="120">
        <f>(BM1162+BK1162)/2</f>
        <v>8.4975000000000005</v>
      </c>
      <c r="BM1162" s="158">
        <v>8.9160000000000004</v>
      </c>
      <c r="BN1162" s="120">
        <f>(BO1162+BM1162)/2</f>
        <v>9.298</v>
      </c>
      <c r="BO1162" s="158">
        <v>9.68</v>
      </c>
      <c r="BP1162" s="120">
        <f>(BQ1162+BO1162)/2</f>
        <v>10.054</v>
      </c>
      <c r="BQ1162" s="158">
        <v>10.428000000000001</v>
      </c>
      <c r="BR1162" s="120">
        <f>(BS1162+BQ1162)/2</f>
        <v>10.809000000000001</v>
      </c>
      <c r="BS1162" s="158">
        <v>11.19</v>
      </c>
      <c r="BT1162" s="120">
        <f>(BU1162+BS1162)/2</f>
        <v>11.527000000000001</v>
      </c>
      <c r="BU1162" s="158">
        <v>11.864000000000001</v>
      </c>
      <c r="BV1162" s="120">
        <f>(BW1162+BU1162)/2</f>
        <v>12.2455</v>
      </c>
      <c r="BW1162" s="158">
        <v>12.627000000000001</v>
      </c>
      <c r="BX1162" s="120">
        <f>(BY1162+BW1162)/2</f>
        <v>12.964</v>
      </c>
      <c r="BY1162" s="158">
        <v>13.301</v>
      </c>
      <c r="BZ1162" s="120">
        <f>(CA1162+BY1162)/2</f>
        <v>13.6455</v>
      </c>
      <c r="CA1162" s="158">
        <v>13.99</v>
      </c>
      <c r="CB1162" s="120">
        <f>(CC1162+CA1162)/2</f>
        <v>14.335000000000001</v>
      </c>
      <c r="CC1162" s="158">
        <v>14.68</v>
      </c>
      <c r="CD1162" s="120">
        <f>(CE1162+CC1162)/2</f>
        <v>14.992000000000001</v>
      </c>
      <c r="CE1162" s="158">
        <v>15.304</v>
      </c>
      <c r="CF1162" s="120">
        <f>(CG1162+CE1162)/2</f>
        <v>15.6485</v>
      </c>
      <c r="CG1162" s="158">
        <v>15.993</v>
      </c>
      <c r="CH1162" s="120">
        <f>(CI1162+CG1162)/2</f>
        <v>16.293500000000002</v>
      </c>
      <c r="CI1162" s="158">
        <v>16.594000000000001</v>
      </c>
      <c r="CJ1162" s="120">
        <f>(CK1162+CI1162)/2</f>
        <v>16.938500000000001</v>
      </c>
      <c r="CK1162" s="158">
        <v>17.283000000000001</v>
      </c>
      <c r="CL1162" s="120">
        <f>(CM1162+CK1162)/2</f>
        <v>17.591000000000001</v>
      </c>
      <c r="CM1162" s="158">
        <v>17.899000000000001</v>
      </c>
      <c r="CN1162" s="120">
        <f>(CO1162+CM1162)/2</f>
        <v>18.236000000000001</v>
      </c>
      <c r="CO1162" s="158">
        <v>18.573</v>
      </c>
      <c r="CP1162" s="120">
        <f>(CQ1162+CO1162)/2</f>
        <v>18.881</v>
      </c>
      <c r="CQ1162" s="158">
        <v>19.189</v>
      </c>
      <c r="CR1162" s="120">
        <f>(CS1162+CQ1162)/2</f>
        <v>19.526</v>
      </c>
      <c r="CS1162" s="158">
        <v>19.863</v>
      </c>
      <c r="CT1162" s="120">
        <f>(CU1162+CS1162)/2</f>
        <v>20.170500000000001</v>
      </c>
      <c r="CU1162" s="158">
        <v>20.478000000000002</v>
      </c>
      <c r="CV1162" s="120">
        <f>(CW1162+CU1162)/2</f>
        <v>20.778500000000001</v>
      </c>
      <c r="CW1162" s="158">
        <v>21.079000000000001</v>
      </c>
      <c r="CX1162" s="120">
        <f>(CY1162+CW1162)/2</f>
        <v>21.362000000000002</v>
      </c>
      <c r="CY1162" s="158">
        <v>21.645</v>
      </c>
      <c r="CZ1162" s="120">
        <f>(DA1162+CY1162)/2</f>
        <v>21.952500000000001</v>
      </c>
      <c r="DA1162" s="158">
        <v>22.26</v>
      </c>
      <c r="DB1162" s="120">
        <f>(DC1162+DA1162)/2</f>
        <v>22.5975</v>
      </c>
      <c r="DC1162" s="158">
        <v>22.934999999999999</v>
      </c>
      <c r="DD1162" s="120">
        <f>(DE1162+DC1162)/2</f>
        <v>23.241999999999997</v>
      </c>
      <c r="DE1162" s="158">
        <v>23.548999999999999</v>
      </c>
      <c r="DF1162" s="120">
        <f>(DG1162+DE1162)/2</f>
        <v>23.849499999999999</v>
      </c>
      <c r="DG1162" s="159">
        <v>24.15</v>
      </c>
    </row>
    <row r="1163" spans="54:111" ht="15" customHeight="1" x14ac:dyDescent="0.2">
      <c r="BB1163" s="28">
        <v>7</v>
      </c>
      <c r="BC1163" s="121">
        <v>4.8010000000000002</v>
      </c>
      <c r="BD1163" s="121">
        <v>5.375</v>
      </c>
      <c r="BE1163" s="121">
        <f t="array" ref="BE1163:BE1216">TRANSPOSE(BF1162:DG1162)</f>
        <v>5.9489999999999998</v>
      </c>
      <c r="BF1163" s="120">
        <f>(BE1163+BG1163)/2</f>
        <v>6.4552499999999995</v>
      </c>
      <c r="BG1163" s="120">
        <f>(BG1162+BG1164)/2</f>
        <v>6.9615</v>
      </c>
      <c r="BH1163" s="120">
        <f>(BG1163+BI1163)/2</f>
        <v>7.4339999999999993</v>
      </c>
      <c r="BI1163" s="120">
        <f>(BI1162+BI1164)/2</f>
        <v>7.9064999999999994</v>
      </c>
      <c r="BJ1163" s="120">
        <f>(BI1163+BK1163)/2</f>
        <v>8.3455000000000013</v>
      </c>
      <c r="BK1163" s="120">
        <f>(BK1162+BK1164)/2</f>
        <v>8.7845000000000013</v>
      </c>
      <c r="BL1163" s="120">
        <f>(BK1163+BM1163)/2</f>
        <v>9.2167500000000011</v>
      </c>
      <c r="BM1163" s="120">
        <f>(BM1162+BM1164)/2</f>
        <v>9.6490000000000009</v>
      </c>
      <c r="BN1163" s="120">
        <f>(BM1163+BO1163)/2</f>
        <v>10.07925</v>
      </c>
      <c r="BO1163" s="120">
        <f>(BO1162+BO1164)/2</f>
        <v>10.509499999999999</v>
      </c>
      <c r="BP1163" s="120">
        <f>(BO1163+BQ1163)/2</f>
        <v>10.923249999999999</v>
      </c>
      <c r="BQ1163" s="120">
        <f>(BQ1162+BQ1164)/2</f>
        <v>11.337</v>
      </c>
      <c r="BR1163" s="120">
        <f>(BQ1163+BS1163)/2</f>
        <v>11.736499999999999</v>
      </c>
      <c r="BS1163" s="120">
        <f>(BS1162+BS1164)/2</f>
        <v>12.135999999999999</v>
      </c>
      <c r="BT1163" s="120">
        <f>(BS1163+BU1163)/2</f>
        <v>12.50925</v>
      </c>
      <c r="BU1163" s="120">
        <f>(BU1162+BU1164)/2</f>
        <v>12.8825</v>
      </c>
      <c r="BV1163" s="120">
        <f>(BU1163+BW1163)/2</f>
        <v>13.281500000000001</v>
      </c>
      <c r="BW1163" s="120">
        <f>(BW1162+BW1164)/2</f>
        <v>13.6805</v>
      </c>
      <c r="BX1163" s="120">
        <f>(BW1163+BY1163)/2</f>
        <v>14.07</v>
      </c>
      <c r="BY1163" s="120">
        <f>(BY1162+BY1164)/2</f>
        <v>14.4595</v>
      </c>
      <c r="BZ1163" s="120">
        <f>(BY1163+CA1163)/2</f>
        <v>14.821750000000002</v>
      </c>
      <c r="CA1163" s="120">
        <f>(CA1162+CA1164)/2</f>
        <v>15.184000000000001</v>
      </c>
      <c r="CB1163" s="120">
        <f>(CA1163+CC1163)/2</f>
        <v>15.546749999999999</v>
      </c>
      <c r="CC1163" s="120">
        <f>(CC1162+CC1164)/2</f>
        <v>15.9095</v>
      </c>
      <c r="CD1163" s="120">
        <f>(CC1163+CE1163)/2</f>
        <v>16.27</v>
      </c>
      <c r="CE1163" s="120">
        <f>(CE1162+CE1164)/2</f>
        <v>16.630500000000001</v>
      </c>
      <c r="CF1163" s="120">
        <f>(CE1163+CG1163)/2</f>
        <v>16.993000000000002</v>
      </c>
      <c r="CG1163" s="120">
        <f>(CG1162+CG1164)/2</f>
        <v>17.355499999999999</v>
      </c>
      <c r="CH1163" s="120">
        <f>(CG1163+CI1163)/2</f>
        <v>17.707999999999998</v>
      </c>
      <c r="CI1163" s="120">
        <f>(CI1162+CI1164)/2</f>
        <v>18.060500000000001</v>
      </c>
      <c r="CJ1163" s="120">
        <f>(CI1163+CK1163)/2</f>
        <v>18.423000000000002</v>
      </c>
      <c r="CK1163" s="120">
        <f>(CK1162+CK1164)/2</f>
        <v>18.785499999999999</v>
      </c>
      <c r="CL1163" s="120">
        <f>(CK1163+CM1163)/2</f>
        <v>19.12575</v>
      </c>
      <c r="CM1163" s="120">
        <f>(CM1162+CM1164)/2</f>
        <v>19.466000000000001</v>
      </c>
      <c r="CN1163" s="120">
        <f>(CM1163+CO1163)/2</f>
        <v>19.824750000000002</v>
      </c>
      <c r="CO1163" s="120">
        <f>(CO1162+CO1164)/2</f>
        <v>20.183500000000002</v>
      </c>
      <c r="CP1163" s="120">
        <f>(CO1163+CQ1163)/2</f>
        <v>20.509</v>
      </c>
      <c r="CQ1163" s="120">
        <f>(CQ1162+CQ1164)/2</f>
        <v>20.834499999999998</v>
      </c>
      <c r="CR1163" s="120">
        <f>(CQ1163+CS1163)/2</f>
        <v>21.205500000000001</v>
      </c>
      <c r="CS1163" s="120">
        <f>(CS1162+CS1164)/2</f>
        <v>21.576499999999999</v>
      </c>
      <c r="CT1163" s="120">
        <f>(CS1163+CU1163)/2</f>
        <v>21.916499999999999</v>
      </c>
      <c r="CU1163" s="120">
        <f>(CU1162+CU1164)/2</f>
        <v>22.256500000000003</v>
      </c>
      <c r="CV1163" s="120">
        <f>(CU1163+CW1163)/2</f>
        <v>22.578500000000002</v>
      </c>
      <c r="CW1163" s="120">
        <f>(CW1162+CW1164)/2</f>
        <v>22.900500000000001</v>
      </c>
      <c r="CX1163" s="120">
        <f>(CW1163+CY1163)/2</f>
        <v>23.231999999999999</v>
      </c>
      <c r="CY1163" s="120">
        <f>(CY1162+CY1164)/2</f>
        <v>23.563499999999998</v>
      </c>
      <c r="CZ1163" s="120">
        <f>(CY1163+DA1163)/2</f>
        <v>23.888749999999998</v>
      </c>
      <c r="DA1163" s="120">
        <f>(DA1162+DA1164)/2</f>
        <v>24.213999999999999</v>
      </c>
      <c r="DB1163" s="120">
        <f>(DA1163+DC1163)/2</f>
        <v>24.566749999999999</v>
      </c>
      <c r="DC1163" s="120">
        <f>(DC1162+DC1164)/2</f>
        <v>24.919499999999999</v>
      </c>
      <c r="DD1163" s="120">
        <f>(DC1163+DE1163)/2</f>
        <v>25.25975</v>
      </c>
      <c r="DE1163" s="120">
        <f>(DE1162+DE1164)/2</f>
        <v>25.6</v>
      </c>
      <c r="DF1163" s="120">
        <f>(DE1163+DG1163)/2</f>
        <v>25.921500000000002</v>
      </c>
      <c r="DG1163" s="122">
        <f>(DG1162+DG1164)/2</f>
        <v>26.242999999999999</v>
      </c>
    </row>
    <row r="1164" spans="54:111" ht="15" customHeight="1" x14ac:dyDescent="0.2">
      <c r="BB1164" s="28">
        <v>8</v>
      </c>
      <c r="BC1164" s="121">
        <v>5.1589999999999998</v>
      </c>
      <c r="BD1164" s="121">
        <v>5.7780000000000005</v>
      </c>
      <c r="BE1164" s="121">
        <v>6.3970000000000002</v>
      </c>
      <c r="BF1164" s="121">
        <f t="array" ref="BF1164:BF1216">TRANSPOSE(BG1163:DG1163)</f>
        <v>6.9615</v>
      </c>
      <c r="BG1164" s="158">
        <v>7.5259999999999998</v>
      </c>
      <c r="BH1164" s="120">
        <f>(BI1164+BG1164)/2</f>
        <v>8.0165000000000006</v>
      </c>
      <c r="BI1164" s="158">
        <v>8.5069999999999997</v>
      </c>
      <c r="BJ1164" s="120">
        <f>(BK1164+BI1164)/2</f>
        <v>8.9984999999999999</v>
      </c>
      <c r="BK1164" s="158">
        <v>9.49</v>
      </c>
      <c r="BL1164" s="120">
        <f>(BM1164+BK1164)/2</f>
        <v>9.9359999999999999</v>
      </c>
      <c r="BM1164" s="158">
        <v>10.382</v>
      </c>
      <c r="BN1164" s="120">
        <f>(BO1164+BM1164)/2</f>
        <v>10.8605</v>
      </c>
      <c r="BO1164" s="158">
        <v>11.339</v>
      </c>
      <c r="BP1164" s="120">
        <f>(BQ1164+BO1164)/2</f>
        <v>11.7925</v>
      </c>
      <c r="BQ1164" s="158">
        <v>12.246</v>
      </c>
      <c r="BR1164" s="120">
        <f>(BS1164+BQ1164)/2</f>
        <v>12.664000000000001</v>
      </c>
      <c r="BS1164" s="158">
        <v>13.082000000000001</v>
      </c>
      <c r="BT1164" s="120">
        <f>(BU1164+BS1164)/2</f>
        <v>13.4915</v>
      </c>
      <c r="BU1164" s="158">
        <v>13.901</v>
      </c>
      <c r="BV1164" s="120">
        <f>(BW1164+BU1164)/2</f>
        <v>14.317499999999999</v>
      </c>
      <c r="BW1164" s="158">
        <v>14.734</v>
      </c>
      <c r="BX1164" s="120">
        <f>(BY1164+BW1164)/2</f>
        <v>15.176</v>
      </c>
      <c r="BY1164" s="158">
        <v>15.618</v>
      </c>
      <c r="BZ1164" s="120">
        <f>(CA1164+BY1164)/2</f>
        <v>15.998000000000001</v>
      </c>
      <c r="CA1164" s="158">
        <v>16.378</v>
      </c>
      <c r="CB1164" s="120">
        <f>(CC1164+CA1164)/2</f>
        <v>16.758499999999998</v>
      </c>
      <c r="CC1164" s="158">
        <v>17.138999999999999</v>
      </c>
      <c r="CD1164" s="120">
        <f>(CE1164+CC1164)/2</f>
        <v>17.548000000000002</v>
      </c>
      <c r="CE1164" s="158">
        <v>17.957000000000001</v>
      </c>
      <c r="CF1164" s="120">
        <f>(CG1164+CE1164)/2</f>
        <v>18.337499999999999</v>
      </c>
      <c r="CG1164" s="158">
        <v>18.718</v>
      </c>
      <c r="CH1164" s="120">
        <f>(CI1164+CG1164)/2</f>
        <v>19.122500000000002</v>
      </c>
      <c r="CI1164" s="158">
        <v>19.527000000000001</v>
      </c>
      <c r="CJ1164" s="120">
        <f>(CK1164+CI1164)/2</f>
        <v>19.907499999999999</v>
      </c>
      <c r="CK1164" s="158">
        <v>20.288</v>
      </c>
      <c r="CL1164" s="120">
        <f>(CM1164+CK1164)/2</f>
        <v>20.660499999999999</v>
      </c>
      <c r="CM1164" s="158">
        <v>21.033000000000001</v>
      </c>
      <c r="CN1164" s="120">
        <f>(CO1164+CM1164)/2</f>
        <v>21.413499999999999</v>
      </c>
      <c r="CO1164" s="158">
        <v>21.794</v>
      </c>
      <c r="CP1164" s="120">
        <f>(CQ1164+CO1164)/2</f>
        <v>22.137</v>
      </c>
      <c r="CQ1164" s="158">
        <v>22.48</v>
      </c>
      <c r="CR1164" s="120">
        <f>(CS1164+CQ1164)/2</f>
        <v>22.884999999999998</v>
      </c>
      <c r="CS1164" s="158">
        <v>23.29</v>
      </c>
      <c r="CT1164" s="120">
        <f>(CU1164+CS1164)/2</f>
        <v>23.662500000000001</v>
      </c>
      <c r="CU1164" s="158">
        <v>24.035</v>
      </c>
      <c r="CV1164" s="120">
        <f>(CW1164+CU1164)/2</f>
        <v>24.378500000000003</v>
      </c>
      <c r="CW1164" s="158">
        <v>24.722000000000001</v>
      </c>
      <c r="CX1164" s="120">
        <f>(CY1164+CW1164)/2</f>
        <v>25.102</v>
      </c>
      <c r="CY1164" s="158">
        <v>25.481999999999999</v>
      </c>
      <c r="CZ1164" s="120">
        <f>(DA1164+CY1164)/2</f>
        <v>25.824999999999999</v>
      </c>
      <c r="DA1164" s="158">
        <v>26.167999999999999</v>
      </c>
      <c r="DB1164" s="120">
        <f>(DC1164+DA1164)/2</f>
        <v>26.536000000000001</v>
      </c>
      <c r="DC1164" s="158">
        <v>26.904</v>
      </c>
      <c r="DD1164" s="120">
        <f>(DE1164+DC1164)/2</f>
        <v>27.2775</v>
      </c>
      <c r="DE1164" s="158">
        <v>27.651</v>
      </c>
      <c r="DF1164" s="120">
        <f>(DG1164+DE1164)/2</f>
        <v>27.993499999999997</v>
      </c>
      <c r="DG1164" s="159">
        <v>28.335999999999999</v>
      </c>
    </row>
    <row r="1165" spans="54:111" ht="15" customHeight="1" x14ac:dyDescent="0.2">
      <c r="BB1165" s="28">
        <v>9</v>
      </c>
      <c r="BC1165" s="121">
        <v>5.5344999999999995</v>
      </c>
      <c r="BD1165" s="121">
        <v>6.1930000000000005</v>
      </c>
      <c r="BE1165" s="121">
        <v>6.8514999999999997</v>
      </c>
      <c r="BF1165" s="121">
        <v>7.4339999999999993</v>
      </c>
      <c r="BG1165" s="121">
        <f t="array" ref="BG1165:BG1216">TRANSPOSE(BH1164:DG1164)</f>
        <v>8.0165000000000006</v>
      </c>
      <c r="BH1165" s="120">
        <f>(BG1165+BI1165)/2</f>
        <v>8.5557499999999997</v>
      </c>
      <c r="BI1165" s="120">
        <f>(BI1164+BI1166)/2</f>
        <v>9.0949999999999989</v>
      </c>
      <c r="BJ1165" s="120">
        <f>(BI1165+BK1165)/2</f>
        <v>9.6224999999999987</v>
      </c>
      <c r="BK1165" s="120">
        <f>(BK1164+BK1166)/2</f>
        <v>10.15</v>
      </c>
      <c r="BL1165" s="120">
        <f>(BK1165+BM1165)/2</f>
        <v>10.64875</v>
      </c>
      <c r="BM1165" s="120">
        <f>(BM1164+BM1166)/2</f>
        <v>11.147500000000001</v>
      </c>
      <c r="BN1165" s="120">
        <f>(BM1165+BO1165)/2</f>
        <v>11.631500000000001</v>
      </c>
      <c r="BO1165" s="120">
        <f>(BO1164+BO1166)/2</f>
        <v>12.115500000000001</v>
      </c>
      <c r="BP1165" s="120">
        <f>(BO1165+BQ1165)/2</f>
        <v>12.599250000000001</v>
      </c>
      <c r="BQ1165" s="120">
        <f>(BQ1164+BQ1166)/2</f>
        <v>13.083</v>
      </c>
      <c r="BR1165" s="120">
        <f>(BQ1165+BS1165)/2</f>
        <v>13.5365</v>
      </c>
      <c r="BS1165" s="120">
        <f>(BS1164+BS1166)/2</f>
        <v>13.99</v>
      </c>
      <c r="BT1165" s="120">
        <f>(BS1165+BU1165)/2</f>
        <v>14.433499999999999</v>
      </c>
      <c r="BU1165" s="120">
        <f>(BU1164+BU1166)/2</f>
        <v>14.876999999999999</v>
      </c>
      <c r="BV1165" s="120">
        <f>(BU1165+BW1165)/2</f>
        <v>15.31175</v>
      </c>
      <c r="BW1165" s="120">
        <f>(BW1164+BW1166)/2</f>
        <v>15.746500000000001</v>
      </c>
      <c r="BX1165" s="120">
        <f>(BW1165+BY1165)/2</f>
        <v>16.220750000000002</v>
      </c>
      <c r="BY1165" s="120">
        <f>(BY1164+BY1166)/2</f>
        <v>16.695</v>
      </c>
      <c r="BZ1165" s="120">
        <f>(BY1165+CA1165)/2</f>
        <v>17.092750000000002</v>
      </c>
      <c r="CA1165" s="120">
        <f>(CA1164+CA1166)/2</f>
        <v>17.490500000000001</v>
      </c>
      <c r="CB1165" s="120">
        <f>(CA1165+CC1165)/2</f>
        <v>17.919499999999999</v>
      </c>
      <c r="CC1165" s="120">
        <f>(CC1164+CC1166)/2</f>
        <v>18.348500000000001</v>
      </c>
      <c r="CD1165" s="120">
        <f>(CC1165+CE1165)/2</f>
        <v>18.779</v>
      </c>
      <c r="CE1165" s="120">
        <f>(CE1164+CE1166)/2</f>
        <v>19.209499999999998</v>
      </c>
      <c r="CF1165" s="120">
        <f>(CE1165+CG1165)/2</f>
        <v>19.620249999999999</v>
      </c>
      <c r="CG1165" s="120">
        <f>(CG1164+CG1166)/2</f>
        <v>20.030999999999999</v>
      </c>
      <c r="CH1165" s="120">
        <f>(CG1165+CI1165)/2</f>
        <v>20.45975</v>
      </c>
      <c r="CI1165" s="120">
        <f>(CI1164+CI1166)/2</f>
        <v>20.888500000000001</v>
      </c>
      <c r="CJ1165" s="120">
        <f>(CI1165+CK1165)/2</f>
        <v>21.298749999999998</v>
      </c>
      <c r="CK1165" s="120">
        <f>(CK1164+CK1166)/2</f>
        <v>21.709</v>
      </c>
      <c r="CL1165" s="120">
        <f>(CK1165+CM1165)/2</f>
        <v>22.103250000000003</v>
      </c>
      <c r="CM1165" s="120">
        <f>(CM1164+CM1166)/2</f>
        <v>22.497500000000002</v>
      </c>
      <c r="CN1165" s="120">
        <f>(CM1165+CO1165)/2</f>
        <v>22.90775</v>
      </c>
      <c r="CO1165" s="120">
        <f>(CO1164+CO1166)/2</f>
        <v>23.317999999999998</v>
      </c>
      <c r="CP1165" s="120">
        <f>(CO1165+CQ1165)/2</f>
        <v>23.697499999999998</v>
      </c>
      <c r="CQ1165" s="120">
        <f>(CQ1164+CQ1166)/2</f>
        <v>24.076999999999998</v>
      </c>
      <c r="CR1165" s="120">
        <f>(CQ1165+CS1165)/2</f>
        <v>24.499749999999999</v>
      </c>
      <c r="CS1165" s="120">
        <f>(CS1164+CS1166)/2</f>
        <v>24.922499999999999</v>
      </c>
      <c r="CT1165" s="120">
        <f>(CS1165+CU1165)/2</f>
        <v>25.316499999999998</v>
      </c>
      <c r="CU1165" s="120">
        <f>(CU1164+CU1166)/2</f>
        <v>25.7105</v>
      </c>
      <c r="CV1165" s="120">
        <f>(CU1165+CW1165)/2</f>
        <v>26.102499999999999</v>
      </c>
      <c r="CW1165" s="120">
        <f>(CW1164+CW1166)/2</f>
        <v>26.494500000000002</v>
      </c>
      <c r="CX1165" s="120">
        <f>(CW1165+CY1165)/2</f>
        <v>26.892250000000001</v>
      </c>
      <c r="CY1165" s="120">
        <f>(CY1164+CY1166)/2</f>
        <v>27.29</v>
      </c>
      <c r="CZ1165" s="120">
        <f>(CY1165+DA1165)/2</f>
        <v>27.663249999999998</v>
      </c>
      <c r="DA1165" s="120">
        <f>(DA1164+DA1166)/2</f>
        <v>28.0365</v>
      </c>
      <c r="DB1165" s="120">
        <f>(DA1165+DC1165)/2</f>
        <v>28.428249999999998</v>
      </c>
      <c r="DC1165" s="120">
        <f>(DC1164+DC1166)/2</f>
        <v>28.82</v>
      </c>
      <c r="DD1165" s="120">
        <f>(DC1165+DE1165)/2</f>
        <v>29.209</v>
      </c>
      <c r="DE1165" s="120">
        <f>(DE1164+DE1166)/2</f>
        <v>29.597999999999999</v>
      </c>
      <c r="DF1165" s="120">
        <f>(DE1165+DG1165)/2</f>
        <v>29.976749999999999</v>
      </c>
      <c r="DG1165" s="122">
        <f>(DG1164+DG1166)/2</f>
        <v>30.355499999999999</v>
      </c>
    </row>
    <row r="1166" spans="54:111" ht="15" customHeight="1" x14ac:dyDescent="0.2">
      <c r="BB1166" s="28">
        <v>10</v>
      </c>
      <c r="BC1166" s="121">
        <v>5.91</v>
      </c>
      <c r="BD1166" s="121">
        <v>6.6080000000000005</v>
      </c>
      <c r="BE1166" s="121">
        <v>7.306</v>
      </c>
      <c r="BF1166" s="121">
        <v>7.9064999999999994</v>
      </c>
      <c r="BG1166" s="121">
        <v>8.5069999999999997</v>
      </c>
      <c r="BH1166" s="121">
        <f t="array" ref="BH1166:BH1216">TRANSPOSE(BI1165:DG1165)</f>
        <v>9.0949999999999989</v>
      </c>
      <c r="BI1166" s="158">
        <v>9.6829999999999998</v>
      </c>
      <c r="BJ1166" s="120">
        <f>(BK1166+BI1166)/2</f>
        <v>10.246500000000001</v>
      </c>
      <c r="BK1166" s="158">
        <v>10.81</v>
      </c>
      <c r="BL1166" s="120">
        <f>(BM1166+BK1166)/2</f>
        <v>11.361499999999999</v>
      </c>
      <c r="BM1166" s="158">
        <v>11.913</v>
      </c>
      <c r="BN1166" s="120">
        <f>(BO1166+BM1166)/2</f>
        <v>12.4025</v>
      </c>
      <c r="BO1166" s="158">
        <v>12.891999999999999</v>
      </c>
      <c r="BP1166" s="120">
        <f>(BQ1166+BO1166)/2</f>
        <v>13.405999999999999</v>
      </c>
      <c r="BQ1166" s="158">
        <v>13.92</v>
      </c>
      <c r="BR1166" s="120">
        <f>(BS1166+BQ1166)/2</f>
        <v>14.408999999999999</v>
      </c>
      <c r="BS1166" s="158">
        <v>14.898</v>
      </c>
      <c r="BT1166" s="120">
        <f>(BU1166+BS1166)/2</f>
        <v>15.375499999999999</v>
      </c>
      <c r="BU1166" s="158">
        <v>15.853</v>
      </c>
      <c r="BV1166" s="120">
        <f>(BW1166+BU1166)/2</f>
        <v>16.306000000000001</v>
      </c>
      <c r="BW1166" s="158">
        <v>16.759</v>
      </c>
      <c r="BX1166" s="120">
        <f>(BY1166+BW1166)/2</f>
        <v>17.265499999999999</v>
      </c>
      <c r="BY1166" s="158">
        <v>17.771999999999998</v>
      </c>
      <c r="BZ1166" s="120">
        <f>(CA1166+BY1166)/2</f>
        <v>18.1875</v>
      </c>
      <c r="CA1166" s="158">
        <v>18.603000000000002</v>
      </c>
      <c r="CB1166" s="120">
        <f>(CC1166+CA1166)/2</f>
        <v>19.080500000000001</v>
      </c>
      <c r="CC1166" s="158">
        <v>19.558</v>
      </c>
      <c r="CD1166" s="120">
        <f>(CE1166+CC1166)/2</f>
        <v>20.009999999999998</v>
      </c>
      <c r="CE1166" s="158">
        <v>20.462</v>
      </c>
      <c r="CF1166" s="120">
        <f>(CG1166+CE1166)/2</f>
        <v>20.902999999999999</v>
      </c>
      <c r="CG1166" s="158">
        <v>21.344000000000001</v>
      </c>
      <c r="CH1166" s="120">
        <f>(CI1166+CG1166)/2</f>
        <v>21.797000000000001</v>
      </c>
      <c r="CI1166" s="158">
        <v>22.25</v>
      </c>
      <c r="CJ1166" s="120">
        <f>(CK1166+CI1166)/2</f>
        <v>22.689999999999998</v>
      </c>
      <c r="CK1166" s="158">
        <v>23.13</v>
      </c>
      <c r="CL1166" s="120">
        <f>(CM1166+CK1166)/2</f>
        <v>23.545999999999999</v>
      </c>
      <c r="CM1166" s="158">
        <v>23.962</v>
      </c>
      <c r="CN1166" s="120">
        <f>(CO1166+CM1166)/2</f>
        <v>24.402000000000001</v>
      </c>
      <c r="CO1166" s="158">
        <v>24.841999999999999</v>
      </c>
      <c r="CP1166" s="120">
        <f>(CQ1166+CO1166)/2</f>
        <v>25.257999999999999</v>
      </c>
      <c r="CQ1166" s="158">
        <v>25.673999999999999</v>
      </c>
      <c r="CR1166" s="120">
        <f>(CS1166+CQ1166)/2</f>
        <v>26.1145</v>
      </c>
      <c r="CS1166" s="158">
        <v>26.555</v>
      </c>
      <c r="CT1166" s="120">
        <f>(CU1166+CS1166)/2</f>
        <v>26.970500000000001</v>
      </c>
      <c r="CU1166" s="158">
        <v>27.385999999999999</v>
      </c>
      <c r="CV1166" s="120">
        <f>(CW1166+CU1166)/2</f>
        <v>27.826499999999999</v>
      </c>
      <c r="CW1166" s="158">
        <v>28.266999999999999</v>
      </c>
      <c r="CX1166" s="120">
        <f>(CY1166+CW1166)/2</f>
        <v>28.682499999999997</v>
      </c>
      <c r="CY1166" s="158">
        <v>29.097999999999999</v>
      </c>
      <c r="CZ1166" s="120">
        <f>(DA1166+CY1166)/2</f>
        <v>29.5015</v>
      </c>
      <c r="DA1166" s="158">
        <v>29.905000000000001</v>
      </c>
      <c r="DB1166" s="120">
        <f>(DC1166+DA1166)/2</f>
        <v>30.320500000000003</v>
      </c>
      <c r="DC1166" s="158">
        <v>30.736000000000001</v>
      </c>
      <c r="DD1166" s="120">
        <f>(DE1166+DC1166)/2</f>
        <v>31.140500000000003</v>
      </c>
      <c r="DE1166" s="158">
        <v>31.545000000000002</v>
      </c>
      <c r="DF1166" s="120">
        <f>(DG1166+DE1166)/2</f>
        <v>31.96</v>
      </c>
      <c r="DG1166" s="159">
        <v>32.375</v>
      </c>
    </row>
    <row r="1167" spans="54:111" ht="15" customHeight="1" x14ac:dyDescent="0.2">
      <c r="BB1167" s="28">
        <v>11</v>
      </c>
      <c r="BC1167" s="121">
        <v>6.2484999999999999</v>
      </c>
      <c r="BD1167" s="121">
        <v>6.9705000000000004</v>
      </c>
      <c r="BE1167" s="121">
        <v>7.6925000000000008</v>
      </c>
      <c r="BF1167" s="121">
        <v>8.3455000000000013</v>
      </c>
      <c r="BG1167" s="121">
        <v>8.9984999999999999</v>
      </c>
      <c r="BH1167" s="121">
        <v>9.6224999999999987</v>
      </c>
      <c r="BI1167" s="121">
        <f t="array" ref="BI1167:BI1216">TRANSPOSE(BJ1166:DG1166)</f>
        <v>10.246500000000001</v>
      </c>
      <c r="BJ1167" s="120">
        <f>(BI1167+BK1167)/2</f>
        <v>10.83975</v>
      </c>
      <c r="BK1167" s="120">
        <f>(BK1166+BK1168)/2</f>
        <v>11.433</v>
      </c>
      <c r="BL1167" s="120">
        <f>(BK1167+BM1167)/2</f>
        <v>12.00225</v>
      </c>
      <c r="BM1167" s="120">
        <f>(BM1166+BM1168)/2</f>
        <v>12.5715</v>
      </c>
      <c r="BN1167" s="120">
        <f>(BM1167+BO1167)/2</f>
        <v>13.097249999999999</v>
      </c>
      <c r="BO1167" s="120">
        <f>(BO1166+BO1168)/2</f>
        <v>13.622999999999999</v>
      </c>
      <c r="BP1167" s="120">
        <f>(BO1167+BQ1167)/2</f>
        <v>14.155000000000001</v>
      </c>
      <c r="BQ1167" s="120">
        <f>(BQ1166+BQ1168)/2</f>
        <v>14.687000000000001</v>
      </c>
      <c r="BR1167" s="120">
        <f>(BQ1167+BS1167)/2</f>
        <v>15.21025</v>
      </c>
      <c r="BS1167" s="120">
        <f>(BS1166+BS1168)/2</f>
        <v>15.733499999999999</v>
      </c>
      <c r="BT1167" s="120">
        <f>(BS1167+BU1167)/2</f>
        <v>16.247</v>
      </c>
      <c r="BU1167" s="120">
        <f>(BU1166+BU1168)/2</f>
        <v>16.7605</v>
      </c>
      <c r="BV1167" s="120">
        <f>(BU1167+BW1167)/2</f>
        <v>17.261749999999999</v>
      </c>
      <c r="BW1167" s="120">
        <f>(BW1166+BW1168)/2</f>
        <v>17.762999999999998</v>
      </c>
      <c r="BX1167" s="120">
        <f>(BW1167+BY1167)/2</f>
        <v>18.2605</v>
      </c>
      <c r="BY1167" s="120">
        <f>(BY1166+BY1168)/2</f>
        <v>18.757999999999999</v>
      </c>
      <c r="BZ1167" s="120">
        <f>(BY1167+CA1167)/2</f>
        <v>19.240749999999998</v>
      </c>
      <c r="CA1167" s="120">
        <f>(CA1166+CA1168)/2</f>
        <v>19.723500000000001</v>
      </c>
      <c r="CB1167" s="120">
        <f>(CA1167+CC1167)/2</f>
        <v>20.21875</v>
      </c>
      <c r="CC1167" s="120">
        <f>(CC1166+CC1168)/2</f>
        <v>20.713999999999999</v>
      </c>
      <c r="CD1167" s="120">
        <f>(CC1167+CE1167)/2</f>
        <v>21.195999999999998</v>
      </c>
      <c r="CE1167" s="120">
        <f>(CE1166+CE1168)/2</f>
        <v>21.677999999999997</v>
      </c>
      <c r="CF1167" s="120">
        <f>(CE1167+CG1167)/2</f>
        <v>22.140499999999999</v>
      </c>
      <c r="CG1167" s="120">
        <f>(CG1166+CG1168)/2</f>
        <v>22.603000000000002</v>
      </c>
      <c r="CH1167" s="120">
        <f>(CG1167+CI1167)/2</f>
        <v>23.073500000000003</v>
      </c>
      <c r="CI1167" s="120">
        <f>(CI1166+CI1168)/2</f>
        <v>23.544</v>
      </c>
      <c r="CJ1167" s="120">
        <f>(CI1167+CK1167)/2</f>
        <v>24.020499999999998</v>
      </c>
      <c r="CK1167" s="120">
        <f>(CK1166+CK1168)/2</f>
        <v>24.497</v>
      </c>
      <c r="CL1167" s="120">
        <f>(CK1167+CM1167)/2</f>
        <v>24.942999999999998</v>
      </c>
      <c r="CM1167" s="120">
        <f>(CM1166+CM1168)/2</f>
        <v>25.388999999999999</v>
      </c>
      <c r="CN1167" s="120">
        <f>(CM1167+CO1167)/2</f>
        <v>25.847000000000001</v>
      </c>
      <c r="CO1167" s="120">
        <f>(CO1166+CO1168)/2</f>
        <v>26.305</v>
      </c>
      <c r="CP1167" s="120">
        <f>(CO1167+CQ1167)/2</f>
        <v>26.769500000000001</v>
      </c>
      <c r="CQ1167" s="120">
        <f>(CQ1166+CQ1168)/2</f>
        <v>27.234000000000002</v>
      </c>
      <c r="CR1167" s="120">
        <f>(CQ1167+CS1167)/2</f>
        <v>27.679750000000002</v>
      </c>
      <c r="CS1167" s="120">
        <f>(CS1166+CS1168)/2</f>
        <v>28.125500000000002</v>
      </c>
      <c r="CT1167" s="120">
        <f>(CS1167+CU1167)/2</f>
        <v>28.575000000000003</v>
      </c>
      <c r="CU1167" s="120">
        <f>(CU1166+CU1168)/2</f>
        <v>29.0245</v>
      </c>
      <c r="CV1167" s="120">
        <f>(CU1167+CW1167)/2</f>
        <v>29.482749999999999</v>
      </c>
      <c r="CW1167" s="120">
        <f>(CW1166+CW1168)/2</f>
        <v>29.940999999999999</v>
      </c>
      <c r="CX1167" s="120">
        <f>(CW1167+CY1167)/2</f>
        <v>30.386499999999998</v>
      </c>
      <c r="CY1167" s="120">
        <f>(CY1166+CY1168)/2</f>
        <v>30.832000000000001</v>
      </c>
      <c r="CZ1167" s="120">
        <f>(CY1167+DA1167)/2</f>
        <v>31.271999999999998</v>
      </c>
      <c r="DA1167" s="120">
        <f>(DA1166+DA1168)/2</f>
        <v>31.712</v>
      </c>
      <c r="DB1167" s="120">
        <f>(DA1167+DC1167)/2</f>
        <v>32.145249999999997</v>
      </c>
      <c r="DC1167" s="120">
        <f>(DC1166+DC1168)/2</f>
        <v>32.578499999999998</v>
      </c>
      <c r="DD1167" s="120">
        <f>(DC1167+DE1167)/2</f>
        <v>33.018749999999997</v>
      </c>
      <c r="DE1167" s="120">
        <f>(DE1166+DE1168)/2</f>
        <v>33.459000000000003</v>
      </c>
      <c r="DF1167" s="120">
        <f>(DE1167+DG1167)/2</f>
        <v>33.89</v>
      </c>
      <c r="DG1167" s="122">
        <f>(DG1166+DG1168)/2</f>
        <v>34.320999999999998</v>
      </c>
    </row>
    <row r="1168" spans="54:111" ht="15" customHeight="1" x14ac:dyDescent="0.2">
      <c r="BB1168" s="28">
        <v>12</v>
      </c>
      <c r="BC1168" s="121">
        <v>6.5869999999999997</v>
      </c>
      <c r="BD1168" s="121">
        <v>7.3330000000000002</v>
      </c>
      <c r="BE1168" s="121">
        <v>8.0790000000000006</v>
      </c>
      <c r="BF1168" s="121">
        <v>8.7845000000000013</v>
      </c>
      <c r="BG1168" s="121">
        <v>9.49</v>
      </c>
      <c r="BH1168" s="121">
        <v>10.15</v>
      </c>
      <c r="BI1168" s="121">
        <v>10.81</v>
      </c>
      <c r="BJ1168" s="121">
        <f t="array" ref="BJ1168:BJ1216">TRANSPOSE(BK1167:DG1167)</f>
        <v>11.433</v>
      </c>
      <c r="BK1168" s="158">
        <v>12.055999999999999</v>
      </c>
      <c r="BL1168" s="120">
        <f>(BM1168+BK1168)/2</f>
        <v>12.643000000000001</v>
      </c>
      <c r="BM1168" s="158">
        <v>13.23</v>
      </c>
      <c r="BN1168" s="120">
        <f>(BO1168+BM1168)/2</f>
        <v>13.792</v>
      </c>
      <c r="BO1168" s="158">
        <v>14.353999999999999</v>
      </c>
      <c r="BP1168" s="120">
        <f>(BQ1168+BO1168)/2</f>
        <v>14.904</v>
      </c>
      <c r="BQ1168" s="158">
        <v>15.454000000000001</v>
      </c>
      <c r="BR1168" s="120">
        <f>(BS1168+BQ1168)/2</f>
        <v>16.011499999999998</v>
      </c>
      <c r="BS1168" s="158">
        <v>16.568999999999999</v>
      </c>
      <c r="BT1168" s="120">
        <f>(BU1168+BS1168)/2</f>
        <v>17.118499999999997</v>
      </c>
      <c r="BU1168" s="158">
        <v>17.667999999999999</v>
      </c>
      <c r="BV1168" s="120">
        <f>(BW1168+BU1168)/2</f>
        <v>18.217500000000001</v>
      </c>
      <c r="BW1168" s="158">
        <v>18.766999999999999</v>
      </c>
      <c r="BX1168" s="120">
        <f>(BY1168+BW1168)/2</f>
        <v>19.255499999999998</v>
      </c>
      <c r="BY1168" s="158">
        <v>19.744</v>
      </c>
      <c r="BZ1168" s="120">
        <f>(CA1168+BY1168)/2</f>
        <v>20.294</v>
      </c>
      <c r="CA1168" s="158">
        <v>20.844000000000001</v>
      </c>
      <c r="CB1168" s="120">
        <f>(CC1168+CA1168)/2</f>
        <v>21.356999999999999</v>
      </c>
      <c r="CC1168" s="158">
        <v>21.87</v>
      </c>
      <c r="CD1168" s="120">
        <f>(CE1168+CC1168)/2</f>
        <v>22.381999999999998</v>
      </c>
      <c r="CE1168" s="158">
        <v>22.893999999999998</v>
      </c>
      <c r="CF1168" s="120">
        <f>(CG1168+CE1168)/2</f>
        <v>23.378</v>
      </c>
      <c r="CG1168" s="158">
        <v>23.861999999999998</v>
      </c>
      <c r="CH1168" s="120">
        <f>(CI1168+CG1168)/2</f>
        <v>24.35</v>
      </c>
      <c r="CI1168" s="158">
        <v>24.838000000000001</v>
      </c>
      <c r="CJ1168" s="120">
        <f>(CK1168+CI1168)/2</f>
        <v>25.350999999999999</v>
      </c>
      <c r="CK1168" s="158">
        <v>25.864000000000001</v>
      </c>
      <c r="CL1168" s="120">
        <f>(CM1168+CK1168)/2</f>
        <v>26.34</v>
      </c>
      <c r="CM1168" s="158">
        <v>26.815999999999999</v>
      </c>
      <c r="CN1168" s="120">
        <f>(CO1168+CM1168)/2</f>
        <v>27.292000000000002</v>
      </c>
      <c r="CO1168" s="158">
        <v>27.768000000000001</v>
      </c>
      <c r="CP1168" s="120">
        <f>(CQ1168+CO1168)/2</f>
        <v>28.280999999999999</v>
      </c>
      <c r="CQ1168" s="158">
        <v>28.794</v>
      </c>
      <c r="CR1168" s="120">
        <f>(CS1168+CQ1168)/2</f>
        <v>29.245000000000001</v>
      </c>
      <c r="CS1168" s="158">
        <v>29.696000000000002</v>
      </c>
      <c r="CT1168" s="120">
        <f>(CU1168+CS1168)/2</f>
        <v>30.179500000000001</v>
      </c>
      <c r="CU1168" s="158">
        <v>30.663</v>
      </c>
      <c r="CV1168" s="120">
        <f>(CW1168+CU1168)/2</f>
        <v>31.138999999999999</v>
      </c>
      <c r="CW1168" s="158">
        <v>31.614999999999998</v>
      </c>
      <c r="CX1168" s="120">
        <f>(CY1168+CW1168)/2</f>
        <v>32.090499999999999</v>
      </c>
      <c r="CY1168" s="158">
        <v>32.566000000000003</v>
      </c>
      <c r="CZ1168" s="120">
        <f>(DA1168+CY1168)/2</f>
        <v>33.042500000000004</v>
      </c>
      <c r="DA1168" s="158">
        <v>33.518999999999998</v>
      </c>
      <c r="DB1168" s="120">
        <f>(DC1168+DA1168)/2</f>
        <v>33.97</v>
      </c>
      <c r="DC1168" s="158">
        <v>34.420999999999999</v>
      </c>
      <c r="DD1168" s="120">
        <f>(DE1168+DC1168)/2</f>
        <v>34.896999999999998</v>
      </c>
      <c r="DE1168" s="158">
        <v>35.372999999999998</v>
      </c>
      <c r="DF1168" s="120">
        <f>(DG1168+DE1168)/2</f>
        <v>35.82</v>
      </c>
      <c r="DG1168" s="159">
        <v>36.267000000000003</v>
      </c>
    </row>
    <row r="1169" spans="54:111" ht="15" customHeight="1" x14ac:dyDescent="0.2">
      <c r="BB1169" s="28">
        <v>13</v>
      </c>
      <c r="BC1169" s="121">
        <v>6.9074999999999998</v>
      </c>
      <c r="BD1169" s="121">
        <v>7.7024999999999997</v>
      </c>
      <c r="BE1169" s="121">
        <v>8.4975000000000005</v>
      </c>
      <c r="BF1169" s="121">
        <v>9.2167500000000011</v>
      </c>
      <c r="BG1169" s="121">
        <v>9.9359999999999999</v>
      </c>
      <c r="BH1169" s="121">
        <v>10.64875</v>
      </c>
      <c r="BI1169" s="121">
        <v>11.361499999999999</v>
      </c>
      <c r="BJ1169" s="121">
        <v>12.00225</v>
      </c>
      <c r="BK1169" s="121">
        <f t="array" ref="BK1169:BK1216">TRANSPOSE(BL1168:DG1168)</f>
        <v>12.643000000000001</v>
      </c>
      <c r="BL1169" s="120">
        <f>(BK1169+BM1169)/2</f>
        <v>13.266249999999999</v>
      </c>
      <c r="BM1169" s="120">
        <f>(BM1168+BM1170)/2</f>
        <v>13.8895</v>
      </c>
      <c r="BN1169" s="120">
        <f>(BM1169+BO1169)/2</f>
        <v>14.485250000000001</v>
      </c>
      <c r="BO1169" s="120">
        <f>(BO1168+BO1170)/2</f>
        <v>15.081</v>
      </c>
      <c r="BP1169" s="120">
        <f>(BO1169+BQ1169)/2</f>
        <v>15.667</v>
      </c>
      <c r="BQ1169" s="120">
        <f>(BQ1168+BQ1170)/2</f>
        <v>16.253</v>
      </c>
      <c r="BR1169" s="120">
        <f>(BQ1169+BS1169)/2</f>
        <v>16.8245</v>
      </c>
      <c r="BS1169" s="120">
        <f>(BS1168+BS1170)/2</f>
        <v>17.396000000000001</v>
      </c>
      <c r="BT1169" s="120">
        <f>(BS1169+BU1169)/2</f>
        <v>17.985500000000002</v>
      </c>
      <c r="BU1169" s="120">
        <f>(BU1168+BU1170)/2</f>
        <v>18.574999999999999</v>
      </c>
      <c r="BV1169" s="120">
        <f>(BU1169+BW1169)/2</f>
        <v>19.142749999999999</v>
      </c>
      <c r="BW1169" s="120">
        <f>(BW1168+BW1170)/2</f>
        <v>19.7105</v>
      </c>
      <c r="BX1169" s="120">
        <f>(BW1169+BY1169)/2</f>
        <v>20.228749999999998</v>
      </c>
      <c r="BY1169" s="120">
        <f>(BY1168+BY1170)/2</f>
        <v>20.747</v>
      </c>
      <c r="BZ1169" s="120">
        <f>(BY1169+CA1169)/2</f>
        <v>21.318249999999999</v>
      </c>
      <c r="CA1169" s="120">
        <f>(CA1168+CA1170)/2</f>
        <v>21.889499999999998</v>
      </c>
      <c r="CB1169" s="120">
        <f>(CA1169+CC1169)/2</f>
        <v>22.432749999999999</v>
      </c>
      <c r="CC1169" s="120">
        <f>(CC1168+CC1170)/2</f>
        <v>22.975999999999999</v>
      </c>
      <c r="CD1169" s="120">
        <f>(CC1169+CE1169)/2</f>
        <v>23.50975</v>
      </c>
      <c r="CE1169" s="120">
        <f>(CE1168+CE1170)/2</f>
        <v>24.043500000000002</v>
      </c>
      <c r="CF1169" s="120">
        <f>(CE1169+CG1169)/2</f>
        <v>24.559750000000001</v>
      </c>
      <c r="CG1169" s="120">
        <f>(CG1168+CG1170)/2</f>
        <v>25.076000000000001</v>
      </c>
      <c r="CH1169" s="120">
        <f>(CG1169+CI1169)/2</f>
        <v>25.5945</v>
      </c>
      <c r="CI1169" s="120">
        <f>(CI1168+CI1170)/2</f>
        <v>26.113</v>
      </c>
      <c r="CJ1169" s="120">
        <f>(CI1169+CK1169)/2</f>
        <v>26.647500000000001</v>
      </c>
      <c r="CK1169" s="120">
        <f>(CK1168+CK1170)/2</f>
        <v>27.182000000000002</v>
      </c>
      <c r="CL1169" s="120">
        <f>(CK1169+CM1169)/2</f>
        <v>27.694000000000003</v>
      </c>
      <c r="CM1169" s="120">
        <f>(CM1168+CM1170)/2</f>
        <v>28.206</v>
      </c>
      <c r="CN1169" s="120">
        <f>(CM1169+CO1169)/2</f>
        <v>28.718249999999998</v>
      </c>
      <c r="CO1169" s="120">
        <f>(CO1168+CO1170)/2</f>
        <v>29.230499999999999</v>
      </c>
      <c r="CP1169" s="120">
        <f>(CO1169+CQ1169)/2</f>
        <v>29.746749999999999</v>
      </c>
      <c r="CQ1169" s="120">
        <f>(CQ1168+CQ1170)/2</f>
        <v>30.262999999999998</v>
      </c>
      <c r="CR1169" s="120">
        <f>(CQ1169+CS1169)/2</f>
        <v>30.744</v>
      </c>
      <c r="CS1169" s="120">
        <f>(CS1168+CS1170)/2</f>
        <v>31.225000000000001</v>
      </c>
      <c r="CT1169" s="120">
        <f>(CS1169+CU1169)/2</f>
        <v>31.741</v>
      </c>
      <c r="CU1169" s="120">
        <f>(CU1168+CU1170)/2</f>
        <v>32.256999999999998</v>
      </c>
      <c r="CV1169" s="120">
        <f>(CU1169+CW1169)/2</f>
        <v>32.766750000000002</v>
      </c>
      <c r="CW1169" s="120">
        <f>(CW1168+CW1170)/2</f>
        <v>33.276499999999999</v>
      </c>
      <c r="CX1169" s="120">
        <f>(CW1169+CY1169)/2</f>
        <v>33.770250000000004</v>
      </c>
      <c r="CY1169" s="120">
        <f>(CY1168+CY1170)/2</f>
        <v>34.264000000000003</v>
      </c>
      <c r="CZ1169" s="120">
        <f>(CY1169+DA1169)/2</f>
        <v>34.757999999999996</v>
      </c>
      <c r="DA1169" s="120">
        <f>(DA1168+DA1170)/2</f>
        <v>35.251999999999995</v>
      </c>
      <c r="DB1169" s="120">
        <f>(DA1169+DC1169)/2</f>
        <v>35.736999999999995</v>
      </c>
      <c r="DC1169" s="120">
        <f>(DC1168+DC1170)/2</f>
        <v>36.222000000000001</v>
      </c>
      <c r="DD1169" s="120">
        <f>(DC1169+DE1169)/2</f>
        <v>36.71575</v>
      </c>
      <c r="DE1169" s="120">
        <f>(DE1168+DE1170)/2</f>
        <v>37.209499999999998</v>
      </c>
      <c r="DF1169" s="120">
        <f>(DE1169+DG1169)/2</f>
        <v>37.688500000000005</v>
      </c>
      <c r="DG1169" s="122">
        <f>(DG1168+DG1170)/2</f>
        <v>38.167500000000004</v>
      </c>
    </row>
    <row r="1170" spans="54:111" ht="15" customHeight="1" x14ac:dyDescent="0.2">
      <c r="BB1170" s="28">
        <v>14</v>
      </c>
      <c r="BC1170" s="121">
        <v>7.2279999999999998</v>
      </c>
      <c r="BD1170" s="121">
        <v>8.0719999999999992</v>
      </c>
      <c r="BE1170" s="121">
        <v>8.9160000000000004</v>
      </c>
      <c r="BF1170" s="121">
        <v>9.6490000000000009</v>
      </c>
      <c r="BG1170" s="121">
        <v>10.382</v>
      </c>
      <c r="BH1170" s="121">
        <v>11.147500000000001</v>
      </c>
      <c r="BI1170" s="121">
        <v>11.913</v>
      </c>
      <c r="BJ1170" s="121">
        <v>12.5715</v>
      </c>
      <c r="BK1170" s="121">
        <v>13.23</v>
      </c>
      <c r="BL1170" s="121">
        <f t="array" ref="BL1170:BL1216">TRANSPOSE(BM1169:DG1169)</f>
        <v>13.8895</v>
      </c>
      <c r="BM1170" s="158">
        <v>14.548999999999999</v>
      </c>
      <c r="BN1170" s="120">
        <f>(BO1170+BM1170)/2</f>
        <v>15.1785</v>
      </c>
      <c r="BO1170" s="158">
        <v>15.808</v>
      </c>
      <c r="BP1170" s="120">
        <f>(BQ1170+BO1170)/2</f>
        <v>16.43</v>
      </c>
      <c r="BQ1170" s="158">
        <v>17.052</v>
      </c>
      <c r="BR1170" s="120">
        <f>(BS1170+BQ1170)/2</f>
        <v>17.637499999999999</v>
      </c>
      <c r="BS1170" s="158">
        <v>18.222999999999999</v>
      </c>
      <c r="BT1170" s="120">
        <f>(BU1170+BS1170)/2</f>
        <v>18.852499999999999</v>
      </c>
      <c r="BU1170" s="158">
        <v>19.481999999999999</v>
      </c>
      <c r="BV1170" s="120">
        <f>(BW1170+BU1170)/2</f>
        <v>20.067999999999998</v>
      </c>
      <c r="BW1170" s="158">
        <v>20.654</v>
      </c>
      <c r="BX1170" s="120">
        <f>(BY1170+BW1170)/2</f>
        <v>21.201999999999998</v>
      </c>
      <c r="BY1170" s="158">
        <v>21.75</v>
      </c>
      <c r="BZ1170" s="120">
        <f>(CA1170+BY1170)/2</f>
        <v>22.342500000000001</v>
      </c>
      <c r="CA1170" s="158">
        <v>22.934999999999999</v>
      </c>
      <c r="CB1170" s="120">
        <f>(CC1170+CA1170)/2</f>
        <v>23.508499999999998</v>
      </c>
      <c r="CC1170" s="158">
        <v>24.082000000000001</v>
      </c>
      <c r="CD1170" s="120">
        <f>(CE1170+CC1170)/2</f>
        <v>24.637500000000003</v>
      </c>
      <c r="CE1170" s="158">
        <v>25.193000000000001</v>
      </c>
      <c r="CF1170" s="120">
        <f>(CG1170+CE1170)/2</f>
        <v>25.741500000000002</v>
      </c>
      <c r="CG1170" s="158">
        <v>26.29</v>
      </c>
      <c r="CH1170" s="120">
        <f>(CI1170+CG1170)/2</f>
        <v>26.838999999999999</v>
      </c>
      <c r="CI1170" s="158">
        <v>27.388000000000002</v>
      </c>
      <c r="CJ1170" s="120">
        <f>(CK1170+CI1170)/2</f>
        <v>27.944000000000003</v>
      </c>
      <c r="CK1170" s="158">
        <v>28.5</v>
      </c>
      <c r="CL1170" s="120">
        <f>(CM1170+CK1170)/2</f>
        <v>29.048000000000002</v>
      </c>
      <c r="CM1170" s="158">
        <v>29.596</v>
      </c>
      <c r="CN1170" s="120">
        <f>(CO1170+CM1170)/2</f>
        <v>30.144500000000001</v>
      </c>
      <c r="CO1170" s="158">
        <v>30.693000000000001</v>
      </c>
      <c r="CP1170" s="120">
        <f>(CQ1170+CO1170)/2</f>
        <v>31.212499999999999</v>
      </c>
      <c r="CQ1170" s="158">
        <v>31.731999999999999</v>
      </c>
      <c r="CR1170" s="120">
        <f>(CS1170+CQ1170)/2</f>
        <v>32.242999999999995</v>
      </c>
      <c r="CS1170" s="158">
        <v>32.753999999999998</v>
      </c>
      <c r="CT1170" s="120">
        <f>(CU1170+CS1170)/2</f>
        <v>33.302499999999995</v>
      </c>
      <c r="CU1170" s="158">
        <v>33.850999999999999</v>
      </c>
      <c r="CV1170" s="120">
        <f>(CW1170+CU1170)/2</f>
        <v>34.394500000000001</v>
      </c>
      <c r="CW1170" s="158">
        <v>34.938000000000002</v>
      </c>
      <c r="CX1170" s="120">
        <f>(CY1170+CW1170)/2</f>
        <v>35.450000000000003</v>
      </c>
      <c r="CY1170" s="158">
        <v>35.962000000000003</v>
      </c>
      <c r="CZ1170" s="120">
        <f>(DA1170+CY1170)/2</f>
        <v>36.473500000000001</v>
      </c>
      <c r="DA1170" s="158">
        <v>36.984999999999999</v>
      </c>
      <c r="DB1170" s="120">
        <f>(DC1170+DA1170)/2</f>
        <v>37.504000000000005</v>
      </c>
      <c r="DC1170" s="158">
        <v>38.023000000000003</v>
      </c>
      <c r="DD1170" s="120">
        <f>(DE1170+DC1170)/2</f>
        <v>38.534500000000001</v>
      </c>
      <c r="DE1170" s="158">
        <v>39.045999999999999</v>
      </c>
      <c r="DF1170" s="120">
        <f>(DG1170+DE1170)/2</f>
        <v>39.557000000000002</v>
      </c>
      <c r="DG1170" s="159">
        <v>40.067999999999998</v>
      </c>
    </row>
    <row r="1171" spans="54:111" ht="15" customHeight="1" x14ac:dyDescent="0.2">
      <c r="BB1171" s="28">
        <v>15</v>
      </c>
      <c r="BC1171" s="121">
        <v>7.5670000000000002</v>
      </c>
      <c r="BD1171" s="121">
        <v>8.4324999999999992</v>
      </c>
      <c r="BE1171" s="121">
        <v>9.298</v>
      </c>
      <c r="BF1171" s="121">
        <v>10.07925</v>
      </c>
      <c r="BG1171" s="121">
        <v>10.8605</v>
      </c>
      <c r="BH1171" s="121">
        <v>11.631500000000001</v>
      </c>
      <c r="BI1171" s="121">
        <v>12.4025</v>
      </c>
      <c r="BJ1171" s="121">
        <v>13.097249999999999</v>
      </c>
      <c r="BK1171" s="121">
        <v>13.792</v>
      </c>
      <c r="BL1171" s="121">
        <v>14.485250000000001</v>
      </c>
      <c r="BM1171" s="121">
        <f t="array" ref="BM1171:BM1216">TRANSPOSE(BN1170:DG1170)</f>
        <v>15.1785</v>
      </c>
      <c r="BN1171" s="120">
        <f>(BM1171+BO1171)/2</f>
        <v>15.840499999999999</v>
      </c>
      <c r="BO1171" s="120">
        <f>(BO1170+BO1172)/2</f>
        <v>16.502499999999998</v>
      </c>
      <c r="BP1171" s="120">
        <f>(BO1171+BQ1171)/2</f>
        <v>17.1585</v>
      </c>
      <c r="BQ1171" s="120">
        <f>(BQ1170+BQ1172)/2</f>
        <v>17.814500000000002</v>
      </c>
      <c r="BR1171" s="120">
        <f>(BQ1171+BS1171)/2</f>
        <v>18.436</v>
      </c>
      <c r="BS1171" s="120">
        <f>(BS1170+BS1172)/2</f>
        <v>19.057499999999997</v>
      </c>
      <c r="BT1171" s="120">
        <f>(BS1171+BU1171)/2</f>
        <v>19.686499999999999</v>
      </c>
      <c r="BU1171" s="120">
        <f>(BU1170+BU1172)/2</f>
        <v>20.3155</v>
      </c>
      <c r="BV1171" s="120">
        <f>(BU1171+BW1171)/2</f>
        <v>20.949750000000002</v>
      </c>
      <c r="BW1171" s="120">
        <f>(BW1170+BW1172)/2</f>
        <v>21.584</v>
      </c>
      <c r="BX1171" s="120">
        <f>(BW1171+BY1171)/2</f>
        <v>22.172249999999998</v>
      </c>
      <c r="BY1171" s="120">
        <f>(BY1170+BY1172)/2</f>
        <v>22.7605</v>
      </c>
      <c r="BZ1171" s="120">
        <f>(BY1171+CA1171)/2</f>
        <v>23.364750000000001</v>
      </c>
      <c r="CA1171" s="120">
        <f>(CA1170+CA1172)/2</f>
        <v>23.969000000000001</v>
      </c>
      <c r="CB1171" s="120">
        <f>(CA1171+CC1171)/2</f>
        <v>24.56625</v>
      </c>
      <c r="CC1171" s="120">
        <f>(CC1170+CC1172)/2</f>
        <v>25.163499999999999</v>
      </c>
      <c r="CD1171" s="120">
        <f>(CC1171+CE1171)/2</f>
        <v>25.736750000000001</v>
      </c>
      <c r="CE1171" s="120">
        <f>(CE1170+CE1172)/2</f>
        <v>26.310000000000002</v>
      </c>
      <c r="CF1171" s="120">
        <f>(CE1171+CG1171)/2</f>
        <v>26.907250000000001</v>
      </c>
      <c r="CG1171" s="120">
        <f>(CG1170+CG1172)/2</f>
        <v>27.5045</v>
      </c>
      <c r="CH1171" s="120">
        <f>(CG1171+CI1171)/2</f>
        <v>28.074750000000002</v>
      </c>
      <c r="CI1171" s="120">
        <f>(CI1170+CI1172)/2</f>
        <v>28.645000000000003</v>
      </c>
      <c r="CJ1171" s="120">
        <f>(CI1171+CK1171)/2</f>
        <v>29.227500000000003</v>
      </c>
      <c r="CK1171" s="120">
        <f>(CK1170+CK1172)/2</f>
        <v>29.810000000000002</v>
      </c>
      <c r="CL1171" s="120">
        <f>(CK1171+CM1171)/2</f>
        <v>30.3795</v>
      </c>
      <c r="CM1171" s="120">
        <f>(CM1170+CM1172)/2</f>
        <v>30.948999999999998</v>
      </c>
      <c r="CN1171" s="120">
        <f>(CM1171+CO1171)/2</f>
        <v>31.515499999999999</v>
      </c>
      <c r="CO1171" s="120">
        <f>(CO1170+CO1172)/2</f>
        <v>32.082000000000001</v>
      </c>
      <c r="CP1171" s="120">
        <f>(CO1171+CQ1171)/2</f>
        <v>32.631249999999994</v>
      </c>
      <c r="CQ1171" s="120">
        <f>(CQ1170+CQ1172)/2</f>
        <v>33.180499999999995</v>
      </c>
      <c r="CR1171" s="120">
        <f>(CQ1171+CS1171)/2</f>
        <v>33.728249999999996</v>
      </c>
      <c r="CS1171" s="120">
        <f>(CS1170+CS1172)/2</f>
        <v>34.275999999999996</v>
      </c>
      <c r="CT1171" s="120">
        <f>(CS1171+CU1171)/2</f>
        <v>34.858249999999998</v>
      </c>
      <c r="CU1171" s="120">
        <f>(CU1170+CU1172)/2</f>
        <v>35.4405</v>
      </c>
      <c r="CV1171" s="120">
        <f>(CU1171+CW1171)/2</f>
        <v>35.985750000000003</v>
      </c>
      <c r="CW1171" s="120">
        <f>(CW1170+CW1172)/2</f>
        <v>36.531000000000006</v>
      </c>
      <c r="CX1171" s="120">
        <f>(CW1171+CY1171)/2</f>
        <v>37.082750000000004</v>
      </c>
      <c r="CY1171" s="120">
        <f>(CY1170+CY1172)/2</f>
        <v>37.634500000000003</v>
      </c>
      <c r="CZ1171" s="120">
        <f>(CY1171+DA1171)/2</f>
        <v>38.176250000000003</v>
      </c>
      <c r="DA1171" s="120">
        <f>(DA1170+DA1172)/2</f>
        <v>38.718000000000004</v>
      </c>
      <c r="DB1171" s="120">
        <f>(DA1171+DC1171)/2</f>
        <v>39.254750000000001</v>
      </c>
      <c r="DC1171" s="120">
        <f>(DC1170+DC1172)/2</f>
        <v>39.791499999999999</v>
      </c>
      <c r="DD1171" s="120">
        <f>(DC1171+DE1171)/2</f>
        <v>40.336750000000002</v>
      </c>
      <c r="DE1171" s="120">
        <f>(DE1170+DE1172)/2</f>
        <v>40.882000000000005</v>
      </c>
      <c r="DF1171" s="120">
        <f>(DE1171+DG1171)/2</f>
        <v>41.411250000000003</v>
      </c>
      <c r="DG1171" s="122">
        <f>(DG1170+DG1172)/2</f>
        <v>41.9405</v>
      </c>
    </row>
    <row r="1172" spans="54:111" ht="15" customHeight="1" x14ac:dyDescent="0.2">
      <c r="BB1172" s="28">
        <v>16</v>
      </c>
      <c r="BC1172" s="121">
        <v>7.9059999999999997</v>
      </c>
      <c r="BD1172" s="121">
        <v>8.7929999999999993</v>
      </c>
      <c r="BE1172" s="121">
        <v>9.68</v>
      </c>
      <c r="BF1172" s="121">
        <v>10.509499999999999</v>
      </c>
      <c r="BG1172" s="121">
        <v>11.339</v>
      </c>
      <c r="BH1172" s="121">
        <v>12.115500000000001</v>
      </c>
      <c r="BI1172" s="121">
        <v>12.891999999999999</v>
      </c>
      <c r="BJ1172" s="121">
        <v>13.622999999999999</v>
      </c>
      <c r="BK1172" s="121">
        <v>14.353999999999999</v>
      </c>
      <c r="BL1172" s="121">
        <v>15.081</v>
      </c>
      <c r="BM1172" s="121">
        <v>15.808</v>
      </c>
      <c r="BN1172" s="121">
        <f t="array" ref="BN1172:BN1216">TRANSPOSE(BO1171:DG1171)</f>
        <v>16.502499999999998</v>
      </c>
      <c r="BO1172" s="158">
        <v>17.196999999999999</v>
      </c>
      <c r="BP1172" s="120">
        <f>(BQ1172+BO1172)/2</f>
        <v>17.887</v>
      </c>
      <c r="BQ1172" s="158">
        <v>18.577000000000002</v>
      </c>
      <c r="BR1172" s="120">
        <f>(BS1172+BQ1172)/2</f>
        <v>19.234500000000001</v>
      </c>
      <c r="BS1172" s="158">
        <v>19.891999999999999</v>
      </c>
      <c r="BT1172" s="120">
        <f>(BU1172+BS1172)/2</f>
        <v>20.520499999999998</v>
      </c>
      <c r="BU1172" s="158">
        <v>21.149000000000001</v>
      </c>
      <c r="BV1172" s="120">
        <f>(BW1172+BU1172)/2</f>
        <v>21.831499999999998</v>
      </c>
      <c r="BW1172" s="158">
        <v>22.513999999999999</v>
      </c>
      <c r="BX1172" s="120">
        <f>(BY1172+BW1172)/2</f>
        <v>23.142499999999998</v>
      </c>
      <c r="BY1172" s="158">
        <v>23.771000000000001</v>
      </c>
      <c r="BZ1172" s="120">
        <f>(CA1172+BY1172)/2</f>
        <v>24.387</v>
      </c>
      <c r="CA1172" s="158">
        <v>25.003</v>
      </c>
      <c r="CB1172" s="120">
        <f>(CC1172+CA1172)/2</f>
        <v>25.624000000000002</v>
      </c>
      <c r="CC1172" s="158">
        <v>26.245000000000001</v>
      </c>
      <c r="CD1172" s="120">
        <f>(CE1172+CC1172)/2</f>
        <v>26.835999999999999</v>
      </c>
      <c r="CE1172" s="158">
        <v>27.427</v>
      </c>
      <c r="CF1172" s="120">
        <f>(CG1172+CE1172)/2</f>
        <v>28.073</v>
      </c>
      <c r="CG1172" s="158">
        <v>28.719000000000001</v>
      </c>
      <c r="CH1172" s="120">
        <f>(CI1172+CG1172)/2</f>
        <v>29.310500000000001</v>
      </c>
      <c r="CI1172" s="158">
        <v>29.902000000000001</v>
      </c>
      <c r="CJ1172" s="120">
        <f>(CK1172+CI1172)/2</f>
        <v>30.511000000000003</v>
      </c>
      <c r="CK1172" s="158">
        <v>31.12</v>
      </c>
      <c r="CL1172" s="120">
        <f>(CM1172+CK1172)/2</f>
        <v>31.710999999999999</v>
      </c>
      <c r="CM1172" s="158">
        <v>32.302</v>
      </c>
      <c r="CN1172" s="120">
        <f>(CO1172+CM1172)/2</f>
        <v>32.886499999999998</v>
      </c>
      <c r="CO1172" s="158">
        <v>33.470999999999997</v>
      </c>
      <c r="CP1172" s="120">
        <f>(CQ1172+CO1172)/2</f>
        <v>34.049999999999997</v>
      </c>
      <c r="CQ1172" s="158">
        <v>34.628999999999998</v>
      </c>
      <c r="CR1172" s="120">
        <f>(CS1172+CQ1172)/2</f>
        <v>35.213499999999996</v>
      </c>
      <c r="CS1172" s="158">
        <v>35.798000000000002</v>
      </c>
      <c r="CT1172" s="120">
        <f>(CU1172+CS1172)/2</f>
        <v>36.414000000000001</v>
      </c>
      <c r="CU1172" s="158">
        <v>37.03</v>
      </c>
      <c r="CV1172" s="120">
        <f>(CW1172+CU1172)/2</f>
        <v>37.576999999999998</v>
      </c>
      <c r="CW1172" s="158">
        <v>38.124000000000002</v>
      </c>
      <c r="CX1172" s="120">
        <f>(CY1172+CW1172)/2</f>
        <v>38.715500000000006</v>
      </c>
      <c r="CY1172" s="158">
        <v>39.307000000000002</v>
      </c>
      <c r="CZ1172" s="120">
        <f>(DA1172+CY1172)/2</f>
        <v>39.879000000000005</v>
      </c>
      <c r="DA1172" s="158">
        <v>40.451000000000001</v>
      </c>
      <c r="DB1172" s="120">
        <f>(DC1172+DA1172)/2</f>
        <v>41.005499999999998</v>
      </c>
      <c r="DC1172" s="158">
        <v>41.56</v>
      </c>
      <c r="DD1172" s="120">
        <f>(DE1172+DC1172)/2</f>
        <v>42.139000000000003</v>
      </c>
      <c r="DE1172" s="158">
        <v>42.718000000000004</v>
      </c>
      <c r="DF1172" s="120">
        <f>(DG1172+DE1172)/2</f>
        <v>43.265500000000003</v>
      </c>
      <c r="DG1172" s="159">
        <v>43.813000000000002</v>
      </c>
    </row>
    <row r="1173" spans="54:111" ht="15" customHeight="1" x14ac:dyDescent="0.2">
      <c r="BB1173" s="28">
        <v>17</v>
      </c>
      <c r="BC1173" s="121">
        <v>8.1824999999999992</v>
      </c>
      <c r="BD1173" s="121">
        <v>9.1182499999999997</v>
      </c>
      <c r="BE1173" s="121">
        <v>10.054</v>
      </c>
      <c r="BF1173" s="121">
        <v>10.923249999999999</v>
      </c>
      <c r="BG1173" s="121">
        <v>11.7925</v>
      </c>
      <c r="BH1173" s="121">
        <v>12.599250000000001</v>
      </c>
      <c r="BI1173" s="121">
        <v>13.405999999999999</v>
      </c>
      <c r="BJ1173" s="121">
        <v>14.155000000000001</v>
      </c>
      <c r="BK1173" s="121">
        <v>14.904</v>
      </c>
      <c r="BL1173" s="121">
        <v>15.667</v>
      </c>
      <c r="BM1173" s="121">
        <v>16.43</v>
      </c>
      <c r="BN1173" s="121">
        <v>17.1585</v>
      </c>
      <c r="BO1173" s="121">
        <f t="array" ref="BO1173:BO1216">TRANSPOSE(BP1172:DG1172)</f>
        <v>17.887</v>
      </c>
      <c r="BP1173" s="120">
        <f>(BO1173+BQ1173)/2</f>
        <v>18.5825</v>
      </c>
      <c r="BQ1173" s="120">
        <f>(BQ1172+BQ1174)/2</f>
        <v>19.277999999999999</v>
      </c>
      <c r="BR1173" s="120">
        <f>(BQ1173+BS1173)/2</f>
        <v>19.984249999999999</v>
      </c>
      <c r="BS1173" s="120">
        <f>(BS1172+BS1174)/2</f>
        <v>20.6905</v>
      </c>
      <c r="BT1173" s="120">
        <f>(BS1173+BU1173)/2</f>
        <v>21.349</v>
      </c>
      <c r="BU1173" s="120">
        <f>(BU1172+BU1174)/2</f>
        <v>22.0075</v>
      </c>
      <c r="BV1173" s="120">
        <f>(BU1173+BW1173)/2</f>
        <v>22.699249999999999</v>
      </c>
      <c r="BW1173" s="120">
        <f>(BW1172+BW1174)/2</f>
        <v>23.390999999999998</v>
      </c>
      <c r="BX1173" s="120">
        <f>(BW1173+BY1173)/2</f>
        <v>24.045749999999998</v>
      </c>
      <c r="BY1173" s="120">
        <f>(BY1172+BY1174)/2</f>
        <v>24.700499999999998</v>
      </c>
      <c r="BZ1173" s="120">
        <f>(BY1173+CA1173)/2</f>
        <v>25.352999999999998</v>
      </c>
      <c r="CA1173" s="120">
        <f>(CA1172+CA1174)/2</f>
        <v>26.005499999999998</v>
      </c>
      <c r="CB1173" s="120">
        <f>(CA1173+CC1173)/2</f>
        <v>26.660249999999998</v>
      </c>
      <c r="CC1173" s="120">
        <f>(CC1172+CC1174)/2</f>
        <v>27.315000000000001</v>
      </c>
      <c r="CD1173" s="120">
        <f>(CC1173+CE1173)/2</f>
        <v>27.942250000000001</v>
      </c>
      <c r="CE1173" s="120">
        <f>(CE1172+CE1174)/2</f>
        <v>28.569499999999998</v>
      </c>
      <c r="CF1173" s="120">
        <f>(CE1173+CG1173)/2</f>
        <v>29.233249999999998</v>
      </c>
      <c r="CG1173" s="120">
        <f>(CG1172+CG1174)/2</f>
        <v>29.896999999999998</v>
      </c>
      <c r="CH1173" s="120">
        <f>(CG1173+CI1173)/2</f>
        <v>30.518749999999997</v>
      </c>
      <c r="CI1173" s="120">
        <f>(CI1172+CI1174)/2</f>
        <v>31.140499999999999</v>
      </c>
      <c r="CJ1173" s="120">
        <f>(CI1173+CK1173)/2</f>
        <v>31.758249999999997</v>
      </c>
      <c r="CK1173" s="120">
        <f>(CK1172+CK1174)/2</f>
        <v>32.375999999999998</v>
      </c>
      <c r="CL1173" s="120">
        <f>(CK1173+CM1173)/2</f>
        <v>32.997500000000002</v>
      </c>
      <c r="CM1173" s="120">
        <f>(CM1172+CM1174)/2</f>
        <v>33.619</v>
      </c>
      <c r="CN1173" s="120">
        <f>(CM1173+CO1173)/2</f>
        <v>34.233499999999999</v>
      </c>
      <c r="CO1173" s="120">
        <f>(CO1172+CO1174)/2</f>
        <v>34.847999999999999</v>
      </c>
      <c r="CP1173" s="120">
        <f>(CO1173+CQ1173)/2</f>
        <v>35.450749999999999</v>
      </c>
      <c r="CQ1173" s="120">
        <f>(CQ1172+CQ1174)/2</f>
        <v>36.0535</v>
      </c>
      <c r="CR1173" s="120">
        <f>(CQ1173+CS1173)/2</f>
        <v>36.671750000000003</v>
      </c>
      <c r="CS1173" s="120">
        <f>(CS1172+CS1174)/2</f>
        <v>37.29</v>
      </c>
      <c r="CT1173" s="120">
        <f>(CS1173+CU1173)/2</f>
        <v>37.920249999999996</v>
      </c>
      <c r="CU1173" s="120">
        <f>(CU1172+CU1174)/2</f>
        <v>38.5505</v>
      </c>
      <c r="CV1173" s="120">
        <f>(CU1173+CW1173)/2</f>
        <v>39.131250000000001</v>
      </c>
      <c r="CW1173" s="120">
        <f>(CW1172+CW1174)/2</f>
        <v>39.712000000000003</v>
      </c>
      <c r="CX1173" s="120">
        <f>(CW1173+CY1173)/2</f>
        <v>40.321250000000006</v>
      </c>
      <c r="CY1173" s="120">
        <f>(CY1172+CY1174)/2</f>
        <v>40.930500000000002</v>
      </c>
      <c r="CZ1173" s="120">
        <f>(CY1173+DA1173)/2</f>
        <v>41.542500000000004</v>
      </c>
      <c r="DA1173" s="120">
        <f>(DA1172+DA1174)/2</f>
        <v>42.154499999999999</v>
      </c>
      <c r="DB1173" s="120">
        <f>(DA1173+DC1173)/2</f>
        <v>42.735250000000001</v>
      </c>
      <c r="DC1173" s="120">
        <f>(DC1172+DC1174)/2</f>
        <v>43.316000000000003</v>
      </c>
      <c r="DD1173" s="120">
        <f>(DC1173+DE1173)/2</f>
        <v>43.900750000000002</v>
      </c>
      <c r="DE1173" s="120">
        <f>(DE1172+DE1174)/2</f>
        <v>44.485500000000002</v>
      </c>
      <c r="DF1173" s="120">
        <f>(DE1173+DG1173)/2</f>
        <v>45.085000000000001</v>
      </c>
      <c r="DG1173" s="122">
        <f>(DG1172+DG1174)/2</f>
        <v>45.6845</v>
      </c>
    </row>
    <row r="1174" spans="54:111" ht="15" customHeight="1" x14ac:dyDescent="0.2">
      <c r="BB1174" s="28">
        <v>18</v>
      </c>
      <c r="BC1174" s="121">
        <v>8.4589999999999996</v>
      </c>
      <c r="BD1174" s="121">
        <v>9.4435000000000002</v>
      </c>
      <c r="BE1174" s="121">
        <v>10.428000000000001</v>
      </c>
      <c r="BF1174" s="121">
        <v>11.337</v>
      </c>
      <c r="BG1174" s="121">
        <v>12.246</v>
      </c>
      <c r="BH1174" s="121">
        <v>13.083</v>
      </c>
      <c r="BI1174" s="121">
        <v>13.92</v>
      </c>
      <c r="BJ1174" s="121">
        <v>14.687000000000001</v>
      </c>
      <c r="BK1174" s="121">
        <v>15.454000000000001</v>
      </c>
      <c r="BL1174" s="121">
        <v>16.253</v>
      </c>
      <c r="BM1174" s="121">
        <v>17.052</v>
      </c>
      <c r="BN1174" s="121">
        <v>17.814500000000002</v>
      </c>
      <c r="BO1174" s="121">
        <v>18.577000000000002</v>
      </c>
      <c r="BP1174" s="121">
        <f t="array" ref="BP1174:BP1216">TRANSPOSE(BQ1173:DG1173)</f>
        <v>19.277999999999999</v>
      </c>
      <c r="BQ1174" s="158">
        <v>19.978999999999999</v>
      </c>
      <c r="BR1174" s="120">
        <f>(BS1174+BQ1174)/2</f>
        <v>20.734000000000002</v>
      </c>
      <c r="BS1174" s="158">
        <v>21.489000000000001</v>
      </c>
      <c r="BT1174" s="120">
        <f>(BU1174+BS1174)/2</f>
        <v>22.177500000000002</v>
      </c>
      <c r="BU1174" s="158">
        <v>22.866</v>
      </c>
      <c r="BV1174" s="120">
        <f>(BW1174+BU1174)/2</f>
        <v>23.567</v>
      </c>
      <c r="BW1174" s="158">
        <v>24.268000000000001</v>
      </c>
      <c r="BX1174" s="120">
        <f>(BY1174+BW1174)/2</f>
        <v>24.948999999999998</v>
      </c>
      <c r="BY1174" s="158">
        <v>25.63</v>
      </c>
      <c r="BZ1174" s="120">
        <f>(CA1174+BY1174)/2</f>
        <v>26.318999999999999</v>
      </c>
      <c r="CA1174" s="158">
        <v>27.007999999999999</v>
      </c>
      <c r="CB1174" s="120">
        <f>(CC1174+CA1174)/2</f>
        <v>27.6965</v>
      </c>
      <c r="CC1174" s="158">
        <v>28.385000000000002</v>
      </c>
      <c r="CD1174" s="120">
        <f>(CE1174+CC1174)/2</f>
        <v>29.048500000000001</v>
      </c>
      <c r="CE1174" s="158">
        <v>29.712</v>
      </c>
      <c r="CF1174" s="120">
        <f>(CG1174+CE1174)/2</f>
        <v>30.3935</v>
      </c>
      <c r="CG1174" s="158">
        <v>31.074999999999999</v>
      </c>
      <c r="CH1174" s="120">
        <f>(CI1174+CG1174)/2</f>
        <v>31.726999999999997</v>
      </c>
      <c r="CI1174" s="158">
        <v>32.378999999999998</v>
      </c>
      <c r="CJ1174" s="120">
        <f>(CK1174+CI1174)/2</f>
        <v>33.005499999999998</v>
      </c>
      <c r="CK1174" s="158">
        <v>33.631999999999998</v>
      </c>
      <c r="CL1174" s="120">
        <f>(CM1174+CK1174)/2</f>
        <v>34.283999999999999</v>
      </c>
      <c r="CM1174" s="158">
        <v>34.936</v>
      </c>
      <c r="CN1174" s="120">
        <f>(CO1174+CM1174)/2</f>
        <v>35.580500000000001</v>
      </c>
      <c r="CO1174" s="158">
        <v>36.225000000000001</v>
      </c>
      <c r="CP1174" s="120">
        <f>(CQ1174+CO1174)/2</f>
        <v>36.851500000000001</v>
      </c>
      <c r="CQ1174" s="158">
        <v>37.478000000000002</v>
      </c>
      <c r="CR1174" s="120">
        <f>(CS1174+CQ1174)/2</f>
        <v>38.129999999999995</v>
      </c>
      <c r="CS1174" s="158">
        <v>38.781999999999996</v>
      </c>
      <c r="CT1174" s="120">
        <f>(CU1174+CS1174)/2</f>
        <v>39.426499999999997</v>
      </c>
      <c r="CU1174" s="158">
        <v>40.070999999999998</v>
      </c>
      <c r="CV1174" s="120">
        <f>(CW1174+CU1174)/2</f>
        <v>40.685499999999998</v>
      </c>
      <c r="CW1174" s="158">
        <v>41.3</v>
      </c>
      <c r="CX1174" s="120">
        <f>(CY1174+CW1174)/2</f>
        <v>41.927</v>
      </c>
      <c r="CY1174" s="158">
        <v>42.554000000000002</v>
      </c>
      <c r="CZ1174" s="120">
        <f>(DA1174+CY1174)/2</f>
        <v>43.206000000000003</v>
      </c>
      <c r="DA1174" s="158">
        <v>43.857999999999997</v>
      </c>
      <c r="DB1174" s="120">
        <f>(DC1174+DA1174)/2</f>
        <v>44.465000000000003</v>
      </c>
      <c r="DC1174" s="158">
        <v>45.072000000000003</v>
      </c>
      <c r="DD1174" s="120">
        <f>(DE1174+DC1174)/2</f>
        <v>45.662500000000001</v>
      </c>
      <c r="DE1174" s="158">
        <v>46.253</v>
      </c>
      <c r="DF1174" s="120">
        <f>(DG1174+DE1174)/2</f>
        <v>46.904499999999999</v>
      </c>
      <c r="DG1174" s="159">
        <v>47.555999999999997</v>
      </c>
    </row>
    <row r="1175" spans="54:111" ht="15" customHeight="1" x14ac:dyDescent="0.2">
      <c r="BB1175" s="28">
        <v>19</v>
      </c>
      <c r="BC1175" s="121">
        <v>8.7680000000000007</v>
      </c>
      <c r="BD1175" s="121">
        <v>9.7884999999999991</v>
      </c>
      <c r="BE1175" s="121">
        <v>10.809000000000001</v>
      </c>
      <c r="BF1175" s="121">
        <v>11.736499999999999</v>
      </c>
      <c r="BG1175" s="121">
        <v>12.664000000000001</v>
      </c>
      <c r="BH1175" s="121">
        <v>13.5365</v>
      </c>
      <c r="BI1175" s="121">
        <v>14.408999999999999</v>
      </c>
      <c r="BJ1175" s="121">
        <v>15.21025</v>
      </c>
      <c r="BK1175" s="121">
        <v>16.011499999999998</v>
      </c>
      <c r="BL1175" s="121">
        <v>16.8245</v>
      </c>
      <c r="BM1175" s="121">
        <v>17.637499999999999</v>
      </c>
      <c r="BN1175" s="121">
        <v>18.436</v>
      </c>
      <c r="BO1175" s="121">
        <v>19.234500000000001</v>
      </c>
      <c r="BP1175" s="121">
        <v>19.984249999999999</v>
      </c>
      <c r="BQ1175" s="121">
        <f t="array" ref="BQ1175:BQ1216">TRANSPOSE(BR1174:DG1174)</f>
        <v>20.734000000000002</v>
      </c>
      <c r="BR1175" s="120">
        <f>(BQ1175+BS1175)/2</f>
        <v>21.492250000000002</v>
      </c>
      <c r="BS1175" s="120">
        <f>(BS1174+BS1176)/2</f>
        <v>22.250500000000002</v>
      </c>
      <c r="BT1175" s="120">
        <f>(BS1175+BU1175)/2</f>
        <v>22.975250000000003</v>
      </c>
      <c r="BU1175" s="120">
        <f>(BU1174+BU1176)/2</f>
        <v>23.7</v>
      </c>
      <c r="BV1175" s="120">
        <f>(BU1175+BW1175)/2</f>
        <v>24.43075</v>
      </c>
      <c r="BW1175" s="120">
        <f>(BW1174+BW1176)/2</f>
        <v>25.1615</v>
      </c>
      <c r="BX1175" s="120">
        <f>(BW1175+BY1175)/2</f>
        <v>25.8825</v>
      </c>
      <c r="BY1175" s="120">
        <f>(BY1174+BY1176)/2</f>
        <v>26.6035</v>
      </c>
      <c r="BZ1175" s="120">
        <f>(BY1175+CA1175)/2</f>
        <v>27.31025</v>
      </c>
      <c r="CA1175" s="120">
        <f>(CA1174+CA1176)/2</f>
        <v>28.016999999999999</v>
      </c>
      <c r="CB1175" s="120">
        <f>(CA1175+CC1175)/2</f>
        <v>28.72325</v>
      </c>
      <c r="CC1175" s="120">
        <f>(CC1174+CC1176)/2</f>
        <v>29.429500000000001</v>
      </c>
      <c r="CD1175" s="120">
        <f>(CC1175+CE1175)/2</f>
        <v>30.123249999999999</v>
      </c>
      <c r="CE1175" s="120">
        <f>(CE1174+CE1176)/2</f>
        <v>30.817</v>
      </c>
      <c r="CF1175" s="120">
        <f>(CE1175+CG1175)/2</f>
        <v>31.520250000000001</v>
      </c>
      <c r="CG1175" s="120">
        <f>(CG1174+CG1176)/2</f>
        <v>32.223500000000001</v>
      </c>
      <c r="CH1175" s="120">
        <f>(CG1175+CI1175)/2</f>
        <v>32.893000000000001</v>
      </c>
      <c r="CI1175" s="120">
        <f>(CI1174+CI1176)/2</f>
        <v>33.5625</v>
      </c>
      <c r="CJ1175" s="120">
        <f>(CI1175+CK1175)/2</f>
        <v>34.234000000000002</v>
      </c>
      <c r="CK1175" s="120">
        <f>(CK1174+CK1176)/2</f>
        <v>34.905500000000004</v>
      </c>
      <c r="CL1175" s="120">
        <f>(CK1175+CM1175)/2</f>
        <v>35.575000000000003</v>
      </c>
      <c r="CM1175" s="120">
        <f>(CM1174+CM1176)/2</f>
        <v>36.244500000000002</v>
      </c>
      <c r="CN1175" s="120">
        <f>(CM1175+CO1175)/2</f>
        <v>36.910499999999999</v>
      </c>
      <c r="CO1175" s="120">
        <f>(CO1174+CO1176)/2</f>
        <v>37.576499999999996</v>
      </c>
      <c r="CP1175" s="120">
        <f>(CO1175+CQ1175)/2</f>
        <v>38.233499999999999</v>
      </c>
      <c r="CQ1175" s="120">
        <f>(CQ1174+CQ1176)/2</f>
        <v>38.890500000000003</v>
      </c>
      <c r="CR1175" s="120">
        <f>(CQ1175+CS1175)/2</f>
        <v>39.560249999999996</v>
      </c>
      <c r="CS1175" s="120">
        <f>(CS1174+CS1176)/2</f>
        <v>40.229999999999997</v>
      </c>
      <c r="CT1175" s="120">
        <f>(CS1175+CU1175)/2</f>
        <v>40.896000000000001</v>
      </c>
      <c r="CU1175" s="120">
        <f>(CU1174+CU1176)/2</f>
        <v>41.561999999999998</v>
      </c>
      <c r="CV1175" s="120">
        <f>(CU1175+CW1175)/2</f>
        <v>42.21275</v>
      </c>
      <c r="CW1175" s="120">
        <f>(CW1174+CW1176)/2</f>
        <v>42.863500000000002</v>
      </c>
      <c r="CX1175" s="120">
        <f>(CW1175+CY1175)/2</f>
        <v>43.520499999999998</v>
      </c>
      <c r="CY1175" s="120">
        <f>(CY1174+CY1176)/2</f>
        <v>44.177500000000002</v>
      </c>
      <c r="CZ1175" s="120">
        <f>(CY1175+DA1175)/2</f>
        <v>44.846999999999994</v>
      </c>
      <c r="DA1175" s="120">
        <f>(DA1174+DA1176)/2</f>
        <v>45.516499999999994</v>
      </c>
      <c r="DB1175" s="120">
        <f>(DA1175+DC1175)/2</f>
        <v>46.145499999999998</v>
      </c>
      <c r="DC1175" s="120">
        <f>(DC1174+DC1176)/2</f>
        <v>46.774500000000003</v>
      </c>
      <c r="DD1175" s="120">
        <f>(DC1175+DE1175)/2</f>
        <v>47.413250000000005</v>
      </c>
      <c r="DE1175" s="120">
        <f>(DE1174+DE1176)/2</f>
        <v>48.052</v>
      </c>
      <c r="DF1175" s="120">
        <f>(DE1175+DG1175)/2</f>
        <v>48.703000000000003</v>
      </c>
      <c r="DG1175" s="122">
        <f>(DG1174+DG1176)/2</f>
        <v>49.353999999999999</v>
      </c>
    </row>
    <row r="1176" spans="54:111" ht="15" customHeight="1" x14ac:dyDescent="0.2">
      <c r="BB1176" s="28">
        <v>20</v>
      </c>
      <c r="BC1176" s="121">
        <v>9.077</v>
      </c>
      <c r="BD1176" s="121">
        <v>10.1335</v>
      </c>
      <c r="BE1176" s="121">
        <v>11.19</v>
      </c>
      <c r="BF1176" s="121">
        <v>12.135999999999999</v>
      </c>
      <c r="BG1176" s="121">
        <v>13.082000000000001</v>
      </c>
      <c r="BH1176" s="121">
        <v>13.99</v>
      </c>
      <c r="BI1176" s="121">
        <v>14.898</v>
      </c>
      <c r="BJ1176" s="121">
        <v>15.733499999999999</v>
      </c>
      <c r="BK1176" s="121">
        <v>16.568999999999999</v>
      </c>
      <c r="BL1176" s="121">
        <v>17.396000000000001</v>
      </c>
      <c r="BM1176" s="121">
        <v>18.222999999999999</v>
      </c>
      <c r="BN1176" s="121">
        <v>19.057499999999997</v>
      </c>
      <c r="BO1176" s="121">
        <v>19.891999999999999</v>
      </c>
      <c r="BP1176" s="121">
        <v>20.6905</v>
      </c>
      <c r="BQ1176" s="121">
        <v>21.489000000000001</v>
      </c>
      <c r="BR1176" s="121">
        <f t="array" ref="BR1176:BR1216">TRANSPOSE(BS1175:DG1175)</f>
        <v>22.250500000000002</v>
      </c>
      <c r="BS1176" s="158">
        <v>23.012</v>
      </c>
      <c r="BT1176" s="120">
        <f>(BU1176+BS1176)/2</f>
        <v>23.773</v>
      </c>
      <c r="BU1176" s="158">
        <v>24.533999999999999</v>
      </c>
      <c r="BV1176" s="120">
        <f>(BW1176+BU1176)/2</f>
        <v>25.294499999999999</v>
      </c>
      <c r="BW1176" s="158">
        <v>26.055</v>
      </c>
      <c r="BX1176" s="120">
        <f>(BY1176+BW1176)/2</f>
        <v>26.816000000000003</v>
      </c>
      <c r="BY1176" s="158">
        <v>27.577000000000002</v>
      </c>
      <c r="BZ1176" s="120">
        <f>(CA1176+BY1176)/2</f>
        <v>28.301500000000001</v>
      </c>
      <c r="CA1176" s="158">
        <v>29.026</v>
      </c>
      <c r="CB1176" s="120">
        <f>(CC1176+CA1176)/2</f>
        <v>29.75</v>
      </c>
      <c r="CC1176" s="158">
        <v>30.474</v>
      </c>
      <c r="CD1176" s="120">
        <f>(CE1176+CC1176)/2</f>
        <v>31.198</v>
      </c>
      <c r="CE1176" s="158">
        <v>31.922000000000001</v>
      </c>
      <c r="CF1176" s="120">
        <f>(CG1176+CE1176)/2</f>
        <v>32.646999999999998</v>
      </c>
      <c r="CG1176" s="158">
        <v>33.372</v>
      </c>
      <c r="CH1176" s="120">
        <f>(CI1176+CG1176)/2</f>
        <v>34.058999999999997</v>
      </c>
      <c r="CI1176" s="158">
        <v>34.746000000000002</v>
      </c>
      <c r="CJ1176" s="120">
        <f>(CK1176+CI1176)/2</f>
        <v>35.462500000000006</v>
      </c>
      <c r="CK1176" s="158">
        <v>36.179000000000002</v>
      </c>
      <c r="CL1176" s="120">
        <f>(CM1176+CK1176)/2</f>
        <v>36.866</v>
      </c>
      <c r="CM1176" s="158">
        <v>37.552999999999997</v>
      </c>
      <c r="CN1176" s="120">
        <f>(CO1176+CM1176)/2</f>
        <v>38.240499999999997</v>
      </c>
      <c r="CO1176" s="158">
        <v>38.927999999999997</v>
      </c>
      <c r="CP1176" s="120">
        <f>(CQ1176+CO1176)/2</f>
        <v>39.615499999999997</v>
      </c>
      <c r="CQ1176" s="158">
        <v>40.302999999999997</v>
      </c>
      <c r="CR1176" s="120">
        <f>(CS1176+CQ1176)/2</f>
        <v>40.990499999999997</v>
      </c>
      <c r="CS1176" s="158">
        <v>41.677999999999997</v>
      </c>
      <c r="CT1176" s="120">
        <f>(CU1176+CS1176)/2</f>
        <v>42.365499999999997</v>
      </c>
      <c r="CU1176" s="158">
        <v>43.052999999999997</v>
      </c>
      <c r="CV1176" s="120">
        <f>(CW1176+CU1176)/2</f>
        <v>43.739999999999995</v>
      </c>
      <c r="CW1176" s="158">
        <v>44.427</v>
      </c>
      <c r="CX1176" s="120">
        <f>(CY1176+CW1176)/2</f>
        <v>45.114000000000004</v>
      </c>
      <c r="CY1176" s="158">
        <v>45.801000000000002</v>
      </c>
      <c r="CZ1176" s="120">
        <f>(DA1176+CY1176)/2</f>
        <v>46.488</v>
      </c>
      <c r="DA1176" s="158">
        <v>47.174999999999997</v>
      </c>
      <c r="DB1176" s="120">
        <f>(DC1176+DA1176)/2</f>
        <v>47.825999999999993</v>
      </c>
      <c r="DC1176" s="158">
        <v>48.476999999999997</v>
      </c>
      <c r="DD1176" s="120">
        <f>(DE1176+DC1176)/2</f>
        <v>49.164000000000001</v>
      </c>
      <c r="DE1176" s="158">
        <v>49.850999999999999</v>
      </c>
      <c r="DF1176" s="120">
        <f>(DG1176+DE1176)/2</f>
        <v>50.5015</v>
      </c>
      <c r="DG1176" s="159">
        <v>51.152000000000001</v>
      </c>
    </row>
    <row r="1177" spans="54:111" ht="15" customHeight="1" x14ac:dyDescent="0.2">
      <c r="BB1177" s="28">
        <v>21</v>
      </c>
      <c r="BC1177" s="121">
        <v>9.3789999999999996</v>
      </c>
      <c r="BD1177" s="121">
        <v>10.452999999999999</v>
      </c>
      <c r="BE1177" s="121">
        <v>11.527000000000001</v>
      </c>
      <c r="BF1177" s="121">
        <v>12.50925</v>
      </c>
      <c r="BG1177" s="121">
        <v>13.4915</v>
      </c>
      <c r="BH1177" s="121">
        <v>14.433499999999999</v>
      </c>
      <c r="BI1177" s="121">
        <v>15.375499999999999</v>
      </c>
      <c r="BJ1177" s="121">
        <v>16.247</v>
      </c>
      <c r="BK1177" s="121">
        <v>17.118499999999997</v>
      </c>
      <c r="BL1177" s="121">
        <v>17.985500000000002</v>
      </c>
      <c r="BM1177" s="121">
        <v>18.852499999999999</v>
      </c>
      <c r="BN1177" s="121">
        <v>19.686499999999999</v>
      </c>
      <c r="BO1177" s="121">
        <v>20.520499999999998</v>
      </c>
      <c r="BP1177" s="121">
        <v>21.349</v>
      </c>
      <c r="BQ1177" s="121">
        <v>22.177500000000002</v>
      </c>
      <c r="BR1177" s="121">
        <v>22.975250000000003</v>
      </c>
      <c r="BS1177" s="121">
        <f t="array" ref="BS1177:BS1216">TRANSPOSE(BT1176:DG1176)</f>
        <v>23.773</v>
      </c>
      <c r="BT1177" s="120">
        <f>(BS1177+BU1177)/2</f>
        <v>24.57</v>
      </c>
      <c r="BU1177" s="120">
        <f>(BU1176+BU1178)/2</f>
        <v>25.366999999999997</v>
      </c>
      <c r="BV1177" s="120">
        <f>(BU1177+BW1177)/2</f>
        <v>26.158249999999999</v>
      </c>
      <c r="BW1177" s="120">
        <f>(BW1176+BW1178)/2</f>
        <v>26.9495</v>
      </c>
      <c r="BX1177" s="120">
        <f>(BW1177+BY1177)/2</f>
        <v>27.70975</v>
      </c>
      <c r="BY1177" s="120">
        <f>(BY1176+BY1178)/2</f>
        <v>28.47</v>
      </c>
      <c r="BZ1177" s="120">
        <f>(BY1177+CA1177)/2</f>
        <v>29.234500000000001</v>
      </c>
      <c r="CA1177" s="120">
        <f>(CA1176+CA1178)/2</f>
        <v>29.999000000000002</v>
      </c>
      <c r="CB1177" s="120">
        <f>(CA1177+CC1177)/2</f>
        <v>30.752750000000002</v>
      </c>
      <c r="CC1177" s="120">
        <f>(CC1176+CC1178)/2</f>
        <v>31.506500000000003</v>
      </c>
      <c r="CD1177" s="120">
        <f>(CC1177+CE1177)/2</f>
        <v>32.248249999999999</v>
      </c>
      <c r="CE1177" s="120">
        <f>(CE1176+CE1178)/2</f>
        <v>32.99</v>
      </c>
      <c r="CF1177" s="120">
        <f>(CE1177+CG1177)/2</f>
        <v>33.732500000000002</v>
      </c>
      <c r="CG1177" s="120">
        <f>(CG1176+CG1178)/2</f>
        <v>34.475000000000001</v>
      </c>
      <c r="CH1177" s="120">
        <f>(CG1177+CI1177)/2</f>
        <v>35.198499999999996</v>
      </c>
      <c r="CI1177" s="120">
        <f>(CI1176+CI1178)/2</f>
        <v>35.921999999999997</v>
      </c>
      <c r="CJ1177" s="120">
        <f>(CI1177+CK1177)/2</f>
        <v>36.672499999999999</v>
      </c>
      <c r="CK1177" s="120">
        <f>(CK1176+CK1178)/2</f>
        <v>37.423000000000002</v>
      </c>
      <c r="CL1177" s="120">
        <f>(CK1177+CM1177)/2</f>
        <v>38.128</v>
      </c>
      <c r="CM1177" s="120">
        <f>(CM1176+CM1178)/2</f>
        <v>38.832999999999998</v>
      </c>
      <c r="CN1177" s="120">
        <f>(CM1177+CO1177)/2</f>
        <v>39.5565</v>
      </c>
      <c r="CO1177" s="120">
        <f>(CO1176+CO1178)/2</f>
        <v>40.28</v>
      </c>
      <c r="CP1177" s="120">
        <f>(CO1177+CQ1177)/2</f>
        <v>40.997749999999996</v>
      </c>
      <c r="CQ1177" s="120">
        <f>(CQ1176+CQ1178)/2</f>
        <v>41.715499999999999</v>
      </c>
      <c r="CR1177" s="120">
        <f>(CQ1177+CS1177)/2</f>
        <v>42.424499999999995</v>
      </c>
      <c r="CS1177" s="120">
        <f>(CS1176+CS1178)/2</f>
        <v>43.133499999999998</v>
      </c>
      <c r="CT1177" s="120">
        <f>(CS1177+CU1177)/2</f>
        <v>43.838499999999996</v>
      </c>
      <c r="CU1177" s="120">
        <f>(CU1176+CU1178)/2</f>
        <v>44.543499999999995</v>
      </c>
      <c r="CV1177" s="120">
        <f>(CU1177+CW1177)/2</f>
        <v>45.260499999999993</v>
      </c>
      <c r="CW1177" s="120">
        <f>(CW1176+CW1178)/2</f>
        <v>45.977499999999999</v>
      </c>
      <c r="CX1177" s="120">
        <f>(CW1177+CY1177)/2</f>
        <v>46.682500000000005</v>
      </c>
      <c r="CY1177" s="120">
        <f>(CY1176+CY1178)/2</f>
        <v>47.387500000000003</v>
      </c>
      <c r="CZ1177" s="120">
        <f>(CY1177+DA1177)/2</f>
        <v>48.092500000000001</v>
      </c>
      <c r="DA1177" s="120">
        <f>(DA1176+DA1178)/2</f>
        <v>48.797499999999999</v>
      </c>
      <c r="DB1177" s="120">
        <f>(DA1177+DC1177)/2</f>
        <v>49.484499999999997</v>
      </c>
      <c r="DC1177" s="120">
        <f>(DC1176+DC1178)/2</f>
        <v>50.171499999999995</v>
      </c>
      <c r="DD1177" s="120">
        <f>(DC1177+DE1177)/2</f>
        <v>50.888999999999996</v>
      </c>
      <c r="DE1177" s="120">
        <f>(DE1176+DE1178)/2</f>
        <v>51.606499999999997</v>
      </c>
      <c r="DF1177" s="120">
        <f>(DE1177+DG1177)/2</f>
        <v>52.274499999999996</v>
      </c>
      <c r="DG1177" s="122">
        <f>(DG1176+DG1178)/2</f>
        <v>52.942499999999995</v>
      </c>
    </row>
    <row r="1178" spans="54:111" ht="15" customHeight="1" x14ac:dyDescent="0.2">
      <c r="BB1178" s="28">
        <v>22</v>
      </c>
      <c r="BC1178" s="121">
        <v>9.6809999999999992</v>
      </c>
      <c r="BD1178" s="121">
        <v>10.772500000000001</v>
      </c>
      <c r="BE1178" s="121">
        <v>11.864000000000001</v>
      </c>
      <c r="BF1178" s="121">
        <v>12.8825</v>
      </c>
      <c r="BG1178" s="121">
        <v>13.901</v>
      </c>
      <c r="BH1178" s="121">
        <v>14.876999999999999</v>
      </c>
      <c r="BI1178" s="121">
        <v>15.853</v>
      </c>
      <c r="BJ1178" s="121">
        <v>16.7605</v>
      </c>
      <c r="BK1178" s="121">
        <v>17.667999999999999</v>
      </c>
      <c r="BL1178" s="121">
        <v>18.574999999999999</v>
      </c>
      <c r="BM1178" s="121">
        <v>19.481999999999999</v>
      </c>
      <c r="BN1178" s="121">
        <v>20.3155</v>
      </c>
      <c r="BO1178" s="121">
        <v>21.149000000000001</v>
      </c>
      <c r="BP1178" s="121">
        <v>22.0075</v>
      </c>
      <c r="BQ1178" s="121">
        <v>22.866</v>
      </c>
      <c r="BR1178" s="121">
        <v>23.7</v>
      </c>
      <c r="BS1178" s="121">
        <v>24.533999999999999</v>
      </c>
      <c r="BT1178" s="121">
        <f t="array" ref="BT1178:BT1216">TRANSPOSE(BU1177:DG1177)</f>
        <v>25.366999999999997</v>
      </c>
      <c r="BU1178" s="158">
        <v>26.2</v>
      </c>
      <c r="BV1178" s="120">
        <f>(BW1178+BU1178)/2</f>
        <v>27.021999999999998</v>
      </c>
      <c r="BW1178" s="158">
        <v>27.844000000000001</v>
      </c>
      <c r="BX1178" s="120">
        <f>(BY1178+BW1178)/2</f>
        <v>28.6035</v>
      </c>
      <c r="BY1178" s="158">
        <v>29.363</v>
      </c>
      <c r="BZ1178" s="120">
        <f>(CA1178+BY1178)/2</f>
        <v>30.1675</v>
      </c>
      <c r="CA1178" s="158">
        <v>30.972000000000001</v>
      </c>
      <c r="CB1178" s="120">
        <f>(CC1178+CA1178)/2</f>
        <v>31.755500000000001</v>
      </c>
      <c r="CC1178" s="158">
        <v>32.539000000000001</v>
      </c>
      <c r="CD1178" s="120">
        <f>(CE1178+CC1178)/2</f>
        <v>33.298500000000004</v>
      </c>
      <c r="CE1178" s="158">
        <v>34.058</v>
      </c>
      <c r="CF1178" s="120">
        <f>(CG1178+CE1178)/2</f>
        <v>34.817999999999998</v>
      </c>
      <c r="CG1178" s="158">
        <v>35.578000000000003</v>
      </c>
      <c r="CH1178" s="120">
        <f>(CI1178+CG1178)/2</f>
        <v>36.338000000000001</v>
      </c>
      <c r="CI1178" s="158">
        <v>37.097999999999999</v>
      </c>
      <c r="CJ1178" s="120">
        <f>(CK1178+CI1178)/2</f>
        <v>37.8825</v>
      </c>
      <c r="CK1178" s="158">
        <v>38.667000000000002</v>
      </c>
      <c r="CL1178" s="120">
        <f>(CM1178+CK1178)/2</f>
        <v>39.39</v>
      </c>
      <c r="CM1178" s="158">
        <v>40.113</v>
      </c>
      <c r="CN1178" s="120">
        <f>(CO1178+CM1178)/2</f>
        <v>40.872500000000002</v>
      </c>
      <c r="CO1178" s="158">
        <v>41.631999999999998</v>
      </c>
      <c r="CP1178" s="120">
        <f>(CQ1178+CO1178)/2</f>
        <v>42.379999999999995</v>
      </c>
      <c r="CQ1178" s="158">
        <v>43.128</v>
      </c>
      <c r="CR1178" s="120">
        <f>(CS1178+CQ1178)/2</f>
        <v>43.858499999999999</v>
      </c>
      <c r="CS1178" s="158">
        <v>44.588999999999999</v>
      </c>
      <c r="CT1178" s="120">
        <f>(CU1178+CS1178)/2</f>
        <v>45.311499999999995</v>
      </c>
      <c r="CU1178" s="158">
        <v>46.033999999999999</v>
      </c>
      <c r="CV1178" s="120">
        <f>(CW1178+CU1178)/2</f>
        <v>46.780999999999999</v>
      </c>
      <c r="CW1178" s="158">
        <v>47.527999999999999</v>
      </c>
      <c r="CX1178" s="120">
        <f>(CY1178+CW1178)/2</f>
        <v>48.250999999999998</v>
      </c>
      <c r="CY1178" s="158">
        <v>48.973999999999997</v>
      </c>
      <c r="CZ1178" s="120">
        <f>(DA1178+CY1178)/2</f>
        <v>49.697000000000003</v>
      </c>
      <c r="DA1178" s="158">
        <v>50.42</v>
      </c>
      <c r="DB1178" s="120">
        <f>(DC1178+DA1178)/2</f>
        <v>51.143000000000001</v>
      </c>
      <c r="DC1178" s="158">
        <v>51.866</v>
      </c>
      <c r="DD1178" s="120">
        <f>(DE1178+DC1178)/2</f>
        <v>52.614000000000004</v>
      </c>
      <c r="DE1178" s="158">
        <v>53.362000000000002</v>
      </c>
      <c r="DF1178" s="120">
        <f>(DG1178+DE1178)/2</f>
        <v>54.047499999999999</v>
      </c>
      <c r="DG1178" s="159">
        <v>54.732999999999997</v>
      </c>
    </row>
    <row r="1179" spans="54:111" ht="15" customHeight="1" x14ac:dyDescent="0.2">
      <c r="BB1179" s="28">
        <v>23</v>
      </c>
      <c r="BC1179" s="121">
        <v>9.9654999999999987</v>
      </c>
      <c r="BD1179" s="121">
        <v>11.105500000000001</v>
      </c>
      <c r="BE1179" s="121">
        <v>12.2455</v>
      </c>
      <c r="BF1179" s="121">
        <v>13.281500000000001</v>
      </c>
      <c r="BG1179" s="121">
        <v>14.317499999999999</v>
      </c>
      <c r="BH1179" s="121">
        <v>15.31175</v>
      </c>
      <c r="BI1179" s="121">
        <v>16.306000000000001</v>
      </c>
      <c r="BJ1179" s="121">
        <v>17.261749999999999</v>
      </c>
      <c r="BK1179" s="121">
        <v>18.217500000000001</v>
      </c>
      <c r="BL1179" s="121">
        <v>19.142749999999999</v>
      </c>
      <c r="BM1179" s="121">
        <v>20.067999999999998</v>
      </c>
      <c r="BN1179" s="121">
        <v>20.949750000000002</v>
      </c>
      <c r="BO1179" s="121">
        <v>21.831499999999998</v>
      </c>
      <c r="BP1179" s="121">
        <v>22.699249999999999</v>
      </c>
      <c r="BQ1179" s="121">
        <v>23.567</v>
      </c>
      <c r="BR1179" s="121">
        <v>24.43075</v>
      </c>
      <c r="BS1179" s="121">
        <v>25.294499999999999</v>
      </c>
      <c r="BT1179" s="121">
        <v>26.158249999999999</v>
      </c>
      <c r="BU1179" s="121">
        <f t="array" ref="BU1179:BU1216">TRANSPOSE(BV1178:DG1178)</f>
        <v>27.021999999999998</v>
      </c>
      <c r="BV1179" s="120">
        <f>(BU1179+BW1179)/2</f>
        <v>27.852499999999999</v>
      </c>
      <c r="BW1179" s="120">
        <f>(BW1178+BW1180)/2</f>
        <v>28.683</v>
      </c>
      <c r="BX1179" s="120">
        <f>(BW1179+BY1179)/2</f>
        <v>29.491250000000001</v>
      </c>
      <c r="BY1179" s="120">
        <f>(BY1178+BY1180)/2</f>
        <v>30.299500000000002</v>
      </c>
      <c r="BZ1179" s="120">
        <f>(BY1179+CA1179)/2</f>
        <v>31.117750000000001</v>
      </c>
      <c r="CA1179" s="120">
        <f>(CA1178+CA1180)/2</f>
        <v>31.936</v>
      </c>
      <c r="CB1179" s="120">
        <f>(CA1179+CC1179)/2</f>
        <v>32.741749999999996</v>
      </c>
      <c r="CC1179" s="120">
        <f>(CC1178+CC1180)/2</f>
        <v>33.547499999999999</v>
      </c>
      <c r="CD1179" s="120">
        <f>(CC1179+CE1179)/2</f>
        <v>34.355499999999999</v>
      </c>
      <c r="CE1179" s="120">
        <f>(CE1178+CE1180)/2</f>
        <v>35.163499999999999</v>
      </c>
      <c r="CF1179" s="120">
        <f>(CE1179+CG1179)/2</f>
        <v>35.941499999999998</v>
      </c>
      <c r="CG1179" s="120">
        <f>(CG1178+CG1180)/2</f>
        <v>36.719499999999996</v>
      </c>
      <c r="CH1179" s="120">
        <f>(CG1179+CI1179)/2</f>
        <v>37.509249999999994</v>
      </c>
      <c r="CI1179" s="120">
        <f>(CI1178+CI1180)/2</f>
        <v>38.298999999999999</v>
      </c>
      <c r="CJ1179" s="120">
        <f>(CI1179+CK1179)/2</f>
        <v>39.092749999999995</v>
      </c>
      <c r="CK1179" s="120">
        <f>(CK1178+CK1180)/2</f>
        <v>39.886499999999998</v>
      </c>
      <c r="CL1179" s="120">
        <f>(CK1179+CM1179)/2</f>
        <v>40.639499999999998</v>
      </c>
      <c r="CM1179" s="120">
        <f>(CM1178+CM1180)/2</f>
        <v>41.392499999999998</v>
      </c>
      <c r="CN1179" s="120">
        <f>(CM1179+CO1179)/2</f>
        <v>42.182249999999996</v>
      </c>
      <c r="CO1179" s="120">
        <f>(CO1178+CO1180)/2</f>
        <v>42.971999999999994</v>
      </c>
      <c r="CP1179" s="120">
        <f>(CO1179+CQ1179)/2</f>
        <v>43.728749999999998</v>
      </c>
      <c r="CQ1179" s="120">
        <f>(CQ1178+CQ1180)/2</f>
        <v>44.485500000000002</v>
      </c>
      <c r="CR1179" s="120">
        <f>(CQ1179+CS1179)/2</f>
        <v>45.261000000000003</v>
      </c>
      <c r="CS1179" s="120">
        <f>(CS1178+CS1180)/2</f>
        <v>46.036500000000004</v>
      </c>
      <c r="CT1179" s="120">
        <f>(CS1179+CU1179)/2</f>
        <v>46.77675</v>
      </c>
      <c r="CU1179" s="120">
        <f>(CU1178+CU1180)/2</f>
        <v>47.516999999999996</v>
      </c>
      <c r="CV1179" s="120">
        <f>(CU1179+CW1179)/2</f>
        <v>48.286000000000001</v>
      </c>
      <c r="CW1179" s="120">
        <f>(CW1178+CW1180)/2</f>
        <v>49.055</v>
      </c>
      <c r="CX1179" s="120">
        <f>(CW1179+CY1179)/2</f>
        <v>49.808</v>
      </c>
      <c r="CY1179" s="120">
        <f>(CY1178+CY1180)/2</f>
        <v>50.561</v>
      </c>
      <c r="CZ1179" s="120">
        <f>(CY1179+DA1179)/2</f>
        <v>51.301749999999998</v>
      </c>
      <c r="DA1179" s="120">
        <f>(DA1178+DA1180)/2</f>
        <v>52.042500000000004</v>
      </c>
      <c r="DB1179" s="120">
        <f>(DA1179+DC1179)/2</f>
        <v>52.799500000000002</v>
      </c>
      <c r="DC1179" s="120">
        <f>(DC1178+DC1180)/2</f>
        <v>53.5565</v>
      </c>
      <c r="DD1179" s="120">
        <f>(DC1179+DE1179)/2</f>
        <v>54.3095</v>
      </c>
      <c r="DE1179" s="120">
        <f>(DE1178+DE1180)/2</f>
        <v>55.0625</v>
      </c>
      <c r="DF1179" s="120">
        <f>(DE1179+DG1179)/2</f>
        <v>55.796999999999997</v>
      </c>
      <c r="DG1179" s="122">
        <f>(DG1178+DG1180)/2</f>
        <v>56.531499999999994</v>
      </c>
    </row>
    <row r="1180" spans="54:111" ht="15" customHeight="1" x14ac:dyDescent="0.2">
      <c r="BB1180" s="28">
        <v>24</v>
      </c>
      <c r="BC1180" s="121">
        <v>10.25</v>
      </c>
      <c r="BD1180" s="121">
        <v>11.438500000000001</v>
      </c>
      <c r="BE1180" s="121">
        <v>12.627000000000001</v>
      </c>
      <c r="BF1180" s="121">
        <v>13.6805</v>
      </c>
      <c r="BG1180" s="121">
        <v>14.734</v>
      </c>
      <c r="BH1180" s="121">
        <v>15.746500000000001</v>
      </c>
      <c r="BI1180" s="121">
        <v>16.759</v>
      </c>
      <c r="BJ1180" s="121">
        <v>17.762999999999998</v>
      </c>
      <c r="BK1180" s="121">
        <v>18.766999999999999</v>
      </c>
      <c r="BL1180" s="121">
        <v>19.7105</v>
      </c>
      <c r="BM1180" s="121">
        <v>20.654</v>
      </c>
      <c r="BN1180" s="121">
        <v>21.584</v>
      </c>
      <c r="BO1180" s="121">
        <v>22.513999999999999</v>
      </c>
      <c r="BP1180" s="121">
        <v>23.390999999999998</v>
      </c>
      <c r="BQ1180" s="121">
        <v>24.268000000000001</v>
      </c>
      <c r="BR1180" s="121">
        <v>25.1615</v>
      </c>
      <c r="BS1180" s="121">
        <v>26.055</v>
      </c>
      <c r="BT1180" s="121">
        <v>26.9495</v>
      </c>
      <c r="BU1180" s="121">
        <v>27.844000000000001</v>
      </c>
      <c r="BV1180" s="121">
        <f t="array" ref="BV1180:BV1216">TRANSPOSE(BW1179:DG1179)</f>
        <v>28.683</v>
      </c>
      <c r="BW1180" s="158">
        <v>29.521999999999998</v>
      </c>
      <c r="BX1180" s="120">
        <f>(BY1180+BW1180)/2</f>
        <v>30.378999999999998</v>
      </c>
      <c r="BY1180" s="158">
        <v>31.236000000000001</v>
      </c>
      <c r="BZ1180" s="120">
        <f>(CA1180+BY1180)/2</f>
        <v>32.067999999999998</v>
      </c>
      <c r="CA1180" s="158">
        <v>32.9</v>
      </c>
      <c r="CB1180" s="120">
        <f>(CC1180+CA1180)/2</f>
        <v>33.727999999999994</v>
      </c>
      <c r="CC1180" s="158">
        <v>34.555999999999997</v>
      </c>
      <c r="CD1180" s="120">
        <f>(CE1180+CC1180)/2</f>
        <v>35.412499999999994</v>
      </c>
      <c r="CE1180" s="158">
        <v>36.268999999999998</v>
      </c>
      <c r="CF1180" s="120">
        <f>(CG1180+CE1180)/2</f>
        <v>37.064999999999998</v>
      </c>
      <c r="CG1180" s="158">
        <v>37.860999999999997</v>
      </c>
      <c r="CH1180" s="120">
        <f>(CI1180+CG1180)/2</f>
        <v>38.680499999999995</v>
      </c>
      <c r="CI1180" s="158">
        <v>39.5</v>
      </c>
      <c r="CJ1180" s="120">
        <f>(CK1180+CI1180)/2</f>
        <v>40.302999999999997</v>
      </c>
      <c r="CK1180" s="158">
        <v>41.106000000000002</v>
      </c>
      <c r="CL1180" s="120">
        <f>(CM1180+CK1180)/2</f>
        <v>41.888999999999996</v>
      </c>
      <c r="CM1180" s="158">
        <v>42.671999999999997</v>
      </c>
      <c r="CN1180" s="120">
        <f>(CO1180+CM1180)/2</f>
        <v>43.491999999999997</v>
      </c>
      <c r="CO1180" s="158">
        <v>44.311999999999998</v>
      </c>
      <c r="CP1180" s="120">
        <f>(CQ1180+CO1180)/2</f>
        <v>45.077500000000001</v>
      </c>
      <c r="CQ1180" s="158">
        <v>45.843000000000004</v>
      </c>
      <c r="CR1180" s="120">
        <f>(CS1180+CQ1180)/2</f>
        <v>46.663499999999999</v>
      </c>
      <c r="CS1180" s="158">
        <v>47.484000000000002</v>
      </c>
      <c r="CT1180" s="120">
        <f>(CU1180+CS1180)/2</f>
        <v>48.242000000000004</v>
      </c>
      <c r="CU1180" s="158">
        <v>49</v>
      </c>
      <c r="CV1180" s="120">
        <f>(CW1180+CU1180)/2</f>
        <v>49.790999999999997</v>
      </c>
      <c r="CW1180" s="158">
        <v>50.582000000000001</v>
      </c>
      <c r="CX1180" s="120">
        <f>(CY1180+CW1180)/2</f>
        <v>51.365000000000002</v>
      </c>
      <c r="CY1180" s="158">
        <v>52.148000000000003</v>
      </c>
      <c r="CZ1180" s="120">
        <f>(DA1180+CY1180)/2</f>
        <v>52.906500000000001</v>
      </c>
      <c r="DA1180" s="158">
        <v>53.664999999999999</v>
      </c>
      <c r="DB1180" s="120">
        <f>(DC1180+DA1180)/2</f>
        <v>54.456000000000003</v>
      </c>
      <c r="DC1180" s="158">
        <v>55.247</v>
      </c>
      <c r="DD1180" s="120">
        <f>(DE1180+DC1180)/2</f>
        <v>56.004999999999995</v>
      </c>
      <c r="DE1180" s="158">
        <v>56.762999999999998</v>
      </c>
      <c r="DF1180" s="120">
        <f>(DG1180+DE1180)/2</f>
        <v>57.546499999999995</v>
      </c>
      <c r="DG1180" s="159">
        <v>58.33</v>
      </c>
    </row>
    <row r="1181" spans="54:111" ht="15" customHeight="1" x14ac:dyDescent="0.2">
      <c r="BB1181" s="28">
        <v>25</v>
      </c>
      <c r="BC1181" s="121">
        <v>10.551</v>
      </c>
      <c r="BD1181" s="121">
        <v>11.7575</v>
      </c>
      <c r="BE1181" s="121">
        <v>12.964</v>
      </c>
      <c r="BF1181" s="121">
        <v>14.07</v>
      </c>
      <c r="BG1181" s="121">
        <v>15.176</v>
      </c>
      <c r="BH1181" s="121">
        <v>16.220750000000002</v>
      </c>
      <c r="BI1181" s="121">
        <v>17.265499999999999</v>
      </c>
      <c r="BJ1181" s="121">
        <v>18.2605</v>
      </c>
      <c r="BK1181" s="121">
        <v>19.255499999999998</v>
      </c>
      <c r="BL1181" s="121">
        <v>20.228749999999998</v>
      </c>
      <c r="BM1181" s="121">
        <v>21.201999999999998</v>
      </c>
      <c r="BN1181" s="121">
        <v>22.172249999999998</v>
      </c>
      <c r="BO1181" s="121">
        <v>23.142499999999998</v>
      </c>
      <c r="BP1181" s="121">
        <v>24.045749999999998</v>
      </c>
      <c r="BQ1181" s="121">
        <v>24.948999999999998</v>
      </c>
      <c r="BR1181" s="121">
        <v>25.8825</v>
      </c>
      <c r="BS1181" s="121">
        <v>26.816000000000003</v>
      </c>
      <c r="BT1181" s="121">
        <v>27.70975</v>
      </c>
      <c r="BU1181" s="121">
        <v>28.6035</v>
      </c>
      <c r="BV1181" s="121">
        <v>29.491250000000001</v>
      </c>
      <c r="BW1181" s="121">
        <f t="array" ref="BW1181:BW1216">TRANSPOSE(BX1180:DG1180)</f>
        <v>30.378999999999998</v>
      </c>
      <c r="BX1181" s="120">
        <f>(BW1181+BY1181)/2</f>
        <v>31.25375</v>
      </c>
      <c r="BY1181" s="120">
        <f>(BY1180+BY1182)/2</f>
        <v>32.128500000000003</v>
      </c>
      <c r="BZ1181" s="120">
        <f>(BY1181+CA1181)/2</f>
        <v>32.994500000000002</v>
      </c>
      <c r="CA1181" s="120">
        <f>(CA1180+CA1182)/2</f>
        <v>33.860500000000002</v>
      </c>
      <c r="CB1181" s="120">
        <f>(CA1181+CC1181)/2</f>
        <v>34.720750000000002</v>
      </c>
      <c r="CC1181" s="120">
        <f>(CC1180+CC1182)/2</f>
        <v>35.581000000000003</v>
      </c>
      <c r="CD1181" s="120">
        <f>(CC1181+CE1181)/2</f>
        <v>36.446750000000002</v>
      </c>
      <c r="CE1181" s="120">
        <f>(CE1180+CE1182)/2</f>
        <v>37.3125</v>
      </c>
      <c r="CF1181" s="120">
        <f>(CE1181+CG1181)/2</f>
        <v>38.138249999999999</v>
      </c>
      <c r="CG1181" s="120">
        <f>(CG1180+CG1182)/2</f>
        <v>38.963999999999999</v>
      </c>
      <c r="CH1181" s="120">
        <f>(CG1181+CI1181)/2</f>
        <v>39.805499999999995</v>
      </c>
      <c r="CI1181" s="120">
        <f>(CI1180+CI1182)/2</f>
        <v>40.646999999999998</v>
      </c>
      <c r="CJ1181" s="120">
        <f>(CI1181+CK1181)/2</f>
        <v>41.47625</v>
      </c>
      <c r="CK1181" s="120">
        <f>(CK1180+CK1182)/2</f>
        <v>42.305500000000002</v>
      </c>
      <c r="CL1181" s="120">
        <f>(CK1181+CM1181)/2</f>
        <v>43.128500000000003</v>
      </c>
      <c r="CM1181" s="120">
        <f>(CM1180+CM1182)/2</f>
        <v>43.951499999999996</v>
      </c>
      <c r="CN1181" s="120">
        <f>(CM1181+CO1181)/2</f>
        <v>44.789249999999996</v>
      </c>
      <c r="CO1181" s="120">
        <f>(CO1180+CO1182)/2</f>
        <v>45.626999999999995</v>
      </c>
      <c r="CP1181" s="120">
        <f>(CO1181+CQ1181)/2</f>
        <v>46.422750000000001</v>
      </c>
      <c r="CQ1181" s="120">
        <f>(CQ1180+CQ1182)/2</f>
        <v>47.218500000000006</v>
      </c>
      <c r="CR1181" s="120">
        <f>(CQ1181+CS1181)/2</f>
        <v>48.0565</v>
      </c>
      <c r="CS1181" s="120">
        <f>(CS1180+CS1182)/2</f>
        <v>48.894500000000001</v>
      </c>
      <c r="CT1181" s="120">
        <f>(CS1181+CU1181)/2</f>
        <v>49.686499999999995</v>
      </c>
      <c r="CU1181" s="120">
        <f>(CU1180+CU1182)/2</f>
        <v>50.478499999999997</v>
      </c>
      <c r="CV1181" s="120">
        <f>(CU1181+CW1181)/2</f>
        <v>51.302</v>
      </c>
      <c r="CW1181" s="120">
        <f>(CW1180+CW1182)/2</f>
        <v>52.125500000000002</v>
      </c>
      <c r="CX1181" s="120">
        <f>(CW1181+CY1181)/2</f>
        <v>52.917749999999998</v>
      </c>
      <c r="CY1181" s="120">
        <f>(CY1180+CY1182)/2</f>
        <v>53.71</v>
      </c>
      <c r="CZ1181" s="120">
        <f>(CY1181+DA1181)/2</f>
        <v>54.498750000000001</v>
      </c>
      <c r="DA1181" s="120">
        <f>(DA1180+DA1182)/2</f>
        <v>55.287499999999994</v>
      </c>
      <c r="DB1181" s="120">
        <f>(DA1181+DC1181)/2</f>
        <v>56.095999999999997</v>
      </c>
      <c r="DC1181" s="120">
        <f>(DC1180+DC1182)/2</f>
        <v>56.904499999999999</v>
      </c>
      <c r="DD1181" s="120">
        <f>(DC1181+DE1181)/2</f>
        <v>57.692749999999997</v>
      </c>
      <c r="DE1181" s="120">
        <f>(DE1180+DE1182)/2</f>
        <v>58.480999999999995</v>
      </c>
      <c r="DF1181" s="120">
        <f>(DE1181+DG1181)/2</f>
        <v>59.285749999999993</v>
      </c>
      <c r="DG1181" s="122">
        <f>(DG1180+DG1182)/2</f>
        <v>60.090499999999999</v>
      </c>
    </row>
    <row r="1182" spans="54:111" ht="15" customHeight="1" x14ac:dyDescent="0.2">
      <c r="BB1182" s="28">
        <v>26</v>
      </c>
      <c r="BC1182" s="121">
        <v>10.852</v>
      </c>
      <c r="BD1182" s="121">
        <v>12.076499999999999</v>
      </c>
      <c r="BE1182" s="121">
        <v>13.301</v>
      </c>
      <c r="BF1182" s="121">
        <v>14.4595</v>
      </c>
      <c r="BG1182" s="121">
        <v>15.618</v>
      </c>
      <c r="BH1182" s="121">
        <v>16.695</v>
      </c>
      <c r="BI1182" s="121">
        <v>17.771999999999998</v>
      </c>
      <c r="BJ1182" s="121">
        <v>18.757999999999999</v>
      </c>
      <c r="BK1182" s="121">
        <v>19.744</v>
      </c>
      <c r="BL1182" s="121">
        <v>20.747</v>
      </c>
      <c r="BM1182" s="121">
        <v>21.75</v>
      </c>
      <c r="BN1182" s="121">
        <v>22.7605</v>
      </c>
      <c r="BO1182" s="121">
        <v>23.771000000000001</v>
      </c>
      <c r="BP1182" s="121">
        <v>24.700499999999998</v>
      </c>
      <c r="BQ1182" s="121">
        <v>25.63</v>
      </c>
      <c r="BR1182" s="121">
        <v>26.6035</v>
      </c>
      <c r="BS1182" s="121">
        <v>27.577000000000002</v>
      </c>
      <c r="BT1182" s="121">
        <v>28.47</v>
      </c>
      <c r="BU1182" s="121">
        <v>29.363</v>
      </c>
      <c r="BV1182" s="121">
        <v>30.299500000000002</v>
      </c>
      <c r="BW1182" s="121">
        <v>31.236000000000001</v>
      </c>
      <c r="BX1182" s="121">
        <f t="array" ref="BX1182:BX1216">TRANSPOSE(BY1181:DG1181)</f>
        <v>32.128500000000003</v>
      </c>
      <c r="BY1182" s="158">
        <v>33.021000000000001</v>
      </c>
      <c r="BZ1182" s="120">
        <f>(CA1182+BY1182)/2</f>
        <v>33.920999999999999</v>
      </c>
      <c r="CA1182" s="158">
        <v>34.820999999999998</v>
      </c>
      <c r="CB1182" s="120">
        <f>(CC1182+CA1182)/2</f>
        <v>35.713499999999996</v>
      </c>
      <c r="CC1182" s="158">
        <v>36.606000000000002</v>
      </c>
      <c r="CD1182" s="120">
        <f>(CE1182+CC1182)/2</f>
        <v>37.481000000000002</v>
      </c>
      <c r="CE1182" s="158">
        <v>38.356000000000002</v>
      </c>
      <c r="CF1182" s="120">
        <f>(CG1182+CE1182)/2</f>
        <v>39.211500000000001</v>
      </c>
      <c r="CG1182" s="158">
        <v>40.067</v>
      </c>
      <c r="CH1182" s="120">
        <f>(CI1182+CG1182)/2</f>
        <v>40.930499999999995</v>
      </c>
      <c r="CI1182" s="158">
        <v>41.793999999999997</v>
      </c>
      <c r="CJ1182" s="120">
        <f>(CK1182+CI1182)/2</f>
        <v>42.649500000000003</v>
      </c>
      <c r="CK1182" s="158">
        <v>43.505000000000003</v>
      </c>
      <c r="CL1182" s="120">
        <f>(CM1182+CK1182)/2</f>
        <v>44.368000000000002</v>
      </c>
      <c r="CM1182" s="158">
        <v>45.231000000000002</v>
      </c>
      <c r="CN1182" s="120">
        <f>(CO1182+CM1182)/2</f>
        <v>46.086500000000001</v>
      </c>
      <c r="CO1182" s="158">
        <v>46.942</v>
      </c>
      <c r="CP1182" s="120">
        <f>(CQ1182+CO1182)/2</f>
        <v>47.768000000000001</v>
      </c>
      <c r="CQ1182" s="158">
        <v>48.594000000000001</v>
      </c>
      <c r="CR1182" s="120">
        <f>(CS1182+CQ1182)/2</f>
        <v>49.4495</v>
      </c>
      <c r="CS1182" s="158">
        <v>50.305</v>
      </c>
      <c r="CT1182" s="120">
        <f>(CU1182+CS1182)/2</f>
        <v>51.131</v>
      </c>
      <c r="CU1182" s="158">
        <v>51.957000000000001</v>
      </c>
      <c r="CV1182" s="120">
        <f>(CW1182+CU1182)/2</f>
        <v>52.813000000000002</v>
      </c>
      <c r="CW1182" s="158">
        <v>53.668999999999997</v>
      </c>
      <c r="CX1182" s="120">
        <f>(CY1182+CW1182)/2</f>
        <v>54.470500000000001</v>
      </c>
      <c r="CY1182" s="158">
        <v>55.271999999999998</v>
      </c>
      <c r="CZ1182" s="120">
        <f>(DA1182+CY1182)/2</f>
        <v>56.090999999999994</v>
      </c>
      <c r="DA1182" s="158">
        <v>56.91</v>
      </c>
      <c r="DB1182" s="120">
        <f>(DC1182+DA1182)/2</f>
        <v>57.735999999999997</v>
      </c>
      <c r="DC1182" s="158">
        <v>58.561999999999998</v>
      </c>
      <c r="DD1182" s="120">
        <f>(DE1182+DC1182)/2</f>
        <v>59.380499999999998</v>
      </c>
      <c r="DE1182" s="158">
        <v>60.198999999999998</v>
      </c>
      <c r="DF1182" s="120">
        <f>(DG1182+DE1182)/2</f>
        <v>61.024999999999999</v>
      </c>
      <c r="DG1182" s="159">
        <v>61.850999999999999</v>
      </c>
    </row>
    <row r="1183" spans="54:111" ht="15" customHeight="1" x14ac:dyDescent="0.2">
      <c r="BB1183" s="28">
        <v>27</v>
      </c>
      <c r="BC1183" s="121">
        <v>11.092500000000001</v>
      </c>
      <c r="BD1183" s="121">
        <v>12.369</v>
      </c>
      <c r="BE1183" s="121">
        <v>13.6455</v>
      </c>
      <c r="BF1183" s="121">
        <v>14.821750000000002</v>
      </c>
      <c r="BG1183" s="121">
        <v>15.998000000000001</v>
      </c>
      <c r="BH1183" s="121">
        <v>17.092750000000002</v>
      </c>
      <c r="BI1183" s="121">
        <v>18.1875</v>
      </c>
      <c r="BJ1183" s="121">
        <v>19.240749999999998</v>
      </c>
      <c r="BK1183" s="121">
        <v>20.294</v>
      </c>
      <c r="BL1183" s="121">
        <v>21.318249999999999</v>
      </c>
      <c r="BM1183" s="121">
        <v>22.342500000000001</v>
      </c>
      <c r="BN1183" s="121">
        <v>23.364750000000001</v>
      </c>
      <c r="BO1183" s="121">
        <v>24.387</v>
      </c>
      <c r="BP1183" s="121">
        <v>25.352999999999998</v>
      </c>
      <c r="BQ1183" s="121">
        <v>26.318999999999999</v>
      </c>
      <c r="BR1183" s="121">
        <v>27.31025</v>
      </c>
      <c r="BS1183" s="121">
        <v>28.301500000000001</v>
      </c>
      <c r="BT1183" s="121">
        <v>29.234500000000001</v>
      </c>
      <c r="BU1183" s="121">
        <v>30.1675</v>
      </c>
      <c r="BV1183" s="121">
        <v>31.117750000000001</v>
      </c>
      <c r="BW1183" s="121">
        <v>32.067999999999998</v>
      </c>
      <c r="BX1183" s="121">
        <v>32.994500000000002</v>
      </c>
      <c r="BY1183" s="121">
        <f t="array" ref="BY1183:BY1216">TRANSPOSE(BZ1182:DG1182)</f>
        <v>33.920999999999999</v>
      </c>
      <c r="BZ1183" s="120">
        <f>(BY1183+CA1183)/2</f>
        <v>34.838999999999999</v>
      </c>
      <c r="CA1183" s="120">
        <f>(CA1182+CA1184)/2</f>
        <v>35.756999999999998</v>
      </c>
      <c r="CB1183" s="120">
        <f>(CA1183+CC1183)/2</f>
        <v>36.667000000000002</v>
      </c>
      <c r="CC1183" s="120">
        <f>(CC1182+CC1184)/2</f>
        <v>37.576999999999998</v>
      </c>
      <c r="CD1183" s="120">
        <f>(CC1183+CE1183)/2</f>
        <v>38.482250000000001</v>
      </c>
      <c r="CE1183" s="120">
        <f>(CE1182+CE1184)/2</f>
        <v>39.387500000000003</v>
      </c>
      <c r="CF1183" s="120">
        <f>(CE1183+CG1183)/2</f>
        <v>40.283000000000001</v>
      </c>
      <c r="CG1183" s="120">
        <f>(CG1182+CG1184)/2</f>
        <v>41.1785</v>
      </c>
      <c r="CH1183" s="120">
        <f>(CG1183+CI1183)/2</f>
        <v>42.068249999999999</v>
      </c>
      <c r="CI1183" s="120">
        <f>(CI1182+CI1184)/2</f>
        <v>42.957999999999998</v>
      </c>
      <c r="CJ1183" s="120">
        <f>(CI1183+CK1183)/2</f>
        <v>43.835250000000002</v>
      </c>
      <c r="CK1183" s="120">
        <f>(CK1182+CK1184)/2</f>
        <v>44.712500000000006</v>
      </c>
      <c r="CL1183" s="120">
        <f>(CK1183+CM1183)/2</f>
        <v>45.593000000000004</v>
      </c>
      <c r="CM1183" s="120">
        <f>(CM1182+CM1184)/2</f>
        <v>46.473500000000001</v>
      </c>
      <c r="CN1183" s="120">
        <f>(CM1183+CO1183)/2</f>
        <v>47.347000000000001</v>
      </c>
      <c r="CO1183" s="120">
        <f>(CO1182+CO1184)/2</f>
        <v>48.220500000000001</v>
      </c>
      <c r="CP1183" s="120">
        <f>(CO1183+CQ1183)/2</f>
        <v>49.082750000000004</v>
      </c>
      <c r="CQ1183" s="120">
        <f>(CQ1182+CQ1184)/2</f>
        <v>49.945</v>
      </c>
      <c r="CR1183" s="120">
        <f>(CQ1183+CS1183)/2</f>
        <v>50.834500000000006</v>
      </c>
      <c r="CS1183" s="120">
        <f>(CS1182+CS1184)/2</f>
        <v>51.724000000000004</v>
      </c>
      <c r="CT1183" s="120">
        <f>(CS1183+CU1183)/2</f>
        <v>52.567750000000004</v>
      </c>
      <c r="CU1183" s="120">
        <f>(CU1182+CU1184)/2</f>
        <v>53.411500000000004</v>
      </c>
      <c r="CV1183" s="120">
        <f>(CU1183+CW1183)/2</f>
        <v>54.285250000000005</v>
      </c>
      <c r="CW1183" s="120">
        <f>(CW1182+CW1184)/2</f>
        <v>55.158999999999999</v>
      </c>
      <c r="CX1183" s="120">
        <f>(CW1183+CY1183)/2</f>
        <v>55.990499999999997</v>
      </c>
      <c r="CY1183" s="120">
        <f>(CY1182+CY1184)/2</f>
        <v>56.822000000000003</v>
      </c>
      <c r="CZ1183" s="120">
        <f>(CY1183+DA1183)/2</f>
        <v>57.66225</v>
      </c>
      <c r="DA1183" s="120">
        <f>(DA1182+DA1184)/2</f>
        <v>58.502499999999998</v>
      </c>
      <c r="DB1183" s="120">
        <f>(DA1183+DC1183)/2</f>
        <v>59.287499999999994</v>
      </c>
      <c r="DC1183" s="120">
        <f>(DC1182+DC1184)/2</f>
        <v>60.072499999999998</v>
      </c>
      <c r="DD1183" s="120">
        <f>(DC1183+DE1183)/2</f>
        <v>60.980000000000004</v>
      </c>
      <c r="DE1183" s="120">
        <f>(DE1182+DE1184)/2</f>
        <v>61.887500000000003</v>
      </c>
      <c r="DF1183" s="120">
        <f>(DE1183+DG1183)/2</f>
        <v>62.731250000000003</v>
      </c>
      <c r="DG1183" s="122">
        <f>(DG1182+DG1184)/2</f>
        <v>63.575000000000003</v>
      </c>
    </row>
    <row r="1184" spans="54:111" ht="15" customHeight="1" x14ac:dyDescent="0.2">
      <c r="BB1184" s="28">
        <v>28</v>
      </c>
      <c r="BC1184" s="121">
        <v>11.333</v>
      </c>
      <c r="BD1184" s="121">
        <v>12.6615</v>
      </c>
      <c r="BE1184" s="121">
        <v>13.99</v>
      </c>
      <c r="BF1184" s="121">
        <v>15.184000000000001</v>
      </c>
      <c r="BG1184" s="121">
        <v>16.378</v>
      </c>
      <c r="BH1184" s="121">
        <v>17.490500000000001</v>
      </c>
      <c r="BI1184" s="121">
        <v>18.603000000000002</v>
      </c>
      <c r="BJ1184" s="121">
        <v>19.723500000000001</v>
      </c>
      <c r="BK1184" s="121">
        <v>20.844000000000001</v>
      </c>
      <c r="BL1184" s="121">
        <v>21.889499999999998</v>
      </c>
      <c r="BM1184" s="121">
        <v>22.934999999999999</v>
      </c>
      <c r="BN1184" s="121">
        <v>23.969000000000001</v>
      </c>
      <c r="BO1184" s="121">
        <v>25.003</v>
      </c>
      <c r="BP1184" s="121">
        <v>26.005499999999998</v>
      </c>
      <c r="BQ1184" s="121">
        <v>27.007999999999999</v>
      </c>
      <c r="BR1184" s="121">
        <v>28.016999999999999</v>
      </c>
      <c r="BS1184" s="121">
        <v>29.026</v>
      </c>
      <c r="BT1184" s="121">
        <v>29.999000000000002</v>
      </c>
      <c r="BU1184" s="121">
        <v>30.972000000000001</v>
      </c>
      <c r="BV1184" s="121">
        <v>31.936</v>
      </c>
      <c r="BW1184" s="121">
        <v>32.9</v>
      </c>
      <c r="BX1184" s="121">
        <v>33.860500000000002</v>
      </c>
      <c r="BY1184" s="121">
        <v>34.820999999999998</v>
      </c>
      <c r="BZ1184" s="121">
        <f t="array" ref="BZ1184:BZ1216">TRANSPOSE(CA1183:DG1183)</f>
        <v>35.756999999999998</v>
      </c>
      <c r="CA1184" s="158">
        <v>36.692999999999998</v>
      </c>
      <c r="CB1184" s="120">
        <f>(CC1184+CA1184)/2</f>
        <v>37.6205</v>
      </c>
      <c r="CC1184" s="158">
        <v>38.548000000000002</v>
      </c>
      <c r="CD1184" s="120">
        <f>(CE1184+CC1184)/2</f>
        <v>39.483499999999999</v>
      </c>
      <c r="CE1184" s="158">
        <v>40.418999999999997</v>
      </c>
      <c r="CF1184" s="120">
        <f>(CG1184+CE1184)/2</f>
        <v>41.354500000000002</v>
      </c>
      <c r="CG1184" s="158">
        <v>42.29</v>
      </c>
      <c r="CH1184" s="120">
        <f>(CI1184+CG1184)/2</f>
        <v>43.206000000000003</v>
      </c>
      <c r="CI1184" s="158">
        <v>44.122</v>
      </c>
      <c r="CJ1184" s="120">
        <f>(CK1184+CI1184)/2</f>
        <v>45.021000000000001</v>
      </c>
      <c r="CK1184" s="158">
        <v>45.92</v>
      </c>
      <c r="CL1184" s="120">
        <f>(CM1184+CK1184)/2</f>
        <v>46.817999999999998</v>
      </c>
      <c r="CM1184" s="158">
        <v>47.716000000000001</v>
      </c>
      <c r="CN1184" s="120">
        <f>(CO1184+CM1184)/2</f>
        <v>48.607500000000002</v>
      </c>
      <c r="CO1184" s="158">
        <v>49.499000000000002</v>
      </c>
      <c r="CP1184" s="120">
        <f>(CQ1184+CO1184)/2</f>
        <v>50.397500000000001</v>
      </c>
      <c r="CQ1184" s="158">
        <v>51.295999999999999</v>
      </c>
      <c r="CR1184" s="120">
        <f>(CS1184+CQ1184)/2</f>
        <v>52.219499999999996</v>
      </c>
      <c r="CS1184" s="158">
        <v>53.143000000000001</v>
      </c>
      <c r="CT1184" s="120">
        <f>(CU1184+CS1184)/2</f>
        <v>54.0045</v>
      </c>
      <c r="CU1184" s="158">
        <v>54.866</v>
      </c>
      <c r="CV1184" s="120">
        <f>(CW1184+CU1184)/2</f>
        <v>55.7575</v>
      </c>
      <c r="CW1184" s="158">
        <v>56.649000000000001</v>
      </c>
      <c r="CX1184" s="120">
        <f>(CY1184+CW1184)/2</f>
        <v>57.5105</v>
      </c>
      <c r="CY1184" s="158">
        <v>58.372</v>
      </c>
      <c r="CZ1184" s="120">
        <f>(DA1184+CY1184)/2</f>
        <v>59.233499999999999</v>
      </c>
      <c r="DA1184" s="158">
        <v>60.094999999999999</v>
      </c>
      <c r="DB1184" s="120">
        <f>(DC1184+DA1184)/2</f>
        <v>60.838999999999999</v>
      </c>
      <c r="DC1184" s="158">
        <v>61.582999999999998</v>
      </c>
      <c r="DD1184" s="120">
        <f>(DE1184+DC1184)/2</f>
        <v>62.579499999999996</v>
      </c>
      <c r="DE1184" s="158">
        <v>63.576000000000001</v>
      </c>
      <c r="DF1184" s="120">
        <f>(DG1184+DE1184)/2</f>
        <v>64.4375</v>
      </c>
      <c r="DG1184" s="159">
        <v>65.299000000000007</v>
      </c>
    </row>
    <row r="1185" spans="54:111" ht="15" customHeight="1" x14ac:dyDescent="0.2">
      <c r="BB1185" s="28">
        <v>29</v>
      </c>
      <c r="BC1185" s="121">
        <v>11.641500000000001</v>
      </c>
      <c r="BD1185" s="121">
        <v>12.988250000000001</v>
      </c>
      <c r="BE1185" s="121">
        <v>14.335000000000001</v>
      </c>
      <c r="BF1185" s="121">
        <v>15.546749999999999</v>
      </c>
      <c r="BG1185" s="121">
        <v>16.758499999999998</v>
      </c>
      <c r="BH1185" s="121">
        <v>17.919499999999999</v>
      </c>
      <c r="BI1185" s="121">
        <v>19.080500000000001</v>
      </c>
      <c r="BJ1185" s="121">
        <v>20.21875</v>
      </c>
      <c r="BK1185" s="121">
        <v>21.356999999999999</v>
      </c>
      <c r="BL1185" s="121">
        <v>22.432749999999999</v>
      </c>
      <c r="BM1185" s="121">
        <v>23.508499999999998</v>
      </c>
      <c r="BN1185" s="121">
        <v>24.56625</v>
      </c>
      <c r="BO1185" s="121">
        <v>25.624000000000002</v>
      </c>
      <c r="BP1185" s="121">
        <v>26.660249999999998</v>
      </c>
      <c r="BQ1185" s="121">
        <v>27.6965</v>
      </c>
      <c r="BR1185" s="121">
        <v>28.72325</v>
      </c>
      <c r="BS1185" s="121">
        <v>29.75</v>
      </c>
      <c r="BT1185" s="121">
        <v>30.752750000000002</v>
      </c>
      <c r="BU1185" s="121">
        <v>31.755500000000001</v>
      </c>
      <c r="BV1185" s="121">
        <v>32.741749999999996</v>
      </c>
      <c r="BW1185" s="121">
        <v>33.727999999999994</v>
      </c>
      <c r="BX1185" s="121">
        <v>34.720750000000002</v>
      </c>
      <c r="BY1185" s="121">
        <v>35.713499999999996</v>
      </c>
      <c r="BZ1185" s="121">
        <v>36.667000000000002</v>
      </c>
      <c r="CA1185" s="121">
        <f t="array" ref="CA1185:CA1216">TRANSPOSE(CB1184:DG1184)</f>
        <v>37.6205</v>
      </c>
      <c r="CB1185" s="120">
        <f>(CA1185+CC1185)/2</f>
        <v>38.582250000000002</v>
      </c>
      <c r="CC1185" s="120">
        <f>(CC1184+CC1186)/2</f>
        <v>39.543999999999997</v>
      </c>
      <c r="CD1185" s="120">
        <f>(CC1185+CE1185)/2</f>
        <v>40.497249999999994</v>
      </c>
      <c r="CE1185" s="120">
        <f>(CE1184+CE1186)/2</f>
        <v>41.450499999999998</v>
      </c>
      <c r="CF1185" s="120">
        <f>(CE1185+CG1185)/2</f>
        <v>42.416249999999998</v>
      </c>
      <c r="CG1185" s="120">
        <f>(CG1184+CG1186)/2</f>
        <v>43.381999999999998</v>
      </c>
      <c r="CH1185" s="120">
        <f>(CG1185+CI1185)/2</f>
        <v>44.325249999999997</v>
      </c>
      <c r="CI1185" s="120">
        <f>(CI1184+CI1186)/2</f>
        <v>45.268500000000003</v>
      </c>
      <c r="CJ1185" s="120">
        <f>(CI1185+CK1185)/2</f>
        <v>46.197500000000005</v>
      </c>
      <c r="CK1185" s="120">
        <f>(CK1184+CK1186)/2</f>
        <v>47.1265</v>
      </c>
      <c r="CL1185" s="120">
        <f>(CK1185+CM1185)/2</f>
        <v>48.042749999999998</v>
      </c>
      <c r="CM1185" s="120">
        <f>(CM1184+CM1186)/2</f>
        <v>48.959000000000003</v>
      </c>
      <c r="CN1185" s="120">
        <f>(CM1185+CO1185)/2</f>
        <v>49.880250000000004</v>
      </c>
      <c r="CO1185" s="120">
        <f>(CO1184+CO1186)/2</f>
        <v>50.801500000000004</v>
      </c>
      <c r="CP1185" s="120">
        <f>(CO1185+CQ1185)/2</f>
        <v>51.718000000000004</v>
      </c>
      <c r="CQ1185" s="120">
        <f>(CQ1184+CQ1186)/2</f>
        <v>52.634500000000003</v>
      </c>
      <c r="CR1185" s="120">
        <f>(CQ1185+CS1185)/2</f>
        <v>53.575749999999999</v>
      </c>
      <c r="CS1185" s="120">
        <f>(CS1184+CS1186)/2</f>
        <v>54.516999999999996</v>
      </c>
      <c r="CT1185" s="120">
        <f>(CS1185+CU1185)/2</f>
        <v>55.414749999999998</v>
      </c>
      <c r="CU1185" s="120">
        <f>(CU1184+CU1186)/2</f>
        <v>56.3125</v>
      </c>
      <c r="CV1185" s="120">
        <f>(CU1185+CW1185)/2</f>
        <v>57.219250000000002</v>
      </c>
      <c r="CW1185" s="120">
        <f>(CW1184+CW1186)/2</f>
        <v>58.126000000000005</v>
      </c>
      <c r="CX1185" s="120">
        <f>(CW1185+CY1185)/2</f>
        <v>59.02375</v>
      </c>
      <c r="CY1185" s="120">
        <f>(CY1184+CY1186)/2</f>
        <v>59.921499999999995</v>
      </c>
      <c r="CZ1185" s="120">
        <f>(CY1185+DA1185)/2</f>
        <v>60.813249999999996</v>
      </c>
      <c r="DA1185" s="120">
        <f>(DA1184+DA1186)/2</f>
        <v>61.704999999999998</v>
      </c>
      <c r="DB1185" s="120">
        <f>(DA1185+DC1185)/2</f>
        <v>62.525499999999994</v>
      </c>
      <c r="DC1185" s="120">
        <f>(DC1184+DC1186)/2</f>
        <v>63.345999999999997</v>
      </c>
      <c r="DD1185" s="120">
        <f>(DC1185+DE1185)/2</f>
        <v>64.323750000000004</v>
      </c>
      <c r="DE1185" s="120">
        <f>(DE1184+DE1186)/2</f>
        <v>65.301500000000004</v>
      </c>
      <c r="DF1185" s="120">
        <f>(DE1185+DG1185)/2</f>
        <v>66.177500000000009</v>
      </c>
      <c r="DG1185" s="122">
        <f>(DG1184+DG1186)/2</f>
        <v>67.053500000000014</v>
      </c>
    </row>
    <row r="1186" spans="54:111" ht="15" customHeight="1" x14ac:dyDescent="0.2">
      <c r="BB1186" s="28">
        <v>30</v>
      </c>
      <c r="BC1186" s="121">
        <v>11.95</v>
      </c>
      <c r="BD1186" s="121">
        <v>13.315</v>
      </c>
      <c r="BE1186" s="121">
        <v>14.68</v>
      </c>
      <c r="BF1186" s="121">
        <v>15.9095</v>
      </c>
      <c r="BG1186" s="121">
        <v>17.138999999999999</v>
      </c>
      <c r="BH1186" s="121">
        <v>18.348500000000001</v>
      </c>
      <c r="BI1186" s="121">
        <v>19.558</v>
      </c>
      <c r="BJ1186" s="121">
        <v>20.713999999999999</v>
      </c>
      <c r="BK1186" s="121">
        <v>21.87</v>
      </c>
      <c r="BL1186" s="121">
        <v>22.975999999999999</v>
      </c>
      <c r="BM1186" s="121">
        <v>24.082000000000001</v>
      </c>
      <c r="BN1186" s="121">
        <v>25.163499999999999</v>
      </c>
      <c r="BO1186" s="121">
        <v>26.245000000000001</v>
      </c>
      <c r="BP1186" s="121">
        <v>27.315000000000001</v>
      </c>
      <c r="BQ1186" s="121">
        <v>28.385000000000002</v>
      </c>
      <c r="BR1186" s="121">
        <v>29.429500000000001</v>
      </c>
      <c r="BS1186" s="121">
        <v>30.474</v>
      </c>
      <c r="BT1186" s="121">
        <v>31.506500000000003</v>
      </c>
      <c r="BU1186" s="121">
        <v>32.539000000000001</v>
      </c>
      <c r="BV1186" s="121">
        <v>33.547499999999999</v>
      </c>
      <c r="BW1186" s="121">
        <v>34.555999999999997</v>
      </c>
      <c r="BX1186" s="121">
        <v>35.581000000000003</v>
      </c>
      <c r="BY1186" s="121">
        <v>36.606000000000002</v>
      </c>
      <c r="BZ1186" s="121">
        <v>37.576999999999998</v>
      </c>
      <c r="CA1186" s="121">
        <v>38.548000000000002</v>
      </c>
      <c r="CB1186" s="121">
        <f t="array" ref="CB1186:CB1216">TRANSPOSE(CC1185:DG1185)</f>
        <v>39.543999999999997</v>
      </c>
      <c r="CC1186" s="158">
        <v>40.54</v>
      </c>
      <c r="CD1186" s="120">
        <f>(CE1186+CC1186)/2</f>
        <v>41.510999999999996</v>
      </c>
      <c r="CE1186" s="158">
        <v>42.481999999999999</v>
      </c>
      <c r="CF1186" s="120">
        <f>(CG1186+CE1186)/2</f>
        <v>43.477999999999994</v>
      </c>
      <c r="CG1186" s="158">
        <v>44.473999999999997</v>
      </c>
      <c r="CH1186" s="120">
        <f>(CI1186+CG1186)/2</f>
        <v>45.444499999999998</v>
      </c>
      <c r="CI1186" s="158">
        <v>46.414999999999999</v>
      </c>
      <c r="CJ1186" s="120">
        <f>(CK1186+CI1186)/2</f>
        <v>47.373999999999995</v>
      </c>
      <c r="CK1186" s="158">
        <v>48.332999999999998</v>
      </c>
      <c r="CL1186" s="120">
        <f>(CM1186+CK1186)/2</f>
        <v>49.267499999999998</v>
      </c>
      <c r="CM1186" s="158">
        <v>50.201999999999998</v>
      </c>
      <c r="CN1186" s="120">
        <f>(CO1186+CM1186)/2</f>
        <v>51.152999999999999</v>
      </c>
      <c r="CO1186" s="158">
        <v>52.103999999999999</v>
      </c>
      <c r="CP1186" s="120">
        <f>(CQ1186+CO1186)/2</f>
        <v>53.038499999999999</v>
      </c>
      <c r="CQ1186" s="158">
        <v>53.972999999999999</v>
      </c>
      <c r="CR1186" s="120">
        <f>(CS1186+CQ1186)/2</f>
        <v>54.932000000000002</v>
      </c>
      <c r="CS1186" s="158">
        <v>55.890999999999998</v>
      </c>
      <c r="CT1186" s="120">
        <f>(CU1186+CS1186)/2</f>
        <v>56.825000000000003</v>
      </c>
      <c r="CU1186" s="158">
        <v>57.759</v>
      </c>
      <c r="CV1186" s="120">
        <f>(CW1186+CU1186)/2</f>
        <v>58.680999999999997</v>
      </c>
      <c r="CW1186" s="158">
        <v>59.603000000000002</v>
      </c>
      <c r="CX1186" s="120">
        <f>(CY1186+CW1186)/2</f>
        <v>60.536999999999999</v>
      </c>
      <c r="CY1186" s="158">
        <v>61.470999999999997</v>
      </c>
      <c r="CZ1186" s="120">
        <f>(DA1186+CY1186)/2</f>
        <v>62.393000000000001</v>
      </c>
      <c r="DA1186" s="158">
        <v>63.314999999999998</v>
      </c>
      <c r="DB1186" s="120">
        <f>(DC1186+DA1186)/2</f>
        <v>64.211999999999989</v>
      </c>
      <c r="DC1186" s="158">
        <v>65.108999999999995</v>
      </c>
      <c r="DD1186" s="120">
        <f>(DE1186+DC1186)/2</f>
        <v>66.067999999999998</v>
      </c>
      <c r="DE1186" s="158">
        <v>67.027000000000001</v>
      </c>
      <c r="DF1186" s="120">
        <f>(DG1186+DE1186)/2</f>
        <v>67.917500000000004</v>
      </c>
      <c r="DG1186" s="159">
        <v>68.808000000000007</v>
      </c>
    </row>
    <row r="1187" spans="54:111" ht="15" customHeight="1" x14ac:dyDescent="0.2">
      <c r="BB1187" s="28">
        <v>31</v>
      </c>
      <c r="BC1187" s="121">
        <v>12.214499999999999</v>
      </c>
      <c r="BD1187" s="121">
        <v>13.603249999999999</v>
      </c>
      <c r="BE1187" s="121">
        <v>14.992000000000001</v>
      </c>
      <c r="BF1187" s="121">
        <v>16.27</v>
      </c>
      <c r="BG1187" s="121">
        <v>17.548000000000002</v>
      </c>
      <c r="BH1187" s="121">
        <v>18.779</v>
      </c>
      <c r="BI1187" s="121">
        <v>20.009999999999998</v>
      </c>
      <c r="BJ1187" s="121">
        <v>21.195999999999998</v>
      </c>
      <c r="BK1187" s="121">
        <v>22.381999999999998</v>
      </c>
      <c r="BL1187" s="121">
        <v>23.50975</v>
      </c>
      <c r="BM1187" s="121">
        <v>24.637500000000003</v>
      </c>
      <c r="BN1187" s="121">
        <v>25.736750000000001</v>
      </c>
      <c r="BO1187" s="121">
        <v>26.835999999999999</v>
      </c>
      <c r="BP1187" s="121">
        <v>27.942250000000001</v>
      </c>
      <c r="BQ1187" s="121">
        <v>29.048500000000001</v>
      </c>
      <c r="BR1187" s="121">
        <v>30.123249999999999</v>
      </c>
      <c r="BS1187" s="121">
        <v>31.198</v>
      </c>
      <c r="BT1187" s="121">
        <v>32.248249999999999</v>
      </c>
      <c r="BU1187" s="121">
        <v>33.298500000000004</v>
      </c>
      <c r="BV1187" s="121">
        <v>34.355499999999999</v>
      </c>
      <c r="BW1187" s="121">
        <v>35.412499999999994</v>
      </c>
      <c r="BX1187" s="121">
        <v>36.446750000000002</v>
      </c>
      <c r="BY1187" s="121">
        <v>37.481000000000002</v>
      </c>
      <c r="BZ1187" s="121">
        <v>38.482250000000001</v>
      </c>
      <c r="CA1187" s="121">
        <v>39.483499999999999</v>
      </c>
      <c r="CB1187" s="121">
        <v>40.497249999999994</v>
      </c>
      <c r="CC1187" s="121">
        <f t="array" ref="CC1187:CC1216">TRANSPOSE(CD1186:DG1186)</f>
        <v>41.510999999999996</v>
      </c>
      <c r="CD1187" s="120">
        <f>(CC1187+CE1187)/2</f>
        <v>42.512249999999995</v>
      </c>
      <c r="CE1187" s="120">
        <f>(CE1186+CE1188)/2</f>
        <v>43.513500000000001</v>
      </c>
      <c r="CF1187" s="120">
        <f>(CE1187+CG1187)/2</f>
        <v>44.527000000000001</v>
      </c>
      <c r="CG1187" s="120">
        <f>(CG1186+CG1188)/2</f>
        <v>45.540499999999994</v>
      </c>
      <c r="CH1187" s="120">
        <f>(CG1187+CI1187)/2</f>
        <v>46.528999999999996</v>
      </c>
      <c r="CI1187" s="120">
        <f>(CI1186+CI1188)/2</f>
        <v>47.517499999999998</v>
      </c>
      <c r="CJ1187" s="120">
        <f>(CI1187+CK1187)/2</f>
        <v>48.512749999999997</v>
      </c>
      <c r="CK1187" s="120">
        <f>(CK1186+CK1188)/2</f>
        <v>49.507999999999996</v>
      </c>
      <c r="CL1187" s="120">
        <f>(CK1187+CM1187)/2</f>
        <v>50.472499999999997</v>
      </c>
      <c r="CM1187" s="120">
        <f>(CM1186+CM1188)/2</f>
        <v>51.436999999999998</v>
      </c>
      <c r="CN1187" s="120">
        <f>(CM1187+CO1187)/2</f>
        <v>52.413499999999999</v>
      </c>
      <c r="CO1187" s="120">
        <f>(CO1186+CO1188)/2</f>
        <v>53.39</v>
      </c>
      <c r="CP1187" s="120">
        <f>(CO1187+CQ1187)/2</f>
        <v>54.354500000000002</v>
      </c>
      <c r="CQ1187" s="120">
        <f>(CQ1186+CQ1188)/2</f>
        <v>55.319000000000003</v>
      </c>
      <c r="CR1187" s="120">
        <f>(CQ1187+CS1187)/2</f>
        <v>56.283250000000002</v>
      </c>
      <c r="CS1187" s="120">
        <f>(CS1186+CS1188)/2</f>
        <v>57.247500000000002</v>
      </c>
      <c r="CT1187" s="120">
        <f>(CS1187+CU1187)/2</f>
        <v>58.211750000000002</v>
      </c>
      <c r="CU1187" s="120">
        <f>(CU1186+CU1188)/2</f>
        <v>59.176000000000002</v>
      </c>
      <c r="CV1187" s="120">
        <f>(CU1187+CW1187)/2</f>
        <v>60.134250000000002</v>
      </c>
      <c r="CW1187" s="120">
        <f>(CW1186+CW1188)/2</f>
        <v>61.092500000000001</v>
      </c>
      <c r="CX1187" s="120">
        <f>(CW1187+CY1187)/2</f>
        <v>62.038249999999998</v>
      </c>
      <c r="CY1187" s="120">
        <f>(CY1186+CY1188)/2</f>
        <v>62.983999999999995</v>
      </c>
      <c r="CZ1187" s="120">
        <f>(CY1187+DA1187)/2</f>
        <v>63.942249999999994</v>
      </c>
      <c r="DA1187" s="120">
        <f>(DA1186+DA1188)/2</f>
        <v>64.900499999999994</v>
      </c>
      <c r="DB1187" s="120">
        <f>(DA1187+DC1187)/2</f>
        <v>65.8155</v>
      </c>
      <c r="DC1187" s="120">
        <f>(DC1186+DC1188)/2</f>
        <v>66.730500000000006</v>
      </c>
      <c r="DD1187" s="120">
        <f>(DC1187+DE1187)/2</f>
        <v>67.707250000000002</v>
      </c>
      <c r="DE1187" s="120">
        <f>(DE1186+DE1188)/2</f>
        <v>68.683999999999997</v>
      </c>
      <c r="DF1187" s="120">
        <f>(DE1187+DG1187)/2</f>
        <v>69.608000000000004</v>
      </c>
      <c r="DG1187" s="122">
        <f>(DG1186+DG1188)/2</f>
        <v>70.532000000000011</v>
      </c>
    </row>
    <row r="1188" spans="54:111" ht="15" customHeight="1" x14ac:dyDescent="0.2">
      <c r="BB1188" s="28">
        <v>32</v>
      </c>
      <c r="BC1188" s="121">
        <v>12.478999999999999</v>
      </c>
      <c r="BD1188" s="121">
        <v>13.891500000000001</v>
      </c>
      <c r="BE1188" s="121">
        <v>15.304</v>
      </c>
      <c r="BF1188" s="121">
        <v>16.630500000000001</v>
      </c>
      <c r="BG1188" s="121">
        <v>17.957000000000001</v>
      </c>
      <c r="BH1188" s="121">
        <v>19.209499999999998</v>
      </c>
      <c r="BI1188" s="121">
        <v>20.462</v>
      </c>
      <c r="BJ1188" s="121">
        <v>21.677999999999997</v>
      </c>
      <c r="BK1188" s="121">
        <v>22.893999999999998</v>
      </c>
      <c r="BL1188" s="121">
        <v>24.043500000000002</v>
      </c>
      <c r="BM1188" s="121">
        <v>25.193000000000001</v>
      </c>
      <c r="BN1188" s="121">
        <v>26.310000000000002</v>
      </c>
      <c r="BO1188" s="121">
        <v>27.427</v>
      </c>
      <c r="BP1188" s="121">
        <v>28.569499999999998</v>
      </c>
      <c r="BQ1188" s="121">
        <v>29.712</v>
      </c>
      <c r="BR1188" s="121">
        <v>30.817</v>
      </c>
      <c r="BS1188" s="121">
        <v>31.922000000000001</v>
      </c>
      <c r="BT1188" s="121">
        <v>32.99</v>
      </c>
      <c r="BU1188" s="121">
        <v>34.058</v>
      </c>
      <c r="BV1188" s="121">
        <v>35.163499999999999</v>
      </c>
      <c r="BW1188" s="121">
        <v>36.268999999999998</v>
      </c>
      <c r="BX1188" s="121">
        <v>37.3125</v>
      </c>
      <c r="BY1188" s="121">
        <v>38.356000000000002</v>
      </c>
      <c r="BZ1188" s="121">
        <v>39.387500000000003</v>
      </c>
      <c r="CA1188" s="121">
        <v>40.418999999999997</v>
      </c>
      <c r="CB1188" s="121">
        <v>41.450499999999998</v>
      </c>
      <c r="CC1188" s="121">
        <v>42.481999999999999</v>
      </c>
      <c r="CD1188" s="121">
        <f t="array" ref="CD1188:CD1216">TRANSPOSE(CE1187:DG1187)</f>
        <v>43.513500000000001</v>
      </c>
      <c r="CE1188" s="158">
        <v>44.545000000000002</v>
      </c>
      <c r="CF1188" s="120">
        <f>(CG1188+CE1188)/2</f>
        <v>45.576000000000001</v>
      </c>
      <c r="CG1188" s="158">
        <v>46.606999999999999</v>
      </c>
      <c r="CH1188" s="120">
        <f>(CI1188+CG1188)/2</f>
        <v>47.613500000000002</v>
      </c>
      <c r="CI1188" s="158">
        <v>48.62</v>
      </c>
      <c r="CJ1188" s="120">
        <f>(CK1188+CI1188)/2</f>
        <v>49.651499999999999</v>
      </c>
      <c r="CK1188" s="158">
        <v>50.683</v>
      </c>
      <c r="CL1188" s="120">
        <f>(CM1188+CK1188)/2</f>
        <v>51.677499999999995</v>
      </c>
      <c r="CM1188" s="158">
        <v>52.671999999999997</v>
      </c>
      <c r="CN1188" s="120">
        <f>(CO1188+CM1188)/2</f>
        <v>53.673999999999999</v>
      </c>
      <c r="CO1188" s="158">
        <v>54.676000000000002</v>
      </c>
      <c r="CP1188" s="120">
        <f>(CQ1188+CO1188)/2</f>
        <v>55.670500000000004</v>
      </c>
      <c r="CQ1188" s="158">
        <v>56.664999999999999</v>
      </c>
      <c r="CR1188" s="120">
        <f>(CS1188+CQ1188)/2</f>
        <v>57.634500000000003</v>
      </c>
      <c r="CS1188" s="158">
        <v>58.603999999999999</v>
      </c>
      <c r="CT1188" s="120">
        <f>(CU1188+CS1188)/2</f>
        <v>59.598500000000001</v>
      </c>
      <c r="CU1188" s="158">
        <v>60.593000000000004</v>
      </c>
      <c r="CV1188" s="120">
        <f>(CW1188+CU1188)/2</f>
        <v>61.587500000000006</v>
      </c>
      <c r="CW1188" s="158">
        <v>62.582000000000001</v>
      </c>
      <c r="CX1188" s="120">
        <f>(CY1188+CW1188)/2</f>
        <v>63.539500000000004</v>
      </c>
      <c r="CY1188" s="158">
        <v>64.497</v>
      </c>
      <c r="CZ1188" s="120">
        <f>(DA1188+CY1188)/2</f>
        <v>65.491500000000002</v>
      </c>
      <c r="DA1188" s="158">
        <v>66.486000000000004</v>
      </c>
      <c r="DB1188" s="120">
        <f>(DC1188+DA1188)/2</f>
        <v>67.419000000000011</v>
      </c>
      <c r="DC1188" s="158">
        <v>68.352000000000004</v>
      </c>
      <c r="DD1188" s="120">
        <f>(DE1188+DC1188)/2</f>
        <v>69.346499999999992</v>
      </c>
      <c r="DE1188" s="158">
        <v>70.340999999999994</v>
      </c>
      <c r="DF1188" s="120">
        <f>(DG1188+DE1188)/2</f>
        <v>71.29849999999999</v>
      </c>
      <c r="DG1188" s="159">
        <v>72.256</v>
      </c>
    </row>
    <row r="1189" spans="54:111" ht="15" customHeight="1" x14ac:dyDescent="0.2">
      <c r="BB1189" s="28">
        <v>33</v>
      </c>
      <c r="BC1189" s="121">
        <v>12.727</v>
      </c>
      <c r="BD1189" s="121">
        <v>14.187750000000001</v>
      </c>
      <c r="BE1189" s="121">
        <v>15.6485</v>
      </c>
      <c r="BF1189" s="121">
        <v>16.993000000000002</v>
      </c>
      <c r="BG1189" s="121">
        <v>18.337499999999999</v>
      </c>
      <c r="BH1189" s="121">
        <v>19.620249999999999</v>
      </c>
      <c r="BI1189" s="121">
        <v>20.902999999999999</v>
      </c>
      <c r="BJ1189" s="121">
        <v>22.140499999999999</v>
      </c>
      <c r="BK1189" s="121">
        <v>23.378</v>
      </c>
      <c r="BL1189" s="121">
        <v>24.559750000000001</v>
      </c>
      <c r="BM1189" s="121">
        <v>25.741500000000002</v>
      </c>
      <c r="BN1189" s="121">
        <v>26.907250000000001</v>
      </c>
      <c r="BO1189" s="121">
        <v>28.073</v>
      </c>
      <c r="BP1189" s="121">
        <v>29.233249999999998</v>
      </c>
      <c r="BQ1189" s="121">
        <v>30.3935</v>
      </c>
      <c r="BR1189" s="121">
        <v>31.520250000000001</v>
      </c>
      <c r="BS1189" s="121">
        <v>32.646999999999998</v>
      </c>
      <c r="BT1189" s="121">
        <v>33.732500000000002</v>
      </c>
      <c r="BU1189" s="121">
        <v>34.817999999999998</v>
      </c>
      <c r="BV1189" s="121">
        <v>35.941499999999998</v>
      </c>
      <c r="BW1189" s="121">
        <v>37.064999999999998</v>
      </c>
      <c r="BX1189" s="121">
        <v>38.138249999999999</v>
      </c>
      <c r="BY1189" s="121">
        <v>39.211500000000001</v>
      </c>
      <c r="BZ1189" s="121">
        <v>40.283000000000001</v>
      </c>
      <c r="CA1189" s="121">
        <v>41.354500000000002</v>
      </c>
      <c r="CB1189" s="121">
        <v>42.416249999999998</v>
      </c>
      <c r="CC1189" s="121">
        <v>43.477999999999994</v>
      </c>
      <c r="CD1189" s="121">
        <v>44.527000000000001</v>
      </c>
      <c r="CE1189" s="121">
        <f t="array" ref="CE1189:CE1216">TRANSPOSE(CF1188:DG1188)</f>
        <v>45.576000000000001</v>
      </c>
      <c r="CF1189" s="120">
        <f>(CE1189+CG1189)/2</f>
        <v>46.625</v>
      </c>
      <c r="CG1189" s="120">
        <f>(CG1188+CG1190)/2</f>
        <v>47.673999999999999</v>
      </c>
      <c r="CH1189" s="120">
        <f>(CG1189+CI1189)/2</f>
        <v>48.714500000000001</v>
      </c>
      <c r="CI1189" s="120">
        <f>(CI1188+CI1190)/2</f>
        <v>49.754999999999995</v>
      </c>
      <c r="CJ1189" s="120">
        <f>(CI1189+CK1189)/2</f>
        <v>50.804249999999996</v>
      </c>
      <c r="CK1189" s="120">
        <f>(CK1188+CK1190)/2</f>
        <v>51.853499999999997</v>
      </c>
      <c r="CL1189" s="120">
        <f>(CK1189+CM1189)/2</f>
        <v>52.865499999999997</v>
      </c>
      <c r="CM1189" s="120">
        <f>(CM1188+CM1190)/2</f>
        <v>53.877499999999998</v>
      </c>
      <c r="CN1189" s="120">
        <f>(CM1189+CO1189)/2</f>
        <v>54.915750000000003</v>
      </c>
      <c r="CO1189" s="120">
        <f>(CO1188+CO1190)/2</f>
        <v>55.954000000000001</v>
      </c>
      <c r="CP1189" s="120">
        <f>(CO1189+CQ1189)/2</f>
        <v>56.966250000000002</v>
      </c>
      <c r="CQ1189" s="120">
        <f>(CQ1188+CQ1190)/2</f>
        <v>57.978499999999997</v>
      </c>
      <c r="CR1189" s="120">
        <f>(CQ1189+CS1189)/2</f>
        <v>58.978499999999997</v>
      </c>
      <c r="CS1189" s="120">
        <f>(CS1188+CS1190)/2</f>
        <v>59.978499999999997</v>
      </c>
      <c r="CT1189" s="120">
        <f>(CS1189+CU1189)/2</f>
        <v>60.990499999999997</v>
      </c>
      <c r="CU1189" s="120">
        <f>(CU1188+CU1190)/2</f>
        <v>62.002499999999998</v>
      </c>
      <c r="CV1189" s="120">
        <f>(CU1189+CW1189)/2</f>
        <v>63.030999999999999</v>
      </c>
      <c r="CW1189" s="120">
        <f>(CW1188+CW1190)/2</f>
        <v>64.0595</v>
      </c>
      <c r="CX1189" s="120">
        <f>(CW1189+CY1189)/2</f>
        <v>65.053249999999991</v>
      </c>
      <c r="CY1189" s="120">
        <f>(CY1188+CY1190)/2</f>
        <v>66.046999999999997</v>
      </c>
      <c r="CZ1189" s="120">
        <f>(CY1189+DA1189)/2</f>
        <v>67.040750000000003</v>
      </c>
      <c r="DA1189" s="120">
        <f>(DA1188+DA1190)/2</f>
        <v>68.034500000000008</v>
      </c>
      <c r="DB1189" s="120">
        <f>(DA1189+DC1189)/2</f>
        <v>69.016000000000005</v>
      </c>
      <c r="DC1189" s="120">
        <f>(DC1188+DC1190)/2</f>
        <v>69.997500000000002</v>
      </c>
      <c r="DD1189" s="120">
        <f>(DC1189+DE1189)/2</f>
        <v>70.995000000000005</v>
      </c>
      <c r="DE1189" s="120">
        <f>(DE1188+DE1190)/2</f>
        <v>71.992500000000007</v>
      </c>
      <c r="DF1189" s="120">
        <f>(DE1189+DG1189)/2</f>
        <v>72.986249999999998</v>
      </c>
      <c r="DG1189" s="122">
        <f>(DG1188+DG1190)/2</f>
        <v>73.97999999999999</v>
      </c>
    </row>
    <row r="1190" spans="54:111" ht="15" customHeight="1" x14ac:dyDescent="0.2">
      <c r="BB1190" s="28">
        <v>34</v>
      </c>
      <c r="BC1190" s="121">
        <v>12.975</v>
      </c>
      <c r="BD1190" s="121">
        <v>14.484</v>
      </c>
      <c r="BE1190" s="121">
        <v>15.993</v>
      </c>
      <c r="BF1190" s="121">
        <v>17.355499999999999</v>
      </c>
      <c r="BG1190" s="121">
        <v>18.718</v>
      </c>
      <c r="BH1190" s="121">
        <v>20.030999999999999</v>
      </c>
      <c r="BI1190" s="121">
        <v>21.344000000000001</v>
      </c>
      <c r="BJ1190" s="121">
        <v>22.603000000000002</v>
      </c>
      <c r="BK1190" s="121">
        <v>23.861999999999998</v>
      </c>
      <c r="BL1190" s="121">
        <v>25.076000000000001</v>
      </c>
      <c r="BM1190" s="121">
        <v>26.29</v>
      </c>
      <c r="BN1190" s="121">
        <v>27.5045</v>
      </c>
      <c r="BO1190" s="121">
        <v>28.719000000000001</v>
      </c>
      <c r="BP1190" s="121">
        <v>29.896999999999998</v>
      </c>
      <c r="BQ1190" s="121">
        <v>31.074999999999999</v>
      </c>
      <c r="BR1190" s="121">
        <v>32.223500000000001</v>
      </c>
      <c r="BS1190" s="121">
        <v>33.372</v>
      </c>
      <c r="BT1190" s="121">
        <v>34.475000000000001</v>
      </c>
      <c r="BU1190" s="121">
        <v>35.578000000000003</v>
      </c>
      <c r="BV1190" s="121">
        <v>36.719499999999996</v>
      </c>
      <c r="BW1190" s="121">
        <v>37.860999999999997</v>
      </c>
      <c r="BX1190" s="121">
        <v>38.963999999999999</v>
      </c>
      <c r="BY1190" s="121">
        <v>40.067</v>
      </c>
      <c r="BZ1190" s="121">
        <v>41.1785</v>
      </c>
      <c r="CA1190" s="121">
        <v>42.29</v>
      </c>
      <c r="CB1190" s="121">
        <v>43.381999999999998</v>
      </c>
      <c r="CC1190" s="121">
        <v>44.473999999999997</v>
      </c>
      <c r="CD1190" s="121">
        <v>45.540499999999994</v>
      </c>
      <c r="CE1190" s="121">
        <v>46.606999999999999</v>
      </c>
      <c r="CF1190" s="121">
        <f t="array" ref="CF1190:CF1216">TRANSPOSE(CG1189:DG1189)</f>
        <v>47.673999999999999</v>
      </c>
      <c r="CG1190" s="158">
        <v>48.741</v>
      </c>
      <c r="CH1190" s="120">
        <f>(CI1190+CG1190)/2</f>
        <v>49.8155</v>
      </c>
      <c r="CI1190" s="158">
        <v>50.89</v>
      </c>
      <c r="CJ1190" s="120">
        <f>(CK1190+CI1190)/2</f>
        <v>51.957000000000001</v>
      </c>
      <c r="CK1190" s="158">
        <v>53.024000000000001</v>
      </c>
      <c r="CL1190" s="120">
        <f>(CM1190+CK1190)/2</f>
        <v>54.0535</v>
      </c>
      <c r="CM1190" s="158">
        <v>55.082999999999998</v>
      </c>
      <c r="CN1190" s="120">
        <f>(CO1190+CM1190)/2</f>
        <v>56.157499999999999</v>
      </c>
      <c r="CO1190" s="158">
        <v>57.231999999999999</v>
      </c>
      <c r="CP1190" s="120">
        <f>(CQ1190+CO1190)/2</f>
        <v>58.262</v>
      </c>
      <c r="CQ1190" s="158">
        <v>59.292000000000002</v>
      </c>
      <c r="CR1190" s="120">
        <f>(CS1190+CQ1190)/2</f>
        <v>60.322500000000005</v>
      </c>
      <c r="CS1190" s="158">
        <v>61.353000000000002</v>
      </c>
      <c r="CT1190" s="120">
        <f>(CU1190+CS1190)/2</f>
        <v>62.3825</v>
      </c>
      <c r="CU1190" s="158">
        <v>63.411999999999999</v>
      </c>
      <c r="CV1190" s="120">
        <f>(CW1190+CU1190)/2</f>
        <v>64.474500000000006</v>
      </c>
      <c r="CW1190" s="158">
        <v>65.537000000000006</v>
      </c>
      <c r="CX1190" s="120">
        <f>(CY1190+CW1190)/2</f>
        <v>66.567000000000007</v>
      </c>
      <c r="CY1190" s="158">
        <v>67.596999999999994</v>
      </c>
      <c r="CZ1190" s="120">
        <f>(DA1190+CY1190)/2</f>
        <v>68.59</v>
      </c>
      <c r="DA1190" s="158">
        <v>69.582999999999998</v>
      </c>
      <c r="DB1190" s="120">
        <f>(DC1190+DA1190)/2</f>
        <v>70.613</v>
      </c>
      <c r="DC1190" s="158">
        <v>71.643000000000001</v>
      </c>
      <c r="DD1190" s="120">
        <f>(DE1190+DC1190)/2</f>
        <v>72.643500000000003</v>
      </c>
      <c r="DE1190" s="158">
        <v>73.644000000000005</v>
      </c>
      <c r="DF1190" s="120">
        <f>(DG1190+DE1190)/2</f>
        <v>74.674000000000007</v>
      </c>
      <c r="DG1190" s="159">
        <v>75.703999999999994</v>
      </c>
    </row>
    <row r="1191" spans="54:111" ht="15" customHeight="1" x14ac:dyDescent="0.2">
      <c r="BB1191" s="28">
        <v>35</v>
      </c>
      <c r="BC1191" s="121">
        <v>13.276</v>
      </c>
      <c r="BD1191" s="121">
        <v>14.784749999999999</v>
      </c>
      <c r="BE1191" s="121">
        <v>16.293500000000002</v>
      </c>
      <c r="BF1191" s="121">
        <v>17.707999999999998</v>
      </c>
      <c r="BG1191" s="121">
        <v>19.122500000000002</v>
      </c>
      <c r="BH1191" s="121">
        <v>20.45975</v>
      </c>
      <c r="BI1191" s="121">
        <v>21.797000000000001</v>
      </c>
      <c r="BJ1191" s="121">
        <v>23.073500000000003</v>
      </c>
      <c r="BK1191" s="121">
        <v>24.35</v>
      </c>
      <c r="BL1191" s="121">
        <v>25.5945</v>
      </c>
      <c r="BM1191" s="121">
        <v>26.838999999999999</v>
      </c>
      <c r="BN1191" s="121">
        <v>28.074750000000002</v>
      </c>
      <c r="BO1191" s="121">
        <v>29.310500000000001</v>
      </c>
      <c r="BP1191" s="121">
        <v>30.518749999999997</v>
      </c>
      <c r="BQ1191" s="121">
        <v>31.726999999999997</v>
      </c>
      <c r="BR1191" s="121">
        <v>32.893000000000001</v>
      </c>
      <c r="BS1191" s="121">
        <v>34.058999999999997</v>
      </c>
      <c r="BT1191" s="121">
        <v>35.198499999999996</v>
      </c>
      <c r="BU1191" s="121">
        <v>36.338000000000001</v>
      </c>
      <c r="BV1191" s="121">
        <v>37.509249999999994</v>
      </c>
      <c r="BW1191" s="121">
        <v>38.680499999999995</v>
      </c>
      <c r="BX1191" s="121">
        <v>39.805499999999995</v>
      </c>
      <c r="BY1191" s="121">
        <v>40.930499999999995</v>
      </c>
      <c r="BZ1191" s="121">
        <v>42.068249999999999</v>
      </c>
      <c r="CA1191" s="121">
        <v>43.206000000000003</v>
      </c>
      <c r="CB1191" s="121">
        <v>44.325249999999997</v>
      </c>
      <c r="CC1191" s="121">
        <v>45.444499999999998</v>
      </c>
      <c r="CD1191" s="121">
        <v>46.528999999999996</v>
      </c>
      <c r="CE1191" s="121">
        <v>47.613500000000002</v>
      </c>
      <c r="CF1191" s="121">
        <v>48.714500000000001</v>
      </c>
      <c r="CG1191" s="121">
        <f t="array" ref="CG1191:CG1216">TRANSPOSE(CH1190:DG1190)</f>
        <v>49.8155</v>
      </c>
      <c r="CH1191" s="120">
        <f>(CG1191+CI1191)/2</f>
        <v>50.922249999999998</v>
      </c>
      <c r="CI1191" s="120">
        <f>(CI1190+CI1192)/2</f>
        <v>52.028999999999996</v>
      </c>
      <c r="CJ1191" s="120">
        <f>(CI1191+CK1191)/2</f>
        <v>53.129999999999995</v>
      </c>
      <c r="CK1191" s="120">
        <f>(CK1190+CK1192)/2</f>
        <v>54.231000000000002</v>
      </c>
      <c r="CL1191" s="120">
        <f>(CK1191+CM1191)/2</f>
        <v>55.260000000000005</v>
      </c>
      <c r="CM1191" s="120">
        <f>(CM1190+CM1192)/2</f>
        <v>56.289000000000001</v>
      </c>
      <c r="CN1191" s="120">
        <f>(CM1191+CO1191)/2</f>
        <v>57.381250000000001</v>
      </c>
      <c r="CO1191" s="120">
        <f>(CO1190+CO1192)/2</f>
        <v>58.473500000000001</v>
      </c>
      <c r="CP1191" s="120">
        <f>(CO1191+CQ1191)/2</f>
        <v>59.552250000000001</v>
      </c>
      <c r="CQ1191" s="120">
        <f>(CQ1190+CQ1192)/2</f>
        <v>60.631</v>
      </c>
      <c r="CR1191" s="120">
        <f>(CQ1191+CS1191)/2</f>
        <v>61.660499999999999</v>
      </c>
      <c r="CS1191" s="120">
        <f>(CS1190+CS1192)/2</f>
        <v>62.69</v>
      </c>
      <c r="CT1191" s="120">
        <f>(CS1191+CU1191)/2</f>
        <v>63.771999999999998</v>
      </c>
      <c r="CU1191" s="120">
        <f>(CU1190+CU1192)/2</f>
        <v>64.853999999999999</v>
      </c>
      <c r="CV1191" s="120">
        <f>(CU1191+CW1191)/2</f>
        <v>65.899499999999989</v>
      </c>
      <c r="CW1191" s="120">
        <f>(CW1190+CW1192)/2</f>
        <v>66.944999999999993</v>
      </c>
      <c r="CX1191" s="120">
        <f>(CW1191+CY1191)/2</f>
        <v>68.015249999999995</v>
      </c>
      <c r="CY1191" s="120">
        <f>(CY1190+CY1192)/2</f>
        <v>69.085499999999996</v>
      </c>
      <c r="CZ1191" s="120">
        <f>(CY1191+DA1191)/2</f>
        <v>70.108499999999992</v>
      </c>
      <c r="DA1191" s="120">
        <f>(DA1190+DA1192)/2</f>
        <v>71.131500000000003</v>
      </c>
      <c r="DB1191" s="120">
        <f>(DA1191+DC1191)/2</f>
        <v>72.201250000000002</v>
      </c>
      <c r="DC1191" s="120">
        <f>(DC1190+DC1192)/2</f>
        <v>73.271000000000001</v>
      </c>
      <c r="DD1191" s="120">
        <f>(DC1191+DE1191)/2</f>
        <v>74.298249999999996</v>
      </c>
      <c r="DE1191" s="120">
        <f>(DE1190+DE1192)/2</f>
        <v>75.325500000000005</v>
      </c>
      <c r="DF1191" s="120">
        <f>(DE1191+DG1191)/2</f>
        <v>76.358499999999992</v>
      </c>
      <c r="DG1191" s="122">
        <f>(DG1190+DG1192)/2</f>
        <v>77.391499999999994</v>
      </c>
    </row>
    <row r="1192" spans="54:111" ht="15" customHeight="1" x14ac:dyDescent="0.2">
      <c r="BB1192" s="28">
        <v>36</v>
      </c>
      <c r="BC1192" s="121">
        <v>13.577</v>
      </c>
      <c r="BD1192" s="121">
        <v>15.0855</v>
      </c>
      <c r="BE1192" s="121">
        <v>16.594000000000001</v>
      </c>
      <c r="BF1192" s="121">
        <v>18.060500000000001</v>
      </c>
      <c r="BG1192" s="121">
        <v>19.527000000000001</v>
      </c>
      <c r="BH1192" s="121">
        <v>20.888500000000001</v>
      </c>
      <c r="BI1192" s="121">
        <v>22.25</v>
      </c>
      <c r="BJ1192" s="121">
        <v>23.544</v>
      </c>
      <c r="BK1192" s="121">
        <v>24.838000000000001</v>
      </c>
      <c r="BL1192" s="121">
        <v>26.113</v>
      </c>
      <c r="BM1192" s="121">
        <v>27.388000000000002</v>
      </c>
      <c r="BN1192" s="121">
        <v>28.645000000000003</v>
      </c>
      <c r="BO1192" s="121">
        <v>29.902000000000001</v>
      </c>
      <c r="BP1192" s="121">
        <v>31.140499999999999</v>
      </c>
      <c r="BQ1192" s="121">
        <v>32.378999999999998</v>
      </c>
      <c r="BR1192" s="121">
        <v>33.5625</v>
      </c>
      <c r="BS1192" s="121">
        <v>34.746000000000002</v>
      </c>
      <c r="BT1192" s="121">
        <v>35.921999999999997</v>
      </c>
      <c r="BU1192" s="121">
        <v>37.097999999999999</v>
      </c>
      <c r="BV1192" s="121">
        <v>38.298999999999999</v>
      </c>
      <c r="BW1192" s="121">
        <v>39.5</v>
      </c>
      <c r="BX1192" s="121">
        <v>40.646999999999998</v>
      </c>
      <c r="BY1192" s="121">
        <v>41.793999999999997</v>
      </c>
      <c r="BZ1192" s="121">
        <v>42.957999999999998</v>
      </c>
      <c r="CA1192" s="121">
        <v>44.122</v>
      </c>
      <c r="CB1192" s="121">
        <v>45.268500000000003</v>
      </c>
      <c r="CC1192" s="121">
        <v>46.414999999999999</v>
      </c>
      <c r="CD1192" s="121">
        <v>47.517499999999998</v>
      </c>
      <c r="CE1192" s="121">
        <v>48.62</v>
      </c>
      <c r="CF1192" s="121">
        <v>49.754999999999995</v>
      </c>
      <c r="CG1192" s="121">
        <v>50.89</v>
      </c>
      <c r="CH1192" s="121">
        <f t="array" ref="CH1192:CH1216">TRANSPOSE(CI1191:DG1191)</f>
        <v>52.028999999999996</v>
      </c>
      <c r="CI1192" s="158">
        <v>53.167999999999999</v>
      </c>
      <c r="CJ1192" s="120">
        <f>(CK1192+CI1192)/2</f>
        <v>54.302999999999997</v>
      </c>
      <c r="CK1192" s="158">
        <v>55.438000000000002</v>
      </c>
      <c r="CL1192" s="120">
        <f>(CM1192+CK1192)/2</f>
        <v>56.466499999999996</v>
      </c>
      <c r="CM1192" s="158">
        <v>57.494999999999997</v>
      </c>
      <c r="CN1192" s="120">
        <f>(CO1192+CM1192)/2</f>
        <v>58.605000000000004</v>
      </c>
      <c r="CO1192" s="158">
        <v>59.715000000000003</v>
      </c>
      <c r="CP1192" s="120">
        <f>(CQ1192+CO1192)/2</f>
        <v>60.842500000000001</v>
      </c>
      <c r="CQ1192" s="158">
        <v>61.97</v>
      </c>
      <c r="CR1192" s="120">
        <f>(CS1192+CQ1192)/2</f>
        <v>62.9985</v>
      </c>
      <c r="CS1192" s="158">
        <v>64.027000000000001</v>
      </c>
      <c r="CT1192" s="120">
        <f>(CU1192+CS1192)/2</f>
        <v>65.161500000000004</v>
      </c>
      <c r="CU1192" s="158">
        <v>66.296000000000006</v>
      </c>
      <c r="CV1192" s="120">
        <f>(CW1192+CU1192)/2</f>
        <v>67.3245</v>
      </c>
      <c r="CW1192" s="158">
        <v>68.352999999999994</v>
      </c>
      <c r="CX1192" s="120">
        <f>(CY1192+CW1192)/2</f>
        <v>69.463499999999996</v>
      </c>
      <c r="CY1192" s="158">
        <v>70.573999999999998</v>
      </c>
      <c r="CZ1192" s="120">
        <f>(DA1192+CY1192)/2</f>
        <v>71.62700000000001</v>
      </c>
      <c r="DA1192" s="158">
        <v>72.680000000000007</v>
      </c>
      <c r="DB1192" s="120">
        <f>(DC1192+DA1192)/2</f>
        <v>73.789500000000004</v>
      </c>
      <c r="DC1192" s="158">
        <v>74.899000000000001</v>
      </c>
      <c r="DD1192" s="120">
        <f>(DE1192+DC1192)/2</f>
        <v>75.953000000000003</v>
      </c>
      <c r="DE1192" s="158">
        <v>77.007000000000005</v>
      </c>
      <c r="DF1192" s="120">
        <f>(DG1192+DE1192)/2</f>
        <v>78.043000000000006</v>
      </c>
      <c r="DG1192" s="159">
        <v>79.078999999999994</v>
      </c>
    </row>
    <row r="1193" spans="54:111" ht="15" customHeight="1" x14ac:dyDescent="0.2">
      <c r="BB1193" s="28">
        <v>37</v>
      </c>
      <c r="BC1193" s="121">
        <v>13.817</v>
      </c>
      <c r="BD1193" s="121">
        <v>15.377750000000001</v>
      </c>
      <c r="BE1193" s="121">
        <v>16.938500000000001</v>
      </c>
      <c r="BF1193" s="121">
        <v>18.423000000000002</v>
      </c>
      <c r="BG1193" s="121">
        <v>19.907499999999999</v>
      </c>
      <c r="BH1193" s="121">
        <v>21.298749999999998</v>
      </c>
      <c r="BI1193" s="121">
        <v>22.689999999999998</v>
      </c>
      <c r="BJ1193" s="121">
        <v>24.020499999999998</v>
      </c>
      <c r="BK1193" s="121">
        <v>25.350999999999999</v>
      </c>
      <c r="BL1193" s="121">
        <v>26.647500000000001</v>
      </c>
      <c r="BM1193" s="121">
        <v>27.944000000000003</v>
      </c>
      <c r="BN1193" s="121">
        <v>29.227500000000003</v>
      </c>
      <c r="BO1193" s="121">
        <v>30.511000000000003</v>
      </c>
      <c r="BP1193" s="121">
        <v>31.758249999999997</v>
      </c>
      <c r="BQ1193" s="121">
        <v>33.005499999999998</v>
      </c>
      <c r="BR1193" s="121">
        <v>34.234000000000002</v>
      </c>
      <c r="BS1193" s="121">
        <v>35.462500000000006</v>
      </c>
      <c r="BT1193" s="121">
        <v>36.672499999999999</v>
      </c>
      <c r="BU1193" s="121">
        <v>37.8825</v>
      </c>
      <c r="BV1193" s="121">
        <v>39.092749999999995</v>
      </c>
      <c r="BW1193" s="121">
        <v>40.302999999999997</v>
      </c>
      <c r="BX1193" s="121">
        <v>41.47625</v>
      </c>
      <c r="BY1193" s="121">
        <v>42.649500000000003</v>
      </c>
      <c r="BZ1193" s="121">
        <v>43.835250000000002</v>
      </c>
      <c r="CA1193" s="121">
        <v>45.021000000000001</v>
      </c>
      <c r="CB1193" s="121">
        <v>46.197500000000005</v>
      </c>
      <c r="CC1193" s="121">
        <v>47.373999999999995</v>
      </c>
      <c r="CD1193" s="121">
        <v>48.512749999999997</v>
      </c>
      <c r="CE1193" s="121">
        <v>49.651499999999999</v>
      </c>
      <c r="CF1193" s="121">
        <v>50.804249999999996</v>
      </c>
      <c r="CG1193" s="121">
        <v>51.957000000000001</v>
      </c>
      <c r="CH1193" s="121">
        <v>53.129999999999995</v>
      </c>
      <c r="CI1193" s="121">
        <f t="array" ref="CI1193:CI1216">TRANSPOSE(CJ1192:DG1192)</f>
        <v>54.302999999999997</v>
      </c>
      <c r="CJ1193" s="120">
        <f>(CI1193+CK1193)/2</f>
        <v>55.439499999999995</v>
      </c>
      <c r="CK1193" s="120">
        <f>(CK1192+CK1194)/2</f>
        <v>56.576000000000001</v>
      </c>
      <c r="CL1193" s="120">
        <f>(CK1193+CM1193)/2</f>
        <v>57.638499999999993</v>
      </c>
      <c r="CM1193" s="120">
        <f>(CM1192+CM1194)/2</f>
        <v>58.700999999999993</v>
      </c>
      <c r="CN1193" s="120">
        <f>(CM1193+CO1193)/2</f>
        <v>59.841249999999995</v>
      </c>
      <c r="CO1193" s="120">
        <f>(CO1192+CO1194)/2</f>
        <v>60.981499999999997</v>
      </c>
      <c r="CP1193" s="120">
        <f>(CO1193+CQ1193)/2</f>
        <v>62.113749999999996</v>
      </c>
      <c r="CQ1193" s="120">
        <f>(CQ1192+CQ1194)/2</f>
        <v>63.246000000000002</v>
      </c>
      <c r="CR1193" s="120">
        <f>(CQ1193+CS1193)/2</f>
        <v>64.345500000000001</v>
      </c>
      <c r="CS1193" s="120">
        <f>(CS1192+CS1194)/2</f>
        <v>65.444999999999993</v>
      </c>
      <c r="CT1193" s="120">
        <f>(CS1193+CU1193)/2</f>
        <v>66.56049999999999</v>
      </c>
      <c r="CU1193" s="120">
        <f>(CU1192+CU1194)/2</f>
        <v>67.676000000000002</v>
      </c>
      <c r="CV1193" s="120">
        <f>(CU1193+CW1193)/2</f>
        <v>68.771749999999997</v>
      </c>
      <c r="CW1193" s="120">
        <f>(CW1192+CW1194)/2</f>
        <v>69.867500000000007</v>
      </c>
      <c r="CX1193" s="120">
        <f>(CW1193+CY1193)/2</f>
        <v>70.958500000000001</v>
      </c>
      <c r="CY1193" s="120">
        <f>(CY1192+CY1194)/2</f>
        <v>72.049499999999995</v>
      </c>
      <c r="CZ1193" s="120">
        <f>(CY1193+DA1193)/2</f>
        <v>73.157499999999999</v>
      </c>
      <c r="DA1193" s="120">
        <f>(DA1192+DA1194)/2</f>
        <v>74.265500000000003</v>
      </c>
      <c r="DB1193" s="120">
        <f>(DA1193+DC1193)/2</f>
        <v>75.368499999999997</v>
      </c>
      <c r="DC1193" s="120">
        <f>(DC1192+DC1194)/2</f>
        <v>76.471499999999992</v>
      </c>
      <c r="DD1193" s="120">
        <f>(DC1193+DE1193)/2</f>
        <v>77.533999999999992</v>
      </c>
      <c r="DE1193" s="120">
        <f>(DE1192+DE1194)/2</f>
        <v>78.596500000000006</v>
      </c>
      <c r="DF1193" s="120">
        <f>(DE1193+DG1193)/2</f>
        <v>79.695999999999998</v>
      </c>
      <c r="DG1193" s="122">
        <f>(DG1192+DG1194)/2</f>
        <v>80.795500000000004</v>
      </c>
    </row>
    <row r="1194" spans="54:111" ht="15" customHeight="1" x14ac:dyDescent="0.2">
      <c r="BB1194" s="28">
        <v>38</v>
      </c>
      <c r="BC1194" s="121">
        <v>14.057</v>
      </c>
      <c r="BD1194" s="121">
        <v>15.670000000000002</v>
      </c>
      <c r="BE1194" s="121">
        <v>17.283000000000001</v>
      </c>
      <c r="BF1194" s="121">
        <v>18.785499999999999</v>
      </c>
      <c r="BG1194" s="121">
        <v>20.288</v>
      </c>
      <c r="BH1194" s="121">
        <v>21.709</v>
      </c>
      <c r="BI1194" s="121">
        <v>23.13</v>
      </c>
      <c r="BJ1194" s="121">
        <v>24.497</v>
      </c>
      <c r="BK1194" s="121">
        <v>25.864000000000001</v>
      </c>
      <c r="BL1194" s="121">
        <v>27.182000000000002</v>
      </c>
      <c r="BM1194" s="121">
        <v>28.5</v>
      </c>
      <c r="BN1194" s="121">
        <v>29.810000000000002</v>
      </c>
      <c r="BO1194" s="121">
        <v>31.12</v>
      </c>
      <c r="BP1194" s="121">
        <v>32.375999999999998</v>
      </c>
      <c r="BQ1194" s="121">
        <v>33.631999999999998</v>
      </c>
      <c r="BR1194" s="121">
        <v>34.905500000000004</v>
      </c>
      <c r="BS1194" s="121">
        <v>36.179000000000002</v>
      </c>
      <c r="BT1194" s="121">
        <v>37.423000000000002</v>
      </c>
      <c r="BU1194" s="121">
        <v>38.667000000000002</v>
      </c>
      <c r="BV1194" s="121">
        <v>39.886499999999998</v>
      </c>
      <c r="BW1194" s="121">
        <v>41.106000000000002</v>
      </c>
      <c r="BX1194" s="121">
        <v>42.305500000000002</v>
      </c>
      <c r="BY1194" s="121">
        <v>43.505000000000003</v>
      </c>
      <c r="BZ1194" s="121">
        <v>44.712500000000006</v>
      </c>
      <c r="CA1194" s="121">
        <v>45.92</v>
      </c>
      <c r="CB1194" s="121">
        <v>47.1265</v>
      </c>
      <c r="CC1194" s="121">
        <v>48.332999999999998</v>
      </c>
      <c r="CD1194" s="121">
        <v>49.507999999999996</v>
      </c>
      <c r="CE1194" s="121">
        <v>50.683</v>
      </c>
      <c r="CF1194" s="121">
        <v>51.853499999999997</v>
      </c>
      <c r="CG1194" s="121">
        <v>53.024000000000001</v>
      </c>
      <c r="CH1194" s="121">
        <v>54.231000000000002</v>
      </c>
      <c r="CI1194" s="121">
        <v>55.438000000000002</v>
      </c>
      <c r="CJ1194" s="121">
        <f t="array" ref="CJ1194:CJ1216">TRANSPOSE(CK1193:DG1193)</f>
        <v>56.576000000000001</v>
      </c>
      <c r="CK1194" s="158">
        <v>57.713999999999999</v>
      </c>
      <c r="CL1194" s="120">
        <f>(CM1194+CK1194)/2</f>
        <v>58.810499999999998</v>
      </c>
      <c r="CM1194" s="158">
        <v>59.906999999999996</v>
      </c>
      <c r="CN1194" s="120">
        <f>(CO1194+CM1194)/2</f>
        <v>61.077500000000001</v>
      </c>
      <c r="CO1194" s="158">
        <v>62.247999999999998</v>
      </c>
      <c r="CP1194" s="120">
        <f>(CQ1194+CO1194)/2</f>
        <v>63.385000000000005</v>
      </c>
      <c r="CQ1194" s="158">
        <v>64.522000000000006</v>
      </c>
      <c r="CR1194" s="120">
        <f>(CS1194+CQ1194)/2</f>
        <v>65.692499999999995</v>
      </c>
      <c r="CS1194" s="158">
        <v>66.863</v>
      </c>
      <c r="CT1194" s="120">
        <f>(CU1194+CS1194)/2</f>
        <v>67.959499999999991</v>
      </c>
      <c r="CU1194" s="158">
        <v>69.055999999999997</v>
      </c>
      <c r="CV1194" s="120">
        <f>(CW1194+CU1194)/2</f>
        <v>70.218999999999994</v>
      </c>
      <c r="CW1194" s="158">
        <v>71.382000000000005</v>
      </c>
      <c r="CX1194" s="120">
        <f>(CY1194+CW1194)/2</f>
        <v>72.453500000000005</v>
      </c>
      <c r="CY1194" s="158">
        <v>73.525000000000006</v>
      </c>
      <c r="CZ1194" s="120">
        <f>(DA1194+CY1194)/2</f>
        <v>74.688000000000002</v>
      </c>
      <c r="DA1194" s="158">
        <v>75.850999999999999</v>
      </c>
      <c r="DB1194" s="120">
        <f>(DC1194+DA1194)/2</f>
        <v>76.947499999999991</v>
      </c>
      <c r="DC1194" s="158">
        <v>78.043999999999997</v>
      </c>
      <c r="DD1194" s="120">
        <f>(DE1194+DC1194)/2</f>
        <v>79.115000000000009</v>
      </c>
      <c r="DE1194" s="158">
        <v>80.186000000000007</v>
      </c>
      <c r="DF1194" s="120">
        <f>(DG1194+DE1194)/2</f>
        <v>81.349000000000004</v>
      </c>
      <c r="DG1194" s="159">
        <v>82.512</v>
      </c>
    </row>
    <row r="1195" spans="54:111" ht="15" customHeight="1" x14ac:dyDescent="0.2">
      <c r="BB1195" s="28">
        <v>39</v>
      </c>
      <c r="BC1195" s="121">
        <v>14.33</v>
      </c>
      <c r="BD1195" s="121">
        <v>15.960500000000001</v>
      </c>
      <c r="BE1195" s="121">
        <v>17.591000000000001</v>
      </c>
      <c r="BF1195" s="121">
        <v>19.12575</v>
      </c>
      <c r="BG1195" s="121">
        <v>20.660499999999999</v>
      </c>
      <c r="BH1195" s="121">
        <v>22.103250000000003</v>
      </c>
      <c r="BI1195" s="121">
        <v>23.545999999999999</v>
      </c>
      <c r="BJ1195" s="121">
        <v>24.942999999999998</v>
      </c>
      <c r="BK1195" s="121">
        <v>26.34</v>
      </c>
      <c r="BL1195" s="121">
        <v>27.694000000000003</v>
      </c>
      <c r="BM1195" s="121">
        <v>29.048000000000002</v>
      </c>
      <c r="BN1195" s="121">
        <v>30.3795</v>
      </c>
      <c r="BO1195" s="121">
        <v>31.710999999999999</v>
      </c>
      <c r="BP1195" s="121">
        <v>32.997500000000002</v>
      </c>
      <c r="BQ1195" s="121">
        <v>34.283999999999999</v>
      </c>
      <c r="BR1195" s="121">
        <v>35.575000000000003</v>
      </c>
      <c r="BS1195" s="121">
        <v>36.866</v>
      </c>
      <c r="BT1195" s="121">
        <v>38.128</v>
      </c>
      <c r="BU1195" s="121">
        <v>39.39</v>
      </c>
      <c r="BV1195" s="121">
        <v>40.639499999999998</v>
      </c>
      <c r="BW1195" s="121">
        <v>41.888999999999996</v>
      </c>
      <c r="BX1195" s="121">
        <v>43.128500000000003</v>
      </c>
      <c r="BY1195" s="121">
        <v>44.368000000000002</v>
      </c>
      <c r="BZ1195" s="121">
        <v>45.593000000000004</v>
      </c>
      <c r="CA1195" s="121">
        <v>46.817999999999998</v>
      </c>
      <c r="CB1195" s="121">
        <v>48.042749999999998</v>
      </c>
      <c r="CC1195" s="121">
        <v>49.267499999999998</v>
      </c>
      <c r="CD1195" s="121">
        <v>50.472499999999997</v>
      </c>
      <c r="CE1195" s="121">
        <v>51.677499999999995</v>
      </c>
      <c r="CF1195" s="121">
        <v>52.865499999999997</v>
      </c>
      <c r="CG1195" s="121">
        <v>54.0535</v>
      </c>
      <c r="CH1195" s="121">
        <v>55.260000000000005</v>
      </c>
      <c r="CI1195" s="121">
        <v>56.466499999999996</v>
      </c>
      <c r="CJ1195" s="121">
        <v>57.638499999999993</v>
      </c>
      <c r="CK1195" s="121">
        <f t="array" ref="CK1195:CK1216">TRANSPOSE(CL1194:DG1194)</f>
        <v>58.810499999999998</v>
      </c>
      <c r="CL1195" s="120">
        <f>(CK1195+CM1195)/2</f>
        <v>59.961500000000001</v>
      </c>
      <c r="CM1195" s="120">
        <f>(CM1194+CM1196)/2</f>
        <v>61.112499999999997</v>
      </c>
      <c r="CN1195" s="120">
        <f>(CM1195+CO1195)/2</f>
        <v>62.3005</v>
      </c>
      <c r="CO1195" s="120">
        <f>(CO1194+CO1196)/2</f>
        <v>63.488500000000002</v>
      </c>
      <c r="CP1195" s="120">
        <f>(CO1195+CQ1195)/2</f>
        <v>64.65625</v>
      </c>
      <c r="CQ1195" s="120">
        <f>(CQ1194+CQ1196)/2</f>
        <v>65.824000000000012</v>
      </c>
      <c r="CR1195" s="120">
        <f>(CQ1195+CS1195)/2</f>
        <v>67.012250000000009</v>
      </c>
      <c r="CS1195" s="120">
        <f>(CS1194+CS1196)/2</f>
        <v>68.200500000000005</v>
      </c>
      <c r="CT1195" s="120">
        <f>(CS1195+CU1195)/2</f>
        <v>69.314750000000004</v>
      </c>
      <c r="CU1195" s="120">
        <f>(CU1194+CU1196)/2</f>
        <v>70.429000000000002</v>
      </c>
      <c r="CV1195" s="120">
        <f>(CU1195+CW1195)/2</f>
        <v>71.613500000000002</v>
      </c>
      <c r="CW1195" s="120">
        <f>(CW1194+CW1196)/2</f>
        <v>72.798000000000002</v>
      </c>
      <c r="CX1195" s="120">
        <f>(CW1195+CY1195)/2</f>
        <v>73.936499999999995</v>
      </c>
      <c r="CY1195" s="120">
        <f>(CY1194+CY1196)/2</f>
        <v>75.075000000000003</v>
      </c>
      <c r="CZ1195" s="120">
        <f>(CY1195+DA1195)/2</f>
        <v>76.222499999999997</v>
      </c>
      <c r="DA1195" s="120">
        <f>(DA1194+DA1196)/2</f>
        <v>77.37</v>
      </c>
      <c r="DB1195" s="120">
        <f>(DA1195+DC1195)/2</f>
        <v>78.521250000000009</v>
      </c>
      <c r="DC1195" s="120">
        <f>(DC1194+DC1196)/2</f>
        <v>79.672499999999999</v>
      </c>
      <c r="DD1195" s="120">
        <f>(DC1195+DE1195)/2</f>
        <v>80.770250000000004</v>
      </c>
      <c r="DE1195" s="120">
        <f>(DE1194+DE1196)/2</f>
        <v>81.867999999999995</v>
      </c>
      <c r="DF1195" s="120">
        <f>(DE1195+DG1195)/2</f>
        <v>83.015249999999995</v>
      </c>
      <c r="DG1195" s="122">
        <f>(DG1194+DG1196)/2</f>
        <v>84.162499999999994</v>
      </c>
    </row>
    <row r="1196" spans="54:111" ht="15" customHeight="1" x14ac:dyDescent="0.2">
      <c r="BB1196" s="28">
        <v>40</v>
      </c>
      <c r="BC1196" s="121">
        <v>14.603</v>
      </c>
      <c r="BD1196" s="121">
        <v>16.251000000000001</v>
      </c>
      <c r="BE1196" s="121">
        <v>17.899000000000001</v>
      </c>
      <c r="BF1196" s="121">
        <v>19.466000000000001</v>
      </c>
      <c r="BG1196" s="121">
        <v>21.033000000000001</v>
      </c>
      <c r="BH1196" s="121">
        <v>22.497500000000002</v>
      </c>
      <c r="BI1196" s="121">
        <v>23.962</v>
      </c>
      <c r="BJ1196" s="121">
        <v>25.388999999999999</v>
      </c>
      <c r="BK1196" s="121">
        <v>26.815999999999999</v>
      </c>
      <c r="BL1196" s="121">
        <v>28.206</v>
      </c>
      <c r="BM1196" s="121">
        <v>29.596</v>
      </c>
      <c r="BN1196" s="121">
        <v>30.948999999999998</v>
      </c>
      <c r="BO1196" s="121">
        <v>32.302</v>
      </c>
      <c r="BP1196" s="121">
        <v>33.619</v>
      </c>
      <c r="BQ1196" s="121">
        <v>34.936</v>
      </c>
      <c r="BR1196" s="121">
        <v>36.244500000000002</v>
      </c>
      <c r="BS1196" s="121">
        <v>37.552999999999997</v>
      </c>
      <c r="BT1196" s="121">
        <v>38.832999999999998</v>
      </c>
      <c r="BU1196" s="121">
        <v>40.113</v>
      </c>
      <c r="BV1196" s="121">
        <v>41.392499999999998</v>
      </c>
      <c r="BW1196" s="121">
        <v>42.671999999999997</v>
      </c>
      <c r="BX1196" s="121">
        <v>43.951499999999996</v>
      </c>
      <c r="BY1196" s="121">
        <v>45.231000000000002</v>
      </c>
      <c r="BZ1196" s="121">
        <v>46.473500000000001</v>
      </c>
      <c r="CA1196" s="121">
        <v>47.716000000000001</v>
      </c>
      <c r="CB1196" s="121">
        <v>48.959000000000003</v>
      </c>
      <c r="CC1196" s="121">
        <v>50.201999999999998</v>
      </c>
      <c r="CD1196" s="121">
        <v>51.436999999999998</v>
      </c>
      <c r="CE1196" s="121">
        <v>52.671999999999997</v>
      </c>
      <c r="CF1196" s="121">
        <v>53.877499999999998</v>
      </c>
      <c r="CG1196" s="121">
        <v>55.082999999999998</v>
      </c>
      <c r="CH1196" s="121">
        <v>56.289000000000001</v>
      </c>
      <c r="CI1196" s="121">
        <v>57.494999999999997</v>
      </c>
      <c r="CJ1196" s="121">
        <v>58.700999999999993</v>
      </c>
      <c r="CK1196" s="121">
        <v>59.906999999999996</v>
      </c>
      <c r="CL1196" s="121">
        <f t="array" ref="CL1196:CL1216">TRANSPOSE(CM1195:DG1195)</f>
        <v>61.112499999999997</v>
      </c>
      <c r="CM1196" s="158">
        <v>62.317999999999998</v>
      </c>
      <c r="CN1196" s="120">
        <f>(CO1196+CM1196)/2</f>
        <v>63.523499999999999</v>
      </c>
      <c r="CO1196" s="158">
        <v>64.728999999999999</v>
      </c>
      <c r="CP1196" s="120">
        <f>(CQ1196+CO1196)/2</f>
        <v>65.927500000000009</v>
      </c>
      <c r="CQ1196" s="158">
        <v>67.126000000000005</v>
      </c>
      <c r="CR1196" s="120">
        <f>(CS1196+CQ1196)/2</f>
        <v>68.331999999999994</v>
      </c>
      <c r="CS1196" s="158">
        <v>69.537999999999997</v>
      </c>
      <c r="CT1196" s="120">
        <f>(CU1196+CS1196)/2</f>
        <v>70.67</v>
      </c>
      <c r="CU1196" s="158">
        <v>71.802000000000007</v>
      </c>
      <c r="CV1196" s="120">
        <f>(CW1196+CU1196)/2</f>
        <v>73.00800000000001</v>
      </c>
      <c r="CW1196" s="158">
        <v>74.213999999999999</v>
      </c>
      <c r="CX1196" s="120">
        <f>(CY1196+CW1196)/2</f>
        <v>75.419499999999999</v>
      </c>
      <c r="CY1196" s="158">
        <v>76.625</v>
      </c>
      <c r="CZ1196" s="120">
        <f>(DA1196+CY1196)/2</f>
        <v>77.757000000000005</v>
      </c>
      <c r="DA1196" s="158">
        <v>78.888999999999996</v>
      </c>
      <c r="DB1196" s="120">
        <f>(DC1196+DA1196)/2</f>
        <v>80.094999999999999</v>
      </c>
      <c r="DC1196" s="158">
        <v>81.301000000000002</v>
      </c>
      <c r="DD1196" s="120">
        <f>(DE1196+DC1196)/2</f>
        <v>82.4255</v>
      </c>
      <c r="DE1196" s="158">
        <v>83.55</v>
      </c>
      <c r="DF1196" s="120">
        <f>(DG1196+DE1196)/2</f>
        <v>84.6815</v>
      </c>
      <c r="DG1196" s="159">
        <v>85.813000000000002</v>
      </c>
    </row>
    <row r="1197" spans="54:111" ht="15" customHeight="1" x14ac:dyDescent="0.2">
      <c r="BB1197" s="28">
        <v>41</v>
      </c>
      <c r="BC1197" s="121">
        <v>14.867000000000001</v>
      </c>
      <c r="BD1197" s="121">
        <v>16.551500000000001</v>
      </c>
      <c r="BE1197" s="121">
        <v>18.236000000000001</v>
      </c>
      <c r="BF1197" s="121">
        <v>19.824750000000002</v>
      </c>
      <c r="BG1197" s="121">
        <v>21.413499999999999</v>
      </c>
      <c r="BH1197" s="121">
        <v>22.90775</v>
      </c>
      <c r="BI1197" s="121">
        <v>24.402000000000001</v>
      </c>
      <c r="BJ1197" s="121">
        <v>25.847000000000001</v>
      </c>
      <c r="BK1197" s="121">
        <v>27.292000000000002</v>
      </c>
      <c r="BL1197" s="121">
        <v>28.718249999999998</v>
      </c>
      <c r="BM1197" s="121">
        <v>30.144500000000001</v>
      </c>
      <c r="BN1197" s="121">
        <v>31.515499999999999</v>
      </c>
      <c r="BO1197" s="121">
        <v>32.886499999999998</v>
      </c>
      <c r="BP1197" s="121">
        <v>34.233499999999999</v>
      </c>
      <c r="BQ1197" s="121">
        <v>35.580500000000001</v>
      </c>
      <c r="BR1197" s="121">
        <v>36.910499999999999</v>
      </c>
      <c r="BS1197" s="121">
        <v>38.240499999999997</v>
      </c>
      <c r="BT1197" s="121">
        <v>39.5565</v>
      </c>
      <c r="BU1197" s="121">
        <v>40.872500000000002</v>
      </c>
      <c r="BV1197" s="121">
        <v>42.182249999999996</v>
      </c>
      <c r="BW1197" s="121">
        <v>43.491999999999997</v>
      </c>
      <c r="BX1197" s="121">
        <v>44.789249999999996</v>
      </c>
      <c r="BY1197" s="121">
        <v>46.086500000000001</v>
      </c>
      <c r="BZ1197" s="121">
        <v>47.347000000000001</v>
      </c>
      <c r="CA1197" s="121">
        <v>48.607500000000002</v>
      </c>
      <c r="CB1197" s="121">
        <v>49.880250000000004</v>
      </c>
      <c r="CC1197" s="121">
        <v>51.152999999999999</v>
      </c>
      <c r="CD1197" s="121">
        <v>52.413499999999999</v>
      </c>
      <c r="CE1197" s="121">
        <v>53.673999999999999</v>
      </c>
      <c r="CF1197" s="121">
        <v>54.915750000000003</v>
      </c>
      <c r="CG1197" s="121">
        <v>56.157499999999999</v>
      </c>
      <c r="CH1197" s="121">
        <v>57.381250000000001</v>
      </c>
      <c r="CI1197" s="121">
        <v>58.605000000000004</v>
      </c>
      <c r="CJ1197" s="121">
        <v>59.841249999999995</v>
      </c>
      <c r="CK1197" s="121">
        <v>61.077500000000001</v>
      </c>
      <c r="CL1197" s="121">
        <v>62.3005</v>
      </c>
      <c r="CM1197" s="121">
        <f t="array" ref="CM1197:CM1216">TRANSPOSE(CN1196:DG1196)</f>
        <v>63.523499999999999</v>
      </c>
      <c r="CN1197" s="120">
        <f>(CM1197+CO1197)/2</f>
        <v>64.747</v>
      </c>
      <c r="CO1197" s="120">
        <f>(CO1196+CO1198)/2</f>
        <v>65.970500000000001</v>
      </c>
      <c r="CP1197" s="120">
        <f>(CO1197+CQ1197)/2</f>
        <v>67.203000000000003</v>
      </c>
      <c r="CQ1197" s="120">
        <f>(CQ1196+CQ1198)/2</f>
        <v>68.435500000000005</v>
      </c>
      <c r="CR1197" s="120">
        <f>(CQ1197+CS1197)/2</f>
        <v>69.658999999999992</v>
      </c>
      <c r="CS1197" s="120">
        <f>(CS1196+CS1198)/2</f>
        <v>70.882499999999993</v>
      </c>
      <c r="CT1197" s="120">
        <f>(CS1197+CU1197)/2</f>
        <v>72.069000000000003</v>
      </c>
      <c r="CU1197" s="120">
        <f>(CU1196+CU1198)/2</f>
        <v>73.255500000000012</v>
      </c>
      <c r="CV1197" s="120">
        <f>(CU1197+CW1197)/2</f>
        <v>74.454750000000004</v>
      </c>
      <c r="CW1197" s="120">
        <f>(CW1196+CW1198)/2</f>
        <v>75.653999999999996</v>
      </c>
      <c r="CX1197" s="120">
        <f>(CW1197+CY1197)/2</f>
        <v>76.877250000000004</v>
      </c>
      <c r="CY1197" s="120">
        <f>(CY1196+CY1198)/2</f>
        <v>78.100499999999997</v>
      </c>
      <c r="CZ1197" s="120">
        <f>(CY1197+DA1197)/2</f>
        <v>79.250499999999988</v>
      </c>
      <c r="DA1197" s="120">
        <f>(DA1196+DA1198)/2</f>
        <v>80.400499999999994</v>
      </c>
      <c r="DB1197" s="120">
        <f>(DA1197+DC1197)/2</f>
        <v>81.624249999999989</v>
      </c>
      <c r="DC1197" s="120">
        <f>(DC1196+DC1198)/2</f>
        <v>82.847999999999999</v>
      </c>
      <c r="DD1197" s="120">
        <f>(DC1197+DE1197)/2</f>
        <v>84.006249999999994</v>
      </c>
      <c r="DE1197" s="120">
        <f>(DE1196+DE1198)/2</f>
        <v>85.164500000000004</v>
      </c>
      <c r="DF1197" s="120">
        <f>(DE1197+DG1197)/2</f>
        <v>86.350999999999999</v>
      </c>
      <c r="DG1197" s="122">
        <f>(DG1196+DG1198)/2</f>
        <v>87.537499999999994</v>
      </c>
    </row>
    <row r="1198" spans="54:111" ht="15" customHeight="1" x14ac:dyDescent="0.2">
      <c r="BB1198" s="28">
        <v>42</v>
      </c>
      <c r="BC1198" s="121">
        <v>15.131</v>
      </c>
      <c r="BD1198" s="121">
        <v>16.852</v>
      </c>
      <c r="BE1198" s="121">
        <v>18.573</v>
      </c>
      <c r="BF1198" s="121">
        <v>20.183500000000002</v>
      </c>
      <c r="BG1198" s="121">
        <v>21.794</v>
      </c>
      <c r="BH1198" s="121">
        <v>23.317999999999998</v>
      </c>
      <c r="BI1198" s="121">
        <v>24.841999999999999</v>
      </c>
      <c r="BJ1198" s="121">
        <v>26.305</v>
      </c>
      <c r="BK1198" s="121">
        <v>27.768000000000001</v>
      </c>
      <c r="BL1198" s="121">
        <v>29.230499999999999</v>
      </c>
      <c r="BM1198" s="121">
        <v>30.693000000000001</v>
      </c>
      <c r="BN1198" s="121">
        <v>32.082000000000001</v>
      </c>
      <c r="BO1198" s="121">
        <v>33.470999999999997</v>
      </c>
      <c r="BP1198" s="121">
        <v>34.847999999999999</v>
      </c>
      <c r="BQ1198" s="121">
        <v>36.225000000000001</v>
      </c>
      <c r="BR1198" s="121">
        <v>37.576499999999996</v>
      </c>
      <c r="BS1198" s="121">
        <v>38.927999999999997</v>
      </c>
      <c r="BT1198" s="121">
        <v>40.28</v>
      </c>
      <c r="BU1198" s="121">
        <v>41.631999999999998</v>
      </c>
      <c r="BV1198" s="121">
        <v>42.971999999999994</v>
      </c>
      <c r="BW1198" s="121">
        <v>44.311999999999998</v>
      </c>
      <c r="BX1198" s="121">
        <v>45.626999999999995</v>
      </c>
      <c r="BY1198" s="121">
        <v>46.942</v>
      </c>
      <c r="BZ1198" s="121">
        <v>48.220500000000001</v>
      </c>
      <c r="CA1198" s="121">
        <v>49.499000000000002</v>
      </c>
      <c r="CB1198" s="121">
        <v>50.801500000000004</v>
      </c>
      <c r="CC1198" s="121">
        <v>52.103999999999999</v>
      </c>
      <c r="CD1198" s="121">
        <v>53.39</v>
      </c>
      <c r="CE1198" s="121">
        <v>54.676000000000002</v>
      </c>
      <c r="CF1198" s="121">
        <v>55.954000000000001</v>
      </c>
      <c r="CG1198" s="121">
        <v>57.231999999999999</v>
      </c>
      <c r="CH1198" s="121">
        <v>58.473500000000001</v>
      </c>
      <c r="CI1198" s="121">
        <v>59.715000000000003</v>
      </c>
      <c r="CJ1198" s="121">
        <v>60.981499999999997</v>
      </c>
      <c r="CK1198" s="121">
        <v>62.247999999999998</v>
      </c>
      <c r="CL1198" s="121">
        <v>63.488500000000002</v>
      </c>
      <c r="CM1198" s="121">
        <v>64.728999999999999</v>
      </c>
      <c r="CN1198" s="121">
        <f t="array" ref="CN1198:CN1216">TRANSPOSE(CO1197:DG1197)</f>
        <v>65.970500000000001</v>
      </c>
      <c r="CO1198" s="158">
        <v>67.212000000000003</v>
      </c>
      <c r="CP1198" s="120">
        <f>(CQ1198+CO1198)/2</f>
        <v>68.478499999999997</v>
      </c>
      <c r="CQ1198" s="158">
        <v>69.745000000000005</v>
      </c>
      <c r="CR1198" s="120">
        <f>(CS1198+CQ1198)/2</f>
        <v>70.986000000000004</v>
      </c>
      <c r="CS1198" s="158">
        <v>72.227000000000004</v>
      </c>
      <c r="CT1198" s="120">
        <f>(CU1198+CS1198)/2</f>
        <v>73.468000000000004</v>
      </c>
      <c r="CU1198" s="158">
        <v>74.709000000000003</v>
      </c>
      <c r="CV1198" s="120">
        <f>(CW1198+CU1198)/2</f>
        <v>75.901499999999999</v>
      </c>
      <c r="CW1198" s="158">
        <v>77.093999999999994</v>
      </c>
      <c r="CX1198" s="120">
        <f>(CY1198+CW1198)/2</f>
        <v>78.334999999999994</v>
      </c>
      <c r="CY1198" s="158">
        <v>79.575999999999993</v>
      </c>
      <c r="CZ1198" s="120">
        <f>(DA1198+CY1198)/2</f>
        <v>80.744</v>
      </c>
      <c r="DA1198" s="158">
        <v>81.912000000000006</v>
      </c>
      <c r="DB1198" s="120">
        <f>(DC1198+DA1198)/2</f>
        <v>83.153500000000008</v>
      </c>
      <c r="DC1198" s="158">
        <v>84.394999999999996</v>
      </c>
      <c r="DD1198" s="120">
        <f>(DE1198+DC1198)/2</f>
        <v>85.586999999999989</v>
      </c>
      <c r="DE1198" s="158">
        <v>86.778999999999996</v>
      </c>
      <c r="DF1198" s="120">
        <f>(DG1198+DE1198)/2</f>
        <v>88.020499999999998</v>
      </c>
      <c r="DG1198" s="159">
        <v>89.262</v>
      </c>
    </row>
    <row r="1199" spans="54:111" ht="15" customHeight="1" x14ac:dyDescent="0.2">
      <c r="BB1199" s="28">
        <v>43</v>
      </c>
      <c r="BC1199" s="121">
        <v>15.371</v>
      </c>
      <c r="BD1199" s="121">
        <v>17.125999999999998</v>
      </c>
      <c r="BE1199" s="121">
        <v>18.881</v>
      </c>
      <c r="BF1199" s="121">
        <v>20.509</v>
      </c>
      <c r="BG1199" s="121">
        <v>22.137</v>
      </c>
      <c r="BH1199" s="121">
        <v>23.697499999999998</v>
      </c>
      <c r="BI1199" s="121">
        <v>25.257999999999999</v>
      </c>
      <c r="BJ1199" s="121">
        <v>26.769500000000001</v>
      </c>
      <c r="BK1199" s="121">
        <v>28.280999999999999</v>
      </c>
      <c r="BL1199" s="121">
        <v>29.746749999999999</v>
      </c>
      <c r="BM1199" s="121">
        <v>31.212499999999999</v>
      </c>
      <c r="BN1199" s="121">
        <v>32.631249999999994</v>
      </c>
      <c r="BO1199" s="121">
        <v>34.049999999999997</v>
      </c>
      <c r="BP1199" s="121">
        <v>35.450749999999999</v>
      </c>
      <c r="BQ1199" s="121">
        <v>36.851500000000001</v>
      </c>
      <c r="BR1199" s="121">
        <v>38.233499999999999</v>
      </c>
      <c r="BS1199" s="121">
        <v>39.615499999999997</v>
      </c>
      <c r="BT1199" s="121">
        <v>40.997749999999996</v>
      </c>
      <c r="BU1199" s="121">
        <v>42.379999999999995</v>
      </c>
      <c r="BV1199" s="121">
        <v>43.728749999999998</v>
      </c>
      <c r="BW1199" s="121">
        <v>45.077500000000001</v>
      </c>
      <c r="BX1199" s="121">
        <v>46.422750000000001</v>
      </c>
      <c r="BY1199" s="121">
        <v>47.768000000000001</v>
      </c>
      <c r="BZ1199" s="121">
        <v>49.082750000000004</v>
      </c>
      <c r="CA1199" s="121">
        <v>50.397500000000001</v>
      </c>
      <c r="CB1199" s="121">
        <v>51.718000000000004</v>
      </c>
      <c r="CC1199" s="121">
        <v>53.038499999999999</v>
      </c>
      <c r="CD1199" s="121">
        <v>54.354500000000002</v>
      </c>
      <c r="CE1199" s="121">
        <v>55.670500000000004</v>
      </c>
      <c r="CF1199" s="121">
        <v>56.966250000000002</v>
      </c>
      <c r="CG1199" s="121">
        <v>58.262</v>
      </c>
      <c r="CH1199" s="121">
        <v>59.552250000000001</v>
      </c>
      <c r="CI1199" s="121">
        <v>60.842500000000001</v>
      </c>
      <c r="CJ1199" s="121">
        <v>62.113749999999996</v>
      </c>
      <c r="CK1199" s="121">
        <v>63.385000000000005</v>
      </c>
      <c r="CL1199" s="121">
        <v>64.65625</v>
      </c>
      <c r="CM1199" s="121">
        <v>65.927500000000009</v>
      </c>
      <c r="CN1199" s="121">
        <v>67.203000000000003</v>
      </c>
      <c r="CO1199" s="121">
        <f t="array" ref="CO1199:CO1216">TRANSPOSE(CP1198:DG1198)</f>
        <v>68.478499999999997</v>
      </c>
      <c r="CP1199" s="120">
        <f>(CO1199+CQ1199)/2</f>
        <v>69.750249999999994</v>
      </c>
      <c r="CQ1199" s="120">
        <f>(CQ1198+CQ1200)/2</f>
        <v>71.022000000000006</v>
      </c>
      <c r="CR1199" s="120">
        <f>(CQ1199+CS1199)/2</f>
        <v>72.293000000000006</v>
      </c>
      <c r="CS1199" s="120">
        <f>(CS1198+CS1200)/2</f>
        <v>73.563999999999993</v>
      </c>
      <c r="CT1199" s="120">
        <f>(CS1199+CU1199)/2</f>
        <v>74.822999999999993</v>
      </c>
      <c r="CU1199" s="120">
        <f>(CU1198+CU1200)/2</f>
        <v>76.081999999999994</v>
      </c>
      <c r="CV1199" s="120">
        <f>(CU1199+CW1199)/2</f>
        <v>77.295999999999992</v>
      </c>
      <c r="CW1199" s="120">
        <f>(CW1198+CW1200)/2</f>
        <v>78.509999999999991</v>
      </c>
      <c r="CX1199" s="120">
        <f>(CW1199+CY1199)/2</f>
        <v>79.78125</v>
      </c>
      <c r="CY1199" s="120">
        <f>(CY1198+CY1200)/2</f>
        <v>81.052499999999995</v>
      </c>
      <c r="CZ1199" s="120">
        <f>(CY1199+DA1199)/2</f>
        <v>82.275000000000006</v>
      </c>
      <c r="DA1199" s="120">
        <f>(DA1198+DA1200)/2</f>
        <v>83.497500000000002</v>
      </c>
      <c r="DB1199" s="120">
        <f>(DA1199+DC1199)/2</f>
        <v>84.731999999999999</v>
      </c>
      <c r="DC1199" s="120">
        <f>(DC1198+DC1200)/2</f>
        <v>85.966499999999996</v>
      </c>
      <c r="DD1199" s="120">
        <f>(DC1199+DE1199)/2</f>
        <v>87.201250000000002</v>
      </c>
      <c r="DE1199" s="120">
        <f>(DE1198+DE1200)/2</f>
        <v>88.436000000000007</v>
      </c>
      <c r="DF1199" s="120">
        <f>(DE1199+DG1199)/2</f>
        <v>89.674000000000007</v>
      </c>
      <c r="DG1199" s="122">
        <f>(DG1198+DG1200)/2</f>
        <v>90.912000000000006</v>
      </c>
    </row>
    <row r="1200" spans="54:111" ht="15" customHeight="1" x14ac:dyDescent="0.2">
      <c r="BB1200" s="28">
        <v>44</v>
      </c>
      <c r="BC1200" s="121">
        <v>15.611000000000001</v>
      </c>
      <c r="BD1200" s="121">
        <v>17.399999999999999</v>
      </c>
      <c r="BE1200" s="121">
        <v>19.189</v>
      </c>
      <c r="BF1200" s="121">
        <v>20.834499999999998</v>
      </c>
      <c r="BG1200" s="121">
        <v>22.48</v>
      </c>
      <c r="BH1200" s="121">
        <v>24.076999999999998</v>
      </c>
      <c r="BI1200" s="121">
        <v>25.673999999999999</v>
      </c>
      <c r="BJ1200" s="121">
        <v>27.234000000000002</v>
      </c>
      <c r="BK1200" s="121">
        <v>28.794</v>
      </c>
      <c r="BL1200" s="121">
        <v>30.262999999999998</v>
      </c>
      <c r="BM1200" s="121">
        <v>31.731999999999999</v>
      </c>
      <c r="BN1200" s="121">
        <v>33.180499999999995</v>
      </c>
      <c r="BO1200" s="121">
        <v>34.628999999999998</v>
      </c>
      <c r="BP1200" s="121">
        <v>36.0535</v>
      </c>
      <c r="BQ1200" s="121">
        <v>37.478000000000002</v>
      </c>
      <c r="BR1200" s="121">
        <v>38.890500000000003</v>
      </c>
      <c r="BS1200" s="121">
        <v>40.302999999999997</v>
      </c>
      <c r="BT1200" s="121">
        <v>41.715499999999999</v>
      </c>
      <c r="BU1200" s="121">
        <v>43.128</v>
      </c>
      <c r="BV1200" s="121">
        <v>44.485500000000002</v>
      </c>
      <c r="BW1200" s="121">
        <v>45.843000000000004</v>
      </c>
      <c r="BX1200" s="121">
        <v>47.218500000000006</v>
      </c>
      <c r="BY1200" s="121">
        <v>48.594000000000001</v>
      </c>
      <c r="BZ1200" s="121">
        <v>49.945</v>
      </c>
      <c r="CA1200" s="121">
        <v>51.295999999999999</v>
      </c>
      <c r="CB1200" s="121">
        <v>52.634500000000003</v>
      </c>
      <c r="CC1200" s="121">
        <v>53.972999999999999</v>
      </c>
      <c r="CD1200" s="121">
        <v>55.319000000000003</v>
      </c>
      <c r="CE1200" s="121">
        <v>56.664999999999999</v>
      </c>
      <c r="CF1200" s="121">
        <v>57.978499999999997</v>
      </c>
      <c r="CG1200" s="121">
        <v>59.292000000000002</v>
      </c>
      <c r="CH1200" s="121">
        <v>60.631</v>
      </c>
      <c r="CI1200" s="121">
        <v>61.97</v>
      </c>
      <c r="CJ1200" s="121">
        <v>63.246000000000002</v>
      </c>
      <c r="CK1200" s="121">
        <v>64.522000000000006</v>
      </c>
      <c r="CL1200" s="121">
        <v>65.824000000000012</v>
      </c>
      <c r="CM1200" s="121">
        <v>67.126000000000005</v>
      </c>
      <c r="CN1200" s="121">
        <v>68.435500000000005</v>
      </c>
      <c r="CO1200" s="121">
        <v>69.745000000000005</v>
      </c>
      <c r="CP1200" s="121">
        <f t="array" ref="CP1200:CP1216">TRANSPOSE(CQ1199:DG1199)</f>
        <v>71.022000000000006</v>
      </c>
      <c r="CQ1200" s="158">
        <v>72.299000000000007</v>
      </c>
      <c r="CR1200" s="121">
        <f>CS1199</f>
        <v>73.563999999999993</v>
      </c>
      <c r="CS1200" s="158">
        <v>74.900999999999996</v>
      </c>
      <c r="CT1200" s="121">
        <f>CU1199</f>
        <v>76.081999999999994</v>
      </c>
      <c r="CU1200" s="158">
        <v>77.454999999999998</v>
      </c>
      <c r="CV1200" s="121">
        <f>CW1199</f>
        <v>78.509999999999991</v>
      </c>
      <c r="CW1200" s="158">
        <v>79.926000000000002</v>
      </c>
      <c r="CX1200" s="121">
        <f>CY1199</f>
        <v>81.052499999999995</v>
      </c>
      <c r="CY1200" s="158">
        <v>82.528999999999996</v>
      </c>
      <c r="CZ1200" s="121">
        <f>DA1199</f>
        <v>83.497500000000002</v>
      </c>
      <c r="DA1200" s="158">
        <v>85.082999999999998</v>
      </c>
      <c r="DB1200" s="121">
        <f>DC1199</f>
        <v>85.966499999999996</v>
      </c>
      <c r="DC1200" s="158">
        <v>87.537999999999997</v>
      </c>
      <c r="DD1200" s="121">
        <f>DE1199</f>
        <v>88.436000000000007</v>
      </c>
      <c r="DE1200" s="158">
        <v>90.093000000000004</v>
      </c>
      <c r="DF1200" s="121">
        <f>DG1199</f>
        <v>90.912000000000006</v>
      </c>
      <c r="DG1200" s="159">
        <v>92.561999999999998</v>
      </c>
    </row>
    <row r="1201" spans="54:111" ht="15" customHeight="1" x14ac:dyDescent="0.2">
      <c r="BB1201" s="28">
        <v>45</v>
      </c>
      <c r="BC1201" s="121">
        <v>15.883000000000001</v>
      </c>
      <c r="BD1201" s="121">
        <v>17.704499999999999</v>
      </c>
      <c r="BE1201" s="121">
        <v>19.526</v>
      </c>
      <c r="BF1201" s="121">
        <v>21.205500000000001</v>
      </c>
      <c r="BG1201" s="121">
        <v>22.884999999999998</v>
      </c>
      <c r="BH1201" s="121">
        <v>24.499749999999999</v>
      </c>
      <c r="BI1201" s="121">
        <v>26.1145</v>
      </c>
      <c r="BJ1201" s="121">
        <v>27.679750000000002</v>
      </c>
      <c r="BK1201" s="121">
        <v>29.245000000000001</v>
      </c>
      <c r="BL1201" s="121">
        <v>30.744</v>
      </c>
      <c r="BM1201" s="121">
        <v>32.242999999999995</v>
      </c>
      <c r="BN1201" s="121">
        <v>33.728249999999996</v>
      </c>
      <c r="BO1201" s="121">
        <v>35.213499999999996</v>
      </c>
      <c r="BP1201" s="121">
        <v>36.671750000000003</v>
      </c>
      <c r="BQ1201" s="121">
        <v>38.129999999999995</v>
      </c>
      <c r="BR1201" s="121">
        <v>39.560249999999996</v>
      </c>
      <c r="BS1201" s="121">
        <v>40.990499999999997</v>
      </c>
      <c r="BT1201" s="121">
        <v>42.424499999999995</v>
      </c>
      <c r="BU1201" s="121">
        <v>43.858499999999999</v>
      </c>
      <c r="BV1201" s="121">
        <v>45.261000000000003</v>
      </c>
      <c r="BW1201" s="121">
        <v>46.663499999999999</v>
      </c>
      <c r="BX1201" s="121">
        <v>48.0565</v>
      </c>
      <c r="BY1201" s="121">
        <v>49.4495</v>
      </c>
      <c r="BZ1201" s="121">
        <v>50.834500000000006</v>
      </c>
      <c r="CA1201" s="121">
        <v>52.219499999999996</v>
      </c>
      <c r="CB1201" s="121">
        <v>53.575749999999999</v>
      </c>
      <c r="CC1201" s="121">
        <v>54.932000000000002</v>
      </c>
      <c r="CD1201" s="121">
        <v>56.283250000000002</v>
      </c>
      <c r="CE1201" s="121">
        <v>57.634500000000003</v>
      </c>
      <c r="CF1201" s="121">
        <v>58.978499999999997</v>
      </c>
      <c r="CG1201" s="121">
        <v>60.322500000000005</v>
      </c>
      <c r="CH1201" s="121">
        <v>61.660499999999999</v>
      </c>
      <c r="CI1201" s="121">
        <v>62.9985</v>
      </c>
      <c r="CJ1201" s="121">
        <v>64.345500000000001</v>
      </c>
      <c r="CK1201" s="121">
        <v>65.692499999999995</v>
      </c>
      <c r="CL1201" s="121">
        <v>67.012250000000009</v>
      </c>
      <c r="CM1201" s="121">
        <v>68.331999999999994</v>
      </c>
      <c r="CN1201" s="121">
        <v>69.658999999999992</v>
      </c>
      <c r="CO1201" s="121">
        <v>70.986000000000004</v>
      </c>
      <c r="CP1201" s="121">
        <v>72.293000000000006</v>
      </c>
      <c r="CQ1201" s="121">
        <f t="array" ref="CQ1201:CQ1216">TRANSPOSE(CR1200:DG1200)</f>
        <v>73.563999999999993</v>
      </c>
      <c r="CR1201" s="120">
        <f>(CQ1201+CS1201)/2</f>
        <v>74.905000000000001</v>
      </c>
      <c r="CS1201" s="120">
        <f>(CS1200+CS1202)/2</f>
        <v>76.245999999999995</v>
      </c>
      <c r="CT1201" s="120">
        <f>(CS1201+CU1201)/2</f>
        <v>77.552999999999997</v>
      </c>
      <c r="CU1201" s="120">
        <f>(CU1200+CU1202)/2</f>
        <v>78.86</v>
      </c>
      <c r="CV1201" s="120">
        <f>(CU1201+CW1201)/2</f>
        <v>80.109250000000003</v>
      </c>
      <c r="CW1201" s="120">
        <f>(CW1200+CW1202)/2</f>
        <v>81.358499999999992</v>
      </c>
      <c r="CX1201" s="120">
        <f>(CW1201+CY1201)/2</f>
        <v>82.669499999999999</v>
      </c>
      <c r="CY1201" s="120">
        <f>(CY1200+CY1202)/2</f>
        <v>83.980500000000006</v>
      </c>
      <c r="CZ1201" s="120">
        <f>(CY1201+DA1201)/2</f>
        <v>85.287499999999994</v>
      </c>
      <c r="DA1201" s="120">
        <f>(DA1200+DA1202)/2</f>
        <v>86.594499999999996</v>
      </c>
      <c r="DB1201" s="120">
        <f>(DA1201+DC1201)/2</f>
        <v>87.843500000000006</v>
      </c>
      <c r="DC1201" s="120">
        <f>(DC1200+DC1202)/2</f>
        <v>89.092500000000001</v>
      </c>
      <c r="DD1201" s="120">
        <f>(DC1201+DE1201)/2</f>
        <v>90.40025</v>
      </c>
      <c r="DE1201" s="120">
        <f>(DE1200+DE1202)/2</f>
        <v>91.707999999999998</v>
      </c>
      <c r="DF1201" s="120">
        <f>(DE1201+DG1201)/2</f>
        <v>92.95675</v>
      </c>
      <c r="DG1201" s="122">
        <f>(DG1200+DG1202)/2</f>
        <v>94.205500000000001</v>
      </c>
    </row>
    <row r="1202" spans="54:111" ht="15" customHeight="1" x14ac:dyDescent="0.2">
      <c r="BB1202" s="28">
        <v>46</v>
      </c>
      <c r="BC1202" s="121">
        <v>16.155000000000001</v>
      </c>
      <c r="BD1202" s="121">
        <v>18.009</v>
      </c>
      <c r="BE1202" s="121">
        <v>19.863</v>
      </c>
      <c r="BF1202" s="121">
        <v>21.576499999999999</v>
      </c>
      <c r="BG1202" s="121">
        <v>23.29</v>
      </c>
      <c r="BH1202" s="121">
        <v>24.922499999999999</v>
      </c>
      <c r="BI1202" s="121">
        <v>26.555</v>
      </c>
      <c r="BJ1202" s="121">
        <v>28.125500000000002</v>
      </c>
      <c r="BK1202" s="121">
        <v>29.696000000000002</v>
      </c>
      <c r="BL1202" s="121">
        <v>31.225000000000001</v>
      </c>
      <c r="BM1202" s="121">
        <v>32.753999999999998</v>
      </c>
      <c r="BN1202" s="121">
        <v>34.275999999999996</v>
      </c>
      <c r="BO1202" s="121">
        <v>35.798000000000002</v>
      </c>
      <c r="BP1202" s="121">
        <v>37.29</v>
      </c>
      <c r="BQ1202" s="121">
        <v>38.781999999999996</v>
      </c>
      <c r="BR1202" s="121">
        <v>40.229999999999997</v>
      </c>
      <c r="BS1202" s="121">
        <v>41.677999999999997</v>
      </c>
      <c r="BT1202" s="121">
        <v>43.133499999999998</v>
      </c>
      <c r="BU1202" s="121">
        <v>44.588999999999999</v>
      </c>
      <c r="BV1202" s="121">
        <v>46.036500000000004</v>
      </c>
      <c r="BW1202" s="121">
        <v>47.484000000000002</v>
      </c>
      <c r="BX1202" s="121">
        <v>48.894500000000001</v>
      </c>
      <c r="BY1202" s="121">
        <v>50.305</v>
      </c>
      <c r="BZ1202" s="121">
        <v>51.724000000000004</v>
      </c>
      <c r="CA1202" s="121">
        <v>53.143000000000001</v>
      </c>
      <c r="CB1202" s="121">
        <v>54.516999999999996</v>
      </c>
      <c r="CC1202" s="121">
        <v>55.890999999999998</v>
      </c>
      <c r="CD1202" s="121">
        <v>57.247500000000002</v>
      </c>
      <c r="CE1202" s="121">
        <v>58.603999999999999</v>
      </c>
      <c r="CF1202" s="121">
        <v>59.978499999999997</v>
      </c>
      <c r="CG1202" s="121">
        <v>61.353000000000002</v>
      </c>
      <c r="CH1202" s="121">
        <v>62.69</v>
      </c>
      <c r="CI1202" s="121">
        <v>64.027000000000001</v>
      </c>
      <c r="CJ1202" s="121">
        <v>65.444999999999993</v>
      </c>
      <c r="CK1202" s="121">
        <v>66.863</v>
      </c>
      <c r="CL1202" s="121">
        <v>68.200500000000005</v>
      </c>
      <c r="CM1202" s="121">
        <v>69.537999999999997</v>
      </c>
      <c r="CN1202" s="121">
        <v>70.882499999999993</v>
      </c>
      <c r="CO1202" s="121">
        <v>72.227000000000004</v>
      </c>
      <c r="CP1202" s="121">
        <v>73.563999999999993</v>
      </c>
      <c r="CQ1202" s="121">
        <v>74.900999999999996</v>
      </c>
      <c r="CR1202" s="150">
        <f t="array" ref="CR1202:CR1216">TRANSPOSE(CS1201:DG1201)</f>
        <v>76.245999999999995</v>
      </c>
      <c r="CS1202" s="158">
        <v>77.590999999999994</v>
      </c>
      <c r="CT1202" s="121">
        <f>CU1201</f>
        <v>78.86</v>
      </c>
      <c r="CU1202" s="158">
        <v>80.265000000000001</v>
      </c>
      <c r="CV1202" s="121">
        <f>CW1201</f>
        <v>81.358499999999992</v>
      </c>
      <c r="CW1202" s="158">
        <v>82.790999999999997</v>
      </c>
      <c r="CX1202" s="121">
        <f>CY1201</f>
        <v>83.980500000000006</v>
      </c>
      <c r="CY1202" s="158">
        <v>85.432000000000002</v>
      </c>
      <c r="CZ1202" s="121">
        <f>DA1201</f>
        <v>86.594499999999996</v>
      </c>
      <c r="DA1202" s="158">
        <v>88.105999999999995</v>
      </c>
      <c r="DB1202" s="121">
        <f>DC1201</f>
        <v>89.092500000000001</v>
      </c>
      <c r="DC1202" s="158">
        <v>90.647000000000006</v>
      </c>
      <c r="DD1202" s="121">
        <f>DE1201</f>
        <v>91.707999999999998</v>
      </c>
      <c r="DE1202" s="158">
        <v>93.322999999999993</v>
      </c>
      <c r="DF1202" s="121">
        <f>DG1201</f>
        <v>94.205500000000001</v>
      </c>
      <c r="DG1202" s="159">
        <v>95.849000000000004</v>
      </c>
    </row>
    <row r="1203" spans="54:111" ht="15" customHeight="1" x14ac:dyDescent="0.2">
      <c r="BB1203" s="28">
        <v>47</v>
      </c>
      <c r="BC1203" s="121">
        <v>16.395000000000003</v>
      </c>
      <c r="BD1203" s="121">
        <v>18.28275</v>
      </c>
      <c r="BE1203" s="121">
        <v>20.170500000000001</v>
      </c>
      <c r="BF1203" s="121">
        <v>21.916499999999999</v>
      </c>
      <c r="BG1203" s="121">
        <v>23.662500000000001</v>
      </c>
      <c r="BH1203" s="121">
        <v>25.316499999999998</v>
      </c>
      <c r="BI1203" s="121">
        <v>26.970500000000001</v>
      </c>
      <c r="BJ1203" s="121">
        <v>28.575000000000003</v>
      </c>
      <c r="BK1203" s="121">
        <v>30.179500000000001</v>
      </c>
      <c r="BL1203" s="121">
        <v>31.741</v>
      </c>
      <c r="BM1203" s="121">
        <v>33.302499999999995</v>
      </c>
      <c r="BN1203" s="121">
        <v>34.858249999999998</v>
      </c>
      <c r="BO1203" s="121">
        <v>36.414000000000001</v>
      </c>
      <c r="BP1203" s="121">
        <v>37.920249999999996</v>
      </c>
      <c r="BQ1203" s="121">
        <v>39.426499999999997</v>
      </c>
      <c r="BR1203" s="121">
        <v>40.896000000000001</v>
      </c>
      <c r="BS1203" s="121">
        <v>42.365499999999997</v>
      </c>
      <c r="BT1203" s="121">
        <v>43.838499999999996</v>
      </c>
      <c r="BU1203" s="121">
        <v>45.311499999999995</v>
      </c>
      <c r="BV1203" s="121">
        <v>46.77675</v>
      </c>
      <c r="BW1203" s="121">
        <v>48.242000000000004</v>
      </c>
      <c r="BX1203" s="121">
        <v>49.686499999999995</v>
      </c>
      <c r="BY1203" s="121">
        <v>51.131</v>
      </c>
      <c r="BZ1203" s="121">
        <v>52.567750000000004</v>
      </c>
      <c r="CA1203" s="121">
        <v>54.0045</v>
      </c>
      <c r="CB1203" s="121">
        <v>55.414749999999998</v>
      </c>
      <c r="CC1203" s="121">
        <v>56.825000000000003</v>
      </c>
      <c r="CD1203" s="121">
        <v>58.211750000000002</v>
      </c>
      <c r="CE1203" s="121">
        <v>59.598500000000001</v>
      </c>
      <c r="CF1203" s="121">
        <v>60.990499999999997</v>
      </c>
      <c r="CG1203" s="121">
        <v>62.3825</v>
      </c>
      <c r="CH1203" s="121">
        <v>63.771999999999998</v>
      </c>
      <c r="CI1203" s="121">
        <v>65.161500000000004</v>
      </c>
      <c r="CJ1203" s="121">
        <v>66.56049999999999</v>
      </c>
      <c r="CK1203" s="121">
        <v>67.959499999999991</v>
      </c>
      <c r="CL1203" s="121">
        <v>69.314750000000004</v>
      </c>
      <c r="CM1203" s="121">
        <v>70.67</v>
      </c>
      <c r="CN1203" s="121">
        <v>72.069000000000003</v>
      </c>
      <c r="CO1203" s="121">
        <v>73.468000000000004</v>
      </c>
      <c r="CP1203" s="121">
        <v>74.822999999999993</v>
      </c>
      <c r="CQ1203" s="121">
        <v>76.081999999999994</v>
      </c>
      <c r="CR1203" s="160">
        <v>77.552999999999997</v>
      </c>
      <c r="CS1203" s="160">
        <f t="array" ref="CS1203:CS1216">TRANSPOSE(CT1202:DG1202)</f>
        <v>78.86</v>
      </c>
      <c r="CT1203" s="120">
        <f>(CS1203+CU1203)/2</f>
        <v>80.252749999999992</v>
      </c>
      <c r="CU1203" s="120">
        <f>(CU1202+CU1204)/2</f>
        <v>81.645499999999998</v>
      </c>
      <c r="CV1203" s="120">
        <f>(CU1203+CW1203)/2</f>
        <v>82.926249999999996</v>
      </c>
      <c r="CW1203" s="120">
        <f>(CW1202+CW1204)/2</f>
        <v>84.206999999999994</v>
      </c>
      <c r="CX1203" s="120">
        <f>(CW1203+CY1203)/2</f>
        <v>85.557500000000005</v>
      </c>
      <c r="CY1203" s="120">
        <f>(CY1202+CY1204)/2</f>
        <v>86.908000000000001</v>
      </c>
      <c r="CZ1203" s="120">
        <f>(CY1203+DA1203)/2</f>
        <v>88.262750000000011</v>
      </c>
      <c r="DA1203" s="120">
        <f>(DA1202+DA1204)/2</f>
        <v>89.617500000000007</v>
      </c>
      <c r="DB1203" s="120">
        <f>(DA1203+DC1203)/2</f>
        <v>90.918500000000009</v>
      </c>
      <c r="DC1203" s="120">
        <f>(DC1202+DC1204)/2</f>
        <v>92.219500000000011</v>
      </c>
      <c r="DD1203" s="120">
        <f>(DC1203+DE1203)/2</f>
        <v>93.578249999999997</v>
      </c>
      <c r="DE1203" s="120">
        <f>(DE1202+DE1204)/2</f>
        <v>94.936999999999998</v>
      </c>
      <c r="DF1203" s="120">
        <f>(DE1203+DG1203)/2</f>
        <v>96.254999999999995</v>
      </c>
      <c r="DG1203" s="122">
        <f>(DG1202+DG1204)/2</f>
        <v>97.573000000000008</v>
      </c>
    </row>
    <row r="1204" spans="54:111" ht="15" customHeight="1" x14ac:dyDescent="0.2">
      <c r="BB1204" s="28">
        <v>48</v>
      </c>
      <c r="BC1204" s="121">
        <v>16.635000000000002</v>
      </c>
      <c r="BD1204" s="121">
        <v>18.5565</v>
      </c>
      <c r="BE1204" s="121">
        <v>20.478000000000002</v>
      </c>
      <c r="BF1204" s="121">
        <v>22.256500000000003</v>
      </c>
      <c r="BG1204" s="121">
        <v>24.035</v>
      </c>
      <c r="BH1204" s="121">
        <v>25.7105</v>
      </c>
      <c r="BI1204" s="121">
        <v>27.385999999999999</v>
      </c>
      <c r="BJ1204" s="121">
        <v>29.0245</v>
      </c>
      <c r="BK1204" s="121">
        <v>30.663</v>
      </c>
      <c r="BL1204" s="121">
        <v>32.256999999999998</v>
      </c>
      <c r="BM1204" s="121">
        <v>33.850999999999999</v>
      </c>
      <c r="BN1204" s="121">
        <v>35.4405</v>
      </c>
      <c r="BO1204" s="121">
        <v>37.03</v>
      </c>
      <c r="BP1204" s="121">
        <v>38.5505</v>
      </c>
      <c r="BQ1204" s="121">
        <v>40.070999999999998</v>
      </c>
      <c r="BR1204" s="121">
        <v>41.561999999999998</v>
      </c>
      <c r="BS1204" s="121">
        <v>43.052999999999997</v>
      </c>
      <c r="BT1204" s="121">
        <v>44.543499999999995</v>
      </c>
      <c r="BU1204" s="121">
        <v>46.033999999999999</v>
      </c>
      <c r="BV1204" s="121">
        <v>47.516999999999996</v>
      </c>
      <c r="BW1204" s="121">
        <v>49</v>
      </c>
      <c r="BX1204" s="121">
        <v>50.478499999999997</v>
      </c>
      <c r="BY1204" s="121">
        <v>51.957000000000001</v>
      </c>
      <c r="BZ1204" s="121">
        <v>53.411500000000004</v>
      </c>
      <c r="CA1204" s="121">
        <v>54.866</v>
      </c>
      <c r="CB1204" s="121">
        <v>56.3125</v>
      </c>
      <c r="CC1204" s="121">
        <v>57.759</v>
      </c>
      <c r="CD1204" s="121">
        <v>59.176000000000002</v>
      </c>
      <c r="CE1204" s="121">
        <v>60.593000000000004</v>
      </c>
      <c r="CF1204" s="121">
        <v>62.002499999999998</v>
      </c>
      <c r="CG1204" s="121">
        <v>63.411999999999999</v>
      </c>
      <c r="CH1204" s="121">
        <v>64.853999999999999</v>
      </c>
      <c r="CI1204" s="121">
        <v>66.296000000000006</v>
      </c>
      <c r="CJ1204" s="121">
        <v>67.676000000000002</v>
      </c>
      <c r="CK1204" s="121">
        <v>69.055999999999997</v>
      </c>
      <c r="CL1204" s="121">
        <v>70.429000000000002</v>
      </c>
      <c r="CM1204" s="121">
        <v>71.802000000000007</v>
      </c>
      <c r="CN1204" s="121">
        <v>73.255500000000012</v>
      </c>
      <c r="CO1204" s="121">
        <v>74.709000000000003</v>
      </c>
      <c r="CP1204" s="121">
        <v>76.081999999999994</v>
      </c>
      <c r="CQ1204" s="121">
        <v>77.454999999999998</v>
      </c>
      <c r="CR1204" s="160">
        <v>78.86</v>
      </c>
      <c r="CS1204" s="160">
        <v>80.265000000000001</v>
      </c>
      <c r="CT1204" s="121">
        <f t="array" ref="CT1204:CT1216">TRANSPOSE(CU1203:DG1203)</f>
        <v>81.645499999999998</v>
      </c>
      <c r="CU1204" s="158">
        <v>83.025999999999996</v>
      </c>
      <c r="CV1204" s="121">
        <f>CW1203</f>
        <v>84.206999999999994</v>
      </c>
      <c r="CW1204" s="158">
        <v>85.623000000000005</v>
      </c>
      <c r="CX1204" s="121">
        <f>CY1203</f>
        <v>86.908000000000001</v>
      </c>
      <c r="CY1204" s="158">
        <v>88.384</v>
      </c>
      <c r="CZ1204" s="121">
        <f>DA1203</f>
        <v>89.617500000000007</v>
      </c>
      <c r="DA1204" s="158">
        <v>91.129000000000005</v>
      </c>
      <c r="DB1204" s="121">
        <f>DC1203</f>
        <v>92.219500000000011</v>
      </c>
      <c r="DC1204" s="158">
        <v>93.792000000000002</v>
      </c>
      <c r="DD1204" s="121">
        <f>DE1203</f>
        <v>94.936999999999998</v>
      </c>
      <c r="DE1204" s="158">
        <v>96.551000000000002</v>
      </c>
      <c r="DF1204" s="121">
        <f>DG1203</f>
        <v>97.573000000000008</v>
      </c>
      <c r="DG1204" s="159">
        <v>99.296999999999997</v>
      </c>
    </row>
    <row r="1205" spans="54:111" ht="15" customHeight="1" x14ac:dyDescent="0.2">
      <c r="BB1205" s="28">
        <v>49</v>
      </c>
      <c r="BC1205" s="121">
        <v>16.907</v>
      </c>
      <c r="BD1205" s="121">
        <v>18.842749999999999</v>
      </c>
      <c r="BE1205" s="121">
        <v>20.778500000000001</v>
      </c>
      <c r="BF1205" s="121">
        <v>22.578500000000002</v>
      </c>
      <c r="BG1205" s="121">
        <v>24.378500000000003</v>
      </c>
      <c r="BH1205" s="121">
        <v>26.102499999999999</v>
      </c>
      <c r="BI1205" s="121">
        <v>27.826499999999999</v>
      </c>
      <c r="BJ1205" s="121">
        <v>29.482749999999999</v>
      </c>
      <c r="BK1205" s="121">
        <v>31.138999999999999</v>
      </c>
      <c r="BL1205" s="121">
        <v>32.766750000000002</v>
      </c>
      <c r="BM1205" s="121">
        <v>34.394500000000001</v>
      </c>
      <c r="BN1205" s="121">
        <v>35.985750000000003</v>
      </c>
      <c r="BO1205" s="121">
        <v>37.576999999999998</v>
      </c>
      <c r="BP1205" s="121">
        <v>39.131250000000001</v>
      </c>
      <c r="BQ1205" s="121">
        <v>40.685499999999998</v>
      </c>
      <c r="BR1205" s="121">
        <v>42.21275</v>
      </c>
      <c r="BS1205" s="121">
        <v>43.739999999999995</v>
      </c>
      <c r="BT1205" s="121">
        <v>45.260499999999993</v>
      </c>
      <c r="BU1205" s="121">
        <v>46.780999999999999</v>
      </c>
      <c r="BV1205" s="121">
        <v>48.286000000000001</v>
      </c>
      <c r="BW1205" s="121">
        <v>49.790999999999997</v>
      </c>
      <c r="BX1205" s="121">
        <v>51.302</v>
      </c>
      <c r="BY1205" s="121">
        <v>52.813000000000002</v>
      </c>
      <c r="BZ1205" s="121">
        <v>54.285250000000005</v>
      </c>
      <c r="CA1205" s="121">
        <v>55.7575</v>
      </c>
      <c r="CB1205" s="121">
        <v>57.219250000000002</v>
      </c>
      <c r="CC1205" s="121">
        <v>58.680999999999997</v>
      </c>
      <c r="CD1205" s="121">
        <v>60.134250000000002</v>
      </c>
      <c r="CE1205" s="121">
        <v>61.587500000000006</v>
      </c>
      <c r="CF1205" s="121">
        <v>63.030999999999999</v>
      </c>
      <c r="CG1205" s="121">
        <v>64.474500000000006</v>
      </c>
      <c r="CH1205" s="121">
        <v>65.899499999999989</v>
      </c>
      <c r="CI1205" s="121">
        <v>67.3245</v>
      </c>
      <c r="CJ1205" s="121">
        <v>68.771749999999997</v>
      </c>
      <c r="CK1205" s="121">
        <v>70.218999999999994</v>
      </c>
      <c r="CL1205" s="121">
        <v>71.613500000000002</v>
      </c>
      <c r="CM1205" s="121">
        <v>73.00800000000001</v>
      </c>
      <c r="CN1205" s="121">
        <v>74.454750000000004</v>
      </c>
      <c r="CO1205" s="121">
        <v>75.901499999999999</v>
      </c>
      <c r="CP1205" s="121">
        <v>77.295999999999992</v>
      </c>
      <c r="CQ1205" s="121">
        <v>78.509999999999991</v>
      </c>
      <c r="CR1205" s="160">
        <v>80.109250000000003</v>
      </c>
      <c r="CS1205" s="160">
        <v>81.358499999999992</v>
      </c>
      <c r="CT1205" s="160">
        <v>82.926249999999996</v>
      </c>
      <c r="CU1205" s="160">
        <f t="array" ref="CU1205:CU1216">TRANSPOSE(CV1204:DG1204)</f>
        <v>84.206999999999994</v>
      </c>
      <c r="CV1205" s="120">
        <f>(CU1205+CW1205)/2</f>
        <v>85.635499999999993</v>
      </c>
      <c r="CW1205" s="120">
        <f>(CW1204+CW1206)/2</f>
        <v>87.063999999999993</v>
      </c>
      <c r="CX1205" s="120">
        <f>(CW1205+CY1205)/2</f>
        <v>88.461749999999995</v>
      </c>
      <c r="CY1205" s="120">
        <f>(CY1204+CY1206)/2</f>
        <v>89.859499999999997</v>
      </c>
      <c r="CZ1205" s="120">
        <f>(CY1205+DA1205)/2</f>
        <v>91.266249999999999</v>
      </c>
      <c r="DA1205" s="120">
        <f>(DA1204+DA1206)/2</f>
        <v>92.673000000000002</v>
      </c>
      <c r="DB1205" s="120">
        <f>(DA1205+DC1205)/2</f>
        <v>94.042749999999998</v>
      </c>
      <c r="DC1205" s="120">
        <f>(DC1204+DC1206)/2</f>
        <v>95.412499999999994</v>
      </c>
      <c r="DD1205" s="120">
        <f>(DC1205+DE1205)/2</f>
        <v>96.785749999999993</v>
      </c>
      <c r="DE1205" s="120">
        <f>(DE1204+DE1206)/2</f>
        <v>98.158999999999992</v>
      </c>
      <c r="DF1205" s="120">
        <f>(DE1205+DG1205)/2</f>
        <v>99.553249999999991</v>
      </c>
      <c r="DG1205" s="122">
        <f>(DG1204+DG1206)/2</f>
        <v>100.94749999999999</v>
      </c>
    </row>
    <row r="1206" spans="54:111" ht="15" customHeight="1" x14ac:dyDescent="0.2">
      <c r="BB1206" s="28">
        <v>50</v>
      </c>
      <c r="BC1206" s="121">
        <v>17.178999999999998</v>
      </c>
      <c r="BD1206" s="121">
        <v>19.128999999999998</v>
      </c>
      <c r="BE1206" s="121">
        <v>21.079000000000001</v>
      </c>
      <c r="BF1206" s="121">
        <v>22.900500000000001</v>
      </c>
      <c r="BG1206" s="121">
        <v>24.722000000000001</v>
      </c>
      <c r="BH1206" s="121">
        <v>26.494500000000002</v>
      </c>
      <c r="BI1206" s="121">
        <v>28.266999999999999</v>
      </c>
      <c r="BJ1206" s="121">
        <v>29.940999999999999</v>
      </c>
      <c r="BK1206" s="121">
        <v>31.614999999999998</v>
      </c>
      <c r="BL1206" s="121">
        <v>33.276499999999999</v>
      </c>
      <c r="BM1206" s="121">
        <v>34.938000000000002</v>
      </c>
      <c r="BN1206" s="121">
        <v>36.531000000000006</v>
      </c>
      <c r="BO1206" s="121">
        <v>38.124000000000002</v>
      </c>
      <c r="BP1206" s="121">
        <v>39.712000000000003</v>
      </c>
      <c r="BQ1206" s="121">
        <v>41.3</v>
      </c>
      <c r="BR1206" s="121">
        <v>42.863500000000002</v>
      </c>
      <c r="BS1206" s="121">
        <v>44.427</v>
      </c>
      <c r="BT1206" s="121">
        <v>45.977499999999999</v>
      </c>
      <c r="BU1206" s="121">
        <v>47.527999999999999</v>
      </c>
      <c r="BV1206" s="121">
        <v>49.055</v>
      </c>
      <c r="BW1206" s="121">
        <v>50.582000000000001</v>
      </c>
      <c r="BX1206" s="121">
        <v>52.125500000000002</v>
      </c>
      <c r="BY1206" s="121">
        <v>53.668999999999997</v>
      </c>
      <c r="BZ1206" s="121">
        <v>55.158999999999999</v>
      </c>
      <c r="CA1206" s="121">
        <v>56.649000000000001</v>
      </c>
      <c r="CB1206" s="121">
        <v>58.126000000000005</v>
      </c>
      <c r="CC1206" s="121">
        <v>59.603000000000002</v>
      </c>
      <c r="CD1206" s="121">
        <v>61.092500000000001</v>
      </c>
      <c r="CE1206" s="121">
        <v>62.582000000000001</v>
      </c>
      <c r="CF1206" s="121">
        <v>64.0595</v>
      </c>
      <c r="CG1206" s="121">
        <v>65.537000000000006</v>
      </c>
      <c r="CH1206" s="121">
        <v>66.944999999999993</v>
      </c>
      <c r="CI1206" s="121">
        <v>68.352999999999994</v>
      </c>
      <c r="CJ1206" s="121">
        <v>69.867500000000007</v>
      </c>
      <c r="CK1206" s="121">
        <v>71.382000000000005</v>
      </c>
      <c r="CL1206" s="121">
        <v>72.798000000000002</v>
      </c>
      <c r="CM1206" s="121">
        <v>74.213999999999999</v>
      </c>
      <c r="CN1206" s="121">
        <v>75.653999999999996</v>
      </c>
      <c r="CO1206" s="121">
        <v>77.093999999999994</v>
      </c>
      <c r="CP1206" s="121">
        <v>78.509999999999991</v>
      </c>
      <c r="CQ1206" s="121">
        <v>79.926000000000002</v>
      </c>
      <c r="CR1206" s="160">
        <v>81.358499999999992</v>
      </c>
      <c r="CS1206" s="160">
        <v>82.790999999999997</v>
      </c>
      <c r="CT1206" s="160">
        <v>84.206999999999994</v>
      </c>
      <c r="CU1206" s="160">
        <v>85.623000000000005</v>
      </c>
      <c r="CV1206" s="121">
        <f t="array" ref="CV1206:CV1216">TRANSPOSE(CW1205:DG1205)</f>
        <v>87.063999999999993</v>
      </c>
      <c r="CW1206" s="158">
        <v>88.504999999999995</v>
      </c>
      <c r="CX1206" s="121">
        <f>CY1205</f>
        <v>89.859499999999997</v>
      </c>
      <c r="CY1206" s="158">
        <v>91.334999999999994</v>
      </c>
      <c r="CZ1206" s="121">
        <f>DA1205</f>
        <v>92.673000000000002</v>
      </c>
      <c r="DA1206" s="158">
        <v>94.216999999999999</v>
      </c>
      <c r="DB1206" s="121">
        <f>DC1205</f>
        <v>95.412499999999994</v>
      </c>
      <c r="DC1206" s="158">
        <v>97.033000000000001</v>
      </c>
      <c r="DD1206" s="121">
        <f>DE1205</f>
        <v>98.158999999999992</v>
      </c>
      <c r="DE1206" s="158">
        <v>99.766999999999996</v>
      </c>
      <c r="DF1206" s="121">
        <f>DG1205</f>
        <v>100.94749999999999</v>
      </c>
      <c r="DG1206" s="159">
        <v>102.598</v>
      </c>
    </row>
    <row r="1207" spans="54:111" ht="15" customHeight="1" x14ac:dyDescent="0.2">
      <c r="BB1207" s="28">
        <v>51</v>
      </c>
      <c r="BC1207" s="121">
        <v>17.443999999999999</v>
      </c>
      <c r="BD1207" s="121">
        <v>19.402999999999999</v>
      </c>
      <c r="BE1207" s="121">
        <v>21.362000000000002</v>
      </c>
      <c r="BF1207" s="121">
        <v>23.231999999999999</v>
      </c>
      <c r="BG1207" s="121">
        <v>25.102</v>
      </c>
      <c r="BH1207" s="121">
        <v>26.892250000000001</v>
      </c>
      <c r="BI1207" s="121">
        <v>28.682499999999997</v>
      </c>
      <c r="BJ1207" s="121">
        <v>30.386499999999998</v>
      </c>
      <c r="BK1207" s="121">
        <v>32.090499999999999</v>
      </c>
      <c r="BL1207" s="121">
        <v>33.770250000000004</v>
      </c>
      <c r="BM1207" s="121">
        <v>35.450000000000003</v>
      </c>
      <c r="BN1207" s="121">
        <v>37.082750000000004</v>
      </c>
      <c r="BO1207" s="121">
        <v>38.715500000000006</v>
      </c>
      <c r="BP1207" s="121">
        <v>40.321250000000006</v>
      </c>
      <c r="BQ1207" s="121">
        <v>41.927</v>
      </c>
      <c r="BR1207" s="121">
        <v>43.520499999999998</v>
      </c>
      <c r="BS1207" s="121">
        <v>45.114000000000004</v>
      </c>
      <c r="BT1207" s="121">
        <v>46.682500000000005</v>
      </c>
      <c r="BU1207" s="121">
        <v>48.250999999999998</v>
      </c>
      <c r="BV1207" s="121">
        <v>49.808</v>
      </c>
      <c r="BW1207" s="121">
        <v>51.365000000000002</v>
      </c>
      <c r="BX1207" s="121">
        <v>52.917749999999998</v>
      </c>
      <c r="BY1207" s="121">
        <v>54.470500000000001</v>
      </c>
      <c r="BZ1207" s="121">
        <v>55.990499999999997</v>
      </c>
      <c r="CA1207" s="121">
        <v>57.5105</v>
      </c>
      <c r="CB1207" s="121">
        <v>59.02375</v>
      </c>
      <c r="CC1207" s="121">
        <v>60.536999999999999</v>
      </c>
      <c r="CD1207" s="121">
        <v>62.038249999999998</v>
      </c>
      <c r="CE1207" s="121">
        <v>63.539500000000004</v>
      </c>
      <c r="CF1207" s="121">
        <v>65.053249999999991</v>
      </c>
      <c r="CG1207" s="121">
        <v>66.567000000000007</v>
      </c>
      <c r="CH1207" s="121">
        <v>68.015249999999995</v>
      </c>
      <c r="CI1207" s="121">
        <v>69.463499999999996</v>
      </c>
      <c r="CJ1207" s="121">
        <v>70.958500000000001</v>
      </c>
      <c r="CK1207" s="121">
        <v>72.453500000000005</v>
      </c>
      <c r="CL1207" s="121">
        <v>73.936499999999995</v>
      </c>
      <c r="CM1207" s="121">
        <v>75.419499999999999</v>
      </c>
      <c r="CN1207" s="121">
        <v>76.877250000000004</v>
      </c>
      <c r="CO1207" s="121">
        <v>78.334999999999994</v>
      </c>
      <c r="CP1207" s="121">
        <v>79.78125</v>
      </c>
      <c r="CQ1207" s="121">
        <v>81.052499999999995</v>
      </c>
      <c r="CR1207" s="160">
        <v>82.669499999999999</v>
      </c>
      <c r="CS1207" s="160">
        <v>83.980500000000006</v>
      </c>
      <c r="CT1207" s="160">
        <v>85.557500000000005</v>
      </c>
      <c r="CU1207" s="160">
        <v>86.908000000000001</v>
      </c>
      <c r="CV1207" s="160">
        <v>88.461749999999995</v>
      </c>
      <c r="CW1207" s="160">
        <f t="array" ref="CW1207:CW1216">TRANSPOSE(CX1206:DG1206)</f>
        <v>89.859499999999997</v>
      </c>
      <c r="CX1207" s="120">
        <f>(CW1207+CY1207)/2</f>
        <v>91.335250000000002</v>
      </c>
      <c r="CY1207" s="120">
        <f>(CY1206+CY1208)/2</f>
        <v>92.811000000000007</v>
      </c>
      <c r="CZ1207" s="120">
        <f>(CY1207+DA1207)/2</f>
        <v>94.269750000000002</v>
      </c>
      <c r="DA1207" s="120">
        <f>(DA1206+DA1208)/2</f>
        <v>95.728499999999997</v>
      </c>
      <c r="DB1207" s="120">
        <f>(DA1207+DC1207)/2</f>
        <v>97.121250000000003</v>
      </c>
      <c r="DC1207" s="120">
        <f>(DC1206+DC1208)/2</f>
        <v>98.51400000000001</v>
      </c>
      <c r="DD1207" s="120">
        <f>(DC1207+DE1207)/2</f>
        <v>99.935500000000005</v>
      </c>
      <c r="DE1207" s="120">
        <f>(DE1206+DE1208)/2</f>
        <v>101.357</v>
      </c>
      <c r="DF1207" s="120">
        <f>(DE1207+DG1207)/2</f>
        <v>102.80275</v>
      </c>
      <c r="DG1207" s="122">
        <f>(DG1206+DG1208)/2</f>
        <v>104.24850000000001</v>
      </c>
    </row>
    <row r="1208" spans="54:111" ht="15" customHeight="1" x14ac:dyDescent="0.2">
      <c r="BB1208" s="28">
        <v>52</v>
      </c>
      <c r="BC1208" s="121">
        <v>17.709</v>
      </c>
      <c r="BD1208" s="121">
        <v>19.677</v>
      </c>
      <c r="BE1208" s="121">
        <v>21.645</v>
      </c>
      <c r="BF1208" s="121">
        <v>23.563499999999998</v>
      </c>
      <c r="BG1208" s="121">
        <v>25.481999999999999</v>
      </c>
      <c r="BH1208" s="121">
        <v>27.29</v>
      </c>
      <c r="BI1208" s="121">
        <v>29.097999999999999</v>
      </c>
      <c r="BJ1208" s="121">
        <v>30.832000000000001</v>
      </c>
      <c r="BK1208" s="121">
        <v>32.566000000000003</v>
      </c>
      <c r="BL1208" s="121">
        <v>34.264000000000003</v>
      </c>
      <c r="BM1208" s="121">
        <v>35.962000000000003</v>
      </c>
      <c r="BN1208" s="121">
        <v>37.634500000000003</v>
      </c>
      <c r="BO1208" s="121">
        <v>39.307000000000002</v>
      </c>
      <c r="BP1208" s="121">
        <v>40.930500000000002</v>
      </c>
      <c r="BQ1208" s="121">
        <v>42.554000000000002</v>
      </c>
      <c r="BR1208" s="121">
        <v>44.177500000000002</v>
      </c>
      <c r="BS1208" s="121">
        <v>45.801000000000002</v>
      </c>
      <c r="BT1208" s="121">
        <v>47.387500000000003</v>
      </c>
      <c r="BU1208" s="121">
        <v>48.973999999999997</v>
      </c>
      <c r="BV1208" s="121">
        <v>50.561</v>
      </c>
      <c r="BW1208" s="121">
        <v>52.148000000000003</v>
      </c>
      <c r="BX1208" s="121">
        <v>53.71</v>
      </c>
      <c r="BY1208" s="121">
        <v>55.271999999999998</v>
      </c>
      <c r="BZ1208" s="121">
        <v>56.822000000000003</v>
      </c>
      <c r="CA1208" s="121">
        <v>58.372</v>
      </c>
      <c r="CB1208" s="121">
        <v>59.921499999999995</v>
      </c>
      <c r="CC1208" s="121">
        <v>61.470999999999997</v>
      </c>
      <c r="CD1208" s="121">
        <v>62.983999999999995</v>
      </c>
      <c r="CE1208" s="121">
        <v>64.497</v>
      </c>
      <c r="CF1208" s="121">
        <v>66.046999999999997</v>
      </c>
      <c r="CG1208" s="121">
        <v>67.596999999999994</v>
      </c>
      <c r="CH1208" s="121">
        <v>69.085499999999996</v>
      </c>
      <c r="CI1208" s="121">
        <v>70.573999999999998</v>
      </c>
      <c r="CJ1208" s="121">
        <v>72.049499999999995</v>
      </c>
      <c r="CK1208" s="121">
        <v>73.525000000000006</v>
      </c>
      <c r="CL1208" s="121">
        <v>75.075000000000003</v>
      </c>
      <c r="CM1208" s="121">
        <v>76.625</v>
      </c>
      <c r="CN1208" s="121">
        <v>78.100499999999997</v>
      </c>
      <c r="CO1208" s="121">
        <v>79.575999999999993</v>
      </c>
      <c r="CP1208" s="121">
        <v>81.052499999999995</v>
      </c>
      <c r="CQ1208" s="121">
        <v>82.528999999999996</v>
      </c>
      <c r="CR1208" s="160">
        <v>83.980500000000006</v>
      </c>
      <c r="CS1208" s="160">
        <v>85.432000000000002</v>
      </c>
      <c r="CT1208" s="160">
        <v>86.908000000000001</v>
      </c>
      <c r="CU1208" s="160">
        <v>88.384</v>
      </c>
      <c r="CV1208" s="160">
        <v>89.859499999999997</v>
      </c>
      <c r="CW1208" s="160">
        <v>91.334999999999994</v>
      </c>
      <c r="CX1208" s="121">
        <f t="array" ref="CX1208:CX1216">TRANSPOSE(CY1207:DG1207)</f>
        <v>92.811000000000007</v>
      </c>
      <c r="CY1208" s="158">
        <v>94.287000000000006</v>
      </c>
      <c r="CZ1208" s="121">
        <f>DA1207</f>
        <v>95.728499999999997</v>
      </c>
      <c r="DA1208" s="158">
        <v>97.24</v>
      </c>
      <c r="DB1208" s="121">
        <f>DC1207</f>
        <v>98.51400000000001</v>
      </c>
      <c r="DC1208" s="158">
        <v>99.995000000000005</v>
      </c>
      <c r="DD1208" s="121">
        <f>DE1207</f>
        <v>101.357</v>
      </c>
      <c r="DE1208" s="158">
        <v>102.947</v>
      </c>
      <c r="DF1208" s="121">
        <f>DG1207</f>
        <v>104.24850000000001</v>
      </c>
      <c r="DG1208" s="159">
        <v>105.899</v>
      </c>
    </row>
    <row r="1209" spans="54:111" ht="15" customHeight="1" x14ac:dyDescent="0.2">
      <c r="BB1209" s="28">
        <v>53</v>
      </c>
      <c r="BC1209" s="121">
        <v>17.911999999999999</v>
      </c>
      <c r="BD1209" s="121">
        <v>19.93225</v>
      </c>
      <c r="BE1209" s="121">
        <v>21.952500000000001</v>
      </c>
      <c r="BF1209" s="121">
        <v>23.888749999999998</v>
      </c>
      <c r="BG1209" s="121">
        <v>25.824999999999999</v>
      </c>
      <c r="BH1209" s="121">
        <v>27.663249999999998</v>
      </c>
      <c r="BI1209" s="121">
        <v>29.5015</v>
      </c>
      <c r="BJ1209" s="121">
        <v>31.271999999999998</v>
      </c>
      <c r="BK1209" s="121">
        <v>33.042500000000004</v>
      </c>
      <c r="BL1209" s="121">
        <v>34.757999999999996</v>
      </c>
      <c r="BM1209" s="121">
        <v>36.473500000000001</v>
      </c>
      <c r="BN1209" s="121">
        <v>38.176250000000003</v>
      </c>
      <c r="BO1209" s="121">
        <v>39.879000000000005</v>
      </c>
      <c r="BP1209" s="121">
        <v>41.542500000000004</v>
      </c>
      <c r="BQ1209" s="121">
        <v>43.206000000000003</v>
      </c>
      <c r="BR1209" s="121">
        <v>44.846999999999994</v>
      </c>
      <c r="BS1209" s="121">
        <v>46.488</v>
      </c>
      <c r="BT1209" s="121">
        <v>48.092500000000001</v>
      </c>
      <c r="BU1209" s="121">
        <v>49.697000000000003</v>
      </c>
      <c r="BV1209" s="121">
        <v>51.301749999999998</v>
      </c>
      <c r="BW1209" s="121">
        <v>52.906500000000001</v>
      </c>
      <c r="BX1209" s="121">
        <v>54.498750000000001</v>
      </c>
      <c r="BY1209" s="121">
        <v>56.090999999999994</v>
      </c>
      <c r="BZ1209" s="121">
        <v>57.66225</v>
      </c>
      <c r="CA1209" s="121">
        <v>59.233499999999999</v>
      </c>
      <c r="CB1209" s="121">
        <v>60.813249999999996</v>
      </c>
      <c r="CC1209" s="121">
        <v>62.393000000000001</v>
      </c>
      <c r="CD1209" s="121">
        <v>63.942249999999994</v>
      </c>
      <c r="CE1209" s="121">
        <v>65.491500000000002</v>
      </c>
      <c r="CF1209" s="121">
        <v>67.040750000000003</v>
      </c>
      <c r="CG1209" s="121">
        <v>68.59</v>
      </c>
      <c r="CH1209" s="121">
        <v>70.108499999999992</v>
      </c>
      <c r="CI1209" s="121">
        <v>71.62700000000001</v>
      </c>
      <c r="CJ1209" s="121">
        <v>73.157499999999999</v>
      </c>
      <c r="CK1209" s="121">
        <v>74.688000000000002</v>
      </c>
      <c r="CL1209" s="121">
        <v>76.222499999999997</v>
      </c>
      <c r="CM1209" s="121">
        <v>77.757000000000005</v>
      </c>
      <c r="CN1209" s="121">
        <v>79.250499999999988</v>
      </c>
      <c r="CO1209" s="121">
        <v>80.744</v>
      </c>
      <c r="CP1209" s="121">
        <v>82.275000000000006</v>
      </c>
      <c r="CQ1209" s="121">
        <v>83.497500000000002</v>
      </c>
      <c r="CR1209" s="160">
        <v>85.287499999999994</v>
      </c>
      <c r="CS1209" s="160">
        <v>86.594499999999996</v>
      </c>
      <c r="CT1209" s="160">
        <v>88.262750000000011</v>
      </c>
      <c r="CU1209" s="160">
        <v>89.617500000000007</v>
      </c>
      <c r="CV1209" s="160">
        <v>91.266249999999999</v>
      </c>
      <c r="CW1209" s="160">
        <v>92.673000000000002</v>
      </c>
      <c r="CX1209" s="160">
        <v>94.269750000000002</v>
      </c>
      <c r="CY1209" s="160">
        <f t="array" ref="CY1209:CY1216">TRANSPOSE(CZ1208:DG1208)</f>
        <v>95.728499999999997</v>
      </c>
      <c r="CZ1209" s="120">
        <f>(CY1209+DA1209)/2</f>
        <v>97.24</v>
      </c>
      <c r="DA1209" s="120">
        <f>(DA1208+DA1210)/2</f>
        <v>98.751499999999993</v>
      </c>
      <c r="DB1209" s="120">
        <f>(DA1209+DC1209)/2</f>
        <v>100.196</v>
      </c>
      <c r="DC1209" s="120">
        <f>(DC1208+DC1210)/2</f>
        <v>101.6405</v>
      </c>
      <c r="DD1209" s="120">
        <f>(DC1209+DE1209)/2</f>
        <v>103.07900000000001</v>
      </c>
      <c r="DE1209" s="120">
        <f>(DE1208+DE1210)/2</f>
        <v>104.5175</v>
      </c>
      <c r="DF1209" s="120">
        <f>(DE1209+DG1209)/2</f>
        <v>106.015</v>
      </c>
      <c r="DG1209" s="122">
        <f>(DG1208+DG1210)/2</f>
        <v>107.5125</v>
      </c>
    </row>
    <row r="1210" spans="54:111" ht="15" customHeight="1" x14ac:dyDescent="0.2">
      <c r="BB1210" s="28">
        <v>54</v>
      </c>
      <c r="BC1210" s="121">
        <v>18.114999999999998</v>
      </c>
      <c r="BD1210" s="121">
        <v>20.1875</v>
      </c>
      <c r="BE1210" s="121">
        <v>22.26</v>
      </c>
      <c r="BF1210" s="121">
        <v>24.213999999999999</v>
      </c>
      <c r="BG1210" s="121">
        <v>26.167999999999999</v>
      </c>
      <c r="BH1210" s="121">
        <v>28.0365</v>
      </c>
      <c r="BI1210" s="121">
        <v>29.905000000000001</v>
      </c>
      <c r="BJ1210" s="121">
        <v>31.712</v>
      </c>
      <c r="BK1210" s="121">
        <v>33.518999999999998</v>
      </c>
      <c r="BL1210" s="121">
        <v>35.251999999999995</v>
      </c>
      <c r="BM1210" s="121">
        <v>36.984999999999999</v>
      </c>
      <c r="BN1210" s="121">
        <v>38.718000000000004</v>
      </c>
      <c r="BO1210" s="121">
        <v>40.451000000000001</v>
      </c>
      <c r="BP1210" s="121">
        <v>42.154499999999999</v>
      </c>
      <c r="BQ1210" s="121">
        <v>43.857999999999997</v>
      </c>
      <c r="BR1210" s="121">
        <v>45.516499999999994</v>
      </c>
      <c r="BS1210" s="121">
        <v>47.174999999999997</v>
      </c>
      <c r="BT1210" s="121">
        <v>48.797499999999999</v>
      </c>
      <c r="BU1210" s="121">
        <v>50.42</v>
      </c>
      <c r="BV1210" s="121">
        <v>52.042500000000004</v>
      </c>
      <c r="BW1210" s="121">
        <v>53.664999999999999</v>
      </c>
      <c r="BX1210" s="121">
        <v>55.287499999999994</v>
      </c>
      <c r="BY1210" s="121">
        <v>56.91</v>
      </c>
      <c r="BZ1210" s="121">
        <v>58.502499999999998</v>
      </c>
      <c r="CA1210" s="121">
        <v>60.094999999999999</v>
      </c>
      <c r="CB1210" s="121">
        <v>61.704999999999998</v>
      </c>
      <c r="CC1210" s="121">
        <v>63.314999999999998</v>
      </c>
      <c r="CD1210" s="121">
        <v>64.900499999999994</v>
      </c>
      <c r="CE1210" s="121">
        <v>66.486000000000004</v>
      </c>
      <c r="CF1210" s="121">
        <v>68.034500000000008</v>
      </c>
      <c r="CG1210" s="121">
        <v>69.582999999999998</v>
      </c>
      <c r="CH1210" s="121">
        <v>71.131500000000003</v>
      </c>
      <c r="CI1210" s="121">
        <v>72.680000000000007</v>
      </c>
      <c r="CJ1210" s="121">
        <v>74.265500000000003</v>
      </c>
      <c r="CK1210" s="121">
        <v>75.850999999999999</v>
      </c>
      <c r="CL1210" s="121">
        <v>77.37</v>
      </c>
      <c r="CM1210" s="121">
        <v>78.888999999999996</v>
      </c>
      <c r="CN1210" s="121">
        <v>80.400499999999994</v>
      </c>
      <c r="CO1210" s="121">
        <v>81.912000000000006</v>
      </c>
      <c r="CP1210" s="121">
        <v>83.497500000000002</v>
      </c>
      <c r="CQ1210" s="121">
        <v>85.082999999999998</v>
      </c>
      <c r="CR1210" s="160">
        <v>86.594499999999996</v>
      </c>
      <c r="CS1210" s="160">
        <v>88.105999999999995</v>
      </c>
      <c r="CT1210" s="160">
        <v>89.617500000000007</v>
      </c>
      <c r="CU1210" s="160">
        <v>91.129000000000005</v>
      </c>
      <c r="CV1210" s="160">
        <v>92.673000000000002</v>
      </c>
      <c r="CW1210" s="160">
        <v>94.216999999999999</v>
      </c>
      <c r="CX1210" s="160">
        <v>95.728499999999997</v>
      </c>
      <c r="CY1210" s="160">
        <v>97.24</v>
      </c>
      <c r="CZ1210" s="121">
        <f t="array" ref="CZ1210:CZ1216">TRANSPOSE(DA1209:DG1209)</f>
        <v>98.751499999999993</v>
      </c>
      <c r="DA1210" s="158">
        <v>100.26300000000001</v>
      </c>
      <c r="DB1210" s="121">
        <f>DC1209</f>
        <v>101.6405</v>
      </c>
      <c r="DC1210" s="158">
        <v>103.286</v>
      </c>
      <c r="DD1210" s="121">
        <f>DE1209</f>
        <v>104.5175</v>
      </c>
      <c r="DE1210" s="158">
        <v>106.08799999999999</v>
      </c>
      <c r="DF1210" s="121">
        <f>DG1209</f>
        <v>107.5125</v>
      </c>
      <c r="DG1210" s="159">
        <v>109.126</v>
      </c>
    </row>
    <row r="1211" spans="54:111" ht="15" customHeight="1" x14ac:dyDescent="0.2">
      <c r="BB1211" s="28">
        <v>55</v>
      </c>
      <c r="BC1211" s="121">
        <v>18.387</v>
      </c>
      <c r="BD1211" s="121">
        <v>20.492249999999999</v>
      </c>
      <c r="BE1211" s="121">
        <v>22.5975</v>
      </c>
      <c r="BF1211" s="121">
        <v>24.566749999999999</v>
      </c>
      <c r="BG1211" s="121">
        <v>26.536000000000001</v>
      </c>
      <c r="BH1211" s="121">
        <v>28.428249999999998</v>
      </c>
      <c r="BI1211" s="121">
        <v>30.320500000000003</v>
      </c>
      <c r="BJ1211" s="121">
        <v>32.145249999999997</v>
      </c>
      <c r="BK1211" s="121">
        <v>33.97</v>
      </c>
      <c r="BL1211" s="121">
        <v>35.736999999999995</v>
      </c>
      <c r="BM1211" s="121">
        <v>37.504000000000005</v>
      </c>
      <c r="BN1211" s="121">
        <v>39.254750000000001</v>
      </c>
      <c r="BO1211" s="121">
        <v>41.005499999999998</v>
      </c>
      <c r="BP1211" s="121">
        <v>42.735250000000001</v>
      </c>
      <c r="BQ1211" s="121">
        <v>44.465000000000003</v>
      </c>
      <c r="BR1211" s="121">
        <v>46.145499999999998</v>
      </c>
      <c r="BS1211" s="121">
        <v>47.825999999999993</v>
      </c>
      <c r="BT1211" s="121">
        <v>49.484499999999997</v>
      </c>
      <c r="BU1211" s="121">
        <v>51.143000000000001</v>
      </c>
      <c r="BV1211" s="121">
        <v>52.799500000000002</v>
      </c>
      <c r="BW1211" s="121">
        <v>54.456000000000003</v>
      </c>
      <c r="BX1211" s="121">
        <v>56.095999999999997</v>
      </c>
      <c r="BY1211" s="121">
        <v>57.735999999999997</v>
      </c>
      <c r="BZ1211" s="121">
        <v>59.287499999999994</v>
      </c>
      <c r="CA1211" s="121">
        <v>60.838999999999999</v>
      </c>
      <c r="CB1211" s="121">
        <v>62.525499999999994</v>
      </c>
      <c r="CC1211" s="121">
        <v>64.211999999999989</v>
      </c>
      <c r="CD1211" s="121">
        <v>65.8155</v>
      </c>
      <c r="CE1211" s="121">
        <v>67.419000000000011</v>
      </c>
      <c r="CF1211" s="121">
        <v>69.016000000000005</v>
      </c>
      <c r="CG1211" s="121">
        <v>70.613</v>
      </c>
      <c r="CH1211" s="121">
        <v>72.201250000000002</v>
      </c>
      <c r="CI1211" s="121">
        <v>73.789500000000004</v>
      </c>
      <c r="CJ1211" s="121">
        <v>75.368499999999997</v>
      </c>
      <c r="CK1211" s="121">
        <v>76.947499999999991</v>
      </c>
      <c r="CL1211" s="121">
        <v>78.521250000000009</v>
      </c>
      <c r="CM1211" s="121">
        <v>80.094999999999999</v>
      </c>
      <c r="CN1211" s="121">
        <v>81.624249999999989</v>
      </c>
      <c r="CO1211" s="121">
        <v>83.153500000000008</v>
      </c>
      <c r="CP1211" s="121">
        <v>84.731999999999999</v>
      </c>
      <c r="CQ1211" s="121">
        <v>85.966499999999996</v>
      </c>
      <c r="CR1211" s="160">
        <v>87.843500000000006</v>
      </c>
      <c r="CS1211" s="160">
        <v>89.092500000000001</v>
      </c>
      <c r="CT1211" s="160">
        <v>90.918500000000009</v>
      </c>
      <c r="CU1211" s="160">
        <v>92.219500000000011</v>
      </c>
      <c r="CV1211" s="160">
        <v>94.042749999999998</v>
      </c>
      <c r="CW1211" s="160">
        <v>95.412499999999994</v>
      </c>
      <c r="CX1211" s="160">
        <v>97.121250000000003</v>
      </c>
      <c r="CY1211" s="160">
        <v>98.51400000000001</v>
      </c>
      <c r="CZ1211" s="160">
        <v>100.196</v>
      </c>
      <c r="DA1211" s="160">
        <f t="array" ref="DA1211:DA1216">TRANSPOSE(DB1210:DG1210)</f>
        <v>101.6405</v>
      </c>
      <c r="DB1211" s="120">
        <f>(DA1211+DC1211)/2</f>
        <v>103.18525</v>
      </c>
      <c r="DC1211" s="120">
        <f>(DC1210+DC1212)/2</f>
        <v>104.73</v>
      </c>
      <c r="DD1211" s="120">
        <f>(DC1211+DE1211)/2</f>
        <v>106.21625</v>
      </c>
      <c r="DE1211" s="120">
        <f>(DE1210+DE1212)/2</f>
        <v>107.70249999999999</v>
      </c>
      <c r="DF1211" s="120">
        <f>(DE1211+DG1211)/2</f>
        <v>109.2355</v>
      </c>
      <c r="DG1211" s="122">
        <f>(DG1210+DG1212)/2</f>
        <v>110.7685</v>
      </c>
    </row>
    <row r="1212" spans="54:111" ht="15" customHeight="1" x14ac:dyDescent="0.2">
      <c r="BB1212" s="28">
        <v>56</v>
      </c>
      <c r="BC1212" s="121">
        <v>18.658999999999999</v>
      </c>
      <c r="BD1212" s="121">
        <v>20.796999999999997</v>
      </c>
      <c r="BE1212" s="121">
        <v>22.934999999999999</v>
      </c>
      <c r="BF1212" s="121">
        <v>24.919499999999999</v>
      </c>
      <c r="BG1212" s="121">
        <v>26.904</v>
      </c>
      <c r="BH1212" s="121">
        <v>28.82</v>
      </c>
      <c r="BI1212" s="121">
        <v>30.736000000000001</v>
      </c>
      <c r="BJ1212" s="121">
        <v>32.578499999999998</v>
      </c>
      <c r="BK1212" s="121">
        <v>34.420999999999999</v>
      </c>
      <c r="BL1212" s="121">
        <v>36.222000000000001</v>
      </c>
      <c r="BM1212" s="121">
        <v>38.023000000000003</v>
      </c>
      <c r="BN1212" s="121">
        <v>39.791499999999999</v>
      </c>
      <c r="BO1212" s="121">
        <v>41.56</v>
      </c>
      <c r="BP1212" s="121">
        <v>43.316000000000003</v>
      </c>
      <c r="BQ1212" s="121">
        <v>45.072000000000003</v>
      </c>
      <c r="BR1212" s="121">
        <v>46.774500000000003</v>
      </c>
      <c r="BS1212" s="121">
        <v>48.476999999999997</v>
      </c>
      <c r="BT1212" s="121">
        <v>50.171499999999995</v>
      </c>
      <c r="BU1212" s="121">
        <v>51.866</v>
      </c>
      <c r="BV1212" s="121">
        <v>53.5565</v>
      </c>
      <c r="BW1212" s="121">
        <v>55.247</v>
      </c>
      <c r="BX1212" s="121">
        <v>56.904499999999999</v>
      </c>
      <c r="BY1212" s="121">
        <v>58.561999999999998</v>
      </c>
      <c r="BZ1212" s="121">
        <v>60.072499999999998</v>
      </c>
      <c r="CA1212" s="121">
        <v>61.582999999999998</v>
      </c>
      <c r="CB1212" s="121">
        <v>63.345999999999997</v>
      </c>
      <c r="CC1212" s="121">
        <v>65.108999999999995</v>
      </c>
      <c r="CD1212" s="121">
        <v>66.730500000000006</v>
      </c>
      <c r="CE1212" s="121">
        <v>68.352000000000004</v>
      </c>
      <c r="CF1212" s="121">
        <v>69.997500000000002</v>
      </c>
      <c r="CG1212" s="121">
        <v>71.643000000000001</v>
      </c>
      <c r="CH1212" s="121">
        <v>73.271000000000001</v>
      </c>
      <c r="CI1212" s="121">
        <v>74.899000000000001</v>
      </c>
      <c r="CJ1212" s="121">
        <v>76.471499999999992</v>
      </c>
      <c r="CK1212" s="121">
        <v>78.043999999999997</v>
      </c>
      <c r="CL1212" s="121">
        <v>79.672499999999999</v>
      </c>
      <c r="CM1212" s="121">
        <v>81.301000000000002</v>
      </c>
      <c r="CN1212" s="121">
        <v>82.847999999999999</v>
      </c>
      <c r="CO1212" s="121">
        <v>84.394999999999996</v>
      </c>
      <c r="CP1212" s="121">
        <v>85.966499999999996</v>
      </c>
      <c r="CQ1212" s="121">
        <v>87.537999999999997</v>
      </c>
      <c r="CR1212" s="160">
        <v>89.092500000000001</v>
      </c>
      <c r="CS1212" s="160">
        <v>90.647000000000006</v>
      </c>
      <c r="CT1212" s="160">
        <v>92.219500000000011</v>
      </c>
      <c r="CU1212" s="160">
        <v>93.792000000000002</v>
      </c>
      <c r="CV1212" s="160">
        <v>95.412499999999994</v>
      </c>
      <c r="CW1212" s="160">
        <v>97.033000000000001</v>
      </c>
      <c r="CX1212" s="160">
        <v>98.51400000000001</v>
      </c>
      <c r="CY1212" s="160">
        <v>99.995000000000005</v>
      </c>
      <c r="CZ1212" s="160">
        <v>101.6405</v>
      </c>
      <c r="DA1212" s="160">
        <v>103.286</v>
      </c>
      <c r="DB1212" s="121">
        <f t="array" ref="DB1212:DB1216">TRANSPOSE(DC1211:DG1211)</f>
        <v>104.73</v>
      </c>
      <c r="DC1212" s="158">
        <v>106.17400000000001</v>
      </c>
      <c r="DD1212" s="121">
        <f>DE1211</f>
        <v>107.70249999999999</v>
      </c>
      <c r="DE1212" s="158">
        <v>109.31699999999999</v>
      </c>
      <c r="DF1212" s="121">
        <f>DG1211</f>
        <v>110.7685</v>
      </c>
      <c r="DG1212" s="159">
        <v>112.411</v>
      </c>
    </row>
    <row r="1213" spans="54:111" ht="15" customHeight="1" x14ac:dyDescent="0.2">
      <c r="BB1213" s="28">
        <v>57</v>
      </c>
      <c r="BC1213" s="121">
        <v>18.899000000000001</v>
      </c>
      <c r="BD1213" s="121">
        <v>21.070499999999999</v>
      </c>
      <c r="BE1213" s="121">
        <v>23.241999999999997</v>
      </c>
      <c r="BF1213" s="121">
        <v>25.25975</v>
      </c>
      <c r="BG1213" s="121">
        <v>27.2775</v>
      </c>
      <c r="BH1213" s="121">
        <v>29.209</v>
      </c>
      <c r="BI1213" s="121">
        <v>31.140500000000003</v>
      </c>
      <c r="BJ1213" s="121">
        <v>33.018749999999997</v>
      </c>
      <c r="BK1213" s="121">
        <v>34.896999999999998</v>
      </c>
      <c r="BL1213" s="121">
        <v>36.71575</v>
      </c>
      <c r="BM1213" s="121">
        <v>38.534500000000001</v>
      </c>
      <c r="BN1213" s="121">
        <v>40.336750000000002</v>
      </c>
      <c r="BO1213" s="121">
        <v>42.139000000000003</v>
      </c>
      <c r="BP1213" s="121">
        <v>43.900750000000002</v>
      </c>
      <c r="BQ1213" s="121">
        <v>45.662500000000001</v>
      </c>
      <c r="BR1213" s="121">
        <v>47.413250000000005</v>
      </c>
      <c r="BS1213" s="121">
        <v>49.164000000000001</v>
      </c>
      <c r="BT1213" s="121">
        <v>50.888999999999996</v>
      </c>
      <c r="BU1213" s="121">
        <v>52.614000000000004</v>
      </c>
      <c r="BV1213" s="121">
        <v>54.3095</v>
      </c>
      <c r="BW1213" s="121">
        <v>56.004999999999995</v>
      </c>
      <c r="BX1213" s="121">
        <v>57.692749999999997</v>
      </c>
      <c r="BY1213" s="121">
        <v>59.380499999999998</v>
      </c>
      <c r="BZ1213" s="121">
        <v>60.980000000000004</v>
      </c>
      <c r="CA1213" s="121">
        <v>62.579499999999996</v>
      </c>
      <c r="CB1213" s="121">
        <v>64.323750000000004</v>
      </c>
      <c r="CC1213" s="121">
        <v>66.067999999999998</v>
      </c>
      <c r="CD1213" s="121">
        <v>67.707250000000002</v>
      </c>
      <c r="CE1213" s="121">
        <v>69.346499999999992</v>
      </c>
      <c r="CF1213" s="121">
        <v>70.995000000000005</v>
      </c>
      <c r="CG1213" s="121">
        <v>72.643500000000003</v>
      </c>
      <c r="CH1213" s="121">
        <v>74.298249999999996</v>
      </c>
      <c r="CI1213" s="121">
        <v>75.953000000000003</v>
      </c>
      <c r="CJ1213" s="121">
        <v>77.533999999999992</v>
      </c>
      <c r="CK1213" s="121">
        <v>79.115000000000009</v>
      </c>
      <c r="CL1213" s="121">
        <v>80.770250000000004</v>
      </c>
      <c r="CM1213" s="121">
        <v>82.4255</v>
      </c>
      <c r="CN1213" s="121">
        <v>84.006249999999994</v>
      </c>
      <c r="CO1213" s="121">
        <v>85.586999999999989</v>
      </c>
      <c r="CP1213" s="121">
        <v>87.201250000000002</v>
      </c>
      <c r="CQ1213" s="121">
        <v>88.436000000000007</v>
      </c>
      <c r="CR1213" s="160">
        <v>90.40025</v>
      </c>
      <c r="CS1213" s="160">
        <v>91.707999999999998</v>
      </c>
      <c r="CT1213" s="160">
        <v>93.578249999999997</v>
      </c>
      <c r="CU1213" s="160">
        <v>94.936999999999998</v>
      </c>
      <c r="CV1213" s="160">
        <v>96.785749999999993</v>
      </c>
      <c r="CW1213" s="160">
        <v>98.158999999999992</v>
      </c>
      <c r="CX1213" s="160">
        <v>99.935500000000005</v>
      </c>
      <c r="CY1213" s="160">
        <v>101.357</v>
      </c>
      <c r="CZ1213" s="160">
        <v>103.07900000000001</v>
      </c>
      <c r="DA1213" s="160">
        <v>104.5175</v>
      </c>
      <c r="DB1213" s="160">
        <v>106.21625</v>
      </c>
      <c r="DC1213" s="160">
        <f t="array" ref="DC1213:DC1216">TRANSPOSE(DD1212:DG1212)</f>
        <v>107.70249999999999</v>
      </c>
      <c r="DD1213" s="120">
        <f>(DC1213+DE1213)/2</f>
        <v>109.30125</v>
      </c>
      <c r="DE1213" s="120">
        <f>(DE1212+DE1214)/2</f>
        <v>110.9</v>
      </c>
      <c r="DF1213" s="120">
        <f>(DE1213+DG1213)/2</f>
        <v>112.48099999999999</v>
      </c>
      <c r="DG1213" s="122">
        <f>(DG1212+DG1214)/2</f>
        <v>114.062</v>
      </c>
    </row>
    <row r="1214" spans="54:111" ht="15" customHeight="1" x14ac:dyDescent="0.2">
      <c r="BB1214" s="28">
        <v>58</v>
      </c>
      <c r="BC1214" s="121">
        <v>19.138999999999999</v>
      </c>
      <c r="BD1214" s="121">
        <v>21.344000000000001</v>
      </c>
      <c r="BE1214" s="121">
        <v>23.548999999999999</v>
      </c>
      <c r="BF1214" s="121">
        <v>25.6</v>
      </c>
      <c r="BG1214" s="121">
        <v>27.651</v>
      </c>
      <c r="BH1214" s="121">
        <v>29.597999999999999</v>
      </c>
      <c r="BI1214" s="121">
        <v>31.545000000000002</v>
      </c>
      <c r="BJ1214" s="121">
        <v>33.459000000000003</v>
      </c>
      <c r="BK1214" s="121">
        <v>35.372999999999998</v>
      </c>
      <c r="BL1214" s="121">
        <v>37.209499999999998</v>
      </c>
      <c r="BM1214" s="121">
        <v>39.045999999999999</v>
      </c>
      <c r="BN1214" s="121">
        <v>40.882000000000005</v>
      </c>
      <c r="BO1214" s="121">
        <v>42.718000000000004</v>
      </c>
      <c r="BP1214" s="121">
        <v>44.485500000000002</v>
      </c>
      <c r="BQ1214" s="121">
        <v>46.253</v>
      </c>
      <c r="BR1214" s="121">
        <v>48.052</v>
      </c>
      <c r="BS1214" s="121">
        <v>49.850999999999999</v>
      </c>
      <c r="BT1214" s="121">
        <v>51.606499999999997</v>
      </c>
      <c r="BU1214" s="121">
        <v>53.362000000000002</v>
      </c>
      <c r="BV1214" s="121">
        <v>55.0625</v>
      </c>
      <c r="BW1214" s="121">
        <v>56.762999999999998</v>
      </c>
      <c r="BX1214" s="121">
        <v>58.480999999999995</v>
      </c>
      <c r="BY1214" s="121">
        <v>60.198999999999998</v>
      </c>
      <c r="BZ1214" s="121">
        <v>61.887500000000003</v>
      </c>
      <c r="CA1214" s="121">
        <v>63.576000000000001</v>
      </c>
      <c r="CB1214" s="121">
        <v>65.301500000000004</v>
      </c>
      <c r="CC1214" s="121">
        <v>67.027000000000001</v>
      </c>
      <c r="CD1214" s="121">
        <v>68.683999999999997</v>
      </c>
      <c r="CE1214" s="121">
        <v>70.340999999999994</v>
      </c>
      <c r="CF1214" s="121">
        <v>71.992500000000007</v>
      </c>
      <c r="CG1214" s="121">
        <v>73.644000000000005</v>
      </c>
      <c r="CH1214" s="121">
        <v>75.325500000000005</v>
      </c>
      <c r="CI1214" s="121">
        <v>77.007000000000005</v>
      </c>
      <c r="CJ1214" s="121">
        <v>78.596500000000006</v>
      </c>
      <c r="CK1214" s="121">
        <v>80.186000000000007</v>
      </c>
      <c r="CL1214" s="121">
        <v>81.867999999999995</v>
      </c>
      <c r="CM1214" s="121">
        <v>83.55</v>
      </c>
      <c r="CN1214" s="121">
        <v>85.164500000000004</v>
      </c>
      <c r="CO1214" s="121">
        <v>86.778999999999996</v>
      </c>
      <c r="CP1214" s="121">
        <v>88.436000000000007</v>
      </c>
      <c r="CQ1214" s="121">
        <v>90.093000000000004</v>
      </c>
      <c r="CR1214" s="160">
        <v>91.707999999999998</v>
      </c>
      <c r="CS1214" s="160">
        <v>93.322999999999993</v>
      </c>
      <c r="CT1214" s="160">
        <v>94.936999999999998</v>
      </c>
      <c r="CU1214" s="160">
        <v>96.551000000000002</v>
      </c>
      <c r="CV1214" s="160">
        <v>98.158999999999992</v>
      </c>
      <c r="CW1214" s="160">
        <v>99.766999999999996</v>
      </c>
      <c r="CX1214" s="160">
        <v>101.357</v>
      </c>
      <c r="CY1214" s="160">
        <v>102.947</v>
      </c>
      <c r="CZ1214" s="160">
        <v>104.5175</v>
      </c>
      <c r="DA1214" s="160">
        <v>106.08799999999999</v>
      </c>
      <c r="DB1214" s="160">
        <v>107.70249999999999</v>
      </c>
      <c r="DC1214" s="160">
        <v>109.31699999999999</v>
      </c>
      <c r="DD1214" s="121">
        <f t="array" ref="DD1214:DD1216">TRANSPOSE(DE1213:DG1213)</f>
        <v>110.9</v>
      </c>
      <c r="DE1214" s="158">
        <v>112.483</v>
      </c>
      <c r="DF1214" s="121">
        <f>DG1213</f>
        <v>114.062</v>
      </c>
      <c r="DG1214" s="159">
        <v>115.71299999999999</v>
      </c>
    </row>
    <row r="1215" spans="54:111" ht="15" customHeight="1" x14ac:dyDescent="0.2">
      <c r="BB1215" s="28">
        <v>59</v>
      </c>
      <c r="BC1215" s="121">
        <v>19.374499999999998</v>
      </c>
      <c r="BD1215" s="121">
        <v>21.612000000000002</v>
      </c>
      <c r="BE1215" s="121">
        <v>23.849499999999999</v>
      </c>
      <c r="BF1215" s="121">
        <v>25.921500000000002</v>
      </c>
      <c r="BG1215" s="121">
        <v>27.993499999999997</v>
      </c>
      <c r="BH1215" s="121">
        <v>29.976749999999999</v>
      </c>
      <c r="BI1215" s="121">
        <v>31.96</v>
      </c>
      <c r="BJ1215" s="121">
        <v>33.89</v>
      </c>
      <c r="BK1215" s="121">
        <v>35.82</v>
      </c>
      <c r="BL1215" s="121">
        <v>37.688500000000005</v>
      </c>
      <c r="BM1215" s="121">
        <v>39.557000000000002</v>
      </c>
      <c r="BN1215" s="121">
        <v>41.411250000000003</v>
      </c>
      <c r="BO1215" s="121">
        <v>43.265500000000003</v>
      </c>
      <c r="BP1215" s="121">
        <v>45.085000000000001</v>
      </c>
      <c r="BQ1215" s="121">
        <v>46.904499999999999</v>
      </c>
      <c r="BR1215" s="121">
        <v>48.703000000000003</v>
      </c>
      <c r="BS1215" s="121">
        <v>50.5015</v>
      </c>
      <c r="BT1215" s="121">
        <v>52.274499999999996</v>
      </c>
      <c r="BU1215" s="121">
        <v>54.047499999999999</v>
      </c>
      <c r="BV1215" s="121">
        <v>55.796999999999997</v>
      </c>
      <c r="BW1215" s="121">
        <v>57.546499999999995</v>
      </c>
      <c r="BX1215" s="121">
        <v>59.285749999999993</v>
      </c>
      <c r="BY1215" s="121">
        <v>61.024999999999999</v>
      </c>
      <c r="BZ1215" s="121">
        <v>62.731250000000003</v>
      </c>
      <c r="CA1215" s="121">
        <v>64.4375</v>
      </c>
      <c r="CB1215" s="121">
        <v>66.177500000000009</v>
      </c>
      <c r="CC1215" s="121">
        <v>67.917500000000004</v>
      </c>
      <c r="CD1215" s="121">
        <v>69.608000000000004</v>
      </c>
      <c r="CE1215" s="121">
        <v>71.29849999999999</v>
      </c>
      <c r="CF1215" s="121">
        <v>72.986249999999998</v>
      </c>
      <c r="CG1215" s="121">
        <v>74.674000000000007</v>
      </c>
      <c r="CH1215" s="121">
        <v>76.358499999999992</v>
      </c>
      <c r="CI1215" s="121">
        <v>78.043000000000006</v>
      </c>
      <c r="CJ1215" s="121">
        <v>79.695999999999998</v>
      </c>
      <c r="CK1215" s="121">
        <v>81.349000000000004</v>
      </c>
      <c r="CL1215" s="121">
        <v>83.015249999999995</v>
      </c>
      <c r="CM1215" s="121">
        <v>84.6815</v>
      </c>
      <c r="CN1215" s="121">
        <v>86.350999999999999</v>
      </c>
      <c r="CO1215" s="121">
        <v>88.020499999999998</v>
      </c>
      <c r="CP1215" s="121">
        <v>89.674000000000007</v>
      </c>
      <c r="CQ1215" s="121">
        <v>90.912000000000006</v>
      </c>
      <c r="CR1215" s="160">
        <v>92.95675</v>
      </c>
      <c r="CS1215" s="160">
        <v>94.205500000000001</v>
      </c>
      <c r="CT1215" s="160">
        <v>96.254999999999995</v>
      </c>
      <c r="CU1215" s="160">
        <v>97.573000000000008</v>
      </c>
      <c r="CV1215" s="160">
        <v>99.553249999999991</v>
      </c>
      <c r="CW1215" s="160">
        <v>100.94749999999999</v>
      </c>
      <c r="CX1215" s="160">
        <v>102.80275</v>
      </c>
      <c r="CY1215" s="160">
        <v>104.24850000000001</v>
      </c>
      <c r="CZ1215" s="160">
        <v>106.015</v>
      </c>
      <c r="DA1215" s="160">
        <v>107.5125</v>
      </c>
      <c r="DB1215" s="160">
        <v>109.2355</v>
      </c>
      <c r="DC1215" s="160">
        <v>110.7685</v>
      </c>
      <c r="DD1215" s="160">
        <v>112.48099999999999</v>
      </c>
      <c r="DE1215" s="160">
        <f t="array" ref="DE1215:DE1216">TRANSPOSE(DF1214:DG1214)</f>
        <v>114.062</v>
      </c>
      <c r="DF1215" s="120">
        <f>(DE1215+DG1215)/2</f>
        <v>115.71275</v>
      </c>
      <c r="DG1215" s="122">
        <f>(DG1214+DG1216)/2</f>
        <v>117.36349999999999</v>
      </c>
    </row>
    <row r="1216" spans="54:111" ht="15" customHeight="1" thickBot="1" x14ac:dyDescent="0.25">
      <c r="BB1216" s="149">
        <v>60</v>
      </c>
      <c r="BC1216" s="123">
        <v>19.61</v>
      </c>
      <c r="BD1216" s="123">
        <v>21.88</v>
      </c>
      <c r="BE1216" s="123">
        <v>24.15</v>
      </c>
      <c r="BF1216" s="123">
        <v>26.242999999999999</v>
      </c>
      <c r="BG1216" s="123">
        <v>28.335999999999999</v>
      </c>
      <c r="BH1216" s="123">
        <v>30.355499999999999</v>
      </c>
      <c r="BI1216" s="123">
        <v>32.375</v>
      </c>
      <c r="BJ1216" s="123">
        <v>34.320999999999998</v>
      </c>
      <c r="BK1216" s="123">
        <v>36.267000000000003</v>
      </c>
      <c r="BL1216" s="123">
        <v>38.167500000000004</v>
      </c>
      <c r="BM1216" s="123">
        <v>40.067999999999998</v>
      </c>
      <c r="BN1216" s="123">
        <v>41.9405</v>
      </c>
      <c r="BO1216" s="123">
        <v>43.813000000000002</v>
      </c>
      <c r="BP1216" s="123">
        <v>45.6845</v>
      </c>
      <c r="BQ1216" s="123">
        <v>47.555999999999997</v>
      </c>
      <c r="BR1216" s="123">
        <v>49.353999999999999</v>
      </c>
      <c r="BS1216" s="123">
        <v>51.152000000000001</v>
      </c>
      <c r="BT1216" s="123">
        <v>52.942499999999995</v>
      </c>
      <c r="BU1216" s="123">
        <v>54.732999999999997</v>
      </c>
      <c r="BV1216" s="123">
        <v>56.531499999999994</v>
      </c>
      <c r="BW1216" s="123">
        <v>58.33</v>
      </c>
      <c r="BX1216" s="123">
        <v>60.090499999999999</v>
      </c>
      <c r="BY1216" s="123">
        <v>61.850999999999999</v>
      </c>
      <c r="BZ1216" s="123">
        <v>63.575000000000003</v>
      </c>
      <c r="CA1216" s="123">
        <v>65.299000000000007</v>
      </c>
      <c r="CB1216" s="123">
        <v>67.053500000000014</v>
      </c>
      <c r="CC1216" s="123">
        <v>68.808000000000007</v>
      </c>
      <c r="CD1216" s="123">
        <v>70.532000000000011</v>
      </c>
      <c r="CE1216" s="123">
        <v>72.256</v>
      </c>
      <c r="CF1216" s="123">
        <v>73.97999999999999</v>
      </c>
      <c r="CG1216" s="123">
        <v>75.703999999999994</v>
      </c>
      <c r="CH1216" s="123">
        <v>77.391499999999994</v>
      </c>
      <c r="CI1216" s="123">
        <v>79.078999999999994</v>
      </c>
      <c r="CJ1216" s="123">
        <v>80.795500000000004</v>
      </c>
      <c r="CK1216" s="123">
        <v>82.512</v>
      </c>
      <c r="CL1216" s="123">
        <v>84.162499999999994</v>
      </c>
      <c r="CM1216" s="123">
        <v>85.813000000000002</v>
      </c>
      <c r="CN1216" s="123">
        <v>87.537499999999994</v>
      </c>
      <c r="CO1216" s="123">
        <v>89.262</v>
      </c>
      <c r="CP1216" s="123">
        <v>90.912000000000006</v>
      </c>
      <c r="CQ1216" s="123">
        <v>92.561999999999998</v>
      </c>
      <c r="CR1216" s="161">
        <v>94.205500000000001</v>
      </c>
      <c r="CS1216" s="161">
        <v>95.849000000000004</v>
      </c>
      <c r="CT1216" s="161">
        <v>97.573000000000008</v>
      </c>
      <c r="CU1216" s="161">
        <v>99.296999999999997</v>
      </c>
      <c r="CV1216" s="161">
        <v>100.94749999999999</v>
      </c>
      <c r="CW1216" s="161">
        <v>102.598</v>
      </c>
      <c r="CX1216" s="161">
        <v>104.24850000000001</v>
      </c>
      <c r="CY1216" s="161">
        <v>105.899</v>
      </c>
      <c r="CZ1216" s="161">
        <v>107.5125</v>
      </c>
      <c r="DA1216" s="161">
        <v>109.126</v>
      </c>
      <c r="DB1216" s="161">
        <v>110.7685</v>
      </c>
      <c r="DC1216" s="161">
        <v>112.411</v>
      </c>
      <c r="DD1216" s="161">
        <v>114.062</v>
      </c>
      <c r="DE1216" s="161">
        <v>115.71299999999999</v>
      </c>
      <c r="DF1216" s="151">
        <f>DG1215</f>
        <v>117.36349999999999</v>
      </c>
      <c r="DG1216" s="162">
        <v>119.014</v>
      </c>
    </row>
    <row r="1217" spans="54:111" ht="15" customHeight="1" thickBot="1" x14ac:dyDescent="0.25">
      <c r="BB1217" s="25"/>
      <c r="BC1217" s="25"/>
      <c r="BD1217" s="25"/>
      <c r="BE1217" s="25"/>
      <c r="BF1217" s="25"/>
      <c r="BG1217" s="25"/>
      <c r="BH1217" s="25"/>
      <c r="BI1217" s="25"/>
      <c r="BJ1217" s="25"/>
      <c r="BK1217" s="25"/>
      <c r="BL1217" s="25"/>
      <c r="BM1217" s="25"/>
      <c r="BN1217" s="25"/>
      <c r="BO1217" s="25"/>
      <c r="BP1217" s="25"/>
      <c r="BQ1217" s="25"/>
      <c r="BR1217" s="25"/>
      <c r="BS1217" s="25"/>
      <c r="BT1217" s="25"/>
      <c r="BU1217" s="25"/>
      <c r="BV1217" s="25"/>
      <c r="BW1217" s="25"/>
      <c r="BX1217" s="25"/>
      <c r="BY1217" s="25"/>
      <c r="BZ1217" s="25"/>
      <c r="CA1217" s="25"/>
      <c r="CB1217" s="25"/>
      <c r="CC1217" s="25"/>
      <c r="CD1217" s="25"/>
      <c r="CE1217" s="25"/>
      <c r="CF1217" s="25"/>
      <c r="CG1217" s="25"/>
      <c r="CH1217" s="25"/>
      <c r="CI1217" s="25"/>
      <c r="CJ1217" s="25"/>
      <c r="CK1217" s="25"/>
      <c r="CL1217" s="25"/>
      <c r="CM1217" s="25"/>
      <c r="CN1217" s="25"/>
      <c r="CO1217" s="25"/>
      <c r="CP1217" s="25"/>
      <c r="CQ1217" s="25"/>
    </row>
    <row r="1218" spans="54:111" ht="15" customHeight="1" thickBot="1" x14ac:dyDescent="0.3">
      <c r="BB1218" s="1841" t="s">
        <v>315</v>
      </c>
      <c r="BC1218" s="1842"/>
      <c r="BD1218" s="1842"/>
      <c r="BE1218" s="1842"/>
      <c r="BF1218" s="1842"/>
      <c r="BG1218" s="1842"/>
      <c r="BH1218" s="1842"/>
      <c r="BI1218" s="1842"/>
      <c r="BJ1218" s="1842"/>
      <c r="BK1218" s="1842"/>
      <c r="BL1218" s="1842"/>
      <c r="BM1218" s="1842"/>
      <c r="BN1218" s="1842"/>
      <c r="BO1218" s="1842"/>
      <c r="BP1218" s="1842"/>
      <c r="BQ1218" s="1842"/>
      <c r="BR1218" s="1842"/>
      <c r="BS1218" s="1842"/>
      <c r="BT1218" s="1842"/>
      <c r="BU1218" s="1842"/>
      <c r="BV1218" s="1842"/>
      <c r="BW1218" s="1842"/>
      <c r="BX1218" s="1842"/>
      <c r="BY1218" s="1842"/>
      <c r="BZ1218" s="1842"/>
      <c r="CA1218" s="1842"/>
      <c r="CB1218" s="1842"/>
      <c r="CC1218" s="1842"/>
      <c r="CD1218" s="1842"/>
      <c r="CE1218" s="1842"/>
      <c r="CF1218" s="1842"/>
      <c r="CG1218" s="1842"/>
      <c r="CH1218" s="1842"/>
      <c r="CI1218" s="1842"/>
      <c r="CJ1218" s="1842"/>
      <c r="CK1218" s="1842"/>
      <c r="CL1218" s="1842"/>
      <c r="CM1218" s="1842"/>
      <c r="CN1218" s="1842"/>
      <c r="CO1218" s="1842"/>
      <c r="CP1218" s="1842"/>
      <c r="CQ1218" s="1842"/>
      <c r="CR1218" s="1842"/>
      <c r="CS1218" s="1842"/>
      <c r="CT1218" s="1842"/>
      <c r="CU1218" s="1842"/>
      <c r="CV1218" s="1842"/>
      <c r="CW1218" s="1842"/>
      <c r="CX1218" s="1842"/>
      <c r="CY1218" s="1842"/>
      <c r="CZ1218" s="1842"/>
      <c r="DA1218" s="1842"/>
      <c r="DB1218" s="1842"/>
      <c r="DC1218" s="1842"/>
      <c r="DD1218" s="1842"/>
      <c r="DE1218" s="1842"/>
      <c r="DF1218" s="1842"/>
      <c r="DG1218" s="1843"/>
    </row>
    <row r="1219" spans="54:111" ht="15" customHeight="1" x14ac:dyDescent="0.2">
      <c r="BB1219" s="26"/>
      <c r="BC1219" s="27">
        <v>4</v>
      </c>
      <c r="BD1219" s="27">
        <v>5</v>
      </c>
      <c r="BE1219" s="27">
        <v>6</v>
      </c>
      <c r="BF1219" s="27">
        <v>7</v>
      </c>
      <c r="BG1219" s="27">
        <v>8</v>
      </c>
      <c r="BH1219" s="27">
        <v>9</v>
      </c>
      <c r="BI1219" s="27">
        <v>10</v>
      </c>
      <c r="BJ1219" s="27">
        <v>11</v>
      </c>
      <c r="BK1219" s="27">
        <v>12</v>
      </c>
      <c r="BL1219" s="27">
        <v>13</v>
      </c>
      <c r="BM1219" s="27">
        <v>14</v>
      </c>
      <c r="BN1219" s="27">
        <v>15</v>
      </c>
      <c r="BO1219" s="27">
        <v>16</v>
      </c>
      <c r="BP1219" s="27">
        <v>17</v>
      </c>
      <c r="BQ1219" s="27">
        <v>18</v>
      </c>
      <c r="BR1219" s="27">
        <v>19</v>
      </c>
      <c r="BS1219" s="27">
        <v>20</v>
      </c>
      <c r="BT1219" s="27">
        <v>21</v>
      </c>
      <c r="BU1219" s="27">
        <v>22</v>
      </c>
      <c r="BV1219" s="27">
        <v>23</v>
      </c>
      <c r="BW1219" s="27">
        <v>24</v>
      </c>
      <c r="BX1219" s="27">
        <v>25</v>
      </c>
      <c r="BY1219" s="27">
        <v>26</v>
      </c>
      <c r="BZ1219" s="27">
        <v>27</v>
      </c>
      <c r="CA1219" s="27">
        <v>28</v>
      </c>
      <c r="CB1219" s="27">
        <v>29</v>
      </c>
      <c r="CC1219" s="27">
        <v>30</v>
      </c>
      <c r="CD1219" s="27">
        <v>31</v>
      </c>
      <c r="CE1219" s="27">
        <v>32</v>
      </c>
      <c r="CF1219" s="27">
        <v>33</v>
      </c>
      <c r="CG1219" s="27">
        <v>34</v>
      </c>
      <c r="CH1219" s="27">
        <v>35</v>
      </c>
      <c r="CI1219" s="27">
        <v>36</v>
      </c>
      <c r="CJ1219" s="27">
        <v>37</v>
      </c>
      <c r="CK1219" s="27">
        <v>38</v>
      </c>
      <c r="CL1219" s="27">
        <v>39</v>
      </c>
      <c r="CM1219" s="27">
        <v>40</v>
      </c>
      <c r="CN1219" s="27">
        <v>41</v>
      </c>
      <c r="CO1219" s="27">
        <v>42</v>
      </c>
      <c r="CP1219" s="27">
        <v>43</v>
      </c>
      <c r="CQ1219" s="27">
        <v>44</v>
      </c>
      <c r="CR1219" s="27">
        <v>45</v>
      </c>
      <c r="CS1219" s="27">
        <v>46</v>
      </c>
      <c r="CT1219" s="27">
        <v>47</v>
      </c>
      <c r="CU1219" s="27">
        <v>48</v>
      </c>
      <c r="CV1219" s="27">
        <v>49</v>
      </c>
      <c r="CW1219" s="27">
        <v>50</v>
      </c>
      <c r="CX1219" s="27">
        <v>51</v>
      </c>
      <c r="CY1219" s="27">
        <v>52</v>
      </c>
      <c r="CZ1219" s="27">
        <v>53</v>
      </c>
      <c r="DA1219" s="27">
        <v>54</v>
      </c>
      <c r="DB1219" s="27">
        <v>55</v>
      </c>
      <c r="DC1219" s="27">
        <v>56</v>
      </c>
      <c r="DD1219" s="27">
        <v>57</v>
      </c>
      <c r="DE1219" s="27">
        <v>58</v>
      </c>
      <c r="DF1219" s="27">
        <v>59</v>
      </c>
      <c r="DG1219" s="142">
        <v>60</v>
      </c>
    </row>
    <row r="1220" spans="54:111" ht="15" customHeight="1" x14ac:dyDescent="0.2">
      <c r="BB1220" s="28">
        <v>4</v>
      </c>
      <c r="BC1220" s="156">
        <v>3.0859999999999999</v>
      </c>
      <c r="BD1220" s="120">
        <f>(BE1220+BC1220)/2</f>
        <v>3.4769999999999999</v>
      </c>
      <c r="BE1220" s="156">
        <v>3.8679999999999999</v>
      </c>
      <c r="BF1220" s="120">
        <f>(BG1220+BE1220)/2</f>
        <v>4.2119999999999997</v>
      </c>
      <c r="BG1220" s="156">
        <v>4.556</v>
      </c>
      <c r="BH1220" s="120">
        <f>(BI1220+BG1220)/2</f>
        <v>4.8514999999999997</v>
      </c>
      <c r="BI1220" s="156">
        <v>5.1470000000000002</v>
      </c>
      <c r="BJ1220" s="120">
        <f>(BK1220+BI1220)/2</f>
        <v>5.4740000000000002</v>
      </c>
      <c r="BK1220" s="156">
        <v>5.8010000000000002</v>
      </c>
      <c r="BL1220" s="120">
        <f>(BM1220+BK1220)/2</f>
        <v>6.0805000000000007</v>
      </c>
      <c r="BM1220" s="156">
        <v>6.36</v>
      </c>
      <c r="BN1220" s="120">
        <f>(BO1220+BM1220)/2</f>
        <v>6.6234999999999999</v>
      </c>
      <c r="BO1220" s="156">
        <v>6.8869999999999996</v>
      </c>
      <c r="BP1220" s="120">
        <f>(BQ1220+BO1220)/2</f>
        <v>7.1594999999999995</v>
      </c>
      <c r="BQ1220" s="156">
        <v>7.4320000000000004</v>
      </c>
      <c r="BR1220" s="120">
        <f>(BS1220+BQ1220)/2</f>
        <v>7.702</v>
      </c>
      <c r="BS1220" s="156">
        <v>7.9720000000000004</v>
      </c>
      <c r="BT1220" s="120">
        <f>(BU1220+BS1220)/2</f>
        <v>8.2349999999999994</v>
      </c>
      <c r="BU1220" s="156">
        <v>8.4979999999999993</v>
      </c>
      <c r="BV1220" s="120">
        <f>(BW1220+BU1220)/2</f>
        <v>8.7454999999999998</v>
      </c>
      <c r="BW1220" s="156">
        <v>8.9930000000000003</v>
      </c>
      <c r="BX1220" s="120">
        <f>(BY1220+BW1220)/2</f>
        <v>9.2240000000000002</v>
      </c>
      <c r="BY1220" s="156">
        <v>9.4550000000000001</v>
      </c>
      <c r="BZ1220" s="120">
        <f>(CA1220+BY1220)/2</f>
        <v>9.6965000000000003</v>
      </c>
      <c r="CA1220" s="156">
        <v>9.9380000000000006</v>
      </c>
      <c r="CB1220" s="120">
        <f>(CC1220+CA1220)/2</f>
        <v>10.175000000000001</v>
      </c>
      <c r="CC1220" s="156">
        <v>10.412000000000001</v>
      </c>
      <c r="CD1220" s="120">
        <f>(CE1220+CC1220)/2</f>
        <v>10.675000000000001</v>
      </c>
      <c r="CE1220" s="156">
        <v>10.938000000000001</v>
      </c>
      <c r="CF1220" s="120">
        <f>(CG1220+CE1220)/2</f>
        <v>11.154</v>
      </c>
      <c r="CG1220" s="156">
        <v>11.37</v>
      </c>
      <c r="CH1220" s="120">
        <f>(CI1220+CG1220)/2</f>
        <v>11.6005</v>
      </c>
      <c r="CI1220" s="156">
        <v>11.831</v>
      </c>
      <c r="CJ1220" s="120">
        <f>(CK1220+CI1220)/2</f>
        <v>12.0725</v>
      </c>
      <c r="CK1220" s="156">
        <v>12.314</v>
      </c>
      <c r="CL1220" s="120">
        <f>(CM1220+CK1220)/2</f>
        <v>12.551500000000001</v>
      </c>
      <c r="CM1220" s="156">
        <v>12.789</v>
      </c>
      <c r="CN1220" s="120">
        <f>(CO1220+CM1220)/2</f>
        <v>13.019500000000001</v>
      </c>
      <c r="CO1220" s="156">
        <v>13.25</v>
      </c>
      <c r="CP1220" s="120">
        <f>(CQ1220+CO1220)/2</f>
        <v>13.4595</v>
      </c>
      <c r="CQ1220" s="156">
        <v>13.669</v>
      </c>
      <c r="CR1220" s="120">
        <f>(CS1220+CQ1220)/2</f>
        <v>13.906500000000001</v>
      </c>
      <c r="CS1220" s="156">
        <v>14.144</v>
      </c>
      <c r="CT1220" s="120">
        <f>(CU1220+CS1220)/2</f>
        <v>14.352499999999999</v>
      </c>
      <c r="CU1220" s="156">
        <v>14.561</v>
      </c>
      <c r="CV1220" s="120">
        <f>(CW1220+CU1220)/2</f>
        <v>14.798500000000001</v>
      </c>
      <c r="CW1220" s="156">
        <v>15.036</v>
      </c>
      <c r="CX1220" s="120">
        <f>(CY1220+CW1220)/2</f>
        <v>15.097999999999999</v>
      </c>
      <c r="CY1220" s="156">
        <v>15.16</v>
      </c>
      <c r="CZ1220" s="120">
        <f>(DA1220+CY1220)/2</f>
        <v>15.506</v>
      </c>
      <c r="DA1220" s="156">
        <v>15.852</v>
      </c>
      <c r="DB1220" s="120">
        <f>(DC1220+DA1220)/2</f>
        <v>16.089500000000001</v>
      </c>
      <c r="DC1220" s="156">
        <v>16.327000000000002</v>
      </c>
      <c r="DD1220" s="120">
        <f>(DE1220+DC1220)/2</f>
        <v>16.5365</v>
      </c>
      <c r="DE1220" s="156">
        <v>16.745999999999999</v>
      </c>
      <c r="DF1220" s="120">
        <f>(DG1220+DE1220)/2</f>
        <v>16.951000000000001</v>
      </c>
      <c r="DG1220" s="157">
        <v>17.155999999999999</v>
      </c>
    </row>
    <row r="1221" spans="54:111" ht="15" customHeight="1" x14ac:dyDescent="0.2">
      <c r="BB1221" s="28">
        <v>5</v>
      </c>
      <c r="BC1221" s="121">
        <f t="array" ref="BC1221:BC1276">TRANSPOSE(BD1220:DG1220)</f>
        <v>3.4769999999999999</v>
      </c>
      <c r="BD1221" s="120">
        <f>(BC1221+BE1221)/2</f>
        <v>3.9032499999999999</v>
      </c>
      <c r="BE1221" s="120">
        <f>(BE1220+BE1222)/2</f>
        <v>4.3295000000000003</v>
      </c>
      <c r="BF1221" s="120">
        <f>(BE1221+BG1221)/2</f>
        <v>4.7125000000000004</v>
      </c>
      <c r="BG1221" s="120">
        <f>(BG1220+BG1222)/2</f>
        <v>5.0954999999999995</v>
      </c>
      <c r="BH1221" s="120">
        <f>(BG1221+BI1221)/2</f>
        <v>5.4257499999999999</v>
      </c>
      <c r="BI1221" s="120">
        <f>(BI1220+BI1222)/2</f>
        <v>5.7560000000000002</v>
      </c>
      <c r="BJ1221" s="120">
        <f>(BI1221+BK1221)/2</f>
        <v>6.1032500000000001</v>
      </c>
      <c r="BK1221" s="120">
        <f>(BK1220+BK1222)/2</f>
        <v>6.4504999999999999</v>
      </c>
      <c r="BL1221" s="120">
        <f>(BK1221+BM1221)/2</f>
        <v>6.7565</v>
      </c>
      <c r="BM1221" s="120">
        <f>(BM1220+BM1222)/2</f>
        <v>7.0625</v>
      </c>
      <c r="BN1221" s="120">
        <f>(BM1221+BO1221)/2</f>
        <v>7.3767499999999995</v>
      </c>
      <c r="BO1221" s="120">
        <f>(BO1220+BO1222)/2</f>
        <v>7.6909999999999989</v>
      </c>
      <c r="BP1221" s="120">
        <f>(BO1221+BQ1221)/2</f>
        <v>7.9902499999999996</v>
      </c>
      <c r="BQ1221" s="120">
        <f>(BQ1220+BQ1222)/2</f>
        <v>8.2895000000000003</v>
      </c>
      <c r="BR1221" s="120">
        <f>(BQ1221+BS1221)/2</f>
        <v>8.5747499999999999</v>
      </c>
      <c r="BS1221" s="120">
        <f>(BS1220+BS1222)/2</f>
        <v>8.86</v>
      </c>
      <c r="BT1221" s="120">
        <f>(BS1221+BU1221)/2</f>
        <v>9.1544999999999987</v>
      </c>
      <c r="BU1221" s="120">
        <f>(BU1220+BU1222)/2</f>
        <v>9.4489999999999998</v>
      </c>
      <c r="BV1221" s="120">
        <f>(BU1221+BW1221)/2</f>
        <v>9.722999999999999</v>
      </c>
      <c r="BW1221" s="120">
        <f>(BW1220+BW1222)/2</f>
        <v>9.9969999999999999</v>
      </c>
      <c r="BX1221" s="120">
        <f>(BW1221+BY1221)/2</f>
        <v>10.275500000000001</v>
      </c>
      <c r="BY1221" s="120">
        <f>(BY1220+BY1222)/2</f>
        <v>10.554</v>
      </c>
      <c r="BZ1221" s="120">
        <f>(BY1221+CA1221)/2</f>
        <v>10.824750000000002</v>
      </c>
      <c r="CA1221" s="120">
        <f>(CA1220+CA1222)/2</f>
        <v>11.095500000000001</v>
      </c>
      <c r="CB1221" s="120">
        <f>(CA1221+CC1221)/2</f>
        <v>11.364500000000001</v>
      </c>
      <c r="CC1221" s="120">
        <f>(CC1220+CC1222)/2</f>
        <v>11.633500000000002</v>
      </c>
      <c r="CD1221" s="120">
        <f>(CC1221+CE1221)/2</f>
        <v>11.90075</v>
      </c>
      <c r="CE1221" s="120">
        <f>(CE1220+CE1222)/2</f>
        <v>12.167999999999999</v>
      </c>
      <c r="CF1221" s="120">
        <f>(CE1221+CG1221)/2</f>
        <v>12.426499999999999</v>
      </c>
      <c r="CG1221" s="120">
        <f>(CG1220+CG1222)/2</f>
        <v>12.684999999999999</v>
      </c>
      <c r="CH1221" s="120">
        <f>(CG1221+CI1221)/2</f>
        <v>12.930999999999999</v>
      </c>
      <c r="CI1221" s="120">
        <f>(CI1220+CI1222)/2</f>
        <v>13.177</v>
      </c>
      <c r="CJ1221" s="120">
        <f>(CI1221+CK1221)/2</f>
        <v>13.448</v>
      </c>
      <c r="CK1221" s="120">
        <f>(CK1220+CK1222)/2</f>
        <v>13.719000000000001</v>
      </c>
      <c r="CL1221" s="120">
        <f>(CK1221+CM1221)/2</f>
        <v>13.972000000000001</v>
      </c>
      <c r="CM1221" s="120">
        <f>(CM1220+CM1222)/2</f>
        <v>14.225</v>
      </c>
      <c r="CN1221" s="120">
        <f>(CM1221+CO1221)/2</f>
        <v>14.487</v>
      </c>
      <c r="CO1221" s="120">
        <f>(CO1220+CO1222)/2</f>
        <v>14.749000000000001</v>
      </c>
      <c r="CP1221" s="120">
        <f>(CO1221+CQ1221)/2</f>
        <v>14.988250000000001</v>
      </c>
      <c r="CQ1221" s="120">
        <f>(CQ1220+CQ1222)/2</f>
        <v>15.227500000000001</v>
      </c>
      <c r="CR1221" s="120">
        <f>(CQ1221+CS1221)/2</f>
        <v>15.493000000000002</v>
      </c>
      <c r="CS1221" s="120">
        <f>(CS1220+CS1222)/2</f>
        <v>15.758500000000002</v>
      </c>
      <c r="CT1221" s="120">
        <f>(CS1221+CU1221)/2</f>
        <v>15.997000000000002</v>
      </c>
      <c r="CU1221" s="120">
        <f>(CU1220+CU1222)/2</f>
        <v>16.235500000000002</v>
      </c>
      <c r="CV1221" s="120">
        <f>(CU1221+CW1221)/2</f>
        <v>16.485250000000001</v>
      </c>
      <c r="CW1221" s="120">
        <f>(CW1220+CW1222)/2</f>
        <v>16.734999999999999</v>
      </c>
      <c r="CX1221" s="120">
        <f>(CW1221+CY1221)/2</f>
        <v>16.889250000000001</v>
      </c>
      <c r="CY1221" s="120">
        <f>(CY1220+CY1222)/2</f>
        <v>17.043500000000002</v>
      </c>
      <c r="CZ1221" s="120">
        <f>(CY1221+DA1221)/2</f>
        <v>17.366500000000002</v>
      </c>
      <c r="DA1221" s="120">
        <f>(DA1220+DA1222)/2</f>
        <v>17.689500000000002</v>
      </c>
      <c r="DB1221" s="120">
        <f>(DA1221+DC1221)/2</f>
        <v>17.939250000000001</v>
      </c>
      <c r="DC1221" s="120">
        <f>(DC1220+DC1222)/2</f>
        <v>18.189</v>
      </c>
      <c r="DD1221" s="120">
        <f>(DC1221+DE1221)/2</f>
        <v>18.428000000000001</v>
      </c>
      <c r="DE1221" s="120">
        <f>(DE1220+DE1222)/2</f>
        <v>18.667000000000002</v>
      </c>
      <c r="DF1221" s="120">
        <f>(DE1221+DG1221)/2</f>
        <v>18.90025</v>
      </c>
      <c r="DG1221" s="122">
        <f>(DG1220+DG1222)/2</f>
        <v>19.133499999999998</v>
      </c>
    </row>
    <row r="1222" spans="54:111" ht="15" customHeight="1" x14ac:dyDescent="0.2">
      <c r="BB1222" s="28">
        <v>6</v>
      </c>
      <c r="BC1222" s="121">
        <v>3.8679999999999999</v>
      </c>
      <c r="BD1222" s="121">
        <f t="array" ref="BD1222:BD1276">TRANSPOSE(BE1221:DG1221)</f>
        <v>4.3295000000000003</v>
      </c>
      <c r="BE1222" s="158">
        <v>4.7910000000000004</v>
      </c>
      <c r="BF1222" s="120">
        <f>(BG1222+BE1222)/2</f>
        <v>5.2130000000000001</v>
      </c>
      <c r="BG1222" s="158">
        <v>5.6349999999999998</v>
      </c>
      <c r="BH1222" s="120">
        <f>(BI1222+BG1222)/2</f>
        <v>6</v>
      </c>
      <c r="BI1222" s="158">
        <v>6.3650000000000002</v>
      </c>
      <c r="BJ1222" s="120">
        <f>(BK1222+BI1222)/2</f>
        <v>6.7324999999999999</v>
      </c>
      <c r="BK1222" s="158">
        <v>7.1</v>
      </c>
      <c r="BL1222" s="120">
        <f>(BM1222+BK1222)/2</f>
        <v>7.4324999999999992</v>
      </c>
      <c r="BM1222" s="158">
        <v>7.7649999999999997</v>
      </c>
      <c r="BN1222" s="120">
        <f>(BO1222+BM1222)/2</f>
        <v>8.129999999999999</v>
      </c>
      <c r="BO1222" s="158">
        <v>8.4949999999999992</v>
      </c>
      <c r="BP1222" s="120">
        <f>(BQ1222+BO1222)/2</f>
        <v>8.8209999999999997</v>
      </c>
      <c r="BQ1222" s="158">
        <v>9.1470000000000002</v>
      </c>
      <c r="BR1222" s="120">
        <f>(BS1222+BQ1222)/2</f>
        <v>9.4474999999999998</v>
      </c>
      <c r="BS1222" s="158">
        <v>9.7479999999999993</v>
      </c>
      <c r="BT1222" s="120">
        <f>(BU1222+BS1222)/2</f>
        <v>10.074</v>
      </c>
      <c r="BU1222" s="158">
        <v>10.4</v>
      </c>
      <c r="BV1222" s="120">
        <f>(BW1222+BU1222)/2</f>
        <v>10.7005</v>
      </c>
      <c r="BW1222" s="158">
        <v>11.000999999999999</v>
      </c>
      <c r="BX1222" s="120">
        <f>(BY1222+BW1222)/2</f>
        <v>11.327</v>
      </c>
      <c r="BY1222" s="158">
        <v>11.653</v>
      </c>
      <c r="BZ1222" s="120">
        <f>(CA1222+BY1222)/2</f>
        <v>11.952999999999999</v>
      </c>
      <c r="CA1222" s="158">
        <v>12.253</v>
      </c>
      <c r="CB1222" s="120">
        <f>(CC1222+CA1222)/2</f>
        <v>12.554</v>
      </c>
      <c r="CC1222" s="158">
        <v>12.855</v>
      </c>
      <c r="CD1222" s="120">
        <f>(CE1222+CC1222)/2</f>
        <v>13.1265</v>
      </c>
      <c r="CE1222" s="158">
        <v>13.398</v>
      </c>
      <c r="CF1222" s="120">
        <f>(CG1222+CE1222)/2</f>
        <v>13.699</v>
      </c>
      <c r="CG1222" s="158">
        <v>14</v>
      </c>
      <c r="CH1222" s="120">
        <f>(CI1222+CG1222)/2</f>
        <v>14.2615</v>
      </c>
      <c r="CI1222" s="158">
        <v>14.523</v>
      </c>
      <c r="CJ1222" s="120">
        <f>(CK1222+CI1222)/2</f>
        <v>14.823499999999999</v>
      </c>
      <c r="CK1222" s="158">
        <v>15.124000000000001</v>
      </c>
      <c r="CL1222" s="120">
        <f>(CM1222+CK1222)/2</f>
        <v>15.3925</v>
      </c>
      <c r="CM1222" s="158">
        <v>15.661</v>
      </c>
      <c r="CN1222" s="120">
        <f>(CO1222+CM1222)/2</f>
        <v>15.954499999999999</v>
      </c>
      <c r="CO1222" s="158">
        <v>16.248000000000001</v>
      </c>
      <c r="CP1222" s="120">
        <f>(CQ1222+CO1222)/2</f>
        <v>16.517000000000003</v>
      </c>
      <c r="CQ1222" s="158">
        <v>16.786000000000001</v>
      </c>
      <c r="CR1222" s="120">
        <f>(CS1222+CQ1222)/2</f>
        <v>17.079500000000003</v>
      </c>
      <c r="CS1222" s="158">
        <v>17.373000000000001</v>
      </c>
      <c r="CT1222" s="120">
        <f>(CU1222+CS1222)/2</f>
        <v>17.641500000000001</v>
      </c>
      <c r="CU1222" s="158">
        <v>17.91</v>
      </c>
      <c r="CV1222" s="120">
        <f>(CW1222+CU1222)/2</f>
        <v>18.172000000000001</v>
      </c>
      <c r="CW1222" s="158">
        <v>18.434000000000001</v>
      </c>
      <c r="CX1222" s="120">
        <f>(CY1222+CW1222)/2</f>
        <v>18.680500000000002</v>
      </c>
      <c r="CY1222" s="158">
        <v>18.927</v>
      </c>
      <c r="CZ1222" s="120">
        <f>(DA1222+CY1222)/2</f>
        <v>19.227</v>
      </c>
      <c r="DA1222" s="158">
        <v>19.527000000000001</v>
      </c>
      <c r="DB1222" s="120">
        <f>(DC1222+DA1222)/2</f>
        <v>19.789000000000001</v>
      </c>
      <c r="DC1222" s="158">
        <v>20.050999999999998</v>
      </c>
      <c r="DD1222" s="120">
        <f>(DE1222+DC1222)/2</f>
        <v>20.319499999999998</v>
      </c>
      <c r="DE1222" s="158">
        <v>20.588000000000001</v>
      </c>
      <c r="DF1222" s="120">
        <f>(DG1222+DE1222)/2</f>
        <v>20.849499999999999</v>
      </c>
      <c r="DG1222" s="159">
        <v>21.111000000000001</v>
      </c>
    </row>
    <row r="1223" spans="54:111" ht="15" customHeight="1" x14ac:dyDescent="0.2">
      <c r="BB1223" s="28">
        <v>7</v>
      </c>
      <c r="BC1223" s="121">
        <v>4.2119999999999997</v>
      </c>
      <c r="BD1223" s="121">
        <v>4.7125000000000004</v>
      </c>
      <c r="BE1223" s="121">
        <f t="array" ref="BE1223:BE1276">TRANSPOSE(BF1222:DG1222)</f>
        <v>5.2130000000000001</v>
      </c>
      <c r="BF1223" s="120">
        <f>(BE1223+BG1223)/2</f>
        <v>5.6537500000000005</v>
      </c>
      <c r="BG1223" s="120">
        <f>(BG1222+BG1224)/2</f>
        <v>6.0945</v>
      </c>
      <c r="BH1223" s="120">
        <f>(BG1223+BI1223)/2</f>
        <v>6.5069999999999997</v>
      </c>
      <c r="BI1223" s="120">
        <f>(BI1222+BI1224)/2</f>
        <v>6.9195000000000002</v>
      </c>
      <c r="BJ1223" s="120">
        <f>(BI1223+BK1223)/2</f>
        <v>7.3170000000000002</v>
      </c>
      <c r="BK1223" s="120">
        <f>(BK1222+BK1224)/2</f>
        <v>7.7145000000000001</v>
      </c>
      <c r="BL1223" s="120">
        <f>(BK1223+BM1223)/2</f>
        <v>8.0752500000000005</v>
      </c>
      <c r="BM1223" s="120">
        <f>(BM1222+BM1224)/2</f>
        <v>8.4359999999999999</v>
      </c>
      <c r="BN1223" s="120">
        <f>(BM1223+BO1223)/2</f>
        <v>8.827</v>
      </c>
      <c r="BO1223" s="120">
        <f>(BO1222+BO1224)/2</f>
        <v>9.218</v>
      </c>
      <c r="BP1223" s="120">
        <f>(BO1223+BQ1223)/2</f>
        <v>9.5627499999999994</v>
      </c>
      <c r="BQ1223" s="120">
        <f>(BQ1222+BQ1224)/2</f>
        <v>9.9074999999999989</v>
      </c>
      <c r="BR1223" s="120">
        <f>(BQ1223+BS1223)/2</f>
        <v>10.2555</v>
      </c>
      <c r="BS1223" s="120">
        <f>(BS1222+BS1224)/2</f>
        <v>10.6035</v>
      </c>
      <c r="BT1223" s="120">
        <f>(BS1223+BU1223)/2</f>
        <v>10.94525</v>
      </c>
      <c r="BU1223" s="120">
        <f>(BU1222+BU1224)/2</f>
        <v>11.286999999999999</v>
      </c>
      <c r="BV1223" s="120">
        <f>(BU1223+BW1223)/2</f>
        <v>11.618749999999999</v>
      </c>
      <c r="BW1223" s="120">
        <f>(BW1222+BW1224)/2</f>
        <v>11.9505</v>
      </c>
      <c r="BX1223" s="120">
        <f>(BW1223+BY1223)/2</f>
        <v>12.29025</v>
      </c>
      <c r="BY1223" s="120">
        <f>(BY1222+BY1224)/2</f>
        <v>12.629999999999999</v>
      </c>
      <c r="BZ1223" s="120">
        <f>(BY1223+CA1223)/2</f>
        <v>12.961499999999999</v>
      </c>
      <c r="CA1223" s="120">
        <f>(CA1222+CA1224)/2</f>
        <v>13.292999999999999</v>
      </c>
      <c r="CB1223" s="120">
        <f>(CA1223+CC1223)/2</f>
        <v>13.609249999999999</v>
      </c>
      <c r="CC1223" s="120">
        <f>(CC1222+CC1224)/2</f>
        <v>13.9255</v>
      </c>
      <c r="CD1223" s="120">
        <f>(CC1223+CE1223)/2</f>
        <v>14.239750000000001</v>
      </c>
      <c r="CE1223" s="120">
        <f>(CE1222+CE1224)/2</f>
        <v>14.554</v>
      </c>
      <c r="CF1223" s="120">
        <f>(CE1223+CG1223)/2</f>
        <v>14.87025</v>
      </c>
      <c r="CG1223" s="120">
        <f>(CG1222+CG1224)/2</f>
        <v>15.186500000000001</v>
      </c>
      <c r="CH1223" s="120">
        <f>(CG1223+CI1223)/2</f>
        <v>15.49375</v>
      </c>
      <c r="CI1223" s="120">
        <f>(CI1222+CI1224)/2</f>
        <v>15.801</v>
      </c>
      <c r="CJ1223" s="120">
        <f>(CI1223+CK1223)/2</f>
        <v>16.117000000000001</v>
      </c>
      <c r="CK1223" s="120">
        <f>(CK1222+CK1224)/2</f>
        <v>16.433</v>
      </c>
      <c r="CL1223" s="120">
        <f>(CK1223+CM1223)/2</f>
        <v>16.729500000000002</v>
      </c>
      <c r="CM1223" s="120">
        <f>(CM1222+CM1224)/2</f>
        <v>17.026</v>
      </c>
      <c r="CN1223" s="120">
        <f>(CM1223+CO1223)/2</f>
        <v>17.338749999999997</v>
      </c>
      <c r="CO1223" s="120">
        <f>(CO1222+CO1224)/2</f>
        <v>17.651499999999999</v>
      </c>
      <c r="CP1223" s="120">
        <f>(CO1223+CQ1223)/2</f>
        <v>17.935499999999998</v>
      </c>
      <c r="CQ1223" s="120">
        <f>(CQ1222+CQ1224)/2</f>
        <v>18.2195</v>
      </c>
      <c r="CR1223" s="120">
        <f>(CQ1223+CS1223)/2</f>
        <v>18.542999999999999</v>
      </c>
      <c r="CS1223" s="120">
        <f>(CS1222+CS1224)/2</f>
        <v>18.866500000000002</v>
      </c>
      <c r="CT1223" s="120">
        <f>(CS1223+CU1223)/2</f>
        <v>19.163</v>
      </c>
      <c r="CU1223" s="120">
        <f>(CU1222+CU1224)/2</f>
        <v>19.459499999999998</v>
      </c>
      <c r="CV1223" s="120">
        <f>(CU1223+CW1223)/2</f>
        <v>19.739999999999998</v>
      </c>
      <c r="CW1223" s="120">
        <f>(CW1222+CW1224)/2</f>
        <v>20.020499999999998</v>
      </c>
      <c r="CX1223" s="120">
        <f>(CW1223+CY1223)/2</f>
        <v>20.3095</v>
      </c>
      <c r="CY1223" s="120">
        <f>(CY1222+CY1224)/2</f>
        <v>20.598500000000001</v>
      </c>
      <c r="CZ1223" s="120">
        <f>(CY1223+DA1223)/2</f>
        <v>20.898250000000001</v>
      </c>
      <c r="DA1223" s="120">
        <f>(DA1222+DA1224)/2</f>
        <v>21.198</v>
      </c>
      <c r="DB1223" s="120">
        <f>(DA1223+DC1223)/2</f>
        <v>21.505749999999999</v>
      </c>
      <c r="DC1223" s="120">
        <f>(DC1222+DC1224)/2</f>
        <v>21.813499999999998</v>
      </c>
      <c r="DD1223" s="120">
        <f>(DC1223+DE1223)/2</f>
        <v>22.094000000000001</v>
      </c>
      <c r="DE1223" s="120">
        <f>(DE1222+DE1224)/2</f>
        <v>22.374500000000001</v>
      </c>
      <c r="DF1223" s="120">
        <f>(DE1223+DG1223)/2</f>
        <v>22.65475</v>
      </c>
      <c r="DG1223" s="122">
        <f>(DG1222+DG1224)/2</f>
        <v>22.935000000000002</v>
      </c>
    </row>
    <row r="1224" spans="54:111" ht="15" customHeight="1" x14ac:dyDescent="0.2">
      <c r="BB1224" s="28">
        <v>8</v>
      </c>
      <c r="BC1224" s="121">
        <v>4.556</v>
      </c>
      <c r="BD1224" s="121">
        <v>5.0954999999999995</v>
      </c>
      <c r="BE1224" s="121">
        <v>5.6349999999999998</v>
      </c>
      <c r="BF1224" s="121">
        <f t="array" ref="BF1224:BF1276">TRANSPOSE(BG1223:DG1223)</f>
        <v>6.0945</v>
      </c>
      <c r="BG1224" s="158">
        <v>6.5540000000000003</v>
      </c>
      <c r="BH1224" s="120">
        <f>(BI1224+BG1224)/2</f>
        <v>7.0140000000000002</v>
      </c>
      <c r="BI1224" s="158">
        <v>7.4740000000000002</v>
      </c>
      <c r="BJ1224" s="120">
        <f>(BK1224+BI1224)/2</f>
        <v>7.9015000000000004</v>
      </c>
      <c r="BK1224" s="158">
        <v>8.3290000000000006</v>
      </c>
      <c r="BL1224" s="120">
        <f>(BM1224+BK1224)/2</f>
        <v>8.718</v>
      </c>
      <c r="BM1224" s="158">
        <v>9.1069999999999993</v>
      </c>
      <c r="BN1224" s="120">
        <f>(BO1224+BM1224)/2</f>
        <v>9.5240000000000009</v>
      </c>
      <c r="BO1224" s="158">
        <v>9.9410000000000007</v>
      </c>
      <c r="BP1224" s="120">
        <f>(BQ1224+BO1224)/2</f>
        <v>10.304500000000001</v>
      </c>
      <c r="BQ1224" s="158">
        <v>10.667999999999999</v>
      </c>
      <c r="BR1224" s="120">
        <f>(BS1224+BQ1224)/2</f>
        <v>11.063499999999999</v>
      </c>
      <c r="BS1224" s="158">
        <v>11.459</v>
      </c>
      <c r="BT1224" s="120">
        <f>(BU1224+BS1224)/2</f>
        <v>11.8165</v>
      </c>
      <c r="BU1224" s="158">
        <v>12.173999999999999</v>
      </c>
      <c r="BV1224" s="120">
        <f>(BW1224+BU1224)/2</f>
        <v>12.536999999999999</v>
      </c>
      <c r="BW1224" s="158">
        <v>12.9</v>
      </c>
      <c r="BX1224" s="120">
        <f>(BY1224+BW1224)/2</f>
        <v>13.253499999999999</v>
      </c>
      <c r="BY1224" s="158">
        <v>13.606999999999999</v>
      </c>
      <c r="BZ1224" s="120">
        <f>(CA1224+BY1224)/2</f>
        <v>13.969999999999999</v>
      </c>
      <c r="CA1224" s="158">
        <v>14.333</v>
      </c>
      <c r="CB1224" s="120">
        <f>(CC1224+CA1224)/2</f>
        <v>14.6645</v>
      </c>
      <c r="CC1224" s="158">
        <v>14.996</v>
      </c>
      <c r="CD1224" s="120">
        <f>(CE1224+CC1224)/2</f>
        <v>15.353000000000002</v>
      </c>
      <c r="CE1224" s="158">
        <v>15.71</v>
      </c>
      <c r="CF1224" s="120">
        <f>(CG1224+CE1224)/2</f>
        <v>16.041499999999999</v>
      </c>
      <c r="CG1224" s="158">
        <v>16.373000000000001</v>
      </c>
      <c r="CH1224" s="120">
        <f>(CI1224+CG1224)/2</f>
        <v>16.725999999999999</v>
      </c>
      <c r="CI1224" s="158">
        <v>17.079000000000001</v>
      </c>
      <c r="CJ1224" s="120">
        <f>(CK1224+CI1224)/2</f>
        <v>17.410499999999999</v>
      </c>
      <c r="CK1224" s="158">
        <v>17.742000000000001</v>
      </c>
      <c r="CL1224" s="120">
        <f>(CM1224+CK1224)/2</f>
        <v>18.066499999999998</v>
      </c>
      <c r="CM1224" s="158">
        <v>18.390999999999998</v>
      </c>
      <c r="CN1224" s="120">
        <f>(CO1224+CM1224)/2</f>
        <v>18.722999999999999</v>
      </c>
      <c r="CO1224" s="158">
        <v>19.055</v>
      </c>
      <c r="CP1224" s="120">
        <f>(CQ1224+CO1224)/2</f>
        <v>19.353999999999999</v>
      </c>
      <c r="CQ1224" s="158">
        <v>19.652999999999999</v>
      </c>
      <c r="CR1224" s="120">
        <f>(CS1224+CQ1224)/2</f>
        <v>20.006499999999999</v>
      </c>
      <c r="CS1224" s="158">
        <v>20.36</v>
      </c>
      <c r="CT1224" s="120">
        <f>(CU1224+CS1224)/2</f>
        <v>20.6845</v>
      </c>
      <c r="CU1224" s="158">
        <v>21.009</v>
      </c>
      <c r="CV1224" s="120">
        <f>(CW1224+CU1224)/2</f>
        <v>21.308</v>
      </c>
      <c r="CW1224" s="158">
        <v>21.606999999999999</v>
      </c>
      <c r="CX1224" s="120">
        <f>(CY1224+CW1224)/2</f>
        <v>21.938499999999998</v>
      </c>
      <c r="CY1224" s="158">
        <v>22.27</v>
      </c>
      <c r="CZ1224" s="120">
        <f>(DA1224+CY1224)/2</f>
        <v>22.569499999999998</v>
      </c>
      <c r="DA1224" s="158">
        <v>22.869</v>
      </c>
      <c r="DB1224" s="120">
        <f>(DC1224+DA1224)/2</f>
        <v>23.2225</v>
      </c>
      <c r="DC1224" s="158">
        <v>23.576000000000001</v>
      </c>
      <c r="DD1224" s="120">
        <f>(DE1224+DC1224)/2</f>
        <v>23.868500000000001</v>
      </c>
      <c r="DE1224" s="158">
        <v>24.161000000000001</v>
      </c>
      <c r="DF1224" s="120">
        <f>(DG1224+DE1224)/2</f>
        <v>24.46</v>
      </c>
      <c r="DG1224" s="159">
        <v>24.759</v>
      </c>
    </row>
    <row r="1225" spans="54:111" ht="15" customHeight="1" x14ac:dyDescent="0.2">
      <c r="BB1225" s="28">
        <v>9</v>
      </c>
      <c r="BC1225" s="121">
        <v>4.8514999999999997</v>
      </c>
      <c r="BD1225" s="121">
        <v>5.4257499999999999</v>
      </c>
      <c r="BE1225" s="121">
        <v>6</v>
      </c>
      <c r="BF1225" s="121">
        <v>6.5069999999999997</v>
      </c>
      <c r="BG1225" s="121">
        <f t="array" ref="BG1225:BG1276">TRANSPOSE(BH1224:DG1224)</f>
        <v>7.0140000000000002</v>
      </c>
      <c r="BH1225" s="120">
        <f>(BG1225+BI1225)/2</f>
        <v>7.5</v>
      </c>
      <c r="BI1225" s="120">
        <f>(BI1224+BI1226)/2</f>
        <v>7.9859999999999998</v>
      </c>
      <c r="BJ1225" s="120">
        <f>(BI1225+BK1225)/2</f>
        <v>8.4290000000000003</v>
      </c>
      <c r="BK1225" s="120">
        <f>(BK1224+BK1226)/2</f>
        <v>8.8719999999999999</v>
      </c>
      <c r="BL1225" s="120">
        <f>(BK1225+BM1225)/2</f>
        <v>9.3067499999999992</v>
      </c>
      <c r="BM1225" s="120">
        <f>(BM1224+BM1226)/2</f>
        <v>9.7414999999999985</v>
      </c>
      <c r="BN1225" s="120">
        <f>(BM1225+BO1225)/2</f>
        <v>10.17925</v>
      </c>
      <c r="BO1225" s="120">
        <f>(BO1224+BO1226)/2</f>
        <v>10.617000000000001</v>
      </c>
      <c r="BP1225" s="120">
        <f>(BO1225+BQ1225)/2</f>
        <v>11.023</v>
      </c>
      <c r="BQ1225" s="120">
        <f>(BQ1224+BQ1226)/2</f>
        <v>11.428999999999998</v>
      </c>
      <c r="BR1225" s="120">
        <f>(BQ1225+BS1225)/2</f>
        <v>11.839749999999999</v>
      </c>
      <c r="BS1225" s="120">
        <f>(BS1224+BS1226)/2</f>
        <v>12.250499999999999</v>
      </c>
      <c r="BT1225" s="120">
        <f>(BS1225+BU1225)/2</f>
        <v>12.637499999999999</v>
      </c>
      <c r="BU1225" s="120">
        <f>(BU1224+BU1226)/2</f>
        <v>13.0245</v>
      </c>
      <c r="BV1225" s="120">
        <f>(BU1225+BW1225)/2</f>
        <v>13.40325</v>
      </c>
      <c r="BW1225" s="120">
        <f>(BW1224+BW1226)/2</f>
        <v>13.782</v>
      </c>
      <c r="BX1225" s="120">
        <f>(BW1225+BY1225)/2</f>
        <v>14.163499999999999</v>
      </c>
      <c r="BY1225" s="120">
        <f>(BY1224+BY1226)/2</f>
        <v>14.545</v>
      </c>
      <c r="BZ1225" s="120">
        <f>(BY1225+CA1225)/2</f>
        <v>14.923749999999998</v>
      </c>
      <c r="CA1225" s="120">
        <f>(CA1224+CA1226)/2</f>
        <v>15.302499999999998</v>
      </c>
      <c r="CB1225" s="120">
        <f>(CA1225+CC1225)/2</f>
        <v>15.676499999999999</v>
      </c>
      <c r="CC1225" s="120">
        <f>(CC1224+CC1226)/2</f>
        <v>16.0505</v>
      </c>
      <c r="CD1225" s="120">
        <f>(CC1225+CE1225)/2</f>
        <v>16.426000000000002</v>
      </c>
      <c r="CE1225" s="120">
        <f>(CE1224+CE1226)/2</f>
        <v>16.801500000000001</v>
      </c>
      <c r="CF1225" s="120">
        <f>(CE1225+CG1225)/2</f>
        <v>17.159500000000001</v>
      </c>
      <c r="CG1225" s="120">
        <f>(CG1224+CG1226)/2</f>
        <v>17.517499999999998</v>
      </c>
      <c r="CH1225" s="120">
        <f>(CG1225+CI1225)/2</f>
        <v>17.890999999999998</v>
      </c>
      <c r="CI1225" s="120">
        <f>(CI1224+CI1226)/2</f>
        <v>18.264499999999998</v>
      </c>
      <c r="CJ1225" s="120">
        <f>(CI1225+CK1225)/2</f>
        <v>18.622499999999999</v>
      </c>
      <c r="CK1225" s="120">
        <f>(CK1224+CK1226)/2</f>
        <v>18.980499999999999</v>
      </c>
      <c r="CL1225" s="120">
        <f>(CK1225+CM1225)/2</f>
        <v>19.32375</v>
      </c>
      <c r="CM1225" s="120">
        <f>(CM1224+CM1226)/2</f>
        <v>19.667000000000002</v>
      </c>
      <c r="CN1225" s="120">
        <f>(CM1225+CO1225)/2</f>
        <v>20.02525</v>
      </c>
      <c r="CO1225" s="120">
        <f>(CO1224+CO1226)/2</f>
        <v>20.383499999999998</v>
      </c>
      <c r="CP1225" s="120">
        <f>(CO1225+CQ1225)/2</f>
        <v>20.713999999999999</v>
      </c>
      <c r="CQ1225" s="120">
        <f>(CQ1224+CQ1226)/2</f>
        <v>21.044499999999999</v>
      </c>
      <c r="CR1225" s="120">
        <f>(CQ1225+CS1225)/2</f>
        <v>21.413499999999999</v>
      </c>
      <c r="CS1225" s="120">
        <f>(CS1224+CS1226)/2</f>
        <v>21.782499999999999</v>
      </c>
      <c r="CT1225" s="120">
        <f>(CS1225+CU1225)/2</f>
        <v>22.12575</v>
      </c>
      <c r="CU1225" s="120">
        <f>(CU1224+CU1226)/2</f>
        <v>22.469000000000001</v>
      </c>
      <c r="CV1225" s="120">
        <f>(CU1225+CW1225)/2</f>
        <v>22.810500000000001</v>
      </c>
      <c r="CW1225" s="120">
        <f>(CW1224+CW1226)/2</f>
        <v>23.152000000000001</v>
      </c>
      <c r="CX1225" s="120">
        <f>(CW1225+CY1225)/2</f>
        <v>23.498750000000001</v>
      </c>
      <c r="CY1225" s="120">
        <f>(CY1224+CY1226)/2</f>
        <v>23.845500000000001</v>
      </c>
      <c r="CZ1225" s="120">
        <f>(CY1225+DA1225)/2</f>
        <v>24.1875</v>
      </c>
      <c r="DA1225" s="120">
        <f>(DA1224+DA1226)/2</f>
        <v>24.529499999999999</v>
      </c>
      <c r="DB1225" s="120">
        <f>(DA1225+DC1225)/2</f>
        <v>24.87125</v>
      </c>
      <c r="DC1225" s="120">
        <f>(DC1224+DC1226)/2</f>
        <v>25.213000000000001</v>
      </c>
      <c r="DD1225" s="120">
        <f>(DC1225+DE1225)/2</f>
        <v>25.55125</v>
      </c>
      <c r="DE1225" s="120">
        <f>(DE1224+DE1226)/2</f>
        <v>25.889499999999998</v>
      </c>
      <c r="DF1225" s="120">
        <f>(DE1225+DG1225)/2</f>
        <v>26.204249999999998</v>
      </c>
      <c r="DG1225" s="122">
        <f>(DG1224+DG1226)/2</f>
        <v>26.518999999999998</v>
      </c>
    </row>
    <row r="1226" spans="54:111" ht="15" customHeight="1" x14ac:dyDescent="0.2">
      <c r="BB1226" s="28">
        <v>10</v>
      </c>
      <c r="BC1226" s="121">
        <v>5.1470000000000002</v>
      </c>
      <c r="BD1226" s="121">
        <v>5.7560000000000002</v>
      </c>
      <c r="BE1226" s="121">
        <v>6.3650000000000002</v>
      </c>
      <c r="BF1226" s="121">
        <v>6.9195000000000002</v>
      </c>
      <c r="BG1226" s="121">
        <v>7.4740000000000002</v>
      </c>
      <c r="BH1226" s="121">
        <f t="array" ref="BH1226:BH1276">TRANSPOSE(BI1225:DG1225)</f>
        <v>7.9859999999999998</v>
      </c>
      <c r="BI1226" s="158">
        <v>8.4979999999999993</v>
      </c>
      <c r="BJ1226" s="120">
        <f>(BK1226+BI1226)/2</f>
        <v>8.9564999999999984</v>
      </c>
      <c r="BK1226" s="158">
        <v>9.4149999999999991</v>
      </c>
      <c r="BL1226" s="120">
        <f>(BM1226+BK1226)/2</f>
        <v>9.8954999999999984</v>
      </c>
      <c r="BM1226" s="158">
        <v>10.375999999999999</v>
      </c>
      <c r="BN1226" s="120">
        <f>(BO1226+BM1226)/2</f>
        <v>10.834499999999998</v>
      </c>
      <c r="BO1226" s="158">
        <v>11.292999999999999</v>
      </c>
      <c r="BP1226" s="120">
        <f>(BQ1226+BO1226)/2</f>
        <v>11.741499999999998</v>
      </c>
      <c r="BQ1226" s="158">
        <v>12.19</v>
      </c>
      <c r="BR1226" s="120">
        <f>(BS1226+BQ1226)/2</f>
        <v>12.616</v>
      </c>
      <c r="BS1226" s="158">
        <v>13.042</v>
      </c>
      <c r="BT1226" s="120">
        <f>(BU1226+BS1226)/2</f>
        <v>13.458500000000001</v>
      </c>
      <c r="BU1226" s="158">
        <v>13.875</v>
      </c>
      <c r="BV1226" s="120">
        <f>(BW1226+BU1226)/2</f>
        <v>14.269500000000001</v>
      </c>
      <c r="BW1226" s="158">
        <v>14.664</v>
      </c>
      <c r="BX1226" s="120">
        <f>(BY1226+BW1226)/2</f>
        <v>15.073499999999999</v>
      </c>
      <c r="BY1226" s="158">
        <v>15.483000000000001</v>
      </c>
      <c r="BZ1226" s="120">
        <f>(CA1226+BY1226)/2</f>
        <v>15.8775</v>
      </c>
      <c r="CA1226" s="158">
        <v>16.271999999999998</v>
      </c>
      <c r="CB1226" s="120">
        <f>(CC1226+CA1226)/2</f>
        <v>16.688499999999998</v>
      </c>
      <c r="CC1226" s="158">
        <v>17.105</v>
      </c>
      <c r="CD1226" s="120">
        <f>(CE1226+CC1226)/2</f>
        <v>17.499000000000002</v>
      </c>
      <c r="CE1226" s="158">
        <v>17.893000000000001</v>
      </c>
      <c r="CF1226" s="120">
        <f>(CG1226+CE1226)/2</f>
        <v>18.2775</v>
      </c>
      <c r="CG1226" s="158">
        <v>18.661999999999999</v>
      </c>
      <c r="CH1226" s="120">
        <f>(CI1226+CG1226)/2</f>
        <v>19.055999999999997</v>
      </c>
      <c r="CI1226" s="158">
        <v>19.45</v>
      </c>
      <c r="CJ1226" s="120">
        <f>(CK1226+CI1226)/2</f>
        <v>19.834499999999998</v>
      </c>
      <c r="CK1226" s="158">
        <v>20.219000000000001</v>
      </c>
      <c r="CL1226" s="120">
        <f>(CM1226+CK1226)/2</f>
        <v>20.581000000000003</v>
      </c>
      <c r="CM1226" s="158">
        <v>20.943000000000001</v>
      </c>
      <c r="CN1226" s="120">
        <f>(CO1226+CM1226)/2</f>
        <v>21.327500000000001</v>
      </c>
      <c r="CO1226" s="158">
        <v>21.712</v>
      </c>
      <c r="CP1226" s="120">
        <f>(CQ1226+CO1226)/2</f>
        <v>22.073999999999998</v>
      </c>
      <c r="CQ1226" s="158">
        <v>22.436</v>
      </c>
      <c r="CR1226" s="120">
        <f>(CS1226+CQ1226)/2</f>
        <v>22.820499999999999</v>
      </c>
      <c r="CS1226" s="158">
        <v>23.204999999999998</v>
      </c>
      <c r="CT1226" s="120">
        <f>(CU1226+CS1226)/2</f>
        <v>23.567</v>
      </c>
      <c r="CU1226" s="158">
        <v>23.928999999999998</v>
      </c>
      <c r="CV1226" s="120">
        <f>(CW1226+CU1226)/2</f>
        <v>24.312999999999999</v>
      </c>
      <c r="CW1226" s="158">
        <v>24.696999999999999</v>
      </c>
      <c r="CX1226" s="120">
        <f>(CY1226+CW1226)/2</f>
        <v>25.058999999999997</v>
      </c>
      <c r="CY1226" s="158">
        <v>25.420999999999999</v>
      </c>
      <c r="CZ1226" s="120">
        <f>(DA1226+CY1226)/2</f>
        <v>25.805500000000002</v>
      </c>
      <c r="DA1226" s="158">
        <v>26.19</v>
      </c>
      <c r="DB1226" s="120">
        <f>(DC1226+DA1226)/2</f>
        <v>26.520000000000003</v>
      </c>
      <c r="DC1226" s="158">
        <v>26.85</v>
      </c>
      <c r="DD1226" s="120">
        <f>(DE1226+DC1226)/2</f>
        <v>27.234000000000002</v>
      </c>
      <c r="DE1226" s="158">
        <v>27.617999999999999</v>
      </c>
      <c r="DF1226" s="120">
        <f>(DG1226+DE1226)/2</f>
        <v>27.948499999999999</v>
      </c>
      <c r="DG1226" s="159">
        <v>28.279</v>
      </c>
    </row>
    <row r="1227" spans="54:111" ht="15" customHeight="1" x14ac:dyDescent="0.2">
      <c r="BB1227" s="28">
        <v>11</v>
      </c>
      <c r="BC1227" s="121">
        <v>5.4740000000000002</v>
      </c>
      <c r="BD1227" s="121">
        <v>6.1032500000000001</v>
      </c>
      <c r="BE1227" s="121">
        <v>6.7324999999999999</v>
      </c>
      <c r="BF1227" s="121">
        <v>7.3170000000000002</v>
      </c>
      <c r="BG1227" s="121">
        <v>7.9015000000000004</v>
      </c>
      <c r="BH1227" s="121">
        <v>8.4290000000000003</v>
      </c>
      <c r="BI1227" s="121">
        <f t="array" ref="BI1227:BI1276">TRANSPOSE(BJ1226:DG1226)</f>
        <v>8.9564999999999984</v>
      </c>
      <c r="BJ1227" s="120">
        <f>(BI1227+BK1227)/2</f>
        <v>9.4574999999999996</v>
      </c>
      <c r="BK1227" s="120">
        <f>(BK1226+BK1228)/2</f>
        <v>9.9585000000000008</v>
      </c>
      <c r="BL1227" s="120">
        <f>(BK1227+BM1227)/2</f>
        <v>10.470500000000001</v>
      </c>
      <c r="BM1227" s="120">
        <f>(BM1226+BM1228)/2</f>
        <v>10.9825</v>
      </c>
      <c r="BN1227" s="120">
        <f>(BM1227+BO1227)/2</f>
        <v>11.456499999999998</v>
      </c>
      <c r="BO1227" s="120">
        <f>(BO1226+BO1228)/2</f>
        <v>11.930499999999999</v>
      </c>
      <c r="BP1227" s="120">
        <f>(BO1227+BQ1227)/2</f>
        <v>12.39425</v>
      </c>
      <c r="BQ1227" s="120">
        <f>(BQ1226+BQ1228)/2</f>
        <v>12.858000000000001</v>
      </c>
      <c r="BR1227" s="120">
        <f>(BQ1227+BS1227)/2</f>
        <v>13.314</v>
      </c>
      <c r="BS1227" s="120">
        <f>(BS1226+BS1228)/2</f>
        <v>13.77</v>
      </c>
      <c r="BT1227" s="120">
        <f>(BS1227+BU1227)/2</f>
        <v>14.218</v>
      </c>
      <c r="BU1227" s="120">
        <f>(BU1226+BU1228)/2</f>
        <v>14.666</v>
      </c>
      <c r="BV1227" s="120">
        <f>(BU1227+BW1227)/2</f>
        <v>15.102500000000001</v>
      </c>
      <c r="BW1227" s="120">
        <f>(BW1226+BW1228)/2</f>
        <v>15.539000000000001</v>
      </c>
      <c r="BX1227" s="120">
        <f>(BW1227+BY1227)/2</f>
        <v>15.956500000000002</v>
      </c>
      <c r="BY1227" s="120">
        <f>(BY1226+BY1228)/2</f>
        <v>16.374000000000002</v>
      </c>
      <c r="BZ1227" s="120">
        <f>(BY1227+CA1227)/2</f>
        <v>16.811</v>
      </c>
      <c r="CA1227" s="120">
        <f>(CA1226+CA1228)/2</f>
        <v>17.247999999999998</v>
      </c>
      <c r="CB1227" s="120">
        <f>(CA1227+CC1227)/2</f>
        <v>17.679749999999999</v>
      </c>
      <c r="CC1227" s="120">
        <f>(CC1226+CC1228)/2</f>
        <v>18.111499999999999</v>
      </c>
      <c r="CD1227" s="120">
        <f>(CC1227+CE1227)/2</f>
        <v>18.532</v>
      </c>
      <c r="CE1227" s="120">
        <f>(CE1226+CE1228)/2</f>
        <v>18.952500000000001</v>
      </c>
      <c r="CF1227" s="120">
        <f>(CE1227+CG1227)/2</f>
        <v>19.371749999999999</v>
      </c>
      <c r="CG1227" s="120">
        <f>(CG1226+CG1228)/2</f>
        <v>19.791</v>
      </c>
      <c r="CH1227" s="120">
        <f>(CG1227+CI1227)/2</f>
        <v>20.1845</v>
      </c>
      <c r="CI1227" s="120">
        <f>(CI1226+CI1228)/2</f>
        <v>20.577999999999999</v>
      </c>
      <c r="CJ1227" s="120">
        <f>(CI1227+CK1227)/2</f>
        <v>20.993749999999999</v>
      </c>
      <c r="CK1227" s="120">
        <f>(CK1226+CK1228)/2</f>
        <v>21.409500000000001</v>
      </c>
      <c r="CL1227" s="120">
        <f>(CK1227+CM1227)/2</f>
        <v>21.798000000000002</v>
      </c>
      <c r="CM1227" s="120">
        <f>(CM1226+CM1228)/2</f>
        <v>22.186500000000002</v>
      </c>
      <c r="CN1227" s="120">
        <f>(CM1227+CO1227)/2</f>
        <v>22.602499999999999</v>
      </c>
      <c r="CO1227" s="120">
        <f>(CO1226+CO1228)/2</f>
        <v>23.0185</v>
      </c>
      <c r="CP1227" s="120">
        <f>(CO1227+CQ1227)/2</f>
        <v>23.406750000000002</v>
      </c>
      <c r="CQ1227" s="120">
        <f>(CQ1226+CQ1228)/2</f>
        <v>23.795000000000002</v>
      </c>
      <c r="CR1227" s="120">
        <f>(CQ1227+CS1227)/2</f>
        <v>24.184000000000001</v>
      </c>
      <c r="CS1227" s="120">
        <f>(CS1226+CS1228)/2</f>
        <v>24.573</v>
      </c>
      <c r="CT1227" s="120">
        <f>(CS1227+CU1227)/2</f>
        <v>24.964749999999999</v>
      </c>
      <c r="CU1227" s="120">
        <f>(CU1226+CU1228)/2</f>
        <v>25.356499999999997</v>
      </c>
      <c r="CV1227" s="120">
        <f>(CU1227+CW1227)/2</f>
        <v>25.756249999999998</v>
      </c>
      <c r="CW1227" s="120">
        <f>(CW1226+CW1228)/2</f>
        <v>26.155999999999999</v>
      </c>
      <c r="CX1227" s="120">
        <f>(CW1227+CY1227)/2</f>
        <v>26.544249999999998</v>
      </c>
      <c r="CY1227" s="120">
        <f>(CY1226+CY1228)/2</f>
        <v>26.932499999999997</v>
      </c>
      <c r="CZ1227" s="120">
        <f>(CY1227+DA1227)/2</f>
        <v>27.3325</v>
      </c>
      <c r="DA1227" s="120">
        <f>(DA1226+DA1228)/2</f>
        <v>27.732500000000002</v>
      </c>
      <c r="DB1227" s="120">
        <f>(DA1227+DC1227)/2</f>
        <v>28.094000000000001</v>
      </c>
      <c r="DC1227" s="120">
        <f>(DC1226+DC1228)/2</f>
        <v>28.455500000000001</v>
      </c>
      <c r="DD1227" s="120">
        <f>(DC1227+DE1227)/2</f>
        <v>28.855</v>
      </c>
      <c r="DE1227" s="120">
        <f>(DE1226+DE1228)/2</f>
        <v>29.2545</v>
      </c>
      <c r="DF1227" s="120">
        <f>(DE1227+DG1227)/2</f>
        <v>29.630500000000001</v>
      </c>
      <c r="DG1227" s="122">
        <f>(DG1226+DG1228)/2</f>
        <v>30.006500000000003</v>
      </c>
    </row>
    <row r="1228" spans="54:111" ht="15" customHeight="1" x14ac:dyDescent="0.2">
      <c r="BB1228" s="28">
        <v>12</v>
      </c>
      <c r="BC1228" s="121">
        <v>5.8010000000000002</v>
      </c>
      <c r="BD1228" s="121">
        <v>6.4504999999999999</v>
      </c>
      <c r="BE1228" s="121">
        <v>7.1</v>
      </c>
      <c r="BF1228" s="121">
        <v>7.7145000000000001</v>
      </c>
      <c r="BG1228" s="121">
        <v>8.3290000000000006</v>
      </c>
      <c r="BH1228" s="121">
        <v>8.8719999999999999</v>
      </c>
      <c r="BI1228" s="121">
        <v>9.4149999999999991</v>
      </c>
      <c r="BJ1228" s="121">
        <f t="array" ref="BJ1228:BJ1276">TRANSPOSE(BK1227:DG1227)</f>
        <v>9.9585000000000008</v>
      </c>
      <c r="BK1228" s="158">
        <v>10.502000000000001</v>
      </c>
      <c r="BL1228" s="120">
        <f>(BM1228+BK1228)/2</f>
        <v>11.045500000000001</v>
      </c>
      <c r="BM1228" s="158">
        <v>11.589</v>
      </c>
      <c r="BN1228" s="120">
        <f>(BO1228+BM1228)/2</f>
        <v>12.0785</v>
      </c>
      <c r="BO1228" s="158">
        <v>12.568</v>
      </c>
      <c r="BP1228" s="120">
        <f>(BQ1228+BO1228)/2</f>
        <v>13.047000000000001</v>
      </c>
      <c r="BQ1228" s="158">
        <v>13.526</v>
      </c>
      <c r="BR1228" s="120">
        <f>(BS1228+BQ1228)/2</f>
        <v>14.012</v>
      </c>
      <c r="BS1228" s="158">
        <v>14.497999999999999</v>
      </c>
      <c r="BT1228" s="120">
        <f>(BU1228+BS1228)/2</f>
        <v>14.977499999999999</v>
      </c>
      <c r="BU1228" s="158">
        <v>15.457000000000001</v>
      </c>
      <c r="BV1228" s="120">
        <f>(BW1228+BU1228)/2</f>
        <v>15.935500000000001</v>
      </c>
      <c r="BW1228" s="158">
        <v>16.414000000000001</v>
      </c>
      <c r="BX1228" s="120">
        <f>(BY1228+BW1228)/2</f>
        <v>16.839500000000001</v>
      </c>
      <c r="BY1228" s="158">
        <v>17.265000000000001</v>
      </c>
      <c r="BZ1228" s="120">
        <f>(CA1228+BY1228)/2</f>
        <v>17.744500000000002</v>
      </c>
      <c r="CA1228" s="158">
        <v>18.224</v>
      </c>
      <c r="CB1228" s="120">
        <f>(CC1228+CA1228)/2</f>
        <v>18.670999999999999</v>
      </c>
      <c r="CC1228" s="158">
        <v>19.117999999999999</v>
      </c>
      <c r="CD1228" s="120">
        <f>(CE1228+CC1228)/2</f>
        <v>19.564999999999998</v>
      </c>
      <c r="CE1228" s="158">
        <v>20.012</v>
      </c>
      <c r="CF1228" s="120">
        <f>(CG1228+CE1228)/2</f>
        <v>20.466000000000001</v>
      </c>
      <c r="CG1228" s="158">
        <v>20.92</v>
      </c>
      <c r="CH1228" s="120">
        <f>(CI1228+CG1228)/2</f>
        <v>21.313000000000002</v>
      </c>
      <c r="CI1228" s="158">
        <v>21.706</v>
      </c>
      <c r="CJ1228" s="120">
        <f>(CK1228+CI1228)/2</f>
        <v>22.152999999999999</v>
      </c>
      <c r="CK1228" s="158">
        <v>22.6</v>
      </c>
      <c r="CL1228" s="120">
        <f>(CM1228+CK1228)/2</f>
        <v>23.015000000000001</v>
      </c>
      <c r="CM1228" s="158">
        <v>23.43</v>
      </c>
      <c r="CN1228" s="120">
        <f>(CO1228+CM1228)/2</f>
        <v>23.877499999999998</v>
      </c>
      <c r="CO1228" s="158">
        <v>24.324999999999999</v>
      </c>
      <c r="CP1228" s="120">
        <f>(CQ1228+CO1228)/2</f>
        <v>24.7395</v>
      </c>
      <c r="CQ1228" s="158">
        <v>25.154</v>
      </c>
      <c r="CR1228" s="120">
        <f>(CS1228+CQ1228)/2</f>
        <v>25.547499999999999</v>
      </c>
      <c r="CS1228" s="158">
        <v>25.940999999999999</v>
      </c>
      <c r="CT1228" s="120">
        <f>(CU1228+CS1228)/2</f>
        <v>26.362499999999997</v>
      </c>
      <c r="CU1228" s="158">
        <v>26.783999999999999</v>
      </c>
      <c r="CV1228" s="120">
        <f>(CW1228+CU1228)/2</f>
        <v>27.1995</v>
      </c>
      <c r="CW1228" s="158">
        <v>27.614999999999998</v>
      </c>
      <c r="CX1228" s="120">
        <f>(CY1228+CW1228)/2</f>
        <v>28.029499999999999</v>
      </c>
      <c r="CY1228" s="158">
        <v>28.443999999999999</v>
      </c>
      <c r="CZ1228" s="120">
        <f>(DA1228+CY1228)/2</f>
        <v>28.859499999999997</v>
      </c>
      <c r="DA1228" s="158">
        <v>29.274999999999999</v>
      </c>
      <c r="DB1228" s="120">
        <f>(DC1228+DA1228)/2</f>
        <v>29.667999999999999</v>
      </c>
      <c r="DC1228" s="158">
        <v>30.061</v>
      </c>
      <c r="DD1228" s="120">
        <f>(DE1228+DC1228)/2</f>
        <v>30.475999999999999</v>
      </c>
      <c r="DE1228" s="158">
        <v>30.890999999999998</v>
      </c>
      <c r="DF1228" s="120">
        <f>(DG1228+DE1228)/2</f>
        <v>31.3125</v>
      </c>
      <c r="DG1228" s="159">
        <v>31.734000000000002</v>
      </c>
    </row>
    <row r="1229" spans="54:111" ht="15" customHeight="1" x14ac:dyDescent="0.2">
      <c r="BB1229" s="28">
        <v>13</v>
      </c>
      <c r="BC1229" s="121">
        <v>6.0805000000000007</v>
      </c>
      <c r="BD1229" s="121">
        <v>6.7565</v>
      </c>
      <c r="BE1229" s="121">
        <v>7.4324999999999992</v>
      </c>
      <c r="BF1229" s="121">
        <v>8.0752500000000005</v>
      </c>
      <c r="BG1229" s="121">
        <v>8.718</v>
      </c>
      <c r="BH1229" s="121">
        <v>9.3067499999999992</v>
      </c>
      <c r="BI1229" s="121">
        <v>9.8954999999999984</v>
      </c>
      <c r="BJ1229" s="121">
        <v>10.470500000000001</v>
      </c>
      <c r="BK1229" s="121">
        <f t="array" ref="BK1229:BK1276">TRANSPOSE(BL1228:DG1228)</f>
        <v>11.045500000000001</v>
      </c>
      <c r="BL1229" s="120">
        <f>(BK1229+BM1229)/2</f>
        <v>11.60425</v>
      </c>
      <c r="BM1229" s="120">
        <f>(BM1228+BM1230)/2</f>
        <v>12.163</v>
      </c>
      <c r="BN1229" s="120">
        <f>(BM1229+BO1229)/2</f>
        <v>12.68225</v>
      </c>
      <c r="BO1229" s="120">
        <f>(BO1228+BO1230)/2</f>
        <v>13.201499999999999</v>
      </c>
      <c r="BP1229" s="120">
        <f>(BO1229+BQ1229)/2</f>
        <v>13.712</v>
      </c>
      <c r="BQ1229" s="120">
        <f>(BQ1228+BQ1230)/2</f>
        <v>14.2225</v>
      </c>
      <c r="BR1229" s="120">
        <f>(BQ1229+BS1229)/2</f>
        <v>14.720749999999999</v>
      </c>
      <c r="BS1229" s="120">
        <f>(BS1228+BS1230)/2</f>
        <v>15.218999999999999</v>
      </c>
      <c r="BT1229" s="120">
        <f>(BS1229+BU1229)/2</f>
        <v>15.733000000000001</v>
      </c>
      <c r="BU1229" s="120">
        <f>(BU1228+BU1230)/2</f>
        <v>16.247</v>
      </c>
      <c r="BV1229" s="120">
        <f>(BU1229+BW1229)/2</f>
        <v>16.741500000000002</v>
      </c>
      <c r="BW1229" s="120">
        <f>(BW1228+BW1230)/2</f>
        <v>17.236000000000001</v>
      </c>
      <c r="BX1229" s="120">
        <f>(BW1229+BY1229)/2</f>
        <v>17.6875</v>
      </c>
      <c r="BY1229" s="120">
        <f>(BY1228+BY1230)/2</f>
        <v>18.139000000000003</v>
      </c>
      <c r="BZ1229" s="120">
        <f>(BY1229+CA1229)/2</f>
        <v>18.637250000000002</v>
      </c>
      <c r="CA1229" s="120">
        <f>(CA1228+CA1230)/2</f>
        <v>19.1355</v>
      </c>
      <c r="CB1229" s="120">
        <f>(CA1229+CC1229)/2</f>
        <v>19.609000000000002</v>
      </c>
      <c r="CC1229" s="120">
        <f>(CC1228+CC1230)/2</f>
        <v>20.0825</v>
      </c>
      <c r="CD1229" s="120">
        <f>(CC1229+CE1229)/2</f>
        <v>20.564500000000002</v>
      </c>
      <c r="CE1229" s="120">
        <f>(CE1228+CE1230)/2</f>
        <v>21.046500000000002</v>
      </c>
      <c r="CF1229" s="120">
        <f>(CE1229+CG1229)/2</f>
        <v>21.512250000000002</v>
      </c>
      <c r="CG1229" s="120">
        <f>(CG1228+CG1230)/2</f>
        <v>21.978000000000002</v>
      </c>
      <c r="CH1229" s="120">
        <f>(CG1229+CI1229)/2</f>
        <v>22.413499999999999</v>
      </c>
      <c r="CI1229" s="120">
        <f>(CI1228+CI1230)/2</f>
        <v>22.849</v>
      </c>
      <c r="CJ1229" s="120">
        <f>(CI1229+CK1229)/2</f>
        <v>23.314999999999998</v>
      </c>
      <c r="CK1229" s="120">
        <f>(CK1228+CK1230)/2</f>
        <v>23.780999999999999</v>
      </c>
      <c r="CL1229" s="120">
        <f>(CK1229+CM1229)/2</f>
        <v>24.21125</v>
      </c>
      <c r="CM1229" s="120">
        <f>(CM1228+CM1230)/2</f>
        <v>24.641500000000001</v>
      </c>
      <c r="CN1229" s="120">
        <f>(CM1229+CO1229)/2</f>
        <v>25.104500000000002</v>
      </c>
      <c r="CO1229" s="120">
        <f>(CO1228+CO1230)/2</f>
        <v>25.567499999999999</v>
      </c>
      <c r="CP1229" s="120">
        <f>(CO1229+CQ1229)/2</f>
        <v>26.000749999999996</v>
      </c>
      <c r="CQ1229" s="120">
        <f>(CQ1228+CQ1230)/2</f>
        <v>26.433999999999997</v>
      </c>
      <c r="CR1229" s="120">
        <f>(CQ1229+CS1229)/2</f>
        <v>26.869999999999997</v>
      </c>
      <c r="CS1229" s="120">
        <f>(CS1228+CS1230)/2</f>
        <v>27.305999999999997</v>
      </c>
      <c r="CT1229" s="120">
        <f>(CS1229+CU1229)/2</f>
        <v>27.7395</v>
      </c>
      <c r="CU1229" s="120">
        <f>(CU1228+CU1230)/2</f>
        <v>28.173000000000002</v>
      </c>
      <c r="CV1229" s="120">
        <f>(CU1229+CW1229)/2</f>
        <v>28.634250000000002</v>
      </c>
      <c r="CW1229" s="120">
        <f>(CW1228+CW1230)/2</f>
        <v>29.095500000000001</v>
      </c>
      <c r="CX1229" s="120">
        <f>(CW1229+CY1229)/2</f>
        <v>29.525500000000001</v>
      </c>
      <c r="CY1229" s="120">
        <f>(CY1228+CY1230)/2</f>
        <v>29.955500000000001</v>
      </c>
      <c r="CZ1229" s="120">
        <f>(CY1229+DA1229)/2</f>
        <v>30.386499999999998</v>
      </c>
      <c r="DA1229" s="120">
        <f>(DA1228+DA1230)/2</f>
        <v>30.817499999999999</v>
      </c>
      <c r="DB1229" s="120">
        <f>(DA1229+DC1229)/2</f>
        <v>31.240000000000002</v>
      </c>
      <c r="DC1229" s="120">
        <f>(DC1228+DC1230)/2</f>
        <v>31.662500000000001</v>
      </c>
      <c r="DD1229" s="120">
        <f>(DC1229+DE1229)/2</f>
        <v>32.093249999999998</v>
      </c>
      <c r="DE1229" s="120">
        <f>(DE1228+DE1230)/2</f>
        <v>32.524000000000001</v>
      </c>
      <c r="DF1229" s="120">
        <f>(DE1229+DG1229)/2</f>
        <v>32.957500000000003</v>
      </c>
      <c r="DG1229" s="122">
        <f>(DG1228+DG1230)/2</f>
        <v>33.391000000000005</v>
      </c>
    </row>
    <row r="1230" spans="54:111" ht="15" customHeight="1" x14ac:dyDescent="0.2">
      <c r="BB1230" s="28">
        <v>14</v>
      </c>
      <c r="BC1230" s="121">
        <v>6.36</v>
      </c>
      <c r="BD1230" s="121">
        <v>7.0625</v>
      </c>
      <c r="BE1230" s="121">
        <v>7.7649999999999997</v>
      </c>
      <c r="BF1230" s="121">
        <v>8.4359999999999999</v>
      </c>
      <c r="BG1230" s="121">
        <v>9.1069999999999993</v>
      </c>
      <c r="BH1230" s="121">
        <v>9.7414999999999985</v>
      </c>
      <c r="BI1230" s="121">
        <v>10.375999999999999</v>
      </c>
      <c r="BJ1230" s="121">
        <v>10.9825</v>
      </c>
      <c r="BK1230" s="121">
        <v>11.589</v>
      </c>
      <c r="BL1230" s="121">
        <f t="array" ref="BL1230:BL1276">TRANSPOSE(BM1229:DG1229)</f>
        <v>12.163</v>
      </c>
      <c r="BM1230" s="158">
        <v>12.737</v>
      </c>
      <c r="BN1230" s="120">
        <f>(BO1230+BM1230)/2</f>
        <v>13.286000000000001</v>
      </c>
      <c r="BO1230" s="158">
        <v>13.835000000000001</v>
      </c>
      <c r="BP1230" s="120">
        <f>(BQ1230+BO1230)/2</f>
        <v>14.377000000000001</v>
      </c>
      <c r="BQ1230" s="158">
        <v>14.919</v>
      </c>
      <c r="BR1230" s="120">
        <f>(BS1230+BQ1230)/2</f>
        <v>15.429500000000001</v>
      </c>
      <c r="BS1230" s="158">
        <v>15.94</v>
      </c>
      <c r="BT1230" s="120">
        <f>(BU1230+BS1230)/2</f>
        <v>16.488499999999998</v>
      </c>
      <c r="BU1230" s="158">
        <v>17.036999999999999</v>
      </c>
      <c r="BV1230" s="120">
        <f>(BW1230+BU1230)/2</f>
        <v>17.547499999999999</v>
      </c>
      <c r="BW1230" s="158">
        <v>18.058</v>
      </c>
      <c r="BX1230" s="120">
        <f>(BY1230+BW1230)/2</f>
        <v>18.535499999999999</v>
      </c>
      <c r="BY1230" s="158">
        <v>19.013000000000002</v>
      </c>
      <c r="BZ1230" s="120">
        <f>(CA1230+BY1230)/2</f>
        <v>19.53</v>
      </c>
      <c r="CA1230" s="158">
        <v>20.047000000000001</v>
      </c>
      <c r="CB1230" s="120">
        <f>(CC1230+CA1230)/2</f>
        <v>20.547000000000001</v>
      </c>
      <c r="CC1230" s="158">
        <v>21.047000000000001</v>
      </c>
      <c r="CD1230" s="120">
        <f>(CE1230+CC1230)/2</f>
        <v>21.564</v>
      </c>
      <c r="CE1230" s="158">
        <v>22.081</v>
      </c>
      <c r="CF1230" s="120">
        <f>(CG1230+CE1230)/2</f>
        <v>22.558500000000002</v>
      </c>
      <c r="CG1230" s="158">
        <v>23.036000000000001</v>
      </c>
      <c r="CH1230" s="120">
        <f>(CI1230+CG1230)/2</f>
        <v>23.514000000000003</v>
      </c>
      <c r="CI1230" s="158">
        <v>23.992000000000001</v>
      </c>
      <c r="CJ1230" s="120">
        <f>(CK1230+CI1230)/2</f>
        <v>24.477</v>
      </c>
      <c r="CK1230" s="158">
        <v>24.962</v>
      </c>
      <c r="CL1230" s="120">
        <f>(CM1230+CK1230)/2</f>
        <v>25.407499999999999</v>
      </c>
      <c r="CM1230" s="158">
        <v>25.853000000000002</v>
      </c>
      <c r="CN1230" s="120">
        <f>(CO1230+CM1230)/2</f>
        <v>26.331499999999998</v>
      </c>
      <c r="CO1230" s="158">
        <v>26.81</v>
      </c>
      <c r="CP1230" s="120">
        <f>(CQ1230+CO1230)/2</f>
        <v>27.262</v>
      </c>
      <c r="CQ1230" s="158">
        <v>27.713999999999999</v>
      </c>
      <c r="CR1230" s="120">
        <f>(CS1230+CQ1230)/2</f>
        <v>28.192499999999999</v>
      </c>
      <c r="CS1230" s="158">
        <v>28.670999999999999</v>
      </c>
      <c r="CT1230" s="120">
        <f>(CU1230+CS1230)/2</f>
        <v>29.116500000000002</v>
      </c>
      <c r="CU1230" s="158">
        <v>29.562000000000001</v>
      </c>
      <c r="CV1230" s="120">
        <f>(CW1230+CU1230)/2</f>
        <v>30.069000000000003</v>
      </c>
      <c r="CW1230" s="158">
        <v>30.576000000000001</v>
      </c>
      <c r="CX1230" s="120">
        <f>(CY1230+CW1230)/2</f>
        <v>31.0215</v>
      </c>
      <c r="CY1230" s="158">
        <v>31.466999999999999</v>
      </c>
      <c r="CZ1230" s="120">
        <f>(DA1230+CY1230)/2</f>
        <v>31.913499999999999</v>
      </c>
      <c r="DA1230" s="158">
        <v>32.36</v>
      </c>
      <c r="DB1230" s="120">
        <f>(DC1230+DA1230)/2</f>
        <v>32.811999999999998</v>
      </c>
      <c r="DC1230" s="158">
        <v>33.264000000000003</v>
      </c>
      <c r="DD1230" s="120">
        <f>(DE1230+DC1230)/2</f>
        <v>33.710499999999996</v>
      </c>
      <c r="DE1230" s="158">
        <v>34.156999999999996</v>
      </c>
      <c r="DF1230" s="120">
        <f>(DG1230+DE1230)/2</f>
        <v>34.602499999999999</v>
      </c>
      <c r="DG1230" s="159">
        <v>35.048000000000002</v>
      </c>
    </row>
    <row r="1231" spans="54:111" ht="15" customHeight="1" x14ac:dyDescent="0.2">
      <c r="BB1231" s="28">
        <v>15</v>
      </c>
      <c r="BC1231" s="121">
        <v>6.6234999999999999</v>
      </c>
      <c r="BD1231" s="121">
        <v>7.3767499999999995</v>
      </c>
      <c r="BE1231" s="121">
        <v>8.129999999999999</v>
      </c>
      <c r="BF1231" s="121">
        <v>8.827</v>
      </c>
      <c r="BG1231" s="121">
        <v>9.5240000000000009</v>
      </c>
      <c r="BH1231" s="121">
        <v>10.17925</v>
      </c>
      <c r="BI1231" s="121">
        <v>10.834499999999998</v>
      </c>
      <c r="BJ1231" s="121">
        <v>11.456499999999998</v>
      </c>
      <c r="BK1231" s="121">
        <v>12.0785</v>
      </c>
      <c r="BL1231" s="121">
        <v>12.68225</v>
      </c>
      <c r="BM1231" s="121">
        <f t="array" ref="BM1231:BM1276">TRANSPOSE(BN1230:DG1230)</f>
        <v>13.286000000000001</v>
      </c>
      <c r="BN1231" s="120">
        <f>(BM1231+BO1231)/2</f>
        <v>13.863000000000001</v>
      </c>
      <c r="BO1231" s="120">
        <f>(BO1230+BO1232)/2</f>
        <v>14.440000000000001</v>
      </c>
      <c r="BP1231" s="120">
        <f>(BO1231+BQ1231)/2</f>
        <v>15.011750000000001</v>
      </c>
      <c r="BQ1231" s="120">
        <f>(BQ1230+BQ1232)/2</f>
        <v>15.583500000000001</v>
      </c>
      <c r="BR1231" s="120">
        <f>(BQ1231+BS1231)/2</f>
        <v>16.125250000000001</v>
      </c>
      <c r="BS1231" s="120">
        <f>(BS1230+BS1232)/2</f>
        <v>16.666999999999998</v>
      </c>
      <c r="BT1231" s="120">
        <f>(BS1231+BU1231)/2</f>
        <v>17.215249999999997</v>
      </c>
      <c r="BU1231" s="120">
        <f>(BU1230+BU1232)/2</f>
        <v>17.763500000000001</v>
      </c>
      <c r="BV1231" s="120">
        <f>(BU1231+BW1231)/2</f>
        <v>18.31625</v>
      </c>
      <c r="BW1231" s="120">
        <f>(BW1230+BW1232)/2</f>
        <v>18.869</v>
      </c>
      <c r="BX1231" s="120">
        <f>(BW1231+BY1231)/2</f>
        <v>19.381499999999999</v>
      </c>
      <c r="BY1231" s="120">
        <f>(BY1230+BY1232)/2</f>
        <v>19.893999999999998</v>
      </c>
      <c r="BZ1231" s="120">
        <f>(BY1231+CA1231)/2</f>
        <v>20.437249999999999</v>
      </c>
      <c r="CA1231" s="120">
        <f>(CA1230+CA1232)/2</f>
        <v>20.980499999999999</v>
      </c>
      <c r="CB1231" s="120">
        <f>(CA1231+CC1231)/2</f>
        <v>21.484999999999999</v>
      </c>
      <c r="CC1231" s="120">
        <f>(CC1230+CC1232)/2</f>
        <v>21.9895</v>
      </c>
      <c r="CD1231" s="120">
        <f>(CC1231+CE1231)/2</f>
        <v>22.521750000000001</v>
      </c>
      <c r="CE1231" s="120">
        <f>(CE1230+CE1232)/2</f>
        <v>23.054000000000002</v>
      </c>
      <c r="CF1231" s="120">
        <f>(CE1231+CG1231)/2</f>
        <v>23.558250000000001</v>
      </c>
      <c r="CG1231" s="120">
        <f>(CG1230+CG1232)/2</f>
        <v>24.0625</v>
      </c>
      <c r="CH1231" s="120">
        <f>(CG1231+CI1231)/2</f>
        <v>24.559000000000001</v>
      </c>
      <c r="CI1231" s="120">
        <f>(CI1230+CI1232)/2</f>
        <v>25.055500000000002</v>
      </c>
      <c r="CJ1231" s="120">
        <f>(CI1231+CK1231)/2</f>
        <v>25.563749999999999</v>
      </c>
      <c r="CK1231" s="120">
        <f>(CK1230+CK1232)/2</f>
        <v>26.071999999999999</v>
      </c>
      <c r="CL1231" s="120">
        <f>(CK1231+CM1231)/2</f>
        <v>26.552500000000002</v>
      </c>
      <c r="CM1231" s="120">
        <f>(CM1230+CM1232)/2</f>
        <v>27.033000000000001</v>
      </c>
      <c r="CN1231" s="120">
        <f>(CM1231+CO1231)/2</f>
        <v>27.526499999999999</v>
      </c>
      <c r="CO1231" s="120">
        <f>(CO1230+CO1232)/2</f>
        <v>28.02</v>
      </c>
      <c r="CP1231" s="120">
        <f>(CO1231+CQ1231)/2</f>
        <v>28.514749999999999</v>
      </c>
      <c r="CQ1231" s="120">
        <f>(CQ1230+CQ1232)/2</f>
        <v>29.009499999999999</v>
      </c>
      <c r="CR1231" s="120">
        <f>(CQ1231+CS1231)/2</f>
        <v>29.503250000000001</v>
      </c>
      <c r="CS1231" s="120">
        <f>(CS1230+CS1232)/2</f>
        <v>29.997</v>
      </c>
      <c r="CT1231" s="120">
        <f>(CS1231+CU1231)/2</f>
        <v>30.4725</v>
      </c>
      <c r="CU1231" s="120">
        <f>(CU1230+CU1232)/2</f>
        <v>30.948</v>
      </c>
      <c r="CV1231" s="120">
        <f>(CU1231+CW1231)/2</f>
        <v>31.456</v>
      </c>
      <c r="CW1231" s="120">
        <f>(CW1230+CW1232)/2</f>
        <v>31.963999999999999</v>
      </c>
      <c r="CX1231" s="120">
        <f>(CW1231+CY1231)/2</f>
        <v>32.428249999999998</v>
      </c>
      <c r="CY1231" s="120">
        <f>(CY1230+CY1232)/2</f>
        <v>32.892499999999998</v>
      </c>
      <c r="CZ1231" s="120">
        <f>(CY1231+DA1231)/2</f>
        <v>33.381250000000001</v>
      </c>
      <c r="DA1231" s="120">
        <f>(DA1230+DA1232)/2</f>
        <v>33.870000000000005</v>
      </c>
      <c r="DB1231" s="120">
        <f>(DA1231+DC1231)/2</f>
        <v>34.33775</v>
      </c>
      <c r="DC1231" s="120">
        <f>(DC1230+DC1232)/2</f>
        <v>34.805500000000002</v>
      </c>
      <c r="DD1231" s="120">
        <f>(DC1231+DE1231)/2</f>
        <v>35.281499999999994</v>
      </c>
      <c r="DE1231" s="120">
        <f>(DE1230+DE1232)/2</f>
        <v>35.757499999999993</v>
      </c>
      <c r="DF1231" s="120">
        <f>(DE1231+DG1231)/2</f>
        <v>36.218499999999999</v>
      </c>
      <c r="DG1231" s="122">
        <f>(DG1230+DG1232)/2</f>
        <v>36.679500000000004</v>
      </c>
    </row>
    <row r="1232" spans="54:111" ht="15" customHeight="1" x14ac:dyDescent="0.2">
      <c r="BB1232" s="28">
        <v>16</v>
      </c>
      <c r="BC1232" s="121">
        <v>6.8869999999999996</v>
      </c>
      <c r="BD1232" s="121">
        <v>7.6909999999999989</v>
      </c>
      <c r="BE1232" s="121">
        <v>8.4949999999999992</v>
      </c>
      <c r="BF1232" s="121">
        <v>9.218</v>
      </c>
      <c r="BG1232" s="121">
        <v>9.9410000000000007</v>
      </c>
      <c r="BH1232" s="121">
        <v>10.617000000000001</v>
      </c>
      <c r="BI1232" s="121">
        <v>11.292999999999999</v>
      </c>
      <c r="BJ1232" s="121">
        <v>11.930499999999999</v>
      </c>
      <c r="BK1232" s="121">
        <v>12.568</v>
      </c>
      <c r="BL1232" s="121">
        <v>13.201499999999999</v>
      </c>
      <c r="BM1232" s="121">
        <v>13.835000000000001</v>
      </c>
      <c r="BN1232" s="121">
        <f t="array" ref="BN1232:BN1276">TRANSPOSE(BO1231:DG1231)</f>
        <v>14.440000000000001</v>
      </c>
      <c r="BO1232" s="158">
        <v>15.045</v>
      </c>
      <c r="BP1232" s="120">
        <f>(BQ1232+BO1232)/2</f>
        <v>15.6465</v>
      </c>
      <c r="BQ1232" s="158">
        <v>16.248000000000001</v>
      </c>
      <c r="BR1232" s="120">
        <f>(BS1232+BQ1232)/2</f>
        <v>16.820999999999998</v>
      </c>
      <c r="BS1232" s="158">
        <v>17.393999999999998</v>
      </c>
      <c r="BT1232" s="120">
        <f>(BU1232+BS1232)/2</f>
        <v>17.942</v>
      </c>
      <c r="BU1232" s="158">
        <v>18.489999999999998</v>
      </c>
      <c r="BV1232" s="120">
        <f>(BW1232+BU1232)/2</f>
        <v>19.085000000000001</v>
      </c>
      <c r="BW1232" s="158">
        <v>19.68</v>
      </c>
      <c r="BX1232" s="120">
        <f>(BY1232+BW1232)/2</f>
        <v>20.227499999999999</v>
      </c>
      <c r="BY1232" s="158">
        <v>20.774999999999999</v>
      </c>
      <c r="BZ1232" s="120">
        <f>(CA1232+BY1232)/2</f>
        <v>21.3445</v>
      </c>
      <c r="CA1232" s="158">
        <v>21.914000000000001</v>
      </c>
      <c r="CB1232" s="120">
        <f>(CC1232+CA1232)/2</f>
        <v>22.423000000000002</v>
      </c>
      <c r="CC1232" s="158">
        <v>22.931999999999999</v>
      </c>
      <c r="CD1232" s="120">
        <f>(CE1232+CC1232)/2</f>
        <v>23.479500000000002</v>
      </c>
      <c r="CE1232" s="158">
        <v>24.027000000000001</v>
      </c>
      <c r="CF1232" s="120">
        <f>(CG1232+CE1232)/2</f>
        <v>24.558</v>
      </c>
      <c r="CG1232" s="158">
        <v>25.088999999999999</v>
      </c>
      <c r="CH1232" s="120">
        <f>(CI1232+CG1232)/2</f>
        <v>25.603999999999999</v>
      </c>
      <c r="CI1232" s="158">
        <v>26.119</v>
      </c>
      <c r="CJ1232" s="120">
        <f>(CK1232+CI1232)/2</f>
        <v>26.650500000000001</v>
      </c>
      <c r="CK1232" s="158">
        <v>27.181999999999999</v>
      </c>
      <c r="CL1232" s="120">
        <f>(CM1232+CK1232)/2</f>
        <v>27.697499999999998</v>
      </c>
      <c r="CM1232" s="158">
        <v>28.213000000000001</v>
      </c>
      <c r="CN1232" s="120">
        <f>(CO1232+CM1232)/2</f>
        <v>28.721499999999999</v>
      </c>
      <c r="CO1232" s="158">
        <v>29.23</v>
      </c>
      <c r="CP1232" s="120">
        <f>(CQ1232+CO1232)/2</f>
        <v>29.767499999999998</v>
      </c>
      <c r="CQ1232" s="158">
        <v>30.305</v>
      </c>
      <c r="CR1232" s="120">
        <f>(CS1232+CQ1232)/2</f>
        <v>30.814</v>
      </c>
      <c r="CS1232" s="158">
        <v>31.323</v>
      </c>
      <c r="CT1232" s="120">
        <f>(CU1232+CS1232)/2</f>
        <v>31.828500000000002</v>
      </c>
      <c r="CU1232" s="158">
        <v>32.334000000000003</v>
      </c>
      <c r="CV1232" s="120">
        <f>(CW1232+CU1232)/2</f>
        <v>32.843000000000004</v>
      </c>
      <c r="CW1232" s="158">
        <v>33.351999999999997</v>
      </c>
      <c r="CX1232" s="120">
        <f>(CY1232+CW1232)/2</f>
        <v>33.834999999999994</v>
      </c>
      <c r="CY1232" s="158">
        <v>34.317999999999998</v>
      </c>
      <c r="CZ1232" s="120">
        <f>(DA1232+CY1232)/2</f>
        <v>34.849000000000004</v>
      </c>
      <c r="DA1232" s="158">
        <v>35.380000000000003</v>
      </c>
      <c r="DB1232" s="120">
        <f>(DC1232+DA1232)/2</f>
        <v>35.863500000000002</v>
      </c>
      <c r="DC1232" s="158">
        <v>36.347000000000001</v>
      </c>
      <c r="DD1232" s="120">
        <f>(DE1232+DC1232)/2</f>
        <v>36.852499999999999</v>
      </c>
      <c r="DE1232" s="158">
        <v>37.357999999999997</v>
      </c>
      <c r="DF1232" s="120">
        <f>(DG1232+DE1232)/2</f>
        <v>37.834499999999998</v>
      </c>
      <c r="DG1232" s="159">
        <v>38.311</v>
      </c>
    </row>
    <row r="1233" spans="54:111" ht="15" customHeight="1" x14ac:dyDescent="0.2">
      <c r="BB1233" s="28">
        <v>17</v>
      </c>
      <c r="BC1233" s="121">
        <v>7.1594999999999995</v>
      </c>
      <c r="BD1233" s="121">
        <v>7.9902499999999996</v>
      </c>
      <c r="BE1233" s="121">
        <v>8.8209999999999997</v>
      </c>
      <c r="BF1233" s="121">
        <v>9.5627499999999994</v>
      </c>
      <c r="BG1233" s="121">
        <v>10.304500000000001</v>
      </c>
      <c r="BH1233" s="121">
        <v>11.023</v>
      </c>
      <c r="BI1233" s="121">
        <v>11.741499999999998</v>
      </c>
      <c r="BJ1233" s="121">
        <v>12.39425</v>
      </c>
      <c r="BK1233" s="121">
        <v>13.047000000000001</v>
      </c>
      <c r="BL1233" s="121">
        <v>13.712</v>
      </c>
      <c r="BM1233" s="121">
        <v>14.377000000000001</v>
      </c>
      <c r="BN1233" s="121">
        <v>15.011750000000001</v>
      </c>
      <c r="BO1233" s="121">
        <f t="array" ref="BO1233:BO1276">TRANSPOSE(BP1232:DG1232)</f>
        <v>15.6465</v>
      </c>
      <c r="BP1233" s="120">
        <f>(BO1233+BQ1233)/2</f>
        <v>16.268500000000003</v>
      </c>
      <c r="BQ1233" s="120">
        <f>(BQ1232+BQ1234)/2</f>
        <v>16.890500000000003</v>
      </c>
      <c r="BR1233" s="120">
        <f>(BQ1233+BS1233)/2</f>
        <v>17.490000000000002</v>
      </c>
      <c r="BS1233" s="120">
        <f>(BS1232+BS1234)/2</f>
        <v>18.089500000000001</v>
      </c>
      <c r="BT1233" s="120">
        <f>(BS1233+BU1233)/2</f>
        <v>18.679749999999999</v>
      </c>
      <c r="BU1233" s="120">
        <f>(BU1232+BU1234)/2</f>
        <v>19.27</v>
      </c>
      <c r="BV1233" s="120">
        <f>(BU1233+BW1233)/2</f>
        <v>19.856749999999998</v>
      </c>
      <c r="BW1233" s="120">
        <f>(BW1232+BW1234)/2</f>
        <v>20.4435</v>
      </c>
      <c r="BX1233" s="120">
        <f>(BW1233+BY1233)/2</f>
        <v>21.030249999999999</v>
      </c>
      <c r="BY1233" s="120">
        <f>(BY1232+BY1234)/2</f>
        <v>21.616999999999997</v>
      </c>
      <c r="BZ1233" s="120">
        <f>(BY1233+CA1233)/2</f>
        <v>22.201999999999998</v>
      </c>
      <c r="CA1233" s="120">
        <f>(CA1232+CA1234)/2</f>
        <v>22.786999999999999</v>
      </c>
      <c r="CB1233" s="120">
        <f>(CA1233+CC1233)/2</f>
        <v>23.341749999999998</v>
      </c>
      <c r="CC1233" s="120">
        <f>(CC1232+CC1234)/2</f>
        <v>23.8965</v>
      </c>
      <c r="CD1233" s="120">
        <f>(CC1233+CE1233)/2</f>
        <v>24.443249999999999</v>
      </c>
      <c r="CE1233" s="120">
        <f>(CE1232+CE1234)/2</f>
        <v>24.990000000000002</v>
      </c>
      <c r="CF1233" s="120">
        <f>(CE1233+CG1233)/2</f>
        <v>25.552500000000002</v>
      </c>
      <c r="CG1233" s="120">
        <f>(CG1232+CG1234)/2</f>
        <v>26.114999999999998</v>
      </c>
      <c r="CH1233" s="120">
        <f>(CG1233+CI1233)/2</f>
        <v>26.656749999999999</v>
      </c>
      <c r="CI1233" s="120">
        <f>(CI1232+CI1234)/2</f>
        <v>27.198499999999999</v>
      </c>
      <c r="CJ1233" s="120">
        <f>(CI1233+CK1233)/2</f>
        <v>27.753499999999999</v>
      </c>
      <c r="CK1233" s="120">
        <f>(CK1232+CK1234)/2</f>
        <v>28.308499999999999</v>
      </c>
      <c r="CL1233" s="120">
        <f>(CK1233+CM1233)/2</f>
        <v>28.850250000000003</v>
      </c>
      <c r="CM1233" s="120">
        <f>(CM1232+CM1234)/2</f>
        <v>29.392000000000003</v>
      </c>
      <c r="CN1233" s="120">
        <f>(CM1233+CO1233)/2</f>
        <v>29.927250000000001</v>
      </c>
      <c r="CO1233" s="120">
        <f>(CO1232+CO1234)/2</f>
        <v>30.462499999999999</v>
      </c>
      <c r="CP1233" s="120">
        <f>(CO1233+CQ1233)/2</f>
        <v>31.004249999999999</v>
      </c>
      <c r="CQ1233" s="120">
        <f>(CQ1232+CQ1234)/2</f>
        <v>31.545999999999999</v>
      </c>
      <c r="CR1233" s="120">
        <f>(CQ1233+CS1233)/2</f>
        <v>32.08475</v>
      </c>
      <c r="CS1233" s="120">
        <f>(CS1232+CS1234)/2</f>
        <v>32.6235</v>
      </c>
      <c r="CT1233" s="120">
        <f>(CS1233+CU1233)/2</f>
        <v>33.157250000000005</v>
      </c>
      <c r="CU1233" s="120">
        <f>(CU1232+CU1234)/2</f>
        <v>33.691000000000003</v>
      </c>
      <c r="CV1233" s="120">
        <f>(CU1233+CW1233)/2</f>
        <v>34.213499999999996</v>
      </c>
      <c r="CW1233" s="120">
        <f>(CW1232+CW1234)/2</f>
        <v>34.735999999999997</v>
      </c>
      <c r="CX1233" s="120">
        <f>(CW1233+CY1233)/2</f>
        <v>35.250749999999996</v>
      </c>
      <c r="CY1233" s="120">
        <f>(CY1232+CY1234)/2</f>
        <v>35.765500000000003</v>
      </c>
      <c r="CZ1233" s="120">
        <f>(CY1233+DA1233)/2</f>
        <v>36.298999999999999</v>
      </c>
      <c r="DA1233" s="120">
        <f>(DA1232+DA1234)/2</f>
        <v>36.832499999999996</v>
      </c>
      <c r="DB1233" s="120">
        <f>(DA1233+DC1233)/2</f>
        <v>37.355249999999998</v>
      </c>
      <c r="DC1233" s="120">
        <f>(DC1232+DC1234)/2</f>
        <v>37.878</v>
      </c>
      <c r="DD1233" s="120">
        <f>(DC1233+DE1233)/2</f>
        <v>38.387749999999997</v>
      </c>
      <c r="DE1233" s="120">
        <f>(DE1232+DE1234)/2</f>
        <v>38.897499999999994</v>
      </c>
      <c r="DF1233" s="120">
        <f>(DE1233+DG1233)/2</f>
        <v>39.403999999999996</v>
      </c>
      <c r="DG1233" s="122">
        <f>(DG1232+DG1234)/2</f>
        <v>39.910499999999999</v>
      </c>
    </row>
    <row r="1234" spans="54:111" ht="15" customHeight="1" x14ac:dyDescent="0.2">
      <c r="BB1234" s="28">
        <v>18</v>
      </c>
      <c r="BC1234" s="121">
        <v>7.4320000000000004</v>
      </c>
      <c r="BD1234" s="121">
        <v>8.2895000000000003</v>
      </c>
      <c r="BE1234" s="121">
        <v>9.1470000000000002</v>
      </c>
      <c r="BF1234" s="121">
        <v>9.9074999999999989</v>
      </c>
      <c r="BG1234" s="121">
        <v>10.667999999999999</v>
      </c>
      <c r="BH1234" s="121">
        <v>11.428999999999998</v>
      </c>
      <c r="BI1234" s="121">
        <v>12.19</v>
      </c>
      <c r="BJ1234" s="121">
        <v>12.858000000000001</v>
      </c>
      <c r="BK1234" s="121">
        <v>13.526</v>
      </c>
      <c r="BL1234" s="121">
        <v>14.2225</v>
      </c>
      <c r="BM1234" s="121">
        <v>14.919</v>
      </c>
      <c r="BN1234" s="121">
        <v>15.583500000000001</v>
      </c>
      <c r="BO1234" s="121">
        <v>16.248000000000001</v>
      </c>
      <c r="BP1234" s="121">
        <f t="array" ref="BP1234:BP1276">TRANSPOSE(BQ1233:DG1233)</f>
        <v>16.890500000000003</v>
      </c>
      <c r="BQ1234" s="158">
        <v>17.533000000000001</v>
      </c>
      <c r="BR1234" s="120">
        <f>(BS1234+BQ1234)/2</f>
        <v>18.158999999999999</v>
      </c>
      <c r="BS1234" s="158">
        <v>18.785</v>
      </c>
      <c r="BT1234" s="120">
        <f>(BU1234+BS1234)/2</f>
        <v>19.4175</v>
      </c>
      <c r="BU1234" s="158">
        <v>20.05</v>
      </c>
      <c r="BV1234" s="120">
        <f>(BW1234+BU1234)/2</f>
        <v>20.628500000000003</v>
      </c>
      <c r="BW1234" s="158">
        <v>21.207000000000001</v>
      </c>
      <c r="BX1234" s="120">
        <f>(BY1234+BW1234)/2</f>
        <v>21.832999999999998</v>
      </c>
      <c r="BY1234" s="158">
        <v>22.459</v>
      </c>
      <c r="BZ1234" s="120">
        <f>(CA1234+BY1234)/2</f>
        <v>23.0595</v>
      </c>
      <c r="CA1234" s="158">
        <v>23.66</v>
      </c>
      <c r="CB1234" s="120">
        <f>(CC1234+CA1234)/2</f>
        <v>24.2605</v>
      </c>
      <c r="CC1234" s="158">
        <v>24.861000000000001</v>
      </c>
      <c r="CD1234" s="120">
        <f>(CE1234+CC1234)/2</f>
        <v>25.407</v>
      </c>
      <c r="CE1234" s="158">
        <v>25.952999999999999</v>
      </c>
      <c r="CF1234" s="120">
        <f>(CG1234+CE1234)/2</f>
        <v>26.546999999999997</v>
      </c>
      <c r="CG1234" s="158">
        <v>27.140999999999998</v>
      </c>
      <c r="CH1234" s="120">
        <f>(CI1234+CG1234)/2</f>
        <v>27.709499999999998</v>
      </c>
      <c r="CI1234" s="158">
        <v>28.277999999999999</v>
      </c>
      <c r="CJ1234" s="120">
        <f>(CK1234+CI1234)/2</f>
        <v>28.856499999999997</v>
      </c>
      <c r="CK1234" s="158">
        <v>29.434999999999999</v>
      </c>
      <c r="CL1234" s="120">
        <f>(CM1234+CK1234)/2</f>
        <v>30.003</v>
      </c>
      <c r="CM1234" s="158">
        <v>30.571000000000002</v>
      </c>
      <c r="CN1234" s="120">
        <f>(CO1234+CM1234)/2</f>
        <v>31.133000000000003</v>
      </c>
      <c r="CO1234" s="158">
        <v>31.695</v>
      </c>
      <c r="CP1234" s="120">
        <f>(CQ1234+CO1234)/2</f>
        <v>32.241</v>
      </c>
      <c r="CQ1234" s="158">
        <v>32.786999999999999</v>
      </c>
      <c r="CR1234" s="120">
        <f>(CS1234+CQ1234)/2</f>
        <v>33.355499999999999</v>
      </c>
      <c r="CS1234" s="158">
        <v>33.923999999999999</v>
      </c>
      <c r="CT1234" s="120">
        <f>(CU1234+CS1234)/2</f>
        <v>34.486000000000004</v>
      </c>
      <c r="CU1234" s="158">
        <v>35.048000000000002</v>
      </c>
      <c r="CV1234" s="120">
        <f>(CW1234+CU1234)/2</f>
        <v>35.584000000000003</v>
      </c>
      <c r="CW1234" s="158">
        <v>36.119999999999997</v>
      </c>
      <c r="CX1234" s="120">
        <f>(CY1234+CW1234)/2</f>
        <v>36.666499999999999</v>
      </c>
      <c r="CY1234" s="158">
        <v>37.213000000000001</v>
      </c>
      <c r="CZ1234" s="120">
        <f>(DA1234+CY1234)/2</f>
        <v>37.748999999999995</v>
      </c>
      <c r="DA1234" s="158">
        <v>38.284999999999997</v>
      </c>
      <c r="DB1234" s="120">
        <f>(DC1234+DA1234)/2</f>
        <v>38.846999999999994</v>
      </c>
      <c r="DC1234" s="158">
        <v>39.408999999999999</v>
      </c>
      <c r="DD1234" s="120">
        <f>(DE1234+DC1234)/2</f>
        <v>39.923000000000002</v>
      </c>
      <c r="DE1234" s="158">
        <v>40.436999999999998</v>
      </c>
      <c r="DF1234" s="120">
        <f>(DG1234+DE1234)/2</f>
        <v>40.973500000000001</v>
      </c>
      <c r="DG1234" s="159">
        <v>41.51</v>
      </c>
    </row>
    <row r="1235" spans="54:111" ht="15" customHeight="1" x14ac:dyDescent="0.2">
      <c r="BB1235" s="28">
        <v>19</v>
      </c>
      <c r="BC1235" s="121">
        <v>7.702</v>
      </c>
      <c r="BD1235" s="121">
        <v>8.5747499999999999</v>
      </c>
      <c r="BE1235" s="121">
        <v>9.4474999999999998</v>
      </c>
      <c r="BF1235" s="121">
        <v>10.2555</v>
      </c>
      <c r="BG1235" s="121">
        <v>11.063499999999999</v>
      </c>
      <c r="BH1235" s="121">
        <v>11.839749999999999</v>
      </c>
      <c r="BI1235" s="121">
        <v>12.616</v>
      </c>
      <c r="BJ1235" s="121">
        <v>13.314</v>
      </c>
      <c r="BK1235" s="121">
        <v>14.012</v>
      </c>
      <c r="BL1235" s="121">
        <v>14.720749999999999</v>
      </c>
      <c r="BM1235" s="121">
        <v>15.429500000000001</v>
      </c>
      <c r="BN1235" s="121">
        <v>16.125250000000001</v>
      </c>
      <c r="BO1235" s="121">
        <v>16.820999999999998</v>
      </c>
      <c r="BP1235" s="121">
        <v>17.490000000000002</v>
      </c>
      <c r="BQ1235" s="121">
        <f t="array" ref="BQ1235:BQ1276">TRANSPOSE(BR1234:DG1234)</f>
        <v>18.158999999999999</v>
      </c>
      <c r="BR1235" s="120">
        <f>(BQ1235+BS1235)/2</f>
        <v>18.803750000000001</v>
      </c>
      <c r="BS1235" s="120">
        <f>(BS1234+BS1236)/2</f>
        <v>19.448499999999999</v>
      </c>
      <c r="BT1235" s="120">
        <f>(BS1235+BU1235)/2</f>
        <v>20.096499999999999</v>
      </c>
      <c r="BU1235" s="120">
        <f>(BU1234+BU1236)/2</f>
        <v>20.744500000000002</v>
      </c>
      <c r="BV1235" s="120">
        <f>(BU1235+BW1235)/2</f>
        <v>21.365500000000001</v>
      </c>
      <c r="BW1235" s="120">
        <f>(BW1234+BW1236)/2</f>
        <v>21.986499999999999</v>
      </c>
      <c r="BX1235" s="120">
        <f>(BW1235+BY1235)/2</f>
        <v>22.630499999999998</v>
      </c>
      <c r="BY1235" s="120">
        <f>(BY1234+BY1236)/2</f>
        <v>23.2745</v>
      </c>
      <c r="BZ1235" s="120">
        <f>(BY1235+CA1235)/2</f>
        <v>23.890999999999998</v>
      </c>
      <c r="CA1235" s="120">
        <f>(CA1234+CA1236)/2</f>
        <v>24.5075</v>
      </c>
      <c r="CB1235" s="120">
        <f>(CA1235+CC1235)/2</f>
        <v>25.1235</v>
      </c>
      <c r="CC1235" s="120">
        <f>(CC1234+CC1236)/2</f>
        <v>25.7395</v>
      </c>
      <c r="CD1235" s="120">
        <f>(CC1235+CE1235)/2</f>
        <v>26.328250000000001</v>
      </c>
      <c r="CE1235" s="120">
        <f>(CE1234+CE1236)/2</f>
        <v>26.917000000000002</v>
      </c>
      <c r="CF1235" s="120">
        <f>(CE1235+CG1235)/2</f>
        <v>27.529250000000001</v>
      </c>
      <c r="CG1235" s="120">
        <f>(CG1234+CG1236)/2</f>
        <v>28.141500000000001</v>
      </c>
      <c r="CH1235" s="120">
        <f>(CG1235+CI1235)/2</f>
        <v>28.741500000000002</v>
      </c>
      <c r="CI1235" s="120">
        <f>(CI1234+CI1236)/2</f>
        <v>29.3415</v>
      </c>
      <c r="CJ1235" s="120">
        <f>(CI1235+CK1235)/2</f>
        <v>29.927250000000001</v>
      </c>
      <c r="CK1235" s="120">
        <f>(CK1234+CK1236)/2</f>
        <v>30.512999999999998</v>
      </c>
      <c r="CL1235" s="120">
        <f>(CK1235+CM1235)/2</f>
        <v>31.112749999999998</v>
      </c>
      <c r="CM1235" s="120">
        <f>(CM1234+CM1236)/2</f>
        <v>31.712499999999999</v>
      </c>
      <c r="CN1235" s="120">
        <f>(CM1235+CO1235)/2</f>
        <v>32.292749999999998</v>
      </c>
      <c r="CO1235" s="120">
        <f>(CO1234+CO1236)/2</f>
        <v>32.873000000000005</v>
      </c>
      <c r="CP1235" s="120">
        <f>(CO1235+CQ1235)/2</f>
        <v>33.445750000000004</v>
      </c>
      <c r="CQ1235" s="120">
        <f>(CQ1234+CQ1236)/2</f>
        <v>34.018500000000003</v>
      </c>
      <c r="CR1235" s="120">
        <f>(CQ1235+CS1235)/2</f>
        <v>34.602499999999999</v>
      </c>
      <c r="CS1235" s="120">
        <f>(CS1234+CS1236)/2</f>
        <v>35.186499999999995</v>
      </c>
      <c r="CT1235" s="120">
        <f>(CS1235+CU1235)/2</f>
        <v>35.766999999999996</v>
      </c>
      <c r="CU1235" s="120">
        <f>(CU1234+CU1236)/2</f>
        <v>36.347499999999997</v>
      </c>
      <c r="CV1235" s="120">
        <f>(CU1235+CW1235)/2</f>
        <v>36.914999999999999</v>
      </c>
      <c r="CW1235" s="120">
        <f>(CW1234+CW1236)/2</f>
        <v>37.482500000000002</v>
      </c>
      <c r="CX1235" s="120">
        <f>(CW1235+CY1235)/2</f>
        <v>38.055250000000001</v>
      </c>
      <c r="CY1235" s="120">
        <f>(CY1234+CY1236)/2</f>
        <v>38.628</v>
      </c>
      <c r="CZ1235" s="120">
        <f>(CY1235+DA1235)/2</f>
        <v>39.179749999999999</v>
      </c>
      <c r="DA1235" s="120">
        <f>(DA1234+DA1236)/2</f>
        <v>39.731499999999997</v>
      </c>
      <c r="DB1235" s="120">
        <f>(DA1235+DC1235)/2</f>
        <v>40.312249999999999</v>
      </c>
      <c r="DC1235" s="120">
        <f>(DC1234+DC1236)/2</f>
        <v>40.893000000000001</v>
      </c>
      <c r="DD1235" s="120">
        <f>(DC1235+DE1235)/2</f>
        <v>41.449249999999999</v>
      </c>
      <c r="DE1235" s="120">
        <f>(DE1234+DE1236)/2</f>
        <v>42.005499999999998</v>
      </c>
      <c r="DF1235" s="120">
        <f>(DE1235+DG1235)/2</f>
        <v>42.557499999999997</v>
      </c>
      <c r="DG1235" s="122">
        <f>(DG1234+DG1236)/2</f>
        <v>43.109499999999997</v>
      </c>
    </row>
    <row r="1236" spans="54:111" ht="15" customHeight="1" x14ac:dyDescent="0.2">
      <c r="BB1236" s="28">
        <v>20</v>
      </c>
      <c r="BC1236" s="121">
        <v>7.9720000000000004</v>
      </c>
      <c r="BD1236" s="121">
        <v>8.86</v>
      </c>
      <c r="BE1236" s="121">
        <v>9.7479999999999993</v>
      </c>
      <c r="BF1236" s="121">
        <v>10.6035</v>
      </c>
      <c r="BG1236" s="121">
        <v>11.459</v>
      </c>
      <c r="BH1236" s="121">
        <v>12.250499999999999</v>
      </c>
      <c r="BI1236" s="121">
        <v>13.042</v>
      </c>
      <c r="BJ1236" s="121">
        <v>13.77</v>
      </c>
      <c r="BK1236" s="121">
        <v>14.497999999999999</v>
      </c>
      <c r="BL1236" s="121">
        <v>15.218999999999999</v>
      </c>
      <c r="BM1236" s="121">
        <v>15.94</v>
      </c>
      <c r="BN1236" s="121">
        <v>16.666999999999998</v>
      </c>
      <c r="BO1236" s="121">
        <v>17.393999999999998</v>
      </c>
      <c r="BP1236" s="121">
        <v>18.089500000000001</v>
      </c>
      <c r="BQ1236" s="121">
        <v>18.785</v>
      </c>
      <c r="BR1236" s="121">
        <f t="array" ref="BR1236:BR1276">TRANSPOSE(BS1235:DG1235)</f>
        <v>19.448499999999999</v>
      </c>
      <c r="BS1236" s="158">
        <v>20.111999999999998</v>
      </c>
      <c r="BT1236" s="120">
        <f>(BU1236+BS1236)/2</f>
        <v>20.775500000000001</v>
      </c>
      <c r="BU1236" s="158">
        <v>21.439</v>
      </c>
      <c r="BV1236" s="120">
        <f>(BW1236+BU1236)/2</f>
        <v>22.102499999999999</v>
      </c>
      <c r="BW1236" s="158">
        <v>22.765999999999998</v>
      </c>
      <c r="BX1236" s="120">
        <f>(BY1236+BW1236)/2</f>
        <v>23.427999999999997</v>
      </c>
      <c r="BY1236" s="158">
        <v>24.09</v>
      </c>
      <c r="BZ1236" s="120">
        <f>(CA1236+BY1236)/2</f>
        <v>24.7225</v>
      </c>
      <c r="CA1236" s="158">
        <v>25.355</v>
      </c>
      <c r="CB1236" s="120">
        <f>(CC1236+CA1236)/2</f>
        <v>25.986499999999999</v>
      </c>
      <c r="CC1236" s="158">
        <v>26.617999999999999</v>
      </c>
      <c r="CD1236" s="120">
        <f>(CE1236+CC1236)/2</f>
        <v>27.249499999999998</v>
      </c>
      <c r="CE1236" s="158">
        <v>27.881</v>
      </c>
      <c r="CF1236" s="120">
        <f>(CG1236+CE1236)/2</f>
        <v>28.511499999999998</v>
      </c>
      <c r="CG1236" s="158">
        <v>29.141999999999999</v>
      </c>
      <c r="CH1236" s="120">
        <f>(CI1236+CG1236)/2</f>
        <v>29.773499999999999</v>
      </c>
      <c r="CI1236" s="158">
        <v>30.405000000000001</v>
      </c>
      <c r="CJ1236" s="120">
        <f>(CK1236+CI1236)/2</f>
        <v>30.998000000000001</v>
      </c>
      <c r="CK1236" s="158">
        <v>31.591000000000001</v>
      </c>
      <c r="CL1236" s="120">
        <f>(CM1236+CK1236)/2</f>
        <v>32.222499999999997</v>
      </c>
      <c r="CM1236" s="158">
        <v>32.853999999999999</v>
      </c>
      <c r="CN1236" s="120">
        <f>(CO1236+CM1236)/2</f>
        <v>33.452500000000001</v>
      </c>
      <c r="CO1236" s="158">
        <v>34.051000000000002</v>
      </c>
      <c r="CP1236" s="120">
        <f>(CQ1236+CO1236)/2</f>
        <v>34.650500000000001</v>
      </c>
      <c r="CQ1236" s="158">
        <v>35.25</v>
      </c>
      <c r="CR1236" s="120">
        <f>(CS1236+CQ1236)/2</f>
        <v>35.849499999999999</v>
      </c>
      <c r="CS1236" s="158">
        <v>36.448999999999998</v>
      </c>
      <c r="CT1236" s="120">
        <f>(CU1236+CS1236)/2</f>
        <v>37.048000000000002</v>
      </c>
      <c r="CU1236" s="158">
        <v>37.646999999999998</v>
      </c>
      <c r="CV1236" s="120">
        <f>(CW1236+CU1236)/2</f>
        <v>38.245999999999995</v>
      </c>
      <c r="CW1236" s="158">
        <v>38.844999999999999</v>
      </c>
      <c r="CX1236" s="120">
        <f>(CY1236+CW1236)/2</f>
        <v>39.444000000000003</v>
      </c>
      <c r="CY1236" s="158">
        <v>40.042999999999999</v>
      </c>
      <c r="CZ1236" s="120">
        <f>(DA1236+CY1236)/2</f>
        <v>40.610500000000002</v>
      </c>
      <c r="DA1236" s="158">
        <v>41.177999999999997</v>
      </c>
      <c r="DB1236" s="120">
        <f>(DC1236+DA1236)/2</f>
        <v>41.777500000000003</v>
      </c>
      <c r="DC1236" s="158">
        <v>42.377000000000002</v>
      </c>
      <c r="DD1236" s="120">
        <f>(DE1236+DC1236)/2</f>
        <v>42.975499999999997</v>
      </c>
      <c r="DE1236" s="158">
        <v>43.573999999999998</v>
      </c>
      <c r="DF1236" s="120">
        <f>(DG1236+DE1236)/2</f>
        <v>44.141500000000001</v>
      </c>
      <c r="DG1236" s="159">
        <v>44.709000000000003</v>
      </c>
    </row>
    <row r="1237" spans="54:111" ht="15" customHeight="1" x14ac:dyDescent="0.2">
      <c r="BB1237" s="28">
        <v>21</v>
      </c>
      <c r="BC1237" s="121">
        <v>8.2349999999999994</v>
      </c>
      <c r="BD1237" s="121">
        <v>9.1544999999999987</v>
      </c>
      <c r="BE1237" s="121">
        <v>10.074</v>
      </c>
      <c r="BF1237" s="121">
        <v>10.94525</v>
      </c>
      <c r="BG1237" s="121">
        <v>11.8165</v>
      </c>
      <c r="BH1237" s="121">
        <v>12.637499999999999</v>
      </c>
      <c r="BI1237" s="121">
        <v>13.458500000000001</v>
      </c>
      <c r="BJ1237" s="121">
        <v>14.218</v>
      </c>
      <c r="BK1237" s="121">
        <v>14.977499999999999</v>
      </c>
      <c r="BL1237" s="121">
        <v>15.733000000000001</v>
      </c>
      <c r="BM1237" s="121">
        <v>16.488499999999998</v>
      </c>
      <c r="BN1237" s="121">
        <v>17.215249999999997</v>
      </c>
      <c r="BO1237" s="121">
        <v>17.942</v>
      </c>
      <c r="BP1237" s="121">
        <v>18.679749999999999</v>
      </c>
      <c r="BQ1237" s="121">
        <v>19.4175</v>
      </c>
      <c r="BR1237" s="121">
        <v>20.096499999999999</v>
      </c>
      <c r="BS1237" s="121">
        <f t="array" ref="BS1237:BS1276">TRANSPOSE(BT1236:DG1236)</f>
        <v>20.775500000000001</v>
      </c>
      <c r="BT1237" s="120">
        <f>(BS1237+BU1237)/2</f>
        <v>21.47025</v>
      </c>
      <c r="BU1237" s="120">
        <f>(BU1236+BU1238)/2</f>
        <v>22.164999999999999</v>
      </c>
      <c r="BV1237" s="120">
        <f>(BU1237+BW1237)/2</f>
        <v>22.855</v>
      </c>
      <c r="BW1237" s="120">
        <f>(BW1236+BW1238)/2</f>
        <v>23.545000000000002</v>
      </c>
      <c r="BX1237" s="120">
        <f>(BW1237+BY1237)/2</f>
        <v>24.222999999999999</v>
      </c>
      <c r="BY1237" s="120">
        <f>(BY1236+BY1238)/2</f>
        <v>24.901</v>
      </c>
      <c r="BZ1237" s="120">
        <f>(BY1237+CA1237)/2</f>
        <v>25.551749999999998</v>
      </c>
      <c r="CA1237" s="120">
        <f>(CA1236+CA1238)/2</f>
        <v>26.202500000000001</v>
      </c>
      <c r="CB1237" s="120">
        <f>(CA1237+CC1237)/2</f>
        <v>26.876249999999999</v>
      </c>
      <c r="CC1237" s="120">
        <f>(CC1236+CC1238)/2</f>
        <v>27.549999999999997</v>
      </c>
      <c r="CD1237" s="120">
        <f>(CC1237+CE1237)/2</f>
        <v>28.196999999999999</v>
      </c>
      <c r="CE1237" s="120">
        <f>(CE1236+CE1238)/2</f>
        <v>28.844000000000001</v>
      </c>
      <c r="CF1237" s="120">
        <f>(CE1237+CG1237)/2</f>
        <v>29.49025</v>
      </c>
      <c r="CG1237" s="120">
        <f>(CG1236+CG1238)/2</f>
        <v>30.136499999999998</v>
      </c>
      <c r="CH1237" s="120">
        <f>(CG1237+CI1237)/2</f>
        <v>30.783249999999999</v>
      </c>
      <c r="CI1237" s="120">
        <f>(CI1236+CI1238)/2</f>
        <v>31.43</v>
      </c>
      <c r="CJ1237" s="120">
        <f>(CI1237+CK1237)/2</f>
        <v>32.0685</v>
      </c>
      <c r="CK1237" s="120">
        <f>(CK1236+CK1238)/2</f>
        <v>32.707000000000001</v>
      </c>
      <c r="CL1237" s="120">
        <f>(CK1237+CM1237)/2</f>
        <v>33.338000000000001</v>
      </c>
      <c r="CM1237" s="120">
        <f>(CM1236+CM1238)/2</f>
        <v>33.969000000000001</v>
      </c>
      <c r="CN1237" s="120">
        <f>(CM1237+CO1237)/2</f>
        <v>34.599249999999998</v>
      </c>
      <c r="CO1237" s="120">
        <f>(CO1236+CO1238)/2</f>
        <v>35.229500000000002</v>
      </c>
      <c r="CP1237" s="120">
        <f>(CO1237+CQ1237)/2</f>
        <v>35.855249999999998</v>
      </c>
      <c r="CQ1237" s="120">
        <f>(CQ1236+CQ1238)/2</f>
        <v>36.481000000000002</v>
      </c>
      <c r="CR1237" s="120">
        <f>(CQ1237+CS1237)/2</f>
        <v>37.099000000000004</v>
      </c>
      <c r="CS1237" s="120">
        <f>(CS1236+CS1238)/2</f>
        <v>37.716999999999999</v>
      </c>
      <c r="CT1237" s="120">
        <f>(CS1237+CU1237)/2</f>
        <v>38.33175</v>
      </c>
      <c r="CU1237" s="120">
        <f>(CU1236+CU1238)/2</f>
        <v>38.9465</v>
      </c>
      <c r="CV1237" s="120">
        <f>(CU1237+CW1237)/2</f>
        <v>39.571750000000002</v>
      </c>
      <c r="CW1237" s="120">
        <f>(CW1236+CW1238)/2</f>
        <v>40.197000000000003</v>
      </c>
      <c r="CX1237" s="120">
        <f>(CW1237+CY1237)/2</f>
        <v>40.811750000000004</v>
      </c>
      <c r="CY1237" s="120">
        <f>(CY1236+CY1238)/2</f>
        <v>41.426500000000004</v>
      </c>
      <c r="CZ1237" s="120">
        <f>(CY1237+DA1237)/2</f>
        <v>42.025000000000006</v>
      </c>
      <c r="DA1237" s="120">
        <f>(DA1236+DA1238)/2</f>
        <v>42.6235</v>
      </c>
      <c r="DB1237" s="120">
        <f>(DA1237+DC1237)/2</f>
        <v>43.238749999999996</v>
      </c>
      <c r="DC1237" s="120">
        <f>(DC1236+DC1238)/2</f>
        <v>43.853999999999999</v>
      </c>
      <c r="DD1237" s="120">
        <f>(DC1237+DE1237)/2</f>
        <v>44.479500000000002</v>
      </c>
      <c r="DE1237" s="120">
        <f>(DE1236+DE1238)/2</f>
        <v>45.105000000000004</v>
      </c>
      <c r="DF1237" s="120">
        <f>(DE1237+DG1237)/2</f>
        <v>45.6875</v>
      </c>
      <c r="DG1237" s="122">
        <f>(DG1236+DG1238)/2</f>
        <v>46.27</v>
      </c>
    </row>
    <row r="1238" spans="54:111" ht="15" customHeight="1" x14ac:dyDescent="0.2">
      <c r="BB1238" s="28">
        <v>22</v>
      </c>
      <c r="BC1238" s="121">
        <v>8.4979999999999993</v>
      </c>
      <c r="BD1238" s="121">
        <v>9.4489999999999998</v>
      </c>
      <c r="BE1238" s="121">
        <v>10.4</v>
      </c>
      <c r="BF1238" s="121">
        <v>11.286999999999999</v>
      </c>
      <c r="BG1238" s="121">
        <v>12.173999999999999</v>
      </c>
      <c r="BH1238" s="121">
        <v>13.0245</v>
      </c>
      <c r="BI1238" s="121">
        <v>13.875</v>
      </c>
      <c r="BJ1238" s="121">
        <v>14.666</v>
      </c>
      <c r="BK1238" s="121">
        <v>15.457000000000001</v>
      </c>
      <c r="BL1238" s="121">
        <v>16.247</v>
      </c>
      <c r="BM1238" s="121">
        <v>17.036999999999999</v>
      </c>
      <c r="BN1238" s="121">
        <v>17.763500000000001</v>
      </c>
      <c r="BO1238" s="121">
        <v>18.489999999999998</v>
      </c>
      <c r="BP1238" s="121">
        <v>19.27</v>
      </c>
      <c r="BQ1238" s="121">
        <v>20.05</v>
      </c>
      <c r="BR1238" s="121">
        <v>20.744500000000002</v>
      </c>
      <c r="BS1238" s="121">
        <v>21.439</v>
      </c>
      <c r="BT1238" s="121">
        <f t="array" ref="BT1238:BT1276">TRANSPOSE(BU1237:DG1237)</f>
        <v>22.164999999999999</v>
      </c>
      <c r="BU1238" s="158">
        <v>22.890999999999998</v>
      </c>
      <c r="BV1238" s="120">
        <f>(BW1238+BU1238)/2</f>
        <v>23.607500000000002</v>
      </c>
      <c r="BW1238" s="158">
        <v>24.324000000000002</v>
      </c>
      <c r="BX1238" s="120">
        <f>(BY1238+BW1238)/2</f>
        <v>25.018000000000001</v>
      </c>
      <c r="BY1238" s="158">
        <v>25.712</v>
      </c>
      <c r="BZ1238" s="120">
        <f>(CA1238+BY1238)/2</f>
        <v>26.381</v>
      </c>
      <c r="CA1238" s="158">
        <v>27.05</v>
      </c>
      <c r="CB1238" s="120">
        <f>(CC1238+CA1238)/2</f>
        <v>27.765999999999998</v>
      </c>
      <c r="CC1238" s="158">
        <v>28.481999999999999</v>
      </c>
      <c r="CD1238" s="120">
        <f>(CE1238+CC1238)/2</f>
        <v>29.144500000000001</v>
      </c>
      <c r="CE1238" s="158">
        <v>29.806999999999999</v>
      </c>
      <c r="CF1238" s="120">
        <f>(CG1238+CE1238)/2</f>
        <v>30.469000000000001</v>
      </c>
      <c r="CG1238" s="158">
        <v>31.131</v>
      </c>
      <c r="CH1238" s="120">
        <f>(CI1238+CG1238)/2</f>
        <v>31.792999999999999</v>
      </c>
      <c r="CI1238" s="158">
        <v>32.454999999999998</v>
      </c>
      <c r="CJ1238" s="120">
        <f>(CK1238+CI1238)/2</f>
        <v>33.138999999999996</v>
      </c>
      <c r="CK1238" s="158">
        <v>33.823</v>
      </c>
      <c r="CL1238" s="120">
        <f>(CM1238+CK1238)/2</f>
        <v>34.453500000000005</v>
      </c>
      <c r="CM1238" s="158">
        <v>35.084000000000003</v>
      </c>
      <c r="CN1238" s="120">
        <f>(CO1238+CM1238)/2</f>
        <v>35.746000000000002</v>
      </c>
      <c r="CO1238" s="158">
        <v>36.408000000000001</v>
      </c>
      <c r="CP1238" s="120">
        <f>(CQ1238+CO1238)/2</f>
        <v>37.06</v>
      </c>
      <c r="CQ1238" s="158">
        <v>37.712000000000003</v>
      </c>
      <c r="CR1238" s="120">
        <f>(CS1238+CQ1238)/2</f>
        <v>38.348500000000001</v>
      </c>
      <c r="CS1238" s="158">
        <v>38.984999999999999</v>
      </c>
      <c r="CT1238" s="120">
        <f>(CU1238+CS1238)/2</f>
        <v>39.615499999999997</v>
      </c>
      <c r="CU1238" s="158">
        <v>40.246000000000002</v>
      </c>
      <c r="CV1238" s="120">
        <f>(CW1238+CU1238)/2</f>
        <v>40.897500000000001</v>
      </c>
      <c r="CW1238" s="158">
        <v>41.548999999999999</v>
      </c>
      <c r="CX1238" s="120">
        <f>(CY1238+CW1238)/2</f>
        <v>42.179500000000004</v>
      </c>
      <c r="CY1238" s="158">
        <v>42.81</v>
      </c>
      <c r="CZ1238" s="120">
        <f>(DA1238+CY1238)/2</f>
        <v>43.439500000000002</v>
      </c>
      <c r="DA1238" s="158">
        <v>44.069000000000003</v>
      </c>
      <c r="DB1238" s="120">
        <f>(DC1238+DA1238)/2</f>
        <v>44.7</v>
      </c>
      <c r="DC1238" s="158">
        <v>45.331000000000003</v>
      </c>
      <c r="DD1238" s="120">
        <f>(DE1238+DC1238)/2</f>
        <v>45.983500000000006</v>
      </c>
      <c r="DE1238" s="158">
        <v>46.636000000000003</v>
      </c>
      <c r="DF1238" s="120">
        <f>(DG1238+DE1238)/2</f>
        <v>47.233500000000006</v>
      </c>
      <c r="DG1238" s="159">
        <v>47.831000000000003</v>
      </c>
    </row>
    <row r="1239" spans="54:111" ht="15" customHeight="1" x14ac:dyDescent="0.2">
      <c r="BB1239" s="28">
        <v>23</v>
      </c>
      <c r="BC1239" s="121">
        <v>8.7454999999999998</v>
      </c>
      <c r="BD1239" s="121">
        <v>9.722999999999999</v>
      </c>
      <c r="BE1239" s="121">
        <v>10.7005</v>
      </c>
      <c r="BF1239" s="121">
        <v>11.618749999999999</v>
      </c>
      <c r="BG1239" s="121">
        <v>12.536999999999999</v>
      </c>
      <c r="BH1239" s="121">
        <v>13.40325</v>
      </c>
      <c r="BI1239" s="121">
        <v>14.269500000000001</v>
      </c>
      <c r="BJ1239" s="121">
        <v>15.102500000000001</v>
      </c>
      <c r="BK1239" s="121">
        <v>15.935500000000001</v>
      </c>
      <c r="BL1239" s="121">
        <v>16.741500000000002</v>
      </c>
      <c r="BM1239" s="121">
        <v>17.547499999999999</v>
      </c>
      <c r="BN1239" s="121">
        <v>18.31625</v>
      </c>
      <c r="BO1239" s="121">
        <v>19.085000000000001</v>
      </c>
      <c r="BP1239" s="121">
        <v>19.856749999999998</v>
      </c>
      <c r="BQ1239" s="121">
        <v>20.628500000000003</v>
      </c>
      <c r="BR1239" s="121">
        <v>21.365500000000001</v>
      </c>
      <c r="BS1239" s="121">
        <v>22.102499999999999</v>
      </c>
      <c r="BT1239" s="121">
        <v>22.855</v>
      </c>
      <c r="BU1239" s="121">
        <f t="array" ref="BU1239:BU1276">TRANSPOSE(BV1238:DG1238)</f>
        <v>23.607500000000002</v>
      </c>
      <c r="BV1239" s="120">
        <f>(BU1239+BW1239)/2</f>
        <v>24.331500000000002</v>
      </c>
      <c r="BW1239" s="120">
        <f>(BW1238+BW1240)/2</f>
        <v>25.055500000000002</v>
      </c>
      <c r="BX1239" s="120">
        <f>(BW1239+BY1239)/2</f>
        <v>25.776</v>
      </c>
      <c r="BY1239" s="120">
        <f>(BY1238+BY1240)/2</f>
        <v>26.496499999999997</v>
      </c>
      <c r="BZ1239" s="120">
        <f>(BY1239+CA1239)/2</f>
        <v>27.193749999999998</v>
      </c>
      <c r="CA1239" s="120">
        <f>(CA1238+CA1240)/2</f>
        <v>27.890999999999998</v>
      </c>
      <c r="CB1239" s="120">
        <f>(CA1239+CC1239)/2</f>
        <v>28.62575</v>
      </c>
      <c r="CC1239" s="120">
        <f>(CC1238+CC1240)/2</f>
        <v>29.360500000000002</v>
      </c>
      <c r="CD1239" s="120">
        <f>(CC1239+CE1239)/2</f>
        <v>30.049250000000001</v>
      </c>
      <c r="CE1239" s="120">
        <f>(CE1238+CE1240)/2</f>
        <v>30.738</v>
      </c>
      <c r="CF1239" s="120">
        <f>(CE1239+CG1239)/2</f>
        <v>31.415500000000002</v>
      </c>
      <c r="CG1239" s="120">
        <f>(CG1238+CG1240)/2</f>
        <v>32.093000000000004</v>
      </c>
      <c r="CH1239" s="120">
        <f>(CG1239+CI1239)/2</f>
        <v>32.797750000000001</v>
      </c>
      <c r="CI1239" s="120">
        <f>(CI1238+CI1240)/2</f>
        <v>33.502499999999998</v>
      </c>
      <c r="CJ1239" s="120">
        <f>(CI1239+CK1239)/2</f>
        <v>34.177999999999997</v>
      </c>
      <c r="CK1239" s="120">
        <f>(CK1238+CK1240)/2</f>
        <v>34.853499999999997</v>
      </c>
      <c r="CL1239" s="120">
        <f>(CK1239+CM1239)/2</f>
        <v>35.526249999999997</v>
      </c>
      <c r="CM1239" s="120">
        <f>(CM1238+CM1240)/2</f>
        <v>36.198999999999998</v>
      </c>
      <c r="CN1239" s="120">
        <f>(CM1239+CO1239)/2</f>
        <v>36.887749999999997</v>
      </c>
      <c r="CO1239" s="120">
        <f>(CO1238+CO1240)/2</f>
        <v>37.576499999999996</v>
      </c>
      <c r="CP1239" s="120">
        <f>(CO1239+CQ1239)/2</f>
        <v>38.236249999999998</v>
      </c>
      <c r="CQ1239" s="120">
        <f>(CQ1238+CQ1240)/2</f>
        <v>38.896000000000001</v>
      </c>
      <c r="CR1239" s="120">
        <f>(CQ1239+CS1239)/2</f>
        <v>39.5715</v>
      </c>
      <c r="CS1239" s="120">
        <f>(CS1238+CS1240)/2</f>
        <v>40.247</v>
      </c>
      <c r="CT1239" s="120">
        <f>(CS1239+CU1239)/2</f>
        <v>40.892749999999999</v>
      </c>
      <c r="CU1239" s="120">
        <f>(CU1238+CU1240)/2</f>
        <v>41.538499999999999</v>
      </c>
      <c r="CV1239" s="120">
        <f>(CU1239+CW1239)/2</f>
        <v>42.209249999999997</v>
      </c>
      <c r="CW1239" s="120">
        <f>(CW1238+CW1240)/2</f>
        <v>42.879999999999995</v>
      </c>
      <c r="CX1239" s="120">
        <f>(CW1239+CY1239)/2</f>
        <v>43.536749999999998</v>
      </c>
      <c r="CY1239" s="120">
        <f>(CY1238+CY1240)/2</f>
        <v>44.1935</v>
      </c>
      <c r="CZ1239" s="120">
        <f>(CY1239+DA1239)/2</f>
        <v>44.838750000000005</v>
      </c>
      <c r="DA1239" s="120">
        <f>(DA1238+DA1240)/2</f>
        <v>45.484000000000002</v>
      </c>
      <c r="DB1239" s="120">
        <f>(DA1239+DC1239)/2</f>
        <v>46.144000000000005</v>
      </c>
      <c r="DC1239" s="120">
        <f>(DC1238+DC1240)/2</f>
        <v>46.804000000000002</v>
      </c>
      <c r="DD1239" s="120">
        <f>(DC1239+DE1239)/2</f>
        <v>47.460999999999999</v>
      </c>
      <c r="DE1239" s="120">
        <f>(DE1238+DE1240)/2</f>
        <v>48.118000000000002</v>
      </c>
      <c r="DF1239" s="120">
        <f>(DE1239+DG1239)/2</f>
        <v>48.758250000000004</v>
      </c>
      <c r="DG1239" s="122">
        <f>(DG1238+DG1240)/2</f>
        <v>49.398499999999999</v>
      </c>
    </row>
    <row r="1240" spans="54:111" ht="15" customHeight="1" x14ac:dyDescent="0.2">
      <c r="BB1240" s="28">
        <v>24</v>
      </c>
      <c r="BC1240" s="121">
        <v>8.9930000000000003</v>
      </c>
      <c r="BD1240" s="121">
        <v>9.9969999999999999</v>
      </c>
      <c r="BE1240" s="121">
        <v>11.000999999999999</v>
      </c>
      <c r="BF1240" s="121">
        <v>11.9505</v>
      </c>
      <c r="BG1240" s="121">
        <v>12.9</v>
      </c>
      <c r="BH1240" s="121">
        <v>13.782</v>
      </c>
      <c r="BI1240" s="121">
        <v>14.664</v>
      </c>
      <c r="BJ1240" s="121">
        <v>15.539000000000001</v>
      </c>
      <c r="BK1240" s="121">
        <v>16.414000000000001</v>
      </c>
      <c r="BL1240" s="121">
        <v>17.236000000000001</v>
      </c>
      <c r="BM1240" s="121">
        <v>18.058</v>
      </c>
      <c r="BN1240" s="121">
        <v>18.869</v>
      </c>
      <c r="BO1240" s="121">
        <v>19.68</v>
      </c>
      <c r="BP1240" s="121">
        <v>20.4435</v>
      </c>
      <c r="BQ1240" s="121">
        <v>21.207000000000001</v>
      </c>
      <c r="BR1240" s="121">
        <v>21.986499999999999</v>
      </c>
      <c r="BS1240" s="121">
        <v>22.765999999999998</v>
      </c>
      <c r="BT1240" s="121">
        <v>23.545000000000002</v>
      </c>
      <c r="BU1240" s="121">
        <v>24.324000000000002</v>
      </c>
      <c r="BV1240" s="121">
        <f t="array" ref="BV1240:BV1276">TRANSPOSE(BW1239:DG1239)</f>
        <v>25.055500000000002</v>
      </c>
      <c r="BW1240" s="158">
        <v>25.786999999999999</v>
      </c>
      <c r="BX1240" s="120">
        <f>(BY1240+BW1240)/2</f>
        <v>26.533999999999999</v>
      </c>
      <c r="BY1240" s="158">
        <v>27.280999999999999</v>
      </c>
      <c r="BZ1240" s="120">
        <f>(CA1240+BY1240)/2</f>
        <v>28.006499999999999</v>
      </c>
      <c r="CA1240" s="158">
        <v>28.731999999999999</v>
      </c>
      <c r="CB1240" s="120">
        <f>(CC1240+CA1240)/2</f>
        <v>29.485500000000002</v>
      </c>
      <c r="CC1240" s="158">
        <v>30.239000000000001</v>
      </c>
      <c r="CD1240" s="120">
        <f>(CE1240+CC1240)/2</f>
        <v>30.954000000000001</v>
      </c>
      <c r="CE1240" s="158">
        <v>31.669</v>
      </c>
      <c r="CF1240" s="120">
        <f>(CG1240+CE1240)/2</f>
        <v>32.362000000000002</v>
      </c>
      <c r="CG1240" s="158">
        <v>33.055</v>
      </c>
      <c r="CH1240" s="120">
        <f>(CI1240+CG1240)/2</f>
        <v>33.802499999999995</v>
      </c>
      <c r="CI1240" s="158">
        <v>34.549999999999997</v>
      </c>
      <c r="CJ1240" s="120">
        <f>(CK1240+CI1240)/2</f>
        <v>35.216999999999999</v>
      </c>
      <c r="CK1240" s="158">
        <v>35.884</v>
      </c>
      <c r="CL1240" s="120">
        <f>(CM1240+CK1240)/2</f>
        <v>36.599000000000004</v>
      </c>
      <c r="CM1240" s="158">
        <v>37.314</v>
      </c>
      <c r="CN1240" s="120">
        <f>(CO1240+CM1240)/2</f>
        <v>38.029499999999999</v>
      </c>
      <c r="CO1240" s="158">
        <v>38.744999999999997</v>
      </c>
      <c r="CP1240" s="120">
        <f>(CQ1240+CO1240)/2</f>
        <v>39.412499999999994</v>
      </c>
      <c r="CQ1240" s="158">
        <v>40.08</v>
      </c>
      <c r="CR1240" s="120">
        <f>(CS1240+CQ1240)/2</f>
        <v>40.794499999999999</v>
      </c>
      <c r="CS1240" s="158">
        <v>41.509</v>
      </c>
      <c r="CT1240" s="120">
        <f>(CU1240+CS1240)/2</f>
        <v>42.17</v>
      </c>
      <c r="CU1240" s="158">
        <v>42.831000000000003</v>
      </c>
      <c r="CV1240" s="120">
        <f>(CW1240+CU1240)/2</f>
        <v>43.521000000000001</v>
      </c>
      <c r="CW1240" s="158">
        <v>44.210999999999999</v>
      </c>
      <c r="CX1240" s="120">
        <f>(CY1240+CW1240)/2</f>
        <v>44.893999999999998</v>
      </c>
      <c r="CY1240" s="158">
        <v>45.576999999999998</v>
      </c>
      <c r="CZ1240" s="120">
        <f>(DA1240+CY1240)/2</f>
        <v>46.238</v>
      </c>
      <c r="DA1240" s="158">
        <v>46.899000000000001</v>
      </c>
      <c r="DB1240" s="120">
        <f>(DC1240+DA1240)/2</f>
        <v>47.588000000000001</v>
      </c>
      <c r="DC1240" s="158">
        <v>48.277000000000001</v>
      </c>
      <c r="DD1240" s="120">
        <f>(DE1240+DC1240)/2</f>
        <v>48.938500000000005</v>
      </c>
      <c r="DE1240" s="158">
        <v>49.6</v>
      </c>
      <c r="DF1240" s="120">
        <f>(DG1240+DE1240)/2</f>
        <v>50.283000000000001</v>
      </c>
      <c r="DG1240" s="159">
        <v>50.966000000000001</v>
      </c>
    </row>
    <row r="1241" spans="54:111" ht="15" customHeight="1" x14ac:dyDescent="0.2">
      <c r="BB1241" s="28">
        <v>25</v>
      </c>
      <c r="BC1241" s="121">
        <v>9.2240000000000002</v>
      </c>
      <c r="BD1241" s="121">
        <v>10.275500000000001</v>
      </c>
      <c r="BE1241" s="121">
        <v>11.327</v>
      </c>
      <c r="BF1241" s="121">
        <v>12.29025</v>
      </c>
      <c r="BG1241" s="121">
        <v>13.253499999999999</v>
      </c>
      <c r="BH1241" s="121">
        <v>14.163499999999999</v>
      </c>
      <c r="BI1241" s="121">
        <v>15.073499999999999</v>
      </c>
      <c r="BJ1241" s="121">
        <v>15.956500000000002</v>
      </c>
      <c r="BK1241" s="121">
        <v>16.839500000000001</v>
      </c>
      <c r="BL1241" s="121">
        <v>17.6875</v>
      </c>
      <c r="BM1241" s="121">
        <v>18.535499999999999</v>
      </c>
      <c r="BN1241" s="121">
        <v>19.381499999999999</v>
      </c>
      <c r="BO1241" s="121">
        <v>20.227499999999999</v>
      </c>
      <c r="BP1241" s="121">
        <v>21.030249999999999</v>
      </c>
      <c r="BQ1241" s="121">
        <v>21.832999999999998</v>
      </c>
      <c r="BR1241" s="121">
        <v>22.630499999999998</v>
      </c>
      <c r="BS1241" s="121">
        <v>23.427999999999997</v>
      </c>
      <c r="BT1241" s="121">
        <v>24.222999999999999</v>
      </c>
      <c r="BU1241" s="121">
        <v>25.018000000000001</v>
      </c>
      <c r="BV1241" s="121">
        <v>25.776</v>
      </c>
      <c r="BW1241" s="121">
        <f t="array" ref="BW1241:BW1276">TRANSPOSE(BX1240:DG1240)</f>
        <v>26.533999999999999</v>
      </c>
      <c r="BX1241" s="120">
        <f>(BW1241+BY1241)/2</f>
        <v>27.3125</v>
      </c>
      <c r="BY1241" s="120">
        <f>(BY1240+BY1242)/2</f>
        <v>28.091000000000001</v>
      </c>
      <c r="BZ1241" s="120">
        <f>(BY1241+CA1241)/2</f>
        <v>28.846</v>
      </c>
      <c r="CA1241" s="120">
        <f>(CA1240+CA1242)/2</f>
        <v>29.600999999999999</v>
      </c>
      <c r="CB1241" s="120">
        <f>(CA1241+CC1241)/2</f>
        <v>30.36675</v>
      </c>
      <c r="CC1241" s="120">
        <f>(CC1240+CC1242)/2</f>
        <v>31.1325</v>
      </c>
      <c r="CD1241" s="120">
        <f>(CC1241+CE1241)/2</f>
        <v>31.855250000000002</v>
      </c>
      <c r="CE1241" s="120">
        <f>(CE1240+CE1242)/2</f>
        <v>32.578000000000003</v>
      </c>
      <c r="CF1241" s="120">
        <f>(CE1241+CG1241)/2</f>
        <v>33.313749999999999</v>
      </c>
      <c r="CG1241" s="120">
        <f>(CG1240+CG1242)/2</f>
        <v>34.049499999999995</v>
      </c>
      <c r="CH1241" s="120">
        <f>(CG1241+CI1241)/2</f>
        <v>34.799499999999995</v>
      </c>
      <c r="CI1241" s="120">
        <f>(CI1240+CI1242)/2</f>
        <v>35.549499999999995</v>
      </c>
      <c r="CJ1241" s="120">
        <f>(CI1241+CK1241)/2</f>
        <v>36.256</v>
      </c>
      <c r="CK1241" s="120">
        <f>(CK1240+CK1242)/2</f>
        <v>36.962499999999999</v>
      </c>
      <c r="CL1241" s="120">
        <f>(CK1241+CM1241)/2</f>
        <v>37.695999999999998</v>
      </c>
      <c r="CM1241" s="120">
        <f>(CM1240+CM1242)/2</f>
        <v>38.429500000000004</v>
      </c>
      <c r="CN1241" s="120">
        <f>(CM1241+CO1241)/2</f>
        <v>39.160250000000005</v>
      </c>
      <c r="CO1241" s="120">
        <f>(CO1240+CO1242)/2</f>
        <v>39.890999999999998</v>
      </c>
      <c r="CP1241" s="120">
        <f>(CO1241+CQ1241)/2</f>
        <v>40.584999999999994</v>
      </c>
      <c r="CQ1241" s="120">
        <f>(CQ1240+CQ1242)/2</f>
        <v>41.278999999999996</v>
      </c>
      <c r="CR1241" s="120">
        <f>(CQ1241+CS1241)/2</f>
        <v>42.009499999999996</v>
      </c>
      <c r="CS1241" s="120">
        <f>(CS1240+CS1242)/2</f>
        <v>42.739999999999995</v>
      </c>
      <c r="CT1241" s="120">
        <f>(CS1241+CU1241)/2</f>
        <v>43.430499999999995</v>
      </c>
      <c r="CU1241" s="120">
        <f>(CU1240+CU1242)/2</f>
        <v>44.121000000000002</v>
      </c>
      <c r="CV1241" s="120">
        <f>(CU1241+CW1241)/2</f>
        <v>44.838999999999999</v>
      </c>
      <c r="CW1241" s="120">
        <f>(CW1240+CW1242)/2</f>
        <v>45.557000000000002</v>
      </c>
      <c r="CX1241" s="120">
        <f>(CW1241+CY1241)/2</f>
        <v>46.247749999999996</v>
      </c>
      <c r="CY1241" s="120">
        <f>(CY1240+CY1242)/2</f>
        <v>46.938499999999998</v>
      </c>
      <c r="CZ1241" s="120">
        <f>(CY1241+DA1241)/2</f>
        <v>47.625749999999996</v>
      </c>
      <c r="DA1241" s="120">
        <f>(DA1240+DA1242)/2</f>
        <v>48.313000000000002</v>
      </c>
      <c r="DB1241" s="120">
        <f>(DA1241+DC1241)/2</f>
        <v>49.017749999999999</v>
      </c>
      <c r="DC1241" s="120">
        <f>(DC1240+DC1242)/2</f>
        <v>49.722499999999997</v>
      </c>
      <c r="DD1241" s="120">
        <f>(DC1241+DE1241)/2</f>
        <v>50.410249999999998</v>
      </c>
      <c r="DE1241" s="120">
        <f>(DE1240+DE1242)/2</f>
        <v>51.097999999999999</v>
      </c>
      <c r="DF1241" s="120">
        <f>(DE1241+DG1241)/2</f>
        <v>51.799500000000002</v>
      </c>
      <c r="DG1241" s="122">
        <f>(DG1240+DG1242)/2</f>
        <v>52.501000000000005</v>
      </c>
    </row>
    <row r="1242" spans="54:111" ht="15" customHeight="1" x14ac:dyDescent="0.2">
      <c r="BB1242" s="28">
        <v>26</v>
      </c>
      <c r="BC1242" s="121">
        <v>9.4550000000000001</v>
      </c>
      <c r="BD1242" s="121">
        <v>10.554</v>
      </c>
      <c r="BE1242" s="121">
        <v>11.653</v>
      </c>
      <c r="BF1242" s="121">
        <v>12.629999999999999</v>
      </c>
      <c r="BG1242" s="121">
        <v>13.606999999999999</v>
      </c>
      <c r="BH1242" s="121">
        <v>14.545</v>
      </c>
      <c r="BI1242" s="121">
        <v>15.483000000000001</v>
      </c>
      <c r="BJ1242" s="121">
        <v>16.374000000000002</v>
      </c>
      <c r="BK1242" s="121">
        <v>17.265000000000001</v>
      </c>
      <c r="BL1242" s="121">
        <v>18.139000000000003</v>
      </c>
      <c r="BM1242" s="121">
        <v>19.013000000000002</v>
      </c>
      <c r="BN1242" s="121">
        <v>19.893999999999998</v>
      </c>
      <c r="BO1242" s="121">
        <v>20.774999999999999</v>
      </c>
      <c r="BP1242" s="121">
        <v>21.616999999999997</v>
      </c>
      <c r="BQ1242" s="121">
        <v>22.459</v>
      </c>
      <c r="BR1242" s="121">
        <v>23.2745</v>
      </c>
      <c r="BS1242" s="121">
        <v>24.09</v>
      </c>
      <c r="BT1242" s="121">
        <v>24.901</v>
      </c>
      <c r="BU1242" s="121">
        <v>25.712</v>
      </c>
      <c r="BV1242" s="121">
        <v>26.496499999999997</v>
      </c>
      <c r="BW1242" s="121">
        <v>27.280999999999999</v>
      </c>
      <c r="BX1242" s="121">
        <f t="array" ref="BX1242:BX1276">TRANSPOSE(BY1241:DG1241)</f>
        <v>28.091000000000001</v>
      </c>
      <c r="BY1242" s="158">
        <v>28.901</v>
      </c>
      <c r="BZ1242" s="120">
        <f>(CA1242+BY1242)/2</f>
        <v>29.685499999999998</v>
      </c>
      <c r="CA1242" s="158">
        <v>30.47</v>
      </c>
      <c r="CB1242" s="120">
        <f>(CC1242+CA1242)/2</f>
        <v>31.248000000000001</v>
      </c>
      <c r="CC1242" s="158">
        <v>32.026000000000003</v>
      </c>
      <c r="CD1242" s="120">
        <f>(CE1242+CC1242)/2</f>
        <v>32.756500000000003</v>
      </c>
      <c r="CE1242" s="158">
        <v>33.487000000000002</v>
      </c>
      <c r="CF1242" s="120">
        <f>(CG1242+CE1242)/2</f>
        <v>34.265500000000003</v>
      </c>
      <c r="CG1242" s="158">
        <v>35.043999999999997</v>
      </c>
      <c r="CH1242" s="120">
        <f>(CI1242+CG1242)/2</f>
        <v>35.796499999999995</v>
      </c>
      <c r="CI1242" s="158">
        <v>36.548999999999999</v>
      </c>
      <c r="CJ1242" s="120">
        <f>(CK1242+CI1242)/2</f>
        <v>37.295000000000002</v>
      </c>
      <c r="CK1242" s="158">
        <v>38.040999999999997</v>
      </c>
      <c r="CL1242" s="120">
        <f>(CM1242+CK1242)/2</f>
        <v>38.792999999999999</v>
      </c>
      <c r="CM1242" s="158">
        <v>39.545000000000002</v>
      </c>
      <c r="CN1242" s="120">
        <f>(CO1242+CM1242)/2</f>
        <v>40.290999999999997</v>
      </c>
      <c r="CO1242" s="158">
        <v>41.036999999999999</v>
      </c>
      <c r="CP1242" s="120">
        <f>(CQ1242+CO1242)/2</f>
        <v>41.7575</v>
      </c>
      <c r="CQ1242" s="158">
        <v>42.478000000000002</v>
      </c>
      <c r="CR1242" s="120">
        <f>(CS1242+CQ1242)/2</f>
        <v>43.224499999999999</v>
      </c>
      <c r="CS1242" s="158">
        <v>43.970999999999997</v>
      </c>
      <c r="CT1242" s="120">
        <f>(CU1242+CS1242)/2</f>
        <v>44.691000000000003</v>
      </c>
      <c r="CU1242" s="158">
        <v>45.411000000000001</v>
      </c>
      <c r="CV1242" s="120">
        <f>(CW1242+CU1242)/2</f>
        <v>46.156999999999996</v>
      </c>
      <c r="CW1242" s="158">
        <v>46.902999999999999</v>
      </c>
      <c r="CX1242" s="120">
        <f>(CY1242+CW1242)/2</f>
        <v>47.601500000000001</v>
      </c>
      <c r="CY1242" s="158">
        <v>48.3</v>
      </c>
      <c r="CZ1242" s="120">
        <f>(DA1242+CY1242)/2</f>
        <v>49.013499999999993</v>
      </c>
      <c r="DA1242" s="158">
        <v>49.726999999999997</v>
      </c>
      <c r="DB1242" s="120">
        <f>(DC1242+DA1242)/2</f>
        <v>50.447499999999998</v>
      </c>
      <c r="DC1242" s="158">
        <v>51.167999999999999</v>
      </c>
      <c r="DD1242" s="120">
        <f>(DE1242+DC1242)/2</f>
        <v>51.881999999999998</v>
      </c>
      <c r="DE1242" s="158">
        <v>52.595999999999997</v>
      </c>
      <c r="DF1242" s="120">
        <f>(DG1242+DE1242)/2</f>
        <v>53.316000000000003</v>
      </c>
      <c r="DG1242" s="159">
        <v>54.036000000000001</v>
      </c>
    </row>
    <row r="1243" spans="54:111" ht="15" customHeight="1" x14ac:dyDescent="0.2">
      <c r="BB1243" s="28">
        <v>27</v>
      </c>
      <c r="BC1243" s="121">
        <v>9.6965000000000003</v>
      </c>
      <c r="BD1243" s="121">
        <v>10.824750000000002</v>
      </c>
      <c r="BE1243" s="121">
        <v>11.952999999999999</v>
      </c>
      <c r="BF1243" s="121">
        <v>12.961499999999999</v>
      </c>
      <c r="BG1243" s="121">
        <v>13.969999999999999</v>
      </c>
      <c r="BH1243" s="121">
        <v>14.923749999999998</v>
      </c>
      <c r="BI1243" s="121">
        <v>15.8775</v>
      </c>
      <c r="BJ1243" s="121">
        <v>16.811</v>
      </c>
      <c r="BK1243" s="121">
        <v>17.744500000000002</v>
      </c>
      <c r="BL1243" s="121">
        <v>18.637250000000002</v>
      </c>
      <c r="BM1243" s="121">
        <v>19.53</v>
      </c>
      <c r="BN1243" s="121">
        <v>20.437249999999999</v>
      </c>
      <c r="BO1243" s="121">
        <v>21.3445</v>
      </c>
      <c r="BP1243" s="121">
        <v>22.201999999999998</v>
      </c>
      <c r="BQ1243" s="121">
        <v>23.0595</v>
      </c>
      <c r="BR1243" s="121">
        <v>23.890999999999998</v>
      </c>
      <c r="BS1243" s="121">
        <v>24.7225</v>
      </c>
      <c r="BT1243" s="121">
        <v>25.551749999999998</v>
      </c>
      <c r="BU1243" s="121">
        <v>26.381</v>
      </c>
      <c r="BV1243" s="121">
        <v>27.193749999999998</v>
      </c>
      <c r="BW1243" s="121">
        <v>28.006499999999999</v>
      </c>
      <c r="BX1243" s="121">
        <v>28.846</v>
      </c>
      <c r="BY1243" s="121">
        <f t="array" ref="BY1243:BY1276">TRANSPOSE(BZ1242:DG1242)</f>
        <v>29.685499999999998</v>
      </c>
      <c r="BZ1243" s="120">
        <f>(BY1243+CA1243)/2</f>
        <v>30.485499999999998</v>
      </c>
      <c r="CA1243" s="120">
        <f>(CA1242+CA1244)/2</f>
        <v>31.285499999999999</v>
      </c>
      <c r="CB1243" s="120">
        <f>(CA1243+CC1243)/2</f>
        <v>32.079000000000001</v>
      </c>
      <c r="CC1243" s="120">
        <f>(CC1242+CC1244)/2</f>
        <v>32.872500000000002</v>
      </c>
      <c r="CD1243" s="120">
        <f>(CC1243+CE1243)/2</f>
        <v>33.645499999999998</v>
      </c>
      <c r="CE1243" s="120">
        <f>(CE1242+CE1244)/2</f>
        <v>34.418500000000002</v>
      </c>
      <c r="CF1243" s="120">
        <f>(CE1243+CG1243)/2</f>
        <v>35.1995</v>
      </c>
      <c r="CG1243" s="120">
        <f>(CG1242+CG1244)/2</f>
        <v>35.980499999999999</v>
      </c>
      <c r="CH1243" s="120">
        <f>(CG1243+CI1243)/2</f>
        <v>36.772000000000006</v>
      </c>
      <c r="CI1243" s="120">
        <f>(CI1242+CI1244)/2</f>
        <v>37.563500000000005</v>
      </c>
      <c r="CJ1243" s="120">
        <f>(CI1243+CK1243)/2</f>
        <v>38.328250000000004</v>
      </c>
      <c r="CK1243" s="120">
        <f>(CK1242+CK1244)/2</f>
        <v>39.093000000000004</v>
      </c>
      <c r="CL1243" s="120">
        <f>(CK1243+CM1243)/2</f>
        <v>39.860750000000003</v>
      </c>
      <c r="CM1243" s="120">
        <f>(CM1242+CM1244)/2</f>
        <v>40.628500000000003</v>
      </c>
      <c r="CN1243" s="120">
        <f>(CM1243+CO1243)/2</f>
        <v>41.39</v>
      </c>
      <c r="CO1243" s="120">
        <f>(CO1242+CO1244)/2</f>
        <v>42.151499999999999</v>
      </c>
      <c r="CP1243" s="120">
        <f>(CO1243+CQ1243)/2</f>
        <v>42.903500000000001</v>
      </c>
      <c r="CQ1243" s="120">
        <f>(CQ1242+CQ1244)/2</f>
        <v>43.655500000000004</v>
      </c>
      <c r="CR1243" s="120">
        <f>(CQ1243+CS1243)/2</f>
        <v>44.430999999999997</v>
      </c>
      <c r="CS1243" s="120">
        <f>(CS1242+CS1244)/2</f>
        <v>45.206499999999998</v>
      </c>
      <c r="CT1243" s="120">
        <f>(CS1243+CU1243)/2</f>
        <v>45.942250000000001</v>
      </c>
      <c r="CU1243" s="120">
        <f>(CU1242+CU1244)/2</f>
        <v>46.677999999999997</v>
      </c>
      <c r="CV1243" s="120">
        <f>(CU1243+CW1243)/2</f>
        <v>47.439499999999995</v>
      </c>
      <c r="CW1243" s="120">
        <f>(CW1242+CW1244)/2</f>
        <v>48.201000000000001</v>
      </c>
      <c r="CX1243" s="120">
        <f>(CW1243+CY1243)/2</f>
        <v>48.926000000000002</v>
      </c>
      <c r="CY1243" s="120">
        <f>(CY1242+CY1244)/2</f>
        <v>49.650999999999996</v>
      </c>
      <c r="CZ1243" s="120">
        <f>(CY1243+DA1243)/2</f>
        <v>50.383499999999998</v>
      </c>
      <c r="DA1243" s="120">
        <f>(DA1242+DA1244)/2</f>
        <v>51.116</v>
      </c>
      <c r="DB1243" s="120">
        <f>(DA1243+DC1243)/2</f>
        <v>51.875250000000001</v>
      </c>
      <c r="DC1243" s="120">
        <f>(DC1242+DC1244)/2</f>
        <v>52.634500000000003</v>
      </c>
      <c r="DD1243" s="120">
        <f>(DC1243+DE1243)/2</f>
        <v>53.367249999999999</v>
      </c>
      <c r="DE1243" s="120">
        <f>(DE1242+DE1244)/2</f>
        <v>54.099999999999994</v>
      </c>
      <c r="DF1243" s="120">
        <f>(DE1243+DG1243)/2</f>
        <v>54.835749999999997</v>
      </c>
      <c r="DG1243" s="122">
        <f>(DG1242+DG1244)/2</f>
        <v>55.5715</v>
      </c>
    </row>
    <row r="1244" spans="54:111" ht="15" customHeight="1" x14ac:dyDescent="0.2">
      <c r="BB1244" s="28">
        <v>28</v>
      </c>
      <c r="BC1244" s="121">
        <v>9.9380000000000006</v>
      </c>
      <c r="BD1244" s="121">
        <v>11.095500000000001</v>
      </c>
      <c r="BE1244" s="121">
        <v>12.253</v>
      </c>
      <c r="BF1244" s="121">
        <v>13.292999999999999</v>
      </c>
      <c r="BG1244" s="121">
        <v>14.333</v>
      </c>
      <c r="BH1244" s="121">
        <v>15.302499999999998</v>
      </c>
      <c r="BI1244" s="121">
        <v>16.271999999999998</v>
      </c>
      <c r="BJ1244" s="121">
        <v>17.247999999999998</v>
      </c>
      <c r="BK1244" s="121">
        <v>18.224</v>
      </c>
      <c r="BL1244" s="121">
        <v>19.1355</v>
      </c>
      <c r="BM1244" s="121">
        <v>20.047000000000001</v>
      </c>
      <c r="BN1244" s="121">
        <v>20.980499999999999</v>
      </c>
      <c r="BO1244" s="121">
        <v>21.914000000000001</v>
      </c>
      <c r="BP1244" s="121">
        <v>22.786999999999999</v>
      </c>
      <c r="BQ1244" s="121">
        <v>23.66</v>
      </c>
      <c r="BR1244" s="121">
        <v>24.5075</v>
      </c>
      <c r="BS1244" s="121">
        <v>25.355</v>
      </c>
      <c r="BT1244" s="121">
        <v>26.202500000000001</v>
      </c>
      <c r="BU1244" s="121">
        <v>27.05</v>
      </c>
      <c r="BV1244" s="121">
        <v>27.890999999999998</v>
      </c>
      <c r="BW1244" s="121">
        <v>28.731999999999999</v>
      </c>
      <c r="BX1244" s="121">
        <v>29.600999999999999</v>
      </c>
      <c r="BY1244" s="121">
        <v>30.47</v>
      </c>
      <c r="BZ1244" s="121">
        <f t="array" ref="BZ1244:BZ1276">TRANSPOSE(CA1243:DG1243)</f>
        <v>31.285499999999999</v>
      </c>
      <c r="CA1244" s="158">
        <v>32.100999999999999</v>
      </c>
      <c r="CB1244" s="120">
        <f>(CC1244+CA1244)/2</f>
        <v>32.909999999999997</v>
      </c>
      <c r="CC1244" s="158">
        <v>33.719000000000001</v>
      </c>
      <c r="CD1244" s="120">
        <f>(CE1244+CC1244)/2</f>
        <v>34.534500000000001</v>
      </c>
      <c r="CE1244" s="158">
        <v>35.35</v>
      </c>
      <c r="CF1244" s="120">
        <f>(CG1244+CE1244)/2</f>
        <v>36.133499999999998</v>
      </c>
      <c r="CG1244" s="158">
        <v>36.917000000000002</v>
      </c>
      <c r="CH1244" s="120">
        <f>(CI1244+CG1244)/2</f>
        <v>37.747500000000002</v>
      </c>
      <c r="CI1244" s="158">
        <v>38.578000000000003</v>
      </c>
      <c r="CJ1244" s="120">
        <f>(CK1244+CI1244)/2</f>
        <v>39.361500000000007</v>
      </c>
      <c r="CK1244" s="158">
        <v>40.145000000000003</v>
      </c>
      <c r="CL1244" s="120">
        <f>(CM1244+CK1244)/2</f>
        <v>40.9285</v>
      </c>
      <c r="CM1244" s="158">
        <v>41.712000000000003</v>
      </c>
      <c r="CN1244" s="120">
        <f>(CO1244+CM1244)/2</f>
        <v>42.489000000000004</v>
      </c>
      <c r="CO1244" s="158">
        <v>43.265999999999998</v>
      </c>
      <c r="CP1244" s="120">
        <f>(CQ1244+CO1244)/2</f>
        <v>44.049499999999995</v>
      </c>
      <c r="CQ1244" s="158">
        <v>44.832999999999998</v>
      </c>
      <c r="CR1244" s="120">
        <f>(CS1244+CQ1244)/2</f>
        <v>45.637500000000003</v>
      </c>
      <c r="CS1244" s="158">
        <v>46.442</v>
      </c>
      <c r="CT1244" s="120">
        <f>(CU1244+CS1244)/2</f>
        <v>47.1935</v>
      </c>
      <c r="CU1244" s="158">
        <v>47.945</v>
      </c>
      <c r="CV1244" s="120">
        <f>(CW1244+CU1244)/2</f>
        <v>48.722000000000001</v>
      </c>
      <c r="CW1244" s="158">
        <v>49.499000000000002</v>
      </c>
      <c r="CX1244" s="120">
        <f>(CY1244+CW1244)/2</f>
        <v>50.250500000000002</v>
      </c>
      <c r="CY1244" s="158">
        <v>51.002000000000002</v>
      </c>
      <c r="CZ1244" s="120">
        <f>(DA1244+CY1244)/2</f>
        <v>51.753500000000003</v>
      </c>
      <c r="DA1244" s="158">
        <v>52.505000000000003</v>
      </c>
      <c r="DB1244" s="120">
        <f>(DC1244+DA1244)/2</f>
        <v>53.302999999999997</v>
      </c>
      <c r="DC1244" s="158">
        <v>54.100999999999999</v>
      </c>
      <c r="DD1244" s="120">
        <f>(DE1244+DC1244)/2</f>
        <v>54.852499999999999</v>
      </c>
      <c r="DE1244" s="158">
        <v>55.603999999999999</v>
      </c>
      <c r="DF1244" s="120">
        <f>(DG1244+DE1244)/2</f>
        <v>56.355499999999999</v>
      </c>
      <c r="DG1244" s="159">
        <v>57.106999999999999</v>
      </c>
    </row>
    <row r="1245" spans="54:111" ht="15" customHeight="1" x14ac:dyDescent="0.2">
      <c r="BB1245" s="28">
        <v>29</v>
      </c>
      <c r="BC1245" s="121">
        <v>10.175000000000001</v>
      </c>
      <c r="BD1245" s="121">
        <v>11.364500000000001</v>
      </c>
      <c r="BE1245" s="121">
        <v>12.554</v>
      </c>
      <c r="BF1245" s="121">
        <v>13.609249999999999</v>
      </c>
      <c r="BG1245" s="121">
        <v>14.6645</v>
      </c>
      <c r="BH1245" s="121">
        <v>15.676499999999999</v>
      </c>
      <c r="BI1245" s="121">
        <v>16.688499999999998</v>
      </c>
      <c r="BJ1245" s="121">
        <v>17.679749999999999</v>
      </c>
      <c r="BK1245" s="121">
        <v>18.670999999999999</v>
      </c>
      <c r="BL1245" s="121">
        <v>19.609000000000002</v>
      </c>
      <c r="BM1245" s="121">
        <v>20.547000000000001</v>
      </c>
      <c r="BN1245" s="121">
        <v>21.484999999999999</v>
      </c>
      <c r="BO1245" s="121">
        <v>22.423000000000002</v>
      </c>
      <c r="BP1245" s="121">
        <v>23.341749999999998</v>
      </c>
      <c r="BQ1245" s="121">
        <v>24.2605</v>
      </c>
      <c r="BR1245" s="121">
        <v>25.1235</v>
      </c>
      <c r="BS1245" s="121">
        <v>25.986499999999999</v>
      </c>
      <c r="BT1245" s="121">
        <v>26.876249999999999</v>
      </c>
      <c r="BU1245" s="121">
        <v>27.765999999999998</v>
      </c>
      <c r="BV1245" s="121">
        <v>28.62575</v>
      </c>
      <c r="BW1245" s="121">
        <v>29.485500000000002</v>
      </c>
      <c r="BX1245" s="121">
        <v>30.36675</v>
      </c>
      <c r="BY1245" s="121">
        <v>31.248000000000001</v>
      </c>
      <c r="BZ1245" s="121">
        <v>32.079000000000001</v>
      </c>
      <c r="CA1245" s="121">
        <f t="array" ref="CA1245:CA1276">TRANSPOSE(CB1244:DG1244)</f>
        <v>32.909999999999997</v>
      </c>
      <c r="CB1245" s="120">
        <f>(CA1245+CC1245)/2</f>
        <v>33.748750000000001</v>
      </c>
      <c r="CC1245" s="120">
        <f>(CC1244+CC1246)/2</f>
        <v>34.587500000000006</v>
      </c>
      <c r="CD1245" s="120">
        <f>(CC1245+CE1245)/2</f>
        <v>35.41825</v>
      </c>
      <c r="CE1245" s="120">
        <f>(CE1244+CE1246)/2</f>
        <v>36.249000000000002</v>
      </c>
      <c r="CF1245" s="120">
        <f>(CE1245+CG1245)/2</f>
        <v>37.075000000000003</v>
      </c>
      <c r="CG1245" s="120">
        <f>(CG1244+CG1246)/2</f>
        <v>37.900999999999996</v>
      </c>
      <c r="CH1245" s="120">
        <f>(CG1245+CI1245)/2</f>
        <v>38.72325</v>
      </c>
      <c r="CI1245" s="120">
        <f>(CI1244+CI1246)/2</f>
        <v>39.545500000000004</v>
      </c>
      <c r="CJ1245" s="120">
        <f>(CI1245+CK1245)/2</f>
        <v>40.371500000000005</v>
      </c>
      <c r="CK1245" s="120">
        <f>(CK1244+CK1246)/2</f>
        <v>41.197500000000005</v>
      </c>
      <c r="CL1245" s="120">
        <f>(CK1245+CM1245)/2</f>
        <v>41.996250000000003</v>
      </c>
      <c r="CM1245" s="120">
        <f>(CM1244+CM1246)/2</f>
        <v>42.795000000000002</v>
      </c>
      <c r="CN1245" s="120">
        <f>(CM1245+CO1245)/2</f>
        <v>43.598500000000001</v>
      </c>
      <c r="CO1245" s="120">
        <f>(CO1244+CO1246)/2</f>
        <v>44.402000000000001</v>
      </c>
      <c r="CP1245" s="120">
        <f>(CO1245+CQ1245)/2</f>
        <v>45.200749999999999</v>
      </c>
      <c r="CQ1245" s="120">
        <f>(CQ1244+CQ1246)/2</f>
        <v>45.999499999999998</v>
      </c>
      <c r="CR1245" s="120">
        <f>(CQ1245+CS1245)/2</f>
        <v>46.82</v>
      </c>
      <c r="CS1245" s="120">
        <f>(CS1244+CS1246)/2</f>
        <v>47.640500000000003</v>
      </c>
      <c r="CT1245" s="120">
        <f>(CS1245+CU1245)/2</f>
        <v>48.423500000000004</v>
      </c>
      <c r="CU1245" s="120">
        <f>(CU1244+CU1246)/2</f>
        <v>49.206500000000005</v>
      </c>
      <c r="CV1245" s="120">
        <f>(CU1245+CW1245)/2</f>
        <v>49.996750000000006</v>
      </c>
      <c r="CW1245" s="120">
        <f>(CW1244+CW1246)/2</f>
        <v>50.787000000000006</v>
      </c>
      <c r="CX1245" s="120">
        <f>(CW1245+CY1245)/2</f>
        <v>51.570000000000007</v>
      </c>
      <c r="CY1245" s="120">
        <f>(CY1244+CY1246)/2</f>
        <v>52.353000000000002</v>
      </c>
      <c r="CZ1245" s="120">
        <f>(CY1245+DA1245)/2</f>
        <v>53.130750000000006</v>
      </c>
      <c r="DA1245" s="120">
        <f>(DA1244+DA1246)/2</f>
        <v>53.908500000000004</v>
      </c>
      <c r="DB1245" s="120">
        <f>(DA1245+DC1245)/2</f>
        <v>54.714750000000002</v>
      </c>
      <c r="DC1245" s="120">
        <f>(DC1244+DC1246)/2</f>
        <v>55.521000000000001</v>
      </c>
      <c r="DD1245" s="120">
        <f>(DC1245+DE1245)/2</f>
        <v>56.298500000000004</v>
      </c>
      <c r="DE1245" s="120">
        <f>(DE1244+DE1246)/2</f>
        <v>57.076000000000001</v>
      </c>
      <c r="DF1245" s="120">
        <f>(DE1245+DG1245)/2</f>
        <v>57.839749999999995</v>
      </c>
      <c r="DG1245" s="122">
        <f>(DG1244+DG1246)/2</f>
        <v>58.603499999999997</v>
      </c>
    </row>
    <row r="1246" spans="54:111" ht="15" customHeight="1" x14ac:dyDescent="0.2">
      <c r="BB1246" s="28">
        <v>30</v>
      </c>
      <c r="BC1246" s="121">
        <v>10.412000000000001</v>
      </c>
      <c r="BD1246" s="121">
        <v>11.633500000000002</v>
      </c>
      <c r="BE1246" s="121">
        <v>12.855</v>
      </c>
      <c r="BF1246" s="121">
        <v>13.9255</v>
      </c>
      <c r="BG1246" s="121">
        <v>14.996</v>
      </c>
      <c r="BH1246" s="121">
        <v>16.0505</v>
      </c>
      <c r="BI1246" s="121">
        <v>17.105</v>
      </c>
      <c r="BJ1246" s="121">
        <v>18.111499999999999</v>
      </c>
      <c r="BK1246" s="121">
        <v>19.117999999999999</v>
      </c>
      <c r="BL1246" s="121">
        <v>20.0825</v>
      </c>
      <c r="BM1246" s="121">
        <v>21.047000000000001</v>
      </c>
      <c r="BN1246" s="121">
        <v>21.9895</v>
      </c>
      <c r="BO1246" s="121">
        <v>22.931999999999999</v>
      </c>
      <c r="BP1246" s="121">
        <v>23.8965</v>
      </c>
      <c r="BQ1246" s="121">
        <v>24.861000000000001</v>
      </c>
      <c r="BR1246" s="121">
        <v>25.7395</v>
      </c>
      <c r="BS1246" s="121">
        <v>26.617999999999999</v>
      </c>
      <c r="BT1246" s="121">
        <v>27.549999999999997</v>
      </c>
      <c r="BU1246" s="121">
        <v>28.481999999999999</v>
      </c>
      <c r="BV1246" s="121">
        <v>29.360500000000002</v>
      </c>
      <c r="BW1246" s="121">
        <v>30.239000000000001</v>
      </c>
      <c r="BX1246" s="121">
        <v>31.1325</v>
      </c>
      <c r="BY1246" s="121">
        <v>32.026000000000003</v>
      </c>
      <c r="BZ1246" s="121">
        <v>32.872500000000002</v>
      </c>
      <c r="CA1246" s="121">
        <v>33.719000000000001</v>
      </c>
      <c r="CB1246" s="121">
        <f t="array" ref="CB1246:CB1276">TRANSPOSE(CC1245:DG1245)</f>
        <v>34.587500000000006</v>
      </c>
      <c r="CC1246" s="158">
        <v>35.456000000000003</v>
      </c>
      <c r="CD1246" s="120">
        <f>(CE1246+CC1246)/2</f>
        <v>36.302000000000007</v>
      </c>
      <c r="CE1246" s="158">
        <v>37.148000000000003</v>
      </c>
      <c r="CF1246" s="120">
        <f>(CG1246+CE1246)/2</f>
        <v>38.016500000000001</v>
      </c>
      <c r="CG1246" s="158">
        <v>38.884999999999998</v>
      </c>
      <c r="CH1246" s="120">
        <f>(CI1246+CG1246)/2</f>
        <v>39.698999999999998</v>
      </c>
      <c r="CI1246" s="158">
        <v>40.512999999999998</v>
      </c>
      <c r="CJ1246" s="120">
        <f>(CK1246+CI1246)/2</f>
        <v>41.381500000000003</v>
      </c>
      <c r="CK1246" s="158">
        <v>42.25</v>
      </c>
      <c r="CL1246" s="120">
        <f>(CM1246+CK1246)/2</f>
        <v>43.064</v>
      </c>
      <c r="CM1246" s="158">
        <v>43.878</v>
      </c>
      <c r="CN1246" s="120">
        <f>(CO1246+CM1246)/2</f>
        <v>44.707999999999998</v>
      </c>
      <c r="CO1246" s="158">
        <v>45.537999999999997</v>
      </c>
      <c r="CP1246" s="120">
        <f>(CQ1246+CO1246)/2</f>
        <v>46.351999999999997</v>
      </c>
      <c r="CQ1246" s="158">
        <v>47.165999999999997</v>
      </c>
      <c r="CR1246" s="120">
        <f>(CS1246+CQ1246)/2</f>
        <v>48.002499999999998</v>
      </c>
      <c r="CS1246" s="158">
        <v>48.838999999999999</v>
      </c>
      <c r="CT1246" s="120">
        <f>(CU1246+CS1246)/2</f>
        <v>49.653500000000001</v>
      </c>
      <c r="CU1246" s="158">
        <v>50.468000000000004</v>
      </c>
      <c r="CV1246" s="120">
        <f>(CW1246+CU1246)/2</f>
        <v>51.271500000000003</v>
      </c>
      <c r="CW1246" s="158">
        <v>52.075000000000003</v>
      </c>
      <c r="CX1246" s="120">
        <f>(CY1246+CW1246)/2</f>
        <v>52.889499999999998</v>
      </c>
      <c r="CY1246" s="158">
        <v>53.704000000000001</v>
      </c>
      <c r="CZ1246" s="120">
        <f>(DA1246+CY1246)/2</f>
        <v>54.507999999999996</v>
      </c>
      <c r="DA1246" s="158">
        <v>55.311999999999998</v>
      </c>
      <c r="DB1246" s="120">
        <f>(DC1246+DA1246)/2</f>
        <v>56.1265</v>
      </c>
      <c r="DC1246" s="158">
        <v>56.941000000000003</v>
      </c>
      <c r="DD1246" s="120">
        <f>(DE1246+DC1246)/2</f>
        <v>57.744500000000002</v>
      </c>
      <c r="DE1246" s="158">
        <v>58.548000000000002</v>
      </c>
      <c r="DF1246" s="120">
        <f>(DG1246+DE1246)/2</f>
        <v>59.323999999999998</v>
      </c>
      <c r="DG1246" s="159">
        <v>60.1</v>
      </c>
    </row>
    <row r="1247" spans="54:111" ht="15" customHeight="1" x14ac:dyDescent="0.2">
      <c r="BB1247" s="28">
        <v>31</v>
      </c>
      <c r="BC1247" s="121">
        <v>10.675000000000001</v>
      </c>
      <c r="BD1247" s="121">
        <v>11.90075</v>
      </c>
      <c r="BE1247" s="121">
        <v>13.1265</v>
      </c>
      <c r="BF1247" s="121">
        <v>14.239750000000001</v>
      </c>
      <c r="BG1247" s="121">
        <v>15.353000000000002</v>
      </c>
      <c r="BH1247" s="121">
        <v>16.426000000000002</v>
      </c>
      <c r="BI1247" s="121">
        <v>17.499000000000002</v>
      </c>
      <c r="BJ1247" s="121">
        <v>18.532</v>
      </c>
      <c r="BK1247" s="121">
        <v>19.564999999999998</v>
      </c>
      <c r="BL1247" s="121">
        <v>20.564500000000002</v>
      </c>
      <c r="BM1247" s="121">
        <v>21.564</v>
      </c>
      <c r="BN1247" s="121">
        <v>22.521750000000001</v>
      </c>
      <c r="BO1247" s="121">
        <v>23.479500000000002</v>
      </c>
      <c r="BP1247" s="121">
        <v>24.443249999999999</v>
      </c>
      <c r="BQ1247" s="121">
        <v>25.407</v>
      </c>
      <c r="BR1247" s="121">
        <v>26.328250000000001</v>
      </c>
      <c r="BS1247" s="121">
        <v>27.249499999999998</v>
      </c>
      <c r="BT1247" s="121">
        <v>28.196999999999999</v>
      </c>
      <c r="BU1247" s="121">
        <v>29.144500000000001</v>
      </c>
      <c r="BV1247" s="121">
        <v>30.049250000000001</v>
      </c>
      <c r="BW1247" s="121">
        <v>30.954000000000001</v>
      </c>
      <c r="BX1247" s="121">
        <v>31.855250000000002</v>
      </c>
      <c r="BY1247" s="121">
        <v>32.756500000000003</v>
      </c>
      <c r="BZ1247" s="121">
        <v>33.645499999999998</v>
      </c>
      <c r="CA1247" s="121">
        <v>34.534500000000001</v>
      </c>
      <c r="CB1247" s="121">
        <v>35.41825</v>
      </c>
      <c r="CC1247" s="121">
        <f t="array" ref="CC1247:CC1276">TRANSPOSE(CD1246:DG1246)</f>
        <v>36.302000000000007</v>
      </c>
      <c r="CD1247" s="120">
        <f>(CC1247+CE1247)/2</f>
        <v>37.174500000000002</v>
      </c>
      <c r="CE1247" s="120">
        <f>(CE1246+CE1248)/2</f>
        <v>38.046999999999997</v>
      </c>
      <c r="CF1247" s="120">
        <f>(CE1247+CG1247)/2</f>
        <v>38.930999999999997</v>
      </c>
      <c r="CG1247" s="120">
        <f>(CG1246+CG1248)/2</f>
        <v>39.814999999999998</v>
      </c>
      <c r="CH1247" s="120">
        <f>(CG1247+CI1247)/2</f>
        <v>40.660499999999999</v>
      </c>
      <c r="CI1247" s="120">
        <f>(CI1246+CI1248)/2</f>
        <v>41.506</v>
      </c>
      <c r="CJ1247" s="120">
        <f>(CI1247+CK1247)/2</f>
        <v>42.39</v>
      </c>
      <c r="CK1247" s="120">
        <f>(CK1246+CK1248)/2</f>
        <v>43.274000000000001</v>
      </c>
      <c r="CL1247" s="120">
        <f>(CK1247+CM1247)/2</f>
        <v>44.114750000000001</v>
      </c>
      <c r="CM1247" s="120">
        <f>(CM1246+CM1248)/2</f>
        <v>44.955500000000001</v>
      </c>
      <c r="CN1247" s="120">
        <f>(CM1247+CO1247)/2</f>
        <v>45.807000000000002</v>
      </c>
      <c r="CO1247" s="120">
        <f>(CO1246+CO1248)/2</f>
        <v>46.658500000000004</v>
      </c>
      <c r="CP1247" s="120">
        <f>(CO1247+CQ1247)/2</f>
        <v>47.499000000000002</v>
      </c>
      <c r="CQ1247" s="120">
        <f>(CQ1246+CQ1248)/2</f>
        <v>48.339500000000001</v>
      </c>
      <c r="CR1247" s="120">
        <f>(CQ1247+CS1247)/2</f>
        <v>49.180500000000002</v>
      </c>
      <c r="CS1247" s="120">
        <f>(CS1246+CS1248)/2</f>
        <v>50.021500000000003</v>
      </c>
      <c r="CT1247" s="120">
        <f>(CS1247+CU1247)/2</f>
        <v>50.862250000000003</v>
      </c>
      <c r="CU1247" s="120">
        <f>(CU1246+CU1248)/2</f>
        <v>51.703000000000003</v>
      </c>
      <c r="CV1247" s="120">
        <f>(CU1247+CW1247)/2</f>
        <v>52.538250000000005</v>
      </c>
      <c r="CW1247" s="120">
        <f>(CW1246+CW1248)/2</f>
        <v>53.3735</v>
      </c>
      <c r="CX1247" s="120">
        <f>(CW1247+CY1247)/2</f>
        <v>54.214500000000001</v>
      </c>
      <c r="CY1247" s="120">
        <f>(CY1246+CY1248)/2</f>
        <v>55.055499999999995</v>
      </c>
      <c r="CZ1247" s="120">
        <f>(CY1247+DA1247)/2</f>
        <v>55.874749999999999</v>
      </c>
      <c r="DA1247" s="120">
        <f>(DA1246+DA1248)/2</f>
        <v>56.694000000000003</v>
      </c>
      <c r="DB1247" s="120">
        <f>(DA1247+DC1247)/2</f>
        <v>57.52375</v>
      </c>
      <c r="DC1247" s="120">
        <f>(DC1246+DC1248)/2</f>
        <v>58.353499999999997</v>
      </c>
      <c r="DD1247" s="120">
        <f>(DC1247+DE1247)/2</f>
        <v>59.173000000000002</v>
      </c>
      <c r="DE1247" s="120">
        <f>(DE1246+DE1248)/2</f>
        <v>59.9925</v>
      </c>
      <c r="DF1247" s="120">
        <f>(DE1247+DG1247)/2</f>
        <v>60.797750000000001</v>
      </c>
      <c r="DG1247" s="122">
        <f>(DG1246+DG1248)/2</f>
        <v>61.603000000000002</v>
      </c>
    </row>
    <row r="1248" spans="54:111" ht="15" customHeight="1" x14ac:dyDescent="0.2">
      <c r="BB1248" s="28">
        <v>32</v>
      </c>
      <c r="BC1248" s="121">
        <v>10.938000000000001</v>
      </c>
      <c r="BD1248" s="121">
        <v>12.167999999999999</v>
      </c>
      <c r="BE1248" s="121">
        <v>13.398</v>
      </c>
      <c r="BF1248" s="121">
        <v>14.554</v>
      </c>
      <c r="BG1248" s="121">
        <v>15.71</v>
      </c>
      <c r="BH1248" s="121">
        <v>16.801500000000001</v>
      </c>
      <c r="BI1248" s="121">
        <v>17.893000000000001</v>
      </c>
      <c r="BJ1248" s="121">
        <v>18.952500000000001</v>
      </c>
      <c r="BK1248" s="121">
        <v>20.012</v>
      </c>
      <c r="BL1248" s="121">
        <v>21.046500000000002</v>
      </c>
      <c r="BM1248" s="121">
        <v>22.081</v>
      </c>
      <c r="BN1248" s="121">
        <v>23.054000000000002</v>
      </c>
      <c r="BO1248" s="121">
        <v>24.027000000000001</v>
      </c>
      <c r="BP1248" s="121">
        <v>24.990000000000002</v>
      </c>
      <c r="BQ1248" s="121">
        <v>25.952999999999999</v>
      </c>
      <c r="BR1248" s="121">
        <v>26.917000000000002</v>
      </c>
      <c r="BS1248" s="121">
        <v>27.881</v>
      </c>
      <c r="BT1248" s="121">
        <v>28.844000000000001</v>
      </c>
      <c r="BU1248" s="121">
        <v>29.806999999999999</v>
      </c>
      <c r="BV1248" s="121">
        <v>30.738</v>
      </c>
      <c r="BW1248" s="121">
        <v>31.669</v>
      </c>
      <c r="BX1248" s="121">
        <v>32.578000000000003</v>
      </c>
      <c r="BY1248" s="121">
        <v>33.487000000000002</v>
      </c>
      <c r="BZ1248" s="121">
        <v>34.418500000000002</v>
      </c>
      <c r="CA1248" s="121">
        <v>35.35</v>
      </c>
      <c r="CB1248" s="121">
        <v>36.249000000000002</v>
      </c>
      <c r="CC1248" s="121">
        <v>37.148000000000003</v>
      </c>
      <c r="CD1248" s="121">
        <f t="array" ref="CD1248:CD1276">TRANSPOSE(CE1247:DG1247)</f>
        <v>38.046999999999997</v>
      </c>
      <c r="CE1248" s="158">
        <v>38.945999999999998</v>
      </c>
      <c r="CF1248" s="120">
        <f>(CG1248+CE1248)/2</f>
        <v>39.845500000000001</v>
      </c>
      <c r="CG1248" s="158">
        <v>40.744999999999997</v>
      </c>
      <c r="CH1248" s="120">
        <f>(CI1248+CG1248)/2</f>
        <v>41.622</v>
      </c>
      <c r="CI1248" s="158">
        <v>42.499000000000002</v>
      </c>
      <c r="CJ1248" s="120">
        <f>(CK1248+CI1248)/2</f>
        <v>43.398499999999999</v>
      </c>
      <c r="CK1248" s="158">
        <v>44.298000000000002</v>
      </c>
      <c r="CL1248" s="120">
        <f>(CM1248+CK1248)/2</f>
        <v>45.165500000000002</v>
      </c>
      <c r="CM1248" s="158">
        <v>46.033000000000001</v>
      </c>
      <c r="CN1248" s="120">
        <f>(CO1248+CM1248)/2</f>
        <v>46.906000000000006</v>
      </c>
      <c r="CO1248" s="158">
        <v>47.779000000000003</v>
      </c>
      <c r="CP1248" s="120">
        <f>(CQ1248+CO1248)/2</f>
        <v>48.646000000000001</v>
      </c>
      <c r="CQ1248" s="158">
        <v>49.512999999999998</v>
      </c>
      <c r="CR1248" s="120">
        <f>(CS1248+CQ1248)/2</f>
        <v>50.358499999999999</v>
      </c>
      <c r="CS1248" s="158">
        <v>51.204000000000001</v>
      </c>
      <c r="CT1248" s="120">
        <f>(CU1248+CS1248)/2</f>
        <v>52.070999999999998</v>
      </c>
      <c r="CU1248" s="158">
        <v>52.938000000000002</v>
      </c>
      <c r="CV1248" s="120">
        <f>(CW1248+CU1248)/2</f>
        <v>53.805</v>
      </c>
      <c r="CW1248" s="158">
        <v>54.671999999999997</v>
      </c>
      <c r="CX1248" s="120">
        <f>(CY1248+CW1248)/2</f>
        <v>55.539499999999997</v>
      </c>
      <c r="CY1248" s="158">
        <v>56.406999999999996</v>
      </c>
      <c r="CZ1248" s="120">
        <f>(DA1248+CY1248)/2</f>
        <v>57.241500000000002</v>
      </c>
      <c r="DA1248" s="158">
        <v>58.076000000000001</v>
      </c>
      <c r="DB1248" s="120">
        <f>(DC1248+DA1248)/2</f>
        <v>58.920999999999999</v>
      </c>
      <c r="DC1248" s="158">
        <v>59.765999999999998</v>
      </c>
      <c r="DD1248" s="120">
        <f>(DE1248+DC1248)/2</f>
        <v>60.601500000000001</v>
      </c>
      <c r="DE1248" s="158">
        <v>61.436999999999998</v>
      </c>
      <c r="DF1248" s="120">
        <f>(DG1248+DE1248)/2</f>
        <v>62.271500000000003</v>
      </c>
      <c r="DG1248" s="159">
        <v>63.106000000000002</v>
      </c>
    </row>
    <row r="1249" spans="54:111" ht="15" customHeight="1" x14ac:dyDescent="0.2">
      <c r="BB1249" s="28">
        <v>33</v>
      </c>
      <c r="BC1249" s="121">
        <v>11.154</v>
      </c>
      <c r="BD1249" s="121">
        <v>12.426499999999999</v>
      </c>
      <c r="BE1249" s="121">
        <v>13.699</v>
      </c>
      <c r="BF1249" s="121">
        <v>14.87025</v>
      </c>
      <c r="BG1249" s="121">
        <v>16.041499999999999</v>
      </c>
      <c r="BH1249" s="121">
        <v>17.159500000000001</v>
      </c>
      <c r="BI1249" s="121">
        <v>18.2775</v>
      </c>
      <c r="BJ1249" s="121">
        <v>19.371749999999999</v>
      </c>
      <c r="BK1249" s="121">
        <v>20.466000000000001</v>
      </c>
      <c r="BL1249" s="121">
        <v>21.512250000000002</v>
      </c>
      <c r="BM1249" s="121">
        <v>22.558500000000002</v>
      </c>
      <c r="BN1249" s="121">
        <v>23.558250000000001</v>
      </c>
      <c r="BO1249" s="121">
        <v>24.558</v>
      </c>
      <c r="BP1249" s="121">
        <v>25.552500000000002</v>
      </c>
      <c r="BQ1249" s="121">
        <v>26.546999999999997</v>
      </c>
      <c r="BR1249" s="121">
        <v>27.529250000000001</v>
      </c>
      <c r="BS1249" s="121">
        <v>28.511499999999998</v>
      </c>
      <c r="BT1249" s="121">
        <v>29.49025</v>
      </c>
      <c r="BU1249" s="121">
        <v>30.469000000000001</v>
      </c>
      <c r="BV1249" s="121">
        <v>31.415500000000002</v>
      </c>
      <c r="BW1249" s="121">
        <v>32.362000000000002</v>
      </c>
      <c r="BX1249" s="121">
        <v>33.313749999999999</v>
      </c>
      <c r="BY1249" s="121">
        <v>34.265500000000003</v>
      </c>
      <c r="BZ1249" s="121">
        <v>35.1995</v>
      </c>
      <c r="CA1249" s="121">
        <v>36.133499999999998</v>
      </c>
      <c r="CB1249" s="121">
        <v>37.075000000000003</v>
      </c>
      <c r="CC1249" s="121">
        <v>38.016500000000001</v>
      </c>
      <c r="CD1249" s="121">
        <v>38.930999999999997</v>
      </c>
      <c r="CE1249" s="121">
        <f t="array" ref="CE1249:CE1276">TRANSPOSE(CF1248:DG1248)</f>
        <v>39.845500000000001</v>
      </c>
      <c r="CF1249" s="120">
        <f>(CE1249+CG1249)/2</f>
        <v>40.7605</v>
      </c>
      <c r="CG1249" s="120">
        <f>(CG1248+CG1250)/2</f>
        <v>41.6755</v>
      </c>
      <c r="CH1249" s="120">
        <f>(CG1249+CI1249)/2</f>
        <v>42.582000000000001</v>
      </c>
      <c r="CI1249" s="120">
        <f>(CI1248+CI1250)/2</f>
        <v>43.488500000000002</v>
      </c>
      <c r="CJ1249" s="120">
        <f>(CI1249+CK1249)/2</f>
        <v>44.40325</v>
      </c>
      <c r="CK1249" s="120">
        <f>(CK1248+CK1250)/2</f>
        <v>45.317999999999998</v>
      </c>
      <c r="CL1249" s="120">
        <f>(CK1249+CM1249)/2</f>
        <v>46.201000000000001</v>
      </c>
      <c r="CM1249" s="120">
        <f>(CM1248+CM1250)/2</f>
        <v>47.084000000000003</v>
      </c>
      <c r="CN1249" s="120">
        <f>(CM1249+CO1249)/2</f>
        <v>47.988750000000003</v>
      </c>
      <c r="CO1249" s="120">
        <f>(CO1248+CO1250)/2</f>
        <v>48.893500000000003</v>
      </c>
      <c r="CP1249" s="120">
        <f>(CO1249+CQ1249)/2</f>
        <v>49.775750000000002</v>
      </c>
      <c r="CQ1249" s="120">
        <f>(CQ1248+CQ1250)/2</f>
        <v>50.658000000000001</v>
      </c>
      <c r="CR1249" s="120">
        <f>(CQ1249+CS1249)/2</f>
        <v>51.52975</v>
      </c>
      <c r="CS1249" s="120">
        <f>(CS1248+CS1250)/2</f>
        <v>52.401499999999999</v>
      </c>
      <c r="CT1249" s="120">
        <f>(CS1249+CU1249)/2</f>
        <v>53.283999999999999</v>
      </c>
      <c r="CU1249" s="120">
        <f>(CU1248+CU1250)/2</f>
        <v>54.166499999999999</v>
      </c>
      <c r="CV1249" s="120">
        <f>(CU1249+CW1249)/2</f>
        <v>55.063249999999996</v>
      </c>
      <c r="CW1249" s="120">
        <f>(CW1248+CW1250)/2</f>
        <v>55.959999999999994</v>
      </c>
      <c r="CX1249" s="120">
        <f>(CW1249+CY1249)/2</f>
        <v>56.842999999999996</v>
      </c>
      <c r="CY1249" s="120">
        <f>(CY1248+CY1250)/2</f>
        <v>57.725999999999999</v>
      </c>
      <c r="CZ1249" s="120">
        <f>(CY1249+DA1249)/2</f>
        <v>58.591999999999999</v>
      </c>
      <c r="DA1249" s="120">
        <f>(DA1248+DA1250)/2</f>
        <v>59.457999999999998</v>
      </c>
      <c r="DB1249" s="120">
        <f>(DA1249+DC1249)/2</f>
        <v>60.313499999999998</v>
      </c>
      <c r="DC1249" s="120">
        <f>(DC1248+DC1250)/2</f>
        <v>61.168999999999997</v>
      </c>
      <c r="DD1249" s="120">
        <f>(DC1249+DE1249)/2</f>
        <v>62.039000000000001</v>
      </c>
      <c r="DE1249" s="120">
        <f>(DE1248+DE1250)/2</f>
        <v>62.908999999999999</v>
      </c>
      <c r="DF1249" s="120">
        <f>(DE1249+DG1249)/2</f>
        <v>63.759</v>
      </c>
      <c r="DG1249" s="122">
        <f>(DG1248+DG1250)/2</f>
        <v>64.608999999999995</v>
      </c>
    </row>
    <row r="1250" spans="54:111" ht="15" customHeight="1" x14ac:dyDescent="0.2">
      <c r="BB1250" s="28">
        <v>34</v>
      </c>
      <c r="BC1250" s="121">
        <v>11.37</v>
      </c>
      <c r="BD1250" s="121">
        <v>12.684999999999999</v>
      </c>
      <c r="BE1250" s="121">
        <v>14</v>
      </c>
      <c r="BF1250" s="121">
        <v>15.186500000000001</v>
      </c>
      <c r="BG1250" s="121">
        <v>16.373000000000001</v>
      </c>
      <c r="BH1250" s="121">
        <v>17.517499999999998</v>
      </c>
      <c r="BI1250" s="121">
        <v>18.661999999999999</v>
      </c>
      <c r="BJ1250" s="121">
        <v>19.791</v>
      </c>
      <c r="BK1250" s="121">
        <v>20.92</v>
      </c>
      <c r="BL1250" s="121">
        <v>21.978000000000002</v>
      </c>
      <c r="BM1250" s="121">
        <v>23.036000000000001</v>
      </c>
      <c r="BN1250" s="121">
        <v>24.0625</v>
      </c>
      <c r="BO1250" s="121">
        <v>25.088999999999999</v>
      </c>
      <c r="BP1250" s="121">
        <v>26.114999999999998</v>
      </c>
      <c r="BQ1250" s="121">
        <v>27.140999999999998</v>
      </c>
      <c r="BR1250" s="121">
        <v>28.141500000000001</v>
      </c>
      <c r="BS1250" s="121">
        <v>29.141999999999999</v>
      </c>
      <c r="BT1250" s="121">
        <v>30.136499999999998</v>
      </c>
      <c r="BU1250" s="121">
        <v>31.131</v>
      </c>
      <c r="BV1250" s="121">
        <v>32.093000000000004</v>
      </c>
      <c r="BW1250" s="121">
        <v>33.055</v>
      </c>
      <c r="BX1250" s="121">
        <v>34.049499999999995</v>
      </c>
      <c r="BY1250" s="121">
        <v>35.043999999999997</v>
      </c>
      <c r="BZ1250" s="121">
        <v>35.980499999999999</v>
      </c>
      <c r="CA1250" s="121">
        <v>36.917000000000002</v>
      </c>
      <c r="CB1250" s="121">
        <v>37.900999999999996</v>
      </c>
      <c r="CC1250" s="121">
        <v>38.884999999999998</v>
      </c>
      <c r="CD1250" s="121">
        <v>39.814999999999998</v>
      </c>
      <c r="CE1250" s="121">
        <v>40.744999999999997</v>
      </c>
      <c r="CF1250" s="121">
        <f t="array" ref="CF1250:CF1276">TRANSPOSE(CG1249:DG1249)</f>
        <v>41.6755</v>
      </c>
      <c r="CG1250" s="158">
        <v>42.606000000000002</v>
      </c>
      <c r="CH1250" s="120">
        <f>(CI1250+CG1250)/2</f>
        <v>43.542000000000002</v>
      </c>
      <c r="CI1250" s="158">
        <v>44.478000000000002</v>
      </c>
      <c r="CJ1250" s="120">
        <f>(CK1250+CI1250)/2</f>
        <v>45.408000000000001</v>
      </c>
      <c r="CK1250" s="158">
        <v>46.338000000000001</v>
      </c>
      <c r="CL1250" s="120">
        <f>(CM1250+CK1250)/2</f>
        <v>47.236499999999999</v>
      </c>
      <c r="CM1250" s="158">
        <v>48.134999999999998</v>
      </c>
      <c r="CN1250" s="120">
        <f>(CO1250+CM1250)/2</f>
        <v>49.0715</v>
      </c>
      <c r="CO1250" s="158">
        <v>50.008000000000003</v>
      </c>
      <c r="CP1250" s="120">
        <f>(CQ1250+CO1250)/2</f>
        <v>50.905500000000004</v>
      </c>
      <c r="CQ1250" s="158">
        <v>51.802999999999997</v>
      </c>
      <c r="CR1250" s="120">
        <f>(CS1250+CQ1250)/2</f>
        <v>52.700999999999993</v>
      </c>
      <c r="CS1250" s="158">
        <v>53.598999999999997</v>
      </c>
      <c r="CT1250" s="120">
        <f>(CU1250+CS1250)/2</f>
        <v>54.497</v>
      </c>
      <c r="CU1250" s="158">
        <v>55.395000000000003</v>
      </c>
      <c r="CV1250" s="120">
        <f>(CW1250+CU1250)/2</f>
        <v>56.3215</v>
      </c>
      <c r="CW1250" s="158">
        <v>57.247999999999998</v>
      </c>
      <c r="CX1250" s="120">
        <f>(CY1250+CW1250)/2</f>
        <v>58.146500000000003</v>
      </c>
      <c r="CY1250" s="158">
        <v>59.045000000000002</v>
      </c>
      <c r="CZ1250" s="120">
        <f>(DA1250+CY1250)/2</f>
        <v>59.942500000000003</v>
      </c>
      <c r="DA1250" s="158">
        <v>60.84</v>
      </c>
      <c r="DB1250" s="120">
        <f>(DC1250+DA1250)/2</f>
        <v>61.706000000000003</v>
      </c>
      <c r="DC1250" s="158">
        <v>62.572000000000003</v>
      </c>
      <c r="DD1250" s="120">
        <f>(DE1250+DC1250)/2</f>
        <v>63.476500000000001</v>
      </c>
      <c r="DE1250" s="158">
        <v>64.381</v>
      </c>
      <c r="DF1250" s="120">
        <f>(DG1250+DE1250)/2</f>
        <v>65.246499999999997</v>
      </c>
      <c r="DG1250" s="159">
        <v>66.111999999999995</v>
      </c>
    </row>
    <row r="1251" spans="54:111" ht="15" customHeight="1" x14ac:dyDescent="0.2">
      <c r="BB1251" s="28">
        <v>35</v>
      </c>
      <c r="BC1251" s="121">
        <v>11.6005</v>
      </c>
      <c r="BD1251" s="121">
        <v>12.930999999999999</v>
      </c>
      <c r="BE1251" s="121">
        <v>14.2615</v>
      </c>
      <c r="BF1251" s="121">
        <v>15.49375</v>
      </c>
      <c r="BG1251" s="121">
        <v>16.725999999999999</v>
      </c>
      <c r="BH1251" s="121">
        <v>17.890999999999998</v>
      </c>
      <c r="BI1251" s="121">
        <v>19.055999999999997</v>
      </c>
      <c r="BJ1251" s="121">
        <v>20.1845</v>
      </c>
      <c r="BK1251" s="121">
        <v>21.313000000000002</v>
      </c>
      <c r="BL1251" s="121">
        <v>22.413499999999999</v>
      </c>
      <c r="BM1251" s="121">
        <v>23.514000000000003</v>
      </c>
      <c r="BN1251" s="121">
        <v>24.559000000000001</v>
      </c>
      <c r="BO1251" s="121">
        <v>25.603999999999999</v>
      </c>
      <c r="BP1251" s="121">
        <v>26.656749999999999</v>
      </c>
      <c r="BQ1251" s="121">
        <v>27.709499999999998</v>
      </c>
      <c r="BR1251" s="121">
        <v>28.741500000000002</v>
      </c>
      <c r="BS1251" s="121">
        <v>29.773499999999999</v>
      </c>
      <c r="BT1251" s="121">
        <v>30.783249999999999</v>
      </c>
      <c r="BU1251" s="121">
        <v>31.792999999999999</v>
      </c>
      <c r="BV1251" s="121">
        <v>32.797750000000001</v>
      </c>
      <c r="BW1251" s="121">
        <v>33.802499999999995</v>
      </c>
      <c r="BX1251" s="121">
        <v>34.799499999999995</v>
      </c>
      <c r="BY1251" s="121">
        <v>35.796499999999995</v>
      </c>
      <c r="BZ1251" s="121">
        <v>36.772000000000006</v>
      </c>
      <c r="CA1251" s="121">
        <v>37.747500000000002</v>
      </c>
      <c r="CB1251" s="121">
        <v>38.72325</v>
      </c>
      <c r="CC1251" s="121">
        <v>39.698999999999998</v>
      </c>
      <c r="CD1251" s="121">
        <v>40.660499999999999</v>
      </c>
      <c r="CE1251" s="121">
        <v>41.622</v>
      </c>
      <c r="CF1251" s="121">
        <v>42.582000000000001</v>
      </c>
      <c r="CG1251" s="121">
        <f t="array" ref="CG1251:CG1276">TRANSPOSE(CH1250:DG1250)</f>
        <v>43.542000000000002</v>
      </c>
      <c r="CH1251" s="120">
        <f>(CG1251+CI1251)/2</f>
        <v>44.506750000000004</v>
      </c>
      <c r="CI1251" s="120">
        <f>(CI1250+CI1252)/2</f>
        <v>45.471500000000006</v>
      </c>
      <c r="CJ1251" s="120">
        <f>(CI1251+CK1251)/2</f>
        <v>46.431250000000006</v>
      </c>
      <c r="CK1251" s="120">
        <f>(CK1250+CK1252)/2</f>
        <v>47.391000000000005</v>
      </c>
      <c r="CL1251" s="120">
        <f>(CK1251+CM1251)/2</f>
        <v>48.288499999999999</v>
      </c>
      <c r="CM1251" s="120">
        <f>(CM1250+CM1252)/2</f>
        <v>49.186</v>
      </c>
      <c r="CN1251" s="120">
        <f>(CM1251+CO1251)/2</f>
        <v>50.138000000000005</v>
      </c>
      <c r="CO1251" s="120">
        <f>(CO1250+CO1252)/2</f>
        <v>51.09</v>
      </c>
      <c r="CP1251" s="120">
        <f>(CO1251+CQ1251)/2</f>
        <v>52.030250000000002</v>
      </c>
      <c r="CQ1251" s="120">
        <f>(CQ1250+CQ1252)/2</f>
        <v>52.970500000000001</v>
      </c>
      <c r="CR1251" s="120">
        <f>(CQ1251+CS1251)/2</f>
        <v>53.9</v>
      </c>
      <c r="CS1251" s="120">
        <f>(CS1250+CS1252)/2</f>
        <v>54.829499999999996</v>
      </c>
      <c r="CT1251" s="120">
        <f>(CS1251+CU1251)/2</f>
        <v>55.741</v>
      </c>
      <c r="CU1251" s="120">
        <f>(CU1250+CU1252)/2</f>
        <v>56.652500000000003</v>
      </c>
      <c r="CV1251" s="120">
        <f>(CU1251+CW1251)/2</f>
        <v>57.596249999999998</v>
      </c>
      <c r="CW1251" s="120">
        <f>(CW1250+CW1252)/2</f>
        <v>58.54</v>
      </c>
      <c r="CX1251" s="120">
        <f>(CW1251+CY1251)/2</f>
        <v>59.440749999999994</v>
      </c>
      <c r="CY1251" s="120">
        <f>(CY1250+CY1252)/2</f>
        <v>60.341499999999996</v>
      </c>
      <c r="CZ1251" s="120">
        <f>(CY1251+DA1251)/2</f>
        <v>61.249499999999998</v>
      </c>
      <c r="DA1251" s="120">
        <f>(DA1250+DA1252)/2</f>
        <v>62.157499999999999</v>
      </c>
      <c r="DB1251" s="120">
        <f>(DA1251+DC1251)/2</f>
        <v>63.074249999999999</v>
      </c>
      <c r="DC1251" s="120">
        <f>(DC1250+DC1252)/2</f>
        <v>63.991</v>
      </c>
      <c r="DD1251" s="120">
        <f>(DC1251+DE1251)/2</f>
        <v>64.902749999999997</v>
      </c>
      <c r="DE1251" s="120">
        <f>(DE1250+DE1252)/2</f>
        <v>65.81450000000001</v>
      </c>
      <c r="DF1251" s="120">
        <f>(DE1251+DG1251)/2</f>
        <v>66.699000000000012</v>
      </c>
      <c r="DG1251" s="122">
        <f>(DG1250+DG1252)/2</f>
        <v>67.583500000000001</v>
      </c>
    </row>
    <row r="1252" spans="54:111" ht="15" customHeight="1" x14ac:dyDescent="0.2">
      <c r="BB1252" s="28">
        <v>36</v>
      </c>
      <c r="BC1252" s="121">
        <v>11.831</v>
      </c>
      <c r="BD1252" s="121">
        <v>13.177</v>
      </c>
      <c r="BE1252" s="121">
        <v>14.523</v>
      </c>
      <c r="BF1252" s="121">
        <v>15.801</v>
      </c>
      <c r="BG1252" s="121">
        <v>17.079000000000001</v>
      </c>
      <c r="BH1252" s="121">
        <v>18.264499999999998</v>
      </c>
      <c r="BI1252" s="121">
        <v>19.45</v>
      </c>
      <c r="BJ1252" s="121">
        <v>20.577999999999999</v>
      </c>
      <c r="BK1252" s="121">
        <v>21.706</v>
      </c>
      <c r="BL1252" s="121">
        <v>22.849</v>
      </c>
      <c r="BM1252" s="121">
        <v>23.992000000000001</v>
      </c>
      <c r="BN1252" s="121">
        <v>25.055500000000002</v>
      </c>
      <c r="BO1252" s="121">
        <v>26.119</v>
      </c>
      <c r="BP1252" s="121">
        <v>27.198499999999999</v>
      </c>
      <c r="BQ1252" s="121">
        <v>28.277999999999999</v>
      </c>
      <c r="BR1252" s="121">
        <v>29.3415</v>
      </c>
      <c r="BS1252" s="121">
        <v>30.405000000000001</v>
      </c>
      <c r="BT1252" s="121">
        <v>31.43</v>
      </c>
      <c r="BU1252" s="121">
        <v>32.454999999999998</v>
      </c>
      <c r="BV1252" s="121">
        <v>33.502499999999998</v>
      </c>
      <c r="BW1252" s="121">
        <v>34.549999999999997</v>
      </c>
      <c r="BX1252" s="121">
        <v>35.549499999999995</v>
      </c>
      <c r="BY1252" s="121">
        <v>36.548999999999999</v>
      </c>
      <c r="BZ1252" s="121">
        <v>37.563500000000005</v>
      </c>
      <c r="CA1252" s="121">
        <v>38.578000000000003</v>
      </c>
      <c r="CB1252" s="121">
        <v>39.545500000000004</v>
      </c>
      <c r="CC1252" s="121">
        <v>40.512999999999998</v>
      </c>
      <c r="CD1252" s="121">
        <v>41.506</v>
      </c>
      <c r="CE1252" s="121">
        <v>42.499000000000002</v>
      </c>
      <c r="CF1252" s="121">
        <v>43.488500000000002</v>
      </c>
      <c r="CG1252" s="121">
        <v>44.478000000000002</v>
      </c>
      <c r="CH1252" s="121">
        <f t="array" ref="CH1252:CH1276">TRANSPOSE(CI1251:DG1251)</f>
        <v>45.471500000000006</v>
      </c>
      <c r="CI1252" s="158">
        <v>46.465000000000003</v>
      </c>
      <c r="CJ1252" s="120">
        <f>(CK1252+CI1252)/2</f>
        <v>47.454500000000003</v>
      </c>
      <c r="CK1252" s="158">
        <v>48.444000000000003</v>
      </c>
      <c r="CL1252" s="120">
        <f>(CM1252+CK1252)/2</f>
        <v>49.340500000000006</v>
      </c>
      <c r="CM1252" s="158">
        <v>50.237000000000002</v>
      </c>
      <c r="CN1252" s="120">
        <f>(CO1252+CM1252)/2</f>
        <v>51.204499999999996</v>
      </c>
      <c r="CO1252" s="158">
        <v>52.171999999999997</v>
      </c>
      <c r="CP1252" s="120">
        <f>(CQ1252+CO1252)/2</f>
        <v>53.155000000000001</v>
      </c>
      <c r="CQ1252" s="158">
        <v>54.137999999999998</v>
      </c>
      <c r="CR1252" s="120">
        <f>(CS1252+CQ1252)/2</f>
        <v>55.099000000000004</v>
      </c>
      <c r="CS1252" s="158">
        <v>56.06</v>
      </c>
      <c r="CT1252" s="120">
        <f>(CU1252+CS1252)/2</f>
        <v>56.984999999999999</v>
      </c>
      <c r="CU1252" s="158">
        <v>57.91</v>
      </c>
      <c r="CV1252" s="120">
        <f>(CW1252+CU1252)/2</f>
        <v>58.870999999999995</v>
      </c>
      <c r="CW1252" s="158">
        <v>59.832000000000001</v>
      </c>
      <c r="CX1252" s="120">
        <f>(CY1252+CW1252)/2</f>
        <v>60.734999999999999</v>
      </c>
      <c r="CY1252" s="158">
        <v>61.637999999999998</v>
      </c>
      <c r="CZ1252" s="120">
        <f>(DA1252+CY1252)/2</f>
        <v>62.5565</v>
      </c>
      <c r="DA1252" s="158">
        <v>63.475000000000001</v>
      </c>
      <c r="DB1252" s="120">
        <f>(DC1252+DA1252)/2</f>
        <v>64.442499999999995</v>
      </c>
      <c r="DC1252" s="158">
        <v>65.41</v>
      </c>
      <c r="DD1252" s="120">
        <f>(DE1252+DC1252)/2</f>
        <v>66.329000000000008</v>
      </c>
      <c r="DE1252" s="158">
        <v>67.248000000000005</v>
      </c>
      <c r="DF1252" s="120">
        <f>(DG1252+DE1252)/2</f>
        <v>68.151499999999999</v>
      </c>
      <c r="DG1252" s="159">
        <v>69.055000000000007</v>
      </c>
    </row>
    <row r="1253" spans="54:111" ht="15" customHeight="1" x14ac:dyDescent="0.2">
      <c r="BB1253" s="28">
        <v>37</v>
      </c>
      <c r="BC1253" s="121">
        <v>12.0725</v>
      </c>
      <c r="BD1253" s="121">
        <v>13.448</v>
      </c>
      <c r="BE1253" s="121">
        <v>14.823499999999999</v>
      </c>
      <c r="BF1253" s="121">
        <v>16.117000000000001</v>
      </c>
      <c r="BG1253" s="121">
        <v>17.410499999999999</v>
      </c>
      <c r="BH1253" s="121">
        <v>18.622499999999999</v>
      </c>
      <c r="BI1253" s="121">
        <v>19.834499999999998</v>
      </c>
      <c r="BJ1253" s="121">
        <v>20.993749999999999</v>
      </c>
      <c r="BK1253" s="121">
        <v>22.152999999999999</v>
      </c>
      <c r="BL1253" s="121">
        <v>23.314999999999998</v>
      </c>
      <c r="BM1253" s="121">
        <v>24.477</v>
      </c>
      <c r="BN1253" s="121">
        <v>25.563749999999999</v>
      </c>
      <c r="BO1253" s="121">
        <v>26.650500000000001</v>
      </c>
      <c r="BP1253" s="121">
        <v>27.753499999999999</v>
      </c>
      <c r="BQ1253" s="121">
        <v>28.856499999999997</v>
      </c>
      <c r="BR1253" s="121">
        <v>29.927250000000001</v>
      </c>
      <c r="BS1253" s="121">
        <v>30.998000000000001</v>
      </c>
      <c r="BT1253" s="121">
        <v>32.0685</v>
      </c>
      <c r="BU1253" s="121">
        <v>33.138999999999996</v>
      </c>
      <c r="BV1253" s="121">
        <v>34.177999999999997</v>
      </c>
      <c r="BW1253" s="121">
        <v>35.216999999999999</v>
      </c>
      <c r="BX1253" s="121">
        <v>36.256</v>
      </c>
      <c r="BY1253" s="121">
        <v>37.295000000000002</v>
      </c>
      <c r="BZ1253" s="121">
        <v>38.328250000000004</v>
      </c>
      <c r="CA1253" s="121">
        <v>39.361500000000007</v>
      </c>
      <c r="CB1253" s="121">
        <v>40.371500000000005</v>
      </c>
      <c r="CC1253" s="121">
        <v>41.381500000000003</v>
      </c>
      <c r="CD1253" s="121">
        <v>42.39</v>
      </c>
      <c r="CE1253" s="121">
        <v>43.398499999999999</v>
      </c>
      <c r="CF1253" s="121">
        <v>44.40325</v>
      </c>
      <c r="CG1253" s="121">
        <v>45.408000000000001</v>
      </c>
      <c r="CH1253" s="121">
        <v>46.431250000000006</v>
      </c>
      <c r="CI1253" s="121">
        <f t="array" ref="CI1253:CI1276">TRANSPOSE(CJ1252:DG1252)</f>
        <v>47.454500000000003</v>
      </c>
      <c r="CJ1253" s="120">
        <f>(CI1253+CK1253)/2</f>
        <v>48.445000000000007</v>
      </c>
      <c r="CK1253" s="120">
        <f>(CK1252+CK1254)/2</f>
        <v>49.435500000000005</v>
      </c>
      <c r="CL1253" s="120">
        <f>(CK1253+CM1253)/2</f>
        <v>50.362000000000002</v>
      </c>
      <c r="CM1253" s="120">
        <f>(CM1252+CM1254)/2</f>
        <v>51.288499999999999</v>
      </c>
      <c r="CN1253" s="120">
        <f>(CM1253+CO1253)/2</f>
        <v>52.282249999999998</v>
      </c>
      <c r="CO1253" s="120">
        <f>(CO1252+CO1254)/2</f>
        <v>53.275999999999996</v>
      </c>
      <c r="CP1253" s="120">
        <f>(CO1253+CQ1253)/2</f>
        <v>54.263499999999993</v>
      </c>
      <c r="CQ1253" s="120">
        <f>(CQ1252+CQ1254)/2</f>
        <v>55.250999999999998</v>
      </c>
      <c r="CR1253" s="120">
        <f>(CQ1253+CS1253)/2</f>
        <v>56.241500000000002</v>
      </c>
      <c r="CS1253" s="120">
        <f>(CS1252+CS1254)/2</f>
        <v>57.231999999999999</v>
      </c>
      <c r="CT1253" s="120">
        <f>(CS1253+CU1253)/2</f>
        <v>58.172499999999999</v>
      </c>
      <c r="CU1253" s="120">
        <f>(CU1252+CU1254)/2</f>
        <v>59.113</v>
      </c>
      <c r="CV1253" s="120">
        <f>(CU1253+CW1253)/2</f>
        <v>60.100499999999997</v>
      </c>
      <c r="CW1253" s="120">
        <f>(CW1252+CW1254)/2</f>
        <v>61.088000000000001</v>
      </c>
      <c r="CX1253" s="120">
        <f>(CW1253+CY1253)/2</f>
        <v>62.038499999999999</v>
      </c>
      <c r="CY1253" s="120">
        <f>(CY1252+CY1254)/2</f>
        <v>62.989000000000004</v>
      </c>
      <c r="CZ1253" s="120">
        <f>(CY1253+DA1253)/2</f>
        <v>63.923250000000003</v>
      </c>
      <c r="DA1253" s="120">
        <f>(DA1252+DA1254)/2</f>
        <v>64.857500000000002</v>
      </c>
      <c r="DB1253" s="120">
        <f>(DA1253+DC1253)/2</f>
        <v>65.819250000000011</v>
      </c>
      <c r="DC1253" s="120">
        <f>(DC1252+DC1254)/2</f>
        <v>66.781000000000006</v>
      </c>
      <c r="DD1253" s="120">
        <f>(DC1253+DE1253)/2</f>
        <v>67.739500000000007</v>
      </c>
      <c r="DE1253" s="120">
        <f>(DE1252+DE1254)/2</f>
        <v>68.698000000000008</v>
      </c>
      <c r="DF1253" s="120">
        <f>(DE1253+DG1253)/2</f>
        <v>69.624750000000006</v>
      </c>
      <c r="DG1253" s="122">
        <f>(DG1252+DG1254)/2</f>
        <v>70.551500000000004</v>
      </c>
    </row>
    <row r="1254" spans="54:111" ht="15" customHeight="1" x14ac:dyDescent="0.2">
      <c r="BB1254" s="28">
        <v>38</v>
      </c>
      <c r="BC1254" s="121">
        <v>12.314</v>
      </c>
      <c r="BD1254" s="121">
        <v>13.719000000000001</v>
      </c>
      <c r="BE1254" s="121">
        <v>15.124000000000001</v>
      </c>
      <c r="BF1254" s="121">
        <v>16.433</v>
      </c>
      <c r="BG1254" s="121">
        <v>17.742000000000001</v>
      </c>
      <c r="BH1254" s="121">
        <v>18.980499999999999</v>
      </c>
      <c r="BI1254" s="121">
        <v>20.219000000000001</v>
      </c>
      <c r="BJ1254" s="121">
        <v>21.409500000000001</v>
      </c>
      <c r="BK1254" s="121">
        <v>22.6</v>
      </c>
      <c r="BL1254" s="121">
        <v>23.780999999999999</v>
      </c>
      <c r="BM1254" s="121">
        <v>24.962</v>
      </c>
      <c r="BN1254" s="121">
        <v>26.071999999999999</v>
      </c>
      <c r="BO1254" s="121">
        <v>27.181999999999999</v>
      </c>
      <c r="BP1254" s="121">
        <v>28.308499999999999</v>
      </c>
      <c r="BQ1254" s="121">
        <v>29.434999999999999</v>
      </c>
      <c r="BR1254" s="121">
        <v>30.512999999999998</v>
      </c>
      <c r="BS1254" s="121">
        <v>31.591000000000001</v>
      </c>
      <c r="BT1254" s="121">
        <v>32.707000000000001</v>
      </c>
      <c r="BU1254" s="121">
        <v>33.823</v>
      </c>
      <c r="BV1254" s="121">
        <v>34.853499999999997</v>
      </c>
      <c r="BW1254" s="121">
        <v>35.884</v>
      </c>
      <c r="BX1254" s="121">
        <v>36.962499999999999</v>
      </c>
      <c r="BY1254" s="121">
        <v>38.040999999999997</v>
      </c>
      <c r="BZ1254" s="121">
        <v>39.093000000000004</v>
      </c>
      <c r="CA1254" s="121">
        <v>40.145000000000003</v>
      </c>
      <c r="CB1254" s="121">
        <v>41.197500000000005</v>
      </c>
      <c r="CC1254" s="121">
        <v>42.25</v>
      </c>
      <c r="CD1254" s="121">
        <v>43.274000000000001</v>
      </c>
      <c r="CE1254" s="121">
        <v>44.298000000000002</v>
      </c>
      <c r="CF1254" s="121">
        <v>45.317999999999998</v>
      </c>
      <c r="CG1254" s="121">
        <v>46.338000000000001</v>
      </c>
      <c r="CH1254" s="121">
        <v>47.391000000000005</v>
      </c>
      <c r="CI1254" s="121">
        <v>48.444000000000003</v>
      </c>
      <c r="CJ1254" s="121">
        <f t="array" ref="CJ1254:CJ1276">TRANSPOSE(CK1253:DG1253)</f>
        <v>49.435500000000005</v>
      </c>
      <c r="CK1254" s="158">
        <v>50.427</v>
      </c>
      <c r="CL1254" s="120">
        <f>(CM1254+CK1254)/2</f>
        <v>51.383499999999998</v>
      </c>
      <c r="CM1254" s="158">
        <v>52.34</v>
      </c>
      <c r="CN1254" s="120">
        <f>(CO1254+CM1254)/2</f>
        <v>53.36</v>
      </c>
      <c r="CO1254" s="158">
        <v>54.38</v>
      </c>
      <c r="CP1254" s="120">
        <f>(CQ1254+CO1254)/2</f>
        <v>55.372</v>
      </c>
      <c r="CQ1254" s="158">
        <v>56.363999999999997</v>
      </c>
      <c r="CR1254" s="120">
        <f>(CS1254+CQ1254)/2</f>
        <v>57.384</v>
      </c>
      <c r="CS1254" s="158">
        <v>58.404000000000003</v>
      </c>
      <c r="CT1254" s="120">
        <f>(CU1254+CS1254)/2</f>
        <v>59.36</v>
      </c>
      <c r="CU1254" s="158">
        <v>60.316000000000003</v>
      </c>
      <c r="CV1254" s="120">
        <f>(CW1254+CU1254)/2</f>
        <v>61.33</v>
      </c>
      <c r="CW1254" s="158">
        <v>62.344000000000001</v>
      </c>
      <c r="CX1254" s="120">
        <f>(CY1254+CW1254)/2</f>
        <v>63.341999999999999</v>
      </c>
      <c r="CY1254" s="158">
        <v>64.34</v>
      </c>
      <c r="CZ1254" s="120">
        <f>(DA1254+CY1254)/2</f>
        <v>65.289999999999992</v>
      </c>
      <c r="DA1254" s="158">
        <v>66.239999999999995</v>
      </c>
      <c r="DB1254" s="120">
        <f>(DC1254+DA1254)/2</f>
        <v>67.195999999999998</v>
      </c>
      <c r="DC1254" s="158">
        <v>68.152000000000001</v>
      </c>
      <c r="DD1254" s="120">
        <f>(DE1254+DC1254)/2</f>
        <v>69.150000000000006</v>
      </c>
      <c r="DE1254" s="158">
        <v>70.147999999999996</v>
      </c>
      <c r="DF1254" s="120">
        <f>(DG1254+DE1254)/2</f>
        <v>71.097999999999999</v>
      </c>
      <c r="DG1254" s="159">
        <v>72.048000000000002</v>
      </c>
    </row>
    <row r="1255" spans="54:111" ht="15" customHeight="1" x14ac:dyDescent="0.2">
      <c r="BB1255" s="28">
        <v>39</v>
      </c>
      <c r="BC1255" s="121">
        <v>12.551500000000001</v>
      </c>
      <c r="BD1255" s="121">
        <v>13.972000000000001</v>
      </c>
      <c r="BE1255" s="121">
        <v>15.3925</v>
      </c>
      <c r="BF1255" s="121">
        <v>16.729500000000002</v>
      </c>
      <c r="BG1255" s="121">
        <v>18.066499999999998</v>
      </c>
      <c r="BH1255" s="121">
        <v>19.32375</v>
      </c>
      <c r="BI1255" s="121">
        <v>20.581000000000003</v>
      </c>
      <c r="BJ1255" s="121">
        <v>21.798000000000002</v>
      </c>
      <c r="BK1255" s="121">
        <v>23.015000000000001</v>
      </c>
      <c r="BL1255" s="121">
        <v>24.21125</v>
      </c>
      <c r="BM1255" s="121">
        <v>25.407499999999999</v>
      </c>
      <c r="BN1255" s="121">
        <v>26.552500000000002</v>
      </c>
      <c r="BO1255" s="121">
        <v>27.697499999999998</v>
      </c>
      <c r="BP1255" s="121">
        <v>28.850250000000003</v>
      </c>
      <c r="BQ1255" s="121">
        <v>30.003</v>
      </c>
      <c r="BR1255" s="121">
        <v>31.112749999999998</v>
      </c>
      <c r="BS1255" s="121">
        <v>32.222499999999997</v>
      </c>
      <c r="BT1255" s="121">
        <v>33.338000000000001</v>
      </c>
      <c r="BU1255" s="121">
        <v>34.453500000000005</v>
      </c>
      <c r="BV1255" s="121">
        <v>35.526249999999997</v>
      </c>
      <c r="BW1255" s="121">
        <v>36.599000000000004</v>
      </c>
      <c r="BX1255" s="121">
        <v>37.695999999999998</v>
      </c>
      <c r="BY1255" s="121">
        <v>38.792999999999999</v>
      </c>
      <c r="BZ1255" s="121">
        <v>39.860750000000003</v>
      </c>
      <c r="CA1255" s="121">
        <v>40.9285</v>
      </c>
      <c r="CB1255" s="121">
        <v>41.996250000000003</v>
      </c>
      <c r="CC1255" s="121">
        <v>43.064</v>
      </c>
      <c r="CD1255" s="121">
        <v>44.114750000000001</v>
      </c>
      <c r="CE1255" s="121">
        <v>45.165500000000002</v>
      </c>
      <c r="CF1255" s="121">
        <v>46.201000000000001</v>
      </c>
      <c r="CG1255" s="121">
        <v>47.236499999999999</v>
      </c>
      <c r="CH1255" s="121">
        <v>48.288499999999999</v>
      </c>
      <c r="CI1255" s="121">
        <v>49.340500000000006</v>
      </c>
      <c r="CJ1255" s="121">
        <v>50.362000000000002</v>
      </c>
      <c r="CK1255" s="121">
        <f t="array" ref="CK1255:CK1276">TRANSPOSE(CL1254:DG1254)</f>
        <v>51.383499999999998</v>
      </c>
      <c r="CL1255" s="120">
        <f>(CK1255+CM1255)/2</f>
        <v>52.387250000000002</v>
      </c>
      <c r="CM1255" s="120">
        <f>(CM1254+CM1256)/2</f>
        <v>53.391000000000005</v>
      </c>
      <c r="CN1255" s="120">
        <f>(CM1255+CO1255)/2</f>
        <v>54.426750000000006</v>
      </c>
      <c r="CO1255" s="120">
        <f>(CO1254+CO1256)/2</f>
        <v>55.462500000000006</v>
      </c>
      <c r="CP1255" s="120">
        <f>(CO1255+CQ1255)/2</f>
        <v>56.480500000000006</v>
      </c>
      <c r="CQ1255" s="120">
        <f>(CQ1254+CQ1256)/2</f>
        <v>57.4985</v>
      </c>
      <c r="CR1255" s="120">
        <f>(CQ1255+CS1255)/2</f>
        <v>58.534000000000006</v>
      </c>
      <c r="CS1255" s="120">
        <f>(CS1254+CS1256)/2</f>
        <v>59.569500000000005</v>
      </c>
      <c r="CT1255" s="120">
        <f>(CS1255+CU1255)/2</f>
        <v>60.573250000000002</v>
      </c>
      <c r="CU1255" s="120">
        <f>(CU1254+CU1256)/2</f>
        <v>61.576999999999998</v>
      </c>
      <c r="CV1255" s="120">
        <f>(CU1255+CW1255)/2</f>
        <v>62.577500000000001</v>
      </c>
      <c r="CW1255" s="120">
        <f>(CW1254+CW1256)/2</f>
        <v>63.578000000000003</v>
      </c>
      <c r="CX1255" s="120">
        <f>(CW1255+CY1255)/2</f>
        <v>64.602500000000006</v>
      </c>
      <c r="CY1255" s="120">
        <f>(CY1254+CY1256)/2</f>
        <v>65.62700000000001</v>
      </c>
      <c r="CZ1255" s="120">
        <f>(CY1255+DA1255)/2</f>
        <v>66.59575000000001</v>
      </c>
      <c r="DA1255" s="120">
        <f>(DA1254+DA1256)/2</f>
        <v>67.564499999999995</v>
      </c>
      <c r="DB1255" s="120">
        <f>(DA1255+DC1255)/2</f>
        <v>68.567999999999998</v>
      </c>
      <c r="DC1255" s="120">
        <f>(DC1254+DC1256)/2</f>
        <v>69.5715</v>
      </c>
      <c r="DD1255" s="120">
        <f>(DC1255+DE1255)/2</f>
        <v>70.56049999999999</v>
      </c>
      <c r="DE1255" s="120">
        <f>(DE1254+DE1256)/2</f>
        <v>71.549499999999995</v>
      </c>
      <c r="DF1255" s="120">
        <f>(DE1255+DG1255)/2</f>
        <v>72.550250000000005</v>
      </c>
      <c r="DG1255" s="122">
        <f>(DG1254+DG1256)/2</f>
        <v>73.551000000000002</v>
      </c>
    </row>
    <row r="1256" spans="54:111" ht="15" customHeight="1" x14ac:dyDescent="0.2">
      <c r="BB1256" s="28">
        <v>40</v>
      </c>
      <c r="BC1256" s="121">
        <v>12.789</v>
      </c>
      <c r="BD1256" s="121">
        <v>14.225</v>
      </c>
      <c r="BE1256" s="121">
        <v>15.661</v>
      </c>
      <c r="BF1256" s="121">
        <v>17.026</v>
      </c>
      <c r="BG1256" s="121">
        <v>18.390999999999998</v>
      </c>
      <c r="BH1256" s="121">
        <v>19.667000000000002</v>
      </c>
      <c r="BI1256" s="121">
        <v>20.943000000000001</v>
      </c>
      <c r="BJ1256" s="121">
        <v>22.186500000000002</v>
      </c>
      <c r="BK1256" s="121">
        <v>23.43</v>
      </c>
      <c r="BL1256" s="121">
        <v>24.641500000000001</v>
      </c>
      <c r="BM1256" s="121">
        <v>25.853000000000002</v>
      </c>
      <c r="BN1256" s="121">
        <v>27.033000000000001</v>
      </c>
      <c r="BO1256" s="121">
        <v>28.213000000000001</v>
      </c>
      <c r="BP1256" s="121">
        <v>29.392000000000003</v>
      </c>
      <c r="BQ1256" s="121">
        <v>30.571000000000002</v>
      </c>
      <c r="BR1256" s="121">
        <v>31.712499999999999</v>
      </c>
      <c r="BS1256" s="121">
        <v>32.853999999999999</v>
      </c>
      <c r="BT1256" s="121">
        <v>33.969000000000001</v>
      </c>
      <c r="BU1256" s="121">
        <v>35.084000000000003</v>
      </c>
      <c r="BV1256" s="121">
        <v>36.198999999999998</v>
      </c>
      <c r="BW1256" s="121">
        <v>37.314</v>
      </c>
      <c r="BX1256" s="121">
        <v>38.429500000000004</v>
      </c>
      <c r="BY1256" s="121">
        <v>39.545000000000002</v>
      </c>
      <c r="BZ1256" s="121">
        <v>40.628500000000003</v>
      </c>
      <c r="CA1256" s="121">
        <v>41.712000000000003</v>
      </c>
      <c r="CB1256" s="121">
        <v>42.795000000000002</v>
      </c>
      <c r="CC1256" s="121">
        <v>43.878</v>
      </c>
      <c r="CD1256" s="121">
        <v>44.955500000000001</v>
      </c>
      <c r="CE1256" s="121">
        <v>46.033000000000001</v>
      </c>
      <c r="CF1256" s="121">
        <v>47.084000000000003</v>
      </c>
      <c r="CG1256" s="121">
        <v>48.134999999999998</v>
      </c>
      <c r="CH1256" s="121">
        <v>49.186</v>
      </c>
      <c r="CI1256" s="121">
        <v>50.237000000000002</v>
      </c>
      <c r="CJ1256" s="121">
        <v>51.288499999999999</v>
      </c>
      <c r="CK1256" s="121">
        <v>52.34</v>
      </c>
      <c r="CL1256" s="121">
        <f t="array" ref="CL1256:CL1276">TRANSPOSE(CM1255:DG1255)</f>
        <v>53.391000000000005</v>
      </c>
      <c r="CM1256" s="158">
        <v>54.442</v>
      </c>
      <c r="CN1256" s="120">
        <f>(CO1256+CM1256)/2</f>
        <v>55.493499999999997</v>
      </c>
      <c r="CO1256" s="158">
        <v>56.545000000000002</v>
      </c>
      <c r="CP1256" s="120">
        <f>(CQ1256+CO1256)/2</f>
        <v>57.588999999999999</v>
      </c>
      <c r="CQ1256" s="158">
        <v>58.633000000000003</v>
      </c>
      <c r="CR1256" s="120">
        <f>(CS1256+CQ1256)/2</f>
        <v>59.683999999999997</v>
      </c>
      <c r="CS1256" s="158">
        <v>60.734999999999999</v>
      </c>
      <c r="CT1256" s="120">
        <f>(CU1256+CS1256)/2</f>
        <v>61.786500000000004</v>
      </c>
      <c r="CU1256" s="158">
        <v>62.838000000000001</v>
      </c>
      <c r="CV1256" s="120">
        <f>(CW1256+CU1256)/2</f>
        <v>63.825000000000003</v>
      </c>
      <c r="CW1256" s="158">
        <v>64.811999999999998</v>
      </c>
      <c r="CX1256" s="120">
        <f>(CY1256+CW1256)/2</f>
        <v>65.863</v>
      </c>
      <c r="CY1256" s="158">
        <v>66.914000000000001</v>
      </c>
      <c r="CZ1256" s="120">
        <f>(DA1256+CY1256)/2</f>
        <v>67.901499999999999</v>
      </c>
      <c r="DA1256" s="158">
        <v>68.888999999999996</v>
      </c>
      <c r="DB1256" s="120">
        <f>(DC1256+DA1256)/2</f>
        <v>69.94</v>
      </c>
      <c r="DC1256" s="158">
        <v>70.991</v>
      </c>
      <c r="DD1256" s="120">
        <f>(DE1256+DC1256)/2</f>
        <v>71.971000000000004</v>
      </c>
      <c r="DE1256" s="158">
        <v>72.950999999999993</v>
      </c>
      <c r="DF1256" s="120">
        <f>(DG1256+DE1256)/2</f>
        <v>74.002499999999998</v>
      </c>
      <c r="DG1256" s="159">
        <v>75.054000000000002</v>
      </c>
    </row>
    <row r="1257" spans="54:111" ht="15" customHeight="1" x14ac:dyDescent="0.2">
      <c r="BB1257" s="28">
        <v>41</v>
      </c>
      <c r="BC1257" s="121">
        <v>13.019500000000001</v>
      </c>
      <c r="BD1257" s="121">
        <v>14.487</v>
      </c>
      <c r="BE1257" s="121">
        <v>15.954499999999999</v>
      </c>
      <c r="BF1257" s="121">
        <v>17.338749999999997</v>
      </c>
      <c r="BG1257" s="121">
        <v>18.722999999999999</v>
      </c>
      <c r="BH1257" s="121">
        <v>20.02525</v>
      </c>
      <c r="BI1257" s="121">
        <v>21.327500000000001</v>
      </c>
      <c r="BJ1257" s="121">
        <v>22.602499999999999</v>
      </c>
      <c r="BK1257" s="121">
        <v>23.877499999999998</v>
      </c>
      <c r="BL1257" s="121">
        <v>25.104500000000002</v>
      </c>
      <c r="BM1257" s="121">
        <v>26.331499999999998</v>
      </c>
      <c r="BN1257" s="121">
        <v>27.526499999999999</v>
      </c>
      <c r="BO1257" s="121">
        <v>28.721499999999999</v>
      </c>
      <c r="BP1257" s="121">
        <v>29.927250000000001</v>
      </c>
      <c r="BQ1257" s="121">
        <v>31.133000000000003</v>
      </c>
      <c r="BR1257" s="121">
        <v>32.292749999999998</v>
      </c>
      <c r="BS1257" s="121">
        <v>33.452500000000001</v>
      </c>
      <c r="BT1257" s="121">
        <v>34.599249999999998</v>
      </c>
      <c r="BU1257" s="121">
        <v>35.746000000000002</v>
      </c>
      <c r="BV1257" s="121">
        <v>36.887749999999997</v>
      </c>
      <c r="BW1257" s="121">
        <v>38.029499999999999</v>
      </c>
      <c r="BX1257" s="121">
        <v>39.160250000000005</v>
      </c>
      <c r="BY1257" s="121">
        <v>40.290999999999997</v>
      </c>
      <c r="BZ1257" s="121">
        <v>41.39</v>
      </c>
      <c r="CA1257" s="121">
        <v>42.489000000000004</v>
      </c>
      <c r="CB1257" s="121">
        <v>43.598500000000001</v>
      </c>
      <c r="CC1257" s="121">
        <v>44.707999999999998</v>
      </c>
      <c r="CD1257" s="121">
        <v>45.807000000000002</v>
      </c>
      <c r="CE1257" s="121">
        <v>46.906000000000006</v>
      </c>
      <c r="CF1257" s="121">
        <v>47.988750000000003</v>
      </c>
      <c r="CG1257" s="121">
        <v>49.0715</v>
      </c>
      <c r="CH1257" s="121">
        <v>50.138000000000005</v>
      </c>
      <c r="CI1257" s="121">
        <v>51.204499999999996</v>
      </c>
      <c r="CJ1257" s="121">
        <v>52.282249999999998</v>
      </c>
      <c r="CK1257" s="121">
        <v>53.36</v>
      </c>
      <c r="CL1257" s="121">
        <v>54.426750000000006</v>
      </c>
      <c r="CM1257" s="121">
        <f t="array" ref="CM1257:CM1276">TRANSPOSE(CN1256:DG1256)</f>
        <v>55.493499999999997</v>
      </c>
      <c r="CN1257" s="120">
        <f>(CM1257+CO1257)/2</f>
        <v>56.56</v>
      </c>
      <c r="CO1257" s="120">
        <f>(CO1256+CO1258)/2</f>
        <v>57.6265</v>
      </c>
      <c r="CP1257" s="120">
        <f>(CO1257+CQ1257)/2</f>
        <v>58.696899999999999</v>
      </c>
      <c r="CQ1257" s="120">
        <f>(CQ1256+CQ1258)/2</f>
        <v>59.767300000000006</v>
      </c>
      <c r="CR1257" s="120">
        <f>(CQ1257+CS1257)/2</f>
        <v>60.837400000000002</v>
      </c>
      <c r="CS1257" s="120">
        <f>(CS1256+CS1258)/2</f>
        <v>61.907499999999999</v>
      </c>
      <c r="CT1257" s="120">
        <f>(CS1257+CU1257)/2</f>
        <v>62.974249999999998</v>
      </c>
      <c r="CU1257" s="120">
        <f>(CU1256+CU1258)/2</f>
        <v>64.040999999999997</v>
      </c>
      <c r="CV1257" s="120">
        <f>(CU1257+CW1257)/2</f>
        <v>65.086500000000001</v>
      </c>
      <c r="CW1257" s="120">
        <f>(CW1256+CW1258)/2</f>
        <v>66.132000000000005</v>
      </c>
      <c r="CX1257" s="120">
        <f>(CW1257+CY1257)/2</f>
        <v>67.382750000000001</v>
      </c>
      <c r="CY1257" s="120">
        <f>(CY1256+CY1258)/2</f>
        <v>68.633499999999998</v>
      </c>
      <c r="CZ1257" s="120">
        <f>(CY1257+DA1257)/2</f>
        <v>69.451999999999998</v>
      </c>
      <c r="DA1257" s="120">
        <f>(DA1256+DA1258)/2</f>
        <v>70.270499999999998</v>
      </c>
      <c r="DB1257" s="120">
        <f>(DA1257+DC1257)/2</f>
        <v>71.304749999999999</v>
      </c>
      <c r="DC1257" s="120">
        <f>(DC1256+DC1258)/2</f>
        <v>72.338999999999999</v>
      </c>
      <c r="DD1257" s="120">
        <f>(DC1257+DE1257)/2</f>
        <v>73.381249999999994</v>
      </c>
      <c r="DE1257" s="120">
        <f>(DE1256+DE1258)/2</f>
        <v>74.42349999999999</v>
      </c>
      <c r="DF1257" s="120">
        <f>(DE1257+DG1257)/2</f>
        <v>75.458249999999992</v>
      </c>
      <c r="DG1257" s="122">
        <f>(DG1256+DG1258)/2</f>
        <v>76.492999999999995</v>
      </c>
    </row>
    <row r="1258" spans="54:111" ht="15" customHeight="1" x14ac:dyDescent="0.2">
      <c r="BB1258" s="28">
        <v>42</v>
      </c>
      <c r="BC1258" s="121">
        <v>13.25</v>
      </c>
      <c r="BD1258" s="121">
        <v>14.749000000000001</v>
      </c>
      <c r="BE1258" s="121">
        <v>16.248000000000001</v>
      </c>
      <c r="BF1258" s="121">
        <v>17.651499999999999</v>
      </c>
      <c r="BG1258" s="121">
        <v>19.055</v>
      </c>
      <c r="BH1258" s="121">
        <v>20.383499999999998</v>
      </c>
      <c r="BI1258" s="121">
        <v>21.712</v>
      </c>
      <c r="BJ1258" s="121">
        <v>23.0185</v>
      </c>
      <c r="BK1258" s="121">
        <v>24.324999999999999</v>
      </c>
      <c r="BL1258" s="121">
        <v>25.567499999999999</v>
      </c>
      <c r="BM1258" s="121">
        <v>26.81</v>
      </c>
      <c r="BN1258" s="121">
        <v>28.02</v>
      </c>
      <c r="BO1258" s="121">
        <v>29.23</v>
      </c>
      <c r="BP1258" s="121">
        <v>30.462499999999999</v>
      </c>
      <c r="BQ1258" s="121">
        <v>31.695</v>
      </c>
      <c r="BR1258" s="121">
        <v>32.873000000000005</v>
      </c>
      <c r="BS1258" s="121">
        <v>34.051000000000002</v>
      </c>
      <c r="BT1258" s="121">
        <v>35.229500000000002</v>
      </c>
      <c r="BU1258" s="121">
        <v>36.408000000000001</v>
      </c>
      <c r="BV1258" s="121">
        <v>37.576499999999996</v>
      </c>
      <c r="BW1258" s="121">
        <v>38.744999999999997</v>
      </c>
      <c r="BX1258" s="121">
        <v>39.890999999999998</v>
      </c>
      <c r="BY1258" s="121">
        <v>41.036999999999999</v>
      </c>
      <c r="BZ1258" s="121">
        <v>42.151499999999999</v>
      </c>
      <c r="CA1258" s="121">
        <v>43.265999999999998</v>
      </c>
      <c r="CB1258" s="121">
        <v>44.402000000000001</v>
      </c>
      <c r="CC1258" s="121">
        <v>45.537999999999997</v>
      </c>
      <c r="CD1258" s="121">
        <v>46.658500000000004</v>
      </c>
      <c r="CE1258" s="121">
        <v>47.779000000000003</v>
      </c>
      <c r="CF1258" s="121">
        <v>48.893500000000003</v>
      </c>
      <c r="CG1258" s="121">
        <v>50.008000000000003</v>
      </c>
      <c r="CH1258" s="121">
        <v>51.09</v>
      </c>
      <c r="CI1258" s="121">
        <v>52.171999999999997</v>
      </c>
      <c r="CJ1258" s="121">
        <v>53.275999999999996</v>
      </c>
      <c r="CK1258" s="121">
        <v>54.38</v>
      </c>
      <c r="CL1258" s="121">
        <v>55.462500000000006</v>
      </c>
      <c r="CM1258" s="121">
        <v>56.545000000000002</v>
      </c>
      <c r="CN1258" s="121">
        <f t="array" ref="CN1258:CN1276">TRANSPOSE(CO1257:DG1257)</f>
        <v>57.6265</v>
      </c>
      <c r="CO1258" s="158">
        <v>58.707999999999998</v>
      </c>
      <c r="CP1258" s="120">
        <f>(CQ1258+CO1258)/2</f>
        <v>59.8048</v>
      </c>
      <c r="CQ1258" s="158">
        <v>60.901600000000002</v>
      </c>
      <c r="CR1258" s="120">
        <f>(CS1258+CQ1258)/2</f>
        <v>61.9908</v>
      </c>
      <c r="CS1258" s="158">
        <v>63.08</v>
      </c>
      <c r="CT1258" s="120">
        <f>(CU1258+CS1258)/2</f>
        <v>64.162000000000006</v>
      </c>
      <c r="CU1258" s="158">
        <v>65.244</v>
      </c>
      <c r="CV1258" s="120">
        <f>(CW1258+CU1258)/2</f>
        <v>66.347999999999999</v>
      </c>
      <c r="CW1258" s="158">
        <v>67.451999999999998</v>
      </c>
      <c r="CX1258" s="120">
        <f>(CY1258+CW1258)/2</f>
        <v>68.902500000000003</v>
      </c>
      <c r="CY1258" s="158">
        <v>70.352999999999994</v>
      </c>
      <c r="CZ1258" s="120">
        <f>(DA1258+CY1258)/2</f>
        <v>71.002499999999998</v>
      </c>
      <c r="DA1258" s="158">
        <v>71.652000000000001</v>
      </c>
      <c r="DB1258" s="120">
        <f>(DC1258+DA1258)/2</f>
        <v>72.669499999999999</v>
      </c>
      <c r="DC1258" s="158">
        <v>73.686999999999998</v>
      </c>
      <c r="DD1258" s="120">
        <f>(DE1258+DC1258)/2</f>
        <v>74.791499999999999</v>
      </c>
      <c r="DE1258" s="158">
        <v>75.896000000000001</v>
      </c>
      <c r="DF1258" s="120">
        <f>(DG1258+DE1258)/2</f>
        <v>76.914000000000001</v>
      </c>
      <c r="DG1258" s="159">
        <v>77.932000000000002</v>
      </c>
    </row>
    <row r="1259" spans="54:111" ht="15" customHeight="1" x14ac:dyDescent="0.2">
      <c r="BB1259" s="28">
        <v>43</v>
      </c>
      <c r="BC1259" s="121">
        <v>13.4595</v>
      </c>
      <c r="BD1259" s="121">
        <v>14.988250000000001</v>
      </c>
      <c r="BE1259" s="121">
        <v>16.517000000000003</v>
      </c>
      <c r="BF1259" s="121">
        <v>17.935499999999998</v>
      </c>
      <c r="BG1259" s="121">
        <v>19.353999999999999</v>
      </c>
      <c r="BH1259" s="121">
        <v>20.713999999999999</v>
      </c>
      <c r="BI1259" s="121">
        <v>22.073999999999998</v>
      </c>
      <c r="BJ1259" s="121">
        <v>23.406750000000002</v>
      </c>
      <c r="BK1259" s="121">
        <v>24.7395</v>
      </c>
      <c r="BL1259" s="121">
        <v>26.000749999999996</v>
      </c>
      <c r="BM1259" s="121">
        <v>27.262</v>
      </c>
      <c r="BN1259" s="121">
        <v>28.514749999999999</v>
      </c>
      <c r="BO1259" s="121">
        <v>29.767499999999998</v>
      </c>
      <c r="BP1259" s="121">
        <v>31.004249999999999</v>
      </c>
      <c r="BQ1259" s="121">
        <v>32.241</v>
      </c>
      <c r="BR1259" s="121">
        <v>33.445750000000004</v>
      </c>
      <c r="BS1259" s="121">
        <v>34.650500000000001</v>
      </c>
      <c r="BT1259" s="121">
        <v>35.855249999999998</v>
      </c>
      <c r="BU1259" s="121">
        <v>37.06</v>
      </c>
      <c r="BV1259" s="121">
        <v>38.236249999999998</v>
      </c>
      <c r="BW1259" s="121">
        <v>39.412499999999994</v>
      </c>
      <c r="BX1259" s="121">
        <v>40.584999999999994</v>
      </c>
      <c r="BY1259" s="121">
        <v>41.7575</v>
      </c>
      <c r="BZ1259" s="121">
        <v>42.903500000000001</v>
      </c>
      <c r="CA1259" s="121">
        <v>44.049499999999995</v>
      </c>
      <c r="CB1259" s="121">
        <v>45.200749999999999</v>
      </c>
      <c r="CC1259" s="121">
        <v>46.351999999999997</v>
      </c>
      <c r="CD1259" s="121">
        <v>47.499000000000002</v>
      </c>
      <c r="CE1259" s="121">
        <v>48.646000000000001</v>
      </c>
      <c r="CF1259" s="121">
        <v>49.775750000000002</v>
      </c>
      <c r="CG1259" s="121">
        <v>50.905500000000004</v>
      </c>
      <c r="CH1259" s="121">
        <v>52.030250000000002</v>
      </c>
      <c r="CI1259" s="121">
        <v>53.155000000000001</v>
      </c>
      <c r="CJ1259" s="121">
        <v>54.263499999999993</v>
      </c>
      <c r="CK1259" s="121">
        <v>55.372</v>
      </c>
      <c r="CL1259" s="121">
        <v>56.480500000000006</v>
      </c>
      <c r="CM1259" s="121">
        <v>57.588999999999999</v>
      </c>
      <c r="CN1259" s="121">
        <v>58.696899999999999</v>
      </c>
      <c r="CO1259" s="121">
        <f t="array" ref="CO1259:CO1276">TRANSPOSE(CP1258:DG1258)</f>
        <v>59.8048</v>
      </c>
      <c r="CP1259" s="120">
        <f>(CO1259+CQ1259)/2</f>
        <v>60.9133</v>
      </c>
      <c r="CQ1259" s="120">
        <f>(CQ1258+CQ1260)/2</f>
        <v>62.021799999999999</v>
      </c>
      <c r="CR1259" s="120">
        <f>(CQ1259+CS1259)/2</f>
        <v>63.133900000000004</v>
      </c>
      <c r="CS1259" s="120">
        <f>(CS1258+CS1260)/2</f>
        <v>64.246000000000009</v>
      </c>
      <c r="CT1259" s="120">
        <f>(CS1259+CU1259)/2</f>
        <v>65.343250000000012</v>
      </c>
      <c r="CU1259" s="120">
        <f>(CU1258+CU1260)/2</f>
        <v>66.4405</v>
      </c>
      <c r="CV1259" s="120">
        <f>(CU1259+CW1259)/2</f>
        <v>67.563250000000011</v>
      </c>
      <c r="CW1259" s="120">
        <f>(CW1258+CW1260)/2</f>
        <v>68.686000000000007</v>
      </c>
      <c r="CX1259" s="120">
        <f>(CW1259+CY1259)/2</f>
        <v>69.946750000000009</v>
      </c>
      <c r="CY1259" s="120">
        <f>(CY1258+CY1260)/2</f>
        <v>71.207499999999996</v>
      </c>
      <c r="CZ1259" s="120">
        <f>(CY1259+DA1259)/2</f>
        <v>72.088750000000005</v>
      </c>
      <c r="DA1259" s="120">
        <f>(DA1258+DA1260)/2</f>
        <v>72.97</v>
      </c>
      <c r="DB1259" s="120">
        <f>(DA1259+DC1259)/2</f>
        <v>74.046250000000001</v>
      </c>
      <c r="DC1259" s="120">
        <f>(DC1258+DC1260)/2</f>
        <v>75.122500000000002</v>
      </c>
      <c r="DD1259" s="120">
        <f>(DC1259+DE1259)/2</f>
        <v>76.198999999999998</v>
      </c>
      <c r="DE1259" s="120">
        <f>(DE1258+DE1260)/2</f>
        <v>77.275499999999994</v>
      </c>
      <c r="DF1259" s="120">
        <f>(DE1259+DG1259)/2</f>
        <v>78.355249999999998</v>
      </c>
      <c r="DG1259" s="122">
        <f>(DG1258+DG1260)/2</f>
        <v>79.435000000000002</v>
      </c>
    </row>
    <row r="1260" spans="54:111" ht="15" customHeight="1" x14ac:dyDescent="0.2">
      <c r="BB1260" s="28">
        <v>44</v>
      </c>
      <c r="BC1260" s="121">
        <v>13.669</v>
      </c>
      <c r="BD1260" s="121">
        <v>15.227500000000001</v>
      </c>
      <c r="BE1260" s="121">
        <v>16.786000000000001</v>
      </c>
      <c r="BF1260" s="121">
        <v>18.2195</v>
      </c>
      <c r="BG1260" s="121">
        <v>19.652999999999999</v>
      </c>
      <c r="BH1260" s="121">
        <v>21.044499999999999</v>
      </c>
      <c r="BI1260" s="121">
        <v>22.436</v>
      </c>
      <c r="BJ1260" s="121">
        <v>23.795000000000002</v>
      </c>
      <c r="BK1260" s="121">
        <v>25.154</v>
      </c>
      <c r="BL1260" s="121">
        <v>26.433999999999997</v>
      </c>
      <c r="BM1260" s="121">
        <v>27.713999999999999</v>
      </c>
      <c r="BN1260" s="121">
        <v>29.009499999999999</v>
      </c>
      <c r="BO1260" s="121">
        <v>30.305</v>
      </c>
      <c r="BP1260" s="121">
        <v>31.545999999999999</v>
      </c>
      <c r="BQ1260" s="121">
        <v>32.786999999999999</v>
      </c>
      <c r="BR1260" s="121">
        <v>34.018500000000003</v>
      </c>
      <c r="BS1260" s="121">
        <v>35.25</v>
      </c>
      <c r="BT1260" s="121">
        <v>36.481000000000002</v>
      </c>
      <c r="BU1260" s="121">
        <v>37.712000000000003</v>
      </c>
      <c r="BV1260" s="121">
        <v>38.896000000000001</v>
      </c>
      <c r="BW1260" s="121">
        <v>40.08</v>
      </c>
      <c r="BX1260" s="121">
        <v>41.278999999999996</v>
      </c>
      <c r="BY1260" s="121">
        <v>42.478000000000002</v>
      </c>
      <c r="BZ1260" s="121">
        <v>43.655500000000004</v>
      </c>
      <c r="CA1260" s="121">
        <v>44.832999999999998</v>
      </c>
      <c r="CB1260" s="121">
        <v>45.999499999999998</v>
      </c>
      <c r="CC1260" s="121">
        <v>47.165999999999997</v>
      </c>
      <c r="CD1260" s="121">
        <v>48.339500000000001</v>
      </c>
      <c r="CE1260" s="121">
        <v>49.512999999999998</v>
      </c>
      <c r="CF1260" s="121">
        <v>50.658000000000001</v>
      </c>
      <c r="CG1260" s="121">
        <v>51.802999999999997</v>
      </c>
      <c r="CH1260" s="121">
        <v>52.970500000000001</v>
      </c>
      <c r="CI1260" s="121">
        <v>54.137999999999998</v>
      </c>
      <c r="CJ1260" s="121">
        <v>55.250999999999998</v>
      </c>
      <c r="CK1260" s="121">
        <v>56.363999999999997</v>
      </c>
      <c r="CL1260" s="121">
        <v>57.4985</v>
      </c>
      <c r="CM1260" s="121">
        <v>58.633000000000003</v>
      </c>
      <c r="CN1260" s="121">
        <v>59.767300000000006</v>
      </c>
      <c r="CO1260" s="121">
        <v>60.901600000000002</v>
      </c>
      <c r="CP1260" s="121">
        <f t="array" ref="CP1260:CP1276">TRANSPOSE(CQ1259:DG1259)</f>
        <v>62.021799999999999</v>
      </c>
      <c r="CQ1260" s="158">
        <v>63.142000000000003</v>
      </c>
      <c r="CR1260" s="121">
        <f>CS1259</f>
        <v>64.246000000000009</v>
      </c>
      <c r="CS1260" s="158">
        <v>65.412000000000006</v>
      </c>
      <c r="CT1260" s="121">
        <f>CU1259</f>
        <v>66.4405</v>
      </c>
      <c r="CU1260" s="158">
        <v>67.637</v>
      </c>
      <c r="CV1260" s="121">
        <f>CW1259</f>
        <v>68.686000000000007</v>
      </c>
      <c r="CW1260" s="158">
        <v>69.92</v>
      </c>
      <c r="CX1260" s="121">
        <f>CY1259</f>
        <v>71.207499999999996</v>
      </c>
      <c r="CY1260" s="158">
        <v>72.061999999999998</v>
      </c>
      <c r="CZ1260" s="121">
        <f>DA1259</f>
        <v>72.97</v>
      </c>
      <c r="DA1260" s="158">
        <v>74.287999999999997</v>
      </c>
      <c r="DB1260" s="121">
        <f>DC1259</f>
        <v>75.122500000000002</v>
      </c>
      <c r="DC1260" s="158">
        <v>76.558000000000007</v>
      </c>
      <c r="DD1260" s="121">
        <f>DE1259</f>
        <v>77.275499999999994</v>
      </c>
      <c r="DE1260" s="158">
        <v>78.655000000000001</v>
      </c>
      <c r="DF1260" s="121">
        <f>DG1259</f>
        <v>79.435000000000002</v>
      </c>
      <c r="DG1260" s="159">
        <v>80.938000000000002</v>
      </c>
    </row>
    <row r="1261" spans="54:111" ht="15" customHeight="1" x14ac:dyDescent="0.2">
      <c r="BB1261" s="28">
        <v>45</v>
      </c>
      <c r="BC1261" s="121">
        <v>13.906500000000001</v>
      </c>
      <c r="BD1261" s="121">
        <v>15.493000000000002</v>
      </c>
      <c r="BE1261" s="121">
        <v>17.079500000000003</v>
      </c>
      <c r="BF1261" s="121">
        <v>18.542999999999999</v>
      </c>
      <c r="BG1261" s="121">
        <v>20.006499999999999</v>
      </c>
      <c r="BH1261" s="121">
        <v>21.413499999999999</v>
      </c>
      <c r="BI1261" s="121">
        <v>22.820499999999999</v>
      </c>
      <c r="BJ1261" s="121">
        <v>24.184000000000001</v>
      </c>
      <c r="BK1261" s="121">
        <v>25.547499999999999</v>
      </c>
      <c r="BL1261" s="121">
        <v>26.869999999999997</v>
      </c>
      <c r="BM1261" s="121">
        <v>28.192499999999999</v>
      </c>
      <c r="BN1261" s="121">
        <v>29.503250000000001</v>
      </c>
      <c r="BO1261" s="121">
        <v>30.814</v>
      </c>
      <c r="BP1261" s="121">
        <v>32.08475</v>
      </c>
      <c r="BQ1261" s="121">
        <v>33.355499999999999</v>
      </c>
      <c r="BR1261" s="121">
        <v>34.602499999999999</v>
      </c>
      <c r="BS1261" s="121">
        <v>35.849499999999999</v>
      </c>
      <c r="BT1261" s="121">
        <v>37.099000000000004</v>
      </c>
      <c r="BU1261" s="121">
        <v>38.348500000000001</v>
      </c>
      <c r="BV1261" s="121">
        <v>39.5715</v>
      </c>
      <c r="BW1261" s="121">
        <v>40.794499999999999</v>
      </c>
      <c r="BX1261" s="121">
        <v>42.009499999999996</v>
      </c>
      <c r="BY1261" s="121">
        <v>43.224499999999999</v>
      </c>
      <c r="BZ1261" s="121">
        <v>44.430999999999997</v>
      </c>
      <c r="CA1261" s="121">
        <v>45.637500000000003</v>
      </c>
      <c r="CB1261" s="121">
        <v>46.82</v>
      </c>
      <c r="CC1261" s="121">
        <v>48.002499999999998</v>
      </c>
      <c r="CD1261" s="121">
        <v>49.180500000000002</v>
      </c>
      <c r="CE1261" s="121">
        <v>50.358499999999999</v>
      </c>
      <c r="CF1261" s="121">
        <v>51.52975</v>
      </c>
      <c r="CG1261" s="121">
        <v>52.700999999999993</v>
      </c>
      <c r="CH1261" s="121">
        <v>53.9</v>
      </c>
      <c r="CI1261" s="121">
        <v>55.099000000000004</v>
      </c>
      <c r="CJ1261" s="121">
        <v>56.241500000000002</v>
      </c>
      <c r="CK1261" s="121">
        <v>57.384</v>
      </c>
      <c r="CL1261" s="121">
        <v>58.534000000000006</v>
      </c>
      <c r="CM1261" s="121">
        <v>59.683999999999997</v>
      </c>
      <c r="CN1261" s="121">
        <v>60.837400000000002</v>
      </c>
      <c r="CO1261" s="121">
        <v>61.9908</v>
      </c>
      <c r="CP1261" s="121">
        <v>63.133900000000004</v>
      </c>
      <c r="CQ1261" s="121">
        <f t="array" ref="CQ1261:CQ1276">TRANSPOSE(CR1260:DG1260)</f>
        <v>64.246000000000009</v>
      </c>
      <c r="CR1261" s="120">
        <f>(CQ1261+CS1261)/2</f>
        <v>65.415000000000006</v>
      </c>
      <c r="CS1261" s="120">
        <f>(CS1260+CS1262)/2</f>
        <v>66.584000000000003</v>
      </c>
      <c r="CT1261" s="120">
        <f>(CS1261+CU1261)/2</f>
        <v>67.723250000000007</v>
      </c>
      <c r="CU1261" s="120">
        <f>(CU1260+CU1262)/2</f>
        <v>68.862499999999997</v>
      </c>
      <c r="CV1261" s="120">
        <f>(CU1261+CW1261)/2</f>
        <v>70.015999999999991</v>
      </c>
      <c r="CW1261" s="120">
        <f>(CW1260+CW1262)/2</f>
        <v>71.169499999999999</v>
      </c>
      <c r="CX1261" s="120">
        <f>(CW1261+CY1261)/2</f>
        <v>72.248249999999999</v>
      </c>
      <c r="CY1261" s="120">
        <f>(CY1260+CY1262)/2</f>
        <v>73.326999999999998</v>
      </c>
      <c r="CZ1261" s="120">
        <f>(CY1261+DA1261)/2</f>
        <v>74.466499999999996</v>
      </c>
      <c r="DA1261" s="120">
        <f>(DA1260+DA1262)/2</f>
        <v>75.605999999999995</v>
      </c>
      <c r="DB1261" s="120">
        <f>(DA1261+DC1261)/2</f>
        <v>76.759500000000003</v>
      </c>
      <c r="DC1261" s="120">
        <f>(DC1260+DC1262)/2</f>
        <v>77.913000000000011</v>
      </c>
      <c r="DD1261" s="120">
        <f>(DC1261+DE1261)/2</f>
        <v>78.988</v>
      </c>
      <c r="DE1261" s="120">
        <f>(DE1260+DE1262)/2</f>
        <v>80.063000000000002</v>
      </c>
      <c r="DF1261" s="120">
        <f>(DE1261+DG1261)/2</f>
        <v>81.21674999999999</v>
      </c>
      <c r="DG1261" s="122">
        <f>(DG1260+DG1262)/2</f>
        <v>82.370499999999993</v>
      </c>
    </row>
    <row r="1262" spans="54:111" ht="15" customHeight="1" x14ac:dyDescent="0.2">
      <c r="BB1262" s="28">
        <v>46</v>
      </c>
      <c r="BC1262" s="121">
        <v>14.144</v>
      </c>
      <c r="BD1262" s="121">
        <v>15.758500000000002</v>
      </c>
      <c r="BE1262" s="121">
        <v>17.373000000000001</v>
      </c>
      <c r="BF1262" s="121">
        <v>18.866500000000002</v>
      </c>
      <c r="BG1262" s="121">
        <v>20.36</v>
      </c>
      <c r="BH1262" s="121">
        <v>21.782499999999999</v>
      </c>
      <c r="BI1262" s="121">
        <v>23.204999999999998</v>
      </c>
      <c r="BJ1262" s="121">
        <v>24.573</v>
      </c>
      <c r="BK1262" s="121">
        <v>25.940999999999999</v>
      </c>
      <c r="BL1262" s="121">
        <v>27.305999999999997</v>
      </c>
      <c r="BM1262" s="121">
        <v>28.670999999999999</v>
      </c>
      <c r="BN1262" s="121">
        <v>29.997</v>
      </c>
      <c r="BO1262" s="121">
        <v>31.323</v>
      </c>
      <c r="BP1262" s="121">
        <v>32.6235</v>
      </c>
      <c r="BQ1262" s="121">
        <v>33.923999999999999</v>
      </c>
      <c r="BR1262" s="121">
        <v>35.186499999999995</v>
      </c>
      <c r="BS1262" s="121">
        <v>36.448999999999998</v>
      </c>
      <c r="BT1262" s="121">
        <v>37.716999999999999</v>
      </c>
      <c r="BU1262" s="121">
        <v>38.984999999999999</v>
      </c>
      <c r="BV1262" s="121">
        <v>40.247</v>
      </c>
      <c r="BW1262" s="121">
        <v>41.509</v>
      </c>
      <c r="BX1262" s="121">
        <v>42.739999999999995</v>
      </c>
      <c r="BY1262" s="121">
        <v>43.970999999999997</v>
      </c>
      <c r="BZ1262" s="121">
        <v>45.206499999999998</v>
      </c>
      <c r="CA1262" s="121">
        <v>46.442</v>
      </c>
      <c r="CB1262" s="121">
        <v>47.640500000000003</v>
      </c>
      <c r="CC1262" s="121">
        <v>48.838999999999999</v>
      </c>
      <c r="CD1262" s="121">
        <v>50.021500000000003</v>
      </c>
      <c r="CE1262" s="121">
        <v>51.204000000000001</v>
      </c>
      <c r="CF1262" s="121">
        <v>52.401499999999999</v>
      </c>
      <c r="CG1262" s="121">
        <v>53.598999999999997</v>
      </c>
      <c r="CH1262" s="121">
        <v>54.829499999999996</v>
      </c>
      <c r="CI1262" s="121">
        <v>56.06</v>
      </c>
      <c r="CJ1262" s="121">
        <v>57.231999999999999</v>
      </c>
      <c r="CK1262" s="121">
        <v>58.404000000000003</v>
      </c>
      <c r="CL1262" s="121">
        <v>59.569500000000005</v>
      </c>
      <c r="CM1262" s="121">
        <v>60.734999999999999</v>
      </c>
      <c r="CN1262" s="121">
        <v>61.907499999999999</v>
      </c>
      <c r="CO1262" s="121">
        <v>63.08</v>
      </c>
      <c r="CP1262" s="121">
        <v>64.246000000000009</v>
      </c>
      <c r="CQ1262" s="121">
        <v>65.412000000000006</v>
      </c>
      <c r="CR1262" s="150">
        <f t="array" ref="CR1262:CR1276">TRANSPOSE(CS1261:DG1261)</f>
        <v>66.584000000000003</v>
      </c>
      <c r="CS1262" s="158">
        <v>67.756</v>
      </c>
      <c r="CT1262" s="121">
        <f>CU1261</f>
        <v>68.862499999999997</v>
      </c>
      <c r="CU1262" s="158">
        <v>70.087999999999994</v>
      </c>
      <c r="CV1262" s="121">
        <f>CW1261</f>
        <v>71.169499999999999</v>
      </c>
      <c r="CW1262" s="158">
        <v>72.418999999999997</v>
      </c>
      <c r="CX1262" s="121">
        <f>CY1261</f>
        <v>73.326999999999998</v>
      </c>
      <c r="CY1262" s="158">
        <v>74.591999999999999</v>
      </c>
      <c r="CZ1262" s="121">
        <f>DA1261</f>
        <v>75.605999999999995</v>
      </c>
      <c r="DA1262" s="158">
        <v>76.924000000000007</v>
      </c>
      <c r="DB1262" s="121">
        <f>DC1261</f>
        <v>77.913000000000011</v>
      </c>
      <c r="DC1262" s="158">
        <v>79.268000000000001</v>
      </c>
      <c r="DD1262" s="121">
        <f>DE1261</f>
        <v>80.063000000000002</v>
      </c>
      <c r="DE1262" s="158">
        <v>81.471000000000004</v>
      </c>
      <c r="DF1262" s="121">
        <f>DG1261</f>
        <v>82.370499999999993</v>
      </c>
      <c r="DG1262" s="159">
        <v>83.802999999999997</v>
      </c>
    </row>
    <row r="1263" spans="54:111" ht="15" customHeight="1" x14ac:dyDescent="0.2">
      <c r="BB1263" s="28">
        <v>47</v>
      </c>
      <c r="BC1263" s="121">
        <v>14.352499999999999</v>
      </c>
      <c r="BD1263" s="121">
        <v>15.997000000000002</v>
      </c>
      <c r="BE1263" s="121">
        <v>17.641500000000001</v>
      </c>
      <c r="BF1263" s="121">
        <v>19.163</v>
      </c>
      <c r="BG1263" s="121">
        <v>20.6845</v>
      </c>
      <c r="BH1263" s="121">
        <v>22.12575</v>
      </c>
      <c r="BI1263" s="121">
        <v>23.567</v>
      </c>
      <c r="BJ1263" s="121">
        <v>24.964749999999999</v>
      </c>
      <c r="BK1263" s="121">
        <v>26.362499999999997</v>
      </c>
      <c r="BL1263" s="121">
        <v>27.7395</v>
      </c>
      <c r="BM1263" s="121">
        <v>29.116500000000002</v>
      </c>
      <c r="BN1263" s="121">
        <v>30.4725</v>
      </c>
      <c r="BO1263" s="121">
        <v>31.828500000000002</v>
      </c>
      <c r="BP1263" s="121">
        <v>33.157250000000005</v>
      </c>
      <c r="BQ1263" s="121">
        <v>34.486000000000004</v>
      </c>
      <c r="BR1263" s="121">
        <v>35.766999999999996</v>
      </c>
      <c r="BS1263" s="121">
        <v>37.048000000000002</v>
      </c>
      <c r="BT1263" s="121">
        <v>38.33175</v>
      </c>
      <c r="BU1263" s="121">
        <v>39.615499999999997</v>
      </c>
      <c r="BV1263" s="121">
        <v>40.892749999999999</v>
      </c>
      <c r="BW1263" s="121">
        <v>42.17</v>
      </c>
      <c r="BX1263" s="121">
        <v>43.430499999999995</v>
      </c>
      <c r="BY1263" s="121">
        <v>44.691000000000003</v>
      </c>
      <c r="BZ1263" s="121">
        <v>45.942250000000001</v>
      </c>
      <c r="CA1263" s="121">
        <v>47.1935</v>
      </c>
      <c r="CB1263" s="121">
        <v>48.423500000000004</v>
      </c>
      <c r="CC1263" s="121">
        <v>49.653500000000001</v>
      </c>
      <c r="CD1263" s="121">
        <v>50.862250000000003</v>
      </c>
      <c r="CE1263" s="121">
        <v>52.070999999999998</v>
      </c>
      <c r="CF1263" s="121">
        <v>53.283999999999999</v>
      </c>
      <c r="CG1263" s="121">
        <v>54.497</v>
      </c>
      <c r="CH1263" s="121">
        <v>55.741</v>
      </c>
      <c r="CI1263" s="121">
        <v>56.984999999999999</v>
      </c>
      <c r="CJ1263" s="121">
        <v>58.172499999999999</v>
      </c>
      <c r="CK1263" s="121">
        <v>59.36</v>
      </c>
      <c r="CL1263" s="121">
        <v>60.573250000000002</v>
      </c>
      <c r="CM1263" s="121">
        <v>61.786500000000004</v>
      </c>
      <c r="CN1263" s="121">
        <v>62.974249999999998</v>
      </c>
      <c r="CO1263" s="121">
        <v>64.162000000000006</v>
      </c>
      <c r="CP1263" s="121">
        <v>65.343250000000012</v>
      </c>
      <c r="CQ1263" s="121">
        <v>66.4405</v>
      </c>
      <c r="CR1263" s="160">
        <v>67.723250000000007</v>
      </c>
      <c r="CS1263" s="160">
        <f t="array" ref="CS1263:CS1276">TRANSPOSE(CT1262:DG1262)</f>
        <v>68.862499999999997</v>
      </c>
      <c r="CT1263" s="120">
        <f>(CS1263+CU1263)/2</f>
        <v>70.076750000000004</v>
      </c>
      <c r="CU1263" s="120">
        <f>(CU1262+CU1264)/2</f>
        <v>71.290999999999997</v>
      </c>
      <c r="CV1263" s="120">
        <f>(CU1263+CW1263)/2</f>
        <v>72.472250000000003</v>
      </c>
      <c r="CW1263" s="120">
        <f>(CW1262+CW1264)/2</f>
        <v>73.653500000000008</v>
      </c>
      <c r="CX1263" s="120">
        <f>(CW1263+CY1263)/2</f>
        <v>74.766249999999999</v>
      </c>
      <c r="CY1263" s="120">
        <f>(CY1262+CY1264)/2</f>
        <v>75.878999999999991</v>
      </c>
      <c r="CZ1263" s="120">
        <f>(CY1263+DA1263)/2</f>
        <v>77.060249999999996</v>
      </c>
      <c r="DA1263" s="120">
        <f>(DA1262+DA1264)/2</f>
        <v>78.241500000000002</v>
      </c>
      <c r="DB1263" s="120">
        <f>(DA1263+DC1263)/2</f>
        <v>79.440250000000006</v>
      </c>
      <c r="DC1263" s="120">
        <f>(DC1262+DC1264)/2</f>
        <v>80.63900000000001</v>
      </c>
      <c r="DD1263" s="120">
        <f>(DC1263+DE1263)/2</f>
        <v>81.759000000000015</v>
      </c>
      <c r="DE1263" s="120">
        <f>(DE1262+DE1264)/2</f>
        <v>82.879000000000005</v>
      </c>
      <c r="DF1263" s="120">
        <f>(DE1263+DG1263)/2</f>
        <v>84.06049999999999</v>
      </c>
      <c r="DG1263" s="122">
        <f>(DG1262+DG1264)/2</f>
        <v>85.24199999999999</v>
      </c>
    </row>
    <row r="1264" spans="54:111" ht="15" customHeight="1" x14ac:dyDescent="0.2">
      <c r="BB1264" s="28">
        <v>48</v>
      </c>
      <c r="BC1264" s="121">
        <v>14.561</v>
      </c>
      <c r="BD1264" s="121">
        <v>16.235500000000002</v>
      </c>
      <c r="BE1264" s="121">
        <v>17.91</v>
      </c>
      <c r="BF1264" s="121">
        <v>19.459499999999998</v>
      </c>
      <c r="BG1264" s="121">
        <v>21.009</v>
      </c>
      <c r="BH1264" s="121">
        <v>22.469000000000001</v>
      </c>
      <c r="BI1264" s="121">
        <v>23.928999999999998</v>
      </c>
      <c r="BJ1264" s="121">
        <v>25.356499999999997</v>
      </c>
      <c r="BK1264" s="121">
        <v>26.783999999999999</v>
      </c>
      <c r="BL1264" s="121">
        <v>28.173000000000002</v>
      </c>
      <c r="BM1264" s="121">
        <v>29.562000000000001</v>
      </c>
      <c r="BN1264" s="121">
        <v>30.948</v>
      </c>
      <c r="BO1264" s="121">
        <v>32.334000000000003</v>
      </c>
      <c r="BP1264" s="121">
        <v>33.691000000000003</v>
      </c>
      <c r="BQ1264" s="121">
        <v>35.048000000000002</v>
      </c>
      <c r="BR1264" s="121">
        <v>36.347499999999997</v>
      </c>
      <c r="BS1264" s="121">
        <v>37.646999999999998</v>
      </c>
      <c r="BT1264" s="121">
        <v>38.9465</v>
      </c>
      <c r="BU1264" s="121">
        <v>40.246000000000002</v>
      </c>
      <c r="BV1264" s="121">
        <v>41.538499999999999</v>
      </c>
      <c r="BW1264" s="121">
        <v>42.831000000000003</v>
      </c>
      <c r="BX1264" s="121">
        <v>44.121000000000002</v>
      </c>
      <c r="BY1264" s="121">
        <v>45.411000000000001</v>
      </c>
      <c r="BZ1264" s="121">
        <v>46.677999999999997</v>
      </c>
      <c r="CA1264" s="121">
        <v>47.945</v>
      </c>
      <c r="CB1264" s="121">
        <v>49.206500000000005</v>
      </c>
      <c r="CC1264" s="121">
        <v>50.468000000000004</v>
      </c>
      <c r="CD1264" s="121">
        <v>51.703000000000003</v>
      </c>
      <c r="CE1264" s="121">
        <v>52.938000000000002</v>
      </c>
      <c r="CF1264" s="121">
        <v>54.166499999999999</v>
      </c>
      <c r="CG1264" s="121">
        <v>55.395000000000003</v>
      </c>
      <c r="CH1264" s="121">
        <v>56.652500000000003</v>
      </c>
      <c r="CI1264" s="121">
        <v>57.91</v>
      </c>
      <c r="CJ1264" s="121">
        <v>59.113</v>
      </c>
      <c r="CK1264" s="121">
        <v>60.316000000000003</v>
      </c>
      <c r="CL1264" s="121">
        <v>61.576999999999998</v>
      </c>
      <c r="CM1264" s="121">
        <v>62.838000000000001</v>
      </c>
      <c r="CN1264" s="121">
        <v>64.040999999999997</v>
      </c>
      <c r="CO1264" s="121">
        <v>65.244</v>
      </c>
      <c r="CP1264" s="121">
        <v>66.4405</v>
      </c>
      <c r="CQ1264" s="121">
        <v>67.637</v>
      </c>
      <c r="CR1264" s="160">
        <v>68.862499999999997</v>
      </c>
      <c r="CS1264" s="160">
        <v>70.087999999999994</v>
      </c>
      <c r="CT1264" s="121">
        <f t="array" ref="CT1264:CT1276">TRANSPOSE(CU1263:DG1263)</f>
        <v>71.290999999999997</v>
      </c>
      <c r="CU1264" s="158">
        <v>72.494</v>
      </c>
      <c r="CV1264" s="121">
        <f>CW1263</f>
        <v>73.653500000000008</v>
      </c>
      <c r="CW1264" s="158">
        <v>74.888000000000005</v>
      </c>
      <c r="CX1264" s="121">
        <f>CY1263</f>
        <v>75.878999999999991</v>
      </c>
      <c r="CY1264" s="158">
        <v>77.165999999999997</v>
      </c>
      <c r="CZ1264" s="121">
        <f>DA1263</f>
        <v>78.241500000000002</v>
      </c>
      <c r="DA1264" s="158">
        <v>79.558999999999997</v>
      </c>
      <c r="DB1264" s="121">
        <f>DC1263</f>
        <v>80.63900000000001</v>
      </c>
      <c r="DC1264" s="158">
        <v>82.01</v>
      </c>
      <c r="DD1264" s="121">
        <f>DE1263</f>
        <v>82.879000000000005</v>
      </c>
      <c r="DE1264" s="158">
        <v>84.287000000000006</v>
      </c>
      <c r="DF1264" s="121">
        <f>DG1263</f>
        <v>85.24199999999999</v>
      </c>
      <c r="DG1264" s="159">
        <v>86.680999999999997</v>
      </c>
    </row>
    <row r="1265" spans="54:111" ht="15" customHeight="1" x14ac:dyDescent="0.2">
      <c r="BB1265" s="28">
        <v>49</v>
      </c>
      <c r="BC1265" s="121">
        <v>14.798500000000001</v>
      </c>
      <c r="BD1265" s="121">
        <v>16.485250000000001</v>
      </c>
      <c r="BE1265" s="121">
        <v>18.172000000000001</v>
      </c>
      <c r="BF1265" s="121">
        <v>19.739999999999998</v>
      </c>
      <c r="BG1265" s="121">
        <v>21.308</v>
      </c>
      <c r="BH1265" s="121">
        <v>22.810500000000001</v>
      </c>
      <c r="BI1265" s="121">
        <v>24.312999999999999</v>
      </c>
      <c r="BJ1265" s="121">
        <v>25.756249999999998</v>
      </c>
      <c r="BK1265" s="121">
        <v>27.1995</v>
      </c>
      <c r="BL1265" s="121">
        <v>28.634250000000002</v>
      </c>
      <c r="BM1265" s="121">
        <v>30.069000000000003</v>
      </c>
      <c r="BN1265" s="121">
        <v>31.456</v>
      </c>
      <c r="BO1265" s="121">
        <v>32.843000000000004</v>
      </c>
      <c r="BP1265" s="121">
        <v>34.213499999999996</v>
      </c>
      <c r="BQ1265" s="121">
        <v>35.584000000000003</v>
      </c>
      <c r="BR1265" s="121">
        <v>36.914999999999999</v>
      </c>
      <c r="BS1265" s="121">
        <v>38.245999999999995</v>
      </c>
      <c r="BT1265" s="121">
        <v>39.571750000000002</v>
      </c>
      <c r="BU1265" s="121">
        <v>40.897500000000001</v>
      </c>
      <c r="BV1265" s="121">
        <v>42.209249999999997</v>
      </c>
      <c r="BW1265" s="121">
        <v>43.521000000000001</v>
      </c>
      <c r="BX1265" s="121">
        <v>44.838999999999999</v>
      </c>
      <c r="BY1265" s="121">
        <v>46.156999999999996</v>
      </c>
      <c r="BZ1265" s="121">
        <v>47.439499999999995</v>
      </c>
      <c r="CA1265" s="121">
        <v>48.722000000000001</v>
      </c>
      <c r="CB1265" s="121">
        <v>49.996750000000006</v>
      </c>
      <c r="CC1265" s="121">
        <v>51.271500000000003</v>
      </c>
      <c r="CD1265" s="121">
        <v>52.538250000000005</v>
      </c>
      <c r="CE1265" s="121">
        <v>53.805</v>
      </c>
      <c r="CF1265" s="121">
        <v>55.063249999999996</v>
      </c>
      <c r="CG1265" s="121">
        <v>56.3215</v>
      </c>
      <c r="CH1265" s="121">
        <v>57.596249999999998</v>
      </c>
      <c r="CI1265" s="121">
        <v>58.870999999999995</v>
      </c>
      <c r="CJ1265" s="121">
        <v>60.100499999999997</v>
      </c>
      <c r="CK1265" s="121">
        <v>61.33</v>
      </c>
      <c r="CL1265" s="121">
        <v>62.577500000000001</v>
      </c>
      <c r="CM1265" s="121">
        <v>63.825000000000003</v>
      </c>
      <c r="CN1265" s="121">
        <v>65.086500000000001</v>
      </c>
      <c r="CO1265" s="121">
        <v>66.347999999999999</v>
      </c>
      <c r="CP1265" s="121">
        <v>67.563250000000011</v>
      </c>
      <c r="CQ1265" s="121">
        <v>68.686000000000007</v>
      </c>
      <c r="CR1265" s="160">
        <v>70.015999999999991</v>
      </c>
      <c r="CS1265" s="160">
        <v>71.169499999999999</v>
      </c>
      <c r="CT1265" s="160">
        <v>72.472250000000003</v>
      </c>
      <c r="CU1265" s="160">
        <f t="array" ref="CU1265:CU1276">TRANSPOSE(CV1264:DG1264)</f>
        <v>73.653500000000008</v>
      </c>
      <c r="CV1265" s="120">
        <f>(CU1265+CW1265)/2</f>
        <v>74.898750000000007</v>
      </c>
      <c r="CW1265" s="120">
        <f>(CW1264+CW1266)/2</f>
        <v>76.144000000000005</v>
      </c>
      <c r="CX1265" s="120">
        <f>(CW1265+CY1265)/2</f>
        <v>77.298500000000004</v>
      </c>
      <c r="CY1265" s="120">
        <f>(CY1264+CY1266)/2</f>
        <v>78.453000000000003</v>
      </c>
      <c r="CZ1265" s="120">
        <f>(CY1265+DA1265)/2</f>
        <v>79.679249999999996</v>
      </c>
      <c r="DA1265" s="120">
        <f>(DA1264+DA1266)/2</f>
        <v>80.905499999999989</v>
      </c>
      <c r="DB1265" s="120">
        <f>(DA1265+DC1265)/2</f>
        <v>82.131999999999991</v>
      </c>
      <c r="DC1265" s="120">
        <f>(DC1264+DC1266)/2</f>
        <v>83.358499999999992</v>
      </c>
      <c r="DD1265" s="120">
        <f>(DC1265+DE1265)/2</f>
        <v>84.555749999999989</v>
      </c>
      <c r="DE1265" s="120">
        <f>(DE1264+DE1266)/2</f>
        <v>85.753</v>
      </c>
      <c r="DF1265" s="120">
        <f>(DE1265+DG1265)/2</f>
        <v>86.944250000000011</v>
      </c>
      <c r="DG1265" s="122">
        <f>(DG1264+DG1266)/2</f>
        <v>88.135500000000008</v>
      </c>
    </row>
    <row r="1266" spans="54:111" ht="15" customHeight="1" x14ac:dyDescent="0.2">
      <c r="BB1266" s="28">
        <v>50</v>
      </c>
      <c r="BC1266" s="121">
        <v>15.036</v>
      </c>
      <c r="BD1266" s="121">
        <v>16.734999999999999</v>
      </c>
      <c r="BE1266" s="121">
        <v>18.434000000000001</v>
      </c>
      <c r="BF1266" s="121">
        <v>20.020499999999998</v>
      </c>
      <c r="BG1266" s="121">
        <v>21.606999999999999</v>
      </c>
      <c r="BH1266" s="121">
        <v>23.152000000000001</v>
      </c>
      <c r="BI1266" s="121">
        <v>24.696999999999999</v>
      </c>
      <c r="BJ1266" s="121">
        <v>26.155999999999999</v>
      </c>
      <c r="BK1266" s="121">
        <v>27.614999999999998</v>
      </c>
      <c r="BL1266" s="121">
        <v>29.095500000000001</v>
      </c>
      <c r="BM1266" s="121">
        <v>30.576000000000001</v>
      </c>
      <c r="BN1266" s="121">
        <v>31.963999999999999</v>
      </c>
      <c r="BO1266" s="121">
        <v>33.351999999999997</v>
      </c>
      <c r="BP1266" s="121">
        <v>34.735999999999997</v>
      </c>
      <c r="BQ1266" s="121">
        <v>36.119999999999997</v>
      </c>
      <c r="BR1266" s="121">
        <v>37.482500000000002</v>
      </c>
      <c r="BS1266" s="121">
        <v>38.844999999999999</v>
      </c>
      <c r="BT1266" s="121">
        <v>40.197000000000003</v>
      </c>
      <c r="BU1266" s="121">
        <v>41.548999999999999</v>
      </c>
      <c r="BV1266" s="121">
        <v>42.879999999999995</v>
      </c>
      <c r="BW1266" s="121">
        <v>44.210999999999999</v>
      </c>
      <c r="BX1266" s="121">
        <v>45.557000000000002</v>
      </c>
      <c r="BY1266" s="121">
        <v>46.902999999999999</v>
      </c>
      <c r="BZ1266" s="121">
        <v>48.201000000000001</v>
      </c>
      <c r="CA1266" s="121">
        <v>49.499000000000002</v>
      </c>
      <c r="CB1266" s="121">
        <v>50.787000000000006</v>
      </c>
      <c r="CC1266" s="121">
        <v>52.075000000000003</v>
      </c>
      <c r="CD1266" s="121">
        <v>53.3735</v>
      </c>
      <c r="CE1266" s="121">
        <v>54.671999999999997</v>
      </c>
      <c r="CF1266" s="121">
        <v>55.959999999999994</v>
      </c>
      <c r="CG1266" s="121">
        <v>57.247999999999998</v>
      </c>
      <c r="CH1266" s="121">
        <v>58.54</v>
      </c>
      <c r="CI1266" s="121">
        <v>59.832000000000001</v>
      </c>
      <c r="CJ1266" s="121">
        <v>61.088000000000001</v>
      </c>
      <c r="CK1266" s="121">
        <v>62.344000000000001</v>
      </c>
      <c r="CL1266" s="121">
        <v>63.578000000000003</v>
      </c>
      <c r="CM1266" s="121">
        <v>64.811999999999998</v>
      </c>
      <c r="CN1266" s="121">
        <v>66.132000000000005</v>
      </c>
      <c r="CO1266" s="121">
        <v>67.451999999999998</v>
      </c>
      <c r="CP1266" s="121">
        <v>68.686000000000007</v>
      </c>
      <c r="CQ1266" s="121">
        <v>69.92</v>
      </c>
      <c r="CR1266" s="160">
        <v>71.169499999999999</v>
      </c>
      <c r="CS1266" s="160">
        <v>72.418999999999997</v>
      </c>
      <c r="CT1266" s="160">
        <v>73.653500000000008</v>
      </c>
      <c r="CU1266" s="160">
        <v>74.888000000000005</v>
      </c>
      <c r="CV1266" s="121">
        <f t="array" ref="CV1266:CV1276">TRANSPOSE(CW1265:DG1265)</f>
        <v>76.144000000000005</v>
      </c>
      <c r="CW1266" s="158">
        <v>77.400000000000006</v>
      </c>
      <c r="CX1266" s="121">
        <f>CY1265</f>
        <v>78.453000000000003</v>
      </c>
      <c r="CY1266" s="158">
        <v>79.739999999999995</v>
      </c>
      <c r="CZ1266" s="121">
        <f>DA1265</f>
        <v>80.905499999999989</v>
      </c>
      <c r="DA1266" s="158">
        <v>82.251999999999995</v>
      </c>
      <c r="DB1266" s="121">
        <f>DC1265</f>
        <v>83.358499999999992</v>
      </c>
      <c r="DC1266" s="158">
        <v>84.706999999999994</v>
      </c>
      <c r="DD1266" s="121">
        <f>DE1265</f>
        <v>85.753</v>
      </c>
      <c r="DE1266" s="158">
        <v>87.218999999999994</v>
      </c>
      <c r="DF1266" s="121">
        <f>DG1265</f>
        <v>88.135500000000008</v>
      </c>
      <c r="DG1266" s="159">
        <v>89.59</v>
      </c>
    </row>
    <row r="1267" spans="54:111" ht="15" customHeight="1" x14ac:dyDescent="0.2">
      <c r="BB1267" s="28">
        <v>51</v>
      </c>
      <c r="BC1267" s="121">
        <v>15.097999999999999</v>
      </c>
      <c r="BD1267" s="121">
        <v>16.889250000000001</v>
      </c>
      <c r="BE1267" s="121">
        <v>18.680500000000002</v>
      </c>
      <c r="BF1267" s="121">
        <v>20.3095</v>
      </c>
      <c r="BG1267" s="121">
        <v>21.938499999999998</v>
      </c>
      <c r="BH1267" s="121">
        <v>23.498750000000001</v>
      </c>
      <c r="BI1267" s="121">
        <v>25.058999999999997</v>
      </c>
      <c r="BJ1267" s="121">
        <v>26.544249999999998</v>
      </c>
      <c r="BK1267" s="121">
        <v>28.029499999999999</v>
      </c>
      <c r="BL1267" s="121">
        <v>29.525500000000001</v>
      </c>
      <c r="BM1267" s="121">
        <v>31.0215</v>
      </c>
      <c r="BN1267" s="121">
        <v>32.428249999999998</v>
      </c>
      <c r="BO1267" s="121">
        <v>33.834999999999994</v>
      </c>
      <c r="BP1267" s="121">
        <v>35.250749999999996</v>
      </c>
      <c r="BQ1267" s="121">
        <v>36.666499999999999</v>
      </c>
      <c r="BR1267" s="121">
        <v>38.055250000000001</v>
      </c>
      <c r="BS1267" s="121">
        <v>39.444000000000003</v>
      </c>
      <c r="BT1267" s="121">
        <v>40.811750000000004</v>
      </c>
      <c r="BU1267" s="121">
        <v>42.179500000000004</v>
      </c>
      <c r="BV1267" s="121">
        <v>43.536749999999998</v>
      </c>
      <c r="BW1267" s="121">
        <v>44.893999999999998</v>
      </c>
      <c r="BX1267" s="121">
        <v>46.247749999999996</v>
      </c>
      <c r="BY1267" s="121">
        <v>47.601500000000001</v>
      </c>
      <c r="BZ1267" s="121">
        <v>48.926000000000002</v>
      </c>
      <c r="CA1267" s="121">
        <v>50.250500000000002</v>
      </c>
      <c r="CB1267" s="121">
        <v>51.570000000000007</v>
      </c>
      <c r="CC1267" s="121">
        <v>52.889499999999998</v>
      </c>
      <c r="CD1267" s="121">
        <v>54.214500000000001</v>
      </c>
      <c r="CE1267" s="121">
        <v>55.539499999999997</v>
      </c>
      <c r="CF1267" s="121">
        <v>56.842999999999996</v>
      </c>
      <c r="CG1267" s="121">
        <v>58.146500000000003</v>
      </c>
      <c r="CH1267" s="121">
        <v>59.440749999999994</v>
      </c>
      <c r="CI1267" s="121">
        <v>60.734999999999999</v>
      </c>
      <c r="CJ1267" s="121">
        <v>62.038499999999999</v>
      </c>
      <c r="CK1267" s="121">
        <v>63.341999999999999</v>
      </c>
      <c r="CL1267" s="121">
        <v>64.602500000000006</v>
      </c>
      <c r="CM1267" s="121">
        <v>65.863</v>
      </c>
      <c r="CN1267" s="121">
        <v>67.382750000000001</v>
      </c>
      <c r="CO1267" s="121">
        <v>68.902500000000003</v>
      </c>
      <c r="CP1267" s="121">
        <v>69.946750000000009</v>
      </c>
      <c r="CQ1267" s="121">
        <v>71.207499999999996</v>
      </c>
      <c r="CR1267" s="160">
        <v>72.248249999999999</v>
      </c>
      <c r="CS1267" s="160">
        <v>73.326999999999998</v>
      </c>
      <c r="CT1267" s="160">
        <v>74.766249999999999</v>
      </c>
      <c r="CU1267" s="160">
        <v>75.878999999999991</v>
      </c>
      <c r="CV1267" s="160">
        <v>77.298500000000004</v>
      </c>
      <c r="CW1267" s="160">
        <f t="array" ref="CW1267:CW1276">TRANSPOSE(CX1266:DG1266)</f>
        <v>78.453000000000003</v>
      </c>
      <c r="CX1267" s="120">
        <f>(CW1267+CY1267)/2</f>
        <v>79.739999999999995</v>
      </c>
      <c r="CY1267" s="120">
        <f>(CY1266+CY1268)/2</f>
        <v>81.026999999999987</v>
      </c>
      <c r="CZ1267" s="120">
        <f>(CY1267+DA1267)/2</f>
        <v>82.29849999999999</v>
      </c>
      <c r="DA1267" s="120">
        <f>(DA1266+DA1268)/2</f>
        <v>83.57</v>
      </c>
      <c r="DB1267" s="120">
        <f>(DA1267+DC1267)/2</f>
        <v>84.816249999999997</v>
      </c>
      <c r="DC1267" s="120">
        <f>(DC1266+DC1268)/2</f>
        <v>86.0625</v>
      </c>
      <c r="DD1267" s="120">
        <f>(DC1267+DE1267)/2</f>
        <v>87.334000000000003</v>
      </c>
      <c r="DE1267" s="120">
        <f>(DE1266+DE1268)/2</f>
        <v>88.605500000000006</v>
      </c>
      <c r="DF1267" s="120">
        <f>(DE1267+DG1267)/2</f>
        <v>89.8095</v>
      </c>
      <c r="DG1267" s="122">
        <f>(DG1266+DG1268)/2</f>
        <v>91.013499999999993</v>
      </c>
    </row>
    <row r="1268" spans="54:111" ht="15" customHeight="1" x14ac:dyDescent="0.2">
      <c r="BB1268" s="28">
        <v>52</v>
      </c>
      <c r="BC1268" s="121">
        <v>15.16</v>
      </c>
      <c r="BD1268" s="121">
        <v>17.043500000000002</v>
      </c>
      <c r="BE1268" s="121">
        <v>18.927</v>
      </c>
      <c r="BF1268" s="121">
        <v>20.598500000000001</v>
      </c>
      <c r="BG1268" s="121">
        <v>22.27</v>
      </c>
      <c r="BH1268" s="121">
        <v>23.845500000000001</v>
      </c>
      <c r="BI1268" s="121">
        <v>25.420999999999999</v>
      </c>
      <c r="BJ1268" s="121">
        <v>26.932499999999997</v>
      </c>
      <c r="BK1268" s="121">
        <v>28.443999999999999</v>
      </c>
      <c r="BL1268" s="121">
        <v>29.955500000000001</v>
      </c>
      <c r="BM1268" s="121">
        <v>31.466999999999999</v>
      </c>
      <c r="BN1268" s="121">
        <v>32.892499999999998</v>
      </c>
      <c r="BO1268" s="121">
        <v>34.317999999999998</v>
      </c>
      <c r="BP1268" s="121">
        <v>35.765500000000003</v>
      </c>
      <c r="BQ1268" s="121">
        <v>37.213000000000001</v>
      </c>
      <c r="BR1268" s="121">
        <v>38.628</v>
      </c>
      <c r="BS1268" s="121">
        <v>40.042999999999999</v>
      </c>
      <c r="BT1268" s="121">
        <v>41.426500000000004</v>
      </c>
      <c r="BU1268" s="121">
        <v>42.81</v>
      </c>
      <c r="BV1268" s="121">
        <v>44.1935</v>
      </c>
      <c r="BW1268" s="121">
        <v>45.576999999999998</v>
      </c>
      <c r="BX1268" s="121">
        <v>46.938499999999998</v>
      </c>
      <c r="BY1268" s="121">
        <v>48.3</v>
      </c>
      <c r="BZ1268" s="121">
        <v>49.650999999999996</v>
      </c>
      <c r="CA1268" s="121">
        <v>51.002000000000002</v>
      </c>
      <c r="CB1268" s="121">
        <v>52.353000000000002</v>
      </c>
      <c r="CC1268" s="121">
        <v>53.704000000000001</v>
      </c>
      <c r="CD1268" s="121">
        <v>55.055499999999995</v>
      </c>
      <c r="CE1268" s="121">
        <v>56.406999999999996</v>
      </c>
      <c r="CF1268" s="121">
        <v>57.725999999999999</v>
      </c>
      <c r="CG1268" s="121">
        <v>59.045000000000002</v>
      </c>
      <c r="CH1268" s="121">
        <v>60.341499999999996</v>
      </c>
      <c r="CI1268" s="121">
        <v>61.637999999999998</v>
      </c>
      <c r="CJ1268" s="121">
        <v>62.989000000000004</v>
      </c>
      <c r="CK1268" s="121">
        <v>64.34</v>
      </c>
      <c r="CL1268" s="121">
        <v>65.62700000000001</v>
      </c>
      <c r="CM1268" s="121">
        <v>66.914000000000001</v>
      </c>
      <c r="CN1268" s="121">
        <v>68.633499999999998</v>
      </c>
      <c r="CO1268" s="121">
        <v>70.352999999999994</v>
      </c>
      <c r="CP1268" s="121">
        <v>71.207499999999996</v>
      </c>
      <c r="CQ1268" s="121">
        <v>72.061999999999998</v>
      </c>
      <c r="CR1268" s="160">
        <v>73.326999999999998</v>
      </c>
      <c r="CS1268" s="160">
        <v>74.591999999999999</v>
      </c>
      <c r="CT1268" s="160">
        <v>75.878999999999991</v>
      </c>
      <c r="CU1268" s="160">
        <v>77.165999999999997</v>
      </c>
      <c r="CV1268" s="160">
        <v>78.453000000000003</v>
      </c>
      <c r="CW1268" s="160">
        <v>79.739999999999995</v>
      </c>
      <c r="CX1268" s="121">
        <f t="array" ref="CX1268:CX1276">TRANSPOSE(CY1267:DG1267)</f>
        <v>81.026999999999987</v>
      </c>
      <c r="CY1268" s="158">
        <v>82.313999999999993</v>
      </c>
      <c r="CZ1268" s="121">
        <f>DA1267</f>
        <v>83.57</v>
      </c>
      <c r="DA1268" s="158">
        <v>84.888000000000005</v>
      </c>
      <c r="DB1268" s="121">
        <f>DC1267</f>
        <v>86.0625</v>
      </c>
      <c r="DC1268" s="158">
        <v>87.418000000000006</v>
      </c>
      <c r="DD1268" s="121">
        <f>DE1267</f>
        <v>88.605500000000006</v>
      </c>
      <c r="DE1268" s="158">
        <v>89.992000000000004</v>
      </c>
      <c r="DF1268" s="121">
        <f>DG1267</f>
        <v>91.013499999999993</v>
      </c>
      <c r="DG1268" s="159">
        <v>92.436999999999998</v>
      </c>
    </row>
    <row r="1269" spans="54:111" ht="15" customHeight="1" x14ac:dyDescent="0.2">
      <c r="BB1269" s="28">
        <v>53</v>
      </c>
      <c r="BC1269" s="121">
        <v>15.506</v>
      </c>
      <c r="BD1269" s="121">
        <v>17.366500000000002</v>
      </c>
      <c r="BE1269" s="121">
        <v>19.227</v>
      </c>
      <c r="BF1269" s="121">
        <v>20.898250000000001</v>
      </c>
      <c r="BG1269" s="121">
        <v>22.569499999999998</v>
      </c>
      <c r="BH1269" s="121">
        <v>24.1875</v>
      </c>
      <c r="BI1269" s="121">
        <v>25.805500000000002</v>
      </c>
      <c r="BJ1269" s="121">
        <v>27.3325</v>
      </c>
      <c r="BK1269" s="121">
        <v>28.859499999999997</v>
      </c>
      <c r="BL1269" s="121">
        <v>30.386499999999998</v>
      </c>
      <c r="BM1269" s="121">
        <v>31.913499999999999</v>
      </c>
      <c r="BN1269" s="121">
        <v>33.381250000000001</v>
      </c>
      <c r="BO1269" s="121">
        <v>34.849000000000004</v>
      </c>
      <c r="BP1269" s="121">
        <v>36.298999999999999</v>
      </c>
      <c r="BQ1269" s="121">
        <v>37.748999999999995</v>
      </c>
      <c r="BR1269" s="121">
        <v>39.179749999999999</v>
      </c>
      <c r="BS1269" s="121">
        <v>40.610500000000002</v>
      </c>
      <c r="BT1269" s="121">
        <v>42.025000000000006</v>
      </c>
      <c r="BU1269" s="121">
        <v>43.439500000000002</v>
      </c>
      <c r="BV1269" s="121">
        <v>44.838750000000005</v>
      </c>
      <c r="BW1269" s="121">
        <v>46.238</v>
      </c>
      <c r="BX1269" s="121">
        <v>47.625749999999996</v>
      </c>
      <c r="BY1269" s="121">
        <v>49.013499999999993</v>
      </c>
      <c r="BZ1269" s="121">
        <v>50.383499999999998</v>
      </c>
      <c r="CA1269" s="121">
        <v>51.753500000000003</v>
      </c>
      <c r="CB1269" s="121">
        <v>53.130750000000006</v>
      </c>
      <c r="CC1269" s="121">
        <v>54.507999999999996</v>
      </c>
      <c r="CD1269" s="121">
        <v>55.874749999999999</v>
      </c>
      <c r="CE1269" s="121">
        <v>57.241500000000002</v>
      </c>
      <c r="CF1269" s="121">
        <v>58.591999999999999</v>
      </c>
      <c r="CG1269" s="121">
        <v>59.942500000000003</v>
      </c>
      <c r="CH1269" s="121">
        <v>61.249499999999998</v>
      </c>
      <c r="CI1269" s="121">
        <v>62.5565</v>
      </c>
      <c r="CJ1269" s="121">
        <v>63.923250000000003</v>
      </c>
      <c r="CK1269" s="121">
        <v>65.289999999999992</v>
      </c>
      <c r="CL1269" s="121">
        <v>66.59575000000001</v>
      </c>
      <c r="CM1269" s="121">
        <v>67.901499999999999</v>
      </c>
      <c r="CN1269" s="121">
        <v>69.451999999999998</v>
      </c>
      <c r="CO1269" s="121">
        <v>71.002499999999998</v>
      </c>
      <c r="CP1269" s="121">
        <v>72.088750000000005</v>
      </c>
      <c r="CQ1269" s="121">
        <v>72.97</v>
      </c>
      <c r="CR1269" s="160">
        <v>74.466499999999996</v>
      </c>
      <c r="CS1269" s="160">
        <v>75.605999999999995</v>
      </c>
      <c r="CT1269" s="160">
        <v>77.060249999999996</v>
      </c>
      <c r="CU1269" s="160">
        <v>78.241500000000002</v>
      </c>
      <c r="CV1269" s="160">
        <v>79.679249999999996</v>
      </c>
      <c r="CW1269" s="160">
        <v>80.905499999999989</v>
      </c>
      <c r="CX1269" s="160">
        <v>82.29849999999999</v>
      </c>
      <c r="CY1269" s="160">
        <f t="array" ref="CY1269:CY1276">TRANSPOSE(CZ1268:DG1268)</f>
        <v>83.57</v>
      </c>
      <c r="CZ1269" s="120">
        <f>(CY1269+DA1269)/2</f>
        <v>84.903750000000002</v>
      </c>
      <c r="DA1269" s="120">
        <f>(DA1268+DA1270)/2</f>
        <v>86.237500000000011</v>
      </c>
      <c r="DB1269" s="120">
        <f>(DA1269+DC1269)/2</f>
        <v>87.529000000000011</v>
      </c>
      <c r="DC1269" s="120">
        <f>(DC1268+DC1270)/2</f>
        <v>88.82050000000001</v>
      </c>
      <c r="DD1269" s="120">
        <f>(DC1269+DE1269)/2</f>
        <v>90.074750000000009</v>
      </c>
      <c r="DE1269" s="120">
        <f>(DE1268+DE1270)/2</f>
        <v>91.329000000000008</v>
      </c>
      <c r="DF1269" s="120">
        <f>(DE1269+DG1269)/2</f>
        <v>92.602500000000006</v>
      </c>
      <c r="DG1269" s="122">
        <f>(DG1268+DG1270)/2</f>
        <v>93.876000000000005</v>
      </c>
    </row>
    <row r="1270" spans="54:111" ht="15" customHeight="1" x14ac:dyDescent="0.2">
      <c r="BB1270" s="28">
        <v>54</v>
      </c>
      <c r="BC1270" s="121">
        <v>15.852</v>
      </c>
      <c r="BD1270" s="121">
        <v>17.689500000000002</v>
      </c>
      <c r="BE1270" s="121">
        <v>19.527000000000001</v>
      </c>
      <c r="BF1270" s="121">
        <v>21.198</v>
      </c>
      <c r="BG1270" s="121">
        <v>22.869</v>
      </c>
      <c r="BH1270" s="121">
        <v>24.529499999999999</v>
      </c>
      <c r="BI1270" s="121">
        <v>26.19</v>
      </c>
      <c r="BJ1270" s="121">
        <v>27.732500000000002</v>
      </c>
      <c r="BK1270" s="121">
        <v>29.274999999999999</v>
      </c>
      <c r="BL1270" s="121">
        <v>30.817499999999999</v>
      </c>
      <c r="BM1270" s="121">
        <v>32.36</v>
      </c>
      <c r="BN1270" s="121">
        <v>33.870000000000005</v>
      </c>
      <c r="BO1270" s="121">
        <v>35.380000000000003</v>
      </c>
      <c r="BP1270" s="121">
        <v>36.832499999999996</v>
      </c>
      <c r="BQ1270" s="121">
        <v>38.284999999999997</v>
      </c>
      <c r="BR1270" s="121">
        <v>39.731499999999997</v>
      </c>
      <c r="BS1270" s="121">
        <v>41.177999999999997</v>
      </c>
      <c r="BT1270" s="121">
        <v>42.6235</v>
      </c>
      <c r="BU1270" s="121">
        <v>44.069000000000003</v>
      </c>
      <c r="BV1270" s="121">
        <v>45.484000000000002</v>
      </c>
      <c r="BW1270" s="121">
        <v>46.899000000000001</v>
      </c>
      <c r="BX1270" s="121">
        <v>48.313000000000002</v>
      </c>
      <c r="BY1270" s="121">
        <v>49.726999999999997</v>
      </c>
      <c r="BZ1270" s="121">
        <v>51.116</v>
      </c>
      <c r="CA1270" s="121">
        <v>52.505000000000003</v>
      </c>
      <c r="CB1270" s="121">
        <v>53.908500000000004</v>
      </c>
      <c r="CC1270" s="121">
        <v>55.311999999999998</v>
      </c>
      <c r="CD1270" s="121">
        <v>56.694000000000003</v>
      </c>
      <c r="CE1270" s="121">
        <v>58.076000000000001</v>
      </c>
      <c r="CF1270" s="121">
        <v>59.457999999999998</v>
      </c>
      <c r="CG1270" s="121">
        <v>60.84</v>
      </c>
      <c r="CH1270" s="121">
        <v>62.157499999999999</v>
      </c>
      <c r="CI1270" s="121">
        <v>63.475000000000001</v>
      </c>
      <c r="CJ1270" s="121">
        <v>64.857500000000002</v>
      </c>
      <c r="CK1270" s="121">
        <v>66.239999999999995</v>
      </c>
      <c r="CL1270" s="121">
        <v>67.564499999999995</v>
      </c>
      <c r="CM1270" s="121">
        <v>68.888999999999996</v>
      </c>
      <c r="CN1270" s="121">
        <v>70.270499999999998</v>
      </c>
      <c r="CO1270" s="121">
        <v>71.652000000000001</v>
      </c>
      <c r="CP1270" s="121">
        <v>72.97</v>
      </c>
      <c r="CQ1270" s="121">
        <v>74.287999999999997</v>
      </c>
      <c r="CR1270" s="160">
        <v>75.605999999999995</v>
      </c>
      <c r="CS1270" s="160">
        <v>76.924000000000007</v>
      </c>
      <c r="CT1270" s="160">
        <v>78.241500000000002</v>
      </c>
      <c r="CU1270" s="160">
        <v>79.558999999999997</v>
      </c>
      <c r="CV1270" s="160">
        <v>80.905499999999989</v>
      </c>
      <c r="CW1270" s="160">
        <v>82.251999999999995</v>
      </c>
      <c r="CX1270" s="160">
        <v>83.57</v>
      </c>
      <c r="CY1270" s="160">
        <v>84.888000000000005</v>
      </c>
      <c r="CZ1270" s="121">
        <f t="array" ref="CZ1270:CZ1276">TRANSPOSE(DA1269:DG1269)</f>
        <v>86.237500000000011</v>
      </c>
      <c r="DA1270" s="158">
        <v>87.587000000000003</v>
      </c>
      <c r="DB1270" s="121">
        <f>DC1269</f>
        <v>88.82050000000001</v>
      </c>
      <c r="DC1270" s="158">
        <v>90.222999999999999</v>
      </c>
      <c r="DD1270" s="121">
        <f>DE1269</f>
        <v>91.329000000000008</v>
      </c>
      <c r="DE1270" s="158">
        <v>92.665999999999997</v>
      </c>
      <c r="DF1270" s="121">
        <f>DG1269</f>
        <v>93.876000000000005</v>
      </c>
      <c r="DG1270" s="159">
        <v>95.314999999999998</v>
      </c>
    </row>
    <row r="1271" spans="54:111" ht="15" customHeight="1" x14ac:dyDescent="0.2">
      <c r="BB1271" s="28">
        <v>55</v>
      </c>
      <c r="BC1271" s="121">
        <v>16.089500000000001</v>
      </c>
      <c r="BD1271" s="121">
        <v>17.939250000000001</v>
      </c>
      <c r="BE1271" s="121">
        <v>19.789000000000001</v>
      </c>
      <c r="BF1271" s="121">
        <v>21.505749999999999</v>
      </c>
      <c r="BG1271" s="121">
        <v>23.2225</v>
      </c>
      <c r="BH1271" s="121">
        <v>24.87125</v>
      </c>
      <c r="BI1271" s="121">
        <v>26.520000000000003</v>
      </c>
      <c r="BJ1271" s="121">
        <v>28.094000000000001</v>
      </c>
      <c r="BK1271" s="121">
        <v>29.667999999999999</v>
      </c>
      <c r="BL1271" s="121">
        <v>31.240000000000002</v>
      </c>
      <c r="BM1271" s="121">
        <v>32.811999999999998</v>
      </c>
      <c r="BN1271" s="121">
        <v>34.33775</v>
      </c>
      <c r="BO1271" s="121">
        <v>35.863500000000002</v>
      </c>
      <c r="BP1271" s="121">
        <v>37.355249999999998</v>
      </c>
      <c r="BQ1271" s="121">
        <v>38.846999999999994</v>
      </c>
      <c r="BR1271" s="121">
        <v>40.312249999999999</v>
      </c>
      <c r="BS1271" s="121">
        <v>41.777500000000003</v>
      </c>
      <c r="BT1271" s="121">
        <v>43.238749999999996</v>
      </c>
      <c r="BU1271" s="121">
        <v>44.7</v>
      </c>
      <c r="BV1271" s="121">
        <v>46.144000000000005</v>
      </c>
      <c r="BW1271" s="121">
        <v>47.588000000000001</v>
      </c>
      <c r="BX1271" s="121">
        <v>49.017749999999999</v>
      </c>
      <c r="BY1271" s="121">
        <v>50.447499999999998</v>
      </c>
      <c r="BZ1271" s="121">
        <v>51.875250000000001</v>
      </c>
      <c r="CA1271" s="121">
        <v>53.302999999999997</v>
      </c>
      <c r="CB1271" s="121">
        <v>54.714750000000002</v>
      </c>
      <c r="CC1271" s="121">
        <v>56.1265</v>
      </c>
      <c r="CD1271" s="121">
        <v>57.52375</v>
      </c>
      <c r="CE1271" s="121">
        <v>58.920999999999999</v>
      </c>
      <c r="CF1271" s="121">
        <v>60.313499999999998</v>
      </c>
      <c r="CG1271" s="121">
        <v>61.706000000000003</v>
      </c>
      <c r="CH1271" s="121">
        <v>63.074249999999999</v>
      </c>
      <c r="CI1271" s="121">
        <v>64.442499999999995</v>
      </c>
      <c r="CJ1271" s="121">
        <v>65.819250000000011</v>
      </c>
      <c r="CK1271" s="121">
        <v>67.195999999999998</v>
      </c>
      <c r="CL1271" s="121">
        <v>68.567999999999998</v>
      </c>
      <c r="CM1271" s="121">
        <v>69.94</v>
      </c>
      <c r="CN1271" s="121">
        <v>71.304749999999999</v>
      </c>
      <c r="CO1271" s="121">
        <v>72.669499999999999</v>
      </c>
      <c r="CP1271" s="121">
        <v>74.046250000000001</v>
      </c>
      <c r="CQ1271" s="121">
        <v>75.122500000000002</v>
      </c>
      <c r="CR1271" s="160">
        <v>76.759500000000003</v>
      </c>
      <c r="CS1271" s="160">
        <v>77.913000000000011</v>
      </c>
      <c r="CT1271" s="160">
        <v>79.440250000000006</v>
      </c>
      <c r="CU1271" s="160">
        <v>80.63900000000001</v>
      </c>
      <c r="CV1271" s="160">
        <v>82.131999999999991</v>
      </c>
      <c r="CW1271" s="160">
        <v>83.358499999999992</v>
      </c>
      <c r="CX1271" s="160">
        <v>84.816249999999997</v>
      </c>
      <c r="CY1271" s="160">
        <v>86.0625</v>
      </c>
      <c r="CZ1271" s="160">
        <v>87.529000000000011</v>
      </c>
      <c r="DA1271" s="160">
        <f t="array" ref="DA1271:DA1276">TRANSPOSE(DB1270:DG1270)</f>
        <v>88.82050000000001</v>
      </c>
      <c r="DB1271" s="120">
        <f>(DA1271+DC1271)/2</f>
        <v>90.151250000000005</v>
      </c>
      <c r="DC1271" s="120">
        <f>(DC1270+DC1272)/2</f>
        <v>91.481999999999999</v>
      </c>
      <c r="DD1271" s="120">
        <f>(DC1271+DE1271)/2</f>
        <v>92.777999999999992</v>
      </c>
      <c r="DE1271" s="120">
        <f>(DE1270+DE1272)/2</f>
        <v>94.073999999999998</v>
      </c>
      <c r="DF1271" s="120">
        <f>(DE1271+DG1271)/2</f>
        <v>95.410750000000007</v>
      </c>
      <c r="DG1271" s="122">
        <f>(DG1270+DG1272)/2</f>
        <v>96.747500000000002</v>
      </c>
    </row>
    <row r="1272" spans="54:111" ht="15" customHeight="1" x14ac:dyDescent="0.2">
      <c r="BB1272" s="28">
        <v>56</v>
      </c>
      <c r="BC1272" s="121">
        <v>16.327000000000002</v>
      </c>
      <c r="BD1272" s="121">
        <v>18.189</v>
      </c>
      <c r="BE1272" s="121">
        <v>20.050999999999998</v>
      </c>
      <c r="BF1272" s="121">
        <v>21.813499999999998</v>
      </c>
      <c r="BG1272" s="121">
        <v>23.576000000000001</v>
      </c>
      <c r="BH1272" s="121">
        <v>25.213000000000001</v>
      </c>
      <c r="BI1272" s="121">
        <v>26.85</v>
      </c>
      <c r="BJ1272" s="121">
        <v>28.455500000000001</v>
      </c>
      <c r="BK1272" s="121">
        <v>30.061</v>
      </c>
      <c r="BL1272" s="121">
        <v>31.662500000000001</v>
      </c>
      <c r="BM1272" s="121">
        <v>33.264000000000003</v>
      </c>
      <c r="BN1272" s="121">
        <v>34.805500000000002</v>
      </c>
      <c r="BO1272" s="121">
        <v>36.347000000000001</v>
      </c>
      <c r="BP1272" s="121">
        <v>37.878</v>
      </c>
      <c r="BQ1272" s="121">
        <v>39.408999999999999</v>
      </c>
      <c r="BR1272" s="121">
        <v>40.893000000000001</v>
      </c>
      <c r="BS1272" s="121">
        <v>42.377000000000002</v>
      </c>
      <c r="BT1272" s="121">
        <v>43.853999999999999</v>
      </c>
      <c r="BU1272" s="121">
        <v>45.331000000000003</v>
      </c>
      <c r="BV1272" s="121">
        <v>46.804000000000002</v>
      </c>
      <c r="BW1272" s="121">
        <v>48.277000000000001</v>
      </c>
      <c r="BX1272" s="121">
        <v>49.722499999999997</v>
      </c>
      <c r="BY1272" s="121">
        <v>51.167999999999999</v>
      </c>
      <c r="BZ1272" s="121">
        <v>52.634500000000003</v>
      </c>
      <c r="CA1272" s="121">
        <v>54.100999999999999</v>
      </c>
      <c r="CB1272" s="121">
        <v>55.521000000000001</v>
      </c>
      <c r="CC1272" s="121">
        <v>56.941000000000003</v>
      </c>
      <c r="CD1272" s="121">
        <v>58.353499999999997</v>
      </c>
      <c r="CE1272" s="121">
        <v>59.765999999999998</v>
      </c>
      <c r="CF1272" s="121">
        <v>61.168999999999997</v>
      </c>
      <c r="CG1272" s="121">
        <v>62.572000000000003</v>
      </c>
      <c r="CH1272" s="121">
        <v>63.991</v>
      </c>
      <c r="CI1272" s="121">
        <v>65.41</v>
      </c>
      <c r="CJ1272" s="121">
        <v>66.781000000000006</v>
      </c>
      <c r="CK1272" s="121">
        <v>68.152000000000001</v>
      </c>
      <c r="CL1272" s="121">
        <v>69.5715</v>
      </c>
      <c r="CM1272" s="121">
        <v>70.991</v>
      </c>
      <c r="CN1272" s="121">
        <v>72.338999999999999</v>
      </c>
      <c r="CO1272" s="121">
        <v>73.686999999999998</v>
      </c>
      <c r="CP1272" s="121">
        <v>75.122500000000002</v>
      </c>
      <c r="CQ1272" s="121">
        <v>76.558000000000007</v>
      </c>
      <c r="CR1272" s="160">
        <v>77.913000000000011</v>
      </c>
      <c r="CS1272" s="160">
        <v>79.268000000000001</v>
      </c>
      <c r="CT1272" s="160">
        <v>80.63900000000001</v>
      </c>
      <c r="CU1272" s="160">
        <v>82.01</v>
      </c>
      <c r="CV1272" s="160">
        <v>83.358499999999992</v>
      </c>
      <c r="CW1272" s="160">
        <v>84.706999999999994</v>
      </c>
      <c r="CX1272" s="160">
        <v>86.0625</v>
      </c>
      <c r="CY1272" s="160">
        <v>87.418000000000006</v>
      </c>
      <c r="CZ1272" s="160">
        <v>88.82050000000001</v>
      </c>
      <c r="DA1272" s="160">
        <v>90.222999999999999</v>
      </c>
      <c r="DB1272" s="121">
        <f t="array" ref="DB1272:DB1276">TRANSPOSE(DC1271:DG1271)</f>
        <v>91.481999999999999</v>
      </c>
      <c r="DC1272" s="158">
        <v>92.741</v>
      </c>
      <c r="DD1272" s="121">
        <f>DE1271</f>
        <v>94.073999999999998</v>
      </c>
      <c r="DE1272" s="158">
        <v>95.481999999999999</v>
      </c>
      <c r="DF1272" s="121">
        <f>DG1271</f>
        <v>96.747500000000002</v>
      </c>
      <c r="DG1272" s="159">
        <v>98.18</v>
      </c>
    </row>
    <row r="1273" spans="54:111" ht="15" customHeight="1" x14ac:dyDescent="0.2">
      <c r="BB1273" s="28">
        <v>57</v>
      </c>
      <c r="BC1273" s="121">
        <v>16.5365</v>
      </c>
      <c r="BD1273" s="121">
        <v>18.428000000000001</v>
      </c>
      <c r="BE1273" s="121">
        <v>20.319499999999998</v>
      </c>
      <c r="BF1273" s="121">
        <v>22.094000000000001</v>
      </c>
      <c r="BG1273" s="121">
        <v>23.868500000000001</v>
      </c>
      <c r="BH1273" s="121">
        <v>25.55125</v>
      </c>
      <c r="BI1273" s="121">
        <v>27.234000000000002</v>
      </c>
      <c r="BJ1273" s="121">
        <v>28.855</v>
      </c>
      <c r="BK1273" s="121">
        <v>30.475999999999999</v>
      </c>
      <c r="BL1273" s="121">
        <v>32.093249999999998</v>
      </c>
      <c r="BM1273" s="121">
        <v>33.710499999999996</v>
      </c>
      <c r="BN1273" s="121">
        <v>35.281499999999994</v>
      </c>
      <c r="BO1273" s="121">
        <v>36.852499999999999</v>
      </c>
      <c r="BP1273" s="121">
        <v>38.387749999999997</v>
      </c>
      <c r="BQ1273" s="121">
        <v>39.923000000000002</v>
      </c>
      <c r="BR1273" s="121">
        <v>41.449249999999999</v>
      </c>
      <c r="BS1273" s="121">
        <v>42.975499999999997</v>
      </c>
      <c r="BT1273" s="121">
        <v>44.479500000000002</v>
      </c>
      <c r="BU1273" s="121">
        <v>45.983500000000006</v>
      </c>
      <c r="BV1273" s="121">
        <v>47.460999999999999</v>
      </c>
      <c r="BW1273" s="121">
        <v>48.938500000000005</v>
      </c>
      <c r="BX1273" s="121">
        <v>50.410249999999998</v>
      </c>
      <c r="BY1273" s="121">
        <v>51.881999999999998</v>
      </c>
      <c r="BZ1273" s="121">
        <v>53.367249999999999</v>
      </c>
      <c r="CA1273" s="121">
        <v>54.852499999999999</v>
      </c>
      <c r="CB1273" s="121">
        <v>56.298500000000004</v>
      </c>
      <c r="CC1273" s="121">
        <v>57.744500000000002</v>
      </c>
      <c r="CD1273" s="121">
        <v>59.173000000000002</v>
      </c>
      <c r="CE1273" s="121">
        <v>60.601500000000001</v>
      </c>
      <c r="CF1273" s="121">
        <v>62.039000000000001</v>
      </c>
      <c r="CG1273" s="121">
        <v>63.476500000000001</v>
      </c>
      <c r="CH1273" s="121">
        <v>64.902749999999997</v>
      </c>
      <c r="CI1273" s="121">
        <v>66.329000000000008</v>
      </c>
      <c r="CJ1273" s="121">
        <v>67.739500000000007</v>
      </c>
      <c r="CK1273" s="121">
        <v>69.150000000000006</v>
      </c>
      <c r="CL1273" s="121">
        <v>70.56049999999999</v>
      </c>
      <c r="CM1273" s="121">
        <v>71.971000000000004</v>
      </c>
      <c r="CN1273" s="121">
        <v>73.381249999999994</v>
      </c>
      <c r="CO1273" s="121">
        <v>74.791499999999999</v>
      </c>
      <c r="CP1273" s="121">
        <v>76.198999999999998</v>
      </c>
      <c r="CQ1273" s="121">
        <v>77.275499999999994</v>
      </c>
      <c r="CR1273" s="160">
        <v>78.988</v>
      </c>
      <c r="CS1273" s="160">
        <v>80.063000000000002</v>
      </c>
      <c r="CT1273" s="160">
        <v>81.759000000000015</v>
      </c>
      <c r="CU1273" s="160">
        <v>82.879000000000005</v>
      </c>
      <c r="CV1273" s="160">
        <v>84.555749999999989</v>
      </c>
      <c r="CW1273" s="160">
        <v>85.753</v>
      </c>
      <c r="CX1273" s="160">
        <v>87.334000000000003</v>
      </c>
      <c r="CY1273" s="160">
        <v>88.605500000000006</v>
      </c>
      <c r="CZ1273" s="160">
        <v>90.074750000000009</v>
      </c>
      <c r="DA1273" s="160">
        <v>91.329000000000008</v>
      </c>
      <c r="DB1273" s="160">
        <v>92.777999999999992</v>
      </c>
      <c r="DC1273" s="160">
        <f t="array" ref="DC1273:DC1276">TRANSPOSE(DD1272:DG1272)</f>
        <v>94.073999999999998</v>
      </c>
      <c r="DD1273" s="120">
        <f>(DC1273+DE1273)/2</f>
        <v>95.467749999999995</v>
      </c>
      <c r="DE1273" s="120">
        <f>(DE1272+DE1274)/2</f>
        <v>96.861500000000007</v>
      </c>
      <c r="DF1273" s="120">
        <f>(DE1273+DG1273)/2</f>
        <v>98.240000000000009</v>
      </c>
      <c r="DG1273" s="122">
        <f>(DG1272+DG1274)/2</f>
        <v>99.618500000000012</v>
      </c>
    </row>
    <row r="1274" spans="54:111" ht="15" customHeight="1" x14ac:dyDescent="0.2">
      <c r="BB1274" s="28">
        <v>58</v>
      </c>
      <c r="BC1274" s="121">
        <v>16.745999999999999</v>
      </c>
      <c r="BD1274" s="121">
        <v>18.667000000000002</v>
      </c>
      <c r="BE1274" s="121">
        <v>20.588000000000001</v>
      </c>
      <c r="BF1274" s="121">
        <v>22.374500000000001</v>
      </c>
      <c r="BG1274" s="121">
        <v>24.161000000000001</v>
      </c>
      <c r="BH1274" s="121">
        <v>25.889499999999998</v>
      </c>
      <c r="BI1274" s="121">
        <v>27.617999999999999</v>
      </c>
      <c r="BJ1274" s="121">
        <v>29.2545</v>
      </c>
      <c r="BK1274" s="121">
        <v>30.890999999999998</v>
      </c>
      <c r="BL1274" s="121">
        <v>32.524000000000001</v>
      </c>
      <c r="BM1274" s="121">
        <v>34.156999999999996</v>
      </c>
      <c r="BN1274" s="121">
        <v>35.757499999999993</v>
      </c>
      <c r="BO1274" s="121">
        <v>37.357999999999997</v>
      </c>
      <c r="BP1274" s="121">
        <v>38.897499999999994</v>
      </c>
      <c r="BQ1274" s="121">
        <v>40.436999999999998</v>
      </c>
      <c r="BR1274" s="121">
        <v>42.005499999999998</v>
      </c>
      <c r="BS1274" s="121">
        <v>43.573999999999998</v>
      </c>
      <c r="BT1274" s="121">
        <v>45.105000000000004</v>
      </c>
      <c r="BU1274" s="121">
        <v>46.636000000000003</v>
      </c>
      <c r="BV1274" s="121">
        <v>48.118000000000002</v>
      </c>
      <c r="BW1274" s="121">
        <v>49.6</v>
      </c>
      <c r="BX1274" s="121">
        <v>51.097999999999999</v>
      </c>
      <c r="BY1274" s="121">
        <v>52.595999999999997</v>
      </c>
      <c r="BZ1274" s="121">
        <v>54.099999999999994</v>
      </c>
      <c r="CA1274" s="121">
        <v>55.603999999999999</v>
      </c>
      <c r="CB1274" s="121">
        <v>57.076000000000001</v>
      </c>
      <c r="CC1274" s="121">
        <v>58.548000000000002</v>
      </c>
      <c r="CD1274" s="121">
        <v>59.9925</v>
      </c>
      <c r="CE1274" s="121">
        <v>61.436999999999998</v>
      </c>
      <c r="CF1274" s="121">
        <v>62.908999999999999</v>
      </c>
      <c r="CG1274" s="121">
        <v>64.381</v>
      </c>
      <c r="CH1274" s="121">
        <v>65.81450000000001</v>
      </c>
      <c r="CI1274" s="121">
        <v>67.248000000000005</v>
      </c>
      <c r="CJ1274" s="121">
        <v>68.698000000000008</v>
      </c>
      <c r="CK1274" s="121">
        <v>70.147999999999996</v>
      </c>
      <c r="CL1274" s="121">
        <v>71.549499999999995</v>
      </c>
      <c r="CM1274" s="121">
        <v>72.950999999999993</v>
      </c>
      <c r="CN1274" s="121">
        <v>74.42349999999999</v>
      </c>
      <c r="CO1274" s="121">
        <v>75.896000000000001</v>
      </c>
      <c r="CP1274" s="121">
        <v>77.275499999999994</v>
      </c>
      <c r="CQ1274" s="121">
        <v>78.655000000000001</v>
      </c>
      <c r="CR1274" s="160">
        <v>80.063000000000002</v>
      </c>
      <c r="CS1274" s="160">
        <v>81.471000000000004</v>
      </c>
      <c r="CT1274" s="160">
        <v>82.879000000000005</v>
      </c>
      <c r="CU1274" s="160">
        <v>84.287000000000006</v>
      </c>
      <c r="CV1274" s="160">
        <v>85.753</v>
      </c>
      <c r="CW1274" s="160">
        <v>87.218999999999994</v>
      </c>
      <c r="CX1274" s="160">
        <v>88.605500000000006</v>
      </c>
      <c r="CY1274" s="160">
        <v>89.992000000000004</v>
      </c>
      <c r="CZ1274" s="160">
        <v>91.329000000000008</v>
      </c>
      <c r="DA1274" s="160">
        <v>92.665999999999997</v>
      </c>
      <c r="DB1274" s="160">
        <v>94.073999999999998</v>
      </c>
      <c r="DC1274" s="160">
        <v>95.481999999999999</v>
      </c>
      <c r="DD1274" s="121">
        <f t="array" ref="DD1274:DD1276">TRANSPOSE(DE1273:DG1273)</f>
        <v>96.861500000000007</v>
      </c>
      <c r="DE1274" s="158">
        <v>98.241</v>
      </c>
      <c r="DF1274" s="121">
        <f>DG1273</f>
        <v>99.618500000000012</v>
      </c>
      <c r="DG1274" s="159">
        <v>101.057</v>
      </c>
    </row>
    <row r="1275" spans="54:111" ht="15" customHeight="1" x14ac:dyDescent="0.2">
      <c r="BB1275" s="28">
        <v>59</v>
      </c>
      <c r="BC1275" s="121">
        <v>16.951000000000001</v>
      </c>
      <c r="BD1275" s="121">
        <v>18.90025</v>
      </c>
      <c r="BE1275" s="121">
        <v>20.849499999999999</v>
      </c>
      <c r="BF1275" s="121">
        <v>22.65475</v>
      </c>
      <c r="BG1275" s="121">
        <v>24.46</v>
      </c>
      <c r="BH1275" s="121">
        <v>26.204249999999998</v>
      </c>
      <c r="BI1275" s="121">
        <v>27.948499999999999</v>
      </c>
      <c r="BJ1275" s="121">
        <v>29.630500000000001</v>
      </c>
      <c r="BK1275" s="121">
        <v>31.3125</v>
      </c>
      <c r="BL1275" s="121">
        <v>32.957500000000003</v>
      </c>
      <c r="BM1275" s="121">
        <v>34.602499999999999</v>
      </c>
      <c r="BN1275" s="121">
        <v>36.218499999999999</v>
      </c>
      <c r="BO1275" s="121">
        <v>37.834499999999998</v>
      </c>
      <c r="BP1275" s="121">
        <v>39.403999999999996</v>
      </c>
      <c r="BQ1275" s="121">
        <v>40.973500000000001</v>
      </c>
      <c r="BR1275" s="121">
        <v>42.557499999999997</v>
      </c>
      <c r="BS1275" s="121">
        <v>44.141500000000001</v>
      </c>
      <c r="BT1275" s="121">
        <v>45.6875</v>
      </c>
      <c r="BU1275" s="121">
        <v>47.233500000000006</v>
      </c>
      <c r="BV1275" s="121">
        <v>48.758250000000004</v>
      </c>
      <c r="BW1275" s="121">
        <v>50.283000000000001</v>
      </c>
      <c r="BX1275" s="121">
        <v>51.799500000000002</v>
      </c>
      <c r="BY1275" s="121">
        <v>53.316000000000003</v>
      </c>
      <c r="BZ1275" s="121">
        <v>54.835749999999997</v>
      </c>
      <c r="CA1275" s="121">
        <v>56.355499999999999</v>
      </c>
      <c r="CB1275" s="121">
        <v>57.839749999999995</v>
      </c>
      <c r="CC1275" s="121">
        <v>59.323999999999998</v>
      </c>
      <c r="CD1275" s="121">
        <v>60.797750000000001</v>
      </c>
      <c r="CE1275" s="121">
        <v>62.271500000000003</v>
      </c>
      <c r="CF1275" s="121">
        <v>63.759</v>
      </c>
      <c r="CG1275" s="121">
        <v>65.246499999999997</v>
      </c>
      <c r="CH1275" s="121">
        <v>66.699000000000012</v>
      </c>
      <c r="CI1275" s="121">
        <v>68.151499999999999</v>
      </c>
      <c r="CJ1275" s="121">
        <v>69.624750000000006</v>
      </c>
      <c r="CK1275" s="121">
        <v>71.097999999999999</v>
      </c>
      <c r="CL1275" s="121">
        <v>72.550250000000005</v>
      </c>
      <c r="CM1275" s="121">
        <v>74.002499999999998</v>
      </c>
      <c r="CN1275" s="121">
        <v>75.458249999999992</v>
      </c>
      <c r="CO1275" s="121">
        <v>76.914000000000001</v>
      </c>
      <c r="CP1275" s="121">
        <v>78.355249999999998</v>
      </c>
      <c r="CQ1275" s="121">
        <v>79.435000000000002</v>
      </c>
      <c r="CR1275" s="160">
        <v>81.21674999999999</v>
      </c>
      <c r="CS1275" s="160">
        <v>82.370499999999993</v>
      </c>
      <c r="CT1275" s="160">
        <v>84.06049999999999</v>
      </c>
      <c r="CU1275" s="160">
        <v>85.24199999999999</v>
      </c>
      <c r="CV1275" s="160">
        <v>86.944250000000011</v>
      </c>
      <c r="CW1275" s="160">
        <v>88.135500000000008</v>
      </c>
      <c r="CX1275" s="160">
        <v>89.8095</v>
      </c>
      <c r="CY1275" s="160">
        <v>91.013499999999993</v>
      </c>
      <c r="CZ1275" s="160">
        <v>92.602500000000006</v>
      </c>
      <c r="DA1275" s="160">
        <v>93.876000000000005</v>
      </c>
      <c r="DB1275" s="160">
        <v>95.410750000000007</v>
      </c>
      <c r="DC1275" s="160">
        <v>96.747500000000002</v>
      </c>
      <c r="DD1275" s="160">
        <v>98.240000000000009</v>
      </c>
      <c r="DE1275" s="160">
        <f t="array" ref="DE1275:DE1276">TRANSPOSE(DF1274:DG1274)</f>
        <v>99.618500000000012</v>
      </c>
      <c r="DF1275" s="120">
        <f>(DE1275+DG1275)/2</f>
        <v>101.05725000000001</v>
      </c>
      <c r="DG1275" s="122">
        <f>(DG1274+DG1276)/2</f>
        <v>102.49600000000001</v>
      </c>
    </row>
    <row r="1276" spans="54:111" ht="15" customHeight="1" thickBot="1" x14ac:dyDescent="0.25">
      <c r="BB1276" s="149">
        <v>60</v>
      </c>
      <c r="BC1276" s="123">
        <v>17.155999999999999</v>
      </c>
      <c r="BD1276" s="123">
        <v>19.133499999999998</v>
      </c>
      <c r="BE1276" s="123">
        <v>21.111000000000001</v>
      </c>
      <c r="BF1276" s="123">
        <v>22.935000000000002</v>
      </c>
      <c r="BG1276" s="123">
        <v>24.759</v>
      </c>
      <c r="BH1276" s="123">
        <v>26.518999999999998</v>
      </c>
      <c r="BI1276" s="123">
        <v>28.279</v>
      </c>
      <c r="BJ1276" s="123">
        <v>30.006500000000003</v>
      </c>
      <c r="BK1276" s="123">
        <v>31.734000000000002</v>
      </c>
      <c r="BL1276" s="123">
        <v>33.391000000000005</v>
      </c>
      <c r="BM1276" s="123">
        <v>35.048000000000002</v>
      </c>
      <c r="BN1276" s="123">
        <v>36.679500000000004</v>
      </c>
      <c r="BO1276" s="123">
        <v>38.311</v>
      </c>
      <c r="BP1276" s="123">
        <v>39.910499999999999</v>
      </c>
      <c r="BQ1276" s="123">
        <v>41.51</v>
      </c>
      <c r="BR1276" s="123">
        <v>43.109499999999997</v>
      </c>
      <c r="BS1276" s="123">
        <v>44.709000000000003</v>
      </c>
      <c r="BT1276" s="123">
        <v>46.27</v>
      </c>
      <c r="BU1276" s="123">
        <v>47.831000000000003</v>
      </c>
      <c r="BV1276" s="123">
        <v>49.398499999999999</v>
      </c>
      <c r="BW1276" s="123">
        <v>50.966000000000001</v>
      </c>
      <c r="BX1276" s="123">
        <v>52.501000000000005</v>
      </c>
      <c r="BY1276" s="123">
        <v>54.036000000000001</v>
      </c>
      <c r="BZ1276" s="123">
        <v>55.5715</v>
      </c>
      <c r="CA1276" s="123">
        <v>57.106999999999999</v>
      </c>
      <c r="CB1276" s="123">
        <v>58.603499999999997</v>
      </c>
      <c r="CC1276" s="123">
        <v>60.1</v>
      </c>
      <c r="CD1276" s="123">
        <v>61.603000000000002</v>
      </c>
      <c r="CE1276" s="123">
        <v>63.106000000000002</v>
      </c>
      <c r="CF1276" s="123">
        <v>64.608999999999995</v>
      </c>
      <c r="CG1276" s="123">
        <v>66.111999999999995</v>
      </c>
      <c r="CH1276" s="123">
        <v>67.583500000000001</v>
      </c>
      <c r="CI1276" s="123">
        <v>69.055000000000007</v>
      </c>
      <c r="CJ1276" s="123">
        <v>70.551500000000004</v>
      </c>
      <c r="CK1276" s="123">
        <v>72.048000000000002</v>
      </c>
      <c r="CL1276" s="123">
        <v>73.551000000000002</v>
      </c>
      <c r="CM1276" s="123">
        <v>75.054000000000002</v>
      </c>
      <c r="CN1276" s="123">
        <v>76.492999999999995</v>
      </c>
      <c r="CO1276" s="123">
        <v>77.932000000000002</v>
      </c>
      <c r="CP1276" s="123">
        <v>79.435000000000002</v>
      </c>
      <c r="CQ1276" s="123">
        <v>80.938000000000002</v>
      </c>
      <c r="CR1276" s="161">
        <v>82.370499999999993</v>
      </c>
      <c r="CS1276" s="161">
        <v>83.802999999999997</v>
      </c>
      <c r="CT1276" s="161">
        <v>85.24199999999999</v>
      </c>
      <c r="CU1276" s="161">
        <v>86.680999999999997</v>
      </c>
      <c r="CV1276" s="161">
        <v>88.135500000000008</v>
      </c>
      <c r="CW1276" s="161">
        <v>89.59</v>
      </c>
      <c r="CX1276" s="161">
        <v>91.013499999999993</v>
      </c>
      <c r="CY1276" s="161">
        <v>92.436999999999998</v>
      </c>
      <c r="CZ1276" s="161">
        <v>93.876000000000005</v>
      </c>
      <c r="DA1276" s="161">
        <v>95.314999999999998</v>
      </c>
      <c r="DB1276" s="161">
        <v>96.747500000000002</v>
      </c>
      <c r="DC1276" s="161">
        <v>98.18</v>
      </c>
      <c r="DD1276" s="161">
        <v>99.618500000000012</v>
      </c>
      <c r="DE1276" s="161">
        <v>101.057</v>
      </c>
      <c r="DF1276" s="151">
        <f>DG1275</f>
        <v>102.49600000000001</v>
      </c>
      <c r="DG1276" s="162">
        <v>103.935</v>
      </c>
    </row>
  </sheetData>
  <sheetProtection sheet="1" objects="1" scenarios="1" selectLockedCells="1"/>
  <mergeCells count="22">
    <mergeCell ref="BB1218:DG1218"/>
    <mergeCell ref="BB1158:DG1158"/>
    <mergeCell ref="BB1098:DG1098"/>
    <mergeCell ref="BB796:DG796"/>
    <mergeCell ref="BB314:DG314"/>
    <mergeCell ref="BB374:DG374"/>
    <mergeCell ref="BB616:DG616"/>
    <mergeCell ref="BB676:DG676"/>
    <mergeCell ref="BB556:DG556"/>
    <mergeCell ref="BB434:DG434"/>
    <mergeCell ref="BB494:DG494"/>
    <mergeCell ref="BB736:DG736"/>
    <mergeCell ref="BB918:DG918"/>
    <mergeCell ref="BB856:DG856"/>
    <mergeCell ref="BB1038:DG1038"/>
    <mergeCell ref="BB978:DG978"/>
    <mergeCell ref="BB254:DG254"/>
    <mergeCell ref="Z43:AK43"/>
    <mergeCell ref="S2:T3"/>
    <mergeCell ref="E29:Q29"/>
    <mergeCell ref="E3:Q3"/>
    <mergeCell ref="BB194:DG194"/>
  </mergeCells>
  <phoneticPr fontId="3" type="noConversion"/>
  <conditionalFormatting sqref="T28:T30">
    <cfRule type="expression" dxfId="805" priority="7" stopIfTrue="1">
      <formula>IF(G28="DAIRY COOLER W/BOSSY",TRUE,FALSE)</formula>
    </cfRule>
    <cfRule type="expression" dxfId="804" priority="8" stopIfTrue="1">
      <formula>IF(G28="DAIRY COOLER W/DOORS",TRUE,FALSE)</formula>
    </cfRule>
  </conditionalFormatting>
  <conditionalFormatting sqref="O31:P37">
    <cfRule type="expression" dxfId="803" priority="9" stopIfTrue="1">
      <formula>IF(G31="-------------------------------",TRUE,FALSE)</formula>
    </cfRule>
  </conditionalFormatting>
  <conditionalFormatting sqref="T5:T27">
    <cfRule type="expression" dxfId="802" priority="10" stopIfTrue="1">
      <formula>IF(OR(G5="Dairy Cooler W.I. w / Bossy",G5="Dairy Cooler W.I. w / drs.",G5="1/4  Freezer W.I. w / drs."),TRUE,FALSE)</formula>
    </cfRule>
  </conditionalFormatting>
  <conditionalFormatting sqref="K5:K27">
    <cfRule type="expression" dxfId="801" priority="11" stopIfTrue="1">
      <formula>IF(I5="-------------------------------",TRUE,FALSE)</formula>
    </cfRule>
  </conditionalFormatting>
  <conditionalFormatting sqref="L5:L27 L31:L37">
    <cfRule type="cellIs" dxfId="800" priority="12" stopIfTrue="1" operator="equal">
      <formula>"-----"</formula>
    </cfRule>
    <cfRule type="expression" dxfId="799" priority="13" stopIfTrue="1">
      <formula>IF(OR($L5&gt;$K5+1,$L5&lt;$K5-1),TRUE,FALSE)</formula>
    </cfRule>
  </conditionalFormatting>
  <conditionalFormatting sqref="H6:H27">
    <cfRule type="expression" dxfId="798" priority="14" stopIfTrue="1">
      <formula>IF($H6="Enter Temp.",TRUE,FALSE)</formula>
    </cfRule>
  </conditionalFormatting>
  <conditionalFormatting sqref="M5:P27 M31:N37">
    <cfRule type="expression" dxfId="797" priority="15" stopIfTrue="1">
      <formula>IF($G5="-------------------------------",TRUE,FALSE)</formula>
    </cfRule>
  </conditionalFormatting>
  <conditionalFormatting sqref="F31:F37 F5:F27">
    <cfRule type="expression" dxfId="796" priority="16" stopIfTrue="1">
      <formula>IF($F5="Enter CKT",TRUE,FALSE)</formula>
    </cfRule>
  </conditionalFormatting>
  <conditionalFormatting sqref="T31:T37">
    <cfRule type="expression" dxfId="795" priority="17" stopIfTrue="1">
      <formula>IF($E31="OPEN",TRUE,FALSE)</formula>
    </cfRule>
  </conditionalFormatting>
  <conditionalFormatting sqref="H5 H31:H37">
    <cfRule type="expression" dxfId="794" priority="18" stopIfTrue="1">
      <formula>IF($G5="-------------------------------",TRUE,FALSE)</formula>
    </cfRule>
  </conditionalFormatting>
  <conditionalFormatting sqref="U28:U37">
    <cfRule type="cellIs" dxfId="793" priority="19" stopIfTrue="1" operator="equal">
      <formula>"ENTER FT OF BOSSY:"</formula>
    </cfRule>
    <cfRule type="cellIs" dxfId="792" priority="20" stopIfTrue="1" operator="equal">
      <formula>"ENTER NUMBER OF DOORS:"</formula>
    </cfRule>
  </conditionalFormatting>
  <conditionalFormatting sqref="S28:S29">
    <cfRule type="cellIs" dxfId="791" priority="21" stopIfTrue="1" operator="equal">
      <formula>"ENTER FEET OF BOSSY:"</formula>
    </cfRule>
    <cfRule type="cellIs" dxfId="790" priority="22" stopIfTrue="1" operator="equal">
      <formula>"ENTER NUMBER OF DOORS:"</formula>
    </cfRule>
  </conditionalFormatting>
  <conditionalFormatting sqref="S5:S27 U5:U27">
    <cfRule type="cellIs" dxfId="789" priority="23" stopIfTrue="1" operator="equal">
      <formula>"ENTER FT. OF BOSSY:"</formula>
    </cfRule>
    <cfRule type="cellIs" dxfId="788" priority="24" stopIfTrue="1" operator="equal">
      <formula>"ENTER # OF DOORS:"</formula>
    </cfRule>
  </conditionalFormatting>
  <conditionalFormatting sqref="G31:G37 G5:G27">
    <cfRule type="cellIs" dxfId="787" priority="25" stopIfTrue="1" operator="equal">
      <formula>"-------------------------------"</formula>
    </cfRule>
  </conditionalFormatting>
  <conditionalFormatting sqref="S31:S37">
    <cfRule type="cellIs" dxfId="786" priority="26" stopIfTrue="1" operator="equal">
      <formula>"AREA OPENING (sq.ft):"</formula>
    </cfRule>
  </conditionalFormatting>
  <conditionalFormatting sqref="Q6">
    <cfRule type="expression" dxfId="785" priority="5" stopIfTrue="1">
      <formula>IF(Q6="#Value!",TRUE,FALSE)</formula>
    </cfRule>
  </conditionalFormatting>
  <conditionalFormatting sqref="P31:P37">
    <cfRule type="expression" dxfId="784" priority="4" stopIfTrue="1">
      <formula>IF($G31="-------------------------------",TRUE,FALSE)</formula>
    </cfRule>
  </conditionalFormatting>
  <conditionalFormatting sqref="I5:I27">
    <cfRule type="expression" dxfId="783" priority="3" stopIfTrue="1">
      <formula>NOT( _xludf.isformula(I5))</formula>
    </cfRule>
  </conditionalFormatting>
  <conditionalFormatting sqref="J5:J27">
    <cfRule type="expression" dxfId="782" priority="1" stopIfTrue="1">
      <formula>NOT( _xludf.isformula(J5))</formula>
    </cfRule>
  </conditionalFormatting>
  <dataValidations count="14">
    <dataValidation type="whole" errorStyle="warning" allowBlank="1" showInputMessage="1" showErrorMessage="1" errorTitle="VERIFY DESIGN TD" error="DESIGN TD MAY BE OUT OF INDUSTRY STANDARDS. _x000a__x000a_PLEASE RE-EVALUATE, RE-ENTER EVAPORATOR TEMPERATURE AND MAKE_x000a_SURE THAT YOUR TD IS ADEQUATE FOR THE APPLICATION SELECTED._x000a__x000a_USE THE &quot;TARGET TD&quot; SHOWN FOR YOUR REFERENCE._x000a__x000a_" sqref="H5:H27 H31:H37" xr:uid="{D459823D-B58F-43E2-8DAE-17BB707440E3}">
      <formula1>I5-K5-1</formula1>
      <formula2>I5-K5+1</formula2>
    </dataValidation>
    <dataValidation type="list" allowBlank="1" showErrorMessage="1" sqref="G6:G27" xr:uid="{8082C122-D377-4FC4-997F-18CC6702C7A6}">
      <formula1>INDIRECT($E6)</formula1>
    </dataValidation>
    <dataValidation type="whole" operator="equal" allowBlank="1" showInputMessage="1" showErrorMessage="1" errorTitle="INVALID ENTRY" error="THIS TOOL ONLY CALCULATES PREP. AREA LOADS FOR 10 FT HEIGHT ROOMS.  _x000a_USE A DIFFERENT METHOD TO CALCULATE PREP. AREA LAODS WHEN ROOM HEIGHT IS DIFFERENT THAN 10 FT." sqref="O31:O37" xr:uid="{0EB3DB20-6CAD-4EC3-8DB6-D3527C346C01}">
      <formula1>10</formula1>
    </dataValidation>
    <dataValidation operator="greaterThan" allowBlank="1" showInputMessage="1" showErrorMessage="1" errorTitle="INVALID ENTRY" error="EVAPORATOR TEMPERATURE HAS TO BE A WHOLE NUMBER LOWER THAN THE ROOM TEMPERATURE VALUE" sqref="J31:J37 J5:J27" xr:uid="{8AA94D40-987A-4E86-B176-35332085E512}"/>
    <dataValidation allowBlank="1" showInputMessage="1" showErrorMessage="1" errorTitle="INVALID ENTRY" error="EVAPORATOR TEMPERATURE OUT OF RAGE.  PLEASE ENTER EVAP. TEMP AGAIN" sqref="L31:L37 L5:L27" xr:uid="{658A0658-93C4-462D-8A04-613C93C5A998}"/>
    <dataValidation type="list" allowBlank="1" showErrorMessage="1" sqref="G31:G37" xr:uid="{2B0B1529-97AC-42D1-9CD6-5C4D7972D496}">
      <formula1>$AH$46:$AH$59</formula1>
    </dataValidation>
    <dataValidation type="list" allowBlank="1" showInputMessage="1" showErrorMessage="1" sqref="E31:E37" xr:uid="{8A067000-5613-4280-9D0C-0C8380E7CF4E}">
      <formula1>$W$59:$W$61</formula1>
    </dataValidation>
    <dataValidation type="custom" allowBlank="1" showInputMessage="1" showErrorMessage="1" errorTitle="DUPLICATE CIRCUIT NUMBER" error="THE CIRCUIT NUMBER YOU ARE TRYING TO ENTER ALREADY EXISTS. _x000a_DUPLICATE CIRCUIT NUMBER ENTRIES ARE NOT POSSIBLE. _x000a_PLEASE CHOOSE A DIFFERENT CIRCUIT NUMBER AND TRY AGAIN." sqref="F31:F37 F5:F27" xr:uid="{E863946D-D663-4590-93A2-A26B21436B3D}">
      <formula1>COUNTIF($F$5:$F$37,F5)=1</formula1>
    </dataValidation>
    <dataValidation type="list" allowBlank="1" showErrorMessage="1" errorTitle="INVALID ENTRY" error="USER ENTRY IS NOT WITHIN BOX LOAD DATABASE RANGE. PLEASE SELECT A NUMBER FROM THE PULL-DOWN MENU ASSOCIATED WITH THE CELL." sqref="M31:M37 M5:M27" xr:uid="{EDE66F30-ADCD-4005-AB12-A3E8330E66C1}">
      <formula1>$X$44:$X$101</formula1>
    </dataValidation>
    <dataValidation type="list" allowBlank="1" showInputMessage="1" showErrorMessage="1" errorTitle="INVALID ENTRY" error="USER ENTRY IS NOT WITHIN BOX LOAD DATABASE RANGE. PLEASE SELECT A NUMBER FROM THE PULL-DOWN MENU ASSOCIATED WITH THE CELL." sqref="N31:N37 N5:N27" xr:uid="{3E74E4F2-B97E-4988-B4FF-A9582030CED2}">
      <formula1>$Y$44:$Y$101</formula1>
    </dataValidation>
    <dataValidation type="list" allowBlank="1" showErrorMessage="1" sqref="G5" xr:uid="{E627C13F-5BBD-452A-A992-9EF3DB0E5B0F}">
      <formula1>IF($F5="Enter CKT",$Z$45,INDIRECT($E5))</formula1>
    </dataValidation>
    <dataValidation type="list" allowBlank="1" showInputMessage="1" showErrorMessage="1" sqref="E5:E27" xr:uid="{8973F736-8A95-481A-924F-9641591D1B00}">
      <formula1>$W$56:$W$58</formula1>
    </dataValidation>
    <dataValidation operator="equal" allowBlank="1" showInputMessage="1" showErrorMessage="1" sqref="P5:P27 P31:P37" xr:uid="{BAD1D18E-0EBC-4E0E-8295-A799FB958B46}"/>
    <dataValidation type="list" operator="equal" allowBlank="1" showInputMessage="1" showErrorMessage="1" sqref="O5:O27" xr:uid="{C0CD6AEC-C74F-458B-9014-2ADFCB8BB4DE}">
      <formula1>$W$45:$W$50</formula1>
    </dataValidation>
  </dataValidations>
  <printOptions horizontalCentered="1" verticalCentered="1"/>
  <pageMargins left="0.55000000000000004" right="0.55000000000000004" top="0.5" bottom="0.5" header="0.33" footer="0.27"/>
  <pageSetup scale="77" orientation="portrait" r:id="rId1"/>
  <headerFooter alignWithMargins="0"/>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D30A1C-5CA0-48C5-893A-23C217765A77}">
  <sheetPr codeName="Sheet2">
    <pageSetUpPr fitToPage="1"/>
  </sheetPr>
  <dimension ref="B1:AI83"/>
  <sheetViews>
    <sheetView zoomScaleNormal="100" workbookViewId="0">
      <selection activeCell="F5" sqref="F5"/>
    </sheetView>
  </sheetViews>
  <sheetFormatPr defaultRowHeight="12.75" x14ac:dyDescent="0.2"/>
  <cols>
    <col min="1" max="1" width="2" style="449" customWidth="1"/>
    <col min="2" max="2" width="27.5703125" style="449" customWidth="1"/>
    <col min="3" max="3" width="11.42578125" style="449" customWidth="1"/>
    <col min="4" max="4" width="13.140625" style="449" customWidth="1"/>
    <col min="5" max="5" width="11.5703125" style="449" customWidth="1"/>
    <col min="6" max="6" width="13.140625" style="449" customWidth="1"/>
    <col min="7" max="7" width="14.42578125" style="449" customWidth="1"/>
    <col min="8" max="8" width="17" style="449" customWidth="1"/>
    <col min="9" max="9" width="11.140625" style="449" customWidth="1"/>
    <col min="10" max="10" width="14.140625" style="449" customWidth="1"/>
    <col min="11" max="11" width="13.85546875" style="449" customWidth="1"/>
    <col min="12" max="12" width="11.42578125" style="449" customWidth="1"/>
    <col min="13" max="13" width="11.42578125" style="449" bestFit="1" customWidth="1"/>
    <col min="14" max="14" width="14.42578125" style="449" customWidth="1"/>
    <col min="15" max="15" width="12.42578125" style="449" customWidth="1"/>
    <col min="16" max="16" width="9.7109375" style="449" customWidth="1"/>
    <col min="17" max="17" width="13.140625" style="449" customWidth="1"/>
    <col min="18" max="18" width="12.7109375" style="449" customWidth="1"/>
    <col min="19" max="19" width="11.5703125" style="449" customWidth="1"/>
    <col min="20" max="20" width="11.28515625" style="449" customWidth="1"/>
    <col min="21" max="21" width="9.140625" style="449"/>
    <col min="22" max="22" width="16.140625" style="449" customWidth="1"/>
    <col min="23" max="23" width="19.140625" style="449" customWidth="1"/>
    <col min="24" max="24" width="13.42578125" style="449" customWidth="1"/>
    <col min="25" max="25" width="17.28515625" style="449" customWidth="1"/>
    <col min="26" max="27" width="12.7109375" style="449" bestFit="1" customWidth="1"/>
    <col min="28" max="28" width="12.42578125" style="449" customWidth="1"/>
    <col min="29" max="29" width="12.7109375" style="449" bestFit="1" customWidth="1"/>
    <col min="30" max="30" width="13.140625" style="449" customWidth="1"/>
    <col min="31" max="32" width="12.7109375" style="449" bestFit="1" customWidth="1"/>
    <col min="33" max="33" width="13.140625" style="449" customWidth="1"/>
    <col min="34" max="34" width="13.42578125" style="449" customWidth="1"/>
    <col min="35" max="16384" width="9.140625" style="449"/>
  </cols>
  <sheetData>
    <row r="1" spans="2:35" ht="13.5" thickBot="1" x14ac:dyDescent="0.25"/>
    <row r="2" spans="2:35" ht="13.5" thickBot="1" x14ac:dyDescent="0.25">
      <c r="B2" s="450" t="str">
        <f>IF(OR(LineSizeData!$J$4&gt;1,LineSizeData!$C$3&gt;0),"Primary Refrigerant: " &amp; CHAR(10) &amp; 'Legend(DX)'!$U$4,"Refrigerant")</f>
        <v xml:space="preserve">Primary Refrigerant: 
</v>
      </c>
      <c r="F2" s="1844" t="s">
        <v>836</v>
      </c>
      <c r="G2" s="1845"/>
      <c r="H2" s="1845"/>
      <c r="I2" s="1845"/>
      <c r="J2" s="1845"/>
      <c r="K2" s="1845"/>
      <c r="L2" s="1845"/>
      <c r="M2" s="1845"/>
      <c r="N2" s="1845"/>
      <c r="O2" s="1846"/>
    </row>
    <row r="3" spans="2:35" ht="13.5" thickBot="1" x14ac:dyDescent="0.25">
      <c r="B3" s="451" t="e">
        <f>IF(OR(LineSizeData!$J$4&gt;1,LineSizeData!$C$3&gt;0),VLOOKUP('Legend(DX)'!$U$4,Refrigerant,2,FALSE),LineSizeData!B3)</f>
        <v>#N/A</v>
      </c>
      <c r="F3" s="732" t="s">
        <v>837</v>
      </c>
      <c r="G3" s="733" t="s">
        <v>838</v>
      </c>
      <c r="H3" s="734" t="s">
        <v>837</v>
      </c>
      <c r="I3" s="734" t="s">
        <v>925</v>
      </c>
      <c r="J3" s="734" t="s">
        <v>926</v>
      </c>
      <c r="K3" s="734" t="s">
        <v>837</v>
      </c>
      <c r="L3" s="734" t="s">
        <v>839</v>
      </c>
      <c r="M3" s="734" t="s">
        <v>837</v>
      </c>
      <c r="N3" s="734" t="s">
        <v>927</v>
      </c>
      <c r="O3" s="735" t="s">
        <v>928</v>
      </c>
    </row>
    <row r="4" spans="2:35" x14ac:dyDescent="0.2">
      <c r="F4" s="736" t="s">
        <v>929</v>
      </c>
      <c r="G4" s="737" t="s">
        <v>930</v>
      </c>
      <c r="H4" s="738" t="s">
        <v>411</v>
      </c>
      <c r="I4" s="738" t="s">
        <v>931</v>
      </c>
      <c r="J4" s="738" t="s">
        <v>931</v>
      </c>
      <c r="K4" s="738" t="s">
        <v>841</v>
      </c>
      <c r="L4" s="738" t="s">
        <v>411</v>
      </c>
      <c r="M4" s="738" t="s">
        <v>842</v>
      </c>
      <c r="N4" s="738" t="s">
        <v>843</v>
      </c>
      <c r="O4" s="739" t="s">
        <v>843</v>
      </c>
    </row>
    <row r="5" spans="2:35" ht="27" customHeight="1" thickBot="1" x14ac:dyDescent="0.25">
      <c r="F5" s="452" t="s">
        <v>604</v>
      </c>
      <c r="G5" s="453" t="s">
        <v>1200</v>
      </c>
      <c r="H5" s="454" t="s">
        <v>996</v>
      </c>
      <c r="I5" s="455" t="e">
        <f>IF(H$5="Full Condensing",G15,H15)</f>
        <v>#DIV/0!</v>
      </c>
      <c r="J5" s="455" t="e">
        <f>IF(H$5="Full Condensing",Q15,R15)</f>
        <v>#VALUE!</v>
      </c>
      <c r="K5" s="1016" t="s">
        <v>616</v>
      </c>
      <c r="L5" s="454" t="s">
        <v>616</v>
      </c>
      <c r="M5" s="454" t="s">
        <v>1195</v>
      </c>
      <c r="N5" s="456" t="e">
        <f>IF(OR(M5="",M5=0),"",I5*1000/(M5*(IF(L5="Water Only",500,VLOOKUP(K5,W20:AA34,IF(L5="Ethylene",5,4),FALSE)))))</f>
        <v>#DIV/0!</v>
      </c>
      <c r="O5" s="457" t="e">
        <f>IF(OR(M5="",M5=0),"",J5*1000/(M5*(IF(L5="Water Only",500,VLOOKUP(K5,W20:AA34,IF(L5="Ethylene",5,4),FALSE)))))</f>
        <v>#VALUE!</v>
      </c>
    </row>
    <row r="6" spans="2:35" ht="13.5" thickBot="1" x14ac:dyDescent="0.25">
      <c r="C6" s="458"/>
      <c r="D6" s="458"/>
      <c r="J6" s="459"/>
      <c r="K6" s="459"/>
      <c r="L6" s="459"/>
      <c r="M6" s="459"/>
      <c r="N6" s="459"/>
      <c r="O6" s="459"/>
      <c r="P6" s="459"/>
    </row>
    <row r="7" spans="2:35" ht="13.5" thickBot="1" x14ac:dyDescent="0.25">
      <c r="B7" s="740"/>
      <c r="C7" s="741" t="s">
        <v>974</v>
      </c>
      <c r="D7" s="742"/>
      <c r="E7" s="743"/>
      <c r="F7" s="743"/>
      <c r="G7" s="743"/>
      <c r="H7" s="744"/>
      <c r="I7" s="744" t="s">
        <v>844</v>
      </c>
      <c r="J7" s="745"/>
      <c r="K7" s="745"/>
      <c r="L7" s="745"/>
      <c r="M7" s="745"/>
      <c r="N7" s="745"/>
      <c r="O7" s="745"/>
      <c r="P7" s="745"/>
      <c r="Q7" s="743"/>
      <c r="R7" s="743"/>
      <c r="S7" s="743"/>
      <c r="T7" s="746"/>
      <c r="V7" s="459"/>
      <c r="W7" s="783"/>
      <c r="X7" s="1847" t="s">
        <v>932</v>
      </c>
      <c r="Y7" s="1848"/>
      <c r="Z7" s="1848"/>
      <c r="AA7" s="1848"/>
      <c r="AB7" s="1848"/>
      <c r="AC7" s="1848"/>
      <c r="AD7" s="1849"/>
      <c r="AE7" s="1847" t="s">
        <v>933</v>
      </c>
      <c r="AF7" s="1848"/>
      <c r="AG7" s="1848"/>
      <c r="AH7" s="1848"/>
      <c r="AI7" s="1849"/>
    </row>
    <row r="8" spans="2:35" x14ac:dyDescent="0.2">
      <c r="B8" s="747"/>
      <c r="C8" s="732" t="s">
        <v>846</v>
      </c>
      <c r="D8" s="748" t="s">
        <v>847</v>
      </c>
      <c r="E8" s="748" t="s">
        <v>848</v>
      </c>
      <c r="F8" s="748" t="s">
        <v>849</v>
      </c>
      <c r="G8" s="748" t="s">
        <v>850</v>
      </c>
      <c r="H8" s="749" t="s">
        <v>856</v>
      </c>
      <c r="I8" s="750" t="s">
        <v>851</v>
      </c>
      <c r="J8" s="748" t="s">
        <v>851</v>
      </c>
      <c r="K8" s="748" t="s">
        <v>852</v>
      </c>
      <c r="L8" s="748" t="s">
        <v>853</v>
      </c>
      <c r="M8" s="748" t="s">
        <v>894</v>
      </c>
      <c r="N8" s="748" t="s">
        <v>854</v>
      </c>
      <c r="O8" s="748"/>
      <c r="P8" s="748"/>
      <c r="Q8" s="748" t="s">
        <v>855</v>
      </c>
      <c r="R8" s="748" t="s">
        <v>856</v>
      </c>
      <c r="S8" s="733"/>
      <c r="T8" s="751"/>
      <c r="W8" s="747"/>
      <c r="X8" s="732" t="s">
        <v>414</v>
      </c>
      <c r="Y8" s="732" t="s">
        <v>934</v>
      </c>
      <c r="Z8" s="748" t="s">
        <v>1143</v>
      </c>
      <c r="AA8" s="748" t="s">
        <v>893</v>
      </c>
      <c r="AB8" s="748" t="s">
        <v>845</v>
      </c>
      <c r="AC8" s="748" t="s">
        <v>845</v>
      </c>
      <c r="AD8" s="784"/>
      <c r="AE8" s="732" t="s">
        <v>1143</v>
      </c>
      <c r="AF8" s="748" t="s">
        <v>893</v>
      </c>
      <c r="AG8" s="748" t="s">
        <v>845</v>
      </c>
      <c r="AH8" s="748" t="s">
        <v>845</v>
      </c>
      <c r="AI8" s="749"/>
    </row>
    <row r="9" spans="2:35" x14ac:dyDescent="0.2">
      <c r="B9" s="752"/>
      <c r="C9" s="753" t="s">
        <v>862</v>
      </c>
      <c r="D9" s="734" t="s">
        <v>557</v>
      </c>
      <c r="E9" s="754" t="s">
        <v>863</v>
      </c>
      <c r="F9" s="734" t="s">
        <v>864</v>
      </c>
      <c r="G9" s="734" t="s">
        <v>865</v>
      </c>
      <c r="H9" s="755" t="s">
        <v>837</v>
      </c>
      <c r="I9" s="756" t="s">
        <v>866</v>
      </c>
      <c r="J9" s="734" t="s">
        <v>866</v>
      </c>
      <c r="K9" s="734" t="s">
        <v>867</v>
      </c>
      <c r="L9" s="734" t="s">
        <v>868</v>
      </c>
      <c r="M9" s="734" t="s">
        <v>869</v>
      </c>
      <c r="N9" s="734" t="s">
        <v>870</v>
      </c>
      <c r="O9" s="734" t="s">
        <v>871</v>
      </c>
      <c r="P9" s="734" t="s">
        <v>872</v>
      </c>
      <c r="Q9" s="734" t="s">
        <v>837</v>
      </c>
      <c r="R9" s="734" t="s">
        <v>837</v>
      </c>
      <c r="S9" s="757" t="s">
        <v>850</v>
      </c>
      <c r="T9" s="735" t="s">
        <v>873</v>
      </c>
      <c r="W9" s="752"/>
      <c r="X9" s="753" t="s">
        <v>935</v>
      </c>
      <c r="Y9" s="734" t="s">
        <v>989</v>
      </c>
      <c r="Z9" s="734" t="s">
        <v>857</v>
      </c>
      <c r="AA9" s="734" t="s">
        <v>858</v>
      </c>
      <c r="AB9" s="734" t="s">
        <v>859</v>
      </c>
      <c r="AC9" s="734" t="s">
        <v>860</v>
      </c>
      <c r="AD9" s="755" t="s">
        <v>861</v>
      </c>
      <c r="AE9" s="753" t="s">
        <v>857</v>
      </c>
      <c r="AF9" s="734" t="s">
        <v>858</v>
      </c>
      <c r="AG9" s="734" t="s">
        <v>859</v>
      </c>
      <c r="AH9" s="734" t="s">
        <v>860</v>
      </c>
      <c r="AI9" s="755" t="s">
        <v>861</v>
      </c>
    </row>
    <row r="10" spans="2:35" x14ac:dyDescent="0.2">
      <c r="B10" s="752"/>
      <c r="C10" s="753" t="s">
        <v>740</v>
      </c>
      <c r="D10" s="734" t="s">
        <v>849</v>
      </c>
      <c r="E10" s="734" t="s">
        <v>849</v>
      </c>
      <c r="F10" s="734"/>
      <c r="G10" s="758" t="s">
        <v>875</v>
      </c>
      <c r="H10" s="755" t="s">
        <v>847</v>
      </c>
      <c r="I10" s="756" t="s">
        <v>740</v>
      </c>
      <c r="J10" s="734" t="s">
        <v>740</v>
      </c>
      <c r="K10" s="734" t="s">
        <v>876</v>
      </c>
      <c r="L10" s="734" t="s">
        <v>849</v>
      </c>
      <c r="M10" s="734" t="s">
        <v>877</v>
      </c>
      <c r="N10" s="734" t="s">
        <v>878</v>
      </c>
      <c r="O10" s="734" t="s">
        <v>879</v>
      </c>
      <c r="P10" s="734" t="s">
        <v>840</v>
      </c>
      <c r="Q10" s="734" t="s">
        <v>847</v>
      </c>
      <c r="R10" s="734" t="s">
        <v>847</v>
      </c>
      <c r="S10" s="757" t="s">
        <v>869</v>
      </c>
      <c r="T10" s="735" t="s">
        <v>869</v>
      </c>
      <c r="W10" s="752"/>
      <c r="X10" s="753" t="s">
        <v>879</v>
      </c>
      <c r="Y10" s="734" t="s">
        <v>879</v>
      </c>
      <c r="Z10" s="734"/>
      <c r="AA10" s="734" t="s">
        <v>874</v>
      </c>
      <c r="AB10" s="734" t="s">
        <v>874</v>
      </c>
      <c r="AC10" s="734" t="s">
        <v>874</v>
      </c>
      <c r="AD10" s="755"/>
      <c r="AE10" s="753"/>
      <c r="AF10" s="734" t="s">
        <v>874</v>
      </c>
      <c r="AG10" s="734" t="s">
        <v>874</v>
      </c>
      <c r="AH10" s="734" t="s">
        <v>874</v>
      </c>
      <c r="AI10" s="755"/>
    </row>
    <row r="11" spans="2:35" x14ac:dyDescent="0.2">
      <c r="B11" s="752"/>
      <c r="C11" s="736" t="s">
        <v>795</v>
      </c>
      <c r="D11" s="738" t="s">
        <v>795</v>
      </c>
      <c r="E11" s="738" t="s">
        <v>795</v>
      </c>
      <c r="F11" s="759"/>
      <c r="G11" s="738" t="s">
        <v>795</v>
      </c>
      <c r="H11" s="760" t="s">
        <v>795</v>
      </c>
      <c r="I11" s="756" t="s">
        <v>881</v>
      </c>
      <c r="J11" s="734" t="s">
        <v>795</v>
      </c>
      <c r="K11" s="734" t="s">
        <v>795</v>
      </c>
      <c r="L11" s="734" t="s">
        <v>882</v>
      </c>
      <c r="M11" s="734" t="s">
        <v>795</v>
      </c>
      <c r="N11" s="734" t="s">
        <v>795</v>
      </c>
      <c r="O11" s="734" t="s">
        <v>883</v>
      </c>
      <c r="P11" s="734" t="s">
        <v>883</v>
      </c>
      <c r="Q11" s="734" t="s">
        <v>795</v>
      </c>
      <c r="R11" s="734" t="s">
        <v>795</v>
      </c>
      <c r="S11" s="757" t="s">
        <v>884</v>
      </c>
      <c r="T11" s="735" t="s">
        <v>884</v>
      </c>
      <c r="W11" s="785"/>
      <c r="X11" s="736" t="s">
        <v>459</v>
      </c>
      <c r="Y11" s="738" t="s">
        <v>459</v>
      </c>
      <c r="Z11" s="738" t="s">
        <v>460</v>
      </c>
      <c r="AA11" s="738" t="s">
        <v>880</v>
      </c>
      <c r="AB11" s="738" t="s">
        <v>880</v>
      </c>
      <c r="AC11" s="738" t="s">
        <v>880</v>
      </c>
      <c r="AD11" s="760" t="s">
        <v>880</v>
      </c>
      <c r="AE11" s="736" t="s">
        <v>460</v>
      </c>
      <c r="AF11" s="738" t="s">
        <v>880</v>
      </c>
      <c r="AG11" s="738" t="s">
        <v>880</v>
      </c>
      <c r="AH11" s="738" t="s">
        <v>880</v>
      </c>
      <c r="AI11" s="760" t="s">
        <v>880</v>
      </c>
    </row>
    <row r="12" spans="2:35" x14ac:dyDescent="0.2">
      <c r="B12" s="780" t="s">
        <v>885</v>
      </c>
      <c r="C12" s="460">
        <f>LegendSG1EVLT</f>
        <v>0</v>
      </c>
      <c r="D12" s="461">
        <f>'Legend(DX)'!S29</f>
        <v>0</v>
      </c>
      <c r="E12" s="461">
        <f>'Legend(DX)'!W29</f>
        <v>0</v>
      </c>
      <c r="F12" s="462" t="e">
        <f>IF(C12="","",(C12/D12))</f>
        <v>#DIV/0!</v>
      </c>
      <c r="G12" s="463" t="e">
        <f>IF(C12="","",F12*E12)</f>
        <v>#DIV/0!</v>
      </c>
      <c r="H12" s="464" t="e">
        <f>IF(C12="","",G12*AD12)</f>
        <v>#DIV/0!</v>
      </c>
      <c r="I12" s="465"/>
      <c r="J12" s="463">
        <f>IF(C12="","",(I12*C12))</f>
        <v>0</v>
      </c>
      <c r="K12" s="466"/>
      <c r="L12" s="467" t="e">
        <f>IF(J12="",0,J12/K12)</f>
        <v>#DIV/0!</v>
      </c>
      <c r="M12" s="468"/>
      <c r="N12" s="469" t="e">
        <f>IF(M12&gt;0,"N/A",(K12*L12)+(T12*3.4121))</f>
        <v>#DIV/0!</v>
      </c>
      <c r="O12" s="469" t="str">
        <f>'Legend(DX)'!AH29</f>
        <v/>
      </c>
      <c r="P12" s="468"/>
      <c r="Q12" s="463" t="e">
        <f>IF(M12="",N12,L12*M12)</f>
        <v>#DIV/0!</v>
      </c>
      <c r="R12" s="463" t="e">
        <f>IF(J12="","",AI12*Q12)</f>
        <v>#VALUE!</v>
      </c>
      <c r="S12" s="470">
        <f>'Legend(DX)'!AB29</f>
        <v>0</v>
      </c>
      <c r="T12" s="471" t="e">
        <f>IF(S12="",0,S12*L12)</f>
        <v>#DIV/0!</v>
      </c>
      <c r="W12" s="785" t="s">
        <v>885</v>
      </c>
      <c r="X12" s="475">
        <f>'Legend(DX)'!W$2</f>
        <v>0</v>
      </c>
      <c r="Y12" s="493" t="str">
        <f>IF('Legend(DX)'!AE21="","",'Legend(DX)'!AE29)</f>
        <v/>
      </c>
      <c r="Z12" s="472" t="e">
        <f>(Pressure($B$3,"tliq","e",X12)+Pressure($B$3,"tvap","e",X12))/2</f>
        <v>#VALUE!</v>
      </c>
      <c r="AA12" s="473" t="str">
        <f>IF(Y12="","",Enthalpy($B$3,"tp","e",Y12,Z12))</f>
        <v/>
      </c>
      <c r="AB12" s="473" t="str">
        <f>IF(Y12="","",(Enthalpy($B$3,"pVAP","E",Z12)))</f>
        <v/>
      </c>
      <c r="AC12" s="473" t="str">
        <f>IF(Y12="","",(Enthalpy($B$3,"pliq","E",Z12)))</f>
        <v/>
      </c>
      <c r="AD12" s="474" t="str">
        <f>IF(Y12="","",(AA12-AB12)/(AA12-AC12))</f>
        <v/>
      </c>
      <c r="AE12" s="491" t="e">
        <f>(Pressure($B$3,"tliq","e",O12)+Pressure($B$3,"tvap","e",O12))/2</f>
        <v>#VALUE!</v>
      </c>
      <c r="AF12" s="473" t="e">
        <f>Enthalpy($B$3,"tp","e",P12,AE12)</f>
        <v>#VALUE!</v>
      </c>
      <c r="AG12" s="473" t="e">
        <f>IF(AE12="","",(Enthalpy($B$3,"pVAP","E",AE12)))</f>
        <v>#VALUE!</v>
      </c>
      <c r="AH12" s="473" t="e">
        <f>IF(AE12="","",(Enthalpy($B$3,"pliq","E",AE12)))</f>
        <v>#VALUE!</v>
      </c>
      <c r="AI12" s="474" t="e">
        <f>IF(AF12="","",(AF12-AG12)/(AF12-AH12))</f>
        <v>#VALUE!</v>
      </c>
    </row>
    <row r="13" spans="2:35" x14ac:dyDescent="0.2">
      <c r="B13" s="780" t="s">
        <v>886</v>
      </c>
      <c r="C13" s="460">
        <f>LegendSG2EVLT</f>
        <v>0</v>
      </c>
      <c r="D13" s="461">
        <f>'Legend(DX)'!S38</f>
        <v>0</v>
      </c>
      <c r="E13" s="461">
        <f>'Legend(DX)'!W38</f>
        <v>0</v>
      </c>
      <c r="F13" s="462" t="str">
        <f>IF(OR(C13="",C13=0),"",(C13/D13))</f>
        <v/>
      </c>
      <c r="G13" s="463" t="str">
        <f>IF(OR(C13=0,C13=""),"",F13*E13)</f>
        <v/>
      </c>
      <c r="H13" s="464" t="str">
        <f>IF(OR(C13="",C13=0),"",G13*AD13)</f>
        <v/>
      </c>
      <c r="I13" s="465"/>
      <c r="J13" s="463">
        <f>IF(C13="","",(I13*C13))</f>
        <v>0</v>
      </c>
      <c r="K13" s="466">
        <v>0</v>
      </c>
      <c r="L13" s="467">
        <f>IF(OR(K13="",K13=0),0,J13/K13)</f>
        <v>0</v>
      </c>
      <c r="M13" s="468"/>
      <c r="N13" s="469">
        <f>IF(M13&gt;0,"N/A",(K13*L13)+(T13*3.4121))</f>
        <v>0</v>
      </c>
      <c r="O13" s="469" t="str">
        <f>'Legend(DX)'!AH38</f>
        <v/>
      </c>
      <c r="P13" s="468"/>
      <c r="Q13" s="463">
        <f>IF(M13="",N13,L13*M13)</f>
        <v>0</v>
      </c>
      <c r="R13" s="463" t="str">
        <f>IF(OR(J13=0,J13=""),"",AI13*Q13)</f>
        <v/>
      </c>
      <c r="S13" s="470">
        <f>'Legend(DX)'!AB38</f>
        <v>0</v>
      </c>
      <c r="T13" s="471">
        <f>IF(S13="",0,S13*L13)</f>
        <v>0</v>
      </c>
      <c r="W13" s="761" t="s">
        <v>886</v>
      </c>
      <c r="X13" s="475">
        <f>'Legend(DX)'!W$2</f>
        <v>0</v>
      </c>
      <c r="Y13" s="493" t="str">
        <f>IF('Legend(DX)'!AE30="","",'Legend(DX)'!AE38)</f>
        <v/>
      </c>
      <c r="Z13" s="472" t="e">
        <f>(Pressure($B$3,"tliq","e",X13)+Pressure($B$3,"tvap","e",X13))/2</f>
        <v>#VALUE!</v>
      </c>
      <c r="AA13" s="473" t="str">
        <f>IF(Y13="","",Enthalpy($B$3,"tp","e",Y13,Z13))</f>
        <v/>
      </c>
      <c r="AB13" s="473" t="str">
        <f>IF(Y13="","",(Enthalpy($B$3,"pVAP","E",Z13)))</f>
        <v/>
      </c>
      <c r="AC13" s="473" t="str">
        <f>IF(Y13="","",(Enthalpy($B$3,"pliq","E",Z13)))</f>
        <v/>
      </c>
      <c r="AD13" s="474" t="str">
        <f>IF(Y13="","",(AA13-AB13)/(AA13-AC13))</f>
        <v/>
      </c>
      <c r="AE13" s="492" t="str">
        <f>IF(OR(O13=0,O13=""),"",(Pressure($B$3,"tliq","e",O13)+Pressure($B$3,"tvap","e",O13))/2)</f>
        <v/>
      </c>
      <c r="AF13" s="476" t="str">
        <f>IF(AE13="","",Enthalpy($B$3,"tp","e",P13,AE13))</f>
        <v/>
      </c>
      <c r="AG13" s="476" t="str">
        <f>IF(AE13="","",(Enthalpy($B$3,"pVAP","E",AE13)))</f>
        <v/>
      </c>
      <c r="AH13" s="476" t="str">
        <f>IF(AE13="","",(Enthalpy($B$3,"pliq","E",AE13)))</f>
        <v/>
      </c>
      <c r="AI13" s="477" t="str">
        <f>IF(AF13="","",(AF13-AG13)/(AF13-AH13))</f>
        <v/>
      </c>
    </row>
    <row r="14" spans="2:35" ht="13.5" thickBot="1" x14ac:dyDescent="0.25">
      <c r="B14" s="781" t="s">
        <v>887</v>
      </c>
      <c r="C14" s="762">
        <f>LegendSG3EVLT</f>
        <v>0</v>
      </c>
      <c r="D14" s="763">
        <f>'Legend(DX)'!S47</f>
        <v>0</v>
      </c>
      <c r="E14" s="763">
        <f>'Legend(DX)'!W47</f>
        <v>0</v>
      </c>
      <c r="F14" s="764" t="str">
        <f>IF(OR(C14="",C14=0),"",(C14/D14))</f>
        <v/>
      </c>
      <c r="G14" s="765" t="str">
        <f>IF(OR(C14=0,C14=""),"",F14*E14)</f>
        <v/>
      </c>
      <c r="H14" s="766" t="str">
        <f>IF(OR(C14="",C14=0),"",G14*AD14)</f>
        <v/>
      </c>
      <c r="I14" s="767"/>
      <c r="J14" s="765">
        <f>IF(C14="","",(I14*C14))</f>
        <v>0</v>
      </c>
      <c r="K14" s="768">
        <v>0</v>
      </c>
      <c r="L14" s="769">
        <f>IF(OR(K14="",K14=0),0,J14/K14)</f>
        <v>0</v>
      </c>
      <c r="M14" s="770"/>
      <c r="N14" s="771">
        <f>IF(M14&gt;0,"N/A",(K14*L14)+(T14*3.4121))</f>
        <v>0</v>
      </c>
      <c r="O14" s="771" t="str">
        <f>'Legend(DX)'!AH47</f>
        <v/>
      </c>
      <c r="P14" s="770"/>
      <c r="Q14" s="765">
        <f>IF(M14="",N14,L14*M14)</f>
        <v>0</v>
      </c>
      <c r="R14" s="765" t="str">
        <f>IF(OR(J14=0,J14=""),"",AI14*Q14)</f>
        <v/>
      </c>
      <c r="S14" s="772">
        <f>'Legend(DX)'!AB47</f>
        <v>0</v>
      </c>
      <c r="T14" s="773">
        <f>IF(S14="",0,S14*L14)</f>
        <v>0</v>
      </c>
      <c r="W14" s="786" t="s">
        <v>887</v>
      </c>
      <c r="X14" s="478">
        <f>'Legend(DX)'!W$2</f>
        <v>0</v>
      </c>
      <c r="Y14" s="494" t="str">
        <f>IF('Legend(DX)'!AE39="","",'Legend(DX)'!AE47)</f>
        <v/>
      </c>
      <c r="Z14" s="479" t="e">
        <f>(Pressure($B$3,"tliq","e",X14)+Pressure($B$3,"tvap","e",X14))/2</f>
        <v>#VALUE!</v>
      </c>
      <c r="AA14" s="480" t="str">
        <f>IF(Y14="","",Enthalpy($B$3,"tp","e",Y14,Z14))</f>
        <v/>
      </c>
      <c r="AB14" s="480" t="str">
        <f>IF(Y14="","",(Enthalpy($B$3,"pVAP","E",Z14)))</f>
        <v/>
      </c>
      <c r="AC14" s="480" t="str">
        <f>IF(Y14="","",(Enthalpy($B$3,"pliq","E",Z14)))</f>
        <v/>
      </c>
      <c r="AD14" s="481" t="str">
        <f>IF(Y14="","",(AA14-AB14)/(AA14-AC14))</f>
        <v/>
      </c>
      <c r="AE14" s="482" t="str">
        <f>IF(OR(O14=0,O14=""),"",(Pressure($B$3,"tliq","e",O14)+Pressure($B$3,"tvap","e",O14))/2)</f>
        <v/>
      </c>
      <c r="AF14" s="480" t="str">
        <f>IF(AE14="","",Enthalpy($B$3,"tp","e",P14,AE14))</f>
        <v/>
      </c>
      <c r="AG14" s="480" t="str">
        <f>IF(AE14="","",(Enthalpy($B$3,"pVAP","E",AE14)))</f>
        <v/>
      </c>
      <c r="AH14" s="480" t="str">
        <f>IF(AE14="","",(Enthalpy($B$3,"pliq","E",AE14)))</f>
        <v/>
      </c>
      <c r="AI14" s="481" t="str">
        <f>IF(AF14="","",(AF14-AG14)/(AF14-AH14))</f>
        <v/>
      </c>
    </row>
    <row r="15" spans="2:35" ht="13.5" thickBot="1" x14ac:dyDescent="0.25">
      <c r="B15" s="782" t="s">
        <v>127</v>
      </c>
      <c r="C15" s="774">
        <f>SUM(C12:C14)</f>
        <v>0</v>
      </c>
      <c r="D15" s="775">
        <f>SUM(D12:D14)</f>
        <v>0</v>
      </c>
      <c r="E15" s="775">
        <f>SUM(E12:E14)</f>
        <v>0</v>
      </c>
      <c r="F15" s="776"/>
      <c r="G15" s="775" t="e">
        <f>SUM(G12:G14)</f>
        <v>#DIV/0!</v>
      </c>
      <c r="H15" s="777" t="e">
        <f>SUM(H12:H14)</f>
        <v>#DIV/0!</v>
      </c>
      <c r="I15" s="778"/>
      <c r="J15" s="775">
        <f>SUM(J12:J14)</f>
        <v>0</v>
      </c>
      <c r="K15" s="775">
        <f>SUM(K12:K14)</f>
        <v>0</v>
      </c>
      <c r="L15" s="776"/>
      <c r="M15" s="776"/>
      <c r="N15" s="775" t="e">
        <f>SUM(N12:N14)</f>
        <v>#DIV/0!</v>
      </c>
      <c r="O15" s="776"/>
      <c r="P15" s="775">
        <f>SUM(M12:M14)</f>
        <v>0</v>
      </c>
      <c r="Q15" s="775" t="e">
        <f>SUM(Q12:Q14)</f>
        <v>#DIV/0!</v>
      </c>
      <c r="R15" s="775" t="e">
        <f>SUM(R12:R14)</f>
        <v>#VALUE!</v>
      </c>
      <c r="S15" s="779">
        <f>SUM(S12:S14)</f>
        <v>0</v>
      </c>
      <c r="T15" s="777" t="e">
        <f>SUM(T12:T14)</f>
        <v>#DIV/0!</v>
      </c>
    </row>
    <row r="16" spans="2:35" x14ac:dyDescent="0.2">
      <c r="B16" s="459"/>
      <c r="C16" s="483"/>
      <c r="D16" s="483"/>
      <c r="E16" s="483"/>
      <c r="F16" s="483"/>
      <c r="G16" s="483"/>
      <c r="H16" s="483"/>
      <c r="I16" s="483"/>
      <c r="J16" s="483"/>
      <c r="K16" s="483"/>
      <c r="L16" s="483"/>
      <c r="M16" s="483"/>
      <c r="N16" s="483"/>
      <c r="O16" s="483"/>
      <c r="P16" s="483"/>
      <c r="Q16" s="483"/>
      <c r="R16" s="483"/>
      <c r="S16" s="483"/>
    </row>
    <row r="17" spans="2:31" x14ac:dyDescent="0.2">
      <c r="B17" s="459"/>
      <c r="C17" s="483"/>
      <c r="D17" s="483"/>
      <c r="E17" s="483"/>
      <c r="F17" s="483"/>
      <c r="G17" s="483"/>
      <c r="H17" s="483"/>
      <c r="I17" s="483"/>
      <c r="J17" s="483"/>
      <c r="K17" s="483"/>
      <c r="L17" s="483"/>
      <c r="M17" s="483"/>
      <c r="N17" s="483"/>
      <c r="O17" s="483"/>
      <c r="P17" s="483"/>
      <c r="Q17" s="483"/>
      <c r="R17" s="483"/>
      <c r="S17" s="483"/>
    </row>
    <row r="18" spans="2:31" x14ac:dyDescent="0.2">
      <c r="W18" s="787" t="s">
        <v>888</v>
      </c>
      <c r="X18" s="787"/>
      <c r="Y18" s="787"/>
      <c r="Z18" s="484"/>
      <c r="AB18" s="787"/>
      <c r="AC18" s="787"/>
      <c r="AD18" s="484"/>
    </row>
    <row r="19" spans="2:31" ht="21.75" customHeight="1" thickBot="1" x14ac:dyDescent="0.25">
      <c r="W19" s="788" t="s">
        <v>735</v>
      </c>
      <c r="X19" s="789" t="s">
        <v>889</v>
      </c>
      <c r="Y19" s="789" t="s">
        <v>890</v>
      </c>
      <c r="Z19" s="485" t="s">
        <v>891</v>
      </c>
      <c r="AA19" s="485" t="s">
        <v>892</v>
      </c>
      <c r="AB19" s="789"/>
      <c r="AC19" s="789"/>
      <c r="AD19" s="485"/>
      <c r="AE19" s="485"/>
    </row>
    <row r="20" spans="2:31" x14ac:dyDescent="0.2">
      <c r="B20" s="486" t="s">
        <v>552</v>
      </c>
      <c r="W20" s="788">
        <v>0</v>
      </c>
      <c r="X20" s="487">
        <v>1</v>
      </c>
      <c r="Y20" s="487">
        <v>1</v>
      </c>
      <c r="Z20" s="487">
        <v>500</v>
      </c>
      <c r="AA20" s="487">
        <v>500</v>
      </c>
      <c r="AB20" s="487"/>
      <c r="AC20" s="487"/>
      <c r="AD20" s="487"/>
      <c r="AE20" s="487"/>
    </row>
    <row r="21" spans="2:31" x14ac:dyDescent="0.2">
      <c r="B21" s="488" t="s">
        <v>412</v>
      </c>
      <c r="W21" s="788">
        <v>5</v>
      </c>
      <c r="X21" s="487">
        <f>X22+(X22-X23)</f>
        <v>0.98449999999999993</v>
      </c>
      <c r="Y21" s="487">
        <f>Y22+(Y22-Y23)</f>
        <v>0.96549999999999991</v>
      </c>
      <c r="Z21" s="487">
        <f>500*X21</f>
        <v>492.24999999999994</v>
      </c>
      <c r="AA21" s="487">
        <f>500*Y21</f>
        <v>482.74999999999994</v>
      </c>
      <c r="AB21" s="487"/>
      <c r="AC21" s="487"/>
      <c r="AD21" s="487"/>
      <c r="AE21" s="487"/>
    </row>
    <row r="22" spans="2:31" x14ac:dyDescent="0.2">
      <c r="B22" s="489" t="s">
        <v>550</v>
      </c>
      <c r="W22" s="788">
        <v>10</v>
      </c>
      <c r="X22" s="487">
        <v>0.97199999999999998</v>
      </c>
      <c r="Y22" s="487">
        <v>0.94599999999999995</v>
      </c>
      <c r="Z22" s="487">
        <f t="shared" ref="Z22:AA34" si="0">500*X22</f>
        <v>486</v>
      </c>
      <c r="AA22" s="487">
        <f t="shared" si="0"/>
        <v>473</v>
      </c>
      <c r="AB22" s="487"/>
      <c r="AC22" s="487"/>
      <c r="AD22" s="487"/>
      <c r="AE22" s="487"/>
    </row>
    <row r="23" spans="2:31" ht="13.5" thickBot="1" x14ac:dyDescent="0.25">
      <c r="B23" s="490" t="s">
        <v>413</v>
      </c>
      <c r="W23" s="788">
        <f>W22+5</f>
        <v>15</v>
      </c>
      <c r="X23" s="487">
        <f>(X24+X22)/2</f>
        <v>0.95950000000000002</v>
      </c>
      <c r="Y23" s="487">
        <f>(Y24+Y22)/2</f>
        <v>0.92649999999999999</v>
      </c>
      <c r="Z23" s="487">
        <f t="shared" si="0"/>
        <v>479.75</v>
      </c>
      <c r="AA23" s="487">
        <f t="shared" si="0"/>
        <v>463.25</v>
      </c>
      <c r="AB23" s="487"/>
      <c r="AC23" s="487"/>
      <c r="AD23" s="487"/>
      <c r="AE23" s="487"/>
    </row>
    <row r="24" spans="2:31" x14ac:dyDescent="0.2">
      <c r="W24" s="788">
        <f t="shared" ref="W24:W32" si="1">W23+5</f>
        <v>20</v>
      </c>
      <c r="X24" s="487">
        <v>0.94699999999999995</v>
      </c>
      <c r="Y24" s="487">
        <v>0.90700000000000003</v>
      </c>
      <c r="Z24" s="487">
        <f t="shared" si="0"/>
        <v>473.5</v>
      </c>
      <c r="AA24" s="487">
        <f t="shared" si="0"/>
        <v>453.5</v>
      </c>
      <c r="AB24" s="487"/>
      <c r="AC24" s="487"/>
      <c r="AD24" s="487"/>
      <c r="AE24" s="487"/>
    </row>
    <row r="25" spans="2:31" x14ac:dyDescent="0.2">
      <c r="W25" s="788">
        <f t="shared" si="1"/>
        <v>25</v>
      </c>
      <c r="X25" s="487">
        <f>(X26+X24)/2</f>
        <v>0.93199999999999994</v>
      </c>
      <c r="Y25" s="487">
        <f>(Y26+Y24)/2</f>
        <v>0.88549999999999995</v>
      </c>
      <c r="Z25" s="487">
        <f t="shared" si="0"/>
        <v>465.99999999999994</v>
      </c>
      <c r="AA25" s="487">
        <f t="shared" si="0"/>
        <v>442.75</v>
      </c>
      <c r="AB25" s="487"/>
      <c r="AC25" s="487"/>
      <c r="AD25" s="487"/>
      <c r="AE25" s="487"/>
    </row>
    <row r="26" spans="2:31" x14ac:dyDescent="0.2">
      <c r="W26" s="788">
        <f t="shared" si="1"/>
        <v>30</v>
      </c>
      <c r="X26" s="487">
        <v>0.91700000000000004</v>
      </c>
      <c r="Y26" s="487">
        <v>0.86399999999999999</v>
      </c>
      <c r="Z26" s="487">
        <f t="shared" si="0"/>
        <v>458.5</v>
      </c>
      <c r="AA26" s="487">
        <f t="shared" si="0"/>
        <v>432</v>
      </c>
      <c r="AB26" s="487"/>
      <c r="AC26" s="487"/>
      <c r="AD26" s="487"/>
      <c r="AE26" s="487"/>
    </row>
    <row r="27" spans="2:31" ht="12" customHeight="1" x14ac:dyDescent="0.2">
      <c r="W27" s="788">
        <f t="shared" si="1"/>
        <v>35</v>
      </c>
      <c r="X27" s="487">
        <f>(X28+X26)/2</f>
        <v>0.89900000000000002</v>
      </c>
      <c r="Y27" s="487">
        <f>(Y28+Y26)/2</f>
        <v>0.84149999999999991</v>
      </c>
      <c r="Z27" s="487">
        <f t="shared" si="0"/>
        <v>449.5</v>
      </c>
      <c r="AA27" s="487">
        <f t="shared" si="0"/>
        <v>420.74999999999994</v>
      </c>
      <c r="AB27" s="487"/>
      <c r="AC27" s="487"/>
      <c r="AD27" s="487"/>
      <c r="AE27" s="487"/>
    </row>
    <row r="28" spans="2:31" ht="12" customHeight="1" x14ac:dyDescent="0.2">
      <c r="W28" s="788">
        <f t="shared" si="1"/>
        <v>40</v>
      </c>
      <c r="X28" s="487">
        <v>0.88100000000000001</v>
      </c>
      <c r="Y28" s="487">
        <v>0.81899999999999995</v>
      </c>
      <c r="Z28" s="487">
        <f t="shared" si="0"/>
        <v>440.5</v>
      </c>
      <c r="AA28" s="487">
        <f t="shared" si="0"/>
        <v>409.5</v>
      </c>
      <c r="AB28" s="487"/>
      <c r="AC28" s="487"/>
      <c r="AD28" s="487"/>
      <c r="AE28" s="487"/>
    </row>
    <row r="29" spans="2:31" ht="12" customHeight="1" x14ac:dyDescent="0.2">
      <c r="W29" s="788">
        <f>W28+5</f>
        <v>45</v>
      </c>
      <c r="X29" s="487">
        <f>(X30+X28)/2</f>
        <v>0.86050000000000004</v>
      </c>
      <c r="Y29" s="487">
        <f>(Y30+Y28)/2</f>
        <v>0.79549999999999998</v>
      </c>
      <c r="Z29" s="487">
        <f t="shared" si="0"/>
        <v>430.25</v>
      </c>
      <c r="AA29" s="487">
        <f t="shared" si="0"/>
        <v>397.75</v>
      </c>
      <c r="AB29" s="487"/>
      <c r="AC29" s="487"/>
      <c r="AD29" s="487"/>
      <c r="AE29" s="487"/>
    </row>
    <row r="30" spans="2:31" ht="12" customHeight="1" x14ac:dyDescent="0.2">
      <c r="W30" s="788">
        <f t="shared" si="1"/>
        <v>50</v>
      </c>
      <c r="X30" s="487">
        <v>0.84</v>
      </c>
      <c r="Y30" s="487">
        <v>0.77200000000000002</v>
      </c>
      <c r="Z30" s="487">
        <f t="shared" si="0"/>
        <v>420</v>
      </c>
      <c r="AA30" s="487">
        <f t="shared" si="0"/>
        <v>386</v>
      </c>
      <c r="AB30" s="487"/>
      <c r="AC30" s="487"/>
      <c r="AD30" s="487"/>
      <c r="AE30" s="487"/>
    </row>
    <row r="31" spans="2:31" x14ac:dyDescent="0.2">
      <c r="W31" s="788">
        <f t="shared" si="1"/>
        <v>55</v>
      </c>
      <c r="X31" s="487">
        <f>(X32+X30)/2</f>
        <v>0.8165</v>
      </c>
      <c r="Y31" s="487">
        <f>(Y32+Y30)/2</f>
        <v>0.747</v>
      </c>
      <c r="Z31" s="487">
        <f t="shared" si="0"/>
        <v>408.25</v>
      </c>
      <c r="AA31" s="487">
        <f t="shared" si="0"/>
        <v>373.5</v>
      </c>
      <c r="AB31" s="487"/>
      <c r="AC31" s="487"/>
      <c r="AD31" s="487"/>
      <c r="AE31" s="487"/>
    </row>
    <row r="32" spans="2:31" ht="12" customHeight="1" x14ac:dyDescent="0.2">
      <c r="W32" s="788">
        <f t="shared" si="1"/>
        <v>60</v>
      </c>
      <c r="X32" s="487">
        <v>0.79300000000000004</v>
      </c>
      <c r="Y32" s="487">
        <v>0.72199999999999998</v>
      </c>
      <c r="Z32" s="487">
        <f t="shared" si="0"/>
        <v>396.5</v>
      </c>
      <c r="AA32" s="487">
        <f t="shared" si="0"/>
        <v>361</v>
      </c>
      <c r="AB32" s="487"/>
      <c r="AC32" s="487"/>
      <c r="AD32" s="487"/>
      <c r="AE32" s="487"/>
    </row>
    <row r="33" spans="23:31" x14ac:dyDescent="0.2">
      <c r="W33" s="788">
        <v>65</v>
      </c>
      <c r="X33" s="487">
        <f>(X34+X32)/2</f>
        <v>0.76649999999999996</v>
      </c>
      <c r="Y33" s="487">
        <f>(Y34+Y32)/2</f>
        <v>0.69599999999999995</v>
      </c>
      <c r="Z33" s="487">
        <f t="shared" si="0"/>
        <v>383.25</v>
      </c>
      <c r="AA33" s="487">
        <f t="shared" si="0"/>
        <v>348</v>
      </c>
      <c r="AB33" s="487"/>
      <c r="AC33" s="487"/>
      <c r="AD33" s="487"/>
      <c r="AE33" s="487"/>
    </row>
    <row r="34" spans="23:31" x14ac:dyDescent="0.2">
      <c r="W34" s="788">
        <v>70</v>
      </c>
      <c r="X34" s="487">
        <v>0.74</v>
      </c>
      <c r="Y34" s="487">
        <v>0.67</v>
      </c>
      <c r="Z34" s="487">
        <f t="shared" si="0"/>
        <v>370</v>
      </c>
      <c r="AA34" s="487">
        <f t="shared" si="0"/>
        <v>335</v>
      </c>
      <c r="AB34" s="487"/>
      <c r="AC34" s="487"/>
      <c r="AD34" s="487"/>
      <c r="AE34" s="487"/>
    </row>
    <row r="83" spans="2:2" x14ac:dyDescent="0.2">
      <c r="B83" s="459"/>
    </row>
  </sheetData>
  <sheetProtection sheet="1" objects="1" scenarios="1" selectLockedCells="1"/>
  <mergeCells count="3">
    <mergeCell ref="F2:O2"/>
    <mergeCell ref="X7:AD7"/>
    <mergeCell ref="AE7:AI7"/>
  </mergeCells>
  <dataValidations count="6">
    <dataValidation type="list" allowBlank="1" showInputMessage="1" showErrorMessage="1" sqref="G5" xr:uid="{FF6B8851-5E07-45B2-863C-D445E1B272AA}">
      <formula1>"N/A,Dom. Hot Water,Air Preheat,Air Htg"</formula1>
    </dataValidation>
    <dataValidation type="list" allowBlank="1" showInputMessage="1" showErrorMessage="1" sqref="F5" xr:uid="{509C7B76-83C8-49F3-AC3B-26F1B5B38819}">
      <formula1>"N/A,Water, Glycol/Water Mix,Direct to Air"</formula1>
    </dataValidation>
    <dataValidation type="list" allowBlank="1" showInputMessage="1" showErrorMessage="1" sqref="Q23:Q24 H5" xr:uid="{0EC790D6-B07E-4F6C-8F1A-1FA14CE0B84E}">
      <formula1>"Full Condensing, Desuperheating"</formula1>
    </dataValidation>
    <dataValidation type="list" allowBlank="1" showInputMessage="1" showErrorMessage="1" sqref="K5" xr:uid="{EAC2F4C6-071B-44A2-941B-992C9ACBCC6A}">
      <formula1>"N/A,0,5,10,15,20,25,30,35,40,45,50,60,65,70"</formula1>
    </dataValidation>
    <dataValidation type="list" allowBlank="1" showInputMessage="1" showErrorMessage="1" sqref="L5" xr:uid="{E42AF727-DD13-4E01-857E-D5650ADDBAD9}">
      <formula1>"N/A,Propylene, Ethylene,Water Only"</formula1>
    </dataValidation>
    <dataValidation type="list" allowBlank="1" showInputMessage="1" showErrorMessage="1" sqref="B42" xr:uid="{83DF1CAA-634B-4661-AFA3-02FD435BB16C}">
      <formula1>$B$87:$B$88</formula1>
    </dataValidation>
  </dataValidations>
  <pageMargins left="0.25" right="0.25" top="0.75" bottom="0.75" header="0.3" footer="0.3"/>
  <pageSetup scale="30" orientation="landscape" r:id="rId1"/>
  <headerFooter scaleWithDoc="0"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176141-845F-4FA0-A2CC-2BAE81562740}">
  <sheetPr codeName="Sheet31">
    <pageSetUpPr fitToPage="1"/>
  </sheetPr>
  <dimension ref="A1:FG197"/>
  <sheetViews>
    <sheetView showGridLines="0" zoomScale="80" zoomScaleNormal="80" workbookViewId="0">
      <pane xSplit="7" topLeftCell="H1" activePane="topRight" state="frozen"/>
      <selection activeCell="H5" sqref="H5"/>
      <selection pane="topRight" activeCell="C116" sqref="C116"/>
    </sheetView>
  </sheetViews>
  <sheetFormatPr defaultRowHeight="12.75" x14ac:dyDescent="0.2"/>
  <cols>
    <col min="1" max="1" width="1.28515625" style="25" customWidth="1"/>
    <col min="2" max="2" width="19.42578125" style="25" customWidth="1"/>
    <col min="3" max="3" width="3" style="25" bestFit="1" customWidth="1"/>
    <col min="4" max="4" width="11.28515625" style="25" customWidth="1"/>
    <col min="5" max="5" width="11.7109375" style="25" customWidth="1"/>
    <col min="6" max="6" width="10.42578125" style="25" bestFit="1" customWidth="1"/>
    <col min="7" max="7" width="7.7109375" style="25" customWidth="1"/>
    <col min="8" max="8" width="13.140625" style="25" bestFit="1" customWidth="1"/>
    <col min="9" max="11" width="11.7109375" style="25" customWidth="1"/>
    <col min="12" max="12" width="10" style="25" customWidth="1"/>
    <col min="13" max="15" width="12.42578125" style="25" customWidth="1"/>
    <col min="16" max="16" width="12.42578125" style="431" customWidth="1"/>
    <col min="17" max="18" width="9.42578125" style="25" customWidth="1"/>
    <col min="19" max="19" width="11.7109375" style="25" customWidth="1"/>
    <col min="20" max="20" width="12" style="25" customWidth="1"/>
    <col min="21" max="21" width="9.28515625" style="25" bestFit="1" customWidth="1"/>
    <col min="22" max="22" width="18.7109375" style="25" bestFit="1" customWidth="1"/>
    <col min="23" max="23" width="10.85546875" style="25" customWidth="1"/>
    <col min="24" max="24" width="11.28515625" style="25" customWidth="1"/>
    <col min="25" max="25" width="11.28515625" style="25" bestFit="1" customWidth="1"/>
    <col min="26" max="26" width="9.5703125" style="25" customWidth="1"/>
    <col min="27" max="27" width="13.28515625" style="25" customWidth="1"/>
    <col min="28" max="28" width="10.7109375" style="25" customWidth="1"/>
    <col min="29" max="31" width="12.42578125" style="25" customWidth="1"/>
    <col min="32" max="32" width="12" style="25" customWidth="1"/>
    <col min="33" max="33" width="10.85546875" style="25" customWidth="1"/>
    <col min="34" max="34" width="9.140625" style="25" customWidth="1"/>
    <col min="35" max="35" width="11.42578125" style="25" hidden="1" customWidth="1"/>
    <col min="36" max="36" width="13.7109375" style="25" hidden="1" customWidth="1"/>
    <col min="37" max="37" width="12.42578125" style="25" hidden="1" customWidth="1"/>
    <col min="38" max="40" width="11.7109375" style="25" hidden="1" customWidth="1"/>
    <col min="41" max="41" width="11.85546875" style="25" hidden="1" customWidth="1"/>
    <col min="42" max="42" width="10.85546875" style="25" hidden="1" customWidth="1"/>
    <col min="43" max="43" width="9.140625" style="25" hidden="1" customWidth="1"/>
    <col min="44" max="44" width="12.28515625" style="25" hidden="1" customWidth="1"/>
    <col min="45" max="45" width="12.140625" style="25" hidden="1" customWidth="1"/>
    <col min="46" max="46" width="13.7109375" style="25" hidden="1" customWidth="1"/>
    <col min="47" max="47" width="10.85546875" style="25" hidden="1" customWidth="1"/>
    <col min="48" max="50" width="9.140625" style="25" hidden="1" customWidth="1"/>
    <col min="51" max="51" width="13.42578125" style="25" customWidth="1"/>
    <col min="52" max="53" width="11.28515625" style="25" customWidth="1"/>
    <col min="54" max="54" width="9.28515625" style="25" customWidth="1"/>
    <col min="55" max="55" width="13.28515625" style="25" customWidth="1"/>
    <col min="56" max="56" width="14.140625" style="25" customWidth="1"/>
    <col min="57" max="57" width="14.28515625" style="25" customWidth="1"/>
    <col min="58" max="58" width="10.42578125" style="25" customWidth="1"/>
    <col min="59" max="59" width="9.5703125" style="25" customWidth="1"/>
    <col min="60" max="60" width="12" style="25" customWidth="1"/>
    <col min="61" max="61" width="11" style="25" customWidth="1"/>
    <col min="62" max="62" width="8.5703125" style="25" customWidth="1"/>
    <col min="63" max="64" width="10.140625" style="25" customWidth="1"/>
    <col min="65" max="65" width="14.5703125" style="25" customWidth="1"/>
    <col min="66" max="66" width="12.42578125" style="25" customWidth="1"/>
    <col min="67" max="67" width="10.28515625" style="25" customWidth="1"/>
    <col min="68" max="68" width="12.85546875" style="25" hidden="1" customWidth="1"/>
    <col min="69" max="69" width="11.28515625" style="25" customWidth="1"/>
    <col min="70" max="70" width="11.28515625" style="25" bestFit="1" customWidth="1"/>
    <col min="71" max="71" width="11.140625" style="25" customWidth="1"/>
    <col min="72" max="72" width="12.42578125" style="25" bestFit="1" customWidth="1"/>
    <col min="73" max="73" width="14.42578125" style="25" customWidth="1"/>
    <col min="74" max="75" width="12.28515625" style="25" hidden="1" customWidth="1"/>
    <col min="76" max="76" width="12" style="213" bestFit="1" customWidth="1"/>
    <col min="77" max="77" width="10.5703125" style="25" customWidth="1"/>
    <col min="78" max="78" width="8.5703125" style="25" hidden="1" customWidth="1"/>
    <col min="79" max="79" width="9.85546875" style="213" hidden="1" customWidth="1"/>
    <col min="80" max="80" width="9.140625" style="25" hidden="1" customWidth="1"/>
    <col min="81" max="81" width="9.140625" style="213" hidden="1" customWidth="1"/>
    <col min="82" max="82" width="12.140625" style="213" customWidth="1"/>
    <col min="83" max="83" width="14.42578125" style="25" customWidth="1"/>
    <col min="84" max="84" width="51" style="25" customWidth="1"/>
    <col min="85" max="85" width="9.140625" style="25"/>
    <col min="86" max="88" width="9.140625" style="213" hidden="1" customWidth="1"/>
    <col min="89" max="89" width="9.140625" style="25" hidden="1" customWidth="1"/>
    <col min="90" max="94" width="9.140625" style="213" hidden="1" customWidth="1"/>
    <col min="95" max="111" width="9.140625" style="25" hidden="1" customWidth="1"/>
    <col min="112" max="113" width="9.140625" style="310" customWidth="1"/>
    <col min="114" max="114" width="15.85546875" style="310" customWidth="1"/>
    <col min="115" max="115" width="9.140625" style="310" customWidth="1"/>
    <col min="116" max="116" width="16.140625" style="310" customWidth="1"/>
    <col min="117" max="117" width="9.140625" style="310" customWidth="1"/>
    <col min="118" max="118" width="15.85546875" style="310" customWidth="1"/>
    <col min="119" max="119" width="9.140625" style="310" customWidth="1"/>
    <col min="120" max="120" width="9.140625" style="304" customWidth="1"/>
    <col min="121" max="121" width="9.140625" style="25" customWidth="1"/>
    <col min="122" max="122" width="12.42578125" style="25" customWidth="1"/>
    <col min="123" max="123" width="9.140625" style="25" customWidth="1"/>
    <col min="124" max="125" width="11.42578125" style="25" customWidth="1"/>
    <col min="126" max="126" width="9.140625" style="25" customWidth="1"/>
    <col min="127" max="127" width="10.42578125" style="25" customWidth="1"/>
    <col min="128" max="155" width="9.140625" style="25" customWidth="1"/>
    <col min="156" max="156" width="13.42578125" style="25" customWidth="1"/>
    <col min="157" max="163" width="9.140625" style="25" customWidth="1"/>
    <col min="164" max="16384" width="9.140625" style="25"/>
  </cols>
  <sheetData>
    <row r="1" spans="1:163" ht="7.5" customHeight="1" thickBot="1" x14ac:dyDescent="0.25">
      <c r="A1" s="25">
        <v>1</v>
      </c>
      <c r="BX1" s="25"/>
      <c r="BY1" s="213"/>
      <c r="DK1" s="440"/>
      <c r="DL1" s="440"/>
      <c r="EB1"/>
      <c r="EC1"/>
      <c r="ED1"/>
      <c r="EE1"/>
      <c r="EF1"/>
      <c r="EG1"/>
      <c r="EH1"/>
      <c r="EI1"/>
      <c r="EJ1"/>
      <c r="EK1"/>
      <c r="EL1"/>
      <c r="EM1"/>
      <c r="EN1"/>
      <c r="EO1"/>
      <c r="EP1"/>
      <c r="EQ1"/>
      <c r="ER1"/>
      <c r="ES1"/>
      <c r="ET1"/>
      <c r="EU1"/>
      <c r="EV1"/>
      <c r="EW1"/>
      <c r="EX1"/>
      <c r="EY1"/>
      <c r="EZ1"/>
    </row>
    <row r="2" spans="1:163" ht="54.75" customHeight="1" x14ac:dyDescent="0.25">
      <c r="A2" s="25">
        <v>1</v>
      </c>
      <c r="B2" s="327" t="str">
        <f>"Refrigerant: " &amp; CHAR(10) &amp; 'Legend(DX)'!$U$1</f>
        <v xml:space="preserve">Refrigerant: 
</v>
      </c>
      <c r="D2" s="791" t="str">
        <f>IF(LEFT('Legend(DX)'!$U$1,1)="G","Supply Fluid Temp",IF(LEFT('Legend(DX)'!$U$1,1)="c","Fluid Temp","Rack SST"))</f>
        <v>Rack SST</v>
      </c>
      <c r="E2" s="791" t="s">
        <v>545</v>
      </c>
      <c r="F2" s="791" t="s">
        <v>556</v>
      </c>
      <c r="G2" s="791" t="s">
        <v>543</v>
      </c>
      <c r="H2" s="791" t="str">
        <f>IF(J4&gt;1,"Fluid Temp","Condensing Temp")</f>
        <v>Fluid Temp</v>
      </c>
      <c r="I2" s="791" t="s">
        <v>798</v>
      </c>
      <c r="J2" s="791" t="s">
        <v>1102</v>
      </c>
      <c r="L2" s="286"/>
      <c r="S2" s="791" t="s">
        <v>1092</v>
      </c>
      <c r="T2" s="791" t="s">
        <v>1093</v>
      </c>
      <c r="V2" s="284"/>
      <c r="W2" s="284"/>
      <c r="Y2" s="791" t="s">
        <v>535</v>
      </c>
      <c r="AB2" s="791" t="s">
        <v>541</v>
      </c>
      <c r="AC2" s="791" t="s">
        <v>540</v>
      </c>
      <c r="AR2" s="791" t="s">
        <v>539</v>
      </c>
      <c r="AS2" s="791" t="s">
        <v>538</v>
      </c>
      <c r="AT2" s="286"/>
      <c r="AU2" s="286"/>
      <c r="AV2" s="286"/>
      <c r="BA2" s="791" t="s">
        <v>535</v>
      </c>
      <c r="BD2" s="791" t="s">
        <v>537</v>
      </c>
      <c r="BE2" s="791" t="s">
        <v>536</v>
      </c>
      <c r="BF2" s="286"/>
      <c r="BN2" s="285"/>
      <c r="BP2" s="285"/>
      <c r="BR2" s="791" t="s">
        <v>535</v>
      </c>
      <c r="BS2" s="791" t="s">
        <v>534</v>
      </c>
      <c r="BT2" s="791" t="s">
        <v>533</v>
      </c>
      <c r="BX2" s="25"/>
      <c r="BY2" s="791" t="s">
        <v>1100</v>
      </c>
      <c r="CH2" s="1292" t="s">
        <v>1170</v>
      </c>
      <c r="CI2" s="1289"/>
      <c r="CJ2" s="1289"/>
      <c r="CK2" s="1290"/>
      <c r="CL2" s="1289"/>
      <c r="CM2" s="1289"/>
      <c r="CN2" s="1289"/>
      <c r="CO2" s="1289"/>
      <c r="CP2" s="1289"/>
      <c r="CQ2" s="1290"/>
      <c r="CR2" s="1290"/>
      <c r="CS2" s="1290"/>
      <c r="CT2" s="1290"/>
      <c r="CU2" s="1290"/>
      <c r="CV2" s="1290"/>
      <c r="CW2" s="1290"/>
      <c r="CX2" s="1290"/>
      <c r="CY2" s="1290"/>
      <c r="CZ2" s="1290"/>
      <c r="DA2" s="1290"/>
      <c r="DB2" s="1290"/>
      <c r="DC2" s="1290"/>
      <c r="DD2" s="1290"/>
      <c r="DE2" s="1290"/>
      <c r="DF2" s="1290"/>
      <c r="DG2" s="1290"/>
      <c r="DK2" s="440"/>
      <c r="DL2" s="440"/>
      <c r="DR2" s="1293" t="s">
        <v>799</v>
      </c>
      <c r="DS2" s="1289"/>
      <c r="DT2" s="1293" t="s">
        <v>800</v>
      </c>
      <c r="DU2" s="1293"/>
      <c r="DV2" s="1293" t="s">
        <v>801</v>
      </c>
      <c r="DW2" s="1293" t="s">
        <v>802</v>
      </c>
      <c r="DX2" s="1293" t="s">
        <v>803</v>
      </c>
      <c r="DY2" s="1294"/>
      <c r="DZ2" s="1291" t="s">
        <v>1170</v>
      </c>
      <c r="EA2" s="1289"/>
      <c r="EB2" s="1290"/>
      <c r="EC2" s="1290"/>
      <c r="ED2" s="1290"/>
      <c r="EE2" s="1290"/>
      <c r="EF2" s="1290"/>
      <c r="EG2" s="1290"/>
      <c r="EH2" s="1290"/>
      <c r="EI2" s="1290"/>
      <c r="EJ2" s="1290"/>
      <c r="EK2" s="1290"/>
      <c r="EL2" s="1290"/>
      <c r="EM2" s="1290"/>
      <c r="EN2" s="1290"/>
      <c r="EO2" s="1290"/>
      <c r="EP2" s="1290"/>
      <c r="EQ2" s="1290"/>
      <c r="ER2" s="1290"/>
      <c r="ES2" s="1290"/>
      <c r="ET2" s="1290"/>
      <c r="EU2" s="1290"/>
      <c r="EV2" s="1290"/>
      <c r="EW2" s="1290"/>
      <c r="EX2" s="1290"/>
      <c r="EY2" s="1290"/>
      <c r="EZ2" s="1290"/>
      <c r="FA2" s="1290"/>
      <c r="FB2" s="1290"/>
      <c r="FC2" s="1290"/>
      <c r="FD2" s="1290"/>
      <c r="FE2" s="1290"/>
      <c r="FF2" s="1290"/>
      <c r="FG2" s="1290"/>
    </row>
    <row r="3" spans="1:163" ht="13.5" thickBot="1" x14ac:dyDescent="0.25">
      <c r="A3" s="25">
        <v>1</v>
      </c>
      <c r="B3" s="790" t="str">
        <f>IF(($C$6)&gt;0,"LineSize Calculations Off",VLOOKUP('Legend(DX)'!$U$1,Refrigerant,2,FALSE))</f>
        <v>LineSize Calculations Off</v>
      </c>
      <c r="C3" s="433">
        <f>IF(LEFT('Legend(DX)'!$U$1,6)="Glycol",1,0)</f>
        <v>0</v>
      </c>
      <c r="D3" s="792" t="s">
        <v>459</v>
      </c>
      <c r="E3" s="792" t="s">
        <v>460</v>
      </c>
      <c r="F3" s="792" t="s">
        <v>459</v>
      </c>
      <c r="G3" s="792" t="s">
        <v>459</v>
      </c>
      <c r="H3" s="792" t="s">
        <v>459</v>
      </c>
      <c r="I3" s="792" t="s">
        <v>460</v>
      </c>
      <c r="J3" s="792"/>
      <c r="L3" s="277"/>
      <c r="S3" s="792" t="s">
        <v>459</v>
      </c>
      <c r="T3" s="792" t="s">
        <v>1094</v>
      </c>
      <c r="V3" s="284"/>
      <c r="W3" s="284"/>
      <c r="Y3" s="794"/>
      <c r="AB3" s="794" t="s">
        <v>457</v>
      </c>
      <c r="AC3" s="794" t="s">
        <v>457</v>
      </c>
      <c r="AR3" s="794" t="s">
        <v>457</v>
      </c>
      <c r="AS3" s="794" t="s">
        <v>457</v>
      </c>
      <c r="AT3" s="283"/>
      <c r="AU3" s="283"/>
      <c r="AV3" s="283"/>
      <c r="BA3" s="794"/>
      <c r="BD3" s="794" t="s">
        <v>457</v>
      </c>
      <c r="BE3" s="794" t="s">
        <v>457</v>
      </c>
      <c r="BF3" s="283"/>
      <c r="BN3" s="282"/>
      <c r="BP3" s="282"/>
      <c r="BR3" s="794"/>
      <c r="BS3" s="794" t="str">
        <f>IF($C$3&gt;0,"[fps]","[fpm]")</f>
        <v>[fpm]</v>
      </c>
      <c r="BT3" s="794" t="s">
        <v>532</v>
      </c>
      <c r="BX3" s="25"/>
      <c r="BY3" s="794"/>
      <c r="DK3" s="440"/>
      <c r="DL3" s="440"/>
      <c r="DR3" s="213"/>
      <c r="DS3" s="213"/>
      <c r="DT3" s="277"/>
      <c r="DU3" s="277"/>
      <c r="DV3" s="277"/>
      <c r="DW3" s="277"/>
      <c r="DX3" s="213"/>
      <c r="DY3" s="213"/>
      <c r="DZ3" s="213"/>
      <c r="EA3" s="213"/>
    </row>
    <row r="4" spans="1:163" ht="20.25" customHeight="1" thickBot="1" x14ac:dyDescent="0.25">
      <c r="A4" s="25">
        <v>1</v>
      </c>
      <c r="C4" s="433" t="str">
        <f>LEFT('Legend(DX)'!$U$1,9)</f>
        <v/>
      </c>
      <c r="D4" s="281" t="str">
        <f>IF(($C$6)&gt;0,"",IF($C$3&gt;0,MIN('Legend(DX)'!AB8:AB9),LegendSG1RSST))</f>
        <v/>
      </c>
      <c r="E4" s="280" t="str">
        <f>IF(($C$6)&gt;0,"",Pressure((B3),"TVAP","E",D4+0.5*DX4))</f>
        <v/>
      </c>
      <c r="F4" s="279" t="str">
        <f>IF(($C$6)&gt;0,"",IF(J4&gt;1,-1,-1*(MIN(LegendSG1EVT)-D4)))</f>
        <v/>
      </c>
      <c r="G4" s="278" t="str">
        <f>IF(($C$6)&gt;0,"",IF(LEFT('Legend(DX)'!$U$1,1)="c",D4,IF(LegendSG1LT="",H4,LegendSG1LT)))</f>
        <v/>
      </c>
      <c r="H4" s="278" t="str">
        <f>IF(($C$6)&gt;0,"",IF(LEFT('Legend(DX)'!$U$1,1)="c",D4,IF(LegendSG1CT="","",LegendSG1CT)))</f>
        <v/>
      </c>
      <c r="I4" s="278" t="str">
        <f>IF(($C$6)&gt;0,"",(Pressure($B$3,"tliq","e",$H$4)+Pressure($B$3,"tvap","e",$H$4))/2)</f>
        <v/>
      </c>
      <c r="J4" s="278" t="str">
        <f>IF(($C$6)&gt;0,"",IF(LEFT('Legend(DX)'!$U$1,1)="C",MAX(LegendSG1SCR),1))</f>
        <v/>
      </c>
      <c r="L4" s="277"/>
      <c r="S4" s="1226"/>
      <c r="T4" s="1226"/>
      <c r="Y4" s="273">
        <v>1.3</v>
      </c>
      <c r="AB4" s="1445" t="str">
        <f>IF(($J$4)&gt;1,"",1200)</f>
        <v/>
      </c>
      <c r="AC4" s="272">
        <f>IF(($J$4)&gt;1,800,2000)</f>
        <v>800</v>
      </c>
      <c r="AR4" s="1445">
        <v>1200</v>
      </c>
      <c r="AS4" s="272">
        <f>IF(($J$4)&gt;1,800,2000)</f>
        <v>800</v>
      </c>
      <c r="AT4" s="276"/>
      <c r="AU4" s="276"/>
      <c r="AV4" s="276"/>
      <c r="BA4" s="273">
        <v>1.3</v>
      </c>
      <c r="BD4" s="1445" t="str">
        <f>IF(($J$4)&gt;1,"",500)</f>
        <v/>
      </c>
      <c r="BE4" s="1445" t="str">
        <f>IF(($J$4)&gt;1,"",1500)</f>
        <v/>
      </c>
      <c r="BF4" s="275"/>
      <c r="BN4" s="274"/>
      <c r="BP4" s="274"/>
      <c r="BR4" s="273">
        <f>IF($C$3&gt;0,2.6,1.3)</f>
        <v>1.3</v>
      </c>
      <c r="BS4" s="272">
        <f>IF($C$3&gt;0,4,IF(J4&gt;1,200,150))</f>
        <v>200</v>
      </c>
      <c r="BT4" s="271" t="str">
        <f>IF(($C$6)&gt;0,"",(Pressure(($B$3),"TLIQ","E",($H$4)))-(Pressure(($B$3),"TLIQ","E",(($H$4)-1))))</f>
        <v/>
      </c>
      <c r="BX4" s="25"/>
      <c r="BY4" s="273">
        <v>4</v>
      </c>
      <c r="CA4" s="213" t="s">
        <v>555</v>
      </c>
      <c r="CB4" s="25" t="s">
        <v>554</v>
      </c>
      <c r="CC4" s="213" t="s">
        <v>553</v>
      </c>
      <c r="DK4" s="440"/>
      <c r="DL4" s="440"/>
      <c r="DR4" s="1253" t="str">
        <f>IF(($C$6)&gt;0,"",TEMPERATURE($B$3,"pvap","e",($I$4))-TEMPERATURE($B$3,"pliq","e",($I$4)))</f>
        <v/>
      </c>
      <c r="DS4" s="213"/>
      <c r="DT4" s="1254" t="str">
        <f>IF(($C$6)&gt;0,"",(Pressure($B$3,"Tliq","e",($D$4))+Pressure($B$3,"Tvap","e",($D$4)))/2)</f>
        <v/>
      </c>
      <c r="DU4" s="1255"/>
      <c r="DV4" s="1256" t="str">
        <f>IF(($C$6)&gt;0,"",1-(Enthalpy($B$3,"pvap","e",($DT$4))-(IF(($G$4)+0.5*($DR$4)&gt;($H$4),Enthalpy($B$3,"Tliq","e",($G$4)),Enthalpy($B$3,"tp","e",($G$4),($I$4)))))/(Enthalpy($B$3,"pvap","e",($DT$4))-Enthalpy($B$3,"pliq","e",($DT$4))))</f>
        <v/>
      </c>
      <c r="DW4" s="1256" t="str">
        <f>IF(($C$6)&gt;0,"",TEMPERATURE($B$3,"pvap","e",($DT$4))-TEMPERATURE($B$3,"pliq","e",($DT$4)))</f>
        <v/>
      </c>
      <c r="DX4" s="1257" t="e">
        <f>(1-($DV$4))*($DW$4)</f>
        <v>#VALUE!</v>
      </c>
      <c r="DY4" s="213"/>
      <c r="DZ4" s="213"/>
      <c r="EA4" s="213"/>
    </row>
    <row r="5" spans="1:163" ht="13.5" thickBot="1" x14ac:dyDescent="0.25">
      <c r="A5" s="25">
        <v>1</v>
      </c>
      <c r="B5" s="292" t="s">
        <v>973</v>
      </c>
      <c r="D5" s="213"/>
      <c r="E5" s="213"/>
      <c r="F5" s="213"/>
      <c r="G5" s="213"/>
      <c r="H5" s="213"/>
      <c r="AB5" s="272">
        <f>IF(($J$4)&gt;1,180,700)</f>
        <v>180</v>
      </c>
      <c r="AR5" s="272">
        <v>700</v>
      </c>
      <c r="BD5" s="272">
        <f>IF(($J$4)&gt;1,180,250)</f>
        <v>180</v>
      </c>
      <c r="BE5" s="272">
        <f>IF(($J$4)&gt;1,800,1750)</f>
        <v>800</v>
      </c>
      <c r="BS5" s="1445" t="str">
        <f>IF($C$3&gt;0,"",IF(J4&gt;1,"",120))</f>
        <v/>
      </c>
      <c r="BX5" s="25"/>
      <c r="BY5" s="213"/>
      <c r="CH5" s="302" t="s">
        <v>152</v>
      </c>
      <c r="CI5" s="299"/>
      <c r="CJ5" s="299"/>
      <c r="CK5" s="300"/>
      <c r="CL5" s="299"/>
      <c r="CM5" s="299"/>
      <c r="CN5" s="299"/>
      <c r="CO5" s="301"/>
      <c r="CQ5" s="305"/>
      <c r="CR5" s="306" t="s">
        <v>153</v>
      </c>
      <c r="CS5" s="300"/>
      <c r="CT5" s="300"/>
      <c r="CU5" s="300"/>
      <c r="CV5" s="300"/>
      <c r="CW5" s="300"/>
      <c r="CX5" s="300"/>
      <c r="CY5" s="300"/>
      <c r="CZ5" s="300"/>
      <c r="DA5" s="300"/>
      <c r="DB5" s="300"/>
      <c r="DC5" s="307"/>
      <c r="DE5" s="309" t="s">
        <v>158</v>
      </c>
      <c r="DF5" s="306"/>
      <c r="DG5" s="306"/>
      <c r="DK5" s="440"/>
      <c r="DL5" s="440"/>
      <c r="DR5" s="213"/>
      <c r="DS5" s="213"/>
      <c r="DT5" s="213"/>
      <c r="DU5" s="213"/>
      <c r="DV5" s="320" t="s">
        <v>804</v>
      </c>
      <c r="DW5" s="213"/>
      <c r="DX5" s="213"/>
      <c r="DY5" s="213"/>
      <c r="DZ5" s="213"/>
      <c r="EA5" s="213"/>
      <c r="EB5" s="304" t="s">
        <v>1103</v>
      </c>
      <c r="FA5" s="302" t="s">
        <v>1257</v>
      </c>
      <c r="FB5" s="300"/>
      <c r="FC5" s="300"/>
      <c r="FD5" s="300"/>
      <c r="FE5" s="300"/>
      <c r="FF5" s="300"/>
      <c r="FG5" s="307"/>
    </row>
    <row r="6" spans="1:163" x14ac:dyDescent="0.2">
      <c r="A6" s="25">
        <v>1</v>
      </c>
      <c r="B6" s="291" t="s">
        <v>412</v>
      </c>
      <c r="C6" s="240">
        <f>E6</f>
        <v>1</v>
      </c>
      <c r="D6" s="290" t="s">
        <v>551</v>
      </c>
      <c r="E6" s="869">
        <v>1</v>
      </c>
      <c r="F6" s="221">
        <v>0</v>
      </c>
      <c r="G6" s="869">
        <v>0</v>
      </c>
      <c r="I6" s="433">
        <v>4</v>
      </c>
      <c r="J6" s="433">
        <v>6</v>
      </c>
      <c r="K6" s="433">
        <v>7</v>
      </c>
      <c r="L6" s="433">
        <v>8</v>
      </c>
      <c r="M6" s="433">
        <v>9</v>
      </c>
      <c r="N6" s="433">
        <v>10</v>
      </c>
      <c r="O6" s="433">
        <v>11</v>
      </c>
      <c r="P6" s="434">
        <v>12</v>
      </c>
      <c r="Q6" s="433">
        <v>13</v>
      </c>
      <c r="R6" s="433">
        <v>14</v>
      </c>
      <c r="S6" s="433">
        <v>15</v>
      </c>
      <c r="T6" s="433">
        <v>16</v>
      </c>
      <c r="U6" s="433">
        <v>17</v>
      </c>
      <c r="V6" s="433">
        <v>18</v>
      </c>
      <c r="W6" s="433">
        <v>19</v>
      </c>
      <c r="X6" s="433">
        <v>20</v>
      </c>
      <c r="Y6" s="433">
        <v>21</v>
      </c>
      <c r="Z6" s="433">
        <v>22</v>
      </c>
      <c r="AA6" s="433">
        <v>23</v>
      </c>
      <c r="AB6" s="433">
        <v>24</v>
      </c>
      <c r="AC6" s="433">
        <v>25</v>
      </c>
      <c r="AD6" s="433">
        <v>26</v>
      </c>
      <c r="AE6" s="433">
        <v>27</v>
      </c>
      <c r="AF6" s="433">
        <v>28</v>
      </c>
      <c r="AG6" s="433">
        <v>29</v>
      </c>
      <c r="AH6" s="433">
        <v>30</v>
      </c>
      <c r="AI6" s="433">
        <v>31</v>
      </c>
      <c r="AJ6" s="433">
        <v>32</v>
      </c>
      <c r="AK6" s="433">
        <v>33</v>
      </c>
      <c r="AL6" s="433">
        <v>34</v>
      </c>
      <c r="AM6" s="433">
        <v>35</v>
      </c>
      <c r="AN6" s="433">
        <v>36</v>
      </c>
      <c r="AO6" s="433">
        <v>37</v>
      </c>
      <c r="AP6" s="433">
        <v>38</v>
      </c>
      <c r="AQ6" s="433">
        <v>39</v>
      </c>
      <c r="AR6" s="433">
        <v>40</v>
      </c>
      <c r="AS6" s="433">
        <v>41</v>
      </c>
      <c r="AT6" s="433">
        <v>42</v>
      </c>
      <c r="AU6" s="433">
        <v>43</v>
      </c>
      <c r="AV6" s="433">
        <v>44</v>
      </c>
      <c r="AW6" s="433">
        <v>45</v>
      </c>
      <c r="AX6" s="433">
        <v>46</v>
      </c>
      <c r="AY6" s="433"/>
      <c r="AZ6" s="433">
        <v>47</v>
      </c>
      <c r="BA6" s="433">
        <v>48</v>
      </c>
      <c r="BB6" s="433">
        <v>49</v>
      </c>
      <c r="BC6" s="433">
        <v>50</v>
      </c>
      <c r="BD6" s="433">
        <v>51</v>
      </c>
      <c r="BE6" s="433">
        <v>52</v>
      </c>
      <c r="BF6" s="433">
        <v>53</v>
      </c>
      <c r="BG6" s="433">
        <v>54</v>
      </c>
      <c r="BH6" s="433">
        <v>55</v>
      </c>
      <c r="BI6" s="433">
        <v>56</v>
      </c>
      <c r="BJ6" s="433">
        <v>57</v>
      </c>
      <c r="BK6" s="433">
        <v>58</v>
      </c>
      <c r="BL6" s="433">
        <v>59</v>
      </c>
      <c r="BM6" s="433">
        <v>60</v>
      </c>
      <c r="BN6" s="433">
        <v>61</v>
      </c>
      <c r="BO6" s="433">
        <v>62</v>
      </c>
      <c r="BP6" s="433">
        <v>63</v>
      </c>
      <c r="BQ6" s="433">
        <v>64</v>
      </c>
      <c r="BR6" s="433">
        <v>65</v>
      </c>
      <c r="BS6" s="433">
        <v>66</v>
      </c>
      <c r="BT6" s="433">
        <v>67</v>
      </c>
      <c r="BU6" s="433">
        <v>68</v>
      </c>
      <c r="BV6" s="433">
        <v>69</v>
      </c>
      <c r="BW6" s="433">
        <v>70</v>
      </c>
      <c r="BX6" s="433">
        <v>71</v>
      </c>
      <c r="BY6" s="433">
        <v>72</v>
      </c>
      <c r="BZ6" s="433">
        <v>73</v>
      </c>
      <c r="CA6" s="978">
        <v>94</v>
      </c>
      <c r="CB6" s="433">
        <v>75</v>
      </c>
      <c r="CC6" s="433">
        <v>76</v>
      </c>
      <c r="CD6" s="433">
        <v>77</v>
      </c>
      <c r="CQ6" s="25" t="s">
        <v>157</v>
      </c>
      <c r="CR6" s="25" t="str">
        <f>IF(($G$4)=($H$4),(LiquidDensity(($B$3),"TLIQ","E",($G$4))),(Density(($B$3),"TP","E",($G$4),(Pressure(($B$3),"TLIQ","E",($H$4))))))</f>
        <v>#Inputs are missing</v>
      </c>
      <c r="DK6" s="440" t="s">
        <v>159</v>
      </c>
      <c r="DL6" s="440"/>
      <c r="DR6" s="213"/>
      <c r="DS6" s="213"/>
      <c r="DT6" s="213"/>
      <c r="DU6" s="213"/>
      <c r="DV6" s="213"/>
      <c r="DW6" s="213"/>
      <c r="DX6" s="213"/>
      <c r="DY6" s="213"/>
      <c r="DZ6" s="213"/>
      <c r="EA6" s="213"/>
      <c r="EB6" s="304" t="s">
        <v>1104</v>
      </c>
      <c r="FA6" s="304"/>
      <c r="FB6" s="304"/>
      <c r="FC6" s="304"/>
      <c r="FD6" s="304"/>
      <c r="FE6" s="304"/>
      <c r="FF6" s="304"/>
    </row>
    <row r="7" spans="1:163" ht="14.25" x14ac:dyDescent="0.2">
      <c r="A7" s="25">
        <v>1</v>
      </c>
      <c r="B7" s="289" t="s">
        <v>550</v>
      </c>
      <c r="D7" s="221"/>
      <c r="E7" s="221"/>
      <c r="F7" s="221"/>
      <c r="G7" s="221"/>
      <c r="I7" s="433">
        <v>6</v>
      </c>
      <c r="J7" s="433">
        <v>4</v>
      </c>
      <c r="K7" s="433">
        <v>5</v>
      </c>
      <c r="L7" s="433">
        <v>6</v>
      </c>
      <c r="M7" s="433">
        <v>7</v>
      </c>
      <c r="N7" s="433">
        <v>8</v>
      </c>
      <c r="O7" s="433">
        <v>9</v>
      </c>
      <c r="P7" s="434">
        <v>10</v>
      </c>
      <c r="Q7" s="433">
        <v>11</v>
      </c>
      <c r="R7" s="433">
        <v>12</v>
      </c>
      <c r="S7" s="433">
        <v>13</v>
      </c>
      <c r="T7" s="433">
        <v>14</v>
      </c>
      <c r="U7" s="433">
        <v>15</v>
      </c>
      <c r="V7" s="433">
        <v>16</v>
      </c>
      <c r="W7" s="433">
        <v>17</v>
      </c>
      <c r="X7" s="433">
        <v>18</v>
      </c>
      <c r="Y7" s="433">
        <v>19</v>
      </c>
      <c r="Z7" s="433">
        <v>20</v>
      </c>
      <c r="AA7" s="433">
        <v>21</v>
      </c>
      <c r="AB7" s="433">
        <v>22</v>
      </c>
      <c r="AC7" s="433">
        <v>23</v>
      </c>
      <c r="AD7" s="433">
        <v>24</v>
      </c>
      <c r="AE7" s="433">
        <v>25</v>
      </c>
      <c r="AF7" s="433">
        <v>26</v>
      </c>
      <c r="AG7" s="433">
        <v>27</v>
      </c>
      <c r="AH7" s="433">
        <v>28</v>
      </c>
      <c r="AI7" s="433">
        <v>29</v>
      </c>
      <c r="AJ7" s="433">
        <v>30</v>
      </c>
      <c r="AK7" s="433">
        <v>31</v>
      </c>
      <c r="AL7" s="433">
        <v>32</v>
      </c>
      <c r="AM7" s="433">
        <v>33</v>
      </c>
      <c r="AN7" s="433">
        <v>34</v>
      </c>
      <c r="AO7" s="433">
        <v>35</v>
      </c>
      <c r="AP7" s="433">
        <v>36</v>
      </c>
      <c r="AQ7" s="433">
        <v>37</v>
      </c>
      <c r="AR7" s="433">
        <v>38</v>
      </c>
      <c r="AS7" s="433">
        <v>39</v>
      </c>
      <c r="AT7" s="433">
        <v>40</v>
      </c>
      <c r="AU7" s="433">
        <v>41</v>
      </c>
      <c r="AV7" s="433">
        <v>42</v>
      </c>
      <c r="AW7" s="433">
        <v>43</v>
      </c>
      <c r="AX7" s="433">
        <v>44</v>
      </c>
      <c r="AY7" s="433"/>
      <c r="AZ7" s="433">
        <v>45</v>
      </c>
      <c r="BA7" s="433">
        <v>46</v>
      </c>
      <c r="BB7" s="433">
        <v>47</v>
      </c>
      <c r="BC7" s="433">
        <v>48</v>
      </c>
      <c r="BD7" s="433">
        <v>49</v>
      </c>
      <c r="BE7" s="433">
        <v>50</v>
      </c>
      <c r="BF7" s="433">
        <v>51</v>
      </c>
      <c r="BG7" s="433">
        <v>52</v>
      </c>
      <c r="BH7" s="433">
        <v>53</v>
      </c>
      <c r="BI7" s="433">
        <v>54</v>
      </c>
      <c r="BJ7" s="433">
        <v>55</v>
      </c>
      <c r="BK7" s="433">
        <v>56</v>
      </c>
      <c r="BL7" s="433">
        <v>57</v>
      </c>
      <c r="BM7" s="433">
        <v>58</v>
      </c>
      <c r="BN7" s="433">
        <v>59</v>
      </c>
      <c r="BO7" s="433">
        <v>60</v>
      </c>
      <c r="BP7" s="433">
        <v>61</v>
      </c>
      <c r="BQ7" s="433">
        <v>62</v>
      </c>
      <c r="BR7" s="433">
        <v>63</v>
      </c>
      <c r="BS7" s="433">
        <v>64</v>
      </c>
      <c r="BT7" s="433">
        <v>65</v>
      </c>
      <c r="BU7" s="433">
        <v>66</v>
      </c>
      <c r="BV7" s="433">
        <v>67</v>
      </c>
      <c r="BW7" s="433">
        <v>68</v>
      </c>
      <c r="BX7" s="433">
        <v>69</v>
      </c>
      <c r="BY7" s="433">
        <v>70</v>
      </c>
      <c r="BZ7" s="433">
        <v>71</v>
      </c>
      <c r="CA7" s="433">
        <v>72</v>
      </c>
      <c r="CB7" s="433">
        <v>73</v>
      </c>
      <c r="CC7" s="433">
        <v>74</v>
      </c>
      <c r="CD7" s="433">
        <v>75</v>
      </c>
      <c r="CH7" s="270" t="s">
        <v>531</v>
      </c>
      <c r="CI7" s="270" t="s">
        <v>530</v>
      </c>
      <c r="CJ7" s="270" t="s">
        <v>525</v>
      </c>
      <c r="CK7" s="270" t="s">
        <v>529</v>
      </c>
      <c r="CL7" s="270" t="s">
        <v>528</v>
      </c>
      <c r="CM7" s="270" t="s">
        <v>527</v>
      </c>
      <c r="CN7" s="270" t="s">
        <v>527</v>
      </c>
      <c r="DE7" s="304" t="s">
        <v>167</v>
      </c>
      <c r="DF7" s="304" t="s">
        <v>169</v>
      </c>
      <c r="DG7" s="304" t="s">
        <v>170</v>
      </c>
      <c r="DH7" s="310" t="s">
        <v>160</v>
      </c>
      <c r="DI7" s="310" t="s">
        <v>161</v>
      </c>
      <c r="DK7" s="440" t="s">
        <v>162</v>
      </c>
      <c r="DL7" s="440"/>
      <c r="DO7" s="310" t="s">
        <v>181</v>
      </c>
      <c r="DR7" s="213"/>
      <c r="DS7" s="213"/>
      <c r="DT7" s="213"/>
      <c r="DU7" s="213"/>
      <c r="DV7" s="213"/>
      <c r="DW7" s="213"/>
      <c r="DX7" s="213"/>
      <c r="DY7" s="213"/>
      <c r="DZ7" s="213"/>
      <c r="EA7" s="213"/>
      <c r="EB7" s="304" t="s">
        <v>1105</v>
      </c>
      <c r="FA7" s="304" t="s">
        <v>531</v>
      </c>
      <c r="FB7" s="304" t="s">
        <v>530</v>
      </c>
      <c r="FC7" s="304" t="s">
        <v>527</v>
      </c>
      <c r="FD7" s="304" t="s">
        <v>1258</v>
      </c>
      <c r="FE7" s="304" t="s">
        <v>1258</v>
      </c>
      <c r="FF7" s="304" t="s">
        <v>1260</v>
      </c>
      <c r="FG7" s="304" t="s">
        <v>1260</v>
      </c>
    </row>
    <row r="8" spans="1:163" ht="12.75" customHeight="1" thickBot="1" x14ac:dyDescent="0.25">
      <c r="A8" s="25">
        <v>1</v>
      </c>
      <c r="B8" s="288" t="s">
        <v>413</v>
      </c>
      <c r="C8" s="268"/>
      <c r="D8" s="221"/>
      <c r="E8" s="221"/>
      <c r="F8" s="221"/>
      <c r="G8" s="221"/>
      <c r="H8" s="221"/>
      <c r="I8" s="221"/>
      <c r="J8" s="221"/>
      <c r="K8" s="221"/>
      <c r="L8" s="221"/>
      <c r="M8" s="221"/>
      <c r="N8" s="221"/>
      <c r="O8" s="221"/>
      <c r="P8" s="223"/>
      <c r="Q8" s="221"/>
      <c r="R8" s="221"/>
      <c r="S8" s="221"/>
      <c r="T8" s="221"/>
      <c r="U8" s="221"/>
      <c r="V8" s="221"/>
      <c r="W8" s="439">
        <f>COUNTIF(W9:W154,"double")</f>
        <v>0</v>
      </c>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v>74</v>
      </c>
      <c r="CB8" s="221">
        <v>75</v>
      </c>
      <c r="CC8" s="221">
        <v>76</v>
      </c>
      <c r="CD8" s="221"/>
      <c r="CE8" s="268"/>
      <c r="CH8" s="270" t="s">
        <v>526</v>
      </c>
      <c r="CI8" s="270" t="s">
        <v>526</v>
      </c>
      <c r="CM8" s="270" t="s">
        <v>526</v>
      </c>
      <c r="CN8" s="270" t="s">
        <v>525</v>
      </c>
      <c r="CO8" s="270" t="s">
        <v>524</v>
      </c>
      <c r="CP8" s="270"/>
      <c r="CR8" s="303">
        <v>0.375</v>
      </c>
      <c r="CS8" s="303">
        <v>0.5</v>
      </c>
      <c r="CT8" s="303">
        <v>0.625</v>
      </c>
      <c r="CU8" s="303">
        <v>0.875</v>
      </c>
      <c r="CV8" s="303">
        <v>1.125</v>
      </c>
      <c r="CW8" s="303">
        <v>1.375</v>
      </c>
      <c r="CX8" s="303">
        <v>1.625</v>
      </c>
      <c r="CY8" s="303">
        <v>2.125</v>
      </c>
      <c r="CZ8" s="303">
        <v>2.625</v>
      </c>
      <c r="DA8" s="303">
        <v>3.125</v>
      </c>
      <c r="DB8" s="303">
        <v>3.625</v>
      </c>
      <c r="DC8" s="303">
        <v>4.125</v>
      </c>
      <c r="DE8" s="304" t="s">
        <v>166</v>
      </c>
      <c r="DF8" s="304" t="s">
        <v>168</v>
      </c>
      <c r="DG8" s="304" t="s">
        <v>166</v>
      </c>
      <c r="DH8" s="310" t="s">
        <v>163</v>
      </c>
      <c r="DI8" s="310" t="s">
        <v>162</v>
      </c>
      <c r="DK8" s="440" t="s">
        <v>164</v>
      </c>
      <c r="DL8" s="440"/>
      <c r="DM8" s="310" t="s">
        <v>165</v>
      </c>
      <c r="DO8" s="310" t="s">
        <v>182</v>
      </c>
      <c r="DR8" s="1258" t="s">
        <v>805</v>
      </c>
      <c r="DS8" s="1258" t="s">
        <v>806</v>
      </c>
      <c r="DT8" s="1258" t="s">
        <v>807</v>
      </c>
      <c r="DU8" s="1258" t="s">
        <v>808</v>
      </c>
      <c r="DV8" s="1258" t="s">
        <v>809</v>
      </c>
      <c r="DW8" s="1258" t="s">
        <v>810</v>
      </c>
      <c r="DX8" s="1259" t="s">
        <v>801</v>
      </c>
      <c r="DY8" s="1259" t="s">
        <v>802</v>
      </c>
      <c r="DZ8" s="1259" t="s">
        <v>803</v>
      </c>
      <c r="EA8" s="213"/>
      <c r="EB8" s="320" t="s">
        <v>1106</v>
      </c>
      <c r="EC8" s="320" t="s">
        <v>1107</v>
      </c>
      <c r="ED8" s="320" t="s">
        <v>1108</v>
      </c>
      <c r="EE8" s="213" t="s">
        <v>1109</v>
      </c>
      <c r="EF8" s="213" t="s">
        <v>578</v>
      </c>
      <c r="EG8" s="213" t="s">
        <v>1110</v>
      </c>
      <c r="EH8" s="213" t="s">
        <v>1111</v>
      </c>
      <c r="EI8" s="320" t="s">
        <v>1112</v>
      </c>
      <c r="EJ8" s="320" t="s">
        <v>1113</v>
      </c>
      <c r="EK8" s="320" t="s">
        <v>473</v>
      </c>
      <c r="EL8" s="320" t="s">
        <v>1114</v>
      </c>
      <c r="EM8" s="320" t="s">
        <v>1115</v>
      </c>
      <c r="EN8" s="320" t="s">
        <v>1116</v>
      </c>
      <c r="EO8" s="320" t="s">
        <v>1116</v>
      </c>
      <c r="EP8" s="320"/>
      <c r="EQ8" s="320" t="s">
        <v>1108</v>
      </c>
      <c r="ER8" s="320" t="s">
        <v>1109</v>
      </c>
      <c r="ES8" s="320" t="s">
        <v>1111</v>
      </c>
      <c r="ET8" s="320" t="s">
        <v>1112</v>
      </c>
      <c r="EU8" s="320" t="s">
        <v>1117</v>
      </c>
      <c r="EV8" s="320" t="s">
        <v>473</v>
      </c>
      <c r="EW8" s="320" t="s">
        <v>1114</v>
      </c>
      <c r="EX8" s="320" t="s">
        <v>1115</v>
      </c>
      <c r="EY8" s="320" t="s">
        <v>1116</v>
      </c>
      <c r="EZ8" s="320" t="s">
        <v>1116</v>
      </c>
      <c r="FA8" s="304" t="s">
        <v>526</v>
      </c>
      <c r="FB8" s="304" t="s">
        <v>526</v>
      </c>
      <c r="FC8" s="304" t="s">
        <v>526</v>
      </c>
      <c r="FD8" s="304" t="s">
        <v>1259</v>
      </c>
      <c r="FE8" s="304" t="s">
        <v>1261</v>
      </c>
      <c r="FF8" s="304" t="s">
        <v>1259</v>
      </c>
      <c r="FG8" s="304" t="s">
        <v>1261</v>
      </c>
    </row>
    <row r="9" spans="1:163" ht="27" customHeight="1" thickBot="1" x14ac:dyDescent="0.25">
      <c r="A9" s="25">
        <v>1</v>
      </c>
      <c r="B9" s="213"/>
      <c r="D9" s="269" t="str">
        <f>IF($C$3&gt;0,"Fluid Group " &amp; H9,"Suction Group " &amp; H9)</f>
        <v>Suction Group 1</v>
      </c>
      <c r="E9" s="269"/>
      <c r="F9" s="269"/>
      <c r="G9" s="269"/>
      <c r="H9" s="268">
        <v>1</v>
      </c>
      <c r="I9" s="268">
        <v>3</v>
      </c>
      <c r="J9" s="268"/>
      <c r="K9" s="268"/>
      <c r="X9" s="1858" t="str">
        <f>IF($C$3&gt;0,"Vertical Fluid Line","Suction Riser Line")</f>
        <v>Suction Riser Line</v>
      </c>
      <c r="Y9" s="1859"/>
      <c r="Z9" s="1859"/>
      <c r="AA9" s="1859"/>
      <c r="AB9" s="1859"/>
      <c r="AC9" s="1859"/>
      <c r="AD9" s="1859"/>
      <c r="AE9" s="1859"/>
      <c r="AF9" s="1859"/>
      <c r="AG9" s="1859"/>
      <c r="AH9" s="1860"/>
      <c r="AI9" s="1858" t="s">
        <v>522</v>
      </c>
      <c r="AJ9" s="1859"/>
      <c r="AK9" s="1859"/>
      <c r="AL9" s="1859"/>
      <c r="AM9" s="1859"/>
      <c r="AN9" s="1859"/>
      <c r="AO9" s="1859"/>
      <c r="AP9" s="1859"/>
      <c r="AQ9" s="1859"/>
      <c r="AR9" s="1859"/>
      <c r="AS9" s="1859"/>
      <c r="AT9" s="1859"/>
      <c r="AU9" s="1859"/>
      <c r="AV9" s="1859"/>
      <c r="AW9" s="1859"/>
      <c r="AX9" s="1859"/>
      <c r="AY9" s="1457"/>
      <c r="AZ9" s="1858" t="str">
        <f>IF($C$3&gt;0,"Horiz. Fluid Line","Horizontal Suction Line")</f>
        <v>Horizontal Suction Line</v>
      </c>
      <c r="BA9" s="1859"/>
      <c r="BB9" s="1859"/>
      <c r="BC9" s="1859"/>
      <c r="BD9" s="1859"/>
      <c r="BE9" s="1859"/>
      <c r="BF9" s="1859"/>
      <c r="BG9" s="1859"/>
      <c r="BH9" s="1859"/>
      <c r="BI9" s="1859"/>
      <c r="BJ9" s="1860"/>
      <c r="BK9" s="1855" t="s">
        <v>520</v>
      </c>
      <c r="BL9" s="1857"/>
      <c r="BM9" s="1857"/>
      <c r="BN9" s="1857"/>
      <c r="BO9" s="1857"/>
      <c r="BP9" s="1856"/>
      <c r="BQ9" s="1855" t="s">
        <v>519</v>
      </c>
      <c r="BR9" s="1857"/>
      <c r="BS9" s="1857"/>
      <c r="BT9" s="1857"/>
      <c r="BU9" s="1857"/>
      <c r="BV9" s="1857"/>
      <c r="BW9" s="1857"/>
      <c r="BX9" s="1857"/>
      <c r="BY9" s="1857"/>
      <c r="BZ9" s="1856"/>
      <c r="CA9" s="795"/>
      <c r="CB9" s="796"/>
      <c r="CC9" s="797"/>
      <c r="CD9" s="798"/>
      <c r="CE9" s="1855" t="s">
        <v>518</v>
      </c>
      <c r="CF9" s="1856"/>
      <c r="DH9" s="1850" t="s">
        <v>1371</v>
      </c>
      <c r="DI9" s="1851"/>
      <c r="DJ9" s="1851"/>
      <c r="DK9" s="1851"/>
      <c r="DL9" s="1851"/>
      <c r="DM9" s="1851"/>
      <c r="DN9" s="1851"/>
      <c r="DO9" s="1852"/>
      <c r="DR9" s="213"/>
      <c r="DS9" s="213"/>
      <c r="DT9" s="213"/>
      <c r="DU9" s="213"/>
      <c r="DV9" s="213"/>
      <c r="DW9" s="213"/>
      <c r="DX9" s="213"/>
      <c r="DY9" s="213"/>
      <c r="DZ9" s="213"/>
      <c r="EA9" s="213"/>
      <c r="EB9" s="320" t="s">
        <v>1118</v>
      </c>
      <c r="EC9" s="320" t="s">
        <v>1119</v>
      </c>
      <c r="ED9" s="320" t="s">
        <v>1120</v>
      </c>
      <c r="EE9" s="320" t="s">
        <v>1120</v>
      </c>
      <c r="EF9" s="320"/>
      <c r="EG9" s="213"/>
      <c r="EH9" s="320" t="s">
        <v>1120</v>
      </c>
      <c r="EI9" s="320" t="s">
        <v>1120</v>
      </c>
      <c r="EJ9" s="320" t="s">
        <v>1120</v>
      </c>
      <c r="EK9" s="320" t="s">
        <v>1121</v>
      </c>
      <c r="EL9" s="320" t="s">
        <v>1121</v>
      </c>
      <c r="EM9" s="320" t="s">
        <v>1121</v>
      </c>
      <c r="EN9" s="320" t="s">
        <v>1121</v>
      </c>
      <c r="EO9" s="320" t="s">
        <v>1122</v>
      </c>
      <c r="EP9" s="320"/>
      <c r="EQ9" s="320" t="s">
        <v>1123</v>
      </c>
      <c r="ER9" s="320" t="s">
        <v>1123</v>
      </c>
      <c r="ES9" s="320" t="s">
        <v>1123</v>
      </c>
      <c r="ET9" s="320" t="s">
        <v>1123</v>
      </c>
      <c r="EU9" s="320" t="s">
        <v>1123</v>
      </c>
      <c r="EV9" s="320" t="s">
        <v>1123</v>
      </c>
      <c r="EW9" s="320" t="s">
        <v>1123</v>
      </c>
      <c r="EX9" s="320" t="s">
        <v>1123</v>
      </c>
      <c r="EY9" s="320" t="s">
        <v>1123</v>
      </c>
      <c r="EZ9" s="320" t="s">
        <v>1124</v>
      </c>
      <c r="FA9" s="304"/>
      <c r="FB9" s="304"/>
      <c r="FC9" s="304"/>
      <c r="FD9" s="304"/>
      <c r="FE9" s="304"/>
      <c r="FF9" s="304"/>
    </row>
    <row r="10" spans="1:163" s="213" customFormat="1" ht="63.75" x14ac:dyDescent="0.2">
      <c r="A10" s="213">
        <v>1</v>
      </c>
      <c r="B10" s="267"/>
      <c r="D10" s="799" t="s">
        <v>411</v>
      </c>
      <c r="E10" s="800" t="s">
        <v>517</v>
      </c>
      <c r="F10" s="800" t="s">
        <v>516</v>
      </c>
      <c r="G10" s="800" t="s">
        <v>515</v>
      </c>
      <c r="H10" s="800" t="s">
        <v>514</v>
      </c>
      <c r="I10" s="800" t="s">
        <v>513</v>
      </c>
      <c r="J10" s="800" t="str">
        <f>IF($C$3&gt;0,"","Segment SST")</f>
        <v>Segment SST</v>
      </c>
      <c r="K10" s="800" t="str">
        <f>IF($C$3&gt;0,"","Segment Suction Vapor Temp")</f>
        <v>Segment Suction Vapor Temp</v>
      </c>
      <c r="L10" s="800" t="str">
        <f>IF($C$3&gt;0,"","Return Gas Temp")</f>
        <v>Return Gas Temp</v>
      </c>
      <c r="M10" s="800" t="str">
        <f>IF($C$3&gt;0,"","Segment Suction Pressure")</f>
        <v>Segment Suction Pressure</v>
      </c>
      <c r="N10" s="800" t="str">
        <f>IF($C$3&gt;0,"","Evap Pressure")</f>
        <v>Evap Pressure</v>
      </c>
      <c r="O10" s="800" t="str">
        <f>IF($C$3&gt;0,"","Evap Temp Glide")</f>
        <v>Evap Temp Glide</v>
      </c>
      <c r="P10" s="801" t="str">
        <f>IF($C$3&gt;0,"","Evap Inlet Quality 1=100% Vapor")</f>
        <v>Evap Inlet Quality 1=100% Vapor</v>
      </c>
      <c r="Q10" s="800" t="str">
        <f>IF($C$3&gt;0,"","Evap Suction Outlet Enthalpy")</f>
        <v>Evap Suction Outlet Enthalpy</v>
      </c>
      <c r="R10" s="800" t="str">
        <f>IF($C$3&gt;0,"Flow","Liquid Enthalpy")</f>
        <v>Liquid Enthalpy</v>
      </c>
      <c r="S10" s="800" t="s">
        <v>507</v>
      </c>
      <c r="T10" s="800" t="s">
        <v>506</v>
      </c>
      <c r="U10" s="800" t="s">
        <v>356</v>
      </c>
      <c r="V10" s="800" t="s">
        <v>505</v>
      </c>
      <c r="W10" s="802" t="str">
        <f>IF($C$3&gt;0,"","Riser Type")</f>
        <v>Riser Type</v>
      </c>
      <c r="X10" s="803" t="s">
        <v>475</v>
      </c>
      <c r="Y10" s="804" t="s">
        <v>474</v>
      </c>
      <c r="Z10" s="805" t="s">
        <v>485</v>
      </c>
      <c r="AA10" s="805" t="s">
        <v>484</v>
      </c>
      <c r="AB10" s="805" t="s">
        <v>473</v>
      </c>
      <c r="AC10" s="805" t="s">
        <v>149</v>
      </c>
      <c r="AD10" s="805" t="s">
        <v>472</v>
      </c>
      <c r="AE10" s="805" t="s">
        <v>471</v>
      </c>
      <c r="AF10" s="805" t="s">
        <v>470</v>
      </c>
      <c r="AG10" s="805" t="s">
        <v>503</v>
      </c>
      <c r="AH10" s="806" t="s">
        <v>502</v>
      </c>
      <c r="AI10" s="803" t="s">
        <v>501</v>
      </c>
      <c r="AJ10" s="804" t="s">
        <v>500</v>
      </c>
      <c r="AK10" s="805" t="s">
        <v>499</v>
      </c>
      <c r="AL10" s="805" t="s">
        <v>498</v>
      </c>
      <c r="AM10" s="805" t="s">
        <v>497</v>
      </c>
      <c r="AN10" s="805" t="s">
        <v>496</v>
      </c>
      <c r="AO10" s="805" t="s">
        <v>495</v>
      </c>
      <c r="AP10" s="805" t="s">
        <v>494</v>
      </c>
      <c r="AQ10" s="805" t="s">
        <v>493</v>
      </c>
      <c r="AR10" s="805" t="s">
        <v>492</v>
      </c>
      <c r="AS10" s="805" t="s">
        <v>491</v>
      </c>
      <c r="AT10" s="805" t="s">
        <v>490</v>
      </c>
      <c r="AU10" s="805" t="s">
        <v>489</v>
      </c>
      <c r="AV10" s="805" t="s">
        <v>488</v>
      </c>
      <c r="AW10" s="805" t="s">
        <v>487</v>
      </c>
      <c r="AX10" s="805" t="s">
        <v>486</v>
      </c>
      <c r="AY10" s="1458" t="s">
        <v>1253</v>
      </c>
      <c r="AZ10" s="803" t="s">
        <v>475</v>
      </c>
      <c r="BA10" s="804" t="s">
        <v>474</v>
      </c>
      <c r="BB10" s="805" t="s">
        <v>485</v>
      </c>
      <c r="BC10" s="805" t="s">
        <v>484</v>
      </c>
      <c r="BD10" s="805" t="s">
        <v>473</v>
      </c>
      <c r="BE10" s="805" t="s">
        <v>149</v>
      </c>
      <c r="BF10" s="805" t="s">
        <v>472</v>
      </c>
      <c r="BG10" s="805" t="s">
        <v>471</v>
      </c>
      <c r="BH10" s="805" t="s">
        <v>470</v>
      </c>
      <c r="BI10" s="805" t="s">
        <v>483</v>
      </c>
      <c r="BJ10" s="806" t="s">
        <v>482</v>
      </c>
      <c r="BK10" s="807" t="s">
        <v>481</v>
      </c>
      <c r="BL10" s="804" t="s">
        <v>480</v>
      </c>
      <c r="BM10" s="804" t="s">
        <v>479</v>
      </c>
      <c r="BN10" s="805" t="s">
        <v>478</v>
      </c>
      <c r="BO10" s="805" t="s">
        <v>477</v>
      </c>
      <c r="BP10" s="806" t="s">
        <v>476</v>
      </c>
      <c r="BQ10" s="807" t="s">
        <v>475</v>
      </c>
      <c r="BR10" s="804" t="s">
        <v>474</v>
      </c>
      <c r="BS10" s="805" t="s">
        <v>473</v>
      </c>
      <c r="BT10" s="805" t="s">
        <v>480</v>
      </c>
      <c r="BU10" s="805" t="s">
        <v>479</v>
      </c>
      <c r="BV10" s="805" t="s">
        <v>472</v>
      </c>
      <c r="BW10" s="805" t="s">
        <v>471</v>
      </c>
      <c r="BX10" s="805" t="s">
        <v>470</v>
      </c>
      <c r="BY10" s="805" t="s">
        <v>469</v>
      </c>
      <c r="BZ10" s="806" t="s">
        <v>468</v>
      </c>
      <c r="CA10" s="808"/>
      <c r="CB10" s="809"/>
      <c r="CC10" s="810"/>
      <c r="CD10" s="811" t="s">
        <v>178</v>
      </c>
      <c r="CE10" s="1853" t="s">
        <v>467</v>
      </c>
      <c r="CF10" s="806" t="s">
        <v>466</v>
      </c>
      <c r="DH10" s="1496"/>
      <c r="DI10" s="1495"/>
      <c r="DJ10" s="1508" t="s">
        <v>1372</v>
      </c>
      <c r="DK10" s="1495"/>
      <c r="DL10" s="1508" t="s">
        <v>1373</v>
      </c>
      <c r="DM10" s="1495"/>
      <c r="DN10" s="1508" t="s">
        <v>1374</v>
      </c>
      <c r="DO10" s="1497"/>
      <c r="DP10" s="320"/>
      <c r="FA10" s="320"/>
      <c r="FB10" s="320"/>
      <c r="FC10" s="320"/>
      <c r="FD10" s="320"/>
      <c r="FE10" s="320"/>
      <c r="FF10" s="320"/>
    </row>
    <row r="11" spans="1:163" s="264" customFormat="1" ht="20.25" customHeight="1" thickBot="1" x14ac:dyDescent="0.25">
      <c r="A11" s="265">
        <v>1</v>
      </c>
      <c r="B11" s="266">
        <f>LegendSG1EVLT</f>
        <v>0</v>
      </c>
      <c r="C11" s="296" t="s">
        <v>151</v>
      </c>
      <c r="D11" s="428"/>
      <c r="E11" s="812"/>
      <c r="F11" s="812"/>
      <c r="G11" s="812"/>
      <c r="H11" s="813" t="s">
        <v>465</v>
      </c>
      <c r="I11" s="813" t="s">
        <v>459</v>
      </c>
      <c r="J11" s="813" t="str">
        <f>IF($C$3&gt;0,"","[ºF]")</f>
        <v>[ºF]</v>
      </c>
      <c r="K11" s="813" t="str">
        <f>IF($C$3&gt;0,"","[ºF]")</f>
        <v>[ºF]</v>
      </c>
      <c r="L11" s="813" t="str">
        <f>IF($C$3&gt;0,"","[ºF]")</f>
        <v>[ºF]</v>
      </c>
      <c r="M11" s="813" t="str">
        <f>IF($C$3&gt;0,"","[psia]")</f>
        <v>[psia]</v>
      </c>
      <c r="N11" s="813" t="str">
        <f>IF($C$3&gt;0,"","[psia]")</f>
        <v>[psia]</v>
      </c>
      <c r="O11" s="813" t="str">
        <f>IF($C$3&gt;0,"","[ºF]")</f>
        <v>[ºF]</v>
      </c>
      <c r="P11" s="814"/>
      <c r="Q11" s="813" t="str">
        <f>IF($C$3&gt;0,"","[Btu/lb]")</f>
        <v>[Btu/lb]</v>
      </c>
      <c r="R11" s="813" t="str">
        <f>IF($C$3&gt;0,"[GPM]","[Btu/lb]")</f>
        <v>[Btu/lb]</v>
      </c>
      <c r="S11" s="813" t="s">
        <v>462</v>
      </c>
      <c r="T11" s="813" t="str">
        <f>IF($C$3&gt;0,"[lbF/ft-sec]","[lbm/ft-sec]")</f>
        <v>[lbm/ft-sec]</v>
      </c>
      <c r="U11" s="813" t="s">
        <v>463</v>
      </c>
      <c r="V11" s="813"/>
      <c r="W11" s="815"/>
      <c r="X11" s="816" t="s">
        <v>458</v>
      </c>
      <c r="Y11" s="813" t="s">
        <v>458</v>
      </c>
      <c r="Z11" s="813" t="s">
        <v>462</v>
      </c>
      <c r="AA11" s="813" t="s">
        <v>461</v>
      </c>
      <c r="AB11" s="813" t="s">
        <v>457</v>
      </c>
      <c r="AC11" s="813" t="s">
        <v>456</v>
      </c>
      <c r="AD11" s="813"/>
      <c r="AE11" s="813"/>
      <c r="AF11" s="813" t="s">
        <v>455</v>
      </c>
      <c r="AG11" s="813" t="s">
        <v>455</v>
      </c>
      <c r="AH11" s="815" t="s">
        <v>454</v>
      </c>
      <c r="AI11" s="816"/>
      <c r="AJ11" s="813" t="s">
        <v>454</v>
      </c>
      <c r="AK11" s="813"/>
      <c r="AL11" s="813" t="s">
        <v>456</v>
      </c>
      <c r="AM11" s="813"/>
      <c r="AN11" s="813"/>
      <c r="AO11" s="813" t="s">
        <v>455</v>
      </c>
      <c r="AP11" s="813" t="s">
        <v>455</v>
      </c>
      <c r="AQ11" s="813" t="s">
        <v>454</v>
      </c>
      <c r="AR11" s="813" t="s">
        <v>457</v>
      </c>
      <c r="AS11" s="813" t="s">
        <v>463</v>
      </c>
      <c r="AT11" s="813" t="s">
        <v>455</v>
      </c>
      <c r="AU11" s="813" t="s">
        <v>455</v>
      </c>
      <c r="AV11" s="813" t="s">
        <v>454</v>
      </c>
      <c r="AW11" s="813" t="s">
        <v>457</v>
      </c>
      <c r="AX11" s="813" t="s">
        <v>463</v>
      </c>
      <c r="AY11" s="792" t="s">
        <v>458</v>
      </c>
      <c r="AZ11" s="816" t="s">
        <v>458</v>
      </c>
      <c r="BA11" s="813" t="s">
        <v>458</v>
      </c>
      <c r="BB11" s="813" t="s">
        <v>462</v>
      </c>
      <c r="BC11" s="813" t="s">
        <v>461</v>
      </c>
      <c r="BD11" s="813" t="s">
        <v>457</v>
      </c>
      <c r="BE11" s="813" t="s">
        <v>456</v>
      </c>
      <c r="BF11" s="813"/>
      <c r="BG11" s="813"/>
      <c r="BH11" s="813" t="s">
        <v>455</v>
      </c>
      <c r="BI11" s="813" t="s">
        <v>455</v>
      </c>
      <c r="BJ11" s="817" t="s">
        <v>454</v>
      </c>
      <c r="BK11" s="816" t="s">
        <v>456</v>
      </c>
      <c r="BL11" s="813" t="s">
        <v>456</v>
      </c>
      <c r="BM11" s="813" t="s">
        <v>456</v>
      </c>
      <c r="BN11" s="813" t="s">
        <v>459</v>
      </c>
      <c r="BO11" s="813" t="s">
        <v>460</v>
      </c>
      <c r="BP11" s="815" t="s">
        <v>459</v>
      </c>
      <c r="BQ11" s="816" t="s">
        <v>458</v>
      </c>
      <c r="BR11" s="813" t="s">
        <v>458</v>
      </c>
      <c r="BS11" s="813" t="str">
        <f>IF($C$3&gt;0,"[fps]","[fpm]")</f>
        <v>[fpm]</v>
      </c>
      <c r="BT11" s="813" t="str">
        <f>IF($C$3&gt;0,"[ft-H2O]","[psi]")</f>
        <v>[psi]</v>
      </c>
      <c r="BU11" s="813" t="str">
        <f>IF($C$3&gt;0,"[ft-H2O]","[psi]")</f>
        <v>[psi]</v>
      </c>
      <c r="BV11" s="813"/>
      <c r="BW11" s="813"/>
      <c r="BX11" s="813" t="s">
        <v>455</v>
      </c>
      <c r="BY11" s="813" t="s">
        <v>455</v>
      </c>
      <c r="BZ11" s="815" t="s">
        <v>454</v>
      </c>
      <c r="CA11" s="818"/>
      <c r="CB11" s="819"/>
      <c r="CC11" s="820"/>
      <c r="CD11" s="792" t="str">
        <f>IF($C$3&gt;0,"[gal]","[lb]")</f>
        <v>[lb]</v>
      </c>
      <c r="CE11" s="1854"/>
      <c r="CF11" s="815"/>
      <c r="DH11" s="1499"/>
      <c r="DI11" s="1494"/>
      <c r="DJ11" s="1494" t="s">
        <v>1375</v>
      </c>
      <c r="DK11" s="1494"/>
      <c r="DL11" s="1494" t="s">
        <v>1375</v>
      </c>
      <c r="DM11" s="1494"/>
      <c r="DN11" s="1494" t="s">
        <v>1375</v>
      </c>
      <c r="DO11" s="1500"/>
      <c r="DP11" s="321"/>
      <c r="DQ11" s="441"/>
      <c r="EC11" s="321" t="s">
        <v>462</v>
      </c>
      <c r="ED11" s="321" t="s">
        <v>458</v>
      </c>
      <c r="EN11" s="321" t="s">
        <v>456</v>
      </c>
      <c r="EO11" s="321" t="s">
        <v>456</v>
      </c>
      <c r="EQ11" s="321" t="s">
        <v>458</v>
      </c>
      <c r="EY11" s="321" t="s">
        <v>456</v>
      </c>
      <c r="EZ11" s="321" t="s">
        <v>456</v>
      </c>
      <c r="FA11" s="321"/>
      <c r="FB11" s="321"/>
      <c r="FC11" s="321"/>
      <c r="FD11" s="321"/>
      <c r="FE11" s="321"/>
      <c r="FF11" s="321"/>
    </row>
    <row r="12" spans="1:163" ht="13.5" thickTop="1" x14ac:dyDescent="0.2">
      <c r="A12" s="262" t="s">
        <v>374</v>
      </c>
      <c r="B12" s="262">
        <f>H9</f>
        <v>1</v>
      </c>
      <c r="C12" s="262">
        <f>$C$6</f>
        <v>1</v>
      </c>
      <c r="D12" s="429" t="s">
        <v>176</v>
      </c>
      <c r="E12" s="430" t="str">
        <f>"SG " &amp; H9</f>
        <v>SG 1</v>
      </c>
      <c r="F12" s="430">
        <v>0</v>
      </c>
      <c r="G12" s="263" t="s">
        <v>548</v>
      </c>
      <c r="H12" s="220" t="e">
        <f>SUM(#REF!)</f>
        <v>#REF!</v>
      </c>
      <c r="I12" s="258" t="e">
        <f>MIN(#REF!)</f>
        <v>#REF!</v>
      </c>
      <c r="J12" s="248" t="str">
        <f>IF($C$3&gt;0,"",IF(C12&gt;0,"",($D$4)))</f>
        <v/>
      </c>
      <c r="K12" s="248" t="e">
        <f>SUM(#REF!*#REF!)/$U$12</f>
        <v>#REF!</v>
      </c>
      <c r="L12" s="257" t="str">
        <f>IF($C$3&gt;0,"",IF(C12&gt;0,"",IF(($J$4)&gt;1,I12,LegendSG1RGT)))</f>
        <v/>
      </c>
      <c r="M12" s="248" t="str">
        <f>IF($C$3&gt;0,"",IF(C12&gt;0,"",DT12))</f>
        <v/>
      </c>
      <c r="N12" s="248"/>
      <c r="O12" s="248"/>
      <c r="P12" s="220"/>
      <c r="Q12" s="248"/>
      <c r="R12" s="220" t="str">
        <f>IF($C$3&gt;0,IF(S12=0,"",U12/(S12*60*0.13368)),"")</f>
        <v/>
      </c>
      <c r="S12" s="220"/>
      <c r="T12" s="250"/>
      <c r="U12" s="248" t="e">
        <f>SUM(#REF!)</f>
        <v>#REF!</v>
      </c>
      <c r="V12" s="257"/>
      <c r="W12" s="247"/>
      <c r="X12" s="312"/>
      <c r="Y12" s="246"/>
      <c r="Z12" s="218"/>
      <c r="AA12" s="250"/>
      <c r="AB12" s="219"/>
      <c r="AC12" s="220"/>
      <c r="AD12" s="219"/>
      <c r="AE12" s="218"/>
      <c r="AF12" s="245"/>
      <c r="AG12" s="245"/>
      <c r="AH12" s="298"/>
      <c r="AI12" s="253"/>
      <c r="AJ12" s="252"/>
      <c r="AK12" s="218"/>
      <c r="AL12" s="220"/>
      <c r="AM12" s="219"/>
      <c r="AN12" s="218"/>
      <c r="AO12" s="245"/>
      <c r="AP12" s="245"/>
      <c r="AQ12" s="251"/>
      <c r="AR12" s="219"/>
      <c r="AS12" s="248"/>
      <c r="AT12" s="245"/>
      <c r="AU12" s="245"/>
      <c r="AV12" s="251"/>
      <c r="AW12" s="219"/>
      <c r="AX12" s="248"/>
      <c r="AY12" s="1459"/>
      <c r="AZ12" s="438"/>
      <c r="BA12" s="246"/>
      <c r="BB12" s="218"/>
      <c r="BC12" s="250"/>
      <c r="BD12" s="219"/>
      <c r="BE12" s="220"/>
      <c r="BF12" s="219"/>
      <c r="BG12" s="218"/>
      <c r="BH12" s="245"/>
      <c r="BI12" s="245"/>
      <c r="BJ12" s="243"/>
      <c r="BK12" s="312"/>
      <c r="BL12" s="248"/>
      <c r="BM12" s="248"/>
      <c r="BN12" s="248"/>
      <c r="BO12" s="220"/>
      <c r="BP12" s="247"/>
      <c r="BQ12" s="287"/>
      <c r="BR12" s="246"/>
      <c r="BS12" s="220"/>
      <c r="BT12" s="220"/>
      <c r="BU12" s="220"/>
      <c r="BV12" s="219"/>
      <c r="BW12" s="218"/>
      <c r="BX12" s="245"/>
      <c r="BY12" s="245"/>
      <c r="BZ12" s="243"/>
      <c r="CA12" s="314" t="s">
        <v>177</v>
      </c>
      <c r="CC12" s="313">
        <v>0</v>
      </c>
      <c r="CD12" s="316"/>
      <c r="CE12" s="242"/>
      <c r="CF12" s="241"/>
      <c r="CH12" s="213">
        <f>IF(OR(AB12&lt;($AB$4),AB12&gt;($AC$4)),1,0)</f>
        <v>0</v>
      </c>
      <c r="CI12" s="213">
        <f>IF(OR(BD12&lt;($BD$4),BD12&gt;($BE$4)),1,0)</f>
        <v>0</v>
      </c>
      <c r="CJ12" s="213">
        <f>IF(BN12&lt;($F$4),1,0)</f>
        <v>0</v>
      </c>
      <c r="CK12" s="213">
        <f>IF(AND((LEFT('Legend(DX)'!$U$1,1)="C"),BN12&gt;$F$4),0,IF(BO12&lt;($E$4),1,0))</f>
        <v>0</v>
      </c>
      <c r="CL12" s="213">
        <f>IF(AND((LEFT('Legend(DX)'!$U$1,1)="C"),BN12&gt;$F$4),0,IF(BP12&lt;($D$4),1,0))</f>
        <v>0</v>
      </c>
      <c r="CM12" s="213">
        <f>IF(BS12&gt;($BS$4),1,0)</f>
        <v>0</v>
      </c>
      <c r="CN12" s="213">
        <f>IF(BU12&gt;($BT$4),1,0)</f>
        <v>0</v>
      </c>
      <c r="CO12" s="213">
        <f>SUM(CH12:CN12)</f>
        <v>0</v>
      </c>
      <c r="CQ12" s="304" t="s">
        <v>171</v>
      </c>
      <c r="CR12" s="213">
        <f t="shared" ref="CR12:DC12" si="0">IF($W12="Single",IF($AG12="",IF($AF12=CR$8,$X12,0),IF($AG12=CR$8,$X12,0)),0)</f>
        <v>0</v>
      </c>
      <c r="CS12" s="213">
        <f t="shared" si="0"/>
        <v>0</v>
      </c>
      <c r="CT12" s="213">
        <f t="shared" si="0"/>
        <v>0</v>
      </c>
      <c r="CU12" s="213">
        <f t="shared" si="0"/>
        <v>0</v>
      </c>
      <c r="CV12" s="213">
        <f t="shared" si="0"/>
        <v>0</v>
      </c>
      <c r="CW12" s="213">
        <f t="shared" si="0"/>
        <v>0</v>
      </c>
      <c r="CX12" s="213">
        <f t="shared" si="0"/>
        <v>0</v>
      </c>
      <c r="CY12" s="213">
        <f t="shared" si="0"/>
        <v>0</v>
      </c>
      <c r="CZ12" s="213">
        <f t="shared" si="0"/>
        <v>0</v>
      </c>
      <c r="DA12" s="213">
        <f t="shared" si="0"/>
        <v>0</v>
      </c>
      <c r="DB12" s="213">
        <f t="shared" si="0"/>
        <v>0</v>
      </c>
      <c r="DC12" s="213">
        <f t="shared" si="0"/>
        <v>0</v>
      </c>
      <c r="DE12" s="304" t="str">
        <f>IF(AG12="",IF(X12=0,TEXT(AF12,"# 0/0")&amp;"*",TEXT(AF12,"# 0/0")),IF(X12=0,TEXT(AG12,"# 0/0")&amp;"*",TEXT(AG12,"# 0/0")))</f>
        <v>0/1*</v>
      </c>
      <c r="DF12" s="25" t="str">
        <f>IF(AP12="",IF(X12=0,TEXT(AO12,"# 0/0")&amp;"*",TEXT(AO12,"# 0/0")),IF(X12=0,TEXT(AP12,"# 0/0")&amp;"*",TEXT(AP12,"# 0/0")))</f>
        <v>0/1*</v>
      </c>
      <c r="DG12" s="25" t="str">
        <f>IF(AU12="",IF(X12=0,TEXT(AT12,"# 0/0")&amp;"*",TEXT(AT12,"# 0/0")),IF(X12=0,TEXT(AU12,"# 0/0")&amp;"*",TEXT(AU12,"# 0/0")))</f>
        <v>0/1*</v>
      </c>
      <c r="DH12" s="1509" t="str">
        <f>E12</f>
        <v>SG 1</v>
      </c>
      <c r="DI12" s="1510" t="str">
        <f>IF($BI12="",TEXT($BH12, "# 0/0"),TEXT($BI12, "# 0/0"))</f>
        <v>0/1</v>
      </c>
      <c r="DJ12" s="1616"/>
      <c r="DK12" s="1510" t="str">
        <f>IF(W12="Double",DF12 &amp; " &amp; " &amp; DG12,DE12)</f>
        <v>0/1*</v>
      </c>
      <c r="DL12" s="1616"/>
      <c r="DM12" s="1510" t="str">
        <f>IF($BY12="",IF($C$3&gt;0,$BX12-0.125,TEXT($BX12, "# 0/0")),IF($C$3&gt;0,$BY12-0.125,TEXT($BY12, "# 0/0")))</f>
        <v>0/1</v>
      </c>
      <c r="DN12" s="1616"/>
      <c r="DO12" s="1511">
        <f>IF($C$3&gt;0,2*$BQ12,$BQ12)</f>
        <v>0</v>
      </c>
      <c r="DQ12" s="433"/>
      <c r="DR12" s="1253" t="str">
        <f>J12</f>
        <v/>
      </c>
      <c r="DS12" s="1253" t="str">
        <f>IF(C12&gt;0,"",(Pressure($B$3,"Tliq","e",$J12)+Pressure($B$3,"Tvap","e",$J12))/2)</f>
        <v/>
      </c>
      <c r="DT12" s="1253" t="str">
        <f>IF(C12&gt;0,"",Pressure($B$3,"tvap","e",$J12+0.5*$DZ12))</f>
        <v/>
      </c>
      <c r="DU12" s="1253" t="e">
        <f>I12</f>
        <v>#REF!</v>
      </c>
      <c r="DV12" s="1253" t="str">
        <f>IF(C12&gt;0,"",(Pressure($B$3,"Tliq","e",$I12)+Pressure($B$3,"Tvap","e",$I12))/2)</f>
        <v/>
      </c>
      <c r="DW12" s="1253" t="str">
        <f>IF(C12&gt;0,"",Pressure($B$3,"tvap","e",$I12+0.5*$DZ12))</f>
        <v/>
      </c>
      <c r="DX12" s="1260" t="str">
        <f>IF(C12&gt;0,"",1-(Enthalpy($B$3,"pvap","e",$DV12)-(IF($G$4+0.5*($DR$4)&gt;($H$4),Enthalpy($B$3,"Tliq","e",($G$4)),Enthalpy($B$3,"tp","e",($G$4),($I$4)))))/(Enthalpy($B$3,"pvap","e",$DV12)-Enthalpy($B$3,"pliq","e",$DV12)))</f>
        <v/>
      </c>
      <c r="DY12" s="1253" t="str">
        <f>IF(C12&gt;0,"",TEMPERATURE($B$3,"pvap","e",$DS12)-TEMPERATURE($B$3,"pliq","e",$DS12))</f>
        <v/>
      </c>
      <c r="DZ12" s="1253" t="e">
        <f>(1-$DX12)*$DY12</f>
        <v>#VALUE!</v>
      </c>
      <c r="EA12" s="1261"/>
      <c r="EB12" s="1262" t="e">
        <f>T12/AA12</f>
        <v>#DIV/0!</v>
      </c>
      <c r="EC12" s="1260" t="e">
        <f>1/(((1/($J$4))/Z12)+((1-(1/($J$4)))/S12))</f>
        <v>#VALUE!</v>
      </c>
      <c r="ED12" s="1263">
        <f>SQRT(AH12*4/PI())</f>
        <v>0</v>
      </c>
      <c r="EE12" s="1262" t="e">
        <f>(((U12/AH12)^2)*ED12)*(1/3600)*(1/3600)/(EC12*SurfaceTension($B$3,"TLIQ","E",I12))/32.174</f>
        <v>#REF!</v>
      </c>
      <c r="EF12" s="1260" t="e">
        <f>((S12/Z12)^0.91)*((AA12/T12)^0.19)*((1-(AA12/T12))^0.7)</f>
        <v>#DIV/0!</v>
      </c>
      <c r="EG12" s="1264" t="e">
        <f>((1/($J$4))^0.78)*((1-(1/($J$4)))^0.224)</f>
        <v>#VALUE!</v>
      </c>
      <c r="EH12" s="1260" t="e">
        <f>(1-(1/($J$4)))^2+(((1/($J$4))^2)*S12*AE12/(Z12*EM12))</f>
        <v>#VALUE!</v>
      </c>
      <c r="EI12" s="1262" t="e">
        <f>((U12/AH12)^2)*(1/3600)*(1/3600)/(32.174*ED12*(EC12^2))</f>
        <v>#REF!</v>
      </c>
      <c r="EJ12" s="1253" t="e">
        <f>EH12+(3.24*EG12*EF12/((EI12^0.045)*(EE12^0.035)))</f>
        <v>#VALUE!</v>
      </c>
      <c r="EK12" s="1260" t="e">
        <f>vel(U12,S12,AH12)</f>
        <v>#VALUE!</v>
      </c>
      <c r="EL12" s="1262" t="e">
        <f>(((EK12/60)*S12)/T12)*((VLOOKUP(IF(AG12="",AF12,AG12),'Pipe Data'!F$7:G$19,2,FALSE))/12)</f>
        <v>#VALUE!</v>
      </c>
      <c r="EM12" s="1264" t="e">
        <f>(0.25/(LOG(5.74/(EL12^0.9))+((VLOOKUP(IF(AG12="",AF12,AG12),'Pipe Data'!J$7:X$19,15,FALSE))/3.7))^2)</f>
        <v>#VALUE!</v>
      </c>
      <c r="EN12" s="1264" t="e">
        <f>pdrop(EM12,Y12,S12,EK12,IF(AG12="",AF12,AG12))</f>
        <v>#VALUE!</v>
      </c>
      <c r="EO12" s="1260" t="e">
        <f>EN12*EJ12</f>
        <v>#VALUE!</v>
      </c>
      <c r="EP12" s="1261"/>
      <c r="EQ12" s="1263">
        <f>SQRT(BJ12*4/PI())</f>
        <v>0</v>
      </c>
      <c r="ER12" s="1262" t="e">
        <f>(((U12/BJ12)^2)*EQ12)*(1/3600)*(1/3600)/(EC12*SurfaceTension($B$3,"TLIQ","E",I12))/32.174</f>
        <v>#REF!</v>
      </c>
      <c r="ES12" s="1260" t="e">
        <f>(1-(1/($J$4)))^2+(((1/($J$4))^2)*S12*BG12/(Z12*EM12))</f>
        <v>#VALUE!</v>
      </c>
      <c r="ET12" s="1253" t="e">
        <f>((U12/BJ12)^2)*(1/3600)*(1/3600)/(32.174*EQ12*(EC12^2))</f>
        <v>#REF!</v>
      </c>
      <c r="EU12" s="1260" t="e">
        <f>ES12+(3.24*EG12*EF12/((ET12^0.045)*(ER12^0.035)))</f>
        <v>#VALUE!</v>
      </c>
      <c r="EV12" s="1260" t="e">
        <f>vel(U12,S12,BJ12)</f>
        <v>#VALUE!</v>
      </c>
      <c r="EW12" s="1262" t="e">
        <f>(((EV12/60)*S12)/T12)*((VLOOKUP(IF(BI12="",BH12,BI12),'Pipe Data'!F$7:G$19,2,FALSE))/12)</f>
        <v>#VALUE!</v>
      </c>
      <c r="EX12" s="1264" t="e">
        <f>(0.25/(LOG(5.74/(EW12^0.9))+((VLOOKUP(IF(BI12="",BH12,BI12),'Pipe Data'!J$7:X$19,15,FALSE))/3.7))^2)</f>
        <v>#VALUE!</v>
      </c>
      <c r="EY12" s="1260" t="e">
        <f>pdrop(EX12,BA12,S12,EV12,IF(BI12="",BH12,BI12))</f>
        <v>#VALUE!</v>
      </c>
      <c r="EZ12" s="1260" t="e">
        <f>EY12*EU12</f>
        <v>#VALUE!</v>
      </c>
      <c r="FA12" s="213">
        <f>IF(AB12&lt;($AB$4),1,0)</f>
        <v>0</v>
      </c>
      <c r="FB12" s="304"/>
      <c r="FC12" s="304"/>
      <c r="FD12" s="304"/>
      <c r="FE12" s="304"/>
      <c r="FF12" s="304"/>
    </row>
    <row r="13" spans="1:163" ht="12.75" hidden="1" customHeight="1" x14ac:dyDescent="0.2">
      <c r="A13" s="240"/>
      <c r="B13" s="240"/>
      <c r="C13" s="240"/>
      <c r="D13" s="236"/>
      <c r="E13" s="235"/>
      <c r="F13" s="234"/>
      <c r="G13" s="234"/>
      <c r="H13" s="223"/>
      <c r="I13" s="224"/>
      <c r="J13" s="224"/>
      <c r="K13" s="224"/>
      <c r="L13" s="221"/>
      <c r="M13" s="223"/>
      <c r="N13" s="223"/>
      <c r="O13" s="223"/>
      <c r="P13" s="223"/>
      <c r="Q13" s="224"/>
      <c r="R13" s="223"/>
      <c r="S13" s="223"/>
      <c r="T13" s="227"/>
      <c r="U13" s="224"/>
      <c r="V13" s="224"/>
      <c r="W13" s="222"/>
      <c r="X13" s="229"/>
      <c r="Y13" s="221"/>
      <c r="Z13" s="221"/>
      <c r="AA13" s="221"/>
      <c r="AB13" s="221"/>
      <c r="AC13" s="221"/>
      <c r="AD13" s="221"/>
      <c r="AE13" s="221"/>
      <c r="AF13" s="221"/>
      <c r="AG13" s="221"/>
      <c r="AH13" s="226"/>
      <c r="AI13" s="239"/>
      <c r="AJ13" s="238"/>
      <c r="AK13" s="228"/>
      <c r="AL13" s="223"/>
      <c r="AM13" s="230"/>
      <c r="AN13" s="228"/>
      <c r="AO13" s="232"/>
      <c r="AQ13" s="231"/>
      <c r="AR13" s="230"/>
      <c r="AS13" s="224"/>
      <c r="AT13" s="232"/>
      <c r="AV13" s="231"/>
      <c r="AW13" s="230"/>
      <c r="AX13" s="224"/>
      <c r="AY13" s="1460"/>
      <c r="AZ13" s="229"/>
      <c r="BA13" s="221"/>
      <c r="BB13" s="228"/>
      <c r="BC13" s="227"/>
      <c r="BD13" s="227"/>
      <c r="BE13" s="227"/>
      <c r="BF13" s="227"/>
      <c r="BG13" s="227"/>
      <c r="BH13" s="227"/>
      <c r="BI13" s="227"/>
      <c r="BJ13" s="315"/>
      <c r="BK13" s="225"/>
      <c r="BL13" s="224"/>
      <c r="BM13" s="224"/>
      <c r="BN13" s="224"/>
      <c r="BO13" s="223"/>
      <c r="BP13" s="222"/>
      <c r="BQ13" s="229"/>
      <c r="BR13" s="221"/>
      <c r="BS13" s="221"/>
      <c r="BT13" s="221"/>
      <c r="BU13" s="221"/>
      <c r="BV13" s="221"/>
      <c r="BW13" s="221"/>
      <c r="BX13" s="221"/>
      <c r="BY13" s="221"/>
      <c r="BZ13" s="226"/>
      <c r="CA13" s="229"/>
      <c r="CC13" s="313"/>
      <c r="CD13" s="317"/>
      <c r="CE13" s="215"/>
      <c r="CF13" s="214"/>
      <c r="CQ13" s="304" t="s">
        <v>154</v>
      </c>
      <c r="CR13" s="213">
        <f t="shared" ref="CR13:DC13" si="1">IF($BI12="",IF($BH12=CR$8,$AZ12,0),IF($BI12=CR$8,$AZ12,0))</f>
        <v>0</v>
      </c>
      <c r="CS13" s="213">
        <f t="shared" si="1"/>
        <v>0</v>
      </c>
      <c r="CT13" s="213">
        <f t="shared" si="1"/>
        <v>0</v>
      </c>
      <c r="CU13" s="213">
        <f t="shared" si="1"/>
        <v>0</v>
      </c>
      <c r="CV13" s="213">
        <f t="shared" si="1"/>
        <v>0</v>
      </c>
      <c r="CW13" s="213">
        <f t="shared" si="1"/>
        <v>0</v>
      </c>
      <c r="CX13" s="213">
        <f t="shared" si="1"/>
        <v>0</v>
      </c>
      <c r="CY13" s="213">
        <f t="shared" si="1"/>
        <v>0</v>
      </c>
      <c r="CZ13" s="213">
        <f t="shared" si="1"/>
        <v>0</v>
      </c>
      <c r="DA13" s="213">
        <f t="shared" si="1"/>
        <v>0</v>
      </c>
      <c r="DB13" s="213">
        <f t="shared" si="1"/>
        <v>0</v>
      </c>
      <c r="DC13" s="213">
        <f t="shared" si="1"/>
        <v>0</v>
      </c>
      <c r="DH13" s="1503"/>
      <c r="DI13" s="320"/>
      <c r="DJ13" s="1617"/>
      <c r="DK13" s="320"/>
      <c r="DL13" s="1617"/>
      <c r="DM13" s="320"/>
      <c r="DN13" s="1617"/>
      <c r="DO13" s="1504"/>
      <c r="DQ13" s="433"/>
      <c r="DR13" s="1231"/>
      <c r="DS13" s="213"/>
      <c r="DT13" s="213"/>
      <c r="DU13" s="1231"/>
      <c r="DV13" s="1231"/>
      <c r="DW13" s="1231"/>
      <c r="DX13" s="444"/>
      <c r="DY13" s="1231"/>
      <c r="DZ13" s="1231"/>
      <c r="EA13" s="213"/>
      <c r="EB13" s="213"/>
      <c r="EC13" s="213"/>
      <c r="ED13" s="213"/>
      <c r="EE13" s="213"/>
      <c r="EF13" s="213"/>
      <c r="EG13" s="213"/>
      <c r="EH13" s="213"/>
      <c r="EI13" s="213"/>
      <c r="EJ13" s="213"/>
      <c r="EK13" s="213"/>
      <c r="EL13" s="213"/>
      <c r="EM13" s="213"/>
      <c r="EN13" s="213"/>
      <c r="EO13" s="213"/>
      <c r="EP13" s="213"/>
      <c r="EQ13" s="213"/>
      <c r="ER13" s="213"/>
      <c r="ES13" s="213"/>
      <c r="ET13" s="213"/>
      <c r="EU13" s="213"/>
      <c r="EV13" s="213"/>
      <c r="EW13" s="213"/>
      <c r="EX13" s="213"/>
      <c r="EY13" s="213"/>
      <c r="EZ13" s="213"/>
      <c r="FA13" s="304"/>
      <c r="FB13" s="304"/>
      <c r="FC13" s="304"/>
      <c r="FD13" s="304"/>
      <c r="FE13" s="304"/>
      <c r="FF13" s="304"/>
    </row>
    <row r="14" spans="1:163" ht="12.75" hidden="1" customHeight="1" x14ac:dyDescent="0.2">
      <c r="A14" s="240"/>
      <c r="B14" s="240"/>
      <c r="C14" s="240"/>
      <c r="D14" s="236"/>
      <c r="E14" s="235"/>
      <c r="F14" s="234"/>
      <c r="G14" s="234"/>
      <c r="H14" s="223"/>
      <c r="I14" s="224"/>
      <c r="J14" s="224"/>
      <c r="K14" s="224"/>
      <c r="L14" s="221"/>
      <c r="M14" s="223"/>
      <c r="N14" s="223"/>
      <c r="O14" s="223"/>
      <c r="P14" s="223"/>
      <c r="Q14" s="224"/>
      <c r="R14" s="223"/>
      <c r="S14" s="223"/>
      <c r="T14" s="227"/>
      <c r="U14" s="224"/>
      <c r="V14" s="224"/>
      <c r="W14" s="222"/>
      <c r="X14" s="229"/>
      <c r="Y14" s="221"/>
      <c r="Z14" s="221"/>
      <c r="AA14" s="221"/>
      <c r="AB14" s="221"/>
      <c r="AC14" s="221"/>
      <c r="AD14" s="221"/>
      <c r="AE14" s="221"/>
      <c r="AF14" s="221"/>
      <c r="AG14" s="221"/>
      <c r="AH14" s="226"/>
      <c r="AI14" s="239"/>
      <c r="AJ14" s="238"/>
      <c r="AK14" s="228"/>
      <c r="AL14" s="223"/>
      <c r="AM14" s="230"/>
      <c r="AN14" s="228"/>
      <c r="AO14" s="232"/>
      <c r="AQ14" s="231"/>
      <c r="AR14" s="230"/>
      <c r="AS14" s="224"/>
      <c r="AT14" s="232"/>
      <c r="AV14" s="231"/>
      <c r="AW14" s="230"/>
      <c r="AX14" s="224"/>
      <c r="AY14" s="1460"/>
      <c r="AZ14" s="229"/>
      <c r="BA14" s="221"/>
      <c r="BB14" s="228"/>
      <c r="BC14" s="227"/>
      <c r="BD14" s="227"/>
      <c r="BE14" s="227"/>
      <c r="BF14" s="227"/>
      <c r="BG14" s="227"/>
      <c r="BH14" s="227"/>
      <c r="BI14" s="227"/>
      <c r="BJ14" s="315"/>
      <c r="BK14" s="225"/>
      <c r="BL14" s="224"/>
      <c r="BM14" s="224"/>
      <c r="BN14" s="224"/>
      <c r="BO14" s="223"/>
      <c r="BP14" s="222"/>
      <c r="BQ14" s="229"/>
      <c r="BR14" s="221"/>
      <c r="BS14" s="221"/>
      <c r="BT14" s="221"/>
      <c r="BU14" s="221"/>
      <c r="BV14" s="221"/>
      <c r="BW14" s="221"/>
      <c r="BX14" s="221"/>
      <c r="BY14" s="221"/>
      <c r="BZ14" s="226"/>
      <c r="CA14" s="229"/>
      <c r="CC14" s="313"/>
      <c r="CD14" s="317"/>
      <c r="CE14" s="215"/>
      <c r="CF14" s="214"/>
      <c r="CQ14" s="304" t="s">
        <v>155</v>
      </c>
      <c r="CR14" s="213">
        <f t="shared" ref="CR14:DC14" si="2">IF($BY12="",IF($BX12=CR$8,$BQ12,0),IF($BY12=CR$8,$BQ12,0))</f>
        <v>0</v>
      </c>
      <c r="CS14" s="213">
        <f t="shared" si="2"/>
        <v>0</v>
      </c>
      <c r="CT14" s="213">
        <f t="shared" si="2"/>
        <v>0</v>
      </c>
      <c r="CU14" s="213">
        <f t="shared" si="2"/>
        <v>0</v>
      </c>
      <c r="CV14" s="213">
        <f t="shared" si="2"/>
        <v>0</v>
      </c>
      <c r="CW14" s="213">
        <f t="shared" si="2"/>
        <v>0</v>
      </c>
      <c r="CX14" s="213">
        <f t="shared" si="2"/>
        <v>0</v>
      </c>
      <c r="CY14" s="213">
        <f t="shared" si="2"/>
        <v>0</v>
      </c>
      <c r="CZ14" s="213">
        <f t="shared" si="2"/>
        <v>0</v>
      </c>
      <c r="DA14" s="213">
        <f t="shared" si="2"/>
        <v>0</v>
      </c>
      <c r="DB14" s="213">
        <f t="shared" si="2"/>
        <v>0</v>
      </c>
      <c r="DC14" s="213">
        <f t="shared" si="2"/>
        <v>0</v>
      </c>
      <c r="DH14" s="1503"/>
      <c r="DI14" s="320"/>
      <c r="DJ14" s="1617"/>
      <c r="DK14" s="320"/>
      <c r="DL14" s="1617"/>
      <c r="DM14" s="320"/>
      <c r="DN14" s="1617"/>
      <c r="DO14" s="1504"/>
      <c r="DQ14" s="433"/>
      <c r="DR14" s="1231"/>
      <c r="DS14" s="213"/>
      <c r="DT14" s="213"/>
      <c r="DU14" s="1231"/>
      <c r="DV14" s="1231"/>
      <c r="DW14" s="1231"/>
      <c r="DX14" s="444"/>
      <c r="DY14" s="1231"/>
      <c r="DZ14" s="1231"/>
      <c r="EA14" s="213"/>
      <c r="EB14" s="213"/>
      <c r="EC14" s="213"/>
      <c r="ED14" s="213"/>
      <c r="EE14" s="213"/>
      <c r="EF14" s="213"/>
      <c r="EG14" s="213"/>
      <c r="EH14" s="213"/>
      <c r="EI14" s="213"/>
      <c r="EJ14" s="213"/>
      <c r="EK14" s="213"/>
      <c r="EL14" s="213"/>
      <c r="EM14" s="213"/>
      <c r="EN14" s="213"/>
      <c r="EO14" s="213"/>
      <c r="EP14" s="213"/>
      <c r="EQ14" s="213"/>
      <c r="ER14" s="213"/>
      <c r="ES14" s="213"/>
      <c r="ET14" s="213"/>
      <c r="EU14" s="213"/>
      <c r="EV14" s="213"/>
      <c r="EW14" s="213"/>
      <c r="EX14" s="213"/>
      <c r="EY14" s="213"/>
      <c r="EZ14" s="213"/>
      <c r="FA14" s="304"/>
      <c r="FB14" s="304"/>
      <c r="FC14" s="304"/>
      <c r="FD14" s="304"/>
      <c r="FE14" s="304"/>
      <c r="FF14" s="304"/>
    </row>
    <row r="15" spans="1:163" ht="12.75" hidden="1" customHeight="1" x14ac:dyDescent="0.2">
      <c r="A15" s="240"/>
      <c r="B15" s="240"/>
      <c r="C15" s="240"/>
      <c r="D15" s="236"/>
      <c r="E15" s="235"/>
      <c r="F15" s="234"/>
      <c r="G15" s="234"/>
      <c r="H15" s="223"/>
      <c r="I15" s="224"/>
      <c r="J15" s="224"/>
      <c r="K15" s="224"/>
      <c r="L15" s="221"/>
      <c r="M15" s="223"/>
      <c r="N15" s="223"/>
      <c r="O15" s="223"/>
      <c r="P15" s="223"/>
      <c r="Q15" s="224"/>
      <c r="R15" s="223"/>
      <c r="S15" s="223"/>
      <c r="T15" s="227"/>
      <c r="U15" s="224"/>
      <c r="V15" s="224"/>
      <c r="W15" s="222"/>
      <c r="X15" s="229"/>
      <c r="Y15" s="221"/>
      <c r="Z15" s="221"/>
      <c r="AA15" s="221"/>
      <c r="AB15" s="221"/>
      <c r="AC15" s="221"/>
      <c r="AD15" s="221"/>
      <c r="AE15" s="221"/>
      <c r="AF15" s="221"/>
      <c r="AG15" s="221"/>
      <c r="AH15" s="226"/>
      <c r="AI15" s="239"/>
      <c r="AJ15" s="238"/>
      <c r="AK15" s="228"/>
      <c r="AL15" s="223"/>
      <c r="AM15" s="230"/>
      <c r="AN15" s="228"/>
      <c r="AO15" s="232"/>
      <c r="AQ15" s="231"/>
      <c r="AR15" s="230"/>
      <c r="AS15" s="224"/>
      <c r="AT15" s="232"/>
      <c r="AV15" s="231"/>
      <c r="AW15" s="230"/>
      <c r="AX15" s="224"/>
      <c r="AY15" s="1460"/>
      <c r="AZ15" s="229"/>
      <c r="BA15" s="221"/>
      <c r="BB15" s="228"/>
      <c r="BC15" s="227"/>
      <c r="BD15" s="227"/>
      <c r="BE15" s="227"/>
      <c r="BF15" s="227"/>
      <c r="BG15" s="227"/>
      <c r="BH15" s="227"/>
      <c r="BI15" s="227"/>
      <c r="BJ15" s="315"/>
      <c r="BK15" s="225"/>
      <c r="BL15" s="224"/>
      <c r="BM15" s="224"/>
      <c r="BN15" s="224"/>
      <c r="BO15" s="223"/>
      <c r="BP15" s="222"/>
      <c r="BQ15" s="229"/>
      <c r="BR15" s="221"/>
      <c r="BS15" s="221"/>
      <c r="BT15" s="221"/>
      <c r="BU15" s="221"/>
      <c r="BV15" s="221"/>
      <c r="BW15" s="221"/>
      <c r="BX15" s="221"/>
      <c r="BY15" s="221"/>
      <c r="BZ15" s="226"/>
      <c r="CA15" s="229"/>
      <c r="CC15" s="313"/>
      <c r="CD15" s="317"/>
      <c r="CE15" s="215"/>
      <c r="CF15" s="214"/>
      <c r="CQ15" s="25" t="s">
        <v>172</v>
      </c>
      <c r="CR15" s="213">
        <f t="shared" ref="CR15:DC15" si="3">IF($W12="double",IF($AP12="",IF($AO12=CR$8,$X12,0),IF($AP12=CR$8,$X12,0)),0)</f>
        <v>0</v>
      </c>
      <c r="CS15" s="213">
        <f t="shared" si="3"/>
        <v>0</v>
      </c>
      <c r="CT15" s="213">
        <f t="shared" si="3"/>
        <v>0</v>
      </c>
      <c r="CU15" s="213">
        <f t="shared" si="3"/>
        <v>0</v>
      </c>
      <c r="CV15" s="213">
        <f t="shared" si="3"/>
        <v>0</v>
      </c>
      <c r="CW15" s="213">
        <f t="shared" si="3"/>
        <v>0</v>
      </c>
      <c r="CX15" s="213">
        <f t="shared" si="3"/>
        <v>0</v>
      </c>
      <c r="CY15" s="213">
        <f t="shared" si="3"/>
        <v>0</v>
      </c>
      <c r="CZ15" s="213">
        <f t="shared" si="3"/>
        <v>0</v>
      </c>
      <c r="DA15" s="213">
        <f t="shared" si="3"/>
        <v>0</v>
      </c>
      <c r="DB15" s="213">
        <f t="shared" si="3"/>
        <v>0</v>
      </c>
      <c r="DC15" s="213">
        <f t="shared" si="3"/>
        <v>0</v>
      </c>
      <c r="DH15" s="1503"/>
      <c r="DI15" s="320"/>
      <c r="DJ15" s="1617"/>
      <c r="DK15" s="320"/>
      <c r="DL15" s="1617"/>
      <c r="DM15" s="320"/>
      <c r="DN15" s="1617"/>
      <c r="DO15" s="1504"/>
      <c r="DQ15" s="433"/>
      <c r="DR15" s="1231"/>
      <c r="DS15" s="213"/>
      <c r="DT15" s="213"/>
      <c r="DU15" s="1231"/>
      <c r="DV15" s="1231"/>
      <c r="DW15" s="1231"/>
      <c r="DX15" s="444"/>
      <c r="DY15" s="1231"/>
      <c r="DZ15" s="1231"/>
      <c r="EA15" s="213"/>
      <c r="EB15" s="213"/>
      <c r="EC15" s="213"/>
      <c r="ED15" s="213"/>
      <c r="EE15" s="213"/>
      <c r="EF15" s="213"/>
      <c r="EG15" s="213"/>
      <c r="EH15" s="213"/>
      <c r="EI15" s="213"/>
      <c r="EJ15" s="213"/>
      <c r="EK15" s="213"/>
      <c r="EL15" s="213"/>
      <c r="EM15" s="213"/>
      <c r="EN15" s="213"/>
      <c r="EO15" s="213"/>
      <c r="EP15" s="213"/>
      <c r="EQ15" s="213"/>
      <c r="ER15" s="213"/>
      <c r="ES15" s="213"/>
      <c r="ET15" s="213"/>
      <c r="EU15" s="213"/>
      <c r="EV15" s="213"/>
      <c r="EW15" s="213"/>
      <c r="EX15" s="213"/>
      <c r="EY15" s="213"/>
      <c r="EZ15" s="213"/>
      <c r="FA15" s="304"/>
      <c r="FB15" s="304"/>
      <c r="FC15" s="304"/>
      <c r="FD15" s="304"/>
      <c r="FE15" s="304"/>
      <c r="FF15" s="304"/>
    </row>
    <row r="16" spans="1:163" ht="12.75" hidden="1" customHeight="1" x14ac:dyDescent="0.2">
      <c r="A16" s="240"/>
      <c r="B16" s="240"/>
      <c r="C16" s="240"/>
      <c r="D16" s="236"/>
      <c r="E16" s="235"/>
      <c r="F16" s="234"/>
      <c r="G16" s="234"/>
      <c r="H16" s="223"/>
      <c r="I16" s="224"/>
      <c r="J16" s="224"/>
      <c r="K16" s="224"/>
      <c r="L16" s="221"/>
      <c r="M16" s="223"/>
      <c r="N16" s="223"/>
      <c r="O16" s="223"/>
      <c r="P16" s="223"/>
      <c r="Q16" s="224"/>
      <c r="R16" s="223"/>
      <c r="S16" s="223"/>
      <c r="T16" s="227"/>
      <c r="U16" s="224"/>
      <c r="V16" s="224"/>
      <c r="W16" s="222"/>
      <c r="X16" s="229"/>
      <c r="Y16" s="221"/>
      <c r="Z16" s="221"/>
      <c r="AA16" s="221"/>
      <c r="AB16" s="221"/>
      <c r="AC16" s="221"/>
      <c r="AD16" s="221"/>
      <c r="AE16" s="221"/>
      <c r="AF16" s="221"/>
      <c r="AG16" s="221"/>
      <c r="AH16" s="226"/>
      <c r="AI16" s="239"/>
      <c r="AJ16" s="238"/>
      <c r="AK16" s="228"/>
      <c r="AL16" s="223"/>
      <c r="AM16" s="230"/>
      <c r="AN16" s="228"/>
      <c r="AO16" s="232"/>
      <c r="AQ16" s="231"/>
      <c r="AR16" s="230"/>
      <c r="AS16" s="224"/>
      <c r="AT16" s="232"/>
      <c r="AV16" s="231"/>
      <c r="AW16" s="230"/>
      <c r="AX16" s="224"/>
      <c r="AY16" s="1460"/>
      <c r="AZ16" s="229"/>
      <c r="BA16" s="221"/>
      <c r="BB16" s="228"/>
      <c r="BC16" s="227"/>
      <c r="BD16" s="227"/>
      <c r="BE16" s="227"/>
      <c r="BF16" s="227"/>
      <c r="BG16" s="227"/>
      <c r="BH16" s="227"/>
      <c r="BI16" s="227"/>
      <c r="BJ16" s="315"/>
      <c r="BK16" s="225"/>
      <c r="BL16" s="224"/>
      <c r="BM16" s="224"/>
      <c r="BN16" s="224"/>
      <c r="BO16" s="223"/>
      <c r="BP16" s="222"/>
      <c r="BQ16" s="229"/>
      <c r="BR16" s="221"/>
      <c r="BS16" s="221"/>
      <c r="BT16" s="221"/>
      <c r="BU16" s="221"/>
      <c r="BV16" s="221"/>
      <c r="BW16" s="221"/>
      <c r="BX16" s="221"/>
      <c r="BY16" s="221"/>
      <c r="BZ16" s="226"/>
      <c r="CA16" s="229"/>
      <c r="CC16" s="313"/>
      <c r="CD16" s="317"/>
      <c r="CE16" s="215"/>
      <c r="CF16" s="214"/>
      <c r="CQ16" s="25" t="s">
        <v>173</v>
      </c>
      <c r="CR16" s="213">
        <f t="shared" ref="CR16:DC16" si="4">IF($W12="double",IF($AU12="",IF($AT12=CR$8,$X12,0),IF($AU12=CR$8,$X12,0)),0)</f>
        <v>0</v>
      </c>
      <c r="CS16" s="213">
        <f t="shared" si="4"/>
        <v>0</v>
      </c>
      <c r="CT16" s="213">
        <f t="shared" si="4"/>
        <v>0</v>
      </c>
      <c r="CU16" s="213">
        <f t="shared" si="4"/>
        <v>0</v>
      </c>
      <c r="CV16" s="213">
        <f t="shared" si="4"/>
        <v>0</v>
      </c>
      <c r="CW16" s="213">
        <f t="shared" si="4"/>
        <v>0</v>
      </c>
      <c r="CX16" s="213">
        <f t="shared" si="4"/>
        <v>0</v>
      </c>
      <c r="CY16" s="213">
        <f t="shared" si="4"/>
        <v>0</v>
      </c>
      <c r="CZ16" s="213">
        <f t="shared" si="4"/>
        <v>0</v>
      </c>
      <c r="DA16" s="213">
        <f t="shared" si="4"/>
        <v>0</v>
      </c>
      <c r="DB16" s="213">
        <f t="shared" si="4"/>
        <v>0</v>
      </c>
      <c r="DC16" s="213">
        <f t="shared" si="4"/>
        <v>0</v>
      </c>
      <c r="DH16" s="1503"/>
      <c r="DI16" s="320"/>
      <c r="DJ16" s="1617"/>
      <c r="DK16" s="320"/>
      <c r="DL16" s="1617"/>
      <c r="DM16" s="320"/>
      <c r="DN16" s="1617"/>
      <c r="DO16" s="1504"/>
      <c r="DQ16" s="433"/>
      <c r="DR16" s="1231"/>
      <c r="DS16" s="213"/>
      <c r="DT16" s="213"/>
      <c r="DU16" s="1231"/>
      <c r="DV16" s="1231"/>
      <c r="DW16" s="1231"/>
      <c r="DX16" s="444"/>
      <c r="DY16" s="1231"/>
      <c r="DZ16" s="1231"/>
      <c r="EA16" s="213"/>
      <c r="EB16" s="213"/>
      <c r="EC16" s="213"/>
      <c r="ED16" s="213"/>
      <c r="EE16" s="213"/>
      <c r="EF16" s="213"/>
      <c r="EG16" s="213"/>
      <c r="EH16" s="213"/>
      <c r="EI16" s="213"/>
      <c r="EJ16" s="213"/>
      <c r="EK16" s="213"/>
      <c r="EL16" s="213"/>
      <c r="EM16" s="213"/>
      <c r="EN16" s="213"/>
      <c r="EO16" s="213"/>
      <c r="EP16" s="213"/>
      <c r="EQ16" s="213"/>
      <c r="ER16" s="213"/>
      <c r="ES16" s="213"/>
      <c r="ET16" s="213"/>
      <c r="EU16" s="213"/>
      <c r="EV16" s="213"/>
      <c r="EW16" s="213"/>
      <c r="EX16" s="213"/>
      <c r="EY16" s="213"/>
      <c r="EZ16" s="213"/>
      <c r="FA16" s="304"/>
      <c r="FB16" s="304"/>
      <c r="FC16" s="304"/>
      <c r="FD16" s="304"/>
      <c r="FE16" s="304"/>
      <c r="FF16" s="304"/>
    </row>
    <row r="17" spans="1:163" ht="12.75" hidden="1" customHeight="1" x14ac:dyDescent="0.2">
      <c r="A17" s="240"/>
      <c r="B17" s="240"/>
      <c r="C17" s="240"/>
      <c r="D17" s="236"/>
      <c r="E17" s="235"/>
      <c r="F17" s="234"/>
      <c r="G17" s="234"/>
      <c r="H17" s="223"/>
      <c r="I17" s="224"/>
      <c r="J17" s="224"/>
      <c r="K17" s="224"/>
      <c r="L17" s="221"/>
      <c r="M17" s="223"/>
      <c r="N17" s="223"/>
      <c r="O17" s="223"/>
      <c r="P17" s="223"/>
      <c r="Q17" s="224"/>
      <c r="R17" s="223"/>
      <c r="S17" s="223"/>
      <c r="T17" s="227"/>
      <c r="U17" s="224"/>
      <c r="V17" s="224"/>
      <c r="W17" s="222"/>
      <c r="X17" s="229"/>
      <c r="Y17" s="221"/>
      <c r="Z17" s="221"/>
      <c r="AA17" s="221"/>
      <c r="AB17" s="221"/>
      <c r="AC17" s="221"/>
      <c r="AD17" s="221"/>
      <c r="AE17" s="221"/>
      <c r="AF17" s="221"/>
      <c r="AG17" s="221"/>
      <c r="AH17" s="226"/>
      <c r="AI17" s="239"/>
      <c r="AJ17" s="238"/>
      <c r="AK17" s="228"/>
      <c r="AL17" s="223"/>
      <c r="AM17" s="230"/>
      <c r="AN17" s="228"/>
      <c r="AO17" s="232"/>
      <c r="AQ17" s="231"/>
      <c r="AR17" s="230"/>
      <c r="AS17" s="224"/>
      <c r="AT17" s="232"/>
      <c r="AV17" s="231"/>
      <c r="AW17" s="230"/>
      <c r="AX17" s="224"/>
      <c r="AY17" s="1460"/>
      <c r="AZ17" s="229"/>
      <c r="BA17" s="221"/>
      <c r="BB17" s="228"/>
      <c r="BC17" s="227"/>
      <c r="BD17" s="227"/>
      <c r="BE17" s="227"/>
      <c r="BF17" s="227"/>
      <c r="BG17" s="227"/>
      <c r="BH17" s="227"/>
      <c r="BI17" s="227"/>
      <c r="BJ17" s="315"/>
      <c r="BK17" s="225"/>
      <c r="BL17" s="224"/>
      <c r="BM17" s="224"/>
      <c r="BN17" s="224"/>
      <c r="BO17" s="223"/>
      <c r="BP17" s="222"/>
      <c r="BQ17" s="229"/>
      <c r="BR17" s="221"/>
      <c r="BS17" s="221"/>
      <c r="BT17" s="221"/>
      <c r="BU17" s="221"/>
      <c r="BV17" s="221"/>
      <c r="BW17" s="221"/>
      <c r="BX17" s="221"/>
      <c r="BY17" s="221"/>
      <c r="BZ17" s="226"/>
      <c r="CA17" s="229"/>
      <c r="CC17" s="313"/>
      <c r="CD17" s="317"/>
      <c r="CE17" s="215"/>
      <c r="CF17" s="214"/>
      <c r="DH17" s="1503"/>
      <c r="DI17" s="320"/>
      <c r="DJ17" s="1617"/>
      <c r="DK17" s="320"/>
      <c r="DL17" s="1617"/>
      <c r="DM17" s="320"/>
      <c r="DN17" s="1617"/>
      <c r="DO17" s="1504"/>
      <c r="DQ17" s="433"/>
      <c r="DR17" s="1231"/>
      <c r="DS17" s="213"/>
      <c r="DT17" s="213"/>
      <c r="DU17" s="1231"/>
      <c r="DV17" s="1231"/>
      <c r="DW17" s="1231"/>
      <c r="DX17" s="444"/>
      <c r="DY17" s="1231"/>
      <c r="DZ17" s="1231"/>
      <c r="EA17" s="213"/>
      <c r="EB17" s="213"/>
      <c r="EC17" s="213"/>
      <c r="ED17" s="213"/>
      <c r="EE17" s="213"/>
      <c r="EF17" s="213"/>
      <c r="EG17" s="213"/>
      <c r="EH17" s="213"/>
      <c r="EI17" s="213"/>
      <c r="EJ17" s="213"/>
      <c r="EK17" s="213"/>
      <c r="EL17" s="213"/>
      <c r="EM17" s="213"/>
      <c r="EN17" s="213"/>
      <c r="EO17" s="213"/>
      <c r="EP17" s="213"/>
      <c r="EQ17" s="213"/>
      <c r="ER17" s="213"/>
      <c r="ES17" s="213"/>
      <c r="ET17" s="213"/>
      <c r="EU17" s="213"/>
      <c r="EV17" s="213"/>
      <c r="EW17" s="213"/>
      <c r="EX17" s="213"/>
      <c r="EY17" s="213"/>
      <c r="EZ17" s="213"/>
      <c r="FA17" s="304"/>
      <c r="FB17" s="304"/>
      <c r="FC17" s="304"/>
      <c r="FD17" s="304"/>
      <c r="FE17" s="304"/>
      <c r="FF17" s="304"/>
    </row>
    <row r="18" spans="1:163" ht="12.75" hidden="1" customHeight="1" x14ac:dyDescent="0.2">
      <c r="A18" s="240"/>
      <c r="B18" s="240"/>
      <c r="C18" s="240"/>
      <c r="D18" s="236"/>
      <c r="E18" s="235"/>
      <c r="F18" s="234"/>
      <c r="G18" s="234"/>
      <c r="H18" s="223"/>
      <c r="I18" s="224"/>
      <c r="J18" s="224"/>
      <c r="K18" s="224"/>
      <c r="L18" s="221"/>
      <c r="M18" s="223"/>
      <c r="N18" s="223"/>
      <c r="O18" s="223"/>
      <c r="P18" s="223"/>
      <c r="Q18" s="224"/>
      <c r="R18" s="223"/>
      <c r="S18" s="223"/>
      <c r="T18" s="227"/>
      <c r="U18" s="224"/>
      <c r="V18" s="224"/>
      <c r="W18" s="222"/>
      <c r="X18" s="229"/>
      <c r="Y18" s="221"/>
      <c r="Z18" s="221"/>
      <c r="AA18" s="221"/>
      <c r="AB18" s="221"/>
      <c r="AC18" s="221"/>
      <c r="AD18" s="221"/>
      <c r="AE18" s="221"/>
      <c r="AF18" s="221"/>
      <c r="AG18" s="221"/>
      <c r="AH18" s="226"/>
      <c r="AI18" s="239"/>
      <c r="AJ18" s="238"/>
      <c r="AK18" s="228"/>
      <c r="AL18" s="223"/>
      <c r="AM18" s="230"/>
      <c r="AN18" s="228"/>
      <c r="AO18" s="232"/>
      <c r="AQ18" s="231"/>
      <c r="AR18" s="230"/>
      <c r="AS18" s="224"/>
      <c r="AT18" s="232"/>
      <c r="AV18" s="231"/>
      <c r="AW18" s="230"/>
      <c r="AX18" s="224"/>
      <c r="AY18" s="1460"/>
      <c r="AZ18" s="229"/>
      <c r="BA18" s="221"/>
      <c r="BB18" s="228"/>
      <c r="BC18" s="227"/>
      <c r="BD18" s="227"/>
      <c r="BE18" s="227"/>
      <c r="BF18" s="227"/>
      <c r="BG18" s="227"/>
      <c r="BH18" s="227"/>
      <c r="BI18" s="227"/>
      <c r="BJ18" s="315"/>
      <c r="BK18" s="225"/>
      <c r="BL18" s="224"/>
      <c r="BM18" s="224"/>
      <c r="BN18" s="224"/>
      <c r="BO18" s="223"/>
      <c r="BP18" s="222"/>
      <c r="BQ18" s="229"/>
      <c r="BR18" s="221"/>
      <c r="BS18" s="221"/>
      <c r="BT18" s="221"/>
      <c r="BU18" s="221"/>
      <c r="BV18" s="221"/>
      <c r="BW18" s="221"/>
      <c r="BX18" s="221"/>
      <c r="BY18" s="221"/>
      <c r="BZ18" s="226"/>
      <c r="CA18" s="229"/>
      <c r="CC18" s="313"/>
      <c r="CD18" s="317"/>
      <c r="CE18" s="215"/>
      <c r="CF18" s="214"/>
      <c r="DH18" s="1503"/>
      <c r="DI18" s="320"/>
      <c r="DJ18" s="1617"/>
      <c r="DK18" s="320"/>
      <c r="DL18" s="1617"/>
      <c r="DM18" s="320"/>
      <c r="DN18" s="1617"/>
      <c r="DO18" s="1504"/>
      <c r="DQ18" s="433"/>
      <c r="DR18" s="1231"/>
      <c r="DS18" s="213"/>
      <c r="DT18" s="213"/>
      <c r="DU18" s="1231"/>
      <c r="DV18" s="1231"/>
      <c r="DW18" s="1231"/>
      <c r="DX18" s="444"/>
      <c r="DY18" s="1231"/>
      <c r="DZ18" s="1231"/>
      <c r="EA18" s="213"/>
      <c r="EB18" s="213"/>
      <c r="EC18" s="213"/>
      <c r="ED18" s="213"/>
      <c r="EE18" s="213"/>
      <c r="EF18" s="213"/>
      <c r="EG18" s="213"/>
      <c r="EH18" s="213"/>
      <c r="EI18" s="213"/>
      <c r="EJ18" s="213"/>
      <c r="EK18" s="213"/>
      <c r="EL18" s="213"/>
      <c r="EM18" s="213"/>
      <c r="EN18" s="213"/>
      <c r="EO18" s="213"/>
      <c r="EP18" s="213"/>
      <c r="EQ18" s="213"/>
      <c r="ER18" s="213"/>
      <c r="ES18" s="213"/>
      <c r="ET18" s="213"/>
      <c r="EU18" s="213"/>
      <c r="EV18" s="213"/>
      <c r="EW18" s="213"/>
      <c r="EX18" s="213"/>
      <c r="EY18" s="213"/>
      <c r="EZ18" s="213"/>
      <c r="FA18" s="304"/>
      <c r="FB18" s="304"/>
      <c r="FC18" s="304"/>
      <c r="FD18" s="304"/>
      <c r="FE18" s="304"/>
      <c r="FF18" s="304"/>
    </row>
    <row r="19" spans="1:163" ht="12.75" hidden="1" customHeight="1" x14ac:dyDescent="0.2">
      <c r="A19" s="240"/>
      <c r="B19" s="240"/>
      <c r="C19" s="240"/>
      <c r="D19" s="236"/>
      <c r="E19" s="235"/>
      <c r="F19" s="234"/>
      <c r="G19" s="234"/>
      <c r="H19" s="223"/>
      <c r="I19" s="224"/>
      <c r="J19" s="224"/>
      <c r="K19" s="224"/>
      <c r="L19" s="221"/>
      <c r="M19" s="223"/>
      <c r="N19" s="223"/>
      <c r="O19" s="223"/>
      <c r="P19" s="223"/>
      <c r="Q19" s="224"/>
      <c r="R19" s="223"/>
      <c r="S19" s="223"/>
      <c r="T19" s="227"/>
      <c r="U19" s="224"/>
      <c r="V19" s="224"/>
      <c r="W19" s="222"/>
      <c r="X19" s="229"/>
      <c r="Y19" s="221"/>
      <c r="Z19" s="221"/>
      <c r="AA19" s="221"/>
      <c r="AB19" s="221"/>
      <c r="AC19" s="221"/>
      <c r="AD19" s="221"/>
      <c r="AE19" s="221"/>
      <c r="AF19" s="221"/>
      <c r="AG19" s="221"/>
      <c r="AH19" s="226"/>
      <c r="AI19" s="239"/>
      <c r="AJ19" s="238"/>
      <c r="AK19" s="228"/>
      <c r="AL19" s="223"/>
      <c r="AM19" s="230"/>
      <c r="AN19" s="228"/>
      <c r="AO19" s="232"/>
      <c r="AQ19" s="231"/>
      <c r="AR19" s="230"/>
      <c r="AS19" s="224"/>
      <c r="AT19" s="232"/>
      <c r="AV19" s="231"/>
      <c r="AW19" s="230"/>
      <c r="AX19" s="224"/>
      <c r="AY19" s="1460"/>
      <c r="AZ19" s="229"/>
      <c r="BA19" s="221"/>
      <c r="BB19" s="228"/>
      <c r="BC19" s="227"/>
      <c r="BD19" s="227"/>
      <c r="BE19" s="227"/>
      <c r="BF19" s="227"/>
      <c r="BG19" s="227"/>
      <c r="BH19" s="227"/>
      <c r="BI19" s="227"/>
      <c r="BJ19" s="315"/>
      <c r="BK19" s="225"/>
      <c r="BL19" s="224"/>
      <c r="BM19" s="224"/>
      <c r="BN19" s="224"/>
      <c r="BO19" s="223"/>
      <c r="BP19" s="222"/>
      <c r="BQ19" s="229"/>
      <c r="BR19" s="221"/>
      <c r="BS19" s="221"/>
      <c r="BT19" s="221"/>
      <c r="BU19" s="221"/>
      <c r="BV19" s="221"/>
      <c r="BW19" s="221"/>
      <c r="BX19" s="221"/>
      <c r="BY19" s="221"/>
      <c r="BZ19" s="226"/>
      <c r="CA19" s="229"/>
      <c r="CC19" s="313"/>
      <c r="CD19" s="317"/>
      <c r="CE19" s="215"/>
      <c r="CF19" s="214"/>
      <c r="DH19" s="1503"/>
      <c r="DI19" s="320"/>
      <c r="DJ19" s="1617"/>
      <c r="DK19" s="320"/>
      <c r="DL19" s="1617"/>
      <c r="DM19" s="320"/>
      <c r="DN19" s="1617"/>
      <c r="DO19" s="1504"/>
      <c r="DQ19" s="433"/>
      <c r="DR19" s="1231"/>
      <c r="DS19" s="213"/>
      <c r="DT19" s="213"/>
      <c r="DU19" s="1231"/>
      <c r="DV19" s="1231"/>
      <c r="DW19" s="1231"/>
      <c r="DX19" s="444"/>
      <c r="DY19" s="1231"/>
      <c r="DZ19" s="1231"/>
      <c r="EA19" s="213"/>
      <c r="EB19" s="213"/>
      <c r="EC19" s="213"/>
      <c r="ED19" s="213"/>
      <c r="EE19" s="213"/>
      <c r="EF19" s="213"/>
      <c r="EG19" s="213"/>
      <c r="EH19" s="213"/>
      <c r="EI19" s="213"/>
      <c r="EJ19" s="213"/>
      <c r="EK19" s="213"/>
      <c r="EL19" s="213"/>
      <c r="EM19" s="213"/>
      <c r="EN19" s="213"/>
      <c r="EO19" s="213"/>
      <c r="EP19" s="213"/>
      <c r="EQ19" s="213"/>
      <c r="ER19" s="213"/>
      <c r="ES19" s="213"/>
      <c r="ET19" s="213"/>
      <c r="EU19" s="213"/>
      <c r="EV19" s="213"/>
      <c r="EW19" s="213"/>
      <c r="EX19" s="213"/>
      <c r="EY19" s="213"/>
      <c r="EZ19" s="213"/>
      <c r="FA19" s="304"/>
      <c r="FB19" s="304"/>
      <c r="FC19" s="304"/>
      <c r="FD19" s="304"/>
      <c r="FE19" s="304"/>
      <c r="FF19" s="304"/>
    </row>
    <row r="20" spans="1:163" ht="12.75" hidden="1" customHeight="1" x14ac:dyDescent="0.2">
      <c r="A20" s="240"/>
      <c r="B20" s="240"/>
      <c r="C20" s="240"/>
      <c r="D20" s="236"/>
      <c r="E20" s="235"/>
      <c r="F20" s="234"/>
      <c r="G20" s="234"/>
      <c r="H20" s="223"/>
      <c r="I20" s="224"/>
      <c r="J20" s="224"/>
      <c r="K20" s="224"/>
      <c r="L20" s="221"/>
      <c r="M20" s="223"/>
      <c r="N20" s="223"/>
      <c r="O20" s="223"/>
      <c r="P20" s="223"/>
      <c r="Q20" s="224"/>
      <c r="R20" s="223"/>
      <c r="S20" s="223"/>
      <c r="T20" s="227"/>
      <c r="U20" s="224"/>
      <c r="V20" s="224"/>
      <c r="W20" s="222"/>
      <c r="X20" s="229"/>
      <c r="Y20" s="221"/>
      <c r="Z20" s="221"/>
      <c r="AA20" s="221"/>
      <c r="AB20" s="221"/>
      <c r="AC20" s="221"/>
      <c r="AD20" s="221"/>
      <c r="AE20" s="221"/>
      <c r="AF20" s="221"/>
      <c r="AG20" s="221"/>
      <c r="AH20" s="226"/>
      <c r="AI20" s="239"/>
      <c r="AJ20" s="238"/>
      <c r="AK20" s="228"/>
      <c r="AL20" s="223"/>
      <c r="AM20" s="230"/>
      <c r="AN20" s="228"/>
      <c r="AO20" s="232"/>
      <c r="AQ20" s="231"/>
      <c r="AR20" s="230"/>
      <c r="AS20" s="224"/>
      <c r="AT20" s="232"/>
      <c r="AV20" s="231"/>
      <c r="AW20" s="230"/>
      <c r="AX20" s="224"/>
      <c r="AY20" s="1460"/>
      <c r="AZ20" s="229"/>
      <c r="BA20" s="221"/>
      <c r="BB20" s="228"/>
      <c r="BC20" s="227"/>
      <c r="BD20" s="227"/>
      <c r="BE20" s="227"/>
      <c r="BF20" s="227"/>
      <c r="BG20" s="227"/>
      <c r="BH20" s="227"/>
      <c r="BI20" s="227"/>
      <c r="BJ20" s="315"/>
      <c r="BK20" s="225"/>
      <c r="BL20" s="224"/>
      <c r="BM20" s="224"/>
      <c r="BN20" s="224"/>
      <c r="BO20" s="223"/>
      <c r="BP20" s="222"/>
      <c r="BQ20" s="229"/>
      <c r="BR20" s="221"/>
      <c r="BS20" s="221"/>
      <c r="BT20" s="221"/>
      <c r="BU20" s="221"/>
      <c r="BV20" s="221"/>
      <c r="BW20" s="221"/>
      <c r="BX20" s="221"/>
      <c r="BY20" s="221"/>
      <c r="BZ20" s="226"/>
      <c r="CA20" s="229"/>
      <c r="CC20" s="313"/>
      <c r="CD20" s="317"/>
      <c r="CE20" s="215"/>
      <c r="CF20" s="214"/>
      <c r="DH20" s="1503"/>
      <c r="DI20" s="320"/>
      <c r="DJ20" s="1617"/>
      <c r="DK20" s="320"/>
      <c r="DL20" s="1617"/>
      <c r="DM20" s="320"/>
      <c r="DN20" s="1617"/>
      <c r="DO20" s="1504"/>
      <c r="DQ20" s="433"/>
      <c r="DR20" s="1231"/>
      <c r="DS20" s="213"/>
      <c r="DT20" s="213"/>
      <c r="DU20" s="1231"/>
      <c r="DV20" s="1231"/>
      <c r="DW20" s="1231"/>
      <c r="DX20" s="444"/>
      <c r="DY20" s="1231"/>
      <c r="DZ20" s="1231"/>
      <c r="EA20" s="213"/>
      <c r="EB20" s="213"/>
      <c r="EC20" s="213"/>
      <c r="ED20" s="213"/>
      <c r="EE20" s="213"/>
      <c r="EF20" s="213"/>
      <c r="EG20" s="213"/>
      <c r="EH20" s="213"/>
      <c r="EI20" s="213"/>
      <c r="EJ20" s="213"/>
      <c r="EK20" s="213"/>
      <c r="EL20" s="213"/>
      <c r="EM20" s="213"/>
      <c r="EN20" s="213"/>
      <c r="EO20" s="213"/>
      <c r="EP20" s="213"/>
      <c r="EQ20" s="213"/>
      <c r="ER20" s="213"/>
      <c r="ES20" s="213"/>
      <c r="ET20" s="213"/>
      <c r="EU20" s="213"/>
      <c r="EV20" s="213"/>
      <c r="EW20" s="213"/>
      <c r="EX20" s="213"/>
      <c r="EY20" s="213"/>
      <c r="EZ20" s="213"/>
      <c r="FA20" s="304"/>
      <c r="FB20" s="304"/>
      <c r="FC20" s="304"/>
      <c r="FD20" s="304"/>
      <c r="FE20" s="304"/>
      <c r="FF20" s="304"/>
    </row>
    <row r="21" spans="1:163" ht="12.75" hidden="1" customHeight="1" x14ac:dyDescent="0.2">
      <c r="A21" s="240"/>
      <c r="B21" s="240"/>
      <c r="C21" s="240"/>
      <c r="D21" s="236"/>
      <c r="E21" s="235"/>
      <c r="F21" s="234"/>
      <c r="G21" s="234"/>
      <c r="H21" s="223"/>
      <c r="I21" s="224"/>
      <c r="J21" s="224"/>
      <c r="K21" s="224"/>
      <c r="L21" s="221"/>
      <c r="M21" s="223"/>
      <c r="N21" s="223"/>
      <c r="O21" s="223"/>
      <c r="P21" s="223"/>
      <c r="Q21" s="224"/>
      <c r="R21" s="223"/>
      <c r="S21" s="223"/>
      <c r="T21" s="227"/>
      <c r="U21" s="224"/>
      <c r="V21" s="224"/>
      <c r="W21" s="222"/>
      <c r="X21" s="229"/>
      <c r="Y21" s="221"/>
      <c r="Z21" s="221"/>
      <c r="AA21" s="221"/>
      <c r="AB21" s="221"/>
      <c r="AC21" s="221"/>
      <c r="AD21" s="221"/>
      <c r="AE21" s="221"/>
      <c r="AF21" s="221"/>
      <c r="AG21" s="221"/>
      <c r="AH21" s="226"/>
      <c r="AI21" s="239"/>
      <c r="AJ21" s="238"/>
      <c r="AK21" s="228"/>
      <c r="AL21" s="223"/>
      <c r="AM21" s="230"/>
      <c r="AN21" s="228"/>
      <c r="AO21" s="232"/>
      <c r="AQ21" s="231"/>
      <c r="AR21" s="230"/>
      <c r="AS21" s="224"/>
      <c r="AT21" s="232"/>
      <c r="AV21" s="231"/>
      <c r="AW21" s="230"/>
      <c r="AX21" s="224"/>
      <c r="AY21" s="1460"/>
      <c r="AZ21" s="229"/>
      <c r="BA21" s="221"/>
      <c r="BB21" s="228"/>
      <c r="BC21" s="227"/>
      <c r="BD21" s="227"/>
      <c r="BE21" s="227"/>
      <c r="BF21" s="227"/>
      <c r="BG21" s="227"/>
      <c r="BH21" s="227"/>
      <c r="BI21" s="227"/>
      <c r="BJ21" s="315"/>
      <c r="BK21" s="225"/>
      <c r="BL21" s="224"/>
      <c r="BM21" s="224"/>
      <c r="BN21" s="224"/>
      <c r="BO21" s="223"/>
      <c r="BP21" s="222"/>
      <c r="BQ21" s="229"/>
      <c r="BR21" s="221"/>
      <c r="BS21" s="221"/>
      <c r="BT21" s="221"/>
      <c r="BU21" s="221"/>
      <c r="BV21" s="221"/>
      <c r="BW21" s="221"/>
      <c r="BX21" s="221"/>
      <c r="BY21" s="221"/>
      <c r="BZ21" s="226"/>
      <c r="CA21" s="229"/>
      <c r="CC21" s="313"/>
      <c r="CD21" s="317"/>
      <c r="CE21" s="215"/>
      <c r="CF21" s="214"/>
      <c r="DH21" s="1503"/>
      <c r="DI21" s="320"/>
      <c r="DJ21" s="1617"/>
      <c r="DK21" s="320"/>
      <c r="DL21" s="1617"/>
      <c r="DM21" s="320"/>
      <c r="DN21" s="1617"/>
      <c r="DO21" s="1504"/>
      <c r="DQ21" s="433"/>
      <c r="DR21" s="1231"/>
      <c r="DS21" s="213"/>
      <c r="DT21" s="213"/>
      <c r="DU21" s="1231"/>
      <c r="DV21" s="1231"/>
      <c r="DW21" s="1231"/>
      <c r="DX21" s="444"/>
      <c r="DY21" s="1231"/>
      <c r="DZ21" s="1231"/>
      <c r="EA21" s="213"/>
      <c r="EB21" s="213"/>
      <c r="EC21" s="213"/>
      <c r="ED21" s="213"/>
      <c r="EE21" s="213"/>
      <c r="EF21" s="213"/>
      <c r="EG21" s="213"/>
      <c r="EH21" s="213"/>
      <c r="EI21" s="213"/>
      <c r="EJ21" s="213"/>
      <c r="EK21" s="213"/>
      <c r="EL21" s="213"/>
      <c r="EM21" s="213"/>
      <c r="EN21" s="213"/>
      <c r="EO21" s="213"/>
      <c r="EP21" s="213"/>
      <c r="EQ21" s="213"/>
      <c r="ER21" s="213"/>
      <c r="ES21" s="213"/>
      <c r="ET21" s="213"/>
      <c r="EU21" s="213"/>
      <c r="EV21" s="213"/>
      <c r="EW21" s="213"/>
      <c r="EX21" s="213"/>
      <c r="EY21" s="213"/>
      <c r="EZ21" s="213"/>
      <c r="FA21" s="304"/>
      <c r="FB21" s="304"/>
      <c r="FC21" s="304"/>
      <c r="FD21" s="304"/>
      <c r="FE21" s="304"/>
      <c r="FF21" s="304"/>
    </row>
    <row r="22" spans="1:163" ht="12.75" hidden="1" customHeight="1" x14ac:dyDescent="0.2">
      <c r="A22" s="240"/>
      <c r="B22" s="240"/>
      <c r="C22" s="240"/>
      <c r="D22" s="236"/>
      <c r="E22" s="235"/>
      <c r="F22" s="234"/>
      <c r="G22" s="234"/>
      <c r="H22" s="223"/>
      <c r="I22" s="224"/>
      <c r="J22" s="224"/>
      <c r="K22" s="224"/>
      <c r="L22" s="221"/>
      <c r="M22" s="223"/>
      <c r="N22" s="223"/>
      <c r="O22" s="223"/>
      <c r="P22" s="223"/>
      <c r="Q22" s="224"/>
      <c r="R22" s="223"/>
      <c r="S22" s="223"/>
      <c r="T22" s="227"/>
      <c r="U22" s="224"/>
      <c r="V22" s="224"/>
      <c r="W22" s="222"/>
      <c r="X22" s="229"/>
      <c r="Y22" s="221"/>
      <c r="Z22" s="221"/>
      <c r="AA22" s="221"/>
      <c r="AB22" s="221"/>
      <c r="AC22" s="221"/>
      <c r="AD22" s="221"/>
      <c r="AE22" s="221"/>
      <c r="AF22" s="221"/>
      <c r="AG22" s="221"/>
      <c r="AH22" s="226"/>
      <c r="AI22" s="239"/>
      <c r="AJ22" s="238"/>
      <c r="AK22" s="228"/>
      <c r="AL22" s="223"/>
      <c r="AM22" s="230"/>
      <c r="AN22" s="228"/>
      <c r="AO22" s="232"/>
      <c r="AQ22" s="231"/>
      <c r="AR22" s="230"/>
      <c r="AS22" s="224"/>
      <c r="AT22" s="232"/>
      <c r="AV22" s="231"/>
      <c r="AW22" s="230"/>
      <c r="AX22" s="224"/>
      <c r="AY22" s="1460"/>
      <c r="AZ22" s="229"/>
      <c r="BA22" s="221"/>
      <c r="BB22" s="228"/>
      <c r="BC22" s="227"/>
      <c r="BD22" s="227"/>
      <c r="BE22" s="227"/>
      <c r="BF22" s="227"/>
      <c r="BG22" s="227"/>
      <c r="BH22" s="227"/>
      <c r="BI22" s="227"/>
      <c r="BJ22" s="315"/>
      <c r="BK22" s="225"/>
      <c r="BL22" s="224"/>
      <c r="BM22" s="224"/>
      <c r="BN22" s="224"/>
      <c r="BO22" s="223"/>
      <c r="BP22" s="222"/>
      <c r="BQ22" s="229"/>
      <c r="BR22" s="221"/>
      <c r="BS22" s="221"/>
      <c r="BT22" s="221"/>
      <c r="BU22" s="221"/>
      <c r="BV22" s="221"/>
      <c r="BW22" s="221"/>
      <c r="BX22" s="221"/>
      <c r="BY22" s="221"/>
      <c r="BZ22" s="226"/>
      <c r="CA22" s="229"/>
      <c r="CC22" s="313"/>
      <c r="CD22" s="317"/>
      <c r="CE22" s="215"/>
      <c r="CF22" s="214"/>
      <c r="DH22" s="1503"/>
      <c r="DI22" s="320"/>
      <c r="DJ22" s="1617"/>
      <c r="DK22" s="320"/>
      <c r="DL22" s="1617"/>
      <c r="DM22" s="320"/>
      <c r="DN22" s="1617"/>
      <c r="DO22" s="1504"/>
      <c r="DQ22" s="433"/>
      <c r="DR22" s="1231"/>
      <c r="DS22" s="213"/>
      <c r="DT22" s="213"/>
      <c r="DU22" s="1231"/>
      <c r="DV22" s="1231"/>
      <c r="DW22" s="1231"/>
      <c r="DX22" s="444"/>
      <c r="DY22" s="1231"/>
      <c r="DZ22" s="1231"/>
      <c r="EA22" s="213"/>
      <c r="EB22" s="213"/>
      <c r="EC22" s="213"/>
      <c r="ED22" s="213"/>
      <c r="EE22" s="213"/>
      <c r="EF22" s="213"/>
      <c r="EG22" s="213"/>
      <c r="EH22" s="213"/>
      <c r="EI22" s="213"/>
      <c r="EJ22" s="213"/>
      <c r="EK22" s="213"/>
      <c r="EL22" s="213"/>
      <c r="EM22" s="213"/>
      <c r="EN22" s="213"/>
      <c r="EO22" s="213"/>
      <c r="EP22" s="213"/>
      <c r="EQ22" s="213"/>
      <c r="ER22" s="213"/>
      <c r="ES22" s="213"/>
      <c r="ET22" s="213"/>
      <c r="EU22" s="213"/>
      <c r="EV22" s="213"/>
      <c r="EW22" s="213"/>
      <c r="EX22" s="213"/>
      <c r="EY22" s="213"/>
      <c r="EZ22" s="213"/>
      <c r="FA22" s="304"/>
      <c r="FB22" s="304"/>
      <c r="FC22" s="304"/>
      <c r="FD22" s="304"/>
      <c r="FE22" s="304"/>
      <c r="FF22" s="304"/>
    </row>
    <row r="23" spans="1:163" ht="12.75" hidden="1" customHeight="1" x14ac:dyDescent="0.2">
      <c r="A23" s="240"/>
      <c r="B23" s="240"/>
      <c r="C23" s="240"/>
      <c r="D23" s="236"/>
      <c r="E23" s="235"/>
      <c r="F23" s="234"/>
      <c r="G23" s="234"/>
      <c r="H23" s="223"/>
      <c r="I23" s="224"/>
      <c r="J23" s="224"/>
      <c r="K23" s="224"/>
      <c r="L23" s="221"/>
      <c r="M23" s="223"/>
      <c r="N23" s="223"/>
      <c r="O23" s="223"/>
      <c r="P23" s="223"/>
      <c r="Q23" s="224"/>
      <c r="R23" s="223"/>
      <c r="S23" s="223"/>
      <c r="T23" s="227"/>
      <c r="U23" s="224"/>
      <c r="V23" s="224"/>
      <c r="W23" s="222"/>
      <c r="X23" s="229"/>
      <c r="Y23" s="221"/>
      <c r="Z23" s="221"/>
      <c r="AA23" s="221"/>
      <c r="AB23" s="221"/>
      <c r="AC23" s="221"/>
      <c r="AD23" s="221"/>
      <c r="AE23" s="221"/>
      <c r="AF23" s="221"/>
      <c r="AG23" s="221"/>
      <c r="AH23" s="226"/>
      <c r="AI23" s="239"/>
      <c r="AJ23" s="238"/>
      <c r="AK23" s="228"/>
      <c r="AL23" s="223"/>
      <c r="AM23" s="230"/>
      <c r="AN23" s="228"/>
      <c r="AO23" s="232"/>
      <c r="AQ23" s="231"/>
      <c r="AR23" s="230"/>
      <c r="AS23" s="224"/>
      <c r="AT23" s="232"/>
      <c r="AV23" s="231"/>
      <c r="AW23" s="230"/>
      <c r="AX23" s="224"/>
      <c r="AY23" s="1460"/>
      <c r="AZ23" s="229"/>
      <c r="BA23" s="221"/>
      <c r="BB23" s="228"/>
      <c r="BC23" s="227"/>
      <c r="BD23" s="227"/>
      <c r="BE23" s="227"/>
      <c r="BF23" s="227"/>
      <c r="BG23" s="227"/>
      <c r="BH23" s="227"/>
      <c r="BI23" s="227"/>
      <c r="BJ23" s="315"/>
      <c r="BK23" s="225"/>
      <c r="BL23" s="224"/>
      <c r="BM23" s="224"/>
      <c r="BN23" s="224"/>
      <c r="BO23" s="223"/>
      <c r="BP23" s="222"/>
      <c r="BQ23" s="229"/>
      <c r="BR23" s="221"/>
      <c r="BS23" s="221"/>
      <c r="BT23" s="221"/>
      <c r="BU23" s="221"/>
      <c r="BV23" s="221"/>
      <c r="BW23" s="221"/>
      <c r="BX23" s="221"/>
      <c r="BY23" s="221"/>
      <c r="BZ23" s="226"/>
      <c r="CA23" s="229"/>
      <c r="CC23" s="313"/>
      <c r="CD23" s="317"/>
      <c r="CE23" s="215"/>
      <c r="CF23" s="214"/>
      <c r="DH23" s="1503"/>
      <c r="DI23" s="320"/>
      <c r="DJ23" s="1617"/>
      <c r="DK23" s="320"/>
      <c r="DL23" s="1617"/>
      <c r="DM23" s="320"/>
      <c r="DN23" s="1617"/>
      <c r="DO23" s="1504"/>
      <c r="DQ23" s="433"/>
      <c r="DR23" s="1231"/>
      <c r="DS23" s="213"/>
      <c r="DT23" s="213"/>
      <c r="DU23" s="1231"/>
      <c r="DV23" s="1231"/>
      <c r="DW23" s="1231"/>
      <c r="DX23" s="444"/>
      <c r="DY23" s="1231"/>
      <c r="DZ23" s="1231"/>
      <c r="EA23" s="213"/>
      <c r="EB23" s="213"/>
      <c r="EC23" s="213"/>
      <c r="ED23" s="213"/>
      <c r="EE23" s="213"/>
      <c r="EF23" s="213"/>
      <c r="EG23" s="213"/>
      <c r="EH23" s="213"/>
      <c r="EI23" s="213"/>
      <c r="EJ23" s="213"/>
      <c r="EK23" s="213"/>
      <c r="EL23" s="213"/>
      <c r="EM23" s="213"/>
      <c r="EN23" s="213"/>
      <c r="EO23" s="213"/>
      <c r="EP23" s="213"/>
      <c r="EQ23" s="213"/>
      <c r="ER23" s="213"/>
      <c r="ES23" s="213"/>
      <c r="ET23" s="213"/>
      <c r="EU23" s="213"/>
      <c r="EV23" s="213"/>
      <c r="EW23" s="213"/>
      <c r="EX23" s="213"/>
      <c r="EY23" s="213"/>
      <c r="EZ23" s="213"/>
      <c r="FA23" s="304"/>
      <c r="FB23" s="304"/>
      <c r="FC23" s="304"/>
      <c r="FD23" s="304"/>
      <c r="FE23" s="304"/>
      <c r="FF23" s="304"/>
    </row>
    <row r="24" spans="1:163" ht="12.75" hidden="1" customHeight="1" x14ac:dyDescent="0.2">
      <c r="A24" s="240"/>
      <c r="B24" s="240"/>
      <c r="C24" s="240"/>
      <c r="D24" s="236"/>
      <c r="E24" s="235"/>
      <c r="F24" s="234"/>
      <c r="G24" s="234"/>
      <c r="H24" s="223"/>
      <c r="I24" s="224"/>
      <c r="J24" s="224"/>
      <c r="K24" s="224"/>
      <c r="L24" s="221"/>
      <c r="M24" s="223"/>
      <c r="N24" s="223"/>
      <c r="O24" s="223"/>
      <c r="P24" s="223"/>
      <c r="Q24" s="224"/>
      <c r="R24" s="223"/>
      <c r="S24" s="223"/>
      <c r="T24" s="227"/>
      <c r="U24" s="224"/>
      <c r="V24" s="224"/>
      <c r="W24" s="222"/>
      <c r="X24" s="229"/>
      <c r="Y24" s="221"/>
      <c r="Z24" s="221"/>
      <c r="AA24" s="221"/>
      <c r="AB24" s="221"/>
      <c r="AC24" s="221"/>
      <c r="AD24" s="221"/>
      <c r="AE24" s="221"/>
      <c r="AF24" s="221"/>
      <c r="AG24" s="221"/>
      <c r="AH24" s="226"/>
      <c r="AI24" s="229"/>
      <c r="AJ24" s="221"/>
      <c r="AK24" s="221"/>
      <c r="AL24" s="223"/>
      <c r="AM24" s="230"/>
      <c r="AN24" s="228"/>
      <c r="AO24" s="232"/>
      <c r="AQ24" s="231"/>
      <c r="AR24" s="230"/>
      <c r="AS24" s="224"/>
      <c r="AT24" s="232"/>
      <c r="AV24" s="231"/>
      <c r="AW24" s="230"/>
      <c r="AX24" s="224"/>
      <c r="AY24" s="1460"/>
      <c r="AZ24" s="229"/>
      <c r="BA24" s="221"/>
      <c r="BB24" s="228"/>
      <c r="BC24" s="227"/>
      <c r="BD24" s="221"/>
      <c r="BE24" s="221"/>
      <c r="BF24" s="221"/>
      <c r="BG24" s="221"/>
      <c r="BH24" s="221"/>
      <c r="BI24" s="221"/>
      <c r="BJ24" s="226"/>
      <c r="BK24" s="229"/>
      <c r="BL24" s="224"/>
      <c r="BM24" s="224"/>
      <c r="BN24" s="224"/>
      <c r="BO24" s="223"/>
      <c r="BP24" s="222"/>
      <c r="BQ24" s="229"/>
      <c r="BR24" s="221"/>
      <c r="BS24" s="221"/>
      <c r="BT24" s="221"/>
      <c r="BU24" s="221"/>
      <c r="BV24" s="221"/>
      <c r="BW24" s="221"/>
      <c r="BX24" s="221"/>
      <c r="BY24" s="221"/>
      <c r="BZ24" s="226"/>
      <c r="CA24" s="229"/>
      <c r="CC24" s="313"/>
      <c r="CD24" s="317"/>
      <c r="CE24" s="215"/>
      <c r="CF24" s="214"/>
      <c r="DH24" s="1503"/>
      <c r="DI24" s="320"/>
      <c r="DJ24" s="1617"/>
      <c r="DK24" s="320"/>
      <c r="DL24" s="1617"/>
      <c r="DM24" s="320"/>
      <c r="DN24" s="1617"/>
      <c r="DO24" s="1504"/>
      <c r="DQ24" s="433"/>
      <c r="DR24" s="1231"/>
      <c r="DS24" s="213"/>
      <c r="DT24" s="213"/>
      <c r="DU24" s="1231"/>
      <c r="DV24" s="1231"/>
      <c r="DW24" s="1231"/>
      <c r="DX24" s="444"/>
      <c r="DY24" s="1231"/>
      <c r="DZ24" s="1231"/>
      <c r="EA24" s="213"/>
      <c r="EB24" s="213"/>
      <c r="EC24" s="213"/>
      <c r="ED24" s="213"/>
      <c r="EE24" s="213"/>
      <c r="EF24" s="213"/>
      <c r="EG24" s="213"/>
      <c r="EH24" s="213"/>
      <c r="EI24" s="213"/>
      <c r="EJ24" s="213"/>
      <c r="EK24" s="213"/>
      <c r="EL24" s="213"/>
      <c r="EM24" s="213"/>
      <c r="EN24" s="213"/>
      <c r="EO24" s="213"/>
      <c r="EP24" s="213"/>
      <c r="EQ24" s="213"/>
      <c r="ER24" s="213"/>
      <c r="ES24" s="213"/>
      <c r="ET24" s="213"/>
      <c r="EU24" s="213"/>
      <c r="EV24" s="213"/>
      <c r="EW24" s="213"/>
      <c r="EX24" s="213"/>
      <c r="EY24" s="213"/>
      <c r="EZ24" s="213"/>
      <c r="FA24" s="304"/>
      <c r="FB24" s="304"/>
      <c r="FC24" s="304"/>
      <c r="FD24" s="304"/>
      <c r="FE24" s="304"/>
      <c r="FF24" s="304"/>
    </row>
    <row r="25" spans="1:163" ht="12.75" hidden="1" customHeight="1" x14ac:dyDescent="0.2">
      <c r="A25" s="240"/>
      <c r="B25" s="262">
        <f>B12</f>
        <v>1</v>
      </c>
      <c r="C25" s="262">
        <f>$C$6</f>
        <v>1</v>
      </c>
      <c r="D25" s="429" t="s">
        <v>1197</v>
      </c>
      <c r="E25" s="260"/>
      <c r="F25" s="259"/>
      <c r="G25" s="259"/>
      <c r="H25" s="220" t="str">
        <f>IF(C25&gt;0,"",IF(VLOOKUP(E25,LegendSG1CKTrows,20,FALSE)=0,VLOOKUP(E25,LegendSG1CKTrows,21,FALSE),VLOOKUP(E25,LegendSG1CKTrows,20,FALSE)))</f>
        <v/>
      </c>
      <c r="I25" s="258" t="str">
        <f>IF(C25&gt;0,"",VLOOKUP(E25,LegendSG1CKTrows,22,FALSE))</f>
        <v/>
      </c>
      <c r="J25" s="248" t="str">
        <f>IF($C$3&gt;0,"",IF(C25&gt;0,"",IF(($J$4)&gt;1,I25,IF(V25="@ System",I25+0.5*($F$4),IF(V25="@ Top Of Riser",I25+0.5*($F$4),IF(OR(V25="@ Fixture",V25="@ Bottom Of Riser"),($D$4)-0.5*($F$4),IF(AND(V25="None",D25="Loop"),($D$4)-0.5*($F$4),I25+0.5*($F$4))))))))</f>
        <v/>
      </c>
      <c r="K25" s="248" t="str">
        <f>IF($C$3&gt;0,"",IF(C25&gt;0,"",IF(($J$4)&gt;1,I25,IF(I25+0.5*DZ25+15&lt;L25,I25+0.5*DZ25+15,L25))))</f>
        <v/>
      </c>
      <c r="L25" s="257" t="str">
        <f>IF($C$3&gt;0,"",IF(C25&gt;0,"",IF(($J$4)&gt;1,I25,LegendSG1RGT)))</f>
        <v/>
      </c>
      <c r="M25" s="248" t="str">
        <f>IF($C$3&gt;0,"",IF(C25&gt;0,"",IF(($J$4)&gt;1,Pressure($B$3,"TQ","e",J25,1/($J$4)),DT25)))</f>
        <v/>
      </c>
      <c r="N25" s="248" t="str">
        <f>IF($C$3&gt;0,"",IF(C25&gt;0,"",IF(D25="Loop","n/a",IF(($J$4)&gt;1,Pressure($B$3,"TQ","e",J25,1/($J$4)),DW25))))</f>
        <v/>
      </c>
      <c r="O25" s="248" t="str">
        <f>IF($C$3&gt;0,"",IF(C25&gt;0,"",IF(D25="Loop","n/a",DZ25)))</f>
        <v/>
      </c>
      <c r="P25" s="220" t="str">
        <f>IF($C$3&gt;0,"",IF(C25&gt;0,"",IF(D25="Loop","n/a",IF(($J$4)&gt;1,0,DX25))))</f>
        <v/>
      </c>
      <c r="Q25" s="248" t="str">
        <f>IF($C$3&gt;0,"",IF(C25&gt;0,"",IF(D25="Loop","n/a",IF(($J$4)&gt;1,Enthalpy(($B$3),"QP","E",(1/($J$4)),N25),Enthalpy(($B$3),"TP","E",(I25+0.5*DZ25+'Legend(DX)'!$Y$4),DW25)))))</f>
        <v/>
      </c>
      <c r="R25" s="220" t="str">
        <f>IF(C25&gt;0,"",IF($C$3&gt;0,IF(S25=0,"",U25/(S25*60*0.13368)),IF(($J$4)&gt;1,Enthalpy(($B$3),"TLIQ","E",I25),IF(($G$4+0.5*DZ25)&gt;($H$4),(Enthalpy(($B$3),"TLIQ","E",($G$4))),(Enthalpy(($B$3),"TP","E",($G$4),$I$4))))))</f>
        <v/>
      </c>
      <c r="S25" s="220" t="str">
        <f ca="1">IF(C25&gt;0,"",IF($C$3&gt;0,(VLOOKUP(($D$4),INDIRECT($C$4),3)+VLOOKUP(($S$4),INDIRECT($C$4),3))/2,IF(($J$4)&gt;1,LiquidDensity($B$3,"TLIQ","e",I25),IF(($G$4+0.5*DZ25)&gt;($H$4),(LiquidDensity(($B$3),"TLIQ","E",($G$4))),(Density(($B$3),"TP","E",($G$4),$I$4))))))</f>
        <v/>
      </c>
      <c r="T25" s="250" t="str">
        <f ca="1">IF(C25&gt;0,"",IF($C$3&gt;0,(VLOOKUP(($D$4),INDIRECT($C$4),6)+VLOOKUP(($S$4),INDIRECT($C$4),6))/2*0.000020885,IF(($J$4)&gt;1,Viscosity(($B$3),"TLIQ","E",I25),IF(($G$4+0.5*DZ25)&gt;($H$4),(Viscosity(($B$3),"TLIQ","E",($G$4))),(Viscosity(($B$3),"TP","E",($G$4),$I$4))))))</f>
        <v/>
      </c>
      <c r="U25" s="248" t="str">
        <f>IF(C25&gt;0,"",IF($C$3&gt;0,VLOOKUP(E25,LegendSG1CKTrows,23,FALSE)*60*S25*0.13368,H25*1000/(Q25-R25)))</f>
        <v/>
      </c>
      <c r="V25" s="256" t="str">
        <f>IF(C25&gt;0,"",VLOOKUP(E25,LegendSG1CKTrows,28,FALSE))</f>
        <v/>
      </c>
      <c r="W25" s="255" t="s">
        <v>369</v>
      </c>
      <c r="X25" s="254"/>
      <c r="Y25" s="246" t="str">
        <f>IF(C25&gt;0,"",X25*($Y$4))</f>
        <v/>
      </c>
      <c r="Z25" s="218" t="str">
        <f>IF(C25&gt;0,"",IF(($J$4)&gt;1,Density(($B$3),"TVAP","e",I25),Density(($B$3),"TP","E",K25,M25)))</f>
        <v/>
      </c>
      <c r="AA25" s="250" t="str">
        <f>IF(C25&gt;0,"",IF(($J$4)&gt;1,Viscosity(($B$3),"TVAP","E",I25),Viscosity(($B$3),"TP","E",K25,M25)))</f>
        <v/>
      </c>
      <c r="AB25" s="1014" t="str">
        <f>IF(C25&gt;0,"",IF(($J$4)&gt;1,vel(U25,EC25,AH25),vel(U25,Z25,AH25)))</f>
        <v/>
      </c>
      <c r="AC25" s="220" t="str">
        <f>IF(C25&gt;0,"",IF(($J$4)&gt;1,EO25,pdrop(AE25,Y25,Z25,AB25,IF(AG25="",AF25,AG25))))</f>
        <v/>
      </c>
      <c r="AD25" s="219" t="str">
        <f>IF(C25&gt;0,"",(((AB25/60)*Z25)/AA25)*(VLOOKUP(AF25,'Pipe Data'!F$7:G$19,2,FALSE))/12)</f>
        <v/>
      </c>
      <c r="AE25" s="218" t="str">
        <f>IF(C25&gt;0,"",(0.25/(LOG(5.74/(AD25^0.9))+((VLOOKUP(IF(AG25="",AF25,AG25),'Pipe Data'!J$7:X$19,15,FALSE))/3.7))^2))</f>
        <v/>
      </c>
      <c r="AF25" s="245" t="str">
        <f>IF(C25&gt;0,"",VLOOKUP(($AC$4),AB26:AF36,5,TRUE))</f>
        <v/>
      </c>
      <c r="AG25" s="244"/>
      <c r="AH25" s="298" t="str">
        <f>IF(C25&gt;0,"",IF(AND(AG25="",W25&lt;&gt;"Double"),parea(AF25),parea(AG25)))</f>
        <v/>
      </c>
      <c r="AI25" s="253" t="str">
        <f>IF(C25&gt;0,"",IF(W25="Single","",IF(OR(AG25=0.5,AG25=0.375),"",IF(AF25&lt;0.6,"",(((AR25/60)*Z25)/AA25)*((LOOKUP(IF(AP25="",AO25,AP25),'Pipe Data'!F$7:F$19,'Pipe Data'!G$7:G$19))/12)))))</f>
        <v/>
      </c>
      <c r="AJ25" s="252" t="str">
        <f>IF(C25&gt;0,"",IF(W25="Single","",IF(OR(AG25=0.5,AG25=0.375),"",IF(AF25&lt;0.6,"",(AQ25/AV25)^1.5))))</f>
        <v/>
      </c>
      <c r="AK25" s="218" t="str">
        <f>IF(C25&gt;0,"",IF(W25="Single","",IF(OR(AG25=0.5,AG25=0.375),"",IF(AF25&lt;0.6,"",(0.25/(LOG(5.74/(AI25^0.9))+((LOOKUP(IF(AP25="",AO25,AP25),'Pipe Data'!F$7:F$19,'Pipe Data'!X$7:X$19))/3.7))^2)))))</f>
        <v/>
      </c>
      <c r="AL25" s="220" t="str">
        <f>IF(C25&gt;0,"",IF(W25="Single","",IF(OR(AG25=0.5,AG25=0.375),"",IF(AF25&lt;0.6,"",pdrop(AK25,Y25,Z25,AR25,IF(AP25="",AO25,AP25))))))</f>
        <v/>
      </c>
      <c r="AM25" s="219" t="str">
        <f>IF(C25&gt;0,"",IF(W25="Single","",IF(OR(AG25=0.5,AG25=0.375),"",IF(AF25&lt;0.6,"",(((AW25/60)*Z25)/AA25)*((LOOKUP(IF(AU25="",AT25,AU25),'Pipe Data'!F$7:F$19,'Pipe Data'!G$7:G$19))/12)))))</f>
        <v/>
      </c>
      <c r="AN25" s="218" t="str">
        <f>IF(C25&gt;0,"",IF(W25="Single","",IF(OR(AG25=0.5,AG25=0.375),"",IF(AF25&lt;0.6,"",(0.25/(LOG(5.74/(AM25^0.9))+((LOOKUP(IF(AU25="",AT25,AU25),'Pipe Data'!F$7:F$19,'Pipe Data'!X$7:X$19))/3.7))^2)))))</f>
        <v/>
      </c>
      <c r="AO25" s="245" t="str">
        <f>IF(C25&gt;0,"",IF(W25="Single","",IF(OR(AG25=0.5,AG25=0.375),"",IF(AF25&lt;0.6,"",(IF(AG25="",VLOOKUP(AF25,'Pipe Data'!$J$9:$N$19,3,FALSE),VLOOKUP(AG25,'Pipe Data'!$J$9:$N$19,3,FALSE)))))))</f>
        <v/>
      </c>
      <c r="AP25" s="244"/>
      <c r="AQ25" s="251" t="str">
        <f>IF(C25&gt;0,"",IF(W25="Single","",IF(OR(AG25=0.5,AG25=0.375),"",IF(AF25&lt;0.6,"",IF(AP25="",parea(AO25),parea(AP25))))))</f>
        <v/>
      </c>
      <c r="AR25" s="219" t="str">
        <f>IF(C25&gt;0,"",IF(W25="Single","",IF(OR(AG25=0.5,AG25=0.375),"",IF(AF25&lt;0.6,"",((AS25/(Z25*AQ25))/60)))))</f>
        <v/>
      </c>
      <c r="AS25" s="248" t="str">
        <f>IF(C25&gt;0,"",IF(W25="Single","",IF(OR(AG25=0.5,AG25=0.375),"",IF(AF25&lt;0.6,"",(U25*AJ25)/(1+AJ25)))))</f>
        <v/>
      </c>
      <c r="AT25" s="245" t="str">
        <f>IF(C25&gt;0,"",IF(W25="Single","",IF(OR(AG25=0.5,AG25=0.375),"",IF(AF25&lt;0.6,"",(IF(AG25="",VLOOKUP(AF25,'Pipe Data'!$J$9:$N$19,5,FALSE),VLOOKUP(AG25,'Pipe Data'!$J$9:$N$19,5,FALSE)))))))</f>
        <v/>
      </c>
      <c r="AU25" s="244"/>
      <c r="AV25" s="251" t="str">
        <f>IF(C25&gt;0,"",IF(W25="Single","",IF(OR(AG25=0.5,AG25=0.375),"",IF(AF25&lt;0.6,"",IF(AU25="",parea(AT25),parea(AU25))))))</f>
        <v/>
      </c>
      <c r="AW25" s="219" t="str">
        <f>IF(C25&gt;0,"",IF(W25="Single","",IF(OR(AG25=0.5,AG25=0.375),"",IF(AF25&lt;0.6,"",((AX25/(Z25*AV25))/60)))))</f>
        <v/>
      </c>
      <c r="AX25" s="248" t="str">
        <f>IF(C25&gt;0,"",IF(W25="Single","",IF(OR(AG25=0.5,AG25=0.375),"",IF(AF25&lt;0.6,"",U25-AS25))))</f>
        <v/>
      </c>
      <c r="AY25" s="1461"/>
      <c r="AZ25" s="1463" t="str">
        <f>IF(AY25=0,"",AY25-X25)</f>
        <v/>
      </c>
      <c r="BA25" s="246" t="str">
        <f>IF(C25&gt;0,"",AZ25*($BA$4))</f>
        <v/>
      </c>
      <c r="BB25" s="218" t="str">
        <f>IF(C25&gt;0,"",IF(($J$4)&gt;1,Density(($B$3),"TVAP","e",I25),Density(($B$3),"TP","E",K25,M25)))</f>
        <v/>
      </c>
      <c r="BC25" s="250" t="str">
        <f>IF(C25&gt;0,"",IF(($J$4)&gt;1,Viscosity(($B$3),"TVAP","E",I25),Viscosity(($B$3),"TP","E",$K25,$M25)))</f>
        <v/>
      </c>
      <c r="BD25" s="219" t="str">
        <f>IF(C25&gt;0,"",IF(($J$4)&gt;1,vel(U25,EC25,BJ25),vel(U25,Z25,BJ25)))</f>
        <v/>
      </c>
      <c r="BE25" s="220" t="str">
        <f>IF(C25&gt;0,"",IF(($J$4)&gt;1,EZ25,pdrop(BG25,BA25,Z25,BD25,IF(BI25="",BH25,BI25))))</f>
        <v/>
      </c>
      <c r="BF25" s="219" t="str">
        <f>IF(C25&gt;0,"",(((BD25/60)*Z25)/BC25)*((VLOOKUP(IF(BI25="",BH25,BI25),'Pipe Data'!F$7:G$19,2,FALSE))/12))</f>
        <v/>
      </c>
      <c r="BG25" s="218" t="str">
        <f>IF(C25&gt;0,"",(0.25/(LOG(5.74/(BF25^0.9))+((VLOOKUP(BH25,'Pipe Data'!J$7:X$19,15,FALSE))/3.7))^2))</f>
        <v/>
      </c>
      <c r="BH25" s="245" t="str">
        <f>IF(C25&gt;0,"",VLOOKUP(1,BI26:BK36,3,FALSE))</f>
        <v/>
      </c>
      <c r="BI25" s="244"/>
      <c r="BJ25" s="243" t="str">
        <f>IF(C25&gt;0,"",IF(BI25="",parea(BH25),parea(BI25)))</f>
        <v/>
      </c>
      <c r="BK25" s="249" t="str">
        <f>IF(C25&gt;0,"",VLOOKUP(E25,LegendSG1CKTrows,26,FALSE))</f>
        <v/>
      </c>
      <c r="BL25" s="248" t="str">
        <f>IF(C25&gt;0,"",IF(W25="Single",AC25+BE25+BK25,AL25+BE25+BK25))</f>
        <v/>
      </c>
      <c r="BM25" s="248"/>
      <c r="BN25" s="248" t="str">
        <f>IF(C25&gt;0,"",IF(D25="Loop","n/a",BP25-I25))</f>
        <v/>
      </c>
      <c r="BO25" s="220" t="str">
        <f>IF(C25&gt;0,"",IF(D25="Loop","n/a",N25-BM25))</f>
        <v/>
      </c>
      <c r="BP25" s="247" t="str">
        <f>IF(C25&gt;0,"",IF(D25="Loop","n/a",TEMPERATURE(($B$3),"PVAP","E",BO25)-0.5*DZ25))</f>
        <v/>
      </c>
      <c r="BQ25" s="287" t="str">
        <f>IF(C25&gt;0,"",AZ25+X25)</f>
        <v/>
      </c>
      <c r="BR25" s="246" t="str">
        <f>IF(C25&gt;0,"",BQ25*($BR$4))</f>
        <v/>
      </c>
      <c r="BS25" s="220" t="str">
        <f>IF(C25&gt;0,"",IF($C$3&gt;0,vel(U25,S25,BZ25)/60,vel(U25,S25,BZ25)))</f>
        <v/>
      </c>
      <c r="BT25" s="220" t="str">
        <f>IF(C25&gt;0,"",IF($C$3&gt;0,2.31*pdrop(BW25,BR25,S25,60*BS25,IF(BY25="",BX25,BY25)),pdrop(BW25,BR25,S25,BS25,IF(BY25="",BX25,BY25))))</f>
        <v/>
      </c>
      <c r="BU25" s="220"/>
      <c r="BV25" s="219" t="str">
        <f>IF(C25&gt;0,"",IF($C$3&gt;0,(((BS25)*S25)/32.2/T25)*((VLOOKUP(IF(BY25="",BX25,BY25),'Pipe Data'!F$7:G$19,2,FALSE))/12),(((BS25/60)*S25)/T25)*((VLOOKUP(IF(BY25="",BX25,BY25),'Pipe Data'!F$7:G$19,2,FALSE))/12)))</f>
        <v/>
      </c>
      <c r="BW25" s="218" t="str">
        <f>IF(C25&gt;0,"",IF($C$3&gt;0,IF(BV25&lt;2100,64/BV25,(0.25/(LOG(5.74/(BV25^0.9))+((VLOOKUP(BX25,'Pipe Data'!J$7:X$19,15,FALSE))/3.7))^2)),(0.25/(LOG(5.74/(BV25^0.9))+((VLOOKUP(IF(BY25="",BX25,BY25),'Pipe Data'!J$7:X$19,15,FALSE))/3.7))^2)))</f>
        <v/>
      </c>
      <c r="BX25" s="245" t="str">
        <f>IF(C25&gt;0,"",VLOOKUP(0.25,BY26:CA36,3,TRUE))</f>
        <v/>
      </c>
      <c r="BY25" s="244"/>
      <c r="BZ25" s="243" t="str">
        <f>IFERROR(IF(C25&gt;0,"",IF(BY25="",parea(BX25),parea(BY25))),0)</f>
        <v/>
      </c>
      <c r="CA25" s="314"/>
      <c r="CC25" s="313">
        <v>0</v>
      </c>
      <c r="CD25" s="316" t="str">
        <f>IF(C25&gt;0,"",IF($C$3&gt;0,2*(BQ25*BZ25*7.481)+IF(D25="Loop",0,VLOOKUP(E25,'Legend(DX)'!$H$8:$AT$16,36,FALSE)),S25*BQ25*BZ25+AZ25*BB25*BJ25+X25*Z25*(IF(W25&lt;&gt;"Double",AH25,AQ25+AV25))+IF(D25="Loop",0,VLOOKUP(E25,'Legend(DX)'!$H$8:$AT$16,36,FALSE))))</f>
        <v/>
      </c>
      <c r="CE25" s="242"/>
      <c r="CF25" s="241"/>
      <c r="CH25" s="213">
        <f>IF(OR(AB25&lt;($AB$5),AB25&gt;($AC$4)),1,0)</f>
        <v>1</v>
      </c>
      <c r="CI25" s="213">
        <f>IF(OR(BD25&lt;($BD$5),BD25&gt;($BE$5)),1,0)</f>
        <v>1</v>
      </c>
      <c r="CJ25" s="213">
        <f>IF(BN25&lt;($F$4),1,0)</f>
        <v>0</v>
      </c>
      <c r="CK25" s="213">
        <f>IF(AND((LEFT('Legend(DX)'!$U$1,1)="C"),BN25&gt;$F$4),0,IF(BO25&lt;($E$4),1,0))</f>
        <v>0</v>
      </c>
      <c r="CL25" s="213">
        <f>IF(AND((LEFT('Legend(DX)'!$U$1,1)="C"),BN25&gt;$F$4),0,IF(BP25&lt;($D$4),1,0))</f>
        <v>0</v>
      </c>
      <c r="CM25" s="213">
        <f>IF(BS25&gt;($BS$4),1,0)</f>
        <v>1</v>
      </c>
      <c r="CN25" s="213">
        <f>IF(BU25&gt;($BT$4),1,0)</f>
        <v>0</v>
      </c>
      <c r="CO25" s="213">
        <f>SUM(CH25:CN25)</f>
        <v>3</v>
      </c>
      <c r="CQ25" s="304" t="s">
        <v>171</v>
      </c>
      <c r="CR25" s="213">
        <f t="shared" ref="CR25:DC25" si="5">IF($W25="Single",IF($AG25="",IF($AF25=CR$8,$X25,0),IF($AG25=CR$8,$X25,0)),0)</f>
        <v>0</v>
      </c>
      <c r="CS25" s="213">
        <f t="shared" si="5"/>
        <v>0</v>
      </c>
      <c r="CT25" s="213">
        <f t="shared" si="5"/>
        <v>0</v>
      </c>
      <c r="CU25" s="213">
        <f t="shared" si="5"/>
        <v>0</v>
      </c>
      <c r="CV25" s="213">
        <f t="shared" si="5"/>
        <v>0</v>
      </c>
      <c r="CW25" s="213">
        <f t="shared" si="5"/>
        <v>0</v>
      </c>
      <c r="CX25" s="213">
        <f t="shared" si="5"/>
        <v>0</v>
      </c>
      <c r="CY25" s="213">
        <f t="shared" si="5"/>
        <v>0</v>
      </c>
      <c r="CZ25" s="213">
        <f t="shared" si="5"/>
        <v>0</v>
      </c>
      <c r="DA25" s="213">
        <f t="shared" si="5"/>
        <v>0</v>
      </c>
      <c r="DB25" s="213">
        <f t="shared" si="5"/>
        <v>0</v>
      </c>
      <c r="DC25" s="213">
        <f t="shared" si="5"/>
        <v>0</v>
      </c>
      <c r="DE25" s="304" t="str">
        <f>IF(AG25="",IF(X25=0,TEXT(AF25,"# 0/0")&amp;"^",TEXT(AF25,"# 0/0")),IF(X25=0,TEXT(AG25,"# 0/0")&amp;"^",TEXT(AG25,"# 0/0")))</f>
        <v>^</v>
      </c>
      <c r="DF25" s="25" t="str">
        <f>IF(AP25="",IF(X25=0,TEXT(AO25,"# 0/0")&amp;"^",TEXT(AO25,"# 0/0")),IF(X25=0,TEXT(AP25,"# 0/0")&amp;"^",TEXT(AP25,"# 0/0")))</f>
        <v>^</v>
      </c>
      <c r="DG25" s="25" t="str">
        <f>IF(AU25="",IF(X25=0,TEXT(AT25,"# 0/0")&amp;"^",TEXT(AT25,"# 0/0")),IF(X25=0,TEXT(AU25,"# 0/0")&amp;"^",TEXT(AU25,"# 0/0")))</f>
        <v>^</v>
      </c>
      <c r="DH25" s="1501">
        <f>E25</f>
        <v>0</v>
      </c>
      <c r="DI25" s="1498" t="str">
        <f>IF($BI25="",TEXT($BH25, "# 0/0"),TEXT($BI25, "# 0/0"))</f>
        <v/>
      </c>
      <c r="DJ25" s="1614"/>
      <c r="DK25" s="1498" t="str">
        <f>IF($C$3&gt;0,R25,IF(W25="Double",DF25 &amp; " &amp; " &amp; DG25,DE25))</f>
        <v>^</v>
      </c>
      <c r="DL25" s="1614"/>
      <c r="DM25" s="1498" t="str">
        <f>IF($BY25="",IF($C$3&gt;0,$BX25-0.125,TEXT($BX25, "# 0/0")),IF($C$3&gt;0,$BY25-0.125,TEXT($BY25, "# 0/0")))</f>
        <v/>
      </c>
      <c r="DN25" s="1614"/>
      <c r="DO25" s="1502" t="str">
        <f>IF($C$3&gt;0,2*$BQ25,$BQ25)</f>
        <v/>
      </c>
      <c r="DQ25" s="433"/>
      <c r="DR25" s="1253" t="str">
        <f>J25</f>
        <v/>
      </c>
      <c r="DS25" s="1253" t="str">
        <f>IF(C25&gt;0,"",(Pressure($B$3,"Tliq","e",$J25)+Pressure($B$3,"Tvap","e",$J25))/2)</f>
        <v/>
      </c>
      <c r="DT25" s="1253" t="str">
        <f>IF(C25&gt;0,"",Pressure($B$3,"tvap","e",$J25+0.5*$DZ25))</f>
        <v/>
      </c>
      <c r="DU25" s="1253" t="str">
        <f>I25</f>
        <v/>
      </c>
      <c r="DV25" s="1253" t="str">
        <f>IF(C25&gt;0,"",(Pressure($B$3,"Tliq","e",$I25)+Pressure($B$3,"Tvap","e",$I25))/2)</f>
        <v/>
      </c>
      <c r="DW25" s="1253" t="str">
        <f>IF(C25&gt;0,"",Pressure($B$3,"tvap","e",$I25+0.5*$DZ25))</f>
        <v/>
      </c>
      <c r="DX25" s="1260" t="str">
        <f>IF(C25&gt;0,"",1-(Enthalpy($B$3,"pvap","e",$DV25)-(IF($G$4+0.5*($DR$4)&gt;($H$4),Enthalpy($B$3,"Tliq","e",($G$4)),Enthalpy($B$3,"tp","e",($G$4),($I$4)))))/(Enthalpy($B$3,"pvap","e",$DV25)-Enthalpy($B$3,"pliq","e",$DV25)))</f>
        <v/>
      </c>
      <c r="DY25" s="1253" t="str">
        <f>IF(C25&gt;0,"",TEMPERATURE($B$3,"pvap","e",$DS25)-TEMPERATURE($B$3,"pliq","e",$DS25))</f>
        <v/>
      </c>
      <c r="DZ25" s="1253" t="e">
        <f>IF($B$3="R744", 0.001,((1-$DX25)*$DY25))</f>
        <v>#VALUE!</v>
      </c>
      <c r="EA25" s="1261"/>
      <c r="EB25" s="1262" t="e">
        <f ca="1">T25/AA25</f>
        <v>#VALUE!</v>
      </c>
      <c r="EC25" s="1260" t="e">
        <f ca="1">1/(((1/($J$4))/Z25)+((1-(1/($J$4)))/S25))</f>
        <v>#VALUE!</v>
      </c>
      <c r="ED25" s="1263" t="e">
        <f>SQRT(AH25*4/PI())</f>
        <v>#VALUE!</v>
      </c>
      <c r="EE25" s="1262" t="e">
        <f ca="1">(((U25/AH25)^2)*ED25)*(1/3600)*(1/3600)/(EC25*SurfaceTension($B$3,"TLIQ","E",I25))/32.174</f>
        <v>#VALUE!</v>
      </c>
      <c r="EF25" s="1260" t="e">
        <f ca="1">((S25/Z25)^0.91)*((AA25/T25)^0.19)*((1-(AA25/T25))^0.7)</f>
        <v>#VALUE!</v>
      </c>
      <c r="EG25" s="1264" t="e">
        <f>((1/($J$4))^0.78)*((1-(1/($J$4)))^0.224)</f>
        <v>#VALUE!</v>
      </c>
      <c r="EH25" s="1260" t="e">
        <f ca="1">(1-(1/($J$4)))^2+(((1/($J$4))^2)*S25*AE25/(Z25*EM25))</f>
        <v>#VALUE!</v>
      </c>
      <c r="EI25" s="1262" t="e">
        <f ca="1">((U25/AH25)^2)*(1/3600)*(1/3600)/(32.174*ED25*(EC25^2))</f>
        <v>#VALUE!</v>
      </c>
      <c r="EJ25" s="1253" t="e">
        <f ca="1">EH25+(3.24*EG25*EF25/((EI25^0.045)*(EE25^0.035)))</f>
        <v>#VALUE!</v>
      </c>
      <c r="EK25" s="1260" t="e">
        <f>vel(U25,S25,AH25)</f>
        <v>#VALUE!</v>
      </c>
      <c r="EL25" s="1262" t="e">
        <f ca="1">(((EK25/60)*S25)/T25)*((VLOOKUP(IF(AG25="",AF25,AG25),'Pipe Data'!F$7:G$19,2,FALSE))/12)</f>
        <v>#VALUE!</v>
      </c>
      <c r="EM25" s="1264" t="e">
        <f ca="1">(0.25/(LOG(5.74/(EL25^0.9))+((VLOOKUP(IF(AG25="",AF25,AG25),'Pipe Data'!J$7:X$19,15,FALSE))/3.7))^2)</f>
        <v>#VALUE!</v>
      </c>
      <c r="EN25" s="1264" t="e">
        <f ca="1">pdrop(EM25,Y25,S25,EK25,IF(AG25="",AF25,AG25))</f>
        <v>#VALUE!</v>
      </c>
      <c r="EO25" s="1260" t="e">
        <f ca="1">EN25*EJ25</f>
        <v>#VALUE!</v>
      </c>
      <c r="EP25" s="1261"/>
      <c r="EQ25" s="1263" t="e">
        <f>SQRT(BJ25*4/PI())</f>
        <v>#VALUE!</v>
      </c>
      <c r="ER25" s="1262" t="e">
        <f ca="1">(((U25/BJ25)^2)*EQ25)*(1/3600)*(1/3600)/(EC25*SurfaceTension($B$3,"TLIQ","E",I25))/32.174</f>
        <v>#VALUE!</v>
      </c>
      <c r="ES25" s="1260" t="e">
        <f ca="1">(1-(1/($J$4)))^2+(((1/($J$4))^2)*S25*BG25/(Z25*EM25))</f>
        <v>#VALUE!</v>
      </c>
      <c r="ET25" s="1253" t="e">
        <f ca="1">((U25/BJ25)^2)*(1/3600)*(1/3600)/(32.174*EQ25*(EC25^2))</f>
        <v>#VALUE!</v>
      </c>
      <c r="EU25" s="1260" t="e">
        <f ca="1">ES25+(3.24*EG25*EF25/((ET25^0.045)*(ER25^0.035)))</f>
        <v>#VALUE!</v>
      </c>
      <c r="EV25" s="1260" t="e">
        <f>vel(U25,S25,BJ25)</f>
        <v>#VALUE!</v>
      </c>
      <c r="EW25" s="1262" t="e">
        <f ca="1">(((EV25/60)*S25)/T25)*((VLOOKUP(IF(BI25="",BH25,BI25),'Pipe Data'!F$7:G$19,2,FALSE))/12)</f>
        <v>#VALUE!</v>
      </c>
      <c r="EX25" s="1264" t="e">
        <f ca="1">(0.25/(LOG(5.74/(EW25^0.9))+((VLOOKUP(IF(BI25="",BH25,BI25),'Pipe Data'!J$7:X$19,15,FALSE))/3.7))^2)</f>
        <v>#VALUE!</v>
      </c>
      <c r="EY25" s="1260" t="e">
        <f ca="1">pdrop(EX25,BA25,S25,EV25,IF(BI25="",BH25,BI25))</f>
        <v>#VALUE!</v>
      </c>
      <c r="EZ25" s="1260" t="e">
        <f ca="1">EY25*EU25</f>
        <v>#VALUE!</v>
      </c>
      <c r="FA25" s="213">
        <f>IF($J$4&gt;1,0,IF(AND(AB25&gt;$AB$5,AB25&lt;($AB$4)),1,0))</f>
        <v>0</v>
      </c>
      <c r="FB25" s="304">
        <f>IF($J$4&gt;1,0,IF(OR(AND(BD25&gt;$BD$5,BD25&lt;($BD$4)),AND(BD25&lt;$BE$5,BD25&gt;($BE$4))),1,0))</f>
        <v>0</v>
      </c>
      <c r="FC25" s="304">
        <f>IF(AND(BS25&lt;$BS$4,BS25&gt;($BS$5)),1,0)</f>
        <v>0</v>
      </c>
      <c r="FD25" s="213">
        <f>IF(AND(AR25&gt;$AR$5,AR25&lt;($AR$4)),1,0)</f>
        <v>0</v>
      </c>
      <c r="FE25" s="304">
        <f>IF(OR(AR25&lt;($AR$5),AR25&gt;($AS$4)),1,0)</f>
        <v>1</v>
      </c>
      <c r="FF25" s="213">
        <f>IF(AND(AW25&gt;$AR$5,AW25&lt;($AR$4)),1,0)</f>
        <v>0</v>
      </c>
      <c r="FG25" s="304">
        <f>IF(OR(AW25&lt;($AR$5),AW25&gt;($AS$4)),1,0)</f>
        <v>1</v>
      </c>
    </row>
    <row r="26" spans="1:163" ht="12.75" hidden="1" customHeight="1" x14ac:dyDescent="0.2">
      <c r="A26" s="240"/>
      <c r="B26" s="240"/>
      <c r="C26" s="240"/>
      <c r="D26" s="236"/>
      <c r="E26" s="235"/>
      <c r="F26" s="234"/>
      <c r="G26" s="234"/>
      <c r="H26" s="221"/>
      <c r="I26" s="221"/>
      <c r="J26" s="221"/>
      <c r="K26" s="221"/>
      <c r="L26" s="221"/>
      <c r="M26" s="223"/>
      <c r="N26" s="223"/>
      <c r="O26" s="223"/>
      <c r="P26" s="223"/>
      <c r="Q26" s="224"/>
      <c r="R26" s="223"/>
      <c r="S26" s="223"/>
      <c r="T26" s="227"/>
      <c r="U26" s="224"/>
      <c r="V26" s="224"/>
      <c r="W26" s="222"/>
      <c r="X26" s="229"/>
      <c r="Y26" s="221"/>
      <c r="Z26" s="228"/>
      <c r="AA26" s="227"/>
      <c r="AB26" s="219" t="str">
        <f>IF(C25&gt;0,"",IF(($J$4)&gt;1,vel(U25,EC25,AH26),vel(U25,Z25,AH26)))</f>
        <v/>
      </c>
      <c r="AC26" s="220" t="str">
        <f>IF(C25&gt;0,"",pdrop(AE26,Y25,Z25,AB26,AF26))</f>
        <v/>
      </c>
      <c r="AD26" s="219" t="str">
        <f>IF(C25&gt;0,"",(((AB26/60)*Z25)/AA25)*(VLOOKUP(AF26,'Pipe Data'!F$7:G$19,2,FALSE))/12)</f>
        <v/>
      </c>
      <c r="AE26" s="218" t="str">
        <f>IF(C25&gt;0,"",(0.25/(LOG(5.74/(AD26^0.9))+((VLOOKUP(AF26,'Pipe Data'!J$7:X$19,15,FALSE))/3.7))^2))</f>
        <v/>
      </c>
      <c r="AF26" s="216">
        <v>4.125</v>
      </c>
      <c r="AH26" s="217">
        <v>8.1138442517193113E-2</v>
      </c>
      <c r="AI26" s="239"/>
      <c r="AJ26" s="238"/>
      <c r="AK26" s="228"/>
      <c r="AL26" s="223"/>
      <c r="AM26" s="230"/>
      <c r="AN26" s="228"/>
      <c r="AO26" s="232"/>
      <c r="AQ26" s="231"/>
      <c r="AR26" s="230"/>
      <c r="AS26" s="224"/>
      <c r="AT26" s="232"/>
      <c r="AV26" s="231"/>
      <c r="AW26" s="230"/>
      <c r="AX26" s="224"/>
      <c r="AY26" s="1460"/>
      <c r="AZ26" s="229"/>
      <c r="BA26" s="221"/>
      <c r="BB26" s="228"/>
      <c r="BC26" s="227"/>
      <c r="BD26" s="219" t="str">
        <f>IF(C25&gt;0,"",IF(($J$4)&gt;1,vel(U25,EC25,BJ26),vel(U25,Z25,BJ26)))</f>
        <v/>
      </c>
      <c r="BE26" s="220" t="str">
        <f>IF(C25&gt;0,"",IF(($J$4)&gt;1,EZ25,pdrop(BG26,BA25,Z25,BD26,BH26)))</f>
        <v/>
      </c>
      <c r="BF26" s="219" t="str">
        <f>IF(C25&gt;0,"",(((BD26/60)*Z25)/$AA$12)*((VLOOKUP(BH26,'Pipe Data'!F$7:G$19,2,FALSE))/12))</f>
        <v/>
      </c>
      <c r="BG26" s="218" t="str">
        <f>IF(C25&gt;0,"",(0.25/(LOG(5.74/(BF26^0.9))+((VLOOKUP(BH26,'Pipe Data'!J$7:X$19,15,FALSE))/3.7))^2))</f>
        <v/>
      </c>
      <c r="BH26" s="216">
        <v>4.125</v>
      </c>
      <c r="BI26" s="25">
        <f>IF($J$4&gt;1,IF(BD26&gt;($BD$5),1,0),IF(BD26&gt;($BD$4),1,0))</f>
        <v>1</v>
      </c>
      <c r="BJ26" s="217">
        <v>8.1138442517193113E-2</v>
      </c>
      <c r="BK26" s="237">
        <v>4.125</v>
      </c>
      <c r="BL26" s="224"/>
      <c r="BM26" s="224"/>
      <c r="BN26" s="224"/>
      <c r="BO26" s="223"/>
      <c r="BP26" s="222"/>
      <c r="BQ26" s="229"/>
      <c r="BR26" s="221"/>
      <c r="BS26" s="219" t="str">
        <f>IF(C25&gt;0,"",IF($C$3&gt;0,vel(U25,S25,BZ26)/60,vel(U25,S25,BZ26)))</f>
        <v/>
      </c>
      <c r="BT26" s="220" t="str">
        <f>IF(C25&gt;0,"",IF($C$3&gt;0,2.31*pdrop(BW26,BR25,S25,60*BS26,BX26),pdrop(BW26,BR25,S25,BS26,BX26)))</f>
        <v/>
      </c>
      <c r="BU26" s="220"/>
      <c r="BV26" s="219" t="str">
        <f>IF(C25&gt;0,"",IF($C$3&gt;0,(((BS26)*S25)/32.2/T25)*((VLOOKUP(BX26,'Pipe Data'!F$7:G$19,2,FALSE))/12),(((BS26/60)*S25)/T25)*((VLOOKUP(BX26,'Pipe Data'!F$7:G$19,2,FALSE))/12)))</f>
        <v/>
      </c>
      <c r="BW26" s="218" t="str">
        <f>IF(C25&gt;0,"",IF($C$3&gt;0,IF(BV26&lt;2100,64/BV26,(0.25/(LOG(5.74/(BV26^0.9))+((VLOOKUP(BX26,'Pipe Data'!J$7:X$19,15,FALSE))/3.7))^2)),(0.25/(LOG(5.74/(BV26^0.9))+((VLOOKUP(BX26,'Pipe Data'!J$7:X$19,15,FALSE))/3.7))^2)))</f>
        <v/>
      </c>
      <c r="BX26" s="216">
        <v>4.125</v>
      </c>
      <c r="BY26" s="25" t="str">
        <f>IF(C25&gt;0,"",IF($C$3&gt;0,IF(BT26/BR25&lt;=$BY$4/100,0,1),IF(AND(BS26&lt;($BS$4),BT26&lt;($BT$4)),0,1)))</f>
        <v/>
      </c>
      <c r="BZ26" s="217">
        <v>8.1138442517193113E-2</v>
      </c>
      <c r="CA26" s="237">
        <v>4.125</v>
      </c>
      <c r="CC26" s="313"/>
      <c r="CD26" s="317"/>
      <c r="CE26" s="215"/>
      <c r="CF26" s="214"/>
      <c r="CQ26" s="304" t="s">
        <v>154</v>
      </c>
      <c r="CR26" s="213">
        <f t="shared" ref="CR26:DC26" si="6">IF($BI25="",IF($BH25=CR$8,$AZ25,0),IF($BI25=CR$8,$AZ25,0))</f>
        <v>0</v>
      </c>
      <c r="CS26" s="213">
        <f t="shared" si="6"/>
        <v>0</v>
      </c>
      <c r="CT26" s="213">
        <f t="shared" si="6"/>
        <v>0</v>
      </c>
      <c r="CU26" s="213">
        <f t="shared" si="6"/>
        <v>0</v>
      </c>
      <c r="CV26" s="213">
        <f t="shared" si="6"/>
        <v>0</v>
      </c>
      <c r="CW26" s="213">
        <f t="shared" si="6"/>
        <v>0</v>
      </c>
      <c r="CX26" s="213">
        <f t="shared" si="6"/>
        <v>0</v>
      </c>
      <c r="CY26" s="213">
        <f t="shared" si="6"/>
        <v>0</v>
      </c>
      <c r="CZ26" s="213">
        <f t="shared" si="6"/>
        <v>0</v>
      </c>
      <c r="DA26" s="213">
        <f t="shared" si="6"/>
        <v>0</v>
      </c>
      <c r="DB26" s="213">
        <f t="shared" si="6"/>
        <v>0</v>
      </c>
      <c r="DC26" s="213">
        <f t="shared" si="6"/>
        <v>0</v>
      </c>
      <c r="DH26" s="1503"/>
      <c r="DI26" s="320"/>
      <c r="DJ26" s="1617"/>
      <c r="DK26" s="320"/>
      <c r="DL26" s="1617"/>
      <c r="DM26" s="320"/>
      <c r="DN26" s="1617"/>
      <c r="DO26" s="1504"/>
      <c r="DQ26" s="433"/>
      <c r="DR26" s="1231"/>
      <c r="DS26" s="213"/>
      <c r="DT26" s="213"/>
      <c r="DU26" s="213"/>
      <c r="DV26" s="213"/>
      <c r="DW26" s="213"/>
      <c r="DX26" s="213"/>
      <c r="DY26" s="213"/>
      <c r="DZ26" s="213"/>
      <c r="EA26" s="213"/>
      <c r="EB26" s="213"/>
      <c r="EC26" s="213"/>
      <c r="ED26" s="213"/>
      <c r="EE26" s="213"/>
      <c r="EF26" s="213"/>
      <c r="EG26" s="213"/>
      <c r="EH26" s="213"/>
      <c r="EI26" s="213"/>
      <c r="EJ26" s="213"/>
      <c r="EK26" s="213"/>
      <c r="EL26" s="213"/>
      <c r="EM26" s="213"/>
      <c r="EN26" s="213"/>
      <c r="EO26" s="213"/>
      <c r="EP26" s="213"/>
      <c r="EQ26" s="213"/>
      <c r="ER26" s="213"/>
      <c r="ES26" s="213"/>
      <c r="ET26" s="213"/>
      <c r="EU26" s="213"/>
      <c r="EV26" s="213"/>
      <c r="EW26" s="213"/>
      <c r="EX26" s="213"/>
      <c r="EY26" s="213"/>
      <c r="EZ26" s="213"/>
    </row>
    <row r="27" spans="1:163" ht="12.75" hidden="1" customHeight="1" x14ac:dyDescent="0.2">
      <c r="D27" s="236"/>
      <c r="E27" s="235"/>
      <c r="F27" s="234"/>
      <c r="G27" s="234"/>
      <c r="H27" s="221"/>
      <c r="I27" s="221"/>
      <c r="J27" s="221"/>
      <c r="K27" s="221"/>
      <c r="L27" s="221"/>
      <c r="M27" s="223"/>
      <c r="N27" s="223"/>
      <c r="O27" s="223"/>
      <c r="P27" s="223"/>
      <c r="Q27" s="224"/>
      <c r="R27" s="223"/>
      <c r="S27" s="223"/>
      <c r="T27" s="227"/>
      <c r="U27" s="224"/>
      <c r="V27" s="224"/>
      <c r="W27" s="222"/>
      <c r="X27" s="229"/>
      <c r="Y27" s="221"/>
      <c r="Z27" s="228"/>
      <c r="AA27" s="227"/>
      <c r="AB27" s="219" t="str">
        <f>IF(C25&gt;0,"",IF(($J$4)&gt;1,vel(U25,EC25,AH27),vel(U25,Z25,AH27)))</f>
        <v/>
      </c>
      <c r="AC27" s="220" t="str">
        <f>IF(C25&gt;0,"",pdrop(AE27,Y25,Z25,AB27,AF27))</f>
        <v/>
      </c>
      <c r="AD27" s="219" t="str">
        <f>IF(C25&gt;0,"",(((AB27/60)*Z25)/AA25)*(VLOOKUP(AF27,'Pipe Data'!F$7:G$19,2,FALSE))/12)</f>
        <v/>
      </c>
      <c r="AE27" s="218" t="str">
        <f>IF(C25&gt;0,"",(0.25/(LOG(5.74/(AD27^0.9))+((VLOOKUP(AF27,'Pipe Data'!J$7:X$19,15,FALSE))/3.7))^2))</f>
        <v/>
      </c>
      <c r="AF27" s="216">
        <v>3.625</v>
      </c>
      <c r="AH27" s="217">
        <v>6.2494922713852256E-2</v>
      </c>
      <c r="AI27" s="239"/>
      <c r="AJ27" s="238"/>
      <c r="AK27" s="228"/>
      <c r="AL27" s="223"/>
      <c r="AM27" s="230"/>
      <c r="AN27" s="228"/>
      <c r="AO27" s="232"/>
      <c r="AQ27" s="231"/>
      <c r="AR27" s="230"/>
      <c r="AS27" s="224"/>
      <c r="AT27" s="232"/>
      <c r="AV27" s="231"/>
      <c r="AW27" s="230"/>
      <c r="AX27" s="224"/>
      <c r="AY27" s="1460"/>
      <c r="AZ27" s="229"/>
      <c r="BA27" s="221"/>
      <c r="BB27" s="228"/>
      <c r="BC27" s="227"/>
      <c r="BD27" s="219" t="str">
        <f>IF(C25&gt;0,"",IF(($J$4)&gt;1,vel(U25,EC25,BJ27),vel(U25,Z25,BJ27)))</f>
        <v/>
      </c>
      <c r="BE27" s="220" t="str">
        <f>IF(C25&gt;0,"",IF(($J$4)&gt;1,EZ25,pdrop(BG27,BA25,Z25,BD27,BH27)))</f>
        <v/>
      </c>
      <c r="BF27" s="219" t="str">
        <f>IF(C25&gt;0,"",(((BD27/60)*Z25)/$AA$12)*((VLOOKUP(BH27,'Pipe Data'!F$7:G$19,2,FALSE))/12))</f>
        <v/>
      </c>
      <c r="BG27" s="218" t="str">
        <f>IF(C25&gt;0,"",(0.25/(LOG(5.74/(BF27^0.9))+((VLOOKUP(BH27,'Pipe Data'!J$7:X$19,15,FALSE))/3.7))^2))</f>
        <v/>
      </c>
      <c r="BH27" s="216">
        <v>3.625</v>
      </c>
      <c r="BI27" s="25">
        <f t="shared" ref="BI27:BI36" si="7">IF($J$4&gt;1,IF(BD27&gt;($BD$5),1,0),IF(BD27&gt;($BD$4),1,0))</f>
        <v>1</v>
      </c>
      <c r="BJ27" s="217">
        <v>6.2494922713852256E-2</v>
      </c>
      <c r="BK27" s="237">
        <v>3.625</v>
      </c>
      <c r="BL27" s="224"/>
      <c r="BM27" s="224"/>
      <c r="BN27" s="224"/>
      <c r="BO27" s="223"/>
      <c r="BP27" s="222"/>
      <c r="BQ27" s="229"/>
      <c r="BR27" s="221"/>
      <c r="BS27" s="219" t="str">
        <f>IF(C25&gt;0,"",IF($C$3&gt;0,vel(U25,S25,BZ27)/60,vel(U25,S25,BZ27)))</f>
        <v/>
      </c>
      <c r="BT27" s="220" t="str">
        <f>IF(C25&gt;0,"",IF($C$3&gt;0,2.31*pdrop(BW27,BR25,S25,60*BS27,BX27),pdrop(BW27,BR25,S25,BS27,BX27)))</f>
        <v/>
      </c>
      <c r="BU27" s="220"/>
      <c r="BV27" s="219" t="str">
        <f>IF(C25&gt;0,"",IF($C$3&gt;0,(((BS27)*S25)/32.2/T25)*((VLOOKUP(BX27,'Pipe Data'!F$7:G$19,2,FALSE))/12),(((BS27/60)*S25)/T25)*((VLOOKUP(BX27,'Pipe Data'!F$7:G$19,2,FALSE))/12)))</f>
        <v/>
      </c>
      <c r="BW27" s="218" t="str">
        <f>IF(C25&gt;0,"",IF($C$3&gt;0,IF(BV27&lt;2100,64/BV27,(0.25/(LOG(5.74/(BV27^0.9))+((VLOOKUP(BX27,'Pipe Data'!J$7:X$19,15,FALSE))/3.7))^2)),(0.25/(LOG(5.74/(BV27^0.9))+((VLOOKUP(BX27,'Pipe Data'!J$7:X$19,15,FALSE))/3.7))^2)))</f>
        <v/>
      </c>
      <c r="BX27" s="216">
        <v>3.625</v>
      </c>
      <c r="BY27" s="25" t="str">
        <f>IF(C25&gt;0,"",IF($C$3&gt;0,IF(BT27/BR25&lt;=$BY$4/100,0,1),IF(AND(BS27&lt;($BS$4),BT27&lt;($BT$4)),0,1)))</f>
        <v/>
      </c>
      <c r="BZ27" s="217">
        <v>6.2494922713852256E-2</v>
      </c>
      <c r="CA27" s="237">
        <v>3.625</v>
      </c>
      <c r="CC27" s="313"/>
      <c r="CD27" s="317"/>
      <c r="CE27" s="215"/>
      <c r="CF27" s="214"/>
      <c r="CQ27" s="304" t="s">
        <v>155</v>
      </c>
      <c r="CR27" s="213">
        <f t="shared" ref="CR27:DC27" si="8">IF($BY25="",IF($BX25=CR$8,$BQ25,0),IF($BY25=CR$8,$BQ25,0))</f>
        <v>0</v>
      </c>
      <c r="CS27" s="213">
        <f t="shared" si="8"/>
        <v>0</v>
      </c>
      <c r="CT27" s="213">
        <f t="shared" si="8"/>
        <v>0</v>
      </c>
      <c r="CU27" s="213">
        <f t="shared" si="8"/>
        <v>0</v>
      </c>
      <c r="CV27" s="213">
        <f t="shared" si="8"/>
        <v>0</v>
      </c>
      <c r="CW27" s="213">
        <f t="shared" si="8"/>
        <v>0</v>
      </c>
      <c r="CX27" s="213">
        <f t="shared" si="8"/>
        <v>0</v>
      </c>
      <c r="CY27" s="213">
        <f t="shared" si="8"/>
        <v>0</v>
      </c>
      <c r="CZ27" s="213">
        <f t="shared" si="8"/>
        <v>0</v>
      </c>
      <c r="DA27" s="213">
        <f t="shared" si="8"/>
        <v>0</v>
      </c>
      <c r="DB27" s="213">
        <f t="shared" si="8"/>
        <v>0</v>
      </c>
      <c r="DC27" s="213">
        <f t="shared" si="8"/>
        <v>0</v>
      </c>
      <c r="DH27" s="1503"/>
      <c r="DI27" s="320"/>
      <c r="DJ27" s="1617"/>
      <c r="DK27" s="320"/>
      <c r="DL27" s="1617"/>
      <c r="DM27" s="320"/>
      <c r="DN27" s="1617"/>
      <c r="DO27" s="1504"/>
      <c r="DQ27" s="433"/>
      <c r="DR27" s="1231"/>
      <c r="DS27" s="213"/>
      <c r="DT27" s="213"/>
      <c r="DU27" s="213"/>
      <c r="DV27" s="213"/>
      <c r="DW27" s="213"/>
      <c r="DX27" s="213"/>
      <c r="DY27" s="213"/>
      <c r="DZ27" s="213"/>
      <c r="EA27" s="213"/>
      <c r="EB27" s="213"/>
      <c r="EC27" s="213"/>
      <c r="ED27" s="213"/>
      <c r="EE27" s="213"/>
      <c r="EF27" s="213"/>
      <c r="EG27" s="213"/>
      <c r="EH27" s="213"/>
      <c r="EI27" s="213"/>
      <c r="EJ27" s="213"/>
      <c r="EK27" s="213"/>
      <c r="EL27" s="213"/>
      <c r="EM27" s="213"/>
      <c r="EN27" s="213"/>
      <c r="EO27" s="213"/>
      <c r="EP27" s="213"/>
      <c r="EQ27" s="213"/>
      <c r="ER27" s="213"/>
      <c r="ES27" s="213"/>
      <c r="ET27" s="213"/>
      <c r="EU27" s="213"/>
      <c r="EV27" s="213"/>
      <c r="EW27" s="213"/>
      <c r="EX27" s="213"/>
      <c r="EY27" s="213"/>
      <c r="EZ27" s="213"/>
    </row>
    <row r="28" spans="1:163" ht="12.75" hidden="1" customHeight="1" x14ac:dyDescent="0.2">
      <c r="D28" s="236"/>
      <c r="E28" s="235"/>
      <c r="F28" s="234"/>
      <c r="G28" s="234"/>
      <c r="H28" s="221"/>
      <c r="I28" s="221"/>
      <c r="J28" s="221"/>
      <c r="K28" s="221"/>
      <c r="L28" s="221"/>
      <c r="M28" s="223"/>
      <c r="N28" s="223"/>
      <c r="O28" s="223"/>
      <c r="P28" s="223"/>
      <c r="Q28" s="224"/>
      <c r="R28" s="223"/>
      <c r="S28" s="223"/>
      <c r="T28" s="227"/>
      <c r="U28" s="224"/>
      <c r="V28" s="224"/>
      <c r="W28" s="222"/>
      <c r="X28" s="229"/>
      <c r="Y28" s="221"/>
      <c r="Z28" s="228"/>
      <c r="AA28" s="227"/>
      <c r="AB28" s="219" t="str">
        <f>IF(C25&gt;0,"",IF(($J$4)&gt;1,vel(U25,EC25,AH28),vel(U25,Z25,AH28)))</f>
        <v/>
      </c>
      <c r="AC28" s="220" t="str">
        <f>IF(C25&gt;0,"",pdrop(AE28,Y25,Z25,AB28,AF28))</f>
        <v/>
      </c>
      <c r="AD28" s="219" t="str">
        <f>IF(C25&gt;0,"",(((AB28/60)*Z25)/AA25)*(VLOOKUP(AF28,'Pipe Data'!F$7:G$19,2,FALSE))/12)</f>
        <v/>
      </c>
      <c r="AE28" s="218" t="str">
        <f>IF(C25&gt;0,"",(0.25/(LOG(5.74/(AD28^0.9))+((VLOOKUP(AF28,'Pipe Data'!J$7:X$19,15,FALSE))/3.7))^2))</f>
        <v/>
      </c>
      <c r="AF28" s="216">
        <v>3.125</v>
      </c>
      <c r="AH28" s="217">
        <v>4.6091140306364464E-2</v>
      </c>
      <c r="AI28" s="239"/>
      <c r="AJ28" s="238"/>
      <c r="AK28" s="228"/>
      <c r="AL28" s="223"/>
      <c r="AM28" s="230"/>
      <c r="AN28" s="228"/>
      <c r="AO28" s="232"/>
      <c r="AQ28" s="231"/>
      <c r="AR28" s="230"/>
      <c r="AS28" s="224"/>
      <c r="AT28" s="232"/>
      <c r="AV28" s="231"/>
      <c r="AW28" s="230"/>
      <c r="AX28" s="224"/>
      <c r="AY28" s="1460"/>
      <c r="AZ28" s="229"/>
      <c r="BA28" s="221"/>
      <c r="BB28" s="228"/>
      <c r="BC28" s="227"/>
      <c r="BD28" s="219" t="str">
        <f>IF(C25&gt;0,"",IF(($J$4)&gt;1,vel(U25,EC25,BJ28),vel(U25,Z25,BJ28)))</f>
        <v/>
      </c>
      <c r="BE28" s="220" t="str">
        <f>IF(C25&gt;0,"",IF(($J$4)&gt;1,EZ25,pdrop(BG28,BA25,Z25,BD28,BH28)))</f>
        <v/>
      </c>
      <c r="BF28" s="219" t="str">
        <f>IF(C25&gt;0,"",(((BD28/60)*Z25)/$AA$12)*((VLOOKUP(BH28,'Pipe Data'!F$7:G$19,2,FALSE))/12))</f>
        <v/>
      </c>
      <c r="BG28" s="218" t="str">
        <f>IF(C25&gt;0,"",(0.25/(LOG(5.74/(BF28^0.9))+((VLOOKUP(BH28,'Pipe Data'!J$7:X$19,15,FALSE))/3.7))^2))</f>
        <v/>
      </c>
      <c r="BH28" s="216">
        <v>3.125</v>
      </c>
      <c r="BI28" s="25">
        <f t="shared" si="7"/>
        <v>1</v>
      </c>
      <c r="BJ28" s="217">
        <v>4.6091140306364464E-2</v>
      </c>
      <c r="BK28" s="237">
        <v>3.125</v>
      </c>
      <c r="BL28" s="224"/>
      <c r="BM28" s="224"/>
      <c r="BN28" s="224"/>
      <c r="BO28" s="223"/>
      <c r="BP28" s="222"/>
      <c r="BQ28" s="229"/>
      <c r="BR28" s="221"/>
      <c r="BS28" s="219" t="str">
        <f>IF(C25&gt;0,"",IF($C$3&gt;0,vel(U25,S25,BZ28)/60,vel(U25,S25,BZ28)))</f>
        <v/>
      </c>
      <c r="BT28" s="220" t="str">
        <f>IF(C25&gt;0,"",IF($C$3&gt;0,2.31*pdrop(BW28,BR25,S25,60*BS28,BX28),pdrop(BW28,BR25,S25,BS28,BX28)))</f>
        <v/>
      </c>
      <c r="BU28" s="220"/>
      <c r="BV28" s="219" t="str">
        <f>IF(C25&gt;0,"",IF($C$3&gt;0,(((BS28)*S25)/32.2/T25)*((VLOOKUP(BX28,'Pipe Data'!F$7:G$19,2,FALSE))/12),(((BS28/60)*S25)/T25)*((VLOOKUP(BX28,'Pipe Data'!F$7:G$19,2,FALSE))/12)))</f>
        <v/>
      </c>
      <c r="BW28" s="218" t="str">
        <f>IF(C25&gt;0,"",IF($C$3&gt;0,IF(BV28&lt;2100,64/BV28,(0.25/(LOG(5.74/(BV28^0.9))+((VLOOKUP(BX28,'Pipe Data'!J$7:X$19,15,FALSE))/3.7))^2)),(0.25/(LOG(5.74/(BV28^0.9))+((VLOOKUP(BX28,'Pipe Data'!J$7:X$19,15,FALSE))/3.7))^2)))</f>
        <v/>
      </c>
      <c r="BX28" s="216">
        <v>3.125</v>
      </c>
      <c r="BY28" s="25" t="str">
        <f>IF(C25&gt;0,"",IF($C$3&gt;0,IF(BT28/BR25&lt;=$BY$4/100,0,1),IF(AND(BS28&lt;($BS$4),BT28&lt;($BT$4)),0,1)))</f>
        <v/>
      </c>
      <c r="BZ28" s="217">
        <v>4.6091140306364464E-2</v>
      </c>
      <c r="CA28" s="237">
        <v>3.125</v>
      </c>
      <c r="CC28" s="313"/>
      <c r="CD28" s="317"/>
      <c r="CE28" s="215"/>
      <c r="CF28" s="214"/>
      <c r="CQ28" s="25" t="s">
        <v>172</v>
      </c>
      <c r="CR28" s="213">
        <f t="shared" ref="CR28:DC28" si="9">IF($W25="double",IF($AP25="",IF($AO25=CR$8,$X25,0),IF($AP25=CR$8,$X25,0)),0)</f>
        <v>0</v>
      </c>
      <c r="CS28" s="213">
        <f t="shared" si="9"/>
        <v>0</v>
      </c>
      <c r="CT28" s="213">
        <f t="shared" si="9"/>
        <v>0</v>
      </c>
      <c r="CU28" s="213">
        <f t="shared" si="9"/>
        <v>0</v>
      </c>
      <c r="CV28" s="213">
        <f t="shared" si="9"/>
        <v>0</v>
      </c>
      <c r="CW28" s="213">
        <f t="shared" si="9"/>
        <v>0</v>
      </c>
      <c r="CX28" s="213">
        <f t="shared" si="9"/>
        <v>0</v>
      </c>
      <c r="CY28" s="213">
        <f t="shared" si="9"/>
        <v>0</v>
      </c>
      <c r="CZ28" s="213">
        <f t="shared" si="9"/>
        <v>0</v>
      </c>
      <c r="DA28" s="213">
        <f t="shared" si="9"/>
        <v>0</v>
      </c>
      <c r="DB28" s="213">
        <f t="shared" si="9"/>
        <v>0</v>
      </c>
      <c r="DC28" s="213">
        <f t="shared" si="9"/>
        <v>0</v>
      </c>
      <c r="DH28" s="1503"/>
      <c r="DI28" s="320"/>
      <c r="DJ28" s="1617"/>
      <c r="DK28" s="320"/>
      <c r="DL28" s="1617"/>
      <c r="DM28" s="320"/>
      <c r="DN28" s="1617"/>
      <c r="DO28" s="1504"/>
      <c r="DQ28" s="433"/>
      <c r="DR28" s="1231"/>
      <c r="DS28" s="213"/>
      <c r="DT28" s="213"/>
      <c r="DU28" s="213"/>
      <c r="DV28" s="213"/>
      <c r="DW28" s="213"/>
      <c r="DX28" s="213"/>
      <c r="DY28" s="213"/>
      <c r="DZ28" s="213"/>
      <c r="EA28" s="213"/>
      <c r="EB28" s="213"/>
      <c r="EC28" s="213"/>
      <c r="ED28" s="213"/>
      <c r="EE28" s="213"/>
      <c r="EF28" s="213"/>
      <c r="EG28" s="213"/>
      <c r="EH28" s="213"/>
      <c r="EI28" s="213"/>
      <c r="EJ28" s="213"/>
      <c r="EK28" s="213"/>
      <c r="EL28" s="213"/>
      <c r="EM28" s="213"/>
      <c r="EN28" s="213"/>
      <c r="EO28" s="213"/>
      <c r="EP28" s="213"/>
      <c r="EQ28" s="213"/>
      <c r="ER28" s="213"/>
      <c r="ES28" s="213"/>
      <c r="ET28" s="213"/>
      <c r="EU28" s="213"/>
      <c r="EV28" s="213"/>
      <c r="EW28" s="213"/>
      <c r="EX28" s="213"/>
      <c r="EY28" s="213"/>
      <c r="EZ28" s="213"/>
    </row>
    <row r="29" spans="1:163" ht="12.75" hidden="1" customHeight="1" x14ac:dyDescent="0.2">
      <c r="D29" s="236"/>
      <c r="E29" s="235"/>
      <c r="F29" s="234"/>
      <c r="G29" s="234"/>
      <c r="H29" s="221"/>
      <c r="I29" s="221"/>
      <c r="J29" s="221"/>
      <c r="K29" s="221"/>
      <c r="L29" s="221"/>
      <c r="M29" s="223"/>
      <c r="N29" s="223"/>
      <c r="O29" s="223"/>
      <c r="P29" s="223"/>
      <c r="Q29" s="224"/>
      <c r="R29" s="223"/>
      <c r="S29" s="223"/>
      <c r="T29" s="227"/>
      <c r="U29" s="224"/>
      <c r="V29" s="224"/>
      <c r="W29" s="222"/>
      <c r="X29" s="229"/>
      <c r="Y29" s="221"/>
      <c r="Z29" s="228"/>
      <c r="AA29" s="227"/>
      <c r="AB29" s="219" t="str">
        <f>IF(C25&gt;0,"",IF(($J$4)&gt;1,vel(U25,EC25,AH29),vel(U25,Z25,AH29)))</f>
        <v/>
      </c>
      <c r="AC29" s="220" t="str">
        <f>IF(C25&gt;0,"",pdrop(AE29,Y25,Z25,AB29,AF29))</f>
        <v/>
      </c>
      <c r="AD29" s="219" t="str">
        <f>IF(C25&gt;0,"",(((AB29/60)*Z25)/AA25)*(VLOOKUP(AF29,'Pipe Data'!F$7:G$19,2,FALSE))/12)</f>
        <v/>
      </c>
      <c r="AE29" s="218" t="str">
        <f>IF(C25&gt;0,"",(0.25/(LOG(5.74/(AD29^0.9))+((VLOOKUP(AF29,'Pipe Data'!J$7:X$19,15,FALSE))/3.7))^2))</f>
        <v/>
      </c>
      <c r="AF29" s="216">
        <v>2.625</v>
      </c>
      <c r="AH29" s="217">
        <v>3.2338905731737741E-2</v>
      </c>
      <c r="AI29" s="239"/>
      <c r="AJ29" s="238"/>
      <c r="AK29" s="228"/>
      <c r="AL29" s="223"/>
      <c r="AM29" s="230"/>
      <c r="AN29" s="228"/>
      <c r="AO29" s="232"/>
      <c r="AQ29" s="231"/>
      <c r="AR29" s="230"/>
      <c r="AS29" s="224"/>
      <c r="AT29" s="232"/>
      <c r="AV29" s="231"/>
      <c r="AW29" s="230"/>
      <c r="AX29" s="224"/>
      <c r="AY29" s="1460"/>
      <c r="AZ29" s="229"/>
      <c r="BA29" s="221"/>
      <c r="BB29" s="228"/>
      <c r="BC29" s="227"/>
      <c r="BD29" s="219" t="str">
        <f>IF(C25&gt;0,"",IF(($J$4)&gt;1,vel(U25,EC25,BJ29),vel(U25,Z25,BJ29)))</f>
        <v/>
      </c>
      <c r="BE29" s="220" t="str">
        <f>IF(C25&gt;0,"",IF(($J$4)&gt;1,EZ25,pdrop(BG29,BA25,Z25,BD29,BH29)))</f>
        <v/>
      </c>
      <c r="BF29" s="219" t="str">
        <f>IF(C25&gt;0,"",(((BD29/60)*Z25)/$AA$12)*((VLOOKUP(BH29,'Pipe Data'!F$7:G$19,2,FALSE))/12))</f>
        <v/>
      </c>
      <c r="BG29" s="218" t="str">
        <f>IF(C25&gt;0,"",(0.25/(LOG(5.74/(BF29^0.9))+((VLOOKUP(BH29,'Pipe Data'!J$7:X$19,15,FALSE))/3.7))^2))</f>
        <v/>
      </c>
      <c r="BH29" s="216">
        <v>2.625</v>
      </c>
      <c r="BI29" s="25">
        <f t="shared" si="7"/>
        <v>1</v>
      </c>
      <c r="BJ29" s="217">
        <v>3.2338905731737741E-2</v>
      </c>
      <c r="BK29" s="237">
        <v>2.625</v>
      </c>
      <c r="BL29" s="224"/>
      <c r="BM29" s="224"/>
      <c r="BN29" s="224"/>
      <c r="BO29" s="223"/>
      <c r="BP29" s="222"/>
      <c r="BQ29" s="229"/>
      <c r="BR29" s="221"/>
      <c r="BS29" s="219" t="str">
        <f>IF(C25&gt;0,"",IF($C$3&gt;0,vel(U25,S25,BZ29)/60,vel(U25,S25,BZ29)))</f>
        <v/>
      </c>
      <c r="BT29" s="220" t="str">
        <f>IF(C25&gt;0,"",IF($C$3&gt;0,2.31*pdrop(BW29,BR25,S25,60*BS29,BX29),pdrop(BW29,BR25,S25,BS29,BX29)))</f>
        <v/>
      </c>
      <c r="BU29" s="220"/>
      <c r="BV29" s="219" t="str">
        <f>IF(C25&gt;0,"",IF($C$3&gt;0,(((BS29)*S25)/32.2/T25)*((VLOOKUP(BX29,'Pipe Data'!F$7:G$19,2,FALSE))/12),(((BS29/60)*S25)/T25)*((VLOOKUP(BX29,'Pipe Data'!F$7:G$19,2,FALSE))/12)))</f>
        <v/>
      </c>
      <c r="BW29" s="218" t="str">
        <f>IF(C25&gt;0,"",IF($C$3&gt;0,IF(BV29&lt;2100,64/BV29,(0.25/(LOG(5.74/(BV29^0.9))+((VLOOKUP(BX29,'Pipe Data'!J$7:X$19,15,FALSE))/3.7))^2)),(0.25/(LOG(5.74/(BV29^0.9))+((VLOOKUP(BX29,'Pipe Data'!J$7:X$19,15,FALSE))/3.7))^2)))</f>
        <v/>
      </c>
      <c r="BX29" s="216">
        <v>2.625</v>
      </c>
      <c r="BY29" s="25" t="str">
        <f>IF(C25&gt;0,"",IF($C$3&gt;0,IF(BT29/BR25&lt;=$BY$4/100,0,1),IF(AND(BS29&lt;($BS$4),BT29&lt;($BT$4)),0,1)))</f>
        <v/>
      </c>
      <c r="BZ29" s="217">
        <v>3.2338905731737741E-2</v>
      </c>
      <c r="CA29" s="237">
        <v>2.625</v>
      </c>
      <c r="CC29" s="313"/>
      <c r="CD29" s="317"/>
      <c r="CE29" s="215"/>
      <c r="CF29" s="214"/>
      <c r="CQ29" s="25" t="s">
        <v>173</v>
      </c>
      <c r="CR29" s="213">
        <f t="shared" ref="CR29:DC29" si="10">IF($W25="double",IF($AU25="",IF($AT25=CR$8,$X25,0),IF($AU25=CR$8,$X25,0)),0)</f>
        <v>0</v>
      </c>
      <c r="CS29" s="213">
        <f t="shared" si="10"/>
        <v>0</v>
      </c>
      <c r="CT29" s="213">
        <f t="shared" si="10"/>
        <v>0</v>
      </c>
      <c r="CU29" s="213">
        <f t="shared" si="10"/>
        <v>0</v>
      </c>
      <c r="CV29" s="213">
        <f t="shared" si="10"/>
        <v>0</v>
      </c>
      <c r="CW29" s="213">
        <f t="shared" si="10"/>
        <v>0</v>
      </c>
      <c r="CX29" s="213">
        <f t="shared" si="10"/>
        <v>0</v>
      </c>
      <c r="CY29" s="213">
        <f t="shared" si="10"/>
        <v>0</v>
      </c>
      <c r="CZ29" s="213">
        <f t="shared" si="10"/>
        <v>0</v>
      </c>
      <c r="DA29" s="213">
        <f t="shared" si="10"/>
        <v>0</v>
      </c>
      <c r="DB29" s="213">
        <f t="shared" si="10"/>
        <v>0</v>
      </c>
      <c r="DC29" s="213">
        <f t="shared" si="10"/>
        <v>0</v>
      </c>
      <c r="DH29" s="1503"/>
      <c r="DI29" s="320"/>
      <c r="DJ29" s="1617"/>
      <c r="DK29" s="320"/>
      <c r="DL29" s="1617"/>
      <c r="DM29" s="320"/>
      <c r="DN29" s="1617"/>
      <c r="DO29" s="1504"/>
      <c r="DQ29" s="433"/>
      <c r="DR29" s="1231"/>
      <c r="DS29" s="213"/>
      <c r="DT29" s="213"/>
      <c r="DU29" s="213"/>
      <c r="DV29" s="213"/>
      <c r="DW29" s="213"/>
      <c r="DX29" s="213"/>
      <c r="DY29" s="213"/>
      <c r="DZ29" s="213"/>
      <c r="EA29" s="213"/>
      <c r="EB29" s="213"/>
      <c r="EC29" s="213"/>
      <c r="ED29" s="213"/>
      <c r="EE29" s="213"/>
      <c r="EF29" s="213"/>
      <c r="EG29" s="213"/>
      <c r="EH29" s="213"/>
      <c r="EI29" s="213"/>
      <c r="EJ29" s="213"/>
      <c r="EK29" s="213"/>
      <c r="EL29" s="213"/>
      <c r="EM29" s="213"/>
      <c r="EN29" s="213"/>
      <c r="EO29" s="213"/>
      <c r="EP29" s="213"/>
      <c r="EQ29" s="213"/>
      <c r="ER29" s="213"/>
      <c r="ES29" s="213"/>
      <c r="ET29" s="213"/>
      <c r="EU29" s="213"/>
      <c r="EV29" s="213"/>
      <c r="EW29" s="213"/>
      <c r="EX29" s="213"/>
      <c r="EY29" s="213"/>
      <c r="EZ29" s="213"/>
    </row>
    <row r="30" spans="1:163" ht="12.75" hidden="1" customHeight="1" x14ac:dyDescent="0.2">
      <c r="D30" s="236"/>
      <c r="E30" s="235"/>
      <c r="F30" s="234"/>
      <c r="G30" s="234"/>
      <c r="H30" s="221"/>
      <c r="I30" s="221"/>
      <c r="J30" s="221"/>
      <c r="K30" s="221"/>
      <c r="L30" s="221"/>
      <c r="M30" s="223"/>
      <c r="N30" s="223"/>
      <c r="O30" s="223"/>
      <c r="P30" s="223"/>
      <c r="Q30" s="224"/>
      <c r="R30" s="223"/>
      <c r="S30" s="223"/>
      <c r="T30" s="227"/>
      <c r="U30" s="224"/>
      <c r="V30" s="224"/>
      <c r="W30" s="222"/>
      <c r="X30" s="229"/>
      <c r="Y30" s="221"/>
      <c r="Z30" s="228"/>
      <c r="AA30" s="227"/>
      <c r="AB30" s="219" t="str">
        <f>IF(C25&gt;0,"",IF(($J$4)&gt;1,vel(U25,EC25,AH30),vel(U25,Z25,AH30)))</f>
        <v/>
      </c>
      <c r="AC30" s="220" t="str">
        <f>IF(C25&gt;0,"",pdrop(AE30,Y25,Z25,AB30,AF30))</f>
        <v/>
      </c>
      <c r="AD30" s="219" t="str">
        <f>IF(C25&gt;0,"",(((AB30/60)*Z25)/AA25)*(VLOOKUP(AF30,'Pipe Data'!F$7:G$19,2,FALSE))/12)</f>
        <v/>
      </c>
      <c r="AE30" s="218" t="str">
        <f>IF(C25&gt;0,"",(0.25/(LOG(5.74/(AD30^0.9))+((VLOOKUP(AF30,'Pipe Data'!J$7:X$19,15,FALSE))/3.7))^2))</f>
        <v/>
      </c>
      <c r="AF30" s="216">
        <v>2.125</v>
      </c>
      <c r="AH30" s="217">
        <v>2.0931302841008911E-2</v>
      </c>
      <c r="AI30" s="239"/>
      <c r="AJ30" s="238"/>
      <c r="AK30" s="228"/>
      <c r="AL30" s="223"/>
      <c r="AM30" s="230"/>
      <c r="AN30" s="228"/>
      <c r="AO30" s="232"/>
      <c r="AQ30" s="231"/>
      <c r="AR30" s="230"/>
      <c r="AS30" s="224"/>
      <c r="AT30" s="232"/>
      <c r="AV30" s="231"/>
      <c r="AW30" s="230"/>
      <c r="AX30" s="224"/>
      <c r="AY30" s="1460"/>
      <c r="AZ30" s="229"/>
      <c r="BA30" s="221"/>
      <c r="BB30" s="228"/>
      <c r="BC30" s="227"/>
      <c r="BD30" s="219" t="str">
        <f>IF(C25&gt;0,"",IF(($J$4)&gt;1,vel(U25,EC25,BJ30),vel(U25,Z25,BJ30)))</f>
        <v/>
      </c>
      <c r="BE30" s="220" t="str">
        <f>IF(C25&gt;0,"",IF(($J$4)&gt;1,EZ25,pdrop(BG30,BA25,Z25,BD30,BH30)))</f>
        <v/>
      </c>
      <c r="BF30" s="219" t="str">
        <f>IF(C25&gt;0,"",(((BD30/60)*Z25)/$AA$12)*((VLOOKUP(BH30,'Pipe Data'!F$7:G$19,2,FALSE))/12))</f>
        <v/>
      </c>
      <c r="BG30" s="218" t="str">
        <f>IF(C25&gt;0,"",(0.25/(LOG(5.74/(BF30^0.9))+((VLOOKUP(BH30,'Pipe Data'!J$7:X$19,15,FALSE))/3.7))^2))</f>
        <v/>
      </c>
      <c r="BH30" s="216">
        <v>2.125</v>
      </c>
      <c r="BI30" s="25">
        <f t="shared" si="7"/>
        <v>1</v>
      </c>
      <c r="BJ30" s="217">
        <v>2.0931302841008911E-2</v>
      </c>
      <c r="BK30" s="237">
        <v>2.125</v>
      </c>
      <c r="BL30" s="224"/>
      <c r="BM30" s="224"/>
      <c r="BN30" s="224"/>
      <c r="BO30" s="223"/>
      <c r="BP30" s="222"/>
      <c r="BQ30" s="229"/>
      <c r="BR30" s="221"/>
      <c r="BS30" s="219" t="str">
        <f>IF(C25&gt;0,"",IF($C$3&gt;0,vel(U25,S25,BZ30)/60,vel(U25,S25,BZ30)))</f>
        <v/>
      </c>
      <c r="BT30" s="220" t="str">
        <f>IF(C25&gt;0,"",IF($C$3&gt;0,2.31*pdrop(BW30,BR25,S25,60*BS30,BX30),pdrop(BW30,BR25,S25,BS30,BX30)))</f>
        <v/>
      </c>
      <c r="BU30" s="220"/>
      <c r="BV30" s="219" t="str">
        <f>IF(C25&gt;0,"",IF($C$3&gt;0,(((BS30)*S25)/32.2/T25)*((VLOOKUP(BX30,'Pipe Data'!F$7:G$19,2,FALSE))/12),(((BS30/60)*S25)/T25)*((VLOOKUP(BX30,'Pipe Data'!F$7:G$19,2,FALSE))/12)))</f>
        <v/>
      </c>
      <c r="BW30" s="218" t="str">
        <f>IF(C25&gt;0,"",IF($C$3&gt;0,IF(BV30&lt;2100,64/BV30,(0.25/(LOG(5.74/(BV30^0.9))+((VLOOKUP(BX30,'Pipe Data'!J$7:X$19,15,FALSE))/3.7))^2)),(0.25/(LOG(5.74/(BV30^0.9))+((VLOOKUP(BX30,'Pipe Data'!J$7:X$19,15,FALSE))/3.7))^2)))</f>
        <v/>
      </c>
      <c r="BX30" s="216">
        <v>2.125</v>
      </c>
      <c r="BY30" s="25" t="str">
        <f>IF(C25&gt;0,"",IF($C$3&gt;0,IF(BT30/BR25&lt;=$BY$4/100,0,1),IF(AND(BS30&lt;($BS$4),BT30&lt;($BT$4)),0,1)))</f>
        <v/>
      </c>
      <c r="BZ30" s="217">
        <v>2.0931302841008911E-2</v>
      </c>
      <c r="CA30" s="237">
        <v>2.125</v>
      </c>
      <c r="CC30" s="313"/>
      <c r="CD30" s="317"/>
      <c r="CE30" s="215"/>
      <c r="CF30" s="214"/>
      <c r="DH30" s="1503"/>
      <c r="DI30" s="320"/>
      <c r="DJ30" s="1617"/>
      <c r="DK30" s="320"/>
      <c r="DL30" s="1617"/>
      <c r="DM30" s="320"/>
      <c r="DN30" s="1617"/>
      <c r="DO30" s="1504"/>
      <c r="DQ30" s="433"/>
      <c r="DR30" s="1231"/>
      <c r="DS30" s="213"/>
      <c r="DT30" s="213"/>
      <c r="DU30" s="213"/>
      <c r="DV30" s="213"/>
      <c r="DW30" s="213"/>
      <c r="DX30" s="213"/>
      <c r="DY30" s="213"/>
      <c r="DZ30" s="213"/>
      <c r="EA30" s="213"/>
      <c r="EB30" s="213"/>
      <c r="EC30" s="213"/>
      <c r="ED30" s="213"/>
      <c r="EE30" s="213"/>
      <c r="EF30" s="213"/>
      <c r="EG30" s="213"/>
      <c r="EH30" s="213"/>
      <c r="EI30" s="213"/>
      <c r="EJ30" s="213"/>
      <c r="EK30" s="213"/>
      <c r="EL30" s="213"/>
      <c r="EM30" s="213"/>
      <c r="EN30" s="213"/>
      <c r="EO30" s="213"/>
      <c r="EP30" s="213"/>
      <c r="EQ30" s="213"/>
      <c r="ER30" s="213"/>
      <c r="ES30" s="213"/>
      <c r="ET30" s="213"/>
      <c r="EU30" s="213"/>
      <c r="EV30" s="213"/>
      <c r="EW30" s="213"/>
      <c r="EX30" s="213"/>
      <c r="EY30" s="213"/>
      <c r="EZ30" s="213"/>
    </row>
    <row r="31" spans="1:163" ht="12.75" hidden="1" customHeight="1" x14ac:dyDescent="0.2">
      <c r="D31" s="236"/>
      <c r="E31" s="235"/>
      <c r="F31" s="234"/>
      <c r="G31" s="234"/>
      <c r="H31" s="221"/>
      <c r="I31" s="221"/>
      <c r="J31" s="221"/>
      <c r="K31" s="221"/>
      <c r="L31" s="221"/>
      <c r="M31" s="223"/>
      <c r="N31" s="223"/>
      <c r="O31" s="223"/>
      <c r="P31" s="223"/>
      <c r="Q31" s="224"/>
      <c r="R31" s="223"/>
      <c r="S31" s="223"/>
      <c r="T31" s="227"/>
      <c r="U31" s="224"/>
      <c r="V31" s="224"/>
      <c r="W31" s="222"/>
      <c r="X31" s="229"/>
      <c r="Y31" s="221"/>
      <c r="Z31" s="228"/>
      <c r="AA31" s="227"/>
      <c r="AB31" s="219" t="str">
        <f>IF(C25&gt;0,"",IF(($J$4)&gt;1,vel(U25,EC25,AH31),vel(U25,Z25,AH31)))</f>
        <v/>
      </c>
      <c r="AC31" s="220" t="str">
        <f>IF(C25&gt;0,"",pdrop(AE31,Y25,Z25,AB31,AF31))</f>
        <v/>
      </c>
      <c r="AD31" s="219" t="str">
        <f>IF(C25&gt;0,"",(((AB31/60)*Z25)/AA25)*(VLOOKUP(AF31,'Pipe Data'!F$7:G$19,2,FALSE))/12)</f>
        <v/>
      </c>
      <c r="AE31" s="218" t="str">
        <f>IF(C25&gt;0,"",(0.25/(LOG(5.74/(AD31^0.9))+((VLOOKUP(AF31,'Pipe Data'!J$7:X$19,15,FALSE))/3.7))^2))</f>
        <v/>
      </c>
      <c r="AF31" s="216">
        <v>1.625</v>
      </c>
      <c r="AH31" s="217">
        <v>1.2353794965620174E-2</v>
      </c>
      <c r="AI31" s="239"/>
      <c r="AJ31" s="238"/>
      <c r="AK31" s="228"/>
      <c r="AL31" s="223"/>
      <c r="AM31" s="230"/>
      <c r="AN31" s="228"/>
      <c r="AO31" s="232"/>
      <c r="AQ31" s="231"/>
      <c r="AR31" s="230"/>
      <c r="AS31" s="224"/>
      <c r="AT31" s="232"/>
      <c r="AV31" s="231"/>
      <c r="AW31" s="230"/>
      <c r="AX31" s="224"/>
      <c r="AY31" s="1460"/>
      <c r="AZ31" s="229"/>
      <c r="BA31" s="221"/>
      <c r="BB31" s="228"/>
      <c r="BC31" s="227"/>
      <c r="BD31" s="219" t="str">
        <f>IF(C25&gt;0,"",IF(($J$4)&gt;1,vel(U25,EC25,BJ31),vel(U25,Z25,BJ31)))</f>
        <v/>
      </c>
      <c r="BE31" s="220" t="str">
        <f>IF(C25&gt;0,"",IF(($J$4)&gt;1,EZ25,pdrop(BG31,BA25,Z25,BD31,BH31)))</f>
        <v/>
      </c>
      <c r="BF31" s="219" t="str">
        <f>IF(C25&gt;0,"",(((BD31/60)*Z25)/$AA$12)*((VLOOKUP(BH31,'Pipe Data'!F$7:G$19,2,FALSE))/12))</f>
        <v/>
      </c>
      <c r="BG31" s="218" t="str">
        <f>IF(C25&gt;0,"",(0.25/(LOG(5.74/(BF31^0.9))+((VLOOKUP(BH31,'Pipe Data'!J$7:X$19,15,FALSE))/3.7))^2))</f>
        <v/>
      </c>
      <c r="BH31" s="216">
        <v>1.625</v>
      </c>
      <c r="BI31" s="25">
        <f t="shared" si="7"/>
        <v>1</v>
      </c>
      <c r="BJ31" s="217">
        <v>1.2353794965620174E-2</v>
      </c>
      <c r="BK31" s="237">
        <v>1.625</v>
      </c>
      <c r="BL31" s="224"/>
      <c r="BM31" s="224"/>
      <c r="BN31" s="224"/>
      <c r="BO31" s="223"/>
      <c r="BP31" s="222"/>
      <c r="BQ31" s="229"/>
      <c r="BR31" s="221"/>
      <c r="BS31" s="219" t="str">
        <f>IF(C25&gt;0,"",IF($C$3&gt;0,vel(U25,S25,BZ31)/60,vel(U25,S25,BZ31)))</f>
        <v/>
      </c>
      <c r="BT31" s="220" t="str">
        <f>IF(C25&gt;0,"",IF($C$3&gt;0,2.31*pdrop(BW31,BR25,S25,60*BS31,BX31),pdrop(BW31,BR25,S25,BS31,BX31)))</f>
        <v/>
      </c>
      <c r="BU31" s="220"/>
      <c r="BV31" s="219" t="str">
        <f>IF(C25&gt;0,"",IF($C$3&gt;0,(((BS31)*S25)/32.2/T25)*((VLOOKUP(BX31,'Pipe Data'!F$7:G$19,2,FALSE))/12),(((BS31/60)*S25)/T25)*((VLOOKUP(BX31,'Pipe Data'!F$7:G$19,2,FALSE))/12)))</f>
        <v/>
      </c>
      <c r="BW31" s="218" t="str">
        <f>IF(C25&gt;0,"",IF($C$3&gt;0,IF(BV31&lt;2100,64/BV31,(0.25/(LOG(5.74/(BV31^0.9))+((VLOOKUP(BX31,'Pipe Data'!J$7:X$19,15,FALSE))/3.7))^2)),(0.25/(LOG(5.74/(BV31^0.9))+((VLOOKUP(BX31,'Pipe Data'!J$7:X$19,15,FALSE))/3.7))^2)))</f>
        <v/>
      </c>
      <c r="BX31" s="216">
        <v>1.625</v>
      </c>
      <c r="BY31" s="25" t="str">
        <f>IF(C25&gt;0,"",IF($C$3&gt;0,IF(BT31/BR25&lt;=$BY$4/100,0,1),IF(AND(BS31&lt;($BS$4),BT31&lt;($BT$4)),0,1)))</f>
        <v/>
      </c>
      <c r="BZ31" s="217">
        <v>1.2353794965620174E-2</v>
      </c>
      <c r="CA31" s="237">
        <v>1.625</v>
      </c>
      <c r="CC31" s="313"/>
      <c r="CD31" s="317"/>
      <c r="CE31" s="215"/>
      <c r="CF31" s="214"/>
      <c r="DH31" s="1503"/>
      <c r="DI31" s="320"/>
      <c r="DJ31" s="1617"/>
      <c r="DK31" s="320"/>
      <c r="DL31" s="1617"/>
      <c r="DM31" s="320"/>
      <c r="DN31" s="1617"/>
      <c r="DO31" s="1504"/>
      <c r="DQ31" s="433"/>
      <c r="DR31" s="1231"/>
      <c r="DS31" s="213"/>
      <c r="DT31" s="213"/>
      <c r="DU31" s="213"/>
      <c r="DV31" s="213"/>
      <c r="DW31" s="213"/>
      <c r="DX31" s="213"/>
      <c r="DY31" s="213"/>
      <c r="DZ31" s="213"/>
      <c r="EA31" s="213"/>
      <c r="EB31" s="213"/>
      <c r="EC31" s="213"/>
      <c r="ED31" s="213"/>
      <c r="EE31" s="213"/>
      <c r="EF31" s="213"/>
      <c r="EG31" s="213"/>
      <c r="EH31" s="213"/>
      <c r="EI31" s="213"/>
      <c r="EJ31" s="213"/>
      <c r="EK31" s="213"/>
      <c r="EL31" s="213"/>
      <c r="EM31" s="213"/>
      <c r="EN31" s="213"/>
      <c r="EO31" s="213"/>
      <c r="EP31" s="213"/>
      <c r="EQ31" s="213"/>
      <c r="ER31" s="213"/>
      <c r="ES31" s="213"/>
      <c r="ET31" s="213"/>
      <c r="EU31" s="213"/>
      <c r="EV31" s="213"/>
      <c r="EW31" s="213"/>
      <c r="EX31" s="213"/>
      <c r="EY31" s="213"/>
      <c r="EZ31" s="213"/>
    </row>
    <row r="32" spans="1:163" ht="12.75" hidden="1" customHeight="1" x14ac:dyDescent="0.2">
      <c r="D32" s="236"/>
      <c r="E32" s="235"/>
      <c r="F32" s="234"/>
      <c r="G32" s="234"/>
      <c r="H32" s="221"/>
      <c r="I32" s="221"/>
      <c r="J32" s="221"/>
      <c r="K32" s="221"/>
      <c r="L32" s="221"/>
      <c r="M32" s="223"/>
      <c r="N32" s="223"/>
      <c r="O32" s="223"/>
      <c r="P32" s="223"/>
      <c r="Q32" s="224"/>
      <c r="R32" s="223"/>
      <c r="S32" s="223"/>
      <c r="T32" s="227"/>
      <c r="U32" s="224"/>
      <c r="V32" s="224"/>
      <c r="W32" s="222"/>
      <c r="X32" s="229"/>
      <c r="Y32" s="221"/>
      <c r="Z32" s="228"/>
      <c r="AA32" s="227"/>
      <c r="AB32" s="219" t="str">
        <f>IF(C25&gt;0,"",IF(($J$4)&gt;1,vel(U25,EC25,AH32),vel(U25,Z25,AH32)))</f>
        <v/>
      </c>
      <c r="AC32" s="220" t="str">
        <f>IF(C25&gt;0,"",pdrop(AE32,Y25,Z25,AB32,AF32))</f>
        <v/>
      </c>
      <c r="AD32" s="219" t="str">
        <f>IF(C25&gt;0,"",(((AB32/60)*Z25)/AA25)*(VLOOKUP(AF32,'Pipe Data'!F$7:G$19,2,FALSE))/12)</f>
        <v/>
      </c>
      <c r="AE32" s="218" t="str">
        <f>IF(C25&gt;0,"",(0.25/(LOG(5.74/(AD32^0.9))+((VLOOKUP(AF32,'Pipe Data'!J$7:X$19,15,FALSE))/3.7))^2))</f>
        <v/>
      </c>
      <c r="AF32" s="216">
        <v>1.375</v>
      </c>
      <c r="AH32" s="217">
        <v>8.7278734446019548E-3</v>
      </c>
      <c r="AI32" s="239"/>
      <c r="AJ32" s="238"/>
      <c r="AK32" s="228"/>
      <c r="AL32" s="223"/>
      <c r="AM32" s="230"/>
      <c r="AN32" s="228"/>
      <c r="AO32" s="232"/>
      <c r="AQ32" s="231"/>
      <c r="AR32" s="230"/>
      <c r="AS32" s="224"/>
      <c r="AT32" s="232"/>
      <c r="AV32" s="231"/>
      <c r="AW32" s="230"/>
      <c r="AX32" s="224"/>
      <c r="AY32" s="1460"/>
      <c r="AZ32" s="229"/>
      <c r="BA32" s="221"/>
      <c r="BB32" s="228"/>
      <c r="BC32" s="227"/>
      <c r="BD32" s="219" t="str">
        <f>IF(C25&gt;0,"",IF(($J$4)&gt;1,vel(U25,EC25,BJ32),vel(U25,Z25,BJ32)))</f>
        <v/>
      </c>
      <c r="BE32" s="220" t="str">
        <f>IF(C25&gt;0,"",IF(($J$4)&gt;1,EZ25,pdrop(BG32,BA25,Z25,BD32,BH32)))</f>
        <v/>
      </c>
      <c r="BF32" s="219" t="str">
        <f>IF(C25&gt;0,"",(((BD32/60)*Z25)/$AA$12)*((VLOOKUP(BH32,'Pipe Data'!F$7:G$19,2,FALSE))/12))</f>
        <v/>
      </c>
      <c r="BG32" s="218" t="str">
        <f>IF(C25&gt;0,"",(0.25/(LOG(5.74/(BF32^0.9))+((VLOOKUP(BH32,'Pipe Data'!J$7:X$19,15,FALSE))/3.7))^2))</f>
        <v/>
      </c>
      <c r="BH32" s="216">
        <v>1.375</v>
      </c>
      <c r="BI32" s="25">
        <f t="shared" si="7"/>
        <v>1</v>
      </c>
      <c r="BJ32" s="217">
        <v>8.7278734446019548E-3</v>
      </c>
      <c r="BK32" s="237">
        <v>1.375</v>
      </c>
      <c r="BL32" s="224"/>
      <c r="BM32" s="224"/>
      <c r="BN32" s="224"/>
      <c r="BO32" s="223"/>
      <c r="BP32" s="222"/>
      <c r="BQ32" s="229"/>
      <c r="BR32" s="221"/>
      <c r="BS32" s="219" t="str">
        <f>IF(C25&gt;0,"",IF($C$3&gt;0,vel(U25,S25,BZ32)/60,vel(U25,S25,BZ32)))</f>
        <v/>
      </c>
      <c r="BT32" s="220" t="str">
        <f>IF(C25&gt;0,"",IF($C$3&gt;0,2.31*pdrop(BW32,BR25,S25,60*BS32,BX32),pdrop(BW32,BR25,S25,BS32,BX32)))</f>
        <v/>
      </c>
      <c r="BU32" s="220"/>
      <c r="BV32" s="219" t="str">
        <f>IF(C25&gt;0,"",IF($C$3&gt;0,(((BS32)*S25)/32.2/T25)*((VLOOKUP(BX32,'Pipe Data'!F$7:G$19,2,FALSE))/12),(((BS32/60)*S25)/T25)*((VLOOKUP(BX32,'Pipe Data'!F$7:G$19,2,FALSE))/12)))</f>
        <v/>
      </c>
      <c r="BW32" s="218" t="str">
        <f>IF(C25&gt;0,"",IF($C$3&gt;0,IF(BV32&lt;2100,64/BV32,(0.25/(LOG(5.74/(BV32^0.9))+((VLOOKUP(BX32,'Pipe Data'!J$7:X$19,15,FALSE))/3.7))^2)),(0.25/(LOG(5.74/(BV32^0.9))+((VLOOKUP(BX32,'Pipe Data'!J$7:X$19,15,FALSE))/3.7))^2)))</f>
        <v/>
      </c>
      <c r="BX32" s="216">
        <v>1.375</v>
      </c>
      <c r="BY32" s="25" t="str">
        <f>IF(C25&gt;0,"",IF($C$3&gt;0,IF(BT32/BR25&lt;=$BY$4/100,0,1),IF(AND(BS32&lt;($BS$4),BT32&lt;($BT$4)),0,1)))</f>
        <v/>
      </c>
      <c r="BZ32" s="217">
        <v>8.7278734446019548E-3</v>
      </c>
      <c r="CA32" s="237">
        <v>1.375</v>
      </c>
      <c r="CC32" s="313"/>
      <c r="CD32" s="317"/>
      <c r="CE32" s="215"/>
      <c r="CF32" s="214"/>
      <c r="DH32" s="1503"/>
      <c r="DI32" s="320"/>
      <c r="DJ32" s="1617"/>
      <c r="DK32" s="320"/>
      <c r="DL32" s="1617"/>
      <c r="DM32" s="320"/>
      <c r="DN32" s="1617"/>
      <c r="DO32" s="1504"/>
      <c r="DQ32" s="433"/>
      <c r="DR32" s="1231"/>
      <c r="DS32" s="213"/>
      <c r="DT32" s="213"/>
      <c r="DU32" s="213"/>
      <c r="DV32" s="213"/>
      <c r="DW32" s="213"/>
      <c r="DX32" s="213"/>
      <c r="DY32" s="213"/>
      <c r="DZ32" s="213"/>
      <c r="EA32" s="213"/>
      <c r="EB32" s="213"/>
      <c r="EC32" s="213"/>
      <c r="ED32" s="213"/>
      <c r="EE32" s="213"/>
      <c r="EF32" s="213"/>
      <c r="EG32" s="213"/>
      <c r="EH32" s="213"/>
      <c r="EI32" s="213"/>
      <c r="EJ32" s="213"/>
      <c r="EK32" s="213"/>
      <c r="EL32" s="213"/>
      <c r="EM32" s="213"/>
      <c r="EN32" s="213"/>
      <c r="EO32" s="213"/>
      <c r="EP32" s="213"/>
      <c r="EQ32" s="213"/>
      <c r="ER32" s="213"/>
      <c r="ES32" s="213"/>
      <c r="ET32" s="213"/>
      <c r="EU32" s="213"/>
      <c r="EV32" s="213"/>
      <c r="EW32" s="213"/>
      <c r="EX32" s="213"/>
      <c r="EY32" s="213"/>
      <c r="EZ32" s="213"/>
    </row>
    <row r="33" spans="1:157" ht="12.75" hidden="1" customHeight="1" x14ac:dyDescent="0.2">
      <c r="D33" s="236"/>
      <c r="E33" s="235"/>
      <c r="F33" s="234"/>
      <c r="G33" s="234"/>
      <c r="H33" s="221"/>
      <c r="I33" s="221"/>
      <c r="J33" s="221"/>
      <c r="K33" s="221"/>
      <c r="L33" s="221"/>
      <c r="M33" s="223"/>
      <c r="N33" s="223"/>
      <c r="O33" s="223"/>
      <c r="P33" s="223"/>
      <c r="Q33" s="224"/>
      <c r="R33" s="223"/>
      <c r="S33" s="223"/>
      <c r="T33" s="227"/>
      <c r="U33" s="224"/>
      <c r="V33" s="224"/>
      <c r="W33" s="222"/>
      <c r="X33" s="229"/>
      <c r="Y33" s="221"/>
      <c r="Z33" s="228"/>
      <c r="AA33" s="227"/>
      <c r="AB33" s="219" t="str">
        <f>IF(C25&gt;0,"",IF(($J$4)&gt;1,vel(U25,EC25,AH33),vel(U25,Z25,AH33)))</f>
        <v/>
      </c>
      <c r="AC33" s="220" t="str">
        <f>IF(C25&gt;0,"",pdrop(AE33,Y25,Z25,AB33,AF33))</f>
        <v/>
      </c>
      <c r="AD33" s="219" t="str">
        <f>IF(C25&gt;0,"",(((AB33/60)*Z25)/AA25)*(VLOOKUP(AF33,'Pipe Data'!F$7:G$19,2,FALSE))/12)</f>
        <v/>
      </c>
      <c r="AE33" s="218" t="str">
        <f>IF(C25&gt;0,"",(0.25/(LOG(5.74/(AD33^0.9))+((VLOOKUP(AF33,'Pipe Data'!J$7:X$19,15,FALSE))/3.7))^2))</f>
        <v/>
      </c>
      <c r="AF33" s="216">
        <v>1.125</v>
      </c>
      <c r="AH33" s="217">
        <v>5.7302704543016935E-3</v>
      </c>
      <c r="AI33" s="239"/>
      <c r="AJ33" s="238"/>
      <c r="AK33" s="228"/>
      <c r="AL33" s="223"/>
      <c r="AM33" s="230"/>
      <c r="AN33" s="228"/>
      <c r="AO33" s="232"/>
      <c r="AQ33" s="231"/>
      <c r="AR33" s="230"/>
      <c r="AS33" s="224"/>
      <c r="AT33" s="232"/>
      <c r="AV33" s="231"/>
      <c r="AW33" s="230"/>
      <c r="AX33" s="224"/>
      <c r="AY33" s="1460"/>
      <c r="AZ33" s="229"/>
      <c r="BA33" s="221"/>
      <c r="BB33" s="228"/>
      <c r="BC33" s="227"/>
      <c r="BD33" s="219" t="str">
        <f>IF(C25&gt;0,"",IF(($J$4)&gt;1,vel(U25,EC25,BJ33),vel(U25,Z25,BJ33)))</f>
        <v/>
      </c>
      <c r="BE33" s="220" t="str">
        <f>IF(C25&gt;0,"",IF(($J$4)&gt;1,EZ25,pdrop(BG33,BA25,Z25,BD33,BH33)))</f>
        <v/>
      </c>
      <c r="BF33" s="219" t="str">
        <f>IF(C25&gt;0,"",(((BD33/60)*Z25)/$AA$12)*((VLOOKUP(BH33,'Pipe Data'!F$7:G$19,2,FALSE))/12))</f>
        <v/>
      </c>
      <c r="BG33" s="218" t="str">
        <f>IF(C25&gt;0,"",(0.25/(LOG(5.74/(BF33^0.9))+((VLOOKUP(BH33,'Pipe Data'!J$7:X$19,15,FALSE))/3.7))^2))</f>
        <v/>
      </c>
      <c r="BH33" s="216">
        <v>1.125</v>
      </c>
      <c r="BI33" s="25">
        <f t="shared" si="7"/>
        <v>1</v>
      </c>
      <c r="BJ33" s="217">
        <v>5.7302704543016935E-3</v>
      </c>
      <c r="BK33" s="237">
        <v>1.125</v>
      </c>
      <c r="BL33" s="224"/>
      <c r="BM33" s="224"/>
      <c r="BN33" s="224"/>
      <c r="BO33" s="223"/>
      <c r="BP33" s="222"/>
      <c r="BQ33" s="229"/>
      <c r="BR33" s="221"/>
      <c r="BS33" s="219" t="str">
        <f>IF(C25&gt;0,"",IF($C$3&gt;0,vel(U25,S25,BZ33)/60,vel(U25,S25,BZ33)))</f>
        <v/>
      </c>
      <c r="BT33" s="220" t="str">
        <f>IF(C25&gt;0,"",IF($C$3&gt;0,2.31*pdrop(BW33,BR25,S25,60*BS33,BX33),pdrop(BW33,BR25,S25,BS33,BX33)))</f>
        <v/>
      </c>
      <c r="BU33" s="220"/>
      <c r="BV33" s="219" t="str">
        <f>IF(C25&gt;0,"",IF($C$3&gt;0,(((BS33)*S25)/32.2/T25)*((VLOOKUP(BX33,'Pipe Data'!F$7:G$19,2,FALSE))/12),(((BS33/60)*S25)/T25)*((VLOOKUP(BX33,'Pipe Data'!F$7:G$19,2,FALSE))/12)))</f>
        <v/>
      </c>
      <c r="BW33" s="218" t="str">
        <f>IF(C25&gt;0,"",IF($C$3&gt;0,IF(BV33&lt;2100,64/BV33,(0.25/(LOG(5.74/(BV33^0.9))+((VLOOKUP(BX33,'Pipe Data'!J$7:X$19,15,FALSE))/3.7))^2)),(0.25/(LOG(5.74/(BV33^0.9))+((VLOOKUP(BX33,'Pipe Data'!J$7:X$19,15,FALSE))/3.7))^2)))</f>
        <v/>
      </c>
      <c r="BX33" s="216">
        <v>1.125</v>
      </c>
      <c r="BY33" s="25" t="str">
        <f>IF(C25&gt;0,"",IF($C$3&gt;0,IF(BT33/BR25&lt;=$BY$4/100,0,1),IF(AND(BS33&lt;($BS$4),BT33&lt;($BT$4)),0,1)))</f>
        <v/>
      </c>
      <c r="BZ33" s="217">
        <v>5.7302704543016935E-3</v>
      </c>
      <c r="CA33" s="237">
        <v>1.125</v>
      </c>
      <c r="CC33" s="313"/>
      <c r="CD33" s="317"/>
      <c r="CE33" s="215"/>
      <c r="CF33" s="214"/>
      <c r="DH33" s="1503"/>
      <c r="DI33" s="320"/>
      <c r="DJ33" s="1617"/>
      <c r="DK33" s="320"/>
      <c r="DL33" s="1617"/>
      <c r="DM33" s="320"/>
      <c r="DN33" s="1617"/>
      <c r="DO33" s="1504"/>
      <c r="DQ33" s="433"/>
      <c r="DR33" s="1231"/>
      <c r="DS33" s="213"/>
      <c r="DT33" s="213"/>
      <c r="DU33" s="213"/>
      <c r="DV33" s="213"/>
      <c r="DW33" s="213"/>
      <c r="DX33" s="213"/>
      <c r="DY33" s="213"/>
      <c r="DZ33" s="213"/>
      <c r="EA33" s="213"/>
      <c r="EB33" s="213"/>
      <c r="EC33" s="213"/>
      <c r="ED33" s="213"/>
      <c r="EE33" s="213"/>
      <c r="EF33" s="213"/>
      <c r="EG33" s="213"/>
      <c r="EH33" s="213"/>
      <c r="EI33" s="213"/>
      <c r="EJ33" s="213"/>
      <c r="EK33" s="213"/>
      <c r="EL33" s="213"/>
      <c r="EM33" s="213"/>
      <c r="EN33" s="213"/>
      <c r="EO33" s="213"/>
      <c r="EP33" s="213"/>
      <c r="EQ33" s="213"/>
      <c r="ER33" s="213"/>
      <c r="ES33" s="213"/>
      <c r="ET33" s="213"/>
      <c r="EU33" s="213"/>
      <c r="EV33" s="213"/>
      <c r="EW33" s="213"/>
      <c r="EX33" s="213"/>
      <c r="EY33" s="213"/>
      <c r="EZ33" s="213"/>
    </row>
    <row r="34" spans="1:157" ht="12.75" hidden="1" customHeight="1" x14ac:dyDescent="0.2">
      <c r="D34" s="236"/>
      <c r="E34" s="235"/>
      <c r="F34" s="234"/>
      <c r="G34" s="234"/>
      <c r="H34" s="221"/>
      <c r="I34" s="221"/>
      <c r="J34" s="221"/>
      <c r="K34" s="221"/>
      <c r="L34" s="221"/>
      <c r="M34" s="223"/>
      <c r="N34" s="223"/>
      <c r="O34" s="223"/>
      <c r="P34" s="223"/>
      <c r="Q34" s="224"/>
      <c r="R34" s="223"/>
      <c r="S34" s="223"/>
      <c r="T34" s="227"/>
      <c r="U34" s="224"/>
      <c r="V34" s="224"/>
      <c r="W34" s="222"/>
      <c r="X34" s="229"/>
      <c r="Y34" s="221"/>
      <c r="Z34" s="228"/>
      <c r="AA34" s="227"/>
      <c r="AB34" s="219" t="str">
        <f>IF(C25&gt;0,"",IF(($J$4)&gt;1,vel(U25,EC25,AH34),vel(U25,Z25,AH34)))</f>
        <v/>
      </c>
      <c r="AC34" s="220" t="str">
        <f>IF(C25&gt;0,"",pdrop(AE34,Y25,Z25,AB34,AF34))</f>
        <v/>
      </c>
      <c r="AD34" s="219" t="str">
        <f>IF(C25&gt;0,"",(((AB34/60)*Z25)/AA25)*(VLOOKUP(AF34,'Pipe Data'!F$7:G$19,2,FALSE))/12)</f>
        <v/>
      </c>
      <c r="AE34" s="218" t="str">
        <f>IF(C25&gt;0,"",(0.25/(LOG(5.74/(AD34^0.9))+((VLOOKUP(AF34,'Pipe Data'!J$7:X$19,15,FALSE))/3.7))^2))</f>
        <v/>
      </c>
      <c r="AF34" s="216">
        <v>0.875</v>
      </c>
      <c r="AH34" s="217">
        <v>3.3609859947193927E-3</v>
      </c>
      <c r="AI34" s="239"/>
      <c r="AJ34" s="238"/>
      <c r="AK34" s="228"/>
      <c r="AL34" s="223"/>
      <c r="AM34" s="230"/>
      <c r="AN34" s="228"/>
      <c r="AO34" s="232"/>
      <c r="AQ34" s="231"/>
      <c r="AR34" s="230"/>
      <c r="AS34" s="224"/>
      <c r="AT34" s="232"/>
      <c r="AV34" s="231"/>
      <c r="AW34" s="230"/>
      <c r="AX34" s="224"/>
      <c r="AY34" s="1460"/>
      <c r="AZ34" s="229"/>
      <c r="BA34" s="221"/>
      <c r="BB34" s="228"/>
      <c r="BC34" s="227"/>
      <c r="BD34" s="219" t="str">
        <f>IF(C25&gt;0,"",IF(($J$4)&gt;1,vel(U25,EC25,BJ34),vel(U25,Z25,BJ34)))</f>
        <v/>
      </c>
      <c r="BE34" s="220" t="str">
        <f>IF(C25&gt;0,"",IF(($J$4)&gt;1,EZ25,pdrop(BG34,BA25,Z25,BD34,BH34)))</f>
        <v/>
      </c>
      <c r="BF34" s="219" t="str">
        <f>IF(C25&gt;0,"",(((BD34/60)*Z25)/$AA$12)*((VLOOKUP(BH34,'Pipe Data'!F$7:G$19,2,FALSE))/12))</f>
        <v/>
      </c>
      <c r="BG34" s="218" t="str">
        <f>IF(C25&gt;0,"",(0.25/(LOG(5.74/(BF34^0.9))+((VLOOKUP(BH34,'Pipe Data'!J$7:X$19,15,FALSE))/3.7))^2))</f>
        <v/>
      </c>
      <c r="BH34" s="216">
        <v>0.875</v>
      </c>
      <c r="BI34" s="25">
        <f t="shared" si="7"/>
        <v>1</v>
      </c>
      <c r="BJ34" s="217">
        <v>3.3609859947193927E-3</v>
      </c>
      <c r="BK34" s="237">
        <v>0.875</v>
      </c>
      <c r="BL34" s="224"/>
      <c r="BM34" s="224"/>
      <c r="BN34" s="224"/>
      <c r="BO34" s="223"/>
      <c r="BP34" s="222"/>
      <c r="BQ34" s="229"/>
      <c r="BR34" s="221"/>
      <c r="BS34" s="219" t="str">
        <f>IF(C25&gt;0,"",IF($C$3&gt;0,vel(U25,S25,BZ34)/60,vel(U25,S25,BZ34)))</f>
        <v/>
      </c>
      <c r="BT34" s="220" t="str">
        <f>IF(C25&gt;0,"",IF($C$3&gt;0,2.31*pdrop(BW34,BR25,S25,60*BS34,BX34),pdrop(BW34,BR25,S25,BS34,BX34)))</f>
        <v/>
      </c>
      <c r="BU34" s="220"/>
      <c r="BV34" s="219" t="str">
        <f>IF(C25&gt;0,"",IF($C$3&gt;0,(((BS34)*S25)/32.2/T25)*((VLOOKUP(BX34,'Pipe Data'!F$7:G$19,2,FALSE))/12),(((BS34/60)*S25)/T25)*((VLOOKUP(BX34,'Pipe Data'!F$7:G$19,2,FALSE))/12)))</f>
        <v/>
      </c>
      <c r="BW34" s="218" t="str">
        <f>IF(C25&gt;0,"",IF($C$3&gt;0,IF(BV34&lt;2100,64/BV34,(0.25/(LOG(5.74/(BV34^0.9))+((VLOOKUP(BX34,'Pipe Data'!J$7:X$19,15,FALSE))/3.7))^2)),(0.25/(LOG(5.74/(BV34^0.9))+((VLOOKUP(BX34,'Pipe Data'!J$7:X$19,15,FALSE))/3.7))^2)))</f>
        <v/>
      </c>
      <c r="BX34" s="216">
        <v>0.875</v>
      </c>
      <c r="BY34" s="25" t="str">
        <f>IF(C25&gt;0,"",IF($C$3&gt;0,IF(BT34/BR25&lt;=$BY$4/100,0,1),IF(AND(BS34&lt;($BS$4),BT34&lt;($BT$4)),0,1)))</f>
        <v/>
      </c>
      <c r="BZ34" s="217">
        <v>3.3609859947193927E-3</v>
      </c>
      <c r="CA34" s="237">
        <v>0.875</v>
      </c>
      <c r="CC34" s="313"/>
      <c r="CD34" s="317"/>
      <c r="CE34" s="215"/>
      <c r="CF34" s="214"/>
      <c r="DH34" s="1503"/>
      <c r="DI34" s="320"/>
      <c r="DJ34" s="1617"/>
      <c r="DK34" s="320"/>
      <c r="DL34" s="1617"/>
      <c r="DM34" s="320"/>
      <c r="DN34" s="1617"/>
      <c r="DO34" s="1504"/>
      <c r="DQ34" s="433"/>
      <c r="DR34" s="1231"/>
      <c r="DS34" s="213"/>
      <c r="DT34" s="213"/>
      <c r="DU34" s="213"/>
      <c r="DV34" s="213"/>
      <c r="DW34" s="213"/>
      <c r="DX34" s="213"/>
      <c r="DY34" s="213"/>
      <c r="DZ34" s="213"/>
      <c r="EA34" s="213"/>
      <c r="EB34" s="213"/>
      <c r="EC34" s="213"/>
      <c r="ED34" s="213"/>
      <c r="EE34" s="213"/>
      <c r="EF34" s="213"/>
      <c r="EG34" s="213"/>
      <c r="EH34" s="213"/>
      <c r="EI34" s="213"/>
      <c r="EJ34" s="213"/>
      <c r="EK34" s="213"/>
      <c r="EL34" s="213"/>
      <c r="EM34" s="213"/>
      <c r="EN34" s="213"/>
      <c r="EO34" s="213"/>
      <c r="EP34" s="213"/>
      <c r="EQ34" s="213"/>
      <c r="ER34" s="213"/>
      <c r="ES34" s="213"/>
      <c r="ET34" s="213"/>
      <c r="EU34" s="213"/>
      <c r="EV34" s="213"/>
      <c r="EW34" s="213"/>
      <c r="EX34" s="213"/>
      <c r="EY34" s="213"/>
      <c r="EZ34" s="213"/>
    </row>
    <row r="35" spans="1:157" ht="12.75" hidden="1" customHeight="1" x14ac:dyDescent="0.2">
      <c r="D35" s="236"/>
      <c r="E35" s="235"/>
      <c r="F35" s="234"/>
      <c r="G35" s="234"/>
      <c r="H35" s="221"/>
      <c r="I35" s="221"/>
      <c r="J35" s="221"/>
      <c r="K35" s="221"/>
      <c r="L35" s="221"/>
      <c r="M35" s="223"/>
      <c r="N35" s="223"/>
      <c r="O35" s="223"/>
      <c r="P35" s="223"/>
      <c r="Q35" s="224"/>
      <c r="R35" s="223"/>
      <c r="S35" s="223"/>
      <c r="T35" s="227"/>
      <c r="U35" s="224"/>
      <c r="V35" s="224"/>
      <c r="W35" s="222"/>
      <c r="X35" s="229"/>
      <c r="Y35" s="221"/>
      <c r="Z35" s="228"/>
      <c r="AA35" s="227"/>
      <c r="AB35" s="219" t="str">
        <f>IF(C25&gt;0,"",IF(($J$4)&gt;1,vel(U25,EC25,AH35),vel(U25,Z25,AH35)))</f>
        <v/>
      </c>
      <c r="AC35" s="220" t="str">
        <f>IF(C25&gt;0,"",pdrop(AE35,Y25,Z25,AB35,AF35))</f>
        <v/>
      </c>
      <c r="AD35" s="219" t="str">
        <f>IF(C25&gt;0,"",(((AB35/60)*Z25)/AA25)*(VLOOKUP(AF35,'Pipe Data'!F$7:G$19,2,FALSE))/12)</f>
        <v/>
      </c>
      <c r="AE35" s="218" t="str">
        <f>IF(C25&gt;0,"",(0.25/(LOG(5.74/(AD35^0.9))+((VLOOKUP(AF35,'Pipe Data'!J$7:X$19,15,FALSE))/3.7))^2))</f>
        <v/>
      </c>
      <c r="AF35" s="216">
        <v>0.625</v>
      </c>
      <c r="AH35" s="217">
        <v>1.6200200658550491E-3</v>
      </c>
      <c r="AI35" s="239"/>
      <c r="AJ35" s="238"/>
      <c r="AK35" s="228"/>
      <c r="AL35" s="223"/>
      <c r="AM35" s="230"/>
      <c r="AN35" s="228"/>
      <c r="AO35" s="232"/>
      <c r="AQ35" s="231"/>
      <c r="AR35" s="230"/>
      <c r="AS35" s="224"/>
      <c r="AT35" s="232"/>
      <c r="AV35" s="231"/>
      <c r="AW35" s="230"/>
      <c r="AX35" s="224"/>
      <c r="AY35" s="1460"/>
      <c r="AZ35" s="229"/>
      <c r="BA35" s="221"/>
      <c r="BB35" s="228"/>
      <c r="BC35" s="227"/>
      <c r="BD35" s="219" t="str">
        <f>IF(C25&gt;0,"",IF(($J$4)&gt;1,vel(U25,EC25,BJ35),vel(U25,Z25,BJ35)))</f>
        <v/>
      </c>
      <c r="BE35" s="220" t="str">
        <f>IF(C25&gt;0,"",IF(($J$4)&gt;1,EZ25,pdrop(BG35,BA25,Z25,BD35,BH35)))</f>
        <v/>
      </c>
      <c r="BF35" s="219" t="str">
        <f>IF(C25&gt;0,"",(((BD35/60)*Z25)/$AA$12)*((VLOOKUP(BH35,'Pipe Data'!F$7:G$19,2,FALSE))/12))</f>
        <v/>
      </c>
      <c r="BG35" s="218" t="str">
        <f>IF(C25&gt;0,"",(0.25/(LOG(5.74/(BF35^0.9))+((VLOOKUP(BH35,'Pipe Data'!J$7:X$19,15,FALSE))/3.7))^2))</f>
        <v/>
      </c>
      <c r="BH35" s="216">
        <v>0.625</v>
      </c>
      <c r="BI35" s="25">
        <f t="shared" si="7"/>
        <v>1</v>
      </c>
      <c r="BJ35" s="217">
        <v>1.6200200658550491E-3</v>
      </c>
      <c r="BK35" s="237">
        <v>0.625</v>
      </c>
      <c r="BL35" s="224"/>
      <c r="BM35" s="224"/>
      <c r="BN35" s="224"/>
      <c r="BO35" s="223"/>
      <c r="BP35" s="222"/>
      <c r="BQ35" s="229"/>
      <c r="BR35" s="221"/>
      <c r="BS35" s="219" t="str">
        <f>IF(C25&gt;0,"",IF($C$3&gt;0,vel(U25,S25,BZ35)/60,vel(U25,S25,BZ35)))</f>
        <v/>
      </c>
      <c r="BT35" s="220" t="str">
        <f>IF(C25&gt;0,"",IF($C$3&gt;0,2.31*pdrop(BW35,BR25,S25,60*BS35,BX35),pdrop(BW35,BR25,S25,BS35,BX35)))</f>
        <v/>
      </c>
      <c r="BU35" s="220"/>
      <c r="BV35" s="219" t="str">
        <f>IF(C25&gt;0,"",IF($C$3&gt;0,(((BS35)*S25)/32.2/T25)*((VLOOKUP(BX35,'Pipe Data'!F$7:G$19,2,FALSE))/12),(((BS35/60)*S25)/T25)*((VLOOKUP(BX35,'Pipe Data'!F$7:G$19,2,FALSE))/12)))</f>
        <v/>
      </c>
      <c r="BW35" s="218" t="str">
        <f>IF(C25&gt;0,"",IF($C$3&gt;0,IF(BV35&lt;2100,64/BV35,(0.25/(LOG(5.74/(BV35^0.9))+((VLOOKUP(BX35,'Pipe Data'!J$7:X$19,15,FALSE))/3.7))^2)),(0.25/(LOG(5.74/(BV35^0.9))+((VLOOKUP(BX35,'Pipe Data'!J$7:X$19,15,FALSE))/3.7))^2)))</f>
        <v/>
      </c>
      <c r="BX35" s="216">
        <v>0.625</v>
      </c>
      <c r="BY35" s="25" t="str">
        <f>IF(C25&gt;0,"",IF($C$3&gt;0,IF(BT35/BR25&lt;=$BY$4/100,0,1),IF(AND(BS35&lt;($BS$4),BT35&lt;($BT$4)),0,1)))</f>
        <v/>
      </c>
      <c r="BZ35" s="217">
        <v>1.6200200658550491E-3</v>
      </c>
      <c r="CA35" s="237">
        <v>0.625</v>
      </c>
      <c r="CC35" s="313"/>
      <c r="CD35" s="317"/>
      <c r="CE35" s="215"/>
      <c r="CF35" s="214"/>
      <c r="DH35" s="1503"/>
      <c r="DI35" s="320"/>
      <c r="DJ35" s="1617"/>
      <c r="DK35" s="320"/>
      <c r="DL35" s="1617"/>
      <c r="DM35" s="320"/>
      <c r="DN35" s="1617"/>
      <c r="DO35" s="1504"/>
      <c r="DQ35" s="433"/>
      <c r="DR35" s="1231"/>
      <c r="DS35" s="213"/>
      <c r="DT35" s="213"/>
      <c r="DU35" s="213"/>
      <c r="DV35" s="213"/>
      <c r="DW35" s="213"/>
      <c r="DX35" s="213"/>
      <c r="DY35" s="213"/>
      <c r="DZ35" s="213"/>
      <c r="EA35" s="213"/>
      <c r="EB35" s="213"/>
      <c r="EC35" s="213"/>
      <c r="ED35" s="213"/>
      <c r="EE35" s="213"/>
      <c r="EF35" s="213"/>
      <c r="EG35" s="213"/>
      <c r="EH35" s="213"/>
      <c r="EI35" s="213"/>
      <c r="EJ35" s="213"/>
      <c r="EK35" s="213"/>
      <c r="EL35" s="213"/>
      <c r="EM35" s="213"/>
      <c r="EN35" s="213"/>
      <c r="EO35" s="213"/>
      <c r="EP35" s="213"/>
      <c r="EQ35" s="213"/>
      <c r="ER35" s="213"/>
      <c r="ES35" s="213"/>
      <c r="ET35" s="213"/>
      <c r="EU35" s="213"/>
      <c r="EV35" s="213"/>
      <c r="EW35" s="213"/>
      <c r="EX35" s="213"/>
      <c r="EY35" s="213"/>
      <c r="EZ35" s="213"/>
    </row>
    <row r="36" spans="1:157" ht="12.75" hidden="1" customHeight="1" x14ac:dyDescent="0.2">
      <c r="D36" s="236"/>
      <c r="E36" s="235"/>
      <c r="F36" s="234"/>
      <c r="G36" s="234"/>
      <c r="H36" s="221"/>
      <c r="I36" s="221"/>
      <c r="J36" s="221"/>
      <c r="K36" s="221"/>
      <c r="L36" s="221"/>
      <c r="M36" s="223"/>
      <c r="N36" s="223"/>
      <c r="O36" s="223"/>
      <c r="P36" s="223"/>
      <c r="Q36" s="224"/>
      <c r="R36" s="223"/>
      <c r="S36" s="223"/>
      <c r="T36" s="227"/>
      <c r="U36" s="224"/>
      <c r="V36" s="224"/>
      <c r="W36" s="222"/>
      <c r="X36" s="229"/>
      <c r="Y36" s="221"/>
      <c r="Z36" s="228"/>
      <c r="AA36" s="227"/>
      <c r="AB36" s="219" t="str">
        <f>IF(C25&gt;0,"",IF(($J$4)&gt;1,vel(U25,EC25,AH36),vel(U25,Z25,AH36)))</f>
        <v/>
      </c>
      <c r="AC36" s="220" t="str">
        <f>IF(C25&gt;0,"",pdrop(AE36,Y25,Z25,AB36,AF36))</f>
        <v/>
      </c>
      <c r="AD36" s="219" t="str">
        <f>IF(C25&gt;0,"",(((AB36/60)*Z25)/AA25)*(VLOOKUP(AF36,'Pipe Data'!F$7:G$19,2,FALSE))/12)</f>
        <v/>
      </c>
      <c r="AE36" s="218" t="str">
        <f>IF(C25&gt;0,"",(0.25/(LOG(5.74/(AD36^0.9))+((VLOOKUP(AF36,'Pipe Data'!J$7:X$19,15,FALSE))/3.7))^2))</f>
        <v/>
      </c>
      <c r="AF36" s="216">
        <v>0.5</v>
      </c>
      <c r="AH36" s="217">
        <v>1.0084730584179735E-3</v>
      </c>
      <c r="AI36" s="239"/>
      <c r="AJ36" s="238"/>
      <c r="AK36" s="228"/>
      <c r="AL36" s="223"/>
      <c r="AM36" s="230"/>
      <c r="AN36" s="228"/>
      <c r="AO36" s="232"/>
      <c r="AQ36" s="231"/>
      <c r="AR36" s="230"/>
      <c r="AS36" s="224"/>
      <c r="AT36" s="232"/>
      <c r="AV36" s="231"/>
      <c r="AW36" s="230"/>
      <c r="AX36" s="224"/>
      <c r="AY36" s="1460"/>
      <c r="AZ36" s="229"/>
      <c r="BA36" s="221"/>
      <c r="BB36" s="228"/>
      <c r="BC36" s="227"/>
      <c r="BD36" s="219" t="str">
        <f>IF(C25&gt;0,"",IF(($J$4)&gt;1,vel(U25,EC25,BJ36),vel(U25,Z25,BJ36)))</f>
        <v/>
      </c>
      <c r="BE36" s="220" t="str">
        <f>IF(C25&gt;0,"",IF(($J$4)&gt;1,EZ25,pdrop(BG36,BA25,Z25,BD36,BH36)))</f>
        <v/>
      </c>
      <c r="BF36" s="219" t="str">
        <f>IF(C25&gt;0,"",(((BD36/60)*Z25)/$AA$12)*((VLOOKUP(BH36,'Pipe Data'!F$7:G$19,2,FALSE))/12))</f>
        <v/>
      </c>
      <c r="BG36" s="218" t="str">
        <f>IF(C25&gt;0,"",(0.25/(LOG(5.74/(BF36^0.9))+((VLOOKUP(BH36,'Pipe Data'!J$7:X$19,15,FALSE))/3.7))^2))</f>
        <v/>
      </c>
      <c r="BH36" s="216">
        <v>0.5</v>
      </c>
      <c r="BI36" s="25">
        <f t="shared" si="7"/>
        <v>1</v>
      </c>
      <c r="BJ36" s="217">
        <v>1.0084730584179735E-3</v>
      </c>
      <c r="BK36" s="237">
        <v>0.5</v>
      </c>
      <c r="BL36" s="224"/>
      <c r="BM36" s="224"/>
      <c r="BN36" s="224"/>
      <c r="BO36" s="223"/>
      <c r="BP36" s="222"/>
      <c r="BQ36" s="229"/>
      <c r="BR36" s="221"/>
      <c r="BS36" s="219" t="str">
        <f>IF(C25&gt;0,"",IF($C$3&gt;0,vel(U25,S25,BZ36)/60,vel(U25,S25,BZ36)))</f>
        <v/>
      </c>
      <c r="BT36" s="220" t="str">
        <f>IF(C25&gt;0,"",IF($C$3&gt;0,2.31*pdrop(BW36,BR25,S25,60*BS36,BX36),pdrop(BW36,BR25,S25,BS36,BX36)))</f>
        <v/>
      </c>
      <c r="BU36" s="220"/>
      <c r="BV36" s="219" t="str">
        <f>IF(C25&gt;0,"",IF($C$3&gt;0,(((BS36)*S25)/32.2/T25)*((VLOOKUP(BX36,'Pipe Data'!F$7:G$19,2,FALSE))/12),(((BS36/60)*S25)/T25)*((VLOOKUP(BX36,'Pipe Data'!F$7:G$19,2,FALSE))/12)))</f>
        <v/>
      </c>
      <c r="BW36" s="218" t="str">
        <f>IF(C25&gt;0,"",IF($C$3&gt;0,IF(BV36&lt;2100,64/BV36,(0.25/(LOG(5.74/(BV36^0.9))+((VLOOKUP(BX36,'Pipe Data'!J$7:X$19,15,FALSE))/3.7))^2)),(0.25/(LOG(5.74/(BV36^0.9))+((VLOOKUP(BX36,'Pipe Data'!J$7:X$19,15,FALSE))/3.7))^2)))</f>
        <v/>
      </c>
      <c r="BX36" s="216">
        <v>0.5</v>
      </c>
      <c r="BY36" s="25" t="str">
        <f>IF(C25&gt;0,"",IF($C$3&gt;0,IF(BT36/BR25&lt;=$BY$4/100,0,1),IF(AND(BS36&lt;($BS$4),BT36&lt;($BT$4)),0,1)))</f>
        <v/>
      </c>
      <c r="BZ36" s="217">
        <v>1.0084730584179735E-3</v>
      </c>
      <c r="CA36" s="237">
        <v>0.5</v>
      </c>
      <c r="CC36" s="313"/>
      <c r="CD36" s="317"/>
      <c r="CE36" s="215"/>
      <c r="CF36" s="214"/>
      <c r="DH36" s="1503"/>
      <c r="DI36" s="320"/>
      <c r="DJ36" s="1617"/>
      <c r="DK36" s="320"/>
      <c r="DL36" s="1617"/>
      <c r="DM36" s="320"/>
      <c r="DN36" s="1617"/>
      <c r="DO36" s="1504"/>
      <c r="DQ36" s="433"/>
      <c r="DR36" s="1231"/>
      <c r="DS36" s="213"/>
      <c r="DT36" s="213"/>
      <c r="DU36" s="213"/>
      <c r="DV36" s="213"/>
      <c r="DW36" s="213"/>
      <c r="DX36" s="213"/>
      <c r="DY36" s="213"/>
      <c r="DZ36" s="213"/>
      <c r="EA36" s="213"/>
      <c r="EB36" s="213"/>
      <c r="EC36" s="213"/>
      <c r="ED36" s="213"/>
      <c r="EE36" s="213"/>
      <c r="EF36" s="213"/>
      <c r="EG36" s="213"/>
      <c r="EH36" s="213"/>
      <c r="EI36" s="213"/>
      <c r="EJ36" s="213"/>
      <c r="EK36" s="213"/>
      <c r="EL36" s="213"/>
      <c r="EM36" s="213"/>
      <c r="EN36" s="213"/>
      <c r="EO36" s="213"/>
      <c r="EP36" s="213"/>
      <c r="EQ36" s="213"/>
      <c r="ER36" s="213"/>
      <c r="ES36" s="213"/>
      <c r="ET36" s="213"/>
      <c r="EU36" s="213"/>
      <c r="EV36" s="213"/>
      <c r="EW36" s="213"/>
      <c r="EX36" s="213"/>
      <c r="EY36" s="213"/>
      <c r="EZ36" s="213"/>
    </row>
    <row r="37" spans="1:157" ht="12.75" hidden="1" customHeight="1" x14ac:dyDescent="0.2">
      <c r="D37" s="236"/>
      <c r="E37" s="235"/>
      <c r="F37" s="234"/>
      <c r="G37" s="234"/>
      <c r="H37" s="221"/>
      <c r="I37" s="221"/>
      <c r="J37" s="221"/>
      <c r="K37" s="221"/>
      <c r="L37" s="221"/>
      <c r="M37" s="223"/>
      <c r="N37" s="223"/>
      <c r="O37" s="223"/>
      <c r="P37" s="223"/>
      <c r="Q37" s="224"/>
      <c r="R37" s="223"/>
      <c r="S37" s="223"/>
      <c r="T37" s="227"/>
      <c r="U37" s="224"/>
      <c r="V37" s="224"/>
      <c r="W37" s="222"/>
      <c r="X37" s="229"/>
      <c r="Y37" s="221"/>
      <c r="Z37" s="228"/>
      <c r="AA37" s="227"/>
      <c r="AB37" s="219" t="str">
        <f>IF(C25&gt;0,"",IF(($J$4)&gt;1,vel(U25,EC25,AH37),vel(U25,Z25,AH37)))</f>
        <v/>
      </c>
      <c r="AC37" s="220" t="str">
        <f>IF(C25&gt;0,"",pdrop(AE37,Y25,Z25,AB37,AF37))</f>
        <v/>
      </c>
      <c r="AD37" s="219" t="str">
        <f>IF(C25&gt;0,"",(((AB37/60)*Z25)/AA25)*(VLOOKUP(AF37,'Pipe Data'!F$7:G$19,2,FALSE))/12)</f>
        <v/>
      </c>
      <c r="AE37" s="218" t="str">
        <f>IF(C25&gt;0,"",(0.25/(LOG(5.74/(AD37^0.9))+((VLOOKUP(AF37,'Pipe Data'!J$7:X$19,15,FALSE))/3.7))^2))</f>
        <v/>
      </c>
      <c r="AF37" s="216">
        <v>0.375</v>
      </c>
      <c r="AH37" s="217">
        <v>5.4118842196605418E-4</v>
      </c>
      <c r="AI37" s="229"/>
      <c r="AJ37" s="221"/>
      <c r="AK37" s="221"/>
      <c r="AL37" s="223"/>
      <c r="AM37" s="230"/>
      <c r="AN37" s="228"/>
      <c r="AO37" s="232"/>
      <c r="AQ37" s="231"/>
      <c r="AR37" s="230"/>
      <c r="AS37" s="224"/>
      <c r="AT37" s="232"/>
      <c r="AV37" s="231"/>
      <c r="AW37" s="230"/>
      <c r="AX37" s="224"/>
      <c r="AY37" s="1460"/>
      <c r="AZ37" s="229"/>
      <c r="BA37" s="221"/>
      <c r="BB37" s="228"/>
      <c r="BC37" s="227"/>
      <c r="BD37" s="221"/>
      <c r="BE37" s="221"/>
      <c r="BF37" s="221"/>
      <c r="BG37" s="221"/>
      <c r="BH37" s="221"/>
      <c r="BI37" s="221"/>
      <c r="BJ37" s="226"/>
      <c r="BK37" s="229"/>
      <c r="BL37" s="224"/>
      <c r="BM37" s="224"/>
      <c r="BN37" s="224"/>
      <c r="BO37" s="223"/>
      <c r="BP37" s="222"/>
      <c r="BQ37" s="229"/>
      <c r="BR37" s="221"/>
      <c r="BS37" s="219" t="str">
        <f>IF(C25&gt;0,"",IF($C$3&gt;0,vel(U25,S25,BZ37)/60,vel(U25,S25,BZ37)))</f>
        <v/>
      </c>
      <c r="BT37" s="220" t="str">
        <f>IF(C25&gt;0,"",IF($C$3&gt;0,2.31*pdrop(BW37,BR25,S25,60*BS37,BX37),pdrop(BW37,BR25,S25,BS37,BX37)))</f>
        <v/>
      </c>
      <c r="BU37" s="220"/>
      <c r="BV37" s="219" t="str">
        <f>IF(C25&gt;0,"",IF($C$3&gt;0,(((BS37)*S25)/32.2/T25)*((VLOOKUP(BX37,'Pipe Data'!F$7:G$19,2,FALSE))/12),(((BS37/60)*S25)/T25)*((VLOOKUP(BX37,'Pipe Data'!F$7:G$19,2,FALSE))/12)))</f>
        <v/>
      </c>
      <c r="BW37" s="218" t="str">
        <f>IF(C25&gt;0,"",IF($C$3&gt;0,IF(BV37&lt;2100,64/BV37,(0.25/(LOG(5.74/(BV37^0.9))+((VLOOKUP(BX37,'Pipe Data'!J$7:X$19,15,FALSE))/3.7))^2)),(0.25/(LOG(5.74/(BV37^0.9))+((VLOOKUP(BX37,'Pipe Data'!J$7:X$19,15,FALSE))/3.7))^2)))</f>
        <v/>
      </c>
      <c r="BX37" s="216">
        <v>0.375</v>
      </c>
      <c r="BY37" s="25" t="str">
        <f>IF(C25&gt;0,"",IF($C$3&gt;0,IF(BT37/BR25&lt;=$BY$4/100,0,1),IF(AND(BS37&lt;($BS$4),BT37&lt;($BT$4)),0,1)))</f>
        <v/>
      </c>
      <c r="BZ37" s="217">
        <v>5.4118842196605418E-4</v>
      </c>
      <c r="CA37" s="237">
        <v>0.375</v>
      </c>
      <c r="CC37" s="313"/>
      <c r="CD37" s="317"/>
      <c r="CE37" s="215"/>
      <c r="CF37" s="214"/>
      <c r="DH37" s="1503"/>
      <c r="DI37" s="320"/>
      <c r="DJ37" s="1617"/>
      <c r="DK37" s="320"/>
      <c r="DL37" s="1617"/>
      <c r="DM37" s="320"/>
      <c r="DN37" s="1617"/>
      <c r="DO37" s="1504"/>
      <c r="DQ37" s="433"/>
      <c r="DR37" s="1231"/>
      <c r="DS37" s="213"/>
      <c r="DT37" s="213"/>
      <c r="DU37" s="213"/>
      <c r="DV37" s="213"/>
      <c r="DW37" s="213"/>
      <c r="DX37" s="213"/>
      <c r="DY37" s="213"/>
      <c r="DZ37" s="213"/>
      <c r="EA37" s="213"/>
      <c r="EB37" s="213"/>
      <c r="EC37" s="213"/>
      <c r="ED37" s="213"/>
      <c r="EE37" s="213"/>
      <c r="EF37" s="213"/>
      <c r="EG37" s="213"/>
      <c r="EH37" s="213"/>
      <c r="EI37" s="213"/>
      <c r="EJ37" s="213"/>
      <c r="EK37" s="213"/>
      <c r="EL37" s="213"/>
      <c r="EM37" s="213"/>
      <c r="EN37" s="213"/>
      <c r="EO37" s="213"/>
      <c r="EP37" s="213"/>
      <c r="EQ37" s="213"/>
      <c r="ER37" s="213"/>
      <c r="ES37" s="213"/>
      <c r="ET37" s="213"/>
      <c r="EU37" s="213"/>
      <c r="EV37" s="213"/>
      <c r="EW37" s="213"/>
      <c r="EX37" s="213"/>
      <c r="EY37" s="213"/>
      <c r="EZ37" s="213"/>
    </row>
    <row r="38" spans="1:157" ht="13.5" thickBot="1" x14ac:dyDescent="0.25">
      <c r="A38" s="25">
        <v>1</v>
      </c>
      <c r="D38" s="821"/>
      <c r="E38" s="822"/>
      <c r="F38" s="823"/>
      <c r="G38" s="823"/>
      <c r="H38" s="824"/>
      <c r="I38" s="825"/>
      <c r="J38" s="825"/>
      <c r="K38" s="825"/>
      <c r="L38" s="826"/>
      <c r="M38" s="824"/>
      <c r="N38" s="824"/>
      <c r="O38" s="824"/>
      <c r="P38" s="824"/>
      <c r="Q38" s="825"/>
      <c r="R38" s="824"/>
      <c r="S38" s="824"/>
      <c r="T38" s="827"/>
      <c r="U38" s="825"/>
      <c r="V38" s="825"/>
      <c r="W38" s="828"/>
      <c r="X38" s="829"/>
      <c r="Y38" s="826"/>
      <c r="Z38" s="830"/>
      <c r="AA38" s="827"/>
      <c r="AB38" s="831"/>
      <c r="AC38" s="824"/>
      <c r="AD38" s="831"/>
      <c r="AE38" s="830"/>
      <c r="AF38" s="832"/>
      <c r="AG38" s="832"/>
      <c r="AH38" s="833"/>
      <c r="AI38" s="834"/>
      <c r="AJ38" s="835"/>
      <c r="AK38" s="830"/>
      <c r="AL38" s="824"/>
      <c r="AM38" s="831"/>
      <c r="AN38" s="830"/>
      <c r="AO38" s="832"/>
      <c r="AP38" s="832"/>
      <c r="AQ38" s="836"/>
      <c r="AR38" s="831"/>
      <c r="AS38" s="825"/>
      <c r="AT38" s="832"/>
      <c r="AU38" s="832"/>
      <c r="AV38" s="836"/>
      <c r="AW38" s="831"/>
      <c r="AX38" s="825"/>
      <c r="AY38" s="1462"/>
      <c r="AZ38" s="829"/>
      <c r="BA38" s="826"/>
      <c r="BB38" s="830"/>
      <c r="BC38" s="827"/>
      <c r="BD38" s="831"/>
      <c r="BE38" s="824"/>
      <c r="BF38" s="831"/>
      <c r="BG38" s="830"/>
      <c r="BH38" s="832"/>
      <c r="BI38" s="832"/>
      <c r="BJ38" s="833"/>
      <c r="BK38" s="837"/>
      <c r="BL38" s="825"/>
      <c r="BM38" s="825"/>
      <c r="BN38" s="825"/>
      <c r="BO38" s="824"/>
      <c r="BP38" s="828"/>
      <c r="BQ38" s="829"/>
      <c r="BR38" s="826"/>
      <c r="BS38" s="831"/>
      <c r="BT38" s="824"/>
      <c r="BU38" s="824"/>
      <c r="BV38" s="831"/>
      <c r="BW38" s="830"/>
      <c r="BX38" s="832"/>
      <c r="BY38" s="832"/>
      <c r="BZ38" s="833"/>
      <c r="CA38" s="838"/>
      <c r="CB38" s="839"/>
      <c r="CC38" s="840"/>
      <c r="CD38" s="841"/>
      <c r="CE38" s="842"/>
      <c r="CF38" s="843"/>
      <c r="DH38" s="1505"/>
      <c r="DI38" s="1506"/>
      <c r="DJ38" s="1618"/>
      <c r="DK38" s="1506"/>
      <c r="DL38" s="1618"/>
      <c r="DM38" s="1506"/>
      <c r="DN38" s="1618"/>
      <c r="DO38" s="1507"/>
      <c r="DQ38" s="433"/>
      <c r="DR38" s="213"/>
      <c r="DS38" s="213"/>
      <c r="DT38" s="213"/>
      <c r="DU38" s="213"/>
      <c r="DV38" s="213"/>
      <c r="DW38" s="213"/>
      <c r="DX38" s="213"/>
      <c r="DY38" s="213"/>
      <c r="DZ38" s="213"/>
      <c r="EA38" s="213"/>
      <c r="EB38" s="1228"/>
      <c r="EC38" s="444"/>
      <c r="ED38" s="1229"/>
      <c r="EE38" s="1228"/>
      <c r="EF38" s="444"/>
      <c r="EG38" s="1230"/>
      <c r="EH38" s="444"/>
      <c r="EI38" s="1228"/>
      <c r="EJ38" s="1231"/>
      <c r="EK38" s="444"/>
      <c r="EL38" s="1228"/>
      <c r="EM38" s="1230"/>
      <c r="EN38" s="1230"/>
      <c r="EO38" s="444"/>
      <c r="EP38" s="213"/>
      <c r="EQ38" s="1229"/>
      <c r="ER38" s="1228"/>
      <c r="ES38" s="444"/>
      <c r="ET38" s="1231"/>
      <c r="EU38" s="444"/>
      <c r="EV38" s="444"/>
      <c r="EW38" s="1228"/>
      <c r="EX38" s="1230"/>
      <c r="EY38" s="444"/>
      <c r="EZ38" s="444"/>
      <c r="FA38" s="213"/>
    </row>
    <row r="39" spans="1:157" x14ac:dyDescent="0.2">
      <c r="A39" s="25">
        <v>1</v>
      </c>
      <c r="DH39" s="440"/>
      <c r="DI39" s="440"/>
      <c r="DJ39" s="1619"/>
      <c r="DK39" s="440"/>
      <c r="DL39" s="1619"/>
      <c r="DM39" s="440"/>
      <c r="DN39" s="1619"/>
      <c r="DO39" s="440"/>
      <c r="DP39" s="433"/>
      <c r="DQ39" s="433"/>
      <c r="DR39" s="213"/>
      <c r="DS39" s="213"/>
      <c r="DT39" s="213"/>
      <c r="DU39" s="213"/>
      <c r="DV39" s="213"/>
      <c r="DW39" s="213"/>
      <c r="DX39" s="213"/>
      <c r="DY39" s="213"/>
      <c r="DZ39" s="213"/>
      <c r="EA39" s="213"/>
      <c r="EQ39" s="213"/>
      <c r="ER39" s="213"/>
      <c r="ES39" s="213"/>
      <c r="ET39" s="213"/>
      <c r="EU39" s="213"/>
      <c r="EV39" s="213"/>
      <c r="EW39" s="213"/>
      <c r="EX39" s="213"/>
      <c r="EY39" s="213"/>
      <c r="EZ39" s="213"/>
    </row>
    <row r="40" spans="1:157" x14ac:dyDescent="0.2">
      <c r="A40" s="25">
        <v>1</v>
      </c>
      <c r="DJ40" s="1620"/>
      <c r="DK40" s="440"/>
      <c r="DL40" s="1619"/>
      <c r="DN40" s="1620"/>
    </row>
    <row r="41" spans="1:157" ht="7.5" hidden="1" customHeight="1" thickBot="1" x14ac:dyDescent="0.25">
      <c r="A41" s="25">
        <v>1</v>
      </c>
      <c r="BX41" s="25"/>
      <c r="BY41" s="213"/>
      <c r="DJ41" s="1620"/>
      <c r="DK41" s="440"/>
      <c r="DL41" s="1619"/>
      <c r="DN41" s="1620"/>
    </row>
    <row r="42" spans="1:157" ht="54.75" hidden="1" customHeight="1" x14ac:dyDescent="0.25">
      <c r="A42" s="25">
        <v>1</v>
      </c>
      <c r="B42" s="327" t="str">
        <f>"Refrigerant: " &amp; CHAR(10) &amp; 'Legend(DX)'!$U$1</f>
        <v xml:space="preserve">Refrigerant: 
</v>
      </c>
      <c r="D42" s="791" t="str">
        <f>IF(LEFT('Legend(DX)'!$U$1,1)="G","Supply Fluid Temp",IF(LEFT('Legend(DX)'!$U$1,1)="c","Fluid Temp","Rack SST"))</f>
        <v>Rack SST</v>
      </c>
      <c r="E42" s="791" t="s">
        <v>545</v>
      </c>
      <c r="F42" s="791" t="s">
        <v>544</v>
      </c>
      <c r="G42" s="791" t="s">
        <v>543</v>
      </c>
      <c r="H42" s="791" t="s">
        <v>542</v>
      </c>
      <c r="I42" s="791" t="s">
        <v>798</v>
      </c>
      <c r="J42" s="791" t="s">
        <v>1102</v>
      </c>
      <c r="L42" s="286"/>
      <c r="S42" s="791" t="s">
        <v>1092</v>
      </c>
      <c r="T42" s="791" t="s">
        <v>1093</v>
      </c>
      <c r="V42" s="284"/>
      <c r="W42" s="284"/>
      <c r="Y42" s="791" t="s">
        <v>535</v>
      </c>
      <c r="AB42" s="791" t="s">
        <v>541</v>
      </c>
      <c r="AC42" s="791" t="s">
        <v>540</v>
      </c>
      <c r="AR42" s="791" t="s">
        <v>539</v>
      </c>
      <c r="AS42" s="791" t="s">
        <v>538</v>
      </c>
      <c r="AT42" s="286"/>
      <c r="AU42" s="286"/>
      <c r="AV42" s="286"/>
      <c r="BA42" s="791" t="s">
        <v>535</v>
      </c>
      <c r="BD42" s="791" t="s">
        <v>537</v>
      </c>
      <c r="BE42" s="791" t="s">
        <v>536</v>
      </c>
      <c r="BF42" s="286"/>
      <c r="BN42" s="285"/>
      <c r="BP42" s="285"/>
      <c r="BR42" s="791" t="s">
        <v>535</v>
      </c>
      <c r="BS42" s="791" t="s">
        <v>534</v>
      </c>
      <c r="BT42" s="791" t="s">
        <v>533</v>
      </c>
      <c r="BX42" s="25"/>
      <c r="BY42" s="791" t="s">
        <v>1100</v>
      </c>
      <c r="DJ42" s="1620"/>
      <c r="DK42" s="440"/>
      <c r="DL42" s="1619"/>
      <c r="DN42" s="1620"/>
      <c r="DR42" s="286" t="s">
        <v>799</v>
      </c>
      <c r="DS42" s="213"/>
      <c r="DT42" s="286" t="s">
        <v>800</v>
      </c>
      <c r="DU42" s="286"/>
      <c r="DV42" s="286" t="s">
        <v>801</v>
      </c>
      <c r="DW42" s="286" t="s">
        <v>802</v>
      </c>
      <c r="DX42" s="286" t="s">
        <v>803</v>
      </c>
      <c r="DY42" s="213"/>
      <c r="DZ42" s="213"/>
      <c r="EA42" s="213"/>
      <c r="EQ42" s="213"/>
      <c r="ER42" s="213"/>
      <c r="ES42" s="213"/>
      <c r="ET42" s="213"/>
      <c r="EU42" s="213"/>
      <c r="EV42" s="213"/>
      <c r="EW42" s="213"/>
      <c r="EX42" s="213"/>
      <c r="EY42" s="213"/>
      <c r="EZ42" s="213"/>
    </row>
    <row r="43" spans="1:157" ht="13.5" hidden="1" thickBot="1" x14ac:dyDescent="0.25">
      <c r="A43" s="25">
        <v>1</v>
      </c>
      <c r="B43" s="790" t="str">
        <f>IF(($C$6)&gt;0,"LineSize Calculations Off",VLOOKUP('Legend(DX)'!$U$1,Refrigerant,2,FALSE))</f>
        <v>LineSize Calculations Off</v>
      </c>
      <c r="D43" s="792" t="s">
        <v>459</v>
      </c>
      <c r="E43" s="792" t="s">
        <v>460</v>
      </c>
      <c r="F43" s="792" t="s">
        <v>459</v>
      </c>
      <c r="G43" s="792" t="s">
        <v>459</v>
      </c>
      <c r="H43" s="792" t="s">
        <v>459</v>
      </c>
      <c r="I43" s="792" t="s">
        <v>460</v>
      </c>
      <c r="J43" s="792"/>
      <c r="L43" s="277"/>
      <c r="S43" s="792" t="s">
        <v>459</v>
      </c>
      <c r="T43" s="792" t="s">
        <v>1094</v>
      </c>
      <c r="V43" s="284"/>
      <c r="W43" s="284"/>
      <c r="Y43" s="794"/>
      <c r="AB43" s="794" t="s">
        <v>457</v>
      </c>
      <c r="AC43" s="794" t="s">
        <v>457</v>
      </c>
      <c r="AR43" s="794" t="s">
        <v>457</v>
      </c>
      <c r="AS43" s="794" t="s">
        <v>457</v>
      </c>
      <c r="AT43" s="283"/>
      <c r="AU43" s="283"/>
      <c r="AV43" s="283"/>
      <c r="BA43" s="794"/>
      <c r="BD43" s="794" t="s">
        <v>457</v>
      </c>
      <c r="BE43" s="794" t="s">
        <v>457</v>
      </c>
      <c r="BF43" s="283"/>
      <c r="BN43" s="282"/>
      <c r="BP43" s="282"/>
      <c r="BR43" s="794"/>
      <c r="BS43" s="794" t="str">
        <f>IF($C$3&gt;0,"[fps]","[fpm]")</f>
        <v>[fpm]</v>
      </c>
      <c r="BT43" s="794" t="s">
        <v>532</v>
      </c>
      <c r="BX43" s="25"/>
      <c r="BY43" s="794"/>
      <c r="DJ43" s="1620"/>
      <c r="DK43" s="440"/>
      <c r="DL43" s="1619"/>
      <c r="DN43" s="1620"/>
      <c r="DR43" s="213"/>
      <c r="DS43" s="213"/>
      <c r="DT43" s="277"/>
      <c r="DU43" s="277"/>
      <c r="DV43" s="277"/>
      <c r="DW43" s="277"/>
      <c r="DX43" s="213"/>
      <c r="DY43" s="213"/>
      <c r="DZ43" s="213"/>
      <c r="EA43" s="213"/>
      <c r="EQ43" s="213"/>
      <c r="ER43" s="213"/>
      <c r="ES43" s="213"/>
      <c r="ET43" s="213"/>
      <c r="EU43" s="213"/>
      <c r="EV43" s="213"/>
      <c r="EW43" s="213"/>
      <c r="EX43" s="213"/>
      <c r="EY43" s="213"/>
      <c r="EZ43" s="213"/>
    </row>
    <row r="44" spans="1:157" ht="20.25" hidden="1" customHeight="1" thickBot="1" x14ac:dyDescent="0.25">
      <c r="A44" s="25">
        <v>1</v>
      </c>
      <c r="D44" s="281" t="str">
        <f>IF(($C$6)&gt;0,"",IF($C$3&gt;0,MIN('Legend(DX)'!AB11:AB12),LegendSG2RSST))</f>
        <v/>
      </c>
      <c r="E44" s="280" t="str">
        <f>IF(($C$6)&gt;0,"",Pressure((B43),"TVAP","E",D44+0.5*DX44))</f>
        <v/>
      </c>
      <c r="F44" s="279" t="str">
        <f>IF(($C$6)&gt;0,"",IF(J44&gt;1,-1,-1*(MIN(LegendSG2EVT)-D44)))</f>
        <v/>
      </c>
      <c r="G44" s="278" t="str">
        <f>IF(($C$6)&gt;0,"",IF(LEFT('Legend(DX)'!$U$1,1)="c",D44,IF(LegendSG2LT="",H44,LegendSG2LT)))</f>
        <v/>
      </c>
      <c r="H44" s="278" t="str">
        <f>IF(($C$6)&gt;0,"",IF(LEFT('Legend(DX)'!$U$1,1)="c",D44,IF(LegendSG1CT="","",LegendSG1CT)))</f>
        <v/>
      </c>
      <c r="I44" s="278" t="str">
        <f>IF(($C$6)&gt;0,"",(Pressure($B$43,"tliq","e",$H$44)+Pressure($B$43,"tvap","e",$H$44))/2)</f>
        <v/>
      </c>
      <c r="J44" s="278" t="str">
        <f>IF(($C$6)&gt;0,"",IF(LEFT('Legend(DX)'!$U$1,1)="C",MAX(LegendSG1SCR),1))</f>
        <v/>
      </c>
      <c r="L44" s="277"/>
      <c r="S44" s="1226"/>
      <c r="T44" s="1226"/>
      <c r="Y44" s="273">
        <v>1.3</v>
      </c>
      <c r="AB44" s="1445">
        <v>1200</v>
      </c>
      <c r="AC44" s="272">
        <f>IF(($J$4)&gt;1,800,2000)</f>
        <v>800</v>
      </c>
      <c r="AR44" s="1445">
        <v>1200</v>
      </c>
      <c r="AS44" s="272">
        <f>IF(($J$4)&gt;1,800,2000)</f>
        <v>800</v>
      </c>
      <c r="AT44" s="276"/>
      <c r="AU44" s="276"/>
      <c r="AV44" s="276"/>
      <c r="BA44" s="273">
        <v>1.3</v>
      </c>
      <c r="BD44" s="1445">
        <f>IF(($J$4)&gt;1,200,500)</f>
        <v>200</v>
      </c>
      <c r="BE44" s="1445">
        <v>1500</v>
      </c>
      <c r="BF44" s="275"/>
      <c r="BN44" s="274"/>
      <c r="BP44" s="274"/>
      <c r="BR44" s="273">
        <f>IF($C$3&gt;0,2.6,1.3)</f>
        <v>1.3</v>
      </c>
      <c r="BS44" s="272">
        <v>150</v>
      </c>
      <c r="BT44" s="271" t="str">
        <f>IF(($C$6)&gt;0,"",(Pressure(($B$43),"TLIQ","E",($H$44)))-(Pressure(($B$43),"TLIQ","E",(($H$44)-1))))</f>
        <v/>
      </c>
      <c r="BX44" s="25"/>
      <c r="BY44" s="273">
        <v>4</v>
      </c>
      <c r="CH44" s="270" t="s">
        <v>531</v>
      </c>
      <c r="CI44" s="270" t="s">
        <v>530</v>
      </c>
      <c r="CJ44" s="270" t="s">
        <v>525</v>
      </c>
      <c r="CK44" s="270" t="s">
        <v>529</v>
      </c>
      <c r="CL44" s="270" t="s">
        <v>528</v>
      </c>
      <c r="CM44" s="270" t="s">
        <v>527</v>
      </c>
      <c r="CN44" s="270" t="s">
        <v>527</v>
      </c>
      <c r="DJ44" s="1620"/>
      <c r="DK44" s="440"/>
      <c r="DL44" s="1619"/>
      <c r="DN44" s="1620"/>
      <c r="DR44" s="1253" t="str">
        <f>IF(($C$6)&gt;0,"",TEMPERATURE($B$3,"pvap","e",($I$44))-TEMPERATURE($B$3,"pliq","e",($I$44)))</f>
        <v/>
      </c>
      <c r="DS44" s="213"/>
      <c r="DT44" s="1254" t="str">
        <f>IF(($C$6)&gt;0,"",(Pressure($B$3,"Tliq","e",($D$44))+Pressure($B$3,"Tvap","e",($D$44)))/2)</f>
        <v/>
      </c>
      <c r="DU44" s="1255"/>
      <c r="DV44" s="1256" t="str">
        <f>IF(($C$6)&gt;0,"",1-(Enthalpy($B$43,"pvap","e",($DT$44))-(IF(($G$44)+0.5*($DR$44)&gt;($H$44),Enthalpy($B$43,"Tliq","e",($G$44)),Enthalpy($B$43,"tp","e",($G$44),($I$44)))))/(Enthalpy($B$43,"pvap","e",($DT$44))-Enthalpy($B$43,"pliq","e",($DT$44))))</f>
        <v/>
      </c>
      <c r="DW44" s="1256" t="str">
        <f>IF(($C$6)&gt;0,"",TEMPERATURE($B$3,"pvap","e",($DT$44))-TEMPERATURE($B$3,"pliq","e",($DT$44)))</f>
        <v/>
      </c>
      <c r="DX44" s="1257" t="e">
        <f>(1-($DV$44))*($DW$44)</f>
        <v>#VALUE!</v>
      </c>
      <c r="DY44" s="213"/>
      <c r="DZ44" s="213"/>
      <c r="EA44" s="213"/>
      <c r="EQ44" s="213"/>
      <c r="ER44" s="213"/>
      <c r="ES44" s="213"/>
      <c r="ET44" s="213"/>
      <c r="EU44" s="213"/>
      <c r="EV44" s="213"/>
      <c r="EW44" s="213"/>
      <c r="EX44" s="213"/>
      <c r="EY44" s="213"/>
      <c r="EZ44" s="213"/>
    </row>
    <row r="45" spans="1:157" ht="13.5" hidden="1" thickBot="1" x14ac:dyDescent="0.25">
      <c r="A45" s="25">
        <v>1</v>
      </c>
      <c r="B45" s="213"/>
      <c r="D45" s="213"/>
      <c r="E45" s="213"/>
      <c r="F45" s="213"/>
      <c r="G45" s="213"/>
      <c r="H45" s="213"/>
      <c r="AB45" s="272">
        <v>700</v>
      </c>
      <c r="AR45" s="272">
        <v>700</v>
      </c>
      <c r="BD45" s="272">
        <v>250</v>
      </c>
      <c r="BE45" s="272">
        <v>1750</v>
      </c>
      <c r="BS45" s="1445">
        <v>120</v>
      </c>
      <c r="BX45" s="25"/>
      <c r="BY45" s="213"/>
      <c r="CH45" s="270" t="s">
        <v>526</v>
      </c>
      <c r="CI45" s="270" t="s">
        <v>526</v>
      </c>
      <c r="CM45" s="270" t="s">
        <v>526</v>
      </c>
      <c r="CN45" s="270" t="s">
        <v>525</v>
      </c>
      <c r="CO45" s="270" t="s">
        <v>524</v>
      </c>
      <c r="CP45" s="270"/>
      <c r="DJ45" s="1620"/>
      <c r="DK45" s="440"/>
      <c r="DL45" s="1619"/>
      <c r="DN45" s="1620"/>
      <c r="DR45" s="213"/>
      <c r="DS45" s="213"/>
      <c r="DT45" s="213"/>
      <c r="DU45" s="213"/>
      <c r="DV45" s="320" t="s">
        <v>804</v>
      </c>
      <c r="DW45" s="213"/>
      <c r="DX45" s="213"/>
      <c r="DY45" s="213"/>
      <c r="DZ45" s="213"/>
      <c r="EA45" s="213"/>
      <c r="EQ45" s="213"/>
      <c r="ER45" s="213"/>
      <c r="ES45" s="213"/>
      <c r="ET45" s="213"/>
      <c r="EU45" s="213"/>
      <c r="EV45" s="213"/>
      <c r="EW45" s="213"/>
      <c r="EX45" s="213"/>
      <c r="EY45" s="213"/>
      <c r="EZ45" s="213"/>
    </row>
    <row r="46" spans="1:157" ht="27" hidden="1" customHeight="1" thickBot="1" x14ac:dyDescent="0.25">
      <c r="A46" s="25">
        <v>1</v>
      </c>
      <c r="B46" s="213"/>
      <c r="D46" s="269" t="str">
        <f>IF($C$3&gt;0,"Fluid Group " &amp; H46,"Suction Group " &amp; H46)</f>
        <v>Suction Group 2</v>
      </c>
      <c r="E46" s="269"/>
      <c r="F46" s="269"/>
      <c r="G46" s="269"/>
      <c r="H46" s="268">
        <v>2</v>
      </c>
      <c r="I46" s="268"/>
      <c r="J46" s="268"/>
      <c r="K46" s="268"/>
      <c r="X46" s="1858" t="s">
        <v>523</v>
      </c>
      <c r="Y46" s="1859"/>
      <c r="Z46" s="1859"/>
      <c r="AA46" s="1859"/>
      <c r="AB46" s="1859"/>
      <c r="AC46" s="1859"/>
      <c r="AD46" s="1859"/>
      <c r="AE46" s="1859"/>
      <c r="AF46" s="1859"/>
      <c r="AG46" s="1859"/>
      <c r="AH46" s="1860"/>
      <c r="AI46" s="1858" t="s">
        <v>522</v>
      </c>
      <c r="AJ46" s="1859"/>
      <c r="AK46" s="1859"/>
      <c r="AL46" s="1859"/>
      <c r="AM46" s="1859"/>
      <c r="AN46" s="1859"/>
      <c r="AO46" s="1859"/>
      <c r="AP46" s="1859"/>
      <c r="AQ46" s="1859"/>
      <c r="AR46" s="1859"/>
      <c r="AS46" s="1859"/>
      <c r="AT46" s="1859"/>
      <c r="AU46" s="1859"/>
      <c r="AV46" s="1859"/>
      <c r="AW46" s="1859"/>
      <c r="AX46" s="1860"/>
      <c r="AY46" s="1416"/>
      <c r="AZ46" s="1858" t="s">
        <v>521</v>
      </c>
      <c r="BA46" s="1859"/>
      <c r="BB46" s="1859"/>
      <c r="BC46" s="1859"/>
      <c r="BD46" s="1859"/>
      <c r="BE46" s="1859"/>
      <c r="BF46" s="1859"/>
      <c r="BG46" s="1859"/>
      <c r="BH46" s="1859"/>
      <c r="BI46" s="1859"/>
      <c r="BJ46" s="1860"/>
      <c r="BK46" s="1855" t="s">
        <v>520</v>
      </c>
      <c r="BL46" s="1857"/>
      <c r="BM46" s="1857"/>
      <c r="BN46" s="1857"/>
      <c r="BO46" s="1857"/>
      <c r="BP46" s="1856"/>
      <c r="BQ46" s="1857" t="s">
        <v>519</v>
      </c>
      <c r="BR46" s="1857"/>
      <c r="BS46" s="1857"/>
      <c r="BT46" s="1857"/>
      <c r="BU46" s="1857"/>
      <c r="BV46" s="1857"/>
      <c r="BW46" s="1857"/>
      <c r="BX46" s="1857"/>
      <c r="BY46" s="1857"/>
      <c r="BZ46" s="1856"/>
      <c r="CA46" s="795"/>
      <c r="CB46" s="796"/>
      <c r="CC46" s="797"/>
      <c r="CD46" s="798"/>
      <c r="CE46" s="1855" t="s">
        <v>518</v>
      </c>
      <c r="CF46" s="1856"/>
      <c r="DJ46" s="1620"/>
      <c r="DK46" s="440"/>
      <c r="DL46" s="1619"/>
      <c r="DN46" s="1620"/>
      <c r="DR46" s="213"/>
      <c r="DS46" s="213"/>
      <c r="DT46" s="213"/>
      <c r="DU46" s="213"/>
      <c r="DV46" s="213"/>
      <c r="DW46" s="213"/>
      <c r="DX46" s="213"/>
      <c r="DY46" s="213"/>
      <c r="DZ46" s="213"/>
      <c r="EA46" s="213"/>
      <c r="EQ46" s="213"/>
      <c r="ER46" s="213"/>
      <c r="ES46" s="213"/>
      <c r="ET46" s="213"/>
      <c r="EU46" s="213"/>
      <c r="EV46" s="213"/>
      <c r="EW46" s="213"/>
      <c r="EX46" s="213"/>
      <c r="EY46" s="213"/>
      <c r="EZ46" s="213"/>
    </row>
    <row r="47" spans="1:157" s="213" customFormat="1" ht="63.75" hidden="1" x14ac:dyDescent="0.2">
      <c r="A47" s="213">
        <v>1</v>
      </c>
      <c r="B47" s="267"/>
      <c r="D47" s="799" t="s">
        <v>411</v>
      </c>
      <c r="E47" s="800" t="s">
        <v>517</v>
      </c>
      <c r="F47" s="800" t="s">
        <v>516</v>
      </c>
      <c r="G47" s="800" t="s">
        <v>515</v>
      </c>
      <c r="H47" s="800" t="s">
        <v>514</v>
      </c>
      <c r="I47" s="800" t="s">
        <v>513</v>
      </c>
      <c r="J47" s="800" t="str">
        <f>IF($C$3&gt;0,"","Segment SST")</f>
        <v>Segment SST</v>
      </c>
      <c r="K47" s="800" t="str">
        <f>IF($C$3&gt;0,"","Segment Suction Vapor Temp")</f>
        <v>Segment Suction Vapor Temp</v>
      </c>
      <c r="L47" s="800" t="str">
        <f>IF($C$3&gt;0,"","Return Gas Temp")</f>
        <v>Return Gas Temp</v>
      </c>
      <c r="M47" s="800" t="str">
        <f>IF($C$3&gt;0,"","Segment Suction Pressure")</f>
        <v>Segment Suction Pressure</v>
      </c>
      <c r="N47" s="800" t="str">
        <f>IF($C$3&gt;0,"","Evap Pressure")</f>
        <v>Evap Pressure</v>
      </c>
      <c r="O47" s="800" t="str">
        <f>IF($C$3&gt;0,"","Evap Temp Glide")</f>
        <v>Evap Temp Glide</v>
      </c>
      <c r="P47" s="801" t="str">
        <f>IF($C$3&gt;0,"","Evap Inlet Quality 1=100% Vapor")</f>
        <v>Evap Inlet Quality 1=100% Vapor</v>
      </c>
      <c r="Q47" s="800" t="str">
        <f>IF($C$3&gt;0,"","Evap Suction Outlet Enthalpy")</f>
        <v>Evap Suction Outlet Enthalpy</v>
      </c>
      <c r="R47" s="800" t="str">
        <f>IF($C$3&gt;0,"Flow","Liquid Enthalpy")</f>
        <v>Liquid Enthalpy</v>
      </c>
      <c r="S47" s="800" t="s">
        <v>507</v>
      </c>
      <c r="T47" s="800" t="s">
        <v>506</v>
      </c>
      <c r="U47" s="800" t="s">
        <v>356</v>
      </c>
      <c r="V47" s="800" t="s">
        <v>505</v>
      </c>
      <c r="W47" s="802" t="str">
        <f>IF($C$3&gt;0,"","Riser Type")</f>
        <v>Riser Type</v>
      </c>
      <c r="X47" s="803" t="s">
        <v>475</v>
      </c>
      <c r="Y47" s="804" t="s">
        <v>474</v>
      </c>
      <c r="Z47" s="805" t="s">
        <v>485</v>
      </c>
      <c r="AA47" s="805" t="s">
        <v>484</v>
      </c>
      <c r="AB47" s="805" t="s">
        <v>473</v>
      </c>
      <c r="AC47" s="805" t="s">
        <v>149</v>
      </c>
      <c r="AD47" s="805" t="s">
        <v>472</v>
      </c>
      <c r="AE47" s="805" t="s">
        <v>471</v>
      </c>
      <c r="AF47" s="805" t="s">
        <v>470</v>
      </c>
      <c r="AG47" s="805" t="s">
        <v>503</v>
      </c>
      <c r="AH47" s="806" t="s">
        <v>502</v>
      </c>
      <c r="AI47" s="803" t="s">
        <v>501</v>
      </c>
      <c r="AJ47" s="804" t="s">
        <v>500</v>
      </c>
      <c r="AK47" s="805" t="s">
        <v>499</v>
      </c>
      <c r="AL47" s="805" t="s">
        <v>498</v>
      </c>
      <c r="AM47" s="805" t="s">
        <v>497</v>
      </c>
      <c r="AN47" s="805" t="s">
        <v>496</v>
      </c>
      <c r="AO47" s="805" t="s">
        <v>495</v>
      </c>
      <c r="AP47" s="805" t="s">
        <v>494</v>
      </c>
      <c r="AQ47" s="805" t="s">
        <v>493</v>
      </c>
      <c r="AR47" s="805" t="s">
        <v>492</v>
      </c>
      <c r="AS47" s="805" t="s">
        <v>491</v>
      </c>
      <c r="AT47" s="805" t="s">
        <v>490</v>
      </c>
      <c r="AU47" s="805" t="s">
        <v>489</v>
      </c>
      <c r="AV47" s="805" t="s">
        <v>488</v>
      </c>
      <c r="AW47" s="805" t="s">
        <v>487</v>
      </c>
      <c r="AX47" s="806" t="s">
        <v>486</v>
      </c>
      <c r="AY47" s="805" t="s">
        <v>1253</v>
      </c>
      <c r="AZ47" s="803" t="s">
        <v>475</v>
      </c>
      <c r="BA47" s="804" t="s">
        <v>474</v>
      </c>
      <c r="BB47" s="805" t="s">
        <v>485</v>
      </c>
      <c r="BC47" s="805" t="s">
        <v>484</v>
      </c>
      <c r="BD47" s="805" t="s">
        <v>473</v>
      </c>
      <c r="BE47" s="805" t="s">
        <v>149</v>
      </c>
      <c r="BF47" s="805" t="s">
        <v>472</v>
      </c>
      <c r="BG47" s="805" t="s">
        <v>471</v>
      </c>
      <c r="BH47" s="805" t="s">
        <v>470</v>
      </c>
      <c r="BI47" s="805" t="s">
        <v>483</v>
      </c>
      <c r="BJ47" s="806" t="s">
        <v>482</v>
      </c>
      <c r="BK47" s="807" t="s">
        <v>481</v>
      </c>
      <c r="BL47" s="804" t="s">
        <v>480</v>
      </c>
      <c r="BM47" s="804" t="s">
        <v>479</v>
      </c>
      <c r="BN47" s="805" t="s">
        <v>478</v>
      </c>
      <c r="BO47" s="805" t="s">
        <v>477</v>
      </c>
      <c r="BP47" s="806" t="s">
        <v>476</v>
      </c>
      <c r="BQ47" s="804" t="s">
        <v>475</v>
      </c>
      <c r="BR47" s="804" t="s">
        <v>474</v>
      </c>
      <c r="BS47" s="805" t="s">
        <v>473</v>
      </c>
      <c r="BT47" s="805" t="s">
        <v>149</v>
      </c>
      <c r="BU47" s="805" t="s">
        <v>479</v>
      </c>
      <c r="BV47" s="805" t="s">
        <v>472</v>
      </c>
      <c r="BW47" s="805" t="s">
        <v>471</v>
      </c>
      <c r="BX47" s="805" t="s">
        <v>470</v>
      </c>
      <c r="BY47" s="805" t="s">
        <v>469</v>
      </c>
      <c r="BZ47" s="806" t="s">
        <v>468</v>
      </c>
      <c r="CA47" s="808"/>
      <c r="CB47" s="809"/>
      <c r="CC47" s="810"/>
      <c r="CD47" s="811" t="s">
        <v>178</v>
      </c>
      <c r="CE47" s="1853" t="s">
        <v>467</v>
      </c>
      <c r="CF47" s="806" t="s">
        <v>466</v>
      </c>
      <c r="DH47" s="310"/>
      <c r="DI47" s="310"/>
      <c r="DJ47" s="1620"/>
      <c r="DK47" s="440"/>
      <c r="DL47" s="1619"/>
      <c r="DM47" s="310"/>
      <c r="DN47" s="1620"/>
      <c r="DO47" s="310"/>
      <c r="DP47" s="320"/>
      <c r="DR47" s="264"/>
      <c r="DS47" s="264"/>
      <c r="DT47" s="264"/>
      <c r="DU47" s="264"/>
      <c r="DV47" s="264"/>
      <c r="DW47" s="264"/>
      <c r="DX47" s="264"/>
      <c r="DY47" s="264"/>
      <c r="DZ47" s="264"/>
      <c r="EA47" s="264"/>
      <c r="EB47" s="25"/>
      <c r="EC47" s="25"/>
      <c r="ED47" s="25"/>
      <c r="EE47" s="25"/>
      <c r="EF47" s="25"/>
      <c r="EG47" s="25"/>
      <c r="EH47" s="25"/>
      <c r="EI47" s="25"/>
      <c r="EJ47" s="25"/>
      <c r="EK47" s="25"/>
      <c r="EL47" s="25"/>
      <c r="EM47" s="25"/>
      <c r="EN47" s="25"/>
      <c r="EO47" s="25"/>
      <c r="EP47" s="25"/>
    </row>
    <row r="48" spans="1:157" s="264" customFormat="1" ht="20.25" hidden="1" customHeight="1" thickBot="1" x14ac:dyDescent="0.25">
      <c r="A48" s="265">
        <v>1</v>
      </c>
      <c r="B48" s="266">
        <f>LegendSG2EVLT</f>
        <v>0</v>
      </c>
      <c r="C48" s="296" t="s">
        <v>151</v>
      </c>
      <c r="D48" s="428"/>
      <c r="E48" s="812"/>
      <c r="F48" s="812"/>
      <c r="G48" s="812"/>
      <c r="H48" s="813" t="s">
        <v>465</v>
      </c>
      <c r="I48" s="813" t="s">
        <v>459</v>
      </c>
      <c r="J48" s="813" t="str">
        <f>IF($C$3&gt;0,"","[ºF]")</f>
        <v>[ºF]</v>
      </c>
      <c r="K48" s="813" t="str">
        <f>IF($C$3&gt;0,"","[ºF]")</f>
        <v>[ºF]</v>
      </c>
      <c r="L48" s="813" t="str">
        <f>IF($C$3&gt;0,"","[ºF]")</f>
        <v>[ºF]</v>
      </c>
      <c r="M48" s="813" t="str">
        <f>IF($C$3&gt;0,"","[psia]")</f>
        <v>[psia]</v>
      </c>
      <c r="N48" s="813" t="str">
        <f>IF($C$3&gt;0,"","[psia]")</f>
        <v>[psia]</v>
      </c>
      <c r="O48" s="813" t="str">
        <f>IF($C$3&gt;0,"","[ºF]")</f>
        <v>[ºF]</v>
      </c>
      <c r="P48" s="814"/>
      <c r="Q48" s="813" t="str">
        <f>IF($C$3&gt;0,"","[Btu/lb]")</f>
        <v>[Btu/lb]</v>
      </c>
      <c r="R48" s="813" t="str">
        <f>IF($C$3&gt;0,"[GPM]","[Btu/lb]")</f>
        <v>[Btu/lb]</v>
      </c>
      <c r="S48" s="813" t="s">
        <v>462</v>
      </c>
      <c r="T48" s="813" t="s">
        <v>461</v>
      </c>
      <c r="U48" s="813" t="s">
        <v>463</v>
      </c>
      <c r="V48" s="813"/>
      <c r="W48" s="815"/>
      <c r="X48" s="816" t="s">
        <v>458</v>
      </c>
      <c r="Y48" s="813" t="s">
        <v>458</v>
      </c>
      <c r="Z48" s="813" t="s">
        <v>462</v>
      </c>
      <c r="AA48" s="813" t="s">
        <v>461</v>
      </c>
      <c r="AB48" s="813" t="s">
        <v>457</v>
      </c>
      <c r="AC48" s="813" t="s">
        <v>456</v>
      </c>
      <c r="AD48" s="813"/>
      <c r="AE48" s="813"/>
      <c r="AF48" s="813" t="s">
        <v>455</v>
      </c>
      <c r="AG48" s="813" t="s">
        <v>455</v>
      </c>
      <c r="AH48" s="815" t="s">
        <v>454</v>
      </c>
      <c r="AI48" s="816"/>
      <c r="AJ48" s="813" t="s">
        <v>454</v>
      </c>
      <c r="AK48" s="813"/>
      <c r="AL48" s="813" t="s">
        <v>456</v>
      </c>
      <c r="AM48" s="813"/>
      <c r="AN48" s="813"/>
      <c r="AO48" s="813" t="s">
        <v>455</v>
      </c>
      <c r="AP48" s="813" t="s">
        <v>455</v>
      </c>
      <c r="AQ48" s="813" t="s">
        <v>454</v>
      </c>
      <c r="AR48" s="813" t="s">
        <v>457</v>
      </c>
      <c r="AS48" s="813" t="s">
        <v>463</v>
      </c>
      <c r="AT48" s="813" t="s">
        <v>455</v>
      </c>
      <c r="AU48" s="813" t="s">
        <v>455</v>
      </c>
      <c r="AV48" s="813" t="s">
        <v>454</v>
      </c>
      <c r="AW48" s="813" t="s">
        <v>457</v>
      </c>
      <c r="AX48" s="815" t="s">
        <v>463</v>
      </c>
      <c r="AY48" s="813" t="s">
        <v>458</v>
      </c>
      <c r="AZ48" s="816" t="s">
        <v>458</v>
      </c>
      <c r="BA48" s="813" t="s">
        <v>458</v>
      </c>
      <c r="BB48" s="813" t="s">
        <v>462</v>
      </c>
      <c r="BC48" s="813" t="s">
        <v>461</v>
      </c>
      <c r="BD48" s="813" t="s">
        <v>457</v>
      </c>
      <c r="BE48" s="813" t="s">
        <v>456</v>
      </c>
      <c r="BF48" s="813"/>
      <c r="BG48" s="813"/>
      <c r="BH48" s="813" t="s">
        <v>455</v>
      </c>
      <c r="BI48" s="813" t="s">
        <v>455</v>
      </c>
      <c r="BJ48" s="817" t="s">
        <v>454</v>
      </c>
      <c r="BK48" s="816" t="s">
        <v>456</v>
      </c>
      <c r="BL48" s="813" t="s">
        <v>456</v>
      </c>
      <c r="BM48" s="813" t="s">
        <v>456</v>
      </c>
      <c r="BN48" s="813" t="s">
        <v>459</v>
      </c>
      <c r="BO48" s="813" t="s">
        <v>460</v>
      </c>
      <c r="BP48" s="815" t="s">
        <v>459</v>
      </c>
      <c r="BQ48" s="813" t="s">
        <v>458</v>
      </c>
      <c r="BR48" s="813" t="s">
        <v>458</v>
      </c>
      <c r="BS48" s="813" t="s">
        <v>457</v>
      </c>
      <c r="BT48" s="813" t="str">
        <f>IF($C$3&gt;0,"[ft-H2O]","[psi]")</f>
        <v>[psi]</v>
      </c>
      <c r="BU48" s="813" t="str">
        <f>IF($C$3&gt;0,"[ft-H2O]","[psi]")</f>
        <v>[psi]</v>
      </c>
      <c r="BV48" s="813"/>
      <c r="BW48" s="813"/>
      <c r="BX48" s="813" t="s">
        <v>455</v>
      </c>
      <c r="BY48" s="813" t="s">
        <v>455</v>
      </c>
      <c r="BZ48" s="815" t="s">
        <v>454</v>
      </c>
      <c r="CA48" s="818"/>
      <c r="CB48" s="819"/>
      <c r="CC48" s="820"/>
      <c r="CD48" s="792" t="s">
        <v>179</v>
      </c>
      <c r="CE48" s="1854"/>
      <c r="CF48" s="815"/>
      <c r="DH48" s="311"/>
      <c r="DI48" s="311"/>
      <c r="DJ48" s="1621"/>
      <c r="DK48" s="441"/>
      <c r="DL48" s="1622"/>
      <c r="DM48" s="311"/>
      <c r="DN48" s="1621"/>
      <c r="DO48" s="311"/>
      <c r="DP48" s="321"/>
      <c r="DR48" s="213"/>
      <c r="DS48" s="213"/>
      <c r="DT48" s="213"/>
      <c r="DU48" s="213"/>
      <c r="DV48" s="213"/>
      <c r="DW48" s="213"/>
      <c r="DX48" s="213"/>
      <c r="DY48" s="213"/>
      <c r="DZ48" s="213"/>
      <c r="EA48" s="213"/>
      <c r="EB48" s="25"/>
      <c r="EC48" s="25"/>
      <c r="ED48" s="25"/>
      <c r="EE48" s="25"/>
      <c r="EF48" s="25"/>
      <c r="EG48" s="25"/>
      <c r="EH48" s="25"/>
      <c r="EI48" s="25"/>
      <c r="EJ48" s="25"/>
      <c r="EK48" s="25"/>
      <c r="EL48" s="25"/>
      <c r="EM48" s="25"/>
      <c r="EN48" s="25"/>
      <c r="EO48" s="25"/>
      <c r="EP48" s="25"/>
      <c r="EQ48" s="213"/>
      <c r="ER48" s="213"/>
      <c r="ES48" s="213"/>
      <c r="ET48" s="213"/>
      <c r="EU48" s="213"/>
      <c r="EV48" s="213"/>
      <c r="EW48" s="213"/>
      <c r="EX48" s="213"/>
      <c r="EY48" s="213"/>
      <c r="EZ48" s="213"/>
    </row>
    <row r="49" spans="1:163" ht="13.5" hidden="1" thickTop="1" x14ac:dyDescent="0.2">
      <c r="A49" s="262" t="s">
        <v>374</v>
      </c>
      <c r="B49" s="262">
        <f>H46</f>
        <v>2</v>
      </c>
      <c r="C49" s="262">
        <f>$C$6</f>
        <v>1</v>
      </c>
      <c r="D49" s="429" t="s">
        <v>176</v>
      </c>
      <c r="E49" s="430" t="str">
        <f>"SG " &amp; H46</f>
        <v>SG 2</v>
      </c>
      <c r="F49" s="430">
        <v>0</v>
      </c>
      <c r="G49" s="263" t="s">
        <v>548</v>
      </c>
      <c r="H49" s="220"/>
      <c r="I49" s="258"/>
      <c r="J49" s="248" t="str">
        <f>IF(C49&gt;0,"",($D$44))</f>
        <v/>
      </c>
      <c r="K49" s="248"/>
      <c r="L49" s="257" t="str">
        <f>IF($C$3&gt;0,"",IF(C49&gt;0,"",IF(($J$44)&gt;1,I49,LegendSG2RGT)))</f>
        <v/>
      </c>
      <c r="M49" s="248" t="str">
        <f>IF(C49&gt;0,"",DT49)</f>
        <v/>
      </c>
      <c r="N49" s="248"/>
      <c r="O49" s="248"/>
      <c r="P49" s="220"/>
      <c r="Q49" s="248"/>
      <c r="R49" s="220" t="str">
        <f>IF($C$3&gt;0,IF(S49=0,"",U49/(S49*60*0.13368)),"")</f>
        <v/>
      </c>
      <c r="S49" s="220"/>
      <c r="T49" s="250"/>
      <c r="U49" s="248"/>
      <c r="V49" s="257"/>
      <c r="W49" s="247"/>
      <c r="X49" s="312"/>
      <c r="Y49" s="246"/>
      <c r="Z49" s="218"/>
      <c r="AA49" s="250"/>
      <c r="AB49" s="219"/>
      <c r="AC49" s="220"/>
      <c r="AD49" s="219"/>
      <c r="AE49" s="218"/>
      <c r="AF49" s="245"/>
      <c r="AG49" s="245"/>
      <c r="AH49" s="298"/>
      <c r="AI49" s="253"/>
      <c r="AJ49" s="252"/>
      <c r="AK49" s="218"/>
      <c r="AL49" s="220"/>
      <c r="AM49" s="219"/>
      <c r="AN49" s="218"/>
      <c r="AO49" s="245"/>
      <c r="AP49" s="245"/>
      <c r="AQ49" s="251"/>
      <c r="AR49" s="219"/>
      <c r="AS49" s="248"/>
      <c r="AT49" s="245"/>
      <c r="AU49" s="245"/>
      <c r="AV49" s="251"/>
      <c r="AW49" s="219"/>
      <c r="AX49" s="247"/>
      <c r="AY49" s="248"/>
      <c r="AZ49" s="438"/>
      <c r="BA49" s="246"/>
      <c r="BB49" s="218"/>
      <c r="BC49" s="250"/>
      <c r="BD49" s="219"/>
      <c r="BE49" s="220"/>
      <c r="BF49" s="219"/>
      <c r="BG49" s="218"/>
      <c r="BH49" s="245"/>
      <c r="BI49" s="245"/>
      <c r="BJ49" s="243"/>
      <c r="BK49" s="312"/>
      <c r="BL49" s="248"/>
      <c r="BM49" s="248"/>
      <c r="BN49" s="248"/>
      <c r="BO49" s="220"/>
      <c r="BP49" s="247"/>
      <c r="BQ49" s="287"/>
      <c r="BR49" s="246"/>
      <c r="BS49" s="220"/>
      <c r="BT49" s="220"/>
      <c r="BU49" s="220"/>
      <c r="BV49" s="219"/>
      <c r="BW49" s="218"/>
      <c r="BX49" s="245"/>
      <c r="BY49" s="245"/>
      <c r="BZ49" s="243"/>
      <c r="CA49" s="314" t="s">
        <v>547</v>
      </c>
      <c r="CC49" s="313">
        <v>0</v>
      </c>
      <c r="CD49" s="318"/>
      <c r="CE49" s="242"/>
      <c r="CF49" s="241"/>
      <c r="CH49" s="213">
        <f>IF(OR(AB49&lt;($AB$44),AB49&gt;($AC$44)),1,0)</f>
        <v>1</v>
      </c>
      <c r="CI49" s="213">
        <f>IF(OR(BD49&lt;($BD$44),BD49&gt;($BE$44)),1,0)</f>
        <v>1</v>
      </c>
      <c r="CJ49" s="213">
        <f>IF(BN49&lt;($F$44),1,0)</f>
        <v>0</v>
      </c>
      <c r="CK49" s="213">
        <f>IF(AND((LEFT('Legend(DX)'!$U$1,1)="C"),BN49&gt;$F$44),0,IF(BO49&lt;($E$44),1,0))</f>
        <v>0</v>
      </c>
      <c r="CL49" s="213">
        <f>IF(AND((LEFT('Legend(DX)'!$U$1,1)="C"),BN49&gt;$F$44),0,IF(BP49&lt;($D$44),1,0))</f>
        <v>0</v>
      </c>
      <c r="CM49" s="213">
        <f>IF(BS49&gt;($BS$44),1,0)</f>
        <v>0</v>
      </c>
      <c r="CN49" s="213">
        <f>IF(BU49&gt;($BT$44),1,0)</f>
        <v>0</v>
      </c>
      <c r="CO49" s="213">
        <f>SUM(CH49:CN49)</f>
        <v>2</v>
      </c>
      <c r="CQ49" s="304" t="s">
        <v>171</v>
      </c>
      <c r="CR49" s="213">
        <f t="shared" ref="CR49:DC49" si="11">IF($W49="Single",IF($AG49="",IF($AF49=CR$8,$X49,0),IF($AG49=CR$8,$X49,0)),0)</f>
        <v>0</v>
      </c>
      <c r="CS49" s="213">
        <f t="shared" si="11"/>
        <v>0</v>
      </c>
      <c r="CT49" s="213">
        <f t="shared" si="11"/>
        <v>0</v>
      </c>
      <c r="CU49" s="213">
        <f t="shared" si="11"/>
        <v>0</v>
      </c>
      <c r="CV49" s="213">
        <f t="shared" si="11"/>
        <v>0</v>
      </c>
      <c r="CW49" s="213">
        <f t="shared" si="11"/>
        <v>0</v>
      </c>
      <c r="CX49" s="213">
        <f t="shared" si="11"/>
        <v>0</v>
      </c>
      <c r="CY49" s="213">
        <f t="shared" si="11"/>
        <v>0</v>
      </c>
      <c r="CZ49" s="213">
        <f t="shared" si="11"/>
        <v>0</v>
      </c>
      <c r="DA49" s="213">
        <f t="shared" si="11"/>
        <v>0</v>
      </c>
      <c r="DB49" s="213">
        <f t="shared" si="11"/>
        <v>0</v>
      </c>
      <c r="DC49" s="213">
        <f t="shared" si="11"/>
        <v>0</v>
      </c>
      <c r="DE49" s="304" t="str">
        <f>IF(AG49="",IF(X49=0,TEXT(AF49,"# 0/0")&amp;"*",TEXT(AF49,"# 0/0")),IF(X49=0,TEXT(AG49,"# 0/0")&amp;"*",TEXT(AG49,"# 0/0")))</f>
        <v>0/1*</v>
      </c>
      <c r="DF49" s="25" t="str">
        <f>IF(AP49="",IF(X49=0,TEXT(AO49,"# 0/0")&amp;"*",TEXT(AO49,"# 0/0")),IF(X49=0,TEXT(AP49,"# 0/0")&amp;"*",TEXT(AP49,"# 0/0")))</f>
        <v>0/1*</v>
      </c>
      <c r="DG49" s="25" t="str">
        <f>IF(AU49="",IF(X49=0,TEXT(AT49,"# 0/0")&amp;"*",TEXT(AT49,"# 0/0")),IF(X49=0,TEXT(AU49,"# 0/0")&amp;"*",TEXT(AU49,"# 0/0")))</f>
        <v>0/1*</v>
      </c>
      <c r="DH49" s="329" t="str">
        <f>E49</f>
        <v>SG 2</v>
      </c>
      <c r="DI49" s="310">
        <f>IF($BI49="",$BH49,$BI49)</f>
        <v>0</v>
      </c>
      <c r="DJ49" s="1620"/>
      <c r="DK49" s="440" t="str">
        <f>IF(W49="Double",DF49 &amp; " &amp; " &amp; DG49,DE49)</f>
        <v>0/1*</v>
      </c>
      <c r="DL49" s="1619"/>
      <c r="DM49" s="310">
        <f>IF($BY49="",IF($C$3&gt;0,$BX49-0.125,$BX49),IF($C$3&gt;0,$BY49-0.125,$BY49))</f>
        <v>0</v>
      </c>
      <c r="DN49" s="1620"/>
      <c r="DO49" s="310">
        <f>IF($C$3&gt;0,2*$BQ49,$BQ49)</f>
        <v>0</v>
      </c>
      <c r="DR49" s="1253" t="str">
        <f>J49</f>
        <v/>
      </c>
      <c r="DS49" s="1253" t="str">
        <f>IF(C49&gt;0,"",(Pressure($B$3,"Tliq","e",$J49)+Pressure($B$3,"Tvap","e",$J49))/2)</f>
        <v/>
      </c>
      <c r="DT49" s="1253" t="str">
        <f>IF(C49&gt;0,"",Pressure($B$3,"tvap","e",$J49+0.5*$DZ49))</f>
        <v/>
      </c>
      <c r="DU49" s="1253">
        <f>I49</f>
        <v>0</v>
      </c>
      <c r="DV49" s="1253" t="str">
        <f>IF(C49&gt;0,"",(Pressure($B$3,"Tliq","e",$I49)+Pressure($B$3,"Tvap","e",$I49))/2)</f>
        <v/>
      </c>
      <c r="DW49" s="1253" t="str">
        <f>IF(C49&gt;0,"",Pressure($B$3,"tvap","e",$I49+0.5*$DZ49))</f>
        <v/>
      </c>
      <c r="DX49" s="1260" t="str">
        <f>IF(C49&gt;0,"",1-(Enthalpy($B$3,"pvap","e",$DV49)-(IF($G$4+0.5*($DR$44)&gt;($H$44),Enthalpy($B$3,"Tliq","e",($G$44)),Enthalpy($B$3,"tp","e",($G$44),($I$44)))))/(Enthalpy($B$3,"pvap","e",$DV49)-Enthalpy($B$3,"pliq","e",$DV49)))</f>
        <v/>
      </c>
      <c r="DY49" s="1253" t="str">
        <f>IF(C49&gt;0,"",TEMPERATURE($B$3,"pvap","e",$DS49)-TEMPERATURE($B$3,"pliq","e",$DS49))</f>
        <v/>
      </c>
      <c r="DZ49" s="1253" t="e">
        <f>(1-$DX49)*$DY49</f>
        <v>#VALUE!</v>
      </c>
      <c r="EA49" s="1261"/>
      <c r="EB49" s="1262" t="e">
        <f>T49/AA49</f>
        <v>#DIV/0!</v>
      </c>
      <c r="EC49" s="1260" t="e">
        <f>1/(((1/($J$44))/Z49)+((1-(1/($J$44)))/S49))</f>
        <v>#VALUE!</v>
      </c>
      <c r="ED49" s="1263">
        <f>SQRT(AH49*4/PI())</f>
        <v>0</v>
      </c>
      <c r="EE49" s="1262" t="e">
        <f>(((U49/AH49)^2)*ED49)*(1/3600)*(1/3600)/(EC49*SurfaceTension($B$3,"TLIQ","E",I49))/32.174</f>
        <v>#DIV/0!</v>
      </c>
      <c r="EF49" s="1260" t="e">
        <f>((S49/Z49)^0.91)*((AA49/T49)^0.19)*((1-(AA49/T49))^0.7)</f>
        <v>#DIV/0!</v>
      </c>
      <c r="EG49" s="1264" t="e">
        <f>((1/($J$44))^0.78)*((1-(1/($J$44)))^0.224)</f>
        <v>#VALUE!</v>
      </c>
      <c r="EH49" s="1260" t="e">
        <f>(1-(1/($J$44)))^2+(((1/($J$44))^2)*S49*AE49/(Z49*EM49))</f>
        <v>#VALUE!</v>
      </c>
      <c r="EI49" s="1262" t="e">
        <f>((U49/AH49)^2)*(1/3600)*(1/3600)/(32.174*ED49*(EC49^2))</f>
        <v>#DIV/0!</v>
      </c>
      <c r="EJ49" s="1253" t="e">
        <f>EH49+(3.24*EG49*EF49/((EI49^0.045)*(EE49^0.035)))</f>
        <v>#VALUE!</v>
      </c>
      <c r="EK49" s="1260" t="e">
        <f>vel(U49,S49,AH49)</f>
        <v>#VALUE!</v>
      </c>
      <c r="EL49" s="1262" t="e">
        <f>(((EK49/60)*S49)/T49)*((VLOOKUP(IF(AG49="",AF49,AG49),'Pipe Data'!F$7:G$19,2,FALSE))/12)</f>
        <v>#VALUE!</v>
      </c>
      <c r="EM49" s="1264" t="e">
        <f>(0.25/(LOG(5.74/(EL49^0.9))+((VLOOKUP(IF(AG49="",AF49,AG49),'Pipe Data'!J$7:X$19,15,FALSE))/3.7))^2)</f>
        <v>#VALUE!</v>
      </c>
      <c r="EN49" s="1264" t="e">
        <f>pdrop(EM49,Y49,S49,EK49,IF(AG49="",AF49,AG49))</f>
        <v>#VALUE!</v>
      </c>
      <c r="EO49" s="1260" t="e">
        <f>EN49*EJ49</f>
        <v>#VALUE!</v>
      </c>
      <c r="EP49" s="1261"/>
      <c r="EQ49" s="1263">
        <f>SQRT(BJ49*4/PI())</f>
        <v>0</v>
      </c>
      <c r="ER49" s="1262" t="e">
        <f>(((U49/BJ49)^2)*EQ49)*(1/3600)*(1/3600)/(EC49*SurfaceTension($B$3,"TLIQ","E",I49))/32.174</f>
        <v>#DIV/0!</v>
      </c>
      <c r="ES49" s="1260" t="e">
        <f>(1-(1/($J$44)))^2+(((1/($J$44))^2)*S49*BG49/(Z49*EM49))</f>
        <v>#VALUE!</v>
      </c>
      <c r="ET49" s="1253" t="e">
        <f>((U49/BJ49)^2)*(1/3600)*(1/3600)/(32.174*EQ49*(EC49^2))</f>
        <v>#DIV/0!</v>
      </c>
      <c r="EU49" s="1260" t="e">
        <f>ES49+(3.24*EG49*EF49/((ET49^0.045)*(ER49^0.035)))</f>
        <v>#VALUE!</v>
      </c>
      <c r="EV49" s="1260" t="e">
        <f>vel(U49,S49,BJ49)</f>
        <v>#VALUE!</v>
      </c>
      <c r="EW49" s="1262" t="e">
        <f>(((EV49/60)*S49)/T49)*((VLOOKUP(IF(BI49="",BH49,BI49),'Pipe Data'!F$7:G$19,2,FALSE))/12)</f>
        <v>#VALUE!</v>
      </c>
      <c r="EX49" s="1264" t="e">
        <f>(0.25/(LOG(5.74/(EW49^0.9))+((VLOOKUP(IF(BI49="",BH49,BI49),'Pipe Data'!J$7:X$19,15,FALSE))/3.7))^2)</f>
        <v>#VALUE!</v>
      </c>
      <c r="EY49" s="1260" t="e">
        <f>pdrop(EX49,BA49,S49,EV49,IF(BI49="",BH49,BI49))</f>
        <v>#VALUE!</v>
      </c>
      <c r="EZ49" s="1260" t="e">
        <f>EY49*EU49</f>
        <v>#VALUE!</v>
      </c>
    </row>
    <row r="50" spans="1:163" ht="12.75" hidden="1" customHeight="1" x14ac:dyDescent="0.2">
      <c r="A50" s="240"/>
      <c r="B50" s="240"/>
      <c r="C50" s="240"/>
      <c r="D50" s="236"/>
      <c r="E50" s="235"/>
      <c r="F50" s="234"/>
      <c r="G50" s="234"/>
      <c r="H50" s="223"/>
      <c r="I50" s="224"/>
      <c r="J50" s="224"/>
      <c r="K50" s="224"/>
      <c r="L50" s="221"/>
      <c r="M50" s="223"/>
      <c r="N50" s="223"/>
      <c r="O50" s="223"/>
      <c r="P50" s="223"/>
      <c r="Q50" s="224"/>
      <c r="R50" s="223"/>
      <c r="S50" s="223"/>
      <c r="T50" s="227"/>
      <c r="U50" s="224"/>
      <c r="V50" s="224"/>
      <c r="W50" s="222"/>
      <c r="X50" s="229"/>
      <c r="Y50" s="221"/>
      <c r="Z50" s="221"/>
      <c r="AA50" s="221"/>
      <c r="AB50" s="221"/>
      <c r="AC50" s="221"/>
      <c r="AD50" s="221"/>
      <c r="AE50" s="221"/>
      <c r="AF50" s="221"/>
      <c r="AG50" s="221"/>
      <c r="AH50" s="226"/>
      <c r="AI50" s="239"/>
      <c r="AJ50" s="238"/>
      <c r="AK50" s="228"/>
      <c r="AL50" s="223"/>
      <c r="AM50" s="230"/>
      <c r="AN50" s="228"/>
      <c r="AO50" s="232"/>
      <c r="AQ50" s="231"/>
      <c r="AR50" s="230"/>
      <c r="AS50" s="224"/>
      <c r="AT50" s="232"/>
      <c r="AV50" s="231"/>
      <c r="AW50" s="230"/>
      <c r="AX50" s="222"/>
      <c r="AY50" s="224"/>
      <c r="AZ50" s="229"/>
      <c r="BA50" s="221"/>
      <c r="BB50" s="228"/>
      <c r="BC50" s="227"/>
      <c r="BD50" s="227"/>
      <c r="BE50" s="227"/>
      <c r="BF50" s="227"/>
      <c r="BG50" s="227"/>
      <c r="BH50" s="227"/>
      <c r="BI50" s="227"/>
      <c r="BJ50" s="315"/>
      <c r="BK50" s="225"/>
      <c r="BL50" s="224"/>
      <c r="BM50" s="224"/>
      <c r="BN50" s="224"/>
      <c r="BO50" s="223"/>
      <c r="BP50" s="222"/>
      <c r="BQ50" s="229"/>
      <c r="BR50" s="221"/>
      <c r="BS50" s="221"/>
      <c r="BT50" s="221"/>
      <c r="BU50" s="221"/>
      <c r="BV50" s="221"/>
      <c r="BW50" s="221"/>
      <c r="BX50" s="221"/>
      <c r="BY50" s="221"/>
      <c r="BZ50" s="226"/>
      <c r="CA50" s="229"/>
      <c r="CC50" s="313"/>
      <c r="CD50" s="317"/>
      <c r="CE50" s="215"/>
      <c r="CF50" s="214"/>
      <c r="CQ50" s="304" t="s">
        <v>154</v>
      </c>
      <c r="CR50" s="213">
        <f t="shared" ref="CR50:DC50" si="12">IF($BI49="",IF($BH49=CR$8,$AZ49,0),IF($BI49=CR$8,$AZ49,0))</f>
        <v>0</v>
      </c>
      <c r="CS50" s="213">
        <f t="shared" si="12"/>
        <v>0</v>
      </c>
      <c r="CT50" s="213">
        <f t="shared" si="12"/>
        <v>0</v>
      </c>
      <c r="CU50" s="213">
        <f t="shared" si="12"/>
        <v>0</v>
      </c>
      <c r="CV50" s="213">
        <f t="shared" si="12"/>
        <v>0</v>
      </c>
      <c r="CW50" s="213">
        <f t="shared" si="12"/>
        <v>0</v>
      </c>
      <c r="CX50" s="213">
        <f t="shared" si="12"/>
        <v>0</v>
      </c>
      <c r="CY50" s="213">
        <f t="shared" si="12"/>
        <v>0</v>
      </c>
      <c r="CZ50" s="213">
        <f t="shared" si="12"/>
        <v>0</v>
      </c>
      <c r="DA50" s="213">
        <f t="shared" si="12"/>
        <v>0</v>
      </c>
      <c r="DB50" s="213">
        <f t="shared" si="12"/>
        <v>0</v>
      </c>
      <c r="DC50" s="213">
        <f t="shared" si="12"/>
        <v>0</v>
      </c>
      <c r="DJ50" s="1620"/>
      <c r="DK50" s="440"/>
      <c r="DL50" s="1619"/>
      <c r="DN50" s="1620"/>
      <c r="DR50" s="1231"/>
      <c r="DS50" s="1231"/>
      <c r="DT50" s="1231"/>
      <c r="DU50" s="1231"/>
      <c r="DV50" s="1231"/>
      <c r="DW50" s="1231"/>
      <c r="DX50" s="444"/>
      <c r="DY50" s="1231"/>
      <c r="DZ50" s="1231"/>
      <c r="EA50" s="213"/>
      <c r="EB50" s="213"/>
      <c r="EC50" s="213"/>
      <c r="ED50" s="213"/>
      <c r="EE50" s="213"/>
      <c r="EF50" s="213"/>
      <c r="EG50" s="213"/>
      <c r="EH50" s="213"/>
      <c r="EI50" s="213"/>
      <c r="EJ50" s="213"/>
      <c r="EK50" s="213"/>
      <c r="EL50" s="213"/>
      <c r="EM50" s="213"/>
      <c r="EN50" s="213"/>
      <c r="EO50" s="213"/>
      <c r="EP50" s="213"/>
      <c r="EQ50" s="213"/>
      <c r="ER50" s="213"/>
      <c r="ES50" s="213"/>
      <c r="ET50" s="213"/>
      <c r="EU50" s="213"/>
      <c r="EV50" s="213"/>
      <c r="EW50" s="213"/>
      <c r="EX50" s="213"/>
      <c r="EY50" s="213"/>
      <c r="EZ50" s="213"/>
    </row>
    <row r="51" spans="1:163" ht="12.75" hidden="1" customHeight="1" x14ac:dyDescent="0.2">
      <c r="A51" s="240"/>
      <c r="B51" s="240"/>
      <c r="C51" s="240"/>
      <c r="D51" s="236"/>
      <c r="E51" s="235"/>
      <c r="F51" s="234"/>
      <c r="G51" s="234"/>
      <c r="H51" s="223"/>
      <c r="I51" s="224"/>
      <c r="J51" s="224"/>
      <c r="K51" s="224"/>
      <c r="L51" s="221"/>
      <c r="M51" s="223"/>
      <c r="N51" s="223"/>
      <c r="O51" s="223"/>
      <c r="P51" s="223"/>
      <c r="Q51" s="224"/>
      <c r="R51" s="223"/>
      <c r="S51" s="223"/>
      <c r="T51" s="227"/>
      <c r="U51" s="224"/>
      <c r="V51" s="224"/>
      <c r="W51" s="222"/>
      <c r="X51" s="229"/>
      <c r="Y51" s="221"/>
      <c r="Z51" s="221"/>
      <c r="AA51" s="221"/>
      <c r="AB51" s="221"/>
      <c r="AC51" s="221"/>
      <c r="AD51" s="221"/>
      <c r="AE51" s="221"/>
      <c r="AF51" s="221"/>
      <c r="AG51" s="221"/>
      <c r="AH51" s="226"/>
      <c r="AI51" s="239"/>
      <c r="AJ51" s="238"/>
      <c r="AK51" s="228"/>
      <c r="AL51" s="223"/>
      <c r="AM51" s="230"/>
      <c r="AN51" s="228"/>
      <c r="AO51" s="232"/>
      <c r="AQ51" s="231"/>
      <c r="AR51" s="230"/>
      <c r="AS51" s="224"/>
      <c r="AT51" s="232"/>
      <c r="AV51" s="231"/>
      <c r="AW51" s="230"/>
      <c r="AX51" s="222"/>
      <c r="AY51" s="224"/>
      <c r="AZ51" s="229"/>
      <c r="BA51" s="221"/>
      <c r="BB51" s="228"/>
      <c r="BC51" s="227"/>
      <c r="BD51" s="227"/>
      <c r="BE51" s="227"/>
      <c r="BF51" s="227"/>
      <c r="BG51" s="227"/>
      <c r="BH51" s="227"/>
      <c r="BI51" s="227"/>
      <c r="BJ51" s="315"/>
      <c r="BK51" s="225"/>
      <c r="BL51" s="224"/>
      <c r="BM51" s="224"/>
      <c r="BN51" s="224"/>
      <c r="BO51" s="223"/>
      <c r="BP51" s="222"/>
      <c r="BQ51" s="229"/>
      <c r="BR51" s="221"/>
      <c r="BS51" s="221"/>
      <c r="BT51" s="221"/>
      <c r="BU51" s="221"/>
      <c r="BV51" s="221"/>
      <c r="BW51" s="221"/>
      <c r="BX51" s="221"/>
      <c r="BY51" s="221"/>
      <c r="BZ51" s="226"/>
      <c r="CA51" s="229"/>
      <c r="CC51" s="313"/>
      <c r="CD51" s="317"/>
      <c r="CE51" s="215"/>
      <c r="CF51" s="214"/>
      <c r="CQ51" s="304" t="s">
        <v>155</v>
      </c>
      <c r="CR51" s="213">
        <f t="shared" ref="CR51:DC51" si="13">IF($BY49="",IF($BX49=CR$8,$BQ49,0),IF($BY49=CR$8,$BQ49,0))</f>
        <v>0</v>
      </c>
      <c r="CS51" s="213">
        <f t="shared" si="13"/>
        <v>0</v>
      </c>
      <c r="CT51" s="213">
        <f t="shared" si="13"/>
        <v>0</v>
      </c>
      <c r="CU51" s="213">
        <f t="shared" si="13"/>
        <v>0</v>
      </c>
      <c r="CV51" s="213">
        <f t="shared" si="13"/>
        <v>0</v>
      </c>
      <c r="CW51" s="213">
        <f t="shared" si="13"/>
        <v>0</v>
      </c>
      <c r="CX51" s="213">
        <f t="shared" si="13"/>
        <v>0</v>
      </c>
      <c r="CY51" s="213">
        <f t="shared" si="13"/>
        <v>0</v>
      </c>
      <c r="CZ51" s="213">
        <f t="shared" si="13"/>
        <v>0</v>
      </c>
      <c r="DA51" s="213">
        <f t="shared" si="13"/>
        <v>0</v>
      </c>
      <c r="DB51" s="213">
        <f t="shared" si="13"/>
        <v>0</v>
      </c>
      <c r="DC51" s="213">
        <f t="shared" si="13"/>
        <v>0</v>
      </c>
      <c r="DJ51" s="1620"/>
      <c r="DK51" s="440"/>
      <c r="DL51" s="1619"/>
      <c r="DN51" s="1620"/>
      <c r="DR51" s="1231"/>
      <c r="DS51" s="1231"/>
      <c r="DT51" s="1231"/>
      <c r="DU51" s="1231"/>
      <c r="DV51" s="1231"/>
      <c r="DW51" s="1231"/>
      <c r="DX51" s="444"/>
      <c r="DY51" s="1231"/>
      <c r="DZ51" s="1231"/>
      <c r="EA51" s="213"/>
      <c r="EB51" s="213"/>
      <c r="EC51" s="213"/>
      <c r="ED51" s="213"/>
      <c r="EE51" s="213"/>
      <c r="EF51" s="213"/>
      <c r="EG51" s="213"/>
      <c r="EH51" s="213"/>
      <c r="EI51" s="213"/>
      <c r="EJ51" s="213"/>
      <c r="EK51" s="213"/>
      <c r="EL51" s="213"/>
      <c r="EM51" s="213"/>
      <c r="EN51" s="213"/>
      <c r="EO51" s="213"/>
      <c r="EP51" s="213"/>
      <c r="EQ51" s="213"/>
      <c r="ER51" s="213"/>
      <c r="ES51" s="213"/>
      <c r="ET51" s="213"/>
      <c r="EU51" s="213"/>
      <c r="EV51" s="213"/>
      <c r="EW51" s="213"/>
      <c r="EX51" s="213"/>
      <c r="EY51" s="213"/>
      <c r="EZ51" s="213"/>
    </row>
    <row r="52" spans="1:163" ht="12.75" hidden="1" customHeight="1" x14ac:dyDescent="0.2">
      <c r="A52" s="240"/>
      <c r="B52" s="240"/>
      <c r="C52" s="240"/>
      <c r="D52" s="236"/>
      <c r="E52" s="235"/>
      <c r="F52" s="234"/>
      <c r="G52" s="234"/>
      <c r="H52" s="223"/>
      <c r="I52" s="224"/>
      <c r="J52" s="224"/>
      <c r="K52" s="224"/>
      <c r="L52" s="221"/>
      <c r="M52" s="223"/>
      <c r="N52" s="223"/>
      <c r="O52" s="223"/>
      <c r="P52" s="223"/>
      <c r="Q52" s="224"/>
      <c r="R52" s="223"/>
      <c r="S52" s="223"/>
      <c r="T52" s="227"/>
      <c r="U52" s="224"/>
      <c r="V52" s="224"/>
      <c r="W52" s="222"/>
      <c r="X52" s="229"/>
      <c r="Y52" s="221"/>
      <c r="Z52" s="221"/>
      <c r="AA52" s="221"/>
      <c r="AB52" s="221"/>
      <c r="AC52" s="221"/>
      <c r="AD52" s="221"/>
      <c r="AE52" s="221"/>
      <c r="AF52" s="221"/>
      <c r="AG52" s="221"/>
      <c r="AH52" s="226"/>
      <c r="AI52" s="239"/>
      <c r="AJ52" s="238"/>
      <c r="AK52" s="228"/>
      <c r="AL52" s="223"/>
      <c r="AM52" s="230"/>
      <c r="AN52" s="228"/>
      <c r="AO52" s="232"/>
      <c r="AQ52" s="231"/>
      <c r="AR52" s="230"/>
      <c r="AS52" s="224"/>
      <c r="AT52" s="232"/>
      <c r="AV52" s="231"/>
      <c r="AW52" s="230"/>
      <c r="AX52" s="222"/>
      <c r="AY52" s="224"/>
      <c r="AZ52" s="229"/>
      <c r="BA52" s="221"/>
      <c r="BB52" s="228"/>
      <c r="BC52" s="227"/>
      <c r="BD52" s="227"/>
      <c r="BE52" s="227"/>
      <c r="BF52" s="227"/>
      <c r="BG52" s="227"/>
      <c r="BH52" s="227"/>
      <c r="BI52" s="227"/>
      <c r="BJ52" s="315"/>
      <c r="BK52" s="225"/>
      <c r="BL52" s="224"/>
      <c r="BM52" s="224"/>
      <c r="BN52" s="224"/>
      <c r="BO52" s="223"/>
      <c r="BP52" s="222"/>
      <c r="BQ52" s="229"/>
      <c r="BR52" s="221"/>
      <c r="BS52" s="221"/>
      <c r="BT52" s="221"/>
      <c r="BU52" s="221"/>
      <c r="BV52" s="221"/>
      <c r="BW52" s="221"/>
      <c r="BX52" s="221"/>
      <c r="BY52" s="221"/>
      <c r="BZ52" s="226"/>
      <c r="CA52" s="229"/>
      <c r="CC52" s="313"/>
      <c r="CD52" s="317"/>
      <c r="CE52" s="215"/>
      <c r="CF52" s="214"/>
      <c r="CQ52" s="25" t="s">
        <v>172</v>
      </c>
      <c r="CR52" s="213">
        <f t="shared" ref="CR52:DC52" si="14">IF($W49="double",IF($AP49="",IF($AO49=CR$8,$X49,0),IF($AP49=CR$8,$X49,0)),0)</f>
        <v>0</v>
      </c>
      <c r="CS52" s="213">
        <f t="shared" si="14"/>
        <v>0</v>
      </c>
      <c r="CT52" s="213">
        <f t="shared" si="14"/>
        <v>0</v>
      </c>
      <c r="CU52" s="213">
        <f t="shared" si="14"/>
        <v>0</v>
      </c>
      <c r="CV52" s="213">
        <f t="shared" si="14"/>
        <v>0</v>
      </c>
      <c r="CW52" s="213">
        <f t="shared" si="14"/>
        <v>0</v>
      </c>
      <c r="CX52" s="213">
        <f t="shared" si="14"/>
        <v>0</v>
      </c>
      <c r="CY52" s="213">
        <f t="shared" si="14"/>
        <v>0</v>
      </c>
      <c r="CZ52" s="213">
        <f t="shared" si="14"/>
        <v>0</v>
      </c>
      <c r="DA52" s="213">
        <f t="shared" si="14"/>
        <v>0</v>
      </c>
      <c r="DB52" s="213">
        <f t="shared" si="14"/>
        <v>0</v>
      </c>
      <c r="DC52" s="213">
        <f t="shared" si="14"/>
        <v>0</v>
      </c>
      <c r="DJ52" s="1620"/>
      <c r="DK52" s="440"/>
      <c r="DL52" s="1619"/>
      <c r="DN52" s="1620"/>
      <c r="DR52" s="1231"/>
      <c r="DS52" s="1231"/>
      <c r="DT52" s="1231"/>
      <c r="DU52" s="1231"/>
      <c r="DV52" s="1231"/>
      <c r="DW52" s="1231"/>
      <c r="DX52" s="444"/>
      <c r="DY52" s="1231"/>
      <c r="DZ52" s="1231"/>
      <c r="EA52" s="213"/>
      <c r="EB52" s="213"/>
      <c r="EC52" s="213"/>
      <c r="ED52" s="213"/>
      <c r="EE52" s="213"/>
      <c r="EF52" s="213"/>
      <c r="EG52" s="213"/>
      <c r="EH52" s="213"/>
      <c r="EI52" s="213"/>
      <c r="EJ52" s="213"/>
      <c r="EK52" s="213"/>
      <c r="EL52" s="213"/>
      <c r="EM52" s="213"/>
      <c r="EN52" s="213"/>
      <c r="EO52" s="213"/>
      <c r="EP52" s="213"/>
      <c r="EQ52" s="213"/>
      <c r="ER52" s="213"/>
      <c r="ES52" s="213"/>
      <c r="ET52" s="213"/>
      <c r="EU52" s="213"/>
      <c r="EV52" s="213"/>
      <c r="EW52" s="213"/>
      <c r="EX52" s="213"/>
      <c r="EY52" s="213"/>
      <c r="EZ52" s="213"/>
    </row>
    <row r="53" spans="1:163" ht="12.75" hidden="1" customHeight="1" x14ac:dyDescent="0.2">
      <c r="A53" s="240"/>
      <c r="B53" s="240"/>
      <c r="C53" s="240"/>
      <c r="D53" s="236"/>
      <c r="E53" s="235"/>
      <c r="F53" s="234"/>
      <c r="G53" s="234"/>
      <c r="H53" s="223"/>
      <c r="I53" s="224"/>
      <c r="J53" s="224"/>
      <c r="K53" s="224"/>
      <c r="L53" s="221"/>
      <c r="M53" s="223"/>
      <c r="N53" s="223"/>
      <c r="O53" s="223"/>
      <c r="P53" s="223"/>
      <c r="Q53" s="224"/>
      <c r="R53" s="223"/>
      <c r="S53" s="223"/>
      <c r="T53" s="227"/>
      <c r="U53" s="224"/>
      <c r="V53" s="224"/>
      <c r="W53" s="222"/>
      <c r="X53" s="229"/>
      <c r="Y53" s="221"/>
      <c r="Z53" s="221"/>
      <c r="AA53" s="221"/>
      <c r="AB53" s="221"/>
      <c r="AC53" s="221"/>
      <c r="AD53" s="221"/>
      <c r="AE53" s="221"/>
      <c r="AF53" s="221"/>
      <c r="AG53" s="221"/>
      <c r="AH53" s="226"/>
      <c r="AI53" s="239"/>
      <c r="AJ53" s="238"/>
      <c r="AK53" s="228"/>
      <c r="AL53" s="223"/>
      <c r="AM53" s="230"/>
      <c r="AN53" s="228"/>
      <c r="AO53" s="232"/>
      <c r="AQ53" s="231"/>
      <c r="AR53" s="230"/>
      <c r="AS53" s="224"/>
      <c r="AT53" s="232"/>
      <c r="AV53" s="231"/>
      <c r="AW53" s="230"/>
      <c r="AX53" s="222"/>
      <c r="AY53" s="224"/>
      <c r="AZ53" s="229"/>
      <c r="BA53" s="221"/>
      <c r="BB53" s="228"/>
      <c r="BC53" s="227"/>
      <c r="BD53" s="227"/>
      <c r="BE53" s="227"/>
      <c r="BF53" s="227"/>
      <c r="BG53" s="227"/>
      <c r="BH53" s="227"/>
      <c r="BI53" s="227"/>
      <c r="BJ53" s="315"/>
      <c r="BK53" s="225"/>
      <c r="BL53" s="224"/>
      <c r="BM53" s="224"/>
      <c r="BN53" s="224"/>
      <c r="BO53" s="223"/>
      <c r="BP53" s="222"/>
      <c r="BQ53" s="229"/>
      <c r="BR53" s="221"/>
      <c r="BS53" s="221"/>
      <c r="BT53" s="221"/>
      <c r="BU53" s="221"/>
      <c r="BV53" s="221"/>
      <c r="BW53" s="221"/>
      <c r="BX53" s="221"/>
      <c r="BY53" s="221"/>
      <c r="BZ53" s="226"/>
      <c r="CA53" s="229"/>
      <c r="CC53" s="313"/>
      <c r="CD53" s="317"/>
      <c r="CE53" s="215"/>
      <c r="CF53" s="214"/>
      <c r="CQ53" s="25" t="s">
        <v>173</v>
      </c>
      <c r="CR53" s="213">
        <f t="shared" ref="CR53:DC53" si="15">IF($W49="double",IF($AU49="",IF($AT49=CR$8,$X49,0),IF($AU49=CR$8,$X49,0)),0)</f>
        <v>0</v>
      </c>
      <c r="CS53" s="213">
        <f t="shared" si="15"/>
        <v>0</v>
      </c>
      <c r="CT53" s="213">
        <f t="shared" si="15"/>
        <v>0</v>
      </c>
      <c r="CU53" s="213">
        <f t="shared" si="15"/>
        <v>0</v>
      </c>
      <c r="CV53" s="213">
        <f t="shared" si="15"/>
        <v>0</v>
      </c>
      <c r="CW53" s="213">
        <f t="shared" si="15"/>
        <v>0</v>
      </c>
      <c r="CX53" s="213">
        <f t="shared" si="15"/>
        <v>0</v>
      </c>
      <c r="CY53" s="213">
        <f t="shared" si="15"/>
        <v>0</v>
      </c>
      <c r="CZ53" s="213">
        <f t="shared" si="15"/>
        <v>0</v>
      </c>
      <c r="DA53" s="213">
        <f t="shared" si="15"/>
        <v>0</v>
      </c>
      <c r="DB53" s="213">
        <f t="shared" si="15"/>
        <v>0</v>
      </c>
      <c r="DC53" s="213">
        <f t="shared" si="15"/>
        <v>0</v>
      </c>
      <c r="DJ53" s="1620"/>
      <c r="DK53" s="440"/>
      <c r="DL53" s="1619"/>
      <c r="DN53" s="1620"/>
      <c r="DR53" s="1231"/>
      <c r="DS53" s="1231"/>
      <c r="DT53" s="1231"/>
      <c r="DU53" s="1231"/>
      <c r="DV53" s="1231"/>
      <c r="DW53" s="1231"/>
      <c r="DX53" s="444"/>
      <c r="DY53" s="1231"/>
      <c r="DZ53" s="1231"/>
      <c r="EA53" s="213"/>
      <c r="EB53" s="213"/>
      <c r="EC53" s="213"/>
      <c r="ED53" s="213"/>
      <c r="EE53" s="213"/>
      <c r="EF53" s="213"/>
      <c r="EG53" s="213"/>
      <c r="EH53" s="213"/>
      <c r="EI53" s="213"/>
      <c r="EJ53" s="213"/>
      <c r="EK53" s="213"/>
      <c r="EL53" s="213"/>
      <c r="EM53" s="213"/>
      <c r="EN53" s="213"/>
      <c r="EO53" s="213"/>
      <c r="EP53" s="213"/>
      <c r="EQ53" s="213"/>
      <c r="ER53" s="213"/>
      <c r="ES53" s="213"/>
      <c r="ET53" s="213"/>
      <c r="EU53" s="213"/>
      <c r="EV53" s="213"/>
      <c r="EW53" s="213"/>
      <c r="EX53" s="213"/>
      <c r="EY53" s="213"/>
      <c r="EZ53" s="213"/>
    </row>
    <row r="54" spans="1:163" ht="12.75" hidden="1" customHeight="1" x14ac:dyDescent="0.2">
      <c r="A54" s="240"/>
      <c r="B54" s="240"/>
      <c r="C54" s="240"/>
      <c r="D54" s="236"/>
      <c r="E54" s="235"/>
      <c r="F54" s="234"/>
      <c r="G54" s="234"/>
      <c r="H54" s="223"/>
      <c r="I54" s="224"/>
      <c r="J54" s="224"/>
      <c r="K54" s="224"/>
      <c r="L54" s="221"/>
      <c r="M54" s="223"/>
      <c r="N54" s="223"/>
      <c r="O54" s="223"/>
      <c r="P54" s="223"/>
      <c r="Q54" s="224"/>
      <c r="R54" s="223"/>
      <c r="S54" s="223"/>
      <c r="T54" s="227"/>
      <c r="U54" s="224"/>
      <c r="V54" s="224"/>
      <c r="W54" s="222"/>
      <c r="X54" s="229"/>
      <c r="Y54" s="221"/>
      <c r="Z54" s="221"/>
      <c r="AA54" s="221"/>
      <c r="AB54" s="221"/>
      <c r="AC54" s="221"/>
      <c r="AD54" s="221"/>
      <c r="AE54" s="221"/>
      <c r="AF54" s="221"/>
      <c r="AG54" s="221"/>
      <c r="AH54" s="226"/>
      <c r="AI54" s="239"/>
      <c r="AJ54" s="238"/>
      <c r="AK54" s="228"/>
      <c r="AL54" s="223"/>
      <c r="AM54" s="230"/>
      <c r="AN54" s="228"/>
      <c r="AO54" s="232"/>
      <c r="AQ54" s="231"/>
      <c r="AR54" s="230"/>
      <c r="AS54" s="224"/>
      <c r="AT54" s="232"/>
      <c r="AV54" s="231"/>
      <c r="AW54" s="230"/>
      <c r="AX54" s="222"/>
      <c r="AY54" s="224"/>
      <c r="AZ54" s="229"/>
      <c r="BA54" s="221"/>
      <c r="BB54" s="228"/>
      <c r="BC54" s="227"/>
      <c r="BD54" s="227"/>
      <c r="BE54" s="227"/>
      <c r="BF54" s="227"/>
      <c r="BG54" s="227"/>
      <c r="BH54" s="227"/>
      <c r="BI54" s="227"/>
      <c r="BJ54" s="315"/>
      <c r="BK54" s="225"/>
      <c r="BL54" s="224"/>
      <c r="BM54" s="224"/>
      <c r="BN54" s="224"/>
      <c r="BO54" s="223"/>
      <c r="BP54" s="222"/>
      <c r="BQ54" s="229"/>
      <c r="BR54" s="221"/>
      <c r="BS54" s="221"/>
      <c r="BT54" s="221"/>
      <c r="BU54" s="221"/>
      <c r="BV54" s="221"/>
      <c r="BW54" s="221"/>
      <c r="BX54" s="221"/>
      <c r="BY54" s="221"/>
      <c r="BZ54" s="226"/>
      <c r="CA54" s="229"/>
      <c r="CC54" s="313"/>
      <c r="CD54" s="317"/>
      <c r="CE54" s="215"/>
      <c r="CF54" s="214"/>
      <c r="DJ54" s="1620"/>
      <c r="DK54" s="440"/>
      <c r="DL54" s="1619"/>
      <c r="DN54" s="1620"/>
      <c r="DR54" s="1231"/>
      <c r="DS54" s="1231"/>
      <c r="DT54" s="1231"/>
      <c r="DU54" s="1231"/>
      <c r="DV54" s="1231"/>
      <c r="DW54" s="1231"/>
      <c r="DX54" s="444"/>
      <c r="DY54" s="1231"/>
      <c r="DZ54" s="1231"/>
      <c r="EA54" s="213"/>
      <c r="EB54" s="213"/>
      <c r="EC54" s="213"/>
      <c r="ED54" s="213"/>
      <c r="EE54" s="213"/>
      <c r="EF54" s="213"/>
      <c r="EG54" s="213"/>
      <c r="EH54" s="213"/>
      <c r="EI54" s="213"/>
      <c r="EJ54" s="213"/>
      <c r="EK54" s="213"/>
      <c r="EL54" s="213"/>
      <c r="EM54" s="213"/>
      <c r="EN54" s="213"/>
      <c r="EO54" s="213"/>
      <c r="EP54" s="213"/>
      <c r="EQ54" s="213"/>
      <c r="ER54" s="213"/>
      <c r="ES54" s="213"/>
      <c r="ET54" s="213"/>
      <c r="EU54" s="213"/>
      <c r="EV54" s="213"/>
      <c r="EW54" s="213"/>
      <c r="EX54" s="213"/>
      <c r="EY54" s="213"/>
      <c r="EZ54" s="213"/>
    </row>
    <row r="55" spans="1:163" ht="12.75" hidden="1" customHeight="1" x14ac:dyDescent="0.2">
      <c r="A55" s="240"/>
      <c r="B55" s="240"/>
      <c r="C55" s="240"/>
      <c r="D55" s="236"/>
      <c r="E55" s="235"/>
      <c r="F55" s="234"/>
      <c r="G55" s="234"/>
      <c r="H55" s="223"/>
      <c r="I55" s="224"/>
      <c r="J55" s="224"/>
      <c r="K55" s="224"/>
      <c r="L55" s="221"/>
      <c r="M55" s="223"/>
      <c r="N55" s="223"/>
      <c r="O55" s="223"/>
      <c r="P55" s="223"/>
      <c r="Q55" s="224"/>
      <c r="R55" s="223"/>
      <c r="S55" s="223"/>
      <c r="T55" s="227"/>
      <c r="U55" s="224"/>
      <c r="V55" s="224"/>
      <c r="W55" s="222"/>
      <c r="X55" s="229"/>
      <c r="Y55" s="221"/>
      <c r="Z55" s="221"/>
      <c r="AA55" s="221"/>
      <c r="AB55" s="221"/>
      <c r="AC55" s="221"/>
      <c r="AD55" s="221"/>
      <c r="AE55" s="221"/>
      <c r="AF55" s="221"/>
      <c r="AG55" s="221"/>
      <c r="AH55" s="226"/>
      <c r="AI55" s="239"/>
      <c r="AJ55" s="238"/>
      <c r="AK55" s="228"/>
      <c r="AL55" s="223"/>
      <c r="AM55" s="230"/>
      <c r="AN55" s="228"/>
      <c r="AO55" s="232"/>
      <c r="AQ55" s="231"/>
      <c r="AR55" s="230"/>
      <c r="AS55" s="224"/>
      <c r="AT55" s="232"/>
      <c r="AV55" s="231"/>
      <c r="AW55" s="230"/>
      <c r="AX55" s="222"/>
      <c r="AY55" s="224"/>
      <c r="AZ55" s="229"/>
      <c r="BA55" s="221"/>
      <c r="BB55" s="228"/>
      <c r="BC55" s="227"/>
      <c r="BD55" s="227"/>
      <c r="BE55" s="227"/>
      <c r="BF55" s="227"/>
      <c r="BG55" s="227"/>
      <c r="BH55" s="227"/>
      <c r="BI55" s="227"/>
      <c r="BJ55" s="315"/>
      <c r="BK55" s="225"/>
      <c r="BL55" s="224"/>
      <c r="BM55" s="224"/>
      <c r="BN55" s="224"/>
      <c r="BO55" s="223"/>
      <c r="BP55" s="222"/>
      <c r="BQ55" s="229"/>
      <c r="BR55" s="221"/>
      <c r="BS55" s="221"/>
      <c r="BT55" s="221"/>
      <c r="BU55" s="221"/>
      <c r="BV55" s="221"/>
      <c r="BW55" s="221"/>
      <c r="BX55" s="221"/>
      <c r="BY55" s="221"/>
      <c r="BZ55" s="226"/>
      <c r="CA55" s="229"/>
      <c r="CC55" s="313"/>
      <c r="CD55" s="317"/>
      <c r="CE55" s="215"/>
      <c r="CF55" s="214"/>
      <c r="DJ55" s="1620"/>
      <c r="DK55" s="440"/>
      <c r="DL55" s="1619"/>
      <c r="DN55" s="1620"/>
      <c r="DR55" s="1231"/>
      <c r="DS55" s="1231"/>
      <c r="DT55" s="1231"/>
      <c r="DU55" s="1231"/>
      <c r="DV55" s="1231"/>
      <c r="DW55" s="1231"/>
      <c r="DX55" s="444"/>
      <c r="DY55" s="1231"/>
      <c r="DZ55" s="1231"/>
      <c r="EA55" s="213"/>
      <c r="EB55" s="213"/>
      <c r="EC55" s="213"/>
      <c r="ED55" s="213"/>
      <c r="EE55" s="213"/>
      <c r="EF55" s="213"/>
      <c r="EG55" s="213"/>
      <c r="EH55" s="213"/>
      <c r="EI55" s="213"/>
      <c r="EJ55" s="213"/>
      <c r="EK55" s="213"/>
      <c r="EL55" s="213"/>
      <c r="EM55" s="213"/>
      <c r="EN55" s="213"/>
      <c r="EO55" s="213"/>
      <c r="EP55" s="213"/>
      <c r="EQ55" s="213"/>
      <c r="ER55" s="213"/>
      <c r="ES55" s="213"/>
      <c r="ET55" s="213"/>
      <c r="EU55" s="213"/>
      <c r="EV55" s="213"/>
      <c r="EW55" s="213"/>
      <c r="EX55" s="213"/>
      <c r="EY55" s="213"/>
      <c r="EZ55" s="213"/>
    </row>
    <row r="56" spans="1:163" ht="12.75" hidden="1" customHeight="1" x14ac:dyDescent="0.2">
      <c r="A56" s="240"/>
      <c r="B56" s="240"/>
      <c r="C56" s="240"/>
      <c r="D56" s="236"/>
      <c r="E56" s="235"/>
      <c r="F56" s="234"/>
      <c r="G56" s="234"/>
      <c r="H56" s="223"/>
      <c r="I56" s="224"/>
      <c r="J56" s="224"/>
      <c r="K56" s="224"/>
      <c r="L56" s="221"/>
      <c r="M56" s="223"/>
      <c r="N56" s="223"/>
      <c r="O56" s="223"/>
      <c r="P56" s="223"/>
      <c r="Q56" s="224"/>
      <c r="R56" s="223"/>
      <c r="S56" s="223"/>
      <c r="T56" s="227"/>
      <c r="U56" s="224"/>
      <c r="V56" s="224"/>
      <c r="W56" s="222"/>
      <c r="X56" s="229"/>
      <c r="Y56" s="221"/>
      <c r="Z56" s="221"/>
      <c r="AA56" s="221"/>
      <c r="AB56" s="221"/>
      <c r="AC56" s="221"/>
      <c r="AD56" s="221"/>
      <c r="AE56" s="221"/>
      <c r="AF56" s="221"/>
      <c r="AG56" s="221"/>
      <c r="AH56" s="226"/>
      <c r="AI56" s="239"/>
      <c r="AJ56" s="238"/>
      <c r="AK56" s="228"/>
      <c r="AL56" s="223"/>
      <c r="AM56" s="230"/>
      <c r="AN56" s="228"/>
      <c r="AO56" s="232"/>
      <c r="AQ56" s="231"/>
      <c r="AR56" s="230"/>
      <c r="AS56" s="224"/>
      <c r="AT56" s="232"/>
      <c r="AV56" s="231"/>
      <c r="AW56" s="230"/>
      <c r="AX56" s="222"/>
      <c r="AY56" s="224"/>
      <c r="AZ56" s="229"/>
      <c r="BA56" s="221"/>
      <c r="BB56" s="228"/>
      <c r="BC56" s="227"/>
      <c r="BD56" s="227"/>
      <c r="BE56" s="227"/>
      <c r="BF56" s="227"/>
      <c r="BG56" s="227"/>
      <c r="BH56" s="227"/>
      <c r="BI56" s="227"/>
      <c r="BJ56" s="315"/>
      <c r="BK56" s="225"/>
      <c r="BL56" s="224"/>
      <c r="BM56" s="224"/>
      <c r="BN56" s="224"/>
      <c r="BO56" s="223"/>
      <c r="BP56" s="222"/>
      <c r="BQ56" s="229"/>
      <c r="BR56" s="221"/>
      <c r="BS56" s="221"/>
      <c r="BT56" s="221"/>
      <c r="BU56" s="221"/>
      <c r="BV56" s="221"/>
      <c r="BW56" s="221"/>
      <c r="BX56" s="221"/>
      <c r="BY56" s="221"/>
      <c r="BZ56" s="226"/>
      <c r="CA56" s="229"/>
      <c r="CC56" s="313"/>
      <c r="CD56" s="317"/>
      <c r="CE56" s="215"/>
      <c r="CF56" s="214"/>
      <c r="DJ56" s="1620"/>
      <c r="DK56" s="440"/>
      <c r="DL56" s="1619"/>
      <c r="DN56" s="1620"/>
      <c r="DR56" s="1231"/>
      <c r="DS56" s="1231"/>
      <c r="DT56" s="1231"/>
      <c r="DU56" s="1231"/>
      <c r="DV56" s="1231"/>
      <c r="DW56" s="1231"/>
      <c r="DX56" s="444"/>
      <c r="DY56" s="1231"/>
      <c r="DZ56" s="1231"/>
      <c r="EA56" s="213"/>
      <c r="EB56" s="213"/>
      <c r="EC56" s="213"/>
      <c r="ED56" s="213"/>
      <c r="EE56" s="213"/>
      <c r="EF56" s="213"/>
      <c r="EG56" s="213"/>
      <c r="EH56" s="213"/>
      <c r="EI56" s="213"/>
      <c r="EJ56" s="213"/>
      <c r="EK56" s="213"/>
      <c r="EL56" s="213"/>
      <c r="EM56" s="213"/>
      <c r="EN56" s="213"/>
      <c r="EO56" s="213"/>
      <c r="EP56" s="213"/>
      <c r="EQ56" s="213"/>
      <c r="ER56" s="213"/>
      <c r="ES56" s="213"/>
      <c r="ET56" s="213"/>
      <c r="EU56" s="213"/>
      <c r="EV56" s="213"/>
      <c r="EW56" s="213"/>
      <c r="EX56" s="213"/>
      <c r="EY56" s="213"/>
      <c r="EZ56" s="213"/>
    </row>
    <row r="57" spans="1:163" ht="12.75" hidden="1" customHeight="1" x14ac:dyDescent="0.2">
      <c r="A57" s="240"/>
      <c r="B57" s="240"/>
      <c r="C57" s="240"/>
      <c r="D57" s="236"/>
      <c r="E57" s="235"/>
      <c r="F57" s="234"/>
      <c r="G57" s="234"/>
      <c r="H57" s="223"/>
      <c r="I57" s="224"/>
      <c r="J57" s="224"/>
      <c r="K57" s="224"/>
      <c r="L57" s="221"/>
      <c r="M57" s="223"/>
      <c r="N57" s="223"/>
      <c r="O57" s="223"/>
      <c r="P57" s="223"/>
      <c r="Q57" s="224"/>
      <c r="R57" s="223"/>
      <c r="S57" s="223"/>
      <c r="T57" s="227"/>
      <c r="U57" s="224"/>
      <c r="V57" s="224"/>
      <c r="W57" s="222"/>
      <c r="X57" s="229"/>
      <c r="Y57" s="221"/>
      <c r="Z57" s="221"/>
      <c r="AA57" s="221"/>
      <c r="AB57" s="221"/>
      <c r="AC57" s="221"/>
      <c r="AD57" s="221"/>
      <c r="AE57" s="221"/>
      <c r="AF57" s="221"/>
      <c r="AG57" s="221"/>
      <c r="AH57" s="226"/>
      <c r="AI57" s="239"/>
      <c r="AJ57" s="238"/>
      <c r="AK57" s="228"/>
      <c r="AL57" s="223"/>
      <c r="AM57" s="230"/>
      <c r="AN57" s="228"/>
      <c r="AO57" s="232"/>
      <c r="AQ57" s="231"/>
      <c r="AR57" s="230"/>
      <c r="AS57" s="224"/>
      <c r="AT57" s="232"/>
      <c r="AV57" s="231"/>
      <c r="AW57" s="230"/>
      <c r="AX57" s="222"/>
      <c r="AY57" s="224"/>
      <c r="AZ57" s="229"/>
      <c r="BA57" s="221"/>
      <c r="BB57" s="228"/>
      <c r="BC57" s="227"/>
      <c r="BD57" s="227"/>
      <c r="BE57" s="227"/>
      <c r="BF57" s="227"/>
      <c r="BG57" s="227"/>
      <c r="BH57" s="227"/>
      <c r="BI57" s="227"/>
      <c r="BJ57" s="315"/>
      <c r="BK57" s="225"/>
      <c r="BL57" s="224"/>
      <c r="BM57" s="224"/>
      <c r="BN57" s="224"/>
      <c r="BO57" s="223"/>
      <c r="BP57" s="222"/>
      <c r="BQ57" s="229"/>
      <c r="BR57" s="221"/>
      <c r="BS57" s="221"/>
      <c r="BT57" s="221"/>
      <c r="BU57" s="221"/>
      <c r="BV57" s="221"/>
      <c r="BW57" s="221"/>
      <c r="BX57" s="221"/>
      <c r="BY57" s="221"/>
      <c r="BZ57" s="226"/>
      <c r="CA57" s="229"/>
      <c r="CC57" s="313"/>
      <c r="CD57" s="317"/>
      <c r="CE57" s="215"/>
      <c r="CF57" s="214"/>
      <c r="DJ57" s="1620"/>
      <c r="DK57" s="440"/>
      <c r="DL57" s="1619"/>
      <c r="DN57" s="1620"/>
      <c r="DR57" s="1231"/>
      <c r="DS57" s="1231"/>
      <c r="DT57" s="1231"/>
      <c r="DU57" s="1231"/>
      <c r="DV57" s="1231"/>
      <c r="DW57" s="1231"/>
      <c r="DX57" s="444"/>
      <c r="DY57" s="1231"/>
      <c r="DZ57" s="1231"/>
      <c r="EA57" s="213"/>
      <c r="EB57" s="213"/>
      <c r="EC57" s="213"/>
      <c r="ED57" s="213"/>
      <c r="EE57" s="213"/>
      <c r="EF57" s="213"/>
      <c r="EG57" s="213"/>
      <c r="EH57" s="213"/>
      <c r="EI57" s="213"/>
      <c r="EJ57" s="213"/>
      <c r="EK57" s="213"/>
      <c r="EL57" s="213"/>
      <c r="EM57" s="213"/>
      <c r="EN57" s="213"/>
      <c r="EO57" s="213"/>
      <c r="EP57" s="213"/>
      <c r="EQ57" s="213"/>
      <c r="ER57" s="213"/>
      <c r="ES57" s="213"/>
      <c r="ET57" s="213"/>
      <c r="EU57" s="213"/>
      <c r="EV57" s="213"/>
      <c r="EW57" s="213"/>
      <c r="EX57" s="213"/>
      <c r="EY57" s="213"/>
      <c r="EZ57" s="213"/>
    </row>
    <row r="58" spans="1:163" ht="12.75" hidden="1" customHeight="1" x14ac:dyDescent="0.2">
      <c r="A58" s="240"/>
      <c r="B58" s="240"/>
      <c r="C58" s="240"/>
      <c r="D58" s="236"/>
      <c r="E58" s="235"/>
      <c r="F58" s="234"/>
      <c r="G58" s="234"/>
      <c r="H58" s="223"/>
      <c r="I58" s="224"/>
      <c r="J58" s="224"/>
      <c r="K58" s="224"/>
      <c r="L58" s="221"/>
      <c r="M58" s="223"/>
      <c r="N58" s="223"/>
      <c r="O58" s="223"/>
      <c r="P58" s="223"/>
      <c r="Q58" s="224"/>
      <c r="R58" s="223"/>
      <c r="S58" s="223"/>
      <c r="T58" s="227"/>
      <c r="U58" s="224"/>
      <c r="V58" s="224"/>
      <c r="W58" s="222"/>
      <c r="X58" s="229"/>
      <c r="Y58" s="221"/>
      <c r="Z58" s="221"/>
      <c r="AA58" s="221"/>
      <c r="AB58" s="221"/>
      <c r="AC58" s="221"/>
      <c r="AD58" s="221"/>
      <c r="AE58" s="221"/>
      <c r="AF58" s="221"/>
      <c r="AG58" s="221"/>
      <c r="AH58" s="226"/>
      <c r="AI58" s="239"/>
      <c r="AJ58" s="238"/>
      <c r="AK58" s="228"/>
      <c r="AL58" s="223"/>
      <c r="AM58" s="230"/>
      <c r="AN58" s="228"/>
      <c r="AO58" s="232"/>
      <c r="AQ58" s="231"/>
      <c r="AR58" s="230"/>
      <c r="AS58" s="224"/>
      <c r="AT58" s="232"/>
      <c r="AV58" s="231"/>
      <c r="AW58" s="230"/>
      <c r="AX58" s="222"/>
      <c r="AY58" s="224"/>
      <c r="AZ58" s="229"/>
      <c r="BA58" s="221"/>
      <c r="BB58" s="228"/>
      <c r="BC58" s="227"/>
      <c r="BD58" s="227"/>
      <c r="BE58" s="227"/>
      <c r="BF58" s="227"/>
      <c r="BG58" s="227"/>
      <c r="BH58" s="227"/>
      <c r="BI58" s="227"/>
      <c r="BJ58" s="315"/>
      <c r="BK58" s="225"/>
      <c r="BL58" s="224"/>
      <c r="BM58" s="224"/>
      <c r="BN58" s="224"/>
      <c r="BO58" s="223"/>
      <c r="BP58" s="222"/>
      <c r="BQ58" s="229"/>
      <c r="BR58" s="221"/>
      <c r="BS58" s="221"/>
      <c r="BT58" s="221"/>
      <c r="BU58" s="221"/>
      <c r="BV58" s="221"/>
      <c r="BW58" s="221"/>
      <c r="BX58" s="221"/>
      <c r="BY58" s="221"/>
      <c r="BZ58" s="226"/>
      <c r="CA58" s="229"/>
      <c r="CC58" s="313"/>
      <c r="CD58" s="317"/>
      <c r="CE58" s="215"/>
      <c r="CF58" s="214"/>
      <c r="DJ58" s="1620"/>
      <c r="DK58" s="440"/>
      <c r="DL58" s="1619"/>
      <c r="DN58" s="1620"/>
      <c r="DR58" s="1231"/>
      <c r="DS58" s="1231"/>
      <c r="DT58" s="1231"/>
      <c r="DU58" s="1231"/>
      <c r="DV58" s="1231"/>
      <c r="DW58" s="1231"/>
      <c r="DX58" s="444"/>
      <c r="DY58" s="1231"/>
      <c r="DZ58" s="1231"/>
      <c r="EA58" s="213"/>
      <c r="EB58" s="213"/>
      <c r="EC58" s="213"/>
      <c r="ED58" s="213"/>
      <c r="EE58" s="213"/>
      <c r="EF58" s="213"/>
      <c r="EG58" s="213"/>
      <c r="EH58" s="213"/>
      <c r="EI58" s="213"/>
      <c r="EJ58" s="213"/>
      <c r="EK58" s="213"/>
      <c r="EL58" s="213"/>
      <c r="EM58" s="213"/>
      <c r="EN58" s="213"/>
      <c r="EO58" s="213"/>
      <c r="EP58" s="213"/>
      <c r="EQ58" s="213"/>
      <c r="ER58" s="213"/>
      <c r="ES58" s="213"/>
      <c r="ET58" s="213"/>
      <c r="EU58" s="213"/>
      <c r="EV58" s="213"/>
      <c r="EW58" s="213"/>
      <c r="EX58" s="213"/>
      <c r="EY58" s="213"/>
      <c r="EZ58" s="213"/>
    </row>
    <row r="59" spans="1:163" ht="12.75" hidden="1" customHeight="1" x14ac:dyDescent="0.2">
      <c r="A59" s="240"/>
      <c r="B59" s="240"/>
      <c r="C59" s="240"/>
      <c r="D59" s="236"/>
      <c r="E59" s="235"/>
      <c r="F59" s="234"/>
      <c r="G59" s="234"/>
      <c r="H59" s="223"/>
      <c r="I59" s="224"/>
      <c r="J59" s="224"/>
      <c r="K59" s="224"/>
      <c r="L59" s="221"/>
      <c r="M59" s="223"/>
      <c r="N59" s="223"/>
      <c r="O59" s="223"/>
      <c r="P59" s="223"/>
      <c r="Q59" s="224"/>
      <c r="R59" s="223"/>
      <c r="S59" s="223"/>
      <c r="T59" s="227"/>
      <c r="U59" s="224"/>
      <c r="V59" s="224"/>
      <c r="W59" s="222"/>
      <c r="X59" s="229"/>
      <c r="Y59" s="221"/>
      <c r="Z59" s="221"/>
      <c r="AA59" s="221"/>
      <c r="AB59" s="221"/>
      <c r="AC59" s="221"/>
      <c r="AD59" s="221"/>
      <c r="AE59" s="221"/>
      <c r="AF59" s="221"/>
      <c r="AG59" s="221"/>
      <c r="AH59" s="226"/>
      <c r="AI59" s="239"/>
      <c r="AJ59" s="238"/>
      <c r="AK59" s="228"/>
      <c r="AL59" s="223"/>
      <c r="AM59" s="230"/>
      <c r="AN59" s="228"/>
      <c r="AO59" s="232"/>
      <c r="AQ59" s="231"/>
      <c r="AR59" s="230"/>
      <c r="AS59" s="224"/>
      <c r="AT59" s="232"/>
      <c r="AV59" s="231"/>
      <c r="AW59" s="230"/>
      <c r="AX59" s="222"/>
      <c r="AY59" s="224"/>
      <c r="AZ59" s="229"/>
      <c r="BA59" s="221"/>
      <c r="BB59" s="228"/>
      <c r="BC59" s="227"/>
      <c r="BD59" s="227"/>
      <c r="BE59" s="227"/>
      <c r="BF59" s="227"/>
      <c r="BG59" s="227"/>
      <c r="BH59" s="227"/>
      <c r="BI59" s="227"/>
      <c r="BJ59" s="315"/>
      <c r="BK59" s="225"/>
      <c r="BL59" s="224"/>
      <c r="BM59" s="224"/>
      <c r="BN59" s="224"/>
      <c r="BO59" s="223"/>
      <c r="BP59" s="222"/>
      <c r="BQ59" s="229"/>
      <c r="BR59" s="221"/>
      <c r="BS59" s="221"/>
      <c r="BT59" s="221"/>
      <c r="BU59" s="221"/>
      <c r="BV59" s="221"/>
      <c r="BW59" s="221"/>
      <c r="BX59" s="221"/>
      <c r="BY59" s="221"/>
      <c r="BZ59" s="226"/>
      <c r="CA59" s="229"/>
      <c r="CC59" s="313"/>
      <c r="CD59" s="317"/>
      <c r="CE59" s="215"/>
      <c r="CF59" s="214"/>
      <c r="DJ59" s="1620"/>
      <c r="DK59" s="440"/>
      <c r="DL59" s="1619"/>
      <c r="DN59" s="1620"/>
      <c r="DR59" s="1231"/>
      <c r="DS59" s="1231"/>
      <c r="DT59" s="1231"/>
      <c r="DU59" s="1231"/>
      <c r="DV59" s="1231"/>
      <c r="DW59" s="1231"/>
      <c r="DX59" s="444"/>
      <c r="DY59" s="1231"/>
      <c r="DZ59" s="1231"/>
      <c r="EA59" s="213"/>
      <c r="EB59" s="213"/>
      <c r="EC59" s="213"/>
      <c r="ED59" s="213"/>
      <c r="EE59" s="213"/>
      <c r="EF59" s="213"/>
      <c r="EG59" s="213"/>
      <c r="EH59" s="213"/>
      <c r="EI59" s="213"/>
      <c r="EJ59" s="213"/>
      <c r="EK59" s="213"/>
      <c r="EL59" s="213"/>
      <c r="EM59" s="213"/>
      <c r="EN59" s="213"/>
      <c r="EO59" s="213"/>
      <c r="EP59" s="213"/>
      <c r="EQ59" s="213"/>
      <c r="ER59" s="213"/>
      <c r="ES59" s="213"/>
      <c r="ET59" s="213"/>
      <c r="EU59" s="213"/>
      <c r="EV59" s="213"/>
      <c r="EW59" s="213"/>
      <c r="EX59" s="213"/>
      <c r="EY59" s="213"/>
      <c r="EZ59" s="213"/>
    </row>
    <row r="60" spans="1:163" ht="12.75" hidden="1" customHeight="1" x14ac:dyDescent="0.2">
      <c r="A60" s="240"/>
      <c r="B60" s="240"/>
      <c r="C60" s="240"/>
      <c r="D60" s="236"/>
      <c r="E60" s="235"/>
      <c r="F60" s="234"/>
      <c r="G60" s="234"/>
      <c r="H60" s="223"/>
      <c r="I60" s="224"/>
      <c r="J60" s="224"/>
      <c r="K60" s="224"/>
      <c r="L60" s="221"/>
      <c r="M60" s="223"/>
      <c r="N60" s="223"/>
      <c r="O60" s="223"/>
      <c r="P60" s="223"/>
      <c r="Q60" s="224"/>
      <c r="R60" s="223"/>
      <c r="S60" s="223"/>
      <c r="T60" s="227"/>
      <c r="U60" s="224"/>
      <c r="V60" s="224"/>
      <c r="W60" s="222"/>
      <c r="X60" s="229"/>
      <c r="Y60" s="221"/>
      <c r="Z60" s="221"/>
      <c r="AA60" s="221"/>
      <c r="AB60" s="221"/>
      <c r="AC60" s="221"/>
      <c r="AD60" s="221"/>
      <c r="AE60" s="221"/>
      <c r="AF60" s="221"/>
      <c r="AG60" s="221"/>
      <c r="AH60" s="226"/>
      <c r="AI60" s="239"/>
      <c r="AJ60" s="238"/>
      <c r="AK60" s="228"/>
      <c r="AL60" s="223"/>
      <c r="AM60" s="230"/>
      <c r="AN60" s="228"/>
      <c r="AO60" s="232"/>
      <c r="AQ60" s="231"/>
      <c r="AR60" s="230"/>
      <c r="AS60" s="224"/>
      <c r="AT60" s="232"/>
      <c r="AV60" s="231"/>
      <c r="AW60" s="230"/>
      <c r="AX60" s="222"/>
      <c r="AY60" s="224"/>
      <c r="AZ60" s="229"/>
      <c r="BA60" s="221"/>
      <c r="BB60" s="228"/>
      <c r="BC60" s="227"/>
      <c r="BD60" s="227"/>
      <c r="BE60" s="227"/>
      <c r="BF60" s="227"/>
      <c r="BG60" s="227"/>
      <c r="BH60" s="227"/>
      <c r="BI60" s="227"/>
      <c r="BJ60" s="315"/>
      <c r="BK60" s="225"/>
      <c r="BL60" s="224"/>
      <c r="BM60" s="224"/>
      <c r="BN60" s="224"/>
      <c r="BO60" s="223"/>
      <c r="BP60" s="222"/>
      <c r="BQ60" s="229"/>
      <c r="BR60" s="221"/>
      <c r="BS60" s="221"/>
      <c r="BT60" s="221"/>
      <c r="BU60" s="221"/>
      <c r="BV60" s="221"/>
      <c r="BW60" s="221"/>
      <c r="BX60" s="221"/>
      <c r="BY60" s="221"/>
      <c r="BZ60" s="226"/>
      <c r="CA60" s="229"/>
      <c r="CC60" s="313"/>
      <c r="CD60" s="317"/>
      <c r="CE60" s="215"/>
      <c r="CF60" s="214"/>
      <c r="DJ60" s="1620"/>
      <c r="DK60" s="440"/>
      <c r="DL60" s="1619"/>
      <c r="DN60" s="1620"/>
      <c r="DR60" s="1231"/>
      <c r="DS60" s="1231"/>
      <c r="DT60" s="1231"/>
      <c r="DU60" s="1231"/>
      <c r="DV60" s="1231"/>
      <c r="DW60" s="1231"/>
      <c r="DX60" s="444"/>
      <c r="DY60" s="1231"/>
      <c r="DZ60" s="1231"/>
      <c r="EA60" s="213"/>
      <c r="EB60" s="213"/>
      <c r="EC60" s="213"/>
      <c r="ED60" s="213"/>
      <c r="EE60" s="213"/>
      <c r="EF60" s="213"/>
      <c r="EG60" s="213"/>
      <c r="EH60" s="213"/>
      <c r="EI60" s="213"/>
      <c r="EJ60" s="213"/>
      <c r="EK60" s="213"/>
      <c r="EL60" s="213"/>
      <c r="EM60" s="213"/>
      <c r="EN60" s="213"/>
      <c r="EO60" s="213"/>
      <c r="EP60" s="213"/>
      <c r="EQ60" s="213"/>
      <c r="ER60" s="213"/>
      <c r="ES60" s="213"/>
      <c r="ET60" s="213"/>
      <c r="EU60" s="213"/>
      <c r="EV60" s="213"/>
      <c r="EW60" s="213"/>
      <c r="EX60" s="213"/>
      <c r="EY60" s="213"/>
      <c r="EZ60" s="213"/>
    </row>
    <row r="61" spans="1:163" ht="12.75" hidden="1" customHeight="1" x14ac:dyDescent="0.2">
      <c r="A61" s="240"/>
      <c r="B61" s="240"/>
      <c r="C61" s="240"/>
      <c r="D61" s="236"/>
      <c r="E61" s="235"/>
      <c r="F61" s="234"/>
      <c r="G61" s="234"/>
      <c r="H61" s="223"/>
      <c r="I61" s="224"/>
      <c r="J61" s="224"/>
      <c r="K61" s="224"/>
      <c r="L61" s="221"/>
      <c r="M61" s="223"/>
      <c r="N61" s="223"/>
      <c r="O61" s="223"/>
      <c r="P61" s="223"/>
      <c r="Q61" s="224"/>
      <c r="R61" s="223"/>
      <c r="S61" s="223"/>
      <c r="T61" s="227"/>
      <c r="U61" s="224"/>
      <c r="V61" s="224"/>
      <c r="W61" s="222"/>
      <c r="X61" s="229"/>
      <c r="Y61" s="221"/>
      <c r="Z61" s="221"/>
      <c r="AA61" s="221"/>
      <c r="AB61" s="221"/>
      <c r="AC61" s="221"/>
      <c r="AD61" s="221"/>
      <c r="AE61" s="221"/>
      <c r="AF61" s="221"/>
      <c r="AG61" s="221"/>
      <c r="AH61" s="226"/>
      <c r="AI61" s="229"/>
      <c r="AJ61" s="221"/>
      <c r="AK61" s="221"/>
      <c r="AL61" s="223"/>
      <c r="AM61" s="230"/>
      <c r="AN61" s="228"/>
      <c r="AO61" s="232"/>
      <c r="AQ61" s="231"/>
      <c r="AR61" s="230"/>
      <c r="AS61" s="224"/>
      <c r="AT61" s="232"/>
      <c r="AV61" s="231"/>
      <c r="AW61" s="230"/>
      <c r="AX61" s="222"/>
      <c r="AY61" s="224"/>
      <c r="AZ61" s="229"/>
      <c r="BA61" s="221"/>
      <c r="BB61" s="228"/>
      <c r="BC61" s="227"/>
      <c r="BD61" s="221"/>
      <c r="BE61" s="221"/>
      <c r="BF61" s="221"/>
      <c r="BG61" s="221"/>
      <c r="BH61" s="221"/>
      <c r="BI61" s="221"/>
      <c r="BJ61" s="226"/>
      <c r="BK61" s="229"/>
      <c r="BL61" s="224"/>
      <c r="BM61" s="224"/>
      <c r="BN61" s="224"/>
      <c r="BO61" s="223"/>
      <c r="BP61" s="222"/>
      <c r="BQ61" s="229"/>
      <c r="BR61" s="221"/>
      <c r="BS61" s="221"/>
      <c r="BT61" s="221"/>
      <c r="BU61" s="221"/>
      <c r="BV61" s="221"/>
      <c r="BW61" s="221"/>
      <c r="BX61" s="221"/>
      <c r="BY61" s="221"/>
      <c r="BZ61" s="226"/>
      <c r="CA61" s="229"/>
      <c r="CC61" s="313"/>
      <c r="CD61" s="317"/>
      <c r="CE61" s="215"/>
      <c r="CF61" s="214"/>
      <c r="DJ61" s="1620"/>
      <c r="DK61" s="440"/>
      <c r="DL61" s="1619"/>
      <c r="DN61" s="1620"/>
      <c r="DR61" s="1231"/>
      <c r="DS61" s="1231"/>
      <c r="DT61" s="1231"/>
      <c r="DU61" s="1231"/>
      <c r="DV61" s="1231"/>
      <c r="DW61" s="1231"/>
      <c r="DX61" s="444"/>
      <c r="DY61" s="1231"/>
      <c r="DZ61" s="1231"/>
      <c r="EA61" s="213"/>
      <c r="EB61" s="213"/>
      <c r="EC61" s="213"/>
      <c r="ED61" s="213"/>
      <c r="EE61" s="213"/>
      <c r="EF61" s="213"/>
      <c r="EG61" s="213"/>
      <c r="EH61" s="213"/>
      <c r="EI61" s="213"/>
      <c r="EJ61" s="213"/>
      <c r="EK61" s="213"/>
      <c r="EL61" s="213"/>
      <c r="EM61" s="213"/>
      <c r="EN61" s="213"/>
      <c r="EO61" s="213"/>
      <c r="EP61" s="213"/>
      <c r="EQ61" s="213"/>
      <c r="ER61" s="213"/>
      <c r="ES61" s="213"/>
      <c r="ET61" s="213"/>
      <c r="EU61" s="213"/>
      <c r="EV61" s="213"/>
      <c r="EW61" s="213"/>
      <c r="EX61" s="213"/>
      <c r="EY61" s="213"/>
      <c r="EZ61" s="213"/>
    </row>
    <row r="62" spans="1:163" ht="12.75" hidden="1" customHeight="1" x14ac:dyDescent="0.2">
      <c r="A62" s="240"/>
      <c r="B62" s="262">
        <f>B49</f>
        <v>2</v>
      </c>
      <c r="C62" s="262">
        <f>$C$6</f>
        <v>1</v>
      </c>
      <c r="D62" s="429"/>
      <c r="E62" s="260"/>
      <c r="F62" s="259"/>
      <c r="G62" s="259"/>
      <c r="H62" s="220" t="str">
        <f>IF(C62&gt;0,"",IF(VLOOKUP(E62,LegendSG2CKTrows,20,FALSE)=0,VLOOKUP(E62,LegendSG2CKTrows,21,FALSE),VLOOKUP(E62,LegendSG2CKTrows,20,FALSE)))</f>
        <v/>
      </c>
      <c r="I62" s="258" t="str">
        <f>IF(C62&gt;0,"",VLOOKUP(E62,LegendSG2CKTrows,22,FALSE))</f>
        <v/>
      </c>
      <c r="J62" s="248" t="str">
        <f>IF($C$3&gt;0,"",IF(C62&gt;0,"",IF(($J$44)&gt;1,I62,IF(V62="@ System",I62+0.5*($F$44),IF(V62="@ Top Of Riser",I62+0.5*($F$44),IF(OR(V62="@ Fixture",V62="@ Bottom Of Riser"),($D$44)-0.5*($F$44),IF(AND(V62="None",D62="Loop"),($D$44)-0.5*($F$44),I62+0.5*($F$44))))))))</f>
        <v/>
      </c>
      <c r="K62" s="248" t="str">
        <f>IF($C$3&gt;0,"",IF(C62&gt;0,"",IF(($J$44)&gt;1,I62,IF(I62+0.5*DZ62+15&lt;L62,I62+0.5*DZ62+15,L62))))</f>
        <v/>
      </c>
      <c r="L62" s="257" t="str">
        <f>IF($C$3&gt;0,"",IF(C62&gt;0,"",IF(($J$44)&gt;1,I62,LegendSG2RGT)))</f>
        <v/>
      </c>
      <c r="M62" s="248" t="str">
        <f>IF($C$3&gt;0,"",IF(C62&gt;0,"",IF(($J$44)&gt;1,Pressure($B$3,"TQ","e",J62,1/($J$44)),DT62)))</f>
        <v/>
      </c>
      <c r="N62" s="248" t="str">
        <f>IF($C$3&gt;0,"",IF(C62&gt;0,"",IF(D62="Loop","n/a",IF(($J$44)&gt;1,Pressure($B$3,"TQ","e",J62,1/($J$44)),DW62))))</f>
        <v/>
      </c>
      <c r="O62" s="248" t="str">
        <f>IF($C$3&gt;0,"",IF(C62&gt;0,"",IF(D62="Loop","n/a",DZ62)))</f>
        <v/>
      </c>
      <c r="P62" s="220" t="str">
        <f>IF($C$3&gt;0,"",IF(C62&gt;0,"",IF(D62="Loop","n/a",IF(($J$44)&gt;1,0,DX62))))</f>
        <v/>
      </c>
      <c r="Q62" s="248" t="str">
        <f>IF($C$3&gt;0,"",IF(C62&gt;0,"",IF(D62="Loop","n/a",IF(($J$44)&gt;1,Enthalpy(($B$3),"QP","E",(1/($J$44)),N62),Enthalpy(($B$3),"TP","E",(I62+0.5*DZ62+'Legend(DX)'!$Y$4),DW62)))))</f>
        <v/>
      </c>
      <c r="R62" s="220" t="str">
        <f>IF(C62&gt;0,"",IF($C$3&gt;0,IF(S62=0,"",U62/(S62*60*0.13368)),IF(($J$44)&gt;1,Enthalpy(($B$3),"TLIQ","E",I62),IF(($G$4+0.5*DZ62)&gt;($H$44),(Enthalpy(($B$3),"TLIQ","E",($G$44))),(Enthalpy(($B$3),"TP","E",($G$44),$I$44))))))</f>
        <v/>
      </c>
      <c r="S62" s="220" t="str">
        <f ca="1">IF(C62&gt;0,"",IF($C$3&gt;0,(VLOOKUP(($D$44),INDIRECT($C$44),3)+VLOOKUP(($S$44),INDIRECT($C$44),3))/2,IF(($J$44)&gt;1,LiquidDensity($B$3,"TLIQ","e",I62),IF(($G$4+0.5*DZ62)&gt;($H$44),(LiquidDensity(($B$3),"TLIQ","E",($G$44))),(Density(($B$3),"TP","E",($G$44),$I$44))))))</f>
        <v/>
      </c>
      <c r="T62" s="250" t="str">
        <f ca="1">IF(C62&gt;0,"",IF($C$3&gt;0,(VLOOKUP(($D$44),INDIRECT($C$44),6)+VLOOKUP(($S$44),INDIRECT($C$44),6))/2*0.000020885,IF(($J$44)&gt;1,Viscosity(($B$3),"TLIQ","E",I62),IF(($G$4+0.5*DZ62)&gt;($H$44),(Viscosity(($B$3),"TLIQ","E",($G$44))),(Viscosity(($B$3),"TP","E",($G$44),$I$44))))))</f>
        <v/>
      </c>
      <c r="U62" s="248" t="str">
        <f>IF(C62&gt;0,"",IF($C$3&gt;0,VLOOKUP(E62,LegendSG2CKTrows,23,FALSE)*60*S62*0.13368,H62*1000/(Q62-R62)))</f>
        <v/>
      </c>
      <c r="V62" s="256" t="str">
        <f>IF(C62&gt;0,"",VLOOKUP(E62,LegendSG2CKTrows,28,FALSE))</f>
        <v/>
      </c>
      <c r="W62" s="255" t="s">
        <v>369</v>
      </c>
      <c r="X62" s="254"/>
      <c r="Y62" s="246" t="str">
        <f>IF(C62&gt;0,"",X62*($Y$44))</f>
        <v/>
      </c>
      <c r="Z62" s="218" t="str">
        <f>IF(C62&gt;0,"",IF(($J$44)&gt;1,Density(($B$3),"TVAP","e",I62),Density(($B$3),"TP","E",K62,M62)))</f>
        <v/>
      </c>
      <c r="AA62" s="250" t="str">
        <f>IF(C62&gt;0,"",IF(($J$44)&gt;1,Viscosity(($B$3),"TVAP","E",I62),Viscosity(($B$3),"TP","E",K62,M62)))</f>
        <v/>
      </c>
      <c r="AB62" s="1014" t="str">
        <f>IF(C62&gt;0,"",IF(($J$44)&gt;1,vel(U62,EC62,AH62),vel(U62,Z62,AH62)))</f>
        <v/>
      </c>
      <c r="AC62" s="220" t="str">
        <f>IF(C62&gt;0,"",IF(($J$44)&gt;1,EO62,pdrop(AE62,Y62,Z62,AB62,IF(AG62="",AF62,AG62))))</f>
        <v/>
      </c>
      <c r="AD62" s="219" t="str">
        <f>IF(C62&gt;0,"",(((AB62/60)*Z62)/AA62)*(VLOOKUP(AF62,'Pipe Data'!F$7:G$19,2,FALSE))/12)</f>
        <v/>
      </c>
      <c r="AE62" s="218" t="str">
        <f>IF(C62&gt;0,"",(0.25/(LOG(5.74/(AD62^0.9))+((VLOOKUP(IF(AG62="",AF62,AG62),'Pipe Data'!J$7:X$19,15,FALSE))/3.7))^2))</f>
        <v/>
      </c>
      <c r="AF62" s="245" t="str">
        <f>IF(C62&gt;0,"",VLOOKUP(($AC$44),AB63:AF73,5,TRUE))</f>
        <v/>
      </c>
      <c r="AG62" s="244"/>
      <c r="AH62" s="298" t="str">
        <f>IF(C62&gt;0,"",IF(AND(AG62="",W62&lt;&gt;"Double"),parea(AF62),parea(AG62)))</f>
        <v/>
      </c>
      <c r="AI62" s="253" t="str">
        <f>IF(C62&gt;0,"",IF(W62="Single","",IF(OR(AG62=0.5,AG62=0.375),"",IF(AF62&lt;0.6,"",(((AR62/60)*Z62)/AA62)*((LOOKUP(IF(AP62="",AO62,AP62),'Pipe Data'!F$7:F$19,'Pipe Data'!G$7:G$19))/12)))))</f>
        <v/>
      </c>
      <c r="AJ62" s="252" t="str">
        <f>IF(C62&gt;0,"",IF(W62="Single","",IF(OR(AG62=0.5,AG62=0.375),"",IF(AF62&lt;0.6,"",(AQ62/AV62)^1.5))))</f>
        <v/>
      </c>
      <c r="AK62" s="218" t="str">
        <f>IF(C62&gt;0,"",IF(W62="Single","",IF(OR(AG62=0.5,AG62=0.375),"",IF(AF62&lt;0.6,"",(0.25/(LOG(5.74/(AI62^0.9))+((LOOKUP(IF(AP62="",AO62,AP62),'Pipe Data'!F$7:F$19,'Pipe Data'!X$7:X$19))/3.7))^2)))))</f>
        <v/>
      </c>
      <c r="AL62" s="220" t="str">
        <f>IF(C62&gt;0,"",IF(W62="Single","",IF(OR(AG62=0.5,AG62=0.375),"",IF(AF62&lt;0.6,"",pdrop(AK62,Y62,Z62,AR62,IF(AP62="",AO62,AP62))))))</f>
        <v/>
      </c>
      <c r="AM62" s="219" t="str">
        <f>IF(C62&gt;0,"",IF(W62="Single","",IF(OR(AG62=0.5,AG62=0.375),"",IF(AF62&lt;0.6,"",(((AW62/60)*Z62)/AA62)*((LOOKUP(IF(AU62="",AT62,AU62),'Pipe Data'!F$7:F$19,'Pipe Data'!G$7:G$19))/12)))))</f>
        <v/>
      </c>
      <c r="AN62" s="218" t="str">
        <f>IF(C62&gt;0,"",IF(W62="Single","",IF(OR(AG62=0.5,AG62=0.375),"",IF(AF62&lt;0.6,"",(0.25/(LOG(5.74/(AM62^0.9))+((LOOKUP(IF(AU62="",AT62,AU62),'Pipe Data'!F$7:F$19,'Pipe Data'!X$7:X$19))/3.7))^2)))))</f>
        <v/>
      </c>
      <c r="AO62" s="245" t="str">
        <f>IF(C62&gt;0,"",IF(W62="Single","",IF(OR(AG62=0.5,AG62=0.375),"",IF(AF62&lt;0.6,"",(IF(AG62="",VLOOKUP(AF62,'Pipe Data'!$J$9:$N$19,3,FALSE),VLOOKUP(AG62,'Pipe Data'!$J$9:$N$19,3,FALSE)))))))</f>
        <v/>
      </c>
      <c r="AP62" s="244"/>
      <c r="AQ62" s="251" t="str">
        <f>IF(C62&gt;0,"",IF(W62="Single","",IF(OR(AG62=0.5,AG62=0.375),"",IF(AF62&lt;0.6,"",IF(AP62="",parea(AO62),parea(AP62))))))</f>
        <v/>
      </c>
      <c r="AR62" s="219" t="str">
        <f>IF(C62&gt;0,"",IF(W62="Single","",IF(OR(AG62=0.5,AG62=0.375),"",IF(AF62&lt;0.6,"",((AS62/(Z62*AQ62))/60)))))</f>
        <v/>
      </c>
      <c r="AS62" s="248" t="str">
        <f>IF(C62&gt;0,"",IF(W62="Single","",IF(OR(AG62=0.5,AG62=0.375),"",IF(AF62&lt;0.6,"",(U62*AJ62)/(1+AJ62)))))</f>
        <v/>
      </c>
      <c r="AT62" s="245" t="str">
        <f>IF(C62&gt;0,"",IF(W62="Single","",IF(OR(AG62=0.5,AG62=0.375),"",IF(AF62&lt;0.6,"",(IF(AG62="",VLOOKUP(AF62,'Pipe Data'!$J$9:$N$19,5,FALSE),VLOOKUP(AG62,'Pipe Data'!$J$9:$N$19,5,FALSE)))))))</f>
        <v/>
      </c>
      <c r="AU62" s="244"/>
      <c r="AV62" s="251" t="str">
        <f>IF(C62&gt;0,"",IF(W62="Single","",IF(OR(AG62=0.5,AG62=0.375),"",IF(AF62&lt;0.6,"",IF(AU62="",parea(AT62),parea(AU62))))))</f>
        <v/>
      </c>
      <c r="AW62" s="219" t="str">
        <f>IF(C62&gt;0,"",IF(W62="Single","",IF(OR(AG62=0.5,AG62=0.375),"",IF(AF62&lt;0.6,"",((AX62/(Z62*AV62))/60)))))</f>
        <v/>
      </c>
      <c r="AX62" s="247" t="str">
        <f>IF(C62&gt;0,"",IF(W62="Single","",IF(OR(AG62=0.5,AG62=0.375),"",IF(AF62&lt;0.6,"",U62-AS62))))</f>
        <v/>
      </c>
      <c r="AY62" s="1451"/>
      <c r="AZ62" s="1463" t="str">
        <f>IF(AY62=0,"",AY62-X62)</f>
        <v/>
      </c>
      <c r="BA62" s="246" t="str">
        <f>IF(C62&gt;0,"",AZ62*($BA$44))</f>
        <v/>
      </c>
      <c r="BB62" s="218" t="str">
        <f>IF(C62&gt;0,"",IF(($J$44)&gt;1,Density(($B$3),"TVAP","e",I62),Density(($B$3),"TP","E",K62,M62)))</f>
        <v/>
      </c>
      <c r="BC62" s="250" t="str">
        <f>IF(C62&gt;0,"",IF(($J$44)&gt;1,Viscosity(($B$3),"TVAP","E",I62),Viscosity(($B$3),"TP","E",$K62,$M62)))</f>
        <v/>
      </c>
      <c r="BD62" s="219" t="str">
        <f>IF(C62&gt;0,"",IF(($J$44)&gt;1,vel(U62,EC62,BJ62),vel(U62,Z62,BJ62)))</f>
        <v/>
      </c>
      <c r="BE62" s="220" t="str">
        <f>IF(C62&gt;0,"",IF(($J$44)&gt;1,EZ62,pdrop(BG62,BA62,Z62,BD62,IF(BI62="",BH62,BI62))))</f>
        <v/>
      </c>
      <c r="BF62" s="219" t="str">
        <f>IF(C62&gt;0,"",(((BD62/60)*Z62)/BC62)*((VLOOKUP(IF(BI62="",BH62,BI62),'Pipe Data'!F$7:G$19,2,FALSE))/12))</f>
        <v/>
      </c>
      <c r="BG62" s="218" t="str">
        <f>IF(C62&gt;0,"",(0.25/(LOG(5.74/(BF62^0.9))+((VLOOKUP(BH62,'Pipe Data'!J$7:X$19,15,FALSE))/3.7))^2))</f>
        <v/>
      </c>
      <c r="BH62" s="245" t="str">
        <f>IF(C62&gt;0,"",VLOOKUP(1,BI63:BK73,3,FALSE))</f>
        <v/>
      </c>
      <c r="BI62" s="244"/>
      <c r="BJ62" s="243" t="str">
        <f>IF(C62&gt;0,"",IF(BI62="",parea(BH62),parea(BI62)))</f>
        <v/>
      </c>
      <c r="BK62" s="249" t="str">
        <f>IF(C62&gt;0,"",VLOOKUP(E62,LegendSG2CKTrows,26,FALSE))</f>
        <v/>
      </c>
      <c r="BL62" s="248" t="str">
        <f>IF(C62&gt;0,"",IF(W62&lt;&gt;"Double",AC62+BE62+BK62,AL62+BE62+BK62))</f>
        <v/>
      </c>
      <c r="BM62" s="248"/>
      <c r="BN62" s="248" t="str">
        <f>IF(C62&gt;0,"",IF(D62="Loop","n/a",BP62-I62))</f>
        <v/>
      </c>
      <c r="BO62" s="220" t="str">
        <f>IF(C62&gt;0,"",IF(D62="Loop","n/a",N62-BM62))</f>
        <v/>
      </c>
      <c r="BP62" s="247" t="str">
        <f>IF(C62&gt;0,"",IF(D62="Loop","n/a",TEMPERATURE(($B$3),"PVAP","E",BO62)-0.5*DZ62))</f>
        <v/>
      </c>
      <c r="BQ62" s="246" t="str">
        <f>IF(C62&gt;0,"",AZ62+X62)</f>
        <v/>
      </c>
      <c r="BR62" s="246" t="str">
        <f>IF(C62&gt;0,"",BQ62*($BR$44))</f>
        <v/>
      </c>
      <c r="BS62" s="220" t="str">
        <f>IF(C62&gt;0,"",IF($C$3&gt;0,2.45,vel(U62,S62,BZ62)))</f>
        <v/>
      </c>
      <c r="BT62" s="220" t="str">
        <f>IF(C62&gt;0,"",IF($C$3&gt;0,2.31*pdrop(BW62,BR62,S62,60*BS62,IF(BY62="",BX62,BY62)),pdrop(BW62,BR62,S62,BS62,IF(BY62="",BX62,BY62))))</f>
        <v/>
      </c>
      <c r="BU62" s="220"/>
      <c r="BV62" s="219" t="str">
        <f>IF(C62&gt;0,"",IF($C$3&gt;0,(((BS62)*S62)/32.2/T62)*((VLOOKUP(IF(BY62="",BX62,BY62),'Pipe Data'!F$7:G$19,2,FALSE))/12),(((BS62/60)*S62)/T62)*((VLOOKUP(IF(BY62="",BX62,BY62),'Pipe Data'!F$7:G$19,2,FALSE))/12)))</f>
        <v/>
      </c>
      <c r="BW62" s="218" t="str">
        <f>IF(C62&gt;0,"",IF($C$3&gt;0,IF(BV62&lt;2100,64/BV62,(0.25/(LOG(5.74/(BV62^0.9))+((VLOOKUP(BX62,'Pipe Data'!J$7:X$19,15,FALSE))/3.7))^2)),(0.25/(LOG(5.74/(BV62^0.9))+((VLOOKUP(IF(BY62="",BX62,BY62),'Pipe Data'!J$7:X$19,15,FALSE))/3.7))^2)))</f>
        <v/>
      </c>
      <c r="BX62" s="245" t="str">
        <f>IF(C62&gt;0,"",VLOOKUP(0.25,BY63:CA73,3,TRUE))</f>
        <v/>
      </c>
      <c r="BY62" s="244"/>
      <c r="BZ62" s="243" t="str">
        <f>IFERROR(IF(C62&gt;0,"",IF(BY62="",parea(BX62),parea(BY62))),0)</f>
        <v/>
      </c>
      <c r="CA62" s="314"/>
      <c r="CC62" s="313">
        <v>0</v>
      </c>
      <c r="CD62" s="316" t="str">
        <f>IF(C62&gt;0,"",IF($C$3&gt;0,BQ62*BZ62*7.481+IF(D62="Loop",0,VLOOKUP(E62,'Legend(DX)'!$H$8:$AT$16,36,FALSE)),S62*BQ62*BZ62+AZ62*BB62*BJ62+X62*Z62*(IF(W62&lt;&gt;"Double",AH62,AQ62+AV62))+IF(D62="Loop",0,VLOOKUP(E62,'Legend(DX)'!$H$8:$AT$16,36,FALSE))))</f>
        <v/>
      </c>
      <c r="CE62" s="242"/>
      <c r="CF62" s="241"/>
      <c r="CH62" s="213">
        <f>IF(OR(AB62&lt;($AB$44),AB62&gt;($AC$44)),1,0)</f>
        <v>1</v>
      </c>
      <c r="CI62" s="213">
        <f>IF(OR(BD62&lt;($BD$44),BD62&gt;($BE$44)),1,0)</f>
        <v>1</v>
      </c>
      <c r="CJ62" s="213">
        <f>IF(BN62&lt;($F$44),1,0)</f>
        <v>0</v>
      </c>
      <c r="CK62" s="213">
        <f>IF(AND((LEFT('Legend(DX)'!$U$1,1)="C"),BN62&gt;$F$44),0,IF(BO62&lt;($E$44),1,0))</f>
        <v>0</v>
      </c>
      <c r="CL62" s="213">
        <f>IF(AND((LEFT('Legend(DX)'!$U$1,1)="C"),BN62&gt;$F$44),0,IF(BP62&lt;($D$44),1,0))</f>
        <v>0</v>
      </c>
      <c r="CM62" s="213">
        <f>IF(BS62&gt;($BS$44),1,0)</f>
        <v>1</v>
      </c>
      <c r="CN62" s="213">
        <f>IF(BU62&gt;($BT$44),1,0)</f>
        <v>0</v>
      </c>
      <c r="CO62" s="213">
        <f>SUM(CH62:CN62)</f>
        <v>3</v>
      </c>
      <c r="CQ62" s="304" t="s">
        <v>171</v>
      </c>
      <c r="CR62" s="213">
        <f t="shared" ref="CR62:DC62" si="16">IF($W62="Single",IF($AG62="",IF($AF62=CR$8,$X62,0),IF($AG62=CR$8,$X62,0)),0)</f>
        <v>0</v>
      </c>
      <c r="CS62" s="213">
        <f t="shared" si="16"/>
        <v>0</v>
      </c>
      <c r="CT62" s="213">
        <f t="shared" si="16"/>
        <v>0</v>
      </c>
      <c r="CU62" s="213">
        <f t="shared" si="16"/>
        <v>0</v>
      </c>
      <c r="CV62" s="213">
        <f t="shared" si="16"/>
        <v>0</v>
      </c>
      <c r="CW62" s="213">
        <f t="shared" si="16"/>
        <v>0</v>
      </c>
      <c r="CX62" s="213">
        <f t="shared" si="16"/>
        <v>0</v>
      </c>
      <c r="CY62" s="213">
        <f t="shared" si="16"/>
        <v>0</v>
      </c>
      <c r="CZ62" s="213">
        <f t="shared" si="16"/>
        <v>0</v>
      </c>
      <c r="DA62" s="213">
        <f t="shared" si="16"/>
        <v>0</v>
      </c>
      <c r="DB62" s="213">
        <f t="shared" si="16"/>
        <v>0</v>
      </c>
      <c r="DC62" s="213">
        <f t="shared" si="16"/>
        <v>0</v>
      </c>
      <c r="DE62" s="304" t="str">
        <f>IF(AG62="",IF(X62=0,TEXT(AF62,"# 0/0")&amp;"*",TEXT(AF62,"# 0/0")),IF(X62=0,TEXT(AG62,"# 0/0")&amp;"*",TEXT(AG62,"# 0/0")))</f>
        <v>*</v>
      </c>
      <c r="DF62" s="25" t="str">
        <f>IF(AP62="",IF(X62=0,TEXT(AO62,"# 0/0")&amp;"*",TEXT(AO62,"# 0/0")),IF(X62=0,TEXT(AP62,"# 0/0")&amp;"*",TEXT(AP62,"# 0/0")))</f>
        <v>*</v>
      </c>
      <c r="DG62" s="25" t="str">
        <f>IF(AU62="",IF(X62=0,TEXT(AT62,"# 0/0")&amp;"*",TEXT(AT62,"# 0/0")),IF(X62=0,TEXT(AU62,"# 0/0")&amp;"*",TEXT(AU62,"# 0/0")))</f>
        <v>*</v>
      </c>
      <c r="DH62" s="1444">
        <f>E62</f>
        <v>0</v>
      </c>
      <c r="DI62" s="440" t="str">
        <f>IF($BI62="",TEXT($BH62, "# 0/0"),TEXT($BI62, "# 0/0"))</f>
        <v/>
      </c>
      <c r="DJ62" s="1619"/>
      <c r="DK62" s="440" t="str">
        <f>IF($C$3&gt;0,R62,IF(W62="Double",DF62 &amp; " &amp; " &amp; DG62,DE62))</f>
        <v>*</v>
      </c>
      <c r="DL62" s="1619"/>
      <c r="DM62" s="440" t="str">
        <f>IF($BY62="",IF($C$3&gt;0,$BX62-0.125,TEXT($BX62, "# 0/0")),IF($C$3&gt;0,$BY62-0.125,TEXT($BY62, "# 0/0")))</f>
        <v/>
      </c>
      <c r="DN62" s="1619"/>
      <c r="DO62" s="440" t="str">
        <f>IF($C$3&gt;0,2*$BQ62,$BQ62)</f>
        <v/>
      </c>
      <c r="DP62" s="433"/>
      <c r="DQ62" s="433"/>
      <c r="DR62" s="1253" t="str">
        <f>J62</f>
        <v/>
      </c>
      <c r="DS62" s="1253" t="str">
        <f>IF(C62&gt;0,"",(Pressure($B$3,"Tliq","e",$J62)+Pressure($B$3,"Tvap","e",$J62))/2)</f>
        <v/>
      </c>
      <c r="DT62" s="1253" t="str">
        <f>IF(C62&gt;0,"",Pressure($B$3,"tvap","e",$J62+0.5*$DZ62))</f>
        <v/>
      </c>
      <c r="DU62" s="1253" t="str">
        <f>I62</f>
        <v/>
      </c>
      <c r="DV62" s="1253" t="str">
        <f>IF(C62&gt;0,"",(Pressure($B$3,"Tliq","e",$I62)+Pressure($B$3,"Tvap","e",$I62))/2)</f>
        <v/>
      </c>
      <c r="DW62" s="1253" t="str">
        <f>IF(C62&gt;0,"",Pressure($B$3,"tvap","e",$I62+0.5*$DZ62))</f>
        <v/>
      </c>
      <c r="DX62" s="1260" t="str">
        <f>IF(C62&gt;0,"",1-(Enthalpy($B$3,"pvap","e",$DV62)-(IF($G$4+0.5*($DR$44)&gt;($H$44),Enthalpy($B$3,"Tliq","e",($G$44)),Enthalpy($B$3,"tp","e",($G$44),($I$44)))))/(Enthalpy($B$3,"pvap","e",$DV62)-Enthalpy($B$3,"pliq","e",$DV62)))</f>
        <v/>
      </c>
      <c r="DY62" s="1253" t="str">
        <f>IF(C62&gt;0,"",TEMPERATURE($B$3,"pvap","e",$DS62)-TEMPERATURE($B$3,"pliq","e",$DS62))</f>
        <v/>
      </c>
      <c r="DZ62" s="1253" t="e">
        <f>IF($B$3="R744",0.001,(1-$DX62)*$DY62)</f>
        <v>#VALUE!</v>
      </c>
      <c r="EA62" s="1261"/>
      <c r="EB62" s="1262" t="e">
        <f ca="1">T62/AA62</f>
        <v>#VALUE!</v>
      </c>
      <c r="EC62" s="1260" t="e">
        <f ca="1">1/(((1/($J$44))/Z62)+((1-(1/($J$44)))/S62))</f>
        <v>#VALUE!</v>
      </c>
      <c r="ED62" s="1263" t="e">
        <f>SQRT(AH62*4/PI())</f>
        <v>#VALUE!</v>
      </c>
      <c r="EE62" s="1262" t="e">
        <f ca="1">(((U62/AH62)^2)*ED62)*(1/3600)*(1/3600)/(EC62*SurfaceTension($B$3,"TLIQ","E",I62))/32.174</f>
        <v>#VALUE!</v>
      </c>
      <c r="EF62" s="1260" t="e">
        <f ca="1">((S62/Z62)^0.91)*((AA62/T62)^0.19)*((1-(AA62/T62))^0.7)</f>
        <v>#VALUE!</v>
      </c>
      <c r="EG62" s="1264" t="e">
        <f>((1/($J$44))^0.78)*((1-(1/($J$44)))^0.224)</f>
        <v>#VALUE!</v>
      </c>
      <c r="EH62" s="1260" t="e">
        <f ca="1">(1-(1/($J$44)))^2+(((1/($J$44))^2)*S62*AE62/(Z62*EM62))</f>
        <v>#VALUE!</v>
      </c>
      <c r="EI62" s="1262" t="e">
        <f ca="1">((U62/AH62)^2)*(1/3600)*(1/3600)/(32.174*ED62*(EC62^2))</f>
        <v>#VALUE!</v>
      </c>
      <c r="EJ62" s="1253" t="e">
        <f ca="1">EH62+(3.24*EG62*EF62/((EI62^0.045)*(EE62^0.035)))</f>
        <v>#VALUE!</v>
      </c>
      <c r="EK62" s="1260" t="e">
        <f>vel(U62,S62,AH62)</f>
        <v>#VALUE!</v>
      </c>
      <c r="EL62" s="1262" t="e">
        <f ca="1">(((EK62/60)*S62)/T62)*((VLOOKUP(IF(AG62="",AF62,AG62),'Pipe Data'!F$7:G$19,2,FALSE))/12)</f>
        <v>#VALUE!</v>
      </c>
      <c r="EM62" s="1264" t="e">
        <f ca="1">(0.25/(LOG(5.74/(EL62^0.9))+((VLOOKUP(IF(AG62="",AF62,AG62),'Pipe Data'!J$7:X$19,15,FALSE))/3.7))^2)</f>
        <v>#VALUE!</v>
      </c>
      <c r="EN62" s="1264" t="e">
        <f ca="1">pdrop(EM62,Y62,S62,EK62,IF(AG62="",AF62,AG62))</f>
        <v>#VALUE!</v>
      </c>
      <c r="EO62" s="1260" t="e">
        <f ca="1">EN62*EJ62</f>
        <v>#VALUE!</v>
      </c>
      <c r="EP62" s="1261"/>
      <c r="EQ62" s="1263" t="e">
        <f>SQRT(BJ62*4/PI())</f>
        <v>#VALUE!</v>
      </c>
      <c r="ER62" s="1262" t="e">
        <f ca="1">(((U62/BJ62)^2)*EQ62)*(1/3600)*(1/3600)/(EC62*SurfaceTension($B$3,"TLIQ","E",I62))/32.174</f>
        <v>#VALUE!</v>
      </c>
      <c r="ES62" s="1260" t="e">
        <f ca="1">(1-(1/($J$44)))^2+(((1/($J$44))^2)*S62*BG62/(Z62*EM62))</f>
        <v>#VALUE!</v>
      </c>
      <c r="ET62" s="1253" t="e">
        <f ca="1">((U62/BJ62)^2)*(1/3600)*(1/3600)/(32.174*EQ62*(EC62^2))</f>
        <v>#VALUE!</v>
      </c>
      <c r="EU62" s="1260" t="e">
        <f ca="1">ES62+(3.24*EG62*EF62/((ET62^0.045)*(ER62^0.035)))</f>
        <v>#VALUE!</v>
      </c>
      <c r="EV62" s="1260" t="e">
        <f>vel(U62,S62,BJ62)</f>
        <v>#VALUE!</v>
      </c>
      <c r="EW62" s="1262" t="e">
        <f ca="1">(((EV62/60)*S62)/T62)*((VLOOKUP(IF(BI62="",BH62,BI62),'Pipe Data'!F$7:G$19,2,FALSE))/12)</f>
        <v>#VALUE!</v>
      </c>
      <c r="EX62" s="1264" t="e">
        <f ca="1">(0.25/(LOG(5.74/(EW62^0.9))+((VLOOKUP(IF(BI62="",BH62,BI62),'Pipe Data'!J$7:X$19,15,FALSE))/3.7))^2)</f>
        <v>#VALUE!</v>
      </c>
      <c r="EY62" s="1260" t="e">
        <f ca="1">pdrop(EX62,BA62,S62,EV62,IF(BI62="",BH62,BI62))</f>
        <v>#VALUE!</v>
      </c>
      <c r="EZ62" s="1260" t="e">
        <f ca="1">EY62*EU62</f>
        <v>#VALUE!</v>
      </c>
      <c r="FA62" s="213">
        <f>IF(AND(AB62&gt;$AB$5,AB62&lt;($AB$4)),1,0)</f>
        <v>0</v>
      </c>
      <c r="FB62" s="304">
        <f>IF(OR(AND(BD62&gt;$BD$5,BD62&lt;($BD$4)),AND(BD62&lt;$BE$5,BD62&gt;($BE$4))),1,0)</f>
        <v>0</v>
      </c>
      <c r="FC62" s="304">
        <f>IF(AND(BS62&lt;$BS$4,BS62&gt;($BS$5)),1,0)</f>
        <v>0</v>
      </c>
      <c r="FD62" s="213">
        <f>IF(AND(AR62&gt;$AR$5,AR62&lt;($AR$4)),1,0)</f>
        <v>0</v>
      </c>
      <c r="FE62" s="304">
        <f>IF(OR(AR62&lt;($AR$5),AR62&gt;($AS$4)),1,0)</f>
        <v>1</v>
      </c>
      <c r="FF62" s="213">
        <f>IF(AND(AW62&gt;$AR$5,AW62&lt;($AR$4)),1,0)</f>
        <v>0</v>
      </c>
      <c r="FG62" s="304">
        <f>IF(OR(AW62&lt;($AR$5),AW62&gt;($AS$4)),1,0)</f>
        <v>1</v>
      </c>
    </row>
    <row r="63" spans="1:163" ht="12.75" hidden="1" customHeight="1" x14ac:dyDescent="0.2">
      <c r="A63" s="240"/>
      <c r="B63" s="240"/>
      <c r="C63" s="240"/>
      <c r="D63" s="236"/>
      <c r="E63" s="235"/>
      <c r="F63" s="234"/>
      <c r="G63" s="234"/>
      <c r="H63" s="221"/>
      <c r="I63" s="221"/>
      <c r="J63" s="221"/>
      <c r="K63" s="221"/>
      <c r="L63" s="221"/>
      <c r="M63" s="223"/>
      <c r="N63" s="223"/>
      <c r="O63" s="223"/>
      <c r="P63" s="223"/>
      <c r="Q63" s="224"/>
      <c r="R63" s="223"/>
      <c r="S63" s="223"/>
      <c r="T63" s="227"/>
      <c r="U63" s="224"/>
      <c r="V63" s="224"/>
      <c r="W63" s="222"/>
      <c r="X63" s="229"/>
      <c r="Y63" s="221"/>
      <c r="Z63" s="228"/>
      <c r="AA63" s="227"/>
      <c r="AB63" s="219" t="str">
        <f>IF(C62&gt;0,"",IF(($J$44)&gt;1,vel(U62,EC62,AH63),vel(U62,Z62,AH63)))</f>
        <v/>
      </c>
      <c r="AC63" s="220" t="str">
        <f>IF(C62&gt;0,"",pdrop(AE63,Y62,Z62,AB63,AF63))</f>
        <v/>
      </c>
      <c r="AD63" s="219" t="str">
        <f>IF(C62&gt;0,"",(((AB63/60)*Z62)/AA62)*(VLOOKUP(AF63,'Pipe Data'!F$7:G$19,2,FALSE))/12)</f>
        <v/>
      </c>
      <c r="AE63" s="218" t="str">
        <f>IF(C62&gt;0,"",(0.25/(LOG(5.74/(AD63^0.9))+((VLOOKUP(AF63,'Pipe Data'!J$7:X$19,15,FALSE))/3.7))^2))</f>
        <v/>
      </c>
      <c r="AF63" s="216">
        <v>4.125</v>
      </c>
      <c r="AH63" s="217">
        <v>8.1138442517193113E-2</v>
      </c>
      <c r="AI63" s="239"/>
      <c r="AJ63" s="238"/>
      <c r="AK63" s="228"/>
      <c r="AL63" s="223"/>
      <c r="AM63" s="230"/>
      <c r="AN63" s="228"/>
      <c r="AO63" s="232"/>
      <c r="AQ63" s="231"/>
      <c r="AR63" s="230"/>
      <c r="AS63" s="224"/>
      <c r="AT63" s="232"/>
      <c r="AV63" s="231"/>
      <c r="AW63" s="230"/>
      <c r="AX63" s="222"/>
      <c r="AY63" s="224"/>
      <c r="AZ63" s="229"/>
      <c r="BA63" s="221"/>
      <c r="BB63" s="228"/>
      <c r="BC63" s="227"/>
      <c r="BD63" s="219" t="str">
        <f>IF(C62&gt;0,"",IF(($J$44)&gt;1,vel(U62,EC62,BJ63),vel(U62,Z62,BJ63)))</f>
        <v/>
      </c>
      <c r="BE63" s="220" t="str">
        <f>IF(C62&gt;0,"",IF(($J$44)&gt;1,EZ62,pdrop(BG63,BA62,Z62,BD63,BH63)))</f>
        <v/>
      </c>
      <c r="BF63" s="219" t="str">
        <f>IF(C62&gt;0,"",(((BD63/60)*Z62)/$AA$12)*((VLOOKUP(BH63,'Pipe Data'!F$7:G$19,2,FALSE))/12))</f>
        <v/>
      </c>
      <c r="BG63" s="218" t="str">
        <f>IF(C62&gt;0,"",(0.25/(LOG(5.74/(BF63^0.9))+((VLOOKUP(BH63,'Pipe Data'!J$7:X$19,15,FALSE))/3.7))^2))</f>
        <v/>
      </c>
      <c r="BH63" s="216">
        <v>4.125</v>
      </c>
      <c r="BI63" s="25">
        <f t="shared" ref="BI63:BI72" si="17">IF(BD63&gt;($BD$44),1,0)</f>
        <v>1</v>
      </c>
      <c r="BJ63" s="217">
        <v>8.1138442517193113E-2</v>
      </c>
      <c r="BK63" s="237">
        <v>4.125</v>
      </c>
      <c r="BL63" s="224"/>
      <c r="BM63" s="224"/>
      <c r="BN63" s="224"/>
      <c r="BO63" s="223"/>
      <c r="BP63" s="222"/>
      <c r="BQ63" s="221"/>
      <c r="BR63" s="221"/>
      <c r="BS63" s="219" t="str">
        <f>IF(C62&gt;0,"",IF($C$3&gt;0,vel(U62,S62,BZ63)/60,vel(U62,S62,BZ63)))</f>
        <v/>
      </c>
      <c r="BT63" s="220" t="str">
        <f>IF(C62&gt;0,"",IF($C$3&gt;0,2.31*pdrop(BW63,BR62,S62,60*BS63,BX63),pdrop(BW63,BR62,S62,BS63,BX63)))</f>
        <v/>
      </c>
      <c r="BU63" s="220"/>
      <c r="BV63" s="219" t="str">
        <f>IF(C62&gt;0,"",IF($C$3&gt;0,(((BS63)*S62)/32.2/T62)*((VLOOKUP(BX63,'Pipe Data'!F$7:G$19,2,FALSE))/12),(((BS63/60)*S62)/T62)*((VLOOKUP(BX63,'Pipe Data'!F$7:G$19,2,FALSE))/12)))</f>
        <v/>
      </c>
      <c r="BW63" s="218" t="str">
        <f>IF(C62&gt;0,"",IF($C$3&gt;0,IF(BV63&lt;2100,64/BV63,(0.25/(LOG(5.74/(BV63^0.9))+((VLOOKUP(BX63,'Pipe Data'!J$7:X$19,15,FALSE))/3.7))^2)),(0.25/(LOG(5.74/(BV63^0.9))+((VLOOKUP(BX63,'Pipe Data'!J$7:X$19,15,FALSE))/3.7))^2)))</f>
        <v/>
      </c>
      <c r="BX63" s="216">
        <v>4.125</v>
      </c>
      <c r="BY63" s="25" t="str">
        <f>IF(C62&gt;0,"",IF($C$3&gt;0,IF(BT63/BR62&lt;=$BY$44/100,0,1),IF(AND(BS63&lt;($BS$44),BT63&lt;($BT$44)),0,1)))</f>
        <v/>
      </c>
      <c r="BZ63" s="217">
        <v>8.1138442517193113E-2</v>
      </c>
      <c r="CA63" s="237">
        <v>4.125</v>
      </c>
      <c r="CC63" s="313"/>
      <c r="CD63" s="317"/>
      <c r="CE63" s="215"/>
      <c r="CF63" s="214"/>
      <c r="CQ63" s="304" t="s">
        <v>154</v>
      </c>
      <c r="CR63" s="213">
        <f t="shared" ref="CR63:DC63" si="18">IF($BI62="",IF($BH62=CR$8,$AZ62,0),IF($BI62=CR$8,$AZ62,0))</f>
        <v>0</v>
      </c>
      <c r="CS63" s="213">
        <f t="shared" si="18"/>
        <v>0</v>
      </c>
      <c r="CT63" s="213">
        <f t="shared" si="18"/>
        <v>0</v>
      </c>
      <c r="CU63" s="213">
        <f t="shared" si="18"/>
        <v>0</v>
      </c>
      <c r="CV63" s="213">
        <f t="shared" si="18"/>
        <v>0</v>
      </c>
      <c r="CW63" s="213">
        <f t="shared" si="18"/>
        <v>0</v>
      </c>
      <c r="CX63" s="213">
        <f t="shared" si="18"/>
        <v>0</v>
      </c>
      <c r="CY63" s="213">
        <f t="shared" si="18"/>
        <v>0</v>
      </c>
      <c r="CZ63" s="213">
        <f t="shared" si="18"/>
        <v>0</v>
      </c>
      <c r="DA63" s="213">
        <f t="shared" si="18"/>
        <v>0</v>
      </c>
      <c r="DB63" s="213">
        <f t="shared" si="18"/>
        <v>0</v>
      </c>
      <c r="DC63" s="213">
        <f t="shared" si="18"/>
        <v>0</v>
      </c>
      <c r="DJ63" s="1620"/>
      <c r="DK63" s="440"/>
      <c r="DL63" s="1619"/>
      <c r="DN63" s="1620"/>
      <c r="DR63" s="1231"/>
      <c r="DS63" s="213"/>
      <c r="DT63" s="213"/>
      <c r="DU63" s="213"/>
      <c r="DV63" s="213"/>
      <c r="DW63" s="213"/>
      <c r="DX63" s="213"/>
      <c r="DY63" s="213"/>
      <c r="DZ63" s="213"/>
      <c r="EA63" s="213"/>
      <c r="EB63" s="213"/>
      <c r="EC63" s="213"/>
      <c r="ED63" s="213"/>
      <c r="EE63" s="213"/>
      <c r="EF63" s="213"/>
      <c r="EG63" s="213"/>
      <c r="EH63" s="213"/>
      <c r="EI63" s="213"/>
      <c r="EJ63" s="213"/>
      <c r="EK63" s="213"/>
      <c r="EL63" s="213"/>
      <c r="EM63" s="213"/>
      <c r="EN63" s="213"/>
      <c r="EO63" s="213"/>
      <c r="EP63" s="213"/>
      <c r="EQ63" s="213"/>
      <c r="ER63" s="213"/>
      <c r="ES63" s="213"/>
      <c r="ET63" s="213"/>
      <c r="EU63" s="213"/>
      <c r="EV63" s="213"/>
      <c r="EW63" s="213"/>
      <c r="EX63" s="213"/>
      <c r="EY63" s="213"/>
      <c r="EZ63" s="213"/>
    </row>
    <row r="64" spans="1:163" ht="12.75" hidden="1" customHeight="1" x14ac:dyDescent="0.2">
      <c r="D64" s="236"/>
      <c r="E64" s="235"/>
      <c r="F64" s="234"/>
      <c r="G64" s="234"/>
      <c r="H64" s="221"/>
      <c r="I64" s="221"/>
      <c r="J64" s="221"/>
      <c r="K64" s="221"/>
      <c r="L64" s="221"/>
      <c r="M64" s="223"/>
      <c r="N64" s="223"/>
      <c r="O64" s="223"/>
      <c r="P64" s="223"/>
      <c r="Q64" s="224"/>
      <c r="R64" s="223"/>
      <c r="S64" s="223"/>
      <c r="T64" s="227"/>
      <c r="U64" s="224"/>
      <c r="V64" s="224"/>
      <c r="W64" s="222"/>
      <c r="X64" s="229"/>
      <c r="Y64" s="221"/>
      <c r="Z64" s="228"/>
      <c r="AA64" s="227"/>
      <c r="AB64" s="219" t="str">
        <f>IF(C62&gt;0,"",IF(($J$44)&gt;1,vel(U62,EC62,AH64),vel(U62,Z62,AH64)))</f>
        <v/>
      </c>
      <c r="AC64" s="220" t="str">
        <f>IF(C62&gt;0,"",pdrop(AE64,Y62,Z62,AB64,AF64))</f>
        <v/>
      </c>
      <c r="AD64" s="219" t="str">
        <f>IF(C62&gt;0,"",(((AB64/60)*Z62)/AA62)*(VLOOKUP(AF64,'Pipe Data'!F$7:G$19,2,FALSE))/12)</f>
        <v/>
      </c>
      <c r="AE64" s="218" t="str">
        <f>IF(C62&gt;0,"",(0.25/(LOG(5.74/(AD64^0.9))+((VLOOKUP(AF64,'Pipe Data'!J$7:X$19,15,FALSE))/3.7))^2))</f>
        <v/>
      </c>
      <c r="AF64" s="216">
        <v>3.625</v>
      </c>
      <c r="AH64" s="217">
        <v>6.2494922713852256E-2</v>
      </c>
      <c r="AI64" s="239"/>
      <c r="AJ64" s="238"/>
      <c r="AK64" s="228"/>
      <c r="AL64" s="223"/>
      <c r="AM64" s="230"/>
      <c r="AN64" s="228"/>
      <c r="AO64" s="232"/>
      <c r="AQ64" s="231"/>
      <c r="AR64" s="230"/>
      <c r="AS64" s="224"/>
      <c r="AT64" s="232"/>
      <c r="AV64" s="231"/>
      <c r="AW64" s="230"/>
      <c r="AX64" s="222"/>
      <c r="AY64" s="224"/>
      <c r="AZ64" s="229"/>
      <c r="BA64" s="221"/>
      <c r="BB64" s="228"/>
      <c r="BC64" s="227"/>
      <c r="BD64" s="219" t="str">
        <f>IF(C62&gt;0,"",IF(($J$44)&gt;1,vel(U62,EC62,BJ64),vel(U62,Z62,BJ64)))</f>
        <v/>
      </c>
      <c r="BE64" s="220" t="str">
        <f>IF(C62&gt;0,"",IF(($J$44)&gt;1,EZ62,pdrop(BG64,BA62,Z62,BD64,BH64)))</f>
        <v/>
      </c>
      <c r="BF64" s="219" t="str">
        <f>IF(C62&gt;0,"",(((BD64/60)*Z62)/$AA$12)*((VLOOKUP(BH64,'Pipe Data'!F$7:G$19,2,FALSE))/12))</f>
        <v/>
      </c>
      <c r="BG64" s="218" t="str">
        <f>IF(C62&gt;0,"",(0.25/(LOG(5.74/(BF64^0.9))+((VLOOKUP(BH64,'Pipe Data'!J$7:X$19,15,FALSE))/3.7))^2))</f>
        <v/>
      </c>
      <c r="BH64" s="216">
        <v>3.625</v>
      </c>
      <c r="BI64" s="25">
        <f t="shared" si="17"/>
        <v>1</v>
      </c>
      <c r="BJ64" s="217">
        <v>6.2494922713852256E-2</v>
      </c>
      <c r="BK64" s="237">
        <v>3.625</v>
      </c>
      <c r="BL64" s="224"/>
      <c r="BM64" s="224"/>
      <c r="BN64" s="224"/>
      <c r="BO64" s="223"/>
      <c r="BP64" s="222"/>
      <c r="BQ64" s="221"/>
      <c r="BR64" s="221"/>
      <c r="BS64" s="219" t="str">
        <f>IF(C62&gt;0,"",IF($C$3&gt;0,vel(U62,S62,BZ64)/60,vel(U62,S62,BZ64)))</f>
        <v/>
      </c>
      <c r="BT64" s="220" t="str">
        <f>IF(C62&gt;0,"",IF($C$3&gt;0,2.31*pdrop(BW64,BR62,S62,60*BS64,BX64),pdrop(BW64,BR62,S62,BS64,BX64)))</f>
        <v/>
      </c>
      <c r="BU64" s="220"/>
      <c r="BV64" s="219" t="str">
        <f>IF(C62&gt;0,"",IF($C$3&gt;0,(((BS64)*S62)/32.2/T62)*((VLOOKUP(BX64,'Pipe Data'!F$7:G$19,2,FALSE))/12),(((BS64/60)*S62)/T62)*((VLOOKUP(BX64,'Pipe Data'!F$7:G$19,2,FALSE))/12)))</f>
        <v/>
      </c>
      <c r="BW64" s="218" t="str">
        <f>IF(C62&gt;0,"",IF($C$3&gt;0,IF(BV64&lt;2100,64/BV64,(0.25/(LOG(5.74/(BV64^0.9))+((VLOOKUP(BX64,'Pipe Data'!J$7:X$19,15,FALSE))/3.7))^2)),(0.25/(LOG(5.74/(BV64^0.9))+((VLOOKUP(BX64,'Pipe Data'!J$7:X$19,15,FALSE))/3.7))^2)))</f>
        <v/>
      </c>
      <c r="BX64" s="216">
        <v>3.625</v>
      </c>
      <c r="BY64" s="25" t="str">
        <f>IF(C62&gt;0,"",IF($C$3&gt;0,IF(BT64/BR62&lt;=$BY$44/100,0,1),IF(AND(BS64&lt;($BS$44),BT64&lt;($BT$44)),0,1)))</f>
        <v/>
      </c>
      <c r="BZ64" s="217">
        <v>6.2494922713852256E-2</v>
      </c>
      <c r="CA64" s="237">
        <v>3.625</v>
      </c>
      <c r="CC64" s="313"/>
      <c r="CD64" s="317"/>
      <c r="CE64" s="215"/>
      <c r="CF64" s="214"/>
      <c r="CQ64" s="304" t="s">
        <v>155</v>
      </c>
      <c r="CR64" s="213">
        <f t="shared" ref="CR64:DC64" si="19">IF($BY62="",IF($BX62=CR$8,$BQ62,0),IF($BY62=CR$8,$BQ62,0))</f>
        <v>0</v>
      </c>
      <c r="CS64" s="213">
        <f t="shared" si="19"/>
        <v>0</v>
      </c>
      <c r="CT64" s="213">
        <f t="shared" si="19"/>
        <v>0</v>
      </c>
      <c r="CU64" s="213">
        <f t="shared" si="19"/>
        <v>0</v>
      </c>
      <c r="CV64" s="213">
        <f t="shared" si="19"/>
        <v>0</v>
      </c>
      <c r="CW64" s="213">
        <f t="shared" si="19"/>
        <v>0</v>
      </c>
      <c r="CX64" s="213">
        <f t="shared" si="19"/>
        <v>0</v>
      </c>
      <c r="CY64" s="213">
        <f t="shared" si="19"/>
        <v>0</v>
      </c>
      <c r="CZ64" s="213">
        <f t="shared" si="19"/>
        <v>0</v>
      </c>
      <c r="DA64" s="213">
        <f t="shared" si="19"/>
        <v>0</v>
      </c>
      <c r="DB64" s="213">
        <f t="shared" si="19"/>
        <v>0</v>
      </c>
      <c r="DC64" s="213">
        <f t="shared" si="19"/>
        <v>0</v>
      </c>
      <c r="DJ64" s="1620"/>
      <c r="DK64" s="440"/>
      <c r="DL64" s="1619"/>
      <c r="DN64" s="1620"/>
      <c r="DR64" s="1231"/>
      <c r="DS64" s="213"/>
      <c r="DT64" s="213"/>
      <c r="DU64" s="213"/>
      <c r="DV64" s="213"/>
      <c r="DW64" s="213"/>
      <c r="DX64" s="213"/>
      <c r="DY64" s="213"/>
      <c r="DZ64" s="213"/>
      <c r="EA64" s="213"/>
      <c r="EB64" s="213"/>
      <c r="EC64" s="213"/>
      <c r="ED64" s="213"/>
      <c r="EE64" s="213"/>
      <c r="EF64" s="213"/>
      <c r="EG64" s="213"/>
      <c r="EH64" s="213"/>
      <c r="EI64" s="213"/>
      <c r="EJ64" s="213"/>
      <c r="EK64" s="213"/>
      <c r="EL64" s="213"/>
      <c r="EM64" s="213"/>
      <c r="EN64" s="213"/>
      <c r="EO64" s="213"/>
      <c r="EP64" s="213"/>
      <c r="EQ64" s="213"/>
      <c r="ER64" s="213"/>
      <c r="ES64" s="213"/>
      <c r="ET64" s="213"/>
      <c r="EU64" s="213"/>
      <c r="EV64" s="213"/>
      <c r="EW64" s="213"/>
      <c r="EX64" s="213"/>
      <c r="EY64" s="213"/>
      <c r="EZ64" s="213"/>
    </row>
    <row r="65" spans="1:156" ht="12.75" hidden="1" customHeight="1" x14ac:dyDescent="0.2">
      <c r="D65" s="236"/>
      <c r="E65" s="235"/>
      <c r="F65" s="234"/>
      <c r="G65" s="234"/>
      <c r="H65" s="221"/>
      <c r="I65" s="221"/>
      <c r="J65" s="221"/>
      <c r="K65" s="221"/>
      <c r="L65" s="221"/>
      <c r="M65" s="223"/>
      <c r="N65" s="223"/>
      <c r="O65" s="223"/>
      <c r="P65" s="223"/>
      <c r="Q65" s="224"/>
      <c r="R65" s="223"/>
      <c r="S65" s="223"/>
      <c r="T65" s="227"/>
      <c r="U65" s="224"/>
      <c r="V65" s="224"/>
      <c r="W65" s="222"/>
      <c r="X65" s="229"/>
      <c r="Y65" s="221"/>
      <c r="Z65" s="228"/>
      <c r="AA65" s="227"/>
      <c r="AB65" s="219" t="str">
        <f>IF(C62&gt;0,"",IF(($J$44)&gt;1,vel(U62,EC62,AH65),vel(U62,Z62,AH65)))</f>
        <v/>
      </c>
      <c r="AC65" s="220" t="str">
        <f>IF(C62&gt;0,"",pdrop(AE65,Y62,Z62,AB65,AF65))</f>
        <v/>
      </c>
      <c r="AD65" s="219" t="str">
        <f>IF(C62&gt;0,"",(((AB65/60)*Z62)/AA62)*(VLOOKUP(AF65,'Pipe Data'!F$7:G$19,2,FALSE))/12)</f>
        <v/>
      </c>
      <c r="AE65" s="218" t="str">
        <f>IF(C62&gt;0,"",(0.25/(LOG(5.74/(AD65^0.9))+((VLOOKUP(AF65,'Pipe Data'!J$7:X$19,15,FALSE))/3.7))^2))</f>
        <v/>
      </c>
      <c r="AF65" s="216">
        <v>3.125</v>
      </c>
      <c r="AH65" s="217">
        <v>4.6091140306364464E-2</v>
      </c>
      <c r="AI65" s="239"/>
      <c r="AJ65" s="238"/>
      <c r="AK65" s="228"/>
      <c r="AL65" s="223"/>
      <c r="AM65" s="230"/>
      <c r="AN65" s="228"/>
      <c r="AO65" s="232"/>
      <c r="AQ65" s="231"/>
      <c r="AR65" s="230"/>
      <c r="AS65" s="224"/>
      <c r="AT65" s="232"/>
      <c r="AV65" s="231"/>
      <c r="AW65" s="230"/>
      <c r="AX65" s="222"/>
      <c r="AY65" s="224"/>
      <c r="AZ65" s="229"/>
      <c r="BA65" s="221"/>
      <c r="BB65" s="228"/>
      <c r="BC65" s="227"/>
      <c r="BD65" s="219" t="str">
        <f>IF(C62&gt;0,"",IF(($J$44)&gt;1,vel(U62,EC62,BJ65),vel(U62,Z62,BJ65)))</f>
        <v/>
      </c>
      <c r="BE65" s="220" t="str">
        <f>IF(C62&gt;0,"",IF(($J$44)&gt;1,EZ62,pdrop(BG65,BA62,Z62,BD65,BH65)))</f>
        <v/>
      </c>
      <c r="BF65" s="219" t="str">
        <f>IF(C62&gt;0,"",(((BD65/60)*Z62)/$AA$12)*((VLOOKUP(BH65,'Pipe Data'!F$7:G$19,2,FALSE))/12))</f>
        <v/>
      </c>
      <c r="BG65" s="218" t="str">
        <f>IF(C62&gt;0,"",(0.25/(LOG(5.74/(BF65^0.9))+((VLOOKUP(BH65,'Pipe Data'!J$7:X$19,15,FALSE))/3.7))^2))</f>
        <v/>
      </c>
      <c r="BH65" s="216">
        <v>3.125</v>
      </c>
      <c r="BI65" s="25">
        <f t="shared" si="17"/>
        <v>1</v>
      </c>
      <c r="BJ65" s="217">
        <v>4.6091140306364464E-2</v>
      </c>
      <c r="BK65" s="237">
        <v>3.125</v>
      </c>
      <c r="BL65" s="224"/>
      <c r="BM65" s="224"/>
      <c r="BN65" s="224"/>
      <c r="BO65" s="223"/>
      <c r="BP65" s="222"/>
      <c r="BQ65" s="221"/>
      <c r="BR65" s="221"/>
      <c r="BS65" s="219" t="str">
        <f>IF(C62&gt;0,"",IF($C$3&gt;0,vel(U62,S62,BZ65)/60,vel(U62,S62,BZ65)))</f>
        <v/>
      </c>
      <c r="BT65" s="220" t="str">
        <f>IF(C62&gt;0,"",IF($C$3&gt;0,2.31*pdrop(BW65,BR62,S62,60*BS65,BX65),pdrop(BW65,BR62,S62,BS65,BX65)))</f>
        <v/>
      </c>
      <c r="BU65" s="220"/>
      <c r="BV65" s="219" t="str">
        <f>IF(C62&gt;0,"",IF($C$3&gt;0,(((BS65)*S62)/32.2/T62)*((VLOOKUP(BX65,'Pipe Data'!F$7:G$19,2,FALSE))/12),(((BS65/60)*S62)/T62)*((VLOOKUP(BX65,'Pipe Data'!F$7:G$19,2,FALSE))/12)))</f>
        <v/>
      </c>
      <c r="BW65" s="218" t="str">
        <f>IF(C62&gt;0,"",IF($C$3&gt;0,IF(BV65&lt;2100,64/BV65,(0.25/(LOG(5.74/(BV65^0.9))+((VLOOKUP(BX65,'Pipe Data'!J$7:X$19,15,FALSE))/3.7))^2)),(0.25/(LOG(5.74/(BV65^0.9))+((VLOOKUP(BX65,'Pipe Data'!J$7:X$19,15,FALSE))/3.7))^2)))</f>
        <v/>
      </c>
      <c r="BX65" s="216">
        <v>3.125</v>
      </c>
      <c r="BY65" s="25" t="str">
        <f>IF(C62&gt;0,"",IF($C$3&gt;0,IF(BT65/BR62&lt;=$BY$44/100,0,1),IF(AND(BS65&lt;($BS$44),BT65&lt;($BT$44)),0,1)))</f>
        <v/>
      </c>
      <c r="BZ65" s="217">
        <v>4.6091140306364464E-2</v>
      </c>
      <c r="CA65" s="237">
        <v>3.125</v>
      </c>
      <c r="CC65" s="313"/>
      <c r="CD65" s="317"/>
      <c r="CE65" s="215"/>
      <c r="CF65" s="214"/>
      <c r="CQ65" s="25" t="s">
        <v>172</v>
      </c>
      <c r="CR65" s="213">
        <f t="shared" ref="CR65:DC65" si="20">IF($W62="double",IF($AP62="",IF($AO62=CR$8,$X62,0),IF($AP62=CR$8,$X62,0)),0)</f>
        <v>0</v>
      </c>
      <c r="CS65" s="213">
        <f t="shared" si="20"/>
        <v>0</v>
      </c>
      <c r="CT65" s="213">
        <f t="shared" si="20"/>
        <v>0</v>
      </c>
      <c r="CU65" s="213">
        <f t="shared" si="20"/>
        <v>0</v>
      </c>
      <c r="CV65" s="213">
        <f t="shared" si="20"/>
        <v>0</v>
      </c>
      <c r="CW65" s="213">
        <f t="shared" si="20"/>
        <v>0</v>
      </c>
      <c r="CX65" s="213">
        <f t="shared" si="20"/>
        <v>0</v>
      </c>
      <c r="CY65" s="213">
        <f t="shared" si="20"/>
        <v>0</v>
      </c>
      <c r="CZ65" s="213">
        <f t="shared" si="20"/>
        <v>0</v>
      </c>
      <c r="DA65" s="213">
        <f t="shared" si="20"/>
        <v>0</v>
      </c>
      <c r="DB65" s="213">
        <f t="shared" si="20"/>
        <v>0</v>
      </c>
      <c r="DC65" s="213">
        <f t="shared" si="20"/>
        <v>0</v>
      </c>
      <c r="DJ65" s="1620"/>
      <c r="DK65" s="440"/>
      <c r="DL65" s="1619"/>
      <c r="DN65" s="1620"/>
      <c r="DR65" s="1231"/>
      <c r="DS65" s="213"/>
      <c r="DT65" s="213"/>
      <c r="DU65" s="213"/>
      <c r="DV65" s="213"/>
      <c r="DW65" s="213"/>
      <c r="DX65" s="213"/>
      <c r="DY65" s="213"/>
      <c r="DZ65" s="213"/>
      <c r="EA65" s="213"/>
      <c r="EB65" s="213"/>
      <c r="EC65" s="213"/>
      <c r="ED65" s="213"/>
      <c r="EE65" s="213"/>
      <c r="EF65" s="213"/>
      <c r="EG65" s="213"/>
      <c r="EH65" s="213"/>
      <c r="EI65" s="213"/>
      <c r="EJ65" s="213"/>
      <c r="EK65" s="213"/>
      <c r="EL65" s="213"/>
      <c r="EM65" s="213"/>
      <c r="EN65" s="213"/>
      <c r="EO65" s="213"/>
      <c r="EP65" s="213"/>
      <c r="EQ65" s="213"/>
      <c r="ER65" s="213"/>
      <c r="ES65" s="213"/>
      <c r="ET65" s="213"/>
      <c r="EU65" s="213"/>
      <c r="EV65" s="213"/>
      <c r="EW65" s="213"/>
      <c r="EX65" s="213"/>
      <c r="EY65" s="213"/>
      <c r="EZ65" s="213"/>
    </row>
    <row r="66" spans="1:156" ht="12.75" hidden="1" customHeight="1" x14ac:dyDescent="0.2">
      <c r="D66" s="236"/>
      <c r="E66" s="235"/>
      <c r="F66" s="234"/>
      <c r="G66" s="234"/>
      <c r="H66" s="221"/>
      <c r="I66" s="221"/>
      <c r="J66" s="221"/>
      <c r="K66" s="221"/>
      <c r="L66" s="221"/>
      <c r="M66" s="223"/>
      <c r="N66" s="223"/>
      <c r="O66" s="223"/>
      <c r="P66" s="223"/>
      <c r="Q66" s="224"/>
      <c r="R66" s="223"/>
      <c r="S66" s="223"/>
      <c r="T66" s="227"/>
      <c r="U66" s="224"/>
      <c r="V66" s="224"/>
      <c r="W66" s="222"/>
      <c r="X66" s="229"/>
      <c r="Y66" s="221"/>
      <c r="Z66" s="228"/>
      <c r="AA66" s="227"/>
      <c r="AB66" s="219" t="str">
        <f>IF(C62&gt;0,"",IF(($J$44)&gt;1,vel(U62,EC62,AH66),vel(U62,Z62,AH66)))</f>
        <v/>
      </c>
      <c r="AC66" s="220" t="str">
        <f>IF(C62&gt;0,"",pdrop(AE66,Y62,Z62,AB66,AF66))</f>
        <v/>
      </c>
      <c r="AD66" s="219" t="str">
        <f>IF(C62&gt;0,"",(((AB66/60)*Z62)/AA62)*(VLOOKUP(AF66,'Pipe Data'!F$7:G$19,2,FALSE))/12)</f>
        <v/>
      </c>
      <c r="AE66" s="218" t="str">
        <f>IF(C62&gt;0,"",(0.25/(LOG(5.74/(AD66^0.9))+((VLOOKUP(AF66,'Pipe Data'!J$7:X$19,15,FALSE))/3.7))^2))</f>
        <v/>
      </c>
      <c r="AF66" s="216">
        <v>2.625</v>
      </c>
      <c r="AH66" s="217">
        <v>3.2338905731737741E-2</v>
      </c>
      <c r="AI66" s="239"/>
      <c r="AJ66" s="238"/>
      <c r="AK66" s="228"/>
      <c r="AL66" s="223"/>
      <c r="AM66" s="230"/>
      <c r="AN66" s="228"/>
      <c r="AO66" s="232"/>
      <c r="AQ66" s="231"/>
      <c r="AR66" s="230"/>
      <c r="AS66" s="224"/>
      <c r="AT66" s="232"/>
      <c r="AV66" s="231"/>
      <c r="AW66" s="230"/>
      <c r="AX66" s="222"/>
      <c r="AY66" s="224"/>
      <c r="AZ66" s="229"/>
      <c r="BA66" s="221"/>
      <c r="BB66" s="228"/>
      <c r="BC66" s="227"/>
      <c r="BD66" s="219" t="str">
        <f>IF(C62&gt;0,"",IF(($J$44)&gt;1,vel(U62,EC62,BJ66),vel(U62,Z62,BJ66)))</f>
        <v/>
      </c>
      <c r="BE66" s="220" t="str">
        <f>IF(C62&gt;0,"",IF(($J$44)&gt;1,EZ62,pdrop(BG66,BA62,Z62,BD66,BH66)))</f>
        <v/>
      </c>
      <c r="BF66" s="219" t="str">
        <f>IF(C62&gt;0,"",(((BD66/60)*Z62)/$AA$12)*((VLOOKUP(BH66,'Pipe Data'!F$7:G$19,2,FALSE))/12))</f>
        <v/>
      </c>
      <c r="BG66" s="218" t="str">
        <f>IF(C62&gt;0,"",(0.25/(LOG(5.74/(BF66^0.9))+((VLOOKUP(BH66,'Pipe Data'!J$7:X$19,15,FALSE))/3.7))^2))</f>
        <v/>
      </c>
      <c r="BH66" s="216">
        <v>2.625</v>
      </c>
      <c r="BI66" s="25">
        <f t="shared" si="17"/>
        <v>1</v>
      </c>
      <c r="BJ66" s="217">
        <v>3.2338905731737741E-2</v>
      </c>
      <c r="BK66" s="237">
        <v>2.625</v>
      </c>
      <c r="BL66" s="224"/>
      <c r="BM66" s="224"/>
      <c r="BN66" s="224"/>
      <c r="BO66" s="223"/>
      <c r="BP66" s="222"/>
      <c r="BQ66" s="221"/>
      <c r="BR66" s="221"/>
      <c r="BS66" s="219" t="str">
        <f>IF(C62&gt;0,"",IF($C$3&gt;0,vel(U62,S62,BZ66)/60,vel(U62,S62,BZ66)))</f>
        <v/>
      </c>
      <c r="BT66" s="220" t="str">
        <f>IF(C62&gt;0,"",IF($C$3&gt;0,2.31*pdrop(BW66,BR62,S62,60*BS66,BX66),pdrop(BW66,BR62,S62,BS66,BX66)))</f>
        <v/>
      </c>
      <c r="BU66" s="220"/>
      <c r="BV66" s="219" t="str">
        <f>IF(C62&gt;0,"",IF($C$3&gt;0,(((BS66)*S62)/32.2/T62)*((VLOOKUP(BX66,'Pipe Data'!F$7:G$19,2,FALSE))/12),(((BS66/60)*S62)/T62)*((VLOOKUP(BX66,'Pipe Data'!F$7:G$19,2,FALSE))/12)))</f>
        <v/>
      </c>
      <c r="BW66" s="218" t="str">
        <f>IF(C62&gt;0,"",IF($C$3&gt;0,IF(BV66&lt;2100,64/BV66,(0.25/(LOG(5.74/(BV66^0.9))+((VLOOKUP(BX66,'Pipe Data'!J$7:X$19,15,FALSE))/3.7))^2)),(0.25/(LOG(5.74/(BV66^0.9))+((VLOOKUP(BX66,'Pipe Data'!J$7:X$19,15,FALSE))/3.7))^2)))</f>
        <v/>
      </c>
      <c r="BX66" s="216">
        <v>2.625</v>
      </c>
      <c r="BY66" s="25" t="str">
        <f>IF(C62&gt;0,"",IF($C$3&gt;0,IF(BT66/BR62&lt;=$BY$44/100,0,1),IF(AND(BS66&lt;($BS$44),BT66&lt;($BT$44)),0,1)))</f>
        <v/>
      </c>
      <c r="BZ66" s="217">
        <v>3.2338905731737741E-2</v>
      </c>
      <c r="CA66" s="237">
        <v>2.625</v>
      </c>
      <c r="CC66" s="313"/>
      <c r="CD66" s="317"/>
      <c r="CE66" s="215"/>
      <c r="CF66" s="214"/>
      <c r="CQ66" s="25" t="s">
        <v>173</v>
      </c>
      <c r="CR66" s="213">
        <f t="shared" ref="CR66:DC66" si="21">IF($W62="double",IF($AU62="",IF($AT62=CR$8,$X62,0),IF($AU62=CR$8,$X62,0)),0)</f>
        <v>0</v>
      </c>
      <c r="CS66" s="213">
        <f t="shared" si="21"/>
        <v>0</v>
      </c>
      <c r="CT66" s="213">
        <f t="shared" si="21"/>
        <v>0</v>
      </c>
      <c r="CU66" s="213">
        <f t="shared" si="21"/>
        <v>0</v>
      </c>
      <c r="CV66" s="213">
        <f t="shared" si="21"/>
        <v>0</v>
      </c>
      <c r="CW66" s="213">
        <f t="shared" si="21"/>
        <v>0</v>
      </c>
      <c r="CX66" s="213">
        <f t="shared" si="21"/>
        <v>0</v>
      </c>
      <c r="CY66" s="213">
        <f t="shared" si="21"/>
        <v>0</v>
      </c>
      <c r="CZ66" s="213">
        <f t="shared" si="21"/>
        <v>0</v>
      </c>
      <c r="DA66" s="213">
        <f t="shared" si="21"/>
        <v>0</v>
      </c>
      <c r="DB66" s="213">
        <f t="shared" si="21"/>
        <v>0</v>
      </c>
      <c r="DC66" s="213">
        <f t="shared" si="21"/>
        <v>0</v>
      </c>
      <c r="DJ66" s="1620"/>
      <c r="DK66" s="440"/>
      <c r="DL66" s="1619"/>
      <c r="DN66" s="1620"/>
      <c r="DR66" s="1231"/>
      <c r="DS66" s="213"/>
      <c r="DT66" s="213"/>
      <c r="DU66" s="213"/>
      <c r="DV66" s="213"/>
      <c r="DW66" s="213"/>
      <c r="DX66" s="213"/>
      <c r="DY66" s="213"/>
      <c r="DZ66" s="213"/>
      <c r="EA66" s="213"/>
      <c r="EB66" s="213"/>
      <c r="EC66" s="213"/>
      <c r="ED66" s="213"/>
      <c r="EE66" s="213"/>
      <c r="EF66" s="213"/>
      <c r="EG66" s="213"/>
      <c r="EH66" s="213"/>
      <c r="EI66" s="213"/>
      <c r="EJ66" s="213"/>
      <c r="EK66" s="213"/>
      <c r="EL66" s="213"/>
      <c r="EM66" s="213"/>
      <c r="EN66" s="213"/>
      <c r="EO66" s="213"/>
      <c r="EP66" s="213"/>
      <c r="EQ66" s="213"/>
      <c r="ER66" s="213"/>
      <c r="ES66" s="213"/>
      <c r="ET66" s="213"/>
      <c r="EU66" s="213"/>
      <c r="EV66" s="213"/>
      <c r="EW66" s="213"/>
      <c r="EX66" s="213"/>
      <c r="EY66" s="213"/>
      <c r="EZ66" s="213"/>
    </row>
    <row r="67" spans="1:156" ht="12.75" hidden="1" customHeight="1" x14ac:dyDescent="0.2">
      <c r="D67" s="236"/>
      <c r="E67" s="235"/>
      <c r="F67" s="234"/>
      <c r="G67" s="234"/>
      <c r="H67" s="221"/>
      <c r="I67" s="221"/>
      <c r="J67" s="221"/>
      <c r="K67" s="221"/>
      <c r="L67" s="221"/>
      <c r="M67" s="223"/>
      <c r="N67" s="223"/>
      <c r="O67" s="223"/>
      <c r="P67" s="223"/>
      <c r="Q67" s="224"/>
      <c r="R67" s="223"/>
      <c r="S67" s="223"/>
      <c r="T67" s="227"/>
      <c r="U67" s="224"/>
      <c r="V67" s="224"/>
      <c r="W67" s="222"/>
      <c r="X67" s="229"/>
      <c r="Y67" s="221"/>
      <c r="Z67" s="228"/>
      <c r="AA67" s="227"/>
      <c r="AB67" s="219" t="str">
        <f>IF(C62&gt;0,"",IF(($J$44)&gt;1,vel(U62,EC62,AH67),vel(U62,Z62,AH67)))</f>
        <v/>
      </c>
      <c r="AC67" s="220" t="str">
        <f>IF(C62&gt;0,"",pdrop(AE67,Y62,Z62,AB67,AF67))</f>
        <v/>
      </c>
      <c r="AD67" s="219" t="str">
        <f>IF(C62&gt;0,"",(((AB67/60)*Z62)/AA62)*(VLOOKUP(AF67,'Pipe Data'!F$7:G$19,2,FALSE))/12)</f>
        <v/>
      </c>
      <c r="AE67" s="218" t="str">
        <f>IF(C62&gt;0,"",(0.25/(LOG(5.74/(AD67^0.9))+((VLOOKUP(AF67,'Pipe Data'!J$7:X$19,15,FALSE))/3.7))^2))</f>
        <v/>
      </c>
      <c r="AF67" s="216">
        <v>2.125</v>
      </c>
      <c r="AH67" s="217">
        <v>2.0931302841008911E-2</v>
      </c>
      <c r="AI67" s="239"/>
      <c r="AJ67" s="238"/>
      <c r="AK67" s="228"/>
      <c r="AL67" s="223"/>
      <c r="AM67" s="230"/>
      <c r="AN67" s="228"/>
      <c r="AO67" s="232"/>
      <c r="AQ67" s="231"/>
      <c r="AR67" s="230"/>
      <c r="AS67" s="224"/>
      <c r="AT67" s="232"/>
      <c r="AV67" s="231"/>
      <c r="AW67" s="230"/>
      <c r="AX67" s="222"/>
      <c r="AY67" s="224"/>
      <c r="AZ67" s="229"/>
      <c r="BA67" s="221"/>
      <c r="BB67" s="228"/>
      <c r="BC67" s="227"/>
      <c r="BD67" s="219" t="str">
        <f>IF(C62&gt;0,"",IF(($J$44)&gt;1,vel(U62,EC62,BJ67),vel(U62,Z62,BJ67)))</f>
        <v/>
      </c>
      <c r="BE67" s="220" t="str">
        <f>IF(C62&gt;0,"",IF(($J$44)&gt;1,EZ62,pdrop(BG67,BA62,Z62,BD67,BH67)))</f>
        <v/>
      </c>
      <c r="BF67" s="219" t="str">
        <f>IF(C62&gt;0,"",(((BD67/60)*Z62)/$AA$12)*((VLOOKUP(BH67,'Pipe Data'!F$7:G$19,2,FALSE))/12))</f>
        <v/>
      </c>
      <c r="BG67" s="218" t="str">
        <f>IF(C62&gt;0,"",(0.25/(LOG(5.74/(BF67^0.9))+((VLOOKUP(BH67,'Pipe Data'!J$7:X$19,15,FALSE))/3.7))^2))</f>
        <v/>
      </c>
      <c r="BH67" s="216">
        <v>2.125</v>
      </c>
      <c r="BI67" s="25">
        <f t="shared" si="17"/>
        <v>1</v>
      </c>
      <c r="BJ67" s="217">
        <v>2.0931302841008911E-2</v>
      </c>
      <c r="BK67" s="237">
        <v>2.125</v>
      </c>
      <c r="BL67" s="224"/>
      <c r="BM67" s="224"/>
      <c r="BN67" s="224"/>
      <c r="BO67" s="223"/>
      <c r="BP67" s="222"/>
      <c r="BQ67" s="221"/>
      <c r="BR67" s="221"/>
      <c r="BS67" s="219" t="str">
        <f>IF(C62&gt;0,"",IF($C$3&gt;0,vel(U62,S62,BZ67)/60,vel(U62,S62,BZ67)))</f>
        <v/>
      </c>
      <c r="BT67" s="220" t="str">
        <f>IF(C62&gt;0,"",IF($C$3&gt;0,2.31*pdrop(BW67,BR62,S62,60*BS67,BX67),pdrop(BW67,BR62,S62,BS67,BX67)))</f>
        <v/>
      </c>
      <c r="BU67" s="220"/>
      <c r="BV67" s="219" t="str">
        <f>IF(C62&gt;0,"",IF($C$3&gt;0,(((BS67)*S62)/32.2/T62)*((VLOOKUP(BX67,'Pipe Data'!F$7:G$19,2,FALSE))/12),(((BS67/60)*S62)/T62)*((VLOOKUP(BX67,'Pipe Data'!F$7:G$19,2,FALSE))/12)))</f>
        <v/>
      </c>
      <c r="BW67" s="218" t="str">
        <f>IF(C62&gt;0,"",IF($C$3&gt;0,IF(BV67&lt;2100,64/BV67,(0.25/(LOG(5.74/(BV67^0.9))+((VLOOKUP(BX67,'Pipe Data'!J$7:X$19,15,FALSE))/3.7))^2)),(0.25/(LOG(5.74/(BV67^0.9))+((VLOOKUP(BX67,'Pipe Data'!J$7:X$19,15,FALSE))/3.7))^2)))</f>
        <v/>
      </c>
      <c r="BX67" s="216">
        <v>2.125</v>
      </c>
      <c r="BY67" s="25" t="str">
        <f>IF(C62&gt;0,"",IF($C$3&gt;0,IF(BT67/BR62&lt;=$BY$44/100,0,1),IF(AND(BS67&lt;($BS$44),BT67&lt;($BT$44)),0,1)))</f>
        <v/>
      </c>
      <c r="BZ67" s="217">
        <v>2.0931302841008911E-2</v>
      </c>
      <c r="CA67" s="237">
        <v>2.125</v>
      </c>
      <c r="CC67" s="313"/>
      <c r="CD67" s="317"/>
      <c r="CE67" s="215"/>
      <c r="CF67" s="214"/>
      <c r="DJ67" s="1620"/>
      <c r="DK67" s="440"/>
      <c r="DL67" s="1619"/>
      <c r="DN67" s="1620"/>
      <c r="DR67" s="1231"/>
      <c r="DS67" s="213"/>
      <c r="DT67" s="213"/>
      <c r="DU67" s="213"/>
      <c r="DV67" s="213"/>
      <c r="DW67" s="213"/>
      <c r="DX67" s="213"/>
      <c r="DY67" s="213"/>
      <c r="DZ67" s="213"/>
      <c r="EA67" s="213"/>
      <c r="EB67" s="213"/>
      <c r="EC67" s="213"/>
      <c r="ED67" s="213"/>
      <c r="EE67" s="213"/>
      <c r="EF67" s="213"/>
      <c r="EG67" s="213"/>
      <c r="EH67" s="213"/>
      <c r="EI67" s="213"/>
      <c r="EJ67" s="213"/>
      <c r="EK67" s="213"/>
      <c r="EL67" s="213"/>
      <c r="EM67" s="213"/>
      <c r="EN67" s="213"/>
      <c r="EO67" s="213"/>
      <c r="EP67" s="213"/>
      <c r="EQ67" s="213"/>
      <c r="ER67" s="213"/>
      <c r="ES67" s="213"/>
      <c r="ET67" s="213"/>
      <c r="EU67" s="213"/>
      <c r="EV67" s="213"/>
      <c r="EW67" s="213"/>
      <c r="EX67" s="213"/>
      <c r="EY67" s="213"/>
      <c r="EZ67" s="213"/>
    </row>
    <row r="68" spans="1:156" ht="12.75" hidden="1" customHeight="1" x14ac:dyDescent="0.2">
      <c r="D68" s="236"/>
      <c r="E68" s="235"/>
      <c r="F68" s="234"/>
      <c r="G68" s="234"/>
      <c r="H68" s="221"/>
      <c r="I68" s="221"/>
      <c r="J68" s="221"/>
      <c r="K68" s="221"/>
      <c r="L68" s="221"/>
      <c r="M68" s="223"/>
      <c r="N68" s="223"/>
      <c r="O68" s="223"/>
      <c r="P68" s="223"/>
      <c r="Q68" s="224"/>
      <c r="R68" s="223"/>
      <c r="S68" s="223"/>
      <c r="T68" s="227"/>
      <c r="U68" s="224"/>
      <c r="V68" s="224"/>
      <c r="W68" s="222"/>
      <c r="X68" s="229"/>
      <c r="Y68" s="221"/>
      <c r="Z68" s="228"/>
      <c r="AA68" s="227"/>
      <c r="AB68" s="219" t="str">
        <f>IF(C62&gt;0,"",IF(($J$44)&gt;1,vel(U62,EC62,AH68),vel(U62,Z62,AH68)))</f>
        <v/>
      </c>
      <c r="AC68" s="220" t="str">
        <f>IF(C62&gt;0,"",pdrop(AE68,Y62,Z62,AB68,AF68))</f>
        <v/>
      </c>
      <c r="AD68" s="219" t="str">
        <f>IF(C62&gt;0,"",(((AB68/60)*Z62)/AA62)*(VLOOKUP(AF68,'Pipe Data'!F$7:G$19,2,FALSE))/12)</f>
        <v/>
      </c>
      <c r="AE68" s="218" t="str">
        <f>IF(C62&gt;0,"",(0.25/(LOG(5.74/(AD68^0.9))+((VLOOKUP(AF68,'Pipe Data'!J$7:X$19,15,FALSE))/3.7))^2))</f>
        <v/>
      </c>
      <c r="AF68" s="216">
        <v>1.625</v>
      </c>
      <c r="AH68" s="217">
        <v>1.2353794965620174E-2</v>
      </c>
      <c r="AI68" s="239"/>
      <c r="AJ68" s="238"/>
      <c r="AK68" s="228"/>
      <c r="AL68" s="223"/>
      <c r="AM68" s="230"/>
      <c r="AN68" s="228"/>
      <c r="AO68" s="232"/>
      <c r="AQ68" s="231"/>
      <c r="AR68" s="230"/>
      <c r="AS68" s="224"/>
      <c r="AT68" s="232"/>
      <c r="AV68" s="231"/>
      <c r="AW68" s="230"/>
      <c r="AX68" s="222"/>
      <c r="AY68" s="224"/>
      <c r="AZ68" s="229"/>
      <c r="BA68" s="221"/>
      <c r="BB68" s="228"/>
      <c r="BC68" s="227"/>
      <c r="BD68" s="219" t="str">
        <f>IF(C62&gt;0,"",IF(($J$44)&gt;1,vel(U62,EC62,BJ68),vel(U62,Z62,BJ68)))</f>
        <v/>
      </c>
      <c r="BE68" s="220" t="str">
        <f>IF(C62&gt;0,"",IF(($J$44)&gt;1,EZ62,pdrop(BG68,BA62,Z62,BD68,BH68)))</f>
        <v/>
      </c>
      <c r="BF68" s="219" t="str">
        <f>IF(C62&gt;0,"",(((BD68/60)*Z62)/$AA$12)*((VLOOKUP(BH68,'Pipe Data'!F$7:G$19,2,FALSE))/12))</f>
        <v/>
      </c>
      <c r="BG68" s="218" t="str">
        <f>IF(C62&gt;0,"",(0.25/(LOG(5.74/(BF68^0.9))+((VLOOKUP(BH68,'Pipe Data'!J$7:X$19,15,FALSE))/3.7))^2))</f>
        <v/>
      </c>
      <c r="BH68" s="216">
        <v>1.625</v>
      </c>
      <c r="BI68" s="25">
        <f t="shared" si="17"/>
        <v>1</v>
      </c>
      <c r="BJ68" s="217">
        <v>1.2353794965620174E-2</v>
      </c>
      <c r="BK68" s="237">
        <v>1.625</v>
      </c>
      <c r="BL68" s="224"/>
      <c r="BM68" s="224"/>
      <c r="BN68" s="224"/>
      <c r="BO68" s="223"/>
      <c r="BP68" s="222"/>
      <c r="BQ68" s="221"/>
      <c r="BR68" s="221"/>
      <c r="BS68" s="219" t="str">
        <f>IF(C62&gt;0,"",IF($C$3&gt;0,vel(U62,S62,BZ68)/60,vel(U62,S62,BZ68)))</f>
        <v/>
      </c>
      <c r="BT68" s="220" t="str">
        <f>IF(C62&gt;0,"",IF($C$3&gt;0,2.31*pdrop(BW68,BR62,S62,60*BS68,BX68),pdrop(BW68,BR62,S62,BS68,BX68)))</f>
        <v/>
      </c>
      <c r="BU68" s="220"/>
      <c r="BV68" s="219" t="str">
        <f>IF(C62&gt;0,"",IF($C$3&gt;0,(((BS68)*S62)/32.2/T62)*((VLOOKUP(BX68,'Pipe Data'!F$7:G$19,2,FALSE))/12),(((BS68/60)*S62)/T62)*((VLOOKUP(BX68,'Pipe Data'!F$7:G$19,2,FALSE))/12)))</f>
        <v/>
      </c>
      <c r="BW68" s="218" t="str">
        <f>IF(C62&gt;0,"",IF($C$3&gt;0,IF(BV68&lt;2100,64/BV68,(0.25/(LOG(5.74/(BV68^0.9))+((VLOOKUP(BX68,'Pipe Data'!J$7:X$19,15,FALSE))/3.7))^2)),(0.25/(LOG(5.74/(BV68^0.9))+((VLOOKUP(BX68,'Pipe Data'!J$7:X$19,15,FALSE))/3.7))^2)))</f>
        <v/>
      </c>
      <c r="BX68" s="216">
        <v>1.625</v>
      </c>
      <c r="BY68" s="25" t="str">
        <f>IF(C62&gt;0,"",IF($C$3&gt;0,IF(BT68/BR62&lt;=$BY$44/100,0,1),IF(AND(BS68&lt;($BS$44),BT68&lt;($BT$44)),0,1)))</f>
        <v/>
      </c>
      <c r="BZ68" s="217">
        <v>1.2353794965620174E-2</v>
      </c>
      <c r="CA68" s="237">
        <v>1.625</v>
      </c>
      <c r="CC68" s="313"/>
      <c r="CD68" s="317"/>
      <c r="CE68" s="215"/>
      <c r="CF68" s="214"/>
      <c r="DJ68" s="1620"/>
      <c r="DK68" s="440"/>
      <c r="DL68" s="1619"/>
      <c r="DN68" s="1620"/>
      <c r="DR68" s="1231"/>
      <c r="DS68" s="213"/>
      <c r="DT68" s="213"/>
      <c r="DU68" s="213"/>
      <c r="DV68" s="213"/>
      <c r="DW68" s="213"/>
      <c r="DX68" s="213"/>
      <c r="DY68" s="213"/>
      <c r="DZ68" s="213"/>
      <c r="EA68" s="213"/>
      <c r="EB68" s="213"/>
      <c r="EC68" s="213"/>
      <c r="ED68" s="213"/>
      <c r="EE68" s="213"/>
      <c r="EF68" s="213"/>
      <c r="EG68" s="213"/>
      <c r="EH68" s="213"/>
      <c r="EI68" s="213"/>
      <c r="EJ68" s="213"/>
      <c r="EK68" s="213"/>
      <c r="EL68" s="213"/>
      <c r="EM68" s="213"/>
      <c r="EN68" s="213"/>
      <c r="EO68" s="213"/>
      <c r="EP68" s="213"/>
      <c r="EQ68" s="213"/>
      <c r="ER68" s="213"/>
      <c r="ES68" s="213"/>
      <c r="ET68" s="213"/>
      <c r="EU68" s="213"/>
      <c r="EV68" s="213"/>
      <c r="EW68" s="213"/>
      <c r="EX68" s="213"/>
      <c r="EY68" s="213"/>
      <c r="EZ68" s="213"/>
    </row>
    <row r="69" spans="1:156" ht="12.75" hidden="1" customHeight="1" x14ac:dyDescent="0.2">
      <c r="D69" s="236"/>
      <c r="E69" s="235"/>
      <c r="F69" s="234"/>
      <c r="G69" s="234"/>
      <c r="H69" s="221"/>
      <c r="I69" s="221"/>
      <c r="J69" s="221"/>
      <c r="K69" s="221"/>
      <c r="L69" s="221"/>
      <c r="M69" s="223"/>
      <c r="N69" s="223"/>
      <c r="O69" s="223"/>
      <c r="P69" s="223"/>
      <c r="Q69" s="224"/>
      <c r="R69" s="223"/>
      <c r="S69" s="223"/>
      <c r="T69" s="227"/>
      <c r="U69" s="224"/>
      <c r="V69" s="224"/>
      <c r="W69" s="222"/>
      <c r="X69" s="229"/>
      <c r="Y69" s="221"/>
      <c r="Z69" s="228"/>
      <c r="AA69" s="227"/>
      <c r="AB69" s="219" t="str">
        <f>IF(C62&gt;0,"",IF(($J$44)&gt;1,vel(U62,EC62,AH69),vel(U62,Z62,AH69)))</f>
        <v/>
      </c>
      <c r="AC69" s="220" t="str">
        <f>IF(C62&gt;0,"",pdrop(AE69,Y62,Z62,AB69,AF69))</f>
        <v/>
      </c>
      <c r="AD69" s="219" t="str">
        <f>IF(C62&gt;0,"",(((AB69/60)*Z62)/AA62)*(VLOOKUP(AF69,'Pipe Data'!F$7:G$19,2,FALSE))/12)</f>
        <v/>
      </c>
      <c r="AE69" s="218" t="str">
        <f>IF(C62&gt;0,"",(0.25/(LOG(5.74/(AD69^0.9))+((VLOOKUP(AF69,'Pipe Data'!J$7:X$19,15,FALSE))/3.7))^2))</f>
        <v/>
      </c>
      <c r="AF69" s="216">
        <v>1.375</v>
      </c>
      <c r="AH69" s="217">
        <v>8.7278734446019548E-3</v>
      </c>
      <c r="AI69" s="239"/>
      <c r="AJ69" s="238"/>
      <c r="AK69" s="228"/>
      <c r="AL69" s="223"/>
      <c r="AM69" s="230"/>
      <c r="AN69" s="228"/>
      <c r="AO69" s="232"/>
      <c r="AQ69" s="231"/>
      <c r="AR69" s="230"/>
      <c r="AS69" s="224"/>
      <c r="AT69" s="232"/>
      <c r="AV69" s="231"/>
      <c r="AW69" s="230"/>
      <c r="AX69" s="222"/>
      <c r="AY69" s="224"/>
      <c r="AZ69" s="229"/>
      <c r="BA69" s="221"/>
      <c r="BB69" s="228"/>
      <c r="BC69" s="227"/>
      <c r="BD69" s="219" t="str">
        <f>IF(C62&gt;0,"",IF(($J$44)&gt;1,vel(U62,EC62,BJ69),vel(U62,Z62,BJ69)))</f>
        <v/>
      </c>
      <c r="BE69" s="220" t="str">
        <f>IF(C62&gt;0,"",IF(($J$44)&gt;1,EZ62,pdrop(BG69,BA62,Z62,BD69,BH69)))</f>
        <v/>
      </c>
      <c r="BF69" s="219" t="str">
        <f>IF(C62&gt;0,"",(((BD69/60)*Z62)/$AA$12)*((VLOOKUP(BH69,'Pipe Data'!F$7:G$19,2,FALSE))/12))</f>
        <v/>
      </c>
      <c r="BG69" s="218" t="str">
        <f>IF(C62&gt;0,"",(0.25/(LOG(5.74/(BF69^0.9))+((VLOOKUP(BH69,'Pipe Data'!J$7:X$19,15,FALSE))/3.7))^2))</f>
        <v/>
      </c>
      <c r="BH69" s="216">
        <v>1.375</v>
      </c>
      <c r="BI69" s="25">
        <f t="shared" si="17"/>
        <v>1</v>
      </c>
      <c r="BJ69" s="217">
        <v>8.7278734446019548E-3</v>
      </c>
      <c r="BK69" s="237">
        <v>1.375</v>
      </c>
      <c r="BL69" s="224"/>
      <c r="BM69" s="224"/>
      <c r="BN69" s="224"/>
      <c r="BO69" s="223"/>
      <c r="BP69" s="222"/>
      <c r="BQ69" s="221"/>
      <c r="BR69" s="221"/>
      <c r="BS69" s="219" t="str">
        <f>IF(C62&gt;0,"",IF($C$3&gt;0,vel(U62,S62,BZ69)/60,vel(U62,S62,BZ69)))</f>
        <v/>
      </c>
      <c r="BT69" s="220" t="str">
        <f>IF(C62&gt;0,"",IF($C$3&gt;0,2.31*pdrop(BW69,BR62,S62,60*BS69,BX69),pdrop(BW69,BR62,S62,BS69,BX69)))</f>
        <v/>
      </c>
      <c r="BU69" s="220"/>
      <c r="BV69" s="219" t="str">
        <f>IF(C62&gt;0,"",IF($C$3&gt;0,(((BS69)*S62)/32.2/T62)*((VLOOKUP(BX69,'Pipe Data'!F$7:G$19,2,FALSE))/12),(((BS69/60)*S62)/T62)*((VLOOKUP(BX69,'Pipe Data'!F$7:G$19,2,FALSE))/12)))</f>
        <v/>
      </c>
      <c r="BW69" s="218" t="str">
        <f>IF(C62&gt;0,"",IF($C$3&gt;0,IF(BV69&lt;2100,64/BV69,(0.25/(LOG(5.74/(BV69^0.9))+((VLOOKUP(BX69,'Pipe Data'!J$7:X$19,15,FALSE))/3.7))^2)),(0.25/(LOG(5.74/(BV69^0.9))+((VLOOKUP(BX69,'Pipe Data'!J$7:X$19,15,FALSE))/3.7))^2)))</f>
        <v/>
      </c>
      <c r="BX69" s="216">
        <v>1.375</v>
      </c>
      <c r="BY69" s="25" t="str">
        <f>IF(C62&gt;0,"",IF($C$3&gt;0,IF(BT69/BR62&lt;=$BY$44/100,0,1),IF(AND(BS69&lt;($BS$44),BT69&lt;($BT$44)),0,1)))</f>
        <v/>
      </c>
      <c r="BZ69" s="217">
        <v>8.7278734446019548E-3</v>
      </c>
      <c r="CA69" s="237">
        <v>1.375</v>
      </c>
      <c r="CC69" s="313"/>
      <c r="CD69" s="317"/>
      <c r="CE69" s="215"/>
      <c r="CF69" s="214"/>
      <c r="DJ69" s="1620"/>
      <c r="DK69" s="440"/>
      <c r="DL69" s="1619"/>
      <c r="DN69" s="1620"/>
      <c r="DR69" s="1231"/>
      <c r="DS69" s="213"/>
      <c r="DT69" s="213"/>
      <c r="DU69" s="213"/>
      <c r="DV69" s="213"/>
      <c r="DW69" s="213"/>
      <c r="DX69" s="213"/>
      <c r="DY69" s="213"/>
      <c r="DZ69" s="213"/>
      <c r="EA69" s="213"/>
      <c r="EB69" s="213"/>
      <c r="EC69" s="213"/>
      <c r="ED69" s="213"/>
      <c r="EE69" s="213"/>
      <c r="EF69" s="213"/>
      <c r="EG69" s="213"/>
      <c r="EH69" s="213"/>
      <c r="EI69" s="213"/>
      <c r="EJ69" s="213"/>
      <c r="EK69" s="213"/>
      <c r="EL69" s="213"/>
      <c r="EM69" s="213"/>
      <c r="EN69" s="213"/>
      <c r="EO69" s="213"/>
      <c r="EP69" s="213"/>
      <c r="EQ69" s="213"/>
      <c r="ER69" s="213"/>
      <c r="ES69" s="213"/>
      <c r="ET69" s="213"/>
      <c r="EU69" s="213"/>
      <c r="EV69" s="213"/>
      <c r="EW69" s="213"/>
      <c r="EX69" s="213"/>
      <c r="EY69" s="213"/>
      <c r="EZ69" s="213"/>
    </row>
    <row r="70" spans="1:156" ht="12.75" hidden="1" customHeight="1" x14ac:dyDescent="0.2">
      <c r="D70" s="236"/>
      <c r="E70" s="235"/>
      <c r="F70" s="234"/>
      <c r="G70" s="234"/>
      <c r="H70" s="221"/>
      <c r="I70" s="221"/>
      <c r="J70" s="221"/>
      <c r="K70" s="221"/>
      <c r="L70" s="221"/>
      <c r="M70" s="223"/>
      <c r="N70" s="223"/>
      <c r="O70" s="223"/>
      <c r="P70" s="223"/>
      <c r="Q70" s="224"/>
      <c r="R70" s="223"/>
      <c r="S70" s="223"/>
      <c r="T70" s="227"/>
      <c r="U70" s="224"/>
      <c r="V70" s="224"/>
      <c r="W70" s="222"/>
      <c r="X70" s="229"/>
      <c r="Y70" s="221"/>
      <c r="Z70" s="228"/>
      <c r="AA70" s="227"/>
      <c r="AB70" s="219" t="str">
        <f>IF(C62&gt;0,"",IF(($J$44)&gt;1,vel(U62,EC62,AH70),vel(U62,Z62,AH70)))</f>
        <v/>
      </c>
      <c r="AC70" s="220" t="str">
        <f>IF(C62&gt;0,"",pdrop(AE70,Y62,Z62,AB70,AF70))</f>
        <v/>
      </c>
      <c r="AD70" s="219" t="str">
        <f>IF(C62&gt;0,"",(((AB70/60)*Z62)/AA62)*(VLOOKUP(AF70,'Pipe Data'!F$7:G$19,2,FALSE))/12)</f>
        <v/>
      </c>
      <c r="AE70" s="218" t="str">
        <f>IF(C62&gt;0,"",(0.25/(LOG(5.74/(AD70^0.9))+((VLOOKUP(AF70,'Pipe Data'!J$7:X$19,15,FALSE))/3.7))^2))</f>
        <v/>
      </c>
      <c r="AF70" s="216">
        <v>1.125</v>
      </c>
      <c r="AH70" s="217">
        <v>5.7302704543016935E-3</v>
      </c>
      <c r="AI70" s="239"/>
      <c r="AJ70" s="238"/>
      <c r="AK70" s="228"/>
      <c r="AL70" s="223"/>
      <c r="AM70" s="230"/>
      <c r="AN70" s="228"/>
      <c r="AO70" s="232"/>
      <c r="AQ70" s="231"/>
      <c r="AR70" s="230"/>
      <c r="AS70" s="224"/>
      <c r="AT70" s="232"/>
      <c r="AV70" s="231"/>
      <c r="AW70" s="230"/>
      <c r="AX70" s="222"/>
      <c r="AY70" s="224"/>
      <c r="AZ70" s="229"/>
      <c r="BA70" s="221"/>
      <c r="BB70" s="228"/>
      <c r="BC70" s="227"/>
      <c r="BD70" s="219" t="str">
        <f>IF(C62&gt;0,"",IF(($J$44)&gt;1,vel(U62,EC62,BJ70),vel(U62,Z62,BJ70)))</f>
        <v/>
      </c>
      <c r="BE70" s="220" t="str">
        <f>IF(C62&gt;0,"",IF(($J$44)&gt;1,EZ62,pdrop(BG70,BA62,Z62,BD70,BH70)))</f>
        <v/>
      </c>
      <c r="BF70" s="219" t="str">
        <f>IF(C62&gt;0,"",(((BD70/60)*Z62)/$AA$12)*((VLOOKUP(BH70,'Pipe Data'!F$7:G$19,2,FALSE))/12))</f>
        <v/>
      </c>
      <c r="BG70" s="218" t="str">
        <f>IF(C62&gt;0,"",(0.25/(LOG(5.74/(BF70^0.9))+((VLOOKUP(BH70,'Pipe Data'!J$7:X$19,15,FALSE))/3.7))^2))</f>
        <v/>
      </c>
      <c r="BH70" s="216">
        <v>1.125</v>
      </c>
      <c r="BI70" s="25">
        <f t="shared" si="17"/>
        <v>1</v>
      </c>
      <c r="BJ70" s="217">
        <v>5.7302704543016935E-3</v>
      </c>
      <c r="BK70" s="237">
        <v>1.125</v>
      </c>
      <c r="BL70" s="224"/>
      <c r="BM70" s="224"/>
      <c r="BN70" s="224"/>
      <c r="BO70" s="223"/>
      <c r="BP70" s="222"/>
      <c r="BQ70" s="221"/>
      <c r="BR70" s="221"/>
      <c r="BS70" s="219" t="str">
        <f>IF(C62&gt;0,"",IF($C$3&gt;0,vel(U62,S62,BZ70)/60,vel(U62,S62,BZ70)))</f>
        <v/>
      </c>
      <c r="BT70" s="220" t="str">
        <f>IF(C62&gt;0,"",IF($C$3&gt;0,2.31*pdrop(BW70,BR62,S62,60*BS70,BX70),pdrop(BW70,BR62,S62,BS70,BX70)))</f>
        <v/>
      </c>
      <c r="BU70" s="220"/>
      <c r="BV70" s="219" t="str">
        <f>IF(C62&gt;0,"",IF($C$3&gt;0,(((BS70)*S62)/32.2/T62)*((VLOOKUP(BX70,'Pipe Data'!F$7:G$19,2,FALSE))/12),(((BS70/60)*S62)/T62)*((VLOOKUP(BX70,'Pipe Data'!F$7:G$19,2,FALSE))/12)))</f>
        <v/>
      </c>
      <c r="BW70" s="218" t="str">
        <f>IF(C62&gt;0,"",IF($C$3&gt;0,IF(BV70&lt;2100,64/BV70,(0.25/(LOG(5.74/(BV70^0.9))+((VLOOKUP(BX70,'Pipe Data'!J$7:X$19,15,FALSE))/3.7))^2)),(0.25/(LOG(5.74/(BV70^0.9))+((VLOOKUP(BX70,'Pipe Data'!J$7:X$19,15,FALSE))/3.7))^2)))</f>
        <v/>
      </c>
      <c r="BX70" s="216">
        <v>1.125</v>
      </c>
      <c r="BY70" s="25" t="str">
        <f>IF(C62&gt;0,"",IF($C$3&gt;0,IF(BT70/BR62&lt;=$BY$44/100,0,1),IF(AND(BS70&lt;($BS$44),BT70&lt;($BT$44)),0,1)))</f>
        <v/>
      </c>
      <c r="BZ70" s="217">
        <v>5.7302704543016935E-3</v>
      </c>
      <c r="CA70" s="237">
        <v>1.125</v>
      </c>
      <c r="CC70" s="313"/>
      <c r="CD70" s="317"/>
      <c r="CE70" s="215"/>
      <c r="CF70" s="214"/>
      <c r="DJ70" s="1620"/>
      <c r="DK70" s="440"/>
      <c r="DL70" s="1619"/>
      <c r="DN70" s="1620"/>
      <c r="DR70" s="1231"/>
      <c r="DS70" s="213"/>
      <c r="DT70" s="213"/>
      <c r="DU70" s="213"/>
      <c r="DV70" s="213"/>
      <c r="DW70" s="213"/>
      <c r="DX70" s="213"/>
      <c r="DY70" s="213"/>
      <c r="DZ70" s="213"/>
      <c r="EA70" s="213"/>
      <c r="EB70" s="213"/>
      <c r="EC70" s="213"/>
      <c r="ED70" s="213"/>
      <c r="EE70" s="213"/>
      <c r="EF70" s="213"/>
      <c r="EG70" s="213"/>
      <c r="EH70" s="213"/>
      <c r="EI70" s="213"/>
      <c r="EJ70" s="213"/>
      <c r="EK70" s="213"/>
      <c r="EL70" s="213"/>
      <c r="EM70" s="213"/>
      <c r="EN70" s="213"/>
      <c r="EO70" s="213"/>
      <c r="EP70" s="213"/>
      <c r="EQ70" s="213"/>
      <c r="ER70" s="213"/>
      <c r="ES70" s="213"/>
      <c r="ET70" s="213"/>
      <c r="EU70" s="213"/>
      <c r="EV70" s="213"/>
      <c r="EW70" s="213"/>
      <c r="EX70" s="213"/>
      <c r="EY70" s="213"/>
      <c r="EZ70" s="213"/>
    </row>
    <row r="71" spans="1:156" ht="12.75" hidden="1" customHeight="1" x14ac:dyDescent="0.2">
      <c r="D71" s="236"/>
      <c r="E71" s="235"/>
      <c r="F71" s="234"/>
      <c r="G71" s="234"/>
      <c r="H71" s="221"/>
      <c r="I71" s="221"/>
      <c r="J71" s="221"/>
      <c r="K71" s="221"/>
      <c r="L71" s="221"/>
      <c r="M71" s="223"/>
      <c r="N71" s="223"/>
      <c r="O71" s="223"/>
      <c r="P71" s="223"/>
      <c r="Q71" s="224"/>
      <c r="R71" s="223"/>
      <c r="S71" s="223"/>
      <c r="T71" s="227"/>
      <c r="U71" s="224"/>
      <c r="V71" s="224"/>
      <c r="W71" s="222"/>
      <c r="X71" s="229"/>
      <c r="Y71" s="221"/>
      <c r="Z71" s="228"/>
      <c r="AA71" s="227"/>
      <c r="AB71" s="219" t="str">
        <f>IF(C62&gt;0,"",IF(($J$44)&gt;1,vel(U62,EC62,AH71),vel(U62,Z62,AH71)))</f>
        <v/>
      </c>
      <c r="AC71" s="220" t="str">
        <f>IF(C62&gt;0,"",pdrop(AE71,Y62,Z62,AB71,AF71))</f>
        <v/>
      </c>
      <c r="AD71" s="219" t="str">
        <f>IF(C62&gt;0,"",(((AB71/60)*Z62)/AA62)*(VLOOKUP(AF71,'Pipe Data'!F$7:G$19,2,FALSE))/12)</f>
        <v/>
      </c>
      <c r="AE71" s="218" t="str">
        <f>IF(C62&gt;0,"",(0.25/(LOG(5.74/(AD71^0.9))+((VLOOKUP(AF71,'Pipe Data'!J$7:X$19,15,FALSE))/3.7))^2))</f>
        <v/>
      </c>
      <c r="AF71" s="216">
        <v>0.875</v>
      </c>
      <c r="AH71" s="217">
        <v>3.3609859947193927E-3</v>
      </c>
      <c r="AI71" s="239"/>
      <c r="AJ71" s="238"/>
      <c r="AK71" s="228"/>
      <c r="AL71" s="223"/>
      <c r="AM71" s="230"/>
      <c r="AN71" s="228"/>
      <c r="AO71" s="232"/>
      <c r="AQ71" s="231"/>
      <c r="AR71" s="230"/>
      <c r="AS71" s="224"/>
      <c r="AT71" s="232"/>
      <c r="AV71" s="231"/>
      <c r="AW71" s="230"/>
      <c r="AX71" s="222"/>
      <c r="AY71" s="224"/>
      <c r="AZ71" s="229"/>
      <c r="BA71" s="221"/>
      <c r="BB71" s="228"/>
      <c r="BC71" s="227"/>
      <c r="BD71" s="219" t="str">
        <f>IF(C62&gt;0,"",IF(($J$44)&gt;1,vel(U62,EC62,BJ71),vel(U62,Z62,BJ71)))</f>
        <v/>
      </c>
      <c r="BE71" s="220" t="str">
        <f>IF(C62&gt;0,"",IF(($J$44)&gt;1,EZ62,pdrop(BG71,BA62,Z62,BD71,BH71)))</f>
        <v/>
      </c>
      <c r="BF71" s="219" t="str">
        <f>IF(C62&gt;0,"",(((BD71/60)*Z62)/$AA$12)*((VLOOKUP(BH71,'Pipe Data'!F$7:G$19,2,FALSE))/12))</f>
        <v/>
      </c>
      <c r="BG71" s="218" t="str">
        <f>IF(C62&gt;0,"",(0.25/(LOG(5.74/(BF71^0.9))+((VLOOKUP(BH71,'Pipe Data'!J$7:X$19,15,FALSE))/3.7))^2))</f>
        <v/>
      </c>
      <c r="BH71" s="216">
        <v>0.875</v>
      </c>
      <c r="BI71" s="25">
        <f t="shared" si="17"/>
        <v>1</v>
      </c>
      <c r="BJ71" s="217">
        <v>3.3609859947193927E-3</v>
      </c>
      <c r="BK71" s="237">
        <v>0.875</v>
      </c>
      <c r="BL71" s="224"/>
      <c r="BM71" s="224"/>
      <c r="BN71" s="224"/>
      <c r="BO71" s="223"/>
      <c r="BP71" s="222"/>
      <c r="BQ71" s="221"/>
      <c r="BR71" s="221"/>
      <c r="BS71" s="219" t="str">
        <f>IF(C62&gt;0,"",IF($C$3&gt;0,vel(U62,S62,BZ71)/60,vel(U62,S62,BZ71)))</f>
        <v/>
      </c>
      <c r="BT71" s="220" t="str">
        <f>IF(C62&gt;0,"",IF($C$3&gt;0,2.31*pdrop(BW71,BR62,S62,60*BS71,BX71),pdrop(BW71,BR62,S62,BS71,BX71)))</f>
        <v/>
      </c>
      <c r="BU71" s="220"/>
      <c r="BV71" s="219" t="str">
        <f>IF(C62&gt;0,"",IF($C$3&gt;0,(((BS71)*S62)/32.2/T62)*((VLOOKUP(BX71,'Pipe Data'!F$7:G$19,2,FALSE))/12),(((BS71/60)*S62)/T62)*((VLOOKUP(BX71,'Pipe Data'!F$7:G$19,2,FALSE))/12)))</f>
        <v/>
      </c>
      <c r="BW71" s="218" t="str">
        <f>IF(C62&gt;0,"",IF($C$3&gt;0,IF(BV71&lt;2100,64/BV71,(0.25/(LOG(5.74/(BV71^0.9))+((VLOOKUP(BX71,'Pipe Data'!J$7:X$19,15,FALSE))/3.7))^2)),(0.25/(LOG(5.74/(BV71^0.9))+((VLOOKUP(BX71,'Pipe Data'!J$7:X$19,15,FALSE))/3.7))^2)))</f>
        <v/>
      </c>
      <c r="BX71" s="216">
        <v>0.875</v>
      </c>
      <c r="BY71" s="25" t="str">
        <f>IF(C62&gt;0,"",IF($C$3&gt;0,IF(BT71/BR62&lt;=$BY$44/100,0,1),IF(AND(BS71&lt;($BS$44),BT71&lt;($BT$44)),0,1)))</f>
        <v/>
      </c>
      <c r="BZ71" s="217">
        <v>3.3609859947193927E-3</v>
      </c>
      <c r="CA71" s="237">
        <v>0.875</v>
      </c>
      <c r="CC71" s="313"/>
      <c r="CD71" s="317"/>
      <c r="CE71" s="215"/>
      <c r="CF71" s="214"/>
      <c r="DJ71" s="1620"/>
      <c r="DK71" s="440"/>
      <c r="DL71" s="1619"/>
      <c r="DN71" s="1620"/>
      <c r="DR71" s="1231"/>
      <c r="DS71" s="213"/>
      <c r="DT71" s="213"/>
      <c r="DU71" s="213"/>
      <c r="DV71" s="213"/>
      <c r="DW71" s="213"/>
      <c r="DX71" s="213"/>
      <c r="DY71" s="213"/>
      <c r="DZ71" s="213"/>
      <c r="EA71" s="213"/>
      <c r="EB71" s="213"/>
      <c r="EC71" s="213"/>
      <c r="ED71" s="213"/>
      <c r="EE71" s="213"/>
      <c r="EF71" s="213"/>
      <c r="EG71" s="213"/>
      <c r="EH71" s="213"/>
      <c r="EI71" s="213"/>
      <c r="EJ71" s="213"/>
      <c r="EK71" s="213"/>
      <c r="EL71" s="213"/>
      <c r="EM71" s="213"/>
      <c r="EN71" s="213"/>
      <c r="EO71" s="213"/>
      <c r="EP71" s="213"/>
      <c r="EQ71" s="213"/>
      <c r="ER71" s="213"/>
      <c r="ES71" s="213"/>
      <c r="ET71" s="213"/>
      <c r="EU71" s="213"/>
      <c r="EV71" s="213"/>
      <c r="EW71" s="213"/>
      <c r="EX71" s="213"/>
      <c r="EY71" s="213"/>
      <c r="EZ71" s="213"/>
    </row>
    <row r="72" spans="1:156" ht="12.75" hidden="1" customHeight="1" x14ac:dyDescent="0.2">
      <c r="D72" s="236"/>
      <c r="E72" s="235"/>
      <c r="F72" s="234"/>
      <c r="G72" s="234"/>
      <c r="H72" s="221"/>
      <c r="I72" s="221"/>
      <c r="J72" s="221"/>
      <c r="K72" s="221"/>
      <c r="L72" s="221"/>
      <c r="M72" s="223"/>
      <c r="N72" s="223"/>
      <c r="O72" s="223"/>
      <c r="P72" s="223"/>
      <c r="Q72" s="224"/>
      <c r="R72" s="223"/>
      <c r="S72" s="223"/>
      <c r="T72" s="227"/>
      <c r="U72" s="224"/>
      <c r="V72" s="224"/>
      <c r="W72" s="222"/>
      <c r="X72" s="229"/>
      <c r="Y72" s="221"/>
      <c r="Z72" s="228"/>
      <c r="AA72" s="227"/>
      <c r="AB72" s="219" t="str">
        <f>IF(C62&gt;0,"",IF(($J$44)&gt;1,vel(U62,EC62,AH72),vel(U62,Z62,AH72)))</f>
        <v/>
      </c>
      <c r="AC72" s="220" t="str">
        <f>IF(C62&gt;0,"",pdrop(AE72,Y62,Z62,AB72,AF72))</f>
        <v/>
      </c>
      <c r="AD72" s="219" t="str">
        <f>IF(C62&gt;0,"",(((AB72/60)*Z62)/AA62)*(VLOOKUP(AF72,'Pipe Data'!F$7:G$19,2,FALSE))/12)</f>
        <v/>
      </c>
      <c r="AE72" s="218" t="str">
        <f>IF(C62&gt;0,"",(0.25/(LOG(5.74/(AD72^0.9))+((VLOOKUP(AF72,'Pipe Data'!J$7:X$19,15,FALSE))/3.7))^2))</f>
        <v/>
      </c>
      <c r="AF72" s="216">
        <v>0.625</v>
      </c>
      <c r="AH72" s="217">
        <v>1.6200200658550491E-3</v>
      </c>
      <c r="AI72" s="239"/>
      <c r="AJ72" s="238"/>
      <c r="AK72" s="228"/>
      <c r="AL72" s="223"/>
      <c r="AM72" s="230"/>
      <c r="AN72" s="228"/>
      <c r="AO72" s="232"/>
      <c r="AQ72" s="231"/>
      <c r="AR72" s="230"/>
      <c r="AS72" s="224"/>
      <c r="AT72" s="232"/>
      <c r="AV72" s="231"/>
      <c r="AW72" s="230"/>
      <c r="AX72" s="222"/>
      <c r="AY72" s="224"/>
      <c r="AZ72" s="229"/>
      <c r="BA72" s="221"/>
      <c r="BB72" s="228"/>
      <c r="BC72" s="227"/>
      <c r="BD72" s="219" t="str">
        <f>IF(C62&gt;0,"",IF(($J$44)&gt;1,vel(U62,EC62,BJ72),vel(U62,Z62,BJ72)))</f>
        <v/>
      </c>
      <c r="BE72" s="220" t="str">
        <f>IF(C62&gt;0,"",IF(($J$44)&gt;1,EZ62,pdrop(BG72,BA62,Z62,BD72,BH72)))</f>
        <v/>
      </c>
      <c r="BF72" s="219" t="str">
        <f>IF(C62&gt;0,"",(((BD72/60)*Z62)/$AA$12)*((VLOOKUP(BH72,'Pipe Data'!F$7:G$19,2,FALSE))/12))</f>
        <v/>
      </c>
      <c r="BG72" s="218" t="str">
        <f>IF(C62&gt;0,"",(0.25/(LOG(5.74/(BF72^0.9))+((VLOOKUP(BH72,'Pipe Data'!J$7:X$19,15,FALSE))/3.7))^2))</f>
        <v/>
      </c>
      <c r="BH72" s="216">
        <v>0.625</v>
      </c>
      <c r="BI72" s="25">
        <f t="shared" si="17"/>
        <v>1</v>
      </c>
      <c r="BJ72" s="217">
        <v>1.6200200658550491E-3</v>
      </c>
      <c r="BK72" s="237">
        <v>0.625</v>
      </c>
      <c r="BL72" s="224"/>
      <c r="BM72" s="224"/>
      <c r="BN72" s="224"/>
      <c r="BO72" s="223"/>
      <c r="BP72" s="222"/>
      <c r="BQ72" s="221"/>
      <c r="BR72" s="221"/>
      <c r="BS72" s="219" t="str">
        <f>IF(C62&gt;0,"",IF($C$3&gt;0,vel(U62,S62,BZ72)/60,vel(U62,S62,BZ72)))</f>
        <v/>
      </c>
      <c r="BT72" s="220" t="str">
        <f>IF(C62&gt;0,"",IF($C$3&gt;0,2.31*pdrop(BW72,BR62,S62,60*BS72,BX72),pdrop(BW72,BR62,S62,BS72,BX72)))</f>
        <v/>
      </c>
      <c r="BU72" s="220"/>
      <c r="BV72" s="219" t="str">
        <f>IF(C62&gt;0,"",IF($C$3&gt;0,(((BS72)*S62)/32.2/T62)*((VLOOKUP(BX72,'Pipe Data'!F$7:G$19,2,FALSE))/12),(((BS72/60)*S62)/T62)*((VLOOKUP(BX72,'Pipe Data'!F$7:G$19,2,FALSE))/12)))</f>
        <v/>
      </c>
      <c r="BW72" s="218" t="str">
        <f>IF(C62&gt;0,"",IF($C$3&gt;0,IF(BV72&lt;2100,64/BV72,(0.25/(LOG(5.74/(BV72^0.9))+((VLOOKUP(BX72,'Pipe Data'!J$7:X$19,15,FALSE))/3.7))^2)),(0.25/(LOG(5.74/(BV72^0.9))+((VLOOKUP(BX72,'Pipe Data'!J$7:X$19,15,FALSE))/3.7))^2)))</f>
        <v/>
      </c>
      <c r="BX72" s="216">
        <v>0.625</v>
      </c>
      <c r="BY72" s="25" t="str">
        <f>IF(C62&gt;0,"",IF($C$3&gt;0,IF(BT72/BR62&lt;=$BY$44/100,0,1),IF(AND(BS72&lt;($BS$44),BT72&lt;($BT$44)),0,1)))</f>
        <v/>
      </c>
      <c r="BZ72" s="217">
        <v>1.6200200658550491E-3</v>
      </c>
      <c r="CA72" s="237">
        <v>0.625</v>
      </c>
      <c r="CC72" s="313"/>
      <c r="CD72" s="317"/>
      <c r="CE72" s="215"/>
      <c r="CF72" s="214"/>
      <c r="DJ72" s="1620"/>
      <c r="DK72" s="440"/>
      <c r="DL72" s="1619"/>
      <c r="DN72" s="1620"/>
      <c r="DR72" s="1231"/>
      <c r="DS72" s="213"/>
      <c r="DT72" s="213"/>
      <c r="DU72" s="213"/>
      <c r="DV72" s="213"/>
      <c r="DW72" s="213"/>
      <c r="DX72" s="213"/>
      <c r="DY72" s="213"/>
      <c r="DZ72" s="213"/>
      <c r="EA72" s="213"/>
      <c r="EB72" s="213"/>
      <c r="EC72" s="213"/>
      <c r="ED72" s="213"/>
      <c r="EE72" s="213"/>
      <c r="EF72" s="213"/>
      <c r="EG72" s="213"/>
      <c r="EH72" s="213"/>
      <c r="EI72" s="213"/>
      <c r="EJ72" s="213"/>
      <c r="EK72" s="213"/>
      <c r="EL72" s="213"/>
      <c r="EM72" s="213"/>
      <c r="EN72" s="213"/>
      <c r="EO72" s="213"/>
      <c r="EP72" s="213"/>
      <c r="EQ72" s="213"/>
      <c r="ER72" s="213"/>
      <c r="ES72" s="213"/>
      <c r="ET72" s="213"/>
      <c r="EU72" s="213"/>
      <c r="EV72" s="213"/>
      <c r="EW72" s="213"/>
      <c r="EX72" s="213"/>
      <c r="EY72" s="213"/>
      <c r="EZ72" s="213"/>
    </row>
    <row r="73" spans="1:156" ht="12.75" hidden="1" customHeight="1" x14ac:dyDescent="0.2">
      <c r="D73" s="236"/>
      <c r="E73" s="235"/>
      <c r="F73" s="234"/>
      <c r="G73" s="234"/>
      <c r="H73" s="221"/>
      <c r="I73" s="221"/>
      <c r="J73" s="221"/>
      <c r="K73" s="221"/>
      <c r="L73" s="221"/>
      <c r="M73" s="223"/>
      <c r="N73" s="223"/>
      <c r="O73" s="223"/>
      <c r="P73" s="223"/>
      <c r="Q73" s="224"/>
      <c r="R73" s="223"/>
      <c r="S73" s="223"/>
      <c r="T73" s="227"/>
      <c r="U73" s="224"/>
      <c r="V73" s="224"/>
      <c r="W73" s="222"/>
      <c r="X73" s="229"/>
      <c r="Y73" s="221"/>
      <c r="Z73" s="228"/>
      <c r="AA73" s="227"/>
      <c r="AB73" s="219" t="str">
        <f>IF(C62&gt;0,"",IF(($J$44)&gt;1,vel(U62,EC62,AH73),vel(U62,Z62,AH73)))</f>
        <v/>
      </c>
      <c r="AC73" s="220" t="str">
        <f>IF(C62&gt;0,"",pdrop(AE73,Y62,Z62,AB73,AF73))</f>
        <v/>
      </c>
      <c r="AD73" s="219" t="str">
        <f>IF(C62&gt;0,"",(((AB73/60)*Z62)/AA62)*(VLOOKUP(AF73,'Pipe Data'!F$7:G$19,2,FALSE))/12)</f>
        <v/>
      </c>
      <c r="AE73" s="218" t="str">
        <f>IF(C62&gt;0,"",(0.25/(LOG(5.74/(AD73^0.9))+((VLOOKUP(AF73,'Pipe Data'!J$7:X$19,15,FALSE))/3.7))^2))</f>
        <v/>
      </c>
      <c r="AF73" s="216">
        <v>0.5</v>
      </c>
      <c r="AH73" s="217">
        <v>1.0084730584179735E-3</v>
      </c>
      <c r="AI73" s="239"/>
      <c r="AJ73" s="238"/>
      <c r="AK73" s="228"/>
      <c r="AL73" s="223"/>
      <c r="AM73" s="230"/>
      <c r="AN73" s="228"/>
      <c r="AO73" s="232"/>
      <c r="AQ73" s="231"/>
      <c r="AR73" s="230"/>
      <c r="AS73" s="224"/>
      <c r="AT73" s="232"/>
      <c r="AV73" s="231"/>
      <c r="AW73" s="230"/>
      <c r="AX73" s="222"/>
      <c r="AY73" s="224"/>
      <c r="AZ73" s="229"/>
      <c r="BA73" s="221"/>
      <c r="BB73" s="228"/>
      <c r="BC73" s="227"/>
      <c r="BD73" s="219" t="str">
        <f>IF(C62&gt;0,"",IF(($J$44)&gt;1,vel(U62,EC62,BJ73),vel(U62,Z62,BJ73)))</f>
        <v/>
      </c>
      <c r="BE73" s="220" t="str">
        <f>IF(C62&gt;0,"",IF(($J$44)&gt;1,EZ62,pdrop(BG73,BA62,Z62,BD73,BH73)))</f>
        <v/>
      </c>
      <c r="BF73" s="219" t="str">
        <f>IF(C62&gt;0,"",(((BD73/60)*Z62)/$AA$12)*((VLOOKUP(BH73,'Pipe Data'!F$7:G$19,2,FALSE))/12))</f>
        <v/>
      </c>
      <c r="BG73" s="218" t="str">
        <f>IF(C62&gt;0,"",(0.25/(LOG(5.74/(BF73^0.9))+((VLOOKUP(BH73,'Pipe Data'!J$7:X$19,15,FALSE))/3.7))^2))</f>
        <v/>
      </c>
      <c r="BH73" s="216">
        <v>0.5</v>
      </c>
      <c r="BI73" s="25">
        <v>1</v>
      </c>
      <c r="BJ73" s="217">
        <v>1.0084730584179735E-3</v>
      </c>
      <c r="BK73" s="237">
        <v>0.5</v>
      </c>
      <c r="BL73" s="224"/>
      <c r="BM73" s="224"/>
      <c r="BN73" s="224"/>
      <c r="BO73" s="223"/>
      <c r="BP73" s="222"/>
      <c r="BQ73" s="221"/>
      <c r="BR73" s="221"/>
      <c r="BS73" s="219" t="str">
        <f>IF(C62&gt;0,"",IF($C$3&gt;0,vel(U62,S62,BZ73)/60,vel(U62,S62,BZ73)))</f>
        <v/>
      </c>
      <c r="BT73" s="220" t="str">
        <f>IF(C62&gt;0,"",IF($C$3&gt;0,2.31*pdrop(BW73,BR62,S62,60*BS73,BX73),pdrop(BW73,BR62,S62,BS73,BX73)))</f>
        <v/>
      </c>
      <c r="BU73" s="220"/>
      <c r="BV73" s="219" t="str">
        <f>IF(C62&gt;0,"",IF($C$3&gt;0,(((BS73)*S62)/32.2/T62)*((VLOOKUP(BX73,'Pipe Data'!F$7:G$19,2,FALSE))/12),(((BS73/60)*S62)/T62)*((VLOOKUP(BX73,'Pipe Data'!F$7:G$19,2,FALSE))/12)))</f>
        <v/>
      </c>
      <c r="BW73" s="218" t="str">
        <f>IF(C62&gt;0,"",IF($C$3&gt;0,IF(BV73&lt;2100,64/BV73,(0.25/(LOG(5.74/(BV73^0.9))+((VLOOKUP(BX73,'Pipe Data'!J$7:X$19,15,FALSE))/3.7))^2)),(0.25/(LOG(5.74/(BV73^0.9))+((VLOOKUP(BX73,'Pipe Data'!J$7:X$19,15,FALSE))/3.7))^2)))</f>
        <v/>
      </c>
      <c r="BX73" s="216">
        <v>0.5</v>
      </c>
      <c r="BY73" s="25" t="str">
        <f>IF(C62&gt;0,"",IF($C$3&gt;0,IF(BT73/BR62&lt;=$BY$44/100,0,1),IF(AND(BS73&lt;($BS$44),BT73&lt;($BT$44)),0,1)))</f>
        <v/>
      </c>
      <c r="BZ73" s="217">
        <v>1.0084730584179735E-3</v>
      </c>
      <c r="CA73" s="237">
        <v>0.5</v>
      </c>
      <c r="CC73" s="313"/>
      <c r="CD73" s="317"/>
      <c r="CE73" s="215"/>
      <c r="CF73" s="214"/>
      <c r="DJ73" s="1620"/>
      <c r="DK73" s="440"/>
      <c r="DL73" s="1619"/>
      <c r="DN73" s="1620"/>
      <c r="DR73" s="1231"/>
      <c r="DS73" s="213"/>
      <c r="DT73" s="213"/>
      <c r="DU73" s="213"/>
      <c r="DV73" s="213"/>
      <c r="DW73" s="213"/>
      <c r="DX73" s="213"/>
      <c r="DY73" s="213"/>
      <c r="DZ73" s="213"/>
      <c r="EA73" s="213"/>
      <c r="EB73" s="213"/>
      <c r="EC73" s="213"/>
      <c r="ED73" s="213"/>
      <c r="EE73" s="213"/>
      <c r="EF73" s="213"/>
      <c r="EG73" s="213"/>
      <c r="EH73" s="213"/>
      <c r="EI73" s="213"/>
      <c r="EJ73" s="213"/>
      <c r="EK73" s="213"/>
      <c r="EL73" s="213"/>
      <c r="EM73" s="213"/>
      <c r="EN73" s="213"/>
      <c r="EO73" s="213"/>
      <c r="EP73" s="213"/>
      <c r="EQ73" s="213"/>
      <c r="ER73" s="213"/>
      <c r="ES73" s="213"/>
      <c r="ET73" s="213"/>
      <c r="EU73" s="213"/>
      <c r="EV73" s="213"/>
      <c r="EW73" s="213"/>
      <c r="EX73" s="213"/>
      <c r="EY73" s="213"/>
      <c r="EZ73" s="213"/>
    </row>
    <row r="74" spans="1:156" ht="12.75" hidden="1" customHeight="1" x14ac:dyDescent="0.2">
      <c r="D74" s="236"/>
      <c r="E74" s="235"/>
      <c r="F74" s="234"/>
      <c r="G74" s="234"/>
      <c r="H74" s="221"/>
      <c r="I74" s="221"/>
      <c r="J74" s="221"/>
      <c r="K74" s="221"/>
      <c r="L74" s="221"/>
      <c r="M74" s="223"/>
      <c r="N74" s="223"/>
      <c r="O74" s="223"/>
      <c r="P74" s="223"/>
      <c r="Q74" s="224"/>
      <c r="R74" s="223"/>
      <c r="S74" s="223"/>
      <c r="T74" s="227"/>
      <c r="U74" s="224"/>
      <c r="V74" s="224"/>
      <c r="W74" s="222"/>
      <c r="X74" s="229"/>
      <c r="Y74" s="221"/>
      <c r="Z74" s="228"/>
      <c r="AA74" s="227"/>
      <c r="AB74" s="219" t="str">
        <f>IF(C62&gt;0,"",IF(($J$44)&gt;1,vel(U62,EC62,AH74),vel(U62,Z62,AH74)))</f>
        <v/>
      </c>
      <c r="AC74" s="220" t="str">
        <f>IF(C62&gt;0,"",pdrop(AE74,Y62,Z62,AB74,AF74))</f>
        <v/>
      </c>
      <c r="AD74" s="219" t="str">
        <f>IF(C62&gt;0,"",(((AB74/60)*Z62)/AA62)*(VLOOKUP(AF74,'Pipe Data'!F$7:G$19,2,FALSE))/12)</f>
        <v/>
      </c>
      <c r="AE74" s="218" t="str">
        <f>IF(C62&gt;0,"",(0.25/(LOG(5.74/(AD74^0.9))+((VLOOKUP(AF74,'Pipe Data'!J$7:X$19,15,FALSE))/3.7))^2))</f>
        <v/>
      </c>
      <c r="AF74" s="216">
        <v>0.375</v>
      </c>
      <c r="AH74" s="217">
        <v>5.4118842196605418E-4</v>
      </c>
      <c r="AI74" s="229"/>
      <c r="AJ74" s="221"/>
      <c r="AK74" s="221"/>
      <c r="AL74" s="223"/>
      <c r="AM74" s="230"/>
      <c r="AN74" s="228"/>
      <c r="AO74" s="232"/>
      <c r="AQ74" s="231"/>
      <c r="AR74" s="230"/>
      <c r="AS74" s="224"/>
      <c r="AT74" s="232"/>
      <c r="AV74" s="231"/>
      <c r="AW74" s="230"/>
      <c r="AX74" s="222"/>
      <c r="AY74" s="224"/>
      <c r="AZ74" s="229"/>
      <c r="BA74" s="221"/>
      <c r="BB74" s="228"/>
      <c r="BC74" s="227"/>
      <c r="BD74" s="221"/>
      <c r="BE74" s="221"/>
      <c r="BF74" s="221"/>
      <c r="BG74" s="221"/>
      <c r="BH74" s="221"/>
      <c r="BI74" s="221"/>
      <c r="BJ74" s="226"/>
      <c r="BK74" s="225"/>
      <c r="BL74" s="224"/>
      <c r="BM74" s="224"/>
      <c r="BN74" s="224"/>
      <c r="BO74" s="223"/>
      <c r="BP74" s="222"/>
      <c r="BQ74" s="221"/>
      <c r="BR74" s="221"/>
      <c r="BS74" s="219" t="str">
        <f>IF(C62&gt;0,"",IF($C$3&gt;0,vel(U62,S62,BZ74)/60,vel(U62,S62,BZ74)))</f>
        <v/>
      </c>
      <c r="BT74" s="220" t="str">
        <f>IF(C62&gt;0,"",IF($C$3&gt;0,2.31*pdrop(BW74,BR62,S62,60*BS74,BX74),pdrop(BW74,BR62,S62,BS74,BX74)))</f>
        <v/>
      </c>
      <c r="BU74" s="220"/>
      <c r="BV74" s="219" t="str">
        <f>IF(C62&gt;0,"",IF($C$3&gt;0,(((BS74)*S62)/32.2/T62)*((VLOOKUP(BX74,'Pipe Data'!F$7:G$19,2,FALSE))/12),(((BS74/60)*S62)/T62)*((VLOOKUP(BX74,'Pipe Data'!F$7:G$19,2,FALSE))/12)))</f>
        <v/>
      </c>
      <c r="BW74" s="218" t="str">
        <f>IF(C62&gt;0,"",IF($C$3&gt;0,IF(BV74&lt;2100,64/BV74,(0.25/(LOG(5.74/(BV74^0.9))+((VLOOKUP(BX74,'Pipe Data'!J$7:X$19,15,FALSE))/3.7))^2)),(0.25/(LOG(5.74/(BV74^0.9))+((VLOOKUP(BX74,'Pipe Data'!J$7:X$19,15,FALSE))/3.7))^2)))</f>
        <v/>
      </c>
      <c r="BX74" s="216">
        <v>0.375</v>
      </c>
      <c r="BY74" s="25" t="str">
        <f>IF(C62&gt;0,"",IF($C$3&gt;0,IF(BT74/BR62&lt;=$BY$44/100,0,1),IF(AND(BS74&lt;($BS$44),BT74&lt;($BT$44)),0,1)))</f>
        <v/>
      </c>
      <c r="BZ74" s="217">
        <v>5.4118842196605418E-4</v>
      </c>
      <c r="CA74" s="237">
        <v>0.375</v>
      </c>
      <c r="CC74" s="313"/>
      <c r="CD74" s="317"/>
      <c r="CE74" s="215"/>
      <c r="CF74" s="214"/>
      <c r="DJ74" s="1620"/>
      <c r="DK74" s="440"/>
      <c r="DL74" s="1619"/>
      <c r="DN74" s="1620"/>
      <c r="DR74" s="1231"/>
      <c r="DS74" s="213"/>
      <c r="DT74" s="213"/>
      <c r="DU74" s="213"/>
      <c r="DV74" s="213"/>
      <c r="DW74" s="213"/>
      <c r="DX74" s="213"/>
      <c r="DY74" s="213"/>
      <c r="DZ74" s="213"/>
      <c r="EA74" s="213"/>
      <c r="EB74" s="213"/>
      <c r="EC74" s="213"/>
      <c r="ED74" s="213"/>
      <c r="EE74" s="213"/>
      <c r="EF74" s="213"/>
      <c r="EG74" s="213"/>
      <c r="EH74" s="213"/>
      <c r="EI74" s="213"/>
      <c r="EJ74" s="213"/>
      <c r="EK74" s="213"/>
      <c r="EL74" s="213"/>
      <c r="EM74" s="213"/>
      <c r="EN74" s="213"/>
      <c r="EO74" s="213"/>
      <c r="EP74" s="213"/>
      <c r="EQ74" s="213"/>
      <c r="ER74" s="213"/>
      <c r="ES74" s="213"/>
      <c r="ET74" s="213"/>
      <c r="EU74" s="213"/>
      <c r="EV74" s="213"/>
      <c r="EW74" s="213"/>
      <c r="EX74" s="213"/>
      <c r="EY74" s="213"/>
      <c r="EZ74" s="213"/>
    </row>
    <row r="75" spans="1:156" ht="13.5" hidden="1" thickBot="1" x14ac:dyDescent="0.25">
      <c r="A75" s="25">
        <v>1</v>
      </c>
      <c r="D75" s="821"/>
      <c r="E75" s="822"/>
      <c r="F75" s="823"/>
      <c r="G75" s="823"/>
      <c r="H75" s="824"/>
      <c r="I75" s="825"/>
      <c r="J75" s="825"/>
      <c r="K75" s="825"/>
      <c r="L75" s="826"/>
      <c r="M75" s="824"/>
      <c r="N75" s="824"/>
      <c r="O75" s="824"/>
      <c r="P75" s="824"/>
      <c r="Q75" s="825"/>
      <c r="R75" s="824"/>
      <c r="S75" s="824"/>
      <c r="T75" s="827"/>
      <c r="U75" s="825"/>
      <c r="V75" s="825"/>
      <c r="W75" s="828"/>
      <c r="X75" s="829"/>
      <c r="Y75" s="826"/>
      <c r="Z75" s="830"/>
      <c r="AA75" s="827"/>
      <c r="AB75" s="831"/>
      <c r="AC75" s="824"/>
      <c r="AD75" s="831"/>
      <c r="AE75" s="830"/>
      <c r="AF75" s="832"/>
      <c r="AG75" s="832"/>
      <c r="AH75" s="833"/>
      <c r="AI75" s="834"/>
      <c r="AJ75" s="835"/>
      <c r="AK75" s="830"/>
      <c r="AL75" s="824"/>
      <c r="AM75" s="831"/>
      <c r="AN75" s="830"/>
      <c r="AO75" s="832"/>
      <c r="AP75" s="832"/>
      <c r="AQ75" s="836"/>
      <c r="AR75" s="831"/>
      <c r="AS75" s="825"/>
      <c r="AT75" s="832"/>
      <c r="AU75" s="832"/>
      <c r="AV75" s="836"/>
      <c r="AW75" s="831"/>
      <c r="AX75" s="828"/>
      <c r="AY75" s="825"/>
      <c r="AZ75" s="829"/>
      <c r="BA75" s="826"/>
      <c r="BB75" s="830"/>
      <c r="BC75" s="827"/>
      <c r="BD75" s="831"/>
      <c r="BE75" s="824"/>
      <c r="BF75" s="831"/>
      <c r="BG75" s="830"/>
      <c r="BH75" s="832"/>
      <c r="BI75" s="832"/>
      <c r="BJ75" s="833"/>
      <c r="BK75" s="837"/>
      <c r="BL75" s="825"/>
      <c r="BM75" s="825"/>
      <c r="BN75" s="825"/>
      <c r="BO75" s="824"/>
      <c r="BP75" s="828"/>
      <c r="BQ75" s="826"/>
      <c r="BR75" s="826"/>
      <c r="BS75" s="831"/>
      <c r="BT75" s="824"/>
      <c r="BU75" s="824"/>
      <c r="BV75" s="831"/>
      <c r="BW75" s="830"/>
      <c r="BX75" s="832"/>
      <c r="BY75" s="832"/>
      <c r="BZ75" s="833"/>
      <c r="CA75" s="838"/>
      <c r="CB75" s="839"/>
      <c r="CC75" s="840"/>
      <c r="CD75" s="841"/>
      <c r="CE75" s="842"/>
      <c r="CF75" s="843"/>
      <c r="DJ75" s="1620"/>
      <c r="DK75" s="440"/>
      <c r="DL75" s="1619"/>
      <c r="DN75" s="1620"/>
      <c r="EB75"/>
      <c r="EC75"/>
      <c r="ED75"/>
      <c r="EE75"/>
      <c r="EF75"/>
      <c r="EG75"/>
      <c r="EH75"/>
      <c r="EI75"/>
      <c r="EJ75"/>
      <c r="EK75"/>
      <c r="EL75"/>
      <c r="EM75"/>
      <c r="EN75"/>
      <c r="EO75"/>
      <c r="EP75"/>
      <c r="EQ75"/>
      <c r="ER75"/>
      <c r="ES75"/>
      <c r="ET75"/>
      <c r="EU75"/>
      <c r="EV75"/>
      <c r="EW75"/>
      <c r="EX75"/>
      <c r="EY75"/>
      <c r="EZ75"/>
    </row>
    <row r="76" spans="1:156" hidden="1" x14ac:dyDescent="0.2">
      <c r="A76" s="25">
        <v>1</v>
      </c>
      <c r="DJ76" s="1620"/>
      <c r="DK76" s="440"/>
      <c r="DL76" s="1619"/>
      <c r="DN76" s="1620"/>
      <c r="EB76"/>
      <c r="EC76"/>
      <c r="ED76"/>
      <c r="EE76"/>
      <c r="EF76"/>
      <c r="EG76"/>
      <c r="EH76"/>
      <c r="EI76"/>
      <c r="EJ76"/>
      <c r="EK76"/>
      <c r="EL76"/>
      <c r="EM76"/>
      <c r="EN76"/>
      <c r="EO76"/>
      <c r="EP76"/>
      <c r="EQ76"/>
      <c r="ER76"/>
      <c r="ES76"/>
      <c r="ET76"/>
      <c r="EU76"/>
      <c r="EV76"/>
      <c r="EW76"/>
      <c r="EX76"/>
      <c r="EY76"/>
      <c r="EZ76"/>
    </row>
    <row r="77" spans="1:156" hidden="1" x14ac:dyDescent="0.2">
      <c r="A77" s="25">
        <v>1</v>
      </c>
      <c r="DJ77" s="1620"/>
      <c r="DK77" s="440"/>
      <c r="DL77" s="1619"/>
      <c r="DN77" s="1620"/>
      <c r="EB77"/>
      <c r="EC77"/>
      <c r="ED77"/>
      <c r="EE77"/>
      <c r="EF77"/>
      <c r="EG77"/>
      <c r="EH77"/>
      <c r="EI77"/>
      <c r="EJ77"/>
      <c r="EK77"/>
      <c r="EL77"/>
      <c r="EM77"/>
      <c r="EN77"/>
      <c r="EO77"/>
      <c r="EP77"/>
      <c r="EQ77"/>
      <c r="ER77"/>
      <c r="ES77"/>
      <c r="ET77"/>
      <c r="EU77"/>
      <c r="EV77"/>
      <c r="EW77"/>
      <c r="EX77"/>
      <c r="EY77"/>
      <c r="EZ77"/>
    </row>
    <row r="78" spans="1:156" ht="7.5" hidden="1" customHeight="1" thickBot="1" x14ac:dyDescent="0.25">
      <c r="A78" s="25">
        <v>1</v>
      </c>
      <c r="BX78" s="25"/>
      <c r="BY78" s="213"/>
      <c r="DJ78" s="1620"/>
      <c r="DK78" s="440"/>
      <c r="DL78" s="1619"/>
      <c r="DN78" s="1620"/>
      <c r="EB78"/>
      <c r="EC78"/>
      <c r="ED78"/>
      <c r="EE78"/>
      <c r="EF78"/>
      <c r="EG78"/>
      <c r="EH78"/>
      <c r="EI78"/>
      <c r="EJ78"/>
      <c r="EK78"/>
      <c r="EL78"/>
      <c r="EM78"/>
      <c r="EN78"/>
      <c r="EO78"/>
      <c r="EP78"/>
      <c r="EQ78"/>
      <c r="ER78"/>
      <c r="ES78"/>
      <c r="ET78"/>
      <c r="EU78"/>
      <c r="EV78"/>
      <c r="EW78"/>
      <c r="EX78"/>
      <c r="EY78"/>
      <c r="EZ78"/>
    </row>
    <row r="79" spans="1:156" ht="54.75" hidden="1" customHeight="1" x14ac:dyDescent="0.25">
      <c r="A79" s="25">
        <v>1</v>
      </c>
      <c r="B79" s="327" t="str">
        <f>"Refrigerant: " &amp; CHAR(10) &amp; 'Legend(DX)'!$U$1</f>
        <v xml:space="preserve">Refrigerant: 
</v>
      </c>
      <c r="D79" s="791" t="str">
        <f>IF(LEFT('Legend(DX)'!$U$1,1)="G","Supply Fluid Temp",IF(LEFT('Legend(DX)'!$U$1,1)="c","Fluid Temp","Rack SST"))</f>
        <v>Rack SST</v>
      </c>
      <c r="E79" s="791" t="s">
        <v>545</v>
      </c>
      <c r="F79" s="791" t="s">
        <v>544</v>
      </c>
      <c r="G79" s="791" t="s">
        <v>543</v>
      </c>
      <c r="H79" s="791" t="s">
        <v>542</v>
      </c>
      <c r="I79" s="791" t="s">
        <v>798</v>
      </c>
      <c r="L79" s="286"/>
      <c r="S79" s="791" t="s">
        <v>1092</v>
      </c>
      <c r="T79" s="791" t="s">
        <v>1093</v>
      </c>
      <c r="V79" s="284"/>
      <c r="W79" s="284"/>
      <c r="Y79" s="791" t="s">
        <v>535</v>
      </c>
      <c r="AB79" s="791" t="s">
        <v>541</v>
      </c>
      <c r="AC79" s="791" t="s">
        <v>540</v>
      </c>
      <c r="AR79" s="791" t="s">
        <v>539</v>
      </c>
      <c r="AS79" s="791" t="s">
        <v>538</v>
      </c>
      <c r="AT79" s="286"/>
      <c r="AU79" s="286"/>
      <c r="AV79" s="286"/>
      <c r="BA79" s="791" t="s">
        <v>535</v>
      </c>
      <c r="BD79" s="791" t="s">
        <v>537</v>
      </c>
      <c r="BE79" s="791" t="s">
        <v>536</v>
      </c>
      <c r="BF79" s="286"/>
      <c r="BN79" s="285"/>
      <c r="BP79" s="285"/>
      <c r="BR79" s="791" t="s">
        <v>535</v>
      </c>
      <c r="BS79" s="791" t="s">
        <v>534</v>
      </c>
      <c r="BT79" s="791" t="s">
        <v>533</v>
      </c>
      <c r="BX79" s="25"/>
      <c r="BY79" s="791" t="s">
        <v>1100</v>
      </c>
      <c r="DJ79" s="1620"/>
      <c r="DK79" s="440"/>
      <c r="DL79" s="1619"/>
      <c r="DN79" s="1620"/>
      <c r="DR79" s="286" t="s">
        <v>799</v>
      </c>
      <c r="DS79" s="213"/>
      <c r="DT79" s="286" t="s">
        <v>800</v>
      </c>
      <c r="DU79" s="286"/>
      <c r="DV79" s="286" t="s">
        <v>801</v>
      </c>
      <c r="DW79" s="286" t="s">
        <v>802</v>
      </c>
      <c r="DX79" s="286" t="s">
        <v>803</v>
      </c>
      <c r="DY79" s="213"/>
      <c r="DZ79" s="213"/>
      <c r="EA79" s="213"/>
      <c r="EQ79" s="213"/>
      <c r="ER79" s="213"/>
      <c r="ES79" s="213"/>
      <c r="ET79" s="213"/>
      <c r="EU79" s="213"/>
      <c r="EV79" s="213"/>
      <c r="EW79" s="213"/>
      <c r="EX79" s="213"/>
      <c r="EY79" s="213"/>
      <c r="EZ79" s="213"/>
    </row>
    <row r="80" spans="1:156" ht="13.5" hidden="1" thickBot="1" x14ac:dyDescent="0.25">
      <c r="A80" s="25">
        <v>1</v>
      </c>
      <c r="B80" s="790" t="str">
        <f>IF(($C$6)&gt;0,"LineSize Calculations Off",VLOOKUP('Legend(DX)'!$U$1,Refrigerant,2,FALSE))</f>
        <v>LineSize Calculations Off</v>
      </c>
      <c r="D80" s="792" t="s">
        <v>459</v>
      </c>
      <c r="E80" s="792" t="s">
        <v>460</v>
      </c>
      <c r="F80" s="792" t="s">
        <v>459</v>
      </c>
      <c r="G80" s="792" t="s">
        <v>459</v>
      </c>
      <c r="H80" s="792" t="s">
        <v>459</v>
      </c>
      <c r="I80" s="792" t="s">
        <v>460</v>
      </c>
      <c r="L80" s="277"/>
      <c r="S80" s="792" t="s">
        <v>459</v>
      </c>
      <c r="T80" s="792" t="s">
        <v>1094</v>
      </c>
      <c r="V80" s="284"/>
      <c r="W80" s="284"/>
      <c r="Y80" s="794"/>
      <c r="AB80" s="794" t="s">
        <v>457</v>
      </c>
      <c r="AC80" s="794" t="s">
        <v>457</v>
      </c>
      <c r="AR80" s="794" t="s">
        <v>457</v>
      </c>
      <c r="AS80" s="794" t="s">
        <v>457</v>
      </c>
      <c r="AT80" s="283"/>
      <c r="AU80" s="283"/>
      <c r="AV80" s="283"/>
      <c r="BA80" s="794"/>
      <c r="BD80" s="794" t="s">
        <v>457</v>
      </c>
      <c r="BE80" s="794" t="s">
        <v>457</v>
      </c>
      <c r="BF80" s="283"/>
      <c r="BN80" s="282"/>
      <c r="BP80" s="282"/>
      <c r="BR80" s="794"/>
      <c r="BS80" s="794" t="str">
        <f>IF($C$3&gt;0,"[fps]","[fpm]")</f>
        <v>[fpm]</v>
      </c>
      <c r="BT80" s="794" t="s">
        <v>532</v>
      </c>
      <c r="BX80" s="25"/>
      <c r="BY80" s="794"/>
      <c r="DJ80" s="1620"/>
      <c r="DK80" s="440"/>
      <c r="DL80" s="1619"/>
      <c r="DN80" s="1620"/>
      <c r="DR80" s="213"/>
      <c r="DS80" s="213"/>
      <c r="DT80" s="277"/>
      <c r="DU80" s="277"/>
      <c r="DV80" s="277"/>
      <c r="DW80" s="277"/>
      <c r="DX80" s="213"/>
      <c r="DY80" s="213"/>
      <c r="DZ80" s="213"/>
      <c r="EA80" s="213"/>
      <c r="EQ80" s="213"/>
      <c r="ER80" s="213"/>
      <c r="ES80" s="213"/>
      <c r="ET80" s="213"/>
      <c r="EU80" s="213"/>
      <c r="EV80" s="213"/>
      <c r="EW80" s="213"/>
      <c r="EX80" s="213"/>
      <c r="EY80" s="213"/>
      <c r="EZ80" s="213"/>
    </row>
    <row r="81" spans="1:156" ht="20.25" hidden="1" customHeight="1" thickBot="1" x14ac:dyDescent="0.25">
      <c r="A81" s="25">
        <v>1</v>
      </c>
      <c r="D81" s="281" t="str">
        <f>IF(($C$6)&gt;0,"",IF($C$3&gt;0,MIN('Legend(DX)'!AB14:AB15),LegendSG3RSST))</f>
        <v/>
      </c>
      <c r="E81" s="280" t="str">
        <f>IF(($C$6)&gt;0,"",Pressure((B80),"TVAP","E",D81+0.5*DX81))</f>
        <v/>
      </c>
      <c r="F81" s="279" t="str">
        <f>IF(($C$6)&gt;0,"",IF(J81&gt;1,-1,-1*(MIN(LegendSG3EVT)-D81)))</f>
        <v/>
      </c>
      <c r="G81" s="278" t="str">
        <f>IF(($C$6)&gt;0,"",IF(LEFT('Legend(DX)'!$U$1,1)="c",D81,IF(LegendSG3LT="",H81,LegendSG3LT)))</f>
        <v/>
      </c>
      <c r="H81" s="278" t="str">
        <f>IF(($C$6)&gt;0,"",IF(LEFT('Legend(DX)'!$U$1,1)="c",D81,IF(LegendSG1CT="","",LegendSG1CT)))</f>
        <v/>
      </c>
      <c r="I81" s="278" t="str">
        <f>IF(($C$6)&gt;0,"",(Pressure($B$80,"tliq","e",$H$81)+Pressure($B$80,"tvap","e",$H$81))/2)</f>
        <v/>
      </c>
      <c r="L81" s="277"/>
      <c r="S81" s="1226"/>
      <c r="T81" s="1226"/>
      <c r="Y81" s="273">
        <v>1.3</v>
      </c>
      <c r="AB81" s="1445">
        <v>1200</v>
      </c>
      <c r="AC81" s="272">
        <f>IF(($J$4)&gt;1,800,2000)</f>
        <v>800</v>
      </c>
      <c r="AR81" s="1445">
        <v>1200</v>
      </c>
      <c r="AS81" s="272">
        <f>IF(($J$4)&gt;1,800,2000)</f>
        <v>800</v>
      </c>
      <c r="AT81" s="276"/>
      <c r="AU81" s="276"/>
      <c r="AV81" s="276"/>
      <c r="BA81" s="273">
        <v>1.3</v>
      </c>
      <c r="BD81" s="1445">
        <f>IF(($J$4)&gt;1,200,500)</f>
        <v>200</v>
      </c>
      <c r="BE81" s="1445">
        <v>1500</v>
      </c>
      <c r="BF81" s="275"/>
      <c r="BN81" s="274"/>
      <c r="BP81" s="274"/>
      <c r="BR81" s="273">
        <f>IF($C$3&gt;0,2.6,1.3)</f>
        <v>1.3</v>
      </c>
      <c r="BS81" s="272">
        <v>150</v>
      </c>
      <c r="BT81" s="271" t="str">
        <f>IF(($C$6)&gt;0,"",(Pressure(($B$80),"TLIQ","E",($H$81)))-(Pressure(($B$80),"TLIQ","E",(($H$81)-1))))</f>
        <v/>
      </c>
      <c r="BX81" s="25"/>
      <c r="BY81" s="273">
        <v>4</v>
      </c>
      <c r="CH81" s="270" t="s">
        <v>531</v>
      </c>
      <c r="CI81" s="270" t="s">
        <v>530</v>
      </c>
      <c r="CJ81" s="270" t="s">
        <v>525</v>
      </c>
      <c r="CK81" s="270" t="s">
        <v>529</v>
      </c>
      <c r="CL81" s="270" t="s">
        <v>528</v>
      </c>
      <c r="CM81" s="270" t="s">
        <v>527</v>
      </c>
      <c r="CN81" s="270" t="s">
        <v>527</v>
      </c>
      <c r="DJ81" s="1620"/>
      <c r="DK81" s="440"/>
      <c r="DL81" s="1619"/>
      <c r="DN81" s="1620"/>
      <c r="DR81" s="1253" t="str">
        <f>IF(($C$6)&gt;0,"",TEMPERATURE($B$3,"pvap","e",($I$81))-TEMPERATURE($B$3,"pliq","e",($I$81)))</f>
        <v/>
      </c>
      <c r="DS81" s="213"/>
      <c r="DT81" s="1254" t="str">
        <f>IF(($C$6)&gt;0,"",(Pressure($B$3,"Tliq","e",($D$81))+Pressure($B$3,"Tvap","e",($D$81)))/2)</f>
        <v/>
      </c>
      <c r="DU81" s="1255"/>
      <c r="DV81" s="1256" t="str">
        <f>IF(($C$6)&gt;0,"",1-(Enthalpy($B$80,"pvap","e",($DT$81))-(IF(($G$81)+0.5*($DR$81)&gt;($H$81),Enthalpy($B$80,"Tliq","e",($G$81)),Enthalpy($B$80,"tp","e",($G$81),($I$81)))))/(Enthalpy($B$80,"pvap","e",($DT$81))-Enthalpy($B$80,"pliq","e",($DT$81))))</f>
        <v/>
      </c>
      <c r="DW81" s="1256" t="str">
        <f>IF(($C$6)&gt;0,"",TEMPERATURE($B$3,"pvap","e",($DT$81))-TEMPERATURE($B$3,"pliq","e",($DT$81)))</f>
        <v/>
      </c>
      <c r="DX81" s="1257" t="e">
        <f>(1-($DV$81))*($DW$81)</f>
        <v>#VALUE!</v>
      </c>
      <c r="DY81" s="213"/>
      <c r="DZ81" s="213"/>
      <c r="EA81" s="213"/>
      <c r="EQ81" s="213"/>
      <c r="ER81" s="213"/>
      <c r="ES81" s="213"/>
      <c r="ET81" s="213"/>
      <c r="EU81" s="213"/>
      <c r="EV81" s="213"/>
      <c r="EW81" s="213"/>
      <c r="EX81" s="213"/>
      <c r="EY81" s="213"/>
      <c r="EZ81" s="213"/>
    </row>
    <row r="82" spans="1:156" ht="13.5" hidden="1" thickBot="1" x14ac:dyDescent="0.25">
      <c r="A82" s="25">
        <v>1</v>
      </c>
      <c r="B82" s="213"/>
      <c r="D82" s="213"/>
      <c r="E82" s="213"/>
      <c r="F82" s="213"/>
      <c r="G82" s="213"/>
      <c r="H82" s="213"/>
      <c r="AB82" s="272">
        <v>700</v>
      </c>
      <c r="AR82" s="272">
        <v>700</v>
      </c>
      <c r="BD82" s="272">
        <v>250</v>
      </c>
      <c r="BE82" s="272">
        <v>1750</v>
      </c>
      <c r="BS82" s="1445">
        <v>120</v>
      </c>
      <c r="BX82" s="25"/>
      <c r="BY82" s="213"/>
      <c r="CH82" s="270" t="s">
        <v>526</v>
      </c>
      <c r="CI82" s="270" t="s">
        <v>526</v>
      </c>
      <c r="CM82" s="270" t="s">
        <v>526</v>
      </c>
      <c r="CN82" s="270" t="s">
        <v>525</v>
      </c>
      <c r="CO82" s="270" t="s">
        <v>524</v>
      </c>
      <c r="CP82" s="270"/>
      <c r="DJ82" s="1620"/>
      <c r="DK82" s="440"/>
      <c r="DL82" s="1619"/>
      <c r="DN82" s="1620"/>
      <c r="DR82" s="213"/>
      <c r="DS82" s="213"/>
      <c r="DT82" s="213"/>
      <c r="DU82" s="213"/>
      <c r="DV82" s="320" t="s">
        <v>804</v>
      </c>
      <c r="DW82" s="213"/>
      <c r="DX82" s="213"/>
      <c r="DY82" s="213"/>
      <c r="DZ82" s="213"/>
      <c r="EA82" s="213"/>
      <c r="EQ82" s="213"/>
      <c r="ER82" s="213"/>
      <c r="ES82" s="213"/>
      <c r="ET82" s="213"/>
      <c r="EU82" s="213"/>
      <c r="EV82" s="213"/>
      <c r="EW82" s="213"/>
      <c r="EX82" s="213"/>
      <c r="EY82" s="213"/>
      <c r="EZ82" s="213"/>
    </row>
    <row r="83" spans="1:156" ht="27" hidden="1" customHeight="1" thickBot="1" x14ac:dyDescent="0.25">
      <c r="A83" s="25">
        <v>1</v>
      </c>
      <c r="B83" s="213"/>
      <c r="D83" s="269" t="str">
        <f>IF($C$3&gt;0,"Fluid Group " &amp; H83,"Suction Group " &amp; H83)</f>
        <v>Suction Group 3</v>
      </c>
      <c r="E83" s="269"/>
      <c r="F83" s="269"/>
      <c r="G83" s="269"/>
      <c r="H83" s="268">
        <v>3</v>
      </c>
      <c r="I83" s="268"/>
      <c r="J83" s="268"/>
      <c r="K83" s="268"/>
      <c r="X83" s="1858" t="s">
        <v>523</v>
      </c>
      <c r="Y83" s="1859"/>
      <c r="Z83" s="1859"/>
      <c r="AA83" s="1859"/>
      <c r="AB83" s="1859"/>
      <c r="AC83" s="1859"/>
      <c r="AD83" s="1859"/>
      <c r="AE83" s="1859"/>
      <c r="AF83" s="1859"/>
      <c r="AG83" s="1859"/>
      <c r="AH83" s="1860"/>
      <c r="AI83" s="1858" t="s">
        <v>522</v>
      </c>
      <c r="AJ83" s="1859"/>
      <c r="AK83" s="1859"/>
      <c r="AL83" s="1859"/>
      <c r="AM83" s="1859"/>
      <c r="AN83" s="1859"/>
      <c r="AO83" s="1859"/>
      <c r="AP83" s="1859"/>
      <c r="AQ83" s="1859"/>
      <c r="AR83" s="1859"/>
      <c r="AS83" s="1859"/>
      <c r="AT83" s="1859"/>
      <c r="AU83" s="1859"/>
      <c r="AV83" s="1859"/>
      <c r="AW83" s="1859"/>
      <c r="AX83" s="1860"/>
      <c r="AY83" s="1416"/>
      <c r="AZ83" s="1858" t="s">
        <v>521</v>
      </c>
      <c r="BA83" s="1859"/>
      <c r="BB83" s="1859"/>
      <c r="BC83" s="1859"/>
      <c r="BD83" s="1859"/>
      <c r="BE83" s="1859"/>
      <c r="BF83" s="1859"/>
      <c r="BG83" s="1859"/>
      <c r="BH83" s="1859"/>
      <c r="BI83" s="1859"/>
      <c r="BJ83" s="1860"/>
      <c r="BK83" s="1855" t="s">
        <v>520</v>
      </c>
      <c r="BL83" s="1857"/>
      <c r="BM83" s="1857"/>
      <c r="BN83" s="1857"/>
      <c r="BO83" s="1857"/>
      <c r="BP83" s="1856"/>
      <c r="BQ83" s="1857" t="s">
        <v>519</v>
      </c>
      <c r="BR83" s="1857"/>
      <c r="BS83" s="1857"/>
      <c r="BT83" s="1857"/>
      <c r="BU83" s="1857"/>
      <c r="BV83" s="1857"/>
      <c r="BW83" s="1857"/>
      <c r="BX83" s="1857"/>
      <c r="BY83" s="1857"/>
      <c r="BZ83" s="1856"/>
      <c r="CA83" s="795"/>
      <c r="CB83" s="796"/>
      <c r="CC83" s="797"/>
      <c r="CD83" s="798"/>
      <c r="CE83" s="1855" t="s">
        <v>518</v>
      </c>
      <c r="CF83" s="1856"/>
      <c r="DJ83" s="1620"/>
      <c r="DK83" s="440"/>
      <c r="DL83" s="1619"/>
      <c r="DN83" s="1620"/>
      <c r="DR83" s="213"/>
      <c r="DS83" s="213"/>
      <c r="DT83" s="213"/>
      <c r="DU83" s="213"/>
      <c r="DV83" s="213"/>
      <c r="DW83" s="213"/>
      <c r="DX83" s="213"/>
      <c r="DY83" s="213"/>
      <c r="DZ83" s="213"/>
      <c r="EA83" s="213"/>
      <c r="EQ83" s="213"/>
      <c r="ER83" s="213"/>
      <c r="ES83" s="213"/>
      <c r="ET83" s="213"/>
      <c r="EU83" s="213"/>
      <c r="EV83" s="213"/>
      <c r="EW83" s="213"/>
      <c r="EX83" s="213"/>
      <c r="EY83" s="213"/>
      <c r="EZ83" s="213"/>
    </row>
    <row r="84" spans="1:156" s="213" customFormat="1" ht="63.75" hidden="1" x14ac:dyDescent="0.2">
      <c r="A84" s="213">
        <v>1</v>
      </c>
      <c r="B84" s="267"/>
      <c r="D84" s="799" t="s">
        <v>411</v>
      </c>
      <c r="E84" s="800" t="s">
        <v>517</v>
      </c>
      <c r="F84" s="800" t="s">
        <v>516</v>
      </c>
      <c r="G84" s="800" t="s">
        <v>515</v>
      </c>
      <c r="H84" s="800" t="s">
        <v>514</v>
      </c>
      <c r="I84" s="800" t="s">
        <v>513</v>
      </c>
      <c r="J84" s="800" t="str">
        <f>IF($C$3&gt;0,"","Segment SST")</f>
        <v>Segment SST</v>
      </c>
      <c r="K84" s="800" t="str">
        <f>IF($C$3&gt;0,"","Segment Suction Vapor Temp")</f>
        <v>Segment Suction Vapor Temp</v>
      </c>
      <c r="L84" s="800" t="str">
        <f>IF($C$3&gt;0,"","Return Gas Temp")</f>
        <v>Return Gas Temp</v>
      </c>
      <c r="M84" s="800" t="str">
        <f>IF($C$3&gt;0,"","Segment Suction Pressure")</f>
        <v>Segment Suction Pressure</v>
      </c>
      <c r="N84" s="800" t="str">
        <f>IF($C$3&gt;0,"","Evap Pressure")</f>
        <v>Evap Pressure</v>
      </c>
      <c r="O84" s="800" t="str">
        <f>IF($C$3&gt;0,"","Evap Temp Glide")</f>
        <v>Evap Temp Glide</v>
      </c>
      <c r="P84" s="801" t="str">
        <f>IF($C$3&gt;0,"","Evap Inlet Quality 1=100% Vapor")</f>
        <v>Evap Inlet Quality 1=100% Vapor</v>
      </c>
      <c r="Q84" s="800" t="str">
        <f>IF($C$3&gt;0,"","Evap Suction Outlet Enthalpy")</f>
        <v>Evap Suction Outlet Enthalpy</v>
      </c>
      <c r="R84" s="800" t="str">
        <f>IF($C$3&gt;0,"Flow","Liquid Enthalpy")</f>
        <v>Liquid Enthalpy</v>
      </c>
      <c r="S84" s="800" t="s">
        <v>507</v>
      </c>
      <c r="T84" s="800" t="s">
        <v>506</v>
      </c>
      <c r="U84" s="800" t="s">
        <v>356</v>
      </c>
      <c r="V84" s="800" t="s">
        <v>505</v>
      </c>
      <c r="W84" s="802" t="str">
        <f>IF($C$3&gt;0,"","Riser Type")</f>
        <v>Riser Type</v>
      </c>
      <c r="X84" s="803" t="s">
        <v>475</v>
      </c>
      <c r="Y84" s="804" t="s">
        <v>474</v>
      </c>
      <c r="Z84" s="805" t="s">
        <v>485</v>
      </c>
      <c r="AA84" s="805" t="s">
        <v>484</v>
      </c>
      <c r="AB84" s="805" t="s">
        <v>473</v>
      </c>
      <c r="AC84" s="805" t="s">
        <v>149</v>
      </c>
      <c r="AD84" s="805" t="s">
        <v>472</v>
      </c>
      <c r="AE84" s="805" t="s">
        <v>471</v>
      </c>
      <c r="AF84" s="805" t="s">
        <v>470</v>
      </c>
      <c r="AG84" s="805" t="s">
        <v>503</v>
      </c>
      <c r="AH84" s="806" t="s">
        <v>502</v>
      </c>
      <c r="AI84" s="803" t="s">
        <v>501</v>
      </c>
      <c r="AJ84" s="804" t="s">
        <v>500</v>
      </c>
      <c r="AK84" s="805" t="s">
        <v>499</v>
      </c>
      <c r="AL84" s="805" t="s">
        <v>498</v>
      </c>
      <c r="AM84" s="805" t="s">
        <v>497</v>
      </c>
      <c r="AN84" s="805" t="s">
        <v>496</v>
      </c>
      <c r="AO84" s="805" t="s">
        <v>495</v>
      </c>
      <c r="AP84" s="805" t="s">
        <v>494</v>
      </c>
      <c r="AQ84" s="805" t="s">
        <v>493</v>
      </c>
      <c r="AR84" s="805" t="s">
        <v>492</v>
      </c>
      <c r="AS84" s="805" t="s">
        <v>491</v>
      </c>
      <c r="AT84" s="805" t="s">
        <v>490</v>
      </c>
      <c r="AU84" s="805" t="s">
        <v>489</v>
      </c>
      <c r="AV84" s="805" t="s">
        <v>488</v>
      </c>
      <c r="AW84" s="805" t="s">
        <v>487</v>
      </c>
      <c r="AX84" s="806" t="s">
        <v>486</v>
      </c>
      <c r="AY84" s="805" t="s">
        <v>1253</v>
      </c>
      <c r="AZ84" s="803" t="s">
        <v>475</v>
      </c>
      <c r="BA84" s="804" t="s">
        <v>474</v>
      </c>
      <c r="BB84" s="805" t="s">
        <v>485</v>
      </c>
      <c r="BC84" s="805" t="s">
        <v>484</v>
      </c>
      <c r="BD84" s="805" t="s">
        <v>473</v>
      </c>
      <c r="BE84" s="805" t="s">
        <v>149</v>
      </c>
      <c r="BF84" s="805" t="s">
        <v>472</v>
      </c>
      <c r="BG84" s="805" t="s">
        <v>471</v>
      </c>
      <c r="BH84" s="805" t="s">
        <v>470</v>
      </c>
      <c r="BI84" s="805" t="s">
        <v>483</v>
      </c>
      <c r="BJ84" s="806" t="s">
        <v>482</v>
      </c>
      <c r="BK84" s="807" t="s">
        <v>481</v>
      </c>
      <c r="BL84" s="804" t="s">
        <v>480</v>
      </c>
      <c r="BM84" s="804" t="s">
        <v>479</v>
      </c>
      <c r="BN84" s="805" t="s">
        <v>478</v>
      </c>
      <c r="BO84" s="805" t="s">
        <v>477</v>
      </c>
      <c r="BP84" s="806" t="s">
        <v>476</v>
      </c>
      <c r="BQ84" s="804" t="s">
        <v>475</v>
      </c>
      <c r="BR84" s="804" t="s">
        <v>474</v>
      </c>
      <c r="BS84" s="805" t="s">
        <v>473</v>
      </c>
      <c r="BT84" s="805" t="s">
        <v>149</v>
      </c>
      <c r="BU84" s="805" t="s">
        <v>479</v>
      </c>
      <c r="BV84" s="805" t="s">
        <v>472</v>
      </c>
      <c r="BW84" s="805" t="s">
        <v>471</v>
      </c>
      <c r="BX84" s="805" t="s">
        <v>470</v>
      </c>
      <c r="BY84" s="805" t="s">
        <v>469</v>
      </c>
      <c r="BZ84" s="806" t="s">
        <v>468</v>
      </c>
      <c r="CA84" s="808"/>
      <c r="CB84" s="809"/>
      <c r="CC84" s="810"/>
      <c r="CD84" s="811" t="s">
        <v>178</v>
      </c>
      <c r="CE84" s="1853" t="s">
        <v>467</v>
      </c>
      <c r="CF84" s="806" t="s">
        <v>466</v>
      </c>
      <c r="DH84" s="310"/>
      <c r="DI84" s="310"/>
      <c r="DJ84" s="1620"/>
      <c r="DK84" s="440"/>
      <c r="DL84" s="1619"/>
      <c r="DM84" s="310"/>
      <c r="DN84" s="1620"/>
      <c r="DO84" s="310"/>
      <c r="DP84" s="320"/>
      <c r="DR84" s="264"/>
      <c r="DS84" s="264"/>
      <c r="DT84" s="264"/>
      <c r="DU84" s="264"/>
      <c r="DV84" s="264"/>
      <c r="DW84" s="264"/>
      <c r="DX84" s="264"/>
      <c r="DY84" s="264"/>
      <c r="DZ84" s="264"/>
      <c r="EA84" s="264"/>
      <c r="EB84" s="25"/>
      <c r="EC84" s="25"/>
      <c r="ED84" s="25"/>
      <c r="EE84" s="25"/>
      <c r="EF84" s="25"/>
      <c r="EG84" s="25"/>
      <c r="EH84" s="25"/>
      <c r="EI84" s="25"/>
      <c r="EJ84" s="25"/>
      <c r="EK84" s="25"/>
      <c r="EL84" s="25"/>
      <c r="EM84" s="25"/>
      <c r="EN84" s="25"/>
      <c r="EO84" s="25"/>
      <c r="EP84" s="25"/>
    </row>
    <row r="85" spans="1:156" s="264" customFormat="1" ht="20.25" hidden="1" customHeight="1" thickBot="1" x14ac:dyDescent="0.25">
      <c r="A85" s="265">
        <v>1</v>
      </c>
      <c r="B85" s="266">
        <f>LegendSG3EVLT</f>
        <v>0</v>
      </c>
      <c r="C85" s="296" t="s">
        <v>151</v>
      </c>
      <c r="D85" s="428"/>
      <c r="E85" s="812"/>
      <c r="F85" s="812"/>
      <c r="G85" s="812"/>
      <c r="H85" s="813" t="s">
        <v>465</v>
      </c>
      <c r="I85" s="813" t="s">
        <v>459</v>
      </c>
      <c r="J85" s="813" t="str">
        <f>IF($C$3&gt;0,"","[ºF]")</f>
        <v>[ºF]</v>
      </c>
      <c r="K85" s="813" t="str">
        <f>IF($C$3&gt;0,"","[ºF]")</f>
        <v>[ºF]</v>
      </c>
      <c r="L85" s="813" t="str">
        <f>IF($C$3&gt;0,"","[ºF]")</f>
        <v>[ºF]</v>
      </c>
      <c r="M85" s="813" t="str">
        <f>IF($C$3&gt;0,"","[psia]")</f>
        <v>[psia]</v>
      </c>
      <c r="N85" s="813" t="str">
        <f>IF($C$3&gt;0,"","[psia]")</f>
        <v>[psia]</v>
      </c>
      <c r="O85" s="813" t="str">
        <f>IF($C$3&gt;0,"","[ºF]")</f>
        <v>[ºF]</v>
      </c>
      <c r="P85" s="814"/>
      <c r="Q85" s="813" t="str">
        <f>IF($C$3&gt;0,"","[Btu/lb]")</f>
        <v>[Btu/lb]</v>
      </c>
      <c r="R85" s="813" t="str">
        <f>IF($C$3&gt;0,"[GPM]","[Btu/lb]")</f>
        <v>[Btu/lb]</v>
      </c>
      <c r="S85" s="813" t="s">
        <v>462</v>
      </c>
      <c r="T85" s="813" t="s">
        <v>461</v>
      </c>
      <c r="U85" s="813" t="s">
        <v>463</v>
      </c>
      <c r="V85" s="813"/>
      <c r="W85" s="815"/>
      <c r="X85" s="816" t="s">
        <v>458</v>
      </c>
      <c r="Y85" s="813" t="s">
        <v>458</v>
      </c>
      <c r="Z85" s="813" t="s">
        <v>462</v>
      </c>
      <c r="AA85" s="813" t="s">
        <v>461</v>
      </c>
      <c r="AB85" s="813" t="s">
        <v>457</v>
      </c>
      <c r="AC85" s="813" t="s">
        <v>456</v>
      </c>
      <c r="AD85" s="813"/>
      <c r="AE85" s="813"/>
      <c r="AF85" s="813" t="s">
        <v>455</v>
      </c>
      <c r="AG85" s="813" t="s">
        <v>455</v>
      </c>
      <c r="AH85" s="815" t="s">
        <v>454</v>
      </c>
      <c r="AI85" s="816"/>
      <c r="AJ85" s="813" t="s">
        <v>454</v>
      </c>
      <c r="AK85" s="813"/>
      <c r="AL85" s="813" t="s">
        <v>456</v>
      </c>
      <c r="AM85" s="813"/>
      <c r="AN85" s="813"/>
      <c r="AO85" s="813" t="s">
        <v>455</v>
      </c>
      <c r="AP85" s="813" t="s">
        <v>455</v>
      </c>
      <c r="AQ85" s="813" t="s">
        <v>454</v>
      </c>
      <c r="AR85" s="813" t="s">
        <v>457</v>
      </c>
      <c r="AS85" s="813" t="s">
        <v>463</v>
      </c>
      <c r="AT85" s="813" t="s">
        <v>455</v>
      </c>
      <c r="AU85" s="813" t="s">
        <v>455</v>
      </c>
      <c r="AV85" s="813" t="s">
        <v>454</v>
      </c>
      <c r="AW85" s="813" t="s">
        <v>457</v>
      </c>
      <c r="AX85" s="815" t="s">
        <v>463</v>
      </c>
      <c r="AY85" s="813" t="s">
        <v>458</v>
      </c>
      <c r="AZ85" s="816" t="s">
        <v>458</v>
      </c>
      <c r="BA85" s="813" t="s">
        <v>458</v>
      </c>
      <c r="BB85" s="813" t="s">
        <v>462</v>
      </c>
      <c r="BC85" s="813" t="s">
        <v>461</v>
      </c>
      <c r="BD85" s="813" t="s">
        <v>457</v>
      </c>
      <c r="BE85" s="813" t="s">
        <v>456</v>
      </c>
      <c r="BF85" s="813"/>
      <c r="BG85" s="813"/>
      <c r="BH85" s="813" t="s">
        <v>455</v>
      </c>
      <c r="BI85" s="813" t="s">
        <v>455</v>
      </c>
      <c r="BJ85" s="817" t="s">
        <v>454</v>
      </c>
      <c r="BK85" s="816" t="s">
        <v>456</v>
      </c>
      <c r="BL85" s="813" t="s">
        <v>456</v>
      </c>
      <c r="BM85" s="813" t="s">
        <v>456</v>
      </c>
      <c r="BN85" s="813" t="s">
        <v>459</v>
      </c>
      <c r="BO85" s="813" t="s">
        <v>460</v>
      </c>
      <c r="BP85" s="815" t="s">
        <v>459</v>
      </c>
      <c r="BQ85" s="813" t="s">
        <v>458</v>
      </c>
      <c r="BR85" s="813" t="s">
        <v>458</v>
      </c>
      <c r="BS85" s="813" t="s">
        <v>457</v>
      </c>
      <c r="BT85" s="813" t="str">
        <f>IF($C$3&gt;0,"[ft-H2O]","[psi]")</f>
        <v>[psi]</v>
      </c>
      <c r="BU85" s="813" t="str">
        <f>IF($C$3&gt;0,"[ft-H2O]","[psi]")</f>
        <v>[psi]</v>
      </c>
      <c r="BV85" s="813"/>
      <c r="BW85" s="813"/>
      <c r="BX85" s="813" t="s">
        <v>455</v>
      </c>
      <c r="BY85" s="813" t="s">
        <v>455</v>
      </c>
      <c r="BZ85" s="815" t="s">
        <v>454</v>
      </c>
      <c r="CA85" s="818"/>
      <c r="CB85" s="819"/>
      <c r="CC85" s="820"/>
      <c r="CD85" s="792" t="s">
        <v>179</v>
      </c>
      <c r="CE85" s="1854"/>
      <c r="CF85" s="815"/>
      <c r="DH85" s="311"/>
      <c r="DI85" s="311"/>
      <c r="DJ85" s="1621"/>
      <c r="DK85" s="441"/>
      <c r="DL85" s="1622"/>
      <c r="DM85" s="311"/>
      <c r="DN85" s="1621"/>
      <c r="DO85" s="311"/>
      <c r="DP85" s="321"/>
      <c r="DR85" s="213"/>
      <c r="DS85" s="213"/>
      <c r="DT85" s="213"/>
      <c r="DU85" s="213"/>
      <c r="DV85" s="213"/>
      <c r="DW85" s="213"/>
      <c r="DX85" s="213"/>
      <c r="DY85" s="213"/>
      <c r="DZ85" s="213"/>
      <c r="EA85" s="213"/>
      <c r="EB85" s="25"/>
      <c r="EC85" s="25"/>
      <c r="ED85" s="25"/>
      <c r="EE85" s="25"/>
      <c r="EF85" s="25"/>
      <c r="EG85" s="25"/>
      <c r="EH85" s="25"/>
      <c r="EI85" s="25"/>
      <c r="EJ85" s="25"/>
      <c r="EK85" s="25"/>
      <c r="EL85" s="25"/>
      <c r="EM85" s="25"/>
      <c r="EN85" s="25"/>
      <c r="EO85" s="25"/>
      <c r="EP85" s="25"/>
      <c r="EQ85" s="213"/>
      <c r="ER85" s="213"/>
      <c r="ES85" s="213"/>
      <c r="ET85" s="213"/>
      <c r="EU85" s="213"/>
      <c r="EV85" s="213"/>
      <c r="EW85" s="213"/>
      <c r="EX85" s="213"/>
      <c r="EY85" s="213"/>
      <c r="EZ85" s="213"/>
    </row>
    <row r="86" spans="1:156" ht="13.5" hidden="1" thickTop="1" x14ac:dyDescent="0.2">
      <c r="A86" s="262" t="s">
        <v>374</v>
      </c>
      <c r="B86" s="262">
        <f>H83</f>
        <v>3</v>
      </c>
      <c r="C86" s="262">
        <f>$C$6</f>
        <v>1</v>
      </c>
      <c r="D86" s="429" t="s">
        <v>176</v>
      </c>
      <c r="E86" s="430" t="str">
        <f>"SG " &amp; H83</f>
        <v>SG 3</v>
      </c>
      <c r="F86" s="430">
        <v>0</v>
      </c>
      <c r="G86" s="263" t="s">
        <v>548</v>
      </c>
      <c r="H86" s="220"/>
      <c r="I86" s="258"/>
      <c r="J86" s="248" t="str">
        <f>IF(C86&gt;0,"",($D$81))</f>
        <v/>
      </c>
      <c r="K86" s="248"/>
      <c r="L86" s="257" t="str">
        <f>IF($C$3&gt;0,"",IF(C86&gt;0,"",IF(($J$81)&gt;1,I86,LegendSG3RGT)))</f>
        <v/>
      </c>
      <c r="M86" s="248" t="str">
        <f>IF(C86&gt;0,"",DT86)</f>
        <v/>
      </c>
      <c r="N86" s="248"/>
      <c r="O86" s="248"/>
      <c r="P86" s="220"/>
      <c r="Q86" s="248"/>
      <c r="R86" s="220" t="str">
        <f>IF($C$3&gt;0,IF(S86=0,"",U86/(S86*60*0.13368)),"")</f>
        <v/>
      </c>
      <c r="S86" s="220"/>
      <c r="T86" s="250"/>
      <c r="U86" s="248"/>
      <c r="V86" s="257"/>
      <c r="W86" s="247"/>
      <c r="X86" s="312"/>
      <c r="Y86" s="246"/>
      <c r="Z86" s="218"/>
      <c r="AA86" s="250"/>
      <c r="AB86" s="219"/>
      <c r="AC86" s="220"/>
      <c r="AD86" s="219"/>
      <c r="AE86" s="218"/>
      <c r="AF86" s="245"/>
      <c r="AG86" s="245"/>
      <c r="AH86" s="298"/>
      <c r="AI86" s="253"/>
      <c r="AJ86" s="252"/>
      <c r="AK86" s="218"/>
      <c r="AL86" s="220"/>
      <c r="AM86" s="219"/>
      <c r="AN86" s="218"/>
      <c r="AO86" s="245"/>
      <c r="AP86" s="245"/>
      <c r="AQ86" s="251"/>
      <c r="AR86" s="219"/>
      <c r="AS86" s="248"/>
      <c r="AT86" s="245"/>
      <c r="AU86" s="245"/>
      <c r="AV86" s="251"/>
      <c r="AW86" s="219"/>
      <c r="AX86" s="247"/>
      <c r="AY86" s="248"/>
      <c r="AZ86" s="438"/>
      <c r="BA86" s="246"/>
      <c r="BB86" s="218"/>
      <c r="BC86" s="250"/>
      <c r="BD86" s="219"/>
      <c r="BE86" s="220"/>
      <c r="BF86" s="219"/>
      <c r="BG86" s="218"/>
      <c r="BH86" s="245"/>
      <c r="BI86" s="245"/>
      <c r="BJ86" s="243"/>
      <c r="BK86" s="312"/>
      <c r="BL86" s="248"/>
      <c r="BM86" s="248"/>
      <c r="BN86" s="248"/>
      <c r="BO86" s="220"/>
      <c r="BP86" s="247"/>
      <c r="BQ86" s="287"/>
      <c r="BR86" s="246"/>
      <c r="BS86" s="220"/>
      <c r="BT86" s="220"/>
      <c r="BU86" s="220"/>
      <c r="BV86" s="219"/>
      <c r="BW86" s="218"/>
      <c r="BX86" s="245"/>
      <c r="BY86" s="245"/>
      <c r="BZ86" s="243"/>
      <c r="CA86" s="314" t="s">
        <v>150</v>
      </c>
      <c r="CC86" s="313">
        <v>0</v>
      </c>
      <c r="CD86" s="318"/>
      <c r="CE86" s="242"/>
      <c r="CF86" s="241"/>
      <c r="CH86" s="213">
        <f>IF(OR(AB86&lt;($AB$81),AB86&gt;($AC$81)),1,0)</f>
        <v>1</v>
      </c>
      <c r="CI86" s="213">
        <f>IF(OR(BD86&lt;($BD$81),BD86&gt;($BE$81)),1,0)</f>
        <v>1</v>
      </c>
      <c r="CJ86" s="213">
        <f>IF(BN86&lt;($F$81),1,0)</f>
        <v>0</v>
      </c>
      <c r="CK86" s="213">
        <f>IF(AND((LEFT('Legend(DX)'!$U$1,1)="C"),BN86&gt;$F$81),0,IF(BO86&lt;($E$81),1,0))</f>
        <v>0</v>
      </c>
      <c r="CL86" s="213">
        <f>IF(AND((LEFT('Legend(DX)'!$U$1,1)="C"),BN86&gt;$F$81),0,IF(BP86&lt;($D$81),1,0))</f>
        <v>0</v>
      </c>
      <c r="CM86" s="213">
        <f>IF(BS86&gt;($BS$81),1,0)</f>
        <v>0</v>
      </c>
      <c r="CN86" s="213">
        <f>IF(BU86&gt;($BT$81),1,0)</f>
        <v>0</v>
      </c>
      <c r="CO86" s="213">
        <f>SUM(CH86:CN86)</f>
        <v>2</v>
      </c>
      <c r="CQ86" s="304" t="s">
        <v>171</v>
      </c>
      <c r="CR86" s="213">
        <f t="shared" ref="CR86:DC86" si="22">IF($W86="Single",IF($AG86="",IF($AF86=CR$8,$X86,0),IF($AG86=CR$8,$X86,0)),0)</f>
        <v>0</v>
      </c>
      <c r="CS86" s="213">
        <f t="shared" si="22"/>
        <v>0</v>
      </c>
      <c r="CT86" s="213">
        <f t="shared" si="22"/>
        <v>0</v>
      </c>
      <c r="CU86" s="213">
        <f t="shared" si="22"/>
        <v>0</v>
      </c>
      <c r="CV86" s="213">
        <f t="shared" si="22"/>
        <v>0</v>
      </c>
      <c r="CW86" s="213">
        <f t="shared" si="22"/>
        <v>0</v>
      </c>
      <c r="CX86" s="213">
        <f t="shared" si="22"/>
        <v>0</v>
      </c>
      <c r="CY86" s="213">
        <f t="shared" si="22"/>
        <v>0</v>
      </c>
      <c r="CZ86" s="213">
        <f t="shared" si="22"/>
        <v>0</v>
      </c>
      <c r="DA86" s="213">
        <f t="shared" si="22"/>
        <v>0</v>
      </c>
      <c r="DB86" s="213">
        <f t="shared" si="22"/>
        <v>0</v>
      </c>
      <c r="DC86" s="213">
        <f t="shared" si="22"/>
        <v>0</v>
      </c>
      <c r="DE86" s="304" t="str">
        <f>IF(AG86="",IF(X86=0,TEXT(AF86,"# 0/0")&amp;"*",TEXT(AF86,"# 0/0")),IF(X86=0,TEXT(AG86,"# 0/0")&amp;"*",TEXT(AG86,"# 0/0")))</f>
        <v>0/1*</v>
      </c>
      <c r="DF86" s="25" t="str">
        <f>IF(AP86="",IF(X86=0,TEXT(AO86,"# 0/0")&amp;"*",TEXT(AO86,"# 0/0")),IF(X86=0,TEXT(AP86,"# 0/0")&amp;"*",TEXT(AP86,"# 0/0")))</f>
        <v>0/1*</v>
      </c>
      <c r="DG86" s="25" t="str">
        <f>IF(AU86="",IF(X86=0,TEXT(AT86,"# 0/0")&amp;"*",TEXT(AT86,"# 0/0")),IF(X86=0,TEXT(AU86,"# 0/0")&amp;"*",TEXT(AU86,"# 0/0")))</f>
        <v>0/1*</v>
      </c>
      <c r="DH86" s="329" t="str">
        <f>E86</f>
        <v>SG 3</v>
      </c>
      <c r="DI86" s="310">
        <f>IF($BI86="",$BH86,$BI86)</f>
        <v>0</v>
      </c>
      <c r="DJ86" s="1620"/>
      <c r="DK86" s="440" t="str">
        <f>IF(W86="Double",DF86 &amp; " &amp; " &amp; DG86,DE86)</f>
        <v>0/1*</v>
      </c>
      <c r="DL86" s="1619"/>
      <c r="DM86" s="310">
        <f>IF($BY86="",IF($C$3&gt;0,$BX86-0.125,$BX86),IF($C$3&gt;0,$BY86-0.125,$BY86))</f>
        <v>0</v>
      </c>
      <c r="DN86" s="1620"/>
      <c r="DO86" s="310">
        <f>IF($C$3&gt;0,2*$BQ86,$BQ86)</f>
        <v>0</v>
      </c>
      <c r="DR86" s="1253" t="str">
        <f>J86</f>
        <v/>
      </c>
      <c r="DS86" s="1253" t="str">
        <f>IF(C86&gt;0,"",(Pressure($B$3,"Tliq","e",$J86)+Pressure($B$3,"Tvap","e",$J86))/2)</f>
        <v/>
      </c>
      <c r="DT86" s="1253" t="str">
        <f>IF(C86&gt;0,"",Pressure($B$3,"tvap","e",$J86+0.5*$DZ86))</f>
        <v/>
      </c>
      <c r="DU86" s="1253">
        <f>I86</f>
        <v>0</v>
      </c>
      <c r="DV86" s="1253" t="str">
        <f>IF(C86&gt;0,"",(Pressure($B$3,"Tliq","e",$I86)+Pressure($B$3,"Tvap","e",$I86))/2)</f>
        <v/>
      </c>
      <c r="DW86" s="1253" t="str">
        <f>IF(C86&gt;0,"",Pressure($B$3,"tvap","e",$I86+0.5*$DZ86))</f>
        <v/>
      </c>
      <c r="DX86" s="1260" t="str">
        <f>IF(C86&gt;0,"",1-(Enthalpy($B$3,"pvap","e",$DV86)-(IF($G$4+0.5*($DR$81)&gt;($H$81),Enthalpy($B$3,"Tliq","e",($G$81)),Enthalpy($B$3,"tp","e",($G$81),($I$81)))))/(Enthalpy($B$3,"pvap","e",$DV86)-Enthalpy($B$3,"pliq","e",$DV86)))</f>
        <v/>
      </c>
      <c r="DY86" s="1253" t="str">
        <f>IF(C86&gt;0,"",TEMPERATURE($B$3,"pvap","e",$DS86)-TEMPERATURE($B$3,"pliq","e",$DS86))</f>
        <v/>
      </c>
      <c r="DZ86" s="1253" t="e">
        <f>(1-$DX86)*$DY86</f>
        <v>#VALUE!</v>
      </c>
      <c r="EA86" s="1261"/>
      <c r="EB86" s="1262" t="e">
        <f>T86/AA86</f>
        <v>#DIV/0!</v>
      </c>
      <c r="EC86" s="1260" t="e">
        <f>1/(((1/($J$81))/Z86)+((1-(1/($J$81)))/S86))</f>
        <v>#DIV/0!</v>
      </c>
      <c r="ED86" s="1263">
        <f>SQRT(AH86*4/PI())</f>
        <v>0</v>
      </c>
      <c r="EE86" s="1262" t="e">
        <f>(((U86/AH86)^2)*ED86)*(1/3600)*(1/3600)/(EC86*SurfaceTension($B$3,"TLIQ","E",I86))/32.174</f>
        <v>#DIV/0!</v>
      </c>
      <c r="EF86" s="1260" t="e">
        <f>((S86/Z86)^0.91)*((AA86/T86)^0.19)*((1-(AA86/T86))^0.7)</f>
        <v>#DIV/0!</v>
      </c>
      <c r="EG86" s="1264" t="e">
        <f>((1/($J$81))^0.78)*((1-(1/($J$81)))^0.224)</f>
        <v>#DIV/0!</v>
      </c>
      <c r="EH86" s="1260" t="e">
        <f>(1-(1/($J$81)))^2+(((1/($J$81))^2)*S86*AE86/(Z86*EM86))</f>
        <v>#DIV/0!</v>
      </c>
      <c r="EI86" s="1262" t="e">
        <f>((U86/AH86)^2)*(1/3600)*(1/3600)/(32.174*ED86*(EC86^2))</f>
        <v>#DIV/0!</v>
      </c>
      <c r="EJ86" s="1253" t="e">
        <f>EH86+(3.24*EG86*EF86/((EI86^0.045)*(EE86^0.035)))</f>
        <v>#DIV/0!</v>
      </c>
      <c r="EK86" s="1260" t="e">
        <f>vel(U86,S86,AH86)</f>
        <v>#VALUE!</v>
      </c>
      <c r="EL86" s="1262" t="e">
        <f>(((EK86/60)*S86)/T86)*((VLOOKUP(IF(AG86="",AF86,AG86),'Pipe Data'!F$7:G$19,2,FALSE))/12)</f>
        <v>#VALUE!</v>
      </c>
      <c r="EM86" s="1264" t="e">
        <f>(0.25/(LOG(5.74/(EL86^0.9))+((VLOOKUP(IF(AG86="",AF86,AG86),'Pipe Data'!J$7:X$19,15,FALSE))/3.7))^2)</f>
        <v>#VALUE!</v>
      </c>
      <c r="EN86" s="1264" t="e">
        <f>pdrop(EM86,Y86,S86,EK86,IF(AG86="",AF86,AG86))</f>
        <v>#VALUE!</v>
      </c>
      <c r="EO86" s="1260" t="e">
        <f>EN86*EJ86</f>
        <v>#VALUE!</v>
      </c>
      <c r="EP86" s="1261"/>
      <c r="EQ86" s="1263">
        <f>SQRT(BJ86*4/PI())</f>
        <v>0</v>
      </c>
      <c r="ER86" s="1262" t="e">
        <f>(((U86/BJ86)^2)*EQ86)*(1/3600)*(1/3600)/(EC86*SurfaceTension($B$3,"TLIQ","E",I86))/32.174</f>
        <v>#DIV/0!</v>
      </c>
      <c r="ES86" s="1260" t="e">
        <f>(1-(1/($J$81)))^2+(((1/($J$81))^2)*S86*BG86/(Z86*EM86))</f>
        <v>#DIV/0!</v>
      </c>
      <c r="ET86" s="1253" t="e">
        <f>((U86/BJ86)^2)*(1/3600)*(1/3600)/(32.174*EQ86*(EC86^2))</f>
        <v>#DIV/0!</v>
      </c>
      <c r="EU86" s="1260" t="e">
        <f>ES86+(3.24*EG86*EF86/((ET86^0.045)*(ER86^0.035)))</f>
        <v>#DIV/0!</v>
      </c>
      <c r="EV86" s="1260" t="e">
        <f>vel(U86,S86,BJ86)</f>
        <v>#VALUE!</v>
      </c>
      <c r="EW86" s="1262" t="e">
        <f>(((EV86/60)*S86)/T86)*((VLOOKUP(IF(BI86="",BH86,BI86),'Pipe Data'!F$7:G$19,2,FALSE))/12)</f>
        <v>#VALUE!</v>
      </c>
      <c r="EX86" s="1264" t="e">
        <f>(0.25/(LOG(5.74/(EW86^0.9))+((VLOOKUP(IF(BI86="",BH86,BI86),'Pipe Data'!J$7:X$19,15,FALSE))/3.7))^2)</f>
        <v>#VALUE!</v>
      </c>
      <c r="EY86" s="1260" t="e">
        <f>pdrop(EX86,BA86,S86,EV86,IF(BI86="",BH86,BI86))</f>
        <v>#VALUE!</v>
      </c>
      <c r="EZ86" s="1260" t="e">
        <f>EY86*EU86</f>
        <v>#VALUE!</v>
      </c>
    </row>
    <row r="87" spans="1:156" ht="12.75" hidden="1" customHeight="1" x14ac:dyDescent="0.2">
      <c r="A87" s="240"/>
      <c r="B87" s="240"/>
      <c r="C87" s="240"/>
      <c r="D87" s="236"/>
      <c r="E87" s="235"/>
      <c r="F87" s="234"/>
      <c r="G87" s="234"/>
      <c r="H87" s="223"/>
      <c r="I87" s="224"/>
      <c r="J87" s="224"/>
      <c r="K87" s="224"/>
      <c r="L87" s="221"/>
      <c r="M87" s="223"/>
      <c r="N87" s="223"/>
      <c r="O87" s="223"/>
      <c r="P87" s="223"/>
      <c r="Q87" s="224"/>
      <c r="R87" s="223"/>
      <c r="S87" s="223"/>
      <c r="T87" s="227"/>
      <c r="U87" s="224"/>
      <c r="V87" s="224"/>
      <c r="W87" s="222"/>
      <c r="X87" s="229"/>
      <c r="Y87" s="221"/>
      <c r="Z87" s="221"/>
      <c r="AA87" s="221"/>
      <c r="AB87" s="221"/>
      <c r="AC87" s="221"/>
      <c r="AD87" s="221"/>
      <c r="AE87" s="221"/>
      <c r="AF87" s="221"/>
      <c r="AG87" s="221"/>
      <c r="AH87" s="226"/>
      <c r="AI87" s="239"/>
      <c r="AJ87" s="238"/>
      <c r="AK87" s="228"/>
      <c r="AL87" s="223"/>
      <c r="AM87" s="230"/>
      <c r="AN87" s="228"/>
      <c r="AO87" s="232"/>
      <c r="AQ87" s="231"/>
      <c r="AR87" s="230"/>
      <c r="AS87" s="224"/>
      <c r="AT87" s="232"/>
      <c r="AV87" s="231"/>
      <c r="AW87" s="230"/>
      <c r="AX87" s="222"/>
      <c r="AY87" s="224"/>
      <c r="AZ87" s="229"/>
      <c r="BA87" s="221"/>
      <c r="BB87" s="228"/>
      <c r="BC87" s="227"/>
      <c r="BD87" s="227"/>
      <c r="BE87" s="227"/>
      <c r="BF87" s="227"/>
      <c r="BG87" s="227"/>
      <c r="BH87" s="227"/>
      <c r="BI87" s="227"/>
      <c r="BJ87" s="315"/>
      <c r="BK87" s="225"/>
      <c r="BL87" s="224"/>
      <c r="BM87" s="224"/>
      <c r="BN87" s="224"/>
      <c r="BO87" s="223"/>
      <c r="BP87" s="222"/>
      <c r="BQ87" s="229"/>
      <c r="BR87" s="221"/>
      <c r="BS87" s="221"/>
      <c r="BT87" s="221"/>
      <c r="BU87" s="221"/>
      <c r="BV87" s="221"/>
      <c r="BW87" s="221"/>
      <c r="BX87" s="221"/>
      <c r="BY87" s="221"/>
      <c r="BZ87" s="226"/>
      <c r="CA87" s="229"/>
      <c r="CC87" s="313"/>
      <c r="CD87" s="317"/>
      <c r="CE87" s="215"/>
      <c r="CF87" s="214"/>
      <c r="CQ87" s="304" t="s">
        <v>154</v>
      </c>
      <c r="CR87" s="213">
        <f t="shared" ref="CR87:DC87" si="23">IF($BI86="",IF($BH86=CR$8,$AZ86,0),IF($BI86=CR$8,$AZ86,0))</f>
        <v>0</v>
      </c>
      <c r="CS87" s="213">
        <f t="shared" si="23"/>
        <v>0</v>
      </c>
      <c r="CT87" s="213">
        <f t="shared" si="23"/>
        <v>0</v>
      </c>
      <c r="CU87" s="213">
        <f t="shared" si="23"/>
        <v>0</v>
      </c>
      <c r="CV87" s="213">
        <f t="shared" si="23"/>
        <v>0</v>
      </c>
      <c r="CW87" s="213">
        <f t="shared" si="23"/>
        <v>0</v>
      </c>
      <c r="CX87" s="213">
        <f t="shared" si="23"/>
        <v>0</v>
      </c>
      <c r="CY87" s="213">
        <f t="shared" si="23"/>
        <v>0</v>
      </c>
      <c r="CZ87" s="213">
        <f t="shared" si="23"/>
        <v>0</v>
      </c>
      <c r="DA87" s="213">
        <f t="shared" si="23"/>
        <v>0</v>
      </c>
      <c r="DB87" s="213">
        <f t="shared" si="23"/>
        <v>0</v>
      </c>
      <c r="DC87" s="213">
        <f t="shared" si="23"/>
        <v>0</v>
      </c>
      <c r="DJ87" s="1620"/>
      <c r="DK87" s="440"/>
      <c r="DL87" s="1619"/>
      <c r="DN87" s="1620"/>
      <c r="DR87" s="1231"/>
      <c r="DS87" s="1231"/>
      <c r="DT87" s="1231"/>
      <c r="DU87" s="1231"/>
      <c r="DV87" s="1231"/>
      <c r="DW87" s="1231"/>
      <c r="DX87" s="444"/>
      <c r="DY87" s="1231"/>
      <c r="DZ87" s="1231"/>
      <c r="EA87" s="213"/>
      <c r="EB87" s="213"/>
      <c r="EC87" s="213"/>
      <c r="ED87" s="213"/>
      <c r="EE87" s="213"/>
      <c r="EF87" s="213"/>
      <c r="EG87" s="213"/>
      <c r="EH87" s="213"/>
      <c r="EI87" s="213"/>
      <c r="EJ87" s="213"/>
      <c r="EK87" s="213"/>
      <c r="EL87" s="213"/>
      <c r="EM87" s="213"/>
      <c r="EN87" s="213"/>
      <c r="EO87" s="213"/>
      <c r="EP87" s="213"/>
      <c r="EQ87" s="213"/>
      <c r="ER87" s="213"/>
      <c r="ES87" s="213"/>
      <c r="ET87" s="213"/>
      <c r="EU87" s="213"/>
      <c r="EV87" s="213"/>
      <c r="EW87" s="213"/>
      <c r="EX87" s="213"/>
      <c r="EY87" s="213"/>
      <c r="EZ87" s="213"/>
    </row>
    <row r="88" spans="1:156" ht="12.75" hidden="1" customHeight="1" x14ac:dyDescent="0.2">
      <c r="A88" s="240"/>
      <c r="B88" s="240"/>
      <c r="C88" s="240"/>
      <c r="D88" s="236"/>
      <c r="E88" s="235"/>
      <c r="F88" s="234"/>
      <c r="G88" s="234"/>
      <c r="H88" s="223"/>
      <c r="I88" s="224"/>
      <c r="J88" s="224"/>
      <c r="K88" s="224"/>
      <c r="L88" s="221"/>
      <c r="M88" s="223"/>
      <c r="N88" s="223"/>
      <c r="O88" s="223"/>
      <c r="P88" s="223"/>
      <c r="Q88" s="224"/>
      <c r="R88" s="223"/>
      <c r="S88" s="223"/>
      <c r="T88" s="227"/>
      <c r="U88" s="224"/>
      <c r="V88" s="224"/>
      <c r="W88" s="222"/>
      <c r="X88" s="229"/>
      <c r="Y88" s="221"/>
      <c r="Z88" s="221"/>
      <c r="AA88" s="221"/>
      <c r="AB88" s="221"/>
      <c r="AC88" s="221"/>
      <c r="AD88" s="221"/>
      <c r="AE88" s="221"/>
      <c r="AF88" s="221"/>
      <c r="AG88" s="221"/>
      <c r="AH88" s="226"/>
      <c r="AI88" s="239"/>
      <c r="AJ88" s="238"/>
      <c r="AK88" s="228"/>
      <c r="AL88" s="223"/>
      <c r="AM88" s="230"/>
      <c r="AN88" s="228"/>
      <c r="AO88" s="232"/>
      <c r="AQ88" s="231"/>
      <c r="AR88" s="230"/>
      <c r="AS88" s="224"/>
      <c r="AT88" s="232"/>
      <c r="AV88" s="231"/>
      <c r="AW88" s="230"/>
      <c r="AX88" s="222"/>
      <c r="AY88" s="224"/>
      <c r="AZ88" s="229"/>
      <c r="BA88" s="221"/>
      <c r="BB88" s="228"/>
      <c r="BC88" s="227"/>
      <c r="BD88" s="227"/>
      <c r="BE88" s="227"/>
      <c r="BF88" s="227"/>
      <c r="BG88" s="227"/>
      <c r="BH88" s="227"/>
      <c r="BI88" s="227"/>
      <c r="BJ88" s="315"/>
      <c r="BK88" s="225"/>
      <c r="BL88" s="224"/>
      <c r="BM88" s="224"/>
      <c r="BN88" s="224"/>
      <c r="BO88" s="223"/>
      <c r="BP88" s="222"/>
      <c r="BQ88" s="229"/>
      <c r="BR88" s="221"/>
      <c r="BS88" s="221"/>
      <c r="BT88" s="221"/>
      <c r="BU88" s="221"/>
      <c r="BV88" s="221"/>
      <c r="BW88" s="221"/>
      <c r="BX88" s="221"/>
      <c r="BY88" s="221"/>
      <c r="BZ88" s="226"/>
      <c r="CA88" s="229"/>
      <c r="CC88" s="313"/>
      <c r="CD88" s="317"/>
      <c r="CE88" s="215"/>
      <c r="CF88" s="214"/>
      <c r="CQ88" s="304" t="s">
        <v>155</v>
      </c>
      <c r="CR88" s="213">
        <f t="shared" ref="CR88:DC88" si="24">IF($BY86="",IF($BX86=CR$8,$BQ86,0),IF($BY86=CR$8,$BQ86,0))</f>
        <v>0</v>
      </c>
      <c r="CS88" s="213">
        <f t="shared" si="24"/>
        <v>0</v>
      </c>
      <c r="CT88" s="213">
        <f t="shared" si="24"/>
        <v>0</v>
      </c>
      <c r="CU88" s="213">
        <f t="shared" si="24"/>
        <v>0</v>
      </c>
      <c r="CV88" s="213">
        <f t="shared" si="24"/>
        <v>0</v>
      </c>
      <c r="CW88" s="213">
        <f t="shared" si="24"/>
        <v>0</v>
      </c>
      <c r="CX88" s="213">
        <f t="shared" si="24"/>
        <v>0</v>
      </c>
      <c r="CY88" s="213">
        <f t="shared" si="24"/>
        <v>0</v>
      </c>
      <c r="CZ88" s="213">
        <f t="shared" si="24"/>
        <v>0</v>
      </c>
      <c r="DA88" s="213">
        <f t="shared" si="24"/>
        <v>0</v>
      </c>
      <c r="DB88" s="213">
        <f t="shared" si="24"/>
        <v>0</v>
      </c>
      <c r="DC88" s="213">
        <f t="shared" si="24"/>
        <v>0</v>
      </c>
      <c r="DJ88" s="1620"/>
      <c r="DK88" s="440"/>
      <c r="DL88" s="1619"/>
      <c r="DN88" s="1620"/>
      <c r="DR88" s="1231"/>
      <c r="DS88" s="1231"/>
      <c r="DT88" s="1231"/>
      <c r="DU88" s="1231"/>
      <c r="DV88" s="1231"/>
      <c r="DW88" s="1231"/>
      <c r="DX88" s="444"/>
      <c r="DY88" s="1231"/>
      <c r="DZ88" s="1231"/>
      <c r="EA88" s="213"/>
      <c r="EB88" s="213"/>
      <c r="EC88" s="213"/>
      <c r="ED88" s="213"/>
      <c r="EE88" s="213"/>
      <c r="EF88" s="213"/>
      <c r="EG88" s="213"/>
      <c r="EH88" s="213"/>
      <c r="EI88" s="213"/>
      <c r="EJ88" s="213"/>
      <c r="EK88" s="213"/>
      <c r="EL88" s="213"/>
      <c r="EM88" s="213"/>
      <c r="EN88" s="213"/>
      <c r="EO88" s="213"/>
      <c r="EP88" s="213"/>
      <c r="EQ88" s="213"/>
      <c r="ER88" s="213"/>
      <c r="ES88" s="213"/>
      <c r="ET88" s="213"/>
      <c r="EU88" s="213"/>
      <c r="EV88" s="213"/>
      <c r="EW88" s="213"/>
      <c r="EX88" s="213"/>
      <c r="EY88" s="213"/>
      <c r="EZ88" s="213"/>
    </row>
    <row r="89" spans="1:156" ht="12.75" hidden="1" customHeight="1" x14ac:dyDescent="0.2">
      <c r="A89" s="240"/>
      <c r="B89" s="240"/>
      <c r="C89" s="240"/>
      <c r="D89" s="236"/>
      <c r="E89" s="235"/>
      <c r="F89" s="234"/>
      <c r="G89" s="234"/>
      <c r="H89" s="223"/>
      <c r="I89" s="224"/>
      <c r="J89" s="224"/>
      <c r="K89" s="224"/>
      <c r="L89" s="221"/>
      <c r="M89" s="223"/>
      <c r="N89" s="223"/>
      <c r="O89" s="223"/>
      <c r="P89" s="223"/>
      <c r="Q89" s="224"/>
      <c r="R89" s="223"/>
      <c r="S89" s="223"/>
      <c r="T89" s="227"/>
      <c r="U89" s="224"/>
      <c r="V89" s="224"/>
      <c r="W89" s="222"/>
      <c r="X89" s="229"/>
      <c r="Y89" s="221"/>
      <c r="Z89" s="221"/>
      <c r="AA89" s="221"/>
      <c r="AB89" s="221"/>
      <c r="AC89" s="221"/>
      <c r="AD89" s="221"/>
      <c r="AE89" s="221"/>
      <c r="AF89" s="221"/>
      <c r="AG89" s="221"/>
      <c r="AH89" s="226"/>
      <c r="AI89" s="239"/>
      <c r="AJ89" s="238"/>
      <c r="AK89" s="228"/>
      <c r="AL89" s="223"/>
      <c r="AM89" s="230"/>
      <c r="AN89" s="228"/>
      <c r="AO89" s="232"/>
      <c r="AQ89" s="231"/>
      <c r="AR89" s="230"/>
      <c r="AS89" s="224"/>
      <c r="AT89" s="232"/>
      <c r="AV89" s="231"/>
      <c r="AW89" s="230"/>
      <c r="AX89" s="222"/>
      <c r="AY89" s="224"/>
      <c r="AZ89" s="229"/>
      <c r="BA89" s="221"/>
      <c r="BB89" s="228"/>
      <c r="BC89" s="227"/>
      <c r="BD89" s="227"/>
      <c r="BE89" s="227"/>
      <c r="BF89" s="227"/>
      <c r="BG89" s="227"/>
      <c r="BH89" s="227"/>
      <c r="BI89" s="227"/>
      <c r="BJ89" s="315"/>
      <c r="BK89" s="225"/>
      <c r="BL89" s="224"/>
      <c r="BM89" s="224"/>
      <c r="BN89" s="224"/>
      <c r="BO89" s="223"/>
      <c r="BP89" s="222"/>
      <c r="BQ89" s="229"/>
      <c r="BR89" s="221"/>
      <c r="BS89" s="221"/>
      <c r="BT89" s="221"/>
      <c r="BU89" s="221"/>
      <c r="BV89" s="221"/>
      <c r="BW89" s="221"/>
      <c r="BX89" s="221"/>
      <c r="BY89" s="221"/>
      <c r="BZ89" s="226"/>
      <c r="CA89" s="229"/>
      <c r="CC89" s="313"/>
      <c r="CD89" s="317"/>
      <c r="CE89" s="215"/>
      <c r="CF89" s="214"/>
      <c r="CQ89" s="25" t="s">
        <v>172</v>
      </c>
      <c r="CR89" s="213">
        <f t="shared" ref="CR89:DC89" si="25">IF($W86="double",IF($AP86="",IF($AO86=CR$8,$X86,0),IF($AP86=CR$8,$X86,0)),0)</f>
        <v>0</v>
      </c>
      <c r="CS89" s="213">
        <f t="shared" si="25"/>
        <v>0</v>
      </c>
      <c r="CT89" s="213">
        <f t="shared" si="25"/>
        <v>0</v>
      </c>
      <c r="CU89" s="213">
        <f t="shared" si="25"/>
        <v>0</v>
      </c>
      <c r="CV89" s="213">
        <f t="shared" si="25"/>
        <v>0</v>
      </c>
      <c r="CW89" s="213">
        <f t="shared" si="25"/>
        <v>0</v>
      </c>
      <c r="CX89" s="213">
        <f t="shared" si="25"/>
        <v>0</v>
      </c>
      <c r="CY89" s="213">
        <f t="shared" si="25"/>
        <v>0</v>
      </c>
      <c r="CZ89" s="213">
        <f t="shared" si="25"/>
        <v>0</v>
      </c>
      <c r="DA89" s="213">
        <f t="shared" si="25"/>
        <v>0</v>
      </c>
      <c r="DB89" s="213">
        <f t="shared" si="25"/>
        <v>0</v>
      </c>
      <c r="DC89" s="213">
        <f t="shared" si="25"/>
        <v>0</v>
      </c>
      <c r="DJ89" s="1620"/>
      <c r="DK89" s="440"/>
      <c r="DL89" s="1619"/>
      <c r="DN89" s="1620"/>
      <c r="DR89" s="1231"/>
      <c r="DS89" s="1231"/>
      <c r="DT89" s="1231"/>
      <c r="DU89" s="1231"/>
      <c r="DV89" s="1231"/>
      <c r="DW89" s="1231"/>
      <c r="DX89" s="444"/>
      <c r="DY89" s="1231"/>
      <c r="DZ89" s="1231"/>
      <c r="EA89" s="213"/>
      <c r="EB89" s="213"/>
      <c r="EC89" s="213"/>
      <c r="ED89" s="213"/>
      <c r="EE89" s="213"/>
      <c r="EF89" s="213"/>
      <c r="EG89" s="213"/>
      <c r="EH89" s="213"/>
      <c r="EI89" s="213"/>
      <c r="EJ89" s="213"/>
      <c r="EK89" s="213"/>
      <c r="EL89" s="213"/>
      <c r="EM89" s="213"/>
      <c r="EN89" s="213"/>
      <c r="EO89" s="213"/>
      <c r="EP89" s="213"/>
      <c r="EQ89" s="213"/>
      <c r="ER89" s="213"/>
      <c r="ES89" s="213"/>
      <c r="ET89" s="213"/>
      <c r="EU89" s="213"/>
      <c r="EV89" s="213"/>
      <c r="EW89" s="213"/>
      <c r="EX89" s="213"/>
      <c r="EY89" s="213"/>
      <c r="EZ89" s="213"/>
    </row>
    <row r="90" spans="1:156" ht="12.75" hidden="1" customHeight="1" x14ac:dyDescent="0.2">
      <c r="A90" s="240"/>
      <c r="B90" s="240"/>
      <c r="C90" s="240"/>
      <c r="D90" s="236"/>
      <c r="E90" s="235"/>
      <c r="F90" s="234"/>
      <c r="G90" s="234"/>
      <c r="H90" s="223"/>
      <c r="I90" s="224"/>
      <c r="J90" s="224"/>
      <c r="K90" s="224"/>
      <c r="L90" s="221"/>
      <c r="M90" s="223"/>
      <c r="N90" s="223"/>
      <c r="O90" s="223"/>
      <c r="P90" s="223"/>
      <c r="Q90" s="224"/>
      <c r="R90" s="223"/>
      <c r="S90" s="223"/>
      <c r="T90" s="227"/>
      <c r="U90" s="224"/>
      <c r="V90" s="224"/>
      <c r="W90" s="222"/>
      <c r="X90" s="229"/>
      <c r="Y90" s="221"/>
      <c r="Z90" s="221"/>
      <c r="AA90" s="221"/>
      <c r="AB90" s="221"/>
      <c r="AC90" s="221"/>
      <c r="AD90" s="221"/>
      <c r="AE90" s="221"/>
      <c r="AF90" s="221"/>
      <c r="AG90" s="221"/>
      <c r="AH90" s="226"/>
      <c r="AI90" s="239"/>
      <c r="AJ90" s="238"/>
      <c r="AK90" s="228"/>
      <c r="AL90" s="223"/>
      <c r="AM90" s="230"/>
      <c r="AN90" s="228"/>
      <c r="AO90" s="232"/>
      <c r="AQ90" s="231"/>
      <c r="AR90" s="230"/>
      <c r="AS90" s="224"/>
      <c r="AT90" s="232"/>
      <c r="AV90" s="231"/>
      <c r="AW90" s="230"/>
      <c r="AX90" s="222"/>
      <c r="AY90" s="224"/>
      <c r="AZ90" s="229"/>
      <c r="BA90" s="221"/>
      <c r="BB90" s="228"/>
      <c r="BC90" s="227"/>
      <c r="BD90" s="227"/>
      <c r="BE90" s="227"/>
      <c r="BF90" s="227"/>
      <c r="BG90" s="227"/>
      <c r="BH90" s="227"/>
      <c r="BI90" s="227"/>
      <c r="BJ90" s="315"/>
      <c r="BK90" s="225"/>
      <c r="BL90" s="224"/>
      <c r="BM90" s="224"/>
      <c r="BN90" s="224"/>
      <c r="BO90" s="223"/>
      <c r="BP90" s="222"/>
      <c r="BQ90" s="229"/>
      <c r="BR90" s="221"/>
      <c r="BS90" s="221"/>
      <c r="BT90" s="221"/>
      <c r="BU90" s="221"/>
      <c r="BV90" s="221"/>
      <c r="BW90" s="221"/>
      <c r="BX90" s="221"/>
      <c r="BY90" s="221"/>
      <c r="BZ90" s="226"/>
      <c r="CA90" s="229"/>
      <c r="CC90" s="313"/>
      <c r="CD90" s="317"/>
      <c r="CE90" s="215"/>
      <c r="CF90" s="214"/>
      <c r="CQ90" s="25" t="s">
        <v>173</v>
      </c>
      <c r="CR90" s="213">
        <f t="shared" ref="CR90:DC90" si="26">IF($W86="double",IF($AU86="",IF($AT86=CR$8,$X86,0),IF($AU86=CR$8,$X86,0)),0)</f>
        <v>0</v>
      </c>
      <c r="CS90" s="213">
        <f t="shared" si="26"/>
        <v>0</v>
      </c>
      <c r="CT90" s="213">
        <f t="shared" si="26"/>
        <v>0</v>
      </c>
      <c r="CU90" s="213">
        <f t="shared" si="26"/>
        <v>0</v>
      </c>
      <c r="CV90" s="213">
        <f t="shared" si="26"/>
        <v>0</v>
      </c>
      <c r="CW90" s="213">
        <f t="shared" si="26"/>
        <v>0</v>
      </c>
      <c r="CX90" s="213">
        <f t="shared" si="26"/>
        <v>0</v>
      </c>
      <c r="CY90" s="213">
        <f t="shared" si="26"/>
        <v>0</v>
      </c>
      <c r="CZ90" s="213">
        <f t="shared" si="26"/>
        <v>0</v>
      </c>
      <c r="DA90" s="213">
        <f t="shared" si="26"/>
        <v>0</v>
      </c>
      <c r="DB90" s="213">
        <f t="shared" si="26"/>
        <v>0</v>
      </c>
      <c r="DC90" s="213">
        <f t="shared" si="26"/>
        <v>0</v>
      </c>
      <c r="DJ90" s="1620"/>
      <c r="DK90" s="440"/>
      <c r="DL90" s="1619"/>
      <c r="DN90" s="1620"/>
      <c r="DR90" s="1231"/>
      <c r="DS90" s="1231"/>
      <c r="DT90" s="1231"/>
      <c r="DU90" s="1231"/>
      <c r="DV90" s="1231"/>
      <c r="DW90" s="1231"/>
      <c r="DX90" s="444"/>
      <c r="DY90" s="1231"/>
      <c r="DZ90" s="1231"/>
      <c r="EA90" s="213"/>
      <c r="EB90" s="213"/>
      <c r="EC90" s="213"/>
      <c r="ED90" s="213"/>
      <c r="EE90" s="213"/>
      <c r="EF90" s="213"/>
      <c r="EG90" s="213"/>
      <c r="EH90" s="213"/>
      <c r="EI90" s="213"/>
      <c r="EJ90" s="213"/>
      <c r="EK90" s="213"/>
      <c r="EL90" s="213"/>
      <c r="EM90" s="213"/>
      <c r="EN90" s="213"/>
      <c r="EO90" s="213"/>
      <c r="EP90" s="213"/>
      <c r="EQ90" s="213"/>
      <c r="ER90" s="213"/>
      <c r="ES90" s="213"/>
      <c r="ET90" s="213"/>
      <c r="EU90" s="213"/>
      <c r="EV90" s="213"/>
      <c r="EW90" s="213"/>
      <c r="EX90" s="213"/>
      <c r="EY90" s="213"/>
      <c r="EZ90" s="213"/>
    </row>
    <row r="91" spans="1:156" ht="12.75" hidden="1" customHeight="1" x14ac:dyDescent="0.2">
      <c r="A91" s="240"/>
      <c r="B91" s="240"/>
      <c r="C91" s="240"/>
      <c r="D91" s="236"/>
      <c r="E91" s="235"/>
      <c r="F91" s="234"/>
      <c r="G91" s="234"/>
      <c r="H91" s="223"/>
      <c r="I91" s="224"/>
      <c r="J91" s="224"/>
      <c r="K91" s="224"/>
      <c r="L91" s="221"/>
      <c r="M91" s="223"/>
      <c r="N91" s="223"/>
      <c r="O91" s="223"/>
      <c r="P91" s="223"/>
      <c r="Q91" s="224"/>
      <c r="R91" s="223"/>
      <c r="S91" s="223"/>
      <c r="T91" s="227"/>
      <c r="U91" s="224"/>
      <c r="V91" s="224"/>
      <c r="W91" s="222"/>
      <c r="X91" s="229"/>
      <c r="Y91" s="221"/>
      <c r="Z91" s="221"/>
      <c r="AA91" s="221"/>
      <c r="AB91" s="221"/>
      <c r="AC91" s="221"/>
      <c r="AD91" s="221"/>
      <c r="AE91" s="221"/>
      <c r="AF91" s="221"/>
      <c r="AG91" s="221"/>
      <c r="AH91" s="226"/>
      <c r="AI91" s="239"/>
      <c r="AJ91" s="238"/>
      <c r="AK91" s="228"/>
      <c r="AL91" s="223"/>
      <c r="AM91" s="230"/>
      <c r="AN91" s="228"/>
      <c r="AO91" s="232"/>
      <c r="AQ91" s="231"/>
      <c r="AR91" s="230"/>
      <c r="AS91" s="224"/>
      <c r="AT91" s="232"/>
      <c r="AV91" s="231"/>
      <c r="AW91" s="230"/>
      <c r="AX91" s="222"/>
      <c r="AY91" s="224"/>
      <c r="AZ91" s="229"/>
      <c r="BA91" s="221"/>
      <c r="BB91" s="228"/>
      <c r="BC91" s="227"/>
      <c r="BD91" s="227"/>
      <c r="BE91" s="227"/>
      <c r="BF91" s="227"/>
      <c r="BG91" s="227"/>
      <c r="BH91" s="227"/>
      <c r="BI91" s="227"/>
      <c r="BJ91" s="315"/>
      <c r="BK91" s="225"/>
      <c r="BL91" s="224"/>
      <c r="BM91" s="224"/>
      <c r="BN91" s="224"/>
      <c r="BO91" s="223"/>
      <c r="BP91" s="222"/>
      <c r="BQ91" s="229"/>
      <c r="BR91" s="221"/>
      <c r="BS91" s="221"/>
      <c r="BT91" s="221"/>
      <c r="BU91" s="221"/>
      <c r="BV91" s="221"/>
      <c r="BW91" s="221"/>
      <c r="BX91" s="221"/>
      <c r="BY91" s="221"/>
      <c r="BZ91" s="226"/>
      <c r="CA91" s="229"/>
      <c r="CC91" s="313"/>
      <c r="CD91" s="317"/>
      <c r="CE91" s="215"/>
      <c r="CF91" s="214"/>
      <c r="DJ91" s="1620"/>
      <c r="DK91" s="440"/>
      <c r="DL91" s="1619"/>
      <c r="DN91" s="1620"/>
      <c r="DR91" s="1231"/>
      <c r="DS91" s="1231"/>
      <c r="DT91" s="1231"/>
      <c r="DU91" s="1231"/>
      <c r="DV91" s="1231"/>
      <c r="DW91" s="1231"/>
      <c r="DX91" s="444"/>
      <c r="DY91" s="1231"/>
      <c r="DZ91" s="1231"/>
      <c r="EA91" s="213"/>
      <c r="EB91" s="213"/>
      <c r="EC91" s="213"/>
      <c r="ED91" s="213"/>
      <c r="EE91" s="213"/>
      <c r="EF91" s="213"/>
      <c r="EG91" s="213"/>
      <c r="EH91" s="213"/>
      <c r="EI91" s="213"/>
      <c r="EJ91" s="213"/>
      <c r="EK91" s="213"/>
      <c r="EL91" s="213"/>
      <c r="EM91" s="213"/>
      <c r="EN91" s="213"/>
      <c r="EO91" s="213"/>
      <c r="EP91" s="213"/>
      <c r="EQ91" s="213"/>
      <c r="ER91" s="213"/>
      <c r="ES91" s="213"/>
      <c r="ET91" s="213"/>
      <c r="EU91" s="213"/>
      <c r="EV91" s="213"/>
      <c r="EW91" s="213"/>
      <c r="EX91" s="213"/>
      <c r="EY91" s="213"/>
      <c r="EZ91" s="213"/>
    </row>
    <row r="92" spans="1:156" ht="12.75" hidden="1" customHeight="1" x14ac:dyDescent="0.2">
      <c r="A92" s="240"/>
      <c r="B92" s="240"/>
      <c r="C92" s="240"/>
      <c r="D92" s="236"/>
      <c r="E92" s="235"/>
      <c r="F92" s="234"/>
      <c r="G92" s="234"/>
      <c r="H92" s="223"/>
      <c r="I92" s="224"/>
      <c r="J92" s="224"/>
      <c r="K92" s="224"/>
      <c r="L92" s="221"/>
      <c r="M92" s="223"/>
      <c r="N92" s="223"/>
      <c r="O92" s="223"/>
      <c r="P92" s="223"/>
      <c r="Q92" s="224"/>
      <c r="R92" s="223"/>
      <c r="S92" s="223"/>
      <c r="T92" s="227"/>
      <c r="U92" s="224"/>
      <c r="V92" s="224"/>
      <c r="W92" s="222"/>
      <c r="X92" s="229"/>
      <c r="Y92" s="221"/>
      <c r="Z92" s="221"/>
      <c r="AA92" s="221"/>
      <c r="AB92" s="221"/>
      <c r="AC92" s="221"/>
      <c r="AD92" s="221"/>
      <c r="AE92" s="221"/>
      <c r="AF92" s="221"/>
      <c r="AG92" s="221"/>
      <c r="AH92" s="226"/>
      <c r="AI92" s="239"/>
      <c r="AJ92" s="238"/>
      <c r="AK92" s="228"/>
      <c r="AL92" s="223"/>
      <c r="AM92" s="230"/>
      <c r="AN92" s="228"/>
      <c r="AO92" s="232"/>
      <c r="AQ92" s="231"/>
      <c r="AR92" s="230"/>
      <c r="AS92" s="224"/>
      <c r="AT92" s="232"/>
      <c r="AV92" s="231"/>
      <c r="AW92" s="230"/>
      <c r="AX92" s="222"/>
      <c r="AY92" s="224"/>
      <c r="AZ92" s="229"/>
      <c r="BA92" s="221"/>
      <c r="BB92" s="228"/>
      <c r="BC92" s="227"/>
      <c r="BD92" s="227"/>
      <c r="BE92" s="227"/>
      <c r="BF92" s="227"/>
      <c r="BG92" s="227"/>
      <c r="BH92" s="227"/>
      <c r="BI92" s="227"/>
      <c r="BJ92" s="315"/>
      <c r="BK92" s="225"/>
      <c r="BL92" s="224"/>
      <c r="BM92" s="224"/>
      <c r="BN92" s="224"/>
      <c r="BO92" s="223"/>
      <c r="BP92" s="222"/>
      <c r="BQ92" s="229"/>
      <c r="BR92" s="221"/>
      <c r="BS92" s="221"/>
      <c r="BT92" s="221"/>
      <c r="BU92" s="221"/>
      <c r="BV92" s="221"/>
      <c r="BW92" s="221"/>
      <c r="BX92" s="221"/>
      <c r="BY92" s="221"/>
      <c r="BZ92" s="226"/>
      <c r="CA92" s="229"/>
      <c r="CC92" s="313"/>
      <c r="CD92" s="317"/>
      <c r="CE92" s="215"/>
      <c r="CF92" s="214"/>
      <c r="DJ92" s="1620"/>
      <c r="DK92" s="440"/>
      <c r="DL92" s="1619"/>
      <c r="DN92" s="1620"/>
      <c r="DR92" s="1231"/>
      <c r="DS92" s="1231"/>
      <c r="DT92" s="1231"/>
      <c r="DU92" s="1231"/>
      <c r="DV92" s="1231"/>
      <c r="DW92" s="1231"/>
      <c r="DX92" s="444"/>
      <c r="DY92" s="1231"/>
      <c r="DZ92" s="1231"/>
      <c r="EA92" s="213"/>
      <c r="EB92" s="213"/>
      <c r="EC92" s="213"/>
      <c r="ED92" s="213"/>
      <c r="EE92" s="213"/>
      <c r="EF92" s="213"/>
      <c r="EG92" s="213"/>
      <c r="EH92" s="213"/>
      <c r="EI92" s="213"/>
      <c r="EJ92" s="213"/>
      <c r="EK92" s="213"/>
      <c r="EL92" s="213"/>
      <c r="EM92" s="213"/>
      <c r="EN92" s="213"/>
      <c r="EO92" s="213"/>
      <c r="EP92" s="213"/>
      <c r="EQ92" s="213"/>
      <c r="ER92" s="213"/>
      <c r="ES92" s="213"/>
      <c r="ET92" s="213"/>
      <c r="EU92" s="213"/>
      <c r="EV92" s="213"/>
      <c r="EW92" s="213"/>
      <c r="EX92" s="213"/>
      <c r="EY92" s="213"/>
      <c r="EZ92" s="213"/>
    </row>
    <row r="93" spans="1:156" ht="12.75" hidden="1" customHeight="1" x14ac:dyDescent="0.2">
      <c r="A93" s="240"/>
      <c r="B93" s="240"/>
      <c r="C93" s="240"/>
      <c r="D93" s="236"/>
      <c r="E93" s="235"/>
      <c r="F93" s="234"/>
      <c r="G93" s="234"/>
      <c r="H93" s="223"/>
      <c r="I93" s="224"/>
      <c r="J93" s="224"/>
      <c r="K93" s="224"/>
      <c r="L93" s="221"/>
      <c r="M93" s="223"/>
      <c r="N93" s="223"/>
      <c r="O93" s="223"/>
      <c r="P93" s="223"/>
      <c r="Q93" s="224"/>
      <c r="R93" s="223"/>
      <c r="S93" s="223"/>
      <c r="T93" s="227"/>
      <c r="U93" s="224"/>
      <c r="V93" s="224"/>
      <c r="W93" s="222"/>
      <c r="X93" s="229"/>
      <c r="Y93" s="221"/>
      <c r="Z93" s="221"/>
      <c r="AA93" s="221"/>
      <c r="AB93" s="221"/>
      <c r="AC93" s="221"/>
      <c r="AD93" s="221"/>
      <c r="AE93" s="221"/>
      <c r="AF93" s="221"/>
      <c r="AG93" s="221"/>
      <c r="AH93" s="226"/>
      <c r="AI93" s="239"/>
      <c r="AJ93" s="238"/>
      <c r="AK93" s="228"/>
      <c r="AL93" s="223"/>
      <c r="AM93" s="230"/>
      <c r="AN93" s="228"/>
      <c r="AO93" s="232"/>
      <c r="AQ93" s="231"/>
      <c r="AR93" s="230"/>
      <c r="AS93" s="224"/>
      <c r="AT93" s="232"/>
      <c r="AV93" s="231"/>
      <c r="AW93" s="230"/>
      <c r="AX93" s="222"/>
      <c r="AY93" s="224"/>
      <c r="AZ93" s="229"/>
      <c r="BA93" s="221"/>
      <c r="BB93" s="228"/>
      <c r="BC93" s="227"/>
      <c r="BD93" s="227"/>
      <c r="BE93" s="227"/>
      <c r="BF93" s="227"/>
      <c r="BG93" s="227"/>
      <c r="BH93" s="227"/>
      <c r="BI93" s="227"/>
      <c r="BJ93" s="315"/>
      <c r="BK93" s="225"/>
      <c r="BL93" s="224"/>
      <c r="BM93" s="224"/>
      <c r="BN93" s="224"/>
      <c r="BO93" s="223"/>
      <c r="BP93" s="222"/>
      <c r="BQ93" s="229"/>
      <c r="BR93" s="221"/>
      <c r="BS93" s="221"/>
      <c r="BT93" s="221"/>
      <c r="BU93" s="221"/>
      <c r="BV93" s="221"/>
      <c r="BW93" s="221"/>
      <c r="BX93" s="221"/>
      <c r="BY93" s="221"/>
      <c r="BZ93" s="226"/>
      <c r="CA93" s="229"/>
      <c r="CC93" s="313"/>
      <c r="CD93" s="317"/>
      <c r="CE93" s="215"/>
      <c r="CF93" s="214"/>
      <c r="DJ93" s="1620"/>
      <c r="DK93" s="440"/>
      <c r="DL93" s="1619"/>
      <c r="DN93" s="1620"/>
      <c r="DR93" s="1231"/>
      <c r="DS93" s="1231"/>
      <c r="DT93" s="1231"/>
      <c r="DU93" s="1231"/>
      <c r="DV93" s="1231"/>
      <c r="DW93" s="1231"/>
      <c r="DX93" s="444"/>
      <c r="DY93" s="1231"/>
      <c r="DZ93" s="1231"/>
      <c r="EA93" s="213"/>
      <c r="EB93" s="213"/>
      <c r="EC93" s="213"/>
      <c r="ED93" s="213"/>
      <c r="EE93" s="213"/>
      <c r="EF93" s="213"/>
      <c r="EG93" s="213"/>
      <c r="EH93" s="213"/>
      <c r="EI93" s="213"/>
      <c r="EJ93" s="213"/>
      <c r="EK93" s="213"/>
      <c r="EL93" s="213"/>
      <c r="EM93" s="213"/>
      <c r="EN93" s="213"/>
      <c r="EO93" s="213"/>
      <c r="EP93" s="213"/>
      <c r="EQ93" s="213"/>
      <c r="ER93" s="213"/>
      <c r="ES93" s="213"/>
      <c r="ET93" s="213"/>
      <c r="EU93" s="213"/>
      <c r="EV93" s="213"/>
      <c r="EW93" s="213"/>
      <c r="EX93" s="213"/>
      <c r="EY93" s="213"/>
      <c r="EZ93" s="213"/>
    </row>
    <row r="94" spans="1:156" ht="12.75" hidden="1" customHeight="1" x14ac:dyDescent="0.2">
      <c r="A94" s="240"/>
      <c r="B94" s="240"/>
      <c r="C94" s="240"/>
      <c r="D94" s="236"/>
      <c r="E94" s="235"/>
      <c r="F94" s="234"/>
      <c r="G94" s="234"/>
      <c r="H94" s="223"/>
      <c r="I94" s="224"/>
      <c r="J94" s="224"/>
      <c r="K94" s="224"/>
      <c r="L94" s="221"/>
      <c r="M94" s="223"/>
      <c r="N94" s="223"/>
      <c r="O94" s="223"/>
      <c r="P94" s="223"/>
      <c r="Q94" s="224"/>
      <c r="R94" s="223"/>
      <c r="S94" s="223"/>
      <c r="T94" s="227"/>
      <c r="U94" s="224"/>
      <c r="V94" s="224"/>
      <c r="W94" s="222"/>
      <c r="X94" s="229"/>
      <c r="Y94" s="221"/>
      <c r="Z94" s="221"/>
      <c r="AA94" s="221"/>
      <c r="AB94" s="221"/>
      <c r="AC94" s="221"/>
      <c r="AD94" s="221"/>
      <c r="AE94" s="221"/>
      <c r="AF94" s="221"/>
      <c r="AG94" s="221"/>
      <c r="AH94" s="226"/>
      <c r="AI94" s="239"/>
      <c r="AJ94" s="238"/>
      <c r="AK94" s="228"/>
      <c r="AL94" s="223"/>
      <c r="AM94" s="230"/>
      <c r="AN94" s="228"/>
      <c r="AO94" s="232"/>
      <c r="AQ94" s="231"/>
      <c r="AR94" s="230"/>
      <c r="AS94" s="224"/>
      <c r="AT94" s="232"/>
      <c r="AV94" s="231"/>
      <c r="AW94" s="230"/>
      <c r="AX94" s="222"/>
      <c r="AY94" s="224"/>
      <c r="AZ94" s="229"/>
      <c r="BA94" s="221"/>
      <c r="BB94" s="228"/>
      <c r="BC94" s="227"/>
      <c r="BD94" s="227"/>
      <c r="BE94" s="227"/>
      <c r="BF94" s="227"/>
      <c r="BG94" s="227"/>
      <c r="BH94" s="227"/>
      <c r="BI94" s="227"/>
      <c r="BJ94" s="315"/>
      <c r="BK94" s="225"/>
      <c r="BL94" s="224"/>
      <c r="BM94" s="224"/>
      <c r="BN94" s="224"/>
      <c r="BO94" s="223"/>
      <c r="BP94" s="222"/>
      <c r="BQ94" s="229"/>
      <c r="BR94" s="221"/>
      <c r="BS94" s="221"/>
      <c r="BT94" s="221"/>
      <c r="BU94" s="221"/>
      <c r="BV94" s="221"/>
      <c r="BW94" s="221"/>
      <c r="BX94" s="221"/>
      <c r="BY94" s="221"/>
      <c r="BZ94" s="226"/>
      <c r="CA94" s="229"/>
      <c r="CC94" s="313"/>
      <c r="CD94" s="317"/>
      <c r="CE94" s="215"/>
      <c r="CF94" s="214"/>
      <c r="DJ94" s="1620"/>
      <c r="DK94" s="440"/>
      <c r="DL94" s="1619"/>
      <c r="DN94" s="1620"/>
      <c r="DR94" s="1231"/>
      <c r="DS94" s="1231"/>
      <c r="DT94" s="1231"/>
      <c r="DU94" s="1231"/>
      <c r="DV94" s="1231"/>
      <c r="DW94" s="1231"/>
      <c r="DX94" s="444"/>
      <c r="DY94" s="1231"/>
      <c r="DZ94" s="1231"/>
      <c r="EA94" s="213"/>
      <c r="EB94" s="213"/>
      <c r="EC94" s="213"/>
      <c r="ED94" s="213"/>
      <c r="EE94" s="213"/>
      <c r="EF94" s="213"/>
      <c r="EG94" s="213"/>
      <c r="EH94" s="213"/>
      <c r="EI94" s="213"/>
      <c r="EJ94" s="213"/>
      <c r="EK94" s="213"/>
      <c r="EL94" s="213"/>
      <c r="EM94" s="213"/>
      <c r="EN94" s="213"/>
      <c r="EO94" s="213"/>
      <c r="EP94" s="213"/>
      <c r="EQ94" s="213"/>
      <c r="ER94" s="213"/>
      <c r="ES94" s="213"/>
      <c r="ET94" s="213"/>
      <c r="EU94" s="213"/>
      <c r="EV94" s="213"/>
      <c r="EW94" s="213"/>
      <c r="EX94" s="213"/>
      <c r="EY94" s="213"/>
      <c r="EZ94" s="213"/>
    </row>
    <row r="95" spans="1:156" ht="12.75" hidden="1" customHeight="1" x14ac:dyDescent="0.2">
      <c r="A95" s="240"/>
      <c r="B95" s="240"/>
      <c r="C95" s="240"/>
      <c r="D95" s="236"/>
      <c r="E95" s="235"/>
      <c r="F95" s="234"/>
      <c r="G95" s="234"/>
      <c r="H95" s="223"/>
      <c r="I95" s="224"/>
      <c r="J95" s="224"/>
      <c r="K95" s="224"/>
      <c r="L95" s="221"/>
      <c r="M95" s="223"/>
      <c r="N95" s="223"/>
      <c r="O95" s="223"/>
      <c r="P95" s="223"/>
      <c r="Q95" s="224"/>
      <c r="R95" s="223"/>
      <c r="S95" s="223"/>
      <c r="T95" s="227"/>
      <c r="U95" s="224"/>
      <c r="V95" s="224"/>
      <c r="W95" s="222"/>
      <c r="X95" s="229"/>
      <c r="Y95" s="221"/>
      <c r="Z95" s="221"/>
      <c r="AA95" s="221"/>
      <c r="AB95" s="221"/>
      <c r="AC95" s="221"/>
      <c r="AD95" s="221"/>
      <c r="AE95" s="221"/>
      <c r="AF95" s="221"/>
      <c r="AG95" s="221"/>
      <c r="AH95" s="226"/>
      <c r="AI95" s="239"/>
      <c r="AJ95" s="238"/>
      <c r="AK95" s="228"/>
      <c r="AL95" s="223"/>
      <c r="AM95" s="230"/>
      <c r="AN95" s="228"/>
      <c r="AO95" s="232"/>
      <c r="AQ95" s="231"/>
      <c r="AR95" s="230"/>
      <c r="AS95" s="224"/>
      <c r="AT95" s="232"/>
      <c r="AV95" s="231"/>
      <c r="AW95" s="230"/>
      <c r="AX95" s="222"/>
      <c r="AY95" s="224"/>
      <c r="AZ95" s="229"/>
      <c r="BA95" s="221"/>
      <c r="BB95" s="228"/>
      <c r="BC95" s="227"/>
      <c r="BD95" s="227"/>
      <c r="BE95" s="227"/>
      <c r="BF95" s="227"/>
      <c r="BG95" s="227"/>
      <c r="BH95" s="227"/>
      <c r="BI95" s="227"/>
      <c r="BJ95" s="315"/>
      <c r="BK95" s="225"/>
      <c r="BL95" s="224"/>
      <c r="BM95" s="224"/>
      <c r="BN95" s="224"/>
      <c r="BO95" s="223"/>
      <c r="BP95" s="222"/>
      <c r="BQ95" s="229"/>
      <c r="BR95" s="221"/>
      <c r="BS95" s="221"/>
      <c r="BT95" s="221"/>
      <c r="BU95" s="221"/>
      <c r="BV95" s="221"/>
      <c r="BW95" s="221"/>
      <c r="BX95" s="221"/>
      <c r="BY95" s="221"/>
      <c r="BZ95" s="226"/>
      <c r="CA95" s="229"/>
      <c r="CC95" s="313"/>
      <c r="CD95" s="317"/>
      <c r="CE95" s="215"/>
      <c r="CF95" s="214"/>
      <c r="DJ95" s="1620"/>
      <c r="DK95" s="440"/>
      <c r="DL95" s="1619"/>
      <c r="DN95" s="1620"/>
      <c r="DR95" s="1231"/>
      <c r="DS95" s="1231"/>
      <c r="DT95" s="1231"/>
      <c r="DU95" s="1231"/>
      <c r="DV95" s="1231"/>
      <c r="DW95" s="1231"/>
      <c r="DX95" s="444"/>
      <c r="DY95" s="1231"/>
      <c r="DZ95" s="1231"/>
      <c r="EA95" s="213"/>
      <c r="EB95" s="213"/>
      <c r="EC95" s="213"/>
      <c r="ED95" s="213"/>
      <c r="EE95" s="213"/>
      <c r="EF95" s="213"/>
      <c r="EG95" s="213"/>
      <c r="EH95" s="213"/>
      <c r="EI95" s="213"/>
      <c r="EJ95" s="213"/>
      <c r="EK95" s="213"/>
      <c r="EL95" s="213"/>
      <c r="EM95" s="213"/>
      <c r="EN95" s="213"/>
      <c r="EO95" s="213"/>
      <c r="EP95" s="213"/>
      <c r="EQ95" s="213"/>
      <c r="ER95" s="213"/>
      <c r="ES95" s="213"/>
      <c r="ET95" s="213"/>
      <c r="EU95" s="213"/>
      <c r="EV95" s="213"/>
      <c r="EW95" s="213"/>
      <c r="EX95" s="213"/>
      <c r="EY95" s="213"/>
      <c r="EZ95" s="213"/>
    </row>
    <row r="96" spans="1:156" ht="12.75" hidden="1" customHeight="1" x14ac:dyDescent="0.2">
      <c r="A96" s="240"/>
      <c r="B96" s="240"/>
      <c r="C96" s="240"/>
      <c r="D96" s="236"/>
      <c r="E96" s="235"/>
      <c r="F96" s="234"/>
      <c r="G96" s="234"/>
      <c r="H96" s="223"/>
      <c r="I96" s="224"/>
      <c r="J96" s="224"/>
      <c r="K96" s="224"/>
      <c r="L96" s="221"/>
      <c r="M96" s="223"/>
      <c r="N96" s="223"/>
      <c r="O96" s="223"/>
      <c r="P96" s="223"/>
      <c r="Q96" s="224"/>
      <c r="R96" s="223"/>
      <c r="S96" s="223"/>
      <c r="T96" s="227"/>
      <c r="U96" s="224"/>
      <c r="V96" s="224"/>
      <c r="W96" s="222"/>
      <c r="X96" s="229"/>
      <c r="Y96" s="221"/>
      <c r="Z96" s="221"/>
      <c r="AA96" s="221"/>
      <c r="AB96" s="221"/>
      <c r="AC96" s="221"/>
      <c r="AD96" s="221"/>
      <c r="AE96" s="221"/>
      <c r="AF96" s="221"/>
      <c r="AG96" s="221"/>
      <c r="AH96" s="226"/>
      <c r="AI96" s="239"/>
      <c r="AJ96" s="238"/>
      <c r="AK96" s="228"/>
      <c r="AL96" s="223"/>
      <c r="AM96" s="230"/>
      <c r="AN96" s="228"/>
      <c r="AO96" s="232"/>
      <c r="AQ96" s="231"/>
      <c r="AR96" s="230"/>
      <c r="AS96" s="224"/>
      <c r="AT96" s="232"/>
      <c r="AV96" s="231"/>
      <c r="AW96" s="230"/>
      <c r="AX96" s="222"/>
      <c r="AY96" s="224"/>
      <c r="AZ96" s="229"/>
      <c r="BA96" s="221"/>
      <c r="BB96" s="228"/>
      <c r="BC96" s="227"/>
      <c r="BD96" s="227"/>
      <c r="BE96" s="227"/>
      <c r="BF96" s="227"/>
      <c r="BG96" s="227"/>
      <c r="BH96" s="227"/>
      <c r="BI96" s="227"/>
      <c r="BJ96" s="315"/>
      <c r="BK96" s="225"/>
      <c r="BL96" s="224"/>
      <c r="BM96" s="224"/>
      <c r="BN96" s="224"/>
      <c r="BO96" s="223"/>
      <c r="BP96" s="222"/>
      <c r="BQ96" s="229"/>
      <c r="BR96" s="221"/>
      <c r="BS96" s="221"/>
      <c r="BT96" s="221"/>
      <c r="BU96" s="221"/>
      <c r="BV96" s="221"/>
      <c r="BW96" s="221"/>
      <c r="BX96" s="221"/>
      <c r="BY96" s="221"/>
      <c r="BZ96" s="226"/>
      <c r="CA96" s="229"/>
      <c r="CC96" s="313"/>
      <c r="CD96" s="317"/>
      <c r="CE96" s="215"/>
      <c r="CF96" s="214"/>
      <c r="DJ96" s="1620"/>
      <c r="DK96" s="440"/>
      <c r="DL96" s="1619"/>
      <c r="DN96" s="1620"/>
      <c r="DR96" s="1231"/>
      <c r="DS96" s="1231"/>
      <c r="DT96" s="1231"/>
      <c r="DU96" s="1231"/>
      <c r="DV96" s="1231"/>
      <c r="DW96" s="1231"/>
      <c r="DX96" s="444"/>
      <c r="DY96" s="1231"/>
      <c r="DZ96" s="1231"/>
      <c r="EA96" s="213"/>
      <c r="EB96" s="213"/>
      <c r="EC96" s="213"/>
      <c r="ED96" s="213"/>
      <c r="EE96" s="213"/>
      <c r="EF96" s="213"/>
      <c r="EG96" s="213"/>
      <c r="EH96" s="213"/>
      <c r="EI96" s="213"/>
      <c r="EJ96" s="213"/>
      <c r="EK96" s="213"/>
      <c r="EL96" s="213"/>
      <c r="EM96" s="213"/>
      <c r="EN96" s="213"/>
      <c r="EO96" s="213"/>
      <c r="EP96" s="213"/>
      <c r="EQ96" s="213"/>
      <c r="ER96" s="213"/>
      <c r="ES96" s="213"/>
      <c r="ET96" s="213"/>
      <c r="EU96" s="213"/>
      <c r="EV96" s="213"/>
      <c r="EW96" s="213"/>
      <c r="EX96" s="213"/>
      <c r="EY96" s="213"/>
      <c r="EZ96" s="213"/>
    </row>
    <row r="97" spans="1:163" ht="12.75" hidden="1" customHeight="1" x14ac:dyDescent="0.2">
      <c r="A97" s="240"/>
      <c r="B97" s="240"/>
      <c r="C97" s="240"/>
      <c r="D97" s="236"/>
      <c r="E97" s="235"/>
      <c r="F97" s="234"/>
      <c r="G97" s="234"/>
      <c r="H97" s="223"/>
      <c r="I97" s="224"/>
      <c r="J97" s="224"/>
      <c r="K97" s="224"/>
      <c r="L97" s="221"/>
      <c r="M97" s="223"/>
      <c r="N97" s="223"/>
      <c r="O97" s="223"/>
      <c r="P97" s="223"/>
      <c r="Q97" s="224"/>
      <c r="R97" s="223"/>
      <c r="S97" s="223"/>
      <c r="T97" s="227"/>
      <c r="U97" s="224"/>
      <c r="V97" s="224"/>
      <c r="W97" s="222"/>
      <c r="X97" s="229"/>
      <c r="Y97" s="221"/>
      <c r="Z97" s="221"/>
      <c r="AA97" s="221"/>
      <c r="AB97" s="221"/>
      <c r="AC97" s="221"/>
      <c r="AD97" s="221"/>
      <c r="AE97" s="221"/>
      <c r="AF97" s="221"/>
      <c r="AG97" s="221"/>
      <c r="AH97" s="226"/>
      <c r="AI97" s="239"/>
      <c r="AJ97" s="238"/>
      <c r="AK97" s="228"/>
      <c r="AL97" s="223"/>
      <c r="AM97" s="230"/>
      <c r="AN97" s="228"/>
      <c r="AO97" s="232"/>
      <c r="AQ97" s="231"/>
      <c r="AR97" s="230"/>
      <c r="AS97" s="224"/>
      <c r="AT97" s="232"/>
      <c r="AV97" s="231"/>
      <c r="AW97" s="230"/>
      <c r="AX97" s="222"/>
      <c r="AY97" s="224"/>
      <c r="AZ97" s="229"/>
      <c r="BA97" s="221"/>
      <c r="BB97" s="228"/>
      <c r="BC97" s="227"/>
      <c r="BD97" s="227"/>
      <c r="BE97" s="227"/>
      <c r="BF97" s="227"/>
      <c r="BG97" s="227"/>
      <c r="BH97" s="227"/>
      <c r="BI97" s="227"/>
      <c r="BJ97" s="315"/>
      <c r="BK97" s="225"/>
      <c r="BL97" s="224"/>
      <c r="BM97" s="224"/>
      <c r="BN97" s="224"/>
      <c r="BO97" s="223"/>
      <c r="BP97" s="222"/>
      <c r="BQ97" s="229"/>
      <c r="BR97" s="221"/>
      <c r="BS97" s="221"/>
      <c r="BT97" s="221"/>
      <c r="BU97" s="221"/>
      <c r="BV97" s="221"/>
      <c r="BW97" s="221"/>
      <c r="BX97" s="221"/>
      <c r="BY97" s="221"/>
      <c r="BZ97" s="226"/>
      <c r="CA97" s="229"/>
      <c r="CC97" s="313"/>
      <c r="CD97" s="317"/>
      <c r="CE97" s="215"/>
      <c r="CF97" s="214"/>
      <c r="DJ97" s="1620"/>
      <c r="DK97" s="440"/>
      <c r="DL97" s="1619"/>
      <c r="DN97" s="1620"/>
      <c r="DR97" s="1231"/>
      <c r="DS97" s="1231"/>
      <c r="DT97" s="1231"/>
      <c r="DU97" s="1231"/>
      <c r="DV97" s="1231"/>
      <c r="DW97" s="1231"/>
      <c r="DX97" s="444"/>
      <c r="DY97" s="1231"/>
      <c r="DZ97" s="1231"/>
      <c r="EA97" s="213"/>
      <c r="EB97" s="213"/>
      <c r="EC97" s="213"/>
      <c r="ED97" s="213"/>
      <c r="EE97" s="213"/>
      <c r="EF97" s="213"/>
      <c r="EG97" s="213"/>
      <c r="EH97" s="213"/>
      <c r="EI97" s="213"/>
      <c r="EJ97" s="213"/>
      <c r="EK97" s="213"/>
      <c r="EL97" s="213"/>
      <c r="EM97" s="213"/>
      <c r="EN97" s="213"/>
      <c r="EO97" s="213"/>
      <c r="EP97" s="213"/>
      <c r="EQ97" s="213"/>
      <c r="ER97" s="213"/>
      <c r="ES97" s="213"/>
      <c r="ET97" s="213"/>
      <c r="EU97" s="213"/>
      <c r="EV97" s="213"/>
      <c r="EW97" s="213"/>
      <c r="EX97" s="213"/>
      <c r="EY97" s="213"/>
      <c r="EZ97" s="213"/>
    </row>
    <row r="98" spans="1:163" ht="12.75" hidden="1" customHeight="1" x14ac:dyDescent="0.2">
      <c r="A98" s="240"/>
      <c r="B98" s="240"/>
      <c r="C98" s="240"/>
      <c r="D98" s="236"/>
      <c r="E98" s="235"/>
      <c r="F98" s="234"/>
      <c r="G98" s="234"/>
      <c r="H98" s="223"/>
      <c r="I98" s="224"/>
      <c r="J98" s="224"/>
      <c r="K98" s="224"/>
      <c r="L98" s="221"/>
      <c r="M98" s="223"/>
      <c r="N98" s="223"/>
      <c r="O98" s="223"/>
      <c r="P98" s="223"/>
      <c r="Q98" s="224"/>
      <c r="R98" s="223"/>
      <c r="S98" s="223"/>
      <c r="T98" s="227"/>
      <c r="U98" s="224"/>
      <c r="V98" s="224"/>
      <c r="W98" s="222"/>
      <c r="X98" s="229"/>
      <c r="Y98" s="221"/>
      <c r="Z98" s="221"/>
      <c r="AA98" s="221"/>
      <c r="AB98" s="221"/>
      <c r="AC98" s="221"/>
      <c r="AD98" s="221"/>
      <c r="AE98" s="221"/>
      <c r="AF98" s="221"/>
      <c r="AG98" s="221"/>
      <c r="AH98" s="226"/>
      <c r="AI98" s="229"/>
      <c r="AJ98" s="221"/>
      <c r="AK98" s="221"/>
      <c r="AL98" s="223"/>
      <c r="AM98" s="230"/>
      <c r="AN98" s="228"/>
      <c r="AO98" s="232"/>
      <c r="AQ98" s="231"/>
      <c r="AR98" s="230"/>
      <c r="AS98" s="224"/>
      <c r="AT98" s="232"/>
      <c r="AV98" s="231"/>
      <c r="AW98" s="230"/>
      <c r="AX98" s="222"/>
      <c r="AY98" s="224"/>
      <c r="AZ98" s="229"/>
      <c r="BA98" s="221"/>
      <c r="BB98" s="228"/>
      <c r="BC98" s="227"/>
      <c r="BD98" s="221"/>
      <c r="BE98" s="221"/>
      <c r="BF98" s="221"/>
      <c r="BG98" s="221"/>
      <c r="BH98" s="221"/>
      <c r="BI98" s="221"/>
      <c r="BJ98" s="226"/>
      <c r="BK98" s="229"/>
      <c r="BL98" s="224"/>
      <c r="BM98" s="224"/>
      <c r="BN98" s="224"/>
      <c r="BO98" s="223"/>
      <c r="BP98" s="222"/>
      <c r="BQ98" s="229"/>
      <c r="BR98" s="221"/>
      <c r="BS98" s="221"/>
      <c r="BT98" s="221"/>
      <c r="BU98" s="221"/>
      <c r="BV98" s="221"/>
      <c r="BW98" s="221"/>
      <c r="BX98" s="221"/>
      <c r="BY98" s="221"/>
      <c r="BZ98" s="226"/>
      <c r="CA98" s="229"/>
      <c r="CC98" s="313"/>
      <c r="CD98" s="317"/>
      <c r="CE98" s="215"/>
      <c r="CF98" s="214"/>
      <c r="DJ98" s="1620"/>
      <c r="DK98" s="440"/>
      <c r="DL98" s="1619"/>
      <c r="DN98" s="1620"/>
      <c r="DR98" s="1231"/>
      <c r="DS98" s="1231"/>
      <c r="DT98" s="1231"/>
      <c r="DU98" s="1231"/>
      <c r="DV98" s="1231"/>
      <c r="DW98" s="1231"/>
      <c r="DX98" s="444"/>
      <c r="DY98" s="1231"/>
      <c r="DZ98" s="1231"/>
      <c r="EA98" s="213"/>
      <c r="EB98" s="213"/>
      <c r="EC98" s="213"/>
      <c r="ED98" s="213"/>
      <c r="EE98" s="213"/>
      <c r="EF98" s="213"/>
      <c r="EG98" s="213"/>
      <c r="EH98" s="213"/>
      <c r="EI98" s="213"/>
      <c r="EJ98" s="213"/>
      <c r="EK98" s="213"/>
      <c r="EL98" s="213"/>
      <c r="EM98" s="213"/>
      <c r="EN98" s="213"/>
      <c r="EO98" s="213"/>
      <c r="EP98" s="213"/>
      <c r="EQ98" s="213"/>
      <c r="ER98" s="213"/>
      <c r="ES98" s="213"/>
      <c r="ET98" s="213"/>
      <c r="EU98" s="213"/>
      <c r="EV98" s="213"/>
      <c r="EW98" s="213"/>
      <c r="EX98" s="213"/>
      <c r="EY98" s="213"/>
      <c r="EZ98" s="213"/>
    </row>
    <row r="99" spans="1:163" ht="12.75" hidden="1" customHeight="1" x14ac:dyDescent="0.2">
      <c r="A99" s="262"/>
      <c r="B99" s="262">
        <f>B86</f>
        <v>3</v>
      </c>
      <c r="C99" s="262">
        <f>$C$6</f>
        <v>1</v>
      </c>
      <c r="D99" s="429"/>
      <c r="E99" s="260"/>
      <c r="F99" s="259"/>
      <c r="G99" s="259"/>
      <c r="H99" s="220" t="str">
        <f>IF(C99&gt;0,"",IF(VLOOKUP(E99,LegendSG3CKTrows,20,FALSE)=0,VLOOKUP(E99,LegendSG3CKTrows,21,FALSE),VLOOKUP(E99,LegendSG3CKTrows,20,FALSE)))</f>
        <v/>
      </c>
      <c r="I99" s="258" t="str">
        <f>IF(C99&gt;0,"",VLOOKUP(E99,LegendSG3CKTrows,22,FALSE))</f>
        <v/>
      </c>
      <c r="J99" s="248" t="str">
        <f>IF($C$3&gt;0,"",IF(C99&gt;0,"",IF(($J$81)&gt;1,I99,IF(V99="@ System",I99+0.5*($F$81),IF(V99="@ Top Of Riser",I99+0.5*($F$81),IF(OR(V99="@ Fixture",V99="@ Bottom Of Riser"),($D$81)-0.5*($F$81),IF(AND(V99="None",D99="Loop"),($D$81)-0.5*($F$81),I99+0.5*($F$81))))))))</f>
        <v/>
      </c>
      <c r="K99" s="248" t="str">
        <f>IF($C$3&gt;0,"",IF(C99&gt;0,"",IF(($J$81)&gt;1,I99,IF(I99+0.5*DZ99+15&lt;L99,I99+0.5*DZ99+15,L99))))</f>
        <v/>
      </c>
      <c r="L99" s="257" t="str">
        <f>IF($C$3&gt;0,"",IF(C99&gt;0,"",IF(($J$81)&gt;1,I99,LegendSG3RGT)))</f>
        <v/>
      </c>
      <c r="M99" s="248" t="str">
        <f>IF($C$3&gt;0,"",IF(C99&gt;0,"",IF(($J$81)&gt;1,Pressure($B$3,"TQ","e",J99,1/($J$81)),DT99)))</f>
        <v/>
      </c>
      <c r="N99" s="248" t="str">
        <f>IF($C$3&gt;0,"",IF(C99&gt;0,"",IF(D99="Loop","n/a",IF(($J$81)&gt;1,Pressure($B$3,"TQ","e",J99,1/($J$81)),DW99))))</f>
        <v/>
      </c>
      <c r="O99" s="248" t="str">
        <f>IF($C$3&gt;0,"",IF(C99&gt;0,"",IF(D99="Loop","n/a",DZ99)))</f>
        <v/>
      </c>
      <c r="P99" s="220" t="str">
        <f>IF($C$3&gt;0,"",IF(C99&gt;0,"",IF(D99="Loop","n/a",IF(($J$81)&gt;1,0,DX99))))</f>
        <v/>
      </c>
      <c r="Q99" s="248" t="str">
        <f>IF($C$3&gt;0,"",IF(C99&gt;0,"",IF(D99="Loop","n/a",IF(($J$81)&gt;1,Enthalpy(($B$3),"QP","E",(1/($J$81)),N99),Enthalpy(($B$3),"TP","E",(I99+0.5*DZ99+'Legend(DX)'!$Y$4),DW99)))))</f>
        <v/>
      </c>
      <c r="R99" s="220" t="str">
        <f>IF(C99&gt;0,"",IF($C$3&gt;0,IF(S99=0,"",U99/(S99*60*0.13368)),IF(($J$81)&gt;1,Enthalpy(($B$3),"TLIQ","E",I99),IF(($G$4+0.5*DZ99)&gt;($H$81),(Enthalpy(($B$3),"TLIQ","E",($G$81))),(Enthalpy(($B$3),"TP","E",($G$81),$I$81))))))</f>
        <v/>
      </c>
      <c r="S99" s="220" t="str">
        <f ca="1">IF(C99&gt;0,"",IF($C$3&gt;0,(VLOOKUP(($D$81),INDIRECT($C$81),3)+VLOOKUP(($S$81),INDIRECT($C$81),3))/2,IF(($J$81)&gt;1,LiquidDensity($B$3,"TLIQ","e",I99),IF(($G$4+0.5*DZ99)&gt;($H$81),(LiquidDensity(($B$3),"TLIQ","E",($G$81))),(Density(($B$3),"TP","E",($G$81),$I$81))))))</f>
        <v/>
      </c>
      <c r="T99" s="250" t="str">
        <f ca="1">IF(C99&gt;0,"",IF($C$3&gt;0,(VLOOKUP(($D$81),INDIRECT($C$81),6)+VLOOKUP(($S$81),INDIRECT($C$81),6))/2*0.000020885,IF(($J$81)&gt;1,Viscosity(($B$3),"TLIQ","E",I99),IF(($G$4+0.5*DZ99)&gt;($H$81),(Viscosity(($B$3),"TLIQ","E",($G$81))),(Viscosity(($B$3),"TP","E",($G$81),$I$81))))))</f>
        <v/>
      </c>
      <c r="U99" s="248" t="str">
        <f>IF(C99&gt;0,"",IF($C$3&gt;0,VLOOKUP(E99,LegendSG3CKTrows,23,FALSE)*60*S99*0.13368,H99*1000/(Q99-R99)))</f>
        <v/>
      </c>
      <c r="V99" s="256" t="str">
        <f>IF(C99&gt;0,"",VLOOKUP(E99,LegendSG3CKTrows,28,FALSE))</f>
        <v/>
      </c>
      <c r="W99" s="255" t="s">
        <v>369</v>
      </c>
      <c r="X99" s="254"/>
      <c r="Y99" s="246" t="str">
        <f>IF(C99&gt;0,"",X99*($Y$81))</f>
        <v/>
      </c>
      <c r="Z99" s="218" t="str">
        <f>IF(C99&gt;0,"",IF(($J$81)&gt;1,Density(($B$3),"TVAP","e",I99),Density(($B$3),"TP","E",K99,M99)))</f>
        <v/>
      </c>
      <c r="AA99" s="250" t="str">
        <f>IF(C99&gt;0,"",IF(($J$81)&gt;1,Viscosity(($B$3),"TVAP","E",I99),Viscosity(($B$3),"TP","E",K99,M99)))</f>
        <v/>
      </c>
      <c r="AB99" s="1014" t="str">
        <f>IF(C99&gt;0,"",IF(($J$81)&gt;1,vel(U99,EC99,AH99),vel(U99,Z99,AH99)))</f>
        <v/>
      </c>
      <c r="AC99" s="220" t="str">
        <f>IF(C99&gt;0,"",IF(($J$81)&gt;1,EO99,pdrop(AE99,Y99,Z99,AB99,IF(AG99="",AF99,AG99))))</f>
        <v/>
      </c>
      <c r="AD99" s="219" t="str">
        <f>IF(C99&gt;0,"",(((AB99/60)*Z99)/AA99)*(VLOOKUP(AF99,'Pipe Data'!F$7:G$19,2,FALSE))/12)</f>
        <v/>
      </c>
      <c r="AE99" s="218" t="str">
        <f>IF(C99&gt;0,"",(0.25/(LOG(5.74/(AD99^0.9))+((VLOOKUP(IF(AG99="",AF99,AG99),'Pipe Data'!J$7:X$19,15,FALSE))/3.7))^2))</f>
        <v/>
      </c>
      <c r="AF99" s="245" t="str">
        <f>IF(C99&gt;0,"",VLOOKUP(($AC$81),AB100:AF110,5,TRUE))</f>
        <v/>
      </c>
      <c r="AG99" s="244"/>
      <c r="AH99" s="298" t="str">
        <f>IF(C99&gt;0,"",IF(AND(AG99="",W99&lt;&gt;"Double"),parea(AF99),parea(AG99)))</f>
        <v/>
      </c>
      <c r="AI99" s="253" t="str">
        <f>IF(C99&gt;0,"",IF(W99="Single","",IF(OR(AG99=0.5,AG99=0.375),"",IF(AF99&lt;0.6,"",(((AR99/60)*Z99)/AA99)*((LOOKUP(IF(AP99="",AO99,AP99),'Pipe Data'!F$7:F$19,'Pipe Data'!G$7:G$19))/12)))))</f>
        <v/>
      </c>
      <c r="AJ99" s="252" t="str">
        <f>IF(C99&gt;0,"",IF(W99="Single","",IF(OR(AG99=0.5,AG99=0.375),"",IF(AF99&lt;0.6,"",(AQ99/AV99)^1.5))))</f>
        <v/>
      </c>
      <c r="AK99" s="218" t="str">
        <f>IF(C99&gt;0,"",IF(W99="Single","",IF(OR(AG99=0.5,AG99=0.375),"",IF(AF99&lt;0.6,"",(0.25/(LOG(5.74/(AI99^0.9))+((LOOKUP(IF(AP99="",AO99,AP99),'Pipe Data'!F$7:F$19,'Pipe Data'!X$7:X$19))/3.7))^2)))))</f>
        <v/>
      </c>
      <c r="AL99" s="220" t="str">
        <f>IF(C99&gt;0,"",IF(W99="Single","",IF(OR(AG99=0.5,AG99=0.375),"",IF(AF99&lt;0.6,"",pdrop(AK99,Y99,Z99,AR99,IF(AP99="",AO99,AP99))))))</f>
        <v/>
      </c>
      <c r="AM99" s="219" t="str">
        <f>IF(C99&gt;0,"",IF(W99="Single","",IF(OR(AG99=0.5,AG99=0.375),"",IF(AF99&lt;0.6,"",(((AW99/60)*Z99)/AA99)*((LOOKUP(IF(AU99="",AT99,AU99),'Pipe Data'!F$7:F$19,'Pipe Data'!G$7:G$19))/12)))))</f>
        <v/>
      </c>
      <c r="AN99" s="218" t="str">
        <f>IF(C99&gt;0,"",IF(W99="Single","",IF(OR(AG99=0.5,AG99=0.375),"",IF(AF99&lt;0.6,"",(0.25/(LOG(5.74/(AM99^0.9))+((LOOKUP(IF(AU99="",AT99,AU99),'Pipe Data'!F$7:F$19,'Pipe Data'!X$7:X$19))/3.7))^2)))))</f>
        <v/>
      </c>
      <c r="AO99" s="245" t="str">
        <f>IF(C99&gt;0,"",IF(W99="Single","",IF(OR(AG99=0.5,AG99=0.375),"",IF(AF99&lt;0.6,"",(IF(AG99="",VLOOKUP(AF99,'Pipe Data'!$J$9:$N$19,3,FALSE),VLOOKUP(AG99,'Pipe Data'!$J$9:$N$19,3,FALSE)))))))</f>
        <v/>
      </c>
      <c r="AP99" s="244"/>
      <c r="AQ99" s="251" t="str">
        <f>IF(C99&gt;0,"",IF(W99="Single","",IF(OR(AG99=0.5,AG99=0.375),"",IF(AF99&lt;0.6,"",IF(AP99="",parea(AO99),parea(AP99))))))</f>
        <v/>
      </c>
      <c r="AR99" s="219" t="str">
        <f>IF(C99&gt;0,"",IF(W99="Single","",IF(OR(AG99=0.5,AG99=0.375),"",IF(AF99&lt;0.6,"",((AS99/(Z99*AQ99))/60)))))</f>
        <v/>
      </c>
      <c r="AS99" s="248" t="str">
        <f>IF(C99&gt;0,"",IF(W99="Single","",IF(OR(AG99=0.5,AG99=0.375),"",IF(AF99&lt;0.6,"",(U99*AJ99)/(1+AJ99)))))</f>
        <v/>
      </c>
      <c r="AT99" s="245" t="str">
        <f>IF(C99&gt;0,"",IF(W99="Single","",IF(OR(AG99=0.5,AG99=0.375),"",IF(AF99&lt;0.6,"",(IF(AG99="",VLOOKUP(AF99,'Pipe Data'!$J$9:$N$19,5,FALSE),VLOOKUP(AG99,'Pipe Data'!$J$9:$N$19,5,FALSE)))))))</f>
        <v/>
      </c>
      <c r="AU99" s="244"/>
      <c r="AV99" s="251" t="str">
        <f>IF(C99&gt;0,"",IF(W99="Single","",IF(OR(AG99=0.5,AG99=0.375),"",IF(AF99&lt;0.6,"",IF(AU99="",parea(AT99),parea(AU99))))))</f>
        <v/>
      </c>
      <c r="AW99" s="219" t="str">
        <f>IF(C99&gt;0,"",IF(W99="Single","",IF(OR(AG99=0.5,AG99=0.375),"",IF(AF99&lt;0.6,"",((AX99/(Z99*AV99))/60)))))</f>
        <v/>
      </c>
      <c r="AX99" s="247" t="str">
        <f>IF(C99&gt;0,"",IF(W99="Single","",IF(OR(AG99=0.5,AG99=0.375),"",IF(AF99&lt;0.6,"",U99-AS99))))</f>
        <v/>
      </c>
      <c r="AY99" s="1441"/>
      <c r="AZ99" s="1440" t="str">
        <f>IF(AY99+X99=0,"",AY99-X99)</f>
        <v/>
      </c>
      <c r="BA99" s="246" t="str">
        <f>IF(C99&gt;0,"",AZ99*($BA$81))</f>
        <v/>
      </c>
      <c r="BB99" s="218" t="str">
        <f>IF(C99&gt;0,"",IF(($J$81)&gt;1,Density(($B$3),"TVAP","e",I99),Density(($B$3),"TP","E",K99,M99)))</f>
        <v/>
      </c>
      <c r="BC99" s="250" t="str">
        <f>IF(C99&gt;0,"",IF(($J$81)&gt;1,Viscosity(($B$3),"TVAP","E",I99),Viscosity(($B$3),"TP","E",$K99,$M99)))</f>
        <v/>
      </c>
      <c r="BD99" s="219" t="str">
        <f>IF(C99&gt;0,"",IF(($J$81)&gt;1,vel(U99,EC99,BJ99),vel(U99,Z99,BJ99)))</f>
        <v/>
      </c>
      <c r="BE99" s="220" t="str">
        <f>IF(C99&gt;0,"",IF(($J$81)&gt;1,EZ99,pdrop(BG99,BA99,Z99,BD99,IF(BI99="",BH99,BI99))))</f>
        <v/>
      </c>
      <c r="BF99" s="219" t="str">
        <f>IF(C99&gt;0,"",(((BD99/60)*Z99)/BC99)*((VLOOKUP(IF(BI99="",BH99,BI99),'Pipe Data'!F$7:G$19,2,FALSE))/12))</f>
        <v/>
      </c>
      <c r="BG99" s="218" t="str">
        <f>IF(C99&gt;0,"",(0.25/(LOG(5.74/(BF99^0.9))+((VLOOKUP(BH99,'Pipe Data'!J$7:X$19,15,FALSE))/3.7))^2))</f>
        <v/>
      </c>
      <c r="BH99" s="245" t="str">
        <f>IF(C99&gt;0,"",VLOOKUP(1,BI100:BK110,3,FALSE))</f>
        <v/>
      </c>
      <c r="BI99" s="244"/>
      <c r="BJ99" s="243" t="str">
        <f>IF(C99&gt;0,"",IF(BI99="",parea(BH99),parea(BI99)))</f>
        <v/>
      </c>
      <c r="BK99" s="249" t="str">
        <f>IF(C99&gt;0,"",VLOOKUP(E99,LegendSG3CKTrows,26,FALSE))</f>
        <v/>
      </c>
      <c r="BL99" s="248" t="str">
        <f>IF(C99&gt;0,"",IF(W99&lt;&gt;"Double",AC99+BE99+BK99,AL99+BE99+BK99))</f>
        <v/>
      </c>
      <c r="BM99" s="248"/>
      <c r="BN99" s="248" t="str">
        <f>IF(C99&gt;0,"",IF(D99="Loop","n/a",BP99-I99))</f>
        <v/>
      </c>
      <c r="BO99" s="220" t="str">
        <f>IF(C99&gt;0,"",IF(D99="Loop","n/a",N99-BM99))</f>
        <v/>
      </c>
      <c r="BP99" s="247" t="str">
        <f>IF(C99&gt;0,"",IF(D99="Loop","n/a",TEMPERATURE(($B$3),"PVAP","E",BO99)-0.5*DZ99))</f>
        <v/>
      </c>
      <c r="BQ99" s="246" t="str">
        <f>IF(C99&gt;0,"",AZ99+X99)</f>
        <v/>
      </c>
      <c r="BR99" s="246" t="str">
        <f>IF(C99&gt;0,"",BQ99*($BR$81))</f>
        <v/>
      </c>
      <c r="BS99" s="220" t="str">
        <f>IF(C99&gt;0,"",IF($C$3&gt;0,2.45,vel(U99,S99,BZ99)))</f>
        <v/>
      </c>
      <c r="BT99" s="220" t="str">
        <f>IF(C99&gt;0,"",IF($C$3&gt;0,2.31*pdrop(BW99,BR99,S99,60*BS99,IF(BY99="",BX99,BY99)),pdrop(BW99,BR99,S99,BS99,IF(BY99="",BX99,BY99))))</f>
        <v/>
      </c>
      <c r="BU99" s="220"/>
      <c r="BV99" s="219" t="str">
        <f>IF(C99&gt;0,"",IF($C$3&gt;0,(((BS99)*S99)/32.2/T99)*((VLOOKUP(IF(BY99="",BX99,BY99),'Pipe Data'!F$7:G$19,2,FALSE))/12),(((BS99/60)*S99)/T99)*((VLOOKUP(IF(BY99="",BX99,BY99),'Pipe Data'!F$7:G$19,2,FALSE))/12)))</f>
        <v/>
      </c>
      <c r="BW99" s="218" t="str">
        <f>IF(C99&gt;0,"",IF($C$3&gt;0,IF(BV99&lt;2100,64/BV99,(0.25/(LOG(5.74/(BV99^0.9))+((VLOOKUP(BX99,'Pipe Data'!J$7:X$19,15,FALSE))/3.7))^2)),(0.25/(LOG(5.74/(BV99^0.9))+((VLOOKUP(IF(BY99="",BX99,BY99),'Pipe Data'!J$7:X$19,15,FALSE))/3.7))^2)))</f>
        <v/>
      </c>
      <c r="BX99" s="245" t="str">
        <f>IF(C99&gt;0,"",VLOOKUP(0.25,BY100:CA110,3,TRUE))</f>
        <v/>
      </c>
      <c r="BY99" s="244"/>
      <c r="BZ99" s="243" t="str">
        <f>IF(C99&gt;0,"",IF(BY99="",parea(BX99),parea(BY99)))</f>
        <v/>
      </c>
      <c r="CA99" s="314"/>
      <c r="CC99" s="313">
        <v>0</v>
      </c>
      <c r="CD99" s="316" t="str">
        <f>IF(C99&gt;0,"",IF($C$3&gt;0,BQ99*BZ99*7.481+IF(D99="Loop",0,VLOOKUP(E99,'Legend(DX)'!$H$8:$AT$16,36,FALSE)),S99*BQ99*BZ99+AZ99*BB99*BJ99+X99*Z99*(IF(W99&lt;&gt;"Double",AH99,AQ99+AV99))+IF(D99="Loop",0,VLOOKUP(E99,'Legend(DX)'!$H$8:$AT$16,36,FALSE))))</f>
        <v/>
      </c>
      <c r="CE99" s="242"/>
      <c r="CF99" s="241"/>
      <c r="CH99" s="213">
        <f>IF(OR(AB99&lt;($AB$81),AB99&gt;($AC$81)),1,0)</f>
        <v>1</v>
      </c>
      <c r="CI99" s="213">
        <f>IF(OR(BD99&lt;($BD$81),BD99&gt;($BE$81)),1,0)</f>
        <v>1</v>
      </c>
      <c r="CJ99" s="213">
        <f>IF(BN99&lt;($F$81),1,0)</f>
        <v>0</v>
      </c>
      <c r="CK99" s="213">
        <f>IF(AND((LEFT('Legend(DX)'!$U$1,1)="C"),BN99&gt;$F$81),0,IF(BO99&lt;($E$81),1,0))</f>
        <v>0</v>
      </c>
      <c r="CL99" s="213">
        <f>IF(AND((LEFT('Legend(DX)'!$U$1,1)="C"),BN99&gt;$F$81),0,IF(BP99&lt;($D$81),1,0))</f>
        <v>0</v>
      </c>
      <c r="CM99" s="213">
        <f>IF(BS99&gt;($BS$81),1,0)</f>
        <v>1</v>
      </c>
      <c r="CN99" s="213">
        <f>IF(BU99&gt;($BT$81),1,0)</f>
        <v>0</v>
      </c>
      <c r="CO99" s="213">
        <f>SUM(CH99:CN99)</f>
        <v>3</v>
      </c>
      <c r="CQ99" s="304" t="s">
        <v>171</v>
      </c>
      <c r="CR99" s="213">
        <f t="shared" ref="CR99:DC99" si="27">IF($W99="Single",IF($AG99="",IF($AF99=CR$8,$X99,0),IF($AG99=CR$8,$X99,0)),0)</f>
        <v>0</v>
      </c>
      <c r="CS99" s="213">
        <f t="shared" si="27"/>
        <v>0</v>
      </c>
      <c r="CT99" s="213">
        <f t="shared" si="27"/>
        <v>0</v>
      </c>
      <c r="CU99" s="213">
        <f t="shared" si="27"/>
        <v>0</v>
      </c>
      <c r="CV99" s="213">
        <f t="shared" si="27"/>
        <v>0</v>
      </c>
      <c r="CW99" s="213">
        <f t="shared" si="27"/>
        <v>0</v>
      </c>
      <c r="CX99" s="213">
        <f t="shared" si="27"/>
        <v>0</v>
      </c>
      <c r="CY99" s="213">
        <f t="shared" si="27"/>
        <v>0</v>
      </c>
      <c r="CZ99" s="213">
        <f t="shared" si="27"/>
        <v>0</v>
      </c>
      <c r="DA99" s="213">
        <f t="shared" si="27"/>
        <v>0</v>
      </c>
      <c r="DB99" s="213">
        <f t="shared" si="27"/>
        <v>0</v>
      </c>
      <c r="DC99" s="213">
        <f t="shared" si="27"/>
        <v>0</v>
      </c>
      <c r="DE99" s="304" t="str">
        <f>IF(AG99="",IF(X99=0,TEXT(AF99,"# 0/0")&amp;"*",TEXT(AF99,"# 0/0")),IF(X99=0,TEXT(AG99,"# 0/0")&amp;"*",TEXT(AG99,"# 0/0")))</f>
        <v>*</v>
      </c>
      <c r="DF99" s="25" t="str">
        <f>IF(AP99="",IF(X99=0,TEXT(AO99,"# 0/0")&amp;"*",TEXT(AO99,"# 0/0")),IF(X99=0,TEXT(AP99,"# 0/0")&amp;"*",TEXT(AP99,"# 0/0")))</f>
        <v>*</v>
      </c>
      <c r="DG99" s="25" t="str">
        <f>IF(AU99="",IF(X99=0,TEXT(AT99,"# 0/0")&amp;"*",TEXT(AT99,"# 0/0")),IF(X99=0,TEXT(AU99,"# 0/0")&amp;"*",TEXT(AU99,"# 0/0")))</f>
        <v>*</v>
      </c>
      <c r="DH99" s="329">
        <f>E99</f>
        <v>0</v>
      </c>
      <c r="DI99" s="310" t="str">
        <f>IF($BI99="",$BH99,$BI99)</f>
        <v/>
      </c>
      <c r="DJ99" s="1620"/>
      <c r="DK99" s="440" t="str">
        <f>IF($C$3&gt;0,R99,IF(W99="Double",DF99 &amp; " &amp; " &amp; DG99,DE99))</f>
        <v>*</v>
      </c>
      <c r="DL99" s="1619"/>
      <c r="DM99" s="310" t="str">
        <f>IF($BY99="",IF($C$3&gt;0,$BX99-0.125,$BX99),IF($C$3&gt;0,$BY99-0.125,$BY99))</f>
        <v/>
      </c>
      <c r="DN99" s="1620"/>
      <c r="DO99" s="310" t="str">
        <f>IF($C$3&gt;0,2*$BQ99,$BQ99)</f>
        <v/>
      </c>
      <c r="DR99" s="1253" t="str">
        <f>J99</f>
        <v/>
      </c>
      <c r="DS99" s="1253" t="str">
        <f>IF(C99&gt;0,"",(Pressure($B$3,"Tliq","e",$J99)+Pressure($B$3,"Tvap","e",$J99))/2)</f>
        <v/>
      </c>
      <c r="DT99" s="1253" t="str">
        <f>IF(C99&gt;0,"",Pressure($B$3,"tvap","e",$J99+0.5*$DZ99))</f>
        <v/>
      </c>
      <c r="DU99" s="1253" t="str">
        <f>I99</f>
        <v/>
      </c>
      <c r="DV99" s="1253" t="str">
        <f>IF(C99&gt;0,"",(Pressure($B$3,"Tliq","e",$I99)+Pressure($B$3,"Tvap","e",$I99))/2)</f>
        <v/>
      </c>
      <c r="DW99" s="1253" t="str">
        <f>IF(C99&gt;0,"",Pressure($B$3,"tvap","e",$I99+0.5*$DZ99))</f>
        <v/>
      </c>
      <c r="DX99" s="1260" t="str">
        <f>IF(C99&gt;0,"",1-(Enthalpy($B$3,"pvap","e",$DV99)-(IF($G$4+0.5*($DR$81)&gt;($H$81),Enthalpy($B$3,"Tliq","e",($G$81)),Enthalpy($B$3,"tp","e",($G$81),($I$81)))))/(Enthalpy($B$3,"pvap","e",$DV99)-Enthalpy($B$3,"pliq","e",$DV99)))</f>
        <v/>
      </c>
      <c r="DY99" s="1253" t="str">
        <f>IF(C99&gt;0,"",TEMPERATURE($B$3,"pvap","e",$DS99)-TEMPERATURE($B$3,"pliq","e",$DS99))</f>
        <v/>
      </c>
      <c r="DZ99" s="1253" t="e">
        <f>IF($B$3="R744",0.001,(1-$DX99)*$DY99)</f>
        <v>#VALUE!</v>
      </c>
      <c r="EA99" s="1261"/>
      <c r="EB99" s="1262" t="e">
        <f ca="1">T99/AA99</f>
        <v>#VALUE!</v>
      </c>
      <c r="EC99" s="1260" t="e">
        <f ca="1">1/(((1/($J$81))/Z99)+((1-(1/($J$81)))/S99))</f>
        <v>#DIV/0!</v>
      </c>
      <c r="ED99" s="1263" t="e">
        <f>SQRT(AH99*4/PI())</f>
        <v>#VALUE!</v>
      </c>
      <c r="EE99" s="1262" t="e">
        <f ca="1">(((U99/AH99)^2)*ED99)*(1/3600)*(1/3600)/(EC99*SurfaceTension($B$3,"TLIQ","E",I99))/32.174</f>
        <v>#VALUE!</v>
      </c>
      <c r="EF99" s="1260" t="e">
        <f ca="1">((S99/Z99)^0.91)*((AA99/T99)^0.19)*((1-(AA99/T99))^0.7)</f>
        <v>#VALUE!</v>
      </c>
      <c r="EG99" s="1264" t="e">
        <f>((1/($J$81))^0.78)*((1-(1/($J$81)))^0.224)</f>
        <v>#DIV/0!</v>
      </c>
      <c r="EH99" s="1260" t="e">
        <f ca="1">(1-(1/($J$81)))^2+(((1/($J$81))^2)*S99*AE99/(Z99*EM99))</f>
        <v>#DIV/0!</v>
      </c>
      <c r="EI99" s="1262" t="e">
        <f ca="1">((U99/AH99)^2)*(1/3600)*(1/3600)/(32.174*ED99*(EC99^2))</f>
        <v>#VALUE!</v>
      </c>
      <c r="EJ99" s="1253" t="e">
        <f ca="1">EH99+(3.24*EG99*EF99/((EI99^0.045)*(EE99^0.035)))</f>
        <v>#DIV/0!</v>
      </c>
      <c r="EK99" s="1260" t="e">
        <f>vel(U99,S99,AH99)</f>
        <v>#VALUE!</v>
      </c>
      <c r="EL99" s="1262" t="e">
        <f ca="1">(((EK99/60)*S99)/T99)*((VLOOKUP(IF(AG99="",AF99,AG99),'Pipe Data'!F$7:G$19,2,FALSE))/12)</f>
        <v>#VALUE!</v>
      </c>
      <c r="EM99" s="1264" t="e">
        <f ca="1">(0.25/(LOG(5.74/(EL99^0.9))+((VLOOKUP(IF(AG99="",AF99,AG99),'Pipe Data'!J$7:X$19,15,FALSE))/3.7))^2)</f>
        <v>#VALUE!</v>
      </c>
      <c r="EN99" s="1264" t="e">
        <f ca="1">pdrop(EM99,Y99,S99,EK99,IF(AG99="",AF99,AG99))</f>
        <v>#VALUE!</v>
      </c>
      <c r="EO99" s="1260" t="e">
        <f ca="1">EN99*EJ99</f>
        <v>#VALUE!</v>
      </c>
      <c r="EP99" s="1261"/>
      <c r="EQ99" s="1263" t="e">
        <f>SQRT(BJ99*4/PI())</f>
        <v>#VALUE!</v>
      </c>
      <c r="ER99" s="1262" t="e">
        <f ca="1">(((U99/BJ99)^2)*EQ99)*(1/3600)*(1/3600)/(EC99*SurfaceTension($B$3,"TLIQ","E",I99))/32.174</f>
        <v>#VALUE!</v>
      </c>
      <c r="ES99" s="1260" t="e">
        <f ca="1">(1-(1/($J$81)))^2+(((1/($J$81))^2)*S99*BG99/(Z99*EM99))</f>
        <v>#DIV/0!</v>
      </c>
      <c r="ET99" s="1253" t="e">
        <f ca="1">((U99/BJ99)^2)*(1/3600)*(1/3600)/(32.174*EQ99*(EC99^2))</f>
        <v>#VALUE!</v>
      </c>
      <c r="EU99" s="1260" t="e">
        <f ca="1">ES99+(3.24*EG99*EF99/((ET99^0.045)*(ER99^0.035)))</f>
        <v>#DIV/0!</v>
      </c>
      <c r="EV99" s="1260" t="e">
        <f>vel(U99,S99,BJ99)</f>
        <v>#VALUE!</v>
      </c>
      <c r="EW99" s="1262" t="e">
        <f ca="1">(((EV99/60)*S99)/T99)*((VLOOKUP(IF(BI99="",BH99,BI99),'Pipe Data'!F$7:G$19,2,FALSE))/12)</f>
        <v>#VALUE!</v>
      </c>
      <c r="EX99" s="1264" t="e">
        <f ca="1">(0.25/(LOG(5.74/(EW99^0.9))+((VLOOKUP(IF(BI99="",BH99,BI99),'Pipe Data'!J$7:X$19,15,FALSE))/3.7))^2)</f>
        <v>#VALUE!</v>
      </c>
      <c r="EY99" s="1260" t="e">
        <f ca="1">pdrop(EX99,BA99,S99,EV99,IF(BI99="",BH99,BI99))</f>
        <v>#VALUE!</v>
      </c>
      <c r="EZ99" s="1260" t="e">
        <f ca="1">EY99*EU99</f>
        <v>#VALUE!</v>
      </c>
      <c r="FA99" s="213">
        <f>IF(AND(AB99&gt;$AB$5,AB99&lt;($AB$4)),1,0)</f>
        <v>0</v>
      </c>
      <c r="FB99" s="304">
        <f>IF(OR(AND(BD99&gt;$BD$5,BD99&lt;($BD$4)),AND(BD99&lt;$BE$5,BD99&gt;($BE$4))),1,0)</f>
        <v>0</v>
      </c>
      <c r="FC99" s="304">
        <f>IF(AND(BS99&lt;$BS$4,BS99&gt;($BS$5)),1,0)</f>
        <v>0</v>
      </c>
      <c r="FD99" s="213">
        <f>IF(AND(AR99&gt;$AR$5,AR99&lt;($AR$4)),1,0)</f>
        <v>0</v>
      </c>
      <c r="FE99" s="304">
        <f>IF(OR(AR99&lt;($AR$5),AR99&gt;($AS$4)),1,0)</f>
        <v>1</v>
      </c>
      <c r="FF99" s="213">
        <f>IF(AND(AW99&gt;$AR$5,AW99&lt;($AR$4)),1,0)</f>
        <v>0</v>
      </c>
      <c r="FG99" s="304">
        <f>IF(OR(AW99&lt;($AR$5),AW99&gt;($AS$4)),1,0)</f>
        <v>1</v>
      </c>
    </row>
    <row r="100" spans="1:163" ht="12.75" hidden="1" customHeight="1" x14ac:dyDescent="0.2">
      <c r="A100" s="240"/>
      <c r="B100" s="240"/>
      <c r="C100" s="240"/>
      <c r="D100" s="236"/>
      <c r="E100" s="235"/>
      <c r="F100" s="234"/>
      <c r="G100" s="234"/>
      <c r="H100" s="221"/>
      <c r="I100" s="221"/>
      <c r="J100" s="221"/>
      <c r="K100" s="221"/>
      <c r="L100" s="221"/>
      <c r="M100" s="223"/>
      <c r="N100" s="223"/>
      <c r="O100" s="223"/>
      <c r="P100" s="223"/>
      <c r="Q100" s="224"/>
      <c r="R100" s="223"/>
      <c r="S100" s="223"/>
      <c r="T100" s="227"/>
      <c r="U100" s="224"/>
      <c r="V100" s="224"/>
      <c r="W100" s="222"/>
      <c r="X100" s="229"/>
      <c r="Y100" s="221"/>
      <c r="Z100" s="228"/>
      <c r="AA100" s="227"/>
      <c r="AB100" s="219" t="str">
        <f>IF(C99&gt;0,"",IF(($J$81)&gt;1,vel(U99,EC99,AH100),vel(U99,Z99,AH100)))</f>
        <v/>
      </c>
      <c r="AC100" s="220" t="str">
        <f>IF(C99&gt;0,"",pdrop(AE100,Y99,Z99,AB100,AF100))</f>
        <v/>
      </c>
      <c r="AD100" s="219" t="str">
        <f>IF(C99&gt;0,"",(((AB100/60)*Z99)/AA99)*(VLOOKUP(AF100,'Pipe Data'!F$7:G$19,2,FALSE))/12)</f>
        <v/>
      </c>
      <c r="AE100" s="218" t="str">
        <f>IF(C99&gt;0,"",(0.25/(LOG(5.74/(AD100^0.9))+((VLOOKUP(AF100,'Pipe Data'!J$7:X$19,15,FALSE))/3.7))^2))</f>
        <v/>
      </c>
      <c r="AF100" s="216">
        <v>4.125</v>
      </c>
      <c r="AH100" s="217">
        <v>8.1138442517193113E-2</v>
      </c>
      <c r="AI100" s="239"/>
      <c r="AJ100" s="238"/>
      <c r="AK100" s="228"/>
      <c r="AL100" s="223"/>
      <c r="AM100" s="230"/>
      <c r="AN100" s="228"/>
      <c r="AO100" s="232"/>
      <c r="AQ100" s="231"/>
      <c r="AR100" s="230"/>
      <c r="AS100" s="224"/>
      <c r="AT100" s="232"/>
      <c r="AV100" s="231"/>
      <c r="AW100" s="230"/>
      <c r="AX100" s="222"/>
      <c r="AY100" s="224"/>
      <c r="AZ100" s="229"/>
      <c r="BA100" s="221"/>
      <c r="BB100" s="228"/>
      <c r="BC100" s="227"/>
      <c r="BD100" s="219" t="str">
        <f>IF(C99&gt;0,"",IF(($J$81)&gt;1,vel(U99,EC99,BJ100),vel(U99,Z99,BJ100)))</f>
        <v/>
      </c>
      <c r="BE100" s="220" t="str">
        <f>IF(C99&gt;0,"",IF(($J$81)&gt;1,EZ99,pdrop(BG100,BA99,Z99,BD100,BH100)))</f>
        <v/>
      </c>
      <c r="BF100" s="219" t="str">
        <f>IF(C99&gt;0,"",(((BD100/60)*Z99)/$AA$12)*((VLOOKUP(BH100,'Pipe Data'!F$7:G$19,2,FALSE))/12))</f>
        <v/>
      </c>
      <c r="BG100" s="218" t="str">
        <f>IF(C99&gt;0,"",(0.25/(LOG(5.74/(BF100^0.9))+((VLOOKUP(BH100,'Pipe Data'!J$7:X$19,15,FALSE))/3.7))^2))</f>
        <v/>
      </c>
      <c r="BH100" s="216">
        <v>4.125</v>
      </c>
      <c r="BI100" s="25">
        <f t="shared" ref="BI100:BI109" si="28">IF(BD100&gt;($BD$81),1,0)</f>
        <v>1</v>
      </c>
      <c r="BJ100" s="217">
        <v>8.1138442517193113E-2</v>
      </c>
      <c r="BK100" s="237">
        <v>4.125</v>
      </c>
      <c r="BL100" s="224"/>
      <c r="BM100" s="224"/>
      <c r="BN100" s="224"/>
      <c r="BO100" s="223"/>
      <c r="BP100" s="222"/>
      <c r="BQ100" s="221"/>
      <c r="BR100" s="221"/>
      <c r="BS100" s="219" t="str">
        <f>IF(C99&gt;0,"",IF($C$3&gt;0,vel(U99,S99,BZ100)/60,vel(U99,S99,BZ100)))</f>
        <v/>
      </c>
      <c r="BT100" s="220" t="str">
        <f>IF(C99&gt;0,"",IF($C$3&gt;0,2.31*pdrop(BW100,BR99,S99,60*BS100,BX100),pdrop(BW100,BR99,S99,BS100,BX100)))</f>
        <v/>
      </c>
      <c r="BU100" s="220"/>
      <c r="BV100" s="219" t="str">
        <f>IF(C99&gt;0,"",IF($C$3&gt;0,(((BS100)*S99)/32.2/T99)*((VLOOKUP(BX100,'Pipe Data'!F$7:G$19,2,FALSE))/12),(((BS100/60)*S99)/T99)*((VLOOKUP(BX100,'Pipe Data'!F$7:G$19,2,FALSE))/12)))</f>
        <v/>
      </c>
      <c r="BW100" s="218" t="str">
        <f>IF(C99&gt;0,"",IF($C$3&gt;0,IF(BV100&lt;2100,64/BV100,(0.25/(LOG(5.74/(BV100^0.9))+((VLOOKUP(BX100,'Pipe Data'!J$7:X$19,15,FALSE))/3.7))^2)),(0.25/(LOG(5.74/(BV100^0.9))+((VLOOKUP(BX100,'Pipe Data'!J$7:X$19,15,FALSE))/3.7))^2)))</f>
        <v/>
      </c>
      <c r="BX100" s="216">
        <v>4.125</v>
      </c>
      <c r="BY100" s="25" t="str">
        <f>IF(C99&gt;0,"",IF($C$3&gt;0,IF(BT100/BR99&lt;=$BY$81/100,0,1),IF(AND(BS100&lt;($BS$81),BT100&lt;($BT$81)),0,1)))</f>
        <v/>
      </c>
      <c r="BZ100" s="217">
        <v>8.1138442517193113E-2</v>
      </c>
      <c r="CA100" s="237">
        <v>4.125</v>
      </c>
      <c r="CC100" s="313"/>
      <c r="CD100" s="317"/>
      <c r="CE100" s="215"/>
      <c r="CF100" s="214"/>
      <c r="CQ100" s="304" t="s">
        <v>154</v>
      </c>
      <c r="CR100" s="213">
        <f t="shared" ref="CR100:DC100" si="29">IF($BI99="",IF($BH99=CR$8,$AZ99,0),IF($BI99=CR$8,$AZ99,0))</f>
        <v>0</v>
      </c>
      <c r="CS100" s="213">
        <f t="shared" si="29"/>
        <v>0</v>
      </c>
      <c r="CT100" s="213">
        <f t="shared" si="29"/>
        <v>0</v>
      </c>
      <c r="CU100" s="213">
        <f t="shared" si="29"/>
        <v>0</v>
      </c>
      <c r="CV100" s="213">
        <f t="shared" si="29"/>
        <v>0</v>
      </c>
      <c r="CW100" s="213">
        <f t="shared" si="29"/>
        <v>0</v>
      </c>
      <c r="CX100" s="213">
        <f t="shared" si="29"/>
        <v>0</v>
      </c>
      <c r="CY100" s="213">
        <f t="shared" si="29"/>
        <v>0</v>
      </c>
      <c r="CZ100" s="213">
        <f t="shared" si="29"/>
        <v>0</v>
      </c>
      <c r="DA100" s="213">
        <f t="shared" si="29"/>
        <v>0</v>
      </c>
      <c r="DB100" s="213">
        <f t="shared" si="29"/>
        <v>0</v>
      </c>
      <c r="DC100" s="213">
        <f t="shared" si="29"/>
        <v>0</v>
      </c>
      <c r="DJ100" s="1620"/>
      <c r="DK100" s="440"/>
      <c r="DL100" s="1619"/>
      <c r="DN100" s="1620"/>
      <c r="DR100" s="1231"/>
      <c r="DS100" s="213"/>
      <c r="DT100" s="213"/>
      <c r="DU100" s="213"/>
      <c r="DV100" s="213"/>
      <c r="DW100" s="213"/>
      <c r="DX100" s="213"/>
      <c r="DY100" s="213"/>
      <c r="DZ100" s="213"/>
      <c r="EA100" s="213"/>
      <c r="EB100" s="213"/>
      <c r="EC100" s="213"/>
      <c r="ED100" s="213"/>
      <c r="EE100" s="213"/>
      <c r="EF100" s="213"/>
      <c r="EG100" s="213"/>
      <c r="EH100" s="213"/>
      <c r="EI100" s="213"/>
      <c r="EJ100" s="213"/>
      <c r="EK100" s="213"/>
      <c r="EL100" s="213"/>
      <c r="EM100" s="213"/>
      <c r="EN100" s="213"/>
      <c r="EO100" s="213"/>
      <c r="EP100" s="213"/>
      <c r="EQ100" s="213"/>
      <c r="ER100" s="213"/>
      <c r="ES100" s="213"/>
      <c r="ET100" s="213"/>
      <c r="EU100" s="213"/>
      <c r="EV100" s="213"/>
      <c r="EW100" s="213"/>
      <c r="EX100" s="213"/>
      <c r="EY100" s="213"/>
      <c r="EZ100" s="213"/>
    </row>
    <row r="101" spans="1:163" ht="12.75" hidden="1" customHeight="1" x14ac:dyDescent="0.2">
      <c r="D101" s="236"/>
      <c r="E101" s="235"/>
      <c r="F101" s="234"/>
      <c r="G101" s="234"/>
      <c r="H101" s="221"/>
      <c r="I101" s="221"/>
      <c r="J101" s="221"/>
      <c r="K101" s="221"/>
      <c r="L101" s="221"/>
      <c r="M101" s="223"/>
      <c r="N101" s="223"/>
      <c r="O101" s="223"/>
      <c r="P101" s="223"/>
      <c r="Q101" s="224"/>
      <c r="R101" s="223"/>
      <c r="S101" s="223"/>
      <c r="T101" s="227"/>
      <c r="U101" s="224"/>
      <c r="V101" s="224"/>
      <c r="W101" s="222"/>
      <c r="X101" s="229"/>
      <c r="Y101" s="221"/>
      <c r="Z101" s="228"/>
      <c r="AA101" s="227"/>
      <c r="AB101" s="219" t="str">
        <f>IF(C99&gt;0,"",IF(($J$81)&gt;1,vel(U99,EC99,AH101),vel(U99,Z99,AH101)))</f>
        <v/>
      </c>
      <c r="AC101" s="220" t="str">
        <f>IF(C99&gt;0,"",pdrop(AE101,Y99,Z99,AB101,AF101))</f>
        <v/>
      </c>
      <c r="AD101" s="219" t="str">
        <f>IF(C99&gt;0,"",(((AB101/60)*Z99)/AA99)*(VLOOKUP(AF101,'Pipe Data'!F$7:G$19,2,FALSE))/12)</f>
        <v/>
      </c>
      <c r="AE101" s="218" t="str">
        <f>IF(C99&gt;0,"",(0.25/(LOG(5.74/(AD101^0.9))+((VLOOKUP(AF101,'Pipe Data'!J$7:X$19,15,FALSE))/3.7))^2))</f>
        <v/>
      </c>
      <c r="AF101" s="216">
        <v>3.625</v>
      </c>
      <c r="AH101" s="217">
        <v>6.2494922713852256E-2</v>
      </c>
      <c r="AI101" s="239"/>
      <c r="AJ101" s="238"/>
      <c r="AK101" s="228"/>
      <c r="AL101" s="223"/>
      <c r="AM101" s="230"/>
      <c r="AN101" s="228"/>
      <c r="AO101" s="232"/>
      <c r="AQ101" s="231"/>
      <c r="AR101" s="230"/>
      <c r="AS101" s="224"/>
      <c r="AT101" s="232"/>
      <c r="AV101" s="231"/>
      <c r="AW101" s="230"/>
      <c r="AX101" s="222"/>
      <c r="AY101" s="224"/>
      <c r="AZ101" s="229"/>
      <c r="BA101" s="221"/>
      <c r="BB101" s="228"/>
      <c r="BC101" s="227"/>
      <c r="BD101" s="219" t="str">
        <f>IF(C99&gt;0,"",IF(($J$81)&gt;1,vel(U99,EC99,BJ101),vel(U99,Z99,BJ101)))</f>
        <v/>
      </c>
      <c r="BE101" s="220" t="str">
        <f>IF(C99&gt;0,"",IF(($J$81)&gt;1,EZ99,pdrop(BG101,BA99,Z99,BD101,BH101)))</f>
        <v/>
      </c>
      <c r="BF101" s="219" t="str">
        <f>IF(C99&gt;0,"",(((BD101/60)*Z99)/$AA$12)*((VLOOKUP(BH101,'Pipe Data'!F$7:G$19,2,FALSE))/12))</f>
        <v/>
      </c>
      <c r="BG101" s="218" t="str">
        <f>IF(C99&gt;0,"",(0.25/(LOG(5.74/(BF101^0.9))+((VLOOKUP(BH101,'Pipe Data'!J$7:X$19,15,FALSE))/3.7))^2))</f>
        <v/>
      </c>
      <c r="BH101" s="216">
        <v>3.625</v>
      </c>
      <c r="BI101" s="25">
        <f t="shared" si="28"/>
        <v>1</v>
      </c>
      <c r="BJ101" s="217">
        <v>6.2494922713852256E-2</v>
      </c>
      <c r="BK101" s="237">
        <v>3.625</v>
      </c>
      <c r="BL101" s="224"/>
      <c r="BM101" s="224"/>
      <c r="BN101" s="224"/>
      <c r="BO101" s="223"/>
      <c r="BP101" s="222"/>
      <c r="BQ101" s="221"/>
      <c r="BR101" s="221"/>
      <c r="BS101" s="219" t="str">
        <f>IF(C99&gt;0,"",IF($C$3&gt;0,vel(U99,S99,BZ101)/60,vel(U99,S99,BZ101)))</f>
        <v/>
      </c>
      <c r="BT101" s="220" t="str">
        <f>IF(C99&gt;0,"",IF($C$3&gt;0,2.31*pdrop(BW101,BR99,S99,60*BS101,BX101),pdrop(BW101,BR99,S99,BS101,BX101)))</f>
        <v/>
      </c>
      <c r="BU101" s="220"/>
      <c r="BV101" s="219" t="str">
        <f>IF(C99&gt;0,"",IF($C$3&gt;0,(((BS101)*S99)/32.2/T99)*((VLOOKUP(BX101,'Pipe Data'!F$7:G$19,2,FALSE))/12),(((BS101/60)*S99)/T99)*((VLOOKUP(BX101,'Pipe Data'!F$7:G$19,2,FALSE))/12)))</f>
        <v/>
      </c>
      <c r="BW101" s="218" t="str">
        <f>IF(C99&gt;0,"",IF($C$3&gt;0,IF(BV101&lt;2100,64/BV101,(0.25/(LOG(5.74/(BV101^0.9))+((VLOOKUP(BX101,'Pipe Data'!J$7:X$19,15,FALSE))/3.7))^2)),(0.25/(LOG(5.74/(BV101^0.9))+((VLOOKUP(BX101,'Pipe Data'!J$7:X$19,15,FALSE))/3.7))^2)))</f>
        <v/>
      </c>
      <c r="BX101" s="216">
        <v>3.625</v>
      </c>
      <c r="BY101" s="25" t="str">
        <f>IF(C99&gt;0,"",IF($C$3&gt;0,IF(BT101/BR99&lt;=$BY$81/100,0,1),IF(AND(BS101&lt;($BS$81),BT101&lt;($BT$81)),0,1)))</f>
        <v/>
      </c>
      <c r="BZ101" s="217">
        <v>6.2494922713852256E-2</v>
      </c>
      <c r="CA101" s="237">
        <v>3.625</v>
      </c>
      <c r="CC101" s="313"/>
      <c r="CD101" s="317"/>
      <c r="CE101" s="215"/>
      <c r="CF101" s="214"/>
      <c r="CQ101" s="304" t="s">
        <v>155</v>
      </c>
      <c r="CR101" s="213">
        <f t="shared" ref="CR101:DC101" si="30">IF($BY99="",IF($BX99=CR$8,$BQ99,0),IF($BY99=CR$8,$BQ99,0))</f>
        <v>0</v>
      </c>
      <c r="CS101" s="213">
        <f t="shared" si="30"/>
        <v>0</v>
      </c>
      <c r="CT101" s="213">
        <f t="shared" si="30"/>
        <v>0</v>
      </c>
      <c r="CU101" s="213">
        <f t="shared" si="30"/>
        <v>0</v>
      </c>
      <c r="CV101" s="213">
        <f t="shared" si="30"/>
        <v>0</v>
      </c>
      <c r="CW101" s="213">
        <f t="shared" si="30"/>
        <v>0</v>
      </c>
      <c r="CX101" s="213">
        <f t="shared" si="30"/>
        <v>0</v>
      </c>
      <c r="CY101" s="213">
        <f t="shared" si="30"/>
        <v>0</v>
      </c>
      <c r="CZ101" s="213">
        <f t="shared" si="30"/>
        <v>0</v>
      </c>
      <c r="DA101" s="213">
        <f t="shared" si="30"/>
        <v>0</v>
      </c>
      <c r="DB101" s="213">
        <f t="shared" si="30"/>
        <v>0</v>
      </c>
      <c r="DC101" s="213">
        <f t="shared" si="30"/>
        <v>0</v>
      </c>
      <c r="DJ101" s="1620"/>
      <c r="DK101" s="440"/>
      <c r="DL101" s="1619"/>
      <c r="DN101" s="1620"/>
      <c r="DR101" s="1231"/>
      <c r="DS101" s="213"/>
      <c r="DT101" s="213"/>
      <c r="DU101" s="213"/>
      <c r="DV101" s="213"/>
      <c r="DW101" s="213"/>
      <c r="DX101" s="213"/>
      <c r="DY101" s="213"/>
      <c r="DZ101" s="213"/>
      <c r="EA101" s="213"/>
      <c r="EB101" s="213"/>
      <c r="EC101" s="213"/>
      <c r="ED101" s="213"/>
      <c r="EE101" s="213"/>
      <c r="EF101" s="213"/>
      <c r="EG101" s="213"/>
      <c r="EH101" s="213"/>
      <c r="EI101" s="213"/>
      <c r="EJ101" s="213"/>
      <c r="EK101" s="213"/>
      <c r="EL101" s="213"/>
      <c r="EM101" s="213"/>
      <c r="EN101" s="213"/>
      <c r="EO101" s="213"/>
      <c r="EP101" s="213"/>
      <c r="EQ101" s="213"/>
      <c r="ER101" s="213"/>
      <c r="ES101" s="213"/>
      <c r="ET101" s="213"/>
      <c r="EU101" s="213"/>
      <c r="EV101" s="213"/>
      <c r="EW101" s="213"/>
      <c r="EX101" s="213"/>
      <c r="EY101" s="213"/>
      <c r="EZ101" s="213"/>
    </row>
    <row r="102" spans="1:163" ht="12.75" hidden="1" customHeight="1" x14ac:dyDescent="0.2">
      <c r="D102" s="236"/>
      <c r="E102" s="235"/>
      <c r="F102" s="234"/>
      <c r="G102" s="234"/>
      <c r="H102" s="221"/>
      <c r="I102" s="221"/>
      <c r="J102" s="221"/>
      <c r="K102" s="221"/>
      <c r="L102" s="221"/>
      <c r="M102" s="223"/>
      <c r="N102" s="223"/>
      <c r="O102" s="223"/>
      <c r="P102" s="223"/>
      <c r="Q102" s="224"/>
      <c r="R102" s="223"/>
      <c r="S102" s="223"/>
      <c r="T102" s="227"/>
      <c r="U102" s="224"/>
      <c r="V102" s="224"/>
      <c r="W102" s="222"/>
      <c r="X102" s="229"/>
      <c r="Y102" s="221"/>
      <c r="Z102" s="228"/>
      <c r="AA102" s="227"/>
      <c r="AB102" s="219" t="str">
        <f>IF(C99&gt;0,"",IF(($J$81)&gt;1,vel(U99,EC99,AH102),vel(U99,Z99,AH102)))</f>
        <v/>
      </c>
      <c r="AC102" s="220" t="str">
        <f>IF(C99&gt;0,"",pdrop(AE102,Y99,Z99,AB102,AF102))</f>
        <v/>
      </c>
      <c r="AD102" s="219" t="str">
        <f>IF(C99&gt;0,"",(((AB102/60)*Z99)/AA99)*(VLOOKUP(AF102,'Pipe Data'!F$7:G$19,2,FALSE))/12)</f>
        <v/>
      </c>
      <c r="AE102" s="218" t="str">
        <f>IF(C99&gt;0,"",(0.25/(LOG(5.74/(AD102^0.9))+((VLOOKUP(AF102,'Pipe Data'!J$7:X$19,15,FALSE))/3.7))^2))</f>
        <v/>
      </c>
      <c r="AF102" s="216">
        <v>3.125</v>
      </c>
      <c r="AH102" s="217">
        <v>4.6091140306364464E-2</v>
      </c>
      <c r="AI102" s="239"/>
      <c r="AJ102" s="238"/>
      <c r="AK102" s="228"/>
      <c r="AL102" s="223"/>
      <c r="AM102" s="230"/>
      <c r="AN102" s="228"/>
      <c r="AO102" s="232"/>
      <c r="AQ102" s="231"/>
      <c r="AR102" s="230"/>
      <c r="AS102" s="224"/>
      <c r="AT102" s="232"/>
      <c r="AV102" s="231"/>
      <c r="AW102" s="230"/>
      <c r="AX102" s="222"/>
      <c r="AY102" s="224"/>
      <c r="AZ102" s="229"/>
      <c r="BA102" s="221"/>
      <c r="BB102" s="228"/>
      <c r="BC102" s="227"/>
      <c r="BD102" s="219" t="str">
        <f>IF(C99&gt;0,"",IF(($J$81)&gt;1,vel(U99,EC99,BJ102),vel(U99,Z99,BJ102)))</f>
        <v/>
      </c>
      <c r="BE102" s="220" t="str">
        <f>IF(C99&gt;0,"",IF(($J$81)&gt;1,EZ99,pdrop(BG102,BA99,Z99,BD102,BH102)))</f>
        <v/>
      </c>
      <c r="BF102" s="219" t="str">
        <f>IF(C99&gt;0,"",(((BD102/60)*Z99)/$AA$12)*((VLOOKUP(BH102,'Pipe Data'!F$7:G$19,2,FALSE))/12))</f>
        <v/>
      </c>
      <c r="BG102" s="218" t="str">
        <f>IF(C99&gt;0,"",(0.25/(LOG(5.74/(BF102^0.9))+((VLOOKUP(BH102,'Pipe Data'!J$7:X$19,15,FALSE))/3.7))^2))</f>
        <v/>
      </c>
      <c r="BH102" s="216">
        <v>3.125</v>
      </c>
      <c r="BI102" s="25">
        <f t="shared" si="28"/>
        <v>1</v>
      </c>
      <c r="BJ102" s="217">
        <v>4.6091140306364464E-2</v>
      </c>
      <c r="BK102" s="237">
        <v>3.125</v>
      </c>
      <c r="BL102" s="224"/>
      <c r="BM102" s="224"/>
      <c r="BN102" s="224"/>
      <c r="BO102" s="223"/>
      <c r="BP102" s="222"/>
      <c r="BQ102" s="221"/>
      <c r="BR102" s="221"/>
      <c r="BS102" s="219" t="str">
        <f>IF(C99&gt;0,"",IF($C$3&gt;0,vel(U99,S99,BZ102)/60,vel(U99,S99,BZ102)))</f>
        <v/>
      </c>
      <c r="BT102" s="220" t="str">
        <f>IF(C99&gt;0,"",IF($C$3&gt;0,2.31*pdrop(BW102,BR99,S99,60*BS102,BX102),pdrop(BW102,BR99,S99,BS102,BX102)))</f>
        <v/>
      </c>
      <c r="BU102" s="220"/>
      <c r="BV102" s="219" t="str">
        <f>IF(C99&gt;0,"",IF($C$3&gt;0,(((BS102)*S99)/32.2/T99)*((VLOOKUP(BX102,'Pipe Data'!F$7:G$19,2,FALSE))/12),(((BS102/60)*S99)/T99)*((VLOOKUP(BX102,'Pipe Data'!F$7:G$19,2,FALSE))/12)))</f>
        <v/>
      </c>
      <c r="BW102" s="218" t="str">
        <f>IF(C99&gt;0,"",IF($C$3&gt;0,IF(BV102&lt;2100,64/BV102,(0.25/(LOG(5.74/(BV102^0.9))+((VLOOKUP(BX102,'Pipe Data'!J$7:X$19,15,FALSE))/3.7))^2)),(0.25/(LOG(5.74/(BV102^0.9))+((VLOOKUP(BX102,'Pipe Data'!J$7:X$19,15,FALSE))/3.7))^2)))</f>
        <v/>
      </c>
      <c r="BX102" s="216">
        <v>3.125</v>
      </c>
      <c r="BY102" s="25" t="str">
        <f>IF(C99&gt;0,"",IF($C$3&gt;0,IF(BT102/BR99&lt;=$BY$81/100,0,1),IF(AND(BS102&lt;($BS$81),BT102&lt;($BT$81)),0,1)))</f>
        <v/>
      </c>
      <c r="BZ102" s="217">
        <v>4.6091140306364464E-2</v>
      </c>
      <c r="CA102" s="237">
        <v>3.125</v>
      </c>
      <c r="CC102" s="313"/>
      <c r="CD102" s="317"/>
      <c r="CE102" s="215"/>
      <c r="CF102" s="214"/>
      <c r="CQ102" s="25" t="s">
        <v>172</v>
      </c>
      <c r="CR102" s="213">
        <f t="shared" ref="CR102:DC102" si="31">IF($W99="double",IF($AP99="",IF($AO99=CR$8,$X99,0),IF($AP99=CR$8,$X99,0)),0)</f>
        <v>0</v>
      </c>
      <c r="CS102" s="213">
        <f t="shared" si="31"/>
        <v>0</v>
      </c>
      <c r="CT102" s="213">
        <f t="shared" si="31"/>
        <v>0</v>
      </c>
      <c r="CU102" s="213">
        <f t="shared" si="31"/>
        <v>0</v>
      </c>
      <c r="CV102" s="213">
        <f t="shared" si="31"/>
        <v>0</v>
      </c>
      <c r="CW102" s="213">
        <f t="shared" si="31"/>
        <v>0</v>
      </c>
      <c r="CX102" s="213">
        <f t="shared" si="31"/>
        <v>0</v>
      </c>
      <c r="CY102" s="213">
        <f t="shared" si="31"/>
        <v>0</v>
      </c>
      <c r="CZ102" s="213">
        <f t="shared" si="31"/>
        <v>0</v>
      </c>
      <c r="DA102" s="213">
        <f t="shared" si="31"/>
        <v>0</v>
      </c>
      <c r="DB102" s="213">
        <f t="shared" si="31"/>
        <v>0</v>
      </c>
      <c r="DC102" s="213">
        <f t="shared" si="31"/>
        <v>0</v>
      </c>
      <c r="DJ102" s="1620"/>
      <c r="DK102" s="440"/>
      <c r="DL102" s="1619"/>
      <c r="DN102" s="1620"/>
      <c r="DR102" s="1231"/>
      <c r="DS102" s="213"/>
      <c r="DT102" s="213"/>
      <c r="DU102" s="213"/>
      <c r="DV102" s="213"/>
      <c r="DW102" s="213"/>
      <c r="DX102" s="213"/>
      <c r="DY102" s="213"/>
      <c r="DZ102" s="213"/>
      <c r="EA102" s="213"/>
      <c r="EB102" s="213"/>
      <c r="EC102" s="213"/>
      <c r="ED102" s="213"/>
      <c r="EE102" s="213"/>
      <c r="EF102" s="213"/>
      <c r="EG102" s="213"/>
      <c r="EH102" s="213"/>
      <c r="EI102" s="213"/>
      <c r="EJ102" s="213"/>
      <c r="EK102" s="213"/>
      <c r="EL102" s="213"/>
      <c r="EM102" s="213"/>
      <c r="EN102" s="213"/>
      <c r="EO102" s="213"/>
      <c r="EP102" s="213"/>
      <c r="EQ102" s="213"/>
      <c r="ER102" s="213"/>
      <c r="ES102" s="213"/>
      <c r="ET102" s="213"/>
      <c r="EU102" s="213"/>
      <c r="EV102" s="213"/>
      <c r="EW102" s="213"/>
      <c r="EX102" s="213"/>
      <c r="EY102" s="213"/>
      <c r="EZ102" s="213"/>
    </row>
    <row r="103" spans="1:163" ht="12.75" hidden="1" customHeight="1" x14ac:dyDescent="0.2">
      <c r="D103" s="236"/>
      <c r="E103" s="235"/>
      <c r="F103" s="234"/>
      <c r="G103" s="234"/>
      <c r="H103" s="221"/>
      <c r="I103" s="221"/>
      <c r="J103" s="221"/>
      <c r="K103" s="221"/>
      <c r="L103" s="221"/>
      <c r="M103" s="223"/>
      <c r="N103" s="223"/>
      <c r="O103" s="223"/>
      <c r="P103" s="223"/>
      <c r="Q103" s="224"/>
      <c r="R103" s="223"/>
      <c r="S103" s="223"/>
      <c r="T103" s="227"/>
      <c r="U103" s="224"/>
      <c r="V103" s="224"/>
      <c r="W103" s="222"/>
      <c r="X103" s="229"/>
      <c r="Y103" s="221"/>
      <c r="Z103" s="228"/>
      <c r="AA103" s="227"/>
      <c r="AB103" s="219" t="str">
        <f>IF(C99&gt;0,"",IF(($J$81)&gt;1,vel(U99,EC99,AH103),vel(U99,Z99,AH103)))</f>
        <v/>
      </c>
      <c r="AC103" s="220" t="str">
        <f>IF(C99&gt;0,"",pdrop(AE103,Y99,Z99,AB103,AF103))</f>
        <v/>
      </c>
      <c r="AD103" s="219" t="str">
        <f>IF(C99&gt;0,"",(((AB103/60)*Z99)/AA99)*(VLOOKUP(AF103,'Pipe Data'!F$7:G$19,2,FALSE))/12)</f>
        <v/>
      </c>
      <c r="AE103" s="218" t="str">
        <f>IF(C99&gt;0,"",(0.25/(LOG(5.74/(AD103^0.9))+((VLOOKUP(AF103,'Pipe Data'!J$7:X$19,15,FALSE))/3.7))^2))</f>
        <v/>
      </c>
      <c r="AF103" s="216">
        <v>2.625</v>
      </c>
      <c r="AH103" s="217">
        <v>3.2338905731737741E-2</v>
      </c>
      <c r="AI103" s="239"/>
      <c r="AJ103" s="238"/>
      <c r="AK103" s="228"/>
      <c r="AL103" s="223"/>
      <c r="AM103" s="230"/>
      <c r="AN103" s="228"/>
      <c r="AO103" s="232"/>
      <c r="AQ103" s="231"/>
      <c r="AR103" s="230"/>
      <c r="AS103" s="224"/>
      <c r="AT103" s="232"/>
      <c r="AV103" s="231"/>
      <c r="AW103" s="230"/>
      <c r="AX103" s="222"/>
      <c r="AY103" s="224"/>
      <c r="AZ103" s="229"/>
      <c r="BA103" s="221"/>
      <c r="BB103" s="228"/>
      <c r="BC103" s="227"/>
      <c r="BD103" s="219" t="str">
        <f>IF(C99&gt;0,"",IF(($J$81)&gt;1,vel(U99,EC99,BJ103),vel(U99,Z99,BJ103)))</f>
        <v/>
      </c>
      <c r="BE103" s="220" t="str">
        <f>IF(C99&gt;0,"",IF(($J$81)&gt;1,EZ99,pdrop(BG103,BA99,Z99,BD103,BH103)))</f>
        <v/>
      </c>
      <c r="BF103" s="219" t="str">
        <f>IF(C99&gt;0,"",(((BD103/60)*Z99)/$AA$12)*((VLOOKUP(BH103,'Pipe Data'!F$7:G$19,2,FALSE))/12))</f>
        <v/>
      </c>
      <c r="BG103" s="218" t="str">
        <f>IF(C99&gt;0,"",(0.25/(LOG(5.74/(BF103^0.9))+((VLOOKUP(BH103,'Pipe Data'!J$7:X$19,15,FALSE))/3.7))^2))</f>
        <v/>
      </c>
      <c r="BH103" s="216">
        <v>2.625</v>
      </c>
      <c r="BI103" s="25">
        <f t="shared" si="28"/>
        <v>1</v>
      </c>
      <c r="BJ103" s="217">
        <v>3.2338905731737741E-2</v>
      </c>
      <c r="BK103" s="237">
        <v>2.625</v>
      </c>
      <c r="BL103" s="224"/>
      <c r="BM103" s="224"/>
      <c r="BN103" s="224"/>
      <c r="BO103" s="223"/>
      <c r="BP103" s="222"/>
      <c r="BQ103" s="221"/>
      <c r="BR103" s="221"/>
      <c r="BS103" s="219" t="str">
        <f>IF(C99&gt;0,"",IF($C$3&gt;0,vel(U99,S99,BZ103)/60,vel(U99,S99,BZ103)))</f>
        <v/>
      </c>
      <c r="BT103" s="220" t="str">
        <f>IF(C99&gt;0,"",IF($C$3&gt;0,2.31*pdrop(BW103,BR99,S99,60*BS103,BX103),pdrop(BW103,BR99,S99,BS103,BX103)))</f>
        <v/>
      </c>
      <c r="BU103" s="220"/>
      <c r="BV103" s="219" t="str">
        <f>IF(C99&gt;0,"",IF($C$3&gt;0,(((BS103)*S99)/32.2/T99)*((VLOOKUP(BX103,'Pipe Data'!F$7:G$19,2,FALSE))/12),(((BS103/60)*S99)/T99)*((VLOOKUP(BX103,'Pipe Data'!F$7:G$19,2,FALSE))/12)))</f>
        <v/>
      </c>
      <c r="BW103" s="218" t="str">
        <f>IF(C99&gt;0,"",IF($C$3&gt;0,IF(BV103&lt;2100,64/BV103,(0.25/(LOG(5.74/(BV103^0.9))+((VLOOKUP(BX103,'Pipe Data'!J$7:X$19,15,FALSE))/3.7))^2)),(0.25/(LOG(5.74/(BV103^0.9))+((VLOOKUP(BX103,'Pipe Data'!J$7:X$19,15,FALSE))/3.7))^2)))</f>
        <v/>
      </c>
      <c r="BX103" s="216">
        <v>2.625</v>
      </c>
      <c r="BY103" s="25" t="str">
        <f>IF(C99&gt;0,"",IF($C$3&gt;0,IF(BT103/BR99&lt;=$BY$81/100,0,1),IF(AND(BS103&lt;($BS$81),BT103&lt;($BT$81)),0,1)))</f>
        <v/>
      </c>
      <c r="BZ103" s="217">
        <v>3.2338905731737741E-2</v>
      </c>
      <c r="CA103" s="237">
        <v>2.625</v>
      </c>
      <c r="CC103" s="313"/>
      <c r="CD103" s="317"/>
      <c r="CE103" s="215"/>
      <c r="CF103" s="214"/>
      <c r="CQ103" s="25" t="s">
        <v>173</v>
      </c>
      <c r="CR103" s="213">
        <f t="shared" ref="CR103:DC103" si="32">IF($W99="double",IF($AU99="",IF($AT99=CR$8,$X99,0),IF($AU99=CR$8,$X99,0)),0)</f>
        <v>0</v>
      </c>
      <c r="CS103" s="213">
        <f t="shared" si="32"/>
        <v>0</v>
      </c>
      <c r="CT103" s="213">
        <f t="shared" si="32"/>
        <v>0</v>
      </c>
      <c r="CU103" s="213">
        <f t="shared" si="32"/>
        <v>0</v>
      </c>
      <c r="CV103" s="213">
        <f t="shared" si="32"/>
        <v>0</v>
      </c>
      <c r="CW103" s="213">
        <f t="shared" si="32"/>
        <v>0</v>
      </c>
      <c r="CX103" s="213">
        <f t="shared" si="32"/>
        <v>0</v>
      </c>
      <c r="CY103" s="213">
        <f t="shared" si="32"/>
        <v>0</v>
      </c>
      <c r="CZ103" s="213">
        <f t="shared" si="32"/>
        <v>0</v>
      </c>
      <c r="DA103" s="213">
        <f t="shared" si="32"/>
        <v>0</v>
      </c>
      <c r="DB103" s="213">
        <f t="shared" si="32"/>
        <v>0</v>
      </c>
      <c r="DC103" s="213">
        <f t="shared" si="32"/>
        <v>0</v>
      </c>
      <c r="DJ103" s="1620"/>
      <c r="DK103" s="440"/>
      <c r="DL103" s="1619"/>
      <c r="DN103" s="1620"/>
      <c r="DR103" s="1231"/>
      <c r="DS103" s="213"/>
      <c r="DT103" s="213"/>
      <c r="DU103" s="213"/>
      <c r="DV103" s="213"/>
      <c r="DW103" s="213"/>
      <c r="DX103" s="213"/>
      <c r="DY103" s="213"/>
      <c r="DZ103" s="213"/>
      <c r="EA103" s="213"/>
      <c r="EB103" s="213"/>
      <c r="EC103" s="213"/>
      <c r="ED103" s="213"/>
      <c r="EE103" s="213"/>
      <c r="EF103" s="213"/>
      <c r="EG103" s="213"/>
      <c r="EH103" s="213"/>
      <c r="EI103" s="213"/>
      <c r="EJ103" s="213"/>
      <c r="EK103" s="213"/>
      <c r="EL103" s="213"/>
      <c r="EM103" s="213"/>
      <c r="EN103" s="213"/>
      <c r="EO103" s="213"/>
      <c r="EP103" s="213"/>
      <c r="EQ103" s="213"/>
      <c r="ER103" s="213"/>
      <c r="ES103" s="213"/>
      <c r="ET103" s="213"/>
      <c r="EU103" s="213"/>
      <c r="EV103" s="213"/>
      <c r="EW103" s="213"/>
      <c r="EX103" s="213"/>
      <c r="EY103" s="213"/>
      <c r="EZ103" s="213"/>
    </row>
    <row r="104" spans="1:163" ht="12.75" hidden="1" customHeight="1" x14ac:dyDescent="0.2">
      <c r="D104" s="236"/>
      <c r="E104" s="235"/>
      <c r="F104" s="234"/>
      <c r="G104" s="234"/>
      <c r="H104" s="221"/>
      <c r="I104" s="221"/>
      <c r="J104" s="221"/>
      <c r="K104" s="221"/>
      <c r="L104" s="221"/>
      <c r="M104" s="223"/>
      <c r="N104" s="223"/>
      <c r="O104" s="223"/>
      <c r="P104" s="223"/>
      <c r="Q104" s="224"/>
      <c r="R104" s="223"/>
      <c r="S104" s="223"/>
      <c r="T104" s="227"/>
      <c r="U104" s="224"/>
      <c r="V104" s="224"/>
      <c r="W104" s="222"/>
      <c r="X104" s="229"/>
      <c r="Y104" s="221"/>
      <c r="Z104" s="228"/>
      <c r="AA104" s="227"/>
      <c r="AB104" s="219" t="str">
        <f>IF(C99&gt;0,"",IF(($J$81)&gt;1,vel(U99,EC99,AH104),vel(U99,Z99,AH104)))</f>
        <v/>
      </c>
      <c r="AC104" s="220" t="str">
        <f>IF(C99&gt;0,"",pdrop(AE104,Y99,Z99,AB104,AF104))</f>
        <v/>
      </c>
      <c r="AD104" s="219" t="str">
        <f>IF(C99&gt;0,"",(((AB104/60)*Z99)/AA99)*(VLOOKUP(AF104,'Pipe Data'!F$7:G$19,2,FALSE))/12)</f>
        <v/>
      </c>
      <c r="AE104" s="218" t="str">
        <f>IF(C99&gt;0,"",(0.25/(LOG(5.74/(AD104^0.9))+((VLOOKUP(AF104,'Pipe Data'!J$7:X$19,15,FALSE))/3.7))^2))</f>
        <v/>
      </c>
      <c r="AF104" s="216">
        <v>2.125</v>
      </c>
      <c r="AH104" s="217">
        <v>2.0931302841008911E-2</v>
      </c>
      <c r="AI104" s="239"/>
      <c r="AJ104" s="238"/>
      <c r="AK104" s="228"/>
      <c r="AL104" s="223"/>
      <c r="AM104" s="230"/>
      <c r="AN104" s="228"/>
      <c r="AO104" s="232"/>
      <c r="AQ104" s="231"/>
      <c r="AR104" s="230"/>
      <c r="AS104" s="224"/>
      <c r="AT104" s="232"/>
      <c r="AV104" s="231"/>
      <c r="AW104" s="230"/>
      <c r="AX104" s="222"/>
      <c r="AY104" s="224"/>
      <c r="AZ104" s="229"/>
      <c r="BA104" s="221"/>
      <c r="BB104" s="228"/>
      <c r="BC104" s="227"/>
      <c r="BD104" s="219" t="str">
        <f>IF(C99&gt;0,"",IF(($J$81)&gt;1,vel(U99,EC99,BJ104),vel(U99,Z99,BJ104)))</f>
        <v/>
      </c>
      <c r="BE104" s="220" t="str">
        <f>IF(C99&gt;0,"",IF(($J$81)&gt;1,EZ99,pdrop(BG104,BA99,Z99,BD104,BH104)))</f>
        <v/>
      </c>
      <c r="BF104" s="219" t="str">
        <f>IF(C99&gt;0,"",(((BD104/60)*Z99)/$AA$12)*((VLOOKUP(BH104,'Pipe Data'!F$7:G$19,2,FALSE))/12))</f>
        <v/>
      </c>
      <c r="BG104" s="218" t="str">
        <f>IF(C99&gt;0,"",(0.25/(LOG(5.74/(BF104^0.9))+((VLOOKUP(BH104,'Pipe Data'!J$7:X$19,15,FALSE))/3.7))^2))</f>
        <v/>
      </c>
      <c r="BH104" s="216">
        <v>2.125</v>
      </c>
      <c r="BI104" s="25">
        <f t="shared" si="28"/>
        <v>1</v>
      </c>
      <c r="BJ104" s="217">
        <v>2.0931302841008911E-2</v>
      </c>
      <c r="BK104" s="237">
        <v>2.125</v>
      </c>
      <c r="BL104" s="224"/>
      <c r="BM104" s="224"/>
      <c r="BN104" s="224"/>
      <c r="BO104" s="223"/>
      <c r="BP104" s="222"/>
      <c r="BQ104" s="221"/>
      <c r="BR104" s="221"/>
      <c r="BS104" s="219" t="str">
        <f>IF(C99&gt;0,"",IF($C$3&gt;0,vel(U99,S99,BZ104)/60,vel(U99,S99,BZ104)))</f>
        <v/>
      </c>
      <c r="BT104" s="220" t="str">
        <f>IF(C99&gt;0,"",IF($C$3&gt;0,2.31*pdrop(BW104,BR99,S99,60*BS104,BX104),pdrop(BW104,BR99,S99,BS104,BX104)))</f>
        <v/>
      </c>
      <c r="BU104" s="220"/>
      <c r="BV104" s="219" t="str">
        <f>IF(C99&gt;0,"",IF($C$3&gt;0,(((BS104)*S99)/32.2/T99)*((VLOOKUP(BX104,'Pipe Data'!F$7:G$19,2,FALSE))/12),(((BS104/60)*S99)/T99)*((VLOOKUP(BX104,'Pipe Data'!F$7:G$19,2,FALSE))/12)))</f>
        <v/>
      </c>
      <c r="BW104" s="218" t="str">
        <f>IF(C99&gt;0,"",IF($C$3&gt;0,IF(BV104&lt;2100,64/BV104,(0.25/(LOG(5.74/(BV104^0.9))+((VLOOKUP(BX104,'Pipe Data'!J$7:X$19,15,FALSE))/3.7))^2)),(0.25/(LOG(5.74/(BV104^0.9))+((VLOOKUP(BX104,'Pipe Data'!J$7:X$19,15,FALSE))/3.7))^2)))</f>
        <v/>
      </c>
      <c r="BX104" s="216">
        <v>2.125</v>
      </c>
      <c r="BY104" s="25" t="str">
        <f>IF(C99&gt;0,"",IF($C$3&gt;0,IF(BT104/BR99&lt;=$BY$81/100,0,1),IF(AND(BS104&lt;($BS$81),BT104&lt;($BT$81)),0,1)))</f>
        <v/>
      </c>
      <c r="BZ104" s="217">
        <v>2.0931302841008911E-2</v>
      </c>
      <c r="CA104" s="237">
        <v>2.125</v>
      </c>
      <c r="CC104" s="313"/>
      <c r="CD104" s="317"/>
      <c r="CE104" s="215"/>
      <c r="CF104" s="214"/>
      <c r="DJ104" s="1620"/>
      <c r="DK104" s="440"/>
      <c r="DL104" s="1619"/>
      <c r="DN104" s="1620"/>
      <c r="DR104" s="1231"/>
      <c r="DS104" s="213"/>
      <c r="DT104" s="213"/>
      <c r="DU104" s="213"/>
      <c r="DV104" s="213"/>
      <c r="DW104" s="213"/>
      <c r="DX104" s="213"/>
      <c r="DY104" s="213"/>
      <c r="DZ104" s="213"/>
      <c r="EA104" s="213"/>
      <c r="EB104" s="213"/>
      <c r="EC104" s="213"/>
      <c r="ED104" s="213"/>
      <c r="EE104" s="213"/>
      <c r="EF104" s="213"/>
      <c r="EG104" s="213"/>
      <c r="EH104" s="213"/>
      <c r="EI104" s="213"/>
      <c r="EJ104" s="213"/>
      <c r="EK104" s="213"/>
      <c r="EL104" s="213"/>
      <c r="EM104" s="213"/>
      <c r="EN104" s="213"/>
      <c r="EO104" s="213"/>
      <c r="EP104" s="213"/>
      <c r="EQ104" s="213"/>
      <c r="ER104" s="213"/>
      <c r="ES104" s="213"/>
      <c r="ET104" s="213"/>
      <c r="EU104" s="213"/>
      <c r="EV104" s="213"/>
      <c r="EW104" s="213"/>
      <c r="EX104" s="213"/>
      <c r="EY104" s="213"/>
      <c r="EZ104" s="213"/>
    </row>
    <row r="105" spans="1:163" ht="12.75" hidden="1" customHeight="1" x14ac:dyDescent="0.2">
      <c r="D105" s="236"/>
      <c r="E105" s="235"/>
      <c r="F105" s="234"/>
      <c r="G105" s="234"/>
      <c r="H105" s="221"/>
      <c r="I105" s="221"/>
      <c r="J105" s="221"/>
      <c r="K105" s="221"/>
      <c r="L105" s="221"/>
      <c r="M105" s="223"/>
      <c r="N105" s="223"/>
      <c r="O105" s="223"/>
      <c r="P105" s="223"/>
      <c r="Q105" s="224"/>
      <c r="R105" s="223"/>
      <c r="S105" s="223"/>
      <c r="T105" s="227"/>
      <c r="U105" s="224"/>
      <c r="V105" s="224"/>
      <c r="W105" s="222"/>
      <c r="X105" s="229"/>
      <c r="Y105" s="221"/>
      <c r="Z105" s="228"/>
      <c r="AA105" s="227"/>
      <c r="AB105" s="219" t="str">
        <f>IF(C99&gt;0,"",IF(($J$81)&gt;1,vel(U99,EC99,AH105),vel(U99,Z99,AH105)))</f>
        <v/>
      </c>
      <c r="AC105" s="220" t="str">
        <f>IF(C99&gt;0,"",pdrop(AE105,Y99,Z99,AB105,AF105))</f>
        <v/>
      </c>
      <c r="AD105" s="219" t="str">
        <f>IF(C99&gt;0,"",(((AB105/60)*Z99)/AA99)*(VLOOKUP(AF105,'Pipe Data'!F$7:G$19,2,FALSE))/12)</f>
        <v/>
      </c>
      <c r="AE105" s="218" t="str">
        <f>IF(C99&gt;0,"",(0.25/(LOG(5.74/(AD105^0.9))+((VLOOKUP(AF105,'Pipe Data'!J$7:X$19,15,FALSE))/3.7))^2))</f>
        <v/>
      </c>
      <c r="AF105" s="216">
        <v>1.625</v>
      </c>
      <c r="AH105" s="217">
        <v>1.2353794965620174E-2</v>
      </c>
      <c r="AI105" s="239"/>
      <c r="AJ105" s="238"/>
      <c r="AK105" s="228"/>
      <c r="AL105" s="223"/>
      <c r="AM105" s="230"/>
      <c r="AN105" s="228"/>
      <c r="AO105" s="232"/>
      <c r="AQ105" s="231"/>
      <c r="AR105" s="230"/>
      <c r="AS105" s="224"/>
      <c r="AT105" s="232"/>
      <c r="AV105" s="231"/>
      <c r="AW105" s="230"/>
      <c r="AX105" s="222"/>
      <c r="AY105" s="224"/>
      <c r="AZ105" s="229"/>
      <c r="BA105" s="221"/>
      <c r="BB105" s="228"/>
      <c r="BC105" s="227"/>
      <c r="BD105" s="219" t="str">
        <f>IF(C99&gt;0,"",IF(($J$81)&gt;1,vel(U99,EC99,BJ105),vel(U99,Z99,BJ105)))</f>
        <v/>
      </c>
      <c r="BE105" s="220" t="str">
        <f>IF(C99&gt;0,"",IF(($J$81)&gt;1,EZ99,pdrop(BG105,BA99,Z99,BD105,BH105)))</f>
        <v/>
      </c>
      <c r="BF105" s="219" t="str">
        <f>IF(C99&gt;0,"",(((BD105/60)*Z99)/$AA$12)*((VLOOKUP(BH105,'Pipe Data'!F$7:G$19,2,FALSE))/12))</f>
        <v/>
      </c>
      <c r="BG105" s="218" t="str">
        <f>IF(C99&gt;0,"",(0.25/(LOG(5.74/(BF105^0.9))+((VLOOKUP(BH105,'Pipe Data'!J$7:X$19,15,FALSE))/3.7))^2))</f>
        <v/>
      </c>
      <c r="BH105" s="216">
        <v>1.625</v>
      </c>
      <c r="BI105" s="25">
        <f t="shared" si="28"/>
        <v>1</v>
      </c>
      <c r="BJ105" s="217">
        <v>1.2353794965620174E-2</v>
      </c>
      <c r="BK105" s="237">
        <v>1.625</v>
      </c>
      <c r="BL105" s="224"/>
      <c r="BM105" s="224"/>
      <c r="BN105" s="224"/>
      <c r="BO105" s="223"/>
      <c r="BP105" s="222"/>
      <c r="BQ105" s="221"/>
      <c r="BR105" s="221"/>
      <c r="BS105" s="219" t="str">
        <f>IF(C99&gt;0,"",IF($C$3&gt;0,vel(U99,S99,BZ105)/60,vel(U99,S99,BZ105)))</f>
        <v/>
      </c>
      <c r="BT105" s="220" t="str">
        <f>IF(C99&gt;0,"",IF($C$3&gt;0,2.31*pdrop(BW105,BR99,S99,60*BS105,BX105),pdrop(BW105,BR99,S99,BS105,BX105)))</f>
        <v/>
      </c>
      <c r="BU105" s="220"/>
      <c r="BV105" s="219" t="str">
        <f>IF(C99&gt;0,"",IF($C$3&gt;0,(((BS105)*S99)/32.2/T99)*((VLOOKUP(BX105,'Pipe Data'!F$7:G$19,2,FALSE))/12),(((BS105/60)*S99)/T99)*((VLOOKUP(BX105,'Pipe Data'!F$7:G$19,2,FALSE))/12)))</f>
        <v/>
      </c>
      <c r="BW105" s="218" t="str">
        <f>IF(C99&gt;0,"",IF($C$3&gt;0,IF(BV105&lt;2100,64/BV105,(0.25/(LOG(5.74/(BV105^0.9))+((VLOOKUP(BX105,'Pipe Data'!J$7:X$19,15,FALSE))/3.7))^2)),(0.25/(LOG(5.74/(BV105^0.9))+((VLOOKUP(BX105,'Pipe Data'!J$7:X$19,15,FALSE))/3.7))^2)))</f>
        <v/>
      </c>
      <c r="BX105" s="216">
        <v>1.625</v>
      </c>
      <c r="BY105" s="25" t="str">
        <f>IF(C99&gt;0,"",IF($C$3&gt;0,IF(BT105/BR99&lt;=$BY$81/100,0,1),IF(AND(BS105&lt;($BS$81),BT105&lt;($BT$81)),0,1)))</f>
        <v/>
      </c>
      <c r="BZ105" s="217">
        <v>1.2353794965620174E-2</v>
      </c>
      <c r="CA105" s="237">
        <v>1.625</v>
      </c>
      <c r="CC105" s="313"/>
      <c r="CD105" s="317"/>
      <c r="CE105" s="215"/>
      <c r="CF105" s="214"/>
      <c r="DJ105" s="1620"/>
      <c r="DK105" s="440"/>
      <c r="DL105" s="1619"/>
      <c r="DN105" s="1620"/>
      <c r="DR105" s="1231"/>
      <c r="DS105" s="213"/>
      <c r="DT105" s="213"/>
      <c r="DU105" s="213"/>
      <c r="DV105" s="213"/>
      <c r="DW105" s="213"/>
      <c r="DX105" s="213"/>
      <c r="DY105" s="213"/>
      <c r="DZ105" s="213"/>
      <c r="EA105" s="213"/>
      <c r="EB105" s="213"/>
      <c r="EC105" s="213"/>
      <c r="ED105" s="213"/>
      <c r="EE105" s="213"/>
      <c r="EF105" s="213"/>
      <c r="EG105" s="213"/>
      <c r="EH105" s="213"/>
      <c r="EI105" s="213"/>
      <c r="EJ105" s="213"/>
      <c r="EK105" s="213"/>
      <c r="EL105" s="213"/>
      <c r="EM105" s="213"/>
      <c r="EN105" s="213"/>
      <c r="EO105" s="213"/>
      <c r="EP105" s="213"/>
      <c r="EQ105" s="213"/>
      <c r="ER105" s="213"/>
      <c r="ES105" s="213"/>
      <c r="ET105" s="213"/>
      <c r="EU105" s="213"/>
      <c r="EV105" s="213"/>
      <c r="EW105" s="213"/>
      <c r="EX105" s="213"/>
      <c r="EY105" s="213"/>
      <c r="EZ105" s="213"/>
    </row>
    <row r="106" spans="1:163" ht="12.75" hidden="1" customHeight="1" x14ac:dyDescent="0.2">
      <c r="D106" s="236"/>
      <c r="E106" s="235"/>
      <c r="F106" s="234"/>
      <c r="G106" s="234"/>
      <c r="H106" s="221"/>
      <c r="I106" s="221"/>
      <c r="J106" s="221"/>
      <c r="K106" s="221"/>
      <c r="L106" s="221"/>
      <c r="M106" s="223"/>
      <c r="N106" s="223"/>
      <c r="O106" s="223"/>
      <c r="P106" s="223"/>
      <c r="Q106" s="224"/>
      <c r="R106" s="223"/>
      <c r="S106" s="223"/>
      <c r="T106" s="227"/>
      <c r="U106" s="224"/>
      <c r="V106" s="224"/>
      <c r="W106" s="222"/>
      <c r="X106" s="229"/>
      <c r="Y106" s="221"/>
      <c r="Z106" s="228"/>
      <c r="AA106" s="227"/>
      <c r="AB106" s="219" t="str">
        <f>IF(C99&gt;0,"",IF(($J$81)&gt;1,vel(U99,EC99,AH106),vel(U99,Z99,AH106)))</f>
        <v/>
      </c>
      <c r="AC106" s="220" t="str">
        <f>IF(C99&gt;0,"",pdrop(AE106,Y99,Z99,AB106,AF106))</f>
        <v/>
      </c>
      <c r="AD106" s="219" t="str">
        <f>IF(C99&gt;0,"",(((AB106/60)*Z99)/AA99)*(VLOOKUP(AF106,'Pipe Data'!F$7:G$19,2,FALSE))/12)</f>
        <v/>
      </c>
      <c r="AE106" s="218" t="str">
        <f>IF(C99&gt;0,"",(0.25/(LOG(5.74/(AD106^0.9))+((VLOOKUP(AF106,'Pipe Data'!J$7:X$19,15,FALSE))/3.7))^2))</f>
        <v/>
      </c>
      <c r="AF106" s="216">
        <v>1.375</v>
      </c>
      <c r="AH106" s="217">
        <v>8.7278734446019548E-3</v>
      </c>
      <c r="AI106" s="239"/>
      <c r="AJ106" s="238"/>
      <c r="AK106" s="228"/>
      <c r="AL106" s="223"/>
      <c r="AM106" s="230"/>
      <c r="AN106" s="228"/>
      <c r="AO106" s="232"/>
      <c r="AQ106" s="231"/>
      <c r="AR106" s="230"/>
      <c r="AS106" s="224"/>
      <c r="AT106" s="232"/>
      <c r="AV106" s="231"/>
      <c r="AW106" s="230"/>
      <c r="AX106" s="222"/>
      <c r="AY106" s="224"/>
      <c r="AZ106" s="229"/>
      <c r="BA106" s="221"/>
      <c r="BB106" s="228"/>
      <c r="BC106" s="227"/>
      <c r="BD106" s="219" t="str">
        <f>IF(C99&gt;0,"",IF(($J$81)&gt;1,vel(U99,EC99,BJ106),vel(U99,Z99,BJ106)))</f>
        <v/>
      </c>
      <c r="BE106" s="220" t="str">
        <f>IF(C99&gt;0,"",IF(($J$81)&gt;1,EZ99,pdrop(BG106,BA99,Z99,BD106,BH106)))</f>
        <v/>
      </c>
      <c r="BF106" s="219" t="str">
        <f>IF(C99&gt;0,"",(((BD106/60)*Z99)/$AA$12)*((VLOOKUP(BH106,'Pipe Data'!F$7:G$19,2,FALSE))/12))</f>
        <v/>
      </c>
      <c r="BG106" s="218" t="str">
        <f>IF(C99&gt;0,"",(0.25/(LOG(5.74/(BF106^0.9))+((VLOOKUP(BH106,'Pipe Data'!J$7:X$19,15,FALSE))/3.7))^2))</f>
        <v/>
      </c>
      <c r="BH106" s="216">
        <v>1.375</v>
      </c>
      <c r="BI106" s="25">
        <f t="shared" si="28"/>
        <v>1</v>
      </c>
      <c r="BJ106" s="217">
        <v>8.7278734446019548E-3</v>
      </c>
      <c r="BK106" s="237">
        <v>1.375</v>
      </c>
      <c r="BL106" s="224"/>
      <c r="BM106" s="224"/>
      <c r="BN106" s="224"/>
      <c r="BO106" s="223"/>
      <c r="BP106" s="222"/>
      <c r="BQ106" s="221"/>
      <c r="BR106" s="221"/>
      <c r="BS106" s="219" t="str">
        <f>IF(C99&gt;0,"",IF($C$3&gt;0,vel(U99,S99,BZ106)/60,vel(U99,S99,BZ106)))</f>
        <v/>
      </c>
      <c r="BT106" s="220" t="str">
        <f>IF(C99&gt;0,"",IF($C$3&gt;0,2.31*pdrop(BW106,BR99,S99,60*BS106,BX106),pdrop(BW106,BR99,S99,BS106,BX106)))</f>
        <v/>
      </c>
      <c r="BU106" s="220"/>
      <c r="BV106" s="219" t="str">
        <f>IF(C99&gt;0,"",IF($C$3&gt;0,(((BS106)*S99)/32.2/T99)*((VLOOKUP(BX106,'Pipe Data'!F$7:G$19,2,FALSE))/12),(((BS106/60)*S99)/T99)*((VLOOKUP(BX106,'Pipe Data'!F$7:G$19,2,FALSE))/12)))</f>
        <v/>
      </c>
      <c r="BW106" s="218" t="str">
        <f>IF(C99&gt;0,"",IF($C$3&gt;0,IF(BV106&lt;2100,64/BV106,(0.25/(LOG(5.74/(BV106^0.9))+((VLOOKUP(BX106,'Pipe Data'!J$7:X$19,15,FALSE))/3.7))^2)),(0.25/(LOG(5.74/(BV106^0.9))+((VLOOKUP(BX106,'Pipe Data'!J$7:X$19,15,FALSE))/3.7))^2)))</f>
        <v/>
      </c>
      <c r="BX106" s="216">
        <v>1.375</v>
      </c>
      <c r="BY106" s="25" t="str">
        <f>IF(C99&gt;0,"",IF($C$3&gt;0,IF(BT106/BR99&lt;=$BY$81/100,0,1),IF(AND(BS106&lt;($BS$81),BT106&lt;($BT$81)),0,1)))</f>
        <v/>
      </c>
      <c r="BZ106" s="217">
        <v>8.7278734446019548E-3</v>
      </c>
      <c r="CA106" s="237">
        <v>1.375</v>
      </c>
      <c r="CC106" s="313"/>
      <c r="CD106" s="317"/>
      <c r="CE106" s="215"/>
      <c r="CF106" s="214"/>
      <c r="DJ106" s="1620"/>
      <c r="DK106" s="440"/>
      <c r="DL106" s="1619"/>
      <c r="DN106" s="1620"/>
      <c r="DR106" s="1231"/>
      <c r="DS106" s="213"/>
      <c r="DT106" s="213"/>
      <c r="DU106" s="213"/>
      <c r="DV106" s="213"/>
      <c r="DW106" s="213"/>
      <c r="DX106" s="213"/>
      <c r="DY106" s="213"/>
      <c r="DZ106" s="213"/>
      <c r="EA106" s="213"/>
      <c r="EB106" s="213"/>
      <c r="EC106" s="213"/>
      <c r="ED106" s="213"/>
      <c r="EE106" s="213"/>
      <c r="EF106" s="213"/>
      <c r="EG106" s="213"/>
      <c r="EH106" s="213"/>
      <c r="EI106" s="213"/>
      <c r="EJ106" s="213"/>
      <c r="EK106" s="213"/>
      <c r="EL106" s="213"/>
      <c r="EM106" s="213"/>
      <c r="EN106" s="213"/>
      <c r="EO106" s="213"/>
      <c r="EP106" s="213"/>
      <c r="EQ106" s="213"/>
      <c r="ER106" s="213"/>
      <c r="ES106" s="213"/>
      <c r="ET106" s="213"/>
      <c r="EU106" s="213"/>
      <c r="EV106" s="213"/>
      <c r="EW106" s="213"/>
      <c r="EX106" s="213"/>
      <c r="EY106" s="213"/>
      <c r="EZ106" s="213"/>
    </row>
    <row r="107" spans="1:163" ht="12.75" hidden="1" customHeight="1" x14ac:dyDescent="0.2">
      <c r="D107" s="236"/>
      <c r="E107" s="235"/>
      <c r="F107" s="234"/>
      <c r="G107" s="234"/>
      <c r="H107" s="221"/>
      <c r="I107" s="221"/>
      <c r="J107" s="221"/>
      <c r="K107" s="221"/>
      <c r="L107" s="221"/>
      <c r="M107" s="223"/>
      <c r="N107" s="223"/>
      <c r="O107" s="223"/>
      <c r="P107" s="223"/>
      <c r="Q107" s="224"/>
      <c r="R107" s="223"/>
      <c r="S107" s="223"/>
      <c r="T107" s="227"/>
      <c r="U107" s="224"/>
      <c r="V107" s="224"/>
      <c r="W107" s="222"/>
      <c r="X107" s="229"/>
      <c r="Y107" s="221"/>
      <c r="Z107" s="228"/>
      <c r="AA107" s="227"/>
      <c r="AB107" s="219" t="str">
        <f>IF(C99&gt;0,"",IF(($J$81)&gt;1,vel(U99,EC99,AH107),vel(U99,Z99,AH107)))</f>
        <v/>
      </c>
      <c r="AC107" s="220" t="str">
        <f>IF(C99&gt;0,"",pdrop(AE107,Y99,Z99,AB107,AF107))</f>
        <v/>
      </c>
      <c r="AD107" s="219" t="str">
        <f>IF(C99&gt;0,"",(((AB107/60)*Z99)/AA99)*(VLOOKUP(AF107,'Pipe Data'!F$7:G$19,2,FALSE))/12)</f>
        <v/>
      </c>
      <c r="AE107" s="218" t="str">
        <f>IF(C99&gt;0,"",(0.25/(LOG(5.74/(AD107^0.9))+((VLOOKUP(AF107,'Pipe Data'!J$7:X$19,15,FALSE))/3.7))^2))</f>
        <v/>
      </c>
      <c r="AF107" s="216">
        <v>1.125</v>
      </c>
      <c r="AH107" s="217">
        <v>5.7302704543016935E-3</v>
      </c>
      <c r="AI107" s="239"/>
      <c r="AJ107" s="238"/>
      <c r="AK107" s="228"/>
      <c r="AL107" s="223"/>
      <c r="AM107" s="230"/>
      <c r="AN107" s="228"/>
      <c r="AO107" s="232"/>
      <c r="AQ107" s="231"/>
      <c r="AR107" s="230"/>
      <c r="AS107" s="224"/>
      <c r="AT107" s="232"/>
      <c r="AV107" s="231"/>
      <c r="AW107" s="230"/>
      <c r="AX107" s="222"/>
      <c r="AY107" s="224"/>
      <c r="AZ107" s="229"/>
      <c r="BA107" s="221"/>
      <c r="BB107" s="228"/>
      <c r="BC107" s="227"/>
      <c r="BD107" s="219" t="str">
        <f>IF(C99&gt;0,"",IF(($J$81)&gt;1,vel(U99,EC99,BJ107),vel(U99,Z99,BJ107)))</f>
        <v/>
      </c>
      <c r="BE107" s="220" t="str">
        <f>IF(C99&gt;0,"",IF(($J$81)&gt;1,EZ99,pdrop(BG107,BA99,Z99,BD107,BH107)))</f>
        <v/>
      </c>
      <c r="BF107" s="219" t="str">
        <f>IF(C99&gt;0,"",(((BD107/60)*Z99)/$AA$12)*((VLOOKUP(BH107,'Pipe Data'!F$7:G$19,2,FALSE))/12))</f>
        <v/>
      </c>
      <c r="BG107" s="218" t="str">
        <f>IF(C99&gt;0,"",(0.25/(LOG(5.74/(BF107^0.9))+((VLOOKUP(BH107,'Pipe Data'!J$7:X$19,15,FALSE))/3.7))^2))</f>
        <v/>
      </c>
      <c r="BH107" s="216">
        <v>1.125</v>
      </c>
      <c r="BI107" s="25">
        <f t="shared" si="28"/>
        <v>1</v>
      </c>
      <c r="BJ107" s="217">
        <v>5.7302704543016935E-3</v>
      </c>
      <c r="BK107" s="237">
        <v>1.125</v>
      </c>
      <c r="BL107" s="224"/>
      <c r="BM107" s="224"/>
      <c r="BN107" s="224"/>
      <c r="BO107" s="223"/>
      <c r="BP107" s="222"/>
      <c r="BQ107" s="221"/>
      <c r="BR107" s="221"/>
      <c r="BS107" s="219" t="str">
        <f>IF(C99&gt;0,"",IF($C$3&gt;0,vel(U99,S99,BZ107)/60,vel(U99,S99,BZ107)))</f>
        <v/>
      </c>
      <c r="BT107" s="220" t="str">
        <f>IF(C99&gt;0,"",IF($C$3&gt;0,2.31*pdrop(BW107,BR99,S99,60*BS107,BX107),pdrop(BW107,BR99,S99,BS107,BX107)))</f>
        <v/>
      </c>
      <c r="BU107" s="220"/>
      <c r="BV107" s="219" t="str">
        <f>IF(C99&gt;0,"",IF($C$3&gt;0,(((BS107)*S99)/32.2/T99)*((VLOOKUP(BX107,'Pipe Data'!F$7:G$19,2,FALSE))/12),(((BS107/60)*S99)/T99)*((VLOOKUP(BX107,'Pipe Data'!F$7:G$19,2,FALSE))/12)))</f>
        <v/>
      </c>
      <c r="BW107" s="218" t="str">
        <f>IF(C99&gt;0,"",IF($C$3&gt;0,IF(BV107&lt;2100,64/BV107,(0.25/(LOG(5.74/(BV107^0.9))+((VLOOKUP(BX107,'Pipe Data'!J$7:X$19,15,FALSE))/3.7))^2)),(0.25/(LOG(5.74/(BV107^0.9))+((VLOOKUP(BX107,'Pipe Data'!J$7:X$19,15,FALSE))/3.7))^2)))</f>
        <v/>
      </c>
      <c r="BX107" s="216">
        <v>1.125</v>
      </c>
      <c r="BY107" s="25" t="str">
        <f>IF(C99&gt;0,"",IF($C$3&gt;0,IF(BT107/BR99&lt;=$BY$81/100,0,1),IF(AND(BS107&lt;($BS$81),BT107&lt;($BT$81)),0,1)))</f>
        <v/>
      </c>
      <c r="BZ107" s="217">
        <v>5.7302704543016935E-3</v>
      </c>
      <c r="CA107" s="237">
        <v>1.125</v>
      </c>
      <c r="CC107" s="313"/>
      <c r="CD107" s="317"/>
      <c r="CE107" s="215"/>
      <c r="CF107" s="214"/>
      <c r="DJ107" s="1620"/>
      <c r="DK107" s="440"/>
      <c r="DL107" s="1619"/>
      <c r="DN107" s="1620"/>
      <c r="DR107" s="1231"/>
      <c r="DS107" s="213"/>
      <c r="DT107" s="213"/>
      <c r="DU107" s="213"/>
      <c r="DV107" s="213"/>
      <c r="DW107" s="213"/>
      <c r="DX107" s="213"/>
      <c r="DY107" s="213"/>
      <c r="DZ107" s="213"/>
      <c r="EA107" s="213"/>
      <c r="EB107" s="213"/>
      <c r="EC107" s="213"/>
      <c r="ED107" s="213"/>
      <c r="EE107" s="213"/>
      <c r="EF107" s="213"/>
      <c r="EG107" s="213"/>
      <c r="EH107" s="213"/>
      <c r="EI107" s="213"/>
      <c r="EJ107" s="213"/>
      <c r="EK107" s="213"/>
      <c r="EL107" s="213"/>
      <c r="EM107" s="213"/>
      <c r="EN107" s="213"/>
      <c r="EO107" s="213"/>
      <c r="EP107" s="213"/>
      <c r="EQ107" s="213"/>
      <c r="ER107" s="213"/>
      <c r="ES107" s="213"/>
      <c r="ET107" s="213"/>
      <c r="EU107" s="213"/>
      <c r="EV107" s="213"/>
      <c r="EW107" s="213"/>
      <c r="EX107" s="213"/>
      <c r="EY107" s="213"/>
      <c r="EZ107" s="213"/>
    </row>
    <row r="108" spans="1:163" ht="12.75" hidden="1" customHeight="1" x14ac:dyDescent="0.2">
      <c r="D108" s="236"/>
      <c r="E108" s="235"/>
      <c r="F108" s="234"/>
      <c r="G108" s="234"/>
      <c r="H108" s="221"/>
      <c r="I108" s="221"/>
      <c r="J108" s="221"/>
      <c r="K108" s="221"/>
      <c r="L108" s="221"/>
      <c r="M108" s="223"/>
      <c r="N108" s="223"/>
      <c r="O108" s="223"/>
      <c r="P108" s="223"/>
      <c r="Q108" s="224"/>
      <c r="R108" s="223"/>
      <c r="S108" s="223"/>
      <c r="T108" s="227"/>
      <c r="U108" s="224"/>
      <c r="V108" s="224"/>
      <c r="W108" s="222"/>
      <c r="X108" s="229"/>
      <c r="Y108" s="221"/>
      <c r="Z108" s="228"/>
      <c r="AA108" s="227"/>
      <c r="AB108" s="219" t="str">
        <f>IF(C99&gt;0,"",IF(($J$81)&gt;1,vel(U99,EC99,AH108),vel(U99,Z99,AH108)))</f>
        <v/>
      </c>
      <c r="AC108" s="220" t="str">
        <f>IF(C99&gt;0,"",pdrop(AE108,Y99,Z99,AB108,AF108))</f>
        <v/>
      </c>
      <c r="AD108" s="219" t="str">
        <f>IF(C99&gt;0,"",(((AB108/60)*Z99)/AA99)*(VLOOKUP(AF108,'Pipe Data'!F$7:G$19,2,FALSE))/12)</f>
        <v/>
      </c>
      <c r="AE108" s="218" t="str">
        <f>IF(C99&gt;0,"",(0.25/(LOG(5.74/(AD108^0.9))+((VLOOKUP(AF108,'Pipe Data'!J$7:X$19,15,FALSE))/3.7))^2))</f>
        <v/>
      </c>
      <c r="AF108" s="216">
        <v>0.875</v>
      </c>
      <c r="AH108" s="217">
        <v>3.3609859947193927E-3</v>
      </c>
      <c r="AI108" s="239"/>
      <c r="AJ108" s="238"/>
      <c r="AK108" s="228"/>
      <c r="AL108" s="223"/>
      <c r="AM108" s="230"/>
      <c r="AN108" s="228"/>
      <c r="AO108" s="232"/>
      <c r="AQ108" s="231"/>
      <c r="AR108" s="230"/>
      <c r="AS108" s="224"/>
      <c r="AT108" s="232"/>
      <c r="AV108" s="231"/>
      <c r="AW108" s="230"/>
      <c r="AX108" s="222"/>
      <c r="AY108" s="224"/>
      <c r="AZ108" s="229"/>
      <c r="BA108" s="221"/>
      <c r="BB108" s="228"/>
      <c r="BC108" s="227"/>
      <c r="BD108" s="219" t="str">
        <f>IF(C99&gt;0,"",IF(($J$81)&gt;1,vel(U99,EC99,BJ108),vel(U99,Z99,BJ108)))</f>
        <v/>
      </c>
      <c r="BE108" s="220" t="str">
        <f>IF(C99&gt;0,"",IF(($J$81)&gt;1,EZ99,pdrop(BG108,BA99,Z99,BD108,BH108)))</f>
        <v/>
      </c>
      <c r="BF108" s="219" t="str">
        <f>IF(C99&gt;0,"",(((BD108/60)*Z99)/$AA$12)*((VLOOKUP(BH108,'Pipe Data'!F$7:G$19,2,FALSE))/12))</f>
        <v/>
      </c>
      <c r="BG108" s="218" t="str">
        <f>IF(C99&gt;0,"",(0.25/(LOG(5.74/(BF108^0.9))+((VLOOKUP(BH108,'Pipe Data'!J$7:X$19,15,FALSE))/3.7))^2))</f>
        <v/>
      </c>
      <c r="BH108" s="216">
        <v>0.875</v>
      </c>
      <c r="BI108" s="25">
        <f t="shared" si="28"/>
        <v>1</v>
      </c>
      <c r="BJ108" s="217">
        <v>3.3609859947193927E-3</v>
      </c>
      <c r="BK108" s="237">
        <v>0.875</v>
      </c>
      <c r="BL108" s="224"/>
      <c r="BM108" s="224"/>
      <c r="BN108" s="224"/>
      <c r="BO108" s="223"/>
      <c r="BP108" s="222"/>
      <c r="BQ108" s="221"/>
      <c r="BR108" s="221"/>
      <c r="BS108" s="219" t="str">
        <f>IF(C99&gt;0,"",IF($C$3&gt;0,vel(U99,S99,BZ108)/60,vel(U99,S99,BZ108)))</f>
        <v/>
      </c>
      <c r="BT108" s="220" t="str">
        <f>IF(C99&gt;0,"",IF($C$3&gt;0,2.31*pdrop(BW108,BR99,S99,60*BS108,BX108),pdrop(BW108,BR99,S99,BS108,BX108)))</f>
        <v/>
      </c>
      <c r="BU108" s="220"/>
      <c r="BV108" s="219" t="str">
        <f>IF(C99&gt;0,"",IF($C$3&gt;0,(((BS108)*S99)/32.2/T99)*((VLOOKUP(BX108,'Pipe Data'!F$7:G$19,2,FALSE))/12),(((BS108/60)*S99)/T99)*((VLOOKUP(BX108,'Pipe Data'!F$7:G$19,2,FALSE))/12)))</f>
        <v/>
      </c>
      <c r="BW108" s="218" t="str">
        <f>IF(C99&gt;0,"",IF($C$3&gt;0,IF(BV108&lt;2100,64/BV108,(0.25/(LOG(5.74/(BV108^0.9))+((VLOOKUP(BX108,'Pipe Data'!J$7:X$19,15,FALSE))/3.7))^2)),(0.25/(LOG(5.74/(BV108^0.9))+((VLOOKUP(BX108,'Pipe Data'!J$7:X$19,15,FALSE))/3.7))^2)))</f>
        <v/>
      </c>
      <c r="BX108" s="216">
        <v>0.875</v>
      </c>
      <c r="BY108" s="25" t="str">
        <f>IF(C99&gt;0,"",IF($C$3&gt;0,IF(BT108/BR99&lt;=$BY$81/100,0,1),IF(AND(BS108&lt;($BS$81),BT108&lt;($BT$81)),0,1)))</f>
        <v/>
      </c>
      <c r="BZ108" s="217">
        <v>3.3609859947193927E-3</v>
      </c>
      <c r="CA108" s="237">
        <v>0.875</v>
      </c>
      <c r="CC108" s="313"/>
      <c r="CD108" s="317"/>
      <c r="CE108" s="215"/>
      <c r="CF108" s="214"/>
      <c r="DJ108" s="1620"/>
      <c r="DK108" s="440"/>
      <c r="DL108" s="1619"/>
      <c r="DN108" s="1620"/>
      <c r="DR108" s="1231"/>
      <c r="DS108" s="213"/>
      <c r="DT108" s="213"/>
      <c r="DU108" s="213"/>
      <c r="DV108" s="213"/>
      <c r="DW108" s="213"/>
      <c r="DX108" s="213"/>
      <c r="DY108" s="213"/>
      <c r="DZ108" s="213"/>
      <c r="EA108" s="213"/>
      <c r="EB108" s="213"/>
      <c r="EC108" s="213"/>
      <c r="ED108" s="213"/>
      <c r="EE108" s="213"/>
      <c r="EF108" s="213"/>
      <c r="EG108" s="213"/>
      <c r="EH108" s="213"/>
      <c r="EI108" s="213"/>
      <c r="EJ108" s="213"/>
      <c r="EK108" s="213"/>
      <c r="EL108" s="213"/>
      <c r="EM108" s="213"/>
      <c r="EN108" s="213"/>
      <c r="EO108" s="213"/>
      <c r="EP108" s="213"/>
      <c r="EQ108" s="213"/>
      <c r="ER108" s="213"/>
      <c r="ES108" s="213"/>
      <c r="ET108" s="213"/>
      <c r="EU108" s="213"/>
      <c r="EV108" s="213"/>
      <c r="EW108" s="213"/>
      <c r="EX108" s="213"/>
      <c r="EY108" s="213"/>
      <c r="EZ108" s="213"/>
    </row>
    <row r="109" spans="1:163" ht="12.75" hidden="1" customHeight="1" x14ac:dyDescent="0.2">
      <c r="D109" s="236"/>
      <c r="E109" s="235"/>
      <c r="F109" s="234"/>
      <c r="G109" s="234"/>
      <c r="H109" s="221"/>
      <c r="I109" s="221"/>
      <c r="J109" s="221"/>
      <c r="K109" s="221"/>
      <c r="L109" s="221"/>
      <c r="M109" s="223"/>
      <c r="N109" s="223"/>
      <c r="O109" s="223"/>
      <c r="P109" s="223"/>
      <c r="Q109" s="224"/>
      <c r="R109" s="223"/>
      <c r="S109" s="223"/>
      <c r="T109" s="227"/>
      <c r="U109" s="224"/>
      <c r="V109" s="224"/>
      <c r="W109" s="222"/>
      <c r="X109" s="229"/>
      <c r="Y109" s="221"/>
      <c r="Z109" s="228"/>
      <c r="AA109" s="227"/>
      <c r="AB109" s="219" t="str">
        <f>IF(C99&gt;0,"",IF(($J$81)&gt;1,vel(U99,EC99,AH109),vel(U99,Z99,AH109)))</f>
        <v/>
      </c>
      <c r="AC109" s="220" t="str">
        <f>IF(C99&gt;0,"",pdrop(AE109,Y99,Z99,AB109,AF109))</f>
        <v/>
      </c>
      <c r="AD109" s="219" t="str">
        <f>IF(C99&gt;0,"",(((AB109/60)*Z99)/AA99)*(VLOOKUP(AF109,'Pipe Data'!F$7:G$19,2,FALSE))/12)</f>
        <v/>
      </c>
      <c r="AE109" s="218" t="str">
        <f>IF(C99&gt;0,"",(0.25/(LOG(5.74/(AD109^0.9))+((VLOOKUP(AF109,'Pipe Data'!J$7:X$19,15,FALSE))/3.7))^2))</f>
        <v/>
      </c>
      <c r="AF109" s="216">
        <v>0.625</v>
      </c>
      <c r="AH109" s="217">
        <v>1.6200200658550491E-3</v>
      </c>
      <c r="AI109" s="239"/>
      <c r="AJ109" s="238"/>
      <c r="AK109" s="228"/>
      <c r="AL109" s="223"/>
      <c r="AM109" s="230"/>
      <c r="AN109" s="228"/>
      <c r="AO109" s="232"/>
      <c r="AQ109" s="231"/>
      <c r="AR109" s="230"/>
      <c r="AS109" s="224"/>
      <c r="AT109" s="232"/>
      <c r="AV109" s="231"/>
      <c r="AW109" s="230"/>
      <c r="AX109" s="222"/>
      <c r="AY109" s="224"/>
      <c r="AZ109" s="229"/>
      <c r="BA109" s="221"/>
      <c r="BB109" s="228"/>
      <c r="BC109" s="227"/>
      <c r="BD109" s="219" t="str">
        <f>IF(C99&gt;0,"",IF(($J$81)&gt;1,vel(U99,EC99,BJ109),vel(U99,Z99,BJ109)))</f>
        <v/>
      </c>
      <c r="BE109" s="220" t="str">
        <f>IF(C99&gt;0,"",IF(($J$81)&gt;1,EZ99,pdrop(BG109,BA99,Z99,BD109,BH109)))</f>
        <v/>
      </c>
      <c r="BF109" s="219" t="str">
        <f>IF(C99&gt;0,"",(((BD109/60)*Z99)/$AA$12)*((VLOOKUP(BH109,'Pipe Data'!F$7:G$19,2,FALSE))/12))</f>
        <v/>
      </c>
      <c r="BG109" s="218" t="str">
        <f>IF(C99&gt;0,"",(0.25/(LOG(5.74/(BF109^0.9))+((VLOOKUP(BH109,'Pipe Data'!J$7:X$19,15,FALSE))/3.7))^2))</f>
        <v/>
      </c>
      <c r="BH109" s="216">
        <v>0.625</v>
      </c>
      <c r="BI109" s="25">
        <f t="shared" si="28"/>
        <v>1</v>
      </c>
      <c r="BJ109" s="217">
        <v>1.6200200658550491E-3</v>
      </c>
      <c r="BK109" s="237">
        <v>0.625</v>
      </c>
      <c r="BL109" s="224"/>
      <c r="BM109" s="224"/>
      <c r="BN109" s="224"/>
      <c r="BO109" s="223"/>
      <c r="BP109" s="222"/>
      <c r="BQ109" s="221"/>
      <c r="BR109" s="221"/>
      <c r="BS109" s="219" t="str">
        <f>IF(C99&gt;0,"",IF($C$3&gt;0,vel(U99,S99,BZ109)/60,vel(U99,S99,BZ109)))</f>
        <v/>
      </c>
      <c r="BT109" s="220" t="str">
        <f>IF(C99&gt;0,"",IF($C$3&gt;0,2.31*pdrop(BW109,BR99,S99,60*BS109,BX109),pdrop(BW109,BR99,S99,BS109,BX109)))</f>
        <v/>
      </c>
      <c r="BU109" s="220"/>
      <c r="BV109" s="219" t="str">
        <f>IF(C99&gt;0,"",IF($C$3&gt;0,(((BS109)*S99)/32.2/T99)*((VLOOKUP(BX109,'Pipe Data'!F$7:G$19,2,FALSE))/12),(((BS109/60)*S99)/T99)*((VLOOKUP(BX109,'Pipe Data'!F$7:G$19,2,FALSE))/12)))</f>
        <v/>
      </c>
      <c r="BW109" s="218" t="str">
        <f>IF(C99&gt;0,"",IF($C$3&gt;0,IF(BV109&lt;2100,64/BV109,(0.25/(LOG(5.74/(BV109^0.9))+((VLOOKUP(BX109,'Pipe Data'!J$7:X$19,15,FALSE))/3.7))^2)),(0.25/(LOG(5.74/(BV109^0.9))+((VLOOKUP(BX109,'Pipe Data'!J$7:X$19,15,FALSE))/3.7))^2)))</f>
        <v/>
      </c>
      <c r="BX109" s="216">
        <v>0.625</v>
      </c>
      <c r="BY109" s="25" t="str">
        <f>IF(C99&gt;0,"",IF($C$3&gt;0,IF(BT109/BR99&lt;=$BY$81/100,0,1),IF(AND(BS109&lt;($BS$81),BT109&lt;($BT$81)),0,1)))</f>
        <v/>
      </c>
      <c r="BZ109" s="217">
        <v>1.6200200658550491E-3</v>
      </c>
      <c r="CA109" s="237">
        <v>0.625</v>
      </c>
      <c r="CC109" s="313"/>
      <c r="CD109" s="317"/>
      <c r="CE109" s="215"/>
      <c r="CF109" s="214"/>
      <c r="DJ109" s="1620"/>
      <c r="DK109" s="440"/>
      <c r="DL109" s="1619"/>
      <c r="DN109" s="1620"/>
      <c r="DR109" s="1231"/>
      <c r="DS109" s="213"/>
      <c r="DT109" s="213"/>
      <c r="DU109" s="213"/>
      <c r="DV109" s="213"/>
      <c r="DW109" s="213"/>
      <c r="DX109" s="213"/>
      <c r="DY109" s="213"/>
      <c r="DZ109" s="213"/>
      <c r="EA109" s="213"/>
      <c r="EB109" s="213"/>
      <c r="EC109" s="213"/>
      <c r="ED109" s="213"/>
      <c r="EE109" s="213"/>
      <c r="EF109" s="213"/>
      <c r="EG109" s="213"/>
      <c r="EH109" s="213"/>
      <c r="EI109" s="213"/>
      <c r="EJ109" s="213"/>
      <c r="EK109" s="213"/>
      <c r="EL109" s="213"/>
      <c r="EM109" s="213"/>
      <c r="EN109" s="213"/>
      <c r="EO109" s="213"/>
      <c r="EP109" s="213"/>
      <c r="EQ109" s="213"/>
      <c r="ER109" s="213"/>
      <c r="ES109" s="213"/>
      <c r="ET109" s="213"/>
      <c r="EU109" s="213"/>
      <c r="EV109" s="213"/>
      <c r="EW109" s="213"/>
      <c r="EX109" s="213"/>
      <c r="EY109" s="213"/>
      <c r="EZ109" s="213"/>
    </row>
    <row r="110" spans="1:163" ht="12.75" hidden="1" customHeight="1" x14ac:dyDescent="0.2">
      <c r="D110" s="236"/>
      <c r="E110" s="235"/>
      <c r="F110" s="234"/>
      <c r="G110" s="234"/>
      <c r="H110" s="221"/>
      <c r="I110" s="221"/>
      <c r="J110" s="221"/>
      <c r="K110" s="221"/>
      <c r="L110" s="221"/>
      <c r="M110" s="223"/>
      <c r="N110" s="223"/>
      <c r="O110" s="223"/>
      <c r="P110" s="223"/>
      <c r="Q110" s="224"/>
      <c r="R110" s="223"/>
      <c r="S110" s="223"/>
      <c r="T110" s="227"/>
      <c r="U110" s="224"/>
      <c r="V110" s="224"/>
      <c r="W110" s="222"/>
      <c r="X110" s="229"/>
      <c r="Y110" s="221"/>
      <c r="Z110" s="228"/>
      <c r="AA110" s="227"/>
      <c r="AB110" s="219" t="str">
        <f>IF(C99&gt;0,"",IF(($J$81)&gt;1,vel(U99,EC99,AH110),vel(U99,Z99,AH110)))</f>
        <v/>
      </c>
      <c r="AC110" s="220" t="str">
        <f>IF(C99&gt;0,"",pdrop(AE110,Y99,Z99,AB110,AF110))</f>
        <v/>
      </c>
      <c r="AD110" s="219" t="str">
        <f>IF(C99&gt;0,"",(((AB110/60)*Z99)/AA99)*(VLOOKUP(AF110,'Pipe Data'!F$7:G$19,2,FALSE))/12)</f>
        <v/>
      </c>
      <c r="AE110" s="218" t="str">
        <f>IF(C99&gt;0,"",(0.25/(LOG(5.74/(AD110^0.9))+((VLOOKUP(AF110,'Pipe Data'!J$7:X$19,15,FALSE))/3.7))^2))</f>
        <v/>
      </c>
      <c r="AF110" s="216">
        <v>0.5</v>
      </c>
      <c r="AH110" s="217">
        <v>1.0084730584179735E-3</v>
      </c>
      <c r="AI110" s="239"/>
      <c r="AJ110" s="238"/>
      <c r="AK110" s="228"/>
      <c r="AL110" s="223"/>
      <c r="AM110" s="230"/>
      <c r="AN110" s="228"/>
      <c r="AO110" s="232"/>
      <c r="AQ110" s="231"/>
      <c r="AR110" s="230"/>
      <c r="AS110" s="224"/>
      <c r="AT110" s="232"/>
      <c r="AV110" s="231"/>
      <c r="AW110" s="230"/>
      <c r="AX110" s="222"/>
      <c r="AY110" s="224"/>
      <c r="AZ110" s="229"/>
      <c r="BA110" s="221"/>
      <c r="BB110" s="228"/>
      <c r="BC110" s="227"/>
      <c r="BD110" s="219" t="str">
        <f>IF(C99&gt;0,"",IF(($J$81)&gt;1,vel(U99,EC99,BJ110),vel(U99,Z99,BJ110)))</f>
        <v/>
      </c>
      <c r="BE110" s="220" t="str">
        <f>IF(C99&gt;0,"",IF(($J$81)&gt;1,EZ99,pdrop(BG110,BA99,Z99,BD110,BH110)))</f>
        <v/>
      </c>
      <c r="BF110" s="219" t="str">
        <f>IF(C99&gt;0,"",(((BD110/60)*Z99)/$AA$12)*((VLOOKUP(BH110,'Pipe Data'!F$7:G$19,2,FALSE))/12))</f>
        <v/>
      </c>
      <c r="BG110" s="218" t="str">
        <f>IF(C99&gt;0,"",(0.25/(LOG(5.74/(BF110^0.9))+((VLOOKUP(BH110,'Pipe Data'!J$7:X$19,15,FALSE))/3.7))^2))</f>
        <v/>
      </c>
      <c r="BH110" s="216">
        <v>0.5</v>
      </c>
      <c r="BI110" s="25">
        <v>1</v>
      </c>
      <c r="BJ110" s="217">
        <v>1.0084730584179735E-3</v>
      </c>
      <c r="BK110" s="237">
        <v>0.5</v>
      </c>
      <c r="BL110" s="224"/>
      <c r="BM110" s="224"/>
      <c r="BN110" s="224"/>
      <c r="BO110" s="223"/>
      <c r="BP110" s="222"/>
      <c r="BQ110" s="221"/>
      <c r="BR110" s="221"/>
      <c r="BS110" s="219" t="str">
        <f>IF(C99&gt;0,"",IF($C$3&gt;0,vel(U99,S99,BZ110)/60,vel(U99,S99,BZ110)))</f>
        <v/>
      </c>
      <c r="BT110" s="220" t="str">
        <f>IF(C99&gt;0,"",IF($C$3&gt;0,2.31*pdrop(BW110,BR99,S99,60*BS110,BX110),pdrop(BW110,BR99,S99,BS110,BX110)))</f>
        <v/>
      </c>
      <c r="BU110" s="220"/>
      <c r="BV110" s="219" t="str">
        <f>IF(C99&gt;0,"",IF($C$3&gt;0,(((BS110)*S99)/32.2/T99)*((VLOOKUP(BX110,'Pipe Data'!F$7:G$19,2,FALSE))/12),(((BS110/60)*S99)/T99)*((VLOOKUP(BX110,'Pipe Data'!F$7:G$19,2,FALSE))/12)))</f>
        <v/>
      </c>
      <c r="BW110" s="218" t="str">
        <f>IF(C99&gt;0,"",IF($C$3&gt;0,IF(BV110&lt;2100,64/BV110,(0.25/(LOG(5.74/(BV110^0.9))+((VLOOKUP(BX110,'Pipe Data'!J$7:X$19,15,FALSE))/3.7))^2)),(0.25/(LOG(5.74/(BV110^0.9))+((VLOOKUP(BX110,'Pipe Data'!J$7:X$19,15,FALSE))/3.7))^2)))</f>
        <v/>
      </c>
      <c r="BX110" s="216">
        <v>0.5</v>
      </c>
      <c r="BY110" s="25" t="str">
        <f>IF(C99&gt;0,"",IF($C$3&gt;0,IF(BT110/BR99&lt;=$BY$81/100,0,1),IF(AND(BS110&lt;($BS$81),BT110&lt;($BT$81)),0,1)))</f>
        <v/>
      </c>
      <c r="BZ110" s="217">
        <v>1.0084730584179735E-3</v>
      </c>
      <c r="CA110" s="237">
        <v>0.5</v>
      </c>
      <c r="CC110" s="313"/>
      <c r="CD110" s="317"/>
      <c r="CE110" s="215"/>
      <c r="CF110" s="214"/>
      <c r="DJ110" s="1620"/>
      <c r="DK110" s="440"/>
      <c r="DL110" s="1619"/>
      <c r="DN110" s="1620"/>
      <c r="DR110" s="1231"/>
      <c r="DS110" s="213"/>
      <c r="DT110" s="213"/>
      <c r="DU110" s="213"/>
      <c r="DV110" s="213"/>
      <c r="DW110" s="213"/>
      <c r="DX110" s="213"/>
      <c r="DY110" s="213"/>
      <c r="DZ110" s="213"/>
      <c r="EA110" s="213"/>
      <c r="EB110" s="213"/>
      <c r="EC110" s="213"/>
      <c r="ED110" s="213"/>
      <c r="EE110" s="213"/>
      <c r="EF110" s="213"/>
      <c r="EG110" s="213"/>
      <c r="EH110" s="213"/>
      <c r="EI110" s="213"/>
      <c r="EJ110" s="213"/>
      <c r="EK110" s="213"/>
      <c r="EL110" s="213"/>
      <c r="EM110" s="213"/>
      <c r="EN110" s="213"/>
      <c r="EO110" s="213"/>
      <c r="EP110" s="213"/>
      <c r="EQ110" s="213"/>
      <c r="ER110" s="213"/>
      <c r="ES110" s="213"/>
      <c r="ET110" s="213"/>
      <c r="EU110" s="213"/>
      <c r="EV110" s="213"/>
      <c r="EW110" s="213"/>
      <c r="EX110" s="213"/>
      <c r="EY110" s="213"/>
      <c r="EZ110" s="213"/>
    </row>
    <row r="111" spans="1:163" ht="12.75" hidden="1" customHeight="1" x14ac:dyDescent="0.2">
      <c r="D111" s="236"/>
      <c r="E111" s="235"/>
      <c r="F111" s="234"/>
      <c r="G111" s="234"/>
      <c r="H111" s="221"/>
      <c r="I111" s="221"/>
      <c r="J111" s="221"/>
      <c r="K111" s="221"/>
      <c r="L111" s="221"/>
      <c r="M111" s="223"/>
      <c r="N111" s="223"/>
      <c r="O111" s="223"/>
      <c r="P111" s="223"/>
      <c r="Q111" s="224"/>
      <c r="R111" s="223"/>
      <c r="S111" s="223"/>
      <c r="T111" s="227"/>
      <c r="U111" s="224"/>
      <c r="V111" s="224"/>
      <c r="W111" s="222"/>
      <c r="X111" s="229"/>
      <c r="Y111" s="221"/>
      <c r="Z111" s="228"/>
      <c r="AA111" s="227"/>
      <c r="AB111" s="219" t="str">
        <f>IF(C99&gt;0,"",IF(($J$81)&gt;1,vel(U99,EC99,AH111),vel(U99,Z99,AH111)))</f>
        <v/>
      </c>
      <c r="AC111" s="220" t="str">
        <f>IF(C99&gt;0,"",pdrop(AE111,Y99,Z99,AB111,AF111))</f>
        <v/>
      </c>
      <c r="AD111" s="219" t="str">
        <f>IF(C99&gt;0,"",(((AB111/60)*Z99)/AA99)*(VLOOKUP(AF111,'Pipe Data'!F$7:G$19,2,FALSE))/12)</f>
        <v/>
      </c>
      <c r="AE111" s="218" t="str">
        <f>IF(C99&gt;0,"",(0.25/(LOG(5.74/(AD111^0.9))+((VLOOKUP(AF111,'Pipe Data'!J$7:X$19,15,FALSE))/3.7))^2))</f>
        <v/>
      </c>
      <c r="AF111" s="216">
        <v>0.375</v>
      </c>
      <c r="AH111" s="217">
        <v>5.4118842196605418E-4</v>
      </c>
      <c r="AI111" s="229"/>
      <c r="AJ111" s="221"/>
      <c r="AK111" s="221"/>
      <c r="AL111" s="223"/>
      <c r="AM111" s="230"/>
      <c r="AN111" s="228"/>
      <c r="AO111" s="232"/>
      <c r="AQ111" s="231"/>
      <c r="AR111" s="230"/>
      <c r="AS111" s="224"/>
      <c r="AT111" s="232"/>
      <c r="AV111" s="231"/>
      <c r="AW111" s="230"/>
      <c r="AX111" s="222"/>
      <c r="AY111" s="224"/>
      <c r="AZ111" s="229"/>
      <c r="BA111" s="221"/>
      <c r="BB111" s="228"/>
      <c r="BC111" s="227"/>
      <c r="BD111" s="221"/>
      <c r="BE111" s="221"/>
      <c r="BF111" s="221"/>
      <c r="BG111" s="221"/>
      <c r="BH111" s="221"/>
      <c r="BI111" s="221"/>
      <c r="BJ111" s="226"/>
      <c r="BK111" s="225"/>
      <c r="BL111" s="224"/>
      <c r="BM111" s="224"/>
      <c r="BN111" s="224"/>
      <c r="BO111" s="223"/>
      <c r="BP111" s="222"/>
      <c r="BQ111" s="221"/>
      <c r="BR111" s="221"/>
      <c r="BS111" s="219" t="str">
        <f>IF(C99&gt;0,"",IF($C$3&gt;0,vel(U99,S99,BZ111)/60,vel(U99,S99,BZ111)))</f>
        <v/>
      </c>
      <c r="BT111" s="220" t="str">
        <f>IF(C99&gt;0,"",IF($C$3&gt;0,2.31*pdrop(BW111,BR99,S99,60*BS111,BX111),pdrop(BW111,BR99,S99,BS111,BX111)))</f>
        <v/>
      </c>
      <c r="BU111" s="220"/>
      <c r="BV111" s="219" t="str">
        <f>IF(C99&gt;0,"",IF($C$3&gt;0,(((BS111)*S99)/32.2/T99)*((VLOOKUP(BX111,'Pipe Data'!F$7:G$19,2,FALSE))/12),(((BS111/60)*S99)/T99)*((VLOOKUP(BX111,'Pipe Data'!F$7:G$19,2,FALSE))/12)))</f>
        <v/>
      </c>
      <c r="BW111" s="218" t="str">
        <f>IF(C99&gt;0,"",IF($C$3&gt;0,IF(BV111&lt;2100,64/BV111,(0.25/(LOG(5.74/(BV111^0.9))+((VLOOKUP(BX111,'Pipe Data'!J$7:X$19,15,FALSE))/3.7))^2)),(0.25/(LOG(5.74/(BV111^0.9))+((VLOOKUP(BX111,'Pipe Data'!J$7:X$19,15,FALSE))/3.7))^2)))</f>
        <v/>
      </c>
      <c r="BX111" s="216">
        <v>0.375</v>
      </c>
      <c r="BY111" s="25" t="str">
        <f>IF(C99&gt;0,"",IF($C$3&gt;0,IF(BT111/BR99&lt;=$BY$81/100,0,1),IF(AND(BS111&lt;($BS$81),BT111&lt;($BT$81)),0,1)))</f>
        <v/>
      </c>
      <c r="BZ111" s="217">
        <v>5.4118842196605418E-4</v>
      </c>
      <c r="CA111" s="237">
        <v>0.375</v>
      </c>
      <c r="CC111" s="313"/>
      <c r="CD111" s="317"/>
      <c r="CE111" s="215"/>
      <c r="CF111" s="214"/>
      <c r="DJ111" s="1620"/>
      <c r="DK111" s="440"/>
      <c r="DL111" s="1619"/>
      <c r="DN111" s="1620"/>
      <c r="DR111" s="1231"/>
      <c r="DS111" s="213"/>
      <c r="DT111" s="213"/>
      <c r="DU111" s="213"/>
      <c r="DV111" s="213"/>
      <c r="DW111" s="213"/>
      <c r="DX111" s="213"/>
      <c r="DY111" s="213"/>
      <c r="DZ111" s="213"/>
      <c r="EA111" s="213"/>
      <c r="EB111" s="213"/>
      <c r="EC111" s="213"/>
      <c r="ED111" s="213"/>
      <c r="EE111" s="213"/>
      <c r="EF111" s="213"/>
      <c r="EG111" s="213"/>
      <c r="EH111" s="213"/>
      <c r="EI111" s="213"/>
      <c r="EJ111" s="213"/>
      <c r="EK111" s="213"/>
      <c r="EL111" s="213"/>
      <c r="EM111" s="213"/>
      <c r="EN111" s="213"/>
      <c r="EO111" s="213"/>
      <c r="EP111" s="213"/>
      <c r="EQ111" s="213"/>
      <c r="ER111" s="213"/>
      <c r="ES111" s="213"/>
      <c r="ET111" s="213"/>
      <c r="EU111" s="213"/>
      <c r="EV111" s="213"/>
      <c r="EW111" s="213"/>
      <c r="EX111" s="213"/>
      <c r="EY111" s="213"/>
      <c r="EZ111" s="213"/>
    </row>
    <row r="112" spans="1:163" ht="13.5" hidden="1" thickBot="1" x14ac:dyDescent="0.25">
      <c r="A112" s="25">
        <v>1</v>
      </c>
      <c r="D112" s="821"/>
      <c r="E112" s="822"/>
      <c r="F112" s="823"/>
      <c r="G112" s="823"/>
      <c r="H112" s="824"/>
      <c r="I112" s="825"/>
      <c r="J112" s="825"/>
      <c r="K112" s="825"/>
      <c r="L112" s="826"/>
      <c r="M112" s="824"/>
      <c r="N112" s="824"/>
      <c r="O112" s="824"/>
      <c r="P112" s="824"/>
      <c r="Q112" s="825"/>
      <c r="R112" s="824"/>
      <c r="S112" s="824"/>
      <c r="T112" s="827"/>
      <c r="U112" s="825"/>
      <c r="V112" s="825"/>
      <c r="W112" s="828"/>
      <c r="X112" s="829"/>
      <c r="Y112" s="826"/>
      <c r="Z112" s="830"/>
      <c r="AA112" s="827"/>
      <c r="AB112" s="831"/>
      <c r="AC112" s="824"/>
      <c r="AD112" s="831"/>
      <c r="AE112" s="830"/>
      <c r="AF112" s="832"/>
      <c r="AG112" s="832"/>
      <c r="AH112" s="833"/>
      <c r="AI112" s="834"/>
      <c r="AJ112" s="835"/>
      <c r="AK112" s="830"/>
      <c r="AL112" s="824"/>
      <c r="AM112" s="831"/>
      <c r="AN112" s="830"/>
      <c r="AO112" s="832"/>
      <c r="AP112" s="832"/>
      <c r="AQ112" s="836"/>
      <c r="AR112" s="831"/>
      <c r="AS112" s="825"/>
      <c r="AT112" s="832"/>
      <c r="AU112" s="832"/>
      <c r="AV112" s="836"/>
      <c r="AW112" s="831"/>
      <c r="AX112" s="828"/>
      <c r="AY112" s="825"/>
      <c r="AZ112" s="829"/>
      <c r="BA112" s="826"/>
      <c r="BB112" s="830"/>
      <c r="BC112" s="827"/>
      <c r="BD112" s="831"/>
      <c r="BE112" s="824"/>
      <c r="BF112" s="831"/>
      <c r="BG112" s="830"/>
      <c r="BH112" s="832"/>
      <c r="BI112" s="832"/>
      <c r="BJ112" s="833"/>
      <c r="BK112" s="837"/>
      <c r="BL112" s="825"/>
      <c r="BM112" s="825"/>
      <c r="BN112" s="825"/>
      <c r="BO112" s="824"/>
      <c r="BP112" s="828"/>
      <c r="BQ112" s="826"/>
      <c r="BR112" s="826"/>
      <c r="BS112" s="831"/>
      <c r="BT112" s="824"/>
      <c r="BU112" s="824"/>
      <c r="BV112" s="831"/>
      <c r="BW112" s="830"/>
      <c r="BX112" s="832"/>
      <c r="BY112" s="832"/>
      <c r="BZ112" s="833"/>
      <c r="CA112" s="838"/>
      <c r="CB112" s="839"/>
      <c r="CC112" s="840"/>
      <c r="CD112" s="841"/>
      <c r="CE112" s="842"/>
      <c r="CF112" s="843"/>
      <c r="DJ112" s="1620"/>
      <c r="DK112" s="440"/>
      <c r="DL112" s="1619"/>
      <c r="DN112" s="1620"/>
    </row>
    <row r="113" spans="1:131" hidden="1" x14ac:dyDescent="0.2">
      <c r="A113" s="25">
        <v>1</v>
      </c>
      <c r="DJ113" s="1620"/>
      <c r="DK113" s="440"/>
      <c r="DL113" s="1619"/>
      <c r="DN113" s="1620"/>
    </row>
    <row r="114" spans="1:131" hidden="1" x14ac:dyDescent="0.2">
      <c r="A114" s="25">
        <v>1</v>
      </c>
      <c r="CD114" s="213">
        <f>IF($C$3&gt;0,2*SUMIF(CD12:CD113,"&lt;&gt;#Value!"),SUMIF(CD12:CD113,"&lt;&gt;#Value!"))</f>
        <v>0</v>
      </c>
      <c r="DJ114" s="1620"/>
      <c r="DK114" s="440"/>
      <c r="DL114" s="1619"/>
      <c r="DN114" s="1620"/>
    </row>
    <row r="115" spans="1:131" x14ac:dyDescent="0.2">
      <c r="A115" s="25">
        <v>1</v>
      </c>
      <c r="DJ115" s="1620"/>
      <c r="DK115" s="440"/>
      <c r="DL115" s="1619"/>
      <c r="DN115" s="1620"/>
    </row>
    <row r="116" spans="1:131" x14ac:dyDescent="0.2">
      <c r="A116" s="25">
        <v>1</v>
      </c>
      <c r="C116" s="240">
        <v>-2</v>
      </c>
      <c r="CC116" s="284" t="s">
        <v>180</v>
      </c>
      <c r="CD116" s="310"/>
      <c r="CQ116" s="304" t="s">
        <v>156</v>
      </c>
      <c r="CR116" s="213">
        <f t="shared" ref="CR116:DC116" si="33">SUMIF(CR12:CR115,"&gt;0")</f>
        <v>0</v>
      </c>
      <c r="CS116" s="213">
        <f t="shared" si="33"/>
        <v>0</v>
      </c>
      <c r="CT116" s="213">
        <f t="shared" si="33"/>
        <v>0</v>
      </c>
      <c r="CU116" s="213">
        <f t="shared" si="33"/>
        <v>0</v>
      </c>
      <c r="CV116" s="213">
        <f t="shared" si="33"/>
        <v>0</v>
      </c>
      <c r="CW116" s="213">
        <f t="shared" si="33"/>
        <v>0</v>
      </c>
      <c r="CX116" s="213">
        <f t="shared" si="33"/>
        <v>0</v>
      </c>
      <c r="CY116" s="213">
        <f t="shared" si="33"/>
        <v>0</v>
      </c>
      <c r="CZ116" s="213">
        <f t="shared" si="33"/>
        <v>0</v>
      </c>
      <c r="DA116" s="213">
        <f t="shared" si="33"/>
        <v>0</v>
      </c>
      <c r="DB116" s="213">
        <f t="shared" si="33"/>
        <v>0</v>
      </c>
      <c r="DC116" s="213">
        <f t="shared" si="33"/>
        <v>0</v>
      </c>
      <c r="DJ116" s="1620"/>
      <c r="DK116" s="440"/>
      <c r="DL116" s="1619"/>
      <c r="DN116" s="1620"/>
    </row>
    <row r="117" spans="1:131" ht="7.5" hidden="1" customHeight="1" thickBot="1" x14ac:dyDescent="0.25">
      <c r="A117" s="25">
        <v>2</v>
      </c>
      <c r="BX117" s="25"/>
      <c r="BY117" s="213"/>
      <c r="DK117" s="440"/>
      <c r="DL117" s="440"/>
      <c r="DN117" s="1620"/>
    </row>
    <row r="118" spans="1:131" ht="54.75" hidden="1" customHeight="1" x14ac:dyDescent="0.25">
      <c r="A118" s="25">
        <v>1</v>
      </c>
      <c r="B118" s="327" t="str">
        <f>"Refrigerant: " &amp; CHAR(10) &amp; 'Legend(DX)'!$U$1</f>
        <v xml:space="preserve">Refrigerant: 
</v>
      </c>
      <c r="D118" s="791" t="s">
        <v>546</v>
      </c>
      <c r="E118" s="791" t="s">
        <v>545</v>
      </c>
      <c r="F118" s="791" t="s">
        <v>544</v>
      </c>
      <c r="G118" s="791" t="s">
        <v>543</v>
      </c>
      <c r="H118" s="791" t="s">
        <v>542</v>
      </c>
      <c r="I118" s="791" t="s">
        <v>798</v>
      </c>
      <c r="J118" s="286"/>
      <c r="K118" s="286"/>
      <c r="L118" s="286"/>
      <c r="V118" s="284"/>
      <c r="W118" s="284"/>
      <c r="Y118" s="791" t="s">
        <v>535</v>
      </c>
      <c r="Z118" s="793"/>
      <c r="AA118" s="793"/>
      <c r="AB118" s="791" t="s">
        <v>541</v>
      </c>
      <c r="AC118" s="791" t="s">
        <v>540</v>
      </c>
      <c r="AR118" s="791" t="s">
        <v>539</v>
      </c>
      <c r="AS118" s="791" t="s">
        <v>538</v>
      </c>
      <c r="AT118" s="286"/>
      <c r="AU118" s="286"/>
      <c r="AV118" s="286"/>
      <c r="BA118" s="791" t="s">
        <v>535</v>
      </c>
      <c r="BB118" s="793"/>
      <c r="BC118" s="793"/>
      <c r="BD118" s="791" t="s">
        <v>537</v>
      </c>
      <c r="BE118" s="791" t="s">
        <v>536</v>
      </c>
      <c r="BF118" s="286"/>
      <c r="BN118" s="285"/>
      <c r="BP118" s="285"/>
      <c r="BR118" s="791" t="s">
        <v>535</v>
      </c>
      <c r="BS118" s="791" t="s">
        <v>534</v>
      </c>
      <c r="BT118" s="791" t="s">
        <v>533</v>
      </c>
      <c r="BX118" s="25"/>
      <c r="DK118" s="440"/>
      <c r="DL118" s="440"/>
      <c r="DN118" s="1620"/>
      <c r="DR118" s="286" t="s">
        <v>799</v>
      </c>
      <c r="DS118" s="213"/>
      <c r="DT118" s="286" t="s">
        <v>800</v>
      </c>
      <c r="DU118" s="286"/>
      <c r="DV118" s="286" t="s">
        <v>801</v>
      </c>
      <c r="DW118" s="286" t="s">
        <v>802</v>
      </c>
      <c r="DX118" s="286" t="s">
        <v>803</v>
      </c>
      <c r="DY118" s="213"/>
      <c r="DZ118" s="213"/>
      <c r="EA118" s="213"/>
    </row>
    <row r="119" spans="1:131" ht="16.5" hidden="1" customHeight="1" thickBot="1" x14ac:dyDescent="0.25">
      <c r="A119" s="25">
        <v>1</v>
      </c>
      <c r="B119" s="328" t="str">
        <f>IF(($C$6)&gt;0,"Legend Error",VLOOKUP('Legend(DX)'!$U$1,Refrigerant,2,FALSE))</f>
        <v>Legend Error</v>
      </c>
      <c r="D119" s="792" t="s">
        <v>459</v>
      </c>
      <c r="E119" s="792" t="s">
        <v>460</v>
      </c>
      <c r="F119" s="792" t="s">
        <v>459</v>
      </c>
      <c r="G119" s="792" t="s">
        <v>459</v>
      </c>
      <c r="H119" s="792" t="s">
        <v>459</v>
      </c>
      <c r="I119" s="792" t="s">
        <v>460</v>
      </c>
      <c r="J119" s="277"/>
      <c r="K119" s="277"/>
      <c r="L119" s="277"/>
      <c r="V119" s="284"/>
      <c r="W119" s="284"/>
      <c r="Y119" s="794"/>
      <c r="Z119" s="793"/>
      <c r="AA119" s="793"/>
      <c r="AB119" s="794" t="s">
        <v>457</v>
      </c>
      <c r="AC119" s="794" t="s">
        <v>457</v>
      </c>
      <c r="AR119" s="794" t="s">
        <v>457</v>
      </c>
      <c r="AS119" s="794" t="s">
        <v>457</v>
      </c>
      <c r="AT119" s="283"/>
      <c r="AU119" s="283"/>
      <c r="AV119" s="283"/>
      <c r="BA119" s="794"/>
      <c r="BB119" s="793"/>
      <c r="BC119" s="793"/>
      <c r="BD119" s="794" t="s">
        <v>457</v>
      </c>
      <c r="BE119" s="794" t="s">
        <v>457</v>
      </c>
      <c r="BF119" s="283"/>
      <c r="BN119" s="282"/>
      <c r="BP119" s="282"/>
      <c r="BR119" s="794"/>
      <c r="BS119" s="794" t="s">
        <v>457</v>
      </c>
      <c r="BT119" s="794" t="s">
        <v>532</v>
      </c>
      <c r="BX119" s="25"/>
      <c r="DK119" s="440"/>
      <c r="DL119" s="440"/>
      <c r="DN119" s="1620"/>
      <c r="DR119" s="213"/>
      <c r="DS119" s="213"/>
      <c r="DT119" s="277"/>
      <c r="DU119" s="277"/>
      <c r="DV119" s="277"/>
      <c r="DW119" s="277"/>
      <c r="DX119" s="213"/>
      <c r="DY119" s="213"/>
      <c r="DZ119" s="213"/>
      <c r="EA119" s="213"/>
    </row>
    <row r="120" spans="1:131" ht="20.25" hidden="1" customHeight="1" thickBot="1" x14ac:dyDescent="0.25">
      <c r="A120" s="25">
        <v>1</v>
      </c>
      <c r="D120" s="281" t="str">
        <f>IF(($C$6)&gt;0,"",LegendSG1RSST)</f>
        <v/>
      </c>
      <c r="E120" s="280" t="str">
        <f>IF(($C$6)&gt;0,"",Pressure((B119),"TVAP","E",D120+0.5*DX120))</f>
        <v/>
      </c>
      <c r="F120" s="279" t="str">
        <f>IF(($C$6)&gt;0,"",-1*(MIN(LegendSG1EVT)-D120))</f>
        <v/>
      </c>
      <c r="G120" s="278" t="str">
        <f>IF(($C$6)&gt;0,"",IF(LegendSG1LT="",H120,LegendSG1LT))</f>
        <v/>
      </c>
      <c r="H120" s="278" t="str">
        <f>IF(($C$6)&gt;0,"",IF(LegendSG1CT="","",LegendSG1CT))</f>
        <v/>
      </c>
      <c r="I120" s="278" t="str">
        <f>IF(($C$6)&gt;0,"",(Pressure($B$3,"tliq","e",$H$4)+Pressure($B$3,"tvap","e",$H$4))/2)</f>
        <v/>
      </c>
      <c r="J120" s="277"/>
      <c r="K120" s="277"/>
      <c r="L120" s="277"/>
      <c r="Y120" s="273">
        <v>1.3</v>
      </c>
      <c r="AB120" s="272">
        <v>1200</v>
      </c>
      <c r="AC120" s="272">
        <v>2000</v>
      </c>
      <c r="AR120" s="272">
        <v>1200</v>
      </c>
      <c r="AS120" s="272">
        <v>2000</v>
      </c>
      <c r="AT120" s="276"/>
      <c r="AU120" s="276"/>
      <c r="AV120" s="276"/>
      <c r="BA120" s="273">
        <v>1.3</v>
      </c>
      <c r="BD120" s="272">
        <v>500</v>
      </c>
      <c r="BE120" s="272">
        <v>1500</v>
      </c>
      <c r="BF120" s="275"/>
      <c r="BN120" s="274"/>
      <c r="BP120" s="274"/>
      <c r="BR120" s="273">
        <v>1.3</v>
      </c>
      <c r="BS120" s="272">
        <v>120</v>
      </c>
      <c r="BT120" s="271" t="str">
        <f>IF(($C$6)&gt;0,"",(Pressure(($B$3),"TLIQ","E",($H$4)))-(Pressure(($B$3),"TLIQ","E",(($H$4)-1))))</f>
        <v/>
      </c>
      <c r="BX120" s="25"/>
      <c r="CH120" s="270" t="s">
        <v>531</v>
      </c>
      <c r="CI120" s="270" t="s">
        <v>530</v>
      </c>
      <c r="CJ120" s="270" t="s">
        <v>525</v>
      </c>
      <c r="CK120" s="270" t="s">
        <v>529</v>
      </c>
      <c r="CL120" s="270" t="s">
        <v>528</v>
      </c>
      <c r="CM120" s="270" t="s">
        <v>527</v>
      </c>
      <c r="CN120" s="270" t="s">
        <v>527</v>
      </c>
      <c r="DK120" s="440"/>
      <c r="DL120" s="440"/>
      <c r="DN120" s="1620"/>
      <c r="DR120" s="1231" t="str">
        <f>IF(($C$6)&gt;0,"",TEMPERATURE($B$3,"pvap","e",$I$4)-TEMPERATURE($B$3,"pliq","e",$I$4))</f>
        <v/>
      </c>
      <c r="DS120" s="213"/>
      <c r="DT120" s="1255" t="str">
        <f>IF(($C$6)&gt;0,"",(Pressure($B$3,"Tliq","e",$D$4)+Pressure($B$3,"Tvap","e",$D$4))/2)</f>
        <v/>
      </c>
      <c r="DU120" s="1255"/>
      <c r="DV120" s="1265" t="str">
        <f>IF(($C$6)&gt;0,"",1-(Enthalpy($B$3,"pvap","e",$DT$4)-(IF($G$4+0.5*$DR$4&gt;$H$4,Enthalpy($B$3,"Tliq","e",$G$4),Enthalpy($B$3,"tp","e",$G$4,$I$4))))/(Enthalpy($B$3,"pvap","e",$DT$4)-Enthalpy($B$3,"pliq","e",$DT$4)))</f>
        <v/>
      </c>
      <c r="DW120" s="1265" t="str">
        <f>IF(($C$6)&gt;0,"",TEMPERATURE($B$3,"pvap","e",$DT$4)-TEMPERATURE($B$3,"pliq","e",$DT$4))</f>
        <v/>
      </c>
      <c r="DX120" s="1266" t="e">
        <f>(1-$DV$4)*$DW$4</f>
        <v>#VALUE!</v>
      </c>
      <c r="DY120" s="213"/>
      <c r="DZ120" s="213"/>
      <c r="EA120" s="213"/>
    </row>
    <row r="121" spans="1:131" ht="13.5" hidden="1" customHeight="1" thickBot="1" x14ac:dyDescent="0.25">
      <c r="A121" s="25">
        <v>1</v>
      </c>
      <c r="B121" s="213"/>
      <c r="D121" s="213"/>
      <c r="E121" s="213"/>
      <c r="F121" s="213"/>
      <c r="G121" s="213"/>
      <c r="H121" s="213"/>
      <c r="BX121" s="25"/>
      <c r="BY121" s="213"/>
      <c r="CH121" s="270" t="s">
        <v>526</v>
      </c>
      <c r="CI121" s="270" t="s">
        <v>526</v>
      </c>
      <c r="CM121" s="270" t="s">
        <v>526</v>
      </c>
      <c r="CN121" s="270" t="s">
        <v>525</v>
      </c>
      <c r="CO121" s="270" t="s">
        <v>524</v>
      </c>
      <c r="CP121" s="270"/>
      <c r="DK121" s="440"/>
      <c r="DL121" s="440"/>
      <c r="DN121" s="1620"/>
      <c r="DR121" s="213"/>
      <c r="DS121" s="213"/>
      <c r="DT121" s="213"/>
      <c r="DU121" s="213"/>
      <c r="DV121" s="320" t="s">
        <v>804</v>
      </c>
      <c r="DW121" s="213"/>
      <c r="DX121" s="213"/>
      <c r="DY121" s="213"/>
      <c r="DZ121" s="213"/>
      <c r="EA121" s="213"/>
    </row>
    <row r="122" spans="1:131" ht="27" hidden="1" customHeight="1" thickBot="1" x14ac:dyDescent="0.25">
      <c r="A122" s="25">
        <v>1</v>
      </c>
      <c r="B122" s="213"/>
      <c r="D122" s="269" t="str">
        <f>"Suction Group " &amp;H122</f>
        <v>Suction Group 1</v>
      </c>
      <c r="E122" s="269"/>
      <c r="F122" s="269"/>
      <c r="G122" s="269"/>
      <c r="H122" s="268">
        <v>1</v>
      </c>
      <c r="I122" s="268"/>
      <c r="J122" s="268"/>
      <c r="K122" s="268"/>
      <c r="X122" s="1858" t="s">
        <v>523</v>
      </c>
      <c r="Y122" s="1859"/>
      <c r="Z122" s="1859"/>
      <c r="AA122" s="1859"/>
      <c r="AB122" s="1859"/>
      <c r="AC122" s="1859"/>
      <c r="AD122" s="1859"/>
      <c r="AE122" s="1859"/>
      <c r="AF122" s="1859"/>
      <c r="AG122" s="1859"/>
      <c r="AH122" s="1859"/>
      <c r="AI122" s="1858" t="s">
        <v>522</v>
      </c>
      <c r="AJ122" s="1859"/>
      <c r="AK122" s="1859"/>
      <c r="AL122" s="1859"/>
      <c r="AM122" s="1859"/>
      <c r="AN122" s="1859"/>
      <c r="AO122" s="1859"/>
      <c r="AP122" s="1859"/>
      <c r="AQ122" s="1859"/>
      <c r="AR122" s="1859"/>
      <c r="AS122" s="1859"/>
      <c r="AT122" s="1859"/>
      <c r="AU122" s="1859"/>
      <c r="AV122" s="1859"/>
      <c r="AW122" s="1859"/>
      <c r="AX122" s="1860"/>
      <c r="AY122" s="1416"/>
      <c r="AZ122" s="1858" t="s">
        <v>521</v>
      </c>
      <c r="BA122" s="1859"/>
      <c r="BB122" s="1859"/>
      <c r="BC122" s="1859"/>
      <c r="BD122" s="1859"/>
      <c r="BE122" s="1859"/>
      <c r="BF122" s="1859"/>
      <c r="BG122" s="1859"/>
      <c r="BH122" s="1859"/>
      <c r="BI122" s="1859"/>
      <c r="BJ122" s="1860"/>
      <c r="BK122" s="1855" t="s">
        <v>520</v>
      </c>
      <c r="BL122" s="1857"/>
      <c r="BM122" s="1857"/>
      <c r="BN122" s="1857"/>
      <c r="BO122" s="1857"/>
      <c r="BP122" s="1856"/>
      <c r="BQ122" s="1857" t="s">
        <v>519</v>
      </c>
      <c r="BR122" s="1857"/>
      <c r="BS122" s="1857"/>
      <c r="BT122" s="1857"/>
      <c r="BU122" s="1857"/>
      <c r="BV122" s="1857"/>
      <c r="BW122" s="1857"/>
      <c r="BX122" s="1857"/>
      <c r="BY122" s="1857"/>
      <c r="BZ122" s="1856"/>
      <c r="CA122" s="795"/>
      <c r="CB122" s="796"/>
      <c r="CC122" s="797"/>
      <c r="CD122" s="798"/>
      <c r="CE122" s="1855" t="s">
        <v>518</v>
      </c>
      <c r="CF122" s="1856"/>
      <c r="DK122" s="440"/>
      <c r="DL122" s="440"/>
      <c r="DN122" s="1620"/>
    </row>
    <row r="123" spans="1:131" s="213" customFormat="1" ht="63.75" hidden="1" customHeight="1" x14ac:dyDescent="0.2">
      <c r="A123" s="213">
        <v>1</v>
      </c>
      <c r="B123" s="267"/>
      <c r="D123" s="799" t="s">
        <v>411</v>
      </c>
      <c r="E123" s="800" t="s">
        <v>517</v>
      </c>
      <c r="F123" s="800" t="s">
        <v>516</v>
      </c>
      <c r="G123" s="800" t="s">
        <v>515</v>
      </c>
      <c r="H123" s="800" t="s">
        <v>514</v>
      </c>
      <c r="I123" s="800" t="s">
        <v>513</v>
      </c>
      <c r="J123" s="800" t="s">
        <v>512</v>
      </c>
      <c r="K123" s="800" t="s">
        <v>511</v>
      </c>
      <c r="L123" s="800" t="s">
        <v>510</v>
      </c>
      <c r="M123" s="800" t="s">
        <v>509</v>
      </c>
      <c r="N123" s="800" t="s">
        <v>811</v>
      </c>
      <c r="O123" s="800" t="s">
        <v>803</v>
      </c>
      <c r="P123" s="801" t="s">
        <v>812</v>
      </c>
      <c r="Q123" s="800" t="s">
        <v>549</v>
      </c>
      <c r="R123" s="800" t="s">
        <v>508</v>
      </c>
      <c r="S123" s="800" t="s">
        <v>507</v>
      </c>
      <c r="T123" s="800" t="s">
        <v>506</v>
      </c>
      <c r="U123" s="800" t="s">
        <v>356</v>
      </c>
      <c r="V123" s="800" t="s">
        <v>505</v>
      </c>
      <c r="W123" s="802" t="s">
        <v>504</v>
      </c>
      <c r="X123" s="803" t="s">
        <v>475</v>
      </c>
      <c r="Y123" s="804" t="s">
        <v>474</v>
      </c>
      <c r="Z123" s="805" t="s">
        <v>485</v>
      </c>
      <c r="AA123" s="805" t="s">
        <v>484</v>
      </c>
      <c r="AB123" s="805" t="s">
        <v>473</v>
      </c>
      <c r="AC123" s="805" t="s">
        <v>149</v>
      </c>
      <c r="AD123" s="805" t="s">
        <v>472</v>
      </c>
      <c r="AE123" s="805" t="s">
        <v>471</v>
      </c>
      <c r="AF123" s="805" t="s">
        <v>470</v>
      </c>
      <c r="AG123" s="805" t="s">
        <v>503</v>
      </c>
      <c r="AH123" s="805" t="s">
        <v>502</v>
      </c>
      <c r="AI123" s="803" t="s">
        <v>501</v>
      </c>
      <c r="AJ123" s="804" t="s">
        <v>500</v>
      </c>
      <c r="AK123" s="805" t="s">
        <v>499</v>
      </c>
      <c r="AL123" s="805" t="s">
        <v>498</v>
      </c>
      <c r="AM123" s="805" t="s">
        <v>497</v>
      </c>
      <c r="AN123" s="805" t="s">
        <v>496</v>
      </c>
      <c r="AO123" s="805" t="s">
        <v>495</v>
      </c>
      <c r="AP123" s="805" t="s">
        <v>494</v>
      </c>
      <c r="AQ123" s="805" t="s">
        <v>493</v>
      </c>
      <c r="AR123" s="805" t="s">
        <v>492</v>
      </c>
      <c r="AS123" s="805" t="s">
        <v>491</v>
      </c>
      <c r="AT123" s="805" t="s">
        <v>490</v>
      </c>
      <c r="AU123" s="805" t="s">
        <v>489</v>
      </c>
      <c r="AV123" s="805" t="s">
        <v>488</v>
      </c>
      <c r="AW123" s="805" t="s">
        <v>487</v>
      </c>
      <c r="AX123" s="806" t="s">
        <v>486</v>
      </c>
      <c r="AY123" s="805"/>
      <c r="AZ123" s="803" t="s">
        <v>475</v>
      </c>
      <c r="BA123" s="804" t="s">
        <v>474</v>
      </c>
      <c r="BB123" s="805" t="s">
        <v>485</v>
      </c>
      <c r="BC123" s="805" t="s">
        <v>484</v>
      </c>
      <c r="BD123" s="805" t="s">
        <v>473</v>
      </c>
      <c r="BE123" s="805" t="s">
        <v>149</v>
      </c>
      <c r="BF123" s="805" t="s">
        <v>472</v>
      </c>
      <c r="BG123" s="805" t="s">
        <v>471</v>
      </c>
      <c r="BH123" s="805" t="s">
        <v>470</v>
      </c>
      <c r="BI123" s="805" t="s">
        <v>483</v>
      </c>
      <c r="BJ123" s="806" t="s">
        <v>482</v>
      </c>
      <c r="BK123" s="807" t="s">
        <v>481</v>
      </c>
      <c r="BL123" s="804" t="s">
        <v>480</v>
      </c>
      <c r="BM123" s="804" t="s">
        <v>479</v>
      </c>
      <c r="BN123" s="805" t="s">
        <v>478</v>
      </c>
      <c r="BO123" s="805" t="s">
        <v>477</v>
      </c>
      <c r="BP123" s="806" t="s">
        <v>476</v>
      </c>
      <c r="BQ123" s="804" t="s">
        <v>475</v>
      </c>
      <c r="BR123" s="804" t="s">
        <v>474</v>
      </c>
      <c r="BS123" s="805" t="s">
        <v>473</v>
      </c>
      <c r="BT123" s="805" t="s">
        <v>149</v>
      </c>
      <c r="BU123" s="805" t="s">
        <v>479</v>
      </c>
      <c r="BV123" s="805" t="s">
        <v>472</v>
      </c>
      <c r="BW123" s="805" t="s">
        <v>471</v>
      </c>
      <c r="BX123" s="805" t="s">
        <v>470</v>
      </c>
      <c r="BY123" s="805" t="s">
        <v>469</v>
      </c>
      <c r="BZ123" s="806" t="s">
        <v>468</v>
      </c>
      <c r="CA123" s="808"/>
      <c r="CB123" s="809"/>
      <c r="CC123" s="810"/>
      <c r="CD123" s="811" t="s">
        <v>178</v>
      </c>
      <c r="CE123" s="1853" t="s">
        <v>467</v>
      </c>
      <c r="CF123" s="806" t="s">
        <v>466</v>
      </c>
      <c r="DH123" s="310"/>
      <c r="DI123" s="310"/>
      <c r="DJ123" s="310"/>
      <c r="DK123" s="440"/>
      <c r="DL123" s="440"/>
      <c r="DM123" s="310"/>
      <c r="DN123" s="1620"/>
      <c r="DO123" s="310"/>
      <c r="DP123" s="320"/>
    </row>
    <row r="124" spans="1:131" s="264" customFormat="1" ht="20.25" hidden="1" customHeight="1" thickBot="1" x14ac:dyDescent="0.25">
      <c r="A124" s="265">
        <v>1</v>
      </c>
      <c r="B124" s="266">
        <f>LegendSG1EVLT</f>
        <v>0</v>
      </c>
      <c r="C124" s="296" t="s">
        <v>151</v>
      </c>
      <c r="D124" s="428"/>
      <c r="E124" s="812"/>
      <c r="F124" s="812"/>
      <c r="G124" s="812"/>
      <c r="H124" s="813" t="s">
        <v>465</v>
      </c>
      <c r="I124" s="813" t="s">
        <v>459</v>
      </c>
      <c r="J124" s="813" t="s">
        <v>459</v>
      </c>
      <c r="K124" s="813" t="s">
        <v>459</v>
      </c>
      <c r="L124" s="813" t="s">
        <v>459</v>
      </c>
      <c r="M124" s="813" t="s">
        <v>460</v>
      </c>
      <c r="N124" s="813" t="s">
        <v>460</v>
      </c>
      <c r="O124" s="813" t="s">
        <v>459</v>
      </c>
      <c r="P124" s="814"/>
      <c r="Q124" s="813" t="s">
        <v>464</v>
      </c>
      <c r="R124" s="813" t="s">
        <v>464</v>
      </c>
      <c r="S124" s="813" t="s">
        <v>462</v>
      </c>
      <c r="T124" s="813" t="s">
        <v>461</v>
      </c>
      <c r="U124" s="813" t="s">
        <v>463</v>
      </c>
      <c r="V124" s="813"/>
      <c r="W124" s="815"/>
      <c r="X124" s="816" t="s">
        <v>458</v>
      </c>
      <c r="Y124" s="813" t="s">
        <v>458</v>
      </c>
      <c r="Z124" s="813" t="s">
        <v>462</v>
      </c>
      <c r="AA124" s="813" t="s">
        <v>461</v>
      </c>
      <c r="AB124" s="813" t="s">
        <v>457</v>
      </c>
      <c r="AC124" s="813" t="s">
        <v>456</v>
      </c>
      <c r="AD124" s="813"/>
      <c r="AE124" s="813"/>
      <c r="AF124" s="813" t="s">
        <v>455</v>
      </c>
      <c r="AG124" s="813" t="s">
        <v>455</v>
      </c>
      <c r="AH124" s="813" t="s">
        <v>454</v>
      </c>
      <c r="AI124" s="816"/>
      <c r="AJ124" s="813" t="s">
        <v>454</v>
      </c>
      <c r="AK124" s="813"/>
      <c r="AL124" s="813" t="s">
        <v>456</v>
      </c>
      <c r="AM124" s="813"/>
      <c r="AN124" s="813"/>
      <c r="AO124" s="813" t="s">
        <v>455</v>
      </c>
      <c r="AP124" s="813" t="s">
        <v>455</v>
      </c>
      <c r="AQ124" s="813" t="s">
        <v>454</v>
      </c>
      <c r="AR124" s="813" t="s">
        <v>457</v>
      </c>
      <c r="AS124" s="813" t="s">
        <v>463</v>
      </c>
      <c r="AT124" s="813" t="s">
        <v>455</v>
      </c>
      <c r="AU124" s="813" t="s">
        <v>455</v>
      </c>
      <c r="AV124" s="813" t="s">
        <v>454</v>
      </c>
      <c r="AW124" s="813" t="s">
        <v>457</v>
      </c>
      <c r="AX124" s="815" t="s">
        <v>463</v>
      </c>
      <c r="AY124" s="813"/>
      <c r="AZ124" s="816" t="s">
        <v>458</v>
      </c>
      <c r="BA124" s="813" t="s">
        <v>458</v>
      </c>
      <c r="BB124" s="813" t="s">
        <v>462</v>
      </c>
      <c r="BC124" s="813" t="s">
        <v>461</v>
      </c>
      <c r="BD124" s="813" t="s">
        <v>457</v>
      </c>
      <c r="BE124" s="813" t="s">
        <v>456</v>
      </c>
      <c r="BF124" s="813"/>
      <c r="BG124" s="813"/>
      <c r="BH124" s="813" t="s">
        <v>455</v>
      </c>
      <c r="BI124" s="813" t="s">
        <v>455</v>
      </c>
      <c r="BJ124" s="817" t="s">
        <v>454</v>
      </c>
      <c r="BK124" s="816" t="s">
        <v>456</v>
      </c>
      <c r="BL124" s="813" t="s">
        <v>456</v>
      </c>
      <c r="BM124" s="813" t="s">
        <v>456</v>
      </c>
      <c r="BN124" s="813" t="s">
        <v>459</v>
      </c>
      <c r="BO124" s="813" t="s">
        <v>460</v>
      </c>
      <c r="BP124" s="815" t="s">
        <v>459</v>
      </c>
      <c r="BQ124" s="813" t="s">
        <v>458</v>
      </c>
      <c r="BR124" s="813" t="s">
        <v>458</v>
      </c>
      <c r="BS124" s="813" t="s">
        <v>457</v>
      </c>
      <c r="BT124" s="813" t="s">
        <v>456</v>
      </c>
      <c r="BU124" s="813" t="s">
        <v>456</v>
      </c>
      <c r="BV124" s="813"/>
      <c r="BW124" s="813"/>
      <c r="BX124" s="813" t="s">
        <v>455</v>
      </c>
      <c r="BY124" s="813" t="s">
        <v>455</v>
      </c>
      <c r="BZ124" s="815" t="s">
        <v>454</v>
      </c>
      <c r="CA124" s="818"/>
      <c r="CB124" s="819"/>
      <c r="CC124" s="820"/>
      <c r="CD124" s="792" t="s">
        <v>179</v>
      </c>
      <c r="CE124" s="1854"/>
      <c r="CF124" s="815"/>
      <c r="DH124" s="311"/>
      <c r="DI124" s="311"/>
      <c r="DJ124" s="311"/>
      <c r="DK124" s="441"/>
      <c r="DL124" s="441"/>
      <c r="DM124" s="311"/>
      <c r="DN124" s="1621"/>
      <c r="DO124" s="311"/>
      <c r="DP124" s="321"/>
    </row>
    <row r="125" spans="1:131" ht="13.5" hidden="1" customHeight="1" thickTop="1" x14ac:dyDescent="0.2">
      <c r="A125" s="262" t="s">
        <v>374</v>
      </c>
      <c r="B125" s="262">
        <f>H122</f>
        <v>1</v>
      </c>
      <c r="C125" s="262">
        <f>$C$6</f>
        <v>1</v>
      </c>
      <c r="D125" s="297" t="s">
        <v>176</v>
      </c>
      <c r="E125" s="259" t="str">
        <f>"SG " &amp; H122</f>
        <v>SG 1</v>
      </c>
      <c r="F125" s="295"/>
      <c r="G125" s="263" t="s">
        <v>548</v>
      </c>
      <c r="H125" s="220"/>
      <c r="I125" s="258"/>
      <c r="J125" s="248" t="str">
        <f>IF(C125&gt;0,"",($D$4))</f>
        <v/>
      </c>
      <c r="K125" s="248" t="str">
        <f>IF(C125&gt;0,"",L125)</f>
        <v/>
      </c>
      <c r="L125" s="257" t="str">
        <f>IF(C125&gt;0,"",LegendSG1RGT)</f>
        <v/>
      </c>
      <c r="M125" s="220" t="str">
        <f>IF(C125&gt;0,"",Pressure(($B$3),"TVAP","E",J125))</f>
        <v/>
      </c>
      <c r="N125" s="220"/>
      <c r="O125" s="220"/>
      <c r="P125" s="220"/>
      <c r="Q125" s="248"/>
      <c r="R125" s="220"/>
      <c r="S125" s="220"/>
      <c r="T125" s="250"/>
      <c r="U125" s="248"/>
      <c r="V125" s="257"/>
      <c r="W125" s="247"/>
      <c r="X125" s="312"/>
      <c r="Y125" s="246"/>
      <c r="Z125" s="218"/>
      <c r="AA125" s="250"/>
      <c r="AB125" s="219"/>
      <c r="AC125" s="220"/>
      <c r="AD125" s="219"/>
      <c r="AE125" s="218"/>
      <c r="AF125" s="245"/>
      <c r="AG125" s="245"/>
      <c r="AH125" s="298"/>
      <c r="AI125" s="253"/>
      <c r="AJ125" s="252"/>
      <c r="AK125" s="218"/>
      <c r="AL125" s="220"/>
      <c r="AM125" s="219"/>
      <c r="AN125" s="218"/>
      <c r="AO125" s="245"/>
      <c r="AP125" s="245"/>
      <c r="AQ125" s="251"/>
      <c r="AR125" s="219"/>
      <c r="AS125" s="248"/>
      <c r="AT125" s="245"/>
      <c r="AU125" s="245"/>
      <c r="AV125" s="251"/>
      <c r="AW125" s="219"/>
      <c r="AX125" s="247"/>
      <c r="AY125" s="248"/>
      <c r="AZ125" s="438"/>
      <c r="BA125" s="246"/>
      <c r="BB125" s="218"/>
      <c r="BC125" s="250"/>
      <c r="BD125" s="219"/>
      <c r="BE125" s="220"/>
      <c r="BF125" s="219"/>
      <c r="BG125" s="218"/>
      <c r="BH125" s="245"/>
      <c r="BI125" s="245"/>
      <c r="BJ125" s="243"/>
      <c r="BK125" s="312"/>
      <c r="BL125" s="248"/>
      <c r="BM125" s="248"/>
      <c r="BN125" s="248"/>
      <c r="BO125" s="220"/>
      <c r="BP125" s="247"/>
      <c r="BQ125" s="287"/>
      <c r="BR125" s="246"/>
      <c r="BS125" s="219"/>
      <c r="BT125" s="220"/>
      <c r="BU125" s="220"/>
      <c r="BV125" s="219"/>
      <c r="BW125" s="218"/>
      <c r="BX125" s="245"/>
      <c r="BY125" s="245"/>
      <c r="BZ125" s="243"/>
      <c r="CA125" s="314"/>
      <c r="CC125" s="313">
        <v>0</v>
      </c>
      <c r="CD125" s="318"/>
      <c r="CE125" s="242"/>
      <c r="CF125" s="241"/>
      <c r="CH125" s="213">
        <f>IF(OR(AB125&lt;($AB$4),AB125&gt;($AC$4)),1,0)</f>
        <v>0</v>
      </c>
      <c r="CI125" s="213">
        <f>IF(OR(BD125&lt;($BD$4),BD125&gt;($BE$4)),1,0)</f>
        <v>0</v>
      </c>
      <c r="CJ125" s="213">
        <f>IF(BN125&lt;($F$4),1,0)</f>
        <v>0</v>
      </c>
      <c r="CK125" s="213">
        <f>IF(BO125&lt;($E$4),1,0)</f>
        <v>0</v>
      </c>
      <c r="CL125" s="213">
        <f>IF(BP125&lt;($D$4),1,0)</f>
        <v>0</v>
      </c>
      <c r="CM125" s="213">
        <f>IF(BS125&gt;($BS$4),1,0)</f>
        <v>0</v>
      </c>
      <c r="CN125" s="213">
        <f>IF(BU125&gt;($BT$4),1,0)</f>
        <v>0</v>
      </c>
      <c r="CO125" s="213">
        <f>SUM(CH125:CN125)</f>
        <v>0</v>
      </c>
      <c r="CQ125" s="304" t="s">
        <v>171</v>
      </c>
      <c r="CR125" s="213">
        <f t="shared" ref="CR125:DC125" si="34">IF($W125="Single",IF($AG125="",IF($AF125=CR$8,$X125,0),IF($AG125=CR$8,$X125,0)),0)</f>
        <v>0</v>
      </c>
      <c r="CS125" s="213">
        <f t="shared" si="34"/>
        <v>0</v>
      </c>
      <c r="CT125" s="213">
        <f t="shared" si="34"/>
        <v>0</v>
      </c>
      <c r="CU125" s="213">
        <f t="shared" si="34"/>
        <v>0</v>
      </c>
      <c r="CV125" s="213">
        <f t="shared" si="34"/>
        <v>0</v>
      </c>
      <c r="CW125" s="213">
        <f t="shared" si="34"/>
        <v>0</v>
      </c>
      <c r="CX125" s="213">
        <f t="shared" si="34"/>
        <v>0</v>
      </c>
      <c r="CY125" s="213">
        <f t="shared" si="34"/>
        <v>0</v>
      </c>
      <c r="CZ125" s="213">
        <f t="shared" si="34"/>
        <v>0</v>
      </c>
      <c r="DA125" s="213">
        <f t="shared" si="34"/>
        <v>0</v>
      </c>
      <c r="DB125" s="213">
        <f t="shared" si="34"/>
        <v>0</v>
      </c>
      <c r="DC125" s="213">
        <f t="shared" si="34"/>
        <v>0</v>
      </c>
      <c r="DE125" s="304" t="str">
        <f>IF(AG125="",IF(X125=0,TEXT(AF125,"# 0/0")&amp;"*",TEXT(AF125,"# 0/0")),IF(X125=0,TEXT(AG125,"# 0/0")&amp;"*",TEXT(AG125,"# 0/0")))</f>
        <v>0/1*</v>
      </c>
      <c r="DF125" s="25" t="str">
        <f>IF(AP125="",IF(X125=0,TEXT(AO125,"# 0/0")&amp;"*",TEXT(AO125,"# 0/0")),IF(X125=0,TEXT(AP125,"# 0/0")&amp;"*",TEXT(AP125,"# 0/0")))</f>
        <v>0/1*</v>
      </c>
      <c r="DG125" s="25" t="str">
        <f>IF(AU125="",IF(X125=0,TEXT(AT125,"# 0/0")&amp;"*",TEXT(AT125,"# 0/0")),IF(X125=0,TEXT(AU125,"# 0/0")&amp;"*",TEXT(AU125,"# 0/0")))</f>
        <v>0/1*</v>
      </c>
      <c r="DH125" s="329" t="str">
        <f>E125</f>
        <v>SG 1</v>
      </c>
      <c r="DI125" s="310">
        <f>IF($BI125="",$BH125,$BI125)</f>
        <v>0</v>
      </c>
      <c r="DK125" s="440" t="str">
        <f>IF(W125="Double",DF125 &amp; " &amp; " &amp; DG125,DE125)</f>
        <v>0/1*</v>
      </c>
      <c r="DL125" s="440"/>
      <c r="DM125" s="310">
        <f>IF($BY125="",$BX125,$BY125)</f>
        <v>0</v>
      </c>
      <c r="DN125" s="1620"/>
      <c r="DO125" s="310">
        <f>$BQ125</f>
        <v>0</v>
      </c>
      <c r="DR125" s="1231" t="str">
        <f>J125</f>
        <v/>
      </c>
      <c r="DS125" s="1231" t="str">
        <f>IF(C125&gt;0,"",(Pressure($B$3,"Tliq","e",$J125)+Pressure($B$3,"Tvap","e",$J125))/2)</f>
        <v/>
      </c>
      <c r="DT125" s="1231" t="str">
        <f>IF(C125&gt;0,"",Pressure($B$3,"tvap","e",$J125+0.5*$DZ125))</f>
        <v/>
      </c>
      <c r="DU125" s="1231">
        <f>I125</f>
        <v>0</v>
      </c>
      <c r="DV125" s="1231" t="str">
        <f>IF(C125&gt;0,"",(Pressure($B$3,"Tliq","e",$I125)+Pressure($B$3,"Tvap","e",$I125))/2)</f>
        <v/>
      </c>
      <c r="DW125" s="1231" t="str">
        <f>IF(C125&gt;0,"",Pressure($B$3,"tvap","e",$I125+0.5*$DZ125))</f>
        <v/>
      </c>
      <c r="DX125" s="444" t="str">
        <f>IF(C125&gt;0,"",1-(Enthalpy($B$3,"pvap","e",$DV125)-(IF($G$4+0.5*$DR$4&gt;$H$4,Enthalpy($B$3,"Tliq","e",$G$4),Enthalpy($B$3,"tp","e",$G$4,$I$4))))/(Enthalpy($B$3,"pvap","e",$DV125)-Enthalpy($B$3,"pliq","e",$DV125)))</f>
        <v/>
      </c>
      <c r="DY125" s="1231" t="str">
        <f>IF(C125&gt;0,"",TEMPERATURE($B$3,"pvap","e",$DS125)-TEMPERATURE($B$3,"pliq","e",$DS125))</f>
        <v/>
      </c>
      <c r="DZ125" s="1231" t="e">
        <f>(1-$DX125)*$DY125</f>
        <v>#VALUE!</v>
      </c>
      <c r="EA125" s="213"/>
    </row>
    <row r="126" spans="1:131" ht="12.75" hidden="1" customHeight="1" x14ac:dyDescent="0.2">
      <c r="A126" s="240"/>
      <c r="B126" s="240"/>
      <c r="C126" s="240"/>
      <c r="D126" s="236"/>
      <c r="E126" s="235"/>
      <c r="F126" s="234"/>
      <c r="G126" s="234"/>
      <c r="H126" s="223"/>
      <c r="I126" s="224"/>
      <c r="J126" s="224"/>
      <c r="K126" s="224"/>
      <c r="L126" s="221"/>
      <c r="M126" s="223"/>
      <c r="N126" s="223"/>
      <c r="O126" s="223"/>
      <c r="P126" s="223"/>
      <c r="Q126" s="224"/>
      <c r="R126" s="223"/>
      <c r="S126" s="223"/>
      <c r="T126" s="227"/>
      <c r="U126" s="224"/>
      <c r="V126" s="224"/>
      <c r="W126" s="222"/>
      <c r="X126" s="229"/>
      <c r="Y126" s="221"/>
      <c r="Z126" s="221"/>
      <c r="AA126" s="221"/>
      <c r="AB126" s="221"/>
      <c r="AC126" s="221"/>
      <c r="AD126" s="221"/>
      <c r="AE126" s="221"/>
      <c r="AF126" s="221"/>
      <c r="AG126" s="221"/>
      <c r="AH126" s="226"/>
      <c r="AI126" s="239"/>
      <c r="AJ126" s="238"/>
      <c r="AK126" s="228"/>
      <c r="AL126" s="223"/>
      <c r="AM126" s="230"/>
      <c r="AN126" s="228"/>
      <c r="AO126" s="232"/>
      <c r="AQ126" s="231"/>
      <c r="AR126" s="230"/>
      <c r="AS126" s="224"/>
      <c r="AT126" s="232"/>
      <c r="AV126" s="231"/>
      <c r="AW126" s="230"/>
      <c r="AX126" s="222"/>
      <c r="AY126" s="224"/>
      <c r="AZ126" s="229"/>
      <c r="BA126" s="221"/>
      <c r="BB126" s="228"/>
      <c r="BC126" s="227"/>
      <c r="BD126" s="227"/>
      <c r="BE126" s="227"/>
      <c r="BF126" s="227"/>
      <c r="BG126" s="227"/>
      <c r="BH126" s="227"/>
      <c r="BI126" s="227"/>
      <c r="BJ126" s="315"/>
      <c r="BK126" s="225"/>
      <c r="BL126" s="224"/>
      <c r="BM126" s="224"/>
      <c r="BN126" s="224"/>
      <c r="BO126" s="223"/>
      <c r="BP126" s="222"/>
      <c r="BQ126" s="229"/>
      <c r="BR126" s="221"/>
      <c r="BS126" s="221"/>
      <c r="BT126" s="221"/>
      <c r="BU126" s="221"/>
      <c r="BV126" s="221"/>
      <c r="BW126" s="221"/>
      <c r="BX126" s="221"/>
      <c r="BY126" s="221"/>
      <c r="BZ126" s="226"/>
      <c r="CA126" s="229"/>
      <c r="CC126" s="313"/>
      <c r="CD126" s="317"/>
      <c r="CE126" s="215"/>
      <c r="CF126" s="214"/>
      <c r="CQ126" s="304" t="s">
        <v>154</v>
      </c>
      <c r="CR126" s="213">
        <f t="shared" ref="CR126:DC126" si="35">IF($BI125="",IF($BH125=CR$8,$AZ125,0),IF($BI125=CR$8,$AZ125,0))</f>
        <v>0</v>
      </c>
      <c r="CS126" s="213">
        <f t="shared" si="35"/>
        <v>0</v>
      </c>
      <c r="CT126" s="213">
        <f t="shared" si="35"/>
        <v>0</v>
      </c>
      <c r="CU126" s="213">
        <f t="shared" si="35"/>
        <v>0</v>
      </c>
      <c r="CV126" s="213">
        <f t="shared" si="35"/>
        <v>0</v>
      </c>
      <c r="CW126" s="213">
        <f t="shared" si="35"/>
        <v>0</v>
      </c>
      <c r="CX126" s="213">
        <f t="shared" si="35"/>
        <v>0</v>
      </c>
      <c r="CY126" s="213">
        <f t="shared" si="35"/>
        <v>0</v>
      </c>
      <c r="CZ126" s="213">
        <f t="shared" si="35"/>
        <v>0</v>
      </c>
      <c r="DA126" s="213">
        <f t="shared" si="35"/>
        <v>0</v>
      </c>
      <c r="DB126" s="213">
        <f t="shared" si="35"/>
        <v>0</v>
      </c>
      <c r="DC126" s="213">
        <f t="shared" si="35"/>
        <v>0</v>
      </c>
      <c r="DK126" s="440"/>
      <c r="DL126" s="440"/>
      <c r="DN126" s="1620"/>
      <c r="DR126" s="1231"/>
      <c r="DS126" s="1231"/>
      <c r="DT126" s="1231"/>
      <c r="DU126" s="1231"/>
      <c r="DV126" s="1231"/>
      <c r="DW126" s="1231"/>
      <c r="DX126" s="444"/>
      <c r="DY126" s="1231"/>
      <c r="DZ126" s="1231"/>
      <c r="EA126" s="213"/>
    </row>
    <row r="127" spans="1:131" ht="12.75" hidden="1" customHeight="1" x14ac:dyDescent="0.2">
      <c r="A127" s="240"/>
      <c r="B127" s="240"/>
      <c r="C127" s="240"/>
      <c r="D127" s="236"/>
      <c r="E127" s="235"/>
      <c r="F127" s="234"/>
      <c r="G127" s="234"/>
      <c r="H127" s="223"/>
      <c r="I127" s="224"/>
      <c r="J127" s="224"/>
      <c r="K127" s="224"/>
      <c r="L127" s="221"/>
      <c r="M127" s="223"/>
      <c r="N127" s="223"/>
      <c r="O127" s="223"/>
      <c r="P127" s="223"/>
      <c r="Q127" s="224"/>
      <c r="R127" s="223"/>
      <c r="S127" s="223"/>
      <c r="T127" s="227"/>
      <c r="U127" s="224"/>
      <c r="V127" s="224"/>
      <c r="W127" s="222"/>
      <c r="X127" s="229"/>
      <c r="Y127" s="221"/>
      <c r="Z127" s="221"/>
      <c r="AA127" s="221"/>
      <c r="AB127" s="221"/>
      <c r="AC127" s="221"/>
      <c r="AD127" s="221"/>
      <c r="AE127" s="221"/>
      <c r="AF127" s="221"/>
      <c r="AG127" s="221"/>
      <c r="AH127" s="226"/>
      <c r="AI127" s="239"/>
      <c r="AJ127" s="238"/>
      <c r="AK127" s="228"/>
      <c r="AL127" s="223"/>
      <c r="AM127" s="230"/>
      <c r="AN127" s="228"/>
      <c r="AO127" s="232"/>
      <c r="AQ127" s="231"/>
      <c r="AR127" s="230"/>
      <c r="AS127" s="224"/>
      <c r="AT127" s="232"/>
      <c r="AV127" s="231"/>
      <c r="AW127" s="230"/>
      <c r="AX127" s="222"/>
      <c r="AY127" s="224"/>
      <c r="AZ127" s="229"/>
      <c r="BA127" s="221"/>
      <c r="BB127" s="228"/>
      <c r="BC127" s="227"/>
      <c r="BD127" s="227"/>
      <c r="BE127" s="227"/>
      <c r="BF127" s="227"/>
      <c r="BG127" s="227"/>
      <c r="BH127" s="227"/>
      <c r="BI127" s="227"/>
      <c r="BJ127" s="315"/>
      <c r="BK127" s="225"/>
      <c r="BL127" s="224"/>
      <c r="BM127" s="224"/>
      <c r="BN127" s="224"/>
      <c r="BO127" s="223"/>
      <c r="BP127" s="222"/>
      <c r="BQ127" s="229"/>
      <c r="BR127" s="221"/>
      <c r="BS127" s="221"/>
      <c r="BT127" s="221"/>
      <c r="BU127" s="221"/>
      <c r="BV127" s="221"/>
      <c r="BW127" s="221"/>
      <c r="BX127" s="221"/>
      <c r="BY127" s="221"/>
      <c r="BZ127" s="226"/>
      <c r="CA127" s="229"/>
      <c r="CC127" s="313"/>
      <c r="CD127" s="317"/>
      <c r="CE127" s="215"/>
      <c r="CF127" s="214"/>
      <c r="CQ127" s="304" t="s">
        <v>155</v>
      </c>
      <c r="CR127" s="213">
        <f t="shared" ref="CR127:DC127" si="36">IF($BY125="",IF($BX125=CR$8,$BQ125,0),IF($BY125=CR$8,$BQ125,0))</f>
        <v>0</v>
      </c>
      <c r="CS127" s="213">
        <f t="shared" si="36"/>
        <v>0</v>
      </c>
      <c r="CT127" s="213">
        <f t="shared" si="36"/>
        <v>0</v>
      </c>
      <c r="CU127" s="213">
        <f t="shared" si="36"/>
        <v>0</v>
      </c>
      <c r="CV127" s="213">
        <f t="shared" si="36"/>
        <v>0</v>
      </c>
      <c r="CW127" s="213">
        <f t="shared" si="36"/>
        <v>0</v>
      </c>
      <c r="CX127" s="213">
        <f t="shared" si="36"/>
        <v>0</v>
      </c>
      <c r="CY127" s="213">
        <f t="shared" si="36"/>
        <v>0</v>
      </c>
      <c r="CZ127" s="213">
        <f t="shared" si="36"/>
        <v>0</v>
      </c>
      <c r="DA127" s="213">
        <f t="shared" si="36"/>
        <v>0</v>
      </c>
      <c r="DB127" s="213">
        <f t="shared" si="36"/>
        <v>0</v>
      </c>
      <c r="DC127" s="213">
        <f t="shared" si="36"/>
        <v>0</v>
      </c>
      <c r="DK127" s="440"/>
      <c r="DL127" s="440"/>
      <c r="DN127" s="1620"/>
      <c r="DR127" s="1231"/>
      <c r="DS127" s="1231"/>
      <c r="DT127" s="1231"/>
      <c r="DU127" s="1231"/>
      <c r="DV127" s="1231"/>
      <c r="DW127" s="1231"/>
      <c r="DX127" s="444"/>
      <c r="DY127" s="1231"/>
      <c r="DZ127" s="1231"/>
      <c r="EA127" s="213"/>
    </row>
    <row r="128" spans="1:131" ht="12.75" hidden="1" customHeight="1" x14ac:dyDescent="0.2">
      <c r="A128" s="240"/>
      <c r="B128" s="240"/>
      <c r="C128" s="240"/>
      <c r="D128" s="236"/>
      <c r="E128" s="235"/>
      <c r="F128" s="234"/>
      <c r="G128" s="234"/>
      <c r="H128" s="223"/>
      <c r="I128" s="224"/>
      <c r="J128" s="224"/>
      <c r="K128" s="224"/>
      <c r="L128" s="221"/>
      <c r="M128" s="223"/>
      <c r="N128" s="223"/>
      <c r="O128" s="223"/>
      <c r="P128" s="223"/>
      <c r="Q128" s="224"/>
      <c r="R128" s="223"/>
      <c r="S128" s="223"/>
      <c r="T128" s="227"/>
      <c r="U128" s="224"/>
      <c r="V128" s="224"/>
      <c r="W128" s="222"/>
      <c r="X128" s="229"/>
      <c r="Y128" s="221"/>
      <c r="Z128" s="221"/>
      <c r="AA128" s="221"/>
      <c r="AB128" s="221"/>
      <c r="AC128" s="221"/>
      <c r="AD128" s="221"/>
      <c r="AE128" s="221"/>
      <c r="AF128" s="221"/>
      <c r="AG128" s="221"/>
      <c r="AH128" s="226"/>
      <c r="AI128" s="239"/>
      <c r="AJ128" s="238"/>
      <c r="AK128" s="228"/>
      <c r="AL128" s="223"/>
      <c r="AM128" s="230"/>
      <c r="AN128" s="228"/>
      <c r="AO128" s="232"/>
      <c r="AQ128" s="231"/>
      <c r="AR128" s="230"/>
      <c r="AS128" s="224"/>
      <c r="AT128" s="232"/>
      <c r="AV128" s="231"/>
      <c r="AW128" s="230"/>
      <c r="AX128" s="222"/>
      <c r="AY128" s="224"/>
      <c r="AZ128" s="229"/>
      <c r="BA128" s="221"/>
      <c r="BB128" s="228"/>
      <c r="BC128" s="227"/>
      <c r="BD128" s="227"/>
      <c r="BE128" s="227"/>
      <c r="BF128" s="227"/>
      <c r="BG128" s="227"/>
      <c r="BH128" s="227"/>
      <c r="BI128" s="227"/>
      <c r="BJ128" s="315"/>
      <c r="BK128" s="225"/>
      <c r="BL128" s="224"/>
      <c r="BM128" s="224"/>
      <c r="BN128" s="224"/>
      <c r="BO128" s="223"/>
      <c r="BP128" s="222"/>
      <c r="BQ128" s="229"/>
      <c r="BR128" s="221"/>
      <c r="BS128" s="221"/>
      <c r="BT128" s="221"/>
      <c r="BU128" s="221"/>
      <c r="BV128" s="221"/>
      <c r="BW128" s="221"/>
      <c r="BX128" s="221"/>
      <c r="BY128" s="221"/>
      <c r="BZ128" s="226"/>
      <c r="CA128" s="229"/>
      <c r="CC128" s="313"/>
      <c r="CD128" s="317"/>
      <c r="CE128" s="215"/>
      <c r="CF128" s="214"/>
      <c r="CQ128" s="25" t="s">
        <v>172</v>
      </c>
      <c r="CR128" s="213">
        <f t="shared" ref="CR128:DC128" si="37">IF($W125="double",IF($AP125="",IF($AO125=CR$8,$X125,0),IF($AP125=CR$8,$X125,0)),0)</f>
        <v>0</v>
      </c>
      <c r="CS128" s="213">
        <f t="shared" si="37"/>
        <v>0</v>
      </c>
      <c r="CT128" s="213">
        <f t="shared" si="37"/>
        <v>0</v>
      </c>
      <c r="CU128" s="213">
        <f t="shared" si="37"/>
        <v>0</v>
      </c>
      <c r="CV128" s="213">
        <f t="shared" si="37"/>
        <v>0</v>
      </c>
      <c r="CW128" s="213">
        <f t="shared" si="37"/>
        <v>0</v>
      </c>
      <c r="CX128" s="213">
        <f t="shared" si="37"/>
        <v>0</v>
      </c>
      <c r="CY128" s="213">
        <f t="shared" si="37"/>
        <v>0</v>
      </c>
      <c r="CZ128" s="213">
        <f t="shared" si="37"/>
        <v>0</v>
      </c>
      <c r="DA128" s="213">
        <f t="shared" si="37"/>
        <v>0</v>
      </c>
      <c r="DB128" s="213">
        <f t="shared" si="37"/>
        <v>0</v>
      </c>
      <c r="DC128" s="213">
        <f t="shared" si="37"/>
        <v>0</v>
      </c>
      <c r="DK128" s="440"/>
      <c r="DL128" s="440"/>
      <c r="DN128" s="1620"/>
      <c r="DR128" s="1231"/>
      <c r="DS128" s="1231"/>
      <c r="DT128" s="1231"/>
      <c r="DU128" s="1231"/>
      <c r="DV128" s="1231"/>
      <c r="DW128" s="1231"/>
      <c r="DX128" s="444"/>
      <c r="DY128" s="1231"/>
      <c r="DZ128" s="1231"/>
      <c r="EA128" s="213"/>
    </row>
    <row r="129" spans="1:131" ht="12.75" hidden="1" customHeight="1" x14ac:dyDescent="0.2">
      <c r="A129" s="240"/>
      <c r="B129" s="240"/>
      <c r="C129" s="240"/>
      <c r="D129" s="236"/>
      <c r="E129" s="235"/>
      <c r="F129" s="234"/>
      <c r="G129" s="234"/>
      <c r="H129" s="223"/>
      <c r="I129" s="224"/>
      <c r="J129" s="224"/>
      <c r="K129" s="224"/>
      <c r="L129" s="221"/>
      <c r="M129" s="223"/>
      <c r="N129" s="223"/>
      <c r="O129" s="223"/>
      <c r="P129" s="223"/>
      <c r="Q129" s="224"/>
      <c r="R129" s="223"/>
      <c r="S129" s="223"/>
      <c r="T129" s="227"/>
      <c r="U129" s="224"/>
      <c r="V129" s="224"/>
      <c r="W129" s="222"/>
      <c r="X129" s="229"/>
      <c r="Y129" s="221"/>
      <c r="Z129" s="221"/>
      <c r="AA129" s="221"/>
      <c r="AB129" s="221"/>
      <c r="AC129" s="221"/>
      <c r="AD129" s="221"/>
      <c r="AE129" s="221"/>
      <c r="AF129" s="221"/>
      <c r="AG129" s="221"/>
      <c r="AH129" s="226"/>
      <c r="AI129" s="239"/>
      <c r="AJ129" s="238"/>
      <c r="AK129" s="228"/>
      <c r="AL129" s="223"/>
      <c r="AM129" s="230"/>
      <c r="AN129" s="228"/>
      <c r="AO129" s="232"/>
      <c r="AQ129" s="231"/>
      <c r="AR129" s="230"/>
      <c r="AS129" s="224"/>
      <c r="AT129" s="232"/>
      <c r="AV129" s="231"/>
      <c r="AW129" s="230"/>
      <c r="AX129" s="222"/>
      <c r="AY129" s="224"/>
      <c r="AZ129" s="229"/>
      <c r="BA129" s="221"/>
      <c r="BB129" s="228"/>
      <c r="BC129" s="227"/>
      <c r="BD129" s="227"/>
      <c r="BE129" s="227"/>
      <c r="BF129" s="227"/>
      <c r="BG129" s="227"/>
      <c r="BH129" s="227"/>
      <c r="BI129" s="227"/>
      <c r="BJ129" s="315"/>
      <c r="BK129" s="225"/>
      <c r="BL129" s="224"/>
      <c r="BM129" s="224"/>
      <c r="BN129" s="224"/>
      <c r="BO129" s="223"/>
      <c r="BP129" s="222"/>
      <c r="BQ129" s="229"/>
      <c r="BR129" s="221"/>
      <c r="BS129" s="221"/>
      <c r="BT129" s="221"/>
      <c r="BU129" s="221"/>
      <c r="BV129" s="221"/>
      <c r="BW129" s="221"/>
      <c r="BX129" s="221"/>
      <c r="BY129" s="221"/>
      <c r="BZ129" s="226"/>
      <c r="CA129" s="229"/>
      <c r="CC129" s="313"/>
      <c r="CD129" s="317"/>
      <c r="CE129" s="215"/>
      <c r="CF129" s="214"/>
      <c r="CQ129" s="25" t="s">
        <v>173</v>
      </c>
      <c r="CR129" s="213">
        <f t="shared" ref="CR129:DC129" si="38">IF($W125="double",IF($AU125="",IF($AT125=CR$8,$X125,0),IF($AU125=CR$8,$X125,0)),0)</f>
        <v>0</v>
      </c>
      <c r="CS129" s="213">
        <f t="shared" si="38"/>
        <v>0</v>
      </c>
      <c r="CT129" s="213">
        <f t="shared" si="38"/>
        <v>0</v>
      </c>
      <c r="CU129" s="213">
        <f t="shared" si="38"/>
        <v>0</v>
      </c>
      <c r="CV129" s="213">
        <f t="shared" si="38"/>
        <v>0</v>
      </c>
      <c r="CW129" s="213">
        <f t="shared" si="38"/>
        <v>0</v>
      </c>
      <c r="CX129" s="213">
        <f t="shared" si="38"/>
        <v>0</v>
      </c>
      <c r="CY129" s="213">
        <f t="shared" si="38"/>
        <v>0</v>
      </c>
      <c r="CZ129" s="213">
        <f t="shared" si="38"/>
        <v>0</v>
      </c>
      <c r="DA129" s="213">
        <f t="shared" si="38"/>
        <v>0</v>
      </c>
      <c r="DB129" s="213">
        <f t="shared" si="38"/>
        <v>0</v>
      </c>
      <c r="DC129" s="213">
        <f t="shared" si="38"/>
        <v>0</v>
      </c>
      <c r="DK129" s="440"/>
      <c r="DL129" s="440"/>
      <c r="DN129" s="1620"/>
      <c r="DR129" s="1231"/>
      <c r="DS129" s="1231"/>
      <c r="DT129" s="1231"/>
      <c r="DU129" s="1231"/>
      <c r="DV129" s="1231"/>
      <c r="DW129" s="1231"/>
      <c r="DX129" s="444"/>
      <c r="DY129" s="1231"/>
      <c r="DZ129" s="1231"/>
      <c r="EA129" s="213"/>
    </row>
    <row r="130" spans="1:131" ht="12.75" hidden="1" customHeight="1" x14ac:dyDescent="0.2">
      <c r="A130" s="240"/>
      <c r="B130" s="240"/>
      <c r="C130" s="240"/>
      <c r="D130" s="236"/>
      <c r="E130" s="235"/>
      <c r="F130" s="234"/>
      <c r="G130" s="234"/>
      <c r="H130" s="223"/>
      <c r="I130" s="224"/>
      <c r="J130" s="224"/>
      <c r="K130" s="224"/>
      <c r="L130" s="221"/>
      <c r="M130" s="223"/>
      <c r="N130" s="223"/>
      <c r="O130" s="223"/>
      <c r="P130" s="223"/>
      <c r="Q130" s="224"/>
      <c r="R130" s="223"/>
      <c r="S130" s="223"/>
      <c r="T130" s="227"/>
      <c r="U130" s="224"/>
      <c r="V130" s="224"/>
      <c r="W130" s="222"/>
      <c r="X130" s="229"/>
      <c r="Y130" s="221"/>
      <c r="Z130" s="221"/>
      <c r="AA130" s="221"/>
      <c r="AB130" s="221"/>
      <c r="AC130" s="221"/>
      <c r="AD130" s="221"/>
      <c r="AE130" s="221"/>
      <c r="AF130" s="221"/>
      <c r="AG130" s="221"/>
      <c r="AH130" s="226"/>
      <c r="AI130" s="239"/>
      <c r="AJ130" s="238"/>
      <c r="AK130" s="228"/>
      <c r="AL130" s="223"/>
      <c r="AM130" s="230"/>
      <c r="AN130" s="228"/>
      <c r="AO130" s="232"/>
      <c r="AQ130" s="231"/>
      <c r="AR130" s="230"/>
      <c r="AS130" s="224"/>
      <c r="AT130" s="232"/>
      <c r="AV130" s="231"/>
      <c r="AW130" s="230"/>
      <c r="AX130" s="222"/>
      <c r="AY130" s="224"/>
      <c r="AZ130" s="229"/>
      <c r="BA130" s="221"/>
      <c r="BB130" s="228"/>
      <c r="BC130" s="227"/>
      <c r="BD130" s="227"/>
      <c r="BE130" s="227"/>
      <c r="BF130" s="227"/>
      <c r="BG130" s="227"/>
      <c r="BH130" s="227"/>
      <c r="BI130" s="227"/>
      <c r="BJ130" s="315"/>
      <c r="BK130" s="225"/>
      <c r="BL130" s="224"/>
      <c r="BM130" s="224"/>
      <c r="BN130" s="224"/>
      <c r="BO130" s="223"/>
      <c r="BP130" s="222"/>
      <c r="BQ130" s="229"/>
      <c r="BR130" s="221"/>
      <c r="BS130" s="221"/>
      <c r="BT130" s="221"/>
      <c r="BU130" s="221"/>
      <c r="BV130" s="221"/>
      <c r="BW130" s="221"/>
      <c r="BX130" s="221"/>
      <c r="BY130" s="221"/>
      <c r="BZ130" s="226"/>
      <c r="CA130" s="229"/>
      <c r="CC130" s="313"/>
      <c r="CD130" s="317"/>
      <c r="CE130" s="215"/>
      <c r="CF130" s="214"/>
      <c r="DK130" s="440"/>
      <c r="DL130" s="440"/>
      <c r="DN130" s="1620"/>
      <c r="DR130" s="1231"/>
      <c r="DS130" s="1231"/>
      <c r="DT130" s="1231"/>
      <c r="DU130" s="1231"/>
      <c r="DV130" s="1231"/>
      <c r="DW130" s="1231"/>
      <c r="DX130" s="444"/>
      <c r="DY130" s="1231"/>
      <c r="DZ130" s="1231"/>
      <c r="EA130" s="213"/>
    </row>
    <row r="131" spans="1:131" ht="12.75" hidden="1" customHeight="1" x14ac:dyDescent="0.2">
      <c r="A131" s="240"/>
      <c r="B131" s="240"/>
      <c r="C131" s="240"/>
      <c r="D131" s="236"/>
      <c r="E131" s="235"/>
      <c r="F131" s="234"/>
      <c r="G131" s="234"/>
      <c r="H131" s="223"/>
      <c r="I131" s="224"/>
      <c r="J131" s="224"/>
      <c r="K131" s="224"/>
      <c r="L131" s="221"/>
      <c r="M131" s="223"/>
      <c r="N131" s="223"/>
      <c r="O131" s="223"/>
      <c r="P131" s="223"/>
      <c r="Q131" s="224"/>
      <c r="R131" s="223"/>
      <c r="S131" s="223"/>
      <c r="T131" s="227"/>
      <c r="U131" s="224"/>
      <c r="V131" s="224"/>
      <c r="W131" s="222"/>
      <c r="X131" s="229"/>
      <c r="Y131" s="221"/>
      <c r="Z131" s="221"/>
      <c r="AA131" s="221"/>
      <c r="AB131" s="221"/>
      <c r="AC131" s="221"/>
      <c r="AD131" s="221"/>
      <c r="AE131" s="221"/>
      <c r="AF131" s="221"/>
      <c r="AG131" s="221"/>
      <c r="AH131" s="226"/>
      <c r="AI131" s="239"/>
      <c r="AJ131" s="238"/>
      <c r="AK131" s="228"/>
      <c r="AL131" s="223"/>
      <c r="AM131" s="230"/>
      <c r="AN131" s="228"/>
      <c r="AO131" s="232"/>
      <c r="AQ131" s="231"/>
      <c r="AR131" s="230"/>
      <c r="AS131" s="224"/>
      <c r="AT131" s="232"/>
      <c r="AV131" s="231"/>
      <c r="AW131" s="230"/>
      <c r="AX131" s="222"/>
      <c r="AY131" s="224"/>
      <c r="AZ131" s="229"/>
      <c r="BA131" s="221"/>
      <c r="BB131" s="228"/>
      <c r="BC131" s="227"/>
      <c r="BD131" s="227"/>
      <c r="BE131" s="227"/>
      <c r="BF131" s="227"/>
      <c r="BG131" s="227"/>
      <c r="BH131" s="227"/>
      <c r="BI131" s="227"/>
      <c r="BJ131" s="315"/>
      <c r="BK131" s="225"/>
      <c r="BL131" s="224"/>
      <c r="BM131" s="224"/>
      <c r="BN131" s="224"/>
      <c r="BO131" s="223"/>
      <c r="BP131" s="222"/>
      <c r="BQ131" s="229"/>
      <c r="BR131" s="221"/>
      <c r="BS131" s="221"/>
      <c r="BT131" s="221"/>
      <c r="BU131" s="221"/>
      <c r="BV131" s="221"/>
      <c r="BW131" s="221"/>
      <c r="BX131" s="221"/>
      <c r="BY131" s="221"/>
      <c r="BZ131" s="226"/>
      <c r="CA131" s="229"/>
      <c r="CC131" s="313"/>
      <c r="CD131" s="317"/>
      <c r="CE131" s="215"/>
      <c r="CF131" s="214"/>
      <c r="DK131" s="440"/>
      <c r="DL131" s="440"/>
      <c r="DN131" s="1620"/>
      <c r="DR131" s="1231"/>
      <c r="DS131" s="1231"/>
      <c r="DT131" s="1231"/>
      <c r="DU131" s="1231"/>
      <c r="DV131" s="1231"/>
      <c r="DW131" s="1231"/>
      <c r="DX131" s="444"/>
      <c r="DY131" s="1231"/>
      <c r="DZ131" s="1231"/>
      <c r="EA131" s="213"/>
    </row>
    <row r="132" spans="1:131" ht="12.75" hidden="1" customHeight="1" x14ac:dyDescent="0.2">
      <c r="A132" s="240"/>
      <c r="B132" s="240"/>
      <c r="C132" s="240"/>
      <c r="D132" s="236"/>
      <c r="E132" s="235"/>
      <c r="F132" s="234"/>
      <c r="G132" s="234"/>
      <c r="H132" s="223"/>
      <c r="I132" s="224"/>
      <c r="J132" s="224"/>
      <c r="K132" s="224"/>
      <c r="L132" s="221"/>
      <c r="M132" s="223"/>
      <c r="N132" s="223"/>
      <c r="O132" s="223"/>
      <c r="P132" s="223"/>
      <c r="Q132" s="224"/>
      <c r="R132" s="223"/>
      <c r="S132" s="223"/>
      <c r="T132" s="227"/>
      <c r="U132" s="224"/>
      <c r="V132" s="224"/>
      <c r="W132" s="222"/>
      <c r="X132" s="229"/>
      <c r="Y132" s="221"/>
      <c r="Z132" s="221"/>
      <c r="AA132" s="221"/>
      <c r="AB132" s="221"/>
      <c r="AC132" s="221"/>
      <c r="AD132" s="221"/>
      <c r="AE132" s="221"/>
      <c r="AF132" s="221"/>
      <c r="AG132" s="221"/>
      <c r="AH132" s="226"/>
      <c r="AI132" s="239"/>
      <c r="AJ132" s="238"/>
      <c r="AK132" s="228"/>
      <c r="AL132" s="223"/>
      <c r="AM132" s="230"/>
      <c r="AN132" s="228"/>
      <c r="AO132" s="232"/>
      <c r="AQ132" s="231"/>
      <c r="AR132" s="230"/>
      <c r="AS132" s="224"/>
      <c r="AT132" s="232"/>
      <c r="AV132" s="231"/>
      <c r="AW132" s="230"/>
      <c r="AX132" s="222"/>
      <c r="AY132" s="224"/>
      <c r="AZ132" s="229"/>
      <c r="BA132" s="221"/>
      <c r="BB132" s="228"/>
      <c r="BC132" s="227"/>
      <c r="BD132" s="227"/>
      <c r="BE132" s="227"/>
      <c r="BF132" s="227"/>
      <c r="BG132" s="227"/>
      <c r="BH132" s="227"/>
      <c r="BI132" s="227"/>
      <c r="BJ132" s="315"/>
      <c r="BK132" s="225"/>
      <c r="BL132" s="224"/>
      <c r="BM132" s="224"/>
      <c r="BN132" s="224"/>
      <c r="BO132" s="223"/>
      <c r="BP132" s="222"/>
      <c r="BQ132" s="229"/>
      <c r="BR132" s="221"/>
      <c r="BS132" s="221"/>
      <c r="BT132" s="221"/>
      <c r="BU132" s="221"/>
      <c r="BV132" s="221"/>
      <c r="BW132" s="221"/>
      <c r="BX132" s="221"/>
      <c r="BY132" s="221"/>
      <c r="BZ132" s="226"/>
      <c r="CA132" s="229"/>
      <c r="CC132" s="313"/>
      <c r="CD132" s="317"/>
      <c r="CE132" s="215"/>
      <c r="CF132" s="214"/>
      <c r="DK132" s="440"/>
      <c r="DL132" s="440"/>
      <c r="DN132" s="1620"/>
      <c r="DR132" s="1231"/>
      <c r="DS132" s="1231"/>
      <c r="DT132" s="1231"/>
      <c r="DU132" s="1231"/>
      <c r="DV132" s="1231"/>
      <c r="DW132" s="1231"/>
      <c r="DX132" s="444"/>
      <c r="DY132" s="1231"/>
      <c r="DZ132" s="1231"/>
      <c r="EA132" s="213"/>
    </row>
    <row r="133" spans="1:131" ht="12.75" hidden="1" customHeight="1" x14ac:dyDescent="0.2">
      <c r="A133" s="240"/>
      <c r="B133" s="240"/>
      <c r="C133" s="240"/>
      <c r="D133" s="236"/>
      <c r="E133" s="235"/>
      <c r="F133" s="234"/>
      <c r="G133" s="234"/>
      <c r="H133" s="223"/>
      <c r="I133" s="224"/>
      <c r="J133" s="224"/>
      <c r="K133" s="224"/>
      <c r="L133" s="221"/>
      <c r="M133" s="223"/>
      <c r="N133" s="223"/>
      <c r="O133" s="223"/>
      <c r="P133" s="223"/>
      <c r="Q133" s="224"/>
      <c r="R133" s="223"/>
      <c r="S133" s="223"/>
      <c r="T133" s="227"/>
      <c r="U133" s="224"/>
      <c r="V133" s="224"/>
      <c r="W133" s="222"/>
      <c r="X133" s="229"/>
      <c r="Y133" s="221"/>
      <c r="Z133" s="221"/>
      <c r="AA133" s="221"/>
      <c r="AB133" s="221"/>
      <c r="AC133" s="221"/>
      <c r="AD133" s="221"/>
      <c r="AE133" s="221"/>
      <c r="AF133" s="221"/>
      <c r="AG133" s="221"/>
      <c r="AH133" s="226"/>
      <c r="AI133" s="239"/>
      <c r="AJ133" s="238"/>
      <c r="AK133" s="228"/>
      <c r="AL133" s="223"/>
      <c r="AM133" s="230"/>
      <c r="AN133" s="228"/>
      <c r="AO133" s="232"/>
      <c r="AQ133" s="231"/>
      <c r="AR133" s="230"/>
      <c r="AS133" s="224"/>
      <c r="AT133" s="232"/>
      <c r="AV133" s="231"/>
      <c r="AW133" s="230"/>
      <c r="AX133" s="222"/>
      <c r="AY133" s="224"/>
      <c r="AZ133" s="229"/>
      <c r="BA133" s="221"/>
      <c r="BB133" s="228"/>
      <c r="BC133" s="227"/>
      <c r="BD133" s="227"/>
      <c r="BE133" s="227"/>
      <c r="BF133" s="227"/>
      <c r="BG133" s="227"/>
      <c r="BH133" s="227"/>
      <c r="BI133" s="227"/>
      <c r="BJ133" s="315"/>
      <c r="BK133" s="225"/>
      <c r="BL133" s="224"/>
      <c r="BM133" s="224"/>
      <c r="BN133" s="224"/>
      <c r="BO133" s="223"/>
      <c r="BP133" s="222"/>
      <c r="BQ133" s="229"/>
      <c r="BR133" s="221"/>
      <c r="BS133" s="221"/>
      <c r="BT133" s="221"/>
      <c r="BU133" s="221"/>
      <c r="BV133" s="221"/>
      <c r="BW133" s="221"/>
      <c r="BX133" s="221"/>
      <c r="BY133" s="221"/>
      <c r="BZ133" s="226"/>
      <c r="CA133" s="229"/>
      <c r="CC133" s="313"/>
      <c r="CD133" s="317"/>
      <c r="CE133" s="215"/>
      <c r="CF133" s="214"/>
      <c r="DK133" s="440"/>
      <c r="DL133" s="440"/>
      <c r="DN133" s="1620"/>
      <c r="DR133" s="1231"/>
      <c r="DS133" s="1231"/>
      <c r="DT133" s="1231"/>
      <c r="DU133" s="1231"/>
      <c r="DV133" s="1231"/>
      <c r="DW133" s="1231"/>
      <c r="DX133" s="444"/>
      <c r="DY133" s="1231"/>
      <c r="DZ133" s="1231"/>
      <c r="EA133" s="213"/>
    </row>
    <row r="134" spans="1:131" ht="12.75" hidden="1" customHeight="1" x14ac:dyDescent="0.2">
      <c r="A134" s="240"/>
      <c r="B134" s="240"/>
      <c r="C134" s="240"/>
      <c r="D134" s="236"/>
      <c r="E134" s="235"/>
      <c r="F134" s="234"/>
      <c r="G134" s="234"/>
      <c r="H134" s="223"/>
      <c r="I134" s="224"/>
      <c r="J134" s="224"/>
      <c r="K134" s="224"/>
      <c r="L134" s="221"/>
      <c r="M134" s="223"/>
      <c r="N134" s="223"/>
      <c r="O134" s="223"/>
      <c r="P134" s="223"/>
      <c r="Q134" s="224"/>
      <c r="R134" s="223"/>
      <c r="S134" s="223"/>
      <c r="T134" s="227"/>
      <c r="U134" s="224"/>
      <c r="V134" s="224"/>
      <c r="W134" s="222"/>
      <c r="X134" s="229"/>
      <c r="Y134" s="221"/>
      <c r="Z134" s="221"/>
      <c r="AA134" s="221"/>
      <c r="AB134" s="221"/>
      <c r="AC134" s="221"/>
      <c r="AD134" s="221"/>
      <c r="AE134" s="221"/>
      <c r="AF134" s="221"/>
      <c r="AG134" s="221"/>
      <c r="AH134" s="226"/>
      <c r="AI134" s="239"/>
      <c r="AJ134" s="238"/>
      <c r="AK134" s="228"/>
      <c r="AL134" s="223"/>
      <c r="AM134" s="230"/>
      <c r="AN134" s="228"/>
      <c r="AO134" s="232"/>
      <c r="AQ134" s="231"/>
      <c r="AR134" s="230"/>
      <c r="AS134" s="224"/>
      <c r="AT134" s="232"/>
      <c r="AV134" s="231"/>
      <c r="AW134" s="230"/>
      <c r="AX134" s="222"/>
      <c r="AY134" s="224"/>
      <c r="AZ134" s="229"/>
      <c r="BA134" s="221"/>
      <c r="BB134" s="228"/>
      <c r="BC134" s="227"/>
      <c r="BD134" s="227"/>
      <c r="BE134" s="227"/>
      <c r="BF134" s="227"/>
      <c r="BG134" s="227"/>
      <c r="BH134" s="227"/>
      <c r="BI134" s="227"/>
      <c r="BJ134" s="315"/>
      <c r="BK134" s="225"/>
      <c r="BL134" s="224"/>
      <c r="BM134" s="224"/>
      <c r="BN134" s="224"/>
      <c r="BO134" s="223"/>
      <c r="BP134" s="222"/>
      <c r="BQ134" s="229"/>
      <c r="BR134" s="221"/>
      <c r="BS134" s="221"/>
      <c r="BT134" s="221"/>
      <c r="BU134" s="221"/>
      <c r="BV134" s="221"/>
      <c r="BW134" s="221"/>
      <c r="BX134" s="221"/>
      <c r="BY134" s="221"/>
      <c r="BZ134" s="226"/>
      <c r="CA134" s="229"/>
      <c r="CC134" s="313"/>
      <c r="CD134" s="317"/>
      <c r="CE134" s="215"/>
      <c r="CF134" s="214"/>
      <c r="DK134" s="440"/>
      <c r="DL134" s="440"/>
      <c r="DN134" s="1620"/>
      <c r="DR134" s="1231"/>
      <c r="DS134" s="1231"/>
      <c r="DT134" s="1231"/>
      <c r="DU134" s="1231"/>
      <c r="DV134" s="1231"/>
      <c r="DW134" s="1231"/>
      <c r="DX134" s="444"/>
      <c r="DY134" s="1231"/>
      <c r="DZ134" s="1231"/>
      <c r="EA134" s="213"/>
    </row>
    <row r="135" spans="1:131" ht="12.75" hidden="1" customHeight="1" x14ac:dyDescent="0.2">
      <c r="A135" s="240"/>
      <c r="B135" s="240"/>
      <c r="C135" s="240"/>
      <c r="D135" s="236"/>
      <c r="E135" s="235"/>
      <c r="F135" s="234"/>
      <c r="G135" s="234"/>
      <c r="H135" s="223"/>
      <c r="I135" s="224"/>
      <c r="J135" s="224"/>
      <c r="K135" s="224"/>
      <c r="L135" s="221"/>
      <c r="M135" s="223"/>
      <c r="N135" s="223"/>
      <c r="O135" s="223"/>
      <c r="P135" s="223"/>
      <c r="Q135" s="224"/>
      <c r="R135" s="223"/>
      <c r="S135" s="223"/>
      <c r="T135" s="227"/>
      <c r="U135" s="224"/>
      <c r="V135" s="224"/>
      <c r="W135" s="222"/>
      <c r="X135" s="229"/>
      <c r="Y135" s="221"/>
      <c r="Z135" s="221"/>
      <c r="AA135" s="221"/>
      <c r="AB135" s="221"/>
      <c r="AC135" s="221"/>
      <c r="AD135" s="221"/>
      <c r="AE135" s="221"/>
      <c r="AF135" s="221"/>
      <c r="AG135" s="221"/>
      <c r="AH135" s="226"/>
      <c r="AI135" s="239"/>
      <c r="AJ135" s="238"/>
      <c r="AK135" s="228"/>
      <c r="AL135" s="223"/>
      <c r="AM135" s="230"/>
      <c r="AN135" s="228"/>
      <c r="AO135" s="232"/>
      <c r="AQ135" s="231"/>
      <c r="AR135" s="230"/>
      <c r="AS135" s="224"/>
      <c r="AT135" s="232"/>
      <c r="AV135" s="231"/>
      <c r="AW135" s="230"/>
      <c r="AX135" s="222"/>
      <c r="AY135" s="224"/>
      <c r="AZ135" s="229"/>
      <c r="BA135" s="221"/>
      <c r="BB135" s="228"/>
      <c r="BC135" s="227"/>
      <c r="BD135" s="227"/>
      <c r="BE135" s="227"/>
      <c r="BF135" s="227"/>
      <c r="BG135" s="227"/>
      <c r="BH135" s="227"/>
      <c r="BI135" s="227"/>
      <c r="BJ135" s="315"/>
      <c r="BK135" s="225"/>
      <c r="BL135" s="224"/>
      <c r="BM135" s="224"/>
      <c r="BN135" s="224"/>
      <c r="BO135" s="223"/>
      <c r="BP135" s="222"/>
      <c r="BQ135" s="229"/>
      <c r="BR135" s="221"/>
      <c r="BS135" s="221"/>
      <c r="BT135" s="221"/>
      <c r="BU135" s="221"/>
      <c r="BV135" s="221"/>
      <c r="BW135" s="221"/>
      <c r="BX135" s="221"/>
      <c r="BY135" s="221"/>
      <c r="BZ135" s="226"/>
      <c r="CA135" s="229"/>
      <c r="CC135" s="313"/>
      <c r="CD135" s="317"/>
      <c r="CE135" s="215"/>
      <c r="CF135" s="214"/>
      <c r="DK135" s="440"/>
      <c r="DL135" s="440"/>
      <c r="DN135" s="1620"/>
      <c r="DR135" s="1231"/>
      <c r="DS135" s="1231"/>
      <c r="DT135" s="1231"/>
      <c r="DU135" s="1231"/>
      <c r="DV135" s="1231"/>
      <c r="DW135" s="1231"/>
      <c r="DX135" s="444"/>
      <c r="DY135" s="1231"/>
      <c r="DZ135" s="1231"/>
      <c r="EA135" s="213"/>
    </row>
    <row r="136" spans="1:131" ht="12.75" hidden="1" customHeight="1" x14ac:dyDescent="0.2">
      <c r="A136" s="240"/>
      <c r="B136" s="240"/>
      <c r="C136" s="240"/>
      <c r="D136" s="236"/>
      <c r="E136" s="235"/>
      <c r="F136" s="234"/>
      <c r="G136" s="234"/>
      <c r="H136" s="223"/>
      <c r="I136" s="224"/>
      <c r="J136" s="224"/>
      <c r="K136" s="224"/>
      <c r="L136" s="221"/>
      <c r="M136" s="223"/>
      <c r="N136" s="223"/>
      <c r="O136" s="223"/>
      <c r="P136" s="223"/>
      <c r="Q136" s="224"/>
      <c r="R136" s="223"/>
      <c r="S136" s="223"/>
      <c r="T136" s="227"/>
      <c r="U136" s="224"/>
      <c r="V136" s="224"/>
      <c r="W136" s="222"/>
      <c r="X136" s="229"/>
      <c r="Y136" s="221"/>
      <c r="Z136" s="221"/>
      <c r="AA136" s="221"/>
      <c r="AB136" s="221"/>
      <c r="AC136" s="221"/>
      <c r="AD136" s="221"/>
      <c r="AE136" s="221"/>
      <c r="AF136" s="221"/>
      <c r="AG136" s="221"/>
      <c r="AH136" s="226"/>
      <c r="AI136" s="239"/>
      <c r="AJ136" s="238"/>
      <c r="AK136" s="228"/>
      <c r="AL136" s="223"/>
      <c r="AM136" s="230"/>
      <c r="AN136" s="228"/>
      <c r="AO136" s="232"/>
      <c r="AQ136" s="231"/>
      <c r="AR136" s="230"/>
      <c r="AS136" s="224"/>
      <c r="AT136" s="232"/>
      <c r="AV136" s="231"/>
      <c r="AW136" s="230"/>
      <c r="AX136" s="222"/>
      <c r="AY136" s="224"/>
      <c r="AZ136" s="229"/>
      <c r="BA136" s="221"/>
      <c r="BB136" s="228"/>
      <c r="BC136" s="227"/>
      <c r="BD136" s="227"/>
      <c r="BE136" s="227"/>
      <c r="BF136" s="227"/>
      <c r="BG136" s="227"/>
      <c r="BH136" s="227"/>
      <c r="BI136" s="227"/>
      <c r="BJ136" s="315"/>
      <c r="BK136" s="225"/>
      <c r="BL136" s="224"/>
      <c r="BM136" s="224"/>
      <c r="BN136" s="224"/>
      <c r="BO136" s="223"/>
      <c r="BP136" s="222"/>
      <c r="BQ136" s="229"/>
      <c r="BR136" s="221"/>
      <c r="BS136" s="221"/>
      <c r="BT136" s="221"/>
      <c r="BU136" s="221"/>
      <c r="BV136" s="221"/>
      <c r="BW136" s="221"/>
      <c r="BX136" s="221"/>
      <c r="BY136" s="221"/>
      <c r="BZ136" s="226"/>
      <c r="CA136" s="229"/>
      <c r="CC136" s="313"/>
      <c r="CD136" s="317"/>
      <c r="CE136" s="215"/>
      <c r="CF136" s="214"/>
      <c r="DK136" s="440"/>
      <c r="DL136" s="440"/>
      <c r="DN136" s="1620"/>
      <c r="DR136" s="1231"/>
      <c r="DS136" s="1231"/>
      <c r="DT136" s="1231"/>
      <c r="DU136" s="1231"/>
      <c r="DV136" s="1231"/>
      <c r="DW136" s="1231"/>
      <c r="DX136" s="444"/>
      <c r="DY136" s="1231"/>
      <c r="DZ136" s="1231"/>
      <c r="EA136" s="213"/>
    </row>
    <row r="137" spans="1:131" ht="12.75" hidden="1" customHeight="1" x14ac:dyDescent="0.2">
      <c r="A137" s="240"/>
      <c r="B137" s="240"/>
      <c r="C137" s="240"/>
      <c r="D137" s="236"/>
      <c r="E137" s="235"/>
      <c r="F137" s="234"/>
      <c r="G137" s="234"/>
      <c r="H137" s="223"/>
      <c r="I137" s="224"/>
      <c r="J137" s="224"/>
      <c r="K137" s="224"/>
      <c r="L137" s="221"/>
      <c r="M137" s="223"/>
      <c r="N137" s="223"/>
      <c r="O137" s="223"/>
      <c r="P137" s="223"/>
      <c r="Q137" s="224"/>
      <c r="R137" s="223"/>
      <c r="S137" s="223"/>
      <c r="T137" s="227"/>
      <c r="U137" s="224"/>
      <c r="V137" s="224"/>
      <c r="W137" s="222"/>
      <c r="X137" s="229"/>
      <c r="Y137" s="221"/>
      <c r="Z137" s="221"/>
      <c r="AA137" s="221"/>
      <c r="AB137" s="221"/>
      <c r="AC137" s="221"/>
      <c r="AD137" s="221"/>
      <c r="AE137" s="221"/>
      <c r="AF137" s="221"/>
      <c r="AG137" s="221"/>
      <c r="AH137" s="226"/>
      <c r="AI137" s="229"/>
      <c r="AJ137" s="221"/>
      <c r="AK137" s="221"/>
      <c r="AL137" s="223"/>
      <c r="AM137" s="230"/>
      <c r="AN137" s="228"/>
      <c r="AO137" s="232"/>
      <c r="AQ137" s="231"/>
      <c r="AR137" s="230"/>
      <c r="AS137" s="224"/>
      <c r="AT137" s="232"/>
      <c r="AV137" s="231"/>
      <c r="AW137" s="230"/>
      <c r="AX137" s="222"/>
      <c r="AY137" s="224"/>
      <c r="AZ137" s="229"/>
      <c r="BA137" s="221"/>
      <c r="BB137" s="228"/>
      <c r="BC137" s="227"/>
      <c r="BD137" s="221"/>
      <c r="BE137" s="221"/>
      <c r="BF137" s="221"/>
      <c r="BG137" s="221"/>
      <c r="BH137" s="221"/>
      <c r="BI137" s="221"/>
      <c r="BJ137" s="226"/>
      <c r="BK137" s="229"/>
      <c r="BL137" s="224"/>
      <c r="BM137" s="224"/>
      <c r="BN137" s="224"/>
      <c r="BO137" s="223"/>
      <c r="BP137" s="222"/>
      <c r="BQ137" s="229"/>
      <c r="BR137" s="221"/>
      <c r="BS137" s="221"/>
      <c r="BT137" s="221"/>
      <c r="BU137" s="221"/>
      <c r="BV137" s="221"/>
      <c r="BW137" s="221"/>
      <c r="BX137" s="221"/>
      <c r="BY137" s="221"/>
      <c r="BZ137" s="226"/>
      <c r="CA137" s="229"/>
      <c r="CC137" s="313"/>
      <c r="CD137" s="317"/>
      <c r="CE137" s="215"/>
      <c r="CF137" s="214"/>
      <c r="DK137" s="440"/>
      <c r="DL137" s="440"/>
      <c r="DN137" s="1620"/>
      <c r="DR137" s="1231"/>
      <c r="DS137" s="1231"/>
      <c r="DT137" s="1231"/>
      <c r="DU137" s="1231"/>
      <c r="DV137" s="1231"/>
      <c r="DW137" s="1231"/>
      <c r="DX137" s="444"/>
      <c r="DY137" s="1231"/>
      <c r="DZ137" s="1231"/>
      <c r="EA137" s="213"/>
    </row>
    <row r="138" spans="1:131" ht="12.75" hidden="1" customHeight="1" x14ac:dyDescent="0.2">
      <c r="A138" s="262"/>
      <c r="B138" s="262">
        <f>B125</f>
        <v>1</v>
      </c>
      <c r="C138" s="262">
        <f>$C$6</f>
        <v>1</v>
      </c>
      <c r="D138" s="261"/>
      <c r="E138" s="260"/>
      <c r="F138" s="259"/>
      <c r="G138" s="259"/>
      <c r="H138" s="220" t="str">
        <f>IF(C138&gt;0,"",IF(VLOOKUP(E138,LegendSG1CKTrows,20,FALSE)=0,VLOOKUP(E138,LegendSG1CKTrows,21,FALSE),VLOOKUP(E138,LegendSG1CKTrows,20,FALSE)))</f>
        <v/>
      </c>
      <c r="I138" s="258" t="str">
        <f>IF(C138&gt;0,"",VLOOKUP(E138,LegendSG1CKTrows,22,FALSE))</f>
        <v/>
      </c>
      <c r="J138" s="248" t="str">
        <f>IF(C138&gt;0,"",IF(V138="@ System",I138+0.5*($F$4),IF(V138="@ Top Of Riser",I138+0.5*($F$4),IF(V138="@ Fixture",($D$4)-0.5*($F$4),IF(V138="@ Bottom Of Riser",($D$4)-0.5*($F$4),IF(AND(V138="None",D138="Loop"),($D$4)-0.5*($F$4),I138+0.5*($F$4)))))))</f>
        <v/>
      </c>
      <c r="K138" s="248" t="str">
        <f>IF(C138&gt;0,"",IF(I138+0.5*DZ138+15&lt;L138,I138+0.5*DZ138+15,L138))</f>
        <v/>
      </c>
      <c r="L138" s="257" t="str">
        <f>IF(C138&gt;0,"",LegendSG1RGT)</f>
        <v/>
      </c>
      <c r="M138" s="220" t="str">
        <f>IF(C138&gt;0,"",Pressure(($B$3),"TVAP","E",J138))</f>
        <v/>
      </c>
      <c r="N138" s="248" t="str">
        <f>IF(C138&gt;0,"",IF(D138="Loop","n/a",DW138))</f>
        <v/>
      </c>
      <c r="O138" s="248" t="str">
        <f>IF(C138&gt;0,"",IF(D138="Loop","n/a",DZ138))</f>
        <v/>
      </c>
      <c r="P138" s="220" t="str">
        <f>IF(C138&gt;0,"",IF(D138="Loop","n/a",DX138))</f>
        <v/>
      </c>
      <c r="Q138" s="248" t="str">
        <f>IF(C138&gt;0,"",IF(D138="Loop","n/a",Enthalpy(($B$3),"TP","E",(I138+0.5*DZ138+'Legend(DX)'!$Y$4),DW138)))</f>
        <v/>
      </c>
      <c r="R138" s="220" t="str">
        <f>IF(C138&gt;0,"",IF(($G$4+0.5*DZ138)&gt;($H$4),(Enthalpy(($B$3),"TLIQ","E",($G$4))),(Enthalpy(($B$3),"TP","E",($G$4),$I$4))))</f>
        <v/>
      </c>
      <c r="S138" s="220" t="str">
        <f>IF(C138&gt;0,"",IF(($G$4+0.5*DZ138)&gt;($H$4),(LiquidDensity(($B$3),"TLIQ","E",($G$4))),(Density(($B$3),"TP","E",($G$4),$I$4))))</f>
        <v/>
      </c>
      <c r="T138" s="250" t="str">
        <f>IF(C138&gt;0,"",IF(($G$4+0.5*DZ138)&gt;($H$4),(Viscosity(($B$3),"TLIQ","E",($G$4))),(Viscosity(($B$3),"TP","E",($G$4),$I$4))))</f>
        <v/>
      </c>
      <c r="U138" s="248" t="str">
        <f>IF(C138&gt;0,"",H138*1000/(Q138-R138))</f>
        <v/>
      </c>
      <c r="V138" s="256" t="str">
        <f>IF(C138&gt;0,"",VLOOKUP(E138,LegendSG1CKTrows,28,FALSE))</f>
        <v/>
      </c>
      <c r="W138" s="255" t="s">
        <v>369</v>
      </c>
      <c r="X138" s="254"/>
      <c r="Y138" s="246" t="str">
        <f>IF(C138&gt;0,"",X138*($Y$4))</f>
        <v/>
      </c>
      <c r="Z138" s="218" t="str">
        <f>IF(C138&gt;0,"",Density(($B$3),"TP","E",K138,M138))</f>
        <v/>
      </c>
      <c r="AA138" s="250" t="str">
        <f>IF(C138&gt;0,"",Viscosity(($B$3),"TP","E",K138,M138))</f>
        <v/>
      </c>
      <c r="AB138" s="219" t="str">
        <f>IF(C138&gt;0,"",vel(U138,Z138,AH138))</f>
        <v/>
      </c>
      <c r="AC138" s="220" t="str">
        <f>IF(C138&gt;0,"",pdrop(AE138,Y138,Z138,AB138,IF(AG138="",AF138,AG138)))</f>
        <v/>
      </c>
      <c r="AD138" s="219" t="str">
        <f>IF(C138&gt;0,"",(((AB138/60)*Z138)/AA138)*(VLOOKUP(AF138,'Pipe Data'!F$7:G$19,2,FALSE))/12)</f>
        <v/>
      </c>
      <c r="AE138" s="218" t="str">
        <f>IF(C138&gt;0,"",(0.25/(LOG(5.74/(AD138^0.9))+((VLOOKUP(IF(AG138="",AF138,AG138),'Pipe Data'!J$7:X$19,15,FALSE))/3.7))^2))</f>
        <v/>
      </c>
      <c r="AF138" s="245" t="str">
        <f>IF(C138&gt;0,"",VLOOKUP(($AC$4),AB139:AF149,5,TRUE))</f>
        <v/>
      </c>
      <c r="AG138" s="244"/>
      <c r="AH138" s="298" t="str">
        <f>IF(C138&gt;0,"",IF(AND(AG138="",W138&lt;&gt;"Double"),parea(AF138),parea(AG138)))</f>
        <v/>
      </c>
      <c r="AI138" s="253" t="str">
        <f>IF(C138&gt;0,"",IF(W138="Single","",IF(OR(AG138=0.5,AG138=0.375),"",IF(AF138&lt;0.6,"",(((AR138/60)*Z138)/AA138)*((LOOKUP(IF(AP138="",AO138,AP138),'Pipe Data'!F$7:F$19,'Pipe Data'!G$7:G$19))/12)))))</f>
        <v/>
      </c>
      <c r="AJ138" s="252" t="str">
        <f>IF(C138&gt;0,"",IF(W138="Single","",IF(OR(AG138=0.5,AG138=0.375),"",IF(AF138&lt;0.6,"",(AQ138/AV138)^1.5))))</f>
        <v/>
      </c>
      <c r="AK138" s="218" t="str">
        <f>IF(C138&gt;0,"",IF(W138="Single","",IF(OR(AG138=0.5,AG138=0.375),"",IF(AF138&lt;0.6,"",(0.25/(LOG(5.74/(AI138^0.9))+((LOOKUP(IF(AP138="",AO138,AP138),'Pipe Data'!F$7:F$19,'Pipe Data'!X$7:X$19))/3.7))^2)))))</f>
        <v/>
      </c>
      <c r="AL138" s="220" t="str">
        <f>IF(C138&gt;0,"",IF(W138="Single","",IF(OR(AG138=0.5,AG138=0.375),"",IF(AF138&lt;0.6,"",pdrop(AK138,Y138,Z138,AR138,IF(AP138="",AO138,AP138))))))</f>
        <v/>
      </c>
      <c r="AM138" s="219" t="str">
        <f>IF(C138&gt;0,"",IF(W138="Single","",IF(OR(AG138=0.5,AG138=0.375),"",IF(AF138&lt;0.6,"",(((AW138/60)*Z138)/AA138)*((LOOKUP(IF(AU138="",AT138,AU138),'Pipe Data'!F$7:F$19,'Pipe Data'!G$7:G$19))/12)))))</f>
        <v/>
      </c>
      <c r="AN138" s="218" t="str">
        <f>IF(C138&gt;0,"",IF(W138="Single","",IF(OR(AG138=0.5,AG138=0.375),"",IF(AF138&lt;0.6,"",(0.25/(LOG(5.74/(AM138^0.9))+((LOOKUP(IF(AU138="",AT138,AU138),'Pipe Data'!F$7:F$19,'Pipe Data'!X$7:X$19))/3.7))^2)))))</f>
        <v/>
      </c>
      <c r="AO138" s="245" t="str">
        <f>IF(C138&gt;0,"",IF(W138="Single","",IF(OR(AG138=0.5,AG138=0.375),"",IF(AF138&lt;0.6,"",(IF(AG138="",VLOOKUP(AF138,'Pipe Data'!$J$9:$N$19,3,FALSE),VLOOKUP(AG138,'Pipe Data'!$J$9:$N$19,3,FALSE)))))))</f>
        <v/>
      </c>
      <c r="AP138" s="244"/>
      <c r="AQ138" s="251" t="str">
        <f>IF(C138&gt;0,"",IF(W138="Single","",IF(OR(AG138=0.5,AG138=0.375),"",IF(AF138&lt;0.6,"",IF(AP138="",parea(AO138),parea(AP138))))))</f>
        <v/>
      </c>
      <c r="AR138" s="219" t="str">
        <f>IF(C138&gt;0,"",IF(W138="Single","",IF(OR(AG138=0.5,AG138=0.375),"",IF(AF138&lt;0.6,"",((AS138/(Z138*AQ138))/60)))))</f>
        <v/>
      </c>
      <c r="AS138" s="248" t="str">
        <f>IF(C138&gt;0,"",IF(W138="Single","",IF(OR(AG138=0.5,AG138=0.375),"",IF(AF138&lt;0.6,"",(U138*AJ138)/(1+AJ138)))))</f>
        <v/>
      </c>
      <c r="AT138" s="245" t="str">
        <f>IF(C138&gt;0,"",IF(W138="Single","",IF(OR(AG138=0.5,AG138=0.375),"",IF(AF138&lt;0.6,"",(IF(AG138="",VLOOKUP(AF138,'Pipe Data'!$J$9:$N$19,5,FALSE),VLOOKUP(AG138,'Pipe Data'!$J$9:$N$19,5,FALSE)))))))</f>
        <v/>
      </c>
      <c r="AU138" s="244"/>
      <c r="AV138" s="251" t="str">
        <f>IF(C138&gt;0,"",IF(W138="Single","",IF(OR(AG138=0.5,AG138=0.375),"",IF(AF138&lt;0.6,"",IF(AU138="",parea(AT138),parea(AU138))))))</f>
        <v/>
      </c>
      <c r="AW138" s="219" t="str">
        <f>IF(C138&gt;0,"",IF(W138="Single","",IF(OR(AG138=0.5,AG138=0.375),"",IF(AF138&lt;0.6,"",((AX138/(Z138*AV138))/60)))))</f>
        <v/>
      </c>
      <c r="AX138" s="247" t="str">
        <f>IF(C138&gt;0,"",IF(W138="Single","",IF(OR(AG138=0.5,AG138=0.375),"",IF(AF138&lt;0.6,"",U138-AS138))))</f>
        <v/>
      </c>
      <c r="AY138" s="248"/>
      <c r="AZ138" s="254"/>
      <c r="BA138" s="246" t="str">
        <f>IF(C138&gt;0,"",AZ138*($BA$4))</f>
        <v/>
      </c>
      <c r="BB138" s="218" t="str">
        <f>IF(C138&gt;0,"",Density(($B$3),"TP","E",K138,M138))</f>
        <v/>
      </c>
      <c r="BC138" s="250" t="str">
        <f>IF(C138&gt;0,"",Viscosity(($B$3),"TP","E",$K138,$M138))</f>
        <v/>
      </c>
      <c r="BD138" s="219" t="str">
        <f>IF(C138&gt;0,"",vel(U138,Z138,BJ138))</f>
        <v/>
      </c>
      <c r="BE138" s="220" t="str">
        <f>IF(C138&gt;0,"",pdrop(BG138,BA138,Z138,BD138,IF(BI138="",BH138,BI138)))</f>
        <v/>
      </c>
      <c r="BF138" s="219" t="str">
        <f>IF(C138&gt;0,"",(((BD138/60)*Z138)/BC138)*((VLOOKUP(BH138,'Pipe Data'!F$7:G$19,2,FALSE))/12))</f>
        <v/>
      </c>
      <c r="BG138" s="218" t="str">
        <f>IF(C138&gt;0,"",(0.25/(LOG(5.74/(BF138^0.9))+((VLOOKUP(BH138,'Pipe Data'!J$7:X$19,15,FALSE))/3.7))^2))</f>
        <v/>
      </c>
      <c r="BH138" s="245" t="str">
        <f>IF(C138&gt;0,"",VLOOKUP(1,BI139:BK149,3,FALSE))</f>
        <v/>
      </c>
      <c r="BI138" s="244"/>
      <c r="BJ138" s="243" t="str">
        <f>IF(C138&gt;0,"",IF(BI138="",parea(BH138),parea(BI138)))</f>
        <v/>
      </c>
      <c r="BK138" s="249" t="str">
        <f>IF(C138&gt;0,"",VLOOKUP(E138,LegendSG1CKTrows,26,FALSE))</f>
        <v/>
      </c>
      <c r="BL138" s="248" t="str">
        <f>IF(C138&gt;0,"",IF(W138&lt;&gt;"Double",AC138+BE138+BK138,AL138+BE138+BK138))</f>
        <v/>
      </c>
      <c r="BM138" s="248"/>
      <c r="BN138" s="248" t="str">
        <f>IF(C138&gt;0,"",IF(D138="Loop","n/a",BP138-I138))</f>
        <v/>
      </c>
      <c r="BO138" s="220" t="str">
        <f>IF(C138&gt;0,"",IF(D138="Loop","n/a",N138-BM138))</f>
        <v/>
      </c>
      <c r="BP138" s="247" t="str">
        <f>IF(C138&gt;0,"",IF(D138="Loop","n/a",TEMPERATURE(($B$3),"PVAP","E",BO138)-0.5*DZ138))</f>
        <v/>
      </c>
      <c r="BQ138" s="246" t="str">
        <f>IF(C138&gt;0,"",AZ138+X138)</f>
        <v/>
      </c>
      <c r="BR138" s="246" t="str">
        <f>IF(C138&gt;0,"",BQ138*($BR$4))</f>
        <v/>
      </c>
      <c r="BS138" s="219" t="str">
        <f>IF(C138&gt;0,"",vel(U138,S138,BZ138))</f>
        <v/>
      </c>
      <c r="BT138" s="220" t="str">
        <f>IF(C138&gt;0,"",pdrop(BW138,BA138,S138,BS138,IF(BY138="",BX138,BY138)))</f>
        <v/>
      </c>
      <c r="BU138" s="220"/>
      <c r="BV138" s="219" t="str">
        <f>IF(C138&gt;0,"",(((BS138/60)*S138)/T138)*((VLOOKUP(BX138,'Pipe Data'!F$7:G$19,2,FALSE))/12))</f>
        <v/>
      </c>
      <c r="BW138" s="218" t="str">
        <f>IF(C138&gt;0,"",(0.25/(LOG(5.74/(BV138^0.9))+((VLOOKUP(BX138,'Pipe Data'!J$7:X$19,15,FALSE))/3.7))^2))</f>
        <v/>
      </c>
      <c r="BX138" s="245" t="str">
        <f>IF(C138&gt;0,"",VLOOKUP(0.25,BY139:CA149,3,TRUE))</f>
        <v/>
      </c>
      <c r="BY138" s="244"/>
      <c r="BZ138" s="243" t="str">
        <f>IF(C138&gt;0,"",IF(BY138="",parea(BX138),parea(BY138)))</f>
        <v/>
      </c>
      <c r="CA138" s="314"/>
      <c r="CC138" s="313">
        <v>0</v>
      </c>
      <c r="CD138" s="316" t="str">
        <f>IF(C138&gt;0,"",S138*BQ138*BZ138+AZ138*BB138*BJ138+X138*Z138*(IF(W138&lt;&gt;"Double",AH138,AQ138+AV138))+IF(D138="Loop",0,VLOOKUP(E138,'Legend(DX)'!$H$8:$AT$16,36,FALSE)))</f>
        <v/>
      </c>
      <c r="CE138" s="242"/>
      <c r="CF138" s="241"/>
      <c r="CH138" s="213">
        <f>IF(OR(AB138&lt;($AB$4),AB138&gt;($AC$4)),1,0)</f>
        <v>1</v>
      </c>
      <c r="CI138" s="213">
        <f>IF(OR(BD138&lt;($BD$4),BD138&gt;($BE$4)),1,0)</f>
        <v>0</v>
      </c>
      <c r="CJ138" s="213">
        <f>IF(BN138&lt;($F$4),1,0)</f>
        <v>0</v>
      </c>
      <c r="CK138" s="213">
        <f>IF(BO138&lt;($E$4),1,0)</f>
        <v>0</v>
      </c>
      <c r="CL138" s="213">
        <f>IF(BP138&lt;($D$4),1,0)</f>
        <v>0</v>
      </c>
      <c r="CM138" s="213">
        <f>IF(BS138&gt;($BS$4),1,0)</f>
        <v>1</v>
      </c>
      <c r="CN138" s="213">
        <f>IF(BU138&gt;($BT$4),1,0)</f>
        <v>0</v>
      </c>
      <c r="CO138" s="213">
        <f>SUM(CH138:CN138)</f>
        <v>2</v>
      </c>
      <c r="CQ138" s="304" t="s">
        <v>171</v>
      </c>
      <c r="CR138" s="213">
        <f t="shared" ref="CR138:DC138" si="39">IF($W138="Single",IF($AG138="",IF($AF138=CR$8,$X138,0),IF($AG138=CR$8,$X138,0)),0)</f>
        <v>0</v>
      </c>
      <c r="CS138" s="213">
        <f t="shared" si="39"/>
        <v>0</v>
      </c>
      <c r="CT138" s="213">
        <f t="shared" si="39"/>
        <v>0</v>
      </c>
      <c r="CU138" s="213">
        <f t="shared" si="39"/>
        <v>0</v>
      </c>
      <c r="CV138" s="213">
        <f t="shared" si="39"/>
        <v>0</v>
      </c>
      <c r="CW138" s="213">
        <f t="shared" si="39"/>
        <v>0</v>
      </c>
      <c r="CX138" s="213">
        <f t="shared" si="39"/>
        <v>0</v>
      </c>
      <c r="CY138" s="213">
        <f t="shared" si="39"/>
        <v>0</v>
      </c>
      <c r="CZ138" s="213">
        <f t="shared" si="39"/>
        <v>0</v>
      </c>
      <c r="DA138" s="213">
        <f t="shared" si="39"/>
        <v>0</v>
      </c>
      <c r="DB138" s="213">
        <f t="shared" si="39"/>
        <v>0</v>
      </c>
      <c r="DC138" s="213">
        <f t="shared" si="39"/>
        <v>0</v>
      </c>
      <c r="DE138" s="304" t="str">
        <f>IF(AG138="",IF(X138=0,TEXT(AF138,"# 0/0")&amp;"*",TEXT(AF138,"# 0/0")),IF(X138=0,TEXT(AG138,"# 0/0")&amp;"*",TEXT(AG138,"# 0/0")))</f>
        <v>*</v>
      </c>
      <c r="DF138" s="25" t="str">
        <f>IF(AP138="",IF(X138=0,TEXT(AO138,"# 0/0")&amp;"*",TEXT(AO138,"# 0/0")),IF(X138=0,TEXT(AP138,"# 0/0")&amp;"*",TEXT(AP138,"# 0/0")))</f>
        <v>*</v>
      </c>
      <c r="DG138" s="25" t="str">
        <f>IF(AU138="",IF(X138=0,TEXT(AT138,"# 0/0")&amp;"*",TEXT(AT138,"# 0/0")),IF(X138=0,TEXT(AU138,"# 0/0")&amp;"*",TEXT(AU138,"# 0/0")))</f>
        <v>*</v>
      </c>
      <c r="DH138" s="329">
        <f>E138</f>
        <v>0</v>
      </c>
      <c r="DI138" s="310" t="str">
        <f>IF($BI138="",$BH138,$BI138)</f>
        <v/>
      </c>
      <c r="DK138" s="440" t="str">
        <f>IF(W138="Double",DF138 &amp; " &amp; " &amp; DG138,DE138)</f>
        <v>*</v>
      </c>
      <c r="DL138" s="440"/>
      <c r="DM138" s="310" t="str">
        <f>IF($BY138="",$BX138,$BY138)</f>
        <v/>
      </c>
      <c r="DN138" s="1620"/>
      <c r="DO138" s="310" t="str">
        <f>$BQ138</f>
        <v/>
      </c>
      <c r="DR138" s="1231" t="str">
        <f>J138</f>
        <v/>
      </c>
      <c r="DS138" s="1231" t="str">
        <f>IF(C138&gt;0,"",(Pressure($B$3,"Tliq","e",$J138)+Pressure($B$3,"Tvap","e",$J138))/2)</f>
        <v/>
      </c>
      <c r="DT138" s="1231" t="str">
        <f>IF(C138&gt;0,"",Pressure($B$3,"tvap","e",$J138+0.5*$DZ138))</f>
        <v/>
      </c>
      <c r="DU138" s="1231" t="str">
        <f>I138</f>
        <v/>
      </c>
      <c r="DV138" s="1231" t="str">
        <f>IF(C138&gt;0,"",(Pressure($B$3,"Tliq","e",$I138)+Pressure($B$3,"Tvap","e",$I138))/2)</f>
        <v/>
      </c>
      <c r="DW138" s="1231" t="str">
        <f>IF(C138&gt;0,"",Pressure($B$3,"tvap","e",$I138+0.5*$DZ138))</f>
        <v/>
      </c>
      <c r="DX138" s="444" t="str">
        <f>IF(C138&gt;0,"",1-(Enthalpy($B$3,"pvap","e",$DV138)-(IF($G$4+0.5*$DR$4&gt;$H$4,Enthalpy($B$3,"Tliq","e",$G$4),Enthalpy($B$3,"tp","e",$G$4,$I$4))))/(Enthalpy($B$3,"pvap","e",$DV138)-Enthalpy($B$3,"pliq","e",$DV138)))</f>
        <v/>
      </c>
      <c r="DY138" s="1231" t="str">
        <f>IF(C138&gt;0,"",TEMPERATURE($B$3,"pvap","e",$DS138)-TEMPERATURE($B$3,"pliq","e",$DS138))</f>
        <v/>
      </c>
      <c r="DZ138" s="1231" t="e">
        <f>(1-$DX138)*$DY138</f>
        <v>#VALUE!</v>
      </c>
      <c r="EA138" s="213"/>
    </row>
    <row r="139" spans="1:131" ht="12.75" hidden="1" customHeight="1" x14ac:dyDescent="0.2">
      <c r="A139" s="240"/>
      <c r="B139" s="240"/>
      <c r="C139" s="240"/>
      <c r="D139" s="236"/>
      <c r="E139" s="235"/>
      <c r="F139" s="234"/>
      <c r="G139" s="234"/>
      <c r="H139" s="221"/>
      <c r="I139" s="221"/>
      <c r="J139" s="221"/>
      <c r="K139" s="221"/>
      <c r="L139" s="221"/>
      <c r="M139" s="223"/>
      <c r="N139" s="223"/>
      <c r="O139" s="223"/>
      <c r="P139" s="223"/>
      <c r="Q139" s="224"/>
      <c r="R139" s="223"/>
      <c r="S139" s="223"/>
      <c r="T139" s="227"/>
      <c r="U139" s="224"/>
      <c r="V139" s="224"/>
      <c r="W139" s="222"/>
      <c r="X139" s="221"/>
      <c r="Y139" s="221"/>
      <c r="Z139" s="228"/>
      <c r="AA139" s="227"/>
      <c r="AB139" s="219" t="str">
        <f>IF(C138&gt;0,"",vel(U138,Z138,AH139))</f>
        <v/>
      </c>
      <c r="AC139" s="220" t="str">
        <f>IF(C138&gt;0,"",pdrop(AE139,Y138,Z138,AB139,AF139))</f>
        <v/>
      </c>
      <c r="AD139" s="219" t="str">
        <f>IF(C138&gt;0,"",(((AB139/60)*Z138)/AA138)*(VLOOKUP(AF139,'Pipe Data'!F$7:G$19,2,FALSE))/12)</f>
        <v/>
      </c>
      <c r="AE139" s="218" t="str">
        <f>IF(C138&gt;0,"",(0.25/(LOG(5.74/(AD139^0.9))+((VLOOKUP(AF139,'Pipe Data'!J$7:X$19,15,FALSE))/3.7))^2))</f>
        <v/>
      </c>
      <c r="AF139" s="216">
        <v>4.125</v>
      </c>
      <c r="AH139" s="233">
        <v>8.1138442517193113E-2</v>
      </c>
      <c r="AI139" s="239"/>
      <c r="AJ139" s="238"/>
      <c r="AK139" s="228"/>
      <c r="AL139" s="223"/>
      <c r="AM139" s="230"/>
      <c r="AN139" s="228"/>
      <c r="AO139" s="232"/>
      <c r="AQ139" s="231"/>
      <c r="AR139" s="230"/>
      <c r="AS139" s="224"/>
      <c r="AT139" s="232"/>
      <c r="AV139" s="231"/>
      <c r="AW139" s="230"/>
      <c r="AX139" s="222"/>
      <c r="AY139" s="224"/>
      <c r="AZ139" s="229"/>
      <c r="BA139" s="221"/>
      <c r="BB139" s="228"/>
      <c r="BC139" s="227"/>
      <c r="BD139" s="219" t="str">
        <f>IF(C138&gt;0,"",vel(U138,Z138,BJ139))</f>
        <v/>
      </c>
      <c r="BE139" s="220" t="str">
        <f>IF(C138&gt;0,"",pdrop(BG139,BA138,Z138,BD139,BH139))</f>
        <v/>
      </c>
      <c r="BF139" s="219" t="str">
        <f>IF(C138&gt;0,"",(((BD139/60)*Z138)/$AA$12)*((VLOOKUP(BH139,'Pipe Data'!F$7:G$19,2,FALSE))/12))</f>
        <v/>
      </c>
      <c r="BG139" s="218" t="str">
        <f>IF(C138&gt;0,"",(0.25/(LOG(5.74/(BF139^0.9))+((VLOOKUP(BH139,'Pipe Data'!J$7:X$19,15,FALSE))/3.7))^2))</f>
        <v/>
      </c>
      <c r="BH139" s="216">
        <v>4.125</v>
      </c>
      <c r="BI139" s="25">
        <f t="shared" ref="BI139:BI148" si="40">IF(BD139&gt;($BD$4),1,0)</f>
        <v>0</v>
      </c>
      <c r="BJ139" s="217">
        <v>8.1138442517193113E-2</v>
      </c>
      <c r="BK139" s="237">
        <v>4.125</v>
      </c>
      <c r="BL139" s="224"/>
      <c r="BM139" s="224"/>
      <c r="BN139" s="224"/>
      <c r="BO139" s="223"/>
      <c r="BP139" s="222"/>
      <c r="BQ139" s="221"/>
      <c r="BR139" s="221"/>
      <c r="BS139" s="219" t="str">
        <f>IF(C138&gt;0,"",vel(U138,S138,BZ139))</f>
        <v/>
      </c>
      <c r="BT139" s="220" t="str">
        <f>IF(C138&gt;0,"",pdrop(BW139,BA138,S138,BS139,BX139))</f>
        <v/>
      </c>
      <c r="BU139" s="220"/>
      <c r="BV139" s="219" t="str">
        <f>IF(C138&gt;0,"",(((BS139/60)*S138)/T138)*((VLOOKUP(BX139,'Pipe Data'!F$7:G$19,2,FALSE))/12))</f>
        <v/>
      </c>
      <c r="BW139" s="218" t="str">
        <f>IF(C138&gt;0,"",(0.25/(LOG(5.74/(BV139^0.9))+((VLOOKUP(BX139,'Pipe Data'!J$7:X$19,15,FALSE))/3.7))^2))</f>
        <v/>
      </c>
      <c r="BX139" s="216">
        <v>4.125</v>
      </c>
      <c r="BY139" s="25" t="str">
        <f t="shared" ref="BY139:BY150" si="41">IF(C$138&gt;0,"",IF(AND(BS139&lt;($BS$4),BT139&lt;($BT$4)),0,1))</f>
        <v/>
      </c>
      <c r="BZ139" s="217">
        <v>8.1138442517193113E-2</v>
      </c>
      <c r="CA139" s="237">
        <v>4.125</v>
      </c>
      <c r="CC139" s="313"/>
      <c r="CD139" s="317"/>
      <c r="CE139" s="215"/>
      <c r="CF139" s="214"/>
      <c r="CQ139" s="304" t="s">
        <v>154</v>
      </c>
      <c r="CR139" s="213">
        <f t="shared" ref="CR139:DC139" si="42">IF($BI138="",IF($BH138=CR$8,$AZ138,0),IF($BI138=CR$8,$AZ138,0))</f>
        <v>0</v>
      </c>
      <c r="CS139" s="213">
        <f t="shared" si="42"/>
        <v>0</v>
      </c>
      <c r="CT139" s="213">
        <f t="shared" si="42"/>
        <v>0</v>
      </c>
      <c r="CU139" s="213">
        <f t="shared" si="42"/>
        <v>0</v>
      </c>
      <c r="CV139" s="213">
        <f t="shared" si="42"/>
        <v>0</v>
      </c>
      <c r="CW139" s="213">
        <f t="shared" si="42"/>
        <v>0</v>
      </c>
      <c r="CX139" s="213">
        <f t="shared" si="42"/>
        <v>0</v>
      </c>
      <c r="CY139" s="213">
        <f t="shared" si="42"/>
        <v>0</v>
      </c>
      <c r="CZ139" s="213">
        <f t="shared" si="42"/>
        <v>0</v>
      </c>
      <c r="DA139" s="213">
        <f t="shared" si="42"/>
        <v>0</v>
      </c>
      <c r="DB139" s="213">
        <f t="shared" si="42"/>
        <v>0</v>
      </c>
      <c r="DC139" s="213">
        <f t="shared" si="42"/>
        <v>0</v>
      </c>
      <c r="DK139" s="440"/>
      <c r="DL139" s="440"/>
      <c r="DN139" s="1620"/>
      <c r="DR139" s="1231"/>
      <c r="DS139" s="213"/>
      <c r="DT139" s="213"/>
      <c r="DU139" s="213"/>
      <c r="DV139" s="213"/>
      <c r="DW139" s="213"/>
      <c r="DX139" s="213"/>
      <c r="DY139" s="213"/>
      <c r="DZ139" s="213"/>
      <c r="EA139" s="213"/>
    </row>
    <row r="140" spans="1:131" ht="12.75" hidden="1" customHeight="1" x14ac:dyDescent="0.2">
      <c r="D140" s="236"/>
      <c r="E140" s="235"/>
      <c r="F140" s="234"/>
      <c r="G140" s="234"/>
      <c r="H140" s="221"/>
      <c r="I140" s="221"/>
      <c r="J140" s="221"/>
      <c r="K140" s="221"/>
      <c r="L140" s="221"/>
      <c r="M140" s="223"/>
      <c r="N140" s="223"/>
      <c r="O140" s="223"/>
      <c r="P140" s="223"/>
      <c r="Q140" s="224"/>
      <c r="R140" s="223"/>
      <c r="S140" s="223"/>
      <c r="T140" s="227"/>
      <c r="U140" s="224"/>
      <c r="V140" s="224"/>
      <c r="W140" s="222"/>
      <c r="X140" s="221"/>
      <c r="Y140" s="221"/>
      <c r="Z140" s="228"/>
      <c r="AA140" s="227"/>
      <c r="AB140" s="219" t="str">
        <f>IF(C138&gt;0,"",vel(U138,Z138,AH140))</f>
        <v/>
      </c>
      <c r="AC140" s="220" t="str">
        <f>IF(C138&gt;0,"",pdrop(AE140,Y138,Z138,AB140,AF140))</f>
        <v/>
      </c>
      <c r="AD140" s="219" t="str">
        <f>IF(C138&gt;0,"",(((AB140/60)*Z138)/AA138)*(VLOOKUP(AF140,'Pipe Data'!F$7:G$19,2,FALSE))/12)</f>
        <v/>
      </c>
      <c r="AE140" s="218" t="str">
        <f>IF(C138&gt;0,"",(0.25/(LOG(5.74/(AD140^0.9))+((VLOOKUP(AF140,'Pipe Data'!J$7:X$19,15,FALSE))/3.7))^2))</f>
        <v/>
      </c>
      <c r="AF140" s="216">
        <v>3.625</v>
      </c>
      <c r="AH140" s="233">
        <v>6.2494922713852256E-2</v>
      </c>
      <c r="AI140" s="239"/>
      <c r="AJ140" s="238"/>
      <c r="AK140" s="228"/>
      <c r="AL140" s="223"/>
      <c r="AM140" s="230"/>
      <c r="AN140" s="228"/>
      <c r="AO140" s="232"/>
      <c r="AQ140" s="231"/>
      <c r="AR140" s="230"/>
      <c r="AS140" s="224"/>
      <c r="AT140" s="232"/>
      <c r="AV140" s="231"/>
      <c r="AW140" s="230"/>
      <c r="AX140" s="222"/>
      <c r="AY140" s="224"/>
      <c r="AZ140" s="229"/>
      <c r="BA140" s="221"/>
      <c r="BB140" s="228"/>
      <c r="BC140" s="227"/>
      <c r="BD140" s="219" t="str">
        <f>IF(C138&gt;0,"",vel(U138,Z138,BJ140))</f>
        <v/>
      </c>
      <c r="BE140" s="220" t="str">
        <f>IF(C138&gt;0,"",pdrop(BG140,BA138,Z138,BD140,BH140))</f>
        <v/>
      </c>
      <c r="BF140" s="219" t="str">
        <f>IF(C138&gt;0,"",(((BD140/60)*Z138)/$AA$12)*((VLOOKUP(BH140,'Pipe Data'!F$7:G$19,2,FALSE))/12))</f>
        <v/>
      </c>
      <c r="BG140" s="218" t="str">
        <f>IF(C138&gt;0,"",(0.25/(LOG(5.74/(BF140^0.9))+((VLOOKUP(BH140,'Pipe Data'!J$7:X$19,15,FALSE))/3.7))^2))</f>
        <v/>
      </c>
      <c r="BH140" s="216">
        <v>3.625</v>
      </c>
      <c r="BI140" s="25">
        <f t="shared" si="40"/>
        <v>0</v>
      </c>
      <c r="BJ140" s="217">
        <v>6.2494922713852256E-2</v>
      </c>
      <c r="BK140" s="237">
        <v>3.625</v>
      </c>
      <c r="BL140" s="224"/>
      <c r="BM140" s="224"/>
      <c r="BN140" s="224"/>
      <c r="BO140" s="223"/>
      <c r="BP140" s="222"/>
      <c r="BQ140" s="221"/>
      <c r="BR140" s="221"/>
      <c r="BS140" s="219" t="str">
        <f>IF(C138&gt;0,"",vel(U138,S138,BZ140))</f>
        <v/>
      </c>
      <c r="BT140" s="220" t="str">
        <f>IF(C138&gt;0,"",pdrop(BW140,BA138,S138,BS140,BX140))</f>
        <v/>
      </c>
      <c r="BU140" s="220"/>
      <c r="BV140" s="219" t="str">
        <f>IF(C138&gt;0,"",(((BS140/60)*S138)/T138)*((VLOOKUP(BX140,'Pipe Data'!F$7:G$19,2,FALSE))/12))</f>
        <v/>
      </c>
      <c r="BW140" s="218" t="str">
        <f>IF(C138&gt;0,"",(0.25/(LOG(5.74/(BV140^0.9))+((VLOOKUP(BX140,'Pipe Data'!J$7:X$19,15,FALSE))/3.7))^2))</f>
        <v/>
      </c>
      <c r="BX140" s="216">
        <v>3.625</v>
      </c>
      <c r="BY140" s="25" t="str">
        <f t="shared" si="41"/>
        <v/>
      </c>
      <c r="BZ140" s="217">
        <v>6.2494922713852256E-2</v>
      </c>
      <c r="CA140" s="237">
        <v>3.625</v>
      </c>
      <c r="CC140" s="313"/>
      <c r="CD140" s="317"/>
      <c r="CE140" s="215"/>
      <c r="CF140" s="214"/>
      <c r="CQ140" s="304" t="s">
        <v>155</v>
      </c>
      <c r="CR140" s="213">
        <f t="shared" ref="CR140:DC140" si="43">IF($BY138="",IF($BX138=CR$8,$BQ138,0),IF($BY138=CR$8,$BQ138,0))</f>
        <v>0</v>
      </c>
      <c r="CS140" s="213">
        <f t="shared" si="43"/>
        <v>0</v>
      </c>
      <c r="CT140" s="213">
        <f t="shared" si="43"/>
        <v>0</v>
      </c>
      <c r="CU140" s="213">
        <f t="shared" si="43"/>
        <v>0</v>
      </c>
      <c r="CV140" s="213">
        <f t="shared" si="43"/>
        <v>0</v>
      </c>
      <c r="CW140" s="213">
        <f t="shared" si="43"/>
        <v>0</v>
      </c>
      <c r="CX140" s="213">
        <f t="shared" si="43"/>
        <v>0</v>
      </c>
      <c r="CY140" s="213">
        <f t="shared" si="43"/>
        <v>0</v>
      </c>
      <c r="CZ140" s="213">
        <f t="shared" si="43"/>
        <v>0</v>
      </c>
      <c r="DA140" s="213">
        <f t="shared" si="43"/>
        <v>0</v>
      </c>
      <c r="DB140" s="213">
        <f t="shared" si="43"/>
        <v>0</v>
      </c>
      <c r="DC140" s="213">
        <f t="shared" si="43"/>
        <v>0</v>
      </c>
      <c r="DK140" s="440"/>
      <c r="DL140" s="440"/>
      <c r="DN140" s="1620"/>
      <c r="DR140" s="1231"/>
      <c r="DS140" s="213"/>
      <c r="DT140" s="213"/>
      <c r="DU140" s="213"/>
      <c r="DV140" s="213"/>
      <c r="DW140" s="213"/>
      <c r="DX140" s="213"/>
      <c r="DY140" s="213"/>
      <c r="DZ140" s="213"/>
      <c r="EA140" s="213"/>
    </row>
    <row r="141" spans="1:131" ht="12.75" hidden="1" customHeight="1" x14ac:dyDescent="0.2">
      <c r="D141" s="236"/>
      <c r="E141" s="235"/>
      <c r="F141" s="234"/>
      <c r="G141" s="234"/>
      <c r="H141" s="221"/>
      <c r="I141" s="221"/>
      <c r="J141" s="221"/>
      <c r="K141" s="221"/>
      <c r="L141" s="221"/>
      <c r="M141" s="223"/>
      <c r="N141" s="223"/>
      <c r="O141" s="223"/>
      <c r="P141" s="223"/>
      <c r="Q141" s="224"/>
      <c r="R141" s="223"/>
      <c r="S141" s="223"/>
      <c r="T141" s="227"/>
      <c r="U141" s="224"/>
      <c r="V141" s="224"/>
      <c r="W141" s="222"/>
      <c r="X141" s="221"/>
      <c r="Y141" s="221"/>
      <c r="Z141" s="228"/>
      <c r="AA141" s="227"/>
      <c r="AB141" s="219" t="str">
        <f>IF(C138&gt;0,"",vel(U138,Z138,AH141))</f>
        <v/>
      </c>
      <c r="AC141" s="220" t="str">
        <f>IF(C138&gt;0,"",pdrop(AE141,Y138,Z138,AB141,AF141))</f>
        <v/>
      </c>
      <c r="AD141" s="219" t="str">
        <f>IF(C138&gt;0,"",(((AB141/60)*Z138)/AA138)*(VLOOKUP(AF141,'Pipe Data'!F$7:G$19,2,FALSE))/12)</f>
        <v/>
      </c>
      <c r="AE141" s="218" t="str">
        <f>IF(C138&gt;0,"",(0.25/(LOG(5.74/(AD141^0.9))+((VLOOKUP(AF141,'Pipe Data'!J$7:X$19,15,FALSE))/3.7))^2))</f>
        <v/>
      </c>
      <c r="AF141" s="216">
        <v>3.125</v>
      </c>
      <c r="AH141" s="233">
        <v>4.6091140306364464E-2</v>
      </c>
      <c r="AI141" s="239"/>
      <c r="AJ141" s="238"/>
      <c r="AK141" s="228"/>
      <c r="AL141" s="223"/>
      <c r="AM141" s="230"/>
      <c r="AN141" s="228"/>
      <c r="AO141" s="232"/>
      <c r="AQ141" s="231"/>
      <c r="AR141" s="230"/>
      <c r="AS141" s="224"/>
      <c r="AT141" s="232"/>
      <c r="AV141" s="231"/>
      <c r="AW141" s="230"/>
      <c r="AX141" s="222"/>
      <c r="AY141" s="224"/>
      <c r="AZ141" s="229"/>
      <c r="BA141" s="221"/>
      <c r="BB141" s="228"/>
      <c r="BC141" s="227"/>
      <c r="BD141" s="219" t="str">
        <f>IF(C138&gt;0,"",vel(U138,Z138,BJ141))</f>
        <v/>
      </c>
      <c r="BE141" s="220" t="str">
        <f>IF(C138&gt;0,"",pdrop(BG141,BA138,Z138,BD141,BH141))</f>
        <v/>
      </c>
      <c r="BF141" s="219" t="str">
        <f>IF(C138&gt;0,"",(((BD141/60)*Z138)/$AA$12)*((VLOOKUP(BH141,'Pipe Data'!F$7:G$19,2,FALSE))/12))</f>
        <v/>
      </c>
      <c r="BG141" s="218" t="str">
        <f>IF(C138&gt;0,"",(0.25/(LOG(5.74/(BF141^0.9))+((VLOOKUP(BH141,'Pipe Data'!J$7:X$19,15,FALSE))/3.7))^2))</f>
        <v/>
      </c>
      <c r="BH141" s="216">
        <v>3.125</v>
      </c>
      <c r="BI141" s="25">
        <f t="shared" si="40"/>
        <v>0</v>
      </c>
      <c r="BJ141" s="217">
        <v>4.6091140306364464E-2</v>
      </c>
      <c r="BK141" s="237">
        <v>3.125</v>
      </c>
      <c r="BL141" s="224"/>
      <c r="BM141" s="224"/>
      <c r="BN141" s="224"/>
      <c r="BO141" s="223"/>
      <c r="BP141" s="222"/>
      <c r="BQ141" s="221"/>
      <c r="BR141" s="221"/>
      <c r="BS141" s="219" t="str">
        <f>IF(C138&gt;0,"",vel(U138,S138,BZ141))</f>
        <v/>
      </c>
      <c r="BT141" s="220" t="str">
        <f>IF(C138&gt;0,"",pdrop(BW141,BA138,S138,BS141,BX141))</f>
        <v/>
      </c>
      <c r="BU141" s="220"/>
      <c r="BV141" s="219" t="str">
        <f>IF(C138&gt;0,"",(((BS141/60)*S138)/T138)*((VLOOKUP(BX141,'Pipe Data'!F$7:G$19,2,FALSE))/12))</f>
        <v/>
      </c>
      <c r="BW141" s="218" t="str">
        <f>IF(C138&gt;0,"",(0.25/(LOG(5.74/(BV141^0.9))+((VLOOKUP(BX141,'Pipe Data'!J$7:X$19,15,FALSE))/3.7))^2))</f>
        <v/>
      </c>
      <c r="BX141" s="216">
        <v>3.125</v>
      </c>
      <c r="BY141" s="25" t="str">
        <f t="shared" si="41"/>
        <v/>
      </c>
      <c r="BZ141" s="217">
        <v>4.6091140306364464E-2</v>
      </c>
      <c r="CA141" s="237">
        <v>3.125</v>
      </c>
      <c r="CC141" s="313"/>
      <c r="CD141" s="317"/>
      <c r="CE141" s="215"/>
      <c r="CF141" s="214"/>
      <c r="CQ141" s="25" t="s">
        <v>172</v>
      </c>
      <c r="CR141" s="213">
        <f t="shared" ref="CR141:DC141" si="44">IF($W138="double",IF($AP138="",IF($AO138=CR$8,$X138,0),IF($AP138=CR$8,$X138,0)),0)</f>
        <v>0</v>
      </c>
      <c r="CS141" s="213">
        <f t="shared" si="44"/>
        <v>0</v>
      </c>
      <c r="CT141" s="213">
        <f t="shared" si="44"/>
        <v>0</v>
      </c>
      <c r="CU141" s="213">
        <f t="shared" si="44"/>
        <v>0</v>
      </c>
      <c r="CV141" s="213">
        <f t="shared" si="44"/>
        <v>0</v>
      </c>
      <c r="CW141" s="213">
        <f t="shared" si="44"/>
        <v>0</v>
      </c>
      <c r="CX141" s="213">
        <f t="shared" si="44"/>
        <v>0</v>
      </c>
      <c r="CY141" s="213">
        <f t="shared" si="44"/>
        <v>0</v>
      </c>
      <c r="CZ141" s="213">
        <f t="shared" si="44"/>
        <v>0</v>
      </c>
      <c r="DA141" s="213">
        <f t="shared" si="44"/>
        <v>0</v>
      </c>
      <c r="DB141" s="213">
        <f t="shared" si="44"/>
        <v>0</v>
      </c>
      <c r="DC141" s="213">
        <f t="shared" si="44"/>
        <v>0</v>
      </c>
      <c r="DK141" s="440"/>
      <c r="DL141" s="440"/>
      <c r="DN141" s="1620"/>
      <c r="DR141" s="1231"/>
      <c r="DS141" s="213"/>
      <c r="DT141" s="213"/>
      <c r="DU141" s="213"/>
      <c r="DV141" s="213"/>
      <c r="DW141" s="213"/>
      <c r="DX141" s="213"/>
      <c r="DY141" s="213"/>
      <c r="DZ141" s="213"/>
      <c r="EA141" s="213"/>
    </row>
    <row r="142" spans="1:131" ht="12.75" hidden="1" customHeight="1" x14ac:dyDescent="0.2">
      <c r="D142" s="236"/>
      <c r="E142" s="235"/>
      <c r="F142" s="234"/>
      <c r="G142" s="234"/>
      <c r="H142" s="221"/>
      <c r="I142" s="221"/>
      <c r="J142" s="221"/>
      <c r="K142" s="221"/>
      <c r="L142" s="221"/>
      <c r="M142" s="223"/>
      <c r="N142" s="223"/>
      <c r="O142" s="223"/>
      <c r="P142" s="223"/>
      <c r="Q142" s="224"/>
      <c r="R142" s="223"/>
      <c r="S142" s="223"/>
      <c r="T142" s="227"/>
      <c r="U142" s="224"/>
      <c r="V142" s="224"/>
      <c r="W142" s="222"/>
      <c r="X142" s="221"/>
      <c r="Y142" s="221"/>
      <c r="Z142" s="228"/>
      <c r="AA142" s="227"/>
      <c r="AB142" s="219" t="str">
        <f>IF(C138&gt;0,"",vel(U138,Z138,AH142))</f>
        <v/>
      </c>
      <c r="AC142" s="220" t="str">
        <f>IF(C138&gt;0,"",pdrop(AE142,Y138,Z138,AB142,AF142))</f>
        <v/>
      </c>
      <c r="AD142" s="219" t="str">
        <f>IF(C138&gt;0,"",(((AB142/60)*Z138)/AA138)*(VLOOKUP(AF142,'Pipe Data'!F$7:G$19,2,FALSE))/12)</f>
        <v/>
      </c>
      <c r="AE142" s="218" t="str">
        <f>IF(C138&gt;0,"",(0.25/(LOG(5.74/(AD142^0.9))+((VLOOKUP(AF142,'Pipe Data'!J$7:X$19,15,FALSE))/3.7))^2))</f>
        <v/>
      </c>
      <c r="AF142" s="216">
        <v>2.625</v>
      </c>
      <c r="AH142" s="233">
        <v>3.2338905731737741E-2</v>
      </c>
      <c r="AI142" s="239"/>
      <c r="AJ142" s="238"/>
      <c r="AK142" s="228"/>
      <c r="AL142" s="223"/>
      <c r="AM142" s="230"/>
      <c r="AN142" s="228"/>
      <c r="AO142" s="232"/>
      <c r="AQ142" s="231"/>
      <c r="AR142" s="230"/>
      <c r="AS142" s="224"/>
      <c r="AT142" s="232"/>
      <c r="AV142" s="231"/>
      <c r="AW142" s="230"/>
      <c r="AX142" s="222"/>
      <c r="AY142" s="224"/>
      <c r="AZ142" s="229"/>
      <c r="BA142" s="221"/>
      <c r="BB142" s="228"/>
      <c r="BC142" s="227"/>
      <c r="BD142" s="219" t="str">
        <f>IF(C138&gt;0,"",vel(U138,Z138,BJ142))</f>
        <v/>
      </c>
      <c r="BE142" s="220" t="str">
        <f>IF(C138&gt;0,"",pdrop(BG142,BA138,Z138,BD142,BH142))</f>
        <v/>
      </c>
      <c r="BF142" s="219" t="str">
        <f>IF(C138&gt;0,"",(((BD142/60)*Z138)/$AA$12)*((VLOOKUP(BH142,'Pipe Data'!F$7:G$19,2,FALSE))/12))</f>
        <v/>
      </c>
      <c r="BG142" s="218" t="str">
        <f>IF(C138&gt;0,"",(0.25/(LOG(5.74/(BF142^0.9))+((VLOOKUP(BH142,'Pipe Data'!J$7:X$19,15,FALSE))/3.7))^2))</f>
        <v/>
      </c>
      <c r="BH142" s="216">
        <v>2.625</v>
      </c>
      <c r="BI142" s="25">
        <f t="shared" si="40"/>
        <v>0</v>
      </c>
      <c r="BJ142" s="217">
        <v>3.2338905731737741E-2</v>
      </c>
      <c r="BK142" s="237">
        <v>2.625</v>
      </c>
      <c r="BL142" s="224"/>
      <c r="BM142" s="224"/>
      <c r="BN142" s="224"/>
      <c r="BO142" s="223"/>
      <c r="BP142" s="222"/>
      <c r="BQ142" s="221"/>
      <c r="BR142" s="221"/>
      <c r="BS142" s="219" t="str">
        <f>IF(C138&gt;0,"",vel(U138,S138,BZ142))</f>
        <v/>
      </c>
      <c r="BT142" s="220" t="str">
        <f>IF(C138&gt;0,"",pdrop(BW142,BA138,S138,BS142,BX142))</f>
        <v/>
      </c>
      <c r="BU142" s="220"/>
      <c r="BV142" s="219" t="str">
        <f>IF(C138&gt;0,"",(((BS142/60)*S138)/T138)*((VLOOKUP(BX142,'Pipe Data'!F$7:G$19,2,FALSE))/12))</f>
        <v/>
      </c>
      <c r="BW142" s="218" t="str">
        <f>IF(C138&gt;0,"",(0.25/(LOG(5.74/(BV142^0.9))+((VLOOKUP(BX142,'Pipe Data'!J$7:X$19,15,FALSE))/3.7))^2))</f>
        <v/>
      </c>
      <c r="BX142" s="216">
        <v>2.625</v>
      </c>
      <c r="BY142" s="25" t="str">
        <f t="shared" si="41"/>
        <v/>
      </c>
      <c r="BZ142" s="217">
        <v>3.2338905731737741E-2</v>
      </c>
      <c r="CA142" s="237">
        <v>2.625</v>
      </c>
      <c r="CC142" s="313"/>
      <c r="CD142" s="317"/>
      <c r="CE142" s="215"/>
      <c r="CF142" s="214"/>
      <c r="CQ142" s="25" t="s">
        <v>173</v>
      </c>
      <c r="CR142" s="213">
        <f t="shared" ref="CR142:DC142" si="45">IF($W138="double",IF($AU138="",IF($AT138=CR$8,$X138,0),IF($AU138=CR$8,$X138,0)),0)</f>
        <v>0</v>
      </c>
      <c r="CS142" s="213">
        <f t="shared" si="45"/>
        <v>0</v>
      </c>
      <c r="CT142" s="213">
        <f t="shared" si="45"/>
        <v>0</v>
      </c>
      <c r="CU142" s="213">
        <f t="shared" si="45"/>
        <v>0</v>
      </c>
      <c r="CV142" s="213">
        <f t="shared" si="45"/>
        <v>0</v>
      </c>
      <c r="CW142" s="213">
        <f t="shared" si="45"/>
        <v>0</v>
      </c>
      <c r="CX142" s="213">
        <f t="shared" si="45"/>
        <v>0</v>
      </c>
      <c r="CY142" s="213">
        <f t="shared" si="45"/>
        <v>0</v>
      </c>
      <c r="CZ142" s="213">
        <f t="shared" si="45"/>
        <v>0</v>
      </c>
      <c r="DA142" s="213">
        <f t="shared" si="45"/>
        <v>0</v>
      </c>
      <c r="DB142" s="213">
        <f t="shared" si="45"/>
        <v>0</v>
      </c>
      <c r="DC142" s="213">
        <f t="shared" si="45"/>
        <v>0</v>
      </c>
      <c r="DK142" s="440"/>
      <c r="DL142" s="440"/>
      <c r="DN142" s="1620"/>
      <c r="DR142" s="1231"/>
      <c r="DS142" s="213"/>
      <c r="DT142" s="213"/>
      <c r="DU142" s="213"/>
      <c r="DV142" s="213"/>
      <c r="DW142" s="213"/>
      <c r="DX142" s="213"/>
      <c r="DY142" s="213"/>
      <c r="DZ142" s="213"/>
      <c r="EA142" s="213"/>
    </row>
    <row r="143" spans="1:131" ht="12.75" hidden="1" customHeight="1" x14ac:dyDescent="0.2">
      <c r="D143" s="236"/>
      <c r="E143" s="235"/>
      <c r="F143" s="234"/>
      <c r="G143" s="234"/>
      <c r="H143" s="221"/>
      <c r="I143" s="221"/>
      <c r="J143" s="221"/>
      <c r="K143" s="221"/>
      <c r="L143" s="221"/>
      <c r="M143" s="223"/>
      <c r="N143" s="223"/>
      <c r="O143" s="223"/>
      <c r="P143" s="223"/>
      <c r="Q143" s="224"/>
      <c r="R143" s="223"/>
      <c r="S143" s="223"/>
      <c r="T143" s="227"/>
      <c r="U143" s="224"/>
      <c r="V143" s="224"/>
      <c r="W143" s="222"/>
      <c r="X143" s="221"/>
      <c r="Y143" s="221"/>
      <c r="Z143" s="228"/>
      <c r="AA143" s="227"/>
      <c r="AB143" s="219" t="str">
        <f>IF(C138&gt;0,"",vel(U138,Z138,AH143))</f>
        <v/>
      </c>
      <c r="AC143" s="220" t="str">
        <f>IF(C138&gt;0,"",pdrop(AE143,Y138,Z138,AB143,AF143))</f>
        <v/>
      </c>
      <c r="AD143" s="219" t="str">
        <f>IF(C138&gt;0,"",(((AB143/60)*Z138)/AA138)*(VLOOKUP(AF143,'Pipe Data'!F$7:G$19,2,FALSE))/12)</f>
        <v/>
      </c>
      <c r="AE143" s="218" t="str">
        <f>IF(C138&gt;0,"",(0.25/(LOG(5.74/(AD143^0.9))+((VLOOKUP(AF143,'Pipe Data'!J$7:X$19,15,FALSE))/3.7))^2))</f>
        <v/>
      </c>
      <c r="AF143" s="216">
        <v>2.125</v>
      </c>
      <c r="AH143" s="233">
        <v>2.0931302841008911E-2</v>
      </c>
      <c r="AI143" s="239"/>
      <c r="AJ143" s="238"/>
      <c r="AK143" s="228"/>
      <c r="AL143" s="223"/>
      <c r="AM143" s="230"/>
      <c r="AN143" s="228"/>
      <c r="AO143" s="232"/>
      <c r="AQ143" s="231"/>
      <c r="AR143" s="230"/>
      <c r="AS143" s="224"/>
      <c r="AT143" s="232"/>
      <c r="AV143" s="231"/>
      <c r="AW143" s="230"/>
      <c r="AX143" s="222"/>
      <c r="AY143" s="224"/>
      <c r="AZ143" s="229"/>
      <c r="BA143" s="221"/>
      <c r="BB143" s="228"/>
      <c r="BC143" s="227"/>
      <c r="BD143" s="219" t="str">
        <f>IF(C138&gt;0,"",vel(U138,Z138,BJ143))</f>
        <v/>
      </c>
      <c r="BE143" s="220" t="str">
        <f>IF(C138&gt;0,"",pdrop(BG143,BA138,Z138,BD143,BH143))</f>
        <v/>
      </c>
      <c r="BF143" s="219" t="str">
        <f>IF(C138&gt;0,"",(((BD143/60)*Z138)/$AA$12)*((VLOOKUP(BH143,'Pipe Data'!F$7:G$19,2,FALSE))/12))</f>
        <v/>
      </c>
      <c r="BG143" s="218" t="str">
        <f>IF(C138&gt;0,"",(0.25/(LOG(5.74/(BF143^0.9))+((VLOOKUP(BH143,'Pipe Data'!J$7:X$19,15,FALSE))/3.7))^2))</f>
        <v/>
      </c>
      <c r="BH143" s="216">
        <v>2.125</v>
      </c>
      <c r="BI143" s="25">
        <f t="shared" si="40"/>
        <v>0</v>
      </c>
      <c r="BJ143" s="217">
        <v>2.0931302841008911E-2</v>
      </c>
      <c r="BK143" s="237">
        <v>2.125</v>
      </c>
      <c r="BL143" s="224"/>
      <c r="BM143" s="224"/>
      <c r="BN143" s="224"/>
      <c r="BO143" s="223"/>
      <c r="BP143" s="222"/>
      <c r="BQ143" s="221"/>
      <c r="BR143" s="221"/>
      <c r="BS143" s="219" t="str">
        <f>IF(C138&gt;0,"",vel(U138,S138,BZ143))</f>
        <v/>
      </c>
      <c r="BT143" s="220" t="str">
        <f>IF(C138&gt;0,"",pdrop(BW143,BA138,S138,BS143,BX143))</f>
        <v/>
      </c>
      <c r="BU143" s="220"/>
      <c r="BV143" s="219" t="str">
        <f>IF(C138&gt;0,"",(((BS143/60)*S138)/T138)*((VLOOKUP(BX143,'Pipe Data'!F$7:G$19,2,FALSE))/12))</f>
        <v/>
      </c>
      <c r="BW143" s="218" t="str">
        <f>IF(C138&gt;0,"",(0.25/(LOG(5.74/(BV143^0.9))+((VLOOKUP(BX143,'Pipe Data'!J$7:X$19,15,FALSE))/3.7))^2))</f>
        <v/>
      </c>
      <c r="BX143" s="216">
        <v>2.125</v>
      </c>
      <c r="BY143" s="25" t="str">
        <f t="shared" si="41"/>
        <v/>
      </c>
      <c r="BZ143" s="217">
        <v>2.0931302841008911E-2</v>
      </c>
      <c r="CA143" s="237">
        <v>2.125</v>
      </c>
      <c r="CC143" s="313"/>
      <c r="CD143" s="317"/>
      <c r="CE143" s="215"/>
      <c r="CF143" s="214"/>
      <c r="DK143" s="440"/>
      <c r="DL143" s="440"/>
      <c r="DN143" s="1620"/>
      <c r="DR143" s="1231"/>
      <c r="DS143" s="213"/>
      <c r="DT143" s="213"/>
      <c r="DU143" s="213"/>
      <c r="DV143" s="213"/>
      <c r="DW143" s="213"/>
      <c r="DX143" s="213"/>
      <c r="DY143" s="213"/>
      <c r="DZ143" s="213"/>
      <c r="EA143" s="213"/>
    </row>
    <row r="144" spans="1:131" ht="12.75" hidden="1" customHeight="1" x14ac:dyDescent="0.2">
      <c r="D144" s="236"/>
      <c r="E144" s="235"/>
      <c r="F144" s="234"/>
      <c r="G144" s="234"/>
      <c r="H144" s="221"/>
      <c r="I144" s="221"/>
      <c r="J144" s="221"/>
      <c r="K144" s="221"/>
      <c r="L144" s="221"/>
      <c r="M144" s="223"/>
      <c r="N144" s="223"/>
      <c r="O144" s="223"/>
      <c r="P144" s="223"/>
      <c r="Q144" s="224"/>
      <c r="R144" s="223"/>
      <c r="S144" s="223"/>
      <c r="T144" s="227"/>
      <c r="U144" s="224"/>
      <c r="V144" s="224"/>
      <c r="W144" s="222"/>
      <c r="X144" s="221"/>
      <c r="Y144" s="221"/>
      <c r="Z144" s="228"/>
      <c r="AA144" s="227"/>
      <c r="AB144" s="219" t="str">
        <f>IF(C138&gt;0,"",vel(U138,Z138,AH144))</f>
        <v/>
      </c>
      <c r="AC144" s="220" t="str">
        <f>IF(C138&gt;0,"",pdrop(AE144,Y138,Z138,AB144,AF144))</f>
        <v/>
      </c>
      <c r="AD144" s="219" t="str">
        <f>IF(C138&gt;0,"",(((AB144/60)*Z138)/AA138)*(VLOOKUP(AF144,'Pipe Data'!F$7:G$19,2,FALSE))/12)</f>
        <v/>
      </c>
      <c r="AE144" s="218" t="str">
        <f>IF(C138&gt;0,"",(0.25/(LOG(5.74/(AD144^0.9))+((VLOOKUP(AF144,'Pipe Data'!J$7:X$19,15,FALSE))/3.7))^2))</f>
        <v/>
      </c>
      <c r="AF144" s="216">
        <v>1.625</v>
      </c>
      <c r="AH144" s="233">
        <v>1.2353794965620174E-2</v>
      </c>
      <c r="AI144" s="239"/>
      <c r="AJ144" s="238"/>
      <c r="AK144" s="228"/>
      <c r="AL144" s="223"/>
      <c r="AM144" s="230"/>
      <c r="AN144" s="228"/>
      <c r="AO144" s="232"/>
      <c r="AQ144" s="231"/>
      <c r="AR144" s="230"/>
      <c r="AS144" s="224"/>
      <c r="AT144" s="232"/>
      <c r="AV144" s="231"/>
      <c r="AW144" s="230"/>
      <c r="AX144" s="222"/>
      <c r="AY144" s="224"/>
      <c r="AZ144" s="229"/>
      <c r="BA144" s="221"/>
      <c r="BB144" s="228"/>
      <c r="BC144" s="227"/>
      <c r="BD144" s="219" t="str">
        <f>IF(C138&gt;0,"",vel(U138,Z138,BJ144))</f>
        <v/>
      </c>
      <c r="BE144" s="220" t="str">
        <f>IF(C138&gt;0,"",pdrop(BG144,BA138,Z138,BD144,BH144))</f>
        <v/>
      </c>
      <c r="BF144" s="219" t="str">
        <f>IF(C138&gt;0,"",(((BD144/60)*Z138)/$AA$12)*((VLOOKUP(BH144,'Pipe Data'!F$7:G$19,2,FALSE))/12))</f>
        <v/>
      </c>
      <c r="BG144" s="218" t="str">
        <f>IF(C138&gt;0,"",(0.25/(LOG(5.74/(BF144^0.9))+((VLOOKUP(BH144,'Pipe Data'!J$7:X$19,15,FALSE))/3.7))^2))</f>
        <v/>
      </c>
      <c r="BH144" s="216">
        <v>1.625</v>
      </c>
      <c r="BI144" s="25">
        <f t="shared" si="40"/>
        <v>0</v>
      </c>
      <c r="BJ144" s="217">
        <v>1.2353794965620174E-2</v>
      </c>
      <c r="BK144" s="237">
        <v>1.625</v>
      </c>
      <c r="BL144" s="224"/>
      <c r="BM144" s="224"/>
      <c r="BN144" s="224"/>
      <c r="BO144" s="223"/>
      <c r="BP144" s="222"/>
      <c r="BQ144" s="221"/>
      <c r="BR144" s="221"/>
      <c r="BS144" s="219" t="str">
        <f>IF(C138&gt;0,"",vel(U138,S138,BZ144))</f>
        <v/>
      </c>
      <c r="BT144" s="220" t="str">
        <f>IF(C138&gt;0,"",pdrop(BW144,BA138,S138,BS144,BX144))</f>
        <v/>
      </c>
      <c r="BU144" s="220"/>
      <c r="BV144" s="219" t="str">
        <f>IF(C138&gt;0,"",(((BS144/60)*S138)/T138)*((VLOOKUP(BX144,'Pipe Data'!F$7:G$19,2,FALSE))/12))</f>
        <v/>
      </c>
      <c r="BW144" s="218" t="str">
        <f>IF(C138&gt;0,"",(0.25/(LOG(5.74/(BV144^0.9))+((VLOOKUP(BX144,'Pipe Data'!J$7:X$19,15,FALSE))/3.7))^2))</f>
        <v/>
      </c>
      <c r="BX144" s="216">
        <v>1.625</v>
      </c>
      <c r="BY144" s="25" t="str">
        <f t="shared" si="41"/>
        <v/>
      </c>
      <c r="BZ144" s="217">
        <v>1.2353794965620174E-2</v>
      </c>
      <c r="CA144" s="237">
        <v>1.625</v>
      </c>
      <c r="CC144" s="313"/>
      <c r="CD144" s="317"/>
      <c r="CE144" s="215"/>
      <c r="CF144" s="214"/>
      <c r="DK144" s="440"/>
      <c r="DL144" s="440"/>
      <c r="DN144" s="1620"/>
      <c r="DR144" s="1231"/>
      <c r="DS144" s="213"/>
      <c r="DT144" s="213"/>
      <c r="DU144" s="213"/>
      <c r="DV144" s="213"/>
      <c r="DW144" s="213"/>
      <c r="DX144" s="213"/>
      <c r="DY144" s="213"/>
      <c r="DZ144" s="213"/>
      <c r="EA144" s="213"/>
    </row>
    <row r="145" spans="1:131" ht="12.75" hidden="1" customHeight="1" x14ac:dyDescent="0.2">
      <c r="D145" s="236"/>
      <c r="E145" s="235"/>
      <c r="F145" s="234"/>
      <c r="G145" s="234"/>
      <c r="H145" s="221"/>
      <c r="I145" s="221"/>
      <c r="J145" s="221"/>
      <c r="K145" s="221"/>
      <c r="L145" s="221"/>
      <c r="M145" s="223"/>
      <c r="N145" s="223"/>
      <c r="O145" s="223"/>
      <c r="P145" s="223"/>
      <c r="Q145" s="224"/>
      <c r="R145" s="223"/>
      <c r="S145" s="223"/>
      <c r="T145" s="227"/>
      <c r="U145" s="224"/>
      <c r="V145" s="224"/>
      <c r="W145" s="222"/>
      <c r="X145" s="221"/>
      <c r="Y145" s="221"/>
      <c r="Z145" s="228"/>
      <c r="AA145" s="227"/>
      <c r="AB145" s="219" t="str">
        <f>IF(C138&gt;0,"",vel(U138,Z138,AH145))</f>
        <v/>
      </c>
      <c r="AC145" s="220" t="str">
        <f>IF(C138&gt;0,"",pdrop(AE145,Y138,Z138,AB145,AF145))</f>
        <v/>
      </c>
      <c r="AD145" s="219" t="str">
        <f>IF(C138&gt;0,"",(((AB145/60)*Z138)/AA138)*(VLOOKUP(AF145,'Pipe Data'!F$7:G$19,2,FALSE))/12)</f>
        <v/>
      </c>
      <c r="AE145" s="218" t="str">
        <f>IF(C138&gt;0,"",(0.25/(LOG(5.74/(AD145^0.9))+((VLOOKUP(AF145,'Pipe Data'!J$7:X$19,15,FALSE))/3.7))^2))</f>
        <v/>
      </c>
      <c r="AF145" s="216">
        <v>1.375</v>
      </c>
      <c r="AH145" s="233">
        <v>8.7278734446019548E-3</v>
      </c>
      <c r="AI145" s="239"/>
      <c r="AJ145" s="238"/>
      <c r="AK145" s="228"/>
      <c r="AL145" s="223"/>
      <c r="AM145" s="230"/>
      <c r="AN145" s="228"/>
      <c r="AO145" s="232"/>
      <c r="AQ145" s="231"/>
      <c r="AR145" s="230"/>
      <c r="AS145" s="224"/>
      <c r="AT145" s="232"/>
      <c r="AV145" s="231"/>
      <c r="AW145" s="230"/>
      <c r="AX145" s="222"/>
      <c r="AY145" s="224"/>
      <c r="AZ145" s="229"/>
      <c r="BA145" s="221"/>
      <c r="BB145" s="228"/>
      <c r="BC145" s="227"/>
      <c r="BD145" s="219" t="str">
        <f>IF(C138&gt;0,"",vel(U138,Z138,BJ145))</f>
        <v/>
      </c>
      <c r="BE145" s="220" t="str">
        <f>IF(C138&gt;0,"",pdrop(BG145,BA138,Z138,BD145,BH145))</f>
        <v/>
      </c>
      <c r="BF145" s="219" t="str">
        <f>IF(C138&gt;0,"",(((BD145/60)*Z138)/$AA$12)*((VLOOKUP(BH145,'Pipe Data'!F$7:G$19,2,FALSE))/12))</f>
        <v/>
      </c>
      <c r="BG145" s="218" t="str">
        <f>IF(C138&gt;0,"",(0.25/(LOG(5.74/(BF145^0.9))+((VLOOKUP(BH145,'Pipe Data'!J$7:X$19,15,FALSE))/3.7))^2))</f>
        <v/>
      </c>
      <c r="BH145" s="216">
        <v>1.375</v>
      </c>
      <c r="BI145" s="25">
        <f t="shared" si="40"/>
        <v>0</v>
      </c>
      <c r="BJ145" s="217">
        <v>8.7278734446019548E-3</v>
      </c>
      <c r="BK145" s="237">
        <v>1.375</v>
      </c>
      <c r="BL145" s="224"/>
      <c r="BM145" s="224"/>
      <c r="BN145" s="224"/>
      <c r="BO145" s="223"/>
      <c r="BP145" s="222"/>
      <c r="BQ145" s="221"/>
      <c r="BR145" s="221"/>
      <c r="BS145" s="219" t="str">
        <f>IF(C138&gt;0,"",vel(U138,S138,BZ145))</f>
        <v/>
      </c>
      <c r="BT145" s="220" t="str">
        <f>IF(C138&gt;0,"",pdrop(BW145,BA138,S138,BS145,BX145))</f>
        <v/>
      </c>
      <c r="BU145" s="220"/>
      <c r="BV145" s="219" t="str">
        <f>IF(C138&gt;0,"",(((BS145/60)*S138)/T138)*((VLOOKUP(BX145,'Pipe Data'!F$7:G$19,2,FALSE))/12))</f>
        <v/>
      </c>
      <c r="BW145" s="218" t="str">
        <f>IF(C138&gt;0,"",(0.25/(LOG(5.74/(BV145^0.9))+((VLOOKUP(BX145,'Pipe Data'!J$7:X$19,15,FALSE))/3.7))^2))</f>
        <v/>
      </c>
      <c r="BX145" s="216">
        <v>1.375</v>
      </c>
      <c r="BY145" s="25" t="str">
        <f t="shared" si="41"/>
        <v/>
      </c>
      <c r="BZ145" s="217">
        <v>8.7278734446019548E-3</v>
      </c>
      <c r="CA145" s="237">
        <v>1.375</v>
      </c>
      <c r="CC145" s="313"/>
      <c r="CD145" s="317"/>
      <c r="CE145" s="215"/>
      <c r="CF145" s="214"/>
      <c r="DK145" s="440"/>
      <c r="DL145" s="440"/>
      <c r="DN145" s="1620"/>
      <c r="DR145" s="1231"/>
      <c r="DS145" s="213"/>
      <c r="DT145" s="213"/>
      <c r="DU145" s="213"/>
      <c r="DV145" s="213"/>
      <c r="DW145" s="213"/>
      <c r="DX145" s="213"/>
      <c r="DY145" s="213"/>
      <c r="DZ145" s="213"/>
      <c r="EA145" s="213"/>
    </row>
    <row r="146" spans="1:131" ht="12.75" hidden="1" customHeight="1" x14ac:dyDescent="0.2">
      <c r="D146" s="236"/>
      <c r="E146" s="235"/>
      <c r="F146" s="234"/>
      <c r="G146" s="234"/>
      <c r="H146" s="221"/>
      <c r="I146" s="221"/>
      <c r="J146" s="221"/>
      <c r="K146" s="221"/>
      <c r="L146" s="221"/>
      <c r="M146" s="223"/>
      <c r="N146" s="223"/>
      <c r="O146" s="223"/>
      <c r="P146" s="223"/>
      <c r="Q146" s="224"/>
      <c r="R146" s="223"/>
      <c r="S146" s="223"/>
      <c r="T146" s="227"/>
      <c r="U146" s="224"/>
      <c r="V146" s="224"/>
      <c r="W146" s="222"/>
      <c r="X146" s="221"/>
      <c r="Y146" s="221"/>
      <c r="Z146" s="228"/>
      <c r="AA146" s="227"/>
      <c r="AB146" s="219" t="str">
        <f>IF(C138&gt;0,"",vel(U138,Z138,AH146))</f>
        <v/>
      </c>
      <c r="AC146" s="220" t="str">
        <f>IF(C138&gt;0,"",pdrop(AE146,Y138,Z138,AB146,AF146))</f>
        <v/>
      </c>
      <c r="AD146" s="219" t="str">
        <f>IF(C138&gt;0,"",(((AB146/60)*Z138)/AA138)*(VLOOKUP(AF146,'Pipe Data'!F$7:G$19,2,FALSE))/12)</f>
        <v/>
      </c>
      <c r="AE146" s="218" t="str">
        <f>IF(C138&gt;0,"",(0.25/(LOG(5.74/(AD146^0.9))+((VLOOKUP(AF146,'Pipe Data'!J$7:X$19,15,FALSE))/3.7))^2))</f>
        <v/>
      </c>
      <c r="AF146" s="216">
        <v>1.125</v>
      </c>
      <c r="AH146" s="233">
        <v>5.7302704543016935E-3</v>
      </c>
      <c r="AI146" s="239"/>
      <c r="AJ146" s="238"/>
      <c r="AK146" s="228"/>
      <c r="AL146" s="223"/>
      <c r="AM146" s="230"/>
      <c r="AN146" s="228"/>
      <c r="AO146" s="232"/>
      <c r="AQ146" s="231"/>
      <c r="AR146" s="230"/>
      <c r="AS146" s="224"/>
      <c r="AT146" s="232"/>
      <c r="AV146" s="231"/>
      <c r="AW146" s="230"/>
      <c r="AX146" s="222"/>
      <c r="AY146" s="224"/>
      <c r="AZ146" s="229"/>
      <c r="BA146" s="221"/>
      <c r="BB146" s="228"/>
      <c r="BC146" s="227"/>
      <c r="BD146" s="219" t="str">
        <f>IF(C138&gt;0,"",vel(U138,Z138,BJ146))</f>
        <v/>
      </c>
      <c r="BE146" s="220" t="str">
        <f>IF(C138&gt;0,"",pdrop(BG146,BA138,Z138,BD146,BH146))</f>
        <v/>
      </c>
      <c r="BF146" s="219" t="str">
        <f>IF(C138&gt;0,"",(((BD146/60)*Z138)/$AA$12)*((VLOOKUP(BH146,'Pipe Data'!F$7:G$19,2,FALSE))/12))</f>
        <v/>
      </c>
      <c r="BG146" s="218" t="str">
        <f>IF(C138&gt;0,"",(0.25/(LOG(5.74/(BF146^0.9))+((VLOOKUP(BH146,'Pipe Data'!J$7:X$19,15,FALSE))/3.7))^2))</f>
        <v/>
      </c>
      <c r="BH146" s="216">
        <v>1.125</v>
      </c>
      <c r="BI146" s="25">
        <f t="shared" si="40"/>
        <v>0</v>
      </c>
      <c r="BJ146" s="217">
        <v>5.7302704543016935E-3</v>
      </c>
      <c r="BK146" s="237">
        <v>1.125</v>
      </c>
      <c r="BL146" s="224"/>
      <c r="BM146" s="224"/>
      <c r="BN146" s="224"/>
      <c r="BO146" s="223"/>
      <c r="BP146" s="222"/>
      <c r="BQ146" s="221"/>
      <c r="BR146" s="221"/>
      <c r="BS146" s="219" t="str">
        <f>IF(C138&gt;0,"",vel(U138,S138,BZ146))</f>
        <v/>
      </c>
      <c r="BT146" s="220" t="str">
        <f>IF(C138&gt;0,"",pdrop(BW146,BA138,S138,BS146,BX146))</f>
        <v/>
      </c>
      <c r="BU146" s="220"/>
      <c r="BV146" s="219" t="str">
        <f>IF(C138&gt;0,"",(((BS146/60)*S138)/T138)*((VLOOKUP(BX146,'Pipe Data'!F$7:G$19,2,FALSE))/12))</f>
        <v/>
      </c>
      <c r="BW146" s="218" t="str">
        <f>IF(C138&gt;0,"",(0.25/(LOG(5.74/(BV146^0.9))+((VLOOKUP(BX146,'Pipe Data'!J$7:X$19,15,FALSE))/3.7))^2))</f>
        <v/>
      </c>
      <c r="BX146" s="216">
        <v>1.125</v>
      </c>
      <c r="BY146" s="25" t="str">
        <f t="shared" si="41"/>
        <v/>
      </c>
      <c r="BZ146" s="217">
        <v>5.7302704543016935E-3</v>
      </c>
      <c r="CA146" s="237">
        <v>1.125</v>
      </c>
      <c r="CC146" s="313"/>
      <c r="CD146" s="317"/>
      <c r="CE146" s="215"/>
      <c r="CF146" s="214"/>
      <c r="DK146" s="440"/>
      <c r="DL146" s="440"/>
      <c r="DN146" s="1620"/>
      <c r="DR146" s="1231"/>
      <c r="DS146" s="213"/>
      <c r="DT146" s="213"/>
      <c r="DU146" s="213"/>
      <c r="DV146" s="213"/>
      <c r="DW146" s="213"/>
      <c r="DX146" s="213"/>
      <c r="DY146" s="213"/>
      <c r="DZ146" s="213"/>
      <c r="EA146" s="213"/>
    </row>
    <row r="147" spans="1:131" ht="12.75" hidden="1" customHeight="1" x14ac:dyDescent="0.2">
      <c r="D147" s="236"/>
      <c r="E147" s="235"/>
      <c r="F147" s="234"/>
      <c r="G147" s="234"/>
      <c r="H147" s="221"/>
      <c r="I147" s="221"/>
      <c r="J147" s="221"/>
      <c r="K147" s="221"/>
      <c r="L147" s="221"/>
      <c r="M147" s="223"/>
      <c r="N147" s="223"/>
      <c r="O147" s="223"/>
      <c r="P147" s="223"/>
      <c r="Q147" s="224"/>
      <c r="R147" s="223"/>
      <c r="S147" s="223"/>
      <c r="T147" s="227"/>
      <c r="U147" s="224"/>
      <c r="V147" s="224"/>
      <c r="W147" s="222"/>
      <c r="X147" s="221"/>
      <c r="Y147" s="221"/>
      <c r="Z147" s="228"/>
      <c r="AA147" s="227"/>
      <c r="AB147" s="219" t="str">
        <f>IF(C138&gt;0,"",vel(U138,Z138,AH147))</f>
        <v/>
      </c>
      <c r="AC147" s="220" t="str">
        <f>IF(C138&gt;0,"",pdrop(AE147,Y138,Z138,AB147,AF147))</f>
        <v/>
      </c>
      <c r="AD147" s="219" t="str">
        <f>IF(C138&gt;0,"",(((AB147/60)*Z138)/AA138)*(VLOOKUP(AF147,'Pipe Data'!F$7:G$19,2,FALSE))/12)</f>
        <v/>
      </c>
      <c r="AE147" s="218" t="str">
        <f>IF(C138&gt;0,"",(0.25/(LOG(5.74/(AD147^0.9))+((VLOOKUP(AF147,'Pipe Data'!J$7:X$19,15,FALSE))/3.7))^2))</f>
        <v/>
      </c>
      <c r="AF147" s="216">
        <v>0.875</v>
      </c>
      <c r="AH147" s="233">
        <v>3.3609859947193927E-3</v>
      </c>
      <c r="AI147" s="239"/>
      <c r="AJ147" s="238"/>
      <c r="AK147" s="228"/>
      <c r="AL147" s="223"/>
      <c r="AM147" s="230"/>
      <c r="AN147" s="228"/>
      <c r="AO147" s="232"/>
      <c r="AQ147" s="231"/>
      <c r="AR147" s="230"/>
      <c r="AS147" s="224"/>
      <c r="AT147" s="232"/>
      <c r="AV147" s="231"/>
      <c r="AW147" s="230"/>
      <c r="AX147" s="222"/>
      <c r="AY147" s="224"/>
      <c r="AZ147" s="229"/>
      <c r="BA147" s="221"/>
      <c r="BB147" s="228"/>
      <c r="BC147" s="227"/>
      <c r="BD147" s="219" t="str">
        <f>IF(C138&gt;0,"",vel(U138,Z138,BJ147))</f>
        <v/>
      </c>
      <c r="BE147" s="220" t="str">
        <f>IF(C138&gt;0,"",pdrop(BG147,BA138,Z138,BD147,BH147))</f>
        <v/>
      </c>
      <c r="BF147" s="219" t="str">
        <f>IF(C138&gt;0,"",(((BD147/60)*Z138)/$AA$12)*((VLOOKUP(BH147,'Pipe Data'!F$7:G$19,2,FALSE))/12))</f>
        <v/>
      </c>
      <c r="BG147" s="218" t="str">
        <f>IF(C138&gt;0,"",(0.25/(LOG(5.74/(BF147^0.9))+((VLOOKUP(BH147,'Pipe Data'!J$7:X$19,15,FALSE))/3.7))^2))</f>
        <v/>
      </c>
      <c r="BH147" s="216">
        <v>0.875</v>
      </c>
      <c r="BI147" s="25">
        <f t="shared" si="40"/>
        <v>0</v>
      </c>
      <c r="BJ147" s="217">
        <v>3.3609859947193927E-3</v>
      </c>
      <c r="BK147" s="237">
        <v>0.875</v>
      </c>
      <c r="BL147" s="224"/>
      <c r="BM147" s="224"/>
      <c r="BN147" s="224"/>
      <c r="BO147" s="223"/>
      <c r="BP147" s="222"/>
      <c r="BQ147" s="221"/>
      <c r="BR147" s="221"/>
      <c r="BS147" s="219" t="str">
        <f>IF(C138&gt;0,"",vel(U138,S138,BZ147))</f>
        <v/>
      </c>
      <c r="BT147" s="220" t="str">
        <f>IF(C138&gt;0,"",pdrop(BW147,BA138,S138,BS147,BX147))</f>
        <v/>
      </c>
      <c r="BU147" s="220"/>
      <c r="BV147" s="219" t="str">
        <f>IF(C138&gt;0,"",(((BS147/60)*S138)/T138)*((VLOOKUP(BX147,'Pipe Data'!F$7:G$19,2,FALSE))/12))</f>
        <v/>
      </c>
      <c r="BW147" s="218" t="str">
        <f>IF(C138&gt;0,"",(0.25/(LOG(5.74/(BV147^0.9))+((VLOOKUP(BX147,'Pipe Data'!J$7:X$19,15,FALSE))/3.7))^2))</f>
        <v/>
      </c>
      <c r="BX147" s="216">
        <v>0.875</v>
      </c>
      <c r="BY147" s="25" t="str">
        <f t="shared" si="41"/>
        <v/>
      </c>
      <c r="BZ147" s="217">
        <v>3.3609859947193927E-3</v>
      </c>
      <c r="CA147" s="237">
        <v>0.875</v>
      </c>
      <c r="CC147" s="313"/>
      <c r="CD147" s="317"/>
      <c r="CE147" s="215"/>
      <c r="CF147" s="214"/>
      <c r="DK147" s="440"/>
      <c r="DL147" s="440"/>
      <c r="DN147" s="1620"/>
      <c r="DR147" s="1231"/>
      <c r="DS147" s="213"/>
      <c r="DT147" s="213"/>
      <c r="DU147" s="213"/>
      <c r="DV147" s="213"/>
      <c r="DW147" s="213"/>
      <c r="DX147" s="213"/>
      <c r="DY147" s="213"/>
      <c r="DZ147" s="213"/>
      <c r="EA147" s="213"/>
    </row>
    <row r="148" spans="1:131" ht="12.75" hidden="1" customHeight="1" x14ac:dyDescent="0.2">
      <c r="D148" s="236"/>
      <c r="E148" s="235"/>
      <c r="F148" s="234"/>
      <c r="G148" s="234"/>
      <c r="H148" s="221"/>
      <c r="I148" s="221"/>
      <c r="J148" s="221"/>
      <c r="K148" s="221"/>
      <c r="L148" s="221"/>
      <c r="M148" s="223"/>
      <c r="N148" s="223"/>
      <c r="O148" s="223"/>
      <c r="P148" s="223"/>
      <c r="Q148" s="224"/>
      <c r="R148" s="223"/>
      <c r="S148" s="223"/>
      <c r="T148" s="227"/>
      <c r="U148" s="224"/>
      <c r="V148" s="224"/>
      <c r="W148" s="222"/>
      <c r="X148" s="221"/>
      <c r="Y148" s="221"/>
      <c r="Z148" s="228"/>
      <c r="AA148" s="227"/>
      <c r="AB148" s="219" t="str">
        <f>IF(C138&gt;0,"",vel(U138,Z138,AH148))</f>
        <v/>
      </c>
      <c r="AC148" s="220" t="str">
        <f>IF(C138&gt;0,"",pdrop(AE148,Y138,Z138,AB148,AF148))</f>
        <v/>
      </c>
      <c r="AD148" s="219" t="str">
        <f>IF(C138&gt;0,"",(((AB148/60)*Z138)/AA138)*(VLOOKUP(AF148,'Pipe Data'!F$7:G$19,2,FALSE))/12)</f>
        <v/>
      </c>
      <c r="AE148" s="218" t="str">
        <f>IF(C138&gt;0,"",(0.25/(LOG(5.74/(AD148^0.9))+((VLOOKUP(AF148,'Pipe Data'!J$7:X$19,15,FALSE))/3.7))^2))</f>
        <v/>
      </c>
      <c r="AF148" s="216">
        <v>0.625</v>
      </c>
      <c r="AH148" s="233">
        <v>1.6200200658550491E-3</v>
      </c>
      <c r="AI148" s="239"/>
      <c r="AJ148" s="238"/>
      <c r="AK148" s="228"/>
      <c r="AL148" s="223"/>
      <c r="AM148" s="230"/>
      <c r="AN148" s="228"/>
      <c r="AO148" s="232"/>
      <c r="AQ148" s="231"/>
      <c r="AR148" s="230"/>
      <c r="AS148" s="224"/>
      <c r="AT148" s="232"/>
      <c r="AV148" s="231"/>
      <c r="AW148" s="230"/>
      <c r="AX148" s="222"/>
      <c r="AY148" s="224"/>
      <c r="AZ148" s="229"/>
      <c r="BA148" s="221"/>
      <c r="BB148" s="228"/>
      <c r="BC148" s="227"/>
      <c r="BD148" s="219" t="str">
        <f>IF(C138&gt;0,"",vel(U138,Z138,BJ148))</f>
        <v/>
      </c>
      <c r="BE148" s="220" t="str">
        <f>IF(C138&gt;0,"",pdrop(BG148,BA138,Z138,BD148,BH148))</f>
        <v/>
      </c>
      <c r="BF148" s="219" t="str">
        <f>IF(C138&gt;0,"",(((BD148/60)*Z138)/$AA$12)*((VLOOKUP(BH148,'Pipe Data'!F$7:G$19,2,FALSE))/12))</f>
        <v/>
      </c>
      <c r="BG148" s="218" t="str">
        <f>IF(C138&gt;0,"",(0.25/(LOG(5.74/(BF148^0.9))+((VLOOKUP(BH148,'Pipe Data'!J$7:X$19,15,FALSE))/3.7))^2))</f>
        <v/>
      </c>
      <c r="BH148" s="216">
        <v>0.625</v>
      </c>
      <c r="BI148" s="25">
        <f t="shared" si="40"/>
        <v>0</v>
      </c>
      <c r="BJ148" s="217">
        <v>1.6200200658550491E-3</v>
      </c>
      <c r="BK148" s="237">
        <v>0.625</v>
      </c>
      <c r="BL148" s="224"/>
      <c r="BM148" s="224"/>
      <c r="BN148" s="224"/>
      <c r="BO148" s="223"/>
      <c r="BP148" s="222"/>
      <c r="BQ148" s="221"/>
      <c r="BR148" s="221"/>
      <c r="BS148" s="219" t="str">
        <f>IF(C138&gt;0,"",vel(U138,S138,BZ148))</f>
        <v/>
      </c>
      <c r="BT148" s="220" t="str">
        <f>IF(C138&gt;0,"",pdrop(BW148,BA138,S138,BS148,BX148))</f>
        <v/>
      </c>
      <c r="BU148" s="220"/>
      <c r="BV148" s="219" t="str">
        <f>IF(C138&gt;0,"",(((BS148/60)*S138)/T138)*((VLOOKUP(BX148,'Pipe Data'!F$7:G$19,2,FALSE))/12))</f>
        <v/>
      </c>
      <c r="BW148" s="218" t="str">
        <f>IF(C138&gt;0,"",(0.25/(LOG(5.74/(BV148^0.9))+((VLOOKUP(BX148,'Pipe Data'!J$7:X$19,15,FALSE))/3.7))^2))</f>
        <v/>
      </c>
      <c r="BX148" s="216">
        <v>0.625</v>
      </c>
      <c r="BY148" s="25" t="str">
        <f t="shared" si="41"/>
        <v/>
      </c>
      <c r="BZ148" s="217">
        <v>1.6200200658550491E-3</v>
      </c>
      <c r="CA148" s="237">
        <v>0.625</v>
      </c>
      <c r="CC148" s="313"/>
      <c r="CD148" s="317"/>
      <c r="CE148" s="215"/>
      <c r="CF148" s="214"/>
      <c r="DK148" s="440"/>
      <c r="DL148" s="440"/>
      <c r="DN148" s="1620"/>
      <c r="DR148" s="1231"/>
      <c r="DS148" s="213"/>
      <c r="DT148" s="213"/>
      <c r="DU148" s="213"/>
      <c r="DV148" s="213"/>
      <c r="DW148" s="213"/>
      <c r="DX148" s="213"/>
      <c r="DY148" s="213"/>
      <c r="DZ148" s="213"/>
      <c r="EA148" s="213"/>
    </row>
    <row r="149" spans="1:131" ht="12.75" hidden="1" customHeight="1" x14ac:dyDescent="0.2">
      <c r="D149" s="236"/>
      <c r="E149" s="235"/>
      <c r="F149" s="234"/>
      <c r="G149" s="234"/>
      <c r="H149" s="221"/>
      <c r="I149" s="221"/>
      <c r="J149" s="221"/>
      <c r="K149" s="221"/>
      <c r="L149" s="221"/>
      <c r="M149" s="223"/>
      <c r="N149" s="223"/>
      <c r="O149" s="223"/>
      <c r="P149" s="223"/>
      <c r="Q149" s="224"/>
      <c r="R149" s="223"/>
      <c r="S149" s="223"/>
      <c r="T149" s="227"/>
      <c r="U149" s="224"/>
      <c r="V149" s="224"/>
      <c r="W149" s="222"/>
      <c r="X149" s="221"/>
      <c r="Y149" s="221"/>
      <c r="Z149" s="228"/>
      <c r="AA149" s="227"/>
      <c r="AB149" s="219" t="str">
        <f>IF(C138&gt;0,"",vel(U138,Z138,AH149))</f>
        <v/>
      </c>
      <c r="AC149" s="220" t="str">
        <f>IF(C138&gt;0,"",pdrop(AE149,Y138,Z138,AB149,AF149))</f>
        <v/>
      </c>
      <c r="AD149" s="219" t="str">
        <f>IF(C138&gt;0,"",(((AB149/60)*Z138)/AA138)*(VLOOKUP(AF149,'Pipe Data'!F$7:G$19,2,FALSE))/12)</f>
        <v/>
      </c>
      <c r="AE149" s="218" t="str">
        <f>IF(C138&gt;0,"",(0.25/(LOG(5.74/(AD149^0.9))+((VLOOKUP(AF149,'Pipe Data'!J$7:X$19,15,FALSE))/3.7))^2))</f>
        <v/>
      </c>
      <c r="AF149" s="216">
        <v>0.5</v>
      </c>
      <c r="AH149" s="233">
        <v>1.0084730584179735E-3</v>
      </c>
      <c r="AI149" s="239"/>
      <c r="AJ149" s="238"/>
      <c r="AK149" s="228"/>
      <c r="AL149" s="223"/>
      <c r="AM149" s="230"/>
      <c r="AN149" s="228"/>
      <c r="AO149" s="232"/>
      <c r="AQ149" s="231"/>
      <c r="AR149" s="230"/>
      <c r="AS149" s="224"/>
      <c r="AT149" s="232"/>
      <c r="AV149" s="231"/>
      <c r="AW149" s="230"/>
      <c r="AX149" s="222"/>
      <c r="AY149" s="224"/>
      <c r="AZ149" s="229"/>
      <c r="BA149" s="221"/>
      <c r="BB149" s="228"/>
      <c r="BC149" s="227"/>
      <c r="BD149" s="219" t="str">
        <f>IF(C138&gt;0,"",vel(U138,Z138,BJ149))</f>
        <v/>
      </c>
      <c r="BE149" s="220" t="str">
        <f>IF(C138&gt;0,"",pdrop(BG149,BA138,Z138,BD149,BH149))</f>
        <v/>
      </c>
      <c r="BF149" s="219" t="str">
        <f>IF(C138&gt;0,"",(((BD149/60)*Z138)/$AA$12)*((VLOOKUP(BH149,'Pipe Data'!F$7:G$19,2,FALSE))/12))</f>
        <v/>
      </c>
      <c r="BG149" s="218" t="str">
        <f>IF(C138&gt;0,"",(0.25/(LOG(5.74/(BF149^0.9))+((VLOOKUP(BH149,'Pipe Data'!J$7:X$19,15,FALSE))/3.7))^2))</f>
        <v/>
      </c>
      <c r="BH149" s="216">
        <v>0.5</v>
      </c>
      <c r="BI149" s="25">
        <v>1</v>
      </c>
      <c r="BJ149" s="217">
        <v>1.0084730584179735E-3</v>
      </c>
      <c r="BK149" s="237">
        <v>0.5</v>
      </c>
      <c r="BL149" s="224"/>
      <c r="BM149" s="224"/>
      <c r="BN149" s="224"/>
      <c r="BO149" s="223"/>
      <c r="BP149" s="222"/>
      <c r="BQ149" s="221"/>
      <c r="BR149" s="221"/>
      <c r="BS149" s="219" t="str">
        <f>IF(C138&gt;0,"",vel(U138,S138,BZ149))</f>
        <v/>
      </c>
      <c r="BT149" s="220" t="str">
        <f>IF(C138&gt;0,"",pdrop(BW149,BA138,S138,BS149,BX149))</f>
        <v/>
      </c>
      <c r="BU149" s="220"/>
      <c r="BV149" s="219" t="str">
        <f>IF(C138&gt;0,"",(((BS149/60)*S138)/T138)*((VLOOKUP(BX149,'Pipe Data'!F$7:G$19,2,FALSE))/12))</f>
        <v/>
      </c>
      <c r="BW149" s="218" t="str">
        <f>IF(C138&gt;0,"",(0.25/(LOG(5.74/(BV149^0.9))+((VLOOKUP(BX149,'Pipe Data'!J$7:X$19,15,FALSE))/3.7))^2))</f>
        <v/>
      </c>
      <c r="BX149" s="216">
        <v>0.5</v>
      </c>
      <c r="BY149" s="25" t="str">
        <f t="shared" si="41"/>
        <v/>
      </c>
      <c r="BZ149" s="217">
        <v>1.0084730584179735E-3</v>
      </c>
      <c r="CA149" s="237">
        <v>0.5</v>
      </c>
      <c r="CC149" s="313"/>
      <c r="CD149" s="317"/>
      <c r="CE149" s="215"/>
      <c r="CF149" s="214"/>
      <c r="DK149" s="440"/>
      <c r="DL149" s="440"/>
      <c r="DN149" s="1620"/>
      <c r="DR149" s="1231"/>
      <c r="DS149" s="213"/>
      <c r="DT149" s="213"/>
      <c r="DU149" s="213"/>
      <c r="DV149" s="213"/>
      <c r="DW149" s="213"/>
      <c r="DX149" s="213"/>
      <c r="DY149" s="213"/>
      <c r="DZ149" s="213"/>
      <c r="EA149" s="213"/>
    </row>
    <row r="150" spans="1:131" ht="12.75" hidden="1" customHeight="1" x14ac:dyDescent="0.2">
      <c r="D150" s="236"/>
      <c r="E150" s="235"/>
      <c r="F150" s="234"/>
      <c r="G150" s="234"/>
      <c r="H150" s="221"/>
      <c r="I150" s="221"/>
      <c r="J150" s="221"/>
      <c r="K150" s="221"/>
      <c r="L150" s="221"/>
      <c r="M150" s="223"/>
      <c r="N150" s="223"/>
      <c r="O150" s="223"/>
      <c r="P150" s="223"/>
      <c r="Q150" s="224"/>
      <c r="R150" s="223"/>
      <c r="S150" s="223"/>
      <c r="T150" s="227"/>
      <c r="U150" s="224"/>
      <c r="V150" s="224"/>
      <c r="W150" s="222"/>
      <c r="X150" s="221"/>
      <c r="Y150" s="221"/>
      <c r="Z150" s="228"/>
      <c r="AA150" s="227"/>
      <c r="AB150" s="219" t="str">
        <f>IF(C138&gt;0,"",vel(U138,Z138,AH150))</f>
        <v/>
      </c>
      <c r="AC150" s="220" t="str">
        <f>IF(C138&gt;0,"",pdrop(AE150,Y138,Z138,AB150,AF150))</f>
        <v/>
      </c>
      <c r="AD150" s="219" t="str">
        <f>IF(C138&gt;0,"",(((AB150/60)*Z138)/AA138)*(VLOOKUP(AF150,'Pipe Data'!F$7:G$19,2,FALSE))/12)</f>
        <v/>
      </c>
      <c r="AE150" s="218" t="str">
        <f>IF(C138&gt;0,"",(0.25/(LOG(5.74/(AD150^0.9))+((VLOOKUP(AF150,'Pipe Data'!J$7:X$19,15,FALSE))/3.7))^2))</f>
        <v/>
      </c>
      <c r="AF150" s="216">
        <v>0.375</v>
      </c>
      <c r="AH150" s="233">
        <v>5.4118842196605418E-4</v>
      </c>
      <c r="AI150" s="229"/>
      <c r="AJ150" s="221"/>
      <c r="AK150" s="221"/>
      <c r="AL150" s="223"/>
      <c r="AM150" s="230"/>
      <c r="AN150" s="228"/>
      <c r="AO150" s="232"/>
      <c r="AQ150" s="231"/>
      <c r="AR150" s="230"/>
      <c r="AS150" s="224"/>
      <c r="AT150" s="232"/>
      <c r="AV150" s="231"/>
      <c r="AW150" s="230"/>
      <c r="AX150" s="222"/>
      <c r="AY150" s="224"/>
      <c r="AZ150" s="229"/>
      <c r="BA150" s="221"/>
      <c r="BB150" s="228"/>
      <c r="BC150" s="227"/>
      <c r="BD150" s="221"/>
      <c r="BE150" s="221"/>
      <c r="BF150" s="221"/>
      <c r="BG150" s="221"/>
      <c r="BH150" s="221"/>
      <c r="BI150" s="221"/>
      <c r="BJ150" s="226"/>
      <c r="BK150" s="225"/>
      <c r="BL150" s="224"/>
      <c r="BM150" s="224"/>
      <c r="BN150" s="224"/>
      <c r="BO150" s="223"/>
      <c r="BP150" s="222"/>
      <c r="BQ150" s="221"/>
      <c r="BR150" s="221"/>
      <c r="BS150" s="219" t="str">
        <f>IF(C138&gt;0,"",vel(U138,S138,BZ150))</f>
        <v/>
      </c>
      <c r="BT150" s="220" t="str">
        <f>IF(C138&gt;0,"",pdrop(BW150,BA138,S138,BS150,BX150))</f>
        <v/>
      </c>
      <c r="BU150" s="220"/>
      <c r="BV150" s="219" t="str">
        <f>IF(C138&gt;0,"",(((BS150/60)*S138)/T138)*((VLOOKUP(BX150,'Pipe Data'!F$7:G$19,2,FALSE))/12))</f>
        <v/>
      </c>
      <c r="BW150" s="218" t="str">
        <f>IF(C138&gt;0,"",(0.25/(LOG(5.74/(BV150^0.9))+((VLOOKUP(BX150,'Pipe Data'!J$7:X$19,15,FALSE))/3.7))^2))</f>
        <v/>
      </c>
      <c r="BX150" s="216">
        <v>0.375</v>
      </c>
      <c r="BY150" s="25" t="str">
        <f t="shared" si="41"/>
        <v/>
      </c>
      <c r="BZ150" s="217">
        <v>5.4118842196605418E-4</v>
      </c>
      <c r="CA150" s="237">
        <v>0.375</v>
      </c>
      <c r="CC150" s="313"/>
      <c r="CD150" s="317"/>
      <c r="CE150" s="215"/>
      <c r="CF150" s="214"/>
      <c r="DK150" s="440"/>
      <c r="DL150" s="440"/>
      <c r="DN150" s="1620"/>
      <c r="DR150" s="1231"/>
      <c r="DS150" s="213"/>
      <c r="DT150" s="213"/>
      <c r="DU150" s="213"/>
      <c r="DV150" s="213"/>
      <c r="DW150" s="213"/>
      <c r="DX150" s="213"/>
      <c r="DY150" s="213"/>
      <c r="DZ150" s="213"/>
      <c r="EA150" s="213"/>
    </row>
    <row r="151" spans="1:131" ht="13.5" hidden="1" customHeight="1" thickBot="1" x14ac:dyDescent="0.25">
      <c r="A151" s="25">
        <v>1</v>
      </c>
      <c r="D151" s="821"/>
      <c r="E151" s="822"/>
      <c r="F151" s="823"/>
      <c r="G151" s="823"/>
      <c r="H151" s="824"/>
      <c r="I151" s="825"/>
      <c r="J151" s="825"/>
      <c r="K151" s="825"/>
      <c r="L151" s="826"/>
      <c r="M151" s="824"/>
      <c r="N151" s="824"/>
      <c r="O151" s="824"/>
      <c r="P151" s="824"/>
      <c r="Q151" s="825"/>
      <c r="R151" s="824"/>
      <c r="S151" s="824"/>
      <c r="T151" s="827"/>
      <c r="U151" s="825"/>
      <c r="V151" s="825"/>
      <c r="W151" s="828"/>
      <c r="X151" s="829"/>
      <c r="Y151" s="826"/>
      <c r="Z151" s="830"/>
      <c r="AA151" s="827"/>
      <c r="AB151" s="831"/>
      <c r="AC151" s="824"/>
      <c r="AD151" s="831"/>
      <c r="AE151" s="830"/>
      <c r="AF151" s="832"/>
      <c r="AG151" s="832"/>
      <c r="AH151" s="836"/>
      <c r="AI151" s="834"/>
      <c r="AJ151" s="835"/>
      <c r="AK151" s="830"/>
      <c r="AL151" s="824"/>
      <c r="AM151" s="831"/>
      <c r="AN151" s="830"/>
      <c r="AO151" s="832"/>
      <c r="AP151" s="832"/>
      <c r="AQ151" s="836"/>
      <c r="AR151" s="831"/>
      <c r="AS151" s="825"/>
      <c r="AT151" s="832"/>
      <c r="AU151" s="832"/>
      <c r="AV151" s="836"/>
      <c r="AW151" s="831"/>
      <c r="AX151" s="828"/>
      <c r="AY151" s="825"/>
      <c r="AZ151" s="829"/>
      <c r="BA151" s="826"/>
      <c r="BB151" s="830"/>
      <c r="BC151" s="827"/>
      <c r="BD151" s="831"/>
      <c r="BE151" s="824"/>
      <c r="BF151" s="831"/>
      <c r="BG151" s="830"/>
      <c r="BH151" s="832"/>
      <c r="BI151" s="832"/>
      <c r="BJ151" s="833"/>
      <c r="BK151" s="837"/>
      <c r="BL151" s="825"/>
      <c r="BM151" s="825"/>
      <c r="BN151" s="825"/>
      <c r="BO151" s="824"/>
      <c r="BP151" s="828"/>
      <c r="BQ151" s="826"/>
      <c r="BR151" s="826"/>
      <c r="BS151" s="831"/>
      <c r="BT151" s="824"/>
      <c r="BU151" s="824"/>
      <c r="BV151" s="831"/>
      <c r="BW151" s="830"/>
      <c r="BX151" s="832"/>
      <c r="BY151" s="832"/>
      <c r="BZ151" s="833"/>
      <c r="CA151" s="838"/>
      <c r="CB151" s="839"/>
      <c r="CC151" s="840"/>
      <c r="CD151" s="841"/>
      <c r="CE151" s="842"/>
      <c r="CF151" s="843"/>
      <c r="DK151" s="440"/>
      <c r="DL151" s="440"/>
      <c r="DN151" s="1620"/>
    </row>
    <row r="152" spans="1:131" ht="12.75" hidden="1" customHeight="1" x14ac:dyDescent="0.2">
      <c r="A152" s="25">
        <v>1</v>
      </c>
      <c r="CD152" s="444"/>
      <c r="DK152" s="440"/>
      <c r="DL152" s="440"/>
      <c r="DN152" s="1620"/>
    </row>
    <row r="153" spans="1:131" ht="12.75" hidden="1" customHeight="1" x14ac:dyDescent="0.2">
      <c r="A153" s="25">
        <v>1</v>
      </c>
      <c r="CD153" s="444"/>
      <c r="DK153" s="440"/>
      <c r="DL153" s="440"/>
      <c r="DN153" s="1620"/>
    </row>
    <row r="154" spans="1:131" x14ac:dyDescent="0.2">
      <c r="DK154" s="440"/>
      <c r="DL154" s="440"/>
      <c r="DN154" s="1620"/>
    </row>
    <row r="155" spans="1:131" x14ac:dyDescent="0.2">
      <c r="DK155" s="440"/>
      <c r="DL155" s="440"/>
    </row>
    <row r="156" spans="1:131" x14ac:dyDescent="0.2">
      <c r="DK156" s="440"/>
      <c r="DL156" s="440"/>
    </row>
    <row r="157" spans="1:131" x14ac:dyDescent="0.2">
      <c r="DK157" s="440"/>
      <c r="DL157" s="440"/>
    </row>
    <row r="158" spans="1:131" x14ac:dyDescent="0.2">
      <c r="DK158" s="440"/>
      <c r="DL158" s="440"/>
    </row>
    <row r="159" spans="1:131" x14ac:dyDescent="0.2">
      <c r="DK159" s="440"/>
      <c r="DL159" s="440"/>
    </row>
    <row r="160" spans="1:131" x14ac:dyDescent="0.2">
      <c r="DK160" s="440"/>
      <c r="DL160" s="440"/>
    </row>
    <row r="161" spans="115:116" x14ac:dyDescent="0.2">
      <c r="DK161" s="440"/>
      <c r="DL161" s="440"/>
    </row>
    <row r="162" spans="115:116" x14ac:dyDescent="0.2">
      <c r="DK162" s="440"/>
      <c r="DL162" s="440"/>
    </row>
    <row r="163" spans="115:116" x14ac:dyDescent="0.2">
      <c r="DK163" s="440"/>
      <c r="DL163" s="440"/>
    </row>
    <row r="164" spans="115:116" x14ac:dyDescent="0.2">
      <c r="DK164" s="440"/>
      <c r="DL164" s="440"/>
    </row>
    <row r="165" spans="115:116" x14ac:dyDescent="0.2">
      <c r="DK165" s="440"/>
      <c r="DL165" s="440"/>
    </row>
    <row r="166" spans="115:116" x14ac:dyDescent="0.2">
      <c r="DK166" s="440"/>
      <c r="DL166" s="440"/>
    </row>
    <row r="167" spans="115:116" x14ac:dyDescent="0.2">
      <c r="DK167" s="440"/>
      <c r="DL167" s="440"/>
    </row>
    <row r="168" spans="115:116" x14ac:dyDescent="0.2">
      <c r="DK168" s="440"/>
      <c r="DL168" s="440"/>
    </row>
    <row r="169" spans="115:116" x14ac:dyDescent="0.2">
      <c r="DK169" s="440"/>
      <c r="DL169" s="440"/>
    </row>
    <row r="170" spans="115:116" x14ac:dyDescent="0.2">
      <c r="DK170" s="440"/>
      <c r="DL170" s="440"/>
    </row>
    <row r="171" spans="115:116" x14ac:dyDescent="0.2">
      <c r="DK171" s="440"/>
      <c r="DL171" s="440"/>
    </row>
    <row r="172" spans="115:116" x14ac:dyDescent="0.2">
      <c r="DK172" s="440"/>
      <c r="DL172" s="440"/>
    </row>
    <row r="173" spans="115:116" x14ac:dyDescent="0.2">
      <c r="DK173" s="440"/>
      <c r="DL173" s="440"/>
    </row>
    <row r="174" spans="115:116" x14ac:dyDescent="0.2">
      <c r="DK174" s="440"/>
      <c r="DL174" s="440"/>
    </row>
    <row r="175" spans="115:116" x14ac:dyDescent="0.2">
      <c r="DK175" s="440"/>
      <c r="DL175" s="440"/>
    </row>
    <row r="176" spans="115:116" x14ac:dyDescent="0.2">
      <c r="DK176" s="440"/>
      <c r="DL176" s="440"/>
    </row>
    <row r="177" spans="115:116" x14ac:dyDescent="0.2">
      <c r="DK177" s="440"/>
      <c r="DL177" s="440"/>
    </row>
    <row r="178" spans="115:116" x14ac:dyDescent="0.2">
      <c r="DK178" s="440"/>
      <c r="DL178" s="440"/>
    </row>
    <row r="179" spans="115:116" x14ac:dyDescent="0.2">
      <c r="DK179" s="440"/>
      <c r="DL179" s="440"/>
    </row>
    <row r="180" spans="115:116" x14ac:dyDescent="0.2">
      <c r="DK180" s="440"/>
      <c r="DL180" s="440"/>
    </row>
    <row r="181" spans="115:116" x14ac:dyDescent="0.2">
      <c r="DK181" s="440"/>
      <c r="DL181" s="440"/>
    </row>
    <row r="182" spans="115:116" x14ac:dyDescent="0.2">
      <c r="DK182" s="440"/>
      <c r="DL182" s="440"/>
    </row>
    <row r="183" spans="115:116" x14ac:dyDescent="0.2">
      <c r="DK183" s="440"/>
      <c r="DL183" s="440"/>
    </row>
    <row r="184" spans="115:116" x14ac:dyDescent="0.2">
      <c r="DK184" s="440"/>
      <c r="DL184" s="440"/>
    </row>
    <row r="185" spans="115:116" x14ac:dyDescent="0.2">
      <c r="DK185" s="440"/>
      <c r="DL185" s="440"/>
    </row>
    <row r="186" spans="115:116" x14ac:dyDescent="0.2">
      <c r="DK186" s="440"/>
      <c r="DL186" s="440"/>
    </row>
    <row r="187" spans="115:116" x14ac:dyDescent="0.2">
      <c r="DK187" s="440"/>
      <c r="DL187" s="440"/>
    </row>
    <row r="188" spans="115:116" x14ac:dyDescent="0.2">
      <c r="DK188" s="440"/>
      <c r="DL188" s="440"/>
    </row>
    <row r="189" spans="115:116" x14ac:dyDescent="0.2">
      <c r="DK189" s="440"/>
      <c r="DL189" s="440"/>
    </row>
    <row r="190" spans="115:116" x14ac:dyDescent="0.2">
      <c r="DK190" s="440"/>
      <c r="DL190" s="440"/>
    </row>
    <row r="191" spans="115:116" x14ac:dyDescent="0.2">
      <c r="DK191" s="440"/>
      <c r="DL191" s="440"/>
    </row>
    <row r="192" spans="115:116" x14ac:dyDescent="0.2">
      <c r="DK192" s="440"/>
      <c r="DL192" s="440"/>
    </row>
    <row r="193" spans="115:116" x14ac:dyDescent="0.2">
      <c r="DK193" s="440"/>
      <c r="DL193" s="440"/>
    </row>
    <row r="194" spans="115:116" x14ac:dyDescent="0.2">
      <c r="DK194" s="440"/>
      <c r="DL194" s="440"/>
    </row>
    <row r="195" spans="115:116" x14ac:dyDescent="0.2">
      <c r="DK195" s="440"/>
      <c r="DL195" s="440"/>
    </row>
    <row r="196" spans="115:116" x14ac:dyDescent="0.2">
      <c r="DK196" s="440"/>
      <c r="DL196" s="440"/>
    </row>
    <row r="197" spans="115:116" x14ac:dyDescent="0.2">
      <c r="DK197" s="440"/>
      <c r="DL197" s="440"/>
    </row>
  </sheetData>
  <sheetProtection sheet="1" objects="1" scenarios="1"/>
  <mergeCells count="29">
    <mergeCell ref="X46:AH46"/>
    <mergeCell ref="BK9:BP9"/>
    <mergeCell ref="AZ46:BJ46"/>
    <mergeCell ref="AI46:AX46"/>
    <mergeCell ref="BK46:BP46"/>
    <mergeCell ref="X9:AH9"/>
    <mergeCell ref="AZ9:BJ9"/>
    <mergeCell ref="AI9:AX9"/>
    <mergeCell ref="AZ122:BJ122"/>
    <mergeCell ref="AZ83:BJ83"/>
    <mergeCell ref="X83:AH83"/>
    <mergeCell ref="BQ83:BZ83"/>
    <mergeCell ref="BK122:BP122"/>
    <mergeCell ref="BK83:BP83"/>
    <mergeCell ref="AI122:AX122"/>
    <mergeCell ref="X122:AH122"/>
    <mergeCell ref="AI83:AX83"/>
    <mergeCell ref="DH9:DO9"/>
    <mergeCell ref="CE84:CE85"/>
    <mergeCell ref="CE122:CF122"/>
    <mergeCell ref="CE123:CE124"/>
    <mergeCell ref="BQ122:BZ122"/>
    <mergeCell ref="BQ46:BZ46"/>
    <mergeCell ref="CE47:CE48"/>
    <mergeCell ref="CE9:CF9"/>
    <mergeCell ref="CE46:CF46"/>
    <mergeCell ref="BQ9:BZ9"/>
    <mergeCell ref="CE10:CE11"/>
    <mergeCell ref="CE83:CF83"/>
  </mergeCells>
  <phoneticPr fontId="0" type="noConversion"/>
  <conditionalFormatting sqref="BD25">
    <cfRule type="expression" dxfId="781" priority="1291" stopIfTrue="1">
      <formula>$C25&gt;0</formula>
    </cfRule>
    <cfRule type="expression" dxfId="780" priority="7147" stopIfTrue="1">
      <formula>$FB25&gt;0</formula>
    </cfRule>
    <cfRule type="expression" dxfId="779" priority="7148" stopIfTrue="1">
      <formula>$CI25&gt;0</formula>
    </cfRule>
  </conditionalFormatting>
  <conditionalFormatting sqref="BD62">
    <cfRule type="expression" dxfId="778" priority="4895" stopIfTrue="1">
      <formula>$FB62&gt;0</formula>
    </cfRule>
    <cfRule type="expression" dxfId="777" priority="7143" stopIfTrue="1">
      <formula>$C62&gt;0</formula>
    </cfRule>
    <cfRule type="expression" dxfId="776" priority="7144" stopIfTrue="1">
      <formula>$CI62&gt;0</formula>
    </cfRule>
  </conditionalFormatting>
  <conditionalFormatting sqref="BD138">
    <cfRule type="expression" dxfId="775" priority="7139" stopIfTrue="1">
      <formula>$C138&gt;0</formula>
    </cfRule>
    <cfRule type="expression" dxfId="774" priority="7140" stopIfTrue="1">
      <formula>$CI138&gt;0</formula>
    </cfRule>
  </conditionalFormatting>
  <conditionalFormatting sqref="BN25">
    <cfRule type="expression" dxfId="773" priority="4889" stopIfTrue="1">
      <formula>$C25&gt;0</formula>
    </cfRule>
    <cfRule type="expression" dxfId="772" priority="7132" stopIfTrue="1">
      <formula>CJ25&gt;0</formula>
    </cfRule>
  </conditionalFormatting>
  <conditionalFormatting sqref="BN62">
    <cfRule type="expression" dxfId="771" priority="4886" stopIfTrue="1">
      <formula>$C62&gt;0</formula>
    </cfRule>
    <cfRule type="expression" dxfId="770" priority="7120" stopIfTrue="1">
      <formula>CJ62&gt;0</formula>
    </cfRule>
  </conditionalFormatting>
  <conditionalFormatting sqref="BN138">
    <cfRule type="expression" dxfId="769" priority="7107" stopIfTrue="1">
      <formula>$C138&gt;0</formula>
    </cfRule>
    <cfRule type="expression" dxfId="768" priority="7108" stopIfTrue="1">
      <formula>CJ138&gt;0</formula>
    </cfRule>
  </conditionalFormatting>
  <conditionalFormatting sqref="BS25">
    <cfRule type="expression" dxfId="767" priority="1290" stopIfTrue="1">
      <formula>$C25&gt;0</formula>
    </cfRule>
    <cfRule type="expression" dxfId="766" priority="7097" stopIfTrue="1">
      <formula>$FC25&gt;0</formula>
    </cfRule>
    <cfRule type="expression" dxfId="765" priority="7098" stopIfTrue="1">
      <formula>CM25&gt;0</formula>
    </cfRule>
  </conditionalFormatting>
  <conditionalFormatting sqref="BT25">
    <cfRule type="expression" dxfId="764" priority="7095" stopIfTrue="1">
      <formula>$C25&gt;0</formula>
    </cfRule>
  </conditionalFormatting>
  <conditionalFormatting sqref="BS138">
    <cfRule type="expression" dxfId="763" priority="7081" stopIfTrue="1">
      <formula>$C138&gt;0</formula>
    </cfRule>
    <cfRule type="expression" dxfId="762" priority="7082" stopIfTrue="1">
      <formula>CM138&gt;0</formula>
    </cfRule>
  </conditionalFormatting>
  <conditionalFormatting sqref="E25">
    <cfRule type="expression" priority="7073" stopIfTrue="1">
      <formula>$C25&gt;0</formula>
    </cfRule>
    <cfRule type="expression" priority="7074" stopIfTrue="1">
      <formula>$CE25="Reviewed"</formula>
    </cfRule>
    <cfRule type="expression" dxfId="761" priority="7075" stopIfTrue="1">
      <formula>$CO25&gt;0</formula>
    </cfRule>
  </conditionalFormatting>
  <conditionalFormatting sqref="E62">
    <cfRule type="expression" priority="7070" stopIfTrue="1">
      <formula>$C62&gt;0</formula>
    </cfRule>
    <cfRule type="expression" priority="7071" stopIfTrue="1">
      <formula>$CE62="Reviewed"</formula>
    </cfRule>
    <cfRule type="expression" dxfId="760" priority="7072" stopIfTrue="1">
      <formula>$CO62&gt;0</formula>
    </cfRule>
  </conditionalFormatting>
  <conditionalFormatting sqref="E138">
    <cfRule type="expression" priority="7067" stopIfTrue="1">
      <formula>$C138&gt;0</formula>
    </cfRule>
    <cfRule type="expression" priority="7068" stopIfTrue="1">
      <formula>$CE138="Reviewed"</formula>
    </cfRule>
    <cfRule type="expression" dxfId="759" priority="7069" stopIfTrue="1">
      <formula>$CO138&gt;0</formula>
    </cfRule>
  </conditionalFormatting>
  <conditionalFormatting sqref="H138 K138 H125 U138 BM99 K125 BM138 H99 H62 H86 BM62 K86 H25 K25 U25 H49 BM25 K49 U62 U99 K62 K99 H12 K12">
    <cfRule type="expression" dxfId="758" priority="7060" stopIfTrue="1">
      <formula>$C$6&gt;0</formula>
    </cfRule>
  </conditionalFormatting>
  <conditionalFormatting sqref="AO25">
    <cfRule type="expression" dxfId="757" priority="6838" stopIfTrue="1">
      <formula>AND($W25="None",$X25=0)</formula>
    </cfRule>
    <cfRule type="expression" dxfId="756" priority="7023" stopIfTrue="1">
      <formula>AP25&gt;0</formula>
    </cfRule>
  </conditionalFormatting>
  <conditionalFormatting sqref="AB25">
    <cfRule type="expression" dxfId="755" priority="1296" stopIfTrue="1">
      <formula>OR($W25="Double",AND($W25="None",$X25=0))</formula>
    </cfRule>
    <cfRule type="expression" dxfId="754" priority="7016" stopIfTrue="1">
      <formula>C25&gt;0</formula>
    </cfRule>
    <cfRule type="expression" dxfId="753" priority="7017" stopIfTrue="1">
      <formula>$FA25&gt;0</formula>
    </cfRule>
    <cfRule type="expression" dxfId="752" priority="7018" stopIfTrue="1">
      <formula>$CH25&gt;0</formula>
    </cfRule>
  </conditionalFormatting>
  <conditionalFormatting sqref="AF25">
    <cfRule type="expression" dxfId="751" priority="7014" stopIfTrue="1">
      <formula>OR($W25="Double",AND($W25="None",$X25=0))</formula>
    </cfRule>
    <cfRule type="expression" dxfId="750" priority="7015" stopIfTrue="1">
      <formula>AG25&gt;0</formula>
    </cfRule>
  </conditionalFormatting>
  <conditionalFormatting sqref="AT25">
    <cfRule type="expression" dxfId="749" priority="6833" stopIfTrue="1">
      <formula>AND($W25="None",$X25=0)</formula>
    </cfRule>
    <cfRule type="expression" dxfId="748" priority="6992" stopIfTrue="1">
      <formula>AU25&gt;0</formula>
    </cfRule>
  </conditionalFormatting>
  <conditionalFormatting sqref="BH25">
    <cfRule type="expression" dxfId="747" priority="6990" stopIfTrue="1">
      <formula>BI25&gt;0</formula>
    </cfRule>
  </conditionalFormatting>
  <conditionalFormatting sqref="BH62">
    <cfRule type="expression" dxfId="746" priority="6988" stopIfTrue="1">
      <formula>BI62&gt;0</formula>
    </cfRule>
  </conditionalFormatting>
  <conditionalFormatting sqref="BH138">
    <cfRule type="expression" dxfId="745" priority="6986" stopIfTrue="1">
      <formula>BI138&gt;0</formula>
    </cfRule>
  </conditionalFormatting>
  <conditionalFormatting sqref="BX25">
    <cfRule type="expression" dxfId="744" priority="6984" stopIfTrue="1">
      <formula>BY25&gt;0</formula>
    </cfRule>
  </conditionalFormatting>
  <conditionalFormatting sqref="BX62">
    <cfRule type="expression" dxfId="743" priority="6982" stopIfTrue="1">
      <formula>BY62&gt;0</formula>
    </cfRule>
  </conditionalFormatting>
  <conditionalFormatting sqref="BX138">
    <cfRule type="expression" dxfId="742" priority="6980" stopIfTrue="1">
      <formula>BY138&gt;0</formula>
    </cfRule>
  </conditionalFormatting>
  <conditionalFormatting sqref="Y25">
    <cfRule type="expression" dxfId="741" priority="6978" stopIfTrue="1">
      <formula>OR($W25="Double",AND($W25="None",$X25=0))</formula>
    </cfRule>
  </conditionalFormatting>
  <conditionalFormatting sqref="Z25">
    <cfRule type="expression" dxfId="740" priority="6847" stopIfTrue="1">
      <formula>OR($W25="Double",AND($W25="None",$X25=0))</formula>
    </cfRule>
  </conditionalFormatting>
  <conditionalFormatting sqref="AA25">
    <cfRule type="expression" dxfId="739" priority="6976" stopIfTrue="1">
      <formula>OR($W25="Double",AND($W25="None",$X25=0))</formula>
    </cfRule>
  </conditionalFormatting>
  <conditionalFormatting sqref="AC25">
    <cfRule type="expression" dxfId="738" priority="6959" stopIfTrue="1">
      <formula>OR($W25="Double",AND($W25="None",$X25=0))</formula>
    </cfRule>
  </conditionalFormatting>
  <conditionalFormatting sqref="AD25">
    <cfRule type="expression" dxfId="737" priority="6958" stopIfTrue="1">
      <formula>OR($W25="Double",AND($W25="None",$X25=0))</formula>
    </cfRule>
  </conditionalFormatting>
  <conditionalFormatting sqref="AE25">
    <cfRule type="expression" dxfId="736" priority="6957" stopIfTrue="1">
      <formula>OR($W25="Double",AND($W25="None",$X25=0))</formula>
    </cfRule>
  </conditionalFormatting>
  <conditionalFormatting sqref="AG25">
    <cfRule type="expression" dxfId="735" priority="6944" stopIfTrue="1">
      <formula>OR($W25="Double",AND($W25="None",$X25=0))</formula>
    </cfRule>
  </conditionalFormatting>
  <conditionalFormatting sqref="AH25">
    <cfRule type="expression" dxfId="734" priority="6943" stopIfTrue="1">
      <formula>OR($W25="Double",AND($W25="None",$X25=0))</formula>
    </cfRule>
  </conditionalFormatting>
  <conditionalFormatting sqref="BD99">
    <cfRule type="expression" dxfId="733" priority="4893" stopIfTrue="1">
      <formula>$FB99&gt;0</formula>
    </cfRule>
    <cfRule type="expression" dxfId="732" priority="6929" stopIfTrue="1">
      <formula>$C99&gt;0</formula>
    </cfRule>
    <cfRule type="expression" dxfId="731" priority="6930" stopIfTrue="1">
      <formula>$CI99&gt;0</formula>
    </cfRule>
  </conditionalFormatting>
  <conditionalFormatting sqref="BN99">
    <cfRule type="expression" dxfId="730" priority="4883" stopIfTrue="1">
      <formula>$C99&gt;0</formula>
    </cfRule>
    <cfRule type="expression" dxfId="729" priority="6922" stopIfTrue="1">
      <formula>CJ99&gt;0</formula>
    </cfRule>
  </conditionalFormatting>
  <conditionalFormatting sqref="E99">
    <cfRule type="expression" priority="6906" stopIfTrue="1">
      <formula>$C99&gt;0</formula>
    </cfRule>
    <cfRule type="expression" priority="6907" stopIfTrue="1">
      <formula>$CE99="Reviewed"</formula>
    </cfRule>
    <cfRule type="expression" dxfId="728" priority="6908" stopIfTrue="1">
      <formula>$CO99&gt;0</formula>
    </cfRule>
  </conditionalFormatting>
  <conditionalFormatting sqref="BH99">
    <cfRule type="expression" dxfId="727" priority="6881" stopIfTrue="1">
      <formula>BI99&gt;0</formula>
    </cfRule>
  </conditionalFormatting>
  <conditionalFormatting sqref="BX99">
    <cfRule type="expression" dxfId="726" priority="6879" stopIfTrue="1">
      <formula>BY99&gt;0</formula>
    </cfRule>
  </conditionalFormatting>
  <conditionalFormatting sqref="AI25">
    <cfRule type="expression" dxfId="725" priority="6844" stopIfTrue="1">
      <formula>AND($W25="None",$X25=0)</formula>
    </cfRule>
  </conditionalFormatting>
  <conditionalFormatting sqref="AJ25">
    <cfRule type="expression" dxfId="724" priority="6843" stopIfTrue="1">
      <formula>AND($W25="None",$X25=0)</formula>
    </cfRule>
  </conditionalFormatting>
  <conditionalFormatting sqref="AK25">
    <cfRule type="expression" dxfId="723" priority="6842" stopIfTrue="1">
      <formula>AND($W25="None",$X25=0)</formula>
    </cfRule>
  </conditionalFormatting>
  <conditionalFormatting sqref="AL25">
    <cfRule type="expression" dxfId="722" priority="6841" stopIfTrue="1">
      <formula>AND($W25="None",$X25=0)</formula>
    </cfRule>
  </conditionalFormatting>
  <conditionalFormatting sqref="AM25">
    <cfRule type="expression" dxfId="721" priority="6840" stopIfTrue="1">
      <formula>AND($W25="None",$X25=0)</formula>
    </cfRule>
  </conditionalFormatting>
  <conditionalFormatting sqref="AN25">
    <cfRule type="expression" dxfId="720" priority="6839" stopIfTrue="1">
      <formula>AND($W25="None",$X25=0)</formula>
    </cfRule>
  </conditionalFormatting>
  <conditionalFormatting sqref="AP25">
    <cfRule type="expression" dxfId="719" priority="6837" stopIfTrue="1">
      <formula>AND($W25="None",$X25=0)</formula>
    </cfRule>
  </conditionalFormatting>
  <conditionalFormatting sqref="AQ25">
    <cfRule type="expression" dxfId="718" priority="6836" stopIfTrue="1">
      <formula>AND($W25="None",$X25=0)</formula>
    </cfRule>
  </conditionalFormatting>
  <conditionalFormatting sqref="AR25">
    <cfRule type="expression" dxfId="717" priority="392" stopIfTrue="1">
      <formula>AND($W25="None",$X25=0)</formula>
    </cfRule>
    <cfRule type="expression" dxfId="716" priority="1294" stopIfTrue="1">
      <formula>$W25="Single"</formula>
    </cfRule>
    <cfRule type="expression" dxfId="715" priority="1295" stopIfTrue="1">
      <formula>$FD25&gt;0</formula>
    </cfRule>
    <cfRule type="expression" dxfId="714" priority="6835" stopIfTrue="1">
      <formula>$FE25&gt;0</formula>
    </cfRule>
  </conditionalFormatting>
  <conditionalFormatting sqref="AS25">
    <cfRule type="expression" dxfId="713" priority="6834" stopIfTrue="1">
      <formula>AND($W25="None",$X25=0)</formula>
    </cfRule>
  </conditionalFormatting>
  <conditionalFormatting sqref="AU25">
    <cfRule type="expression" dxfId="712" priority="6832" stopIfTrue="1">
      <formula>AND($W25="None",$X25=0)</formula>
    </cfRule>
  </conditionalFormatting>
  <conditionalFormatting sqref="AV25">
    <cfRule type="expression" dxfId="711" priority="6831" stopIfTrue="1">
      <formula>AND($W25="None",$X25=0)</formula>
    </cfRule>
  </conditionalFormatting>
  <conditionalFormatting sqref="AW25">
    <cfRule type="expression" dxfId="710" priority="391" stopIfTrue="1">
      <formula>AND($W25="None",$X25=0)</formula>
    </cfRule>
    <cfRule type="expression" dxfId="709" priority="1292" stopIfTrue="1">
      <formula>$W25="Single"</formula>
    </cfRule>
    <cfRule type="expression" dxfId="708" priority="1293" stopIfTrue="1">
      <formula>$FF25&gt;0</formula>
    </cfRule>
    <cfRule type="expression" dxfId="707" priority="6830" stopIfTrue="1">
      <formula>$FG25&gt;0</formula>
    </cfRule>
  </conditionalFormatting>
  <conditionalFormatting sqref="AX25">
    <cfRule type="expression" dxfId="706" priority="6829" stopIfTrue="1">
      <formula>AND($W25="None",$X25=0)</formula>
    </cfRule>
  </conditionalFormatting>
  <conditionalFormatting sqref="AO62">
    <cfRule type="expression" dxfId="705" priority="6796" stopIfTrue="1">
      <formula>AND($W62="None",$X62=0)</formula>
    </cfRule>
    <cfRule type="expression" dxfId="704" priority="6797" stopIfTrue="1">
      <formula>AP62&gt;0</formula>
    </cfRule>
  </conditionalFormatting>
  <conditionalFormatting sqref="AB62">
    <cfRule type="expression" dxfId="703" priority="4901" stopIfTrue="1">
      <formula>$FA62&gt;0</formula>
    </cfRule>
    <cfRule type="expression" dxfId="702" priority="6793" stopIfTrue="1">
      <formula>OR($W62="Double",AND($W62="None",$X62=0))</formula>
    </cfRule>
    <cfRule type="expression" dxfId="701" priority="6794" stopIfTrue="1">
      <formula>C62&gt;0</formula>
    </cfRule>
    <cfRule type="expression" dxfId="700" priority="6795" stopIfTrue="1">
      <formula>$CH62&gt;0</formula>
    </cfRule>
  </conditionalFormatting>
  <conditionalFormatting sqref="AF62">
    <cfRule type="expression" dxfId="699" priority="6791" stopIfTrue="1">
      <formula>OR($W62="Double",AND($W62="None",$X62=0))</formula>
    </cfRule>
    <cfRule type="expression" dxfId="698" priority="6792" stopIfTrue="1">
      <formula>AG62&gt;0</formula>
    </cfRule>
  </conditionalFormatting>
  <conditionalFormatting sqref="AT62">
    <cfRule type="expression" dxfId="697" priority="6789" stopIfTrue="1">
      <formula>AND($W62="None",$X62=0)</formula>
    </cfRule>
    <cfRule type="expression" dxfId="696" priority="6790" stopIfTrue="1">
      <formula>AU62&gt;0</formula>
    </cfRule>
  </conditionalFormatting>
  <conditionalFormatting sqref="Y62">
    <cfRule type="expression" dxfId="695" priority="6788" stopIfTrue="1">
      <formula>OR($W62="Double",AND($W62="None",$X62=0))</formula>
    </cfRule>
  </conditionalFormatting>
  <conditionalFormatting sqref="Z62">
    <cfRule type="expression" dxfId="694" priority="6787" stopIfTrue="1">
      <formula>OR($W62="Double",AND($W62="None",$X62=0))</formula>
    </cfRule>
  </conditionalFormatting>
  <conditionalFormatting sqref="AA62">
    <cfRule type="expression" dxfId="693" priority="6786" stopIfTrue="1">
      <formula>OR($W62="Double",AND($W62="None",$X62=0))</formula>
    </cfRule>
  </conditionalFormatting>
  <conditionalFormatting sqref="AC62">
    <cfRule type="expression" dxfId="692" priority="6785" stopIfTrue="1">
      <formula>OR($W62="Double",AND($W62="None",$X62=0))</formula>
    </cfRule>
  </conditionalFormatting>
  <conditionalFormatting sqref="AD62">
    <cfRule type="expression" dxfId="691" priority="6784" stopIfTrue="1">
      <formula>OR($W62="Double",AND($W62="None",$X62=0))</formula>
    </cfRule>
  </conditionalFormatting>
  <conditionalFormatting sqref="AE62">
    <cfRule type="expression" dxfId="690" priority="6783" stopIfTrue="1">
      <formula>OR($W62="Double",AND($W62="None",$X62=0))</formula>
    </cfRule>
  </conditionalFormatting>
  <conditionalFormatting sqref="AG62">
    <cfRule type="expression" dxfId="689" priority="6782" stopIfTrue="1">
      <formula>OR($W62="Double",AND($W62="None",$X62=0))</formula>
    </cfRule>
  </conditionalFormatting>
  <conditionalFormatting sqref="AH62">
    <cfRule type="expression" dxfId="688" priority="6781" stopIfTrue="1">
      <formula>OR($W62="Double",AND($W62="None",$X62=0))</formula>
    </cfRule>
  </conditionalFormatting>
  <conditionalFormatting sqref="AI62">
    <cfRule type="expression" dxfId="687" priority="6780" stopIfTrue="1">
      <formula>AND($W62="None",$X62=0)</formula>
    </cfRule>
  </conditionalFormatting>
  <conditionalFormatting sqref="AJ62">
    <cfRule type="expression" dxfId="686" priority="6779" stopIfTrue="1">
      <formula>AND($W62="None",$X62=0)</formula>
    </cfRule>
  </conditionalFormatting>
  <conditionalFormatting sqref="AK62">
    <cfRule type="expression" dxfId="685" priority="6778" stopIfTrue="1">
      <formula>AND($W62="None",$X62=0)</formula>
    </cfRule>
  </conditionalFormatting>
  <conditionalFormatting sqref="AL62">
    <cfRule type="expression" dxfId="684" priority="6777" stopIfTrue="1">
      <formula>AND($W62="None",$X62=0)</formula>
    </cfRule>
  </conditionalFormatting>
  <conditionalFormatting sqref="AM62">
    <cfRule type="expression" dxfId="683" priority="6776" stopIfTrue="1">
      <formula>AND($W62="None",$X62=0)</formula>
    </cfRule>
  </conditionalFormatting>
  <conditionalFormatting sqref="AN62">
    <cfRule type="expression" dxfId="682" priority="6775" stopIfTrue="1">
      <formula>AND($W62="None",$X62=0)</formula>
    </cfRule>
  </conditionalFormatting>
  <conditionalFormatting sqref="AP62">
    <cfRule type="expression" dxfId="681" priority="6774" stopIfTrue="1">
      <formula>AND($W62="None",$X62=0)</formula>
    </cfRule>
  </conditionalFormatting>
  <conditionalFormatting sqref="AQ62">
    <cfRule type="expression" dxfId="680" priority="6773" stopIfTrue="1">
      <formula>AND($W62="None",$X62=0)</formula>
    </cfRule>
  </conditionalFormatting>
  <conditionalFormatting sqref="AR62">
    <cfRule type="expression" dxfId="679" priority="1098" stopIfTrue="1">
      <formula>AND($W62="None",$X62=0)</formula>
    </cfRule>
    <cfRule type="expression" dxfId="678" priority="1099" stopIfTrue="1">
      <formula>$FD62&gt;0</formula>
    </cfRule>
    <cfRule type="expression" dxfId="677" priority="6772" stopIfTrue="1">
      <formula>$FE62&gt;0</formula>
    </cfRule>
  </conditionalFormatting>
  <conditionalFormatting sqref="AS62">
    <cfRule type="expression" dxfId="676" priority="6771" stopIfTrue="1">
      <formula>AND($W62="None",$X62=0)</formula>
    </cfRule>
  </conditionalFormatting>
  <conditionalFormatting sqref="AU62">
    <cfRule type="expression" dxfId="675" priority="6770" stopIfTrue="1">
      <formula>AND($W62="None",$X62=0)</formula>
    </cfRule>
  </conditionalFormatting>
  <conditionalFormatting sqref="AV62">
    <cfRule type="expression" dxfId="674" priority="6769" stopIfTrue="1">
      <formula>AND($W62="None",$X62=0)</formula>
    </cfRule>
  </conditionalFormatting>
  <conditionalFormatting sqref="AW62">
    <cfRule type="expression" dxfId="673" priority="1096" stopIfTrue="1">
      <formula>AND($W62="None",$X62=0)</formula>
    </cfRule>
    <cfRule type="expression" dxfId="672" priority="1097" stopIfTrue="1">
      <formula>$FF62</formula>
    </cfRule>
    <cfRule type="expression" dxfId="671" priority="6768" stopIfTrue="1">
      <formula>$FG62&gt;0</formula>
    </cfRule>
  </conditionalFormatting>
  <conditionalFormatting sqref="AX62">
    <cfRule type="expression" dxfId="670" priority="6767" stopIfTrue="1">
      <formula>AND($W62="None",$X62=0)</formula>
    </cfRule>
  </conditionalFormatting>
  <conditionalFormatting sqref="AO99">
    <cfRule type="expression" dxfId="669" priority="6765" stopIfTrue="1">
      <formula>AND($W99="None",$X99=0)</formula>
    </cfRule>
    <cfRule type="expression" dxfId="668" priority="6766" stopIfTrue="1">
      <formula>AP99&gt;0</formula>
    </cfRule>
  </conditionalFormatting>
  <conditionalFormatting sqref="AB99">
    <cfRule type="expression" dxfId="667" priority="4898" stopIfTrue="1">
      <formula>$FA99&gt;0</formula>
    </cfRule>
    <cfRule type="expression" dxfId="666" priority="6762" stopIfTrue="1">
      <formula>OR($W99="Double",AND($W99="None",$X99=0))</formula>
    </cfRule>
    <cfRule type="expression" dxfId="665" priority="6763" stopIfTrue="1">
      <formula>C99&gt;0</formula>
    </cfRule>
    <cfRule type="expression" dxfId="664" priority="6764" stopIfTrue="1">
      <formula>$CH99&gt;0</formula>
    </cfRule>
  </conditionalFormatting>
  <conditionalFormatting sqref="AF99">
    <cfRule type="expression" dxfId="663" priority="6760" stopIfTrue="1">
      <formula>OR($W99="Double",AND($W99="None",$X99=0))</formula>
    </cfRule>
    <cfRule type="expression" dxfId="662" priority="6761" stopIfTrue="1">
      <formula>AG99&gt;0</formula>
    </cfRule>
  </conditionalFormatting>
  <conditionalFormatting sqref="AT99">
    <cfRule type="expression" dxfId="661" priority="6758" stopIfTrue="1">
      <formula>AND($W99="None",$X99=0)</formula>
    </cfRule>
    <cfRule type="expression" dxfId="660" priority="6759" stopIfTrue="1">
      <formula>AU99&gt;0</formula>
    </cfRule>
  </conditionalFormatting>
  <conditionalFormatting sqref="Y99">
    <cfRule type="expression" dxfId="659" priority="6757" stopIfTrue="1">
      <formula>OR($W99="Double",AND($W99="None",$X99=0))</formula>
    </cfRule>
  </conditionalFormatting>
  <conditionalFormatting sqref="Z99">
    <cfRule type="expression" dxfId="658" priority="6756" stopIfTrue="1">
      <formula>OR($W99="Double",AND($W99="None",$X99=0))</formula>
    </cfRule>
  </conditionalFormatting>
  <conditionalFormatting sqref="AA99">
    <cfRule type="expression" dxfId="657" priority="6755" stopIfTrue="1">
      <formula>OR($W99="Double",AND($W99="None",$X99=0))</formula>
    </cfRule>
  </conditionalFormatting>
  <conditionalFormatting sqref="AC99">
    <cfRule type="expression" dxfId="656" priority="6754" stopIfTrue="1">
      <formula>OR($W99="Double",AND($W99="None",$X99=0))</formula>
    </cfRule>
  </conditionalFormatting>
  <conditionalFormatting sqref="AD99">
    <cfRule type="expression" dxfId="655" priority="6753" stopIfTrue="1">
      <formula>OR($W99="Double",AND($W99="None",$X99=0))</formula>
    </cfRule>
  </conditionalFormatting>
  <conditionalFormatting sqref="AE99">
    <cfRule type="expression" dxfId="654" priority="6752" stopIfTrue="1">
      <formula>OR($W99="Double",AND($W99="None",$X99=0))</formula>
    </cfRule>
  </conditionalFormatting>
  <conditionalFormatting sqref="AG99">
    <cfRule type="expression" dxfId="653" priority="6751" stopIfTrue="1">
      <formula>OR($W99="Double",AND($W99="None",$X99=0))</formula>
    </cfRule>
  </conditionalFormatting>
  <conditionalFormatting sqref="AH99">
    <cfRule type="expression" dxfId="652" priority="6750" stopIfTrue="1">
      <formula>OR($W99="Double",AND($W99="None",$X99=0))</formula>
    </cfRule>
  </conditionalFormatting>
  <conditionalFormatting sqref="AI99">
    <cfRule type="expression" dxfId="651" priority="6749" stopIfTrue="1">
      <formula>AND($W99="None",$X99=0)</formula>
    </cfRule>
  </conditionalFormatting>
  <conditionalFormatting sqref="AJ99">
    <cfRule type="expression" dxfId="650" priority="6748" stopIfTrue="1">
      <formula>AND($W99="None",$X99=0)</formula>
    </cfRule>
  </conditionalFormatting>
  <conditionalFormatting sqref="AK99">
    <cfRule type="expression" dxfId="649" priority="6747" stopIfTrue="1">
      <formula>AND($W99="None",$X99=0)</formula>
    </cfRule>
  </conditionalFormatting>
  <conditionalFormatting sqref="AL99">
    <cfRule type="expression" dxfId="648" priority="6746" stopIfTrue="1">
      <formula>AND($W99="None",$X99=0)</formula>
    </cfRule>
  </conditionalFormatting>
  <conditionalFormatting sqref="AM99">
    <cfRule type="expression" dxfId="647" priority="6745" stopIfTrue="1">
      <formula>AND($W99="None",$X99=0)</formula>
    </cfRule>
  </conditionalFormatting>
  <conditionalFormatting sqref="AN99">
    <cfRule type="expression" dxfId="646" priority="6744" stopIfTrue="1">
      <formula>AND($W99="None",$X99=0)</formula>
    </cfRule>
  </conditionalFormatting>
  <conditionalFormatting sqref="AP99">
    <cfRule type="expression" dxfId="645" priority="6743" stopIfTrue="1">
      <formula>AND($W99="None",$X99=0)</formula>
    </cfRule>
  </conditionalFormatting>
  <conditionalFormatting sqref="AQ99">
    <cfRule type="expression" dxfId="644" priority="6742" stopIfTrue="1">
      <formula>AND($W99="None",$X99=0)</formula>
    </cfRule>
  </conditionalFormatting>
  <conditionalFormatting sqref="AR99">
    <cfRule type="expression" dxfId="643" priority="1091" stopIfTrue="1">
      <formula>AND($W99="None",$X99=0)</formula>
    </cfRule>
    <cfRule type="expression" dxfId="642" priority="1092" stopIfTrue="1">
      <formula>$FD99&gt;0</formula>
    </cfRule>
    <cfRule type="expression" dxfId="641" priority="6741" stopIfTrue="1">
      <formula>$FE99&gt;0</formula>
    </cfRule>
  </conditionalFormatting>
  <conditionalFormatting sqref="AS99">
    <cfRule type="expression" dxfId="640" priority="6740" stopIfTrue="1">
      <formula>AND($W99="None",$X99=0)</formula>
    </cfRule>
  </conditionalFormatting>
  <conditionalFormatting sqref="AU99">
    <cfRule type="expression" dxfId="639" priority="6739" stopIfTrue="1">
      <formula>AND($W99="None",$X99=0)</formula>
    </cfRule>
  </conditionalFormatting>
  <conditionalFormatting sqref="AV99">
    <cfRule type="expression" dxfId="638" priority="6738" stopIfTrue="1">
      <formula>AND($W99="None",$X99=0)</formula>
    </cfRule>
  </conditionalFormatting>
  <conditionalFormatting sqref="AW99">
    <cfRule type="expression" dxfId="637" priority="1089" stopIfTrue="1">
      <formula>AND($W99="None",$X99=0)</formula>
    </cfRule>
    <cfRule type="expression" dxfId="636" priority="1090" stopIfTrue="1">
      <formula>$FF99&gt;0</formula>
    </cfRule>
    <cfRule type="expression" dxfId="635" priority="6737" stopIfTrue="1">
      <formula>$FG99&gt;0</formula>
    </cfRule>
  </conditionalFormatting>
  <conditionalFormatting sqref="AX99">
    <cfRule type="expression" dxfId="634" priority="6736" stopIfTrue="1">
      <formula>AND($W99="None",$X99=0)</formula>
    </cfRule>
  </conditionalFormatting>
  <conditionalFormatting sqref="AO138">
    <cfRule type="expression" dxfId="633" priority="6734" stopIfTrue="1">
      <formula>AND($W138="None",$X138=0)</formula>
    </cfRule>
    <cfRule type="expression" dxfId="632" priority="6735" stopIfTrue="1">
      <formula>AP138&gt;0</formula>
    </cfRule>
  </conditionalFormatting>
  <conditionalFormatting sqref="AB138">
    <cfRule type="expression" dxfId="631" priority="6731" stopIfTrue="1">
      <formula>OR($W138="Double",AND($W138="None",$X138=0))</formula>
    </cfRule>
    <cfRule type="expression" dxfId="630" priority="6732" stopIfTrue="1">
      <formula>C138&gt;0</formula>
    </cfRule>
    <cfRule type="expression" dxfId="629" priority="6733" stopIfTrue="1">
      <formula>$CH138&gt;0</formula>
    </cfRule>
  </conditionalFormatting>
  <conditionalFormatting sqref="AF138">
    <cfRule type="expression" dxfId="628" priority="6729" stopIfTrue="1">
      <formula>OR($W138="Double",AND($W138="None",$X138=0))</formula>
    </cfRule>
    <cfRule type="expression" dxfId="627" priority="6730" stopIfTrue="1">
      <formula>AG138&gt;0</formula>
    </cfRule>
  </conditionalFormatting>
  <conditionalFormatting sqref="AT138">
    <cfRule type="expression" dxfId="626" priority="6727" stopIfTrue="1">
      <formula>AND($W138="None",$X138=0)</formula>
    </cfRule>
    <cfRule type="expression" dxfId="625" priority="6728" stopIfTrue="1">
      <formula>AU138&gt;0</formula>
    </cfRule>
  </conditionalFormatting>
  <conditionalFormatting sqref="Y138">
    <cfRule type="expression" dxfId="624" priority="6726" stopIfTrue="1">
      <formula>OR($W138="Double",AND($W138="None",$X138=0))</formula>
    </cfRule>
  </conditionalFormatting>
  <conditionalFormatting sqref="Z138">
    <cfRule type="expression" dxfId="623" priority="6725" stopIfTrue="1">
      <formula>OR($W138="Double",AND($W138="None",$X138=0))</formula>
    </cfRule>
  </conditionalFormatting>
  <conditionalFormatting sqref="AA138">
    <cfRule type="expression" dxfId="622" priority="6724" stopIfTrue="1">
      <formula>OR($W138="Double",AND($W138="None",$X138=0))</formula>
    </cfRule>
  </conditionalFormatting>
  <conditionalFormatting sqref="AC138">
    <cfRule type="expression" dxfId="621" priority="6723" stopIfTrue="1">
      <formula>OR($W138="Double",AND($W138="None",$X138=0))</formula>
    </cfRule>
  </conditionalFormatting>
  <conditionalFormatting sqref="AD138">
    <cfRule type="expression" dxfId="620" priority="6722" stopIfTrue="1">
      <formula>OR($W138="Double",AND($W138="None",$X138=0))</formula>
    </cfRule>
  </conditionalFormatting>
  <conditionalFormatting sqref="AE138">
    <cfRule type="expression" dxfId="619" priority="6721" stopIfTrue="1">
      <formula>OR($W138="Double",AND($W138="None",$X138=0))</formula>
    </cfRule>
  </conditionalFormatting>
  <conditionalFormatting sqref="AG138">
    <cfRule type="expression" dxfId="618" priority="6720" stopIfTrue="1">
      <formula>OR($W138="Double",AND($W138="None",$X138=0))</formula>
    </cfRule>
  </conditionalFormatting>
  <conditionalFormatting sqref="AH138">
    <cfRule type="expression" dxfId="617" priority="6719" stopIfTrue="1">
      <formula>OR($W138="Double",AND($W138="None",$X138=0))</formula>
    </cfRule>
  </conditionalFormatting>
  <conditionalFormatting sqref="AI138">
    <cfRule type="expression" dxfId="616" priority="6718" stopIfTrue="1">
      <formula>AND($W138="None",$X138=0)</formula>
    </cfRule>
  </conditionalFormatting>
  <conditionalFormatting sqref="AJ138">
    <cfRule type="expression" dxfId="615" priority="6717" stopIfTrue="1">
      <formula>AND($W138="None",$X138=0)</formula>
    </cfRule>
  </conditionalFormatting>
  <conditionalFormatting sqref="AK138">
    <cfRule type="expression" dxfId="614" priority="6716" stopIfTrue="1">
      <formula>AND($W138="None",$X138=0)</formula>
    </cfRule>
  </conditionalFormatting>
  <conditionalFormatting sqref="AL138">
    <cfRule type="expression" dxfId="613" priority="6715" stopIfTrue="1">
      <formula>AND($W138="None",$X138=0)</formula>
    </cfRule>
  </conditionalFormatting>
  <conditionalFormatting sqref="AM138">
    <cfRule type="expression" dxfId="612" priority="6714" stopIfTrue="1">
      <formula>AND($W138="None",$X138=0)</formula>
    </cfRule>
  </conditionalFormatting>
  <conditionalFormatting sqref="AN138">
    <cfRule type="expression" dxfId="611" priority="6713" stopIfTrue="1">
      <formula>AND($W138="None",$X138=0)</formula>
    </cfRule>
  </conditionalFormatting>
  <conditionalFormatting sqref="AP138">
    <cfRule type="expression" dxfId="610" priority="6712" stopIfTrue="1">
      <formula>AND($W138="None",$X138=0)</formula>
    </cfRule>
  </conditionalFormatting>
  <conditionalFormatting sqref="AQ138">
    <cfRule type="expression" dxfId="609" priority="6711" stopIfTrue="1">
      <formula>AND($W138="None",$X138=0)</formula>
    </cfRule>
  </conditionalFormatting>
  <conditionalFormatting sqref="AR138">
    <cfRule type="expression" dxfId="608" priority="6710" stopIfTrue="1">
      <formula>AND($W138="None",$X138=0)</formula>
    </cfRule>
  </conditionalFormatting>
  <conditionalFormatting sqref="AS138">
    <cfRule type="expression" dxfId="607" priority="6709" stopIfTrue="1">
      <formula>AND($W138="None",$X138=0)</formula>
    </cfRule>
  </conditionalFormatting>
  <conditionalFormatting sqref="AU138">
    <cfRule type="expression" dxfId="606" priority="6708" stopIfTrue="1">
      <formula>AND($W138="None",$X138=0)</formula>
    </cfRule>
  </conditionalFormatting>
  <conditionalFormatting sqref="AV138">
    <cfRule type="expression" dxfId="605" priority="6707" stopIfTrue="1">
      <formula>AND($W138="None",$X138=0)</formula>
    </cfRule>
  </conditionalFormatting>
  <conditionalFormatting sqref="AW138">
    <cfRule type="expression" dxfId="604" priority="6706" stopIfTrue="1">
      <formula>AND($W138="None",$X138=0)</formula>
    </cfRule>
  </conditionalFormatting>
  <conditionalFormatting sqref="AX138:AY138">
    <cfRule type="expression" dxfId="603" priority="6705" stopIfTrue="1">
      <formula>AND($W138="None",$X138=0)</formula>
    </cfRule>
  </conditionalFormatting>
  <conditionalFormatting sqref="X25 X62 X99">
    <cfRule type="expression" priority="4892" stopIfTrue="1">
      <formula>$C$3&gt;0</formula>
    </cfRule>
    <cfRule type="expression" dxfId="602" priority="6698" stopIfTrue="1">
      <formula>AND($W25="Double",$X25=0)</formula>
    </cfRule>
    <cfRule type="expression" dxfId="601" priority="6699" stopIfTrue="1">
      <formula>AND($W25="Single",$X25=0)</formula>
    </cfRule>
    <cfRule type="expression" dxfId="600" priority="6704" stopIfTrue="1">
      <formula>AND($W25="None",$X25&gt;0)</formula>
    </cfRule>
  </conditionalFormatting>
  <conditionalFormatting sqref="X138">
    <cfRule type="expression" dxfId="599" priority="6689" stopIfTrue="1">
      <formula>AND($W138="Double",$X138=0)</formula>
    </cfRule>
    <cfRule type="expression" dxfId="598" priority="6690" stopIfTrue="1">
      <formula>AND($W138="Single",$X138=0)</formula>
    </cfRule>
    <cfRule type="expression" dxfId="597" priority="6691" stopIfTrue="1">
      <formula>AND($W138="None",$X138&gt;0)</formula>
    </cfRule>
  </conditionalFormatting>
  <conditionalFormatting sqref="BU25">
    <cfRule type="expression" dxfId="596" priority="4935" stopIfTrue="1">
      <formula>AND($C$3&gt;0,$T$4&lt;BU25)</formula>
    </cfRule>
    <cfRule type="expression" dxfId="595" priority="5370" stopIfTrue="1">
      <formula>$C25&gt;0</formula>
    </cfRule>
  </conditionalFormatting>
  <conditionalFormatting sqref="BU25">
    <cfRule type="expression" dxfId="594" priority="5369" stopIfTrue="1">
      <formula>CN25&gt;0</formula>
    </cfRule>
  </conditionalFormatting>
  <conditionalFormatting sqref="BO25">
    <cfRule type="expression" dxfId="593" priority="4888" stopIfTrue="1">
      <formula>$C25&gt;0</formula>
    </cfRule>
    <cfRule type="expression" dxfId="592" priority="5320" stopIfTrue="1">
      <formula>CK25&gt;0</formula>
    </cfRule>
  </conditionalFormatting>
  <conditionalFormatting sqref="BO62">
    <cfRule type="expression" dxfId="591" priority="4885" stopIfTrue="1">
      <formula>$C62&gt;0</formula>
    </cfRule>
    <cfRule type="expression" dxfId="590" priority="5318" stopIfTrue="1">
      <formula>CK62&gt;0</formula>
    </cfRule>
  </conditionalFormatting>
  <conditionalFormatting sqref="BO99">
    <cfRule type="expression" dxfId="589" priority="4882" stopIfTrue="1">
      <formula>$C99&gt;0</formula>
    </cfRule>
    <cfRule type="expression" dxfId="588" priority="5316" stopIfTrue="1">
      <formula>CK99&gt;0</formula>
    </cfRule>
  </conditionalFormatting>
  <conditionalFormatting sqref="BO138">
    <cfRule type="expression" dxfId="587" priority="5313" stopIfTrue="1">
      <formula>$C138&gt;0</formula>
    </cfRule>
    <cfRule type="expression" dxfId="586" priority="5314" stopIfTrue="1">
      <formula>CK138&gt;0</formula>
    </cfRule>
  </conditionalFormatting>
  <conditionalFormatting sqref="BP25">
    <cfRule type="expression" dxfId="585" priority="4887" stopIfTrue="1">
      <formula>$C25&gt;0</formula>
    </cfRule>
    <cfRule type="expression" dxfId="584" priority="5272" stopIfTrue="1">
      <formula>CL25&gt;0</formula>
    </cfRule>
  </conditionalFormatting>
  <conditionalFormatting sqref="BP62">
    <cfRule type="expression" dxfId="583" priority="4884" stopIfTrue="1">
      <formula>$C62&gt;0</formula>
    </cfRule>
    <cfRule type="expression" dxfId="582" priority="5270" stopIfTrue="1">
      <formula>CL62&gt;0</formula>
    </cfRule>
  </conditionalFormatting>
  <conditionalFormatting sqref="BP99">
    <cfRule type="expression" dxfId="581" priority="4881" stopIfTrue="1">
      <formula>$C99&gt;0</formula>
    </cfRule>
    <cfRule type="expression" dxfId="580" priority="5268" stopIfTrue="1">
      <formula>CL99&gt;0</formula>
    </cfRule>
  </conditionalFormatting>
  <conditionalFormatting sqref="BP138">
    <cfRule type="expression" dxfId="579" priority="5265" stopIfTrue="1">
      <formula>$C138&gt;0</formula>
    </cfRule>
    <cfRule type="expression" dxfId="578" priority="5266" stopIfTrue="1">
      <formula>CL138&gt;0</formula>
    </cfRule>
  </conditionalFormatting>
  <conditionalFormatting sqref="D48 D85 D124 D11">
    <cfRule type="cellIs" dxfId="577" priority="5264" stopIfTrue="1" operator="equal">
      <formula>0</formula>
    </cfRule>
  </conditionalFormatting>
  <conditionalFormatting sqref="BT62">
    <cfRule type="expression" dxfId="576" priority="5260" stopIfTrue="1">
      <formula>$C62&gt;0</formula>
    </cfRule>
  </conditionalFormatting>
  <conditionalFormatting sqref="BT99">
    <cfRule type="expression" dxfId="575" priority="5257" stopIfTrue="1">
      <formula>$C99&gt;0</formula>
    </cfRule>
  </conditionalFormatting>
  <conditionalFormatting sqref="BU138">
    <cfRule type="expression" dxfId="574" priority="5255" stopIfTrue="1">
      <formula>$C138&gt;0</formula>
    </cfRule>
    <cfRule type="expression" dxfId="573" priority="5256" stopIfTrue="1">
      <formula>CO138&gt;0</formula>
    </cfRule>
  </conditionalFormatting>
  <conditionalFormatting sqref="BT138">
    <cfRule type="expression" dxfId="572" priority="5254" stopIfTrue="1">
      <formula>$C138&gt;0</formula>
    </cfRule>
  </conditionalFormatting>
  <conditionalFormatting sqref="BS62">
    <cfRule type="expression" dxfId="571" priority="1094" stopIfTrue="1">
      <formula>$C62&gt;0</formula>
    </cfRule>
    <cfRule type="expression" dxfId="570" priority="4933" stopIfTrue="1">
      <formula>$FC62&gt;0</formula>
    </cfRule>
    <cfRule type="expression" dxfId="569" priority="4934" stopIfTrue="1">
      <formula>CM62&gt;0</formula>
    </cfRule>
  </conditionalFormatting>
  <conditionalFormatting sqref="BS99">
    <cfRule type="expression" dxfId="568" priority="1087" stopIfTrue="1">
      <formula>$C99&gt;0</formula>
    </cfRule>
    <cfRule type="expression" dxfId="567" priority="4931" stopIfTrue="1">
      <formula>$FC99&gt;0</formula>
    </cfRule>
    <cfRule type="expression" dxfId="566" priority="4932" stopIfTrue="1">
      <formula>CM99&gt;0</formula>
    </cfRule>
  </conditionalFormatting>
  <conditionalFormatting sqref="BU62">
    <cfRule type="expression" dxfId="565" priority="4928" stopIfTrue="1">
      <formula>CN62&gt;0</formula>
    </cfRule>
  </conditionalFormatting>
  <conditionalFormatting sqref="BU99">
    <cfRule type="expression" dxfId="564" priority="4925" stopIfTrue="1">
      <formula>CN99&gt;0</formula>
    </cfRule>
  </conditionalFormatting>
  <conditionalFormatting sqref="S79:T81 S42:T44 S2:T4">
    <cfRule type="expression" dxfId="563" priority="4924" stopIfTrue="1">
      <formula>NOT(LEFT($C$4,1)="g")</formula>
    </cfRule>
  </conditionalFormatting>
  <conditionalFormatting sqref="E42:I44 E79:I81 E2:J4">
    <cfRule type="expression" dxfId="562" priority="4923" stopIfTrue="1">
      <formula>(LEFT($C$4,1)="g")</formula>
    </cfRule>
  </conditionalFormatting>
  <conditionalFormatting sqref="BT42:BT44 BT79:BT81 BT2:BT4">
    <cfRule type="expression" dxfId="561" priority="4917" stopIfTrue="1">
      <formula>(LEFT($C$4,1)="g")</formula>
    </cfRule>
  </conditionalFormatting>
  <conditionalFormatting sqref="BY2:BY4">
    <cfRule type="expression" dxfId="560" priority="4914" stopIfTrue="1">
      <formula>NOT(LEFT($C$4,1)="g")</formula>
    </cfRule>
  </conditionalFormatting>
  <conditionalFormatting sqref="BY42:BY44">
    <cfRule type="expression" dxfId="559" priority="4913" stopIfTrue="1">
      <formula>NOT(LEFT($C$4,1)="g")</formula>
    </cfRule>
  </conditionalFormatting>
  <conditionalFormatting sqref="BY79:BY81">
    <cfRule type="expression" dxfId="558" priority="4912" stopIfTrue="1">
      <formula>NOT(LEFT($C$4,1)="g")</formula>
    </cfRule>
  </conditionalFormatting>
  <conditionalFormatting sqref="BT25">
    <cfRule type="expression" dxfId="557" priority="4911" stopIfTrue="1">
      <formula>$C25&gt;0</formula>
    </cfRule>
  </conditionalFormatting>
  <conditionalFormatting sqref="BT62">
    <cfRule type="expression" dxfId="556" priority="4910" stopIfTrue="1">
      <formula>$C62&gt;0</formula>
    </cfRule>
  </conditionalFormatting>
  <conditionalFormatting sqref="BT62">
    <cfRule type="expression" dxfId="555" priority="4909" stopIfTrue="1">
      <formula>$C62&gt;0</formula>
    </cfRule>
  </conditionalFormatting>
  <conditionalFormatting sqref="BT99">
    <cfRule type="expression" dxfId="554" priority="4908" stopIfTrue="1">
      <formula>$C99&gt;0</formula>
    </cfRule>
  </conditionalFormatting>
  <conditionalFormatting sqref="BT99">
    <cfRule type="expression" dxfId="553" priority="4907" stopIfTrue="1">
      <formula>$C99&gt;0</formula>
    </cfRule>
  </conditionalFormatting>
  <conditionalFormatting sqref="BT99">
    <cfRule type="expression" dxfId="552" priority="4906" stopIfTrue="1">
      <formula>$C99&gt;0</formula>
    </cfRule>
  </conditionalFormatting>
  <conditionalFormatting sqref="J42:J44">
    <cfRule type="expression" dxfId="551" priority="4904" stopIfTrue="1">
      <formula>(LEFT($C$4,1)="g")</formula>
    </cfRule>
  </conditionalFormatting>
  <conditionalFormatting sqref="AB62">
    <cfRule type="expression" dxfId="550" priority="1100" stopIfTrue="1">
      <formula>OR($W62="Double",AND($W62="None",$X62=0))</formula>
    </cfRule>
    <cfRule type="expression" dxfId="549" priority="4900" stopIfTrue="1">
      <formula>C62&gt;0</formula>
    </cfRule>
    <cfRule type="expression" dxfId="548" priority="4902" stopIfTrue="1">
      <formula>$CH62&gt;0</formula>
    </cfRule>
  </conditionalFormatting>
  <conditionalFormatting sqref="AB99">
    <cfRule type="expression" dxfId="547" priority="1093" stopIfTrue="1">
      <formula>OR($W99="Double",AND($W99="None",$X99=0))</formula>
    </cfRule>
    <cfRule type="expression" dxfId="546" priority="4897" stopIfTrue="1">
      <formula>C99&gt;0</formula>
    </cfRule>
    <cfRule type="expression" dxfId="545" priority="4899" stopIfTrue="1">
      <formula>$CH99&gt;0</formula>
    </cfRule>
  </conditionalFormatting>
  <conditionalFormatting sqref="BD62">
    <cfRule type="expression" dxfId="544" priority="1095" stopIfTrue="1">
      <formula>$C62&gt;0</formula>
    </cfRule>
    <cfRule type="expression" dxfId="543" priority="4896" stopIfTrue="1">
      <formula>$CI62&gt;0</formula>
    </cfRule>
  </conditionalFormatting>
  <conditionalFormatting sqref="BD99">
    <cfRule type="expression" dxfId="542" priority="1088" stopIfTrue="1">
      <formula>$C99&gt;0</formula>
    </cfRule>
    <cfRule type="expression" dxfId="541" priority="4894" stopIfTrue="1">
      <formula>$CI99&gt;0</formula>
    </cfRule>
  </conditionalFormatting>
  <conditionalFormatting sqref="BU62">
    <cfRule type="expression" dxfId="540" priority="57911" stopIfTrue="1">
      <formula>AND($C$3&gt;0,$T$44&lt;BU62)</formula>
    </cfRule>
    <cfRule type="expression" dxfId="539" priority="57912" stopIfTrue="1">
      <formula>$C62&gt;0</formula>
    </cfRule>
  </conditionalFormatting>
  <conditionalFormatting sqref="BU99">
    <cfRule type="expression" dxfId="538" priority="57913" stopIfTrue="1">
      <formula>AND($C$3&gt;0,$T$81&lt;BU99)</formula>
    </cfRule>
    <cfRule type="expression" dxfId="537" priority="57914" stopIfTrue="1">
      <formula>$C99&gt;0</formula>
    </cfRule>
  </conditionalFormatting>
  <dataValidations count="12">
    <dataValidation type="whole" allowBlank="1" showErrorMessage="1" errorTitle="Invalid Fluid Tem" error="Please enter a valid Fluid Temp" promptTitle="Invalid Fluid Tem" prompt="Please enter a valid Fluid Temp" sqref="S81 S44 S4" xr:uid="{027DAECB-607A-467B-B86E-ED716F8E74C5}">
      <formula1>-300</formula1>
      <formula2>400</formula2>
    </dataValidation>
    <dataValidation type="list" allowBlank="1" showInputMessage="1" showErrorMessage="1" sqref="CE99 CE49 CE25 CE86 CE62 CE125 CE138 CE12" xr:uid="{9564C049-DA43-4909-8E00-5A1FA0975425}">
      <formula1>"Reviewed"</formula1>
    </dataValidation>
    <dataValidation type="list" allowBlank="1" showInputMessage="1" showErrorMessage="1" sqref="D138 D25 D62 D99" xr:uid="{9224C089-9BEC-4009-BC2F-E9F6C20546B4}">
      <formula1>"Loop, Load, Delete"</formula1>
    </dataValidation>
    <dataValidation type="list" showInputMessage="1" showErrorMessage="1" errorTitle="Error" error="This is not a valid Segment Name!" sqref="E138" xr:uid="{8F654767-B958-4CCD-BD5D-CB63D90979EE}">
      <formula1>LegendSG1CKTs</formula1>
    </dataValidation>
    <dataValidation type="list" allowBlank="1" showInputMessage="1" showErrorMessage="1" sqref="V138 V25 V62 V99" xr:uid="{EEFA969A-8179-40F0-BAC7-AEEECF0CC9A8}">
      <formula1>"None, '@ System, '@ Bottom Of Riser, '@ Top of Riser"</formula1>
    </dataValidation>
    <dataValidation type="list" allowBlank="1" showInputMessage="1" showErrorMessage="1" sqref="W138 W25 W62 W99" xr:uid="{79CA5151-1E68-43C2-91BB-49ADF8974B3C}">
      <formula1>"Single, Double, None"</formula1>
    </dataValidation>
    <dataValidation type="list" allowBlank="1" showInputMessage="1" showErrorMessage="1" sqref="AP112 AU38 AP25 AU25 AG25 AG38 AP38 AU75 AP62 AU62 AP75 AG62 AG75 AP151 AP99 AG112 AU151 AU99 AP138 AU138 BI99 AG138 AU112 AG151 BY99 BY62 BY25 BI25 BI62 AG99" xr:uid="{AFC30B2D-D280-419C-BF6D-522AD71A3099}">
      <formula1>pipedata2</formula1>
    </dataValidation>
    <dataValidation type="list" allowBlank="1" showInputMessage="1" showErrorMessage="1" sqref="BI112 BI151 BI38 BY112 BY38 BY75 BI138 BY138 BI75 BY151" xr:uid="{854DD48A-94C0-41A8-AC7D-022F2E60E002}">
      <formula1>pipedia</formula1>
    </dataValidation>
    <dataValidation type="decimal" allowBlank="1" showInputMessage="1" showErrorMessage="1" error="You must enter a positive value." sqref="X99 X25 X62 X138" xr:uid="{2B3866D2-A3EE-4D1B-8DDB-2221622CF8FC}">
      <formula1>0</formula1>
      <formula2>50000</formula2>
    </dataValidation>
    <dataValidation type="list" showInputMessage="1" showErrorMessage="1" errorTitle="Error" error="This is not a valid Segment Name!" sqref="E99" xr:uid="{350F35BC-B581-4BF5-8B72-C12141A5A531}">
      <formula1>LegendSG3CKTs</formula1>
    </dataValidation>
    <dataValidation type="list" showInputMessage="1" showErrorMessage="1" errorTitle="Error" error="This is not a valid Segment Name!" sqref="E62" xr:uid="{80AD8E53-7DC5-4192-86DF-85F31A42BE9C}">
      <formula1>LegendSG2CKTsPurged</formula1>
    </dataValidation>
    <dataValidation type="list" showInputMessage="1" showErrorMessage="1" errorTitle="Error" error="This is not a valid Segment Name!" sqref="E25" xr:uid="{41D4C29C-DF72-4E4C-AACE-0B75821F9D66}">
      <formula1>LegendSG1CKTsPurged</formula1>
    </dataValidation>
  </dataValidations>
  <pageMargins left="0.75" right="0.75" top="1" bottom="1" header="0.5" footer="0.5"/>
  <pageSetup paperSize="17" scale="25" orientation="landscape" r:id="rId1"/>
  <headerFooter alignWithMargins="0"/>
  <drawing r:id="rId2"/>
  <legacyDrawing r:id="rId3"/>
  <controls>
    <mc:AlternateContent xmlns:mc="http://schemas.openxmlformats.org/markup-compatibility/2006">
      <mc:Choice Requires="x14">
        <control shapeId="149762" r:id="rId4" name="CalculationToggle">
          <controlPr defaultSize="0" autoLine="0" r:id="rId5">
            <anchor moveWithCells="1">
              <from>
                <xdr:col>2</xdr:col>
                <xdr:colOff>180975</xdr:colOff>
                <xdr:row>4</xdr:row>
                <xdr:rowOff>133350</xdr:rowOff>
              </from>
              <to>
                <xdr:col>4</xdr:col>
                <xdr:colOff>752475</xdr:colOff>
                <xdr:row>6</xdr:row>
                <xdr:rowOff>171450</xdr:rowOff>
              </to>
            </anchor>
          </controlPr>
        </control>
      </mc:Choice>
      <mc:Fallback>
        <control shapeId="149762" r:id="rId4" name="CalculationToggle"/>
      </mc:Fallback>
    </mc:AlternateContent>
    <mc:AlternateContent xmlns:mc="http://schemas.openxmlformats.org/markup-compatibility/2006">
      <mc:Choice Requires="x14">
        <control shapeId="149761" r:id="rId6" name="HideColumnsButton">
          <controlPr defaultSize="0" autoLine="0" r:id="rId7">
            <anchor moveWithCells="1">
              <from>
                <xdr:col>5</xdr:col>
                <xdr:colOff>38100</xdr:colOff>
                <xdr:row>4</xdr:row>
                <xdr:rowOff>133350</xdr:rowOff>
              </from>
              <to>
                <xdr:col>6</xdr:col>
                <xdr:colOff>504825</xdr:colOff>
                <xdr:row>6</xdr:row>
                <xdr:rowOff>171450</xdr:rowOff>
              </to>
            </anchor>
          </controlPr>
        </control>
      </mc:Choice>
      <mc:Fallback>
        <control shapeId="149761" r:id="rId6" name="HideColumns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477301-D834-468F-8E2A-B038E4047A64}">
  <sheetPr codeName="Sheet17"/>
  <dimension ref="B2:Q6"/>
  <sheetViews>
    <sheetView showGridLines="0" workbookViewId="0">
      <selection activeCell="H4" sqref="H4"/>
    </sheetView>
  </sheetViews>
  <sheetFormatPr defaultRowHeight="12.75" x14ac:dyDescent="0.2"/>
  <cols>
    <col min="1" max="1" width="4.7109375" bestFit="1" customWidth="1"/>
    <col min="2" max="2" width="15.85546875" bestFit="1" customWidth="1"/>
    <col min="3" max="3" width="16.140625" bestFit="1" customWidth="1"/>
    <col min="4" max="4" width="21.42578125" customWidth="1"/>
    <col min="5" max="5" width="18.28515625" customWidth="1"/>
    <col min="6" max="10" width="22.85546875" customWidth="1"/>
    <col min="11" max="11" width="32.7109375" customWidth="1"/>
    <col min="12" max="12" width="29" customWidth="1"/>
    <col min="13" max="15" width="16" customWidth="1"/>
    <col min="16" max="16" width="22" customWidth="1"/>
    <col min="17" max="17" width="22.42578125" customWidth="1"/>
  </cols>
  <sheetData>
    <row r="2" spans="2:17" ht="26.25" x14ac:dyDescent="0.4">
      <c r="B2" s="1861" t="s">
        <v>1590</v>
      </c>
      <c r="C2" s="1861"/>
      <c r="D2" s="1861"/>
      <c r="E2" s="1861"/>
      <c r="F2" s="1861"/>
      <c r="G2" s="1861"/>
      <c r="H2" s="1861"/>
      <c r="I2" s="1861"/>
      <c r="J2" s="1861"/>
      <c r="K2" s="1861"/>
      <c r="L2" s="1861"/>
      <c r="M2" s="1861"/>
      <c r="N2" s="1861"/>
      <c r="O2" s="1861"/>
      <c r="P2" s="1861"/>
      <c r="Q2" s="1861"/>
    </row>
    <row r="3" spans="2:17" ht="38.25" x14ac:dyDescent="0.2">
      <c r="B3" s="1581" t="s">
        <v>1591</v>
      </c>
      <c r="C3" s="1581" t="s">
        <v>1592</v>
      </c>
      <c r="D3" s="1581" t="s">
        <v>1593</v>
      </c>
      <c r="E3" s="1581" t="s">
        <v>1594</v>
      </c>
      <c r="F3" s="1581" t="s">
        <v>1595</v>
      </c>
      <c r="G3" s="1581" t="s">
        <v>1611</v>
      </c>
      <c r="H3" s="1581" t="s">
        <v>1610</v>
      </c>
      <c r="I3" s="1581" t="s">
        <v>1605</v>
      </c>
      <c r="J3" s="1581" t="s">
        <v>1604</v>
      </c>
      <c r="K3" s="1581" t="s">
        <v>1596</v>
      </c>
      <c r="L3" s="1581" t="s">
        <v>1597</v>
      </c>
      <c r="M3" s="1581" t="s">
        <v>1598</v>
      </c>
      <c r="N3" s="1581" t="s">
        <v>1606</v>
      </c>
      <c r="O3" s="1581" t="s">
        <v>1607</v>
      </c>
      <c r="P3" s="1581" t="s">
        <v>1599</v>
      </c>
      <c r="Q3" s="1581" t="s">
        <v>1600</v>
      </c>
    </row>
    <row r="4" spans="2:17" x14ac:dyDescent="0.2">
      <c r="B4" s="1582" t="str">
        <f>IF('Legend(DX)'!S1=0,"Enter System #",'Legend(DX)'!S1)</f>
        <v>Enter System #</v>
      </c>
      <c r="C4" s="1582" t="s">
        <v>1602</v>
      </c>
      <c r="D4" s="1582" t="s">
        <v>1603</v>
      </c>
      <c r="E4" s="1582" t="str">
        <f>IF('Legend(DX)'!U1="","Select a Refrigerant",'Legend(DX)'!U1)</f>
        <v>Select a Refrigerant</v>
      </c>
      <c r="F4" s="1539"/>
      <c r="G4" s="1539"/>
      <c r="H4" s="1539"/>
      <c r="I4" s="1583" t="str" cm="1">
        <f t="array" ref="I4">IFERROR(IFERROR(INDEX(LoopSG1, MATCH("*CONN*1*", LoopSegs, 0)+11, 82)+INDEX(LoopSG1, MATCH("*CONN*2*", LoopSegs, 0)+11, 82),INDEX(LoopSG2, MATCH("*CONN*1*", LoopSegs, 0)-ROWS(LoopSG1)+11, 82)+INDEX(LoopSG2, MATCH("*CONN*2*", LoopSegs, 0)-ROWS(LoopSG1)+11, 82)),"")</f>
        <v/>
      </c>
      <c r="J4" s="1582" t="str">
        <f>IFERROR(VLOOKUP('Legend(Skid)'!AT3,SkidData,6,FALSE),"Select A Skid")</f>
        <v>Select A Skid</v>
      </c>
      <c r="K4" s="1608" t="str">
        <f>IFERROR(G4+H4-I4-J4,"")</f>
        <v/>
      </c>
      <c r="L4" s="1540" t="s">
        <v>616</v>
      </c>
      <c r="M4" s="1540" t="s">
        <v>616</v>
      </c>
      <c r="N4" s="1582" t="s">
        <v>134</v>
      </c>
      <c r="O4" s="1582" t="s">
        <v>134</v>
      </c>
      <c r="P4" s="1540" t="s">
        <v>616</v>
      </c>
      <c r="Q4" s="1606" t="str">
        <f>IFERROR(F4-K4,"")</f>
        <v/>
      </c>
    </row>
    <row r="5" spans="2:17" x14ac:dyDescent="0.2">
      <c r="B5" s="1536"/>
      <c r="C5" s="1537"/>
      <c r="D5" s="1537"/>
      <c r="E5" s="1537"/>
      <c r="F5" s="1537"/>
      <c r="G5" s="1537"/>
      <c r="H5" s="1537"/>
      <c r="I5" s="1537"/>
      <c r="J5" s="1537"/>
      <c r="K5" s="1537"/>
      <c r="L5" s="1537"/>
      <c r="M5" s="1537"/>
      <c r="N5" s="1537"/>
      <c r="O5" s="1537"/>
      <c r="P5" s="1537"/>
    </row>
    <row r="6" spans="2:17" x14ac:dyDescent="0.2">
      <c r="B6" s="1582" t="str">
        <f>IF('Legend(Skid)'!S1=0,"Enter System #",'Legend(Skid)'!S1)</f>
        <v>Enter System #</v>
      </c>
      <c r="C6" s="1582" t="s">
        <v>1601</v>
      </c>
      <c r="D6" s="1582" t="str">
        <f>IF(LEFT('Legend(Skid)'!U1)="c","LBS","GAL")</f>
        <v>GAL</v>
      </c>
      <c r="E6" s="1582" t="str">
        <f>IF('Legend(Skid)'!W3="No",'Legend(Skid)'!U1,"N/A")</f>
        <v>N/A</v>
      </c>
      <c r="F6" s="1540" t="s">
        <v>616</v>
      </c>
      <c r="G6" s="1580" t="s">
        <v>616</v>
      </c>
      <c r="H6" s="1580" t="s">
        <v>616</v>
      </c>
      <c r="I6" s="1580" t="s">
        <v>616</v>
      </c>
      <c r="J6" s="1580" t="s">
        <v>616</v>
      </c>
      <c r="K6" s="1582" t="s">
        <v>616</v>
      </c>
      <c r="L6" s="1540" t="s">
        <v>616</v>
      </c>
      <c r="M6" s="1582" t="str">
        <f>IF('Legend(Skid)'!W3="Yes",'Legend(Skid)'!U1,"N/A")</f>
        <v>N/A</v>
      </c>
      <c r="N6" s="1584" cm="1">
        <f t="array" ref="N6">SUM(IF(ISNUMBER(TotalCharge_Skid),TotalCharge_Skid,0))</f>
        <v>0</v>
      </c>
      <c r="O6" s="1582" t="str">
        <f>IFERROR(VLOOKUP('Legend(Skid)'!AT3,SkidData,7,FALSE),"Select A Skid")</f>
        <v>Select A Skid</v>
      </c>
      <c r="P6" s="1607" t="str">
        <f>IFERROR(N6+O6,"")</f>
        <v/>
      </c>
      <c r="Q6" s="1606" t="str">
        <f>IFERROR(P6,"")</f>
        <v/>
      </c>
    </row>
  </sheetData>
  <sheetProtection sheet="1" objects="1" scenarios="1"/>
  <mergeCells count="1">
    <mergeCell ref="B2:Q2"/>
  </mergeCells>
  <pageMargins left="0.7" right="0.7" top="0.75" bottom="0.75"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A7F42-5853-4F6D-9AF4-0CB33AF13DD3}">
  <sheetPr codeName="Sheet18"/>
  <dimension ref="A1:K5"/>
  <sheetViews>
    <sheetView workbookViewId="0">
      <selection activeCell="E8" sqref="E8"/>
    </sheetView>
  </sheetViews>
  <sheetFormatPr defaultRowHeight="12.75" x14ac:dyDescent="0.2"/>
  <cols>
    <col min="1" max="1" width="15.85546875" bestFit="1" customWidth="1"/>
    <col min="2" max="2" width="16.140625" bestFit="1" customWidth="1"/>
    <col min="3" max="3" width="21.42578125" customWidth="1"/>
    <col min="4" max="4" width="18.28515625" customWidth="1"/>
    <col min="5" max="5" width="22.85546875" customWidth="1"/>
    <col min="6" max="6" width="32.28515625" customWidth="1"/>
    <col min="7" max="7" width="29" customWidth="1"/>
    <col min="8" max="8" width="16" customWidth="1"/>
    <col min="9" max="9" width="22" customWidth="1"/>
    <col min="10" max="10" width="22.42578125" customWidth="1"/>
    <col min="11" max="11" width="8.85546875" customWidth="1"/>
  </cols>
  <sheetData>
    <row r="1" spans="1:11" ht="26.25" x14ac:dyDescent="0.4">
      <c r="A1" s="1862" t="s">
        <v>1590</v>
      </c>
      <c r="B1" s="1862"/>
      <c r="C1" s="1862"/>
      <c r="D1" s="1862"/>
      <c r="E1" s="1862"/>
      <c r="F1" s="1862"/>
      <c r="G1" s="1862"/>
      <c r="H1" s="1862"/>
      <c r="I1" s="1862"/>
      <c r="J1" s="1862"/>
      <c r="K1" s="1862"/>
    </row>
    <row r="2" spans="1:11" ht="38.25" x14ac:dyDescent="0.2">
      <c r="A2" s="1534" t="s">
        <v>1591</v>
      </c>
      <c r="B2" s="1534" t="s">
        <v>1592</v>
      </c>
      <c r="C2" s="1534" t="s">
        <v>1593</v>
      </c>
      <c r="D2" s="1534" t="s">
        <v>1594</v>
      </c>
      <c r="E2" s="1534" t="s">
        <v>1595</v>
      </c>
      <c r="F2" s="1534" t="s">
        <v>1596</v>
      </c>
      <c r="G2" s="1534" t="s">
        <v>1597</v>
      </c>
      <c r="H2" s="1534" t="s">
        <v>1598</v>
      </c>
      <c r="I2" s="1534" t="s">
        <v>1599</v>
      </c>
      <c r="J2" s="1534" t="s">
        <v>1600</v>
      </c>
      <c r="K2" s="1534" t="s">
        <v>1330</v>
      </c>
    </row>
    <row r="3" spans="1:11" x14ac:dyDescent="0.2">
      <c r="A3" s="1535" t="str">
        <f>IF('Charge Calc'!B4="","",'Charge Calc'!B4)</f>
        <v>Enter System #</v>
      </c>
      <c r="B3" s="1535" t="str">
        <f>IF('Charge Calc'!C4="","",'Charge Calc'!C4)</f>
        <v>RACK</v>
      </c>
      <c r="C3" s="1535" t="str">
        <f>IF('Charge Calc'!D4="","",'Charge Calc'!D4)</f>
        <v>LBS</v>
      </c>
      <c r="D3" s="1535" t="str">
        <f>IF('Charge Calc'!E4="","",'Charge Calc'!E4)</f>
        <v>Select a Refrigerant</v>
      </c>
      <c r="E3" s="1535" t="str">
        <f>IF('Charge Calc'!F4="","",'Charge Calc'!F4)</f>
        <v/>
      </c>
      <c r="F3" s="1535" t="str">
        <f>IF('Charge Calc'!K4="","",'Charge Calc'!K4)</f>
        <v/>
      </c>
      <c r="G3" s="1535" t="str">
        <f>IF('Charge Calc'!L4="","",'Charge Calc'!L4)</f>
        <v>N/A</v>
      </c>
      <c r="H3" s="1535" t="str">
        <f>IF('Charge Calc'!M4="","",'Charge Calc'!M4)</f>
        <v>N/A</v>
      </c>
      <c r="I3" s="1535" t="str">
        <f>IF('Charge Calc'!P4="","",'Charge Calc'!P4)</f>
        <v>N/A</v>
      </c>
      <c r="J3" s="1535" t="str">
        <f>IF('Charge Calc'!Q4="","",'Charge Calc'!Q4)</f>
        <v/>
      </c>
      <c r="K3" s="1535"/>
    </row>
    <row r="4" spans="1:11" x14ac:dyDescent="0.2">
      <c r="A4" s="1536"/>
      <c r="B4" s="1537"/>
      <c r="C4" s="1537"/>
      <c r="D4" s="1537"/>
      <c r="E4" s="1537"/>
      <c r="F4" s="1537"/>
      <c r="G4" s="1537"/>
      <c r="H4" s="1537"/>
      <c r="I4" s="1537"/>
      <c r="J4" s="1537"/>
      <c r="K4" s="1538"/>
    </row>
    <row r="5" spans="1:11" x14ac:dyDescent="0.2">
      <c r="A5" s="1535" t="str">
        <f>IF('Charge Calc'!B6="","",'Charge Calc'!B6)</f>
        <v>Enter System #</v>
      </c>
      <c r="B5" s="1535" t="str">
        <f>IF('Charge Calc'!C6="","",'Charge Calc'!C6)</f>
        <v>SKID</v>
      </c>
      <c r="C5" s="1535" t="str">
        <f>IF('Charge Calc'!D6="","",'Charge Calc'!D6)</f>
        <v>GAL</v>
      </c>
      <c r="D5" s="1535" t="str">
        <f>IF('Charge Calc'!E6="","",'Charge Calc'!E6)</f>
        <v>N/A</v>
      </c>
      <c r="E5" s="1535" t="str">
        <f>IF('Charge Calc'!F6="","",'Charge Calc'!F6)</f>
        <v>N/A</v>
      </c>
      <c r="F5" s="1535" t="str">
        <f>IF('Charge Calc'!K6="","",'Charge Calc'!K6)</f>
        <v>N/A</v>
      </c>
      <c r="G5" s="1535" t="str">
        <f>IF('Charge Calc'!L6="","",'Charge Calc'!L6)</f>
        <v>N/A</v>
      </c>
      <c r="H5" s="1535" t="str">
        <f>IF('Charge Calc'!M6="","",'Charge Calc'!M6)</f>
        <v>N/A</v>
      </c>
      <c r="I5" s="1535" t="str">
        <f>IF('Charge Calc'!P6="","",'Charge Calc'!P6)</f>
        <v/>
      </c>
      <c r="J5" s="1535" t="str">
        <f>IF('Charge Calc'!Q6="","",'Charge Calc'!Q6)</f>
        <v/>
      </c>
      <c r="K5" s="1535"/>
    </row>
  </sheetData>
  <sheetProtection sheet="1" objects="1" scenarios="1"/>
  <mergeCells count="1">
    <mergeCell ref="A1:K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0E428C-0B19-4634-AA7A-2DFF279C40D0}">
  <sheetPr codeName="Sheet19"/>
  <dimension ref="A1:K5"/>
  <sheetViews>
    <sheetView workbookViewId="0">
      <selection activeCell="E3" sqref="E3"/>
    </sheetView>
  </sheetViews>
  <sheetFormatPr defaultRowHeight="12.75" x14ac:dyDescent="0.2"/>
  <cols>
    <col min="1" max="1" width="15.85546875" bestFit="1" customWidth="1"/>
    <col min="2" max="2" width="16.140625" bestFit="1" customWidth="1"/>
    <col min="3" max="3" width="21.42578125" customWidth="1"/>
    <col min="4" max="4" width="18.28515625" customWidth="1"/>
    <col min="5" max="5" width="22.85546875" customWidth="1"/>
    <col min="6" max="6" width="32.28515625" customWidth="1"/>
    <col min="7" max="7" width="29" customWidth="1"/>
    <col min="8" max="8" width="16" customWidth="1"/>
    <col min="9" max="9" width="22" customWidth="1"/>
    <col min="10" max="10" width="22.42578125" customWidth="1"/>
    <col min="11" max="11" width="8.85546875" customWidth="1"/>
  </cols>
  <sheetData>
    <row r="1" spans="1:11" ht="26.25" x14ac:dyDescent="0.4">
      <c r="A1" s="1863" t="s">
        <v>1590</v>
      </c>
      <c r="B1" s="1863"/>
      <c r="C1" s="1863"/>
      <c r="D1" s="1863"/>
      <c r="E1" s="1863"/>
      <c r="F1" s="1863"/>
      <c r="G1" s="1863"/>
      <c r="H1" s="1863"/>
      <c r="I1" s="1863"/>
      <c r="J1" s="1863"/>
      <c r="K1" s="1863"/>
    </row>
    <row r="2" spans="1:11" ht="38.25" x14ac:dyDescent="0.2">
      <c r="A2" s="1589" t="s">
        <v>1591</v>
      </c>
      <c r="B2" s="1589" t="s">
        <v>1592</v>
      </c>
      <c r="C2" s="1589" t="s">
        <v>1593</v>
      </c>
      <c r="D2" s="1589" t="s">
        <v>1594</v>
      </c>
      <c r="E2" s="1589" t="s">
        <v>1595</v>
      </c>
      <c r="F2" s="1589" t="s">
        <v>1596</v>
      </c>
      <c r="G2" s="1589" t="s">
        <v>1597</v>
      </c>
      <c r="H2" s="1589" t="s">
        <v>1598</v>
      </c>
      <c r="I2" s="1589" t="s">
        <v>1599</v>
      </c>
      <c r="J2" s="1589" t="s">
        <v>1600</v>
      </c>
      <c r="K2" s="1589" t="s">
        <v>1330</v>
      </c>
    </row>
    <row r="3" spans="1:11" x14ac:dyDescent="0.2">
      <c r="A3" s="1590" t="s">
        <v>1680</v>
      </c>
      <c r="B3" s="1590" t="s">
        <v>1602</v>
      </c>
      <c r="C3" s="1590" t="s">
        <v>1603</v>
      </c>
      <c r="D3" s="1590" t="s">
        <v>1232</v>
      </c>
      <c r="E3" s="1590">
        <v>800</v>
      </c>
      <c r="F3" s="1609">
        <v>42.330021641763281</v>
      </c>
      <c r="G3" s="1590" t="s">
        <v>616</v>
      </c>
      <c r="H3" s="1590" t="s">
        <v>616</v>
      </c>
      <c r="I3" s="1590" t="s">
        <v>616</v>
      </c>
      <c r="J3" s="1609">
        <v>757.66997835823668</v>
      </c>
      <c r="K3" s="1590"/>
    </row>
    <row r="4" spans="1:11" x14ac:dyDescent="0.2">
      <c r="A4" s="1591"/>
      <c r="B4" s="1592"/>
      <c r="C4" s="1592"/>
      <c r="D4" s="1592"/>
      <c r="E4" s="1592"/>
      <c r="F4" s="1592"/>
      <c r="G4" s="1592"/>
      <c r="H4" s="1592"/>
      <c r="I4" s="1592"/>
      <c r="J4" s="1592"/>
      <c r="K4" s="1593"/>
    </row>
    <row r="5" spans="1:11" x14ac:dyDescent="0.2">
      <c r="A5" s="1590" t="s">
        <v>1679</v>
      </c>
      <c r="B5" s="1590" t="s">
        <v>1601</v>
      </c>
      <c r="C5" s="1590" t="s">
        <v>1603</v>
      </c>
      <c r="D5" s="1590" t="s">
        <v>616</v>
      </c>
      <c r="E5" s="1590" t="s">
        <v>616</v>
      </c>
      <c r="F5" s="1590" t="s">
        <v>616</v>
      </c>
      <c r="G5" s="1590" t="s">
        <v>616</v>
      </c>
      <c r="H5" s="1590" t="s">
        <v>1126</v>
      </c>
      <c r="I5" s="1609">
        <v>750</v>
      </c>
      <c r="J5" s="1609">
        <v>750</v>
      </c>
      <c r="K5" s="1590"/>
    </row>
  </sheetData>
  <sheetProtection sheet="1" objects="1" scenarios="1"/>
  <mergeCells count="1">
    <mergeCell ref="A1:K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8D143C-B5D0-4C2A-8A48-A7E6CCE9C4E5}">
  <sheetPr codeName="Sheet20"/>
  <dimension ref="A1:Q3"/>
  <sheetViews>
    <sheetView workbookViewId="0">
      <selection activeCell="H45" sqref="H45"/>
    </sheetView>
  </sheetViews>
  <sheetFormatPr defaultRowHeight="12.75" x14ac:dyDescent="0.2"/>
  <cols>
    <col min="2" max="2" width="16.42578125" bestFit="1" customWidth="1"/>
    <col min="3" max="3" width="28.140625" customWidth="1"/>
    <col min="4" max="4" width="13.28515625" customWidth="1"/>
    <col min="5" max="5" width="24.85546875" customWidth="1"/>
    <col min="6" max="6" width="28.5703125" customWidth="1"/>
    <col min="7" max="7" width="23.140625" customWidth="1"/>
    <col min="8" max="8" width="25.7109375" customWidth="1"/>
    <col min="9" max="9" width="29" customWidth="1"/>
    <col min="10" max="10" width="29.28515625" customWidth="1"/>
    <col min="11" max="11" width="19.7109375" customWidth="1"/>
    <col min="12" max="12" width="17.28515625" customWidth="1"/>
  </cols>
  <sheetData>
    <row r="1" spans="1:17" ht="26.25" x14ac:dyDescent="0.4">
      <c r="A1" s="1863" t="s">
        <v>1630</v>
      </c>
      <c r="B1" s="1863"/>
      <c r="C1" s="1863"/>
      <c r="D1" s="1863"/>
      <c r="E1" s="1863"/>
      <c r="F1" s="1863"/>
      <c r="G1" s="1863"/>
      <c r="H1" s="1863"/>
      <c r="I1" s="1863"/>
      <c r="J1" s="1863"/>
      <c r="K1" s="1863"/>
      <c r="L1" s="1863"/>
      <c r="M1" s="1863"/>
      <c r="N1" s="1863"/>
      <c r="O1" s="1863"/>
      <c r="P1" s="1863"/>
      <c r="Q1" s="1863"/>
    </row>
    <row r="2" spans="1:17" x14ac:dyDescent="0.2">
      <c r="A2" s="1594" t="s">
        <v>1591</v>
      </c>
      <c r="B2" s="1594" t="s">
        <v>1631</v>
      </c>
      <c r="C2" s="1594" t="s">
        <v>1632</v>
      </c>
      <c r="D2" s="1594" t="s">
        <v>572</v>
      </c>
      <c r="E2" s="1594" t="s">
        <v>1633</v>
      </c>
      <c r="F2" s="1594" t="s">
        <v>1634</v>
      </c>
      <c r="G2" s="1594" t="s">
        <v>1635</v>
      </c>
      <c r="H2" s="1594" t="s">
        <v>1636</v>
      </c>
      <c r="I2" s="1594" t="s">
        <v>1637</v>
      </c>
      <c r="J2" s="1594" t="s">
        <v>1638</v>
      </c>
      <c r="K2" s="1594" t="s">
        <v>1639</v>
      </c>
      <c r="L2" s="1594" t="s">
        <v>1640</v>
      </c>
      <c r="M2" s="1594" t="s">
        <v>561</v>
      </c>
      <c r="N2" s="1594" t="s">
        <v>1641</v>
      </c>
      <c r="O2" s="1594" t="s">
        <v>1642</v>
      </c>
      <c r="P2" s="1594" t="s">
        <v>1643</v>
      </c>
      <c r="Q2" s="1594" t="s">
        <v>1330</v>
      </c>
    </row>
    <row r="3" spans="1:17" x14ac:dyDescent="0.2">
      <c r="A3" s="1594">
        <f>'Legend(Skid)'!S1</f>
        <v>0</v>
      </c>
      <c r="B3" s="1595" t="s">
        <v>1644</v>
      </c>
      <c r="C3" s="1594">
        <f>'Legend(Skid)'!AT3</f>
        <v>0</v>
      </c>
      <c r="D3" s="1594">
        <f>LegendSG3LT_Skid</f>
        <v>0</v>
      </c>
      <c r="E3" s="1594" t="str">
        <f>'Legend(Skid)'!W4</f>
        <v/>
      </c>
      <c r="F3" s="1594">
        <f>'Legend(Skid)'!U1</f>
        <v>0</v>
      </c>
      <c r="G3" s="1594">
        <f>LegendSG1EVLT_Skid</f>
        <v>0</v>
      </c>
      <c r="H3" s="1594">
        <f>'Legend(Skid)'!AT1</f>
        <v>0</v>
      </c>
      <c r="I3" s="1594" t="e">
        <f>VLOOKUP(C3,'Legend(Skid)'!AZ177:BD179,4)</f>
        <v>#N/A</v>
      </c>
      <c r="J3" s="1594" t="e">
        <f>VLOOKUP(C3,'Legend(Skid)'!AZ177:BD179,5)</f>
        <v>#N/A</v>
      </c>
      <c r="K3" s="1595" t="str">
        <f>IF(LEFT(F3,1)="G",100,"")</f>
        <v/>
      </c>
      <c r="L3" s="1594" t="str">
        <f>'Legend(Skid)'!AC1</f>
        <v>460V  3Ph 60Hz</v>
      </c>
      <c r="M3" s="1594" t="e">
        <f>VLOOKUP($C$3,SkidData,8)</f>
        <v>#N/A</v>
      </c>
      <c r="N3" s="1594" t="e">
        <f>VLOOKUP($C$3,SkidData,9)</f>
        <v>#N/A</v>
      </c>
      <c r="O3" s="1594" t="e">
        <f>VLOOKUP($C$3,SkidData,10)</f>
        <v>#N/A</v>
      </c>
      <c r="P3" s="1594" t="e">
        <f>VLOOKUP($C$3,SkidData,11)</f>
        <v>#N/A</v>
      </c>
      <c r="Q3" s="1594"/>
    </row>
  </sheetData>
  <sheetProtection sheet="1" objects="1" scenarios="1"/>
  <mergeCells count="1">
    <mergeCell ref="A1:Q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4A1B0C-BE17-412C-8021-7D13640B0C1E}">
  <sheetPr codeName="Sheet1"/>
  <dimension ref="B1:P26"/>
  <sheetViews>
    <sheetView workbookViewId="0">
      <selection activeCell="J35" sqref="J35"/>
    </sheetView>
  </sheetViews>
  <sheetFormatPr defaultRowHeight="12.75" x14ac:dyDescent="0.2"/>
  <cols>
    <col min="1" max="1" width="3" style="923" customWidth="1"/>
    <col min="2" max="2" width="31.5703125" style="923" customWidth="1"/>
    <col min="3" max="3" width="17.42578125" style="923" customWidth="1"/>
    <col min="4" max="4" width="15" style="923" customWidth="1"/>
    <col min="5" max="5" width="14.140625" style="923" customWidth="1"/>
    <col min="6" max="6" width="18.7109375" style="923" customWidth="1"/>
    <col min="7" max="7" width="7.7109375" style="923" customWidth="1"/>
    <col min="8" max="8" width="31.5703125" style="923" customWidth="1"/>
    <col min="9" max="9" width="12" style="923" customWidth="1"/>
    <col min="10" max="10" width="13.85546875" style="923" customWidth="1"/>
    <col min="11" max="11" width="17.140625" style="923" customWidth="1"/>
    <col min="12" max="12" width="12.28515625" style="923" customWidth="1"/>
    <col min="13" max="13" width="23.7109375" style="923" customWidth="1"/>
    <col min="14" max="15" width="9.140625" style="923"/>
    <col min="16" max="16" width="12" style="923" bestFit="1" customWidth="1"/>
    <col min="17" max="16384" width="9.140625" style="923"/>
  </cols>
  <sheetData>
    <row r="1" spans="2:16" x14ac:dyDescent="0.2">
      <c r="B1" s="923" t="str">
        <f>IF(OR(LineSizeData!$J$4&gt;1,LineSizeData!$C$3&gt;0),"Primary Refrigerant: " &amp; CHAR(10) &amp; 'Legend(DX)'!$U$4,"")</f>
        <v xml:space="preserve">Primary Refrigerant: 
</v>
      </c>
    </row>
    <row r="2" spans="2:16" ht="13.5" thickBot="1" x14ac:dyDescent="0.25">
      <c r="B2" s="923" t="e">
        <f>IF(OR(LineSizeData!$J$4&gt;1,LineSizeData!$C$3&gt;0),VLOOKUP('Legend(DX)'!$U$4,Refrigerant,2,FALSE),VLOOKUP('Legend(DX)'!$U$1,Refrigerant,2,FALSE))</f>
        <v>#N/A</v>
      </c>
    </row>
    <row r="3" spans="2:16" x14ac:dyDescent="0.2">
      <c r="B3" s="1251" t="s">
        <v>978</v>
      </c>
      <c r="C3" s="1250"/>
      <c r="D3" s="1250"/>
      <c r="E3" s="1250"/>
      <c r="F3" s="1249"/>
      <c r="H3" s="1251" t="s">
        <v>1130</v>
      </c>
      <c r="I3" s="1250"/>
      <c r="J3" s="1250"/>
      <c r="K3" s="1250"/>
      <c r="L3" s="1250"/>
      <c r="M3" s="1250"/>
      <c r="N3" s="1249"/>
    </row>
    <row r="4" spans="2:16" x14ac:dyDescent="0.2">
      <c r="B4" s="1248"/>
      <c r="F4" s="1247"/>
      <c r="H4" s="1248"/>
      <c r="N4" s="1247"/>
    </row>
    <row r="5" spans="2:16" x14ac:dyDescent="0.2">
      <c r="B5" s="1248" t="s">
        <v>979</v>
      </c>
      <c r="C5" s="1246">
        <f>LegendSG1LT</f>
        <v>0</v>
      </c>
      <c r="F5" s="1247"/>
      <c r="H5" s="1248" t="s">
        <v>979</v>
      </c>
      <c r="I5" s="1246">
        <f>LegendSG1LT</f>
        <v>0</v>
      </c>
      <c r="N5" s="1247"/>
    </row>
    <row r="6" spans="2:16" ht="54" x14ac:dyDescent="0.2">
      <c r="B6" s="1245" t="s">
        <v>980</v>
      </c>
      <c r="C6" s="1244" t="s">
        <v>993</v>
      </c>
      <c r="D6" s="1244" t="s">
        <v>981</v>
      </c>
      <c r="E6" s="1244" t="s">
        <v>982</v>
      </c>
      <c r="F6" s="1243" t="s">
        <v>1017</v>
      </c>
      <c r="H6" s="1245" t="s">
        <v>1131</v>
      </c>
      <c r="I6" s="1244" t="s">
        <v>993</v>
      </c>
      <c r="J6" s="1244" t="s">
        <v>1132</v>
      </c>
      <c r="K6" s="1244" t="s">
        <v>981</v>
      </c>
      <c r="L6" s="1244" t="s">
        <v>982</v>
      </c>
      <c r="M6" s="1252" t="s">
        <v>1017</v>
      </c>
      <c r="N6" s="1247"/>
    </row>
    <row r="7" spans="2:16" x14ac:dyDescent="0.2">
      <c r="B7" s="1242" t="e">
        <f>LineSizeData!U12</f>
        <v>#REF!</v>
      </c>
      <c r="C7" s="1241">
        <f>LegendSG1EVLT</f>
        <v>0</v>
      </c>
      <c r="D7" s="1240" t="str">
        <f>IF(OR(LineSizeData!$J$4&gt;1,LineSizeData!$C$3&gt;0),"",Enthalpy(LineSizeData!B$3,"pliq","e",LineSizeData!$I$4))</f>
        <v/>
      </c>
      <c r="E7" s="1240" t="str">
        <f>IF(OR(LineSizeData!$J$4&gt;1,LineSizeData!$C$3&gt;0),"",Enthalpy(LineSizeData!$B$3,"tp","e",C5,LineSizeData!$I$4))</f>
        <v/>
      </c>
      <c r="F7" s="1239" t="str">
        <f>IF(OR(C5="N/A",C5=0),"N/A",IF(OR(LineSizeData!$J$4&gt;1,LineSizeData!$C$3&gt;0),"SEE SECONDARY CALCS",(D7-E7)*B7/1000))</f>
        <v>N/A</v>
      </c>
      <c r="H7" s="1268" t="e">
        <f>IF(OR(LineSizeData!$J$4&gt;1,LineSizeData!$C$3&gt;0),$I$7*1000/($J$7-$L$7),"SEE PRIMARY CALCS")</f>
        <v>#VALUE!</v>
      </c>
      <c r="I7" s="1267">
        <f>C7</f>
        <v>0</v>
      </c>
      <c r="J7" s="1269" t="e">
        <f>IF(OR(LineSizeData!$J$4&gt;1,LineSizeData!$C$3&gt;0),Enthalpy($B$2,"tp","e",LegendSG1RGT,$J$10+0.5*$N$10),"")</f>
        <v>#VALUE!</v>
      </c>
      <c r="K7" s="1269" t="e">
        <f>IF(OR(LineSizeData!$J$4&gt;1,LineSizeData!$C$3&gt;0),Enthalpy($B$2,"Tliq","e",($I$10)),"")</f>
        <v>#VALUE!</v>
      </c>
      <c r="L7" s="1269" t="e">
        <f>IF(OR(LineSizeData!$J$4&gt;1,LineSizeData!$C$3&gt;0),IF(($C$5)+0.5*($H$10)&gt;($I$10),Enthalpy($B$2,"Tliq","e",($C$5)),Enthalpy($B$2,"tp","e",($C$5),($K$10))),"")</f>
        <v>#VALUE!</v>
      </c>
      <c r="M7" s="1270" t="e">
        <f>IF(OR(LineSizeData!$J$4&gt;1,LineSizeData!$C$3&gt;0),($H$7*($K$7-$L$7))/1000, "SEE PRIMARY CALCS")</f>
        <v>#VALUE!</v>
      </c>
      <c r="N7" s="1247"/>
    </row>
    <row r="8" spans="2:16" ht="63.75" x14ac:dyDescent="0.2">
      <c r="B8" s="1248"/>
      <c r="F8" s="1247"/>
      <c r="H8" s="1271" t="s">
        <v>799</v>
      </c>
      <c r="I8" s="1272" t="s">
        <v>542</v>
      </c>
      <c r="J8" s="286" t="s">
        <v>1133</v>
      </c>
      <c r="K8" s="1276" t="s">
        <v>1134</v>
      </c>
      <c r="L8" s="286" t="s">
        <v>1135</v>
      </c>
      <c r="M8" s="286" t="s">
        <v>1136</v>
      </c>
      <c r="N8" s="1273" t="s">
        <v>803</v>
      </c>
      <c r="P8" s="286" t="s">
        <v>1135</v>
      </c>
    </row>
    <row r="9" spans="2:16" x14ac:dyDescent="0.2">
      <c r="B9" s="1248"/>
      <c r="F9" s="1247"/>
      <c r="H9" s="236" t="s">
        <v>1137</v>
      </c>
      <c r="I9" s="234" t="s">
        <v>1137</v>
      </c>
      <c r="J9" s="1274" t="s">
        <v>1138</v>
      </c>
      <c r="K9" s="1277" t="s">
        <v>1138</v>
      </c>
      <c r="L9" s="277"/>
      <c r="M9" s="1274" t="s">
        <v>1137</v>
      </c>
      <c r="N9" s="1275" t="s">
        <v>1137</v>
      </c>
      <c r="P9" s="277" t="s">
        <v>1139</v>
      </c>
    </row>
    <row r="10" spans="2:16" ht="13.5" thickBot="1" x14ac:dyDescent="0.25">
      <c r="B10" s="1248"/>
      <c r="F10" s="1247"/>
      <c r="H10" s="1278" t="e">
        <f>TEMPERATURE($B$2,"pvap","e",($K$10))-TEMPERATURE($B$2,"pliq","e",($K$10))</f>
        <v>#VALUE!</v>
      </c>
      <c r="I10" s="1279">
        <f>LegendSG1CT</f>
        <v>0</v>
      </c>
      <c r="J10" s="1280" t="e">
        <f>IF(LineSizeData!$J$4&gt;1,((Pressure($B$2,"Tliq","e",(LegendSG1RSST-('Legend(DX)'!$W$4)))+Pressure($B$2,"Tvap","e",(LegendSG1RSST-('Legend(DX)'!$W$4))))/2),IF(LineSizeData!$C$3&gt;0,((Pressure($B$2,"Tliq","e",((MIN(LegendSG1EVT))-('Legend(DX)'!$W$4)))+Pressure($B$2,"Tvap","e",((MIN(LegendSG1EVT))-('Legend(DX)'!$W$4))))/2),""))</f>
        <v>#VALUE!</v>
      </c>
      <c r="K10" s="1281" t="e">
        <f>(Pressure($B$2,"tliq","e",LegendSG1CT)+Pressure($B$2,"tvap","e",LegendSG1CT))/2</f>
        <v>#VALUE!</v>
      </c>
      <c r="L10" s="1282" t="e">
        <f>IF(OR(LineSizeData!$J$4&gt;1,LineSizeData!$C$3&gt;0),1-(Enthalpy($B$2,"pvap","e",($J$10))-(IF(($C$5)+0.5*($H$10)&gt;($I$10),Enthalpy($B$2,"Tliq","e",($C$5)),Enthalpy($B$2,"tp","e",($C$5),($K$10)))))/(Enthalpy($B$2,"pvap","e",($J$10))-Enthalpy($B$2,"pliq","e",($J$10))),"")</f>
        <v>#VALUE!</v>
      </c>
      <c r="M10" s="1283" t="e">
        <f>IF(OR(LineSizeData!$J$4&gt;1,LineSizeData!$C$3&gt;0),TEMPERATURE($B$2,"pvap","e",($J$10))-TEMPERATURE($B$2,"pliq","e",($J$10)),"")</f>
        <v>#VALUE!</v>
      </c>
      <c r="N10" s="1284" t="e">
        <f>IF(OR(LineSizeData!$J$4&gt;1,LineSizeData!$C$3&gt;0),(1-($L$10))*($M$10),"")</f>
        <v>#VALUE!</v>
      </c>
      <c r="P10" s="1285" t="e">
        <f>IF(LineSizeData!$C$3&gt;0,(L7-Enthalpy($B$2,"tliq","e",(((MIN(LegendSG1EVT))-('Legend(DX)'!$W$4)))))/((Enthalpy($B$2,"pvap","e",J10))-(Enthalpy($B$2,"pliq","e",J10))),(L7-Enthalpy($B$2,"tliq","e",(((MIN(LegendSG1EVT))-('Legend(DX)'!$W$4)))))/((Enthalpy($B$2,"pvap","e",J10))-(Enthalpy($B$2,"pliq","e",J10))))</f>
        <v>#VALUE!</v>
      </c>
    </row>
    <row r="11" spans="2:16" x14ac:dyDescent="0.2">
      <c r="B11" s="1251" t="s">
        <v>983</v>
      </c>
      <c r="C11" s="1250"/>
      <c r="D11" s="1250"/>
      <c r="E11" s="1250"/>
      <c r="F11" s="1249"/>
      <c r="H11" s="1251" t="s">
        <v>1140</v>
      </c>
      <c r="I11" s="1250"/>
      <c r="J11" s="1250"/>
      <c r="K11" s="1250"/>
      <c r="L11" s="1250"/>
      <c r="M11" s="1250"/>
      <c r="N11" s="1249"/>
    </row>
    <row r="12" spans="2:16" x14ac:dyDescent="0.2">
      <c r="B12" s="1248"/>
      <c r="F12" s="1247"/>
      <c r="H12" s="1248"/>
      <c r="N12" s="1247"/>
    </row>
    <row r="13" spans="2:16" x14ac:dyDescent="0.2">
      <c r="B13" s="1248" t="s">
        <v>979</v>
      </c>
      <c r="C13" s="1246">
        <f>LegendSG2LT</f>
        <v>0</v>
      </c>
      <c r="F13" s="1247"/>
      <c r="H13" s="1248" t="s">
        <v>979</v>
      </c>
      <c r="I13" s="1246">
        <f>LegendSG2LT</f>
        <v>0</v>
      </c>
      <c r="N13" s="1247"/>
    </row>
    <row r="14" spans="2:16" ht="54" x14ac:dyDescent="0.2">
      <c r="B14" s="1245" t="s">
        <v>980</v>
      </c>
      <c r="C14" s="1244" t="s">
        <v>994</v>
      </c>
      <c r="D14" s="1244" t="s">
        <v>981</v>
      </c>
      <c r="E14" s="1244" t="s">
        <v>982</v>
      </c>
      <c r="F14" s="1243" t="s">
        <v>1018</v>
      </c>
      <c r="H14" s="1245" t="s">
        <v>1131</v>
      </c>
      <c r="I14" s="1244" t="s">
        <v>994</v>
      </c>
      <c r="J14" s="1244" t="s">
        <v>1132</v>
      </c>
      <c r="K14" s="1244" t="s">
        <v>981</v>
      </c>
      <c r="L14" s="1244" t="s">
        <v>982</v>
      </c>
      <c r="M14" s="1252" t="s">
        <v>1017</v>
      </c>
      <c r="N14" s="1247"/>
    </row>
    <row r="15" spans="2:16" x14ac:dyDescent="0.2">
      <c r="B15" s="1242">
        <f>LineSizeData!U49</f>
        <v>0</v>
      </c>
      <c r="C15" s="1241">
        <f>LegendSG2EVLT</f>
        <v>0</v>
      </c>
      <c r="D15" s="1240" t="str">
        <f>IF(OR(LineSizeData!$J$44&gt;1,LineSizeData!$C$3&gt;0),"",Enthalpy(LineSizeData!B$43,"pliq","e",LineSizeData!$I$44))</f>
        <v/>
      </c>
      <c r="E15" s="1240" t="str">
        <f>IF(OR(LineSizeData!$J$44&gt;1,LineSizeData!$C$3&gt;0),"",Enthalpy(LineSizeData!$B$43,"tp","e",C13,LineSizeData!$I$44))</f>
        <v/>
      </c>
      <c r="F15" s="1239" t="str">
        <f>IF(OR(C13="N/A",C13=0),"N/A",IF(OR(LineSizeData!$J$44&gt;1,LineSizeData!$C$3&gt;0),"SEE SECONDARY CALCS",(D15-E15)*B15/1000))</f>
        <v>N/A</v>
      </c>
      <c r="H15" s="1268" t="e">
        <f>IF(OR(LineSizeData!$J$44&gt;1,LineSizeData!$C$3&gt;0),$I$15*1000/($J$15-$L$15),"SEE PRIMARY CALCS")</f>
        <v>#VALUE!</v>
      </c>
      <c r="I15" s="1267">
        <f>C15</f>
        <v>0</v>
      </c>
      <c r="J15" s="1269" t="e">
        <f>IF(OR(LineSizeData!$J$44&gt;1,LineSizeData!$C$3&gt;0),Enthalpy($B$2,"tp","e",LegendSG2RGT,$J$18+0.5*$N$18),"")</f>
        <v>#VALUE!</v>
      </c>
      <c r="K15" s="1269" t="e">
        <f>IF(OR(LineSizeData!$J$44&gt;1,LineSizeData!$C$3&gt;0),Enthalpy($B$2,"Tliq","e",($I$18)),"")</f>
        <v>#VALUE!</v>
      </c>
      <c r="L15" s="1269" t="e">
        <f>IF(OR(LineSizeData!$J$44&gt;1,LineSizeData!$C$3&gt;0),IF(($C$13)+0.5*($H$18)&gt;($I$18),Enthalpy($B$2,"Tliq","e",($C$13)),Enthalpy($B$2,"tp","e",($C$13),($K$18))),"")</f>
        <v>#VALUE!</v>
      </c>
      <c r="M15" s="1270" t="e">
        <f>IF(OR(LineSizeData!$J$44&gt;1,LineSizeData!$C$3&gt;0),($H$15*($K$15-$L$15))/1000, "SEE PRIMARY CALCS")</f>
        <v>#VALUE!</v>
      </c>
      <c r="N15" s="1247"/>
    </row>
    <row r="16" spans="2:16" ht="63.75" x14ac:dyDescent="0.2">
      <c r="B16" s="1248"/>
      <c r="F16" s="1247"/>
      <c r="H16" s="1271" t="s">
        <v>799</v>
      </c>
      <c r="I16" s="1272" t="s">
        <v>542</v>
      </c>
      <c r="J16" s="286" t="s">
        <v>1133</v>
      </c>
      <c r="K16" s="1276" t="s">
        <v>1134</v>
      </c>
      <c r="L16" s="286" t="s">
        <v>1135</v>
      </c>
      <c r="M16" s="286" t="s">
        <v>1141</v>
      </c>
      <c r="N16" s="1273" t="s">
        <v>803</v>
      </c>
      <c r="P16" s="286" t="s">
        <v>1135</v>
      </c>
    </row>
    <row r="17" spans="2:16" x14ac:dyDescent="0.2">
      <c r="B17" s="1248"/>
      <c r="F17" s="1247"/>
      <c r="H17" s="236" t="s">
        <v>1137</v>
      </c>
      <c r="I17" s="234" t="s">
        <v>1137</v>
      </c>
      <c r="J17" s="1274" t="s">
        <v>1138</v>
      </c>
      <c r="K17" s="1277" t="s">
        <v>1138</v>
      </c>
      <c r="L17" s="277"/>
      <c r="M17" s="1274" t="s">
        <v>1137</v>
      </c>
      <c r="N17" s="1275" t="s">
        <v>1137</v>
      </c>
      <c r="P17" s="277" t="s">
        <v>1139</v>
      </c>
    </row>
    <row r="18" spans="2:16" ht="13.5" thickBot="1" x14ac:dyDescent="0.25">
      <c r="B18" s="1248"/>
      <c r="F18" s="1247"/>
      <c r="H18" s="1278" t="e">
        <f>TEMPERATURE($B$2,"pvap","e",($K$18))-TEMPERATURE($B$2,"pliq","e",($K$18))</f>
        <v>#VALUE!</v>
      </c>
      <c r="I18" s="1279">
        <f>LegendSG1CT</f>
        <v>0</v>
      </c>
      <c r="J18" s="1280" t="e">
        <f>IF(LineSizeData!$J$44&gt;1,((Pressure($B$2,"Tliq","e",(LegendSG2RSST-('Legend(DX)'!$W$4)))+Pressure($B$2,"Tvap","e",(LegendSG2RSST-('Legend(DX)'!$W$4))))/2),IF(LineSizeData!$C$3&gt;0,((Pressure($B$2,"Tliq","e",((MIN(LegendSG2EVT))-('Legend(DX)'!$W$4)))+Pressure($B$2,"Tvap","e",((MIN(LegendSG2EVT))-('Legend(DX)'!$W$4))))/2),""))</f>
        <v>#VALUE!</v>
      </c>
      <c r="K18" s="1281" t="e">
        <f>(Pressure($B$2,"tliq","e",LegendSG1CT)+Pressure($B$2,"tvap","e",LegendSG1CT))/2</f>
        <v>#VALUE!</v>
      </c>
      <c r="L18" s="1282" t="e">
        <f>IF(OR(LineSizeData!$J$44&gt;1,LineSizeData!$C$3&gt;0),1-(Enthalpy($B$2,"pvap","e",($J$18))-(IF(($C$13)+0.5*($H$18)&gt;($I$18),Enthalpy($B$2,"Tliq","e",($C$13)),Enthalpy($B$2,"tp","e",($C$13),($K$18)))))/(Enthalpy($B$2,"pvap","e",($J$18))-Enthalpy($B$2,"pliq","e",($J$18))),"")</f>
        <v>#VALUE!</v>
      </c>
      <c r="M18" s="1283" t="e">
        <f>IF(OR(LineSizeData!$J$44&gt;1,LineSizeData!$C$3&gt;0),TEMPERATURE($B$2,"pvap","e",($J$18))-TEMPERATURE($B$2,"pliq","e",($J$18)),"")</f>
        <v>#VALUE!</v>
      </c>
      <c r="N18" s="1284" t="e">
        <f>IF(OR(LineSizeData!$J$44&gt;1,LineSizeData!$C$3&gt;0),(1-($L$18))*($M$18),"")</f>
        <v>#VALUE!</v>
      </c>
      <c r="P18" s="1285" t="e">
        <f>IF(LineSizeData!$C$3&gt;0,(L15-Enthalpy($B$2,"tliq","e",(((MIN(LegendSG2EVT))-('Legend(DX)'!$W$4)))))/((Enthalpy($B$2,"pvap","e",J18))-(Enthalpy($B$2,"pliq","e",J18))),(L15-Enthalpy($B$2,"tliq","e",(((MIN(LegendSG2EVT))-('Legend(DX)'!$W$4)))))/((Enthalpy($B$2,"pvap","e",J18))-(Enthalpy($B$2,"pliq","e",J18))))</f>
        <v>#VALUE!</v>
      </c>
    </row>
    <row r="19" spans="2:16" x14ac:dyDescent="0.2">
      <c r="B19" s="1251" t="s">
        <v>984</v>
      </c>
      <c r="C19" s="1250"/>
      <c r="D19" s="1250"/>
      <c r="E19" s="1250"/>
      <c r="F19" s="1249"/>
      <c r="H19" s="1251" t="s">
        <v>1142</v>
      </c>
      <c r="I19" s="1250"/>
      <c r="J19" s="1250"/>
      <c r="K19" s="1250"/>
      <c r="L19" s="1250"/>
      <c r="M19" s="1250"/>
      <c r="N19" s="1249"/>
    </row>
    <row r="20" spans="2:16" x14ac:dyDescent="0.2">
      <c r="B20" s="1248"/>
      <c r="F20" s="1247"/>
      <c r="H20" s="1248"/>
      <c r="N20" s="1247"/>
    </row>
    <row r="21" spans="2:16" x14ac:dyDescent="0.2">
      <c r="B21" s="1248" t="s">
        <v>979</v>
      </c>
      <c r="C21" s="1246">
        <f>LegendSG3LT</f>
        <v>0</v>
      </c>
      <c r="F21" s="1247"/>
      <c r="H21" s="1248" t="s">
        <v>979</v>
      </c>
      <c r="I21" s="1246">
        <f>LegendSG3LT</f>
        <v>0</v>
      </c>
      <c r="N21" s="1247"/>
    </row>
    <row r="22" spans="2:16" ht="54" x14ac:dyDescent="0.2">
      <c r="B22" s="1245" t="s">
        <v>980</v>
      </c>
      <c r="C22" s="1244" t="s">
        <v>995</v>
      </c>
      <c r="D22" s="1244" t="s">
        <v>981</v>
      </c>
      <c r="E22" s="1244" t="s">
        <v>982</v>
      </c>
      <c r="F22" s="1243" t="s">
        <v>1019</v>
      </c>
      <c r="H22" s="1245" t="s">
        <v>1131</v>
      </c>
      <c r="I22" s="1244" t="s">
        <v>995</v>
      </c>
      <c r="J22" s="1244" t="s">
        <v>1132</v>
      </c>
      <c r="K22" s="1244" t="s">
        <v>981</v>
      </c>
      <c r="L22" s="1244" t="s">
        <v>982</v>
      </c>
      <c r="M22" s="1252" t="s">
        <v>1017</v>
      </c>
      <c r="N22" s="1247"/>
    </row>
    <row r="23" spans="2:16" x14ac:dyDescent="0.2">
      <c r="B23" s="1242">
        <f>LineSizeData!U86</f>
        <v>0</v>
      </c>
      <c r="C23" s="1241">
        <f>LegendSG3EVLT</f>
        <v>0</v>
      </c>
      <c r="D23" s="1240" t="str">
        <f>IF(OR(LineSizeData!$J$81&gt;1,LineSizeData!$C$3&gt;0),"",Enthalpy(LineSizeData!B$80,"pliq","e",LineSizeData!$I$81))</f>
        <v>#Inputs are missing</v>
      </c>
      <c r="E23" s="1240" t="str">
        <f>IF(OR(LineSizeData!$J$81&gt;1,LineSizeData!$C$3&gt;0),"",Enthalpy(LineSizeData!$B$80,"tp","e",C21,LineSizeData!$I$81))</f>
        <v>#[SETUP error 101] error in opening file for component #  1; filename = (C:\Program Files\Refprop\fluids\LineSize Calculations Off.fld                   ).</v>
      </c>
      <c r="F23" s="1239" t="str">
        <f>IF(OR(C21="N/A",C21=0),"N/A",IF(OR(LineSizeData!$J$81&gt;1,LineSizeData!$C$3&gt;0),"SEE SECONDARY CALCS",(D23-E23)*B23/1000))</f>
        <v>N/A</v>
      </c>
      <c r="H23" s="1268" t="str">
        <f>IF(OR(LineSizeData!$J$81&gt;1,LineSizeData!$C$3&gt;0),$I$23*1000/($J$23-$L$23),"SEE PRIMARY CALCS")</f>
        <v>SEE PRIMARY CALCS</v>
      </c>
      <c r="I23" s="1267">
        <f>C23</f>
        <v>0</v>
      </c>
      <c r="J23" s="1269" t="str">
        <f>IF(OR(LineSizeData!$J$81&gt;1,LineSizeData!$C$3&gt;0),Enthalpy($B$2,"tp","e",LegendSG3RGT,$J$26+0.5*$N$26),"")</f>
        <v/>
      </c>
      <c r="K23" s="1269" t="str">
        <f>IF(OR(LineSizeData!$J$81&gt;1,LineSizeData!$C$3&gt;0),Enthalpy($B$2,"Tliq","e",($I$26)),"")</f>
        <v/>
      </c>
      <c r="L23" s="1269" t="str">
        <f>IF(OR(LineSizeData!$J$81&gt;1,LineSizeData!$C$3&gt;0),IF(($C$21)+0.5*($H$26)&gt;($I$26),Enthalpy($B$2,"Tliq","e",($C$21)),Enthalpy($B$2,"tp","e",($C$21),($K$26))),"")</f>
        <v/>
      </c>
      <c r="M23" s="1270" t="str">
        <f>IF(OR(LineSizeData!$J$81&gt;1,LineSizeData!$C$3&gt;0),($H$23*($K$23-$L$23))/1000, "SEE PRIMARY CALCS")</f>
        <v>SEE PRIMARY CALCS</v>
      </c>
      <c r="N23" s="1247"/>
    </row>
    <row r="24" spans="2:16" ht="63.75" x14ac:dyDescent="0.2">
      <c r="B24" s="1248"/>
      <c r="F24" s="1247"/>
      <c r="H24" s="1271" t="s">
        <v>799</v>
      </c>
      <c r="I24" s="1272" t="s">
        <v>542</v>
      </c>
      <c r="J24" s="286" t="s">
        <v>1133</v>
      </c>
      <c r="K24" s="1276" t="s">
        <v>1134</v>
      </c>
      <c r="L24" s="286" t="s">
        <v>1135</v>
      </c>
      <c r="M24" s="286" t="s">
        <v>1136</v>
      </c>
      <c r="N24" s="1273" t="s">
        <v>803</v>
      </c>
      <c r="P24" s="286" t="s">
        <v>1135</v>
      </c>
    </row>
    <row r="25" spans="2:16" x14ac:dyDescent="0.2">
      <c r="B25" s="1248"/>
      <c r="F25" s="1247"/>
      <c r="H25" s="236" t="s">
        <v>1137</v>
      </c>
      <c r="I25" s="234" t="s">
        <v>1137</v>
      </c>
      <c r="J25" s="1274" t="s">
        <v>1138</v>
      </c>
      <c r="K25" s="1277" t="s">
        <v>1138</v>
      </c>
      <c r="L25" s="277"/>
      <c r="M25" s="1274" t="s">
        <v>1137</v>
      </c>
      <c r="N25" s="1275" t="s">
        <v>1137</v>
      </c>
      <c r="P25" s="277" t="s">
        <v>1139</v>
      </c>
    </row>
    <row r="26" spans="2:16" ht="13.5" thickBot="1" x14ac:dyDescent="0.25">
      <c r="B26" s="1238"/>
      <c r="C26" s="1237"/>
      <c r="D26" s="1237"/>
      <c r="E26" s="1237"/>
      <c r="F26" s="1236"/>
      <c r="H26" s="1278" t="e">
        <f>TEMPERATURE($B$2,"pvap","e",($K$26))-TEMPERATURE($B$2,"pliq","e",($K$26))</f>
        <v>#VALUE!</v>
      </c>
      <c r="I26" s="1279">
        <f>LegendSG1CT</f>
        <v>0</v>
      </c>
      <c r="J26" s="1280" t="str">
        <f>IF(LineSizeData!$J$81&gt;1,((Pressure($B$2,"Tliq","e",(LegendSG3RSST-('Legend(DX)'!$W$4)))+Pressure($B$2,"Tvap","e",(LegendSG3RSST-('Legend(DX)'!$W$4))))/2),IF(LineSizeData!$C$3&gt;0,((Pressure($B$2,"Tliq","e",((MIN(LegendSG3EVT))-('Legend(DX)'!$W$4)))+Pressure($B$2,"Tvap","e",((MIN(LegendSG3EVT))-('Legend(DX)'!$W$4))))/2),""))</f>
        <v/>
      </c>
      <c r="K26" s="1281" t="e">
        <f>(Pressure($B$2,"tliq","e",LegendSG1CT)+Pressure($B$2,"tvap","e",LegendSG1CT))/2</f>
        <v>#VALUE!</v>
      </c>
      <c r="L26" s="1282" t="str">
        <f>IF(OR(LineSizeData!$J$81&gt;1,LineSizeData!$C$3&gt;0),1-(Enthalpy($B$2,"pvap","e",($J$26))-(IF(($C$21)+0.5*($H$26)&gt;($I$26),Enthalpy($B$2,"Tliq","e",($C$21)),Enthalpy($B$2,"tp","e",($C$21),($K$26)))))/(Enthalpy($B$2,"pvap","e",($J$26))-Enthalpy($B$2,"pliq","e",($J$26))),"")</f>
        <v/>
      </c>
      <c r="M26" s="1283" t="str">
        <f>IF(OR(LineSizeData!$J$81&gt;1,LineSizeData!$C$3&gt;0),TEMPERATURE($B$2,"pvap","e",($J$26))-TEMPERATURE($B$2,"pliq","e",($J$26)),"")</f>
        <v/>
      </c>
      <c r="N26" s="1284" t="str">
        <f>IF(OR(LineSizeData!$J$81&gt;1,LineSizeData!$C$3&gt;0),(1-($L$26))*($M$26),"")</f>
        <v/>
      </c>
      <c r="P26" s="1285" t="e">
        <f>IF(LineSizeData!$C$3&gt;0,(L23-Enthalpy($B$2,"tliq","e",(((MIN(LegendSG3EVT))-('Legend(DX)'!$W$4)))))/((Enthalpy($B$2,"pvap","e",J26))-(Enthalpy($B$2,"pliq","e",J26))),(L23-Enthalpy($B$2,"tliq","e",(((MIN(LegendSG3EVT))-('Legend(DX)'!$W$4)))))/((Enthalpy($B$2,"pvap","e",J26))-(Enthalpy($B$2,"pliq","e",J26))))</f>
        <v>#VALUE!</v>
      </c>
    </row>
  </sheetData>
  <sheetProtection sheet="1" objects="1" scenarios="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DB4031-9149-421B-8C1D-ABBAD91CD3B9}">
  <sheetPr codeName="Sheet4">
    <pageSetUpPr fitToPage="1"/>
  </sheetPr>
  <dimension ref="B1:U29"/>
  <sheetViews>
    <sheetView topLeftCell="A7" zoomScaleNormal="100" workbookViewId="0">
      <selection activeCell="O27" sqref="O27"/>
    </sheetView>
  </sheetViews>
  <sheetFormatPr defaultRowHeight="12.75" x14ac:dyDescent="0.2"/>
  <cols>
    <col min="1" max="1" width="3.42578125" customWidth="1"/>
    <col min="2" max="2" width="25.42578125" customWidth="1"/>
    <col min="3" max="3" width="11.42578125" customWidth="1"/>
    <col min="4" max="4" width="13.7109375" bestFit="1" customWidth="1"/>
    <col min="5" max="5" width="13.7109375" customWidth="1"/>
    <col min="6" max="6" width="11.7109375" style="1025" bestFit="1" customWidth="1"/>
    <col min="7" max="7" width="13.5703125" customWidth="1"/>
    <col min="8" max="8" width="10.140625" customWidth="1"/>
    <col min="9" max="9" width="12" bestFit="1" customWidth="1"/>
    <col min="10" max="10" width="9.7109375" customWidth="1"/>
    <col min="11" max="11" width="12.42578125" bestFit="1" customWidth="1"/>
    <col min="12" max="14" width="10.28515625" customWidth="1"/>
    <col min="15" max="15" width="16.28515625" bestFit="1" customWidth="1"/>
    <col min="20" max="20" width="10.140625" hidden="1" customWidth="1"/>
    <col min="21" max="21" width="0" hidden="1" customWidth="1"/>
  </cols>
  <sheetData>
    <row r="1" spans="2:21" ht="13.5" thickBot="1" x14ac:dyDescent="0.25"/>
    <row r="2" spans="2:21" ht="63.75" x14ac:dyDescent="0.2">
      <c r="B2" t="str">
        <f>IF(OR(LineSizeData!$J$4&gt;1,LineSizeData!$C$3&gt;0),"Primary Refrigerant: " &amp; CHAR(10) &amp; 'Legend(DX)'!$U$4,"")</f>
        <v xml:space="preserve">Primary Refrigerant: 
</v>
      </c>
      <c r="D2" s="791" t="s">
        <v>1035</v>
      </c>
      <c r="F2" s="791" t="s">
        <v>1144</v>
      </c>
      <c r="G2" s="791" t="s">
        <v>535</v>
      </c>
      <c r="H2" s="791" t="s">
        <v>1036</v>
      </c>
      <c r="I2" s="791" t="s">
        <v>534</v>
      </c>
      <c r="J2" s="791" t="s">
        <v>533</v>
      </c>
    </row>
    <row r="3" spans="2:21" ht="13.5" thickBot="1" x14ac:dyDescent="0.25">
      <c r="B3" t="e">
        <f>IF(OR(LineSizeData!$J$4&gt;1,LineSizeData!$C$3&gt;0),VLOOKUP('Legend(DX)'!$U$4,Refrigerant,2,FALSE),LineSizeData!$B$3)</f>
        <v>#N/A</v>
      </c>
      <c r="D3" s="794"/>
      <c r="F3" s="794" t="s">
        <v>1145</v>
      </c>
      <c r="G3" s="794"/>
      <c r="H3" s="794" t="s">
        <v>457</v>
      </c>
      <c r="I3" s="794" t="s">
        <v>457</v>
      </c>
      <c r="J3" s="794" t="s">
        <v>532</v>
      </c>
    </row>
    <row r="4" spans="2:21" ht="14.25" thickTop="1" thickBot="1" x14ac:dyDescent="0.25">
      <c r="D4" s="1029" t="s">
        <v>1037</v>
      </c>
      <c r="F4" s="1031">
        <f>'Subcooler Calcs'!I10</f>
        <v>0</v>
      </c>
      <c r="G4" s="1030">
        <v>1.3</v>
      </c>
      <c r="H4" s="1031">
        <v>120</v>
      </c>
      <c r="I4" s="1031">
        <v>250</v>
      </c>
      <c r="J4" s="1090" t="e">
        <f>(Pressure(($B$3),"TLIQ","E",($F$4)))-(Pressure(($B$3),"TLIQ","E",(($F$4)-1)))</f>
        <v>#VALUE!</v>
      </c>
    </row>
    <row r="5" spans="2:21" x14ac:dyDescent="0.2">
      <c r="B5" s="1032" t="s">
        <v>973</v>
      </c>
    </row>
    <row r="6" spans="2:21" x14ac:dyDescent="0.2">
      <c r="B6" s="1033" t="s">
        <v>412</v>
      </c>
    </row>
    <row r="7" spans="2:21" x14ac:dyDescent="0.2">
      <c r="B7" s="1034" t="s">
        <v>550</v>
      </c>
    </row>
    <row r="8" spans="2:21" ht="13.5" thickBot="1" x14ac:dyDescent="0.25">
      <c r="B8" s="288" t="s">
        <v>413</v>
      </c>
    </row>
    <row r="9" spans="2:21" ht="13.5" thickBot="1" x14ac:dyDescent="0.25">
      <c r="G9" s="326"/>
    </row>
    <row r="10" spans="2:21" x14ac:dyDescent="0.2">
      <c r="B10" s="1026"/>
      <c r="C10" s="1044"/>
      <c r="D10" s="1043" t="s">
        <v>1038</v>
      </c>
      <c r="E10" s="1040"/>
      <c r="F10" s="1041"/>
      <c r="G10" s="1039"/>
      <c r="H10" s="1040"/>
      <c r="I10" s="1040"/>
      <c r="J10" s="1040"/>
      <c r="K10" s="1040"/>
      <c r="L10" s="1040"/>
      <c r="M10" s="1040"/>
      <c r="N10" s="1040"/>
      <c r="O10" s="1042"/>
    </row>
    <row r="11" spans="2:21" ht="38.25" x14ac:dyDescent="0.2">
      <c r="B11" s="1082" t="s">
        <v>1039</v>
      </c>
      <c r="C11" s="1083" t="s">
        <v>1040</v>
      </c>
      <c r="D11" s="1048" t="s">
        <v>475</v>
      </c>
      <c r="E11" s="1049" t="s">
        <v>1041</v>
      </c>
      <c r="F11" s="1049" t="s">
        <v>356</v>
      </c>
      <c r="G11" s="1049" t="s">
        <v>507</v>
      </c>
      <c r="H11" s="1049" t="s">
        <v>1042</v>
      </c>
      <c r="I11" s="1050" t="s">
        <v>468</v>
      </c>
      <c r="J11" s="1048" t="s">
        <v>473</v>
      </c>
      <c r="K11" s="1049" t="s">
        <v>506</v>
      </c>
      <c r="L11" s="1049" t="s">
        <v>472</v>
      </c>
      <c r="M11" s="1049" t="s">
        <v>471</v>
      </c>
      <c r="N11" s="1069" t="s">
        <v>480</v>
      </c>
      <c r="O11" s="811" t="s">
        <v>1043</v>
      </c>
      <c r="T11" s="326" t="s">
        <v>1044</v>
      </c>
      <c r="U11" s="326" t="s">
        <v>1035</v>
      </c>
    </row>
    <row r="12" spans="2:21" ht="13.5" thickBot="1" x14ac:dyDescent="0.25">
      <c r="B12" s="1046" t="s">
        <v>365</v>
      </c>
      <c r="C12" s="1045"/>
      <c r="D12" s="1051" t="s">
        <v>458</v>
      </c>
      <c r="E12" s="1052" t="s">
        <v>458</v>
      </c>
      <c r="F12" s="1052" t="s">
        <v>463</v>
      </c>
      <c r="G12" s="1052" t="s">
        <v>462</v>
      </c>
      <c r="H12" s="1052" t="s">
        <v>455</v>
      </c>
      <c r="I12" s="1053" t="s">
        <v>454</v>
      </c>
      <c r="J12" s="1051" t="s">
        <v>457</v>
      </c>
      <c r="K12" s="1052" t="s">
        <v>461</v>
      </c>
      <c r="L12" s="1052"/>
      <c r="M12" s="1052"/>
      <c r="N12" s="1070" t="s">
        <v>456</v>
      </c>
      <c r="O12" s="792" t="s">
        <v>179</v>
      </c>
      <c r="T12" s="326" t="s">
        <v>364</v>
      </c>
      <c r="U12" s="326" t="s">
        <v>1045</v>
      </c>
    </row>
    <row r="13" spans="2:21" ht="13.5" thickTop="1" x14ac:dyDescent="0.2">
      <c r="B13" s="1027" t="s">
        <v>1046</v>
      </c>
      <c r="C13" s="1080">
        <f>IF($B$12="Yes",1,0)</f>
        <v>0</v>
      </c>
      <c r="D13" s="1054">
        <v>25</v>
      </c>
      <c r="E13" s="1055">
        <f>$G$4*D13</f>
        <v>32.5</v>
      </c>
      <c r="F13" s="1088">
        <f>IF(LineSizeData!F12=0,0,IF(OR(LineSizeData!$J$4&gt;1,LineSizeData!$C$3&gt;0),'Subcooler Calcs'!$H$7,LineSizeData!U12))</f>
        <v>0</v>
      </c>
      <c r="G13" s="1085" t="e">
        <f>LiquidDensity(($B$3),"TLIQ","E",($F$4)-0.5*'Subcooler Calcs'!$H$10)</f>
        <v>#VALUE!</v>
      </c>
      <c r="H13" s="1056">
        <v>0.625</v>
      </c>
      <c r="I13" s="1060">
        <f>parea(H13)</f>
        <v>1.6200200658550491E-3</v>
      </c>
      <c r="J13" s="1062" t="e">
        <f>vel(F13,G13,I13)</f>
        <v>#VALUE!</v>
      </c>
      <c r="K13" s="1089" t="e">
        <f>Viscosity(($B$3),"TLIQ","E",($F$4)-0.5*'Subcooler Calcs'!$H$10)</f>
        <v>#VALUE!</v>
      </c>
      <c r="L13" s="1063" t="e">
        <f>(((J13/60)*G13)/K13)*((VLOOKUP(H13,'Pipe Data'!F$7:G$19,2,FALSE))/12)</f>
        <v>#VALUE!</v>
      </c>
      <c r="M13" s="1064">
        <f>IF(F13=0,0,(0.25/(LOG(5.74/(L13^0.9))+((VLOOKUP(H13,'Pipe Data'!J$7:X$19,15,FALSE))/3.7))^2))</f>
        <v>0</v>
      </c>
      <c r="N13" s="1071" t="e">
        <f>pdrop(M13,E13,G13,J13,H13)</f>
        <v>#VALUE!</v>
      </c>
      <c r="O13" s="1073" t="e">
        <f>C13*D13*I13*G13</f>
        <v>#VALUE!</v>
      </c>
      <c r="T13" s="326" t="s">
        <v>365</v>
      </c>
      <c r="U13" s="326" t="s">
        <v>1037</v>
      </c>
    </row>
    <row r="14" spans="2:21" x14ac:dyDescent="0.2">
      <c r="B14" s="1027" t="s">
        <v>1047</v>
      </c>
      <c r="C14" s="1080">
        <f>IF($B$12="Yes",1,0)</f>
        <v>0</v>
      </c>
      <c r="D14" s="1054">
        <v>25</v>
      </c>
      <c r="E14" s="1055">
        <f>$G$4*D14</f>
        <v>32.5</v>
      </c>
      <c r="F14" s="1088">
        <f>IF(LineSizeData!F49=0,0,IF(OR(LineSizeData!$J$44&gt;1,LineSizeData!$C$3&gt;0),'Subcooler Calcs'!$H$15,LineSizeData!U49))</f>
        <v>0</v>
      </c>
      <c r="G14" s="1085" t="e">
        <f>LiquidDensity(($B$3),"TLIQ","E",($F$4)-0.5*'Subcooler Calcs'!$H$18)</f>
        <v>#VALUE!</v>
      </c>
      <c r="H14" s="1056">
        <v>0.875</v>
      </c>
      <c r="I14" s="1060">
        <f>parea(H14)</f>
        <v>3.3609859947193927E-3</v>
      </c>
      <c r="J14" s="1062" t="e">
        <f>vel(F14,G14,I14)</f>
        <v>#VALUE!</v>
      </c>
      <c r="K14" s="1089" t="e">
        <f>Viscosity(($B$3),"TLIQ","E",($F$4)-0.5*'Subcooler Calcs'!$H$18)</f>
        <v>#VALUE!</v>
      </c>
      <c r="L14" s="1063" t="e">
        <f>(((J14/60)*G14)/K14)*((VLOOKUP(H14,'Pipe Data'!F$7:G$19,2,FALSE))/12)</f>
        <v>#VALUE!</v>
      </c>
      <c r="M14" s="1064">
        <f>IF(F14=0,0,(0.25/(LOG(5.74/(L14^0.9))+((VLOOKUP(H14,'Pipe Data'!J$7:X$19,15,FALSE))/3.7))^2))</f>
        <v>0</v>
      </c>
      <c r="N14" s="1071" t="e">
        <f>pdrop(M14,E14,G14,J14,H14)</f>
        <v>#VALUE!</v>
      </c>
      <c r="O14" s="1073" t="e">
        <f>C14*D14*I14*G14</f>
        <v>#VALUE!</v>
      </c>
    </row>
    <row r="15" spans="2:21" x14ac:dyDescent="0.2">
      <c r="B15" s="1027" t="s">
        <v>1048</v>
      </c>
      <c r="C15" s="1080">
        <f>IF($B$12="Yes",1,0)</f>
        <v>0</v>
      </c>
      <c r="D15" s="1054">
        <v>25</v>
      </c>
      <c r="E15" s="1055">
        <f>$G$4*D15</f>
        <v>32.5</v>
      </c>
      <c r="F15" s="1088">
        <f>IF(LineSizeData!F86=0,0,IF(OR(LineSizeData!$J$81&gt;1,LineSizeData!$C$3&gt;0),'Subcooler Calcs'!$H$23,LineSizeData!U86))</f>
        <v>0</v>
      </c>
      <c r="G15" s="1085" t="e">
        <f>LiquidDensity(($B$3),"TLIQ","E",($F$4)-0.5*'Subcooler Calcs'!$H$26)</f>
        <v>#VALUE!</v>
      </c>
      <c r="H15" s="1056">
        <v>0.625</v>
      </c>
      <c r="I15" s="1060">
        <f>parea(H15)</f>
        <v>1.6200200658550491E-3</v>
      </c>
      <c r="J15" s="1062" t="e">
        <f>vel(F15,G15,I15)</f>
        <v>#VALUE!</v>
      </c>
      <c r="K15" s="1089" t="e">
        <f>Viscosity(($B$3),"TLIQ","E",($F$4)-0.5*'Subcooler Calcs'!$H$26)</f>
        <v>#VALUE!</v>
      </c>
      <c r="L15" s="1063" t="e">
        <f>(((J15/60)*G15)/K15)*((VLOOKUP(H15,'Pipe Data'!F$7:G$19,2,FALSE))/12)</f>
        <v>#VALUE!</v>
      </c>
      <c r="M15" s="1064">
        <f>IF(F15=0,0,(0.25/(LOG(5.74/(L15^0.9))+((VLOOKUP(H15,'Pipe Data'!J$7:X$19,15,FALSE))/3.7))^2))</f>
        <v>0</v>
      </c>
      <c r="N15" s="1071" t="e">
        <f>pdrop(M15,E15,G15,J15,H15)</f>
        <v>#VALUE!</v>
      </c>
      <c r="O15" s="1073" t="e">
        <f>C15*D15*I15*G15</f>
        <v>#VALUE!</v>
      </c>
    </row>
    <row r="16" spans="2:21" x14ac:dyDescent="0.2">
      <c r="B16" s="1037" t="s">
        <v>1049</v>
      </c>
      <c r="C16" s="1081">
        <f>IF($B$12="No",1,0)</f>
        <v>1</v>
      </c>
      <c r="D16" s="1084">
        <f>MAX(D13:D15)</f>
        <v>25</v>
      </c>
      <c r="E16" s="1057">
        <f>$G$4*D16</f>
        <v>32.5</v>
      </c>
      <c r="F16" s="1087">
        <f>SUM(F13:F15)</f>
        <v>0</v>
      </c>
      <c r="G16" s="1058" t="e">
        <f>MAX(G13:G15)</f>
        <v>#VALUE!</v>
      </c>
      <c r="H16" s="1091">
        <v>1.125</v>
      </c>
      <c r="I16" s="1061">
        <f>parea(H16)</f>
        <v>5.7302704543016935E-3</v>
      </c>
      <c r="J16" s="1065" t="e">
        <f>vel(F16,G16,I16)</f>
        <v>#VALUE!</v>
      </c>
      <c r="K16" s="1058" t="e">
        <f>MAX(K13:K15)</f>
        <v>#VALUE!</v>
      </c>
      <c r="L16" s="1066" t="e">
        <f>(((J16/60)*G16)/K16)*((VLOOKUP(H16,'Pipe Data'!F$7:G$19,2,FALSE))/12)</f>
        <v>#VALUE!</v>
      </c>
      <c r="M16" s="1067" t="e">
        <f>(0.25/(LOG(5.74/(L16^0.9))+((VLOOKUP(H16,'Pipe Data'!J$7:X$19,15,FALSE))/3.7))^2)</f>
        <v>#VALUE!</v>
      </c>
      <c r="N16" s="1072" t="e">
        <f>pdrop(M16,E16,G16,J16,H16)</f>
        <v>#VALUE!</v>
      </c>
      <c r="O16" s="1074" t="e">
        <f>C16*D16*I16*G16</f>
        <v>#VALUE!</v>
      </c>
    </row>
    <row r="17" spans="2:15" ht="13.5" thickBot="1" x14ac:dyDescent="0.25">
      <c r="B17" s="1035" t="s">
        <v>127</v>
      </c>
      <c r="C17" s="839"/>
      <c r="D17" s="839"/>
      <c r="E17" s="839"/>
      <c r="F17" s="1036"/>
      <c r="G17" s="839"/>
      <c r="H17" s="839"/>
      <c r="I17" s="839"/>
      <c r="J17" s="839"/>
      <c r="K17" s="839"/>
      <c r="L17" s="839"/>
      <c r="M17" s="839"/>
      <c r="N17" s="839"/>
      <c r="O17" s="1075" t="e">
        <f>IF($D$4="At Rack","With Rack Charge",SUM(O13:O16))</f>
        <v>#VALUE!</v>
      </c>
    </row>
    <row r="18" spans="2:15" ht="13.5" thickBot="1" x14ac:dyDescent="0.25">
      <c r="B18" s="326"/>
      <c r="O18" s="1025"/>
    </row>
    <row r="19" spans="2:15" x14ac:dyDescent="0.2">
      <c r="B19" s="1026"/>
      <c r="C19" s="1044"/>
      <c r="D19" s="1043" t="s">
        <v>1050</v>
      </c>
      <c r="E19" s="1040"/>
      <c r="F19" s="1041"/>
      <c r="G19" s="1040"/>
      <c r="H19" s="1040"/>
      <c r="I19" s="1040"/>
      <c r="J19" s="1040"/>
      <c r="K19" s="1040"/>
      <c r="L19" s="1040"/>
      <c r="M19" s="1040"/>
      <c r="N19" s="1040"/>
      <c r="O19" s="1047"/>
    </row>
    <row r="20" spans="2:15" ht="38.25" x14ac:dyDescent="0.2">
      <c r="B20" s="1028"/>
      <c r="C20" s="1083" t="s">
        <v>1040</v>
      </c>
      <c r="D20" s="1048" t="s">
        <v>475</v>
      </c>
      <c r="E20" s="1049" t="s">
        <v>1041</v>
      </c>
      <c r="F20" s="1049" t="s">
        <v>356</v>
      </c>
      <c r="G20" s="1049" t="s">
        <v>507</v>
      </c>
      <c r="H20" s="1049" t="s">
        <v>1042</v>
      </c>
      <c r="I20" s="1050" t="s">
        <v>468</v>
      </c>
      <c r="J20" s="1048" t="s">
        <v>473</v>
      </c>
      <c r="K20" s="1049" t="s">
        <v>506</v>
      </c>
      <c r="L20" s="1049" t="s">
        <v>472</v>
      </c>
      <c r="M20" s="1049" t="s">
        <v>471</v>
      </c>
      <c r="N20" s="1069" t="s">
        <v>480</v>
      </c>
      <c r="O20" s="811" t="s">
        <v>1043</v>
      </c>
    </row>
    <row r="21" spans="2:15" ht="13.5" thickBot="1" x14ac:dyDescent="0.25">
      <c r="B21" s="1079"/>
      <c r="C21" s="1045"/>
      <c r="D21" s="1051" t="s">
        <v>458</v>
      </c>
      <c r="E21" s="1052" t="s">
        <v>458</v>
      </c>
      <c r="F21" s="1052" t="s">
        <v>463</v>
      </c>
      <c r="G21" s="1052" t="s">
        <v>462</v>
      </c>
      <c r="H21" s="1052" t="s">
        <v>455</v>
      </c>
      <c r="I21" s="1053" t="s">
        <v>454</v>
      </c>
      <c r="J21" s="1051" t="s">
        <v>457</v>
      </c>
      <c r="K21" s="1052" t="s">
        <v>461</v>
      </c>
      <c r="L21" s="1052"/>
      <c r="M21" s="1052"/>
      <c r="N21" s="1070" t="s">
        <v>456</v>
      </c>
      <c r="O21" s="792" t="s">
        <v>179</v>
      </c>
    </row>
    <row r="22" spans="2:15" ht="13.5" thickTop="1" x14ac:dyDescent="0.2">
      <c r="B22" s="1027" t="s">
        <v>1051</v>
      </c>
      <c r="C22" s="1095">
        <v>2</v>
      </c>
      <c r="D22" s="1054">
        <v>25</v>
      </c>
      <c r="E22" s="1055">
        <f>$G$4*D22</f>
        <v>32.5</v>
      </c>
      <c r="F22" s="1086">
        <f>0.25*$F$16</f>
        <v>0</v>
      </c>
      <c r="G22" s="1085" t="e">
        <f>LiquidDensity(($B$3),"TLIQ","E",($F$4)-0.5*'Subcooler Calcs'!$H$10)</f>
        <v>#VALUE!</v>
      </c>
      <c r="H22" s="1056">
        <v>0.875</v>
      </c>
      <c r="I22" s="1060">
        <f>parea(H22)</f>
        <v>3.3609859947193927E-3</v>
      </c>
      <c r="J22" s="1062" t="e">
        <f>vel(F22,G22,I22)</f>
        <v>#VALUE!</v>
      </c>
      <c r="K22" s="1089" t="e">
        <f>Viscosity(($B$3),"TLIQ","E",($F$4)-0.5*'Subcooler Calcs'!$H$10)</f>
        <v>#VALUE!</v>
      </c>
      <c r="L22" s="1063" t="e">
        <f>(((J22/60)*G22)/K22)*((VLOOKUP(H22,'Pipe Data'!F$7:G$19,2,FALSE))/12)</f>
        <v>#VALUE!</v>
      </c>
      <c r="M22" s="1064" t="e">
        <f>(0.25/(LOG(5.74/(L22^0.9))+((VLOOKUP(H22,'Pipe Data'!J$7:X$19,15,FALSE))/3.7))^2)</f>
        <v>#VALUE!</v>
      </c>
      <c r="N22" s="1071" t="e">
        <f>pdrop(M22,E22,G22,J22,H22)</f>
        <v>#VALUE!</v>
      </c>
      <c r="O22" s="1073" t="e">
        <f>C22*D22*I22*G22</f>
        <v>#VALUE!</v>
      </c>
    </row>
    <row r="23" spans="2:15" x14ac:dyDescent="0.2">
      <c r="B23" s="1027" t="s">
        <v>1052</v>
      </c>
      <c r="C23" s="1095">
        <v>1</v>
      </c>
      <c r="D23" s="1054">
        <v>25</v>
      </c>
      <c r="E23" s="1055">
        <f>$G$4*D23</f>
        <v>32.5</v>
      </c>
      <c r="F23" s="1086">
        <f>0.5*$F$16</f>
        <v>0</v>
      </c>
      <c r="G23" s="1085" t="e">
        <f>LiquidDensity(($B$3),"TLIQ","E",($F$4)-0.5*'Subcooler Calcs'!$H$18)</f>
        <v>#VALUE!</v>
      </c>
      <c r="H23" s="1056">
        <v>1.125</v>
      </c>
      <c r="I23" s="1060">
        <f>parea(H23)</f>
        <v>5.7302704543016935E-3</v>
      </c>
      <c r="J23" s="1062" t="e">
        <f>vel(F23,G23,I23)</f>
        <v>#VALUE!</v>
      </c>
      <c r="K23" s="1089" t="e">
        <f>Viscosity(($B$3),"TLIQ","E",($F$4)-0.5*'Subcooler Calcs'!$H$18)</f>
        <v>#VALUE!</v>
      </c>
      <c r="L23" s="1063" t="e">
        <f>(((J23/60)*G23)/K23)*((VLOOKUP(H23,'Pipe Data'!F$7:G$19,2,FALSE))/12)</f>
        <v>#VALUE!</v>
      </c>
      <c r="M23" s="1064" t="e">
        <f>(0.25/(LOG(5.74/(L23^0.9))+((VLOOKUP(H23,'Pipe Data'!J$7:X$19,15,FALSE))/3.7))^2)</f>
        <v>#VALUE!</v>
      </c>
      <c r="N23" s="1071" t="e">
        <f>pdrop(M23,E23,G23,J23,H23)</f>
        <v>#VALUE!</v>
      </c>
      <c r="O23" s="1073" t="e">
        <f>C23*D23*I23*G23</f>
        <v>#VALUE!</v>
      </c>
    </row>
    <row r="24" spans="2:15" x14ac:dyDescent="0.2">
      <c r="B24" s="1037" t="s">
        <v>1053</v>
      </c>
      <c r="C24" s="1096">
        <v>0</v>
      </c>
      <c r="D24" s="1068">
        <v>25</v>
      </c>
      <c r="E24" s="1057">
        <f>$G$4*D24</f>
        <v>32.5</v>
      </c>
      <c r="F24" s="1087">
        <f>$F$16</f>
        <v>0</v>
      </c>
      <c r="G24" s="1085" t="e">
        <f>LiquidDensity(($B$3),"TLIQ","E",($F$4)-0.5*'Subcooler Calcs'!$H$26)</f>
        <v>#VALUE!</v>
      </c>
      <c r="H24" s="1059">
        <v>1.625</v>
      </c>
      <c r="I24" s="1061">
        <f>parea(H24)</f>
        <v>1.2353794965620174E-2</v>
      </c>
      <c r="J24" s="1065" t="e">
        <f>vel(F24,G24,I24)</f>
        <v>#VALUE!</v>
      </c>
      <c r="K24" s="1089" t="e">
        <f>Viscosity(($B$3),"TLIQ","E",($F$4)-0.5*'Subcooler Calcs'!$H$26)</f>
        <v>#VALUE!</v>
      </c>
      <c r="L24" s="1066" t="e">
        <f>(((J24/60)*G24)/K24)*((VLOOKUP(H24,'Pipe Data'!F$7:G$19,2,FALSE))/12)</f>
        <v>#VALUE!</v>
      </c>
      <c r="M24" s="1067" t="e">
        <f>(0.25/(LOG(5.74/(L24^0.9))+((VLOOKUP(H24,'Pipe Data'!J$7:X$19,15,FALSE))/3.7))^2)</f>
        <v>#VALUE!</v>
      </c>
      <c r="N24" s="1072" t="e">
        <f>pdrop(M24,E24,G24,J24,H24)</f>
        <v>#VALUE!</v>
      </c>
      <c r="O24" s="1074" t="e">
        <f>C24*D24*I24*G24</f>
        <v>#VALUE!</v>
      </c>
    </row>
    <row r="25" spans="2:15" ht="13.5" thickBot="1" x14ac:dyDescent="0.25">
      <c r="B25" s="1035" t="s">
        <v>127</v>
      </c>
      <c r="C25" s="839" t="str">
        <f>IF(C22*0.25+C23*0.5+C24*1&lt;&gt;1,"INCORRECT LOADING","")</f>
        <v/>
      </c>
      <c r="D25" s="839"/>
      <c r="E25" s="839"/>
      <c r="F25" s="1036"/>
      <c r="G25" s="839"/>
      <c r="H25" s="839"/>
      <c r="I25" s="839"/>
      <c r="J25" s="839"/>
      <c r="K25" s="839"/>
      <c r="L25" s="839"/>
      <c r="M25" s="839"/>
      <c r="N25" s="839"/>
      <c r="O25" s="1075" t="e">
        <f>SUM(O22:O24)</f>
        <v>#VALUE!</v>
      </c>
    </row>
    <row r="26" spans="2:15" x14ac:dyDescent="0.2">
      <c r="L26" s="1078" t="s">
        <v>1054</v>
      </c>
      <c r="M26" s="793"/>
      <c r="N26" s="793"/>
      <c r="O26" s="1076" t="e">
        <f>IF($O$17="With Rack Charge",O25,SUM(O25,O17))</f>
        <v>#VALUE!</v>
      </c>
    </row>
    <row r="27" spans="2:15" x14ac:dyDescent="0.2">
      <c r="L27" s="1027" t="s">
        <v>1055</v>
      </c>
      <c r="M27" s="1038"/>
      <c r="N27" s="793"/>
      <c r="O27" s="1077" t="str">
        <f>IF(LineSizeData!$C$3&gt;0,0,IF(LEFT('Legend(DX)'!$U$1,1)="C",0,'Refrig Schedule'!O6))</f>
        <v>N/A</v>
      </c>
    </row>
    <row r="28" spans="2:15" x14ac:dyDescent="0.2">
      <c r="L28" s="1027" t="s">
        <v>1056</v>
      </c>
      <c r="M28" s="1038"/>
      <c r="N28" s="793"/>
      <c r="O28" s="1077">
        <f>IF('Refrig Schedule'!O5="--","",'Refrig Schedule'!O5)</f>
        <v>0</v>
      </c>
    </row>
    <row r="29" spans="2:15" ht="13.5" thickBot="1" x14ac:dyDescent="0.25">
      <c r="L29" s="1092" t="s">
        <v>1171</v>
      </c>
      <c r="M29" s="1093"/>
      <c r="N29" s="1093"/>
      <c r="O29" s="1094" t="e">
        <f>IF($O$17="With Rack Charge",SUM(O25,O27,O28),SUM(O17,O25,O27,O28))</f>
        <v>#VALUE!</v>
      </c>
    </row>
  </sheetData>
  <sheetProtection sheet="1" objects="1" scenarios="1"/>
  <conditionalFormatting sqref="H13 H24">
    <cfRule type="expression" dxfId="536" priority="9" stopIfTrue="1">
      <formula>AND($AA13="None",$AB13=0)</formula>
    </cfRule>
  </conditionalFormatting>
  <conditionalFormatting sqref="H14">
    <cfRule type="expression" dxfId="535" priority="8" stopIfTrue="1">
      <formula>AND($AA14="None",$AB14=0)</formula>
    </cfRule>
  </conditionalFormatting>
  <conditionalFormatting sqref="H15:H16">
    <cfRule type="expression" dxfId="534" priority="7" stopIfTrue="1">
      <formula>AND($AA15="None",$AB15=0)</formula>
    </cfRule>
  </conditionalFormatting>
  <conditionalFormatting sqref="J13:J16">
    <cfRule type="expression" dxfId="533" priority="6" stopIfTrue="1">
      <formula>J13&gt;I$4</formula>
    </cfRule>
  </conditionalFormatting>
  <conditionalFormatting sqref="N13:N16 N22:N24">
    <cfRule type="cellIs" dxfId="532" priority="5" stopIfTrue="1" operator="greaterThan">
      <formula>$J$4</formula>
    </cfRule>
  </conditionalFormatting>
  <conditionalFormatting sqref="H22">
    <cfRule type="expression" dxfId="531" priority="4" stopIfTrue="1">
      <formula>AND($AA22="None",$AB22=0)</formula>
    </cfRule>
  </conditionalFormatting>
  <conditionalFormatting sqref="H23">
    <cfRule type="expression" dxfId="530" priority="3" stopIfTrue="1">
      <formula>AND($AA23="None",$AB23=0)</formula>
    </cfRule>
  </conditionalFormatting>
  <conditionalFormatting sqref="J22:J24">
    <cfRule type="expression" dxfId="529" priority="2" stopIfTrue="1">
      <formula>J22&gt;$H$4</formula>
    </cfRule>
  </conditionalFormatting>
  <conditionalFormatting sqref="C25">
    <cfRule type="expression" dxfId="528" priority="1" stopIfTrue="1">
      <formula>$C$25="INCORRECT LOADING"</formula>
    </cfRule>
  </conditionalFormatting>
  <dataValidations count="3">
    <dataValidation type="list" allowBlank="1" showInputMessage="1" showErrorMessage="1" sqref="B12" xr:uid="{ACB7CED2-6FB8-40FC-956D-881E9C4682FF}">
      <formula1>$T$12:$T$13</formula1>
    </dataValidation>
    <dataValidation type="list" allowBlank="1" showInputMessage="1" showErrorMessage="1" sqref="H13:H16 H22:H24" xr:uid="{706C4077-CDEE-4ECE-880A-0B3832895E67}">
      <formula1>pipedata2</formula1>
    </dataValidation>
    <dataValidation type="list" allowBlank="1" showInputMessage="1" showErrorMessage="1" sqref="D4" xr:uid="{84C5C800-4E5E-4BB4-9561-AB3AE28B39E9}">
      <formula1>$U$12:$U$13</formula1>
    </dataValidation>
  </dataValidations>
  <pageMargins left="0.7" right="0.7" top="0.75" bottom="0.75" header="0.3" footer="0.3"/>
  <pageSetup scale="52" orientation="portrait"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9CF4E-4471-4045-81E5-C610BE18176D}">
  <sheetPr codeName="Sheet35">
    <pageSetUpPr fitToPage="1"/>
  </sheetPr>
  <dimension ref="A2:IO411"/>
  <sheetViews>
    <sheetView zoomScaleNormal="100" workbookViewId="0">
      <selection activeCell="D2" sqref="D2"/>
    </sheetView>
  </sheetViews>
  <sheetFormatPr defaultRowHeight="12.75" x14ac:dyDescent="0.2"/>
  <cols>
    <col min="1" max="1" width="3.140625" style="375" customWidth="1"/>
    <col min="2" max="2" width="12.85546875" style="376" customWidth="1"/>
    <col min="3" max="3" width="23.42578125" style="376" bestFit="1" customWidth="1"/>
    <col min="4" max="4" width="17.5703125" style="376" customWidth="1"/>
    <col min="5" max="5" width="6.7109375" style="401" customWidth="1"/>
    <col min="6" max="11" width="6.7109375" style="375" customWidth="1"/>
    <col min="12" max="12" width="6.7109375" style="377" customWidth="1"/>
    <col min="13" max="36" width="6.7109375" style="375" customWidth="1"/>
    <col min="37" max="37" width="5.28515625" style="375" customWidth="1"/>
    <col min="38" max="38" width="16.85546875" style="375" bestFit="1" customWidth="1"/>
    <col min="39" max="244" width="5.7109375" style="375" customWidth="1"/>
    <col min="245" max="16384" width="9.140625" style="375"/>
  </cols>
  <sheetData>
    <row r="2" spans="1:245" x14ac:dyDescent="0.2">
      <c r="C2" s="408" t="s">
        <v>712</v>
      </c>
      <c r="D2" s="711">
        <v>7</v>
      </c>
      <c r="M2" s="1890" t="s">
        <v>1254</v>
      </c>
      <c r="N2" s="1890"/>
      <c r="O2" s="1890"/>
      <c r="P2" s="1890"/>
      <c r="Q2" s="1890"/>
      <c r="R2" s="1443">
        <v>0</v>
      </c>
    </row>
    <row r="3" spans="1:245" x14ac:dyDescent="0.2">
      <c r="E3" s="376"/>
      <c r="F3" s="376"/>
      <c r="G3" s="376"/>
      <c r="H3" s="376"/>
      <c r="I3" s="376"/>
      <c r="J3" s="376"/>
      <c r="K3" s="376"/>
      <c r="L3" s="376"/>
      <c r="M3" s="376"/>
      <c r="N3" s="376"/>
      <c r="O3" s="376"/>
      <c r="P3" s="376"/>
      <c r="Q3" s="376"/>
      <c r="R3" s="376"/>
      <c r="S3" s="376"/>
      <c r="T3" s="376"/>
      <c r="U3" s="376"/>
      <c r="V3" s="376"/>
      <c r="W3" s="376"/>
      <c r="X3" s="376"/>
      <c r="Y3" s="376"/>
      <c r="Z3" s="376"/>
      <c r="AA3" s="376"/>
      <c r="AB3" s="376"/>
      <c r="AC3" s="376"/>
      <c r="AD3" s="376"/>
      <c r="AE3" s="376"/>
      <c r="AF3" s="376"/>
      <c r="AG3" s="376"/>
      <c r="AH3" s="376"/>
      <c r="AI3" s="376"/>
      <c r="AJ3" s="376"/>
      <c r="AK3" s="376"/>
    </row>
    <row r="4" spans="1:245" ht="17.25" customHeight="1" thickBot="1" x14ac:dyDescent="0.25">
      <c r="B4" s="1870" t="s">
        <v>713</v>
      </c>
      <c r="C4" s="1871"/>
      <c r="D4" s="1871"/>
      <c r="E4" s="1871"/>
      <c r="F4" s="1871"/>
      <c r="G4" s="1871"/>
      <c r="H4" s="1871"/>
      <c r="I4" s="1871"/>
      <c r="J4" s="1871"/>
      <c r="K4" s="1871"/>
      <c r="L4" s="1871"/>
      <c r="M4" s="1871"/>
      <c r="N4" s="1871"/>
      <c r="O4" s="1871"/>
      <c r="P4" s="1871"/>
      <c r="Q4" s="1871"/>
      <c r="R4" s="1871"/>
      <c r="S4" s="1871"/>
      <c r="T4" s="1871"/>
      <c r="U4" s="1871"/>
      <c r="V4" s="1871"/>
      <c r="W4" s="1871"/>
      <c r="X4" s="1871"/>
      <c r="Y4" s="1871"/>
      <c r="Z4" s="1871"/>
      <c r="AA4" s="1871"/>
      <c r="AB4" s="1871"/>
      <c r="AC4" s="1871"/>
      <c r="AD4" s="1871"/>
      <c r="AE4" s="1871"/>
      <c r="AF4" s="1871"/>
      <c r="AG4" s="1871"/>
      <c r="AH4" s="1871"/>
      <c r="AI4" s="1871"/>
      <c r="AJ4" s="1871"/>
    </row>
    <row r="5" spans="1:245" ht="74.25" customHeight="1" thickBot="1" x14ac:dyDescent="0.25">
      <c r="B5" s="1884" t="s">
        <v>714</v>
      </c>
      <c r="C5" s="1864" t="s">
        <v>94</v>
      </c>
      <c r="D5" s="1867" t="s">
        <v>715</v>
      </c>
      <c r="E5" s="1878" t="s">
        <v>716</v>
      </c>
      <c r="F5" s="1867" t="s">
        <v>717</v>
      </c>
      <c r="G5" s="1867" t="s">
        <v>1146</v>
      </c>
      <c r="H5" s="1867" t="s">
        <v>718</v>
      </c>
      <c r="I5" s="1867" t="s">
        <v>813</v>
      </c>
      <c r="J5" s="1867" t="s">
        <v>814</v>
      </c>
      <c r="K5" s="1867" t="s">
        <v>815</v>
      </c>
      <c r="L5" s="1881" t="s">
        <v>719</v>
      </c>
      <c r="M5" s="1867" t="s">
        <v>720</v>
      </c>
      <c r="N5" s="1867" t="s">
        <v>721</v>
      </c>
      <c r="O5" s="1867" t="s">
        <v>722</v>
      </c>
      <c r="P5" s="1867" t="s">
        <v>723</v>
      </c>
      <c r="Q5" s="1867" t="s">
        <v>724</v>
      </c>
      <c r="R5" s="1867" t="s">
        <v>725</v>
      </c>
      <c r="S5" s="1867" t="s">
        <v>726</v>
      </c>
      <c r="T5" s="1867" t="s">
        <v>727</v>
      </c>
      <c r="U5" s="1867" t="s">
        <v>728</v>
      </c>
      <c r="V5" s="1867" t="s">
        <v>729</v>
      </c>
      <c r="W5" s="1867" t="s">
        <v>730</v>
      </c>
      <c r="X5" s="1872" t="s">
        <v>731</v>
      </c>
      <c r="Y5" s="1867" t="s">
        <v>1207</v>
      </c>
      <c r="Z5" s="1867" t="s">
        <v>1208</v>
      </c>
      <c r="AA5" s="1867" t="s">
        <v>1209</v>
      </c>
      <c r="AB5" s="1867" t="s">
        <v>1210</v>
      </c>
      <c r="AC5" s="1867" t="s">
        <v>1211</v>
      </c>
      <c r="AD5" s="1867" t="s">
        <v>1212</v>
      </c>
      <c r="AE5" s="1867" t="s">
        <v>1213</v>
      </c>
      <c r="AF5" s="1867" t="s">
        <v>1214</v>
      </c>
      <c r="AG5" s="1867" t="s">
        <v>1215</v>
      </c>
      <c r="AH5" s="1867" t="s">
        <v>1216</v>
      </c>
      <c r="AI5" s="1867" t="s">
        <v>1217</v>
      </c>
      <c r="AJ5" s="1872" t="s">
        <v>1218</v>
      </c>
    </row>
    <row r="6" spans="1:245" ht="26.25" customHeight="1" x14ac:dyDescent="0.2">
      <c r="B6" s="1885"/>
      <c r="C6" s="1865"/>
      <c r="D6" s="1868"/>
      <c r="E6" s="1879"/>
      <c r="F6" s="1868"/>
      <c r="G6" s="1868"/>
      <c r="H6" s="1868"/>
      <c r="I6" s="1868"/>
      <c r="J6" s="1868"/>
      <c r="K6" s="1868"/>
      <c r="L6" s="1882"/>
      <c r="M6" s="1868"/>
      <c r="N6" s="1868"/>
      <c r="O6" s="1868"/>
      <c r="P6" s="1868"/>
      <c r="Q6" s="1868"/>
      <c r="R6" s="1868"/>
      <c r="S6" s="1868"/>
      <c r="T6" s="1868"/>
      <c r="U6" s="1868"/>
      <c r="V6" s="1868"/>
      <c r="W6" s="1868"/>
      <c r="X6" s="1873"/>
      <c r="Y6" s="1868"/>
      <c r="Z6" s="1868"/>
      <c r="AA6" s="1868"/>
      <c r="AB6" s="1868"/>
      <c r="AC6" s="1868"/>
      <c r="AD6" s="1868"/>
      <c r="AE6" s="1868"/>
      <c r="AF6" s="1868"/>
      <c r="AG6" s="1868"/>
      <c r="AH6" s="1868"/>
      <c r="AI6" s="1868"/>
      <c r="AJ6" s="1873"/>
      <c r="AL6" s="1875" t="s">
        <v>732</v>
      </c>
      <c r="AM6" s="1876"/>
      <c r="AN6" s="1876"/>
      <c r="AO6" s="1876"/>
      <c r="AP6" s="1876"/>
      <c r="AQ6" s="1876"/>
      <c r="AR6" s="1876"/>
      <c r="AS6" s="1876"/>
      <c r="AT6" s="1876"/>
      <c r="AU6" s="1876"/>
      <c r="AV6" s="1876"/>
      <c r="AW6" s="1876"/>
      <c r="AX6" s="1876"/>
      <c r="AY6" s="1876"/>
      <c r="AZ6" s="1876"/>
      <c r="BA6" s="1876"/>
      <c r="BB6" s="1876"/>
      <c r="BC6" s="1876"/>
      <c r="BD6" s="1876"/>
      <c r="BE6" s="1876"/>
      <c r="BF6" s="1876"/>
      <c r="BG6" s="1876"/>
      <c r="BH6" s="1876"/>
      <c r="BI6" s="1876"/>
      <c r="BJ6" s="1876"/>
      <c r="BK6" s="1876"/>
      <c r="BL6" s="1876"/>
      <c r="BM6" s="1876"/>
      <c r="BN6" s="1876"/>
      <c r="BO6" s="1876"/>
      <c r="BP6" s="1876"/>
      <c r="BQ6" s="1876"/>
      <c r="BR6" s="1876"/>
      <c r="BS6" s="1876"/>
      <c r="BT6" s="1876"/>
      <c r="BU6" s="1876"/>
      <c r="BV6" s="1876"/>
      <c r="BW6" s="1876"/>
      <c r="BX6" s="1876"/>
      <c r="BY6" s="1876"/>
      <c r="BZ6" s="1876"/>
      <c r="CA6" s="1876"/>
      <c r="CB6" s="1876"/>
      <c r="CC6" s="1876"/>
      <c r="CD6" s="1876"/>
      <c r="CE6" s="1876"/>
      <c r="CF6" s="1876"/>
      <c r="CG6" s="1876"/>
      <c r="CH6" s="1876"/>
      <c r="CI6" s="1876"/>
      <c r="CJ6" s="1876"/>
      <c r="CK6" s="1876"/>
      <c r="CL6" s="1876"/>
      <c r="CM6" s="1876"/>
      <c r="CN6" s="1876"/>
      <c r="CO6" s="1876"/>
      <c r="CP6" s="1876"/>
      <c r="CQ6" s="1876"/>
      <c r="CR6" s="1876"/>
      <c r="CS6" s="1876"/>
      <c r="CT6" s="1876"/>
      <c r="CU6" s="1876"/>
      <c r="CV6" s="1876"/>
      <c r="CW6" s="1876"/>
      <c r="CX6" s="1876"/>
      <c r="CY6" s="1876"/>
      <c r="CZ6" s="1876"/>
      <c r="DA6" s="1876"/>
      <c r="DB6" s="1876"/>
      <c r="DC6" s="1876"/>
      <c r="DD6" s="1876"/>
      <c r="DE6" s="1876"/>
      <c r="DF6" s="1876"/>
      <c r="DG6" s="1876"/>
      <c r="DH6" s="1876"/>
      <c r="DI6" s="1876"/>
      <c r="DJ6" s="1876"/>
      <c r="DK6" s="1876"/>
      <c r="DL6" s="1876"/>
      <c r="DM6" s="1876"/>
      <c r="DN6" s="1876"/>
      <c r="DO6" s="1876"/>
      <c r="DP6" s="1876"/>
      <c r="DQ6" s="1876"/>
      <c r="DR6" s="1876"/>
      <c r="DS6" s="1876"/>
      <c r="DT6" s="1876"/>
      <c r="DU6" s="1876"/>
      <c r="DV6" s="1876"/>
      <c r="DW6" s="1876"/>
      <c r="DX6" s="1876"/>
      <c r="DY6" s="1876"/>
      <c r="DZ6" s="1876"/>
      <c r="EA6" s="1876"/>
      <c r="EB6" s="1876"/>
      <c r="EC6" s="1876"/>
      <c r="ED6" s="1876"/>
      <c r="EE6" s="1876"/>
      <c r="EF6" s="1876"/>
      <c r="EG6" s="1876"/>
      <c r="EH6" s="1876"/>
      <c r="EI6" s="1876"/>
      <c r="EJ6" s="1876"/>
      <c r="EK6" s="1876"/>
      <c r="EL6" s="1876"/>
      <c r="EM6" s="1876"/>
      <c r="EN6" s="1876"/>
      <c r="EO6" s="1876"/>
      <c r="EP6" s="1876"/>
      <c r="EQ6" s="1876"/>
      <c r="ER6" s="1876"/>
      <c r="ES6" s="1876"/>
      <c r="ET6" s="1876"/>
      <c r="EU6" s="1876"/>
      <c r="EV6" s="1876"/>
      <c r="EW6" s="1876"/>
      <c r="EX6" s="1876"/>
      <c r="EY6" s="1876"/>
      <c r="EZ6" s="1876"/>
      <c r="FA6" s="1876"/>
      <c r="FB6" s="1876"/>
      <c r="FC6" s="1876"/>
      <c r="FD6" s="1876"/>
      <c r="FE6" s="1876"/>
      <c r="FF6" s="1876"/>
      <c r="FG6" s="1876"/>
      <c r="FH6" s="1876"/>
      <c r="FI6" s="1876"/>
      <c r="FJ6" s="1876"/>
      <c r="FK6" s="1876"/>
      <c r="FL6" s="1876"/>
      <c r="FM6" s="1876"/>
      <c r="FN6" s="1876"/>
      <c r="FO6" s="1876"/>
      <c r="FP6" s="1876"/>
      <c r="FQ6" s="1876"/>
      <c r="FR6" s="1876"/>
      <c r="FS6" s="1876"/>
      <c r="FT6" s="1876"/>
      <c r="FU6" s="1876"/>
      <c r="FV6" s="1876"/>
      <c r="FW6" s="1876"/>
      <c r="FX6" s="1876"/>
      <c r="FY6" s="1876"/>
      <c r="FZ6" s="1876"/>
      <c r="GA6" s="1876"/>
      <c r="GB6" s="1876"/>
      <c r="GC6" s="1876"/>
      <c r="GD6" s="1876"/>
      <c r="GE6" s="1876"/>
      <c r="GF6" s="1876"/>
      <c r="GG6" s="1876"/>
      <c r="GH6" s="1876"/>
      <c r="GI6" s="1876"/>
      <c r="GJ6" s="1876"/>
      <c r="GK6" s="1876"/>
      <c r="GL6" s="1876"/>
      <c r="GM6" s="1876"/>
      <c r="GN6" s="1876"/>
      <c r="GO6" s="1876"/>
      <c r="GP6" s="1876"/>
      <c r="GQ6" s="1876"/>
      <c r="GR6" s="1876"/>
      <c r="GS6" s="1876"/>
      <c r="GT6" s="1876"/>
      <c r="GU6" s="1876"/>
      <c r="GV6" s="1876"/>
      <c r="GW6" s="1876"/>
      <c r="GX6" s="1876"/>
      <c r="GY6" s="1876"/>
      <c r="GZ6" s="1876"/>
      <c r="HA6" s="1876"/>
      <c r="HB6" s="1876"/>
      <c r="HC6" s="1876"/>
      <c r="HD6" s="1876"/>
      <c r="HE6" s="1876"/>
      <c r="HF6" s="1876"/>
      <c r="HG6" s="1876"/>
      <c r="HH6" s="1876"/>
      <c r="HI6" s="1876"/>
      <c r="HJ6" s="1876"/>
      <c r="HK6" s="1876"/>
      <c r="HL6" s="1876"/>
      <c r="HM6" s="1876"/>
      <c r="HN6" s="1876"/>
      <c r="HO6" s="1876"/>
      <c r="HP6" s="1876"/>
      <c r="HQ6" s="1876"/>
      <c r="HR6" s="1876"/>
      <c r="HS6" s="1876"/>
      <c r="HT6" s="1876"/>
      <c r="HU6" s="1876"/>
      <c r="HV6" s="1876"/>
      <c r="HW6" s="1876"/>
      <c r="HX6" s="1876"/>
      <c r="HY6" s="1876"/>
      <c r="HZ6" s="1876"/>
      <c r="IA6" s="1876"/>
      <c r="IB6" s="1876"/>
      <c r="IC6" s="1876"/>
      <c r="ID6" s="1876"/>
      <c r="IE6" s="1876"/>
      <c r="IF6" s="1876"/>
      <c r="IG6" s="1876"/>
      <c r="IH6" s="1876"/>
      <c r="II6" s="1876"/>
      <c r="IJ6" s="1877"/>
      <c r="IK6" s="378"/>
    </row>
    <row r="7" spans="1:245" ht="13.5" thickBot="1" x14ac:dyDescent="0.25">
      <c r="B7" s="1886"/>
      <c r="C7" s="1866"/>
      <c r="D7" s="1869"/>
      <c r="E7" s="1880"/>
      <c r="F7" s="1869"/>
      <c r="G7" s="1869"/>
      <c r="H7" s="1869"/>
      <c r="I7" s="1869"/>
      <c r="J7" s="1869"/>
      <c r="K7" s="1869"/>
      <c r="L7" s="1883"/>
      <c r="M7" s="1869"/>
      <c r="N7" s="1869"/>
      <c r="O7" s="1869"/>
      <c r="P7" s="1869"/>
      <c r="Q7" s="1869"/>
      <c r="R7" s="1869"/>
      <c r="S7" s="1869"/>
      <c r="T7" s="1869"/>
      <c r="U7" s="1869"/>
      <c r="V7" s="1869"/>
      <c r="W7" s="1869"/>
      <c r="X7" s="1874"/>
      <c r="Y7" s="1869"/>
      <c r="Z7" s="1869"/>
      <c r="AA7" s="1869"/>
      <c r="AB7" s="1869"/>
      <c r="AC7" s="1869"/>
      <c r="AD7" s="1869"/>
      <c r="AE7" s="1869"/>
      <c r="AF7" s="1869"/>
      <c r="AG7" s="1869"/>
      <c r="AH7" s="1869"/>
      <c r="AI7" s="1869"/>
      <c r="AJ7" s="1874"/>
      <c r="AK7" s="379"/>
      <c r="AL7" s="724"/>
      <c r="AM7" s="725">
        <v>0</v>
      </c>
      <c r="AN7" s="725">
        <f t="shared" ref="AN7:BS7" si="0">IF(AM7+TIME(0,TimeIncr,0)&gt;=0.99999,NA(),MROUND(AM7+TIME(0,TimeIncr,0),"0:01"))</f>
        <v>4.8611111111111112E-3</v>
      </c>
      <c r="AO7" s="725">
        <f t="shared" si="0"/>
        <v>9.7222222222222224E-3</v>
      </c>
      <c r="AP7" s="725">
        <f t="shared" si="0"/>
        <v>1.4583333333333334E-2</v>
      </c>
      <c r="AQ7" s="725">
        <f t="shared" si="0"/>
        <v>1.9444444444444445E-2</v>
      </c>
      <c r="AR7" s="725">
        <f t="shared" si="0"/>
        <v>2.4305555555555556E-2</v>
      </c>
      <c r="AS7" s="725">
        <f t="shared" si="0"/>
        <v>2.9166666666666667E-2</v>
      </c>
      <c r="AT7" s="725">
        <f t="shared" si="0"/>
        <v>3.4027777777777782E-2</v>
      </c>
      <c r="AU7" s="725">
        <f t="shared" si="0"/>
        <v>3.888888888888889E-2</v>
      </c>
      <c r="AV7" s="725">
        <f t="shared" si="0"/>
        <v>4.3750000000000004E-2</v>
      </c>
      <c r="AW7" s="725">
        <f t="shared" si="0"/>
        <v>4.8611111111111112E-2</v>
      </c>
      <c r="AX7" s="725">
        <f t="shared" si="0"/>
        <v>5.3472222222222227E-2</v>
      </c>
      <c r="AY7" s="725">
        <f t="shared" si="0"/>
        <v>5.8333333333333334E-2</v>
      </c>
      <c r="AZ7" s="725">
        <f t="shared" si="0"/>
        <v>6.3194444444444442E-2</v>
      </c>
      <c r="BA7" s="725">
        <f t="shared" si="0"/>
        <v>6.8055555555555564E-2</v>
      </c>
      <c r="BB7" s="725">
        <f t="shared" si="0"/>
        <v>7.2916666666666671E-2</v>
      </c>
      <c r="BC7" s="725">
        <f t="shared" si="0"/>
        <v>7.7777777777777779E-2</v>
      </c>
      <c r="BD7" s="725">
        <f t="shared" si="0"/>
        <v>8.2638888888888887E-2</v>
      </c>
      <c r="BE7" s="725">
        <f t="shared" si="0"/>
        <v>8.7500000000000008E-2</v>
      </c>
      <c r="BF7" s="725">
        <f t="shared" si="0"/>
        <v>9.2361111111111116E-2</v>
      </c>
      <c r="BG7" s="725">
        <f t="shared" si="0"/>
        <v>9.7222222222222224E-2</v>
      </c>
      <c r="BH7" s="725">
        <f t="shared" si="0"/>
        <v>0.10208333333333333</v>
      </c>
      <c r="BI7" s="725">
        <f t="shared" si="0"/>
        <v>0.10694444444444445</v>
      </c>
      <c r="BJ7" s="725">
        <f t="shared" si="0"/>
        <v>0.11180555555555556</v>
      </c>
      <c r="BK7" s="725">
        <f t="shared" si="0"/>
        <v>0.11666666666666667</v>
      </c>
      <c r="BL7" s="725">
        <f t="shared" si="0"/>
        <v>0.12152777777777778</v>
      </c>
      <c r="BM7" s="725">
        <f t="shared" si="0"/>
        <v>0.12638888888888888</v>
      </c>
      <c r="BN7" s="725">
        <f t="shared" si="0"/>
        <v>0.13125000000000001</v>
      </c>
      <c r="BO7" s="725">
        <f t="shared" si="0"/>
        <v>0.13611111111111113</v>
      </c>
      <c r="BP7" s="725">
        <f t="shared" si="0"/>
        <v>0.14097222222222222</v>
      </c>
      <c r="BQ7" s="725">
        <f t="shared" si="0"/>
        <v>0.14583333333333334</v>
      </c>
      <c r="BR7" s="725">
        <f t="shared" si="0"/>
        <v>0.15069444444444444</v>
      </c>
      <c r="BS7" s="725">
        <f t="shared" si="0"/>
        <v>0.15555555555555556</v>
      </c>
      <c r="BT7" s="725">
        <f t="shared" ref="BT7:CY7" si="1">IF(BS7+TIME(0,TimeIncr,0)&gt;=0.99999,NA(),MROUND(BS7+TIME(0,TimeIncr,0),"0:01"))</f>
        <v>0.16041666666666668</v>
      </c>
      <c r="BU7" s="725">
        <f t="shared" si="1"/>
        <v>0.16527777777777777</v>
      </c>
      <c r="BV7" s="725">
        <f t="shared" si="1"/>
        <v>0.1701388888888889</v>
      </c>
      <c r="BW7" s="725">
        <f t="shared" si="1"/>
        <v>0.17500000000000002</v>
      </c>
      <c r="BX7" s="725">
        <f t="shared" si="1"/>
        <v>0.17986111111111111</v>
      </c>
      <c r="BY7" s="725">
        <f t="shared" si="1"/>
        <v>0.18472222222222223</v>
      </c>
      <c r="BZ7" s="725">
        <f t="shared" si="1"/>
        <v>0.18958333333333335</v>
      </c>
      <c r="CA7" s="725">
        <f t="shared" si="1"/>
        <v>0.19444444444444445</v>
      </c>
      <c r="CB7" s="725">
        <f t="shared" si="1"/>
        <v>0.19930555555555557</v>
      </c>
      <c r="CC7" s="725">
        <f t="shared" si="1"/>
        <v>0.20416666666666666</v>
      </c>
      <c r="CD7" s="725">
        <f t="shared" si="1"/>
        <v>0.20902777777777778</v>
      </c>
      <c r="CE7" s="725">
        <f t="shared" si="1"/>
        <v>0.21388888888888891</v>
      </c>
      <c r="CF7" s="725">
        <f t="shared" si="1"/>
        <v>0.21875</v>
      </c>
      <c r="CG7" s="725">
        <f t="shared" si="1"/>
        <v>0.22361111111111112</v>
      </c>
      <c r="CH7" s="725">
        <f t="shared" si="1"/>
        <v>0.22847222222222224</v>
      </c>
      <c r="CI7" s="725">
        <f t="shared" si="1"/>
        <v>0.23333333333333334</v>
      </c>
      <c r="CJ7" s="725">
        <f t="shared" si="1"/>
        <v>0.23819444444444446</v>
      </c>
      <c r="CK7" s="725">
        <f t="shared" si="1"/>
        <v>0.24305555555555555</v>
      </c>
      <c r="CL7" s="725">
        <f t="shared" si="1"/>
        <v>0.24791666666666667</v>
      </c>
      <c r="CM7" s="725">
        <f t="shared" si="1"/>
        <v>0.25277777777777777</v>
      </c>
      <c r="CN7" s="725">
        <f t="shared" si="1"/>
        <v>0.25763888888888892</v>
      </c>
      <c r="CO7" s="725">
        <f t="shared" si="1"/>
        <v>0.26250000000000001</v>
      </c>
      <c r="CP7" s="725">
        <f t="shared" si="1"/>
        <v>0.2673611111111111</v>
      </c>
      <c r="CQ7" s="725">
        <f t="shared" si="1"/>
        <v>0.27222222222222225</v>
      </c>
      <c r="CR7" s="725">
        <f t="shared" si="1"/>
        <v>0.27708333333333335</v>
      </c>
      <c r="CS7" s="725">
        <f t="shared" si="1"/>
        <v>0.28194444444444444</v>
      </c>
      <c r="CT7" s="725">
        <f t="shared" si="1"/>
        <v>0.28680555555555559</v>
      </c>
      <c r="CU7" s="725">
        <f t="shared" si="1"/>
        <v>0.29166666666666669</v>
      </c>
      <c r="CV7" s="725">
        <f t="shared" si="1"/>
        <v>0.29652777777777778</v>
      </c>
      <c r="CW7" s="725">
        <f t="shared" si="1"/>
        <v>0.30138888888888887</v>
      </c>
      <c r="CX7" s="725">
        <f t="shared" si="1"/>
        <v>0.30625000000000002</v>
      </c>
      <c r="CY7" s="725">
        <f t="shared" si="1"/>
        <v>0.31111111111111112</v>
      </c>
      <c r="CZ7" s="725">
        <f t="shared" ref="CZ7:EE7" si="2">IF(CY7+TIME(0,TimeIncr,0)&gt;=0.99999,NA(),MROUND(CY7+TIME(0,TimeIncr,0),"0:01"))</f>
        <v>0.31597222222222221</v>
      </c>
      <c r="DA7" s="725">
        <f t="shared" si="2"/>
        <v>0.32083333333333336</v>
      </c>
      <c r="DB7" s="725">
        <f t="shared" si="2"/>
        <v>0.32569444444444445</v>
      </c>
      <c r="DC7" s="725">
        <f t="shared" si="2"/>
        <v>0.33055555555555555</v>
      </c>
      <c r="DD7" s="725">
        <f t="shared" si="2"/>
        <v>0.3354166666666667</v>
      </c>
      <c r="DE7" s="725">
        <f t="shared" si="2"/>
        <v>0.34027777777777779</v>
      </c>
      <c r="DF7" s="725">
        <f t="shared" si="2"/>
        <v>0.34513888888888888</v>
      </c>
      <c r="DG7" s="725">
        <f t="shared" si="2"/>
        <v>0.35000000000000003</v>
      </c>
      <c r="DH7" s="725">
        <f t="shared" si="2"/>
        <v>0.35486111111111113</v>
      </c>
      <c r="DI7" s="725">
        <f t="shared" si="2"/>
        <v>0.35972222222222222</v>
      </c>
      <c r="DJ7" s="725">
        <f t="shared" si="2"/>
        <v>0.36458333333333337</v>
      </c>
      <c r="DK7" s="725">
        <f t="shared" si="2"/>
        <v>0.36944444444444446</v>
      </c>
      <c r="DL7" s="725">
        <f t="shared" si="2"/>
        <v>0.37430555555555556</v>
      </c>
      <c r="DM7" s="725">
        <f t="shared" si="2"/>
        <v>0.37916666666666671</v>
      </c>
      <c r="DN7" s="725">
        <f t="shared" si="2"/>
        <v>0.3840277777777778</v>
      </c>
      <c r="DO7" s="725">
        <f t="shared" si="2"/>
        <v>0.3888888888888889</v>
      </c>
      <c r="DP7" s="725">
        <f t="shared" si="2"/>
        <v>0.39374999999999999</v>
      </c>
      <c r="DQ7" s="725">
        <f t="shared" si="2"/>
        <v>0.39861111111111114</v>
      </c>
      <c r="DR7" s="725">
        <f t="shared" si="2"/>
        <v>0.40347222222222223</v>
      </c>
      <c r="DS7" s="725">
        <f t="shared" si="2"/>
        <v>0.40833333333333333</v>
      </c>
      <c r="DT7" s="725">
        <f t="shared" si="2"/>
        <v>0.41319444444444448</v>
      </c>
      <c r="DU7" s="725">
        <f t="shared" si="2"/>
        <v>0.41805555555555557</v>
      </c>
      <c r="DV7" s="725">
        <f t="shared" si="2"/>
        <v>0.42291666666666666</v>
      </c>
      <c r="DW7" s="725">
        <f t="shared" si="2"/>
        <v>0.42777777777777781</v>
      </c>
      <c r="DX7" s="725">
        <f t="shared" si="2"/>
        <v>0.43263888888888891</v>
      </c>
      <c r="DY7" s="725">
        <f t="shared" si="2"/>
        <v>0.4375</v>
      </c>
      <c r="DZ7" s="725">
        <f t="shared" si="2"/>
        <v>0.44236111111111115</v>
      </c>
      <c r="EA7" s="725">
        <f t="shared" si="2"/>
        <v>0.44722222222222224</v>
      </c>
      <c r="EB7" s="725">
        <f t="shared" si="2"/>
        <v>0.45208333333333334</v>
      </c>
      <c r="EC7" s="725">
        <f t="shared" si="2"/>
        <v>0.45694444444444449</v>
      </c>
      <c r="ED7" s="725">
        <f t="shared" si="2"/>
        <v>0.46180555555555558</v>
      </c>
      <c r="EE7" s="725">
        <f t="shared" si="2"/>
        <v>0.46666666666666667</v>
      </c>
      <c r="EF7" s="725">
        <f t="shared" ref="EF7:FF7" si="3">IF(EE7+TIME(0,TimeIncr,0)&gt;=0.99999,NA(),MROUND(EE7+TIME(0,TimeIncr,0),"0:01"))</f>
        <v>0.47152777777777782</v>
      </c>
      <c r="EG7" s="725">
        <f t="shared" si="3"/>
        <v>0.47638888888888892</v>
      </c>
      <c r="EH7" s="725">
        <f t="shared" si="3"/>
        <v>0.48125000000000001</v>
      </c>
      <c r="EI7" s="725">
        <f t="shared" si="3"/>
        <v>0.4861111111111111</v>
      </c>
      <c r="EJ7" s="725">
        <f t="shared" si="3"/>
        <v>0.49097222222222225</v>
      </c>
      <c r="EK7" s="725">
        <f t="shared" si="3"/>
        <v>0.49583333333333335</v>
      </c>
      <c r="EL7" s="725">
        <f t="shared" si="3"/>
        <v>0.50069444444444444</v>
      </c>
      <c r="EM7" s="725">
        <f t="shared" si="3"/>
        <v>0.50555555555555554</v>
      </c>
      <c r="EN7" s="725">
        <f t="shared" si="3"/>
        <v>0.51041666666666674</v>
      </c>
      <c r="EO7" s="725">
        <f t="shared" si="3"/>
        <v>0.51527777777777783</v>
      </c>
      <c r="EP7" s="725">
        <f t="shared" si="3"/>
        <v>0.52013888888888893</v>
      </c>
      <c r="EQ7" s="725">
        <f t="shared" si="3"/>
        <v>0.52500000000000002</v>
      </c>
      <c r="ER7" s="725">
        <f t="shared" si="3"/>
        <v>0.52986111111111112</v>
      </c>
      <c r="ES7" s="725">
        <f t="shared" si="3"/>
        <v>0.53472222222222221</v>
      </c>
      <c r="ET7" s="725">
        <f t="shared" si="3"/>
        <v>0.5395833333333333</v>
      </c>
      <c r="EU7" s="725">
        <f t="shared" si="3"/>
        <v>0.54444444444444451</v>
      </c>
      <c r="EV7" s="725">
        <f t="shared" si="3"/>
        <v>0.5493055555555556</v>
      </c>
      <c r="EW7" s="725">
        <f t="shared" si="3"/>
        <v>0.5541666666666667</v>
      </c>
      <c r="EX7" s="725">
        <f t="shared" si="3"/>
        <v>0.55902777777777779</v>
      </c>
      <c r="EY7" s="725">
        <f t="shared" si="3"/>
        <v>0.56388888888888888</v>
      </c>
      <c r="EZ7" s="725">
        <f t="shared" si="3"/>
        <v>0.56874999999999998</v>
      </c>
      <c r="FA7" s="725">
        <f t="shared" si="3"/>
        <v>0.57361111111111118</v>
      </c>
      <c r="FB7" s="725">
        <f t="shared" si="3"/>
        <v>0.57847222222222228</v>
      </c>
      <c r="FC7" s="725">
        <f t="shared" si="3"/>
        <v>0.58333333333333337</v>
      </c>
      <c r="FD7" s="725">
        <f t="shared" si="3"/>
        <v>0.58819444444444446</v>
      </c>
      <c r="FE7" s="725">
        <f t="shared" si="3"/>
        <v>0.59305555555555556</v>
      </c>
      <c r="FF7" s="725">
        <f t="shared" si="3"/>
        <v>0.59791666666666665</v>
      </c>
      <c r="FG7" s="725">
        <f t="shared" ref="FG7:GL7" si="4">IF(FF7+TIME(0,TimeIncr,0)&gt;=0.99999,NA(),MROUND(FF7+TIME(0,TimeIncr,0),"0:01"))</f>
        <v>0.60277777777777775</v>
      </c>
      <c r="FH7" s="725">
        <f t="shared" si="4"/>
        <v>0.60763888888888895</v>
      </c>
      <c r="FI7" s="725">
        <f t="shared" si="4"/>
        <v>0.61250000000000004</v>
      </c>
      <c r="FJ7" s="725">
        <f t="shared" si="4"/>
        <v>0.61736111111111114</v>
      </c>
      <c r="FK7" s="725">
        <f t="shared" si="4"/>
        <v>0.62222222222222223</v>
      </c>
      <c r="FL7" s="725">
        <f t="shared" si="4"/>
        <v>0.62708333333333333</v>
      </c>
      <c r="FM7" s="725">
        <f t="shared" si="4"/>
        <v>0.63194444444444442</v>
      </c>
      <c r="FN7" s="725">
        <f t="shared" si="4"/>
        <v>0.63680555555555562</v>
      </c>
      <c r="FO7" s="725">
        <f t="shared" si="4"/>
        <v>0.64166666666666672</v>
      </c>
      <c r="FP7" s="725">
        <f t="shared" si="4"/>
        <v>0.64652777777777781</v>
      </c>
      <c r="FQ7" s="725">
        <f t="shared" si="4"/>
        <v>0.65138888888888891</v>
      </c>
      <c r="FR7" s="725">
        <f t="shared" si="4"/>
        <v>0.65625</v>
      </c>
      <c r="FS7" s="725">
        <f t="shared" si="4"/>
        <v>0.66111111111111109</v>
      </c>
      <c r="FT7" s="725">
        <f t="shared" si="4"/>
        <v>0.6659722222222223</v>
      </c>
      <c r="FU7" s="725">
        <f t="shared" si="4"/>
        <v>0.67083333333333339</v>
      </c>
      <c r="FV7" s="725">
        <f t="shared" si="4"/>
        <v>0.67569444444444449</v>
      </c>
      <c r="FW7" s="725">
        <f t="shared" si="4"/>
        <v>0.68055555555555558</v>
      </c>
      <c r="FX7" s="725">
        <f t="shared" si="4"/>
        <v>0.68541666666666667</v>
      </c>
      <c r="FY7" s="725">
        <f t="shared" si="4"/>
        <v>0.69027777777777777</v>
      </c>
      <c r="FZ7" s="725">
        <f t="shared" si="4"/>
        <v>0.69513888888888886</v>
      </c>
      <c r="GA7" s="725">
        <f t="shared" si="4"/>
        <v>0.70000000000000007</v>
      </c>
      <c r="GB7" s="725">
        <f t="shared" si="4"/>
        <v>0.70486111111111116</v>
      </c>
      <c r="GC7" s="725">
        <f t="shared" si="4"/>
        <v>0.70972222222222225</v>
      </c>
      <c r="GD7" s="725">
        <f t="shared" si="4"/>
        <v>0.71458333333333335</v>
      </c>
      <c r="GE7" s="725">
        <f t="shared" si="4"/>
        <v>0.71944444444444444</v>
      </c>
      <c r="GF7" s="725">
        <f t="shared" si="4"/>
        <v>0.72430555555555554</v>
      </c>
      <c r="GG7" s="725">
        <f t="shared" si="4"/>
        <v>0.72916666666666674</v>
      </c>
      <c r="GH7" s="725">
        <f t="shared" si="4"/>
        <v>0.73402777777777783</v>
      </c>
      <c r="GI7" s="725">
        <f t="shared" si="4"/>
        <v>0.73888888888888893</v>
      </c>
      <c r="GJ7" s="725">
        <f t="shared" si="4"/>
        <v>0.74375000000000002</v>
      </c>
      <c r="GK7" s="725">
        <f t="shared" si="4"/>
        <v>0.74861111111111112</v>
      </c>
      <c r="GL7" s="725">
        <f t="shared" si="4"/>
        <v>0.75347222222222221</v>
      </c>
      <c r="GM7" s="725">
        <f t="shared" ref="GM7:HR7" si="5">IF(GL7+TIME(0,TimeIncr,0)&gt;=0.99999,NA(),MROUND(GL7+TIME(0,TimeIncr,0),"0:01"))</f>
        <v>0.75833333333333341</v>
      </c>
      <c r="GN7" s="725">
        <f t="shared" si="5"/>
        <v>0.76319444444444451</v>
      </c>
      <c r="GO7" s="725">
        <f t="shared" si="5"/>
        <v>0.7680555555555556</v>
      </c>
      <c r="GP7" s="725">
        <f t="shared" si="5"/>
        <v>0.7729166666666667</v>
      </c>
      <c r="GQ7" s="725">
        <f t="shared" si="5"/>
        <v>0.77777777777777779</v>
      </c>
      <c r="GR7" s="725">
        <f t="shared" si="5"/>
        <v>0.78263888888888888</v>
      </c>
      <c r="GS7" s="725">
        <f t="shared" si="5"/>
        <v>0.78749999999999998</v>
      </c>
      <c r="GT7" s="725">
        <f t="shared" si="5"/>
        <v>0.79236111111111118</v>
      </c>
      <c r="GU7" s="725">
        <f t="shared" si="5"/>
        <v>0.79722222222222228</v>
      </c>
      <c r="GV7" s="725">
        <f t="shared" si="5"/>
        <v>0.80208333333333337</v>
      </c>
      <c r="GW7" s="725">
        <f t="shared" si="5"/>
        <v>0.80694444444444446</v>
      </c>
      <c r="GX7" s="725">
        <f t="shared" si="5"/>
        <v>0.81180555555555556</v>
      </c>
      <c r="GY7" s="725">
        <f t="shared" si="5"/>
        <v>0.81666666666666665</v>
      </c>
      <c r="GZ7" s="725">
        <f t="shared" si="5"/>
        <v>0.82152777777777786</v>
      </c>
      <c r="HA7" s="725">
        <f t="shared" si="5"/>
        <v>0.82638888888888895</v>
      </c>
      <c r="HB7" s="725">
        <f t="shared" si="5"/>
        <v>0.83125000000000004</v>
      </c>
      <c r="HC7" s="725">
        <f t="shared" si="5"/>
        <v>0.83611111111111114</v>
      </c>
      <c r="HD7" s="725">
        <f t="shared" si="5"/>
        <v>0.84097222222222223</v>
      </c>
      <c r="HE7" s="725">
        <f t="shared" si="5"/>
        <v>0.84583333333333333</v>
      </c>
      <c r="HF7" s="725">
        <f t="shared" si="5"/>
        <v>0.85069444444444453</v>
      </c>
      <c r="HG7" s="725">
        <f t="shared" si="5"/>
        <v>0.85555555555555562</v>
      </c>
      <c r="HH7" s="725">
        <f t="shared" si="5"/>
        <v>0.86041666666666672</v>
      </c>
      <c r="HI7" s="725">
        <f t="shared" si="5"/>
        <v>0.86527777777777781</v>
      </c>
      <c r="HJ7" s="725">
        <f t="shared" si="5"/>
        <v>0.87013888888888891</v>
      </c>
      <c r="HK7" s="725">
        <f t="shared" si="5"/>
        <v>0.875</v>
      </c>
      <c r="HL7" s="725">
        <f t="shared" si="5"/>
        <v>0.87986111111111109</v>
      </c>
      <c r="HM7" s="725">
        <f t="shared" si="5"/>
        <v>0.8847222222222223</v>
      </c>
      <c r="HN7" s="725">
        <f t="shared" si="5"/>
        <v>0.88958333333333339</v>
      </c>
      <c r="HO7" s="725">
        <f t="shared" si="5"/>
        <v>0.89444444444444449</v>
      </c>
      <c r="HP7" s="725">
        <f t="shared" si="5"/>
        <v>0.89930555555555558</v>
      </c>
      <c r="HQ7" s="725">
        <f t="shared" si="5"/>
        <v>0.90416666666666667</v>
      </c>
      <c r="HR7" s="725">
        <f t="shared" si="5"/>
        <v>0.90902777777777777</v>
      </c>
      <c r="HS7" s="725">
        <f t="shared" ref="HS7:IJ7" si="6">IF(HR7+TIME(0,TimeIncr,0)&gt;=0.99999,NA(),MROUND(HR7+TIME(0,TimeIncr,0),"0:01"))</f>
        <v>0.91388888888888897</v>
      </c>
      <c r="HT7" s="725">
        <f t="shared" si="6"/>
        <v>0.91875000000000007</v>
      </c>
      <c r="HU7" s="725">
        <f t="shared" si="6"/>
        <v>0.92361111111111116</v>
      </c>
      <c r="HV7" s="725">
        <f t="shared" si="6"/>
        <v>0.92847222222222225</v>
      </c>
      <c r="HW7" s="725">
        <f t="shared" si="6"/>
        <v>0.93333333333333335</v>
      </c>
      <c r="HX7" s="725">
        <f t="shared" si="6"/>
        <v>0.93819444444444444</v>
      </c>
      <c r="HY7" s="725">
        <f t="shared" si="6"/>
        <v>0.94305555555555565</v>
      </c>
      <c r="HZ7" s="725">
        <f t="shared" si="6"/>
        <v>0.94791666666666674</v>
      </c>
      <c r="IA7" s="725">
        <f t="shared" si="6"/>
        <v>0.95277777777777783</v>
      </c>
      <c r="IB7" s="725">
        <f t="shared" si="6"/>
        <v>0.95763888888888893</v>
      </c>
      <c r="IC7" s="725">
        <f t="shared" si="6"/>
        <v>0.96250000000000002</v>
      </c>
      <c r="ID7" s="725">
        <f t="shared" si="6"/>
        <v>0.96736111111111112</v>
      </c>
      <c r="IE7" s="725">
        <f t="shared" si="6"/>
        <v>0.97222222222222221</v>
      </c>
      <c r="IF7" s="725">
        <f t="shared" si="6"/>
        <v>0.97708333333333341</v>
      </c>
      <c r="IG7" s="725">
        <f t="shared" si="6"/>
        <v>0.98194444444444451</v>
      </c>
      <c r="IH7" s="725">
        <f t="shared" si="6"/>
        <v>0.9868055555555556</v>
      </c>
      <c r="II7" s="725">
        <f t="shared" si="6"/>
        <v>0.9916666666666667</v>
      </c>
      <c r="IJ7" s="725">
        <f t="shared" si="6"/>
        <v>0.99652777777777779</v>
      </c>
      <c r="IK7" s="378"/>
    </row>
    <row r="8" spans="1:245" hidden="1" x14ac:dyDescent="0.2">
      <c r="A8" s="380" t="str">
        <f>IF(OR(E8=0,B8=""),"x","")</f>
        <v>x</v>
      </c>
      <c r="B8" s="712">
        <f>IF(ISERROR(INDEX('Legend(DX)'!$H$8:$H$9,1)),"",INDEX('Legend(DX)'!$H$8:$H$9,1))</f>
        <v>0</v>
      </c>
      <c r="C8" s="712" t="str">
        <f>IF(INDEX('Legend(DX)'!$T$8:$T$9,1)=0,"See Legend",INDEX('Legend(DX)'!$T$8:$T$9,1))</f>
        <v>See Legend</v>
      </c>
      <c r="D8" s="712">
        <f>IF(INDEX('Legend(DX)'!$R$8:$R$9,(ROW(C8))-7)=0,IF(AND(INDEX('Legend(DX)'!$D$8:$D$9,(ROW(C8))-6)="CH",INDEX('Legend(DX)'!$F$8:$F$9,(ROW(C8))-6)="CASE - MANUAL"),INDEX('Legend(DX)'!$R$8:$R$9,(ROW(C8))-6),IF(INDEX('Legend(DX)'!$V$8:$V$9,(ROW(C8))-7)&gt;1, "(" &amp; INDEX('Legend(DX)'!$V$8:$V$9,(ROW(C8))-7) &amp; ") " &amp; INDEX('Legend(DX)'!$W$8:$W$9,(ROW(C8))-6),INDEX('Legend(DX)'!$W$8:$W$9,(ROW(C8))-7))),INDEX('Legend(DX)'!$R$8:$R$9,(ROW(C8))-7))</f>
        <v>0</v>
      </c>
      <c r="E8" s="713" cm="1">
        <f t="array" ref="E8">IF(OR(ISNUMBER(SEARCH("Skid",C8)),ISNUMBER(SEARCH("Subcooler",C8))),0,IF(ISERROR(INDEX('Legend(DX)'!$AA$8:$AA$9,ROW()-7)),"",INDEX('Legend(DX)'!$AA$8:$AA$9,ROW()-7)))</f>
        <v>0</v>
      </c>
      <c r="F8" s="714"/>
      <c r="G8" s="714"/>
      <c r="H8" s="714"/>
      <c r="I8" s="714"/>
      <c r="J8" s="714"/>
      <c r="K8" s="890">
        <f>IF(ISERROR(G8+H8+J8),0,G8+H8+J8)</f>
        <v>0</v>
      </c>
      <c r="L8" s="717"/>
      <c r="M8" s="1302"/>
      <c r="N8" s="972">
        <f t="shared" ref="N8:N43" si="7">IF(M8="",-1,IF(M8+TIME(0,$K8,0)&gt;1,M8+TIME(0,$K8,0)-1,M8+TIME(0,$K8,0)))</f>
        <v>-1</v>
      </c>
      <c r="O8" s="972">
        <f>IF($F8&lt;2,-1,IF(M8+TIME((24/$F8),0,0)&gt;1,MROUND(M8-1+TIME((24/$F8),0,0),"0:01"),MROUND(M8+TIME((24/$F8),0,0),"0:01")))</f>
        <v>-1</v>
      </c>
      <c r="P8" s="972">
        <f t="shared" ref="P8:P43" si="8">IF(O8="",-1,IF(O8+TIME(0,$K8,0)&gt;1,O8+TIME(0,$K8,0)-1,O8+TIME(0,$K8,0)))</f>
        <v>-1</v>
      </c>
      <c r="Q8" s="972">
        <f>IF($F8&lt;3,-1,IF(O8+TIME((24/$F8),0,0)&gt;1,MROUND(O8-1+TIME((24/$F8),0,0),"0:01"),MROUND(O8+TIME((24/$F8),0,0),"0:01")))</f>
        <v>-1</v>
      </c>
      <c r="R8" s="972">
        <f t="shared" ref="R8:R43" si="9">IF(Q8="",-1,IF(Q8+TIME(0,$K8,0)&gt;1,Q8+TIME(0,$K8,0)-1,Q8+TIME(0,$K8,0)))</f>
        <v>-1</v>
      </c>
      <c r="S8" s="972">
        <f>IF($F8&lt;4,-1,IF(Q8+TIME((24/$F8),0,0)&gt;1,MROUND(Q8-1+TIME((24/$F8),0,0),"0:01"),MROUND(Q8+TIME((24/$F8),0,0),"0:01")))</f>
        <v>-1</v>
      </c>
      <c r="T8" s="972">
        <f t="shared" ref="T8:T43" si="10">IF(S8="",-1,IF(S8+TIME(0,$K8,0)&gt;1,S8+TIME(0,$K8,0)-1,S8+TIME(0,$K8,0)))</f>
        <v>-1</v>
      </c>
      <c r="U8" s="972">
        <f>IF($F8&lt;5,-1,IF(S8+TIME((24/$F8),0,0)&gt;1,MROUND(S8-1+TIME((24/$F8),0,0),"0:01"),MROUND(S8+TIME((24/$F8),0,0),"0:01")))</f>
        <v>-1</v>
      </c>
      <c r="V8" s="972">
        <f t="shared" ref="V8:V43" si="11">IF(U8="",-1,IF(U8+TIME(0,$K8,0)&gt;1,U8+TIME(0,$K8,0)-1,U8+TIME(0,$K8,0)))</f>
        <v>-1</v>
      </c>
      <c r="W8" s="972">
        <f>IF($F8&lt;6,-1,IF(U8+TIME((24/$F8),0,0)&gt;1,MROUND(U8-1+TIME((24/$F8),0,0),"0:01"),MROUND(U8+TIME((24/$F8),0,0),"0:01")))</f>
        <v>-1</v>
      </c>
      <c r="X8" s="972">
        <f t="shared" ref="X8:X43" si="12">IF(W8="",-1,IF(W8+TIME(0,$K8,0)&gt;1,W8+TIME(0,$K8,0)-1,W8+TIME(0,$K8,0)))</f>
        <v>-1</v>
      </c>
      <c r="Y8" s="972">
        <f>IF($F8&lt;7,-1,IF(W8+TIME((24/$F8),0,0)&gt;1,MROUND(W8-1+TIME((24/$F8),0,0),"0:01"),MROUND(W8+TIME((24/$F8),0,0),"0:01")))</f>
        <v>-1</v>
      </c>
      <c r="Z8" s="972">
        <f>IF(Y8="",-1,IF(Y8+TIME(0,$K8,0)&gt;1,Y8+TIME(0,$K8,0)-1,Y8+TIME(0,$K8,0)))</f>
        <v>-1</v>
      </c>
      <c r="AA8" s="972">
        <f>IF($F8&lt;8,-1,IF(Y8+TIME((24/$F8),0,0)&gt;1,MROUND(Y8-1+TIME((24/$F8),0,0),"0:01"),MROUND(Y8+TIME((24/$F8),0,0),"0:01")))</f>
        <v>-1</v>
      </c>
      <c r="AB8" s="972">
        <f>IF(AA8="",-1,IF(AA8+TIME(0,$K8,0)&gt;1,AA8+TIME(0,$K8,0)-1,AA8+TIME(0,$K8,0)))</f>
        <v>-1</v>
      </c>
      <c r="AC8" s="972">
        <f>IF($F8&lt;9,-1,IF(AA8+TIME((24/$F8),0,0)&gt;1,MROUND(AA8-1+TIME((24/$F8),0,0),"0:01"),MROUND(AA8+TIME((24/$F8),0,0),"0:01")))</f>
        <v>-1</v>
      </c>
      <c r="AD8" s="972">
        <f>IF(AC8="",-1,IF(AC8+TIME(0,$K8,0)&gt;1,AC8+TIME(0,$K8,0)-1,AC8+TIME(0,$K8,0)))</f>
        <v>-1</v>
      </c>
      <c r="AE8" s="972">
        <f>IF($F8&lt;10,-1,IF(AC8+TIME((24/$F8),0,0)&gt;1,MROUND(AC8-1+TIME((24/$F8),0,0),"0:01"),MROUND(AC8+TIME((24/$F8),0,0),"0:01")))</f>
        <v>-1</v>
      </c>
      <c r="AF8" s="972">
        <f>IF(AE8="",-1,IF(AE8+TIME(0,$K8,0)&gt;1,AE8+TIME(0,$K8,0)-1,AE8+TIME(0,$K8,0)))</f>
        <v>-1</v>
      </c>
      <c r="AG8" s="972">
        <f>IF($F8&lt;11,-1,IF(AE8+TIME((24/$F8),0,0)&gt;1,MROUND(AE8-1+TIME((24/$F8),0,0),"0:01"),MROUND(AE8+TIME((24/$F8),0,0),"0:01")))</f>
        <v>-1</v>
      </c>
      <c r="AH8" s="972">
        <f>IF(AG8="",-1,IF(AG8+TIME(0,$K8,0)&gt;1,AG8+TIME(0,$K8,0)-1,AG8+TIME(0,$K8,0)))</f>
        <v>-1</v>
      </c>
      <c r="AI8" s="972">
        <f>IF($F8&lt;12,-1,IF(AG8+TIME((24/$F8),0,0)&gt;1,MROUND(AG8-1+TIME((24/$F8),0,0),"0:01"),MROUND(AG8+TIME((24/$F8),0,0),"0:01")))</f>
        <v>-1</v>
      </c>
      <c r="AJ8" s="972">
        <f>IF(AI8="",-1,IF(AI8+TIME(0,$K8,0)&gt;1,AI8+TIME(0,$K8,0)-1,AI8+TIME(0,$K8,0)))</f>
        <v>-1</v>
      </c>
      <c r="AK8" s="381">
        <f>IF(ISERROR(INDEX('Legend(DX)'!$AI$8:$AI$9,IK8)),"",INDEX('Legend(DX)'!$AI$8:$AI$9,IK8))</f>
        <v>0</v>
      </c>
      <c r="AL8" s="726">
        <f>B8</f>
        <v>0</v>
      </c>
      <c r="AM8" s="409">
        <f t="shared" ref="AM8:AV17" si="13">IF(ISNA(AM$7),"",IF(OR(AND(AM$7&lt;=$N8,AM$7&gt;$N8-TIME(0,TimeIncr,0)),AND(AM$7&lt;=$P8,AM$7&gt;$P8-TIME(0,TimeIncr,0)),AND(AM$7&lt;=$R8,AM$7&gt;$R8-TIME(0,TimeIncr,0)),AND(AM$7&lt;=$T8,AM$7&gt;$T8-TIME(0,TimeIncr,0)),AND(AM$7&lt;=$V8,AM$7&gt;$V8-TIME(0,TimeIncr,0)),AND(AM$7&lt;=$X8,AM$7&gt;$X8-TIME(0,TimeIncr,0)),AND(AM$7&lt;=$Z8,AM$7&gt;$Z8-TIME(0,TimeIncr,0)),AND(AM$7&lt;=$AB8,AM$7&gt;$AB8-TIME(0,TimeIncr,0)),AND(AM$7&lt;=$AD8,AM$7&gt;$AD8-TIME(0,TimeIncr,0)),AND(AM$7&lt;=$AF8,AM$7&gt;$AF8-TIME(0,TimeIncr,0)),AND(AM$7&lt;=$AH8,AM$7&gt;$AH8-TIME(0,TimeIncr,0)),AND(AM$7&lt;=$AJ8,AM$7&gt;$AJ8-TIME(0,TimeIncr,0))),$E8*$L8,IF(OR(AND(AM$7&gt;=$M8,AM$7&lt;=$N8),AND(AM$7&gt;=$O8,AM$7&lt;=$P8),AND(AM$7&gt;=$Q8,AM$7&lt;=$R8),AND(AM$7&gt;=$S8,AM$7&lt;=$T8),AND(AM$7&gt;=$U8,AM$7&lt;=$V8),AND(AM$7&gt;=$W8,AM$7&lt;=$X8),AND(AM$7&gt;=$Y8,AM$7&lt;=$Z8),AND(AM$7&gt;=$AA8,AM$7&lt;=$AB8),AND(AM$7&gt;=$AC8,AM$7&lt;=$AD8),AND(AM$7&gt;=$AE8,AM$7&lt;=$AF8),AND(AM$7&gt;=$AG8,AM$7&lt;=$AH8),AND(AM$7&gt;=$AI8,AM$7&lt;=$AJ8)),0,IF(OR(AND($M8&gt;$N8,AM$7&lt;=$N8),AND($O8&gt;$P8,AM$7&lt;=$P8),AND($Q8&gt;$R8,AM$7&lt;=$R8),AND($S8&gt;$T8,AM$7&lt;=$T8),AND($U8&gt;$V8,AM$7&lt;=$V8),AND($W8&gt;$X8,AM$7&lt;=$X8),AND($Y8&gt;$Z8,AM$7&lt;=$Z8),AND($AA8&gt;$AB8,AM$7&lt;=$AB8),AND($AC8&gt;$AD8,AM$7&lt;=$AD8),AND($AE8&gt;$AF8,AM$7&lt;=$AF8),AND($AG8&gt;$AH8,AM$7&lt;=$AH8),AND($AI8&gt;$AJ8,AM$7&lt;=$AJ8)),0,IF(OR(AND(AM$7&gt;=$M8,$M8&gt;$N8),AND(AM$7&gt;=$O8,$O8&gt;$P8),AND(AM$7&gt;=$Q8,$Q8&gt;$R8),AND(AM$7&gt;=$S8,$S8&gt;$T8),AND(AM$7&gt;=$U8,$U8&gt;$V8),AND(AM$7&gt;=$W8,$W8&gt;$X8),AND(AM$7&gt;=$Y8,$Y8&gt;$Z8),AND(AM$7&gt;=$AA8,$AA8&gt;$AB8),AND(AM$7&gt;=$AC8,$AC8&gt;$AD8),AND(AM$7&gt;=$AE8,$AE8&gt;$AF8),AND(AM$7&gt;=$AG8,$AG8&gt;$AH8),AND(AM$7&gt;=$AI8,$AI8&gt;$AJ8)),0,$E8)))))</f>
        <v>0</v>
      </c>
      <c r="AN8" s="409">
        <f t="shared" si="13"/>
        <v>0</v>
      </c>
      <c r="AO8" s="409">
        <f t="shared" si="13"/>
        <v>0</v>
      </c>
      <c r="AP8" s="409">
        <f t="shared" si="13"/>
        <v>0</v>
      </c>
      <c r="AQ8" s="409">
        <f t="shared" si="13"/>
        <v>0</v>
      </c>
      <c r="AR8" s="409">
        <f t="shared" si="13"/>
        <v>0</v>
      </c>
      <c r="AS8" s="409">
        <f t="shared" si="13"/>
        <v>0</v>
      </c>
      <c r="AT8" s="409">
        <f t="shared" si="13"/>
        <v>0</v>
      </c>
      <c r="AU8" s="409">
        <f t="shared" si="13"/>
        <v>0</v>
      </c>
      <c r="AV8" s="409">
        <f t="shared" si="13"/>
        <v>0</v>
      </c>
      <c r="AW8" s="409">
        <f t="shared" ref="AW8:BF17" si="14">IF(ISNA(AW$7),"",IF(OR(AND(AW$7&lt;=$N8,AW$7&gt;$N8-TIME(0,TimeIncr,0)),AND(AW$7&lt;=$P8,AW$7&gt;$P8-TIME(0,TimeIncr,0)),AND(AW$7&lt;=$R8,AW$7&gt;$R8-TIME(0,TimeIncr,0)),AND(AW$7&lt;=$T8,AW$7&gt;$T8-TIME(0,TimeIncr,0)),AND(AW$7&lt;=$V8,AW$7&gt;$V8-TIME(0,TimeIncr,0)),AND(AW$7&lt;=$X8,AW$7&gt;$X8-TIME(0,TimeIncr,0)),AND(AW$7&lt;=$Z8,AW$7&gt;$Z8-TIME(0,TimeIncr,0)),AND(AW$7&lt;=$AB8,AW$7&gt;$AB8-TIME(0,TimeIncr,0)),AND(AW$7&lt;=$AD8,AW$7&gt;$AD8-TIME(0,TimeIncr,0)),AND(AW$7&lt;=$AF8,AW$7&gt;$AF8-TIME(0,TimeIncr,0)),AND(AW$7&lt;=$AH8,AW$7&gt;$AH8-TIME(0,TimeIncr,0)),AND(AW$7&lt;=$AJ8,AW$7&gt;$AJ8-TIME(0,TimeIncr,0))),$E8*$L8,IF(OR(AND(AW$7&gt;=$M8,AW$7&lt;=$N8),AND(AW$7&gt;=$O8,AW$7&lt;=$P8),AND(AW$7&gt;=$Q8,AW$7&lt;=$R8),AND(AW$7&gt;=$S8,AW$7&lt;=$T8),AND(AW$7&gt;=$U8,AW$7&lt;=$V8),AND(AW$7&gt;=$W8,AW$7&lt;=$X8),AND(AW$7&gt;=$Y8,AW$7&lt;=$Z8),AND(AW$7&gt;=$AA8,AW$7&lt;=$AB8),AND(AW$7&gt;=$AC8,AW$7&lt;=$AD8),AND(AW$7&gt;=$AE8,AW$7&lt;=$AF8),AND(AW$7&gt;=$AG8,AW$7&lt;=$AH8),AND(AW$7&gt;=$AI8,AW$7&lt;=$AJ8)),0,IF(OR(AND($M8&gt;$N8,AW$7&lt;=$N8),AND($O8&gt;$P8,AW$7&lt;=$P8),AND($Q8&gt;$R8,AW$7&lt;=$R8),AND($S8&gt;$T8,AW$7&lt;=$T8),AND($U8&gt;$V8,AW$7&lt;=$V8),AND($W8&gt;$X8,AW$7&lt;=$X8),AND($Y8&gt;$Z8,AW$7&lt;=$Z8),AND($AA8&gt;$AB8,AW$7&lt;=$AB8),AND($AC8&gt;$AD8,AW$7&lt;=$AD8),AND($AE8&gt;$AF8,AW$7&lt;=$AF8),AND($AG8&gt;$AH8,AW$7&lt;=$AH8),AND($AI8&gt;$AJ8,AW$7&lt;=$AJ8)),0,IF(OR(AND(AW$7&gt;=$M8,$M8&gt;$N8),AND(AW$7&gt;=$O8,$O8&gt;$P8),AND(AW$7&gt;=$Q8,$Q8&gt;$R8),AND(AW$7&gt;=$S8,$S8&gt;$T8),AND(AW$7&gt;=$U8,$U8&gt;$V8),AND(AW$7&gt;=$W8,$W8&gt;$X8),AND(AW$7&gt;=$Y8,$Y8&gt;$Z8),AND(AW$7&gt;=$AA8,$AA8&gt;$AB8),AND(AW$7&gt;=$AC8,$AC8&gt;$AD8),AND(AW$7&gt;=$AE8,$AE8&gt;$AF8),AND(AW$7&gt;=$AG8,$AG8&gt;$AH8),AND(AW$7&gt;=$AI8,$AI8&gt;$AJ8)),0,$E8)))))</f>
        <v>0</v>
      </c>
      <c r="AX8" s="409">
        <f t="shared" si="14"/>
        <v>0</v>
      </c>
      <c r="AY8" s="409">
        <f t="shared" si="14"/>
        <v>0</v>
      </c>
      <c r="AZ8" s="409">
        <f t="shared" si="14"/>
        <v>0</v>
      </c>
      <c r="BA8" s="409">
        <f t="shared" si="14"/>
        <v>0</v>
      </c>
      <c r="BB8" s="409">
        <f t="shared" si="14"/>
        <v>0</v>
      </c>
      <c r="BC8" s="409">
        <f t="shared" si="14"/>
        <v>0</v>
      </c>
      <c r="BD8" s="409">
        <f t="shared" si="14"/>
        <v>0</v>
      </c>
      <c r="BE8" s="409">
        <f t="shared" si="14"/>
        <v>0</v>
      </c>
      <c r="BF8" s="409">
        <f t="shared" si="14"/>
        <v>0</v>
      </c>
      <c r="BG8" s="409">
        <f t="shared" ref="BG8:BP17" si="15">IF(ISNA(BG$7),"",IF(OR(AND(BG$7&lt;=$N8,BG$7&gt;$N8-TIME(0,TimeIncr,0)),AND(BG$7&lt;=$P8,BG$7&gt;$P8-TIME(0,TimeIncr,0)),AND(BG$7&lt;=$R8,BG$7&gt;$R8-TIME(0,TimeIncr,0)),AND(BG$7&lt;=$T8,BG$7&gt;$T8-TIME(0,TimeIncr,0)),AND(BG$7&lt;=$V8,BG$7&gt;$V8-TIME(0,TimeIncr,0)),AND(BG$7&lt;=$X8,BG$7&gt;$X8-TIME(0,TimeIncr,0)),AND(BG$7&lt;=$Z8,BG$7&gt;$Z8-TIME(0,TimeIncr,0)),AND(BG$7&lt;=$AB8,BG$7&gt;$AB8-TIME(0,TimeIncr,0)),AND(BG$7&lt;=$AD8,BG$7&gt;$AD8-TIME(0,TimeIncr,0)),AND(BG$7&lt;=$AF8,BG$7&gt;$AF8-TIME(0,TimeIncr,0)),AND(BG$7&lt;=$AH8,BG$7&gt;$AH8-TIME(0,TimeIncr,0)),AND(BG$7&lt;=$AJ8,BG$7&gt;$AJ8-TIME(0,TimeIncr,0))),$E8*$L8,IF(OR(AND(BG$7&gt;=$M8,BG$7&lt;=$N8),AND(BG$7&gt;=$O8,BG$7&lt;=$P8),AND(BG$7&gt;=$Q8,BG$7&lt;=$R8),AND(BG$7&gt;=$S8,BG$7&lt;=$T8),AND(BG$7&gt;=$U8,BG$7&lt;=$V8),AND(BG$7&gt;=$W8,BG$7&lt;=$X8),AND(BG$7&gt;=$Y8,BG$7&lt;=$Z8),AND(BG$7&gt;=$AA8,BG$7&lt;=$AB8),AND(BG$7&gt;=$AC8,BG$7&lt;=$AD8),AND(BG$7&gt;=$AE8,BG$7&lt;=$AF8),AND(BG$7&gt;=$AG8,BG$7&lt;=$AH8),AND(BG$7&gt;=$AI8,BG$7&lt;=$AJ8)),0,IF(OR(AND($M8&gt;$N8,BG$7&lt;=$N8),AND($O8&gt;$P8,BG$7&lt;=$P8),AND($Q8&gt;$R8,BG$7&lt;=$R8),AND($S8&gt;$T8,BG$7&lt;=$T8),AND($U8&gt;$V8,BG$7&lt;=$V8),AND($W8&gt;$X8,BG$7&lt;=$X8),AND($Y8&gt;$Z8,BG$7&lt;=$Z8),AND($AA8&gt;$AB8,BG$7&lt;=$AB8),AND($AC8&gt;$AD8,BG$7&lt;=$AD8),AND($AE8&gt;$AF8,BG$7&lt;=$AF8),AND($AG8&gt;$AH8,BG$7&lt;=$AH8),AND($AI8&gt;$AJ8,BG$7&lt;=$AJ8)),0,IF(OR(AND(BG$7&gt;=$M8,$M8&gt;$N8),AND(BG$7&gt;=$O8,$O8&gt;$P8),AND(BG$7&gt;=$Q8,$Q8&gt;$R8),AND(BG$7&gt;=$S8,$S8&gt;$T8),AND(BG$7&gt;=$U8,$U8&gt;$V8),AND(BG$7&gt;=$W8,$W8&gt;$X8),AND(BG$7&gt;=$Y8,$Y8&gt;$Z8),AND(BG$7&gt;=$AA8,$AA8&gt;$AB8),AND(BG$7&gt;=$AC8,$AC8&gt;$AD8),AND(BG$7&gt;=$AE8,$AE8&gt;$AF8),AND(BG$7&gt;=$AG8,$AG8&gt;$AH8),AND(BG$7&gt;=$AI8,$AI8&gt;$AJ8)),0,$E8)))))</f>
        <v>0</v>
      </c>
      <c r="BH8" s="409">
        <f t="shared" si="15"/>
        <v>0</v>
      </c>
      <c r="BI8" s="409">
        <f t="shared" si="15"/>
        <v>0</v>
      </c>
      <c r="BJ8" s="409">
        <f t="shared" si="15"/>
        <v>0</v>
      </c>
      <c r="BK8" s="409">
        <f t="shared" si="15"/>
        <v>0</v>
      </c>
      <c r="BL8" s="409">
        <f t="shared" si="15"/>
        <v>0</v>
      </c>
      <c r="BM8" s="409">
        <f t="shared" si="15"/>
        <v>0</v>
      </c>
      <c r="BN8" s="409">
        <f t="shared" si="15"/>
        <v>0</v>
      </c>
      <c r="BO8" s="409">
        <f t="shared" si="15"/>
        <v>0</v>
      </c>
      <c r="BP8" s="409">
        <f t="shared" si="15"/>
        <v>0</v>
      </c>
      <c r="BQ8" s="409">
        <f t="shared" ref="BQ8:BZ17" si="16">IF(ISNA(BQ$7),"",IF(OR(AND(BQ$7&lt;=$N8,BQ$7&gt;$N8-TIME(0,TimeIncr,0)),AND(BQ$7&lt;=$P8,BQ$7&gt;$P8-TIME(0,TimeIncr,0)),AND(BQ$7&lt;=$R8,BQ$7&gt;$R8-TIME(0,TimeIncr,0)),AND(BQ$7&lt;=$T8,BQ$7&gt;$T8-TIME(0,TimeIncr,0)),AND(BQ$7&lt;=$V8,BQ$7&gt;$V8-TIME(0,TimeIncr,0)),AND(BQ$7&lt;=$X8,BQ$7&gt;$X8-TIME(0,TimeIncr,0)),AND(BQ$7&lt;=$Z8,BQ$7&gt;$Z8-TIME(0,TimeIncr,0)),AND(BQ$7&lt;=$AB8,BQ$7&gt;$AB8-TIME(0,TimeIncr,0)),AND(BQ$7&lt;=$AD8,BQ$7&gt;$AD8-TIME(0,TimeIncr,0)),AND(BQ$7&lt;=$AF8,BQ$7&gt;$AF8-TIME(0,TimeIncr,0)),AND(BQ$7&lt;=$AH8,BQ$7&gt;$AH8-TIME(0,TimeIncr,0)),AND(BQ$7&lt;=$AJ8,BQ$7&gt;$AJ8-TIME(0,TimeIncr,0))),$E8*$L8,IF(OR(AND(BQ$7&gt;=$M8,BQ$7&lt;=$N8),AND(BQ$7&gt;=$O8,BQ$7&lt;=$P8),AND(BQ$7&gt;=$Q8,BQ$7&lt;=$R8),AND(BQ$7&gt;=$S8,BQ$7&lt;=$T8),AND(BQ$7&gt;=$U8,BQ$7&lt;=$V8),AND(BQ$7&gt;=$W8,BQ$7&lt;=$X8),AND(BQ$7&gt;=$Y8,BQ$7&lt;=$Z8),AND(BQ$7&gt;=$AA8,BQ$7&lt;=$AB8),AND(BQ$7&gt;=$AC8,BQ$7&lt;=$AD8),AND(BQ$7&gt;=$AE8,BQ$7&lt;=$AF8),AND(BQ$7&gt;=$AG8,BQ$7&lt;=$AH8),AND(BQ$7&gt;=$AI8,BQ$7&lt;=$AJ8)),0,IF(OR(AND($M8&gt;$N8,BQ$7&lt;=$N8),AND($O8&gt;$P8,BQ$7&lt;=$P8),AND($Q8&gt;$R8,BQ$7&lt;=$R8),AND($S8&gt;$T8,BQ$7&lt;=$T8),AND($U8&gt;$V8,BQ$7&lt;=$V8),AND($W8&gt;$X8,BQ$7&lt;=$X8),AND($Y8&gt;$Z8,BQ$7&lt;=$Z8),AND($AA8&gt;$AB8,BQ$7&lt;=$AB8),AND($AC8&gt;$AD8,BQ$7&lt;=$AD8),AND($AE8&gt;$AF8,BQ$7&lt;=$AF8),AND($AG8&gt;$AH8,BQ$7&lt;=$AH8),AND($AI8&gt;$AJ8,BQ$7&lt;=$AJ8)),0,IF(OR(AND(BQ$7&gt;=$M8,$M8&gt;$N8),AND(BQ$7&gt;=$O8,$O8&gt;$P8),AND(BQ$7&gt;=$Q8,$Q8&gt;$R8),AND(BQ$7&gt;=$S8,$S8&gt;$T8),AND(BQ$7&gt;=$U8,$U8&gt;$V8),AND(BQ$7&gt;=$W8,$W8&gt;$X8),AND(BQ$7&gt;=$Y8,$Y8&gt;$Z8),AND(BQ$7&gt;=$AA8,$AA8&gt;$AB8),AND(BQ$7&gt;=$AC8,$AC8&gt;$AD8),AND(BQ$7&gt;=$AE8,$AE8&gt;$AF8),AND(BQ$7&gt;=$AG8,$AG8&gt;$AH8),AND(BQ$7&gt;=$AI8,$AI8&gt;$AJ8)),0,$E8)))))</f>
        <v>0</v>
      </c>
      <c r="BR8" s="409">
        <f t="shared" si="16"/>
        <v>0</v>
      </c>
      <c r="BS8" s="409">
        <f t="shared" si="16"/>
        <v>0</v>
      </c>
      <c r="BT8" s="409">
        <f t="shared" si="16"/>
        <v>0</v>
      </c>
      <c r="BU8" s="409">
        <f t="shared" si="16"/>
        <v>0</v>
      </c>
      <c r="BV8" s="409">
        <f t="shared" si="16"/>
        <v>0</v>
      </c>
      <c r="BW8" s="409">
        <f t="shared" si="16"/>
        <v>0</v>
      </c>
      <c r="BX8" s="409">
        <f t="shared" si="16"/>
        <v>0</v>
      </c>
      <c r="BY8" s="409">
        <f t="shared" si="16"/>
        <v>0</v>
      </c>
      <c r="BZ8" s="409">
        <f t="shared" si="16"/>
        <v>0</v>
      </c>
      <c r="CA8" s="409">
        <f t="shared" ref="CA8:CJ17" si="17">IF(ISNA(CA$7),"",IF(OR(AND(CA$7&lt;=$N8,CA$7&gt;$N8-TIME(0,TimeIncr,0)),AND(CA$7&lt;=$P8,CA$7&gt;$P8-TIME(0,TimeIncr,0)),AND(CA$7&lt;=$R8,CA$7&gt;$R8-TIME(0,TimeIncr,0)),AND(CA$7&lt;=$T8,CA$7&gt;$T8-TIME(0,TimeIncr,0)),AND(CA$7&lt;=$V8,CA$7&gt;$V8-TIME(0,TimeIncr,0)),AND(CA$7&lt;=$X8,CA$7&gt;$X8-TIME(0,TimeIncr,0)),AND(CA$7&lt;=$Z8,CA$7&gt;$Z8-TIME(0,TimeIncr,0)),AND(CA$7&lt;=$AB8,CA$7&gt;$AB8-TIME(0,TimeIncr,0)),AND(CA$7&lt;=$AD8,CA$7&gt;$AD8-TIME(0,TimeIncr,0)),AND(CA$7&lt;=$AF8,CA$7&gt;$AF8-TIME(0,TimeIncr,0)),AND(CA$7&lt;=$AH8,CA$7&gt;$AH8-TIME(0,TimeIncr,0)),AND(CA$7&lt;=$AJ8,CA$7&gt;$AJ8-TIME(0,TimeIncr,0))),$E8*$L8,IF(OR(AND(CA$7&gt;=$M8,CA$7&lt;=$N8),AND(CA$7&gt;=$O8,CA$7&lt;=$P8),AND(CA$7&gt;=$Q8,CA$7&lt;=$R8),AND(CA$7&gt;=$S8,CA$7&lt;=$T8),AND(CA$7&gt;=$U8,CA$7&lt;=$V8),AND(CA$7&gt;=$W8,CA$7&lt;=$X8),AND(CA$7&gt;=$Y8,CA$7&lt;=$Z8),AND(CA$7&gt;=$AA8,CA$7&lt;=$AB8),AND(CA$7&gt;=$AC8,CA$7&lt;=$AD8),AND(CA$7&gt;=$AE8,CA$7&lt;=$AF8),AND(CA$7&gt;=$AG8,CA$7&lt;=$AH8),AND(CA$7&gt;=$AI8,CA$7&lt;=$AJ8)),0,IF(OR(AND($M8&gt;$N8,CA$7&lt;=$N8),AND($O8&gt;$P8,CA$7&lt;=$P8),AND($Q8&gt;$R8,CA$7&lt;=$R8),AND($S8&gt;$T8,CA$7&lt;=$T8),AND($U8&gt;$V8,CA$7&lt;=$V8),AND($W8&gt;$X8,CA$7&lt;=$X8),AND($Y8&gt;$Z8,CA$7&lt;=$Z8),AND($AA8&gt;$AB8,CA$7&lt;=$AB8),AND($AC8&gt;$AD8,CA$7&lt;=$AD8),AND($AE8&gt;$AF8,CA$7&lt;=$AF8),AND($AG8&gt;$AH8,CA$7&lt;=$AH8),AND($AI8&gt;$AJ8,CA$7&lt;=$AJ8)),0,IF(OR(AND(CA$7&gt;=$M8,$M8&gt;$N8),AND(CA$7&gt;=$O8,$O8&gt;$P8),AND(CA$7&gt;=$Q8,$Q8&gt;$R8),AND(CA$7&gt;=$S8,$S8&gt;$T8),AND(CA$7&gt;=$U8,$U8&gt;$V8),AND(CA$7&gt;=$W8,$W8&gt;$X8),AND(CA$7&gt;=$Y8,$Y8&gt;$Z8),AND(CA$7&gt;=$AA8,$AA8&gt;$AB8),AND(CA$7&gt;=$AC8,$AC8&gt;$AD8),AND(CA$7&gt;=$AE8,$AE8&gt;$AF8),AND(CA$7&gt;=$AG8,$AG8&gt;$AH8),AND(CA$7&gt;=$AI8,$AI8&gt;$AJ8)),0,$E8)))))</f>
        <v>0</v>
      </c>
      <c r="CB8" s="409">
        <f t="shared" si="17"/>
        <v>0</v>
      </c>
      <c r="CC8" s="409">
        <f t="shared" si="17"/>
        <v>0</v>
      </c>
      <c r="CD8" s="409">
        <f t="shared" si="17"/>
        <v>0</v>
      </c>
      <c r="CE8" s="409">
        <f t="shared" si="17"/>
        <v>0</v>
      </c>
      <c r="CF8" s="409">
        <f t="shared" si="17"/>
        <v>0</v>
      </c>
      <c r="CG8" s="409">
        <f t="shared" si="17"/>
        <v>0</v>
      </c>
      <c r="CH8" s="409">
        <f t="shared" si="17"/>
        <v>0</v>
      </c>
      <c r="CI8" s="409">
        <f t="shared" si="17"/>
        <v>0</v>
      </c>
      <c r="CJ8" s="409">
        <f t="shared" si="17"/>
        <v>0</v>
      </c>
      <c r="CK8" s="409">
        <f t="shared" ref="CK8:CT17" si="18">IF(ISNA(CK$7),"",IF(OR(AND(CK$7&lt;=$N8,CK$7&gt;$N8-TIME(0,TimeIncr,0)),AND(CK$7&lt;=$P8,CK$7&gt;$P8-TIME(0,TimeIncr,0)),AND(CK$7&lt;=$R8,CK$7&gt;$R8-TIME(0,TimeIncr,0)),AND(CK$7&lt;=$T8,CK$7&gt;$T8-TIME(0,TimeIncr,0)),AND(CK$7&lt;=$V8,CK$7&gt;$V8-TIME(0,TimeIncr,0)),AND(CK$7&lt;=$X8,CK$7&gt;$X8-TIME(0,TimeIncr,0)),AND(CK$7&lt;=$Z8,CK$7&gt;$Z8-TIME(0,TimeIncr,0)),AND(CK$7&lt;=$AB8,CK$7&gt;$AB8-TIME(0,TimeIncr,0)),AND(CK$7&lt;=$AD8,CK$7&gt;$AD8-TIME(0,TimeIncr,0)),AND(CK$7&lt;=$AF8,CK$7&gt;$AF8-TIME(0,TimeIncr,0)),AND(CK$7&lt;=$AH8,CK$7&gt;$AH8-TIME(0,TimeIncr,0)),AND(CK$7&lt;=$AJ8,CK$7&gt;$AJ8-TIME(0,TimeIncr,0))),$E8*$L8,IF(OR(AND(CK$7&gt;=$M8,CK$7&lt;=$N8),AND(CK$7&gt;=$O8,CK$7&lt;=$P8),AND(CK$7&gt;=$Q8,CK$7&lt;=$R8),AND(CK$7&gt;=$S8,CK$7&lt;=$T8),AND(CK$7&gt;=$U8,CK$7&lt;=$V8),AND(CK$7&gt;=$W8,CK$7&lt;=$X8),AND(CK$7&gt;=$Y8,CK$7&lt;=$Z8),AND(CK$7&gt;=$AA8,CK$7&lt;=$AB8),AND(CK$7&gt;=$AC8,CK$7&lt;=$AD8),AND(CK$7&gt;=$AE8,CK$7&lt;=$AF8),AND(CK$7&gt;=$AG8,CK$7&lt;=$AH8),AND(CK$7&gt;=$AI8,CK$7&lt;=$AJ8)),0,IF(OR(AND($M8&gt;$N8,CK$7&lt;=$N8),AND($O8&gt;$P8,CK$7&lt;=$P8),AND($Q8&gt;$R8,CK$7&lt;=$R8),AND($S8&gt;$T8,CK$7&lt;=$T8),AND($U8&gt;$V8,CK$7&lt;=$V8),AND($W8&gt;$X8,CK$7&lt;=$X8),AND($Y8&gt;$Z8,CK$7&lt;=$Z8),AND($AA8&gt;$AB8,CK$7&lt;=$AB8),AND($AC8&gt;$AD8,CK$7&lt;=$AD8),AND($AE8&gt;$AF8,CK$7&lt;=$AF8),AND($AG8&gt;$AH8,CK$7&lt;=$AH8),AND($AI8&gt;$AJ8,CK$7&lt;=$AJ8)),0,IF(OR(AND(CK$7&gt;=$M8,$M8&gt;$N8),AND(CK$7&gt;=$O8,$O8&gt;$P8),AND(CK$7&gt;=$Q8,$Q8&gt;$R8),AND(CK$7&gt;=$S8,$S8&gt;$T8),AND(CK$7&gt;=$U8,$U8&gt;$V8),AND(CK$7&gt;=$W8,$W8&gt;$X8),AND(CK$7&gt;=$Y8,$Y8&gt;$Z8),AND(CK$7&gt;=$AA8,$AA8&gt;$AB8),AND(CK$7&gt;=$AC8,$AC8&gt;$AD8),AND(CK$7&gt;=$AE8,$AE8&gt;$AF8),AND(CK$7&gt;=$AG8,$AG8&gt;$AH8),AND(CK$7&gt;=$AI8,$AI8&gt;$AJ8)),0,$E8)))))</f>
        <v>0</v>
      </c>
      <c r="CL8" s="409">
        <f t="shared" si="18"/>
        <v>0</v>
      </c>
      <c r="CM8" s="409">
        <f t="shared" si="18"/>
        <v>0</v>
      </c>
      <c r="CN8" s="409">
        <f t="shared" si="18"/>
        <v>0</v>
      </c>
      <c r="CO8" s="409">
        <f t="shared" si="18"/>
        <v>0</v>
      </c>
      <c r="CP8" s="409">
        <f t="shared" si="18"/>
        <v>0</v>
      </c>
      <c r="CQ8" s="409">
        <f t="shared" si="18"/>
        <v>0</v>
      </c>
      <c r="CR8" s="409">
        <f t="shared" si="18"/>
        <v>0</v>
      </c>
      <c r="CS8" s="409">
        <f t="shared" si="18"/>
        <v>0</v>
      </c>
      <c r="CT8" s="409">
        <f t="shared" si="18"/>
        <v>0</v>
      </c>
      <c r="CU8" s="409">
        <f t="shared" ref="CU8:DD17" si="19">IF(ISNA(CU$7),"",IF(OR(AND(CU$7&lt;=$N8,CU$7&gt;$N8-TIME(0,TimeIncr,0)),AND(CU$7&lt;=$P8,CU$7&gt;$P8-TIME(0,TimeIncr,0)),AND(CU$7&lt;=$R8,CU$7&gt;$R8-TIME(0,TimeIncr,0)),AND(CU$7&lt;=$T8,CU$7&gt;$T8-TIME(0,TimeIncr,0)),AND(CU$7&lt;=$V8,CU$7&gt;$V8-TIME(0,TimeIncr,0)),AND(CU$7&lt;=$X8,CU$7&gt;$X8-TIME(0,TimeIncr,0)),AND(CU$7&lt;=$Z8,CU$7&gt;$Z8-TIME(0,TimeIncr,0)),AND(CU$7&lt;=$AB8,CU$7&gt;$AB8-TIME(0,TimeIncr,0)),AND(CU$7&lt;=$AD8,CU$7&gt;$AD8-TIME(0,TimeIncr,0)),AND(CU$7&lt;=$AF8,CU$7&gt;$AF8-TIME(0,TimeIncr,0)),AND(CU$7&lt;=$AH8,CU$7&gt;$AH8-TIME(0,TimeIncr,0)),AND(CU$7&lt;=$AJ8,CU$7&gt;$AJ8-TIME(0,TimeIncr,0))),$E8*$L8,IF(OR(AND(CU$7&gt;=$M8,CU$7&lt;=$N8),AND(CU$7&gt;=$O8,CU$7&lt;=$P8),AND(CU$7&gt;=$Q8,CU$7&lt;=$R8),AND(CU$7&gt;=$S8,CU$7&lt;=$T8),AND(CU$7&gt;=$U8,CU$7&lt;=$V8),AND(CU$7&gt;=$W8,CU$7&lt;=$X8),AND(CU$7&gt;=$Y8,CU$7&lt;=$Z8),AND(CU$7&gt;=$AA8,CU$7&lt;=$AB8),AND(CU$7&gt;=$AC8,CU$7&lt;=$AD8),AND(CU$7&gt;=$AE8,CU$7&lt;=$AF8),AND(CU$7&gt;=$AG8,CU$7&lt;=$AH8),AND(CU$7&gt;=$AI8,CU$7&lt;=$AJ8)),0,IF(OR(AND($M8&gt;$N8,CU$7&lt;=$N8),AND($O8&gt;$P8,CU$7&lt;=$P8),AND($Q8&gt;$R8,CU$7&lt;=$R8),AND($S8&gt;$T8,CU$7&lt;=$T8),AND($U8&gt;$V8,CU$7&lt;=$V8),AND($W8&gt;$X8,CU$7&lt;=$X8),AND($Y8&gt;$Z8,CU$7&lt;=$Z8),AND($AA8&gt;$AB8,CU$7&lt;=$AB8),AND($AC8&gt;$AD8,CU$7&lt;=$AD8),AND($AE8&gt;$AF8,CU$7&lt;=$AF8),AND($AG8&gt;$AH8,CU$7&lt;=$AH8),AND($AI8&gt;$AJ8,CU$7&lt;=$AJ8)),0,IF(OR(AND(CU$7&gt;=$M8,$M8&gt;$N8),AND(CU$7&gt;=$O8,$O8&gt;$P8),AND(CU$7&gt;=$Q8,$Q8&gt;$R8),AND(CU$7&gt;=$S8,$S8&gt;$T8),AND(CU$7&gt;=$U8,$U8&gt;$V8),AND(CU$7&gt;=$W8,$W8&gt;$X8),AND(CU$7&gt;=$Y8,$Y8&gt;$Z8),AND(CU$7&gt;=$AA8,$AA8&gt;$AB8),AND(CU$7&gt;=$AC8,$AC8&gt;$AD8),AND(CU$7&gt;=$AE8,$AE8&gt;$AF8),AND(CU$7&gt;=$AG8,$AG8&gt;$AH8),AND(CU$7&gt;=$AI8,$AI8&gt;$AJ8)),0,$E8)))))</f>
        <v>0</v>
      </c>
      <c r="CV8" s="409">
        <f t="shared" si="19"/>
        <v>0</v>
      </c>
      <c r="CW8" s="409">
        <f t="shared" si="19"/>
        <v>0</v>
      </c>
      <c r="CX8" s="409">
        <f t="shared" si="19"/>
        <v>0</v>
      </c>
      <c r="CY8" s="409">
        <f t="shared" si="19"/>
        <v>0</v>
      </c>
      <c r="CZ8" s="409">
        <f t="shared" si="19"/>
        <v>0</v>
      </c>
      <c r="DA8" s="409">
        <f t="shared" si="19"/>
        <v>0</v>
      </c>
      <c r="DB8" s="409">
        <f t="shared" si="19"/>
        <v>0</v>
      </c>
      <c r="DC8" s="409">
        <f t="shared" si="19"/>
        <v>0</v>
      </c>
      <c r="DD8" s="409">
        <f t="shared" si="19"/>
        <v>0</v>
      </c>
      <c r="DE8" s="409">
        <f t="shared" ref="DE8:DN17" si="20">IF(ISNA(DE$7),"",IF(OR(AND(DE$7&lt;=$N8,DE$7&gt;$N8-TIME(0,TimeIncr,0)),AND(DE$7&lt;=$P8,DE$7&gt;$P8-TIME(0,TimeIncr,0)),AND(DE$7&lt;=$R8,DE$7&gt;$R8-TIME(0,TimeIncr,0)),AND(DE$7&lt;=$T8,DE$7&gt;$T8-TIME(0,TimeIncr,0)),AND(DE$7&lt;=$V8,DE$7&gt;$V8-TIME(0,TimeIncr,0)),AND(DE$7&lt;=$X8,DE$7&gt;$X8-TIME(0,TimeIncr,0)),AND(DE$7&lt;=$Z8,DE$7&gt;$Z8-TIME(0,TimeIncr,0)),AND(DE$7&lt;=$AB8,DE$7&gt;$AB8-TIME(0,TimeIncr,0)),AND(DE$7&lt;=$AD8,DE$7&gt;$AD8-TIME(0,TimeIncr,0)),AND(DE$7&lt;=$AF8,DE$7&gt;$AF8-TIME(0,TimeIncr,0)),AND(DE$7&lt;=$AH8,DE$7&gt;$AH8-TIME(0,TimeIncr,0)),AND(DE$7&lt;=$AJ8,DE$7&gt;$AJ8-TIME(0,TimeIncr,0))),$E8*$L8,IF(OR(AND(DE$7&gt;=$M8,DE$7&lt;=$N8),AND(DE$7&gt;=$O8,DE$7&lt;=$P8),AND(DE$7&gt;=$Q8,DE$7&lt;=$R8),AND(DE$7&gt;=$S8,DE$7&lt;=$T8),AND(DE$7&gt;=$U8,DE$7&lt;=$V8),AND(DE$7&gt;=$W8,DE$7&lt;=$X8),AND(DE$7&gt;=$Y8,DE$7&lt;=$Z8),AND(DE$7&gt;=$AA8,DE$7&lt;=$AB8),AND(DE$7&gt;=$AC8,DE$7&lt;=$AD8),AND(DE$7&gt;=$AE8,DE$7&lt;=$AF8),AND(DE$7&gt;=$AG8,DE$7&lt;=$AH8),AND(DE$7&gt;=$AI8,DE$7&lt;=$AJ8)),0,IF(OR(AND($M8&gt;$N8,DE$7&lt;=$N8),AND($O8&gt;$P8,DE$7&lt;=$P8),AND($Q8&gt;$R8,DE$7&lt;=$R8),AND($S8&gt;$T8,DE$7&lt;=$T8),AND($U8&gt;$V8,DE$7&lt;=$V8),AND($W8&gt;$X8,DE$7&lt;=$X8),AND($Y8&gt;$Z8,DE$7&lt;=$Z8),AND($AA8&gt;$AB8,DE$7&lt;=$AB8),AND($AC8&gt;$AD8,DE$7&lt;=$AD8),AND($AE8&gt;$AF8,DE$7&lt;=$AF8),AND($AG8&gt;$AH8,DE$7&lt;=$AH8),AND($AI8&gt;$AJ8,DE$7&lt;=$AJ8)),0,IF(OR(AND(DE$7&gt;=$M8,$M8&gt;$N8),AND(DE$7&gt;=$O8,$O8&gt;$P8),AND(DE$7&gt;=$Q8,$Q8&gt;$R8),AND(DE$7&gt;=$S8,$S8&gt;$T8),AND(DE$7&gt;=$U8,$U8&gt;$V8),AND(DE$7&gt;=$W8,$W8&gt;$X8),AND(DE$7&gt;=$Y8,$Y8&gt;$Z8),AND(DE$7&gt;=$AA8,$AA8&gt;$AB8),AND(DE$7&gt;=$AC8,$AC8&gt;$AD8),AND(DE$7&gt;=$AE8,$AE8&gt;$AF8),AND(DE$7&gt;=$AG8,$AG8&gt;$AH8),AND(DE$7&gt;=$AI8,$AI8&gt;$AJ8)),0,$E8)))))</f>
        <v>0</v>
      </c>
      <c r="DF8" s="409">
        <f t="shared" si="20"/>
        <v>0</v>
      </c>
      <c r="DG8" s="409">
        <f t="shared" si="20"/>
        <v>0</v>
      </c>
      <c r="DH8" s="409">
        <f t="shared" si="20"/>
        <v>0</v>
      </c>
      <c r="DI8" s="409">
        <f t="shared" si="20"/>
        <v>0</v>
      </c>
      <c r="DJ8" s="409">
        <f t="shared" si="20"/>
        <v>0</v>
      </c>
      <c r="DK8" s="409">
        <f t="shared" si="20"/>
        <v>0</v>
      </c>
      <c r="DL8" s="409">
        <f t="shared" si="20"/>
        <v>0</v>
      </c>
      <c r="DM8" s="409">
        <f t="shared" si="20"/>
        <v>0</v>
      </c>
      <c r="DN8" s="409">
        <f t="shared" si="20"/>
        <v>0</v>
      </c>
      <c r="DO8" s="409">
        <f t="shared" ref="DO8:DX17" si="21">IF(ISNA(DO$7),"",IF(OR(AND(DO$7&lt;=$N8,DO$7&gt;$N8-TIME(0,TimeIncr,0)),AND(DO$7&lt;=$P8,DO$7&gt;$P8-TIME(0,TimeIncr,0)),AND(DO$7&lt;=$R8,DO$7&gt;$R8-TIME(0,TimeIncr,0)),AND(DO$7&lt;=$T8,DO$7&gt;$T8-TIME(0,TimeIncr,0)),AND(DO$7&lt;=$V8,DO$7&gt;$V8-TIME(0,TimeIncr,0)),AND(DO$7&lt;=$X8,DO$7&gt;$X8-TIME(0,TimeIncr,0)),AND(DO$7&lt;=$Z8,DO$7&gt;$Z8-TIME(0,TimeIncr,0)),AND(DO$7&lt;=$AB8,DO$7&gt;$AB8-TIME(0,TimeIncr,0)),AND(DO$7&lt;=$AD8,DO$7&gt;$AD8-TIME(0,TimeIncr,0)),AND(DO$7&lt;=$AF8,DO$7&gt;$AF8-TIME(0,TimeIncr,0)),AND(DO$7&lt;=$AH8,DO$7&gt;$AH8-TIME(0,TimeIncr,0)),AND(DO$7&lt;=$AJ8,DO$7&gt;$AJ8-TIME(0,TimeIncr,0))),$E8*$L8,IF(OR(AND(DO$7&gt;=$M8,DO$7&lt;=$N8),AND(DO$7&gt;=$O8,DO$7&lt;=$P8),AND(DO$7&gt;=$Q8,DO$7&lt;=$R8),AND(DO$7&gt;=$S8,DO$7&lt;=$T8),AND(DO$7&gt;=$U8,DO$7&lt;=$V8),AND(DO$7&gt;=$W8,DO$7&lt;=$X8),AND(DO$7&gt;=$Y8,DO$7&lt;=$Z8),AND(DO$7&gt;=$AA8,DO$7&lt;=$AB8),AND(DO$7&gt;=$AC8,DO$7&lt;=$AD8),AND(DO$7&gt;=$AE8,DO$7&lt;=$AF8),AND(DO$7&gt;=$AG8,DO$7&lt;=$AH8),AND(DO$7&gt;=$AI8,DO$7&lt;=$AJ8)),0,IF(OR(AND($M8&gt;$N8,DO$7&lt;=$N8),AND($O8&gt;$P8,DO$7&lt;=$P8),AND($Q8&gt;$R8,DO$7&lt;=$R8),AND($S8&gt;$T8,DO$7&lt;=$T8),AND($U8&gt;$V8,DO$7&lt;=$V8),AND($W8&gt;$X8,DO$7&lt;=$X8),AND($Y8&gt;$Z8,DO$7&lt;=$Z8),AND($AA8&gt;$AB8,DO$7&lt;=$AB8),AND($AC8&gt;$AD8,DO$7&lt;=$AD8),AND($AE8&gt;$AF8,DO$7&lt;=$AF8),AND($AG8&gt;$AH8,DO$7&lt;=$AH8),AND($AI8&gt;$AJ8,DO$7&lt;=$AJ8)),0,IF(OR(AND(DO$7&gt;=$M8,$M8&gt;$N8),AND(DO$7&gt;=$O8,$O8&gt;$P8),AND(DO$7&gt;=$Q8,$Q8&gt;$R8),AND(DO$7&gt;=$S8,$S8&gt;$T8),AND(DO$7&gt;=$U8,$U8&gt;$V8),AND(DO$7&gt;=$W8,$W8&gt;$X8),AND(DO$7&gt;=$Y8,$Y8&gt;$Z8),AND(DO$7&gt;=$AA8,$AA8&gt;$AB8),AND(DO$7&gt;=$AC8,$AC8&gt;$AD8),AND(DO$7&gt;=$AE8,$AE8&gt;$AF8),AND(DO$7&gt;=$AG8,$AG8&gt;$AH8),AND(DO$7&gt;=$AI8,$AI8&gt;$AJ8)),0,$E8)))))</f>
        <v>0</v>
      </c>
      <c r="DP8" s="409">
        <f t="shared" si="21"/>
        <v>0</v>
      </c>
      <c r="DQ8" s="409">
        <f t="shared" si="21"/>
        <v>0</v>
      </c>
      <c r="DR8" s="409">
        <f t="shared" si="21"/>
        <v>0</v>
      </c>
      <c r="DS8" s="409">
        <f t="shared" si="21"/>
        <v>0</v>
      </c>
      <c r="DT8" s="409">
        <f t="shared" si="21"/>
        <v>0</v>
      </c>
      <c r="DU8" s="409">
        <f t="shared" si="21"/>
        <v>0</v>
      </c>
      <c r="DV8" s="409">
        <f t="shared" si="21"/>
        <v>0</v>
      </c>
      <c r="DW8" s="409">
        <f t="shared" si="21"/>
        <v>0</v>
      </c>
      <c r="DX8" s="409">
        <f t="shared" si="21"/>
        <v>0</v>
      </c>
      <c r="DY8" s="409">
        <f t="shared" ref="DY8:EH17" si="22">IF(ISNA(DY$7),"",IF(OR(AND(DY$7&lt;=$N8,DY$7&gt;$N8-TIME(0,TimeIncr,0)),AND(DY$7&lt;=$P8,DY$7&gt;$P8-TIME(0,TimeIncr,0)),AND(DY$7&lt;=$R8,DY$7&gt;$R8-TIME(0,TimeIncr,0)),AND(DY$7&lt;=$T8,DY$7&gt;$T8-TIME(0,TimeIncr,0)),AND(DY$7&lt;=$V8,DY$7&gt;$V8-TIME(0,TimeIncr,0)),AND(DY$7&lt;=$X8,DY$7&gt;$X8-TIME(0,TimeIncr,0)),AND(DY$7&lt;=$Z8,DY$7&gt;$Z8-TIME(0,TimeIncr,0)),AND(DY$7&lt;=$AB8,DY$7&gt;$AB8-TIME(0,TimeIncr,0)),AND(DY$7&lt;=$AD8,DY$7&gt;$AD8-TIME(0,TimeIncr,0)),AND(DY$7&lt;=$AF8,DY$7&gt;$AF8-TIME(0,TimeIncr,0)),AND(DY$7&lt;=$AH8,DY$7&gt;$AH8-TIME(0,TimeIncr,0)),AND(DY$7&lt;=$AJ8,DY$7&gt;$AJ8-TIME(0,TimeIncr,0))),$E8*$L8,IF(OR(AND(DY$7&gt;=$M8,DY$7&lt;=$N8),AND(DY$7&gt;=$O8,DY$7&lt;=$P8),AND(DY$7&gt;=$Q8,DY$7&lt;=$R8),AND(DY$7&gt;=$S8,DY$7&lt;=$T8),AND(DY$7&gt;=$U8,DY$7&lt;=$V8),AND(DY$7&gt;=$W8,DY$7&lt;=$X8),AND(DY$7&gt;=$Y8,DY$7&lt;=$Z8),AND(DY$7&gt;=$AA8,DY$7&lt;=$AB8),AND(DY$7&gt;=$AC8,DY$7&lt;=$AD8),AND(DY$7&gt;=$AE8,DY$7&lt;=$AF8),AND(DY$7&gt;=$AG8,DY$7&lt;=$AH8),AND(DY$7&gt;=$AI8,DY$7&lt;=$AJ8)),0,IF(OR(AND($M8&gt;$N8,DY$7&lt;=$N8),AND($O8&gt;$P8,DY$7&lt;=$P8),AND($Q8&gt;$R8,DY$7&lt;=$R8),AND($S8&gt;$T8,DY$7&lt;=$T8),AND($U8&gt;$V8,DY$7&lt;=$V8),AND($W8&gt;$X8,DY$7&lt;=$X8),AND($Y8&gt;$Z8,DY$7&lt;=$Z8),AND($AA8&gt;$AB8,DY$7&lt;=$AB8),AND($AC8&gt;$AD8,DY$7&lt;=$AD8),AND($AE8&gt;$AF8,DY$7&lt;=$AF8),AND($AG8&gt;$AH8,DY$7&lt;=$AH8),AND($AI8&gt;$AJ8,DY$7&lt;=$AJ8)),0,IF(OR(AND(DY$7&gt;=$M8,$M8&gt;$N8),AND(DY$7&gt;=$O8,$O8&gt;$P8),AND(DY$7&gt;=$Q8,$Q8&gt;$R8),AND(DY$7&gt;=$S8,$S8&gt;$T8),AND(DY$7&gt;=$U8,$U8&gt;$V8),AND(DY$7&gt;=$W8,$W8&gt;$X8),AND(DY$7&gt;=$Y8,$Y8&gt;$Z8),AND(DY$7&gt;=$AA8,$AA8&gt;$AB8),AND(DY$7&gt;=$AC8,$AC8&gt;$AD8),AND(DY$7&gt;=$AE8,$AE8&gt;$AF8),AND(DY$7&gt;=$AG8,$AG8&gt;$AH8),AND(DY$7&gt;=$AI8,$AI8&gt;$AJ8)),0,$E8)))))</f>
        <v>0</v>
      </c>
      <c r="DZ8" s="409">
        <f t="shared" si="22"/>
        <v>0</v>
      </c>
      <c r="EA8" s="409">
        <f t="shared" si="22"/>
        <v>0</v>
      </c>
      <c r="EB8" s="409">
        <f t="shared" si="22"/>
        <v>0</v>
      </c>
      <c r="EC8" s="409">
        <f t="shared" si="22"/>
        <v>0</v>
      </c>
      <c r="ED8" s="409">
        <f t="shared" si="22"/>
        <v>0</v>
      </c>
      <c r="EE8" s="409">
        <f t="shared" si="22"/>
        <v>0</v>
      </c>
      <c r="EF8" s="409">
        <f t="shared" si="22"/>
        <v>0</v>
      </c>
      <c r="EG8" s="409">
        <f t="shared" si="22"/>
        <v>0</v>
      </c>
      <c r="EH8" s="409">
        <f t="shared" si="22"/>
        <v>0</v>
      </c>
      <c r="EI8" s="409">
        <f t="shared" ref="EI8:ER17" si="23">IF(ISNA(EI$7),"",IF(OR(AND(EI$7&lt;=$N8,EI$7&gt;$N8-TIME(0,TimeIncr,0)),AND(EI$7&lt;=$P8,EI$7&gt;$P8-TIME(0,TimeIncr,0)),AND(EI$7&lt;=$R8,EI$7&gt;$R8-TIME(0,TimeIncr,0)),AND(EI$7&lt;=$T8,EI$7&gt;$T8-TIME(0,TimeIncr,0)),AND(EI$7&lt;=$V8,EI$7&gt;$V8-TIME(0,TimeIncr,0)),AND(EI$7&lt;=$X8,EI$7&gt;$X8-TIME(0,TimeIncr,0)),AND(EI$7&lt;=$Z8,EI$7&gt;$Z8-TIME(0,TimeIncr,0)),AND(EI$7&lt;=$AB8,EI$7&gt;$AB8-TIME(0,TimeIncr,0)),AND(EI$7&lt;=$AD8,EI$7&gt;$AD8-TIME(0,TimeIncr,0)),AND(EI$7&lt;=$AF8,EI$7&gt;$AF8-TIME(0,TimeIncr,0)),AND(EI$7&lt;=$AH8,EI$7&gt;$AH8-TIME(0,TimeIncr,0)),AND(EI$7&lt;=$AJ8,EI$7&gt;$AJ8-TIME(0,TimeIncr,0))),$E8*$L8,IF(OR(AND(EI$7&gt;=$M8,EI$7&lt;=$N8),AND(EI$7&gt;=$O8,EI$7&lt;=$P8),AND(EI$7&gt;=$Q8,EI$7&lt;=$R8),AND(EI$7&gt;=$S8,EI$7&lt;=$T8),AND(EI$7&gt;=$U8,EI$7&lt;=$V8),AND(EI$7&gt;=$W8,EI$7&lt;=$X8),AND(EI$7&gt;=$Y8,EI$7&lt;=$Z8),AND(EI$7&gt;=$AA8,EI$7&lt;=$AB8),AND(EI$7&gt;=$AC8,EI$7&lt;=$AD8),AND(EI$7&gt;=$AE8,EI$7&lt;=$AF8),AND(EI$7&gt;=$AG8,EI$7&lt;=$AH8),AND(EI$7&gt;=$AI8,EI$7&lt;=$AJ8)),0,IF(OR(AND($M8&gt;$N8,EI$7&lt;=$N8),AND($O8&gt;$P8,EI$7&lt;=$P8),AND($Q8&gt;$R8,EI$7&lt;=$R8),AND($S8&gt;$T8,EI$7&lt;=$T8),AND($U8&gt;$V8,EI$7&lt;=$V8),AND($W8&gt;$X8,EI$7&lt;=$X8),AND($Y8&gt;$Z8,EI$7&lt;=$Z8),AND($AA8&gt;$AB8,EI$7&lt;=$AB8),AND($AC8&gt;$AD8,EI$7&lt;=$AD8),AND($AE8&gt;$AF8,EI$7&lt;=$AF8),AND($AG8&gt;$AH8,EI$7&lt;=$AH8),AND($AI8&gt;$AJ8,EI$7&lt;=$AJ8)),0,IF(OR(AND(EI$7&gt;=$M8,$M8&gt;$N8),AND(EI$7&gt;=$O8,$O8&gt;$P8),AND(EI$7&gt;=$Q8,$Q8&gt;$R8),AND(EI$7&gt;=$S8,$S8&gt;$T8),AND(EI$7&gt;=$U8,$U8&gt;$V8),AND(EI$7&gt;=$W8,$W8&gt;$X8),AND(EI$7&gt;=$Y8,$Y8&gt;$Z8),AND(EI$7&gt;=$AA8,$AA8&gt;$AB8),AND(EI$7&gt;=$AC8,$AC8&gt;$AD8),AND(EI$7&gt;=$AE8,$AE8&gt;$AF8),AND(EI$7&gt;=$AG8,$AG8&gt;$AH8),AND(EI$7&gt;=$AI8,$AI8&gt;$AJ8)),0,$E8)))))</f>
        <v>0</v>
      </c>
      <c r="EJ8" s="409">
        <f t="shared" si="23"/>
        <v>0</v>
      </c>
      <c r="EK8" s="409">
        <f t="shared" si="23"/>
        <v>0</v>
      </c>
      <c r="EL8" s="409">
        <f t="shared" si="23"/>
        <v>0</v>
      </c>
      <c r="EM8" s="409">
        <f t="shared" si="23"/>
        <v>0</v>
      </c>
      <c r="EN8" s="409">
        <f t="shared" si="23"/>
        <v>0</v>
      </c>
      <c r="EO8" s="409">
        <f t="shared" si="23"/>
        <v>0</v>
      </c>
      <c r="EP8" s="409">
        <f t="shared" si="23"/>
        <v>0</v>
      </c>
      <c r="EQ8" s="409">
        <f t="shared" si="23"/>
        <v>0</v>
      </c>
      <c r="ER8" s="409">
        <f t="shared" si="23"/>
        <v>0</v>
      </c>
      <c r="ES8" s="409">
        <f t="shared" ref="ES8:FB17" si="24">IF(ISNA(ES$7),"",IF(OR(AND(ES$7&lt;=$N8,ES$7&gt;$N8-TIME(0,TimeIncr,0)),AND(ES$7&lt;=$P8,ES$7&gt;$P8-TIME(0,TimeIncr,0)),AND(ES$7&lt;=$R8,ES$7&gt;$R8-TIME(0,TimeIncr,0)),AND(ES$7&lt;=$T8,ES$7&gt;$T8-TIME(0,TimeIncr,0)),AND(ES$7&lt;=$V8,ES$7&gt;$V8-TIME(0,TimeIncr,0)),AND(ES$7&lt;=$X8,ES$7&gt;$X8-TIME(0,TimeIncr,0)),AND(ES$7&lt;=$Z8,ES$7&gt;$Z8-TIME(0,TimeIncr,0)),AND(ES$7&lt;=$AB8,ES$7&gt;$AB8-TIME(0,TimeIncr,0)),AND(ES$7&lt;=$AD8,ES$7&gt;$AD8-TIME(0,TimeIncr,0)),AND(ES$7&lt;=$AF8,ES$7&gt;$AF8-TIME(0,TimeIncr,0)),AND(ES$7&lt;=$AH8,ES$7&gt;$AH8-TIME(0,TimeIncr,0)),AND(ES$7&lt;=$AJ8,ES$7&gt;$AJ8-TIME(0,TimeIncr,0))),$E8*$L8,IF(OR(AND(ES$7&gt;=$M8,ES$7&lt;=$N8),AND(ES$7&gt;=$O8,ES$7&lt;=$P8),AND(ES$7&gt;=$Q8,ES$7&lt;=$R8),AND(ES$7&gt;=$S8,ES$7&lt;=$T8),AND(ES$7&gt;=$U8,ES$7&lt;=$V8),AND(ES$7&gt;=$W8,ES$7&lt;=$X8),AND(ES$7&gt;=$Y8,ES$7&lt;=$Z8),AND(ES$7&gt;=$AA8,ES$7&lt;=$AB8),AND(ES$7&gt;=$AC8,ES$7&lt;=$AD8),AND(ES$7&gt;=$AE8,ES$7&lt;=$AF8),AND(ES$7&gt;=$AG8,ES$7&lt;=$AH8),AND(ES$7&gt;=$AI8,ES$7&lt;=$AJ8)),0,IF(OR(AND($M8&gt;$N8,ES$7&lt;=$N8),AND($O8&gt;$P8,ES$7&lt;=$P8),AND($Q8&gt;$R8,ES$7&lt;=$R8),AND($S8&gt;$T8,ES$7&lt;=$T8),AND($U8&gt;$V8,ES$7&lt;=$V8),AND($W8&gt;$X8,ES$7&lt;=$X8),AND($Y8&gt;$Z8,ES$7&lt;=$Z8),AND($AA8&gt;$AB8,ES$7&lt;=$AB8),AND($AC8&gt;$AD8,ES$7&lt;=$AD8),AND($AE8&gt;$AF8,ES$7&lt;=$AF8),AND($AG8&gt;$AH8,ES$7&lt;=$AH8),AND($AI8&gt;$AJ8,ES$7&lt;=$AJ8)),0,IF(OR(AND(ES$7&gt;=$M8,$M8&gt;$N8),AND(ES$7&gt;=$O8,$O8&gt;$P8),AND(ES$7&gt;=$Q8,$Q8&gt;$R8),AND(ES$7&gt;=$S8,$S8&gt;$T8),AND(ES$7&gt;=$U8,$U8&gt;$V8),AND(ES$7&gt;=$W8,$W8&gt;$X8),AND(ES$7&gt;=$Y8,$Y8&gt;$Z8),AND(ES$7&gt;=$AA8,$AA8&gt;$AB8),AND(ES$7&gt;=$AC8,$AC8&gt;$AD8),AND(ES$7&gt;=$AE8,$AE8&gt;$AF8),AND(ES$7&gt;=$AG8,$AG8&gt;$AH8),AND(ES$7&gt;=$AI8,$AI8&gt;$AJ8)),0,$E8)))))</f>
        <v>0</v>
      </c>
      <c r="ET8" s="409">
        <f t="shared" si="24"/>
        <v>0</v>
      </c>
      <c r="EU8" s="409">
        <f t="shared" si="24"/>
        <v>0</v>
      </c>
      <c r="EV8" s="409">
        <f t="shared" si="24"/>
        <v>0</v>
      </c>
      <c r="EW8" s="409">
        <f t="shared" si="24"/>
        <v>0</v>
      </c>
      <c r="EX8" s="409">
        <f t="shared" si="24"/>
        <v>0</v>
      </c>
      <c r="EY8" s="409">
        <f t="shared" si="24"/>
        <v>0</v>
      </c>
      <c r="EZ8" s="409">
        <f t="shared" si="24"/>
        <v>0</v>
      </c>
      <c r="FA8" s="409">
        <f t="shared" si="24"/>
        <v>0</v>
      </c>
      <c r="FB8" s="409">
        <f t="shared" si="24"/>
        <v>0</v>
      </c>
      <c r="FC8" s="409">
        <f t="shared" ref="FC8:FL17" si="25">IF(ISNA(FC$7),"",IF(OR(AND(FC$7&lt;=$N8,FC$7&gt;$N8-TIME(0,TimeIncr,0)),AND(FC$7&lt;=$P8,FC$7&gt;$P8-TIME(0,TimeIncr,0)),AND(FC$7&lt;=$R8,FC$7&gt;$R8-TIME(0,TimeIncr,0)),AND(FC$7&lt;=$T8,FC$7&gt;$T8-TIME(0,TimeIncr,0)),AND(FC$7&lt;=$V8,FC$7&gt;$V8-TIME(0,TimeIncr,0)),AND(FC$7&lt;=$X8,FC$7&gt;$X8-TIME(0,TimeIncr,0)),AND(FC$7&lt;=$Z8,FC$7&gt;$Z8-TIME(0,TimeIncr,0)),AND(FC$7&lt;=$AB8,FC$7&gt;$AB8-TIME(0,TimeIncr,0)),AND(FC$7&lt;=$AD8,FC$7&gt;$AD8-TIME(0,TimeIncr,0)),AND(FC$7&lt;=$AF8,FC$7&gt;$AF8-TIME(0,TimeIncr,0)),AND(FC$7&lt;=$AH8,FC$7&gt;$AH8-TIME(0,TimeIncr,0)),AND(FC$7&lt;=$AJ8,FC$7&gt;$AJ8-TIME(0,TimeIncr,0))),$E8*$L8,IF(OR(AND(FC$7&gt;=$M8,FC$7&lt;=$N8),AND(FC$7&gt;=$O8,FC$7&lt;=$P8),AND(FC$7&gt;=$Q8,FC$7&lt;=$R8),AND(FC$7&gt;=$S8,FC$7&lt;=$T8),AND(FC$7&gt;=$U8,FC$7&lt;=$V8),AND(FC$7&gt;=$W8,FC$7&lt;=$X8),AND(FC$7&gt;=$Y8,FC$7&lt;=$Z8),AND(FC$7&gt;=$AA8,FC$7&lt;=$AB8),AND(FC$7&gt;=$AC8,FC$7&lt;=$AD8),AND(FC$7&gt;=$AE8,FC$7&lt;=$AF8),AND(FC$7&gt;=$AG8,FC$7&lt;=$AH8),AND(FC$7&gt;=$AI8,FC$7&lt;=$AJ8)),0,IF(OR(AND($M8&gt;$N8,FC$7&lt;=$N8),AND($O8&gt;$P8,FC$7&lt;=$P8),AND($Q8&gt;$R8,FC$7&lt;=$R8),AND($S8&gt;$T8,FC$7&lt;=$T8),AND($U8&gt;$V8,FC$7&lt;=$V8),AND($W8&gt;$X8,FC$7&lt;=$X8),AND($Y8&gt;$Z8,FC$7&lt;=$Z8),AND($AA8&gt;$AB8,FC$7&lt;=$AB8),AND($AC8&gt;$AD8,FC$7&lt;=$AD8),AND($AE8&gt;$AF8,FC$7&lt;=$AF8),AND($AG8&gt;$AH8,FC$7&lt;=$AH8),AND($AI8&gt;$AJ8,FC$7&lt;=$AJ8)),0,IF(OR(AND(FC$7&gt;=$M8,$M8&gt;$N8),AND(FC$7&gt;=$O8,$O8&gt;$P8),AND(FC$7&gt;=$Q8,$Q8&gt;$R8),AND(FC$7&gt;=$S8,$S8&gt;$T8),AND(FC$7&gt;=$U8,$U8&gt;$V8),AND(FC$7&gt;=$W8,$W8&gt;$X8),AND(FC$7&gt;=$Y8,$Y8&gt;$Z8),AND(FC$7&gt;=$AA8,$AA8&gt;$AB8),AND(FC$7&gt;=$AC8,$AC8&gt;$AD8),AND(FC$7&gt;=$AE8,$AE8&gt;$AF8),AND(FC$7&gt;=$AG8,$AG8&gt;$AH8),AND(FC$7&gt;=$AI8,$AI8&gt;$AJ8)),0,$E8)))))</f>
        <v>0</v>
      </c>
      <c r="FD8" s="409">
        <f t="shared" si="25"/>
        <v>0</v>
      </c>
      <c r="FE8" s="409">
        <f t="shared" si="25"/>
        <v>0</v>
      </c>
      <c r="FF8" s="409">
        <f t="shared" si="25"/>
        <v>0</v>
      </c>
      <c r="FG8" s="409">
        <f t="shared" si="25"/>
        <v>0</v>
      </c>
      <c r="FH8" s="409">
        <f t="shared" si="25"/>
        <v>0</v>
      </c>
      <c r="FI8" s="409">
        <f t="shared" si="25"/>
        <v>0</v>
      </c>
      <c r="FJ8" s="409">
        <f t="shared" si="25"/>
        <v>0</v>
      </c>
      <c r="FK8" s="409">
        <f t="shared" si="25"/>
        <v>0</v>
      </c>
      <c r="FL8" s="409">
        <f t="shared" si="25"/>
        <v>0</v>
      </c>
      <c r="FM8" s="409">
        <f t="shared" ref="FM8:FV17" si="26">IF(ISNA(FM$7),"",IF(OR(AND(FM$7&lt;=$N8,FM$7&gt;$N8-TIME(0,TimeIncr,0)),AND(FM$7&lt;=$P8,FM$7&gt;$P8-TIME(0,TimeIncr,0)),AND(FM$7&lt;=$R8,FM$7&gt;$R8-TIME(0,TimeIncr,0)),AND(FM$7&lt;=$T8,FM$7&gt;$T8-TIME(0,TimeIncr,0)),AND(FM$7&lt;=$V8,FM$7&gt;$V8-TIME(0,TimeIncr,0)),AND(FM$7&lt;=$X8,FM$7&gt;$X8-TIME(0,TimeIncr,0)),AND(FM$7&lt;=$Z8,FM$7&gt;$Z8-TIME(0,TimeIncr,0)),AND(FM$7&lt;=$AB8,FM$7&gt;$AB8-TIME(0,TimeIncr,0)),AND(FM$7&lt;=$AD8,FM$7&gt;$AD8-TIME(0,TimeIncr,0)),AND(FM$7&lt;=$AF8,FM$7&gt;$AF8-TIME(0,TimeIncr,0)),AND(FM$7&lt;=$AH8,FM$7&gt;$AH8-TIME(0,TimeIncr,0)),AND(FM$7&lt;=$AJ8,FM$7&gt;$AJ8-TIME(0,TimeIncr,0))),$E8*$L8,IF(OR(AND(FM$7&gt;=$M8,FM$7&lt;=$N8),AND(FM$7&gt;=$O8,FM$7&lt;=$P8),AND(FM$7&gt;=$Q8,FM$7&lt;=$R8),AND(FM$7&gt;=$S8,FM$7&lt;=$T8),AND(FM$7&gt;=$U8,FM$7&lt;=$V8),AND(FM$7&gt;=$W8,FM$7&lt;=$X8),AND(FM$7&gt;=$Y8,FM$7&lt;=$Z8),AND(FM$7&gt;=$AA8,FM$7&lt;=$AB8),AND(FM$7&gt;=$AC8,FM$7&lt;=$AD8),AND(FM$7&gt;=$AE8,FM$7&lt;=$AF8),AND(FM$7&gt;=$AG8,FM$7&lt;=$AH8),AND(FM$7&gt;=$AI8,FM$7&lt;=$AJ8)),0,IF(OR(AND($M8&gt;$N8,FM$7&lt;=$N8),AND($O8&gt;$P8,FM$7&lt;=$P8),AND($Q8&gt;$R8,FM$7&lt;=$R8),AND($S8&gt;$T8,FM$7&lt;=$T8),AND($U8&gt;$V8,FM$7&lt;=$V8),AND($W8&gt;$X8,FM$7&lt;=$X8),AND($Y8&gt;$Z8,FM$7&lt;=$Z8),AND($AA8&gt;$AB8,FM$7&lt;=$AB8),AND($AC8&gt;$AD8,FM$7&lt;=$AD8),AND($AE8&gt;$AF8,FM$7&lt;=$AF8),AND($AG8&gt;$AH8,FM$7&lt;=$AH8),AND($AI8&gt;$AJ8,FM$7&lt;=$AJ8)),0,IF(OR(AND(FM$7&gt;=$M8,$M8&gt;$N8),AND(FM$7&gt;=$O8,$O8&gt;$P8),AND(FM$7&gt;=$Q8,$Q8&gt;$R8),AND(FM$7&gt;=$S8,$S8&gt;$T8),AND(FM$7&gt;=$U8,$U8&gt;$V8),AND(FM$7&gt;=$W8,$W8&gt;$X8),AND(FM$7&gt;=$Y8,$Y8&gt;$Z8),AND(FM$7&gt;=$AA8,$AA8&gt;$AB8),AND(FM$7&gt;=$AC8,$AC8&gt;$AD8),AND(FM$7&gt;=$AE8,$AE8&gt;$AF8),AND(FM$7&gt;=$AG8,$AG8&gt;$AH8),AND(FM$7&gt;=$AI8,$AI8&gt;$AJ8)),0,$E8)))))</f>
        <v>0</v>
      </c>
      <c r="FN8" s="409">
        <f t="shared" si="26"/>
        <v>0</v>
      </c>
      <c r="FO8" s="409">
        <f t="shared" si="26"/>
        <v>0</v>
      </c>
      <c r="FP8" s="409">
        <f t="shared" si="26"/>
        <v>0</v>
      </c>
      <c r="FQ8" s="409">
        <f t="shared" si="26"/>
        <v>0</v>
      </c>
      <c r="FR8" s="409">
        <f t="shared" si="26"/>
        <v>0</v>
      </c>
      <c r="FS8" s="409">
        <f t="shared" si="26"/>
        <v>0</v>
      </c>
      <c r="FT8" s="409">
        <f t="shared" si="26"/>
        <v>0</v>
      </c>
      <c r="FU8" s="409">
        <f t="shared" si="26"/>
        <v>0</v>
      </c>
      <c r="FV8" s="409">
        <f t="shared" si="26"/>
        <v>0</v>
      </c>
      <c r="FW8" s="409">
        <f t="shared" ref="FW8:GF17" si="27">IF(ISNA(FW$7),"",IF(OR(AND(FW$7&lt;=$N8,FW$7&gt;$N8-TIME(0,TimeIncr,0)),AND(FW$7&lt;=$P8,FW$7&gt;$P8-TIME(0,TimeIncr,0)),AND(FW$7&lt;=$R8,FW$7&gt;$R8-TIME(0,TimeIncr,0)),AND(FW$7&lt;=$T8,FW$7&gt;$T8-TIME(0,TimeIncr,0)),AND(FW$7&lt;=$V8,FW$7&gt;$V8-TIME(0,TimeIncr,0)),AND(FW$7&lt;=$X8,FW$7&gt;$X8-TIME(0,TimeIncr,0)),AND(FW$7&lt;=$Z8,FW$7&gt;$Z8-TIME(0,TimeIncr,0)),AND(FW$7&lt;=$AB8,FW$7&gt;$AB8-TIME(0,TimeIncr,0)),AND(FW$7&lt;=$AD8,FW$7&gt;$AD8-TIME(0,TimeIncr,0)),AND(FW$7&lt;=$AF8,FW$7&gt;$AF8-TIME(0,TimeIncr,0)),AND(FW$7&lt;=$AH8,FW$7&gt;$AH8-TIME(0,TimeIncr,0)),AND(FW$7&lt;=$AJ8,FW$7&gt;$AJ8-TIME(0,TimeIncr,0))),$E8*$L8,IF(OR(AND(FW$7&gt;=$M8,FW$7&lt;=$N8),AND(FW$7&gt;=$O8,FW$7&lt;=$P8),AND(FW$7&gt;=$Q8,FW$7&lt;=$R8),AND(FW$7&gt;=$S8,FW$7&lt;=$T8),AND(FW$7&gt;=$U8,FW$7&lt;=$V8),AND(FW$7&gt;=$W8,FW$7&lt;=$X8),AND(FW$7&gt;=$Y8,FW$7&lt;=$Z8),AND(FW$7&gt;=$AA8,FW$7&lt;=$AB8),AND(FW$7&gt;=$AC8,FW$7&lt;=$AD8),AND(FW$7&gt;=$AE8,FW$7&lt;=$AF8),AND(FW$7&gt;=$AG8,FW$7&lt;=$AH8),AND(FW$7&gt;=$AI8,FW$7&lt;=$AJ8)),0,IF(OR(AND($M8&gt;$N8,FW$7&lt;=$N8),AND($O8&gt;$P8,FW$7&lt;=$P8),AND($Q8&gt;$R8,FW$7&lt;=$R8),AND($S8&gt;$T8,FW$7&lt;=$T8),AND($U8&gt;$V8,FW$7&lt;=$V8),AND($W8&gt;$X8,FW$7&lt;=$X8),AND($Y8&gt;$Z8,FW$7&lt;=$Z8),AND($AA8&gt;$AB8,FW$7&lt;=$AB8),AND($AC8&gt;$AD8,FW$7&lt;=$AD8),AND($AE8&gt;$AF8,FW$7&lt;=$AF8),AND($AG8&gt;$AH8,FW$7&lt;=$AH8),AND($AI8&gt;$AJ8,FW$7&lt;=$AJ8)),0,IF(OR(AND(FW$7&gt;=$M8,$M8&gt;$N8),AND(FW$7&gt;=$O8,$O8&gt;$P8),AND(FW$7&gt;=$Q8,$Q8&gt;$R8),AND(FW$7&gt;=$S8,$S8&gt;$T8),AND(FW$7&gt;=$U8,$U8&gt;$V8),AND(FW$7&gt;=$W8,$W8&gt;$X8),AND(FW$7&gt;=$Y8,$Y8&gt;$Z8),AND(FW$7&gt;=$AA8,$AA8&gt;$AB8),AND(FW$7&gt;=$AC8,$AC8&gt;$AD8),AND(FW$7&gt;=$AE8,$AE8&gt;$AF8),AND(FW$7&gt;=$AG8,$AG8&gt;$AH8),AND(FW$7&gt;=$AI8,$AI8&gt;$AJ8)),0,$E8)))))</f>
        <v>0</v>
      </c>
      <c r="FX8" s="409">
        <f t="shared" si="27"/>
        <v>0</v>
      </c>
      <c r="FY8" s="409">
        <f t="shared" si="27"/>
        <v>0</v>
      </c>
      <c r="FZ8" s="409">
        <f t="shared" si="27"/>
        <v>0</v>
      </c>
      <c r="GA8" s="409">
        <f t="shared" si="27"/>
        <v>0</v>
      </c>
      <c r="GB8" s="409">
        <f t="shared" si="27"/>
        <v>0</v>
      </c>
      <c r="GC8" s="409">
        <f t="shared" si="27"/>
        <v>0</v>
      </c>
      <c r="GD8" s="409">
        <f t="shared" si="27"/>
        <v>0</v>
      </c>
      <c r="GE8" s="409">
        <f t="shared" si="27"/>
        <v>0</v>
      </c>
      <c r="GF8" s="409">
        <f t="shared" si="27"/>
        <v>0</v>
      </c>
      <c r="GG8" s="409">
        <f t="shared" ref="GG8:GP17" si="28">IF(ISNA(GG$7),"",IF(OR(AND(GG$7&lt;=$N8,GG$7&gt;$N8-TIME(0,TimeIncr,0)),AND(GG$7&lt;=$P8,GG$7&gt;$P8-TIME(0,TimeIncr,0)),AND(GG$7&lt;=$R8,GG$7&gt;$R8-TIME(0,TimeIncr,0)),AND(GG$7&lt;=$T8,GG$7&gt;$T8-TIME(0,TimeIncr,0)),AND(GG$7&lt;=$V8,GG$7&gt;$V8-TIME(0,TimeIncr,0)),AND(GG$7&lt;=$X8,GG$7&gt;$X8-TIME(0,TimeIncr,0)),AND(GG$7&lt;=$Z8,GG$7&gt;$Z8-TIME(0,TimeIncr,0)),AND(GG$7&lt;=$AB8,GG$7&gt;$AB8-TIME(0,TimeIncr,0)),AND(GG$7&lt;=$AD8,GG$7&gt;$AD8-TIME(0,TimeIncr,0)),AND(GG$7&lt;=$AF8,GG$7&gt;$AF8-TIME(0,TimeIncr,0)),AND(GG$7&lt;=$AH8,GG$7&gt;$AH8-TIME(0,TimeIncr,0)),AND(GG$7&lt;=$AJ8,GG$7&gt;$AJ8-TIME(0,TimeIncr,0))),$E8*$L8,IF(OR(AND(GG$7&gt;=$M8,GG$7&lt;=$N8),AND(GG$7&gt;=$O8,GG$7&lt;=$P8),AND(GG$7&gt;=$Q8,GG$7&lt;=$R8),AND(GG$7&gt;=$S8,GG$7&lt;=$T8),AND(GG$7&gt;=$U8,GG$7&lt;=$V8),AND(GG$7&gt;=$W8,GG$7&lt;=$X8),AND(GG$7&gt;=$Y8,GG$7&lt;=$Z8),AND(GG$7&gt;=$AA8,GG$7&lt;=$AB8),AND(GG$7&gt;=$AC8,GG$7&lt;=$AD8),AND(GG$7&gt;=$AE8,GG$7&lt;=$AF8),AND(GG$7&gt;=$AG8,GG$7&lt;=$AH8),AND(GG$7&gt;=$AI8,GG$7&lt;=$AJ8)),0,IF(OR(AND($M8&gt;$N8,GG$7&lt;=$N8),AND($O8&gt;$P8,GG$7&lt;=$P8),AND($Q8&gt;$R8,GG$7&lt;=$R8),AND($S8&gt;$T8,GG$7&lt;=$T8),AND($U8&gt;$V8,GG$7&lt;=$V8),AND($W8&gt;$X8,GG$7&lt;=$X8),AND($Y8&gt;$Z8,GG$7&lt;=$Z8),AND($AA8&gt;$AB8,GG$7&lt;=$AB8),AND($AC8&gt;$AD8,GG$7&lt;=$AD8),AND($AE8&gt;$AF8,GG$7&lt;=$AF8),AND($AG8&gt;$AH8,GG$7&lt;=$AH8),AND($AI8&gt;$AJ8,GG$7&lt;=$AJ8)),0,IF(OR(AND(GG$7&gt;=$M8,$M8&gt;$N8),AND(GG$7&gt;=$O8,$O8&gt;$P8),AND(GG$7&gt;=$Q8,$Q8&gt;$R8),AND(GG$7&gt;=$S8,$S8&gt;$T8),AND(GG$7&gt;=$U8,$U8&gt;$V8),AND(GG$7&gt;=$W8,$W8&gt;$X8),AND(GG$7&gt;=$Y8,$Y8&gt;$Z8),AND(GG$7&gt;=$AA8,$AA8&gt;$AB8),AND(GG$7&gt;=$AC8,$AC8&gt;$AD8),AND(GG$7&gt;=$AE8,$AE8&gt;$AF8),AND(GG$7&gt;=$AG8,$AG8&gt;$AH8),AND(GG$7&gt;=$AI8,$AI8&gt;$AJ8)),0,$E8)))))</f>
        <v>0</v>
      </c>
      <c r="GH8" s="409">
        <f t="shared" si="28"/>
        <v>0</v>
      </c>
      <c r="GI8" s="409">
        <f t="shared" si="28"/>
        <v>0</v>
      </c>
      <c r="GJ8" s="409">
        <f t="shared" si="28"/>
        <v>0</v>
      </c>
      <c r="GK8" s="409">
        <f t="shared" si="28"/>
        <v>0</v>
      </c>
      <c r="GL8" s="409">
        <f t="shared" si="28"/>
        <v>0</v>
      </c>
      <c r="GM8" s="409">
        <f t="shared" si="28"/>
        <v>0</v>
      </c>
      <c r="GN8" s="409">
        <f t="shared" si="28"/>
        <v>0</v>
      </c>
      <c r="GO8" s="409">
        <f t="shared" si="28"/>
        <v>0</v>
      </c>
      <c r="GP8" s="409">
        <f t="shared" si="28"/>
        <v>0</v>
      </c>
      <c r="GQ8" s="409">
        <f t="shared" ref="GQ8:GZ17" si="29">IF(ISNA(GQ$7),"",IF(OR(AND(GQ$7&lt;=$N8,GQ$7&gt;$N8-TIME(0,TimeIncr,0)),AND(GQ$7&lt;=$P8,GQ$7&gt;$P8-TIME(0,TimeIncr,0)),AND(GQ$7&lt;=$R8,GQ$7&gt;$R8-TIME(0,TimeIncr,0)),AND(GQ$7&lt;=$T8,GQ$7&gt;$T8-TIME(0,TimeIncr,0)),AND(GQ$7&lt;=$V8,GQ$7&gt;$V8-TIME(0,TimeIncr,0)),AND(GQ$7&lt;=$X8,GQ$7&gt;$X8-TIME(0,TimeIncr,0)),AND(GQ$7&lt;=$Z8,GQ$7&gt;$Z8-TIME(0,TimeIncr,0)),AND(GQ$7&lt;=$AB8,GQ$7&gt;$AB8-TIME(0,TimeIncr,0)),AND(GQ$7&lt;=$AD8,GQ$7&gt;$AD8-TIME(0,TimeIncr,0)),AND(GQ$7&lt;=$AF8,GQ$7&gt;$AF8-TIME(0,TimeIncr,0)),AND(GQ$7&lt;=$AH8,GQ$7&gt;$AH8-TIME(0,TimeIncr,0)),AND(GQ$7&lt;=$AJ8,GQ$7&gt;$AJ8-TIME(0,TimeIncr,0))),$E8*$L8,IF(OR(AND(GQ$7&gt;=$M8,GQ$7&lt;=$N8),AND(GQ$7&gt;=$O8,GQ$7&lt;=$P8),AND(GQ$7&gt;=$Q8,GQ$7&lt;=$R8),AND(GQ$7&gt;=$S8,GQ$7&lt;=$T8),AND(GQ$7&gt;=$U8,GQ$7&lt;=$V8),AND(GQ$7&gt;=$W8,GQ$7&lt;=$X8),AND(GQ$7&gt;=$Y8,GQ$7&lt;=$Z8),AND(GQ$7&gt;=$AA8,GQ$7&lt;=$AB8),AND(GQ$7&gt;=$AC8,GQ$7&lt;=$AD8),AND(GQ$7&gt;=$AE8,GQ$7&lt;=$AF8),AND(GQ$7&gt;=$AG8,GQ$7&lt;=$AH8),AND(GQ$7&gt;=$AI8,GQ$7&lt;=$AJ8)),0,IF(OR(AND($M8&gt;$N8,GQ$7&lt;=$N8),AND($O8&gt;$P8,GQ$7&lt;=$P8),AND($Q8&gt;$R8,GQ$7&lt;=$R8),AND($S8&gt;$T8,GQ$7&lt;=$T8),AND($U8&gt;$V8,GQ$7&lt;=$V8),AND($W8&gt;$X8,GQ$7&lt;=$X8),AND($Y8&gt;$Z8,GQ$7&lt;=$Z8),AND($AA8&gt;$AB8,GQ$7&lt;=$AB8),AND($AC8&gt;$AD8,GQ$7&lt;=$AD8),AND($AE8&gt;$AF8,GQ$7&lt;=$AF8),AND($AG8&gt;$AH8,GQ$7&lt;=$AH8),AND($AI8&gt;$AJ8,GQ$7&lt;=$AJ8)),0,IF(OR(AND(GQ$7&gt;=$M8,$M8&gt;$N8),AND(GQ$7&gt;=$O8,$O8&gt;$P8),AND(GQ$7&gt;=$Q8,$Q8&gt;$R8),AND(GQ$7&gt;=$S8,$S8&gt;$T8),AND(GQ$7&gt;=$U8,$U8&gt;$V8),AND(GQ$7&gt;=$W8,$W8&gt;$X8),AND(GQ$7&gt;=$Y8,$Y8&gt;$Z8),AND(GQ$7&gt;=$AA8,$AA8&gt;$AB8),AND(GQ$7&gt;=$AC8,$AC8&gt;$AD8),AND(GQ$7&gt;=$AE8,$AE8&gt;$AF8),AND(GQ$7&gt;=$AG8,$AG8&gt;$AH8),AND(GQ$7&gt;=$AI8,$AI8&gt;$AJ8)),0,$E8)))))</f>
        <v>0</v>
      </c>
      <c r="GR8" s="409">
        <f t="shared" si="29"/>
        <v>0</v>
      </c>
      <c r="GS8" s="409">
        <f t="shared" si="29"/>
        <v>0</v>
      </c>
      <c r="GT8" s="409">
        <f t="shared" si="29"/>
        <v>0</v>
      </c>
      <c r="GU8" s="409">
        <f t="shared" si="29"/>
        <v>0</v>
      </c>
      <c r="GV8" s="409">
        <f t="shared" si="29"/>
        <v>0</v>
      </c>
      <c r="GW8" s="409">
        <f t="shared" si="29"/>
        <v>0</v>
      </c>
      <c r="GX8" s="409">
        <f t="shared" si="29"/>
        <v>0</v>
      </c>
      <c r="GY8" s="409">
        <f t="shared" si="29"/>
        <v>0</v>
      </c>
      <c r="GZ8" s="409">
        <f t="shared" si="29"/>
        <v>0</v>
      </c>
      <c r="HA8" s="409">
        <f t="shared" ref="HA8:HJ17" si="30">IF(ISNA(HA$7),"",IF(OR(AND(HA$7&lt;=$N8,HA$7&gt;$N8-TIME(0,TimeIncr,0)),AND(HA$7&lt;=$P8,HA$7&gt;$P8-TIME(0,TimeIncr,0)),AND(HA$7&lt;=$R8,HA$7&gt;$R8-TIME(0,TimeIncr,0)),AND(HA$7&lt;=$T8,HA$7&gt;$T8-TIME(0,TimeIncr,0)),AND(HA$7&lt;=$V8,HA$7&gt;$V8-TIME(0,TimeIncr,0)),AND(HA$7&lt;=$X8,HA$7&gt;$X8-TIME(0,TimeIncr,0)),AND(HA$7&lt;=$Z8,HA$7&gt;$Z8-TIME(0,TimeIncr,0)),AND(HA$7&lt;=$AB8,HA$7&gt;$AB8-TIME(0,TimeIncr,0)),AND(HA$7&lt;=$AD8,HA$7&gt;$AD8-TIME(0,TimeIncr,0)),AND(HA$7&lt;=$AF8,HA$7&gt;$AF8-TIME(0,TimeIncr,0)),AND(HA$7&lt;=$AH8,HA$7&gt;$AH8-TIME(0,TimeIncr,0)),AND(HA$7&lt;=$AJ8,HA$7&gt;$AJ8-TIME(0,TimeIncr,0))),$E8*$L8,IF(OR(AND(HA$7&gt;=$M8,HA$7&lt;=$N8),AND(HA$7&gt;=$O8,HA$7&lt;=$P8),AND(HA$7&gt;=$Q8,HA$7&lt;=$R8),AND(HA$7&gt;=$S8,HA$7&lt;=$T8),AND(HA$7&gt;=$U8,HA$7&lt;=$V8),AND(HA$7&gt;=$W8,HA$7&lt;=$X8),AND(HA$7&gt;=$Y8,HA$7&lt;=$Z8),AND(HA$7&gt;=$AA8,HA$7&lt;=$AB8),AND(HA$7&gt;=$AC8,HA$7&lt;=$AD8),AND(HA$7&gt;=$AE8,HA$7&lt;=$AF8),AND(HA$7&gt;=$AG8,HA$7&lt;=$AH8),AND(HA$7&gt;=$AI8,HA$7&lt;=$AJ8)),0,IF(OR(AND($M8&gt;$N8,HA$7&lt;=$N8),AND($O8&gt;$P8,HA$7&lt;=$P8),AND($Q8&gt;$R8,HA$7&lt;=$R8),AND($S8&gt;$T8,HA$7&lt;=$T8),AND($U8&gt;$V8,HA$7&lt;=$V8),AND($W8&gt;$X8,HA$7&lt;=$X8),AND($Y8&gt;$Z8,HA$7&lt;=$Z8),AND($AA8&gt;$AB8,HA$7&lt;=$AB8),AND($AC8&gt;$AD8,HA$7&lt;=$AD8),AND($AE8&gt;$AF8,HA$7&lt;=$AF8),AND($AG8&gt;$AH8,HA$7&lt;=$AH8),AND($AI8&gt;$AJ8,HA$7&lt;=$AJ8)),0,IF(OR(AND(HA$7&gt;=$M8,$M8&gt;$N8),AND(HA$7&gt;=$O8,$O8&gt;$P8),AND(HA$7&gt;=$Q8,$Q8&gt;$R8),AND(HA$7&gt;=$S8,$S8&gt;$T8),AND(HA$7&gt;=$U8,$U8&gt;$V8),AND(HA$7&gt;=$W8,$W8&gt;$X8),AND(HA$7&gt;=$Y8,$Y8&gt;$Z8),AND(HA$7&gt;=$AA8,$AA8&gt;$AB8),AND(HA$7&gt;=$AC8,$AC8&gt;$AD8),AND(HA$7&gt;=$AE8,$AE8&gt;$AF8),AND(HA$7&gt;=$AG8,$AG8&gt;$AH8),AND(HA$7&gt;=$AI8,$AI8&gt;$AJ8)),0,$E8)))))</f>
        <v>0</v>
      </c>
      <c r="HB8" s="409">
        <f t="shared" si="30"/>
        <v>0</v>
      </c>
      <c r="HC8" s="409">
        <f t="shared" si="30"/>
        <v>0</v>
      </c>
      <c r="HD8" s="409">
        <f t="shared" si="30"/>
        <v>0</v>
      </c>
      <c r="HE8" s="409">
        <f t="shared" si="30"/>
        <v>0</v>
      </c>
      <c r="HF8" s="409">
        <f t="shared" si="30"/>
        <v>0</v>
      </c>
      <c r="HG8" s="409">
        <f t="shared" si="30"/>
        <v>0</v>
      </c>
      <c r="HH8" s="409">
        <f t="shared" si="30"/>
        <v>0</v>
      </c>
      <c r="HI8" s="409">
        <f t="shared" si="30"/>
        <v>0</v>
      </c>
      <c r="HJ8" s="409">
        <f t="shared" si="30"/>
        <v>0</v>
      </c>
      <c r="HK8" s="409">
        <f t="shared" ref="HK8:HT17" si="31">IF(ISNA(HK$7),"",IF(OR(AND(HK$7&lt;=$N8,HK$7&gt;$N8-TIME(0,TimeIncr,0)),AND(HK$7&lt;=$P8,HK$7&gt;$P8-TIME(0,TimeIncr,0)),AND(HK$7&lt;=$R8,HK$7&gt;$R8-TIME(0,TimeIncr,0)),AND(HK$7&lt;=$T8,HK$7&gt;$T8-TIME(0,TimeIncr,0)),AND(HK$7&lt;=$V8,HK$7&gt;$V8-TIME(0,TimeIncr,0)),AND(HK$7&lt;=$X8,HK$7&gt;$X8-TIME(0,TimeIncr,0)),AND(HK$7&lt;=$Z8,HK$7&gt;$Z8-TIME(0,TimeIncr,0)),AND(HK$7&lt;=$AB8,HK$7&gt;$AB8-TIME(0,TimeIncr,0)),AND(HK$7&lt;=$AD8,HK$7&gt;$AD8-TIME(0,TimeIncr,0)),AND(HK$7&lt;=$AF8,HK$7&gt;$AF8-TIME(0,TimeIncr,0)),AND(HK$7&lt;=$AH8,HK$7&gt;$AH8-TIME(0,TimeIncr,0)),AND(HK$7&lt;=$AJ8,HK$7&gt;$AJ8-TIME(0,TimeIncr,0))),$E8*$L8,IF(OR(AND(HK$7&gt;=$M8,HK$7&lt;=$N8),AND(HK$7&gt;=$O8,HK$7&lt;=$P8),AND(HK$7&gt;=$Q8,HK$7&lt;=$R8),AND(HK$7&gt;=$S8,HK$7&lt;=$T8),AND(HK$7&gt;=$U8,HK$7&lt;=$V8),AND(HK$7&gt;=$W8,HK$7&lt;=$X8),AND(HK$7&gt;=$Y8,HK$7&lt;=$Z8),AND(HK$7&gt;=$AA8,HK$7&lt;=$AB8),AND(HK$7&gt;=$AC8,HK$7&lt;=$AD8),AND(HK$7&gt;=$AE8,HK$7&lt;=$AF8),AND(HK$7&gt;=$AG8,HK$7&lt;=$AH8),AND(HK$7&gt;=$AI8,HK$7&lt;=$AJ8)),0,IF(OR(AND($M8&gt;$N8,HK$7&lt;=$N8),AND($O8&gt;$P8,HK$7&lt;=$P8),AND($Q8&gt;$R8,HK$7&lt;=$R8),AND($S8&gt;$T8,HK$7&lt;=$T8),AND($U8&gt;$V8,HK$7&lt;=$V8),AND($W8&gt;$X8,HK$7&lt;=$X8),AND($Y8&gt;$Z8,HK$7&lt;=$Z8),AND($AA8&gt;$AB8,HK$7&lt;=$AB8),AND($AC8&gt;$AD8,HK$7&lt;=$AD8),AND($AE8&gt;$AF8,HK$7&lt;=$AF8),AND($AG8&gt;$AH8,HK$7&lt;=$AH8),AND($AI8&gt;$AJ8,HK$7&lt;=$AJ8)),0,IF(OR(AND(HK$7&gt;=$M8,$M8&gt;$N8),AND(HK$7&gt;=$O8,$O8&gt;$P8),AND(HK$7&gt;=$Q8,$Q8&gt;$R8),AND(HK$7&gt;=$S8,$S8&gt;$T8),AND(HK$7&gt;=$U8,$U8&gt;$V8),AND(HK$7&gt;=$W8,$W8&gt;$X8),AND(HK$7&gt;=$Y8,$Y8&gt;$Z8),AND(HK$7&gt;=$AA8,$AA8&gt;$AB8),AND(HK$7&gt;=$AC8,$AC8&gt;$AD8),AND(HK$7&gt;=$AE8,$AE8&gt;$AF8),AND(HK$7&gt;=$AG8,$AG8&gt;$AH8),AND(HK$7&gt;=$AI8,$AI8&gt;$AJ8)),0,$E8)))))</f>
        <v>0</v>
      </c>
      <c r="HL8" s="409">
        <f t="shared" si="31"/>
        <v>0</v>
      </c>
      <c r="HM8" s="409">
        <f t="shared" si="31"/>
        <v>0</v>
      </c>
      <c r="HN8" s="409">
        <f t="shared" si="31"/>
        <v>0</v>
      </c>
      <c r="HO8" s="409">
        <f t="shared" si="31"/>
        <v>0</v>
      </c>
      <c r="HP8" s="409">
        <f t="shared" si="31"/>
        <v>0</v>
      </c>
      <c r="HQ8" s="409">
        <f t="shared" si="31"/>
        <v>0</v>
      </c>
      <c r="HR8" s="409">
        <f t="shared" si="31"/>
        <v>0</v>
      </c>
      <c r="HS8" s="409">
        <f t="shared" si="31"/>
        <v>0</v>
      </c>
      <c r="HT8" s="409">
        <f t="shared" si="31"/>
        <v>0</v>
      </c>
      <c r="HU8" s="409">
        <f t="shared" ref="HU8:ID17" si="32">IF(ISNA(HU$7),"",IF(OR(AND(HU$7&lt;=$N8,HU$7&gt;$N8-TIME(0,TimeIncr,0)),AND(HU$7&lt;=$P8,HU$7&gt;$P8-TIME(0,TimeIncr,0)),AND(HU$7&lt;=$R8,HU$7&gt;$R8-TIME(0,TimeIncr,0)),AND(HU$7&lt;=$T8,HU$7&gt;$T8-TIME(0,TimeIncr,0)),AND(HU$7&lt;=$V8,HU$7&gt;$V8-TIME(0,TimeIncr,0)),AND(HU$7&lt;=$X8,HU$7&gt;$X8-TIME(0,TimeIncr,0)),AND(HU$7&lt;=$Z8,HU$7&gt;$Z8-TIME(0,TimeIncr,0)),AND(HU$7&lt;=$AB8,HU$7&gt;$AB8-TIME(0,TimeIncr,0)),AND(HU$7&lt;=$AD8,HU$7&gt;$AD8-TIME(0,TimeIncr,0)),AND(HU$7&lt;=$AF8,HU$7&gt;$AF8-TIME(0,TimeIncr,0)),AND(HU$7&lt;=$AH8,HU$7&gt;$AH8-TIME(0,TimeIncr,0)),AND(HU$7&lt;=$AJ8,HU$7&gt;$AJ8-TIME(0,TimeIncr,0))),$E8*$L8,IF(OR(AND(HU$7&gt;=$M8,HU$7&lt;=$N8),AND(HU$7&gt;=$O8,HU$7&lt;=$P8),AND(HU$7&gt;=$Q8,HU$7&lt;=$R8),AND(HU$7&gt;=$S8,HU$7&lt;=$T8),AND(HU$7&gt;=$U8,HU$7&lt;=$V8),AND(HU$7&gt;=$W8,HU$7&lt;=$X8),AND(HU$7&gt;=$Y8,HU$7&lt;=$Z8),AND(HU$7&gt;=$AA8,HU$7&lt;=$AB8),AND(HU$7&gt;=$AC8,HU$7&lt;=$AD8),AND(HU$7&gt;=$AE8,HU$7&lt;=$AF8),AND(HU$7&gt;=$AG8,HU$7&lt;=$AH8),AND(HU$7&gt;=$AI8,HU$7&lt;=$AJ8)),0,IF(OR(AND($M8&gt;$N8,HU$7&lt;=$N8),AND($O8&gt;$P8,HU$7&lt;=$P8),AND($Q8&gt;$R8,HU$7&lt;=$R8),AND($S8&gt;$T8,HU$7&lt;=$T8),AND($U8&gt;$V8,HU$7&lt;=$V8),AND($W8&gt;$X8,HU$7&lt;=$X8),AND($Y8&gt;$Z8,HU$7&lt;=$Z8),AND($AA8&gt;$AB8,HU$7&lt;=$AB8),AND($AC8&gt;$AD8,HU$7&lt;=$AD8),AND($AE8&gt;$AF8,HU$7&lt;=$AF8),AND($AG8&gt;$AH8,HU$7&lt;=$AH8),AND($AI8&gt;$AJ8,HU$7&lt;=$AJ8)),0,IF(OR(AND(HU$7&gt;=$M8,$M8&gt;$N8),AND(HU$7&gt;=$O8,$O8&gt;$P8),AND(HU$7&gt;=$Q8,$Q8&gt;$R8),AND(HU$7&gt;=$S8,$S8&gt;$T8),AND(HU$7&gt;=$U8,$U8&gt;$V8),AND(HU$7&gt;=$W8,$W8&gt;$X8),AND(HU$7&gt;=$Y8,$Y8&gt;$Z8),AND(HU$7&gt;=$AA8,$AA8&gt;$AB8),AND(HU$7&gt;=$AC8,$AC8&gt;$AD8),AND(HU$7&gt;=$AE8,$AE8&gt;$AF8),AND(HU$7&gt;=$AG8,$AG8&gt;$AH8),AND(HU$7&gt;=$AI8,$AI8&gt;$AJ8)),0,$E8)))))</f>
        <v>0</v>
      </c>
      <c r="HV8" s="409">
        <f t="shared" si="32"/>
        <v>0</v>
      </c>
      <c r="HW8" s="409">
        <f t="shared" si="32"/>
        <v>0</v>
      </c>
      <c r="HX8" s="409">
        <f t="shared" si="32"/>
        <v>0</v>
      </c>
      <c r="HY8" s="409">
        <f t="shared" si="32"/>
        <v>0</v>
      </c>
      <c r="HZ8" s="409">
        <f t="shared" si="32"/>
        <v>0</v>
      </c>
      <c r="IA8" s="409">
        <f t="shared" si="32"/>
        <v>0</v>
      </c>
      <c r="IB8" s="409">
        <f t="shared" si="32"/>
        <v>0</v>
      </c>
      <c r="IC8" s="409">
        <f t="shared" si="32"/>
        <v>0</v>
      </c>
      <c r="ID8" s="409">
        <f t="shared" si="32"/>
        <v>0</v>
      </c>
      <c r="IE8" s="409">
        <f t="shared" ref="IE8:IJ17" si="33">IF(ISNA(IE$7),"",IF(OR(AND(IE$7&lt;=$N8,IE$7&gt;$N8-TIME(0,TimeIncr,0)),AND(IE$7&lt;=$P8,IE$7&gt;$P8-TIME(0,TimeIncr,0)),AND(IE$7&lt;=$R8,IE$7&gt;$R8-TIME(0,TimeIncr,0)),AND(IE$7&lt;=$T8,IE$7&gt;$T8-TIME(0,TimeIncr,0)),AND(IE$7&lt;=$V8,IE$7&gt;$V8-TIME(0,TimeIncr,0)),AND(IE$7&lt;=$X8,IE$7&gt;$X8-TIME(0,TimeIncr,0)),AND(IE$7&lt;=$Z8,IE$7&gt;$Z8-TIME(0,TimeIncr,0)),AND(IE$7&lt;=$AB8,IE$7&gt;$AB8-TIME(0,TimeIncr,0)),AND(IE$7&lt;=$AD8,IE$7&gt;$AD8-TIME(0,TimeIncr,0)),AND(IE$7&lt;=$AF8,IE$7&gt;$AF8-TIME(0,TimeIncr,0)),AND(IE$7&lt;=$AH8,IE$7&gt;$AH8-TIME(0,TimeIncr,0)),AND(IE$7&lt;=$AJ8,IE$7&gt;$AJ8-TIME(0,TimeIncr,0))),$E8*$L8,IF(OR(AND(IE$7&gt;=$M8,IE$7&lt;=$N8),AND(IE$7&gt;=$O8,IE$7&lt;=$P8),AND(IE$7&gt;=$Q8,IE$7&lt;=$R8),AND(IE$7&gt;=$S8,IE$7&lt;=$T8),AND(IE$7&gt;=$U8,IE$7&lt;=$V8),AND(IE$7&gt;=$W8,IE$7&lt;=$X8),AND(IE$7&gt;=$Y8,IE$7&lt;=$Z8),AND(IE$7&gt;=$AA8,IE$7&lt;=$AB8),AND(IE$7&gt;=$AC8,IE$7&lt;=$AD8),AND(IE$7&gt;=$AE8,IE$7&lt;=$AF8),AND(IE$7&gt;=$AG8,IE$7&lt;=$AH8),AND(IE$7&gt;=$AI8,IE$7&lt;=$AJ8)),0,IF(OR(AND($M8&gt;$N8,IE$7&lt;=$N8),AND($O8&gt;$P8,IE$7&lt;=$P8),AND($Q8&gt;$R8,IE$7&lt;=$R8),AND($S8&gt;$T8,IE$7&lt;=$T8),AND($U8&gt;$V8,IE$7&lt;=$V8),AND($W8&gt;$X8,IE$7&lt;=$X8),AND($Y8&gt;$Z8,IE$7&lt;=$Z8),AND($AA8&gt;$AB8,IE$7&lt;=$AB8),AND($AC8&gt;$AD8,IE$7&lt;=$AD8),AND($AE8&gt;$AF8,IE$7&lt;=$AF8),AND($AG8&gt;$AH8,IE$7&lt;=$AH8),AND($AI8&gt;$AJ8,IE$7&lt;=$AJ8)),0,IF(OR(AND(IE$7&gt;=$M8,$M8&gt;$N8),AND(IE$7&gt;=$O8,$O8&gt;$P8),AND(IE$7&gt;=$Q8,$Q8&gt;$R8),AND(IE$7&gt;=$S8,$S8&gt;$T8),AND(IE$7&gt;=$U8,$U8&gt;$V8),AND(IE$7&gt;=$W8,$W8&gt;$X8),AND(IE$7&gt;=$Y8,$Y8&gt;$Z8),AND(IE$7&gt;=$AA8,$AA8&gt;$AB8),AND(IE$7&gt;=$AC8,$AC8&gt;$AD8),AND(IE$7&gt;=$AE8,$AE8&gt;$AF8),AND(IE$7&gt;=$AG8,$AG8&gt;$AH8),AND(IE$7&gt;=$AI8,$AI8&gt;$AJ8)),0,$E8)))))</f>
        <v>0</v>
      </c>
      <c r="IF8" s="409">
        <f t="shared" si="33"/>
        <v>0</v>
      </c>
      <c r="IG8" s="409">
        <f t="shared" si="33"/>
        <v>0</v>
      </c>
      <c r="IH8" s="409">
        <f t="shared" si="33"/>
        <v>0</v>
      </c>
      <c r="II8" s="409">
        <f t="shared" si="33"/>
        <v>0</v>
      </c>
      <c r="IJ8" s="409">
        <f t="shared" si="33"/>
        <v>0</v>
      </c>
      <c r="IK8" s="378">
        <v>1</v>
      </c>
    </row>
    <row r="9" spans="1:245" hidden="1" x14ac:dyDescent="0.2">
      <c r="A9" s="380" t="str">
        <f t="shared" ref="A9:A42" si="34">IF(OR(E9=0,B9=""),"x","")</f>
        <v>x</v>
      </c>
      <c r="B9" s="712">
        <f>IF(ISERROR(INDEX('Legend(DX)'!$H$8:$H$9,2)),"",INDEX('Legend(DX)'!$H$8:$H$9,2))</f>
        <v>0</v>
      </c>
      <c r="C9" s="712" t="str">
        <f>IF(INDEX('Legend(DX)'!$T$8:$T$9,2)=0,"See Legend",INDEX('Legend(DX)'!$T$8:$T$9,2))</f>
        <v>See Legend</v>
      </c>
      <c r="D9" s="712" t="e">
        <f>IF(INDEX('Legend(DX)'!$R$8:$R$9,(ROW(C9))-7)=0,IF(AND(INDEX('Legend(DX)'!$D$8:$D$9,(ROW(C9))-6)="CH",INDEX('Legend(DX)'!$F$8:$F$9,(ROW(C9))-6)="CASE - MANUAL"),INDEX('Legend(DX)'!$R$8:$R$9,(ROW(C9))-6),IF(INDEX('Legend(DX)'!$V$8:$V$9,(ROW(C9))-7)&gt;1, "(" &amp; INDEX('Legend(DX)'!$V$8:$V$9,(ROW(C9))-7) &amp; ") " &amp; INDEX('Legend(DX)'!$W$8:$W$9,(ROW(C9))-6),INDEX('Legend(DX)'!$W$8:$W$9,(ROW(C9))-7))),INDEX('Legend(DX)'!$R$8:$R$9,(ROW(C9))-7))</f>
        <v>#REF!</v>
      </c>
      <c r="E9" s="713" cm="1">
        <f t="array" ref="E9">IF(OR(ISNUMBER(SEARCH("Skid",C9)),ISNUMBER(SEARCH("Subcooler",C9)),ISNUMBER(SEARCH("Pump",C9)),ISNUMBER(SEARCH("PH",C9))),0,IF(ISERROR(INDEX('Legend(DX)'!$AA$8:$AA$9,ROW()-7)),"",INDEX('Legend(DX)'!$AA$8:$AA$9,ROW()-7)))</f>
        <v>0</v>
      </c>
      <c r="F9" s="714"/>
      <c r="G9" s="714"/>
      <c r="H9" s="714"/>
      <c r="I9" s="714"/>
      <c r="J9" s="714"/>
      <c r="K9" s="890">
        <f t="shared" ref="K9:K77" si="35">IF(ISERROR(G9+H9+J9),0,G9+H9+J9)</f>
        <v>0</v>
      </c>
      <c r="L9" s="717"/>
      <c r="M9" s="1303"/>
      <c r="N9" s="972">
        <f t="shared" si="7"/>
        <v>-1</v>
      </c>
      <c r="O9" s="972">
        <f t="shared" ref="O9:O43" si="36">IF($F9&lt;2,-1,IF(M9+TIME((24/$F9),0,0)&gt;1,MROUND(M9-1+TIME((24/$F9),0,0),"0:01"),MROUND(M9+TIME((24/$F9),0,0),"0:01")))</f>
        <v>-1</v>
      </c>
      <c r="P9" s="972">
        <f t="shared" si="8"/>
        <v>-1</v>
      </c>
      <c r="Q9" s="972">
        <f t="shared" ref="Q9:Q43" si="37">IF($F9&lt;3,-1,IF(O9+TIME((24/$F9),0,0)&gt;1,MROUND(O9-1+TIME((24/$F9),0,0),"0:01"),MROUND(O9+TIME((24/$F9),0,0),"0:01")))</f>
        <v>-1</v>
      </c>
      <c r="R9" s="972">
        <f t="shared" si="9"/>
        <v>-1</v>
      </c>
      <c r="S9" s="972">
        <f t="shared" ref="S9:S43" si="38">IF($F9&lt;4,-1,IF(Q9+TIME((24/$F9),0,0)&gt;1,MROUND(Q9-1+TIME((24/$F9),0,0),"0:01"),MROUND(Q9+TIME((24/$F9),0,0),"0:01")))</f>
        <v>-1</v>
      </c>
      <c r="T9" s="972">
        <f t="shared" si="10"/>
        <v>-1</v>
      </c>
      <c r="U9" s="972">
        <f t="shared" ref="U9:U43" si="39">IF($F9&lt;5,-1,IF(S9+TIME((24/$F9),0,0)&gt;1,MROUND(S9-1+TIME((24/$F9),0,0),"0:01"),MROUND(S9+TIME((24/$F9),0,0),"0:01")))</f>
        <v>-1</v>
      </c>
      <c r="V9" s="972">
        <f t="shared" si="11"/>
        <v>-1</v>
      </c>
      <c r="W9" s="972">
        <f t="shared" ref="W9:W43" si="40">IF($F9&lt;6,-1,IF(U9+TIME((24/$F9),0,0)&gt;1,MROUND(U9-1+TIME((24/$F9),0,0),"0:01"),MROUND(U9+TIME((24/$F9),0,0),"0:01")))</f>
        <v>-1</v>
      </c>
      <c r="X9" s="972">
        <f t="shared" si="12"/>
        <v>-1</v>
      </c>
      <c r="Y9" s="972">
        <f t="shared" ref="Y9:Y43" si="41">IF($F9&lt;7,-1,IF(W9+TIME((24/$F9),0,0)&gt;1,MROUND(W9-1+TIME((24/$F9),0,0),"0:01"),MROUND(W9+TIME((24/$F9),0,0),"0:01")))</f>
        <v>-1</v>
      </c>
      <c r="Z9" s="972">
        <f t="shared" ref="Z9:Z43" si="42">IF(Y9="",-1,IF(Y9+TIME(0,$K9,0)&gt;1,Y9+TIME(0,$K9,0)-1,Y9+TIME(0,$K9,0)))</f>
        <v>-1</v>
      </c>
      <c r="AA9" s="972">
        <f t="shared" ref="AA9:AA43" si="43">IF($F9&lt;8,-1,IF(Y9+TIME((24/$F9),0,0)&gt;1,MROUND(Y9-1+TIME((24/$F9),0,0),"0:01"),MROUND(Y9+TIME((24/$F9),0,0),"0:01")))</f>
        <v>-1</v>
      </c>
      <c r="AB9" s="972">
        <f t="shared" ref="AB9:AB43" si="44">IF(AA9="",-1,IF(AA9+TIME(0,$K9,0)&gt;1,AA9+TIME(0,$K9,0)-1,AA9+TIME(0,$K9,0)))</f>
        <v>-1</v>
      </c>
      <c r="AC9" s="972">
        <f t="shared" ref="AC9:AC43" si="45">IF($F9&lt;9,-1,IF(AA9+TIME((24/$F9),0,0)&gt;1,MROUND(AA9-1+TIME((24/$F9),0,0),"0:01"),MROUND(AA9+TIME((24/$F9),0,0),"0:01")))</f>
        <v>-1</v>
      </c>
      <c r="AD9" s="972">
        <f t="shared" ref="AD9:AD43" si="46">IF(AC9="",-1,IF(AC9+TIME(0,$K9,0)&gt;1,AC9+TIME(0,$K9,0)-1,AC9+TIME(0,$K9,0)))</f>
        <v>-1</v>
      </c>
      <c r="AE9" s="972">
        <f t="shared" ref="AE9:AE43" si="47">IF($F9&lt;10,-1,IF(AC9+TIME((24/$F9),0,0)&gt;1,MROUND(AC9-1+TIME((24/$F9),0,0),"0:01"),MROUND(AC9+TIME((24/$F9),0,0),"0:01")))</f>
        <v>-1</v>
      </c>
      <c r="AF9" s="972">
        <f t="shared" ref="AF9:AF43" si="48">IF(AE9="",-1,IF(AE9+TIME(0,$K9,0)&gt;1,AE9+TIME(0,$K9,0)-1,AE9+TIME(0,$K9,0)))</f>
        <v>-1</v>
      </c>
      <c r="AG9" s="972">
        <f t="shared" ref="AG9:AG43" si="49">IF($F9&lt;11,-1,IF(AE9+TIME((24/$F9),0,0)&gt;1,MROUND(AE9-1+TIME((24/$F9),0,0),"0:01"),MROUND(AE9+TIME((24/$F9),0,0),"0:01")))</f>
        <v>-1</v>
      </c>
      <c r="AH9" s="972">
        <f t="shared" ref="AH9:AH43" si="50">IF(AG9="",-1,IF(AG9+TIME(0,$K9,0)&gt;1,AG9+TIME(0,$K9,0)-1,AG9+TIME(0,$K9,0)))</f>
        <v>-1</v>
      </c>
      <c r="AI9" s="972">
        <f t="shared" ref="AI9:AI43" si="51">IF($F9&lt;12,-1,IF(AG9+TIME((24/$F9),0,0)&gt;1,MROUND(AG9-1+TIME((24/$F9),0,0),"0:01"),MROUND(AG9+TIME((24/$F9),0,0),"0:01")))</f>
        <v>-1</v>
      </c>
      <c r="AJ9" s="972">
        <f t="shared" ref="AJ9:AJ43" si="52">IF(AI9="",-1,IF(AI9+TIME(0,$K9,0)&gt;1,AI9+TIME(0,$K9,0)-1,AI9+TIME(0,$K9,0)))</f>
        <v>-1</v>
      </c>
      <c r="AK9" s="381">
        <f>IF(ISERROR(INDEX('Legend(DX)'!$AI$8:$AI$9,IK9)),"",INDEX('Legend(DX)'!$AI$8:$AI$9,IK9))</f>
        <v>0</v>
      </c>
      <c r="AL9" s="727">
        <f t="shared" ref="AL9:AL77" si="53">B9</f>
        <v>0</v>
      </c>
      <c r="AM9" s="409">
        <f t="shared" si="13"/>
        <v>0</v>
      </c>
      <c r="AN9" s="409">
        <f t="shared" si="13"/>
        <v>0</v>
      </c>
      <c r="AO9" s="409">
        <f t="shared" si="13"/>
        <v>0</v>
      </c>
      <c r="AP9" s="409">
        <f t="shared" si="13"/>
        <v>0</v>
      </c>
      <c r="AQ9" s="409">
        <f t="shared" si="13"/>
        <v>0</v>
      </c>
      <c r="AR9" s="409">
        <f t="shared" si="13"/>
        <v>0</v>
      </c>
      <c r="AS9" s="409">
        <f t="shared" si="13"/>
        <v>0</v>
      </c>
      <c r="AT9" s="409">
        <f t="shared" si="13"/>
        <v>0</v>
      </c>
      <c r="AU9" s="409">
        <f t="shared" si="13"/>
        <v>0</v>
      </c>
      <c r="AV9" s="409">
        <f t="shared" si="13"/>
        <v>0</v>
      </c>
      <c r="AW9" s="409">
        <f t="shared" si="14"/>
        <v>0</v>
      </c>
      <c r="AX9" s="409">
        <f t="shared" si="14"/>
        <v>0</v>
      </c>
      <c r="AY9" s="409">
        <f t="shared" si="14"/>
        <v>0</v>
      </c>
      <c r="AZ9" s="409">
        <f t="shared" si="14"/>
        <v>0</v>
      </c>
      <c r="BA9" s="409">
        <f t="shared" si="14"/>
        <v>0</v>
      </c>
      <c r="BB9" s="409">
        <f t="shared" si="14"/>
        <v>0</v>
      </c>
      <c r="BC9" s="409">
        <f t="shared" si="14"/>
        <v>0</v>
      </c>
      <c r="BD9" s="409">
        <f t="shared" si="14"/>
        <v>0</v>
      </c>
      <c r="BE9" s="409">
        <f t="shared" si="14"/>
        <v>0</v>
      </c>
      <c r="BF9" s="409">
        <f t="shared" si="14"/>
        <v>0</v>
      </c>
      <c r="BG9" s="409">
        <f t="shared" si="15"/>
        <v>0</v>
      </c>
      <c r="BH9" s="409">
        <f t="shared" si="15"/>
        <v>0</v>
      </c>
      <c r="BI9" s="409">
        <f t="shared" si="15"/>
        <v>0</v>
      </c>
      <c r="BJ9" s="409">
        <f t="shared" si="15"/>
        <v>0</v>
      </c>
      <c r="BK9" s="409">
        <f t="shared" si="15"/>
        <v>0</v>
      </c>
      <c r="BL9" s="409">
        <f t="shared" si="15"/>
        <v>0</v>
      </c>
      <c r="BM9" s="409">
        <f t="shared" si="15"/>
        <v>0</v>
      </c>
      <c r="BN9" s="409">
        <f t="shared" si="15"/>
        <v>0</v>
      </c>
      <c r="BO9" s="409">
        <f t="shared" si="15"/>
        <v>0</v>
      </c>
      <c r="BP9" s="409">
        <f t="shared" si="15"/>
        <v>0</v>
      </c>
      <c r="BQ9" s="409">
        <f t="shared" si="16"/>
        <v>0</v>
      </c>
      <c r="BR9" s="409">
        <f t="shared" si="16"/>
        <v>0</v>
      </c>
      <c r="BS9" s="409">
        <f t="shared" si="16"/>
        <v>0</v>
      </c>
      <c r="BT9" s="409">
        <f t="shared" si="16"/>
        <v>0</v>
      </c>
      <c r="BU9" s="409">
        <f t="shared" si="16"/>
        <v>0</v>
      </c>
      <c r="BV9" s="409">
        <f t="shared" si="16"/>
        <v>0</v>
      </c>
      <c r="BW9" s="409">
        <f t="shared" si="16"/>
        <v>0</v>
      </c>
      <c r="BX9" s="409">
        <f t="shared" si="16"/>
        <v>0</v>
      </c>
      <c r="BY9" s="409">
        <f t="shared" si="16"/>
        <v>0</v>
      </c>
      <c r="BZ9" s="409">
        <f t="shared" si="16"/>
        <v>0</v>
      </c>
      <c r="CA9" s="409">
        <f t="shared" si="17"/>
        <v>0</v>
      </c>
      <c r="CB9" s="409">
        <f t="shared" si="17"/>
        <v>0</v>
      </c>
      <c r="CC9" s="409">
        <f t="shared" si="17"/>
        <v>0</v>
      </c>
      <c r="CD9" s="409">
        <f t="shared" si="17"/>
        <v>0</v>
      </c>
      <c r="CE9" s="409">
        <f t="shared" si="17"/>
        <v>0</v>
      </c>
      <c r="CF9" s="409">
        <f t="shared" si="17"/>
        <v>0</v>
      </c>
      <c r="CG9" s="409">
        <f t="shared" si="17"/>
        <v>0</v>
      </c>
      <c r="CH9" s="409">
        <f t="shared" si="17"/>
        <v>0</v>
      </c>
      <c r="CI9" s="409">
        <f t="shared" si="17"/>
        <v>0</v>
      </c>
      <c r="CJ9" s="409">
        <f t="shared" si="17"/>
        <v>0</v>
      </c>
      <c r="CK9" s="409">
        <f t="shared" si="18"/>
        <v>0</v>
      </c>
      <c r="CL9" s="409">
        <f t="shared" si="18"/>
        <v>0</v>
      </c>
      <c r="CM9" s="409">
        <f t="shared" si="18"/>
        <v>0</v>
      </c>
      <c r="CN9" s="409">
        <f t="shared" si="18"/>
        <v>0</v>
      </c>
      <c r="CO9" s="409">
        <f t="shared" si="18"/>
        <v>0</v>
      </c>
      <c r="CP9" s="409">
        <f t="shared" si="18"/>
        <v>0</v>
      </c>
      <c r="CQ9" s="409">
        <f t="shared" si="18"/>
        <v>0</v>
      </c>
      <c r="CR9" s="409">
        <f t="shared" si="18"/>
        <v>0</v>
      </c>
      <c r="CS9" s="409">
        <f t="shared" si="18"/>
        <v>0</v>
      </c>
      <c r="CT9" s="409">
        <f t="shared" si="18"/>
        <v>0</v>
      </c>
      <c r="CU9" s="409">
        <f t="shared" si="19"/>
        <v>0</v>
      </c>
      <c r="CV9" s="409">
        <f t="shared" si="19"/>
        <v>0</v>
      </c>
      <c r="CW9" s="409">
        <f t="shared" si="19"/>
        <v>0</v>
      </c>
      <c r="CX9" s="409">
        <f t="shared" si="19"/>
        <v>0</v>
      </c>
      <c r="CY9" s="409">
        <f t="shared" si="19"/>
        <v>0</v>
      </c>
      <c r="CZ9" s="409">
        <f t="shared" si="19"/>
        <v>0</v>
      </c>
      <c r="DA9" s="409">
        <f t="shared" si="19"/>
        <v>0</v>
      </c>
      <c r="DB9" s="409">
        <f t="shared" si="19"/>
        <v>0</v>
      </c>
      <c r="DC9" s="409">
        <f t="shared" si="19"/>
        <v>0</v>
      </c>
      <c r="DD9" s="409">
        <f t="shared" si="19"/>
        <v>0</v>
      </c>
      <c r="DE9" s="409">
        <f t="shared" si="20"/>
        <v>0</v>
      </c>
      <c r="DF9" s="409">
        <f t="shared" si="20"/>
        <v>0</v>
      </c>
      <c r="DG9" s="409">
        <f t="shared" si="20"/>
        <v>0</v>
      </c>
      <c r="DH9" s="409">
        <f t="shared" si="20"/>
        <v>0</v>
      </c>
      <c r="DI9" s="409">
        <f t="shared" si="20"/>
        <v>0</v>
      </c>
      <c r="DJ9" s="409">
        <f t="shared" si="20"/>
        <v>0</v>
      </c>
      <c r="DK9" s="409">
        <f t="shared" si="20"/>
        <v>0</v>
      </c>
      <c r="DL9" s="409">
        <f t="shared" si="20"/>
        <v>0</v>
      </c>
      <c r="DM9" s="409">
        <f t="shared" si="20"/>
        <v>0</v>
      </c>
      <c r="DN9" s="409">
        <f t="shared" si="20"/>
        <v>0</v>
      </c>
      <c r="DO9" s="409">
        <f t="shared" si="21"/>
        <v>0</v>
      </c>
      <c r="DP9" s="409">
        <f t="shared" si="21"/>
        <v>0</v>
      </c>
      <c r="DQ9" s="409">
        <f t="shared" si="21"/>
        <v>0</v>
      </c>
      <c r="DR9" s="409">
        <f t="shared" si="21"/>
        <v>0</v>
      </c>
      <c r="DS9" s="409">
        <f t="shared" si="21"/>
        <v>0</v>
      </c>
      <c r="DT9" s="409">
        <f t="shared" si="21"/>
        <v>0</v>
      </c>
      <c r="DU9" s="409">
        <f t="shared" si="21"/>
        <v>0</v>
      </c>
      <c r="DV9" s="409">
        <f t="shared" si="21"/>
        <v>0</v>
      </c>
      <c r="DW9" s="409">
        <f t="shared" si="21"/>
        <v>0</v>
      </c>
      <c r="DX9" s="409">
        <f t="shared" si="21"/>
        <v>0</v>
      </c>
      <c r="DY9" s="409">
        <f t="shared" si="22"/>
        <v>0</v>
      </c>
      <c r="DZ9" s="409">
        <f t="shared" si="22"/>
        <v>0</v>
      </c>
      <c r="EA9" s="409">
        <f t="shared" si="22"/>
        <v>0</v>
      </c>
      <c r="EB9" s="409">
        <f t="shared" si="22"/>
        <v>0</v>
      </c>
      <c r="EC9" s="409">
        <f t="shared" si="22"/>
        <v>0</v>
      </c>
      <c r="ED9" s="409">
        <f t="shared" si="22"/>
        <v>0</v>
      </c>
      <c r="EE9" s="409">
        <f t="shared" si="22"/>
        <v>0</v>
      </c>
      <c r="EF9" s="409">
        <f t="shared" si="22"/>
        <v>0</v>
      </c>
      <c r="EG9" s="409">
        <f t="shared" si="22"/>
        <v>0</v>
      </c>
      <c r="EH9" s="409">
        <f t="shared" si="22"/>
        <v>0</v>
      </c>
      <c r="EI9" s="409">
        <f t="shared" si="23"/>
        <v>0</v>
      </c>
      <c r="EJ9" s="409">
        <f t="shared" si="23"/>
        <v>0</v>
      </c>
      <c r="EK9" s="409">
        <f t="shared" si="23"/>
        <v>0</v>
      </c>
      <c r="EL9" s="409">
        <f t="shared" si="23"/>
        <v>0</v>
      </c>
      <c r="EM9" s="409">
        <f t="shared" si="23"/>
        <v>0</v>
      </c>
      <c r="EN9" s="409">
        <f t="shared" si="23"/>
        <v>0</v>
      </c>
      <c r="EO9" s="409">
        <f t="shared" si="23"/>
        <v>0</v>
      </c>
      <c r="EP9" s="409">
        <f t="shared" si="23"/>
        <v>0</v>
      </c>
      <c r="EQ9" s="409">
        <f t="shared" si="23"/>
        <v>0</v>
      </c>
      <c r="ER9" s="409">
        <f t="shared" si="23"/>
        <v>0</v>
      </c>
      <c r="ES9" s="409">
        <f t="shared" si="24"/>
        <v>0</v>
      </c>
      <c r="ET9" s="409">
        <f t="shared" si="24"/>
        <v>0</v>
      </c>
      <c r="EU9" s="409">
        <f t="shared" si="24"/>
        <v>0</v>
      </c>
      <c r="EV9" s="409">
        <f t="shared" si="24"/>
        <v>0</v>
      </c>
      <c r="EW9" s="409">
        <f t="shared" si="24"/>
        <v>0</v>
      </c>
      <c r="EX9" s="409">
        <f t="shared" si="24"/>
        <v>0</v>
      </c>
      <c r="EY9" s="409">
        <f t="shared" si="24"/>
        <v>0</v>
      </c>
      <c r="EZ9" s="409">
        <f t="shared" si="24"/>
        <v>0</v>
      </c>
      <c r="FA9" s="409">
        <f t="shared" si="24"/>
        <v>0</v>
      </c>
      <c r="FB9" s="409">
        <f t="shared" si="24"/>
        <v>0</v>
      </c>
      <c r="FC9" s="409">
        <f t="shared" si="25"/>
        <v>0</v>
      </c>
      <c r="FD9" s="409">
        <f t="shared" si="25"/>
        <v>0</v>
      </c>
      <c r="FE9" s="409">
        <f t="shared" si="25"/>
        <v>0</v>
      </c>
      <c r="FF9" s="409">
        <f t="shared" si="25"/>
        <v>0</v>
      </c>
      <c r="FG9" s="409">
        <f t="shared" si="25"/>
        <v>0</v>
      </c>
      <c r="FH9" s="409">
        <f t="shared" si="25"/>
        <v>0</v>
      </c>
      <c r="FI9" s="409">
        <f t="shared" si="25"/>
        <v>0</v>
      </c>
      <c r="FJ9" s="409">
        <f t="shared" si="25"/>
        <v>0</v>
      </c>
      <c r="FK9" s="409">
        <f t="shared" si="25"/>
        <v>0</v>
      </c>
      <c r="FL9" s="409">
        <f t="shared" si="25"/>
        <v>0</v>
      </c>
      <c r="FM9" s="409">
        <f t="shared" si="26"/>
        <v>0</v>
      </c>
      <c r="FN9" s="409">
        <f t="shared" si="26"/>
        <v>0</v>
      </c>
      <c r="FO9" s="409">
        <f t="shared" si="26"/>
        <v>0</v>
      </c>
      <c r="FP9" s="409">
        <f t="shared" si="26"/>
        <v>0</v>
      </c>
      <c r="FQ9" s="409">
        <f t="shared" si="26"/>
        <v>0</v>
      </c>
      <c r="FR9" s="409">
        <f t="shared" si="26"/>
        <v>0</v>
      </c>
      <c r="FS9" s="409">
        <f t="shared" si="26"/>
        <v>0</v>
      </c>
      <c r="FT9" s="409">
        <f t="shared" si="26"/>
        <v>0</v>
      </c>
      <c r="FU9" s="409">
        <f t="shared" si="26"/>
        <v>0</v>
      </c>
      <c r="FV9" s="409">
        <f t="shared" si="26"/>
        <v>0</v>
      </c>
      <c r="FW9" s="409">
        <f t="shared" si="27"/>
        <v>0</v>
      </c>
      <c r="FX9" s="409">
        <f t="shared" si="27"/>
        <v>0</v>
      </c>
      <c r="FY9" s="409">
        <f t="shared" si="27"/>
        <v>0</v>
      </c>
      <c r="FZ9" s="409">
        <f t="shared" si="27"/>
        <v>0</v>
      </c>
      <c r="GA9" s="409">
        <f t="shared" si="27"/>
        <v>0</v>
      </c>
      <c r="GB9" s="409">
        <f t="shared" si="27"/>
        <v>0</v>
      </c>
      <c r="GC9" s="409">
        <f t="shared" si="27"/>
        <v>0</v>
      </c>
      <c r="GD9" s="409">
        <f t="shared" si="27"/>
        <v>0</v>
      </c>
      <c r="GE9" s="409">
        <f t="shared" si="27"/>
        <v>0</v>
      </c>
      <c r="GF9" s="409">
        <f t="shared" si="27"/>
        <v>0</v>
      </c>
      <c r="GG9" s="409">
        <f t="shared" si="28"/>
        <v>0</v>
      </c>
      <c r="GH9" s="409">
        <f t="shared" si="28"/>
        <v>0</v>
      </c>
      <c r="GI9" s="409">
        <f t="shared" si="28"/>
        <v>0</v>
      </c>
      <c r="GJ9" s="409">
        <f t="shared" si="28"/>
        <v>0</v>
      </c>
      <c r="GK9" s="409">
        <f t="shared" si="28"/>
        <v>0</v>
      </c>
      <c r="GL9" s="409">
        <f t="shared" si="28"/>
        <v>0</v>
      </c>
      <c r="GM9" s="409">
        <f t="shared" si="28"/>
        <v>0</v>
      </c>
      <c r="GN9" s="409">
        <f t="shared" si="28"/>
        <v>0</v>
      </c>
      <c r="GO9" s="409">
        <f t="shared" si="28"/>
        <v>0</v>
      </c>
      <c r="GP9" s="409">
        <f t="shared" si="28"/>
        <v>0</v>
      </c>
      <c r="GQ9" s="409">
        <f t="shared" si="29"/>
        <v>0</v>
      </c>
      <c r="GR9" s="409">
        <f t="shared" si="29"/>
        <v>0</v>
      </c>
      <c r="GS9" s="409">
        <f t="shared" si="29"/>
        <v>0</v>
      </c>
      <c r="GT9" s="409">
        <f t="shared" si="29"/>
        <v>0</v>
      </c>
      <c r="GU9" s="409">
        <f t="shared" si="29"/>
        <v>0</v>
      </c>
      <c r="GV9" s="409">
        <f t="shared" si="29"/>
        <v>0</v>
      </c>
      <c r="GW9" s="409">
        <f t="shared" si="29"/>
        <v>0</v>
      </c>
      <c r="GX9" s="409">
        <f t="shared" si="29"/>
        <v>0</v>
      </c>
      <c r="GY9" s="409">
        <f t="shared" si="29"/>
        <v>0</v>
      </c>
      <c r="GZ9" s="409">
        <f t="shared" si="29"/>
        <v>0</v>
      </c>
      <c r="HA9" s="409">
        <f t="shared" si="30"/>
        <v>0</v>
      </c>
      <c r="HB9" s="409">
        <f t="shared" si="30"/>
        <v>0</v>
      </c>
      <c r="HC9" s="409">
        <f t="shared" si="30"/>
        <v>0</v>
      </c>
      <c r="HD9" s="409">
        <f t="shared" si="30"/>
        <v>0</v>
      </c>
      <c r="HE9" s="409">
        <f t="shared" si="30"/>
        <v>0</v>
      </c>
      <c r="HF9" s="409">
        <f t="shared" si="30"/>
        <v>0</v>
      </c>
      <c r="HG9" s="409">
        <f t="shared" si="30"/>
        <v>0</v>
      </c>
      <c r="HH9" s="409">
        <f t="shared" si="30"/>
        <v>0</v>
      </c>
      <c r="HI9" s="409">
        <f t="shared" si="30"/>
        <v>0</v>
      </c>
      <c r="HJ9" s="409">
        <f t="shared" si="30"/>
        <v>0</v>
      </c>
      <c r="HK9" s="409">
        <f t="shared" si="31"/>
        <v>0</v>
      </c>
      <c r="HL9" s="409">
        <f t="shared" si="31"/>
        <v>0</v>
      </c>
      <c r="HM9" s="409">
        <f t="shared" si="31"/>
        <v>0</v>
      </c>
      <c r="HN9" s="409">
        <f t="shared" si="31"/>
        <v>0</v>
      </c>
      <c r="HO9" s="409">
        <f t="shared" si="31"/>
        <v>0</v>
      </c>
      <c r="HP9" s="409">
        <f t="shared" si="31"/>
        <v>0</v>
      </c>
      <c r="HQ9" s="409">
        <f t="shared" si="31"/>
        <v>0</v>
      </c>
      <c r="HR9" s="409">
        <f t="shared" si="31"/>
        <v>0</v>
      </c>
      <c r="HS9" s="409">
        <f t="shared" si="31"/>
        <v>0</v>
      </c>
      <c r="HT9" s="409">
        <f t="shared" si="31"/>
        <v>0</v>
      </c>
      <c r="HU9" s="409">
        <f t="shared" si="32"/>
        <v>0</v>
      </c>
      <c r="HV9" s="409">
        <f t="shared" si="32"/>
        <v>0</v>
      </c>
      <c r="HW9" s="409">
        <f t="shared" si="32"/>
        <v>0</v>
      </c>
      <c r="HX9" s="409">
        <f t="shared" si="32"/>
        <v>0</v>
      </c>
      <c r="HY9" s="409">
        <f t="shared" si="32"/>
        <v>0</v>
      </c>
      <c r="HZ9" s="409">
        <f t="shared" si="32"/>
        <v>0</v>
      </c>
      <c r="IA9" s="409">
        <f t="shared" si="32"/>
        <v>0</v>
      </c>
      <c r="IB9" s="409">
        <f t="shared" si="32"/>
        <v>0</v>
      </c>
      <c r="IC9" s="409">
        <f t="shared" si="32"/>
        <v>0</v>
      </c>
      <c r="ID9" s="409">
        <f t="shared" si="32"/>
        <v>0</v>
      </c>
      <c r="IE9" s="409">
        <f t="shared" si="33"/>
        <v>0</v>
      </c>
      <c r="IF9" s="409">
        <f t="shared" si="33"/>
        <v>0</v>
      </c>
      <c r="IG9" s="409">
        <f t="shared" si="33"/>
        <v>0</v>
      </c>
      <c r="IH9" s="409">
        <f t="shared" si="33"/>
        <v>0</v>
      </c>
      <c r="II9" s="409">
        <f t="shared" si="33"/>
        <v>0</v>
      </c>
      <c r="IJ9" s="409">
        <f t="shared" si="33"/>
        <v>0</v>
      </c>
      <c r="IK9" s="378">
        <f>IK8+1</f>
        <v>2</v>
      </c>
    </row>
    <row r="10" spans="1:245" hidden="1" x14ac:dyDescent="0.2">
      <c r="A10" s="380" t="str">
        <f t="shared" si="34"/>
        <v>x</v>
      </c>
      <c r="B10" s="712" t="str">
        <f>IF(ISERROR(INDEX('Legend(DX)'!$H$8:$H$9,3)),"",INDEX('Legend(DX)'!$H$8:$H$9,3))</f>
        <v/>
      </c>
      <c r="C10" s="712" t="e">
        <f>IF(INDEX('Legend(DX)'!$T$8:$T$9,3)=0,"See Legend",INDEX('Legend(DX)'!$T$8:$T$9,3))</f>
        <v>#REF!</v>
      </c>
      <c r="D10" s="712" t="e">
        <f>IF(INDEX('Legend(DX)'!$R$8:$R$9,(ROW(C10))-7)=0,IF(AND(INDEX('Legend(DX)'!$D$8:$D$9,(ROW(C10))-6)="CH",INDEX('Legend(DX)'!$F$8:$F$9,(ROW(C10))-6)="CASE - MANUAL"),INDEX('Legend(DX)'!$R$8:$R$9,(ROW(C10))-6),IF(INDEX('Legend(DX)'!$V$8:$V$9,(ROW(C10))-7)&gt;1, "(" &amp; INDEX('Legend(DX)'!$V$8:$V$9,(ROW(C10))-7) &amp; ") " &amp; INDEX('Legend(DX)'!$W$8:$W$9,(ROW(C10))-6),INDEX('Legend(DX)'!$W$8:$W$9,(ROW(C10))-7))),INDEX('Legend(DX)'!$R$8:$R$9,(ROW(C10))-7))</f>
        <v>#REF!</v>
      </c>
      <c r="E10" s="713" t="str" cm="1">
        <f t="array" ref="E10">IF(OR(ISNUMBER(SEARCH("Skid",C10)),ISNUMBER(SEARCH("Subcooler",C10)),ISNUMBER(SEARCH("Pump",C10)),ISNUMBER(SEARCH("PH",C10))),0,IF(ISERROR(INDEX('Legend(DX)'!$AA$8:$AA$9,ROW()-7)),"",INDEX('Legend(DX)'!$AA$8:$AA$9,ROW()-7)))</f>
        <v/>
      </c>
      <c r="F10" s="714"/>
      <c r="G10" s="714"/>
      <c r="H10" s="714"/>
      <c r="I10" s="714"/>
      <c r="J10" s="714"/>
      <c r="K10" s="890">
        <f t="shared" si="35"/>
        <v>0</v>
      </c>
      <c r="L10" s="717"/>
      <c r="M10" s="1303"/>
      <c r="N10" s="972">
        <f t="shared" si="7"/>
        <v>-1</v>
      </c>
      <c r="O10" s="972">
        <f t="shared" si="36"/>
        <v>-1</v>
      </c>
      <c r="P10" s="972">
        <f t="shared" si="8"/>
        <v>-1</v>
      </c>
      <c r="Q10" s="972">
        <f t="shared" si="37"/>
        <v>-1</v>
      </c>
      <c r="R10" s="972">
        <f t="shared" si="9"/>
        <v>-1</v>
      </c>
      <c r="S10" s="972">
        <f t="shared" si="38"/>
        <v>-1</v>
      </c>
      <c r="T10" s="972">
        <f t="shared" si="10"/>
        <v>-1</v>
      </c>
      <c r="U10" s="972">
        <f t="shared" si="39"/>
        <v>-1</v>
      </c>
      <c r="V10" s="972">
        <f t="shared" si="11"/>
        <v>-1</v>
      </c>
      <c r="W10" s="972">
        <f t="shared" si="40"/>
        <v>-1</v>
      </c>
      <c r="X10" s="972">
        <f t="shared" si="12"/>
        <v>-1</v>
      </c>
      <c r="Y10" s="972">
        <f t="shared" si="41"/>
        <v>-1</v>
      </c>
      <c r="Z10" s="972">
        <f t="shared" si="42"/>
        <v>-1</v>
      </c>
      <c r="AA10" s="972">
        <f t="shared" si="43"/>
        <v>-1</v>
      </c>
      <c r="AB10" s="972">
        <f t="shared" si="44"/>
        <v>-1</v>
      </c>
      <c r="AC10" s="972">
        <f t="shared" si="45"/>
        <v>-1</v>
      </c>
      <c r="AD10" s="972">
        <f t="shared" si="46"/>
        <v>-1</v>
      </c>
      <c r="AE10" s="972">
        <f t="shared" si="47"/>
        <v>-1</v>
      </c>
      <c r="AF10" s="972">
        <f t="shared" si="48"/>
        <v>-1</v>
      </c>
      <c r="AG10" s="972">
        <f t="shared" si="49"/>
        <v>-1</v>
      </c>
      <c r="AH10" s="972">
        <f t="shared" si="50"/>
        <v>-1</v>
      </c>
      <c r="AI10" s="972">
        <f t="shared" si="51"/>
        <v>-1</v>
      </c>
      <c r="AJ10" s="972">
        <f t="shared" si="52"/>
        <v>-1</v>
      </c>
      <c r="AK10" s="381" t="str">
        <f>IF(ISERROR(INDEX('Legend(DX)'!$AI$8:$AI$9,IK10)),"",INDEX('Legend(DX)'!$AI$8:$AI$9,IK10))</f>
        <v/>
      </c>
      <c r="AL10" s="727" t="str">
        <f t="shared" si="53"/>
        <v/>
      </c>
      <c r="AM10" s="409">
        <f t="shared" si="13"/>
        <v>0</v>
      </c>
      <c r="AN10" s="409">
        <f t="shared" si="13"/>
        <v>0</v>
      </c>
      <c r="AO10" s="409">
        <f t="shared" si="13"/>
        <v>0</v>
      </c>
      <c r="AP10" s="409">
        <f t="shared" si="13"/>
        <v>0</v>
      </c>
      <c r="AQ10" s="409">
        <f t="shared" si="13"/>
        <v>0</v>
      </c>
      <c r="AR10" s="409">
        <f t="shared" si="13"/>
        <v>0</v>
      </c>
      <c r="AS10" s="409">
        <f t="shared" si="13"/>
        <v>0</v>
      </c>
      <c r="AT10" s="409">
        <f t="shared" si="13"/>
        <v>0</v>
      </c>
      <c r="AU10" s="409">
        <f t="shared" si="13"/>
        <v>0</v>
      </c>
      <c r="AV10" s="409">
        <f t="shared" si="13"/>
        <v>0</v>
      </c>
      <c r="AW10" s="409">
        <f t="shared" si="14"/>
        <v>0</v>
      </c>
      <c r="AX10" s="409">
        <f t="shared" si="14"/>
        <v>0</v>
      </c>
      <c r="AY10" s="409">
        <f t="shared" si="14"/>
        <v>0</v>
      </c>
      <c r="AZ10" s="409">
        <f t="shared" si="14"/>
        <v>0</v>
      </c>
      <c r="BA10" s="409">
        <f t="shared" si="14"/>
        <v>0</v>
      </c>
      <c r="BB10" s="409">
        <f t="shared" si="14"/>
        <v>0</v>
      </c>
      <c r="BC10" s="409">
        <f t="shared" si="14"/>
        <v>0</v>
      </c>
      <c r="BD10" s="409">
        <f t="shared" si="14"/>
        <v>0</v>
      </c>
      <c r="BE10" s="409">
        <f t="shared" si="14"/>
        <v>0</v>
      </c>
      <c r="BF10" s="409">
        <f t="shared" si="14"/>
        <v>0</v>
      </c>
      <c r="BG10" s="409">
        <f t="shared" si="15"/>
        <v>0</v>
      </c>
      <c r="BH10" s="409">
        <f t="shared" si="15"/>
        <v>0</v>
      </c>
      <c r="BI10" s="409">
        <f t="shared" si="15"/>
        <v>0</v>
      </c>
      <c r="BJ10" s="409">
        <f t="shared" si="15"/>
        <v>0</v>
      </c>
      <c r="BK10" s="409">
        <f t="shared" si="15"/>
        <v>0</v>
      </c>
      <c r="BL10" s="409">
        <f t="shared" si="15"/>
        <v>0</v>
      </c>
      <c r="BM10" s="409">
        <f t="shared" si="15"/>
        <v>0</v>
      </c>
      <c r="BN10" s="409">
        <f t="shared" si="15"/>
        <v>0</v>
      </c>
      <c r="BO10" s="409">
        <f t="shared" si="15"/>
        <v>0</v>
      </c>
      <c r="BP10" s="409">
        <f t="shared" si="15"/>
        <v>0</v>
      </c>
      <c r="BQ10" s="409">
        <f t="shared" si="16"/>
        <v>0</v>
      </c>
      <c r="BR10" s="409">
        <f t="shared" si="16"/>
        <v>0</v>
      </c>
      <c r="BS10" s="409">
        <f t="shared" si="16"/>
        <v>0</v>
      </c>
      <c r="BT10" s="409">
        <f t="shared" si="16"/>
        <v>0</v>
      </c>
      <c r="BU10" s="409">
        <f t="shared" si="16"/>
        <v>0</v>
      </c>
      <c r="BV10" s="409">
        <f t="shared" si="16"/>
        <v>0</v>
      </c>
      <c r="BW10" s="409">
        <f t="shared" si="16"/>
        <v>0</v>
      </c>
      <c r="BX10" s="409">
        <f t="shared" si="16"/>
        <v>0</v>
      </c>
      <c r="BY10" s="409">
        <f t="shared" si="16"/>
        <v>0</v>
      </c>
      <c r="BZ10" s="409">
        <f t="shared" si="16"/>
        <v>0</v>
      </c>
      <c r="CA10" s="409">
        <f t="shared" si="17"/>
        <v>0</v>
      </c>
      <c r="CB10" s="409">
        <f t="shared" si="17"/>
        <v>0</v>
      </c>
      <c r="CC10" s="409">
        <f t="shared" si="17"/>
        <v>0</v>
      </c>
      <c r="CD10" s="409">
        <f t="shared" si="17"/>
        <v>0</v>
      </c>
      <c r="CE10" s="409">
        <f t="shared" si="17"/>
        <v>0</v>
      </c>
      <c r="CF10" s="409">
        <f t="shared" si="17"/>
        <v>0</v>
      </c>
      <c r="CG10" s="409">
        <f t="shared" si="17"/>
        <v>0</v>
      </c>
      <c r="CH10" s="409">
        <f t="shared" si="17"/>
        <v>0</v>
      </c>
      <c r="CI10" s="409">
        <f t="shared" si="17"/>
        <v>0</v>
      </c>
      <c r="CJ10" s="409">
        <f t="shared" si="17"/>
        <v>0</v>
      </c>
      <c r="CK10" s="409">
        <f t="shared" si="18"/>
        <v>0</v>
      </c>
      <c r="CL10" s="409">
        <f t="shared" si="18"/>
        <v>0</v>
      </c>
      <c r="CM10" s="409">
        <f t="shared" si="18"/>
        <v>0</v>
      </c>
      <c r="CN10" s="409">
        <f t="shared" si="18"/>
        <v>0</v>
      </c>
      <c r="CO10" s="409">
        <f t="shared" si="18"/>
        <v>0</v>
      </c>
      <c r="CP10" s="409">
        <f t="shared" si="18"/>
        <v>0</v>
      </c>
      <c r="CQ10" s="409">
        <f t="shared" si="18"/>
        <v>0</v>
      </c>
      <c r="CR10" s="409">
        <f t="shared" si="18"/>
        <v>0</v>
      </c>
      <c r="CS10" s="409">
        <f t="shared" si="18"/>
        <v>0</v>
      </c>
      <c r="CT10" s="409">
        <f t="shared" si="18"/>
        <v>0</v>
      </c>
      <c r="CU10" s="409">
        <f t="shared" si="19"/>
        <v>0</v>
      </c>
      <c r="CV10" s="409">
        <f t="shared" si="19"/>
        <v>0</v>
      </c>
      <c r="CW10" s="409">
        <f t="shared" si="19"/>
        <v>0</v>
      </c>
      <c r="CX10" s="409">
        <f t="shared" si="19"/>
        <v>0</v>
      </c>
      <c r="CY10" s="409">
        <f t="shared" si="19"/>
        <v>0</v>
      </c>
      <c r="CZ10" s="409">
        <f t="shared" si="19"/>
        <v>0</v>
      </c>
      <c r="DA10" s="409">
        <f t="shared" si="19"/>
        <v>0</v>
      </c>
      <c r="DB10" s="409">
        <f t="shared" si="19"/>
        <v>0</v>
      </c>
      <c r="DC10" s="409">
        <f t="shared" si="19"/>
        <v>0</v>
      </c>
      <c r="DD10" s="409">
        <f t="shared" si="19"/>
        <v>0</v>
      </c>
      <c r="DE10" s="409">
        <f t="shared" si="20"/>
        <v>0</v>
      </c>
      <c r="DF10" s="409">
        <f t="shared" si="20"/>
        <v>0</v>
      </c>
      <c r="DG10" s="409">
        <f t="shared" si="20"/>
        <v>0</v>
      </c>
      <c r="DH10" s="409">
        <f t="shared" si="20"/>
        <v>0</v>
      </c>
      <c r="DI10" s="409">
        <f t="shared" si="20"/>
        <v>0</v>
      </c>
      <c r="DJ10" s="409">
        <f t="shared" si="20"/>
        <v>0</v>
      </c>
      <c r="DK10" s="409">
        <f t="shared" si="20"/>
        <v>0</v>
      </c>
      <c r="DL10" s="409">
        <f t="shared" si="20"/>
        <v>0</v>
      </c>
      <c r="DM10" s="409">
        <f t="shared" si="20"/>
        <v>0</v>
      </c>
      <c r="DN10" s="409">
        <f t="shared" si="20"/>
        <v>0</v>
      </c>
      <c r="DO10" s="409">
        <f t="shared" si="21"/>
        <v>0</v>
      </c>
      <c r="DP10" s="409">
        <f t="shared" si="21"/>
        <v>0</v>
      </c>
      <c r="DQ10" s="409">
        <f t="shared" si="21"/>
        <v>0</v>
      </c>
      <c r="DR10" s="409">
        <f t="shared" si="21"/>
        <v>0</v>
      </c>
      <c r="DS10" s="409">
        <f t="shared" si="21"/>
        <v>0</v>
      </c>
      <c r="DT10" s="409">
        <f t="shared" si="21"/>
        <v>0</v>
      </c>
      <c r="DU10" s="409">
        <f t="shared" si="21"/>
        <v>0</v>
      </c>
      <c r="DV10" s="409">
        <f t="shared" si="21"/>
        <v>0</v>
      </c>
      <c r="DW10" s="409">
        <f t="shared" si="21"/>
        <v>0</v>
      </c>
      <c r="DX10" s="409">
        <f t="shared" si="21"/>
        <v>0</v>
      </c>
      <c r="DY10" s="409">
        <f t="shared" si="22"/>
        <v>0</v>
      </c>
      <c r="DZ10" s="409">
        <f t="shared" si="22"/>
        <v>0</v>
      </c>
      <c r="EA10" s="409">
        <f t="shared" si="22"/>
        <v>0</v>
      </c>
      <c r="EB10" s="409">
        <f t="shared" si="22"/>
        <v>0</v>
      </c>
      <c r="EC10" s="409">
        <f t="shared" si="22"/>
        <v>0</v>
      </c>
      <c r="ED10" s="409">
        <f t="shared" si="22"/>
        <v>0</v>
      </c>
      <c r="EE10" s="409">
        <f t="shared" si="22"/>
        <v>0</v>
      </c>
      <c r="EF10" s="409">
        <f t="shared" si="22"/>
        <v>0</v>
      </c>
      <c r="EG10" s="409">
        <f t="shared" si="22"/>
        <v>0</v>
      </c>
      <c r="EH10" s="409">
        <f t="shared" si="22"/>
        <v>0</v>
      </c>
      <c r="EI10" s="409">
        <f t="shared" si="23"/>
        <v>0</v>
      </c>
      <c r="EJ10" s="409">
        <f t="shared" si="23"/>
        <v>0</v>
      </c>
      <c r="EK10" s="409">
        <f t="shared" si="23"/>
        <v>0</v>
      </c>
      <c r="EL10" s="409">
        <f t="shared" si="23"/>
        <v>0</v>
      </c>
      <c r="EM10" s="409">
        <f t="shared" si="23"/>
        <v>0</v>
      </c>
      <c r="EN10" s="409">
        <f t="shared" si="23"/>
        <v>0</v>
      </c>
      <c r="EO10" s="409">
        <f t="shared" si="23"/>
        <v>0</v>
      </c>
      <c r="EP10" s="409">
        <f t="shared" si="23"/>
        <v>0</v>
      </c>
      <c r="EQ10" s="409">
        <f t="shared" si="23"/>
        <v>0</v>
      </c>
      <c r="ER10" s="409">
        <f t="shared" si="23"/>
        <v>0</v>
      </c>
      <c r="ES10" s="409">
        <f t="shared" si="24"/>
        <v>0</v>
      </c>
      <c r="ET10" s="409">
        <f t="shared" si="24"/>
        <v>0</v>
      </c>
      <c r="EU10" s="409">
        <f t="shared" si="24"/>
        <v>0</v>
      </c>
      <c r="EV10" s="409">
        <f t="shared" si="24"/>
        <v>0</v>
      </c>
      <c r="EW10" s="409">
        <f t="shared" si="24"/>
        <v>0</v>
      </c>
      <c r="EX10" s="409">
        <f t="shared" si="24"/>
        <v>0</v>
      </c>
      <c r="EY10" s="409">
        <f t="shared" si="24"/>
        <v>0</v>
      </c>
      <c r="EZ10" s="409">
        <f t="shared" si="24"/>
        <v>0</v>
      </c>
      <c r="FA10" s="409">
        <f t="shared" si="24"/>
        <v>0</v>
      </c>
      <c r="FB10" s="409">
        <f t="shared" si="24"/>
        <v>0</v>
      </c>
      <c r="FC10" s="409">
        <f t="shared" si="25"/>
        <v>0</v>
      </c>
      <c r="FD10" s="409">
        <f t="shared" si="25"/>
        <v>0</v>
      </c>
      <c r="FE10" s="409">
        <f t="shared" si="25"/>
        <v>0</v>
      </c>
      <c r="FF10" s="409">
        <f t="shared" si="25"/>
        <v>0</v>
      </c>
      <c r="FG10" s="409">
        <f t="shared" si="25"/>
        <v>0</v>
      </c>
      <c r="FH10" s="409">
        <f t="shared" si="25"/>
        <v>0</v>
      </c>
      <c r="FI10" s="409">
        <f t="shared" si="25"/>
        <v>0</v>
      </c>
      <c r="FJ10" s="409">
        <f t="shared" si="25"/>
        <v>0</v>
      </c>
      <c r="FK10" s="409">
        <f t="shared" si="25"/>
        <v>0</v>
      </c>
      <c r="FL10" s="409">
        <f t="shared" si="25"/>
        <v>0</v>
      </c>
      <c r="FM10" s="409">
        <f t="shared" si="26"/>
        <v>0</v>
      </c>
      <c r="FN10" s="409">
        <f t="shared" si="26"/>
        <v>0</v>
      </c>
      <c r="FO10" s="409">
        <f t="shared" si="26"/>
        <v>0</v>
      </c>
      <c r="FP10" s="409">
        <f t="shared" si="26"/>
        <v>0</v>
      </c>
      <c r="FQ10" s="409">
        <f t="shared" si="26"/>
        <v>0</v>
      </c>
      <c r="FR10" s="409">
        <f t="shared" si="26"/>
        <v>0</v>
      </c>
      <c r="FS10" s="409">
        <f t="shared" si="26"/>
        <v>0</v>
      </c>
      <c r="FT10" s="409">
        <f t="shared" si="26"/>
        <v>0</v>
      </c>
      <c r="FU10" s="409">
        <f t="shared" si="26"/>
        <v>0</v>
      </c>
      <c r="FV10" s="409">
        <f t="shared" si="26"/>
        <v>0</v>
      </c>
      <c r="FW10" s="409">
        <f t="shared" si="27"/>
        <v>0</v>
      </c>
      <c r="FX10" s="409">
        <f t="shared" si="27"/>
        <v>0</v>
      </c>
      <c r="FY10" s="409">
        <f t="shared" si="27"/>
        <v>0</v>
      </c>
      <c r="FZ10" s="409">
        <f t="shared" si="27"/>
        <v>0</v>
      </c>
      <c r="GA10" s="409">
        <f t="shared" si="27"/>
        <v>0</v>
      </c>
      <c r="GB10" s="409">
        <f t="shared" si="27"/>
        <v>0</v>
      </c>
      <c r="GC10" s="409">
        <f t="shared" si="27"/>
        <v>0</v>
      </c>
      <c r="GD10" s="409">
        <f t="shared" si="27"/>
        <v>0</v>
      </c>
      <c r="GE10" s="409">
        <f t="shared" si="27"/>
        <v>0</v>
      </c>
      <c r="GF10" s="409">
        <f t="shared" si="27"/>
        <v>0</v>
      </c>
      <c r="GG10" s="409">
        <f t="shared" si="28"/>
        <v>0</v>
      </c>
      <c r="GH10" s="409">
        <f t="shared" si="28"/>
        <v>0</v>
      </c>
      <c r="GI10" s="409">
        <f t="shared" si="28"/>
        <v>0</v>
      </c>
      <c r="GJ10" s="409">
        <f t="shared" si="28"/>
        <v>0</v>
      </c>
      <c r="GK10" s="409">
        <f t="shared" si="28"/>
        <v>0</v>
      </c>
      <c r="GL10" s="409">
        <f t="shared" si="28"/>
        <v>0</v>
      </c>
      <c r="GM10" s="409">
        <f t="shared" si="28"/>
        <v>0</v>
      </c>
      <c r="GN10" s="409">
        <f t="shared" si="28"/>
        <v>0</v>
      </c>
      <c r="GO10" s="409">
        <f t="shared" si="28"/>
        <v>0</v>
      </c>
      <c r="GP10" s="409">
        <f t="shared" si="28"/>
        <v>0</v>
      </c>
      <c r="GQ10" s="409">
        <f t="shared" si="29"/>
        <v>0</v>
      </c>
      <c r="GR10" s="409">
        <f t="shared" si="29"/>
        <v>0</v>
      </c>
      <c r="GS10" s="409">
        <f t="shared" si="29"/>
        <v>0</v>
      </c>
      <c r="GT10" s="409">
        <f t="shared" si="29"/>
        <v>0</v>
      </c>
      <c r="GU10" s="409">
        <f t="shared" si="29"/>
        <v>0</v>
      </c>
      <c r="GV10" s="409">
        <f t="shared" si="29"/>
        <v>0</v>
      </c>
      <c r="GW10" s="409">
        <f t="shared" si="29"/>
        <v>0</v>
      </c>
      <c r="GX10" s="409">
        <f t="shared" si="29"/>
        <v>0</v>
      </c>
      <c r="GY10" s="409">
        <f t="shared" si="29"/>
        <v>0</v>
      </c>
      <c r="GZ10" s="409">
        <f t="shared" si="29"/>
        <v>0</v>
      </c>
      <c r="HA10" s="409">
        <f t="shared" si="30"/>
        <v>0</v>
      </c>
      <c r="HB10" s="409">
        <f t="shared" si="30"/>
        <v>0</v>
      </c>
      <c r="HC10" s="409">
        <f t="shared" si="30"/>
        <v>0</v>
      </c>
      <c r="HD10" s="409">
        <f t="shared" si="30"/>
        <v>0</v>
      </c>
      <c r="HE10" s="409">
        <f t="shared" si="30"/>
        <v>0</v>
      </c>
      <c r="HF10" s="409">
        <f t="shared" si="30"/>
        <v>0</v>
      </c>
      <c r="HG10" s="409">
        <f t="shared" si="30"/>
        <v>0</v>
      </c>
      <c r="HH10" s="409">
        <f t="shared" si="30"/>
        <v>0</v>
      </c>
      <c r="HI10" s="409">
        <f t="shared" si="30"/>
        <v>0</v>
      </c>
      <c r="HJ10" s="409">
        <f t="shared" si="30"/>
        <v>0</v>
      </c>
      <c r="HK10" s="409">
        <f t="shared" si="31"/>
        <v>0</v>
      </c>
      <c r="HL10" s="409">
        <f t="shared" si="31"/>
        <v>0</v>
      </c>
      <c r="HM10" s="409">
        <f t="shared" si="31"/>
        <v>0</v>
      </c>
      <c r="HN10" s="409">
        <f t="shared" si="31"/>
        <v>0</v>
      </c>
      <c r="HO10" s="409">
        <f t="shared" si="31"/>
        <v>0</v>
      </c>
      <c r="HP10" s="409">
        <f t="shared" si="31"/>
        <v>0</v>
      </c>
      <c r="HQ10" s="409">
        <f t="shared" si="31"/>
        <v>0</v>
      </c>
      <c r="HR10" s="409">
        <f t="shared" si="31"/>
        <v>0</v>
      </c>
      <c r="HS10" s="409">
        <f t="shared" si="31"/>
        <v>0</v>
      </c>
      <c r="HT10" s="409">
        <f t="shared" si="31"/>
        <v>0</v>
      </c>
      <c r="HU10" s="409">
        <f t="shared" si="32"/>
        <v>0</v>
      </c>
      <c r="HV10" s="409">
        <f t="shared" si="32"/>
        <v>0</v>
      </c>
      <c r="HW10" s="409">
        <f t="shared" si="32"/>
        <v>0</v>
      </c>
      <c r="HX10" s="409">
        <f t="shared" si="32"/>
        <v>0</v>
      </c>
      <c r="HY10" s="409">
        <f t="shared" si="32"/>
        <v>0</v>
      </c>
      <c r="HZ10" s="409">
        <f t="shared" si="32"/>
        <v>0</v>
      </c>
      <c r="IA10" s="409">
        <f t="shared" si="32"/>
        <v>0</v>
      </c>
      <c r="IB10" s="409">
        <f t="shared" si="32"/>
        <v>0</v>
      </c>
      <c r="IC10" s="409">
        <f t="shared" si="32"/>
        <v>0</v>
      </c>
      <c r="ID10" s="409">
        <f t="shared" si="32"/>
        <v>0</v>
      </c>
      <c r="IE10" s="409">
        <f t="shared" si="33"/>
        <v>0</v>
      </c>
      <c r="IF10" s="409">
        <f t="shared" si="33"/>
        <v>0</v>
      </c>
      <c r="IG10" s="409">
        <f t="shared" si="33"/>
        <v>0</v>
      </c>
      <c r="IH10" s="409">
        <f t="shared" si="33"/>
        <v>0</v>
      </c>
      <c r="II10" s="409">
        <f t="shared" si="33"/>
        <v>0</v>
      </c>
      <c r="IJ10" s="409">
        <f t="shared" si="33"/>
        <v>0</v>
      </c>
      <c r="IK10" s="378">
        <f t="shared" ref="IK10:IK77" si="54">IK9+1</f>
        <v>3</v>
      </c>
    </row>
    <row r="11" spans="1:245" hidden="1" x14ac:dyDescent="0.2">
      <c r="A11" s="380" t="str">
        <f t="shared" si="34"/>
        <v>x</v>
      </c>
      <c r="B11" s="712" t="str">
        <f>IF(ISERROR(INDEX('Legend(DX)'!$H$8:$H$9,4)),"",INDEX('Legend(DX)'!$H$8:$H$9,4))</f>
        <v/>
      </c>
      <c r="C11" s="712" t="e">
        <f>IF(INDEX('Legend(DX)'!$T$8:$T$9,4)=0,"See Legend",INDEX('Legend(DX)'!$T$8:$T$9,4))</f>
        <v>#REF!</v>
      </c>
      <c r="D11" s="712" t="e">
        <f>IF(INDEX('Legend(DX)'!$R$8:$R$9,(ROW(C11))-7)=0,IF(AND(INDEX('Legend(DX)'!$D$8:$D$9,(ROW(C11))-6)="CH",INDEX('Legend(DX)'!$F$8:$F$9,(ROW(C11))-6)="CASE - MANUAL"),INDEX('Legend(DX)'!$R$8:$R$9,(ROW(C11))-6),IF(INDEX('Legend(DX)'!$V$8:$V$9,(ROW(C11))-7)&gt;1, "(" &amp; INDEX('Legend(DX)'!$V$8:$V$9,(ROW(C11))-7) &amp; ") " &amp; INDEX('Legend(DX)'!$W$8:$W$9,(ROW(C11))-6),INDEX('Legend(DX)'!$W$8:$W$9,(ROW(C11))-7))),INDEX('Legend(DX)'!$R$8:$R$9,(ROW(C11))-7))</f>
        <v>#REF!</v>
      </c>
      <c r="E11" s="713" t="str" cm="1">
        <f t="array" ref="E11">IF(OR(ISNUMBER(SEARCH("Skid",C11)),ISNUMBER(SEARCH("Subcooler",C11)),ISNUMBER(SEARCH("Pump",C11)),ISNUMBER(SEARCH("PH",C11))),0,IF(ISERROR(INDEX('Legend(DX)'!$AA$8:$AA$9,ROW()-7)),"",INDEX('Legend(DX)'!$AA$8:$AA$9,ROW()-7)))</f>
        <v/>
      </c>
      <c r="F11" s="714"/>
      <c r="G11" s="714"/>
      <c r="H11" s="714"/>
      <c r="I11" s="714"/>
      <c r="J11" s="714"/>
      <c r="K11" s="890">
        <f t="shared" si="35"/>
        <v>0</v>
      </c>
      <c r="L11" s="717"/>
      <c r="M11" s="1303"/>
      <c r="N11" s="972">
        <f t="shared" si="7"/>
        <v>-1</v>
      </c>
      <c r="O11" s="972">
        <f t="shared" si="36"/>
        <v>-1</v>
      </c>
      <c r="P11" s="972">
        <f t="shared" si="8"/>
        <v>-1</v>
      </c>
      <c r="Q11" s="972">
        <f t="shared" si="37"/>
        <v>-1</v>
      </c>
      <c r="R11" s="972">
        <f t="shared" si="9"/>
        <v>-1</v>
      </c>
      <c r="S11" s="972">
        <f t="shared" si="38"/>
        <v>-1</v>
      </c>
      <c r="T11" s="972">
        <f t="shared" si="10"/>
        <v>-1</v>
      </c>
      <c r="U11" s="972">
        <f t="shared" si="39"/>
        <v>-1</v>
      </c>
      <c r="V11" s="972">
        <f t="shared" si="11"/>
        <v>-1</v>
      </c>
      <c r="W11" s="972">
        <f t="shared" si="40"/>
        <v>-1</v>
      </c>
      <c r="X11" s="972">
        <f t="shared" si="12"/>
        <v>-1</v>
      </c>
      <c r="Y11" s="972">
        <f t="shared" si="41"/>
        <v>-1</v>
      </c>
      <c r="Z11" s="972">
        <f t="shared" si="42"/>
        <v>-1</v>
      </c>
      <c r="AA11" s="972">
        <f t="shared" si="43"/>
        <v>-1</v>
      </c>
      <c r="AB11" s="972">
        <f t="shared" si="44"/>
        <v>-1</v>
      </c>
      <c r="AC11" s="972">
        <f t="shared" si="45"/>
        <v>-1</v>
      </c>
      <c r="AD11" s="972">
        <f t="shared" si="46"/>
        <v>-1</v>
      </c>
      <c r="AE11" s="972">
        <f t="shared" si="47"/>
        <v>-1</v>
      </c>
      <c r="AF11" s="972">
        <f t="shared" si="48"/>
        <v>-1</v>
      </c>
      <c r="AG11" s="972">
        <f t="shared" si="49"/>
        <v>-1</v>
      </c>
      <c r="AH11" s="972">
        <f t="shared" si="50"/>
        <v>-1</v>
      </c>
      <c r="AI11" s="972">
        <f t="shared" si="51"/>
        <v>-1</v>
      </c>
      <c r="AJ11" s="972">
        <f t="shared" si="52"/>
        <v>-1</v>
      </c>
      <c r="AK11" s="381" t="str">
        <f>IF(ISERROR(INDEX('Legend(DX)'!$AI$8:$AI$9,IK11)),"",INDEX('Legend(DX)'!$AI$8:$AI$9,IK11))</f>
        <v/>
      </c>
      <c r="AL11" s="727" t="str">
        <f t="shared" ref="AL11:AL31" si="55">B11</f>
        <v/>
      </c>
      <c r="AM11" s="409">
        <f t="shared" si="13"/>
        <v>0</v>
      </c>
      <c r="AN11" s="409">
        <f t="shared" si="13"/>
        <v>0</v>
      </c>
      <c r="AO11" s="409">
        <f t="shared" si="13"/>
        <v>0</v>
      </c>
      <c r="AP11" s="409">
        <f t="shared" si="13"/>
        <v>0</v>
      </c>
      <c r="AQ11" s="409">
        <f t="shared" si="13"/>
        <v>0</v>
      </c>
      <c r="AR11" s="409">
        <f t="shared" si="13"/>
        <v>0</v>
      </c>
      <c r="AS11" s="409">
        <f t="shared" si="13"/>
        <v>0</v>
      </c>
      <c r="AT11" s="409">
        <f t="shared" si="13"/>
        <v>0</v>
      </c>
      <c r="AU11" s="409">
        <f t="shared" si="13"/>
        <v>0</v>
      </c>
      <c r="AV11" s="409">
        <f t="shared" si="13"/>
        <v>0</v>
      </c>
      <c r="AW11" s="409">
        <f t="shared" si="14"/>
        <v>0</v>
      </c>
      <c r="AX11" s="409">
        <f t="shared" si="14"/>
        <v>0</v>
      </c>
      <c r="AY11" s="409">
        <f t="shared" si="14"/>
        <v>0</v>
      </c>
      <c r="AZ11" s="409">
        <f t="shared" si="14"/>
        <v>0</v>
      </c>
      <c r="BA11" s="409">
        <f t="shared" si="14"/>
        <v>0</v>
      </c>
      <c r="BB11" s="409">
        <f t="shared" si="14"/>
        <v>0</v>
      </c>
      <c r="BC11" s="409">
        <f t="shared" si="14"/>
        <v>0</v>
      </c>
      <c r="BD11" s="409">
        <f t="shared" si="14"/>
        <v>0</v>
      </c>
      <c r="BE11" s="409">
        <f t="shared" si="14"/>
        <v>0</v>
      </c>
      <c r="BF11" s="409">
        <f t="shared" si="14"/>
        <v>0</v>
      </c>
      <c r="BG11" s="409">
        <f t="shared" si="15"/>
        <v>0</v>
      </c>
      <c r="BH11" s="409">
        <f t="shared" si="15"/>
        <v>0</v>
      </c>
      <c r="BI11" s="409">
        <f t="shared" si="15"/>
        <v>0</v>
      </c>
      <c r="BJ11" s="409">
        <f t="shared" si="15"/>
        <v>0</v>
      </c>
      <c r="BK11" s="409">
        <f t="shared" si="15"/>
        <v>0</v>
      </c>
      <c r="BL11" s="409">
        <f t="shared" si="15"/>
        <v>0</v>
      </c>
      <c r="BM11" s="409">
        <f t="shared" si="15"/>
        <v>0</v>
      </c>
      <c r="BN11" s="409">
        <f t="shared" si="15"/>
        <v>0</v>
      </c>
      <c r="BO11" s="409">
        <f t="shared" si="15"/>
        <v>0</v>
      </c>
      <c r="BP11" s="409">
        <f t="shared" si="15"/>
        <v>0</v>
      </c>
      <c r="BQ11" s="409">
        <f t="shared" si="16"/>
        <v>0</v>
      </c>
      <c r="BR11" s="409">
        <f t="shared" si="16"/>
        <v>0</v>
      </c>
      <c r="BS11" s="409">
        <f t="shared" si="16"/>
        <v>0</v>
      </c>
      <c r="BT11" s="409">
        <f t="shared" si="16"/>
        <v>0</v>
      </c>
      <c r="BU11" s="409">
        <f t="shared" si="16"/>
        <v>0</v>
      </c>
      <c r="BV11" s="409">
        <f t="shared" si="16"/>
        <v>0</v>
      </c>
      <c r="BW11" s="409">
        <f t="shared" si="16"/>
        <v>0</v>
      </c>
      <c r="BX11" s="409">
        <f t="shared" si="16"/>
        <v>0</v>
      </c>
      <c r="BY11" s="409">
        <f t="shared" si="16"/>
        <v>0</v>
      </c>
      <c r="BZ11" s="409">
        <f t="shared" si="16"/>
        <v>0</v>
      </c>
      <c r="CA11" s="409">
        <f t="shared" si="17"/>
        <v>0</v>
      </c>
      <c r="CB11" s="409">
        <f t="shared" si="17"/>
        <v>0</v>
      </c>
      <c r="CC11" s="409">
        <f t="shared" si="17"/>
        <v>0</v>
      </c>
      <c r="CD11" s="409">
        <f t="shared" si="17"/>
        <v>0</v>
      </c>
      <c r="CE11" s="409">
        <f t="shared" si="17"/>
        <v>0</v>
      </c>
      <c r="CF11" s="409">
        <f t="shared" si="17"/>
        <v>0</v>
      </c>
      <c r="CG11" s="409">
        <f t="shared" si="17"/>
        <v>0</v>
      </c>
      <c r="CH11" s="409">
        <f t="shared" si="17"/>
        <v>0</v>
      </c>
      <c r="CI11" s="409">
        <f t="shared" si="17"/>
        <v>0</v>
      </c>
      <c r="CJ11" s="409">
        <f t="shared" si="17"/>
        <v>0</v>
      </c>
      <c r="CK11" s="409">
        <f t="shared" si="18"/>
        <v>0</v>
      </c>
      <c r="CL11" s="409">
        <f t="shared" si="18"/>
        <v>0</v>
      </c>
      <c r="CM11" s="409">
        <f t="shared" si="18"/>
        <v>0</v>
      </c>
      <c r="CN11" s="409">
        <f t="shared" si="18"/>
        <v>0</v>
      </c>
      <c r="CO11" s="409">
        <f t="shared" si="18"/>
        <v>0</v>
      </c>
      <c r="CP11" s="409">
        <f t="shared" si="18"/>
        <v>0</v>
      </c>
      <c r="CQ11" s="409">
        <f t="shared" si="18"/>
        <v>0</v>
      </c>
      <c r="CR11" s="409">
        <f t="shared" si="18"/>
        <v>0</v>
      </c>
      <c r="CS11" s="409">
        <f t="shared" si="18"/>
        <v>0</v>
      </c>
      <c r="CT11" s="409">
        <f t="shared" si="18"/>
        <v>0</v>
      </c>
      <c r="CU11" s="409">
        <f t="shared" si="19"/>
        <v>0</v>
      </c>
      <c r="CV11" s="409">
        <f t="shared" si="19"/>
        <v>0</v>
      </c>
      <c r="CW11" s="409">
        <f t="shared" si="19"/>
        <v>0</v>
      </c>
      <c r="CX11" s="409">
        <f t="shared" si="19"/>
        <v>0</v>
      </c>
      <c r="CY11" s="409">
        <f t="shared" si="19"/>
        <v>0</v>
      </c>
      <c r="CZ11" s="409">
        <f t="shared" si="19"/>
        <v>0</v>
      </c>
      <c r="DA11" s="409">
        <f t="shared" si="19"/>
        <v>0</v>
      </c>
      <c r="DB11" s="409">
        <f t="shared" si="19"/>
        <v>0</v>
      </c>
      <c r="DC11" s="409">
        <f t="shared" si="19"/>
        <v>0</v>
      </c>
      <c r="DD11" s="409">
        <f t="shared" si="19"/>
        <v>0</v>
      </c>
      <c r="DE11" s="409">
        <f t="shared" si="20"/>
        <v>0</v>
      </c>
      <c r="DF11" s="409">
        <f t="shared" si="20"/>
        <v>0</v>
      </c>
      <c r="DG11" s="409">
        <f t="shared" si="20"/>
        <v>0</v>
      </c>
      <c r="DH11" s="409">
        <f t="shared" si="20"/>
        <v>0</v>
      </c>
      <c r="DI11" s="409">
        <f t="shared" si="20"/>
        <v>0</v>
      </c>
      <c r="DJ11" s="409">
        <f t="shared" si="20"/>
        <v>0</v>
      </c>
      <c r="DK11" s="409">
        <f t="shared" si="20"/>
        <v>0</v>
      </c>
      <c r="DL11" s="409">
        <f t="shared" si="20"/>
        <v>0</v>
      </c>
      <c r="DM11" s="409">
        <f t="shared" si="20"/>
        <v>0</v>
      </c>
      <c r="DN11" s="409">
        <f t="shared" si="20"/>
        <v>0</v>
      </c>
      <c r="DO11" s="409">
        <f t="shared" si="21"/>
        <v>0</v>
      </c>
      <c r="DP11" s="409">
        <f t="shared" si="21"/>
        <v>0</v>
      </c>
      <c r="DQ11" s="409">
        <f t="shared" si="21"/>
        <v>0</v>
      </c>
      <c r="DR11" s="409">
        <f t="shared" si="21"/>
        <v>0</v>
      </c>
      <c r="DS11" s="409">
        <f t="shared" si="21"/>
        <v>0</v>
      </c>
      <c r="DT11" s="409">
        <f t="shared" si="21"/>
        <v>0</v>
      </c>
      <c r="DU11" s="409">
        <f t="shared" si="21"/>
        <v>0</v>
      </c>
      <c r="DV11" s="409">
        <f t="shared" si="21"/>
        <v>0</v>
      </c>
      <c r="DW11" s="409">
        <f t="shared" si="21"/>
        <v>0</v>
      </c>
      <c r="DX11" s="409">
        <f t="shared" si="21"/>
        <v>0</v>
      </c>
      <c r="DY11" s="409">
        <f t="shared" si="22"/>
        <v>0</v>
      </c>
      <c r="DZ11" s="409">
        <f t="shared" si="22"/>
        <v>0</v>
      </c>
      <c r="EA11" s="409">
        <f t="shared" si="22"/>
        <v>0</v>
      </c>
      <c r="EB11" s="409">
        <f t="shared" si="22"/>
        <v>0</v>
      </c>
      <c r="EC11" s="409">
        <f t="shared" si="22"/>
        <v>0</v>
      </c>
      <c r="ED11" s="409">
        <f t="shared" si="22"/>
        <v>0</v>
      </c>
      <c r="EE11" s="409">
        <f t="shared" si="22"/>
        <v>0</v>
      </c>
      <c r="EF11" s="409">
        <f t="shared" si="22"/>
        <v>0</v>
      </c>
      <c r="EG11" s="409">
        <f t="shared" si="22"/>
        <v>0</v>
      </c>
      <c r="EH11" s="409">
        <f t="shared" si="22"/>
        <v>0</v>
      </c>
      <c r="EI11" s="409">
        <f t="shared" si="23"/>
        <v>0</v>
      </c>
      <c r="EJ11" s="409">
        <f t="shared" si="23"/>
        <v>0</v>
      </c>
      <c r="EK11" s="409">
        <f t="shared" si="23"/>
        <v>0</v>
      </c>
      <c r="EL11" s="409">
        <f t="shared" si="23"/>
        <v>0</v>
      </c>
      <c r="EM11" s="409">
        <f t="shared" si="23"/>
        <v>0</v>
      </c>
      <c r="EN11" s="409">
        <f t="shared" si="23"/>
        <v>0</v>
      </c>
      <c r="EO11" s="409">
        <f t="shared" si="23"/>
        <v>0</v>
      </c>
      <c r="EP11" s="409">
        <f t="shared" si="23"/>
        <v>0</v>
      </c>
      <c r="EQ11" s="409">
        <f t="shared" si="23"/>
        <v>0</v>
      </c>
      <c r="ER11" s="409">
        <f t="shared" si="23"/>
        <v>0</v>
      </c>
      <c r="ES11" s="409">
        <f t="shared" si="24"/>
        <v>0</v>
      </c>
      <c r="ET11" s="409">
        <f t="shared" si="24"/>
        <v>0</v>
      </c>
      <c r="EU11" s="409">
        <f t="shared" si="24"/>
        <v>0</v>
      </c>
      <c r="EV11" s="409">
        <f t="shared" si="24"/>
        <v>0</v>
      </c>
      <c r="EW11" s="409">
        <f t="shared" si="24"/>
        <v>0</v>
      </c>
      <c r="EX11" s="409">
        <f t="shared" si="24"/>
        <v>0</v>
      </c>
      <c r="EY11" s="409">
        <f t="shared" si="24"/>
        <v>0</v>
      </c>
      <c r="EZ11" s="409">
        <f t="shared" si="24"/>
        <v>0</v>
      </c>
      <c r="FA11" s="409">
        <f t="shared" si="24"/>
        <v>0</v>
      </c>
      <c r="FB11" s="409">
        <f t="shared" si="24"/>
        <v>0</v>
      </c>
      <c r="FC11" s="409">
        <f t="shared" si="25"/>
        <v>0</v>
      </c>
      <c r="FD11" s="409">
        <f t="shared" si="25"/>
        <v>0</v>
      </c>
      <c r="FE11" s="409">
        <f t="shared" si="25"/>
        <v>0</v>
      </c>
      <c r="FF11" s="409">
        <f t="shared" si="25"/>
        <v>0</v>
      </c>
      <c r="FG11" s="409">
        <f t="shared" si="25"/>
        <v>0</v>
      </c>
      <c r="FH11" s="409">
        <f t="shared" si="25"/>
        <v>0</v>
      </c>
      <c r="FI11" s="409">
        <f t="shared" si="25"/>
        <v>0</v>
      </c>
      <c r="FJ11" s="409">
        <f t="shared" si="25"/>
        <v>0</v>
      </c>
      <c r="FK11" s="409">
        <f t="shared" si="25"/>
        <v>0</v>
      </c>
      <c r="FL11" s="409">
        <f t="shared" si="25"/>
        <v>0</v>
      </c>
      <c r="FM11" s="409">
        <f t="shared" si="26"/>
        <v>0</v>
      </c>
      <c r="FN11" s="409">
        <f t="shared" si="26"/>
        <v>0</v>
      </c>
      <c r="FO11" s="409">
        <f t="shared" si="26"/>
        <v>0</v>
      </c>
      <c r="FP11" s="409">
        <f t="shared" si="26"/>
        <v>0</v>
      </c>
      <c r="FQ11" s="409">
        <f t="shared" si="26"/>
        <v>0</v>
      </c>
      <c r="FR11" s="409">
        <f t="shared" si="26"/>
        <v>0</v>
      </c>
      <c r="FS11" s="409">
        <f t="shared" si="26"/>
        <v>0</v>
      </c>
      <c r="FT11" s="409">
        <f t="shared" si="26"/>
        <v>0</v>
      </c>
      <c r="FU11" s="409">
        <f t="shared" si="26"/>
        <v>0</v>
      </c>
      <c r="FV11" s="409">
        <f t="shared" si="26"/>
        <v>0</v>
      </c>
      <c r="FW11" s="409">
        <f t="shared" si="27"/>
        <v>0</v>
      </c>
      <c r="FX11" s="409">
        <f t="shared" si="27"/>
        <v>0</v>
      </c>
      <c r="FY11" s="409">
        <f t="shared" si="27"/>
        <v>0</v>
      </c>
      <c r="FZ11" s="409">
        <f t="shared" si="27"/>
        <v>0</v>
      </c>
      <c r="GA11" s="409">
        <f t="shared" si="27"/>
        <v>0</v>
      </c>
      <c r="GB11" s="409">
        <f t="shared" si="27"/>
        <v>0</v>
      </c>
      <c r="GC11" s="409">
        <f t="shared" si="27"/>
        <v>0</v>
      </c>
      <c r="GD11" s="409">
        <f t="shared" si="27"/>
        <v>0</v>
      </c>
      <c r="GE11" s="409">
        <f t="shared" si="27"/>
        <v>0</v>
      </c>
      <c r="GF11" s="409">
        <f t="shared" si="27"/>
        <v>0</v>
      </c>
      <c r="GG11" s="409">
        <f t="shared" si="28"/>
        <v>0</v>
      </c>
      <c r="GH11" s="409">
        <f t="shared" si="28"/>
        <v>0</v>
      </c>
      <c r="GI11" s="409">
        <f t="shared" si="28"/>
        <v>0</v>
      </c>
      <c r="GJ11" s="409">
        <f t="shared" si="28"/>
        <v>0</v>
      </c>
      <c r="GK11" s="409">
        <f t="shared" si="28"/>
        <v>0</v>
      </c>
      <c r="GL11" s="409">
        <f t="shared" si="28"/>
        <v>0</v>
      </c>
      <c r="GM11" s="409">
        <f t="shared" si="28"/>
        <v>0</v>
      </c>
      <c r="GN11" s="409">
        <f t="shared" si="28"/>
        <v>0</v>
      </c>
      <c r="GO11" s="409">
        <f t="shared" si="28"/>
        <v>0</v>
      </c>
      <c r="GP11" s="409">
        <f t="shared" si="28"/>
        <v>0</v>
      </c>
      <c r="GQ11" s="409">
        <f t="shared" si="29"/>
        <v>0</v>
      </c>
      <c r="GR11" s="409">
        <f t="shared" si="29"/>
        <v>0</v>
      </c>
      <c r="GS11" s="409">
        <f t="shared" si="29"/>
        <v>0</v>
      </c>
      <c r="GT11" s="409">
        <f t="shared" si="29"/>
        <v>0</v>
      </c>
      <c r="GU11" s="409">
        <f t="shared" si="29"/>
        <v>0</v>
      </c>
      <c r="GV11" s="409">
        <f t="shared" si="29"/>
        <v>0</v>
      </c>
      <c r="GW11" s="409">
        <f t="shared" si="29"/>
        <v>0</v>
      </c>
      <c r="GX11" s="409">
        <f t="shared" si="29"/>
        <v>0</v>
      </c>
      <c r="GY11" s="409">
        <f t="shared" si="29"/>
        <v>0</v>
      </c>
      <c r="GZ11" s="409">
        <f t="shared" si="29"/>
        <v>0</v>
      </c>
      <c r="HA11" s="409">
        <f t="shared" si="30"/>
        <v>0</v>
      </c>
      <c r="HB11" s="409">
        <f t="shared" si="30"/>
        <v>0</v>
      </c>
      <c r="HC11" s="409">
        <f t="shared" si="30"/>
        <v>0</v>
      </c>
      <c r="HD11" s="409">
        <f t="shared" si="30"/>
        <v>0</v>
      </c>
      <c r="HE11" s="409">
        <f t="shared" si="30"/>
        <v>0</v>
      </c>
      <c r="HF11" s="409">
        <f t="shared" si="30"/>
        <v>0</v>
      </c>
      <c r="HG11" s="409">
        <f t="shared" si="30"/>
        <v>0</v>
      </c>
      <c r="HH11" s="409">
        <f t="shared" si="30"/>
        <v>0</v>
      </c>
      <c r="HI11" s="409">
        <f t="shared" si="30"/>
        <v>0</v>
      </c>
      <c r="HJ11" s="409">
        <f t="shared" si="30"/>
        <v>0</v>
      </c>
      <c r="HK11" s="409">
        <f t="shared" si="31"/>
        <v>0</v>
      </c>
      <c r="HL11" s="409">
        <f t="shared" si="31"/>
        <v>0</v>
      </c>
      <c r="HM11" s="409">
        <f t="shared" si="31"/>
        <v>0</v>
      </c>
      <c r="HN11" s="409">
        <f t="shared" si="31"/>
        <v>0</v>
      </c>
      <c r="HO11" s="409">
        <f t="shared" si="31"/>
        <v>0</v>
      </c>
      <c r="HP11" s="409">
        <f t="shared" si="31"/>
        <v>0</v>
      </c>
      <c r="HQ11" s="409">
        <f t="shared" si="31"/>
        <v>0</v>
      </c>
      <c r="HR11" s="409">
        <f t="shared" si="31"/>
        <v>0</v>
      </c>
      <c r="HS11" s="409">
        <f t="shared" si="31"/>
        <v>0</v>
      </c>
      <c r="HT11" s="409">
        <f t="shared" si="31"/>
        <v>0</v>
      </c>
      <c r="HU11" s="409">
        <f t="shared" si="32"/>
        <v>0</v>
      </c>
      <c r="HV11" s="409">
        <f t="shared" si="32"/>
        <v>0</v>
      </c>
      <c r="HW11" s="409">
        <f t="shared" si="32"/>
        <v>0</v>
      </c>
      <c r="HX11" s="409">
        <f t="shared" si="32"/>
        <v>0</v>
      </c>
      <c r="HY11" s="409">
        <f t="shared" si="32"/>
        <v>0</v>
      </c>
      <c r="HZ11" s="409">
        <f t="shared" si="32"/>
        <v>0</v>
      </c>
      <c r="IA11" s="409">
        <f t="shared" si="32"/>
        <v>0</v>
      </c>
      <c r="IB11" s="409">
        <f t="shared" si="32"/>
        <v>0</v>
      </c>
      <c r="IC11" s="409">
        <f t="shared" si="32"/>
        <v>0</v>
      </c>
      <c r="ID11" s="409">
        <f t="shared" si="32"/>
        <v>0</v>
      </c>
      <c r="IE11" s="409">
        <f t="shared" si="33"/>
        <v>0</v>
      </c>
      <c r="IF11" s="409">
        <f t="shared" si="33"/>
        <v>0</v>
      </c>
      <c r="IG11" s="409">
        <f t="shared" si="33"/>
        <v>0</v>
      </c>
      <c r="IH11" s="409">
        <f t="shared" si="33"/>
        <v>0</v>
      </c>
      <c r="II11" s="409">
        <f t="shared" si="33"/>
        <v>0</v>
      </c>
      <c r="IJ11" s="409">
        <f t="shared" si="33"/>
        <v>0</v>
      </c>
      <c r="IK11" s="378">
        <f t="shared" si="54"/>
        <v>4</v>
      </c>
    </row>
    <row r="12" spans="1:245" hidden="1" x14ac:dyDescent="0.2">
      <c r="A12" s="380" t="str">
        <f t="shared" si="34"/>
        <v>x</v>
      </c>
      <c r="B12" s="712" t="str">
        <f>IF(ISERROR(INDEX('Legend(DX)'!$H$8:$H$9,5)),"",INDEX('Legend(DX)'!$H$8:$H$9,5))</f>
        <v/>
      </c>
      <c r="C12" s="712" t="e">
        <f>IF(INDEX('Legend(DX)'!$T$8:$T$9,5)=0,"See Legend",INDEX('Legend(DX)'!$T$8:$T$9,5))</f>
        <v>#REF!</v>
      </c>
      <c r="D12" s="712" t="e">
        <f>IF(INDEX('Legend(DX)'!$R$8:$R$9,(ROW(C12))-7)=0,IF(AND(INDEX('Legend(DX)'!$D$8:$D$9,(ROW(C12))-6)="CH",INDEX('Legend(DX)'!$F$8:$F$9,(ROW(C12))-6)="CASE - MANUAL"),INDEX('Legend(DX)'!$R$8:$R$9,(ROW(C12))-6),IF(INDEX('Legend(DX)'!$V$8:$V$9,(ROW(C12))-7)&gt;1, "(" &amp; INDEX('Legend(DX)'!$V$8:$V$9,(ROW(C12))-7) &amp; ") " &amp; INDEX('Legend(DX)'!$W$8:$W$9,(ROW(C12))-6),INDEX('Legend(DX)'!$W$8:$W$9,(ROW(C12))-7))),INDEX('Legend(DX)'!$R$8:$R$9,(ROW(C12))-7))</f>
        <v>#REF!</v>
      </c>
      <c r="E12" s="713" t="str" cm="1">
        <f t="array" ref="E12">IF(OR(ISNUMBER(SEARCH("Skid",C12)),ISNUMBER(SEARCH("Subcooler",C12)),ISNUMBER(SEARCH("Pump",C12)),ISNUMBER(SEARCH("PH",C12))),0,IF(ISERROR(INDEX('Legend(DX)'!$AA$8:$AA$9,ROW()-7)),"",INDEX('Legend(DX)'!$AA$8:$AA$9,ROW()-7)))</f>
        <v/>
      </c>
      <c r="F12" s="714"/>
      <c r="G12" s="714"/>
      <c r="H12" s="714"/>
      <c r="I12" s="714"/>
      <c r="J12" s="714"/>
      <c r="K12" s="890">
        <f t="shared" si="35"/>
        <v>0</v>
      </c>
      <c r="L12" s="717"/>
      <c r="M12" s="1303"/>
      <c r="N12" s="972">
        <f t="shared" si="7"/>
        <v>-1</v>
      </c>
      <c r="O12" s="972">
        <f t="shared" si="36"/>
        <v>-1</v>
      </c>
      <c r="P12" s="972">
        <f t="shared" si="8"/>
        <v>-1</v>
      </c>
      <c r="Q12" s="972">
        <f t="shared" si="37"/>
        <v>-1</v>
      </c>
      <c r="R12" s="972">
        <f t="shared" si="9"/>
        <v>-1</v>
      </c>
      <c r="S12" s="972">
        <f t="shared" si="38"/>
        <v>-1</v>
      </c>
      <c r="T12" s="972">
        <f t="shared" si="10"/>
        <v>-1</v>
      </c>
      <c r="U12" s="972">
        <f t="shared" si="39"/>
        <v>-1</v>
      </c>
      <c r="V12" s="972">
        <f t="shared" si="11"/>
        <v>-1</v>
      </c>
      <c r="W12" s="972">
        <f t="shared" si="40"/>
        <v>-1</v>
      </c>
      <c r="X12" s="972">
        <f t="shared" si="12"/>
        <v>-1</v>
      </c>
      <c r="Y12" s="972">
        <f t="shared" si="41"/>
        <v>-1</v>
      </c>
      <c r="Z12" s="972">
        <f t="shared" si="42"/>
        <v>-1</v>
      </c>
      <c r="AA12" s="972">
        <f t="shared" si="43"/>
        <v>-1</v>
      </c>
      <c r="AB12" s="972">
        <f t="shared" si="44"/>
        <v>-1</v>
      </c>
      <c r="AC12" s="972">
        <f t="shared" si="45"/>
        <v>-1</v>
      </c>
      <c r="AD12" s="972">
        <f t="shared" si="46"/>
        <v>-1</v>
      </c>
      <c r="AE12" s="972">
        <f t="shared" si="47"/>
        <v>-1</v>
      </c>
      <c r="AF12" s="972">
        <f t="shared" si="48"/>
        <v>-1</v>
      </c>
      <c r="AG12" s="972">
        <f t="shared" si="49"/>
        <v>-1</v>
      </c>
      <c r="AH12" s="972">
        <f t="shared" si="50"/>
        <v>-1</v>
      </c>
      <c r="AI12" s="972">
        <f t="shared" si="51"/>
        <v>-1</v>
      </c>
      <c r="AJ12" s="972">
        <f t="shared" si="52"/>
        <v>-1</v>
      </c>
      <c r="AK12" s="381" t="str">
        <f>IF(ISERROR(INDEX('Legend(DX)'!$AI$8:$AI$9,IK12)),"",INDEX('Legend(DX)'!$AI$8:$AI$9,IK12))</f>
        <v/>
      </c>
      <c r="AL12" s="727" t="str">
        <f t="shared" si="55"/>
        <v/>
      </c>
      <c r="AM12" s="409">
        <f t="shared" si="13"/>
        <v>0</v>
      </c>
      <c r="AN12" s="409">
        <f t="shared" si="13"/>
        <v>0</v>
      </c>
      <c r="AO12" s="409">
        <f t="shared" si="13"/>
        <v>0</v>
      </c>
      <c r="AP12" s="409">
        <f t="shared" si="13"/>
        <v>0</v>
      </c>
      <c r="AQ12" s="409">
        <f t="shared" si="13"/>
        <v>0</v>
      </c>
      <c r="AR12" s="409">
        <f t="shared" si="13"/>
        <v>0</v>
      </c>
      <c r="AS12" s="409">
        <f t="shared" si="13"/>
        <v>0</v>
      </c>
      <c r="AT12" s="409">
        <f t="shared" si="13"/>
        <v>0</v>
      </c>
      <c r="AU12" s="409">
        <f t="shared" si="13"/>
        <v>0</v>
      </c>
      <c r="AV12" s="409">
        <f t="shared" si="13"/>
        <v>0</v>
      </c>
      <c r="AW12" s="409">
        <f t="shared" si="14"/>
        <v>0</v>
      </c>
      <c r="AX12" s="409">
        <f t="shared" si="14"/>
        <v>0</v>
      </c>
      <c r="AY12" s="409">
        <f t="shared" si="14"/>
        <v>0</v>
      </c>
      <c r="AZ12" s="409">
        <f t="shared" si="14"/>
        <v>0</v>
      </c>
      <c r="BA12" s="409">
        <f t="shared" si="14"/>
        <v>0</v>
      </c>
      <c r="BB12" s="409">
        <f t="shared" si="14"/>
        <v>0</v>
      </c>
      <c r="BC12" s="409">
        <f t="shared" si="14"/>
        <v>0</v>
      </c>
      <c r="BD12" s="409">
        <f t="shared" si="14"/>
        <v>0</v>
      </c>
      <c r="BE12" s="409">
        <f t="shared" si="14"/>
        <v>0</v>
      </c>
      <c r="BF12" s="409">
        <f t="shared" si="14"/>
        <v>0</v>
      </c>
      <c r="BG12" s="409">
        <f t="shared" si="15"/>
        <v>0</v>
      </c>
      <c r="BH12" s="409">
        <f t="shared" si="15"/>
        <v>0</v>
      </c>
      <c r="BI12" s="409">
        <f t="shared" si="15"/>
        <v>0</v>
      </c>
      <c r="BJ12" s="409">
        <f t="shared" si="15"/>
        <v>0</v>
      </c>
      <c r="BK12" s="409">
        <f t="shared" si="15"/>
        <v>0</v>
      </c>
      <c r="BL12" s="409">
        <f t="shared" si="15"/>
        <v>0</v>
      </c>
      <c r="BM12" s="409">
        <f t="shared" si="15"/>
        <v>0</v>
      </c>
      <c r="BN12" s="409">
        <f t="shared" si="15"/>
        <v>0</v>
      </c>
      <c r="BO12" s="409">
        <f t="shared" si="15"/>
        <v>0</v>
      </c>
      <c r="BP12" s="409">
        <f t="shared" si="15"/>
        <v>0</v>
      </c>
      <c r="BQ12" s="409">
        <f t="shared" si="16"/>
        <v>0</v>
      </c>
      <c r="BR12" s="409">
        <f t="shared" si="16"/>
        <v>0</v>
      </c>
      <c r="BS12" s="409">
        <f t="shared" si="16"/>
        <v>0</v>
      </c>
      <c r="BT12" s="409">
        <f t="shared" si="16"/>
        <v>0</v>
      </c>
      <c r="BU12" s="409">
        <f t="shared" si="16"/>
        <v>0</v>
      </c>
      <c r="BV12" s="409">
        <f t="shared" si="16"/>
        <v>0</v>
      </c>
      <c r="BW12" s="409">
        <f t="shared" si="16"/>
        <v>0</v>
      </c>
      <c r="BX12" s="409">
        <f t="shared" si="16"/>
        <v>0</v>
      </c>
      <c r="BY12" s="409">
        <f t="shared" si="16"/>
        <v>0</v>
      </c>
      <c r="BZ12" s="409">
        <f t="shared" si="16"/>
        <v>0</v>
      </c>
      <c r="CA12" s="409">
        <f t="shared" si="17"/>
        <v>0</v>
      </c>
      <c r="CB12" s="409">
        <f t="shared" si="17"/>
        <v>0</v>
      </c>
      <c r="CC12" s="409">
        <f t="shared" si="17"/>
        <v>0</v>
      </c>
      <c r="CD12" s="409">
        <f t="shared" si="17"/>
        <v>0</v>
      </c>
      <c r="CE12" s="409">
        <f t="shared" si="17"/>
        <v>0</v>
      </c>
      <c r="CF12" s="409">
        <f t="shared" si="17"/>
        <v>0</v>
      </c>
      <c r="CG12" s="409">
        <f t="shared" si="17"/>
        <v>0</v>
      </c>
      <c r="CH12" s="409">
        <f t="shared" si="17"/>
        <v>0</v>
      </c>
      <c r="CI12" s="409">
        <f t="shared" si="17"/>
        <v>0</v>
      </c>
      <c r="CJ12" s="409">
        <f t="shared" si="17"/>
        <v>0</v>
      </c>
      <c r="CK12" s="409">
        <f t="shared" si="18"/>
        <v>0</v>
      </c>
      <c r="CL12" s="409">
        <f t="shared" si="18"/>
        <v>0</v>
      </c>
      <c r="CM12" s="409">
        <f t="shared" si="18"/>
        <v>0</v>
      </c>
      <c r="CN12" s="409">
        <f t="shared" si="18"/>
        <v>0</v>
      </c>
      <c r="CO12" s="409">
        <f t="shared" si="18"/>
        <v>0</v>
      </c>
      <c r="CP12" s="409">
        <f t="shared" si="18"/>
        <v>0</v>
      </c>
      <c r="CQ12" s="409">
        <f t="shared" si="18"/>
        <v>0</v>
      </c>
      <c r="CR12" s="409">
        <f t="shared" si="18"/>
        <v>0</v>
      </c>
      <c r="CS12" s="409">
        <f t="shared" si="18"/>
        <v>0</v>
      </c>
      <c r="CT12" s="409">
        <f t="shared" si="18"/>
        <v>0</v>
      </c>
      <c r="CU12" s="409">
        <f t="shared" si="19"/>
        <v>0</v>
      </c>
      <c r="CV12" s="409">
        <f t="shared" si="19"/>
        <v>0</v>
      </c>
      <c r="CW12" s="409">
        <f t="shared" si="19"/>
        <v>0</v>
      </c>
      <c r="CX12" s="409">
        <f t="shared" si="19"/>
        <v>0</v>
      </c>
      <c r="CY12" s="409">
        <f t="shared" si="19"/>
        <v>0</v>
      </c>
      <c r="CZ12" s="409">
        <f t="shared" si="19"/>
        <v>0</v>
      </c>
      <c r="DA12" s="409">
        <f t="shared" si="19"/>
        <v>0</v>
      </c>
      <c r="DB12" s="409">
        <f t="shared" si="19"/>
        <v>0</v>
      </c>
      <c r="DC12" s="409">
        <f t="shared" si="19"/>
        <v>0</v>
      </c>
      <c r="DD12" s="409">
        <f t="shared" si="19"/>
        <v>0</v>
      </c>
      <c r="DE12" s="409">
        <f t="shared" si="20"/>
        <v>0</v>
      </c>
      <c r="DF12" s="409">
        <f t="shared" si="20"/>
        <v>0</v>
      </c>
      <c r="DG12" s="409">
        <f t="shared" si="20"/>
        <v>0</v>
      </c>
      <c r="DH12" s="409">
        <f t="shared" si="20"/>
        <v>0</v>
      </c>
      <c r="DI12" s="409">
        <f t="shared" si="20"/>
        <v>0</v>
      </c>
      <c r="DJ12" s="409">
        <f t="shared" si="20"/>
        <v>0</v>
      </c>
      <c r="DK12" s="409">
        <f t="shared" si="20"/>
        <v>0</v>
      </c>
      <c r="DL12" s="409">
        <f t="shared" si="20"/>
        <v>0</v>
      </c>
      <c r="DM12" s="409">
        <f t="shared" si="20"/>
        <v>0</v>
      </c>
      <c r="DN12" s="409">
        <f t="shared" si="20"/>
        <v>0</v>
      </c>
      <c r="DO12" s="409">
        <f t="shared" si="21"/>
        <v>0</v>
      </c>
      <c r="DP12" s="409">
        <f t="shared" si="21"/>
        <v>0</v>
      </c>
      <c r="DQ12" s="409">
        <f t="shared" si="21"/>
        <v>0</v>
      </c>
      <c r="DR12" s="409">
        <f t="shared" si="21"/>
        <v>0</v>
      </c>
      <c r="DS12" s="409">
        <f t="shared" si="21"/>
        <v>0</v>
      </c>
      <c r="DT12" s="409">
        <f t="shared" si="21"/>
        <v>0</v>
      </c>
      <c r="DU12" s="409">
        <f t="shared" si="21"/>
        <v>0</v>
      </c>
      <c r="DV12" s="409">
        <f t="shared" si="21"/>
        <v>0</v>
      </c>
      <c r="DW12" s="409">
        <f t="shared" si="21"/>
        <v>0</v>
      </c>
      <c r="DX12" s="409">
        <f t="shared" si="21"/>
        <v>0</v>
      </c>
      <c r="DY12" s="409">
        <f t="shared" si="22"/>
        <v>0</v>
      </c>
      <c r="DZ12" s="409">
        <f t="shared" si="22"/>
        <v>0</v>
      </c>
      <c r="EA12" s="409">
        <f t="shared" si="22"/>
        <v>0</v>
      </c>
      <c r="EB12" s="409">
        <f t="shared" si="22"/>
        <v>0</v>
      </c>
      <c r="EC12" s="409">
        <f t="shared" si="22"/>
        <v>0</v>
      </c>
      <c r="ED12" s="409">
        <f t="shared" si="22"/>
        <v>0</v>
      </c>
      <c r="EE12" s="409">
        <f t="shared" si="22"/>
        <v>0</v>
      </c>
      <c r="EF12" s="409">
        <f t="shared" si="22"/>
        <v>0</v>
      </c>
      <c r="EG12" s="409">
        <f t="shared" si="22"/>
        <v>0</v>
      </c>
      <c r="EH12" s="409">
        <f t="shared" si="22"/>
        <v>0</v>
      </c>
      <c r="EI12" s="409">
        <f t="shared" si="23"/>
        <v>0</v>
      </c>
      <c r="EJ12" s="409">
        <f t="shared" si="23"/>
        <v>0</v>
      </c>
      <c r="EK12" s="409">
        <f t="shared" si="23"/>
        <v>0</v>
      </c>
      <c r="EL12" s="409">
        <f t="shared" si="23"/>
        <v>0</v>
      </c>
      <c r="EM12" s="409">
        <f t="shared" si="23"/>
        <v>0</v>
      </c>
      <c r="EN12" s="409">
        <f t="shared" si="23"/>
        <v>0</v>
      </c>
      <c r="EO12" s="409">
        <f t="shared" si="23"/>
        <v>0</v>
      </c>
      <c r="EP12" s="409">
        <f t="shared" si="23"/>
        <v>0</v>
      </c>
      <c r="EQ12" s="409">
        <f t="shared" si="23"/>
        <v>0</v>
      </c>
      <c r="ER12" s="409">
        <f t="shared" si="23"/>
        <v>0</v>
      </c>
      <c r="ES12" s="409">
        <f t="shared" si="24"/>
        <v>0</v>
      </c>
      <c r="ET12" s="409">
        <f t="shared" si="24"/>
        <v>0</v>
      </c>
      <c r="EU12" s="409">
        <f t="shared" si="24"/>
        <v>0</v>
      </c>
      <c r="EV12" s="409">
        <f t="shared" si="24"/>
        <v>0</v>
      </c>
      <c r="EW12" s="409">
        <f t="shared" si="24"/>
        <v>0</v>
      </c>
      <c r="EX12" s="409">
        <f t="shared" si="24"/>
        <v>0</v>
      </c>
      <c r="EY12" s="409">
        <f t="shared" si="24"/>
        <v>0</v>
      </c>
      <c r="EZ12" s="409">
        <f t="shared" si="24"/>
        <v>0</v>
      </c>
      <c r="FA12" s="409">
        <f t="shared" si="24"/>
        <v>0</v>
      </c>
      <c r="FB12" s="409">
        <f t="shared" si="24"/>
        <v>0</v>
      </c>
      <c r="FC12" s="409">
        <f t="shared" si="25"/>
        <v>0</v>
      </c>
      <c r="FD12" s="409">
        <f t="shared" si="25"/>
        <v>0</v>
      </c>
      <c r="FE12" s="409">
        <f t="shared" si="25"/>
        <v>0</v>
      </c>
      <c r="FF12" s="409">
        <f t="shared" si="25"/>
        <v>0</v>
      </c>
      <c r="FG12" s="409">
        <f t="shared" si="25"/>
        <v>0</v>
      </c>
      <c r="FH12" s="409">
        <f t="shared" si="25"/>
        <v>0</v>
      </c>
      <c r="FI12" s="409">
        <f t="shared" si="25"/>
        <v>0</v>
      </c>
      <c r="FJ12" s="409">
        <f t="shared" si="25"/>
        <v>0</v>
      </c>
      <c r="FK12" s="409">
        <f t="shared" si="25"/>
        <v>0</v>
      </c>
      <c r="FL12" s="409">
        <f t="shared" si="25"/>
        <v>0</v>
      </c>
      <c r="FM12" s="409">
        <f t="shared" si="26"/>
        <v>0</v>
      </c>
      <c r="FN12" s="409">
        <f t="shared" si="26"/>
        <v>0</v>
      </c>
      <c r="FO12" s="409">
        <f t="shared" si="26"/>
        <v>0</v>
      </c>
      <c r="FP12" s="409">
        <f t="shared" si="26"/>
        <v>0</v>
      </c>
      <c r="FQ12" s="409">
        <f t="shared" si="26"/>
        <v>0</v>
      </c>
      <c r="FR12" s="409">
        <f t="shared" si="26"/>
        <v>0</v>
      </c>
      <c r="FS12" s="409">
        <f t="shared" si="26"/>
        <v>0</v>
      </c>
      <c r="FT12" s="409">
        <f t="shared" si="26"/>
        <v>0</v>
      </c>
      <c r="FU12" s="409">
        <f t="shared" si="26"/>
        <v>0</v>
      </c>
      <c r="FV12" s="409">
        <f t="shared" si="26"/>
        <v>0</v>
      </c>
      <c r="FW12" s="409">
        <f t="shared" si="27"/>
        <v>0</v>
      </c>
      <c r="FX12" s="409">
        <f t="shared" si="27"/>
        <v>0</v>
      </c>
      <c r="FY12" s="409">
        <f t="shared" si="27"/>
        <v>0</v>
      </c>
      <c r="FZ12" s="409">
        <f t="shared" si="27"/>
        <v>0</v>
      </c>
      <c r="GA12" s="409">
        <f t="shared" si="27"/>
        <v>0</v>
      </c>
      <c r="GB12" s="409">
        <f t="shared" si="27"/>
        <v>0</v>
      </c>
      <c r="GC12" s="409">
        <f t="shared" si="27"/>
        <v>0</v>
      </c>
      <c r="GD12" s="409">
        <f t="shared" si="27"/>
        <v>0</v>
      </c>
      <c r="GE12" s="409">
        <f t="shared" si="27"/>
        <v>0</v>
      </c>
      <c r="GF12" s="409">
        <f t="shared" si="27"/>
        <v>0</v>
      </c>
      <c r="GG12" s="409">
        <f t="shared" si="28"/>
        <v>0</v>
      </c>
      <c r="GH12" s="409">
        <f t="shared" si="28"/>
        <v>0</v>
      </c>
      <c r="GI12" s="409">
        <f t="shared" si="28"/>
        <v>0</v>
      </c>
      <c r="GJ12" s="409">
        <f t="shared" si="28"/>
        <v>0</v>
      </c>
      <c r="GK12" s="409">
        <f t="shared" si="28"/>
        <v>0</v>
      </c>
      <c r="GL12" s="409">
        <f t="shared" si="28"/>
        <v>0</v>
      </c>
      <c r="GM12" s="409">
        <f t="shared" si="28"/>
        <v>0</v>
      </c>
      <c r="GN12" s="409">
        <f t="shared" si="28"/>
        <v>0</v>
      </c>
      <c r="GO12" s="409">
        <f t="shared" si="28"/>
        <v>0</v>
      </c>
      <c r="GP12" s="409">
        <f t="shared" si="28"/>
        <v>0</v>
      </c>
      <c r="GQ12" s="409">
        <f t="shared" si="29"/>
        <v>0</v>
      </c>
      <c r="GR12" s="409">
        <f t="shared" si="29"/>
        <v>0</v>
      </c>
      <c r="GS12" s="409">
        <f t="shared" si="29"/>
        <v>0</v>
      </c>
      <c r="GT12" s="409">
        <f t="shared" si="29"/>
        <v>0</v>
      </c>
      <c r="GU12" s="409">
        <f t="shared" si="29"/>
        <v>0</v>
      </c>
      <c r="GV12" s="409">
        <f t="shared" si="29"/>
        <v>0</v>
      </c>
      <c r="GW12" s="409">
        <f t="shared" si="29"/>
        <v>0</v>
      </c>
      <c r="GX12" s="409">
        <f t="shared" si="29"/>
        <v>0</v>
      </c>
      <c r="GY12" s="409">
        <f t="shared" si="29"/>
        <v>0</v>
      </c>
      <c r="GZ12" s="409">
        <f t="shared" si="29"/>
        <v>0</v>
      </c>
      <c r="HA12" s="409">
        <f t="shared" si="30"/>
        <v>0</v>
      </c>
      <c r="HB12" s="409">
        <f t="shared" si="30"/>
        <v>0</v>
      </c>
      <c r="HC12" s="409">
        <f t="shared" si="30"/>
        <v>0</v>
      </c>
      <c r="HD12" s="409">
        <f t="shared" si="30"/>
        <v>0</v>
      </c>
      <c r="HE12" s="409">
        <f t="shared" si="30"/>
        <v>0</v>
      </c>
      <c r="HF12" s="409">
        <f t="shared" si="30"/>
        <v>0</v>
      </c>
      <c r="HG12" s="409">
        <f t="shared" si="30"/>
        <v>0</v>
      </c>
      <c r="HH12" s="409">
        <f t="shared" si="30"/>
        <v>0</v>
      </c>
      <c r="HI12" s="409">
        <f t="shared" si="30"/>
        <v>0</v>
      </c>
      <c r="HJ12" s="409">
        <f t="shared" si="30"/>
        <v>0</v>
      </c>
      <c r="HK12" s="409">
        <f t="shared" si="31"/>
        <v>0</v>
      </c>
      <c r="HL12" s="409">
        <f t="shared" si="31"/>
        <v>0</v>
      </c>
      <c r="HM12" s="409">
        <f t="shared" si="31"/>
        <v>0</v>
      </c>
      <c r="HN12" s="409">
        <f t="shared" si="31"/>
        <v>0</v>
      </c>
      <c r="HO12" s="409">
        <f t="shared" si="31"/>
        <v>0</v>
      </c>
      <c r="HP12" s="409">
        <f t="shared" si="31"/>
        <v>0</v>
      </c>
      <c r="HQ12" s="409">
        <f t="shared" si="31"/>
        <v>0</v>
      </c>
      <c r="HR12" s="409">
        <f t="shared" si="31"/>
        <v>0</v>
      </c>
      <c r="HS12" s="409">
        <f t="shared" si="31"/>
        <v>0</v>
      </c>
      <c r="HT12" s="409">
        <f t="shared" si="31"/>
        <v>0</v>
      </c>
      <c r="HU12" s="409">
        <f t="shared" si="32"/>
        <v>0</v>
      </c>
      <c r="HV12" s="409">
        <f t="shared" si="32"/>
        <v>0</v>
      </c>
      <c r="HW12" s="409">
        <f t="shared" si="32"/>
        <v>0</v>
      </c>
      <c r="HX12" s="409">
        <f t="shared" si="32"/>
        <v>0</v>
      </c>
      <c r="HY12" s="409">
        <f t="shared" si="32"/>
        <v>0</v>
      </c>
      <c r="HZ12" s="409">
        <f t="shared" si="32"/>
        <v>0</v>
      </c>
      <c r="IA12" s="409">
        <f t="shared" si="32"/>
        <v>0</v>
      </c>
      <c r="IB12" s="409">
        <f t="shared" si="32"/>
        <v>0</v>
      </c>
      <c r="IC12" s="409">
        <f t="shared" si="32"/>
        <v>0</v>
      </c>
      <c r="ID12" s="409">
        <f t="shared" si="32"/>
        <v>0</v>
      </c>
      <c r="IE12" s="409">
        <f t="shared" si="33"/>
        <v>0</v>
      </c>
      <c r="IF12" s="409">
        <f t="shared" si="33"/>
        <v>0</v>
      </c>
      <c r="IG12" s="409">
        <f t="shared" si="33"/>
        <v>0</v>
      </c>
      <c r="IH12" s="409">
        <f t="shared" si="33"/>
        <v>0</v>
      </c>
      <c r="II12" s="409">
        <f t="shared" si="33"/>
        <v>0</v>
      </c>
      <c r="IJ12" s="409">
        <f t="shared" si="33"/>
        <v>0</v>
      </c>
      <c r="IK12" s="378">
        <f t="shared" si="54"/>
        <v>5</v>
      </c>
    </row>
    <row r="13" spans="1:245" hidden="1" x14ac:dyDescent="0.2">
      <c r="A13" s="380" t="str">
        <f t="shared" si="34"/>
        <v>x</v>
      </c>
      <c r="B13" s="712" t="str">
        <f>IF(ISERROR(INDEX('Legend(DX)'!$H$8:$H$9,6)),"",INDEX('Legend(DX)'!$H$8:$H$9,6))</f>
        <v/>
      </c>
      <c r="C13" s="712" t="e">
        <f>IF(INDEX('Legend(DX)'!$T$8:$T$9,6)=0,"See Legend",INDEX('Legend(DX)'!$T$8:$T$9,6))</f>
        <v>#REF!</v>
      </c>
      <c r="D13" s="712" t="e">
        <f>IF(INDEX('Legend(DX)'!$R$8:$R$9,(ROW(C13))-7)=0,IF(AND(INDEX('Legend(DX)'!$D$8:$D$9,(ROW(C13))-6)="CH",INDEX('Legend(DX)'!$F$8:$F$9,(ROW(C13))-6)="CASE - MANUAL"),INDEX('Legend(DX)'!$R$8:$R$9,(ROW(C13))-6),IF(INDEX('Legend(DX)'!$V$8:$V$9,(ROW(C13))-7)&gt;1, "(" &amp; INDEX('Legend(DX)'!$V$8:$V$9,(ROW(C13))-7) &amp; ") " &amp; INDEX('Legend(DX)'!$W$8:$W$9,(ROW(C13))-6),INDEX('Legend(DX)'!$W$8:$W$9,(ROW(C13))-7))),INDEX('Legend(DX)'!$R$8:$R$9,(ROW(C13))-7))</f>
        <v>#REF!</v>
      </c>
      <c r="E13" s="713" t="str" cm="1">
        <f t="array" ref="E13">IF(OR(ISNUMBER(SEARCH("Skid",C13)),ISNUMBER(SEARCH("Subcooler",C13)),ISNUMBER(SEARCH("Pump",C13)),ISNUMBER(SEARCH("PH",C13))),0,IF(ISERROR(INDEX('Legend(DX)'!$AA$8:$AA$9,ROW()-7)),"",INDEX('Legend(DX)'!$AA$8:$AA$9,ROW()-7)))</f>
        <v/>
      </c>
      <c r="F13" s="714"/>
      <c r="G13" s="714"/>
      <c r="H13" s="714"/>
      <c r="I13" s="714"/>
      <c r="J13" s="714"/>
      <c r="K13" s="890">
        <f t="shared" si="35"/>
        <v>0</v>
      </c>
      <c r="L13" s="717"/>
      <c r="M13" s="1303"/>
      <c r="N13" s="972">
        <f t="shared" si="7"/>
        <v>-1</v>
      </c>
      <c r="O13" s="972">
        <f t="shared" si="36"/>
        <v>-1</v>
      </c>
      <c r="P13" s="972">
        <f t="shared" si="8"/>
        <v>-1</v>
      </c>
      <c r="Q13" s="972">
        <f t="shared" si="37"/>
        <v>-1</v>
      </c>
      <c r="R13" s="972">
        <f t="shared" si="9"/>
        <v>-1</v>
      </c>
      <c r="S13" s="972">
        <f t="shared" si="38"/>
        <v>-1</v>
      </c>
      <c r="T13" s="972">
        <f t="shared" si="10"/>
        <v>-1</v>
      </c>
      <c r="U13" s="972">
        <f t="shared" si="39"/>
        <v>-1</v>
      </c>
      <c r="V13" s="972">
        <f t="shared" si="11"/>
        <v>-1</v>
      </c>
      <c r="W13" s="972">
        <f t="shared" si="40"/>
        <v>-1</v>
      </c>
      <c r="X13" s="972">
        <f t="shared" si="12"/>
        <v>-1</v>
      </c>
      <c r="Y13" s="972">
        <f t="shared" si="41"/>
        <v>-1</v>
      </c>
      <c r="Z13" s="972">
        <f t="shared" si="42"/>
        <v>-1</v>
      </c>
      <c r="AA13" s="972">
        <f t="shared" si="43"/>
        <v>-1</v>
      </c>
      <c r="AB13" s="972">
        <f t="shared" si="44"/>
        <v>-1</v>
      </c>
      <c r="AC13" s="972">
        <f t="shared" si="45"/>
        <v>-1</v>
      </c>
      <c r="AD13" s="972">
        <f t="shared" si="46"/>
        <v>-1</v>
      </c>
      <c r="AE13" s="972">
        <f t="shared" si="47"/>
        <v>-1</v>
      </c>
      <c r="AF13" s="972">
        <f t="shared" si="48"/>
        <v>-1</v>
      </c>
      <c r="AG13" s="972">
        <f t="shared" si="49"/>
        <v>-1</v>
      </c>
      <c r="AH13" s="972">
        <f t="shared" si="50"/>
        <v>-1</v>
      </c>
      <c r="AI13" s="972">
        <f t="shared" si="51"/>
        <v>-1</v>
      </c>
      <c r="AJ13" s="972">
        <f t="shared" si="52"/>
        <v>-1</v>
      </c>
      <c r="AK13" s="381" t="str">
        <f>IF(ISERROR(INDEX('Legend(DX)'!$AI$8:$AI$9,IK13)),"",INDEX('Legend(DX)'!$AI$8:$AI$9,IK13))</f>
        <v/>
      </c>
      <c r="AL13" s="727" t="str">
        <f t="shared" si="55"/>
        <v/>
      </c>
      <c r="AM13" s="409">
        <f t="shared" si="13"/>
        <v>0</v>
      </c>
      <c r="AN13" s="409">
        <f t="shared" si="13"/>
        <v>0</v>
      </c>
      <c r="AO13" s="409">
        <f t="shared" si="13"/>
        <v>0</v>
      </c>
      <c r="AP13" s="409">
        <f t="shared" si="13"/>
        <v>0</v>
      </c>
      <c r="AQ13" s="409">
        <f t="shared" si="13"/>
        <v>0</v>
      </c>
      <c r="AR13" s="409">
        <f t="shared" si="13"/>
        <v>0</v>
      </c>
      <c r="AS13" s="409">
        <f t="shared" si="13"/>
        <v>0</v>
      </c>
      <c r="AT13" s="409">
        <f t="shared" si="13"/>
        <v>0</v>
      </c>
      <c r="AU13" s="409">
        <f t="shared" si="13"/>
        <v>0</v>
      </c>
      <c r="AV13" s="409">
        <f t="shared" si="13"/>
        <v>0</v>
      </c>
      <c r="AW13" s="409">
        <f t="shared" si="14"/>
        <v>0</v>
      </c>
      <c r="AX13" s="409">
        <f t="shared" si="14"/>
        <v>0</v>
      </c>
      <c r="AY13" s="409">
        <f t="shared" si="14"/>
        <v>0</v>
      </c>
      <c r="AZ13" s="409">
        <f t="shared" si="14"/>
        <v>0</v>
      </c>
      <c r="BA13" s="409">
        <f t="shared" si="14"/>
        <v>0</v>
      </c>
      <c r="BB13" s="409">
        <f t="shared" si="14"/>
        <v>0</v>
      </c>
      <c r="BC13" s="409">
        <f t="shared" si="14"/>
        <v>0</v>
      </c>
      <c r="BD13" s="409">
        <f t="shared" si="14"/>
        <v>0</v>
      </c>
      <c r="BE13" s="409">
        <f t="shared" si="14"/>
        <v>0</v>
      </c>
      <c r="BF13" s="409">
        <f t="shared" si="14"/>
        <v>0</v>
      </c>
      <c r="BG13" s="409">
        <f t="shared" si="15"/>
        <v>0</v>
      </c>
      <c r="BH13" s="409">
        <f t="shared" si="15"/>
        <v>0</v>
      </c>
      <c r="BI13" s="409">
        <f t="shared" si="15"/>
        <v>0</v>
      </c>
      <c r="BJ13" s="409">
        <f t="shared" si="15"/>
        <v>0</v>
      </c>
      <c r="BK13" s="409">
        <f t="shared" si="15"/>
        <v>0</v>
      </c>
      <c r="BL13" s="409">
        <f t="shared" si="15"/>
        <v>0</v>
      </c>
      <c r="BM13" s="409">
        <f t="shared" si="15"/>
        <v>0</v>
      </c>
      <c r="BN13" s="409">
        <f t="shared" si="15"/>
        <v>0</v>
      </c>
      <c r="BO13" s="409">
        <f t="shared" si="15"/>
        <v>0</v>
      </c>
      <c r="BP13" s="409">
        <f t="shared" si="15"/>
        <v>0</v>
      </c>
      <c r="BQ13" s="409">
        <f t="shared" si="16"/>
        <v>0</v>
      </c>
      <c r="BR13" s="409">
        <f t="shared" si="16"/>
        <v>0</v>
      </c>
      <c r="BS13" s="409">
        <f t="shared" si="16"/>
        <v>0</v>
      </c>
      <c r="BT13" s="409">
        <f t="shared" si="16"/>
        <v>0</v>
      </c>
      <c r="BU13" s="409">
        <f t="shared" si="16"/>
        <v>0</v>
      </c>
      <c r="BV13" s="409">
        <f t="shared" si="16"/>
        <v>0</v>
      </c>
      <c r="BW13" s="409">
        <f t="shared" si="16"/>
        <v>0</v>
      </c>
      <c r="BX13" s="409">
        <f t="shared" si="16"/>
        <v>0</v>
      </c>
      <c r="BY13" s="409">
        <f t="shared" si="16"/>
        <v>0</v>
      </c>
      <c r="BZ13" s="409">
        <f t="shared" si="16"/>
        <v>0</v>
      </c>
      <c r="CA13" s="409">
        <f t="shared" si="17"/>
        <v>0</v>
      </c>
      <c r="CB13" s="409">
        <f t="shared" si="17"/>
        <v>0</v>
      </c>
      <c r="CC13" s="409">
        <f t="shared" si="17"/>
        <v>0</v>
      </c>
      <c r="CD13" s="409">
        <f t="shared" si="17"/>
        <v>0</v>
      </c>
      <c r="CE13" s="409">
        <f t="shared" si="17"/>
        <v>0</v>
      </c>
      <c r="CF13" s="409">
        <f t="shared" si="17"/>
        <v>0</v>
      </c>
      <c r="CG13" s="409">
        <f t="shared" si="17"/>
        <v>0</v>
      </c>
      <c r="CH13" s="409">
        <f t="shared" si="17"/>
        <v>0</v>
      </c>
      <c r="CI13" s="409">
        <f t="shared" si="17"/>
        <v>0</v>
      </c>
      <c r="CJ13" s="409">
        <f t="shared" si="17"/>
        <v>0</v>
      </c>
      <c r="CK13" s="409">
        <f t="shared" si="18"/>
        <v>0</v>
      </c>
      <c r="CL13" s="409">
        <f t="shared" si="18"/>
        <v>0</v>
      </c>
      <c r="CM13" s="409">
        <f t="shared" si="18"/>
        <v>0</v>
      </c>
      <c r="CN13" s="409">
        <f t="shared" si="18"/>
        <v>0</v>
      </c>
      <c r="CO13" s="409">
        <f t="shared" si="18"/>
        <v>0</v>
      </c>
      <c r="CP13" s="409">
        <f t="shared" si="18"/>
        <v>0</v>
      </c>
      <c r="CQ13" s="409">
        <f t="shared" si="18"/>
        <v>0</v>
      </c>
      <c r="CR13" s="409">
        <f t="shared" si="18"/>
        <v>0</v>
      </c>
      <c r="CS13" s="409">
        <f t="shared" si="18"/>
        <v>0</v>
      </c>
      <c r="CT13" s="409">
        <f t="shared" si="18"/>
        <v>0</v>
      </c>
      <c r="CU13" s="409">
        <f t="shared" si="19"/>
        <v>0</v>
      </c>
      <c r="CV13" s="409">
        <f t="shared" si="19"/>
        <v>0</v>
      </c>
      <c r="CW13" s="409">
        <f t="shared" si="19"/>
        <v>0</v>
      </c>
      <c r="CX13" s="409">
        <f t="shared" si="19"/>
        <v>0</v>
      </c>
      <c r="CY13" s="409">
        <f t="shared" si="19"/>
        <v>0</v>
      </c>
      <c r="CZ13" s="409">
        <f t="shared" si="19"/>
        <v>0</v>
      </c>
      <c r="DA13" s="409">
        <f t="shared" si="19"/>
        <v>0</v>
      </c>
      <c r="DB13" s="409">
        <f t="shared" si="19"/>
        <v>0</v>
      </c>
      <c r="DC13" s="409">
        <f t="shared" si="19"/>
        <v>0</v>
      </c>
      <c r="DD13" s="409">
        <f t="shared" si="19"/>
        <v>0</v>
      </c>
      <c r="DE13" s="409">
        <f t="shared" si="20"/>
        <v>0</v>
      </c>
      <c r="DF13" s="409">
        <f t="shared" si="20"/>
        <v>0</v>
      </c>
      <c r="DG13" s="409">
        <f t="shared" si="20"/>
        <v>0</v>
      </c>
      <c r="DH13" s="409">
        <f t="shared" si="20"/>
        <v>0</v>
      </c>
      <c r="DI13" s="409">
        <f t="shared" si="20"/>
        <v>0</v>
      </c>
      <c r="DJ13" s="409">
        <f t="shared" si="20"/>
        <v>0</v>
      </c>
      <c r="DK13" s="409">
        <f t="shared" si="20"/>
        <v>0</v>
      </c>
      <c r="DL13" s="409">
        <f t="shared" si="20"/>
        <v>0</v>
      </c>
      <c r="DM13" s="409">
        <f t="shared" si="20"/>
        <v>0</v>
      </c>
      <c r="DN13" s="409">
        <f t="shared" si="20"/>
        <v>0</v>
      </c>
      <c r="DO13" s="409">
        <f t="shared" si="21"/>
        <v>0</v>
      </c>
      <c r="DP13" s="409">
        <f t="shared" si="21"/>
        <v>0</v>
      </c>
      <c r="DQ13" s="409">
        <f t="shared" si="21"/>
        <v>0</v>
      </c>
      <c r="DR13" s="409">
        <f t="shared" si="21"/>
        <v>0</v>
      </c>
      <c r="DS13" s="409">
        <f t="shared" si="21"/>
        <v>0</v>
      </c>
      <c r="DT13" s="409">
        <f t="shared" si="21"/>
        <v>0</v>
      </c>
      <c r="DU13" s="409">
        <f t="shared" si="21"/>
        <v>0</v>
      </c>
      <c r="DV13" s="409">
        <f t="shared" si="21"/>
        <v>0</v>
      </c>
      <c r="DW13" s="409">
        <f t="shared" si="21"/>
        <v>0</v>
      </c>
      <c r="DX13" s="409">
        <f t="shared" si="21"/>
        <v>0</v>
      </c>
      <c r="DY13" s="409">
        <f t="shared" si="22"/>
        <v>0</v>
      </c>
      <c r="DZ13" s="409">
        <f t="shared" si="22"/>
        <v>0</v>
      </c>
      <c r="EA13" s="409">
        <f t="shared" si="22"/>
        <v>0</v>
      </c>
      <c r="EB13" s="409">
        <f t="shared" si="22"/>
        <v>0</v>
      </c>
      <c r="EC13" s="409">
        <f t="shared" si="22"/>
        <v>0</v>
      </c>
      <c r="ED13" s="409">
        <f t="shared" si="22"/>
        <v>0</v>
      </c>
      <c r="EE13" s="409">
        <f t="shared" si="22"/>
        <v>0</v>
      </c>
      <c r="EF13" s="409">
        <f t="shared" si="22"/>
        <v>0</v>
      </c>
      <c r="EG13" s="409">
        <f t="shared" si="22"/>
        <v>0</v>
      </c>
      <c r="EH13" s="409">
        <f t="shared" si="22"/>
        <v>0</v>
      </c>
      <c r="EI13" s="409">
        <f t="shared" si="23"/>
        <v>0</v>
      </c>
      <c r="EJ13" s="409">
        <f t="shared" si="23"/>
        <v>0</v>
      </c>
      <c r="EK13" s="409">
        <f t="shared" si="23"/>
        <v>0</v>
      </c>
      <c r="EL13" s="409">
        <f t="shared" si="23"/>
        <v>0</v>
      </c>
      <c r="EM13" s="409">
        <f t="shared" si="23"/>
        <v>0</v>
      </c>
      <c r="EN13" s="409">
        <f t="shared" si="23"/>
        <v>0</v>
      </c>
      <c r="EO13" s="409">
        <f t="shared" si="23"/>
        <v>0</v>
      </c>
      <c r="EP13" s="409">
        <f t="shared" si="23"/>
        <v>0</v>
      </c>
      <c r="EQ13" s="409">
        <f t="shared" si="23"/>
        <v>0</v>
      </c>
      <c r="ER13" s="409">
        <f t="shared" si="23"/>
        <v>0</v>
      </c>
      <c r="ES13" s="409">
        <f t="shared" si="24"/>
        <v>0</v>
      </c>
      <c r="ET13" s="409">
        <f t="shared" si="24"/>
        <v>0</v>
      </c>
      <c r="EU13" s="409">
        <f t="shared" si="24"/>
        <v>0</v>
      </c>
      <c r="EV13" s="409">
        <f t="shared" si="24"/>
        <v>0</v>
      </c>
      <c r="EW13" s="409">
        <f t="shared" si="24"/>
        <v>0</v>
      </c>
      <c r="EX13" s="409">
        <f t="shared" si="24"/>
        <v>0</v>
      </c>
      <c r="EY13" s="409">
        <f t="shared" si="24"/>
        <v>0</v>
      </c>
      <c r="EZ13" s="409">
        <f t="shared" si="24"/>
        <v>0</v>
      </c>
      <c r="FA13" s="409">
        <f t="shared" si="24"/>
        <v>0</v>
      </c>
      <c r="FB13" s="409">
        <f t="shared" si="24"/>
        <v>0</v>
      </c>
      <c r="FC13" s="409">
        <f t="shared" si="25"/>
        <v>0</v>
      </c>
      <c r="FD13" s="409">
        <f t="shared" si="25"/>
        <v>0</v>
      </c>
      <c r="FE13" s="409">
        <f t="shared" si="25"/>
        <v>0</v>
      </c>
      <c r="FF13" s="409">
        <f t="shared" si="25"/>
        <v>0</v>
      </c>
      <c r="FG13" s="409">
        <f t="shared" si="25"/>
        <v>0</v>
      </c>
      <c r="FH13" s="409">
        <f t="shared" si="25"/>
        <v>0</v>
      </c>
      <c r="FI13" s="409">
        <f t="shared" si="25"/>
        <v>0</v>
      </c>
      <c r="FJ13" s="409">
        <f t="shared" si="25"/>
        <v>0</v>
      </c>
      <c r="FK13" s="409">
        <f t="shared" si="25"/>
        <v>0</v>
      </c>
      <c r="FL13" s="409">
        <f t="shared" si="25"/>
        <v>0</v>
      </c>
      <c r="FM13" s="409">
        <f t="shared" si="26"/>
        <v>0</v>
      </c>
      <c r="FN13" s="409">
        <f t="shared" si="26"/>
        <v>0</v>
      </c>
      <c r="FO13" s="409">
        <f t="shared" si="26"/>
        <v>0</v>
      </c>
      <c r="FP13" s="409">
        <f t="shared" si="26"/>
        <v>0</v>
      </c>
      <c r="FQ13" s="409">
        <f t="shared" si="26"/>
        <v>0</v>
      </c>
      <c r="FR13" s="409">
        <f t="shared" si="26"/>
        <v>0</v>
      </c>
      <c r="FS13" s="409">
        <f t="shared" si="26"/>
        <v>0</v>
      </c>
      <c r="FT13" s="409">
        <f t="shared" si="26"/>
        <v>0</v>
      </c>
      <c r="FU13" s="409">
        <f t="shared" si="26"/>
        <v>0</v>
      </c>
      <c r="FV13" s="409">
        <f t="shared" si="26"/>
        <v>0</v>
      </c>
      <c r="FW13" s="409">
        <f t="shared" si="27"/>
        <v>0</v>
      </c>
      <c r="FX13" s="409">
        <f t="shared" si="27"/>
        <v>0</v>
      </c>
      <c r="FY13" s="409">
        <f t="shared" si="27"/>
        <v>0</v>
      </c>
      <c r="FZ13" s="409">
        <f t="shared" si="27"/>
        <v>0</v>
      </c>
      <c r="GA13" s="409">
        <f t="shared" si="27"/>
        <v>0</v>
      </c>
      <c r="GB13" s="409">
        <f t="shared" si="27"/>
        <v>0</v>
      </c>
      <c r="GC13" s="409">
        <f t="shared" si="27"/>
        <v>0</v>
      </c>
      <c r="GD13" s="409">
        <f t="shared" si="27"/>
        <v>0</v>
      </c>
      <c r="GE13" s="409">
        <f t="shared" si="27"/>
        <v>0</v>
      </c>
      <c r="GF13" s="409">
        <f t="shared" si="27"/>
        <v>0</v>
      </c>
      <c r="GG13" s="409">
        <f t="shared" si="28"/>
        <v>0</v>
      </c>
      <c r="GH13" s="409">
        <f t="shared" si="28"/>
        <v>0</v>
      </c>
      <c r="GI13" s="409">
        <f t="shared" si="28"/>
        <v>0</v>
      </c>
      <c r="GJ13" s="409">
        <f t="shared" si="28"/>
        <v>0</v>
      </c>
      <c r="GK13" s="409">
        <f t="shared" si="28"/>
        <v>0</v>
      </c>
      <c r="GL13" s="409">
        <f t="shared" si="28"/>
        <v>0</v>
      </c>
      <c r="GM13" s="409">
        <f t="shared" si="28"/>
        <v>0</v>
      </c>
      <c r="GN13" s="409">
        <f t="shared" si="28"/>
        <v>0</v>
      </c>
      <c r="GO13" s="409">
        <f t="shared" si="28"/>
        <v>0</v>
      </c>
      <c r="GP13" s="409">
        <f t="shared" si="28"/>
        <v>0</v>
      </c>
      <c r="GQ13" s="409">
        <f t="shared" si="29"/>
        <v>0</v>
      </c>
      <c r="GR13" s="409">
        <f t="shared" si="29"/>
        <v>0</v>
      </c>
      <c r="GS13" s="409">
        <f t="shared" si="29"/>
        <v>0</v>
      </c>
      <c r="GT13" s="409">
        <f t="shared" si="29"/>
        <v>0</v>
      </c>
      <c r="GU13" s="409">
        <f t="shared" si="29"/>
        <v>0</v>
      </c>
      <c r="GV13" s="409">
        <f t="shared" si="29"/>
        <v>0</v>
      </c>
      <c r="GW13" s="409">
        <f t="shared" si="29"/>
        <v>0</v>
      </c>
      <c r="GX13" s="409">
        <f t="shared" si="29"/>
        <v>0</v>
      </c>
      <c r="GY13" s="409">
        <f t="shared" si="29"/>
        <v>0</v>
      </c>
      <c r="GZ13" s="409">
        <f t="shared" si="29"/>
        <v>0</v>
      </c>
      <c r="HA13" s="409">
        <f t="shared" si="30"/>
        <v>0</v>
      </c>
      <c r="HB13" s="409">
        <f t="shared" si="30"/>
        <v>0</v>
      </c>
      <c r="HC13" s="409">
        <f t="shared" si="30"/>
        <v>0</v>
      </c>
      <c r="HD13" s="409">
        <f t="shared" si="30"/>
        <v>0</v>
      </c>
      <c r="HE13" s="409">
        <f t="shared" si="30"/>
        <v>0</v>
      </c>
      <c r="HF13" s="409">
        <f t="shared" si="30"/>
        <v>0</v>
      </c>
      <c r="HG13" s="409">
        <f t="shared" si="30"/>
        <v>0</v>
      </c>
      <c r="HH13" s="409">
        <f t="shared" si="30"/>
        <v>0</v>
      </c>
      <c r="HI13" s="409">
        <f t="shared" si="30"/>
        <v>0</v>
      </c>
      <c r="HJ13" s="409">
        <f t="shared" si="30"/>
        <v>0</v>
      </c>
      <c r="HK13" s="409">
        <f t="shared" si="31"/>
        <v>0</v>
      </c>
      <c r="HL13" s="409">
        <f t="shared" si="31"/>
        <v>0</v>
      </c>
      <c r="HM13" s="409">
        <f t="shared" si="31"/>
        <v>0</v>
      </c>
      <c r="HN13" s="409">
        <f t="shared" si="31"/>
        <v>0</v>
      </c>
      <c r="HO13" s="409">
        <f t="shared" si="31"/>
        <v>0</v>
      </c>
      <c r="HP13" s="409">
        <f t="shared" si="31"/>
        <v>0</v>
      </c>
      <c r="HQ13" s="409">
        <f t="shared" si="31"/>
        <v>0</v>
      </c>
      <c r="HR13" s="409">
        <f t="shared" si="31"/>
        <v>0</v>
      </c>
      <c r="HS13" s="409">
        <f t="shared" si="31"/>
        <v>0</v>
      </c>
      <c r="HT13" s="409">
        <f t="shared" si="31"/>
        <v>0</v>
      </c>
      <c r="HU13" s="409">
        <f t="shared" si="32"/>
        <v>0</v>
      </c>
      <c r="HV13" s="409">
        <f t="shared" si="32"/>
        <v>0</v>
      </c>
      <c r="HW13" s="409">
        <f t="shared" si="32"/>
        <v>0</v>
      </c>
      <c r="HX13" s="409">
        <f t="shared" si="32"/>
        <v>0</v>
      </c>
      <c r="HY13" s="409">
        <f t="shared" si="32"/>
        <v>0</v>
      </c>
      <c r="HZ13" s="409">
        <f t="shared" si="32"/>
        <v>0</v>
      </c>
      <c r="IA13" s="409">
        <f t="shared" si="32"/>
        <v>0</v>
      </c>
      <c r="IB13" s="409">
        <f t="shared" si="32"/>
        <v>0</v>
      </c>
      <c r="IC13" s="409">
        <f t="shared" si="32"/>
        <v>0</v>
      </c>
      <c r="ID13" s="409">
        <f t="shared" si="32"/>
        <v>0</v>
      </c>
      <c r="IE13" s="409">
        <f t="shared" si="33"/>
        <v>0</v>
      </c>
      <c r="IF13" s="409">
        <f t="shared" si="33"/>
        <v>0</v>
      </c>
      <c r="IG13" s="409">
        <f t="shared" si="33"/>
        <v>0</v>
      </c>
      <c r="IH13" s="409">
        <f t="shared" si="33"/>
        <v>0</v>
      </c>
      <c r="II13" s="409">
        <f t="shared" si="33"/>
        <v>0</v>
      </c>
      <c r="IJ13" s="409">
        <f t="shared" si="33"/>
        <v>0</v>
      </c>
      <c r="IK13" s="378">
        <f t="shared" si="54"/>
        <v>6</v>
      </c>
    </row>
    <row r="14" spans="1:245" hidden="1" x14ac:dyDescent="0.2">
      <c r="A14" s="380" t="str">
        <f t="shared" si="34"/>
        <v>x</v>
      </c>
      <c r="B14" s="712" t="str">
        <f>IF(ISERROR(INDEX('Legend(DX)'!$H$8:$H$9,7)),"",INDEX('Legend(DX)'!$H$8:$H$9,7))</f>
        <v/>
      </c>
      <c r="C14" s="712" t="e">
        <f>IF(INDEX('Legend(DX)'!$T$8:$T$9,7)=0,"See Legend",INDEX('Legend(DX)'!$T$8:$T$9,7))</f>
        <v>#REF!</v>
      </c>
      <c r="D14" s="712" t="e">
        <f>IF(INDEX('Legend(DX)'!$R$8:$R$9,(ROW(C14))-7)=0,IF(AND(INDEX('Legend(DX)'!$D$8:$D$9,(ROW(C14))-6)="CH",INDEX('Legend(DX)'!$F$8:$F$9,(ROW(C14))-6)="CASE - MANUAL"),INDEX('Legend(DX)'!$R$8:$R$9,(ROW(C14))-6),IF(INDEX('Legend(DX)'!$V$8:$V$9,(ROW(C14))-7)&gt;1, "(" &amp; INDEX('Legend(DX)'!$V$8:$V$9,(ROW(C14))-7) &amp; ") " &amp; INDEX('Legend(DX)'!$W$8:$W$9,(ROW(C14))-6),INDEX('Legend(DX)'!$W$8:$W$9,(ROW(C14))-7))),INDEX('Legend(DX)'!$R$8:$R$9,(ROW(C14))-7))</f>
        <v>#REF!</v>
      </c>
      <c r="E14" s="713" t="str" cm="1">
        <f t="array" ref="E14">IF(OR(ISNUMBER(SEARCH("Skid",C14)),ISNUMBER(SEARCH("Subcooler",C14)),ISNUMBER(SEARCH("Pump",C14)),ISNUMBER(SEARCH("PH",C14))),0,IF(ISERROR(INDEX('Legend(DX)'!$AA$8:$AA$9,ROW()-7)),"",INDEX('Legend(DX)'!$AA$8:$AA$9,ROW()-7)))</f>
        <v/>
      </c>
      <c r="F14" s="714"/>
      <c r="G14" s="714"/>
      <c r="H14" s="714"/>
      <c r="I14" s="714"/>
      <c r="J14" s="714"/>
      <c r="K14" s="890">
        <f t="shared" si="35"/>
        <v>0</v>
      </c>
      <c r="L14" s="717"/>
      <c r="M14" s="1303"/>
      <c r="N14" s="972">
        <f t="shared" si="7"/>
        <v>-1</v>
      </c>
      <c r="O14" s="972">
        <f t="shared" si="36"/>
        <v>-1</v>
      </c>
      <c r="P14" s="972">
        <f t="shared" si="8"/>
        <v>-1</v>
      </c>
      <c r="Q14" s="972">
        <f t="shared" si="37"/>
        <v>-1</v>
      </c>
      <c r="R14" s="972">
        <f t="shared" si="9"/>
        <v>-1</v>
      </c>
      <c r="S14" s="972">
        <f t="shared" si="38"/>
        <v>-1</v>
      </c>
      <c r="T14" s="972">
        <f t="shared" si="10"/>
        <v>-1</v>
      </c>
      <c r="U14" s="972">
        <f t="shared" si="39"/>
        <v>-1</v>
      </c>
      <c r="V14" s="972">
        <f t="shared" si="11"/>
        <v>-1</v>
      </c>
      <c r="W14" s="972">
        <f t="shared" si="40"/>
        <v>-1</v>
      </c>
      <c r="X14" s="972">
        <f t="shared" si="12"/>
        <v>-1</v>
      </c>
      <c r="Y14" s="972">
        <f t="shared" si="41"/>
        <v>-1</v>
      </c>
      <c r="Z14" s="972">
        <f t="shared" si="42"/>
        <v>-1</v>
      </c>
      <c r="AA14" s="972">
        <f t="shared" si="43"/>
        <v>-1</v>
      </c>
      <c r="AB14" s="972">
        <f t="shared" si="44"/>
        <v>-1</v>
      </c>
      <c r="AC14" s="972">
        <f t="shared" si="45"/>
        <v>-1</v>
      </c>
      <c r="AD14" s="972">
        <f t="shared" si="46"/>
        <v>-1</v>
      </c>
      <c r="AE14" s="972">
        <f t="shared" si="47"/>
        <v>-1</v>
      </c>
      <c r="AF14" s="972">
        <f t="shared" si="48"/>
        <v>-1</v>
      </c>
      <c r="AG14" s="972">
        <f t="shared" si="49"/>
        <v>-1</v>
      </c>
      <c r="AH14" s="972">
        <f t="shared" si="50"/>
        <v>-1</v>
      </c>
      <c r="AI14" s="972">
        <f t="shared" si="51"/>
        <v>-1</v>
      </c>
      <c r="AJ14" s="972">
        <f t="shared" si="52"/>
        <v>-1</v>
      </c>
      <c r="AK14" s="381" t="str">
        <f>IF(ISERROR(INDEX('Legend(DX)'!$AI$8:$AI$9,IK14)),"",INDEX('Legend(DX)'!$AI$8:$AI$9,IK14))</f>
        <v/>
      </c>
      <c r="AL14" s="727" t="str">
        <f t="shared" si="55"/>
        <v/>
      </c>
      <c r="AM14" s="409">
        <f t="shared" si="13"/>
        <v>0</v>
      </c>
      <c r="AN14" s="409">
        <f t="shared" si="13"/>
        <v>0</v>
      </c>
      <c r="AO14" s="409">
        <f t="shared" si="13"/>
        <v>0</v>
      </c>
      <c r="AP14" s="409">
        <f t="shared" si="13"/>
        <v>0</v>
      </c>
      <c r="AQ14" s="409">
        <f t="shared" si="13"/>
        <v>0</v>
      </c>
      <c r="AR14" s="409">
        <f t="shared" si="13"/>
        <v>0</v>
      </c>
      <c r="AS14" s="409">
        <f t="shared" si="13"/>
        <v>0</v>
      </c>
      <c r="AT14" s="409">
        <f t="shared" si="13"/>
        <v>0</v>
      </c>
      <c r="AU14" s="409">
        <f t="shared" si="13"/>
        <v>0</v>
      </c>
      <c r="AV14" s="409">
        <f t="shared" si="13"/>
        <v>0</v>
      </c>
      <c r="AW14" s="409">
        <f t="shared" si="14"/>
        <v>0</v>
      </c>
      <c r="AX14" s="409">
        <f t="shared" si="14"/>
        <v>0</v>
      </c>
      <c r="AY14" s="409">
        <f t="shared" si="14"/>
        <v>0</v>
      </c>
      <c r="AZ14" s="409">
        <f t="shared" si="14"/>
        <v>0</v>
      </c>
      <c r="BA14" s="409">
        <f t="shared" si="14"/>
        <v>0</v>
      </c>
      <c r="BB14" s="409">
        <f t="shared" si="14"/>
        <v>0</v>
      </c>
      <c r="BC14" s="409">
        <f t="shared" si="14"/>
        <v>0</v>
      </c>
      <c r="BD14" s="409">
        <f t="shared" si="14"/>
        <v>0</v>
      </c>
      <c r="BE14" s="409">
        <f t="shared" si="14"/>
        <v>0</v>
      </c>
      <c r="BF14" s="409">
        <f t="shared" si="14"/>
        <v>0</v>
      </c>
      <c r="BG14" s="409">
        <f t="shared" si="15"/>
        <v>0</v>
      </c>
      <c r="BH14" s="409">
        <f t="shared" si="15"/>
        <v>0</v>
      </c>
      <c r="BI14" s="409">
        <f t="shared" si="15"/>
        <v>0</v>
      </c>
      <c r="BJ14" s="409">
        <f t="shared" si="15"/>
        <v>0</v>
      </c>
      <c r="BK14" s="409">
        <f t="shared" si="15"/>
        <v>0</v>
      </c>
      <c r="BL14" s="409">
        <f t="shared" si="15"/>
        <v>0</v>
      </c>
      <c r="BM14" s="409">
        <f t="shared" si="15"/>
        <v>0</v>
      </c>
      <c r="BN14" s="409">
        <f t="shared" si="15"/>
        <v>0</v>
      </c>
      <c r="BO14" s="409">
        <f t="shared" si="15"/>
        <v>0</v>
      </c>
      <c r="BP14" s="409">
        <f t="shared" si="15"/>
        <v>0</v>
      </c>
      <c r="BQ14" s="409">
        <f t="shared" si="16"/>
        <v>0</v>
      </c>
      <c r="BR14" s="409">
        <f t="shared" si="16"/>
        <v>0</v>
      </c>
      <c r="BS14" s="409">
        <f t="shared" si="16"/>
        <v>0</v>
      </c>
      <c r="BT14" s="409">
        <f t="shared" si="16"/>
        <v>0</v>
      </c>
      <c r="BU14" s="409">
        <f t="shared" si="16"/>
        <v>0</v>
      </c>
      <c r="BV14" s="409">
        <f t="shared" si="16"/>
        <v>0</v>
      </c>
      <c r="BW14" s="409">
        <f t="shared" si="16"/>
        <v>0</v>
      </c>
      <c r="BX14" s="409">
        <f t="shared" si="16"/>
        <v>0</v>
      </c>
      <c r="BY14" s="409">
        <f t="shared" si="16"/>
        <v>0</v>
      </c>
      <c r="BZ14" s="409">
        <f t="shared" si="16"/>
        <v>0</v>
      </c>
      <c r="CA14" s="409">
        <f t="shared" si="17"/>
        <v>0</v>
      </c>
      <c r="CB14" s="409">
        <f t="shared" si="17"/>
        <v>0</v>
      </c>
      <c r="CC14" s="409">
        <f t="shared" si="17"/>
        <v>0</v>
      </c>
      <c r="CD14" s="409">
        <f t="shared" si="17"/>
        <v>0</v>
      </c>
      <c r="CE14" s="409">
        <f t="shared" si="17"/>
        <v>0</v>
      </c>
      <c r="CF14" s="409">
        <f t="shared" si="17"/>
        <v>0</v>
      </c>
      <c r="CG14" s="409">
        <f t="shared" si="17"/>
        <v>0</v>
      </c>
      <c r="CH14" s="409">
        <f t="shared" si="17"/>
        <v>0</v>
      </c>
      <c r="CI14" s="409">
        <f t="shared" si="17"/>
        <v>0</v>
      </c>
      <c r="CJ14" s="409">
        <f t="shared" si="17"/>
        <v>0</v>
      </c>
      <c r="CK14" s="409">
        <f t="shared" si="18"/>
        <v>0</v>
      </c>
      <c r="CL14" s="409">
        <f t="shared" si="18"/>
        <v>0</v>
      </c>
      <c r="CM14" s="409">
        <f t="shared" si="18"/>
        <v>0</v>
      </c>
      <c r="CN14" s="409">
        <f t="shared" si="18"/>
        <v>0</v>
      </c>
      <c r="CO14" s="409">
        <f t="shared" si="18"/>
        <v>0</v>
      </c>
      <c r="CP14" s="409">
        <f t="shared" si="18"/>
        <v>0</v>
      </c>
      <c r="CQ14" s="409">
        <f t="shared" si="18"/>
        <v>0</v>
      </c>
      <c r="CR14" s="409">
        <f t="shared" si="18"/>
        <v>0</v>
      </c>
      <c r="CS14" s="409">
        <f t="shared" si="18"/>
        <v>0</v>
      </c>
      <c r="CT14" s="409">
        <f t="shared" si="18"/>
        <v>0</v>
      </c>
      <c r="CU14" s="409">
        <f t="shared" si="19"/>
        <v>0</v>
      </c>
      <c r="CV14" s="409">
        <f t="shared" si="19"/>
        <v>0</v>
      </c>
      <c r="CW14" s="409">
        <f t="shared" si="19"/>
        <v>0</v>
      </c>
      <c r="CX14" s="409">
        <f t="shared" si="19"/>
        <v>0</v>
      </c>
      <c r="CY14" s="409">
        <f t="shared" si="19"/>
        <v>0</v>
      </c>
      <c r="CZ14" s="409">
        <f t="shared" si="19"/>
        <v>0</v>
      </c>
      <c r="DA14" s="409">
        <f t="shared" si="19"/>
        <v>0</v>
      </c>
      <c r="DB14" s="409">
        <f t="shared" si="19"/>
        <v>0</v>
      </c>
      <c r="DC14" s="409">
        <f t="shared" si="19"/>
        <v>0</v>
      </c>
      <c r="DD14" s="409">
        <f t="shared" si="19"/>
        <v>0</v>
      </c>
      <c r="DE14" s="409">
        <f t="shared" si="20"/>
        <v>0</v>
      </c>
      <c r="DF14" s="409">
        <f t="shared" si="20"/>
        <v>0</v>
      </c>
      <c r="DG14" s="409">
        <f t="shared" si="20"/>
        <v>0</v>
      </c>
      <c r="DH14" s="409">
        <f t="shared" si="20"/>
        <v>0</v>
      </c>
      <c r="DI14" s="409">
        <f t="shared" si="20"/>
        <v>0</v>
      </c>
      <c r="DJ14" s="409">
        <f t="shared" si="20"/>
        <v>0</v>
      </c>
      <c r="DK14" s="409">
        <f t="shared" si="20"/>
        <v>0</v>
      </c>
      <c r="DL14" s="409">
        <f t="shared" si="20"/>
        <v>0</v>
      </c>
      <c r="DM14" s="409">
        <f t="shared" si="20"/>
        <v>0</v>
      </c>
      <c r="DN14" s="409">
        <f t="shared" si="20"/>
        <v>0</v>
      </c>
      <c r="DO14" s="409">
        <f t="shared" si="21"/>
        <v>0</v>
      </c>
      <c r="DP14" s="409">
        <f t="shared" si="21"/>
        <v>0</v>
      </c>
      <c r="DQ14" s="409">
        <f t="shared" si="21"/>
        <v>0</v>
      </c>
      <c r="DR14" s="409">
        <f t="shared" si="21"/>
        <v>0</v>
      </c>
      <c r="DS14" s="409">
        <f t="shared" si="21"/>
        <v>0</v>
      </c>
      <c r="DT14" s="409">
        <f t="shared" si="21"/>
        <v>0</v>
      </c>
      <c r="DU14" s="409">
        <f t="shared" si="21"/>
        <v>0</v>
      </c>
      <c r="DV14" s="409">
        <f t="shared" si="21"/>
        <v>0</v>
      </c>
      <c r="DW14" s="409">
        <f t="shared" si="21"/>
        <v>0</v>
      </c>
      <c r="DX14" s="409">
        <f t="shared" si="21"/>
        <v>0</v>
      </c>
      <c r="DY14" s="409">
        <f t="shared" si="22"/>
        <v>0</v>
      </c>
      <c r="DZ14" s="409">
        <f t="shared" si="22"/>
        <v>0</v>
      </c>
      <c r="EA14" s="409">
        <f t="shared" si="22"/>
        <v>0</v>
      </c>
      <c r="EB14" s="409">
        <f t="shared" si="22"/>
        <v>0</v>
      </c>
      <c r="EC14" s="409">
        <f t="shared" si="22"/>
        <v>0</v>
      </c>
      <c r="ED14" s="409">
        <f t="shared" si="22"/>
        <v>0</v>
      </c>
      <c r="EE14" s="409">
        <f t="shared" si="22"/>
        <v>0</v>
      </c>
      <c r="EF14" s="409">
        <f t="shared" si="22"/>
        <v>0</v>
      </c>
      <c r="EG14" s="409">
        <f t="shared" si="22"/>
        <v>0</v>
      </c>
      <c r="EH14" s="409">
        <f t="shared" si="22"/>
        <v>0</v>
      </c>
      <c r="EI14" s="409">
        <f t="shared" si="23"/>
        <v>0</v>
      </c>
      <c r="EJ14" s="409">
        <f t="shared" si="23"/>
        <v>0</v>
      </c>
      <c r="EK14" s="409">
        <f t="shared" si="23"/>
        <v>0</v>
      </c>
      <c r="EL14" s="409">
        <f t="shared" si="23"/>
        <v>0</v>
      </c>
      <c r="EM14" s="409">
        <f t="shared" si="23"/>
        <v>0</v>
      </c>
      <c r="EN14" s="409">
        <f t="shared" si="23"/>
        <v>0</v>
      </c>
      <c r="EO14" s="409">
        <f t="shared" si="23"/>
        <v>0</v>
      </c>
      <c r="EP14" s="409">
        <f t="shared" si="23"/>
        <v>0</v>
      </c>
      <c r="EQ14" s="409">
        <f t="shared" si="23"/>
        <v>0</v>
      </c>
      <c r="ER14" s="409">
        <f t="shared" si="23"/>
        <v>0</v>
      </c>
      <c r="ES14" s="409">
        <f t="shared" si="24"/>
        <v>0</v>
      </c>
      <c r="ET14" s="409">
        <f t="shared" si="24"/>
        <v>0</v>
      </c>
      <c r="EU14" s="409">
        <f t="shared" si="24"/>
        <v>0</v>
      </c>
      <c r="EV14" s="409">
        <f t="shared" si="24"/>
        <v>0</v>
      </c>
      <c r="EW14" s="409">
        <f t="shared" si="24"/>
        <v>0</v>
      </c>
      <c r="EX14" s="409">
        <f t="shared" si="24"/>
        <v>0</v>
      </c>
      <c r="EY14" s="409">
        <f t="shared" si="24"/>
        <v>0</v>
      </c>
      <c r="EZ14" s="409">
        <f t="shared" si="24"/>
        <v>0</v>
      </c>
      <c r="FA14" s="409">
        <f t="shared" si="24"/>
        <v>0</v>
      </c>
      <c r="FB14" s="409">
        <f t="shared" si="24"/>
        <v>0</v>
      </c>
      <c r="FC14" s="409">
        <f t="shared" si="25"/>
        <v>0</v>
      </c>
      <c r="FD14" s="409">
        <f t="shared" si="25"/>
        <v>0</v>
      </c>
      <c r="FE14" s="409">
        <f t="shared" si="25"/>
        <v>0</v>
      </c>
      <c r="FF14" s="409">
        <f t="shared" si="25"/>
        <v>0</v>
      </c>
      <c r="FG14" s="409">
        <f t="shared" si="25"/>
        <v>0</v>
      </c>
      <c r="FH14" s="409">
        <f t="shared" si="25"/>
        <v>0</v>
      </c>
      <c r="FI14" s="409">
        <f t="shared" si="25"/>
        <v>0</v>
      </c>
      <c r="FJ14" s="409">
        <f t="shared" si="25"/>
        <v>0</v>
      </c>
      <c r="FK14" s="409">
        <f t="shared" si="25"/>
        <v>0</v>
      </c>
      <c r="FL14" s="409">
        <f t="shared" si="25"/>
        <v>0</v>
      </c>
      <c r="FM14" s="409">
        <f t="shared" si="26"/>
        <v>0</v>
      </c>
      <c r="FN14" s="409">
        <f t="shared" si="26"/>
        <v>0</v>
      </c>
      <c r="FO14" s="409">
        <f t="shared" si="26"/>
        <v>0</v>
      </c>
      <c r="FP14" s="409">
        <f t="shared" si="26"/>
        <v>0</v>
      </c>
      <c r="FQ14" s="409">
        <f t="shared" si="26"/>
        <v>0</v>
      </c>
      <c r="FR14" s="409">
        <f t="shared" si="26"/>
        <v>0</v>
      </c>
      <c r="FS14" s="409">
        <f t="shared" si="26"/>
        <v>0</v>
      </c>
      <c r="FT14" s="409">
        <f t="shared" si="26"/>
        <v>0</v>
      </c>
      <c r="FU14" s="409">
        <f t="shared" si="26"/>
        <v>0</v>
      </c>
      <c r="FV14" s="409">
        <f t="shared" si="26"/>
        <v>0</v>
      </c>
      <c r="FW14" s="409">
        <f t="shared" si="27"/>
        <v>0</v>
      </c>
      <c r="FX14" s="409">
        <f t="shared" si="27"/>
        <v>0</v>
      </c>
      <c r="FY14" s="409">
        <f t="shared" si="27"/>
        <v>0</v>
      </c>
      <c r="FZ14" s="409">
        <f t="shared" si="27"/>
        <v>0</v>
      </c>
      <c r="GA14" s="409">
        <f t="shared" si="27"/>
        <v>0</v>
      </c>
      <c r="GB14" s="409">
        <f t="shared" si="27"/>
        <v>0</v>
      </c>
      <c r="GC14" s="409">
        <f t="shared" si="27"/>
        <v>0</v>
      </c>
      <c r="GD14" s="409">
        <f t="shared" si="27"/>
        <v>0</v>
      </c>
      <c r="GE14" s="409">
        <f t="shared" si="27"/>
        <v>0</v>
      </c>
      <c r="GF14" s="409">
        <f t="shared" si="27"/>
        <v>0</v>
      </c>
      <c r="GG14" s="409">
        <f t="shared" si="28"/>
        <v>0</v>
      </c>
      <c r="GH14" s="409">
        <f t="shared" si="28"/>
        <v>0</v>
      </c>
      <c r="GI14" s="409">
        <f t="shared" si="28"/>
        <v>0</v>
      </c>
      <c r="GJ14" s="409">
        <f t="shared" si="28"/>
        <v>0</v>
      </c>
      <c r="GK14" s="409">
        <f t="shared" si="28"/>
        <v>0</v>
      </c>
      <c r="GL14" s="409">
        <f t="shared" si="28"/>
        <v>0</v>
      </c>
      <c r="GM14" s="409">
        <f t="shared" si="28"/>
        <v>0</v>
      </c>
      <c r="GN14" s="409">
        <f t="shared" si="28"/>
        <v>0</v>
      </c>
      <c r="GO14" s="409">
        <f t="shared" si="28"/>
        <v>0</v>
      </c>
      <c r="GP14" s="409">
        <f t="shared" si="28"/>
        <v>0</v>
      </c>
      <c r="GQ14" s="409">
        <f t="shared" si="29"/>
        <v>0</v>
      </c>
      <c r="GR14" s="409">
        <f t="shared" si="29"/>
        <v>0</v>
      </c>
      <c r="GS14" s="409">
        <f t="shared" si="29"/>
        <v>0</v>
      </c>
      <c r="GT14" s="409">
        <f t="shared" si="29"/>
        <v>0</v>
      </c>
      <c r="GU14" s="409">
        <f t="shared" si="29"/>
        <v>0</v>
      </c>
      <c r="GV14" s="409">
        <f t="shared" si="29"/>
        <v>0</v>
      </c>
      <c r="GW14" s="409">
        <f t="shared" si="29"/>
        <v>0</v>
      </c>
      <c r="GX14" s="409">
        <f t="shared" si="29"/>
        <v>0</v>
      </c>
      <c r="GY14" s="409">
        <f t="shared" si="29"/>
        <v>0</v>
      </c>
      <c r="GZ14" s="409">
        <f t="shared" si="29"/>
        <v>0</v>
      </c>
      <c r="HA14" s="409">
        <f t="shared" si="30"/>
        <v>0</v>
      </c>
      <c r="HB14" s="409">
        <f t="shared" si="30"/>
        <v>0</v>
      </c>
      <c r="HC14" s="409">
        <f t="shared" si="30"/>
        <v>0</v>
      </c>
      <c r="HD14" s="409">
        <f t="shared" si="30"/>
        <v>0</v>
      </c>
      <c r="HE14" s="409">
        <f t="shared" si="30"/>
        <v>0</v>
      </c>
      <c r="HF14" s="409">
        <f t="shared" si="30"/>
        <v>0</v>
      </c>
      <c r="HG14" s="409">
        <f t="shared" si="30"/>
        <v>0</v>
      </c>
      <c r="HH14" s="409">
        <f t="shared" si="30"/>
        <v>0</v>
      </c>
      <c r="HI14" s="409">
        <f t="shared" si="30"/>
        <v>0</v>
      </c>
      <c r="HJ14" s="409">
        <f t="shared" si="30"/>
        <v>0</v>
      </c>
      <c r="HK14" s="409">
        <f t="shared" si="31"/>
        <v>0</v>
      </c>
      <c r="HL14" s="409">
        <f t="shared" si="31"/>
        <v>0</v>
      </c>
      <c r="HM14" s="409">
        <f t="shared" si="31"/>
        <v>0</v>
      </c>
      <c r="HN14" s="409">
        <f t="shared" si="31"/>
        <v>0</v>
      </c>
      <c r="HO14" s="409">
        <f t="shared" si="31"/>
        <v>0</v>
      </c>
      <c r="HP14" s="409">
        <f t="shared" si="31"/>
        <v>0</v>
      </c>
      <c r="HQ14" s="409">
        <f t="shared" si="31"/>
        <v>0</v>
      </c>
      <c r="HR14" s="409">
        <f t="shared" si="31"/>
        <v>0</v>
      </c>
      <c r="HS14" s="409">
        <f t="shared" si="31"/>
        <v>0</v>
      </c>
      <c r="HT14" s="409">
        <f t="shared" si="31"/>
        <v>0</v>
      </c>
      <c r="HU14" s="409">
        <f t="shared" si="32"/>
        <v>0</v>
      </c>
      <c r="HV14" s="409">
        <f t="shared" si="32"/>
        <v>0</v>
      </c>
      <c r="HW14" s="409">
        <f t="shared" si="32"/>
        <v>0</v>
      </c>
      <c r="HX14" s="409">
        <f t="shared" si="32"/>
        <v>0</v>
      </c>
      <c r="HY14" s="409">
        <f t="shared" si="32"/>
        <v>0</v>
      </c>
      <c r="HZ14" s="409">
        <f t="shared" si="32"/>
        <v>0</v>
      </c>
      <c r="IA14" s="409">
        <f t="shared" si="32"/>
        <v>0</v>
      </c>
      <c r="IB14" s="409">
        <f t="shared" si="32"/>
        <v>0</v>
      </c>
      <c r="IC14" s="409">
        <f t="shared" si="32"/>
        <v>0</v>
      </c>
      <c r="ID14" s="409">
        <f t="shared" si="32"/>
        <v>0</v>
      </c>
      <c r="IE14" s="409">
        <f t="shared" si="33"/>
        <v>0</v>
      </c>
      <c r="IF14" s="409">
        <f t="shared" si="33"/>
        <v>0</v>
      </c>
      <c r="IG14" s="409">
        <f t="shared" si="33"/>
        <v>0</v>
      </c>
      <c r="IH14" s="409">
        <f t="shared" si="33"/>
        <v>0</v>
      </c>
      <c r="II14" s="409">
        <f t="shared" si="33"/>
        <v>0</v>
      </c>
      <c r="IJ14" s="409">
        <f t="shared" si="33"/>
        <v>0</v>
      </c>
      <c r="IK14" s="378">
        <f t="shared" si="54"/>
        <v>7</v>
      </c>
    </row>
    <row r="15" spans="1:245" hidden="1" x14ac:dyDescent="0.2">
      <c r="A15" s="380" t="str">
        <f t="shared" si="34"/>
        <v>x</v>
      </c>
      <c r="B15" s="712" t="str">
        <f>IF(ISERROR(INDEX('Legend(DX)'!$H$8:$H$9,8)),"",INDEX('Legend(DX)'!$H$8:$H$9,8))</f>
        <v/>
      </c>
      <c r="C15" s="712" t="e">
        <f>IF(INDEX('Legend(DX)'!$T$8:$T$9,8)=0,"See Legend",INDEX('Legend(DX)'!$T$8:$T$9,8))</f>
        <v>#REF!</v>
      </c>
      <c r="D15" s="712" t="e">
        <f>IF(INDEX('Legend(DX)'!$R$8:$R$9,(ROW(C15))-7)=0,IF(AND(INDEX('Legend(DX)'!$D$8:$D$9,(ROW(C15))-6)="CH",INDEX('Legend(DX)'!$F$8:$F$9,(ROW(C15))-6)="CASE - MANUAL"),INDEX('Legend(DX)'!$R$8:$R$9,(ROW(C15))-6),IF(INDEX('Legend(DX)'!$V$8:$V$9,(ROW(C15))-7)&gt;1, "(" &amp; INDEX('Legend(DX)'!$V$8:$V$9,(ROW(C15))-7) &amp; ") " &amp; INDEX('Legend(DX)'!$W$8:$W$9,(ROW(C15))-6),INDEX('Legend(DX)'!$W$8:$W$9,(ROW(C15))-7))),INDEX('Legend(DX)'!$R$8:$R$9,(ROW(C15))-7))</f>
        <v>#REF!</v>
      </c>
      <c r="E15" s="713" t="str" cm="1">
        <f t="array" ref="E15">IF(OR(ISNUMBER(SEARCH("Skid",C15)),ISNUMBER(SEARCH("Subcooler",C15)),ISNUMBER(SEARCH("Pump",C15)),ISNUMBER(SEARCH("PH",C15))),0,IF(ISERROR(INDEX('Legend(DX)'!$AA$8:$AA$9,ROW()-7)),"",INDEX('Legend(DX)'!$AA$8:$AA$9,ROW()-7)))</f>
        <v/>
      </c>
      <c r="F15" s="714"/>
      <c r="G15" s="714"/>
      <c r="H15" s="714"/>
      <c r="I15" s="714"/>
      <c r="J15" s="714"/>
      <c r="K15" s="890">
        <f t="shared" si="35"/>
        <v>0</v>
      </c>
      <c r="L15" s="717"/>
      <c r="M15" s="1303"/>
      <c r="N15" s="972">
        <f t="shared" si="7"/>
        <v>-1</v>
      </c>
      <c r="O15" s="972">
        <f t="shared" si="36"/>
        <v>-1</v>
      </c>
      <c r="P15" s="972">
        <f t="shared" si="8"/>
        <v>-1</v>
      </c>
      <c r="Q15" s="972">
        <f t="shared" si="37"/>
        <v>-1</v>
      </c>
      <c r="R15" s="972">
        <f t="shared" si="9"/>
        <v>-1</v>
      </c>
      <c r="S15" s="972">
        <f t="shared" si="38"/>
        <v>-1</v>
      </c>
      <c r="T15" s="972">
        <f t="shared" si="10"/>
        <v>-1</v>
      </c>
      <c r="U15" s="972">
        <f t="shared" si="39"/>
        <v>-1</v>
      </c>
      <c r="V15" s="972">
        <f t="shared" si="11"/>
        <v>-1</v>
      </c>
      <c r="W15" s="972">
        <f t="shared" si="40"/>
        <v>-1</v>
      </c>
      <c r="X15" s="972">
        <f t="shared" si="12"/>
        <v>-1</v>
      </c>
      <c r="Y15" s="972">
        <f t="shared" si="41"/>
        <v>-1</v>
      </c>
      <c r="Z15" s="972">
        <f t="shared" si="42"/>
        <v>-1</v>
      </c>
      <c r="AA15" s="972">
        <f t="shared" si="43"/>
        <v>-1</v>
      </c>
      <c r="AB15" s="972">
        <f t="shared" si="44"/>
        <v>-1</v>
      </c>
      <c r="AC15" s="972">
        <f t="shared" si="45"/>
        <v>-1</v>
      </c>
      <c r="AD15" s="972">
        <f t="shared" si="46"/>
        <v>-1</v>
      </c>
      <c r="AE15" s="972">
        <f t="shared" si="47"/>
        <v>-1</v>
      </c>
      <c r="AF15" s="972">
        <f t="shared" si="48"/>
        <v>-1</v>
      </c>
      <c r="AG15" s="972">
        <f t="shared" si="49"/>
        <v>-1</v>
      </c>
      <c r="AH15" s="972">
        <f t="shared" si="50"/>
        <v>-1</v>
      </c>
      <c r="AI15" s="972">
        <f t="shared" si="51"/>
        <v>-1</v>
      </c>
      <c r="AJ15" s="972">
        <f t="shared" si="52"/>
        <v>-1</v>
      </c>
      <c r="AK15" s="381" t="str">
        <f>IF(ISERROR(INDEX('Legend(DX)'!$AI$8:$AI$9,IK15)),"",INDEX('Legend(DX)'!$AI$8:$AI$9,IK15))</f>
        <v/>
      </c>
      <c r="AL15" s="727" t="str">
        <f t="shared" si="55"/>
        <v/>
      </c>
      <c r="AM15" s="409">
        <f t="shared" si="13"/>
        <v>0</v>
      </c>
      <c r="AN15" s="409">
        <f t="shared" si="13"/>
        <v>0</v>
      </c>
      <c r="AO15" s="409">
        <f t="shared" si="13"/>
        <v>0</v>
      </c>
      <c r="AP15" s="409">
        <f t="shared" si="13"/>
        <v>0</v>
      </c>
      <c r="AQ15" s="409">
        <f t="shared" si="13"/>
        <v>0</v>
      </c>
      <c r="AR15" s="409">
        <f t="shared" si="13"/>
        <v>0</v>
      </c>
      <c r="AS15" s="409">
        <f t="shared" si="13"/>
        <v>0</v>
      </c>
      <c r="AT15" s="409">
        <f t="shared" si="13"/>
        <v>0</v>
      </c>
      <c r="AU15" s="409">
        <f t="shared" si="13"/>
        <v>0</v>
      </c>
      <c r="AV15" s="409">
        <f t="shared" si="13"/>
        <v>0</v>
      </c>
      <c r="AW15" s="409">
        <f t="shared" si="14"/>
        <v>0</v>
      </c>
      <c r="AX15" s="409">
        <f t="shared" si="14"/>
        <v>0</v>
      </c>
      <c r="AY15" s="409">
        <f t="shared" si="14"/>
        <v>0</v>
      </c>
      <c r="AZ15" s="409">
        <f t="shared" si="14"/>
        <v>0</v>
      </c>
      <c r="BA15" s="409">
        <f t="shared" si="14"/>
        <v>0</v>
      </c>
      <c r="BB15" s="409">
        <f t="shared" si="14"/>
        <v>0</v>
      </c>
      <c r="BC15" s="409">
        <f t="shared" si="14"/>
        <v>0</v>
      </c>
      <c r="BD15" s="409">
        <f t="shared" si="14"/>
        <v>0</v>
      </c>
      <c r="BE15" s="409">
        <f t="shared" si="14"/>
        <v>0</v>
      </c>
      <c r="BF15" s="409">
        <f t="shared" si="14"/>
        <v>0</v>
      </c>
      <c r="BG15" s="409">
        <f t="shared" si="15"/>
        <v>0</v>
      </c>
      <c r="BH15" s="409">
        <f t="shared" si="15"/>
        <v>0</v>
      </c>
      <c r="BI15" s="409">
        <f t="shared" si="15"/>
        <v>0</v>
      </c>
      <c r="BJ15" s="409">
        <f t="shared" si="15"/>
        <v>0</v>
      </c>
      <c r="BK15" s="409">
        <f t="shared" si="15"/>
        <v>0</v>
      </c>
      <c r="BL15" s="409">
        <f t="shared" si="15"/>
        <v>0</v>
      </c>
      <c r="BM15" s="409">
        <f t="shared" si="15"/>
        <v>0</v>
      </c>
      <c r="BN15" s="409">
        <f t="shared" si="15"/>
        <v>0</v>
      </c>
      <c r="BO15" s="409">
        <f t="shared" si="15"/>
        <v>0</v>
      </c>
      <c r="BP15" s="409">
        <f t="shared" si="15"/>
        <v>0</v>
      </c>
      <c r="BQ15" s="409">
        <f t="shared" si="16"/>
        <v>0</v>
      </c>
      <c r="BR15" s="409">
        <f t="shared" si="16"/>
        <v>0</v>
      </c>
      <c r="BS15" s="409">
        <f t="shared" si="16"/>
        <v>0</v>
      </c>
      <c r="BT15" s="409">
        <f t="shared" si="16"/>
        <v>0</v>
      </c>
      <c r="BU15" s="409">
        <f t="shared" si="16"/>
        <v>0</v>
      </c>
      <c r="BV15" s="409">
        <f t="shared" si="16"/>
        <v>0</v>
      </c>
      <c r="BW15" s="409">
        <f t="shared" si="16"/>
        <v>0</v>
      </c>
      <c r="BX15" s="409">
        <f t="shared" si="16"/>
        <v>0</v>
      </c>
      <c r="BY15" s="409">
        <f t="shared" si="16"/>
        <v>0</v>
      </c>
      <c r="BZ15" s="409">
        <f t="shared" si="16"/>
        <v>0</v>
      </c>
      <c r="CA15" s="409">
        <f t="shared" si="17"/>
        <v>0</v>
      </c>
      <c r="CB15" s="409">
        <f t="shared" si="17"/>
        <v>0</v>
      </c>
      <c r="CC15" s="409">
        <f t="shared" si="17"/>
        <v>0</v>
      </c>
      <c r="CD15" s="409">
        <f t="shared" si="17"/>
        <v>0</v>
      </c>
      <c r="CE15" s="409">
        <f t="shared" si="17"/>
        <v>0</v>
      </c>
      <c r="CF15" s="409">
        <f t="shared" si="17"/>
        <v>0</v>
      </c>
      <c r="CG15" s="409">
        <f t="shared" si="17"/>
        <v>0</v>
      </c>
      <c r="CH15" s="409">
        <f t="shared" si="17"/>
        <v>0</v>
      </c>
      <c r="CI15" s="409">
        <f t="shared" si="17"/>
        <v>0</v>
      </c>
      <c r="CJ15" s="409">
        <f t="shared" si="17"/>
        <v>0</v>
      </c>
      <c r="CK15" s="409">
        <f t="shared" si="18"/>
        <v>0</v>
      </c>
      <c r="CL15" s="409">
        <f t="shared" si="18"/>
        <v>0</v>
      </c>
      <c r="CM15" s="409">
        <f t="shared" si="18"/>
        <v>0</v>
      </c>
      <c r="CN15" s="409">
        <f t="shared" si="18"/>
        <v>0</v>
      </c>
      <c r="CO15" s="409">
        <f t="shared" si="18"/>
        <v>0</v>
      </c>
      <c r="CP15" s="409">
        <f t="shared" si="18"/>
        <v>0</v>
      </c>
      <c r="CQ15" s="409">
        <f t="shared" si="18"/>
        <v>0</v>
      </c>
      <c r="CR15" s="409">
        <f t="shared" si="18"/>
        <v>0</v>
      </c>
      <c r="CS15" s="409">
        <f t="shared" si="18"/>
        <v>0</v>
      </c>
      <c r="CT15" s="409">
        <f t="shared" si="18"/>
        <v>0</v>
      </c>
      <c r="CU15" s="409">
        <f t="shared" si="19"/>
        <v>0</v>
      </c>
      <c r="CV15" s="409">
        <f t="shared" si="19"/>
        <v>0</v>
      </c>
      <c r="CW15" s="409">
        <f t="shared" si="19"/>
        <v>0</v>
      </c>
      <c r="CX15" s="409">
        <f t="shared" si="19"/>
        <v>0</v>
      </c>
      <c r="CY15" s="409">
        <f t="shared" si="19"/>
        <v>0</v>
      </c>
      <c r="CZ15" s="409">
        <f t="shared" si="19"/>
        <v>0</v>
      </c>
      <c r="DA15" s="409">
        <f t="shared" si="19"/>
        <v>0</v>
      </c>
      <c r="DB15" s="409">
        <f t="shared" si="19"/>
        <v>0</v>
      </c>
      <c r="DC15" s="409">
        <f t="shared" si="19"/>
        <v>0</v>
      </c>
      <c r="DD15" s="409">
        <f t="shared" si="19"/>
        <v>0</v>
      </c>
      <c r="DE15" s="409">
        <f t="shared" si="20"/>
        <v>0</v>
      </c>
      <c r="DF15" s="409">
        <f t="shared" si="20"/>
        <v>0</v>
      </c>
      <c r="DG15" s="409">
        <f t="shared" si="20"/>
        <v>0</v>
      </c>
      <c r="DH15" s="409">
        <f t="shared" si="20"/>
        <v>0</v>
      </c>
      <c r="DI15" s="409">
        <f t="shared" si="20"/>
        <v>0</v>
      </c>
      <c r="DJ15" s="409">
        <f t="shared" si="20"/>
        <v>0</v>
      </c>
      <c r="DK15" s="409">
        <f t="shared" si="20"/>
        <v>0</v>
      </c>
      <c r="DL15" s="409">
        <f t="shared" si="20"/>
        <v>0</v>
      </c>
      <c r="DM15" s="409">
        <f t="shared" si="20"/>
        <v>0</v>
      </c>
      <c r="DN15" s="409">
        <f t="shared" si="20"/>
        <v>0</v>
      </c>
      <c r="DO15" s="409">
        <f t="shared" si="21"/>
        <v>0</v>
      </c>
      <c r="DP15" s="409">
        <f t="shared" si="21"/>
        <v>0</v>
      </c>
      <c r="DQ15" s="409">
        <f t="shared" si="21"/>
        <v>0</v>
      </c>
      <c r="DR15" s="409">
        <f t="shared" si="21"/>
        <v>0</v>
      </c>
      <c r="DS15" s="409">
        <f t="shared" si="21"/>
        <v>0</v>
      </c>
      <c r="DT15" s="409">
        <f t="shared" si="21"/>
        <v>0</v>
      </c>
      <c r="DU15" s="409">
        <f t="shared" si="21"/>
        <v>0</v>
      </c>
      <c r="DV15" s="409">
        <f t="shared" si="21"/>
        <v>0</v>
      </c>
      <c r="DW15" s="409">
        <f t="shared" si="21"/>
        <v>0</v>
      </c>
      <c r="DX15" s="409">
        <f t="shared" si="21"/>
        <v>0</v>
      </c>
      <c r="DY15" s="409">
        <f t="shared" si="22"/>
        <v>0</v>
      </c>
      <c r="DZ15" s="409">
        <f t="shared" si="22"/>
        <v>0</v>
      </c>
      <c r="EA15" s="409">
        <f t="shared" si="22"/>
        <v>0</v>
      </c>
      <c r="EB15" s="409">
        <f t="shared" si="22"/>
        <v>0</v>
      </c>
      <c r="EC15" s="409">
        <f t="shared" si="22"/>
        <v>0</v>
      </c>
      <c r="ED15" s="409">
        <f t="shared" si="22"/>
        <v>0</v>
      </c>
      <c r="EE15" s="409">
        <f t="shared" si="22"/>
        <v>0</v>
      </c>
      <c r="EF15" s="409">
        <f t="shared" si="22"/>
        <v>0</v>
      </c>
      <c r="EG15" s="409">
        <f t="shared" si="22"/>
        <v>0</v>
      </c>
      <c r="EH15" s="409">
        <f t="shared" si="22"/>
        <v>0</v>
      </c>
      <c r="EI15" s="409">
        <f t="shared" si="23"/>
        <v>0</v>
      </c>
      <c r="EJ15" s="409">
        <f t="shared" si="23"/>
        <v>0</v>
      </c>
      <c r="EK15" s="409">
        <f t="shared" si="23"/>
        <v>0</v>
      </c>
      <c r="EL15" s="409">
        <f t="shared" si="23"/>
        <v>0</v>
      </c>
      <c r="EM15" s="409">
        <f t="shared" si="23"/>
        <v>0</v>
      </c>
      <c r="EN15" s="409">
        <f t="shared" si="23"/>
        <v>0</v>
      </c>
      <c r="EO15" s="409">
        <f t="shared" si="23"/>
        <v>0</v>
      </c>
      <c r="EP15" s="409">
        <f t="shared" si="23"/>
        <v>0</v>
      </c>
      <c r="EQ15" s="409">
        <f t="shared" si="23"/>
        <v>0</v>
      </c>
      <c r="ER15" s="409">
        <f t="shared" si="23"/>
        <v>0</v>
      </c>
      <c r="ES15" s="409">
        <f t="shared" si="24"/>
        <v>0</v>
      </c>
      <c r="ET15" s="409">
        <f t="shared" si="24"/>
        <v>0</v>
      </c>
      <c r="EU15" s="409">
        <f t="shared" si="24"/>
        <v>0</v>
      </c>
      <c r="EV15" s="409">
        <f t="shared" si="24"/>
        <v>0</v>
      </c>
      <c r="EW15" s="409">
        <f t="shared" si="24"/>
        <v>0</v>
      </c>
      <c r="EX15" s="409">
        <f t="shared" si="24"/>
        <v>0</v>
      </c>
      <c r="EY15" s="409">
        <f t="shared" si="24"/>
        <v>0</v>
      </c>
      <c r="EZ15" s="409">
        <f t="shared" si="24"/>
        <v>0</v>
      </c>
      <c r="FA15" s="409">
        <f t="shared" si="24"/>
        <v>0</v>
      </c>
      <c r="FB15" s="409">
        <f t="shared" si="24"/>
        <v>0</v>
      </c>
      <c r="FC15" s="409">
        <f t="shared" si="25"/>
        <v>0</v>
      </c>
      <c r="FD15" s="409">
        <f t="shared" si="25"/>
        <v>0</v>
      </c>
      <c r="FE15" s="409">
        <f t="shared" si="25"/>
        <v>0</v>
      </c>
      <c r="FF15" s="409">
        <f t="shared" si="25"/>
        <v>0</v>
      </c>
      <c r="FG15" s="409">
        <f t="shared" si="25"/>
        <v>0</v>
      </c>
      <c r="FH15" s="409">
        <f t="shared" si="25"/>
        <v>0</v>
      </c>
      <c r="FI15" s="409">
        <f t="shared" si="25"/>
        <v>0</v>
      </c>
      <c r="FJ15" s="409">
        <f t="shared" si="25"/>
        <v>0</v>
      </c>
      <c r="FK15" s="409">
        <f t="shared" si="25"/>
        <v>0</v>
      </c>
      <c r="FL15" s="409">
        <f t="shared" si="25"/>
        <v>0</v>
      </c>
      <c r="FM15" s="409">
        <f t="shared" si="26"/>
        <v>0</v>
      </c>
      <c r="FN15" s="409">
        <f t="shared" si="26"/>
        <v>0</v>
      </c>
      <c r="FO15" s="409">
        <f t="shared" si="26"/>
        <v>0</v>
      </c>
      <c r="FP15" s="409">
        <f t="shared" si="26"/>
        <v>0</v>
      </c>
      <c r="FQ15" s="409">
        <f t="shared" si="26"/>
        <v>0</v>
      </c>
      <c r="FR15" s="409">
        <f t="shared" si="26"/>
        <v>0</v>
      </c>
      <c r="FS15" s="409">
        <f t="shared" si="26"/>
        <v>0</v>
      </c>
      <c r="FT15" s="409">
        <f t="shared" si="26"/>
        <v>0</v>
      </c>
      <c r="FU15" s="409">
        <f t="shared" si="26"/>
        <v>0</v>
      </c>
      <c r="FV15" s="409">
        <f t="shared" si="26"/>
        <v>0</v>
      </c>
      <c r="FW15" s="409">
        <f t="shared" si="27"/>
        <v>0</v>
      </c>
      <c r="FX15" s="409">
        <f t="shared" si="27"/>
        <v>0</v>
      </c>
      <c r="FY15" s="409">
        <f t="shared" si="27"/>
        <v>0</v>
      </c>
      <c r="FZ15" s="409">
        <f t="shared" si="27"/>
        <v>0</v>
      </c>
      <c r="GA15" s="409">
        <f t="shared" si="27"/>
        <v>0</v>
      </c>
      <c r="GB15" s="409">
        <f t="shared" si="27"/>
        <v>0</v>
      </c>
      <c r="GC15" s="409">
        <f t="shared" si="27"/>
        <v>0</v>
      </c>
      <c r="GD15" s="409">
        <f t="shared" si="27"/>
        <v>0</v>
      </c>
      <c r="GE15" s="409">
        <f t="shared" si="27"/>
        <v>0</v>
      </c>
      <c r="GF15" s="409">
        <f t="shared" si="27"/>
        <v>0</v>
      </c>
      <c r="GG15" s="409">
        <f t="shared" si="28"/>
        <v>0</v>
      </c>
      <c r="GH15" s="409">
        <f t="shared" si="28"/>
        <v>0</v>
      </c>
      <c r="GI15" s="409">
        <f t="shared" si="28"/>
        <v>0</v>
      </c>
      <c r="GJ15" s="409">
        <f t="shared" si="28"/>
        <v>0</v>
      </c>
      <c r="GK15" s="409">
        <f t="shared" si="28"/>
        <v>0</v>
      </c>
      <c r="GL15" s="409">
        <f t="shared" si="28"/>
        <v>0</v>
      </c>
      <c r="GM15" s="409">
        <f t="shared" si="28"/>
        <v>0</v>
      </c>
      <c r="GN15" s="409">
        <f t="shared" si="28"/>
        <v>0</v>
      </c>
      <c r="GO15" s="409">
        <f t="shared" si="28"/>
        <v>0</v>
      </c>
      <c r="GP15" s="409">
        <f t="shared" si="28"/>
        <v>0</v>
      </c>
      <c r="GQ15" s="409">
        <f t="shared" si="29"/>
        <v>0</v>
      </c>
      <c r="GR15" s="409">
        <f t="shared" si="29"/>
        <v>0</v>
      </c>
      <c r="GS15" s="409">
        <f t="shared" si="29"/>
        <v>0</v>
      </c>
      <c r="GT15" s="409">
        <f t="shared" si="29"/>
        <v>0</v>
      </c>
      <c r="GU15" s="409">
        <f t="shared" si="29"/>
        <v>0</v>
      </c>
      <c r="GV15" s="409">
        <f t="shared" si="29"/>
        <v>0</v>
      </c>
      <c r="GW15" s="409">
        <f t="shared" si="29"/>
        <v>0</v>
      </c>
      <c r="GX15" s="409">
        <f t="shared" si="29"/>
        <v>0</v>
      </c>
      <c r="GY15" s="409">
        <f t="shared" si="29"/>
        <v>0</v>
      </c>
      <c r="GZ15" s="409">
        <f t="shared" si="29"/>
        <v>0</v>
      </c>
      <c r="HA15" s="409">
        <f t="shared" si="30"/>
        <v>0</v>
      </c>
      <c r="HB15" s="409">
        <f t="shared" si="30"/>
        <v>0</v>
      </c>
      <c r="HC15" s="409">
        <f t="shared" si="30"/>
        <v>0</v>
      </c>
      <c r="HD15" s="409">
        <f t="shared" si="30"/>
        <v>0</v>
      </c>
      <c r="HE15" s="409">
        <f t="shared" si="30"/>
        <v>0</v>
      </c>
      <c r="HF15" s="409">
        <f t="shared" si="30"/>
        <v>0</v>
      </c>
      <c r="HG15" s="409">
        <f t="shared" si="30"/>
        <v>0</v>
      </c>
      <c r="HH15" s="409">
        <f t="shared" si="30"/>
        <v>0</v>
      </c>
      <c r="HI15" s="409">
        <f t="shared" si="30"/>
        <v>0</v>
      </c>
      <c r="HJ15" s="409">
        <f t="shared" si="30"/>
        <v>0</v>
      </c>
      <c r="HK15" s="409">
        <f t="shared" si="31"/>
        <v>0</v>
      </c>
      <c r="HL15" s="409">
        <f t="shared" si="31"/>
        <v>0</v>
      </c>
      <c r="HM15" s="409">
        <f t="shared" si="31"/>
        <v>0</v>
      </c>
      <c r="HN15" s="409">
        <f t="shared" si="31"/>
        <v>0</v>
      </c>
      <c r="HO15" s="409">
        <f t="shared" si="31"/>
        <v>0</v>
      </c>
      <c r="HP15" s="409">
        <f t="shared" si="31"/>
        <v>0</v>
      </c>
      <c r="HQ15" s="409">
        <f t="shared" si="31"/>
        <v>0</v>
      </c>
      <c r="HR15" s="409">
        <f t="shared" si="31"/>
        <v>0</v>
      </c>
      <c r="HS15" s="409">
        <f t="shared" si="31"/>
        <v>0</v>
      </c>
      <c r="HT15" s="409">
        <f t="shared" si="31"/>
        <v>0</v>
      </c>
      <c r="HU15" s="409">
        <f t="shared" si="32"/>
        <v>0</v>
      </c>
      <c r="HV15" s="409">
        <f t="shared" si="32"/>
        <v>0</v>
      </c>
      <c r="HW15" s="409">
        <f t="shared" si="32"/>
        <v>0</v>
      </c>
      <c r="HX15" s="409">
        <f t="shared" si="32"/>
        <v>0</v>
      </c>
      <c r="HY15" s="409">
        <f t="shared" si="32"/>
        <v>0</v>
      </c>
      <c r="HZ15" s="409">
        <f t="shared" si="32"/>
        <v>0</v>
      </c>
      <c r="IA15" s="409">
        <f t="shared" si="32"/>
        <v>0</v>
      </c>
      <c r="IB15" s="409">
        <f t="shared" si="32"/>
        <v>0</v>
      </c>
      <c r="IC15" s="409">
        <f t="shared" si="32"/>
        <v>0</v>
      </c>
      <c r="ID15" s="409">
        <f t="shared" si="32"/>
        <v>0</v>
      </c>
      <c r="IE15" s="409">
        <f t="shared" si="33"/>
        <v>0</v>
      </c>
      <c r="IF15" s="409">
        <f t="shared" si="33"/>
        <v>0</v>
      </c>
      <c r="IG15" s="409">
        <f t="shared" si="33"/>
        <v>0</v>
      </c>
      <c r="IH15" s="409">
        <f t="shared" si="33"/>
        <v>0</v>
      </c>
      <c r="II15" s="409">
        <f t="shared" si="33"/>
        <v>0</v>
      </c>
      <c r="IJ15" s="409">
        <f t="shared" si="33"/>
        <v>0</v>
      </c>
      <c r="IK15" s="378">
        <f t="shared" si="54"/>
        <v>8</v>
      </c>
    </row>
    <row r="16" spans="1:245" hidden="1" x14ac:dyDescent="0.2">
      <c r="A16" s="380" t="str">
        <f t="shared" si="34"/>
        <v>x</v>
      </c>
      <c r="B16" s="712" t="str">
        <f>IF(ISERROR(INDEX('Legend(DX)'!$H$8:$H$9,9)),"",INDEX('Legend(DX)'!$H$8:$H$9,9))</f>
        <v/>
      </c>
      <c r="C16" s="712" t="e">
        <f>IF(INDEX('Legend(DX)'!$T$8:$T$9,9)=0,"See Legend",INDEX('Legend(DX)'!$T$8:$T$9,9))</f>
        <v>#REF!</v>
      </c>
      <c r="D16" s="712" t="e">
        <f>IF(INDEX('Legend(DX)'!$R$8:$R$9,(ROW(C16))-7)=0,IF(AND(INDEX('Legend(DX)'!$D$8:$D$9,(ROW(C16))-6)="CH",INDEX('Legend(DX)'!$F$8:$F$9,(ROW(C16))-6)="CASE - MANUAL"),INDEX('Legend(DX)'!$R$8:$R$9,(ROW(C16))-6),IF(INDEX('Legend(DX)'!$V$8:$V$9,(ROW(C16))-7)&gt;1, "(" &amp; INDEX('Legend(DX)'!$V$8:$V$9,(ROW(C16))-7) &amp; ") " &amp; INDEX('Legend(DX)'!$W$8:$W$9,(ROW(C16))-6),INDEX('Legend(DX)'!$W$8:$W$9,(ROW(C16))-7))),INDEX('Legend(DX)'!$R$8:$R$9,(ROW(C16))-7))</f>
        <v>#REF!</v>
      </c>
      <c r="E16" s="713" t="str" cm="1">
        <f t="array" ref="E16">IF(OR(ISNUMBER(SEARCH("Skid",C16)),ISNUMBER(SEARCH("Subcooler",C16)),ISNUMBER(SEARCH("Pump",C16)),ISNUMBER(SEARCH("PH",C16))),0,IF(ISERROR(INDEX('Legend(DX)'!$AA$8:$AA$9,ROW()-7)),"",INDEX('Legend(DX)'!$AA$8:$AA$9,ROW()-7)))</f>
        <v/>
      </c>
      <c r="F16" s="714"/>
      <c r="G16" s="714"/>
      <c r="H16" s="714"/>
      <c r="I16" s="714"/>
      <c r="J16" s="714"/>
      <c r="K16" s="890">
        <f t="shared" si="35"/>
        <v>0</v>
      </c>
      <c r="L16" s="717"/>
      <c r="M16" s="1303"/>
      <c r="N16" s="972">
        <f t="shared" si="7"/>
        <v>-1</v>
      </c>
      <c r="O16" s="972">
        <f t="shared" si="36"/>
        <v>-1</v>
      </c>
      <c r="P16" s="972">
        <f t="shared" si="8"/>
        <v>-1</v>
      </c>
      <c r="Q16" s="972">
        <f t="shared" si="37"/>
        <v>-1</v>
      </c>
      <c r="R16" s="972">
        <f t="shared" si="9"/>
        <v>-1</v>
      </c>
      <c r="S16" s="972">
        <f t="shared" si="38"/>
        <v>-1</v>
      </c>
      <c r="T16" s="972">
        <f t="shared" si="10"/>
        <v>-1</v>
      </c>
      <c r="U16" s="972">
        <f t="shared" si="39"/>
        <v>-1</v>
      </c>
      <c r="V16" s="972">
        <f t="shared" si="11"/>
        <v>-1</v>
      </c>
      <c r="W16" s="972">
        <f t="shared" si="40"/>
        <v>-1</v>
      </c>
      <c r="X16" s="972">
        <f t="shared" si="12"/>
        <v>-1</v>
      </c>
      <c r="Y16" s="972">
        <f t="shared" si="41"/>
        <v>-1</v>
      </c>
      <c r="Z16" s="972">
        <f t="shared" si="42"/>
        <v>-1</v>
      </c>
      <c r="AA16" s="972">
        <f t="shared" si="43"/>
        <v>-1</v>
      </c>
      <c r="AB16" s="972">
        <f t="shared" si="44"/>
        <v>-1</v>
      </c>
      <c r="AC16" s="972">
        <f t="shared" si="45"/>
        <v>-1</v>
      </c>
      <c r="AD16" s="972">
        <f t="shared" si="46"/>
        <v>-1</v>
      </c>
      <c r="AE16" s="972">
        <f t="shared" si="47"/>
        <v>-1</v>
      </c>
      <c r="AF16" s="972">
        <f t="shared" si="48"/>
        <v>-1</v>
      </c>
      <c r="AG16" s="972">
        <f t="shared" si="49"/>
        <v>-1</v>
      </c>
      <c r="AH16" s="972">
        <f t="shared" si="50"/>
        <v>-1</v>
      </c>
      <c r="AI16" s="972">
        <f t="shared" si="51"/>
        <v>-1</v>
      </c>
      <c r="AJ16" s="972">
        <f t="shared" si="52"/>
        <v>-1</v>
      </c>
      <c r="AK16" s="381" t="str">
        <f>IF(ISERROR(INDEX('Legend(DX)'!$AI$8:$AI$9,IK16)),"",INDEX('Legend(DX)'!$AI$8:$AI$9,IK16))</f>
        <v/>
      </c>
      <c r="AL16" s="727" t="str">
        <f t="shared" si="55"/>
        <v/>
      </c>
      <c r="AM16" s="409">
        <f t="shared" si="13"/>
        <v>0</v>
      </c>
      <c r="AN16" s="409">
        <f t="shared" si="13"/>
        <v>0</v>
      </c>
      <c r="AO16" s="409">
        <f t="shared" si="13"/>
        <v>0</v>
      </c>
      <c r="AP16" s="409">
        <f t="shared" si="13"/>
        <v>0</v>
      </c>
      <c r="AQ16" s="409">
        <f t="shared" si="13"/>
        <v>0</v>
      </c>
      <c r="AR16" s="409">
        <f t="shared" si="13"/>
        <v>0</v>
      </c>
      <c r="AS16" s="409">
        <f t="shared" si="13"/>
        <v>0</v>
      </c>
      <c r="AT16" s="409">
        <f t="shared" si="13"/>
        <v>0</v>
      </c>
      <c r="AU16" s="409">
        <f t="shared" si="13"/>
        <v>0</v>
      </c>
      <c r="AV16" s="409">
        <f t="shared" si="13"/>
        <v>0</v>
      </c>
      <c r="AW16" s="409">
        <f t="shared" si="14"/>
        <v>0</v>
      </c>
      <c r="AX16" s="409">
        <f t="shared" si="14"/>
        <v>0</v>
      </c>
      <c r="AY16" s="409">
        <f t="shared" si="14"/>
        <v>0</v>
      </c>
      <c r="AZ16" s="409">
        <f t="shared" si="14"/>
        <v>0</v>
      </c>
      <c r="BA16" s="409">
        <f t="shared" si="14"/>
        <v>0</v>
      </c>
      <c r="BB16" s="409">
        <f t="shared" si="14"/>
        <v>0</v>
      </c>
      <c r="BC16" s="409">
        <f t="shared" si="14"/>
        <v>0</v>
      </c>
      <c r="BD16" s="409">
        <f t="shared" si="14"/>
        <v>0</v>
      </c>
      <c r="BE16" s="409">
        <f t="shared" si="14"/>
        <v>0</v>
      </c>
      <c r="BF16" s="409">
        <f t="shared" si="14"/>
        <v>0</v>
      </c>
      <c r="BG16" s="409">
        <f t="shared" si="15"/>
        <v>0</v>
      </c>
      <c r="BH16" s="409">
        <f t="shared" si="15"/>
        <v>0</v>
      </c>
      <c r="BI16" s="409">
        <f t="shared" si="15"/>
        <v>0</v>
      </c>
      <c r="BJ16" s="409">
        <f t="shared" si="15"/>
        <v>0</v>
      </c>
      <c r="BK16" s="409">
        <f t="shared" si="15"/>
        <v>0</v>
      </c>
      <c r="BL16" s="409">
        <f t="shared" si="15"/>
        <v>0</v>
      </c>
      <c r="BM16" s="409">
        <f t="shared" si="15"/>
        <v>0</v>
      </c>
      <c r="BN16" s="409">
        <f t="shared" si="15"/>
        <v>0</v>
      </c>
      <c r="BO16" s="409">
        <f t="shared" si="15"/>
        <v>0</v>
      </c>
      <c r="BP16" s="409">
        <f t="shared" si="15"/>
        <v>0</v>
      </c>
      <c r="BQ16" s="409">
        <f t="shared" si="16"/>
        <v>0</v>
      </c>
      <c r="BR16" s="409">
        <f t="shared" si="16"/>
        <v>0</v>
      </c>
      <c r="BS16" s="409">
        <f t="shared" si="16"/>
        <v>0</v>
      </c>
      <c r="BT16" s="409">
        <f t="shared" si="16"/>
        <v>0</v>
      </c>
      <c r="BU16" s="409">
        <f t="shared" si="16"/>
        <v>0</v>
      </c>
      <c r="BV16" s="409">
        <f t="shared" si="16"/>
        <v>0</v>
      </c>
      <c r="BW16" s="409">
        <f t="shared" si="16"/>
        <v>0</v>
      </c>
      <c r="BX16" s="409">
        <f t="shared" si="16"/>
        <v>0</v>
      </c>
      <c r="BY16" s="409">
        <f t="shared" si="16"/>
        <v>0</v>
      </c>
      <c r="BZ16" s="409">
        <f t="shared" si="16"/>
        <v>0</v>
      </c>
      <c r="CA16" s="409">
        <f t="shared" si="17"/>
        <v>0</v>
      </c>
      <c r="CB16" s="409">
        <f t="shared" si="17"/>
        <v>0</v>
      </c>
      <c r="CC16" s="409">
        <f t="shared" si="17"/>
        <v>0</v>
      </c>
      <c r="CD16" s="409">
        <f t="shared" si="17"/>
        <v>0</v>
      </c>
      <c r="CE16" s="409">
        <f t="shared" si="17"/>
        <v>0</v>
      </c>
      <c r="CF16" s="409">
        <f t="shared" si="17"/>
        <v>0</v>
      </c>
      <c r="CG16" s="409">
        <f t="shared" si="17"/>
        <v>0</v>
      </c>
      <c r="CH16" s="409">
        <f t="shared" si="17"/>
        <v>0</v>
      </c>
      <c r="CI16" s="409">
        <f t="shared" si="17"/>
        <v>0</v>
      </c>
      <c r="CJ16" s="409">
        <f t="shared" si="17"/>
        <v>0</v>
      </c>
      <c r="CK16" s="409">
        <f t="shared" si="18"/>
        <v>0</v>
      </c>
      <c r="CL16" s="409">
        <f t="shared" si="18"/>
        <v>0</v>
      </c>
      <c r="CM16" s="409">
        <f t="shared" si="18"/>
        <v>0</v>
      </c>
      <c r="CN16" s="409">
        <f t="shared" si="18"/>
        <v>0</v>
      </c>
      <c r="CO16" s="409">
        <f t="shared" si="18"/>
        <v>0</v>
      </c>
      <c r="CP16" s="409">
        <f t="shared" si="18"/>
        <v>0</v>
      </c>
      <c r="CQ16" s="409">
        <f t="shared" si="18"/>
        <v>0</v>
      </c>
      <c r="CR16" s="409">
        <f t="shared" si="18"/>
        <v>0</v>
      </c>
      <c r="CS16" s="409">
        <f t="shared" si="18"/>
        <v>0</v>
      </c>
      <c r="CT16" s="409">
        <f t="shared" si="18"/>
        <v>0</v>
      </c>
      <c r="CU16" s="409">
        <f t="shared" si="19"/>
        <v>0</v>
      </c>
      <c r="CV16" s="409">
        <f t="shared" si="19"/>
        <v>0</v>
      </c>
      <c r="CW16" s="409">
        <f t="shared" si="19"/>
        <v>0</v>
      </c>
      <c r="CX16" s="409">
        <f t="shared" si="19"/>
        <v>0</v>
      </c>
      <c r="CY16" s="409">
        <f t="shared" si="19"/>
        <v>0</v>
      </c>
      <c r="CZ16" s="409">
        <f t="shared" si="19"/>
        <v>0</v>
      </c>
      <c r="DA16" s="409">
        <f t="shared" si="19"/>
        <v>0</v>
      </c>
      <c r="DB16" s="409">
        <f t="shared" si="19"/>
        <v>0</v>
      </c>
      <c r="DC16" s="409">
        <f t="shared" si="19"/>
        <v>0</v>
      </c>
      <c r="DD16" s="409">
        <f t="shared" si="19"/>
        <v>0</v>
      </c>
      <c r="DE16" s="409">
        <f t="shared" si="20"/>
        <v>0</v>
      </c>
      <c r="DF16" s="409">
        <f t="shared" si="20"/>
        <v>0</v>
      </c>
      <c r="DG16" s="409">
        <f t="shared" si="20"/>
        <v>0</v>
      </c>
      <c r="DH16" s="409">
        <f t="shared" si="20"/>
        <v>0</v>
      </c>
      <c r="DI16" s="409">
        <f t="shared" si="20"/>
        <v>0</v>
      </c>
      <c r="DJ16" s="409">
        <f t="shared" si="20"/>
        <v>0</v>
      </c>
      <c r="DK16" s="409">
        <f t="shared" si="20"/>
        <v>0</v>
      </c>
      <c r="DL16" s="409">
        <f t="shared" si="20"/>
        <v>0</v>
      </c>
      <c r="DM16" s="409">
        <f t="shared" si="20"/>
        <v>0</v>
      </c>
      <c r="DN16" s="409">
        <f t="shared" si="20"/>
        <v>0</v>
      </c>
      <c r="DO16" s="409">
        <f t="shared" si="21"/>
        <v>0</v>
      </c>
      <c r="DP16" s="409">
        <f t="shared" si="21"/>
        <v>0</v>
      </c>
      <c r="DQ16" s="409">
        <f t="shared" si="21"/>
        <v>0</v>
      </c>
      <c r="DR16" s="409">
        <f t="shared" si="21"/>
        <v>0</v>
      </c>
      <c r="DS16" s="409">
        <f t="shared" si="21"/>
        <v>0</v>
      </c>
      <c r="DT16" s="409">
        <f t="shared" si="21"/>
        <v>0</v>
      </c>
      <c r="DU16" s="409">
        <f t="shared" si="21"/>
        <v>0</v>
      </c>
      <c r="DV16" s="409">
        <f t="shared" si="21"/>
        <v>0</v>
      </c>
      <c r="DW16" s="409">
        <f t="shared" si="21"/>
        <v>0</v>
      </c>
      <c r="DX16" s="409">
        <f t="shared" si="21"/>
        <v>0</v>
      </c>
      <c r="DY16" s="409">
        <f t="shared" si="22"/>
        <v>0</v>
      </c>
      <c r="DZ16" s="409">
        <f t="shared" si="22"/>
        <v>0</v>
      </c>
      <c r="EA16" s="409">
        <f t="shared" si="22"/>
        <v>0</v>
      </c>
      <c r="EB16" s="409">
        <f t="shared" si="22"/>
        <v>0</v>
      </c>
      <c r="EC16" s="409">
        <f t="shared" si="22"/>
        <v>0</v>
      </c>
      <c r="ED16" s="409">
        <f t="shared" si="22"/>
        <v>0</v>
      </c>
      <c r="EE16" s="409">
        <f t="shared" si="22"/>
        <v>0</v>
      </c>
      <c r="EF16" s="409">
        <f t="shared" si="22"/>
        <v>0</v>
      </c>
      <c r="EG16" s="409">
        <f t="shared" si="22"/>
        <v>0</v>
      </c>
      <c r="EH16" s="409">
        <f t="shared" si="22"/>
        <v>0</v>
      </c>
      <c r="EI16" s="409">
        <f t="shared" si="23"/>
        <v>0</v>
      </c>
      <c r="EJ16" s="409">
        <f t="shared" si="23"/>
        <v>0</v>
      </c>
      <c r="EK16" s="409">
        <f t="shared" si="23"/>
        <v>0</v>
      </c>
      <c r="EL16" s="409">
        <f t="shared" si="23"/>
        <v>0</v>
      </c>
      <c r="EM16" s="409">
        <f t="shared" si="23"/>
        <v>0</v>
      </c>
      <c r="EN16" s="409">
        <f t="shared" si="23"/>
        <v>0</v>
      </c>
      <c r="EO16" s="409">
        <f t="shared" si="23"/>
        <v>0</v>
      </c>
      <c r="EP16" s="409">
        <f t="shared" si="23"/>
        <v>0</v>
      </c>
      <c r="EQ16" s="409">
        <f t="shared" si="23"/>
        <v>0</v>
      </c>
      <c r="ER16" s="409">
        <f t="shared" si="23"/>
        <v>0</v>
      </c>
      <c r="ES16" s="409">
        <f t="shared" si="24"/>
        <v>0</v>
      </c>
      <c r="ET16" s="409">
        <f t="shared" si="24"/>
        <v>0</v>
      </c>
      <c r="EU16" s="409">
        <f t="shared" si="24"/>
        <v>0</v>
      </c>
      <c r="EV16" s="409">
        <f t="shared" si="24"/>
        <v>0</v>
      </c>
      <c r="EW16" s="409">
        <f t="shared" si="24"/>
        <v>0</v>
      </c>
      <c r="EX16" s="409">
        <f t="shared" si="24"/>
        <v>0</v>
      </c>
      <c r="EY16" s="409">
        <f t="shared" si="24"/>
        <v>0</v>
      </c>
      <c r="EZ16" s="409">
        <f t="shared" si="24"/>
        <v>0</v>
      </c>
      <c r="FA16" s="409">
        <f t="shared" si="24"/>
        <v>0</v>
      </c>
      <c r="FB16" s="409">
        <f t="shared" si="24"/>
        <v>0</v>
      </c>
      <c r="FC16" s="409">
        <f t="shared" si="25"/>
        <v>0</v>
      </c>
      <c r="FD16" s="409">
        <f t="shared" si="25"/>
        <v>0</v>
      </c>
      <c r="FE16" s="409">
        <f t="shared" si="25"/>
        <v>0</v>
      </c>
      <c r="FF16" s="409">
        <f t="shared" si="25"/>
        <v>0</v>
      </c>
      <c r="FG16" s="409">
        <f t="shared" si="25"/>
        <v>0</v>
      </c>
      <c r="FH16" s="409">
        <f t="shared" si="25"/>
        <v>0</v>
      </c>
      <c r="FI16" s="409">
        <f t="shared" si="25"/>
        <v>0</v>
      </c>
      <c r="FJ16" s="409">
        <f t="shared" si="25"/>
        <v>0</v>
      </c>
      <c r="FK16" s="409">
        <f t="shared" si="25"/>
        <v>0</v>
      </c>
      <c r="FL16" s="409">
        <f t="shared" si="25"/>
        <v>0</v>
      </c>
      <c r="FM16" s="409">
        <f t="shared" si="26"/>
        <v>0</v>
      </c>
      <c r="FN16" s="409">
        <f t="shared" si="26"/>
        <v>0</v>
      </c>
      <c r="FO16" s="409">
        <f t="shared" si="26"/>
        <v>0</v>
      </c>
      <c r="FP16" s="409">
        <f t="shared" si="26"/>
        <v>0</v>
      </c>
      <c r="FQ16" s="409">
        <f t="shared" si="26"/>
        <v>0</v>
      </c>
      <c r="FR16" s="409">
        <f t="shared" si="26"/>
        <v>0</v>
      </c>
      <c r="FS16" s="409">
        <f t="shared" si="26"/>
        <v>0</v>
      </c>
      <c r="FT16" s="409">
        <f t="shared" si="26"/>
        <v>0</v>
      </c>
      <c r="FU16" s="409">
        <f t="shared" si="26"/>
        <v>0</v>
      </c>
      <c r="FV16" s="409">
        <f t="shared" si="26"/>
        <v>0</v>
      </c>
      <c r="FW16" s="409">
        <f t="shared" si="27"/>
        <v>0</v>
      </c>
      <c r="FX16" s="409">
        <f t="shared" si="27"/>
        <v>0</v>
      </c>
      <c r="FY16" s="409">
        <f t="shared" si="27"/>
        <v>0</v>
      </c>
      <c r="FZ16" s="409">
        <f t="shared" si="27"/>
        <v>0</v>
      </c>
      <c r="GA16" s="409">
        <f t="shared" si="27"/>
        <v>0</v>
      </c>
      <c r="GB16" s="409">
        <f t="shared" si="27"/>
        <v>0</v>
      </c>
      <c r="GC16" s="409">
        <f t="shared" si="27"/>
        <v>0</v>
      </c>
      <c r="GD16" s="409">
        <f t="shared" si="27"/>
        <v>0</v>
      </c>
      <c r="GE16" s="409">
        <f t="shared" si="27"/>
        <v>0</v>
      </c>
      <c r="GF16" s="409">
        <f t="shared" si="27"/>
        <v>0</v>
      </c>
      <c r="GG16" s="409">
        <f t="shared" si="28"/>
        <v>0</v>
      </c>
      <c r="GH16" s="409">
        <f t="shared" si="28"/>
        <v>0</v>
      </c>
      <c r="GI16" s="409">
        <f t="shared" si="28"/>
        <v>0</v>
      </c>
      <c r="GJ16" s="409">
        <f t="shared" si="28"/>
        <v>0</v>
      </c>
      <c r="GK16" s="409">
        <f t="shared" si="28"/>
        <v>0</v>
      </c>
      <c r="GL16" s="409">
        <f t="shared" si="28"/>
        <v>0</v>
      </c>
      <c r="GM16" s="409">
        <f t="shared" si="28"/>
        <v>0</v>
      </c>
      <c r="GN16" s="409">
        <f t="shared" si="28"/>
        <v>0</v>
      </c>
      <c r="GO16" s="409">
        <f t="shared" si="28"/>
        <v>0</v>
      </c>
      <c r="GP16" s="409">
        <f t="shared" si="28"/>
        <v>0</v>
      </c>
      <c r="GQ16" s="409">
        <f t="shared" si="29"/>
        <v>0</v>
      </c>
      <c r="GR16" s="409">
        <f t="shared" si="29"/>
        <v>0</v>
      </c>
      <c r="GS16" s="409">
        <f t="shared" si="29"/>
        <v>0</v>
      </c>
      <c r="GT16" s="409">
        <f t="shared" si="29"/>
        <v>0</v>
      </c>
      <c r="GU16" s="409">
        <f t="shared" si="29"/>
        <v>0</v>
      </c>
      <c r="GV16" s="409">
        <f t="shared" si="29"/>
        <v>0</v>
      </c>
      <c r="GW16" s="409">
        <f t="shared" si="29"/>
        <v>0</v>
      </c>
      <c r="GX16" s="409">
        <f t="shared" si="29"/>
        <v>0</v>
      </c>
      <c r="GY16" s="409">
        <f t="shared" si="29"/>
        <v>0</v>
      </c>
      <c r="GZ16" s="409">
        <f t="shared" si="29"/>
        <v>0</v>
      </c>
      <c r="HA16" s="409">
        <f t="shared" si="30"/>
        <v>0</v>
      </c>
      <c r="HB16" s="409">
        <f t="shared" si="30"/>
        <v>0</v>
      </c>
      <c r="HC16" s="409">
        <f t="shared" si="30"/>
        <v>0</v>
      </c>
      <c r="HD16" s="409">
        <f t="shared" si="30"/>
        <v>0</v>
      </c>
      <c r="HE16" s="409">
        <f t="shared" si="30"/>
        <v>0</v>
      </c>
      <c r="HF16" s="409">
        <f t="shared" si="30"/>
        <v>0</v>
      </c>
      <c r="HG16" s="409">
        <f t="shared" si="30"/>
        <v>0</v>
      </c>
      <c r="HH16" s="409">
        <f t="shared" si="30"/>
        <v>0</v>
      </c>
      <c r="HI16" s="409">
        <f t="shared" si="30"/>
        <v>0</v>
      </c>
      <c r="HJ16" s="409">
        <f t="shared" si="30"/>
        <v>0</v>
      </c>
      <c r="HK16" s="409">
        <f t="shared" si="31"/>
        <v>0</v>
      </c>
      <c r="HL16" s="409">
        <f t="shared" si="31"/>
        <v>0</v>
      </c>
      <c r="HM16" s="409">
        <f t="shared" si="31"/>
        <v>0</v>
      </c>
      <c r="HN16" s="409">
        <f t="shared" si="31"/>
        <v>0</v>
      </c>
      <c r="HO16" s="409">
        <f t="shared" si="31"/>
        <v>0</v>
      </c>
      <c r="HP16" s="409">
        <f t="shared" si="31"/>
        <v>0</v>
      </c>
      <c r="HQ16" s="409">
        <f t="shared" si="31"/>
        <v>0</v>
      </c>
      <c r="HR16" s="409">
        <f t="shared" si="31"/>
        <v>0</v>
      </c>
      <c r="HS16" s="409">
        <f t="shared" si="31"/>
        <v>0</v>
      </c>
      <c r="HT16" s="409">
        <f t="shared" si="31"/>
        <v>0</v>
      </c>
      <c r="HU16" s="409">
        <f t="shared" si="32"/>
        <v>0</v>
      </c>
      <c r="HV16" s="409">
        <f t="shared" si="32"/>
        <v>0</v>
      </c>
      <c r="HW16" s="409">
        <f t="shared" si="32"/>
        <v>0</v>
      </c>
      <c r="HX16" s="409">
        <f t="shared" si="32"/>
        <v>0</v>
      </c>
      <c r="HY16" s="409">
        <f t="shared" si="32"/>
        <v>0</v>
      </c>
      <c r="HZ16" s="409">
        <f t="shared" si="32"/>
        <v>0</v>
      </c>
      <c r="IA16" s="409">
        <f t="shared" si="32"/>
        <v>0</v>
      </c>
      <c r="IB16" s="409">
        <f t="shared" si="32"/>
        <v>0</v>
      </c>
      <c r="IC16" s="409">
        <f t="shared" si="32"/>
        <v>0</v>
      </c>
      <c r="ID16" s="409">
        <f t="shared" si="32"/>
        <v>0</v>
      </c>
      <c r="IE16" s="409">
        <f t="shared" si="33"/>
        <v>0</v>
      </c>
      <c r="IF16" s="409">
        <f t="shared" si="33"/>
        <v>0</v>
      </c>
      <c r="IG16" s="409">
        <f t="shared" si="33"/>
        <v>0</v>
      </c>
      <c r="IH16" s="409">
        <f t="shared" si="33"/>
        <v>0</v>
      </c>
      <c r="II16" s="409">
        <f t="shared" si="33"/>
        <v>0</v>
      </c>
      <c r="IJ16" s="409">
        <f t="shared" si="33"/>
        <v>0</v>
      </c>
      <c r="IK16" s="378">
        <f t="shared" si="54"/>
        <v>9</v>
      </c>
    </row>
    <row r="17" spans="1:245" hidden="1" x14ac:dyDescent="0.2">
      <c r="A17" s="380" t="str">
        <f t="shared" si="34"/>
        <v>x</v>
      </c>
      <c r="B17" s="712" t="str">
        <f>IF(ISERROR(INDEX('Legend(DX)'!$H$8:$H$9,10)),"",INDEX('Legend(DX)'!$H$8:$H$9,10))</f>
        <v/>
      </c>
      <c r="C17" s="712" t="e">
        <f>IF(INDEX('Legend(DX)'!$T$8:$T$9,10)=0,"See Legend",INDEX('Legend(DX)'!$T$8:$T$9,10))</f>
        <v>#REF!</v>
      </c>
      <c r="D17" s="712" t="e">
        <f>IF(INDEX('Legend(DX)'!$R$8:$R$9,(ROW(C17))-7)=0,IF(AND(INDEX('Legend(DX)'!$D$8:$D$9,(ROW(C17))-6)="CH",INDEX('Legend(DX)'!$F$8:$F$9,(ROW(C17))-6)="CASE - MANUAL"),INDEX('Legend(DX)'!$R$8:$R$9,(ROW(C17))-6),IF(INDEX('Legend(DX)'!$V$8:$V$9,(ROW(C17))-7)&gt;1, "(" &amp; INDEX('Legend(DX)'!$V$8:$V$9,(ROW(C17))-7) &amp; ") " &amp; INDEX('Legend(DX)'!$W$8:$W$9,(ROW(C17))-6),INDEX('Legend(DX)'!$W$8:$W$9,(ROW(C17))-7))),INDEX('Legend(DX)'!$R$8:$R$9,(ROW(C17))-7))</f>
        <v>#REF!</v>
      </c>
      <c r="E17" s="713" t="str" cm="1">
        <f t="array" ref="E17">IF(OR(ISNUMBER(SEARCH("Skid",C17)),ISNUMBER(SEARCH("Subcooler",C17)),ISNUMBER(SEARCH("Pump",C17)),ISNUMBER(SEARCH("PH",C17))),0,IF(ISERROR(INDEX('Legend(DX)'!$AA$8:$AA$9,ROW()-7)),"",INDEX('Legend(DX)'!$AA$8:$AA$9,ROW()-7)))</f>
        <v/>
      </c>
      <c r="F17" s="714"/>
      <c r="G17" s="714"/>
      <c r="H17" s="714"/>
      <c r="I17" s="714"/>
      <c r="J17" s="714"/>
      <c r="K17" s="890">
        <f t="shared" si="35"/>
        <v>0</v>
      </c>
      <c r="L17" s="718"/>
      <c r="M17" s="1303"/>
      <c r="N17" s="972">
        <f t="shared" si="7"/>
        <v>-1</v>
      </c>
      <c r="O17" s="972">
        <f t="shared" si="36"/>
        <v>-1</v>
      </c>
      <c r="P17" s="972">
        <f t="shared" si="8"/>
        <v>-1</v>
      </c>
      <c r="Q17" s="972">
        <f t="shared" si="37"/>
        <v>-1</v>
      </c>
      <c r="R17" s="972">
        <f t="shared" si="9"/>
        <v>-1</v>
      </c>
      <c r="S17" s="972">
        <f t="shared" si="38"/>
        <v>-1</v>
      </c>
      <c r="T17" s="972">
        <f t="shared" si="10"/>
        <v>-1</v>
      </c>
      <c r="U17" s="972">
        <f t="shared" si="39"/>
        <v>-1</v>
      </c>
      <c r="V17" s="972">
        <f t="shared" si="11"/>
        <v>-1</v>
      </c>
      <c r="W17" s="972">
        <f t="shared" si="40"/>
        <v>-1</v>
      </c>
      <c r="X17" s="972">
        <f t="shared" si="12"/>
        <v>-1</v>
      </c>
      <c r="Y17" s="972">
        <f t="shared" si="41"/>
        <v>-1</v>
      </c>
      <c r="Z17" s="972">
        <f t="shared" si="42"/>
        <v>-1</v>
      </c>
      <c r="AA17" s="972">
        <f t="shared" si="43"/>
        <v>-1</v>
      </c>
      <c r="AB17" s="972">
        <f t="shared" si="44"/>
        <v>-1</v>
      </c>
      <c r="AC17" s="972">
        <f t="shared" si="45"/>
        <v>-1</v>
      </c>
      <c r="AD17" s="972">
        <f t="shared" si="46"/>
        <v>-1</v>
      </c>
      <c r="AE17" s="972">
        <f t="shared" si="47"/>
        <v>-1</v>
      </c>
      <c r="AF17" s="972">
        <f t="shared" si="48"/>
        <v>-1</v>
      </c>
      <c r="AG17" s="972">
        <f t="shared" si="49"/>
        <v>-1</v>
      </c>
      <c r="AH17" s="972">
        <f t="shared" si="50"/>
        <v>-1</v>
      </c>
      <c r="AI17" s="972">
        <f t="shared" si="51"/>
        <v>-1</v>
      </c>
      <c r="AJ17" s="972">
        <f t="shared" si="52"/>
        <v>-1</v>
      </c>
      <c r="AK17" s="381" t="str">
        <f>IF(ISERROR(INDEX('Legend(DX)'!$AI$8:$AI$9,IK17)),"",INDEX('Legend(DX)'!$AI$8:$AI$9,IK17))</f>
        <v/>
      </c>
      <c r="AL17" s="727" t="str">
        <f t="shared" si="55"/>
        <v/>
      </c>
      <c r="AM17" s="409">
        <f t="shared" si="13"/>
        <v>0</v>
      </c>
      <c r="AN17" s="409">
        <f t="shared" si="13"/>
        <v>0</v>
      </c>
      <c r="AO17" s="409">
        <f t="shared" si="13"/>
        <v>0</v>
      </c>
      <c r="AP17" s="409">
        <f t="shared" si="13"/>
        <v>0</v>
      </c>
      <c r="AQ17" s="409">
        <f t="shared" si="13"/>
        <v>0</v>
      </c>
      <c r="AR17" s="409">
        <f t="shared" si="13"/>
        <v>0</v>
      </c>
      <c r="AS17" s="409">
        <f t="shared" si="13"/>
        <v>0</v>
      </c>
      <c r="AT17" s="409">
        <f t="shared" si="13"/>
        <v>0</v>
      </c>
      <c r="AU17" s="409">
        <f t="shared" si="13"/>
        <v>0</v>
      </c>
      <c r="AV17" s="409">
        <f t="shared" si="13"/>
        <v>0</v>
      </c>
      <c r="AW17" s="409">
        <f t="shared" si="14"/>
        <v>0</v>
      </c>
      <c r="AX17" s="409">
        <f t="shared" si="14"/>
        <v>0</v>
      </c>
      <c r="AY17" s="409">
        <f t="shared" si="14"/>
        <v>0</v>
      </c>
      <c r="AZ17" s="409">
        <f t="shared" si="14"/>
        <v>0</v>
      </c>
      <c r="BA17" s="409">
        <f t="shared" si="14"/>
        <v>0</v>
      </c>
      <c r="BB17" s="409">
        <f t="shared" si="14"/>
        <v>0</v>
      </c>
      <c r="BC17" s="409">
        <f t="shared" si="14"/>
        <v>0</v>
      </c>
      <c r="BD17" s="409">
        <f t="shared" si="14"/>
        <v>0</v>
      </c>
      <c r="BE17" s="409">
        <f t="shared" si="14"/>
        <v>0</v>
      </c>
      <c r="BF17" s="409">
        <f t="shared" si="14"/>
        <v>0</v>
      </c>
      <c r="BG17" s="409">
        <f t="shared" si="15"/>
        <v>0</v>
      </c>
      <c r="BH17" s="409">
        <f t="shared" si="15"/>
        <v>0</v>
      </c>
      <c r="BI17" s="409">
        <f t="shared" si="15"/>
        <v>0</v>
      </c>
      <c r="BJ17" s="409">
        <f t="shared" si="15"/>
        <v>0</v>
      </c>
      <c r="BK17" s="409">
        <f t="shared" si="15"/>
        <v>0</v>
      </c>
      <c r="BL17" s="409">
        <f t="shared" si="15"/>
        <v>0</v>
      </c>
      <c r="BM17" s="409">
        <f t="shared" si="15"/>
        <v>0</v>
      </c>
      <c r="BN17" s="409">
        <f t="shared" si="15"/>
        <v>0</v>
      </c>
      <c r="BO17" s="409">
        <f t="shared" si="15"/>
        <v>0</v>
      </c>
      <c r="BP17" s="409">
        <f t="shared" si="15"/>
        <v>0</v>
      </c>
      <c r="BQ17" s="409">
        <f t="shared" si="16"/>
        <v>0</v>
      </c>
      <c r="BR17" s="409">
        <f t="shared" si="16"/>
        <v>0</v>
      </c>
      <c r="BS17" s="409">
        <f t="shared" si="16"/>
        <v>0</v>
      </c>
      <c r="BT17" s="409">
        <f t="shared" si="16"/>
        <v>0</v>
      </c>
      <c r="BU17" s="409">
        <f t="shared" si="16"/>
        <v>0</v>
      </c>
      <c r="BV17" s="409">
        <f t="shared" si="16"/>
        <v>0</v>
      </c>
      <c r="BW17" s="409">
        <f t="shared" si="16"/>
        <v>0</v>
      </c>
      <c r="BX17" s="409">
        <f t="shared" si="16"/>
        <v>0</v>
      </c>
      <c r="BY17" s="409">
        <f t="shared" si="16"/>
        <v>0</v>
      </c>
      <c r="BZ17" s="409">
        <f t="shared" si="16"/>
        <v>0</v>
      </c>
      <c r="CA17" s="409">
        <f t="shared" si="17"/>
        <v>0</v>
      </c>
      <c r="CB17" s="409">
        <f t="shared" si="17"/>
        <v>0</v>
      </c>
      <c r="CC17" s="409">
        <f t="shared" si="17"/>
        <v>0</v>
      </c>
      <c r="CD17" s="409">
        <f t="shared" si="17"/>
        <v>0</v>
      </c>
      <c r="CE17" s="409">
        <f t="shared" si="17"/>
        <v>0</v>
      </c>
      <c r="CF17" s="409">
        <f t="shared" si="17"/>
        <v>0</v>
      </c>
      <c r="CG17" s="409">
        <f t="shared" si="17"/>
        <v>0</v>
      </c>
      <c r="CH17" s="409">
        <f t="shared" si="17"/>
        <v>0</v>
      </c>
      <c r="CI17" s="409">
        <f t="shared" si="17"/>
        <v>0</v>
      </c>
      <c r="CJ17" s="409">
        <f t="shared" si="17"/>
        <v>0</v>
      </c>
      <c r="CK17" s="409">
        <f t="shared" si="18"/>
        <v>0</v>
      </c>
      <c r="CL17" s="409">
        <f t="shared" si="18"/>
        <v>0</v>
      </c>
      <c r="CM17" s="409">
        <f t="shared" si="18"/>
        <v>0</v>
      </c>
      <c r="CN17" s="409">
        <f t="shared" si="18"/>
        <v>0</v>
      </c>
      <c r="CO17" s="409">
        <f t="shared" si="18"/>
        <v>0</v>
      </c>
      <c r="CP17" s="409">
        <f t="shared" si="18"/>
        <v>0</v>
      </c>
      <c r="CQ17" s="409">
        <f t="shared" si="18"/>
        <v>0</v>
      </c>
      <c r="CR17" s="409">
        <f t="shared" si="18"/>
        <v>0</v>
      </c>
      <c r="CS17" s="409">
        <f t="shared" si="18"/>
        <v>0</v>
      </c>
      <c r="CT17" s="409">
        <f t="shared" si="18"/>
        <v>0</v>
      </c>
      <c r="CU17" s="409">
        <f t="shared" si="19"/>
        <v>0</v>
      </c>
      <c r="CV17" s="409">
        <f t="shared" si="19"/>
        <v>0</v>
      </c>
      <c r="CW17" s="409">
        <f t="shared" si="19"/>
        <v>0</v>
      </c>
      <c r="CX17" s="409">
        <f t="shared" si="19"/>
        <v>0</v>
      </c>
      <c r="CY17" s="409">
        <f t="shared" si="19"/>
        <v>0</v>
      </c>
      <c r="CZ17" s="409">
        <f t="shared" si="19"/>
        <v>0</v>
      </c>
      <c r="DA17" s="409">
        <f t="shared" si="19"/>
        <v>0</v>
      </c>
      <c r="DB17" s="409">
        <f t="shared" si="19"/>
        <v>0</v>
      </c>
      <c r="DC17" s="409">
        <f t="shared" si="19"/>
        <v>0</v>
      </c>
      <c r="DD17" s="409">
        <f t="shared" si="19"/>
        <v>0</v>
      </c>
      <c r="DE17" s="409">
        <f t="shared" si="20"/>
        <v>0</v>
      </c>
      <c r="DF17" s="409">
        <f t="shared" si="20"/>
        <v>0</v>
      </c>
      <c r="DG17" s="409">
        <f t="shared" si="20"/>
        <v>0</v>
      </c>
      <c r="DH17" s="409">
        <f t="shared" si="20"/>
        <v>0</v>
      </c>
      <c r="DI17" s="409">
        <f t="shared" si="20"/>
        <v>0</v>
      </c>
      <c r="DJ17" s="409">
        <f t="shared" si="20"/>
        <v>0</v>
      </c>
      <c r="DK17" s="409">
        <f t="shared" si="20"/>
        <v>0</v>
      </c>
      <c r="DL17" s="409">
        <f t="shared" si="20"/>
        <v>0</v>
      </c>
      <c r="DM17" s="409">
        <f t="shared" si="20"/>
        <v>0</v>
      </c>
      <c r="DN17" s="409">
        <f t="shared" si="20"/>
        <v>0</v>
      </c>
      <c r="DO17" s="409">
        <f t="shared" si="21"/>
        <v>0</v>
      </c>
      <c r="DP17" s="409">
        <f t="shared" si="21"/>
        <v>0</v>
      </c>
      <c r="DQ17" s="409">
        <f t="shared" si="21"/>
        <v>0</v>
      </c>
      <c r="DR17" s="409">
        <f t="shared" si="21"/>
        <v>0</v>
      </c>
      <c r="DS17" s="409">
        <f t="shared" si="21"/>
        <v>0</v>
      </c>
      <c r="DT17" s="409">
        <f t="shared" si="21"/>
        <v>0</v>
      </c>
      <c r="DU17" s="409">
        <f t="shared" si="21"/>
        <v>0</v>
      </c>
      <c r="DV17" s="409">
        <f t="shared" si="21"/>
        <v>0</v>
      </c>
      <c r="DW17" s="409">
        <f t="shared" si="21"/>
        <v>0</v>
      </c>
      <c r="DX17" s="409">
        <f t="shared" si="21"/>
        <v>0</v>
      </c>
      <c r="DY17" s="409">
        <f t="shared" si="22"/>
        <v>0</v>
      </c>
      <c r="DZ17" s="409">
        <f t="shared" si="22"/>
        <v>0</v>
      </c>
      <c r="EA17" s="409">
        <f t="shared" si="22"/>
        <v>0</v>
      </c>
      <c r="EB17" s="409">
        <f t="shared" si="22"/>
        <v>0</v>
      </c>
      <c r="EC17" s="409">
        <f t="shared" si="22"/>
        <v>0</v>
      </c>
      <c r="ED17" s="409">
        <f t="shared" si="22"/>
        <v>0</v>
      </c>
      <c r="EE17" s="409">
        <f t="shared" si="22"/>
        <v>0</v>
      </c>
      <c r="EF17" s="409">
        <f t="shared" si="22"/>
        <v>0</v>
      </c>
      <c r="EG17" s="409">
        <f t="shared" si="22"/>
        <v>0</v>
      </c>
      <c r="EH17" s="409">
        <f t="shared" si="22"/>
        <v>0</v>
      </c>
      <c r="EI17" s="409">
        <f t="shared" si="23"/>
        <v>0</v>
      </c>
      <c r="EJ17" s="409">
        <f t="shared" si="23"/>
        <v>0</v>
      </c>
      <c r="EK17" s="409">
        <f t="shared" si="23"/>
        <v>0</v>
      </c>
      <c r="EL17" s="409">
        <f t="shared" si="23"/>
        <v>0</v>
      </c>
      <c r="EM17" s="409">
        <f t="shared" si="23"/>
        <v>0</v>
      </c>
      <c r="EN17" s="409">
        <f t="shared" si="23"/>
        <v>0</v>
      </c>
      <c r="EO17" s="409">
        <f t="shared" si="23"/>
        <v>0</v>
      </c>
      <c r="EP17" s="409">
        <f t="shared" si="23"/>
        <v>0</v>
      </c>
      <c r="EQ17" s="409">
        <f t="shared" si="23"/>
        <v>0</v>
      </c>
      <c r="ER17" s="409">
        <f t="shared" si="23"/>
        <v>0</v>
      </c>
      <c r="ES17" s="409">
        <f t="shared" si="24"/>
        <v>0</v>
      </c>
      <c r="ET17" s="409">
        <f t="shared" si="24"/>
        <v>0</v>
      </c>
      <c r="EU17" s="409">
        <f t="shared" si="24"/>
        <v>0</v>
      </c>
      <c r="EV17" s="409">
        <f t="shared" si="24"/>
        <v>0</v>
      </c>
      <c r="EW17" s="409">
        <f t="shared" si="24"/>
        <v>0</v>
      </c>
      <c r="EX17" s="409">
        <f t="shared" si="24"/>
        <v>0</v>
      </c>
      <c r="EY17" s="409">
        <f t="shared" si="24"/>
        <v>0</v>
      </c>
      <c r="EZ17" s="409">
        <f t="shared" si="24"/>
        <v>0</v>
      </c>
      <c r="FA17" s="409">
        <f t="shared" si="24"/>
        <v>0</v>
      </c>
      <c r="FB17" s="409">
        <f t="shared" si="24"/>
        <v>0</v>
      </c>
      <c r="FC17" s="409">
        <f t="shared" si="25"/>
        <v>0</v>
      </c>
      <c r="FD17" s="409">
        <f t="shared" si="25"/>
        <v>0</v>
      </c>
      <c r="FE17" s="409">
        <f t="shared" si="25"/>
        <v>0</v>
      </c>
      <c r="FF17" s="409">
        <f t="shared" si="25"/>
        <v>0</v>
      </c>
      <c r="FG17" s="409">
        <f t="shared" si="25"/>
        <v>0</v>
      </c>
      <c r="FH17" s="409">
        <f t="shared" si="25"/>
        <v>0</v>
      </c>
      <c r="FI17" s="409">
        <f t="shared" si="25"/>
        <v>0</v>
      </c>
      <c r="FJ17" s="409">
        <f t="shared" si="25"/>
        <v>0</v>
      </c>
      <c r="FK17" s="409">
        <f t="shared" si="25"/>
        <v>0</v>
      </c>
      <c r="FL17" s="409">
        <f t="shared" si="25"/>
        <v>0</v>
      </c>
      <c r="FM17" s="409">
        <f t="shared" si="26"/>
        <v>0</v>
      </c>
      <c r="FN17" s="409">
        <f t="shared" si="26"/>
        <v>0</v>
      </c>
      <c r="FO17" s="409">
        <f t="shared" si="26"/>
        <v>0</v>
      </c>
      <c r="FP17" s="409">
        <f t="shared" si="26"/>
        <v>0</v>
      </c>
      <c r="FQ17" s="409">
        <f t="shared" si="26"/>
        <v>0</v>
      </c>
      <c r="FR17" s="409">
        <f t="shared" si="26"/>
        <v>0</v>
      </c>
      <c r="FS17" s="409">
        <f t="shared" si="26"/>
        <v>0</v>
      </c>
      <c r="FT17" s="409">
        <f t="shared" si="26"/>
        <v>0</v>
      </c>
      <c r="FU17" s="409">
        <f t="shared" si="26"/>
        <v>0</v>
      </c>
      <c r="FV17" s="409">
        <f t="shared" si="26"/>
        <v>0</v>
      </c>
      <c r="FW17" s="409">
        <f t="shared" si="27"/>
        <v>0</v>
      </c>
      <c r="FX17" s="409">
        <f t="shared" si="27"/>
        <v>0</v>
      </c>
      <c r="FY17" s="409">
        <f t="shared" si="27"/>
        <v>0</v>
      </c>
      <c r="FZ17" s="409">
        <f t="shared" si="27"/>
        <v>0</v>
      </c>
      <c r="GA17" s="409">
        <f t="shared" si="27"/>
        <v>0</v>
      </c>
      <c r="GB17" s="409">
        <f t="shared" si="27"/>
        <v>0</v>
      </c>
      <c r="GC17" s="409">
        <f t="shared" si="27"/>
        <v>0</v>
      </c>
      <c r="GD17" s="409">
        <f t="shared" si="27"/>
        <v>0</v>
      </c>
      <c r="GE17" s="409">
        <f t="shared" si="27"/>
        <v>0</v>
      </c>
      <c r="GF17" s="409">
        <f t="shared" si="27"/>
        <v>0</v>
      </c>
      <c r="GG17" s="409">
        <f t="shared" si="28"/>
        <v>0</v>
      </c>
      <c r="GH17" s="409">
        <f t="shared" si="28"/>
        <v>0</v>
      </c>
      <c r="GI17" s="409">
        <f t="shared" si="28"/>
        <v>0</v>
      </c>
      <c r="GJ17" s="409">
        <f t="shared" si="28"/>
        <v>0</v>
      </c>
      <c r="GK17" s="409">
        <f t="shared" si="28"/>
        <v>0</v>
      </c>
      <c r="GL17" s="409">
        <f t="shared" si="28"/>
        <v>0</v>
      </c>
      <c r="GM17" s="409">
        <f t="shared" si="28"/>
        <v>0</v>
      </c>
      <c r="GN17" s="409">
        <f t="shared" si="28"/>
        <v>0</v>
      </c>
      <c r="GO17" s="409">
        <f t="shared" si="28"/>
        <v>0</v>
      </c>
      <c r="GP17" s="409">
        <f t="shared" si="28"/>
        <v>0</v>
      </c>
      <c r="GQ17" s="409">
        <f t="shared" si="29"/>
        <v>0</v>
      </c>
      <c r="GR17" s="409">
        <f t="shared" si="29"/>
        <v>0</v>
      </c>
      <c r="GS17" s="409">
        <f t="shared" si="29"/>
        <v>0</v>
      </c>
      <c r="GT17" s="409">
        <f t="shared" si="29"/>
        <v>0</v>
      </c>
      <c r="GU17" s="409">
        <f t="shared" si="29"/>
        <v>0</v>
      </c>
      <c r="GV17" s="409">
        <f t="shared" si="29"/>
        <v>0</v>
      </c>
      <c r="GW17" s="409">
        <f t="shared" si="29"/>
        <v>0</v>
      </c>
      <c r="GX17" s="409">
        <f t="shared" si="29"/>
        <v>0</v>
      </c>
      <c r="GY17" s="409">
        <f t="shared" si="29"/>
        <v>0</v>
      </c>
      <c r="GZ17" s="409">
        <f t="shared" si="29"/>
        <v>0</v>
      </c>
      <c r="HA17" s="409">
        <f t="shared" si="30"/>
        <v>0</v>
      </c>
      <c r="HB17" s="409">
        <f t="shared" si="30"/>
        <v>0</v>
      </c>
      <c r="HC17" s="409">
        <f t="shared" si="30"/>
        <v>0</v>
      </c>
      <c r="HD17" s="409">
        <f t="shared" si="30"/>
        <v>0</v>
      </c>
      <c r="HE17" s="409">
        <f t="shared" si="30"/>
        <v>0</v>
      </c>
      <c r="HF17" s="409">
        <f t="shared" si="30"/>
        <v>0</v>
      </c>
      <c r="HG17" s="409">
        <f t="shared" si="30"/>
        <v>0</v>
      </c>
      <c r="HH17" s="409">
        <f t="shared" si="30"/>
        <v>0</v>
      </c>
      <c r="HI17" s="409">
        <f t="shared" si="30"/>
        <v>0</v>
      </c>
      <c r="HJ17" s="409">
        <f t="shared" si="30"/>
        <v>0</v>
      </c>
      <c r="HK17" s="409">
        <f t="shared" si="31"/>
        <v>0</v>
      </c>
      <c r="HL17" s="409">
        <f t="shared" si="31"/>
        <v>0</v>
      </c>
      <c r="HM17" s="409">
        <f t="shared" si="31"/>
        <v>0</v>
      </c>
      <c r="HN17" s="409">
        <f t="shared" si="31"/>
        <v>0</v>
      </c>
      <c r="HO17" s="409">
        <f t="shared" si="31"/>
        <v>0</v>
      </c>
      <c r="HP17" s="409">
        <f t="shared" si="31"/>
        <v>0</v>
      </c>
      <c r="HQ17" s="409">
        <f t="shared" si="31"/>
        <v>0</v>
      </c>
      <c r="HR17" s="409">
        <f t="shared" si="31"/>
        <v>0</v>
      </c>
      <c r="HS17" s="409">
        <f t="shared" si="31"/>
        <v>0</v>
      </c>
      <c r="HT17" s="409">
        <f t="shared" si="31"/>
        <v>0</v>
      </c>
      <c r="HU17" s="409">
        <f t="shared" si="32"/>
        <v>0</v>
      </c>
      <c r="HV17" s="409">
        <f t="shared" si="32"/>
        <v>0</v>
      </c>
      <c r="HW17" s="409">
        <f t="shared" si="32"/>
        <v>0</v>
      </c>
      <c r="HX17" s="409">
        <f t="shared" si="32"/>
        <v>0</v>
      </c>
      <c r="HY17" s="409">
        <f t="shared" si="32"/>
        <v>0</v>
      </c>
      <c r="HZ17" s="409">
        <f t="shared" si="32"/>
        <v>0</v>
      </c>
      <c r="IA17" s="409">
        <f t="shared" si="32"/>
        <v>0</v>
      </c>
      <c r="IB17" s="409">
        <f t="shared" si="32"/>
        <v>0</v>
      </c>
      <c r="IC17" s="409">
        <f t="shared" si="32"/>
        <v>0</v>
      </c>
      <c r="ID17" s="409">
        <f t="shared" si="32"/>
        <v>0</v>
      </c>
      <c r="IE17" s="409">
        <f t="shared" si="33"/>
        <v>0</v>
      </c>
      <c r="IF17" s="409">
        <f t="shared" si="33"/>
        <v>0</v>
      </c>
      <c r="IG17" s="409">
        <f t="shared" si="33"/>
        <v>0</v>
      </c>
      <c r="IH17" s="409">
        <f t="shared" si="33"/>
        <v>0</v>
      </c>
      <c r="II17" s="409">
        <f t="shared" si="33"/>
        <v>0</v>
      </c>
      <c r="IJ17" s="409">
        <f t="shared" si="33"/>
        <v>0</v>
      </c>
      <c r="IK17" s="378">
        <f t="shared" si="54"/>
        <v>10</v>
      </c>
    </row>
    <row r="18" spans="1:245" hidden="1" x14ac:dyDescent="0.2">
      <c r="A18" s="380" t="str">
        <f t="shared" si="34"/>
        <v>x</v>
      </c>
      <c r="B18" s="712" t="str">
        <f>IF(ISERROR(INDEX('Legend(DX)'!$H$8:$H$9,11)),"",INDEX('Legend(DX)'!$H$8:$H$9,11))</f>
        <v/>
      </c>
      <c r="C18" s="712" t="e">
        <f>IF(INDEX('Legend(DX)'!$T$8:$T$9,11)=0,"See Legend",INDEX('Legend(DX)'!$T$8:$T$9,11))</f>
        <v>#REF!</v>
      </c>
      <c r="D18" s="712" t="e">
        <f>IF(INDEX('Legend(DX)'!$R$8:$R$9,(ROW(C18))-7)=0,IF(AND(INDEX('Legend(DX)'!$D$8:$D$9,(ROW(C18))-6)="CH",INDEX('Legend(DX)'!$F$8:$F$9,(ROW(C18))-6)="CASE - MANUAL"),INDEX('Legend(DX)'!$R$8:$R$9,(ROW(C18))-6),IF(INDEX('Legend(DX)'!$V$8:$V$9,(ROW(C18))-7)&gt;1, "(" &amp; INDEX('Legend(DX)'!$V$8:$V$9,(ROW(C18))-7) &amp; ") " &amp; INDEX('Legend(DX)'!$W$8:$W$9,(ROW(C18))-6),INDEX('Legend(DX)'!$W$8:$W$9,(ROW(C18))-7))),INDEX('Legend(DX)'!$R$8:$R$9,(ROW(C18))-7))</f>
        <v>#REF!</v>
      </c>
      <c r="E18" s="713" t="str" cm="1">
        <f t="array" ref="E18">IF(OR(ISNUMBER(SEARCH("Skid",C18)),ISNUMBER(SEARCH("Subcooler",C18)),ISNUMBER(SEARCH("Pump",C18)),ISNUMBER(SEARCH("PH",C18))),0,IF(ISERROR(INDEX('Legend(DX)'!$AA$8:$AA$9,ROW()-7)),"",INDEX('Legend(DX)'!$AA$8:$AA$9,ROW()-7)))</f>
        <v/>
      </c>
      <c r="F18" s="714"/>
      <c r="G18" s="714"/>
      <c r="H18" s="714"/>
      <c r="I18" s="714"/>
      <c r="J18" s="714"/>
      <c r="K18" s="890">
        <f t="shared" si="35"/>
        <v>0</v>
      </c>
      <c r="L18" s="718"/>
      <c r="M18" s="719"/>
      <c r="N18" s="972">
        <f t="shared" si="7"/>
        <v>-1</v>
      </c>
      <c r="O18" s="972">
        <f t="shared" si="36"/>
        <v>-1</v>
      </c>
      <c r="P18" s="972">
        <f t="shared" si="8"/>
        <v>-1</v>
      </c>
      <c r="Q18" s="972">
        <f t="shared" si="37"/>
        <v>-1</v>
      </c>
      <c r="R18" s="972">
        <f t="shared" si="9"/>
        <v>-1</v>
      </c>
      <c r="S18" s="972">
        <f t="shared" si="38"/>
        <v>-1</v>
      </c>
      <c r="T18" s="972">
        <f t="shared" si="10"/>
        <v>-1</v>
      </c>
      <c r="U18" s="972">
        <f t="shared" si="39"/>
        <v>-1</v>
      </c>
      <c r="V18" s="972">
        <f t="shared" si="11"/>
        <v>-1</v>
      </c>
      <c r="W18" s="972">
        <f t="shared" si="40"/>
        <v>-1</v>
      </c>
      <c r="X18" s="972">
        <f t="shared" si="12"/>
        <v>-1</v>
      </c>
      <c r="Y18" s="972">
        <f t="shared" si="41"/>
        <v>-1</v>
      </c>
      <c r="Z18" s="972">
        <f t="shared" si="42"/>
        <v>-1</v>
      </c>
      <c r="AA18" s="972">
        <f t="shared" si="43"/>
        <v>-1</v>
      </c>
      <c r="AB18" s="972">
        <f t="shared" si="44"/>
        <v>-1</v>
      </c>
      <c r="AC18" s="972">
        <f t="shared" si="45"/>
        <v>-1</v>
      </c>
      <c r="AD18" s="972">
        <f t="shared" si="46"/>
        <v>-1</v>
      </c>
      <c r="AE18" s="972">
        <f t="shared" si="47"/>
        <v>-1</v>
      </c>
      <c r="AF18" s="972">
        <f t="shared" si="48"/>
        <v>-1</v>
      </c>
      <c r="AG18" s="972">
        <f t="shared" si="49"/>
        <v>-1</v>
      </c>
      <c r="AH18" s="972">
        <f t="shared" si="50"/>
        <v>-1</v>
      </c>
      <c r="AI18" s="972">
        <f t="shared" si="51"/>
        <v>-1</v>
      </c>
      <c r="AJ18" s="972">
        <f t="shared" si="52"/>
        <v>-1</v>
      </c>
      <c r="AK18" s="381" t="str">
        <f>IF(ISERROR(INDEX('Legend(DX)'!$AI$8:$AI$9,IK18)),"",INDEX('Legend(DX)'!$AI$8:$AI$9,IK18))</f>
        <v/>
      </c>
      <c r="AL18" s="727" t="str">
        <f t="shared" si="55"/>
        <v/>
      </c>
      <c r="AM18" s="409">
        <f t="shared" ref="AM18:AV27" si="56">IF(ISNA(AM$7),"",IF(OR(AND(AM$7&lt;=$N18,AM$7&gt;$N18-TIME(0,TimeIncr,0)),AND(AM$7&lt;=$P18,AM$7&gt;$P18-TIME(0,TimeIncr,0)),AND(AM$7&lt;=$R18,AM$7&gt;$R18-TIME(0,TimeIncr,0)),AND(AM$7&lt;=$T18,AM$7&gt;$T18-TIME(0,TimeIncr,0)),AND(AM$7&lt;=$V18,AM$7&gt;$V18-TIME(0,TimeIncr,0)),AND(AM$7&lt;=$X18,AM$7&gt;$X18-TIME(0,TimeIncr,0)),AND(AM$7&lt;=$Z18,AM$7&gt;$Z18-TIME(0,TimeIncr,0)),AND(AM$7&lt;=$AB18,AM$7&gt;$AB18-TIME(0,TimeIncr,0)),AND(AM$7&lt;=$AD18,AM$7&gt;$AD18-TIME(0,TimeIncr,0)),AND(AM$7&lt;=$AF18,AM$7&gt;$AF18-TIME(0,TimeIncr,0)),AND(AM$7&lt;=$AH18,AM$7&gt;$AH18-TIME(0,TimeIncr,0)),AND(AM$7&lt;=$AJ18,AM$7&gt;$AJ18-TIME(0,TimeIncr,0))),$E18*$L18,IF(OR(AND(AM$7&gt;=$M18,AM$7&lt;=$N18),AND(AM$7&gt;=$O18,AM$7&lt;=$P18),AND(AM$7&gt;=$Q18,AM$7&lt;=$R18),AND(AM$7&gt;=$S18,AM$7&lt;=$T18),AND(AM$7&gt;=$U18,AM$7&lt;=$V18),AND(AM$7&gt;=$W18,AM$7&lt;=$X18),AND(AM$7&gt;=$Y18,AM$7&lt;=$Z18),AND(AM$7&gt;=$AA18,AM$7&lt;=$AB18),AND(AM$7&gt;=$AC18,AM$7&lt;=$AD18),AND(AM$7&gt;=$AE18,AM$7&lt;=$AF18),AND(AM$7&gt;=$AG18,AM$7&lt;=$AH18),AND(AM$7&gt;=$AI18,AM$7&lt;=$AJ18)),0,IF(OR(AND($M18&gt;$N18,AM$7&lt;=$N18),AND($O18&gt;$P18,AM$7&lt;=$P18),AND($Q18&gt;$R18,AM$7&lt;=$R18),AND($S18&gt;$T18,AM$7&lt;=$T18),AND($U18&gt;$V18,AM$7&lt;=$V18),AND($W18&gt;$X18,AM$7&lt;=$X18),AND($Y18&gt;$Z18,AM$7&lt;=$Z18),AND($AA18&gt;$AB18,AM$7&lt;=$AB18),AND($AC18&gt;$AD18,AM$7&lt;=$AD18),AND($AE18&gt;$AF18,AM$7&lt;=$AF18),AND($AG18&gt;$AH18,AM$7&lt;=$AH18),AND($AI18&gt;$AJ18,AM$7&lt;=$AJ18)),0,IF(OR(AND(AM$7&gt;=$M18,$M18&gt;$N18),AND(AM$7&gt;=$O18,$O18&gt;$P18),AND(AM$7&gt;=$Q18,$Q18&gt;$R18),AND(AM$7&gt;=$S18,$S18&gt;$T18),AND(AM$7&gt;=$U18,$U18&gt;$V18),AND(AM$7&gt;=$W18,$W18&gt;$X18),AND(AM$7&gt;=$Y18,$Y18&gt;$Z18),AND(AM$7&gt;=$AA18,$AA18&gt;$AB18),AND(AM$7&gt;=$AC18,$AC18&gt;$AD18),AND(AM$7&gt;=$AE18,$AE18&gt;$AF18),AND(AM$7&gt;=$AG18,$AG18&gt;$AH18),AND(AM$7&gt;=$AI18,$AI18&gt;$AJ18)),0,$E18)))))</f>
        <v>0</v>
      </c>
      <c r="AN18" s="409">
        <f t="shared" si="56"/>
        <v>0</v>
      </c>
      <c r="AO18" s="409">
        <f t="shared" si="56"/>
        <v>0</v>
      </c>
      <c r="AP18" s="409">
        <f t="shared" si="56"/>
        <v>0</v>
      </c>
      <c r="AQ18" s="409">
        <f t="shared" si="56"/>
        <v>0</v>
      </c>
      <c r="AR18" s="409">
        <f t="shared" si="56"/>
        <v>0</v>
      </c>
      <c r="AS18" s="409">
        <f t="shared" si="56"/>
        <v>0</v>
      </c>
      <c r="AT18" s="409">
        <f t="shared" si="56"/>
        <v>0</v>
      </c>
      <c r="AU18" s="409">
        <f t="shared" si="56"/>
        <v>0</v>
      </c>
      <c r="AV18" s="409">
        <f t="shared" si="56"/>
        <v>0</v>
      </c>
      <c r="AW18" s="409">
        <f t="shared" ref="AW18:BF27" si="57">IF(ISNA(AW$7),"",IF(OR(AND(AW$7&lt;=$N18,AW$7&gt;$N18-TIME(0,TimeIncr,0)),AND(AW$7&lt;=$P18,AW$7&gt;$P18-TIME(0,TimeIncr,0)),AND(AW$7&lt;=$R18,AW$7&gt;$R18-TIME(0,TimeIncr,0)),AND(AW$7&lt;=$T18,AW$7&gt;$T18-TIME(0,TimeIncr,0)),AND(AW$7&lt;=$V18,AW$7&gt;$V18-TIME(0,TimeIncr,0)),AND(AW$7&lt;=$X18,AW$7&gt;$X18-TIME(0,TimeIncr,0)),AND(AW$7&lt;=$Z18,AW$7&gt;$Z18-TIME(0,TimeIncr,0)),AND(AW$7&lt;=$AB18,AW$7&gt;$AB18-TIME(0,TimeIncr,0)),AND(AW$7&lt;=$AD18,AW$7&gt;$AD18-TIME(0,TimeIncr,0)),AND(AW$7&lt;=$AF18,AW$7&gt;$AF18-TIME(0,TimeIncr,0)),AND(AW$7&lt;=$AH18,AW$7&gt;$AH18-TIME(0,TimeIncr,0)),AND(AW$7&lt;=$AJ18,AW$7&gt;$AJ18-TIME(0,TimeIncr,0))),$E18*$L18,IF(OR(AND(AW$7&gt;=$M18,AW$7&lt;=$N18),AND(AW$7&gt;=$O18,AW$7&lt;=$P18),AND(AW$7&gt;=$Q18,AW$7&lt;=$R18),AND(AW$7&gt;=$S18,AW$7&lt;=$T18),AND(AW$7&gt;=$U18,AW$7&lt;=$V18),AND(AW$7&gt;=$W18,AW$7&lt;=$X18),AND(AW$7&gt;=$Y18,AW$7&lt;=$Z18),AND(AW$7&gt;=$AA18,AW$7&lt;=$AB18),AND(AW$7&gt;=$AC18,AW$7&lt;=$AD18),AND(AW$7&gt;=$AE18,AW$7&lt;=$AF18),AND(AW$7&gt;=$AG18,AW$7&lt;=$AH18),AND(AW$7&gt;=$AI18,AW$7&lt;=$AJ18)),0,IF(OR(AND($M18&gt;$N18,AW$7&lt;=$N18),AND($O18&gt;$P18,AW$7&lt;=$P18),AND($Q18&gt;$R18,AW$7&lt;=$R18),AND($S18&gt;$T18,AW$7&lt;=$T18),AND($U18&gt;$V18,AW$7&lt;=$V18),AND($W18&gt;$X18,AW$7&lt;=$X18),AND($Y18&gt;$Z18,AW$7&lt;=$Z18),AND($AA18&gt;$AB18,AW$7&lt;=$AB18),AND($AC18&gt;$AD18,AW$7&lt;=$AD18),AND($AE18&gt;$AF18,AW$7&lt;=$AF18),AND($AG18&gt;$AH18,AW$7&lt;=$AH18),AND($AI18&gt;$AJ18,AW$7&lt;=$AJ18)),0,IF(OR(AND(AW$7&gt;=$M18,$M18&gt;$N18),AND(AW$7&gt;=$O18,$O18&gt;$P18),AND(AW$7&gt;=$Q18,$Q18&gt;$R18),AND(AW$7&gt;=$S18,$S18&gt;$T18),AND(AW$7&gt;=$U18,$U18&gt;$V18),AND(AW$7&gt;=$W18,$W18&gt;$X18),AND(AW$7&gt;=$Y18,$Y18&gt;$Z18),AND(AW$7&gt;=$AA18,$AA18&gt;$AB18),AND(AW$7&gt;=$AC18,$AC18&gt;$AD18),AND(AW$7&gt;=$AE18,$AE18&gt;$AF18),AND(AW$7&gt;=$AG18,$AG18&gt;$AH18),AND(AW$7&gt;=$AI18,$AI18&gt;$AJ18)),0,$E18)))))</f>
        <v>0</v>
      </c>
      <c r="AX18" s="409">
        <f t="shared" si="57"/>
        <v>0</v>
      </c>
      <c r="AY18" s="409">
        <f t="shared" si="57"/>
        <v>0</v>
      </c>
      <c r="AZ18" s="409">
        <f t="shared" si="57"/>
        <v>0</v>
      </c>
      <c r="BA18" s="409">
        <f t="shared" si="57"/>
        <v>0</v>
      </c>
      <c r="BB18" s="409">
        <f t="shared" si="57"/>
        <v>0</v>
      </c>
      <c r="BC18" s="409">
        <f t="shared" si="57"/>
        <v>0</v>
      </c>
      <c r="BD18" s="409">
        <f t="shared" si="57"/>
        <v>0</v>
      </c>
      <c r="BE18" s="409">
        <f t="shared" si="57"/>
        <v>0</v>
      </c>
      <c r="BF18" s="409">
        <f t="shared" si="57"/>
        <v>0</v>
      </c>
      <c r="BG18" s="409">
        <f t="shared" ref="BG18:BP27" si="58">IF(ISNA(BG$7),"",IF(OR(AND(BG$7&lt;=$N18,BG$7&gt;$N18-TIME(0,TimeIncr,0)),AND(BG$7&lt;=$P18,BG$7&gt;$P18-TIME(0,TimeIncr,0)),AND(BG$7&lt;=$R18,BG$7&gt;$R18-TIME(0,TimeIncr,0)),AND(BG$7&lt;=$T18,BG$7&gt;$T18-TIME(0,TimeIncr,0)),AND(BG$7&lt;=$V18,BG$7&gt;$V18-TIME(0,TimeIncr,0)),AND(BG$7&lt;=$X18,BG$7&gt;$X18-TIME(0,TimeIncr,0)),AND(BG$7&lt;=$Z18,BG$7&gt;$Z18-TIME(0,TimeIncr,0)),AND(BG$7&lt;=$AB18,BG$7&gt;$AB18-TIME(0,TimeIncr,0)),AND(BG$7&lt;=$AD18,BG$7&gt;$AD18-TIME(0,TimeIncr,0)),AND(BG$7&lt;=$AF18,BG$7&gt;$AF18-TIME(0,TimeIncr,0)),AND(BG$7&lt;=$AH18,BG$7&gt;$AH18-TIME(0,TimeIncr,0)),AND(BG$7&lt;=$AJ18,BG$7&gt;$AJ18-TIME(0,TimeIncr,0))),$E18*$L18,IF(OR(AND(BG$7&gt;=$M18,BG$7&lt;=$N18),AND(BG$7&gt;=$O18,BG$7&lt;=$P18),AND(BG$7&gt;=$Q18,BG$7&lt;=$R18),AND(BG$7&gt;=$S18,BG$7&lt;=$T18),AND(BG$7&gt;=$U18,BG$7&lt;=$V18),AND(BG$7&gt;=$W18,BG$7&lt;=$X18),AND(BG$7&gt;=$Y18,BG$7&lt;=$Z18),AND(BG$7&gt;=$AA18,BG$7&lt;=$AB18),AND(BG$7&gt;=$AC18,BG$7&lt;=$AD18),AND(BG$7&gt;=$AE18,BG$7&lt;=$AF18),AND(BG$7&gt;=$AG18,BG$7&lt;=$AH18),AND(BG$7&gt;=$AI18,BG$7&lt;=$AJ18)),0,IF(OR(AND($M18&gt;$N18,BG$7&lt;=$N18),AND($O18&gt;$P18,BG$7&lt;=$P18),AND($Q18&gt;$R18,BG$7&lt;=$R18),AND($S18&gt;$T18,BG$7&lt;=$T18),AND($U18&gt;$V18,BG$7&lt;=$V18),AND($W18&gt;$X18,BG$7&lt;=$X18),AND($Y18&gt;$Z18,BG$7&lt;=$Z18),AND($AA18&gt;$AB18,BG$7&lt;=$AB18),AND($AC18&gt;$AD18,BG$7&lt;=$AD18),AND($AE18&gt;$AF18,BG$7&lt;=$AF18),AND($AG18&gt;$AH18,BG$7&lt;=$AH18),AND($AI18&gt;$AJ18,BG$7&lt;=$AJ18)),0,IF(OR(AND(BG$7&gt;=$M18,$M18&gt;$N18),AND(BG$7&gt;=$O18,$O18&gt;$P18),AND(BG$7&gt;=$Q18,$Q18&gt;$R18),AND(BG$7&gt;=$S18,$S18&gt;$T18),AND(BG$7&gt;=$U18,$U18&gt;$V18),AND(BG$7&gt;=$W18,$W18&gt;$X18),AND(BG$7&gt;=$Y18,$Y18&gt;$Z18),AND(BG$7&gt;=$AA18,$AA18&gt;$AB18),AND(BG$7&gt;=$AC18,$AC18&gt;$AD18),AND(BG$7&gt;=$AE18,$AE18&gt;$AF18),AND(BG$7&gt;=$AG18,$AG18&gt;$AH18),AND(BG$7&gt;=$AI18,$AI18&gt;$AJ18)),0,$E18)))))</f>
        <v>0</v>
      </c>
      <c r="BH18" s="409">
        <f t="shared" si="58"/>
        <v>0</v>
      </c>
      <c r="BI18" s="409">
        <f t="shared" si="58"/>
        <v>0</v>
      </c>
      <c r="BJ18" s="409">
        <f t="shared" si="58"/>
        <v>0</v>
      </c>
      <c r="BK18" s="409">
        <f t="shared" si="58"/>
        <v>0</v>
      </c>
      <c r="BL18" s="409">
        <f t="shared" si="58"/>
        <v>0</v>
      </c>
      <c r="BM18" s="409">
        <f t="shared" si="58"/>
        <v>0</v>
      </c>
      <c r="BN18" s="409">
        <f t="shared" si="58"/>
        <v>0</v>
      </c>
      <c r="BO18" s="409">
        <f t="shared" si="58"/>
        <v>0</v>
      </c>
      <c r="BP18" s="409">
        <f t="shared" si="58"/>
        <v>0</v>
      </c>
      <c r="BQ18" s="409">
        <f t="shared" ref="BQ18:BZ27" si="59">IF(ISNA(BQ$7),"",IF(OR(AND(BQ$7&lt;=$N18,BQ$7&gt;$N18-TIME(0,TimeIncr,0)),AND(BQ$7&lt;=$P18,BQ$7&gt;$P18-TIME(0,TimeIncr,0)),AND(BQ$7&lt;=$R18,BQ$7&gt;$R18-TIME(0,TimeIncr,0)),AND(BQ$7&lt;=$T18,BQ$7&gt;$T18-TIME(0,TimeIncr,0)),AND(BQ$7&lt;=$V18,BQ$7&gt;$V18-TIME(0,TimeIncr,0)),AND(BQ$7&lt;=$X18,BQ$7&gt;$X18-TIME(0,TimeIncr,0)),AND(BQ$7&lt;=$Z18,BQ$7&gt;$Z18-TIME(0,TimeIncr,0)),AND(BQ$7&lt;=$AB18,BQ$7&gt;$AB18-TIME(0,TimeIncr,0)),AND(BQ$7&lt;=$AD18,BQ$7&gt;$AD18-TIME(0,TimeIncr,0)),AND(BQ$7&lt;=$AF18,BQ$7&gt;$AF18-TIME(0,TimeIncr,0)),AND(BQ$7&lt;=$AH18,BQ$7&gt;$AH18-TIME(0,TimeIncr,0)),AND(BQ$7&lt;=$AJ18,BQ$7&gt;$AJ18-TIME(0,TimeIncr,0))),$E18*$L18,IF(OR(AND(BQ$7&gt;=$M18,BQ$7&lt;=$N18),AND(BQ$7&gt;=$O18,BQ$7&lt;=$P18),AND(BQ$7&gt;=$Q18,BQ$7&lt;=$R18),AND(BQ$7&gt;=$S18,BQ$7&lt;=$T18),AND(BQ$7&gt;=$U18,BQ$7&lt;=$V18),AND(BQ$7&gt;=$W18,BQ$7&lt;=$X18),AND(BQ$7&gt;=$Y18,BQ$7&lt;=$Z18),AND(BQ$7&gt;=$AA18,BQ$7&lt;=$AB18),AND(BQ$7&gt;=$AC18,BQ$7&lt;=$AD18),AND(BQ$7&gt;=$AE18,BQ$7&lt;=$AF18),AND(BQ$7&gt;=$AG18,BQ$7&lt;=$AH18),AND(BQ$7&gt;=$AI18,BQ$7&lt;=$AJ18)),0,IF(OR(AND($M18&gt;$N18,BQ$7&lt;=$N18),AND($O18&gt;$P18,BQ$7&lt;=$P18),AND($Q18&gt;$R18,BQ$7&lt;=$R18),AND($S18&gt;$T18,BQ$7&lt;=$T18),AND($U18&gt;$V18,BQ$7&lt;=$V18),AND($W18&gt;$X18,BQ$7&lt;=$X18),AND($Y18&gt;$Z18,BQ$7&lt;=$Z18),AND($AA18&gt;$AB18,BQ$7&lt;=$AB18),AND($AC18&gt;$AD18,BQ$7&lt;=$AD18),AND($AE18&gt;$AF18,BQ$7&lt;=$AF18),AND($AG18&gt;$AH18,BQ$7&lt;=$AH18),AND($AI18&gt;$AJ18,BQ$7&lt;=$AJ18)),0,IF(OR(AND(BQ$7&gt;=$M18,$M18&gt;$N18),AND(BQ$7&gt;=$O18,$O18&gt;$P18),AND(BQ$7&gt;=$Q18,$Q18&gt;$R18),AND(BQ$7&gt;=$S18,$S18&gt;$T18),AND(BQ$7&gt;=$U18,$U18&gt;$V18),AND(BQ$7&gt;=$W18,$W18&gt;$X18),AND(BQ$7&gt;=$Y18,$Y18&gt;$Z18),AND(BQ$7&gt;=$AA18,$AA18&gt;$AB18),AND(BQ$7&gt;=$AC18,$AC18&gt;$AD18),AND(BQ$7&gt;=$AE18,$AE18&gt;$AF18),AND(BQ$7&gt;=$AG18,$AG18&gt;$AH18),AND(BQ$7&gt;=$AI18,$AI18&gt;$AJ18)),0,$E18)))))</f>
        <v>0</v>
      </c>
      <c r="BR18" s="409">
        <f t="shared" si="59"/>
        <v>0</v>
      </c>
      <c r="BS18" s="409">
        <f t="shared" si="59"/>
        <v>0</v>
      </c>
      <c r="BT18" s="409">
        <f t="shared" si="59"/>
        <v>0</v>
      </c>
      <c r="BU18" s="409">
        <f t="shared" si="59"/>
        <v>0</v>
      </c>
      <c r="BV18" s="409">
        <f t="shared" si="59"/>
        <v>0</v>
      </c>
      <c r="BW18" s="409">
        <f t="shared" si="59"/>
        <v>0</v>
      </c>
      <c r="BX18" s="409">
        <f t="shared" si="59"/>
        <v>0</v>
      </c>
      <c r="BY18" s="409">
        <f t="shared" si="59"/>
        <v>0</v>
      </c>
      <c r="BZ18" s="409">
        <f t="shared" si="59"/>
        <v>0</v>
      </c>
      <c r="CA18" s="409">
        <f t="shared" ref="CA18:CJ27" si="60">IF(ISNA(CA$7),"",IF(OR(AND(CA$7&lt;=$N18,CA$7&gt;$N18-TIME(0,TimeIncr,0)),AND(CA$7&lt;=$P18,CA$7&gt;$P18-TIME(0,TimeIncr,0)),AND(CA$7&lt;=$R18,CA$7&gt;$R18-TIME(0,TimeIncr,0)),AND(CA$7&lt;=$T18,CA$7&gt;$T18-TIME(0,TimeIncr,0)),AND(CA$7&lt;=$V18,CA$7&gt;$V18-TIME(0,TimeIncr,0)),AND(CA$7&lt;=$X18,CA$7&gt;$X18-TIME(0,TimeIncr,0)),AND(CA$7&lt;=$Z18,CA$7&gt;$Z18-TIME(0,TimeIncr,0)),AND(CA$7&lt;=$AB18,CA$7&gt;$AB18-TIME(0,TimeIncr,0)),AND(CA$7&lt;=$AD18,CA$7&gt;$AD18-TIME(0,TimeIncr,0)),AND(CA$7&lt;=$AF18,CA$7&gt;$AF18-TIME(0,TimeIncr,0)),AND(CA$7&lt;=$AH18,CA$7&gt;$AH18-TIME(0,TimeIncr,0)),AND(CA$7&lt;=$AJ18,CA$7&gt;$AJ18-TIME(0,TimeIncr,0))),$E18*$L18,IF(OR(AND(CA$7&gt;=$M18,CA$7&lt;=$N18),AND(CA$7&gt;=$O18,CA$7&lt;=$P18),AND(CA$7&gt;=$Q18,CA$7&lt;=$R18),AND(CA$7&gt;=$S18,CA$7&lt;=$T18),AND(CA$7&gt;=$U18,CA$7&lt;=$V18),AND(CA$7&gt;=$W18,CA$7&lt;=$X18),AND(CA$7&gt;=$Y18,CA$7&lt;=$Z18),AND(CA$7&gt;=$AA18,CA$7&lt;=$AB18),AND(CA$7&gt;=$AC18,CA$7&lt;=$AD18),AND(CA$7&gt;=$AE18,CA$7&lt;=$AF18),AND(CA$7&gt;=$AG18,CA$7&lt;=$AH18),AND(CA$7&gt;=$AI18,CA$7&lt;=$AJ18)),0,IF(OR(AND($M18&gt;$N18,CA$7&lt;=$N18),AND($O18&gt;$P18,CA$7&lt;=$P18),AND($Q18&gt;$R18,CA$7&lt;=$R18),AND($S18&gt;$T18,CA$7&lt;=$T18),AND($U18&gt;$V18,CA$7&lt;=$V18),AND($W18&gt;$X18,CA$7&lt;=$X18),AND($Y18&gt;$Z18,CA$7&lt;=$Z18),AND($AA18&gt;$AB18,CA$7&lt;=$AB18),AND($AC18&gt;$AD18,CA$7&lt;=$AD18),AND($AE18&gt;$AF18,CA$7&lt;=$AF18),AND($AG18&gt;$AH18,CA$7&lt;=$AH18),AND($AI18&gt;$AJ18,CA$7&lt;=$AJ18)),0,IF(OR(AND(CA$7&gt;=$M18,$M18&gt;$N18),AND(CA$7&gt;=$O18,$O18&gt;$P18),AND(CA$7&gt;=$Q18,$Q18&gt;$R18),AND(CA$7&gt;=$S18,$S18&gt;$T18),AND(CA$7&gt;=$U18,$U18&gt;$V18),AND(CA$7&gt;=$W18,$W18&gt;$X18),AND(CA$7&gt;=$Y18,$Y18&gt;$Z18),AND(CA$7&gt;=$AA18,$AA18&gt;$AB18),AND(CA$7&gt;=$AC18,$AC18&gt;$AD18),AND(CA$7&gt;=$AE18,$AE18&gt;$AF18),AND(CA$7&gt;=$AG18,$AG18&gt;$AH18),AND(CA$7&gt;=$AI18,$AI18&gt;$AJ18)),0,$E18)))))</f>
        <v>0</v>
      </c>
      <c r="CB18" s="409">
        <f t="shared" si="60"/>
        <v>0</v>
      </c>
      <c r="CC18" s="409">
        <f t="shared" si="60"/>
        <v>0</v>
      </c>
      <c r="CD18" s="409">
        <f t="shared" si="60"/>
        <v>0</v>
      </c>
      <c r="CE18" s="409">
        <f t="shared" si="60"/>
        <v>0</v>
      </c>
      <c r="CF18" s="409">
        <f t="shared" si="60"/>
        <v>0</v>
      </c>
      <c r="CG18" s="409">
        <f t="shared" si="60"/>
        <v>0</v>
      </c>
      <c r="CH18" s="409">
        <f t="shared" si="60"/>
        <v>0</v>
      </c>
      <c r="CI18" s="409">
        <f t="shared" si="60"/>
        <v>0</v>
      </c>
      <c r="CJ18" s="409">
        <f t="shared" si="60"/>
        <v>0</v>
      </c>
      <c r="CK18" s="409">
        <f t="shared" ref="CK18:CT27" si="61">IF(ISNA(CK$7),"",IF(OR(AND(CK$7&lt;=$N18,CK$7&gt;$N18-TIME(0,TimeIncr,0)),AND(CK$7&lt;=$P18,CK$7&gt;$P18-TIME(0,TimeIncr,0)),AND(CK$7&lt;=$R18,CK$7&gt;$R18-TIME(0,TimeIncr,0)),AND(CK$7&lt;=$T18,CK$7&gt;$T18-TIME(0,TimeIncr,0)),AND(CK$7&lt;=$V18,CK$7&gt;$V18-TIME(0,TimeIncr,0)),AND(CK$7&lt;=$X18,CK$7&gt;$X18-TIME(0,TimeIncr,0)),AND(CK$7&lt;=$Z18,CK$7&gt;$Z18-TIME(0,TimeIncr,0)),AND(CK$7&lt;=$AB18,CK$7&gt;$AB18-TIME(0,TimeIncr,0)),AND(CK$7&lt;=$AD18,CK$7&gt;$AD18-TIME(0,TimeIncr,0)),AND(CK$7&lt;=$AF18,CK$7&gt;$AF18-TIME(0,TimeIncr,0)),AND(CK$7&lt;=$AH18,CK$7&gt;$AH18-TIME(0,TimeIncr,0)),AND(CK$7&lt;=$AJ18,CK$7&gt;$AJ18-TIME(0,TimeIncr,0))),$E18*$L18,IF(OR(AND(CK$7&gt;=$M18,CK$7&lt;=$N18),AND(CK$7&gt;=$O18,CK$7&lt;=$P18),AND(CK$7&gt;=$Q18,CK$7&lt;=$R18),AND(CK$7&gt;=$S18,CK$7&lt;=$T18),AND(CK$7&gt;=$U18,CK$7&lt;=$V18),AND(CK$7&gt;=$W18,CK$7&lt;=$X18),AND(CK$7&gt;=$Y18,CK$7&lt;=$Z18),AND(CK$7&gt;=$AA18,CK$7&lt;=$AB18),AND(CK$7&gt;=$AC18,CK$7&lt;=$AD18),AND(CK$7&gt;=$AE18,CK$7&lt;=$AF18),AND(CK$7&gt;=$AG18,CK$7&lt;=$AH18),AND(CK$7&gt;=$AI18,CK$7&lt;=$AJ18)),0,IF(OR(AND($M18&gt;$N18,CK$7&lt;=$N18),AND($O18&gt;$P18,CK$7&lt;=$P18),AND($Q18&gt;$R18,CK$7&lt;=$R18),AND($S18&gt;$T18,CK$7&lt;=$T18),AND($U18&gt;$V18,CK$7&lt;=$V18),AND($W18&gt;$X18,CK$7&lt;=$X18),AND($Y18&gt;$Z18,CK$7&lt;=$Z18),AND($AA18&gt;$AB18,CK$7&lt;=$AB18),AND($AC18&gt;$AD18,CK$7&lt;=$AD18),AND($AE18&gt;$AF18,CK$7&lt;=$AF18),AND($AG18&gt;$AH18,CK$7&lt;=$AH18),AND($AI18&gt;$AJ18,CK$7&lt;=$AJ18)),0,IF(OR(AND(CK$7&gt;=$M18,$M18&gt;$N18),AND(CK$7&gt;=$O18,$O18&gt;$P18),AND(CK$7&gt;=$Q18,$Q18&gt;$R18),AND(CK$7&gt;=$S18,$S18&gt;$T18),AND(CK$7&gt;=$U18,$U18&gt;$V18),AND(CK$7&gt;=$W18,$W18&gt;$X18),AND(CK$7&gt;=$Y18,$Y18&gt;$Z18),AND(CK$7&gt;=$AA18,$AA18&gt;$AB18),AND(CK$7&gt;=$AC18,$AC18&gt;$AD18),AND(CK$7&gt;=$AE18,$AE18&gt;$AF18),AND(CK$7&gt;=$AG18,$AG18&gt;$AH18),AND(CK$7&gt;=$AI18,$AI18&gt;$AJ18)),0,$E18)))))</f>
        <v>0</v>
      </c>
      <c r="CL18" s="409">
        <f t="shared" si="61"/>
        <v>0</v>
      </c>
      <c r="CM18" s="409">
        <f t="shared" si="61"/>
        <v>0</v>
      </c>
      <c r="CN18" s="409">
        <f t="shared" si="61"/>
        <v>0</v>
      </c>
      <c r="CO18" s="409">
        <f t="shared" si="61"/>
        <v>0</v>
      </c>
      <c r="CP18" s="409">
        <f t="shared" si="61"/>
        <v>0</v>
      </c>
      <c r="CQ18" s="409">
        <f t="shared" si="61"/>
        <v>0</v>
      </c>
      <c r="CR18" s="409">
        <f t="shared" si="61"/>
        <v>0</v>
      </c>
      <c r="CS18" s="409">
        <f t="shared" si="61"/>
        <v>0</v>
      </c>
      <c r="CT18" s="409">
        <f t="shared" si="61"/>
        <v>0</v>
      </c>
      <c r="CU18" s="409">
        <f t="shared" ref="CU18:DD27" si="62">IF(ISNA(CU$7),"",IF(OR(AND(CU$7&lt;=$N18,CU$7&gt;$N18-TIME(0,TimeIncr,0)),AND(CU$7&lt;=$P18,CU$7&gt;$P18-TIME(0,TimeIncr,0)),AND(CU$7&lt;=$R18,CU$7&gt;$R18-TIME(0,TimeIncr,0)),AND(CU$7&lt;=$T18,CU$7&gt;$T18-TIME(0,TimeIncr,0)),AND(CU$7&lt;=$V18,CU$7&gt;$V18-TIME(0,TimeIncr,0)),AND(CU$7&lt;=$X18,CU$7&gt;$X18-TIME(0,TimeIncr,0)),AND(CU$7&lt;=$Z18,CU$7&gt;$Z18-TIME(0,TimeIncr,0)),AND(CU$7&lt;=$AB18,CU$7&gt;$AB18-TIME(0,TimeIncr,0)),AND(CU$7&lt;=$AD18,CU$7&gt;$AD18-TIME(0,TimeIncr,0)),AND(CU$7&lt;=$AF18,CU$7&gt;$AF18-TIME(0,TimeIncr,0)),AND(CU$7&lt;=$AH18,CU$7&gt;$AH18-TIME(0,TimeIncr,0)),AND(CU$7&lt;=$AJ18,CU$7&gt;$AJ18-TIME(0,TimeIncr,0))),$E18*$L18,IF(OR(AND(CU$7&gt;=$M18,CU$7&lt;=$N18),AND(CU$7&gt;=$O18,CU$7&lt;=$P18),AND(CU$7&gt;=$Q18,CU$7&lt;=$R18),AND(CU$7&gt;=$S18,CU$7&lt;=$T18),AND(CU$7&gt;=$U18,CU$7&lt;=$V18),AND(CU$7&gt;=$W18,CU$7&lt;=$X18),AND(CU$7&gt;=$Y18,CU$7&lt;=$Z18),AND(CU$7&gt;=$AA18,CU$7&lt;=$AB18),AND(CU$7&gt;=$AC18,CU$7&lt;=$AD18),AND(CU$7&gt;=$AE18,CU$7&lt;=$AF18),AND(CU$7&gt;=$AG18,CU$7&lt;=$AH18),AND(CU$7&gt;=$AI18,CU$7&lt;=$AJ18)),0,IF(OR(AND($M18&gt;$N18,CU$7&lt;=$N18),AND($O18&gt;$P18,CU$7&lt;=$P18),AND($Q18&gt;$R18,CU$7&lt;=$R18),AND($S18&gt;$T18,CU$7&lt;=$T18),AND($U18&gt;$V18,CU$7&lt;=$V18),AND($W18&gt;$X18,CU$7&lt;=$X18),AND($Y18&gt;$Z18,CU$7&lt;=$Z18),AND($AA18&gt;$AB18,CU$7&lt;=$AB18),AND($AC18&gt;$AD18,CU$7&lt;=$AD18),AND($AE18&gt;$AF18,CU$7&lt;=$AF18),AND($AG18&gt;$AH18,CU$7&lt;=$AH18),AND($AI18&gt;$AJ18,CU$7&lt;=$AJ18)),0,IF(OR(AND(CU$7&gt;=$M18,$M18&gt;$N18),AND(CU$7&gt;=$O18,$O18&gt;$P18),AND(CU$7&gt;=$Q18,$Q18&gt;$R18),AND(CU$7&gt;=$S18,$S18&gt;$T18),AND(CU$7&gt;=$U18,$U18&gt;$V18),AND(CU$7&gt;=$W18,$W18&gt;$X18),AND(CU$7&gt;=$Y18,$Y18&gt;$Z18),AND(CU$7&gt;=$AA18,$AA18&gt;$AB18),AND(CU$7&gt;=$AC18,$AC18&gt;$AD18),AND(CU$7&gt;=$AE18,$AE18&gt;$AF18),AND(CU$7&gt;=$AG18,$AG18&gt;$AH18),AND(CU$7&gt;=$AI18,$AI18&gt;$AJ18)),0,$E18)))))</f>
        <v>0</v>
      </c>
      <c r="CV18" s="409">
        <f t="shared" si="62"/>
        <v>0</v>
      </c>
      <c r="CW18" s="409">
        <f t="shared" si="62"/>
        <v>0</v>
      </c>
      <c r="CX18" s="409">
        <f t="shared" si="62"/>
        <v>0</v>
      </c>
      <c r="CY18" s="409">
        <f t="shared" si="62"/>
        <v>0</v>
      </c>
      <c r="CZ18" s="409">
        <f t="shared" si="62"/>
        <v>0</v>
      </c>
      <c r="DA18" s="409">
        <f t="shared" si="62"/>
        <v>0</v>
      </c>
      <c r="DB18" s="409">
        <f t="shared" si="62"/>
        <v>0</v>
      </c>
      <c r="DC18" s="409">
        <f t="shared" si="62"/>
        <v>0</v>
      </c>
      <c r="DD18" s="409">
        <f t="shared" si="62"/>
        <v>0</v>
      </c>
      <c r="DE18" s="409">
        <f t="shared" ref="DE18:DN27" si="63">IF(ISNA(DE$7),"",IF(OR(AND(DE$7&lt;=$N18,DE$7&gt;$N18-TIME(0,TimeIncr,0)),AND(DE$7&lt;=$P18,DE$7&gt;$P18-TIME(0,TimeIncr,0)),AND(DE$7&lt;=$R18,DE$7&gt;$R18-TIME(0,TimeIncr,0)),AND(DE$7&lt;=$T18,DE$7&gt;$T18-TIME(0,TimeIncr,0)),AND(DE$7&lt;=$V18,DE$7&gt;$V18-TIME(0,TimeIncr,0)),AND(DE$7&lt;=$X18,DE$7&gt;$X18-TIME(0,TimeIncr,0)),AND(DE$7&lt;=$Z18,DE$7&gt;$Z18-TIME(0,TimeIncr,0)),AND(DE$7&lt;=$AB18,DE$7&gt;$AB18-TIME(0,TimeIncr,0)),AND(DE$7&lt;=$AD18,DE$7&gt;$AD18-TIME(0,TimeIncr,0)),AND(DE$7&lt;=$AF18,DE$7&gt;$AF18-TIME(0,TimeIncr,0)),AND(DE$7&lt;=$AH18,DE$7&gt;$AH18-TIME(0,TimeIncr,0)),AND(DE$7&lt;=$AJ18,DE$7&gt;$AJ18-TIME(0,TimeIncr,0))),$E18*$L18,IF(OR(AND(DE$7&gt;=$M18,DE$7&lt;=$N18),AND(DE$7&gt;=$O18,DE$7&lt;=$P18),AND(DE$7&gt;=$Q18,DE$7&lt;=$R18),AND(DE$7&gt;=$S18,DE$7&lt;=$T18),AND(DE$7&gt;=$U18,DE$7&lt;=$V18),AND(DE$7&gt;=$W18,DE$7&lt;=$X18),AND(DE$7&gt;=$Y18,DE$7&lt;=$Z18),AND(DE$7&gt;=$AA18,DE$7&lt;=$AB18),AND(DE$7&gt;=$AC18,DE$7&lt;=$AD18),AND(DE$7&gt;=$AE18,DE$7&lt;=$AF18),AND(DE$7&gt;=$AG18,DE$7&lt;=$AH18),AND(DE$7&gt;=$AI18,DE$7&lt;=$AJ18)),0,IF(OR(AND($M18&gt;$N18,DE$7&lt;=$N18),AND($O18&gt;$P18,DE$7&lt;=$P18),AND($Q18&gt;$R18,DE$7&lt;=$R18),AND($S18&gt;$T18,DE$7&lt;=$T18),AND($U18&gt;$V18,DE$7&lt;=$V18),AND($W18&gt;$X18,DE$7&lt;=$X18),AND($Y18&gt;$Z18,DE$7&lt;=$Z18),AND($AA18&gt;$AB18,DE$7&lt;=$AB18),AND($AC18&gt;$AD18,DE$7&lt;=$AD18),AND($AE18&gt;$AF18,DE$7&lt;=$AF18),AND($AG18&gt;$AH18,DE$7&lt;=$AH18),AND($AI18&gt;$AJ18,DE$7&lt;=$AJ18)),0,IF(OR(AND(DE$7&gt;=$M18,$M18&gt;$N18),AND(DE$7&gt;=$O18,$O18&gt;$P18),AND(DE$7&gt;=$Q18,$Q18&gt;$R18),AND(DE$7&gt;=$S18,$S18&gt;$T18),AND(DE$7&gt;=$U18,$U18&gt;$V18),AND(DE$7&gt;=$W18,$W18&gt;$X18),AND(DE$7&gt;=$Y18,$Y18&gt;$Z18),AND(DE$7&gt;=$AA18,$AA18&gt;$AB18),AND(DE$7&gt;=$AC18,$AC18&gt;$AD18),AND(DE$7&gt;=$AE18,$AE18&gt;$AF18),AND(DE$7&gt;=$AG18,$AG18&gt;$AH18),AND(DE$7&gt;=$AI18,$AI18&gt;$AJ18)),0,$E18)))))</f>
        <v>0</v>
      </c>
      <c r="DF18" s="409">
        <f t="shared" si="63"/>
        <v>0</v>
      </c>
      <c r="DG18" s="409">
        <f t="shared" si="63"/>
        <v>0</v>
      </c>
      <c r="DH18" s="409">
        <f t="shared" si="63"/>
        <v>0</v>
      </c>
      <c r="DI18" s="409">
        <f t="shared" si="63"/>
        <v>0</v>
      </c>
      <c r="DJ18" s="409">
        <f t="shared" si="63"/>
        <v>0</v>
      </c>
      <c r="DK18" s="409">
        <f t="shared" si="63"/>
        <v>0</v>
      </c>
      <c r="DL18" s="409">
        <f t="shared" si="63"/>
        <v>0</v>
      </c>
      <c r="DM18" s="409">
        <f t="shared" si="63"/>
        <v>0</v>
      </c>
      <c r="DN18" s="409">
        <f t="shared" si="63"/>
        <v>0</v>
      </c>
      <c r="DO18" s="409">
        <f t="shared" ref="DO18:DX27" si="64">IF(ISNA(DO$7),"",IF(OR(AND(DO$7&lt;=$N18,DO$7&gt;$N18-TIME(0,TimeIncr,0)),AND(DO$7&lt;=$P18,DO$7&gt;$P18-TIME(0,TimeIncr,0)),AND(DO$7&lt;=$R18,DO$7&gt;$R18-TIME(0,TimeIncr,0)),AND(DO$7&lt;=$T18,DO$7&gt;$T18-TIME(0,TimeIncr,0)),AND(DO$7&lt;=$V18,DO$7&gt;$V18-TIME(0,TimeIncr,0)),AND(DO$7&lt;=$X18,DO$7&gt;$X18-TIME(0,TimeIncr,0)),AND(DO$7&lt;=$Z18,DO$7&gt;$Z18-TIME(0,TimeIncr,0)),AND(DO$7&lt;=$AB18,DO$7&gt;$AB18-TIME(0,TimeIncr,0)),AND(DO$7&lt;=$AD18,DO$7&gt;$AD18-TIME(0,TimeIncr,0)),AND(DO$7&lt;=$AF18,DO$7&gt;$AF18-TIME(0,TimeIncr,0)),AND(DO$7&lt;=$AH18,DO$7&gt;$AH18-TIME(0,TimeIncr,0)),AND(DO$7&lt;=$AJ18,DO$7&gt;$AJ18-TIME(0,TimeIncr,0))),$E18*$L18,IF(OR(AND(DO$7&gt;=$M18,DO$7&lt;=$N18),AND(DO$7&gt;=$O18,DO$7&lt;=$P18),AND(DO$7&gt;=$Q18,DO$7&lt;=$R18),AND(DO$7&gt;=$S18,DO$7&lt;=$T18),AND(DO$7&gt;=$U18,DO$7&lt;=$V18),AND(DO$7&gt;=$W18,DO$7&lt;=$X18),AND(DO$7&gt;=$Y18,DO$7&lt;=$Z18),AND(DO$7&gt;=$AA18,DO$7&lt;=$AB18),AND(DO$7&gt;=$AC18,DO$7&lt;=$AD18),AND(DO$7&gt;=$AE18,DO$7&lt;=$AF18),AND(DO$7&gt;=$AG18,DO$7&lt;=$AH18),AND(DO$7&gt;=$AI18,DO$7&lt;=$AJ18)),0,IF(OR(AND($M18&gt;$N18,DO$7&lt;=$N18),AND($O18&gt;$P18,DO$7&lt;=$P18),AND($Q18&gt;$R18,DO$7&lt;=$R18),AND($S18&gt;$T18,DO$7&lt;=$T18),AND($U18&gt;$V18,DO$7&lt;=$V18),AND($W18&gt;$X18,DO$7&lt;=$X18),AND($Y18&gt;$Z18,DO$7&lt;=$Z18),AND($AA18&gt;$AB18,DO$7&lt;=$AB18),AND($AC18&gt;$AD18,DO$7&lt;=$AD18),AND($AE18&gt;$AF18,DO$7&lt;=$AF18),AND($AG18&gt;$AH18,DO$7&lt;=$AH18),AND($AI18&gt;$AJ18,DO$7&lt;=$AJ18)),0,IF(OR(AND(DO$7&gt;=$M18,$M18&gt;$N18),AND(DO$7&gt;=$O18,$O18&gt;$P18),AND(DO$7&gt;=$Q18,$Q18&gt;$R18),AND(DO$7&gt;=$S18,$S18&gt;$T18),AND(DO$7&gt;=$U18,$U18&gt;$V18),AND(DO$7&gt;=$W18,$W18&gt;$X18),AND(DO$7&gt;=$Y18,$Y18&gt;$Z18),AND(DO$7&gt;=$AA18,$AA18&gt;$AB18),AND(DO$7&gt;=$AC18,$AC18&gt;$AD18),AND(DO$7&gt;=$AE18,$AE18&gt;$AF18),AND(DO$7&gt;=$AG18,$AG18&gt;$AH18),AND(DO$7&gt;=$AI18,$AI18&gt;$AJ18)),0,$E18)))))</f>
        <v>0</v>
      </c>
      <c r="DP18" s="409">
        <f t="shared" si="64"/>
        <v>0</v>
      </c>
      <c r="DQ18" s="409">
        <f t="shared" si="64"/>
        <v>0</v>
      </c>
      <c r="DR18" s="409">
        <f t="shared" si="64"/>
        <v>0</v>
      </c>
      <c r="DS18" s="409">
        <f t="shared" si="64"/>
        <v>0</v>
      </c>
      <c r="DT18" s="409">
        <f t="shared" si="64"/>
        <v>0</v>
      </c>
      <c r="DU18" s="409">
        <f t="shared" si="64"/>
        <v>0</v>
      </c>
      <c r="DV18" s="409">
        <f t="shared" si="64"/>
        <v>0</v>
      </c>
      <c r="DW18" s="409">
        <f t="shared" si="64"/>
        <v>0</v>
      </c>
      <c r="DX18" s="409">
        <f t="shared" si="64"/>
        <v>0</v>
      </c>
      <c r="DY18" s="409">
        <f t="shared" ref="DY18:EH27" si="65">IF(ISNA(DY$7),"",IF(OR(AND(DY$7&lt;=$N18,DY$7&gt;$N18-TIME(0,TimeIncr,0)),AND(DY$7&lt;=$P18,DY$7&gt;$P18-TIME(0,TimeIncr,0)),AND(DY$7&lt;=$R18,DY$7&gt;$R18-TIME(0,TimeIncr,0)),AND(DY$7&lt;=$T18,DY$7&gt;$T18-TIME(0,TimeIncr,0)),AND(DY$7&lt;=$V18,DY$7&gt;$V18-TIME(0,TimeIncr,0)),AND(DY$7&lt;=$X18,DY$7&gt;$X18-TIME(0,TimeIncr,0)),AND(DY$7&lt;=$Z18,DY$7&gt;$Z18-TIME(0,TimeIncr,0)),AND(DY$7&lt;=$AB18,DY$7&gt;$AB18-TIME(0,TimeIncr,0)),AND(DY$7&lt;=$AD18,DY$7&gt;$AD18-TIME(0,TimeIncr,0)),AND(DY$7&lt;=$AF18,DY$7&gt;$AF18-TIME(0,TimeIncr,0)),AND(DY$7&lt;=$AH18,DY$7&gt;$AH18-TIME(0,TimeIncr,0)),AND(DY$7&lt;=$AJ18,DY$7&gt;$AJ18-TIME(0,TimeIncr,0))),$E18*$L18,IF(OR(AND(DY$7&gt;=$M18,DY$7&lt;=$N18),AND(DY$7&gt;=$O18,DY$7&lt;=$P18),AND(DY$7&gt;=$Q18,DY$7&lt;=$R18),AND(DY$7&gt;=$S18,DY$7&lt;=$T18),AND(DY$7&gt;=$U18,DY$7&lt;=$V18),AND(DY$7&gt;=$W18,DY$7&lt;=$X18),AND(DY$7&gt;=$Y18,DY$7&lt;=$Z18),AND(DY$7&gt;=$AA18,DY$7&lt;=$AB18),AND(DY$7&gt;=$AC18,DY$7&lt;=$AD18),AND(DY$7&gt;=$AE18,DY$7&lt;=$AF18),AND(DY$7&gt;=$AG18,DY$7&lt;=$AH18),AND(DY$7&gt;=$AI18,DY$7&lt;=$AJ18)),0,IF(OR(AND($M18&gt;$N18,DY$7&lt;=$N18),AND($O18&gt;$P18,DY$7&lt;=$P18),AND($Q18&gt;$R18,DY$7&lt;=$R18),AND($S18&gt;$T18,DY$7&lt;=$T18),AND($U18&gt;$V18,DY$7&lt;=$V18),AND($W18&gt;$X18,DY$7&lt;=$X18),AND($Y18&gt;$Z18,DY$7&lt;=$Z18),AND($AA18&gt;$AB18,DY$7&lt;=$AB18),AND($AC18&gt;$AD18,DY$7&lt;=$AD18),AND($AE18&gt;$AF18,DY$7&lt;=$AF18),AND($AG18&gt;$AH18,DY$7&lt;=$AH18),AND($AI18&gt;$AJ18,DY$7&lt;=$AJ18)),0,IF(OR(AND(DY$7&gt;=$M18,$M18&gt;$N18),AND(DY$7&gt;=$O18,$O18&gt;$P18),AND(DY$7&gt;=$Q18,$Q18&gt;$R18),AND(DY$7&gt;=$S18,$S18&gt;$T18),AND(DY$7&gt;=$U18,$U18&gt;$V18),AND(DY$7&gt;=$W18,$W18&gt;$X18),AND(DY$7&gt;=$Y18,$Y18&gt;$Z18),AND(DY$7&gt;=$AA18,$AA18&gt;$AB18),AND(DY$7&gt;=$AC18,$AC18&gt;$AD18),AND(DY$7&gt;=$AE18,$AE18&gt;$AF18),AND(DY$7&gt;=$AG18,$AG18&gt;$AH18),AND(DY$7&gt;=$AI18,$AI18&gt;$AJ18)),0,$E18)))))</f>
        <v>0</v>
      </c>
      <c r="DZ18" s="409">
        <f t="shared" si="65"/>
        <v>0</v>
      </c>
      <c r="EA18" s="409">
        <f t="shared" si="65"/>
        <v>0</v>
      </c>
      <c r="EB18" s="409">
        <f t="shared" si="65"/>
        <v>0</v>
      </c>
      <c r="EC18" s="409">
        <f t="shared" si="65"/>
        <v>0</v>
      </c>
      <c r="ED18" s="409">
        <f t="shared" si="65"/>
        <v>0</v>
      </c>
      <c r="EE18" s="409">
        <f t="shared" si="65"/>
        <v>0</v>
      </c>
      <c r="EF18" s="409">
        <f t="shared" si="65"/>
        <v>0</v>
      </c>
      <c r="EG18" s="409">
        <f t="shared" si="65"/>
        <v>0</v>
      </c>
      <c r="EH18" s="409">
        <f t="shared" si="65"/>
        <v>0</v>
      </c>
      <c r="EI18" s="409">
        <f t="shared" ref="EI18:ER27" si="66">IF(ISNA(EI$7),"",IF(OR(AND(EI$7&lt;=$N18,EI$7&gt;$N18-TIME(0,TimeIncr,0)),AND(EI$7&lt;=$P18,EI$7&gt;$P18-TIME(0,TimeIncr,0)),AND(EI$7&lt;=$R18,EI$7&gt;$R18-TIME(0,TimeIncr,0)),AND(EI$7&lt;=$T18,EI$7&gt;$T18-TIME(0,TimeIncr,0)),AND(EI$7&lt;=$V18,EI$7&gt;$V18-TIME(0,TimeIncr,0)),AND(EI$7&lt;=$X18,EI$7&gt;$X18-TIME(0,TimeIncr,0)),AND(EI$7&lt;=$Z18,EI$7&gt;$Z18-TIME(0,TimeIncr,0)),AND(EI$7&lt;=$AB18,EI$7&gt;$AB18-TIME(0,TimeIncr,0)),AND(EI$7&lt;=$AD18,EI$7&gt;$AD18-TIME(0,TimeIncr,0)),AND(EI$7&lt;=$AF18,EI$7&gt;$AF18-TIME(0,TimeIncr,0)),AND(EI$7&lt;=$AH18,EI$7&gt;$AH18-TIME(0,TimeIncr,0)),AND(EI$7&lt;=$AJ18,EI$7&gt;$AJ18-TIME(0,TimeIncr,0))),$E18*$L18,IF(OR(AND(EI$7&gt;=$M18,EI$7&lt;=$N18),AND(EI$7&gt;=$O18,EI$7&lt;=$P18),AND(EI$7&gt;=$Q18,EI$7&lt;=$R18),AND(EI$7&gt;=$S18,EI$7&lt;=$T18),AND(EI$7&gt;=$U18,EI$7&lt;=$V18),AND(EI$7&gt;=$W18,EI$7&lt;=$X18),AND(EI$7&gt;=$Y18,EI$7&lt;=$Z18),AND(EI$7&gt;=$AA18,EI$7&lt;=$AB18),AND(EI$7&gt;=$AC18,EI$7&lt;=$AD18),AND(EI$7&gt;=$AE18,EI$7&lt;=$AF18),AND(EI$7&gt;=$AG18,EI$7&lt;=$AH18),AND(EI$7&gt;=$AI18,EI$7&lt;=$AJ18)),0,IF(OR(AND($M18&gt;$N18,EI$7&lt;=$N18),AND($O18&gt;$P18,EI$7&lt;=$P18),AND($Q18&gt;$R18,EI$7&lt;=$R18),AND($S18&gt;$T18,EI$7&lt;=$T18),AND($U18&gt;$V18,EI$7&lt;=$V18),AND($W18&gt;$X18,EI$7&lt;=$X18),AND($Y18&gt;$Z18,EI$7&lt;=$Z18),AND($AA18&gt;$AB18,EI$7&lt;=$AB18),AND($AC18&gt;$AD18,EI$7&lt;=$AD18),AND($AE18&gt;$AF18,EI$7&lt;=$AF18),AND($AG18&gt;$AH18,EI$7&lt;=$AH18),AND($AI18&gt;$AJ18,EI$7&lt;=$AJ18)),0,IF(OR(AND(EI$7&gt;=$M18,$M18&gt;$N18),AND(EI$7&gt;=$O18,$O18&gt;$P18),AND(EI$7&gt;=$Q18,$Q18&gt;$R18),AND(EI$7&gt;=$S18,$S18&gt;$T18),AND(EI$7&gt;=$U18,$U18&gt;$V18),AND(EI$7&gt;=$W18,$W18&gt;$X18),AND(EI$7&gt;=$Y18,$Y18&gt;$Z18),AND(EI$7&gt;=$AA18,$AA18&gt;$AB18),AND(EI$7&gt;=$AC18,$AC18&gt;$AD18),AND(EI$7&gt;=$AE18,$AE18&gt;$AF18),AND(EI$7&gt;=$AG18,$AG18&gt;$AH18),AND(EI$7&gt;=$AI18,$AI18&gt;$AJ18)),0,$E18)))))</f>
        <v>0</v>
      </c>
      <c r="EJ18" s="409">
        <f t="shared" si="66"/>
        <v>0</v>
      </c>
      <c r="EK18" s="409">
        <f t="shared" si="66"/>
        <v>0</v>
      </c>
      <c r="EL18" s="409">
        <f t="shared" si="66"/>
        <v>0</v>
      </c>
      <c r="EM18" s="409">
        <f t="shared" si="66"/>
        <v>0</v>
      </c>
      <c r="EN18" s="409">
        <f t="shared" si="66"/>
        <v>0</v>
      </c>
      <c r="EO18" s="409">
        <f t="shared" si="66"/>
        <v>0</v>
      </c>
      <c r="EP18" s="409">
        <f t="shared" si="66"/>
        <v>0</v>
      </c>
      <c r="EQ18" s="409">
        <f t="shared" si="66"/>
        <v>0</v>
      </c>
      <c r="ER18" s="409">
        <f t="shared" si="66"/>
        <v>0</v>
      </c>
      <c r="ES18" s="409">
        <f t="shared" ref="ES18:FB27" si="67">IF(ISNA(ES$7),"",IF(OR(AND(ES$7&lt;=$N18,ES$7&gt;$N18-TIME(0,TimeIncr,0)),AND(ES$7&lt;=$P18,ES$7&gt;$P18-TIME(0,TimeIncr,0)),AND(ES$7&lt;=$R18,ES$7&gt;$R18-TIME(0,TimeIncr,0)),AND(ES$7&lt;=$T18,ES$7&gt;$T18-TIME(0,TimeIncr,0)),AND(ES$7&lt;=$V18,ES$7&gt;$V18-TIME(0,TimeIncr,0)),AND(ES$7&lt;=$X18,ES$7&gt;$X18-TIME(0,TimeIncr,0)),AND(ES$7&lt;=$Z18,ES$7&gt;$Z18-TIME(0,TimeIncr,0)),AND(ES$7&lt;=$AB18,ES$7&gt;$AB18-TIME(0,TimeIncr,0)),AND(ES$7&lt;=$AD18,ES$7&gt;$AD18-TIME(0,TimeIncr,0)),AND(ES$7&lt;=$AF18,ES$7&gt;$AF18-TIME(0,TimeIncr,0)),AND(ES$7&lt;=$AH18,ES$7&gt;$AH18-TIME(0,TimeIncr,0)),AND(ES$7&lt;=$AJ18,ES$7&gt;$AJ18-TIME(0,TimeIncr,0))),$E18*$L18,IF(OR(AND(ES$7&gt;=$M18,ES$7&lt;=$N18),AND(ES$7&gt;=$O18,ES$7&lt;=$P18),AND(ES$7&gt;=$Q18,ES$7&lt;=$R18),AND(ES$7&gt;=$S18,ES$7&lt;=$T18),AND(ES$7&gt;=$U18,ES$7&lt;=$V18),AND(ES$7&gt;=$W18,ES$7&lt;=$X18),AND(ES$7&gt;=$Y18,ES$7&lt;=$Z18),AND(ES$7&gt;=$AA18,ES$7&lt;=$AB18),AND(ES$7&gt;=$AC18,ES$7&lt;=$AD18),AND(ES$7&gt;=$AE18,ES$7&lt;=$AF18),AND(ES$7&gt;=$AG18,ES$7&lt;=$AH18),AND(ES$7&gt;=$AI18,ES$7&lt;=$AJ18)),0,IF(OR(AND($M18&gt;$N18,ES$7&lt;=$N18),AND($O18&gt;$P18,ES$7&lt;=$P18),AND($Q18&gt;$R18,ES$7&lt;=$R18),AND($S18&gt;$T18,ES$7&lt;=$T18),AND($U18&gt;$V18,ES$7&lt;=$V18),AND($W18&gt;$X18,ES$7&lt;=$X18),AND($Y18&gt;$Z18,ES$7&lt;=$Z18),AND($AA18&gt;$AB18,ES$7&lt;=$AB18),AND($AC18&gt;$AD18,ES$7&lt;=$AD18),AND($AE18&gt;$AF18,ES$7&lt;=$AF18),AND($AG18&gt;$AH18,ES$7&lt;=$AH18),AND($AI18&gt;$AJ18,ES$7&lt;=$AJ18)),0,IF(OR(AND(ES$7&gt;=$M18,$M18&gt;$N18),AND(ES$7&gt;=$O18,$O18&gt;$P18),AND(ES$7&gt;=$Q18,$Q18&gt;$R18),AND(ES$7&gt;=$S18,$S18&gt;$T18),AND(ES$7&gt;=$U18,$U18&gt;$V18),AND(ES$7&gt;=$W18,$W18&gt;$X18),AND(ES$7&gt;=$Y18,$Y18&gt;$Z18),AND(ES$7&gt;=$AA18,$AA18&gt;$AB18),AND(ES$7&gt;=$AC18,$AC18&gt;$AD18),AND(ES$7&gt;=$AE18,$AE18&gt;$AF18),AND(ES$7&gt;=$AG18,$AG18&gt;$AH18),AND(ES$7&gt;=$AI18,$AI18&gt;$AJ18)),0,$E18)))))</f>
        <v>0</v>
      </c>
      <c r="ET18" s="409">
        <f t="shared" si="67"/>
        <v>0</v>
      </c>
      <c r="EU18" s="409">
        <f t="shared" si="67"/>
        <v>0</v>
      </c>
      <c r="EV18" s="409">
        <f t="shared" si="67"/>
        <v>0</v>
      </c>
      <c r="EW18" s="409">
        <f t="shared" si="67"/>
        <v>0</v>
      </c>
      <c r="EX18" s="409">
        <f t="shared" si="67"/>
        <v>0</v>
      </c>
      <c r="EY18" s="409">
        <f t="shared" si="67"/>
        <v>0</v>
      </c>
      <c r="EZ18" s="409">
        <f t="shared" si="67"/>
        <v>0</v>
      </c>
      <c r="FA18" s="409">
        <f t="shared" si="67"/>
        <v>0</v>
      </c>
      <c r="FB18" s="409">
        <f t="shared" si="67"/>
        <v>0</v>
      </c>
      <c r="FC18" s="409">
        <f t="shared" ref="FC18:FL27" si="68">IF(ISNA(FC$7),"",IF(OR(AND(FC$7&lt;=$N18,FC$7&gt;$N18-TIME(0,TimeIncr,0)),AND(FC$7&lt;=$P18,FC$7&gt;$P18-TIME(0,TimeIncr,0)),AND(FC$7&lt;=$R18,FC$7&gt;$R18-TIME(0,TimeIncr,0)),AND(FC$7&lt;=$T18,FC$7&gt;$T18-TIME(0,TimeIncr,0)),AND(FC$7&lt;=$V18,FC$7&gt;$V18-TIME(0,TimeIncr,0)),AND(FC$7&lt;=$X18,FC$7&gt;$X18-TIME(0,TimeIncr,0)),AND(FC$7&lt;=$Z18,FC$7&gt;$Z18-TIME(0,TimeIncr,0)),AND(FC$7&lt;=$AB18,FC$7&gt;$AB18-TIME(0,TimeIncr,0)),AND(FC$7&lt;=$AD18,FC$7&gt;$AD18-TIME(0,TimeIncr,0)),AND(FC$7&lt;=$AF18,FC$7&gt;$AF18-TIME(0,TimeIncr,0)),AND(FC$7&lt;=$AH18,FC$7&gt;$AH18-TIME(0,TimeIncr,0)),AND(FC$7&lt;=$AJ18,FC$7&gt;$AJ18-TIME(0,TimeIncr,0))),$E18*$L18,IF(OR(AND(FC$7&gt;=$M18,FC$7&lt;=$N18),AND(FC$7&gt;=$O18,FC$7&lt;=$P18),AND(FC$7&gt;=$Q18,FC$7&lt;=$R18),AND(FC$7&gt;=$S18,FC$7&lt;=$T18),AND(FC$7&gt;=$U18,FC$7&lt;=$V18),AND(FC$7&gt;=$W18,FC$7&lt;=$X18),AND(FC$7&gt;=$Y18,FC$7&lt;=$Z18),AND(FC$7&gt;=$AA18,FC$7&lt;=$AB18),AND(FC$7&gt;=$AC18,FC$7&lt;=$AD18),AND(FC$7&gt;=$AE18,FC$7&lt;=$AF18),AND(FC$7&gt;=$AG18,FC$7&lt;=$AH18),AND(FC$7&gt;=$AI18,FC$7&lt;=$AJ18)),0,IF(OR(AND($M18&gt;$N18,FC$7&lt;=$N18),AND($O18&gt;$P18,FC$7&lt;=$P18),AND($Q18&gt;$R18,FC$7&lt;=$R18),AND($S18&gt;$T18,FC$7&lt;=$T18),AND($U18&gt;$V18,FC$7&lt;=$V18),AND($W18&gt;$X18,FC$7&lt;=$X18),AND($Y18&gt;$Z18,FC$7&lt;=$Z18),AND($AA18&gt;$AB18,FC$7&lt;=$AB18),AND($AC18&gt;$AD18,FC$7&lt;=$AD18),AND($AE18&gt;$AF18,FC$7&lt;=$AF18),AND($AG18&gt;$AH18,FC$7&lt;=$AH18),AND($AI18&gt;$AJ18,FC$7&lt;=$AJ18)),0,IF(OR(AND(FC$7&gt;=$M18,$M18&gt;$N18),AND(FC$7&gt;=$O18,$O18&gt;$P18),AND(FC$7&gt;=$Q18,$Q18&gt;$R18),AND(FC$7&gt;=$S18,$S18&gt;$T18),AND(FC$7&gt;=$U18,$U18&gt;$V18),AND(FC$7&gt;=$W18,$W18&gt;$X18),AND(FC$7&gt;=$Y18,$Y18&gt;$Z18),AND(FC$7&gt;=$AA18,$AA18&gt;$AB18),AND(FC$7&gt;=$AC18,$AC18&gt;$AD18),AND(FC$7&gt;=$AE18,$AE18&gt;$AF18),AND(FC$7&gt;=$AG18,$AG18&gt;$AH18),AND(FC$7&gt;=$AI18,$AI18&gt;$AJ18)),0,$E18)))))</f>
        <v>0</v>
      </c>
      <c r="FD18" s="409">
        <f t="shared" si="68"/>
        <v>0</v>
      </c>
      <c r="FE18" s="409">
        <f t="shared" si="68"/>
        <v>0</v>
      </c>
      <c r="FF18" s="409">
        <f t="shared" si="68"/>
        <v>0</v>
      </c>
      <c r="FG18" s="409">
        <f t="shared" si="68"/>
        <v>0</v>
      </c>
      <c r="FH18" s="409">
        <f t="shared" si="68"/>
        <v>0</v>
      </c>
      <c r="FI18" s="409">
        <f t="shared" si="68"/>
        <v>0</v>
      </c>
      <c r="FJ18" s="409">
        <f t="shared" si="68"/>
        <v>0</v>
      </c>
      <c r="FK18" s="409">
        <f t="shared" si="68"/>
        <v>0</v>
      </c>
      <c r="FL18" s="409">
        <f t="shared" si="68"/>
        <v>0</v>
      </c>
      <c r="FM18" s="409">
        <f t="shared" ref="FM18:FV27" si="69">IF(ISNA(FM$7),"",IF(OR(AND(FM$7&lt;=$N18,FM$7&gt;$N18-TIME(0,TimeIncr,0)),AND(FM$7&lt;=$P18,FM$7&gt;$P18-TIME(0,TimeIncr,0)),AND(FM$7&lt;=$R18,FM$7&gt;$R18-TIME(0,TimeIncr,0)),AND(FM$7&lt;=$T18,FM$7&gt;$T18-TIME(0,TimeIncr,0)),AND(FM$7&lt;=$V18,FM$7&gt;$V18-TIME(0,TimeIncr,0)),AND(FM$7&lt;=$X18,FM$7&gt;$X18-TIME(0,TimeIncr,0)),AND(FM$7&lt;=$Z18,FM$7&gt;$Z18-TIME(0,TimeIncr,0)),AND(FM$7&lt;=$AB18,FM$7&gt;$AB18-TIME(0,TimeIncr,0)),AND(FM$7&lt;=$AD18,FM$7&gt;$AD18-TIME(0,TimeIncr,0)),AND(FM$7&lt;=$AF18,FM$7&gt;$AF18-TIME(0,TimeIncr,0)),AND(FM$7&lt;=$AH18,FM$7&gt;$AH18-TIME(0,TimeIncr,0)),AND(FM$7&lt;=$AJ18,FM$7&gt;$AJ18-TIME(0,TimeIncr,0))),$E18*$L18,IF(OR(AND(FM$7&gt;=$M18,FM$7&lt;=$N18),AND(FM$7&gt;=$O18,FM$7&lt;=$P18),AND(FM$7&gt;=$Q18,FM$7&lt;=$R18),AND(FM$7&gt;=$S18,FM$7&lt;=$T18),AND(FM$7&gt;=$U18,FM$7&lt;=$V18),AND(FM$7&gt;=$W18,FM$7&lt;=$X18),AND(FM$7&gt;=$Y18,FM$7&lt;=$Z18),AND(FM$7&gt;=$AA18,FM$7&lt;=$AB18),AND(FM$7&gt;=$AC18,FM$7&lt;=$AD18),AND(FM$7&gt;=$AE18,FM$7&lt;=$AF18),AND(FM$7&gt;=$AG18,FM$7&lt;=$AH18),AND(FM$7&gt;=$AI18,FM$7&lt;=$AJ18)),0,IF(OR(AND($M18&gt;$N18,FM$7&lt;=$N18),AND($O18&gt;$P18,FM$7&lt;=$P18),AND($Q18&gt;$R18,FM$7&lt;=$R18),AND($S18&gt;$T18,FM$7&lt;=$T18),AND($U18&gt;$V18,FM$7&lt;=$V18),AND($W18&gt;$X18,FM$7&lt;=$X18),AND($Y18&gt;$Z18,FM$7&lt;=$Z18),AND($AA18&gt;$AB18,FM$7&lt;=$AB18),AND($AC18&gt;$AD18,FM$7&lt;=$AD18),AND($AE18&gt;$AF18,FM$7&lt;=$AF18),AND($AG18&gt;$AH18,FM$7&lt;=$AH18),AND($AI18&gt;$AJ18,FM$7&lt;=$AJ18)),0,IF(OR(AND(FM$7&gt;=$M18,$M18&gt;$N18),AND(FM$7&gt;=$O18,$O18&gt;$P18),AND(FM$7&gt;=$Q18,$Q18&gt;$R18),AND(FM$7&gt;=$S18,$S18&gt;$T18),AND(FM$7&gt;=$U18,$U18&gt;$V18),AND(FM$7&gt;=$W18,$W18&gt;$X18),AND(FM$7&gt;=$Y18,$Y18&gt;$Z18),AND(FM$7&gt;=$AA18,$AA18&gt;$AB18),AND(FM$7&gt;=$AC18,$AC18&gt;$AD18),AND(FM$7&gt;=$AE18,$AE18&gt;$AF18),AND(FM$7&gt;=$AG18,$AG18&gt;$AH18),AND(FM$7&gt;=$AI18,$AI18&gt;$AJ18)),0,$E18)))))</f>
        <v>0</v>
      </c>
      <c r="FN18" s="409">
        <f t="shared" si="69"/>
        <v>0</v>
      </c>
      <c r="FO18" s="409">
        <f t="shared" si="69"/>
        <v>0</v>
      </c>
      <c r="FP18" s="409">
        <f t="shared" si="69"/>
        <v>0</v>
      </c>
      <c r="FQ18" s="409">
        <f t="shared" si="69"/>
        <v>0</v>
      </c>
      <c r="FR18" s="409">
        <f t="shared" si="69"/>
        <v>0</v>
      </c>
      <c r="FS18" s="409">
        <f t="shared" si="69"/>
        <v>0</v>
      </c>
      <c r="FT18" s="409">
        <f t="shared" si="69"/>
        <v>0</v>
      </c>
      <c r="FU18" s="409">
        <f t="shared" si="69"/>
        <v>0</v>
      </c>
      <c r="FV18" s="409">
        <f t="shared" si="69"/>
        <v>0</v>
      </c>
      <c r="FW18" s="409">
        <f t="shared" ref="FW18:GF27" si="70">IF(ISNA(FW$7),"",IF(OR(AND(FW$7&lt;=$N18,FW$7&gt;$N18-TIME(0,TimeIncr,0)),AND(FW$7&lt;=$P18,FW$7&gt;$P18-TIME(0,TimeIncr,0)),AND(FW$7&lt;=$R18,FW$7&gt;$R18-TIME(0,TimeIncr,0)),AND(FW$7&lt;=$T18,FW$7&gt;$T18-TIME(0,TimeIncr,0)),AND(FW$7&lt;=$V18,FW$7&gt;$V18-TIME(0,TimeIncr,0)),AND(FW$7&lt;=$X18,FW$7&gt;$X18-TIME(0,TimeIncr,0)),AND(FW$7&lt;=$Z18,FW$7&gt;$Z18-TIME(0,TimeIncr,0)),AND(FW$7&lt;=$AB18,FW$7&gt;$AB18-TIME(0,TimeIncr,0)),AND(FW$7&lt;=$AD18,FW$7&gt;$AD18-TIME(0,TimeIncr,0)),AND(FW$7&lt;=$AF18,FW$7&gt;$AF18-TIME(0,TimeIncr,0)),AND(FW$7&lt;=$AH18,FW$7&gt;$AH18-TIME(0,TimeIncr,0)),AND(FW$7&lt;=$AJ18,FW$7&gt;$AJ18-TIME(0,TimeIncr,0))),$E18*$L18,IF(OR(AND(FW$7&gt;=$M18,FW$7&lt;=$N18),AND(FW$7&gt;=$O18,FW$7&lt;=$P18),AND(FW$7&gt;=$Q18,FW$7&lt;=$R18),AND(FW$7&gt;=$S18,FW$7&lt;=$T18),AND(FW$7&gt;=$U18,FW$7&lt;=$V18),AND(FW$7&gt;=$W18,FW$7&lt;=$X18),AND(FW$7&gt;=$Y18,FW$7&lt;=$Z18),AND(FW$7&gt;=$AA18,FW$7&lt;=$AB18),AND(FW$7&gt;=$AC18,FW$7&lt;=$AD18),AND(FW$7&gt;=$AE18,FW$7&lt;=$AF18),AND(FW$7&gt;=$AG18,FW$7&lt;=$AH18),AND(FW$7&gt;=$AI18,FW$7&lt;=$AJ18)),0,IF(OR(AND($M18&gt;$N18,FW$7&lt;=$N18),AND($O18&gt;$P18,FW$7&lt;=$P18),AND($Q18&gt;$R18,FW$7&lt;=$R18),AND($S18&gt;$T18,FW$7&lt;=$T18),AND($U18&gt;$V18,FW$7&lt;=$V18),AND($W18&gt;$X18,FW$7&lt;=$X18),AND($Y18&gt;$Z18,FW$7&lt;=$Z18),AND($AA18&gt;$AB18,FW$7&lt;=$AB18),AND($AC18&gt;$AD18,FW$7&lt;=$AD18),AND($AE18&gt;$AF18,FW$7&lt;=$AF18),AND($AG18&gt;$AH18,FW$7&lt;=$AH18),AND($AI18&gt;$AJ18,FW$7&lt;=$AJ18)),0,IF(OR(AND(FW$7&gt;=$M18,$M18&gt;$N18),AND(FW$7&gt;=$O18,$O18&gt;$P18),AND(FW$7&gt;=$Q18,$Q18&gt;$R18),AND(FW$7&gt;=$S18,$S18&gt;$T18),AND(FW$7&gt;=$U18,$U18&gt;$V18),AND(FW$7&gt;=$W18,$W18&gt;$X18),AND(FW$7&gt;=$Y18,$Y18&gt;$Z18),AND(FW$7&gt;=$AA18,$AA18&gt;$AB18),AND(FW$7&gt;=$AC18,$AC18&gt;$AD18),AND(FW$7&gt;=$AE18,$AE18&gt;$AF18),AND(FW$7&gt;=$AG18,$AG18&gt;$AH18),AND(FW$7&gt;=$AI18,$AI18&gt;$AJ18)),0,$E18)))))</f>
        <v>0</v>
      </c>
      <c r="FX18" s="409">
        <f t="shared" si="70"/>
        <v>0</v>
      </c>
      <c r="FY18" s="409">
        <f t="shared" si="70"/>
        <v>0</v>
      </c>
      <c r="FZ18" s="409">
        <f t="shared" si="70"/>
        <v>0</v>
      </c>
      <c r="GA18" s="409">
        <f t="shared" si="70"/>
        <v>0</v>
      </c>
      <c r="GB18" s="409">
        <f t="shared" si="70"/>
        <v>0</v>
      </c>
      <c r="GC18" s="409">
        <f t="shared" si="70"/>
        <v>0</v>
      </c>
      <c r="GD18" s="409">
        <f t="shared" si="70"/>
        <v>0</v>
      </c>
      <c r="GE18" s="409">
        <f t="shared" si="70"/>
        <v>0</v>
      </c>
      <c r="GF18" s="409">
        <f t="shared" si="70"/>
        <v>0</v>
      </c>
      <c r="GG18" s="409">
        <f t="shared" ref="GG18:GP27" si="71">IF(ISNA(GG$7),"",IF(OR(AND(GG$7&lt;=$N18,GG$7&gt;$N18-TIME(0,TimeIncr,0)),AND(GG$7&lt;=$P18,GG$7&gt;$P18-TIME(0,TimeIncr,0)),AND(GG$7&lt;=$R18,GG$7&gt;$R18-TIME(0,TimeIncr,0)),AND(GG$7&lt;=$T18,GG$7&gt;$T18-TIME(0,TimeIncr,0)),AND(GG$7&lt;=$V18,GG$7&gt;$V18-TIME(0,TimeIncr,0)),AND(GG$7&lt;=$X18,GG$7&gt;$X18-TIME(0,TimeIncr,0)),AND(GG$7&lt;=$Z18,GG$7&gt;$Z18-TIME(0,TimeIncr,0)),AND(GG$7&lt;=$AB18,GG$7&gt;$AB18-TIME(0,TimeIncr,0)),AND(GG$7&lt;=$AD18,GG$7&gt;$AD18-TIME(0,TimeIncr,0)),AND(GG$7&lt;=$AF18,GG$7&gt;$AF18-TIME(0,TimeIncr,0)),AND(GG$7&lt;=$AH18,GG$7&gt;$AH18-TIME(0,TimeIncr,0)),AND(GG$7&lt;=$AJ18,GG$7&gt;$AJ18-TIME(0,TimeIncr,0))),$E18*$L18,IF(OR(AND(GG$7&gt;=$M18,GG$7&lt;=$N18),AND(GG$7&gt;=$O18,GG$7&lt;=$P18),AND(GG$7&gt;=$Q18,GG$7&lt;=$R18),AND(GG$7&gt;=$S18,GG$7&lt;=$T18),AND(GG$7&gt;=$U18,GG$7&lt;=$V18),AND(GG$7&gt;=$W18,GG$7&lt;=$X18),AND(GG$7&gt;=$Y18,GG$7&lt;=$Z18),AND(GG$7&gt;=$AA18,GG$7&lt;=$AB18),AND(GG$7&gt;=$AC18,GG$7&lt;=$AD18),AND(GG$7&gt;=$AE18,GG$7&lt;=$AF18),AND(GG$7&gt;=$AG18,GG$7&lt;=$AH18),AND(GG$7&gt;=$AI18,GG$7&lt;=$AJ18)),0,IF(OR(AND($M18&gt;$N18,GG$7&lt;=$N18),AND($O18&gt;$P18,GG$7&lt;=$P18),AND($Q18&gt;$R18,GG$7&lt;=$R18),AND($S18&gt;$T18,GG$7&lt;=$T18),AND($U18&gt;$V18,GG$7&lt;=$V18),AND($W18&gt;$X18,GG$7&lt;=$X18),AND($Y18&gt;$Z18,GG$7&lt;=$Z18),AND($AA18&gt;$AB18,GG$7&lt;=$AB18),AND($AC18&gt;$AD18,GG$7&lt;=$AD18),AND($AE18&gt;$AF18,GG$7&lt;=$AF18),AND($AG18&gt;$AH18,GG$7&lt;=$AH18),AND($AI18&gt;$AJ18,GG$7&lt;=$AJ18)),0,IF(OR(AND(GG$7&gt;=$M18,$M18&gt;$N18),AND(GG$7&gt;=$O18,$O18&gt;$P18),AND(GG$7&gt;=$Q18,$Q18&gt;$R18),AND(GG$7&gt;=$S18,$S18&gt;$T18),AND(GG$7&gt;=$U18,$U18&gt;$V18),AND(GG$7&gt;=$W18,$W18&gt;$X18),AND(GG$7&gt;=$Y18,$Y18&gt;$Z18),AND(GG$7&gt;=$AA18,$AA18&gt;$AB18),AND(GG$7&gt;=$AC18,$AC18&gt;$AD18),AND(GG$7&gt;=$AE18,$AE18&gt;$AF18),AND(GG$7&gt;=$AG18,$AG18&gt;$AH18),AND(GG$7&gt;=$AI18,$AI18&gt;$AJ18)),0,$E18)))))</f>
        <v>0</v>
      </c>
      <c r="GH18" s="409">
        <f t="shared" si="71"/>
        <v>0</v>
      </c>
      <c r="GI18" s="409">
        <f t="shared" si="71"/>
        <v>0</v>
      </c>
      <c r="GJ18" s="409">
        <f t="shared" si="71"/>
        <v>0</v>
      </c>
      <c r="GK18" s="409">
        <f t="shared" si="71"/>
        <v>0</v>
      </c>
      <c r="GL18" s="409">
        <f t="shared" si="71"/>
        <v>0</v>
      </c>
      <c r="GM18" s="409">
        <f t="shared" si="71"/>
        <v>0</v>
      </c>
      <c r="GN18" s="409">
        <f t="shared" si="71"/>
        <v>0</v>
      </c>
      <c r="GO18" s="409">
        <f t="shared" si="71"/>
        <v>0</v>
      </c>
      <c r="GP18" s="409">
        <f t="shared" si="71"/>
        <v>0</v>
      </c>
      <c r="GQ18" s="409">
        <f t="shared" ref="GQ18:GZ27" si="72">IF(ISNA(GQ$7),"",IF(OR(AND(GQ$7&lt;=$N18,GQ$7&gt;$N18-TIME(0,TimeIncr,0)),AND(GQ$7&lt;=$P18,GQ$7&gt;$P18-TIME(0,TimeIncr,0)),AND(GQ$7&lt;=$R18,GQ$7&gt;$R18-TIME(0,TimeIncr,0)),AND(GQ$7&lt;=$T18,GQ$7&gt;$T18-TIME(0,TimeIncr,0)),AND(GQ$7&lt;=$V18,GQ$7&gt;$V18-TIME(0,TimeIncr,0)),AND(GQ$7&lt;=$X18,GQ$7&gt;$X18-TIME(0,TimeIncr,0)),AND(GQ$7&lt;=$Z18,GQ$7&gt;$Z18-TIME(0,TimeIncr,0)),AND(GQ$7&lt;=$AB18,GQ$7&gt;$AB18-TIME(0,TimeIncr,0)),AND(GQ$7&lt;=$AD18,GQ$7&gt;$AD18-TIME(0,TimeIncr,0)),AND(GQ$7&lt;=$AF18,GQ$7&gt;$AF18-TIME(0,TimeIncr,0)),AND(GQ$7&lt;=$AH18,GQ$7&gt;$AH18-TIME(0,TimeIncr,0)),AND(GQ$7&lt;=$AJ18,GQ$7&gt;$AJ18-TIME(0,TimeIncr,0))),$E18*$L18,IF(OR(AND(GQ$7&gt;=$M18,GQ$7&lt;=$N18),AND(GQ$7&gt;=$O18,GQ$7&lt;=$P18),AND(GQ$7&gt;=$Q18,GQ$7&lt;=$R18),AND(GQ$7&gt;=$S18,GQ$7&lt;=$T18),AND(GQ$7&gt;=$U18,GQ$7&lt;=$V18),AND(GQ$7&gt;=$W18,GQ$7&lt;=$X18),AND(GQ$7&gt;=$Y18,GQ$7&lt;=$Z18),AND(GQ$7&gt;=$AA18,GQ$7&lt;=$AB18),AND(GQ$7&gt;=$AC18,GQ$7&lt;=$AD18),AND(GQ$7&gt;=$AE18,GQ$7&lt;=$AF18),AND(GQ$7&gt;=$AG18,GQ$7&lt;=$AH18),AND(GQ$7&gt;=$AI18,GQ$7&lt;=$AJ18)),0,IF(OR(AND($M18&gt;$N18,GQ$7&lt;=$N18),AND($O18&gt;$P18,GQ$7&lt;=$P18),AND($Q18&gt;$R18,GQ$7&lt;=$R18),AND($S18&gt;$T18,GQ$7&lt;=$T18),AND($U18&gt;$V18,GQ$7&lt;=$V18),AND($W18&gt;$X18,GQ$7&lt;=$X18),AND($Y18&gt;$Z18,GQ$7&lt;=$Z18),AND($AA18&gt;$AB18,GQ$7&lt;=$AB18),AND($AC18&gt;$AD18,GQ$7&lt;=$AD18),AND($AE18&gt;$AF18,GQ$7&lt;=$AF18),AND($AG18&gt;$AH18,GQ$7&lt;=$AH18),AND($AI18&gt;$AJ18,GQ$7&lt;=$AJ18)),0,IF(OR(AND(GQ$7&gt;=$M18,$M18&gt;$N18),AND(GQ$7&gt;=$O18,$O18&gt;$P18),AND(GQ$7&gt;=$Q18,$Q18&gt;$R18),AND(GQ$7&gt;=$S18,$S18&gt;$T18),AND(GQ$7&gt;=$U18,$U18&gt;$V18),AND(GQ$7&gt;=$W18,$W18&gt;$X18),AND(GQ$7&gt;=$Y18,$Y18&gt;$Z18),AND(GQ$7&gt;=$AA18,$AA18&gt;$AB18),AND(GQ$7&gt;=$AC18,$AC18&gt;$AD18),AND(GQ$7&gt;=$AE18,$AE18&gt;$AF18),AND(GQ$7&gt;=$AG18,$AG18&gt;$AH18),AND(GQ$7&gt;=$AI18,$AI18&gt;$AJ18)),0,$E18)))))</f>
        <v>0</v>
      </c>
      <c r="GR18" s="409">
        <f t="shared" si="72"/>
        <v>0</v>
      </c>
      <c r="GS18" s="409">
        <f t="shared" si="72"/>
        <v>0</v>
      </c>
      <c r="GT18" s="409">
        <f t="shared" si="72"/>
        <v>0</v>
      </c>
      <c r="GU18" s="409">
        <f t="shared" si="72"/>
        <v>0</v>
      </c>
      <c r="GV18" s="409">
        <f t="shared" si="72"/>
        <v>0</v>
      </c>
      <c r="GW18" s="409">
        <f t="shared" si="72"/>
        <v>0</v>
      </c>
      <c r="GX18" s="409">
        <f t="shared" si="72"/>
        <v>0</v>
      </c>
      <c r="GY18" s="409">
        <f t="shared" si="72"/>
        <v>0</v>
      </c>
      <c r="GZ18" s="409">
        <f t="shared" si="72"/>
        <v>0</v>
      </c>
      <c r="HA18" s="409">
        <f t="shared" ref="HA18:HJ27" si="73">IF(ISNA(HA$7),"",IF(OR(AND(HA$7&lt;=$N18,HA$7&gt;$N18-TIME(0,TimeIncr,0)),AND(HA$7&lt;=$P18,HA$7&gt;$P18-TIME(0,TimeIncr,0)),AND(HA$7&lt;=$R18,HA$7&gt;$R18-TIME(0,TimeIncr,0)),AND(HA$7&lt;=$T18,HA$7&gt;$T18-TIME(0,TimeIncr,0)),AND(HA$7&lt;=$V18,HA$7&gt;$V18-TIME(0,TimeIncr,0)),AND(HA$7&lt;=$X18,HA$7&gt;$X18-TIME(0,TimeIncr,0)),AND(HA$7&lt;=$Z18,HA$7&gt;$Z18-TIME(0,TimeIncr,0)),AND(HA$7&lt;=$AB18,HA$7&gt;$AB18-TIME(0,TimeIncr,0)),AND(HA$7&lt;=$AD18,HA$7&gt;$AD18-TIME(0,TimeIncr,0)),AND(HA$7&lt;=$AF18,HA$7&gt;$AF18-TIME(0,TimeIncr,0)),AND(HA$7&lt;=$AH18,HA$7&gt;$AH18-TIME(0,TimeIncr,0)),AND(HA$7&lt;=$AJ18,HA$7&gt;$AJ18-TIME(0,TimeIncr,0))),$E18*$L18,IF(OR(AND(HA$7&gt;=$M18,HA$7&lt;=$N18),AND(HA$7&gt;=$O18,HA$7&lt;=$P18),AND(HA$7&gt;=$Q18,HA$7&lt;=$R18),AND(HA$7&gt;=$S18,HA$7&lt;=$T18),AND(HA$7&gt;=$U18,HA$7&lt;=$V18),AND(HA$7&gt;=$W18,HA$7&lt;=$X18),AND(HA$7&gt;=$Y18,HA$7&lt;=$Z18),AND(HA$7&gt;=$AA18,HA$7&lt;=$AB18),AND(HA$7&gt;=$AC18,HA$7&lt;=$AD18),AND(HA$7&gt;=$AE18,HA$7&lt;=$AF18),AND(HA$7&gt;=$AG18,HA$7&lt;=$AH18),AND(HA$7&gt;=$AI18,HA$7&lt;=$AJ18)),0,IF(OR(AND($M18&gt;$N18,HA$7&lt;=$N18),AND($O18&gt;$P18,HA$7&lt;=$P18),AND($Q18&gt;$R18,HA$7&lt;=$R18),AND($S18&gt;$T18,HA$7&lt;=$T18),AND($U18&gt;$V18,HA$7&lt;=$V18),AND($W18&gt;$X18,HA$7&lt;=$X18),AND($Y18&gt;$Z18,HA$7&lt;=$Z18),AND($AA18&gt;$AB18,HA$7&lt;=$AB18),AND($AC18&gt;$AD18,HA$7&lt;=$AD18),AND($AE18&gt;$AF18,HA$7&lt;=$AF18),AND($AG18&gt;$AH18,HA$7&lt;=$AH18),AND($AI18&gt;$AJ18,HA$7&lt;=$AJ18)),0,IF(OR(AND(HA$7&gt;=$M18,$M18&gt;$N18),AND(HA$7&gt;=$O18,$O18&gt;$P18),AND(HA$7&gt;=$Q18,$Q18&gt;$R18),AND(HA$7&gt;=$S18,$S18&gt;$T18),AND(HA$7&gt;=$U18,$U18&gt;$V18),AND(HA$7&gt;=$W18,$W18&gt;$X18),AND(HA$7&gt;=$Y18,$Y18&gt;$Z18),AND(HA$7&gt;=$AA18,$AA18&gt;$AB18),AND(HA$7&gt;=$AC18,$AC18&gt;$AD18),AND(HA$7&gt;=$AE18,$AE18&gt;$AF18),AND(HA$7&gt;=$AG18,$AG18&gt;$AH18),AND(HA$7&gt;=$AI18,$AI18&gt;$AJ18)),0,$E18)))))</f>
        <v>0</v>
      </c>
      <c r="HB18" s="409">
        <f t="shared" si="73"/>
        <v>0</v>
      </c>
      <c r="HC18" s="409">
        <f t="shared" si="73"/>
        <v>0</v>
      </c>
      <c r="HD18" s="409">
        <f t="shared" si="73"/>
        <v>0</v>
      </c>
      <c r="HE18" s="409">
        <f t="shared" si="73"/>
        <v>0</v>
      </c>
      <c r="HF18" s="409">
        <f t="shared" si="73"/>
        <v>0</v>
      </c>
      <c r="HG18" s="409">
        <f t="shared" si="73"/>
        <v>0</v>
      </c>
      <c r="HH18" s="409">
        <f t="shared" si="73"/>
        <v>0</v>
      </c>
      <c r="HI18" s="409">
        <f t="shared" si="73"/>
        <v>0</v>
      </c>
      <c r="HJ18" s="409">
        <f t="shared" si="73"/>
        <v>0</v>
      </c>
      <c r="HK18" s="409">
        <f t="shared" ref="HK18:HT27" si="74">IF(ISNA(HK$7),"",IF(OR(AND(HK$7&lt;=$N18,HK$7&gt;$N18-TIME(0,TimeIncr,0)),AND(HK$7&lt;=$P18,HK$7&gt;$P18-TIME(0,TimeIncr,0)),AND(HK$7&lt;=$R18,HK$7&gt;$R18-TIME(0,TimeIncr,0)),AND(HK$7&lt;=$T18,HK$7&gt;$T18-TIME(0,TimeIncr,0)),AND(HK$7&lt;=$V18,HK$7&gt;$V18-TIME(0,TimeIncr,0)),AND(HK$7&lt;=$X18,HK$7&gt;$X18-TIME(0,TimeIncr,0)),AND(HK$7&lt;=$Z18,HK$7&gt;$Z18-TIME(0,TimeIncr,0)),AND(HK$7&lt;=$AB18,HK$7&gt;$AB18-TIME(0,TimeIncr,0)),AND(HK$7&lt;=$AD18,HK$7&gt;$AD18-TIME(0,TimeIncr,0)),AND(HK$7&lt;=$AF18,HK$7&gt;$AF18-TIME(0,TimeIncr,0)),AND(HK$7&lt;=$AH18,HK$7&gt;$AH18-TIME(0,TimeIncr,0)),AND(HK$7&lt;=$AJ18,HK$7&gt;$AJ18-TIME(0,TimeIncr,0))),$E18*$L18,IF(OR(AND(HK$7&gt;=$M18,HK$7&lt;=$N18),AND(HK$7&gt;=$O18,HK$7&lt;=$P18),AND(HK$7&gt;=$Q18,HK$7&lt;=$R18),AND(HK$7&gt;=$S18,HK$7&lt;=$T18),AND(HK$7&gt;=$U18,HK$7&lt;=$V18),AND(HK$7&gt;=$W18,HK$7&lt;=$X18),AND(HK$7&gt;=$Y18,HK$7&lt;=$Z18),AND(HK$7&gt;=$AA18,HK$7&lt;=$AB18),AND(HK$7&gt;=$AC18,HK$7&lt;=$AD18),AND(HK$7&gt;=$AE18,HK$7&lt;=$AF18),AND(HK$7&gt;=$AG18,HK$7&lt;=$AH18),AND(HK$7&gt;=$AI18,HK$7&lt;=$AJ18)),0,IF(OR(AND($M18&gt;$N18,HK$7&lt;=$N18),AND($O18&gt;$P18,HK$7&lt;=$P18),AND($Q18&gt;$R18,HK$7&lt;=$R18),AND($S18&gt;$T18,HK$7&lt;=$T18),AND($U18&gt;$V18,HK$7&lt;=$V18),AND($W18&gt;$X18,HK$7&lt;=$X18),AND($Y18&gt;$Z18,HK$7&lt;=$Z18),AND($AA18&gt;$AB18,HK$7&lt;=$AB18),AND($AC18&gt;$AD18,HK$7&lt;=$AD18),AND($AE18&gt;$AF18,HK$7&lt;=$AF18),AND($AG18&gt;$AH18,HK$7&lt;=$AH18),AND($AI18&gt;$AJ18,HK$7&lt;=$AJ18)),0,IF(OR(AND(HK$7&gt;=$M18,$M18&gt;$N18),AND(HK$7&gt;=$O18,$O18&gt;$P18),AND(HK$7&gt;=$Q18,$Q18&gt;$R18),AND(HK$7&gt;=$S18,$S18&gt;$T18),AND(HK$7&gt;=$U18,$U18&gt;$V18),AND(HK$7&gt;=$W18,$W18&gt;$X18),AND(HK$7&gt;=$Y18,$Y18&gt;$Z18),AND(HK$7&gt;=$AA18,$AA18&gt;$AB18),AND(HK$7&gt;=$AC18,$AC18&gt;$AD18),AND(HK$7&gt;=$AE18,$AE18&gt;$AF18),AND(HK$7&gt;=$AG18,$AG18&gt;$AH18),AND(HK$7&gt;=$AI18,$AI18&gt;$AJ18)),0,$E18)))))</f>
        <v>0</v>
      </c>
      <c r="HL18" s="409">
        <f t="shared" si="74"/>
        <v>0</v>
      </c>
      <c r="HM18" s="409">
        <f t="shared" si="74"/>
        <v>0</v>
      </c>
      <c r="HN18" s="409">
        <f t="shared" si="74"/>
        <v>0</v>
      </c>
      <c r="HO18" s="409">
        <f t="shared" si="74"/>
        <v>0</v>
      </c>
      <c r="HP18" s="409">
        <f t="shared" si="74"/>
        <v>0</v>
      </c>
      <c r="HQ18" s="409">
        <f t="shared" si="74"/>
        <v>0</v>
      </c>
      <c r="HR18" s="409">
        <f t="shared" si="74"/>
        <v>0</v>
      </c>
      <c r="HS18" s="409">
        <f t="shared" si="74"/>
        <v>0</v>
      </c>
      <c r="HT18" s="409">
        <f t="shared" si="74"/>
        <v>0</v>
      </c>
      <c r="HU18" s="409">
        <f t="shared" ref="HU18:ID27" si="75">IF(ISNA(HU$7),"",IF(OR(AND(HU$7&lt;=$N18,HU$7&gt;$N18-TIME(0,TimeIncr,0)),AND(HU$7&lt;=$P18,HU$7&gt;$P18-TIME(0,TimeIncr,0)),AND(HU$7&lt;=$R18,HU$7&gt;$R18-TIME(0,TimeIncr,0)),AND(HU$7&lt;=$T18,HU$7&gt;$T18-TIME(0,TimeIncr,0)),AND(HU$7&lt;=$V18,HU$7&gt;$V18-TIME(0,TimeIncr,0)),AND(HU$7&lt;=$X18,HU$7&gt;$X18-TIME(0,TimeIncr,0)),AND(HU$7&lt;=$Z18,HU$7&gt;$Z18-TIME(0,TimeIncr,0)),AND(HU$7&lt;=$AB18,HU$7&gt;$AB18-TIME(0,TimeIncr,0)),AND(HU$7&lt;=$AD18,HU$7&gt;$AD18-TIME(0,TimeIncr,0)),AND(HU$7&lt;=$AF18,HU$7&gt;$AF18-TIME(0,TimeIncr,0)),AND(HU$7&lt;=$AH18,HU$7&gt;$AH18-TIME(0,TimeIncr,0)),AND(HU$7&lt;=$AJ18,HU$7&gt;$AJ18-TIME(0,TimeIncr,0))),$E18*$L18,IF(OR(AND(HU$7&gt;=$M18,HU$7&lt;=$N18),AND(HU$7&gt;=$O18,HU$7&lt;=$P18),AND(HU$7&gt;=$Q18,HU$7&lt;=$R18),AND(HU$7&gt;=$S18,HU$7&lt;=$T18),AND(HU$7&gt;=$U18,HU$7&lt;=$V18),AND(HU$7&gt;=$W18,HU$7&lt;=$X18),AND(HU$7&gt;=$Y18,HU$7&lt;=$Z18),AND(HU$7&gt;=$AA18,HU$7&lt;=$AB18),AND(HU$7&gt;=$AC18,HU$7&lt;=$AD18),AND(HU$7&gt;=$AE18,HU$7&lt;=$AF18),AND(HU$7&gt;=$AG18,HU$7&lt;=$AH18),AND(HU$7&gt;=$AI18,HU$7&lt;=$AJ18)),0,IF(OR(AND($M18&gt;$N18,HU$7&lt;=$N18),AND($O18&gt;$P18,HU$7&lt;=$P18),AND($Q18&gt;$R18,HU$7&lt;=$R18),AND($S18&gt;$T18,HU$7&lt;=$T18),AND($U18&gt;$V18,HU$7&lt;=$V18),AND($W18&gt;$X18,HU$7&lt;=$X18),AND($Y18&gt;$Z18,HU$7&lt;=$Z18),AND($AA18&gt;$AB18,HU$7&lt;=$AB18),AND($AC18&gt;$AD18,HU$7&lt;=$AD18),AND($AE18&gt;$AF18,HU$7&lt;=$AF18),AND($AG18&gt;$AH18,HU$7&lt;=$AH18),AND($AI18&gt;$AJ18,HU$7&lt;=$AJ18)),0,IF(OR(AND(HU$7&gt;=$M18,$M18&gt;$N18),AND(HU$7&gt;=$O18,$O18&gt;$P18),AND(HU$7&gt;=$Q18,$Q18&gt;$R18),AND(HU$7&gt;=$S18,$S18&gt;$T18),AND(HU$7&gt;=$U18,$U18&gt;$V18),AND(HU$7&gt;=$W18,$W18&gt;$X18),AND(HU$7&gt;=$Y18,$Y18&gt;$Z18),AND(HU$7&gt;=$AA18,$AA18&gt;$AB18),AND(HU$7&gt;=$AC18,$AC18&gt;$AD18),AND(HU$7&gt;=$AE18,$AE18&gt;$AF18),AND(HU$7&gt;=$AG18,$AG18&gt;$AH18),AND(HU$7&gt;=$AI18,$AI18&gt;$AJ18)),0,$E18)))))</f>
        <v>0</v>
      </c>
      <c r="HV18" s="409">
        <f t="shared" si="75"/>
        <v>0</v>
      </c>
      <c r="HW18" s="409">
        <f t="shared" si="75"/>
        <v>0</v>
      </c>
      <c r="HX18" s="409">
        <f t="shared" si="75"/>
        <v>0</v>
      </c>
      <c r="HY18" s="409">
        <f t="shared" si="75"/>
        <v>0</v>
      </c>
      <c r="HZ18" s="409">
        <f t="shared" si="75"/>
        <v>0</v>
      </c>
      <c r="IA18" s="409">
        <f t="shared" si="75"/>
        <v>0</v>
      </c>
      <c r="IB18" s="409">
        <f t="shared" si="75"/>
        <v>0</v>
      </c>
      <c r="IC18" s="409">
        <f t="shared" si="75"/>
        <v>0</v>
      </c>
      <c r="ID18" s="409">
        <f t="shared" si="75"/>
        <v>0</v>
      </c>
      <c r="IE18" s="409">
        <f t="shared" ref="IE18:IJ27" si="76">IF(ISNA(IE$7),"",IF(OR(AND(IE$7&lt;=$N18,IE$7&gt;$N18-TIME(0,TimeIncr,0)),AND(IE$7&lt;=$P18,IE$7&gt;$P18-TIME(0,TimeIncr,0)),AND(IE$7&lt;=$R18,IE$7&gt;$R18-TIME(0,TimeIncr,0)),AND(IE$7&lt;=$T18,IE$7&gt;$T18-TIME(0,TimeIncr,0)),AND(IE$7&lt;=$V18,IE$7&gt;$V18-TIME(0,TimeIncr,0)),AND(IE$7&lt;=$X18,IE$7&gt;$X18-TIME(0,TimeIncr,0)),AND(IE$7&lt;=$Z18,IE$7&gt;$Z18-TIME(0,TimeIncr,0)),AND(IE$7&lt;=$AB18,IE$7&gt;$AB18-TIME(0,TimeIncr,0)),AND(IE$7&lt;=$AD18,IE$7&gt;$AD18-TIME(0,TimeIncr,0)),AND(IE$7&lt;=$AF18,IE$7&gt;$AF18-TIME(0,TimeIncr,0)),AND(IE$7&lt;=$AH18,IE$7&gt;$AH18-TIME(0,TimeIncr,0)),AND(IE$7&lt;=$AJ18,IE$7&gt;$AJ18-TIME(0,TimeIncr,0))),$E18*$L18,IF(OR(AND(IE$7&gt;=$M18,IE$7&lt;=$N18),AND(IE$7&gt;=$O18,IE$7&lt;=$P18),AND(IE$7&gt;=$Q18,IE$7&lt;=$R18),AND(IE$7&gt;=$S18,IE$7&lt;=$T18),AND(IE$7&gt;=$U18,IE$7&lt;=$V18),AND(IE$7&gt;=$W18,IE$7&lt;=$X18),AND(IE$7&gt;=$Y18,IE$7&lt;=$Z18),AND(IE$7&gt;=$AA18,IE$7&lt;=$AB18),AND(IE$7&gt;=$AC18,IE$7&lt;=$AD18),AND(IE$7&gt;=$AE18,IE$7&lt;=$AF18),AND(IE$7&gt;=$AG18,IE$7&lt;=$AH18),AND(IE$7&gt;=$AI18,IE$7&lt;=$AJ18)),0,IF(OR(AND($M18&gt;$N18,IE$7&lt;=$N18),AND($O18&gt;$P18,IE$7&lt;=$P18),AND($Q18&gt;$R18,IE$7&lt;=$R18),AND($S18&gt;$T18,IE$7&lt;=$T18),AND($U18&gt;$V18,IE$7&lt;=$V18),AND($W18&gt;$X18,IE$7&lt;=$X18),AND($Y18&gt;$Z18,IE$7&lt;=$Z18),AND($AA18&gt;$AB18,IE$7&lt;=$AB18),AND($AC18&gt;$AD18,IE$7&lt;=$AD18),AND($AE18&gt;$AF18,IE$7&lt;=$AF18),AND($AG18&gt;$AH18,IE$7&lt;=$AH18),AND($AI18&gt;$AJ18,IE$7&lt;=$AJ18)),0,IF(OR(AND(IE$7&gt;=$M18,$M18&gt;$N18),AND(IE$7&gt;=$O18,$O18&gt;$P18),AND(IE$7&gt;=$Q18,$Q18&gt;$R18),AND(IE$7&gt;=$S18,$S18&gt;$T18),AND(IE$7&gt;=$U18,$U18&gt;$V18),AND(IE$7&gt;=$W18,$W18&gt;$X18),AND(IE$7&gt;=$Y18,$Y18&gt;$Z18),AND(IE$7&gt;=$AA18,$AA18&gt;$AB18),AND(IE$7&gt;=$AC18,$AC18&gt;$AD18),AND(IE$7&gt;=$AE18,$AE18&gt;$AF18),AND(IE$7&gt;=$AG18,$AG18&gt;$AH18),AND(IE$7&gt;=$AI18,$AI18&gt;$AJ18)),0,$E18)))))</f>
        <v>0</v>
      </c>
      <c r="IF18" s="409">
        <f t="shared" si="76"/>
        <v>0</v>
      </c>
      <c r="IG18" s="409">
        <f t="shared" si="76"/>
        <v>0</v>
      </c>
      <c r="IH18" s="409">
        <f t="shared" si="76"/>
        <v>0</v>
      </c>
      <c r="II18" s="409">
        <f t="shared" si="76"/>
        <v>0</v>
      </c>
      <c r="IJ18" s="409">
        <f t="shared" si="76"/>
        <v>0</v>
      </c>
      <c r="IK18" s="378">
        <f t="shared" si="54"/>
        <v>11</v>
      </c>
    </row>
    <row r="19" spans="1:245" hidden="1" x14ac:dyDescent="0.2">
      <c r="A19" s="380" t="str">
        <f t="shared" si="34"/>
        <v>x</v>
      </c>
      <c r="B19" s="712" t="str">
        <f>IF(ISERROR(INDEX('Legend(DX)'!$H$8:$H$9,12)),"",INDEX('Legend(DX)'!$H$8:$H$9,12))</f>
        <v/>
      </c>
      <c r="C19" s="712" t="e">
        <f>IF(INDEX('Legend(DX)'!$T$8:$T$9,12)=0,"See Legend",INDEX('Legend(DX)'!$T$8:$T$9,12))</f>
        <v>#REF!</v>
      </c>
      <c r="D19" s="712" t="e">
        <f>IF(INDEX('Legend(DX)'!$R$8:$R$9,(ROW(C19))-7)=0,IF(AND(INDEX('Legend(DX)'!$D$8:$D$9,(ROW(C19))-6)="CH",INDEX('Legend(DX)'!$F$8:$F$9,(ROW(C19))-6)="CASE - MANUAL"),INDEX('Legend(DX)'!$R$8:$R$9,(ROW(C19))-6),IF(INDEX('Legend(DX)'!$V$8:$V$9,(ROW(C19))-7)&gt;1, "(" &amp; INDEX('Legend(DX)'!$V$8:$V$9,(ROW(C19))-7) &amp; ") " &amp; INDEX('Legend(DX)'!$W$8:$W$9,(ROW(C19))-6),INDEX('Legend(DX)'!$W$8:$W$9,(ROW(C19))-7))),INDEX('Legend(DX)'!$R$8:$R$9,(ROW(C19))-7))</f>
        <v>#REF!</v>
      </c>
      <c r="E19" s="713" t="str" cm="1">
        <f t="array" ref="E19">IF(OR(ISNUMBER(SEARCH("Skid",C19)),ISNUMBER(SEARCH("Subcooler",C19)),ISNUMBER(SEARCH("Pump",C19)),ISNUMBER(SEARCH("PH",C19))),0,IF(ISERROR(INDEX('Legend(DX)'!$AA$8:$AA$9,ROW()-7)),"",INDEX('Legend(DX)'!$AA$8:$AA$9,ROW()-7)))</f>
        <v/>
      </c>
      <c r="F19" s="714"/>
      <c r="G19" s="714"/>
      <c r="H19" s="714"/>
      <c r="I19" s="714"/>
      <c r="J19" s="714"/>
      <c r="K19" s="890">
        <f t="shared" si="35"/>
        <v>0</v>
      </c>
      <c r="L19" s="718"/>
      <c r="M19" s="719"/>
      <c r="N19" s="972">
        <f t="shared" si="7"/>
        <v>-1</v>
      </c>
      <c r="O19" s="972">
        <f t="shared" si="36"/>
        <v>-1</v>
      </c>
      <c r="P19" s="972">
        <f t="shared" si="8"/>
        <v>-1</v>
      </c>
      <c r="Q19" s="972">
        <f t="shared" si="37"/>
        <v>-1</v>
      </c>
      <c r="R19" s="972">
        <f t="shared" si="9"/>
        <v>-1</v>
      </c>
      <c r="S19" s="972">
        <f t="shared" si="38"/>
        <v>-1</v>
      </c>
      <c r="T19" s="972">
        <f t="shared" si="10"/>
        <v>-1</v>
      </c>
      <c r="U19" s="972">
        <f t="shared" si="39"/>
        <v>-1</v>
      </c>
      <c r="V19" s="972">
        <f t="shared" si="11"/>
        <v>-1</v>
      </c>
      <c r="W19" s="972">
        <f t="shared" si="40"/>
        <v>-1</v>
      </c>
      <c r="X19" s="972">
        <f t="shared" si="12"/>
        <v>-1</v>
      </c>
      <c r="Y19" s="972">
        <f t="shared" si="41"/>
        <v>-1</v>
      </c>
      <c r="Z19" s="972">
        <f t="shared" si="42"/>
        <v>-1</v>
      </c>
      <c r="AA19" s="972">
        <f t="shared" si="43"/>
        <v>-1</v>
      </c>
      <c r="AB19" s="972">
        <f t="shared" si="44"/>
        <v>-1</v>
      </c>
      <c r="AC19" s="972">
        <f t="shared" si="45"/>
        <v>-1</v>
      </c>
      <c r="AD19" s="972">
        <f t="shared" si="46"/>
        <v>-1</v>
      </c>
      <c r="AE19" s="972">
        <f t="shared" si="47"/>
        <v>-1</v>
      </c>
      <c r="AF19" s="972">
        <f t="shared" si="48"/>
        <v>-1</v>
      </c>
      <c r="AG19" s="972">
        <f t="shared" si="49"/>
        <v>-1</v>
      </c>
      <c r="AH19" s="972">
        <f t="shared" si="50"/>
        <v>-1</v>
      </c>
      <c r="AI19" s="972">
        <f t="shared" si="51"/>
        <v>-1</v>
      </c>
      <c r="AJ19" s="972">
        <f t="shared" si="52"/>
        <v>-1</v>
      </c>
      <c r="AK19" s="381" t="str">
        <f>IF(ISERROR(INDEX('Legend(DX)'!$AI$8:$AI$9,IK19)),"",INDEX('Legend(DX)'!$AI$8:$AI$9,IK19))</f>
        <v/>
      </c>
      <c r="AL19" s="727" t="str">
        <f t="shared" si="55"/>
        <v/>
      </c>
      <c r="AM19" s="409">
        <f t="shared" si="56"/>
        <v>0</v>
      </c>
      <c r="AN19" s="409">
        <f t="shared" si="56"/>
        <v>0</v>
      </c>
      <c r="AO19" s="409">
        <f t="shared" si="56"/>
        <v>0</v>
      </c>
      <c r="AP19" s="409">
        <f t="shared" si="56"/>
        <v>0</v>
      </c>
      <c r="AQ19" s="409">
        <f t="shared" si="56"/>
        <v>0</v>
      </c>
      <c r="AR19" s="409">
        <f t="shared" si="56"/>
        <v>0</v>
      </c>
      <c r="AS19" s="409">
        <f t="shared" si="56"/>
        <v>0</v>
      </c>
      <c r="AT19" s="409">
        <f t="shared" si="56"/>
        <v>0</v>
      </c>
      <c r="AU19" s="409">
        <f t="shared" si="56"/>
        <v>0</v>
      </c>
      <c r="AV19" s="409">
        <f t="shared" si="56"/>
        <v>0</v>
      </c>
      <c r="AW19" s="409">
        <f t="shared" si="57"/>
        <v>0</v>
      </c>
      <c r="AX19" s="409">
        <f t="shared" si="57"/>
        <v>0</v>
      </c>
      <c r="AY19" s="409">
        <f t="shared" si="57"/>
        <v>0</v>
      </c>
      <c r="AZ19" s="409">
        <f t="shared" si="57"/>
        <v>0</v>
      </c>
      <c r="BA19" s="409">
        <f t="shared" si="57"/>
        <v>0</v>
      </c>
      <c r="BB19" s="409">
        <f t="shared" si="57"/>
        <v>0</v>
      </c>
      <c r="BC19" s="409">
        <f t="shared" si="57"/>
        <v>0</v>
      </c>
      <c r="BD19" s="409">
        <f t="shared" si="57"/>
        <v>0</v>
      </c>
      <c r="BE19" s="409">
        <f t="shared" si="57"/>
        <v>0</v>
      </c>
      <c r="BF19" s="409">
        <f t="shared" si="57"/>
        <v>0</v>
      </c>
      <c r="BG19" s="409">
        <f t="shared" si="58"/>
        <v>0</v>
      </c>
      <c r="BH19" s="409">
        <f t="shared" si="58"/>
        <v>0</v>
      </c>
      <c r="BI19" s="409">
        <f t="shared" si="58"/>
        <v>0</v>
      </c>
      <c r="BJ19" s="409">
        <f t="shared" si="58"/>
        <v>0</v>
      </c>
      <c r="BK19" s="409">
        <f t="shared" si="58"/>
        <v>0</v>
      </c>
      <c r="BL19" s="409">
        <f t="shared" si="58"/>
        <v>0</v>
      </c>
      <c r="BM19" s="409">
        <f t="shared" si="58"/>
        <v>0</v>
      </c>
      <c r="BN19" s="409">
        <f t="shared" si="58"/>
        <v>0</v>
      </c>
      <c r="BO19" s="409">
        <f t="shared" si="58"/>
        <v>0</v>
      </c>
      <c r="BP19" s="409">
        <f t="shared" si="58"/>
        <v>0</v>
      </c>
      <c r="BQ19" s="409">
        <f t="shared" si="59"/>
        <v>0</v>
      </c>
      <c r="BR19" s="409">
        <f t="shared" si="59"/>
        <v>0</v>
      </c>
      <c r="BS19" s="409">
        <f t="shared" si="59"/>
        <v>0</v>
      </c>
      <c r="BT19" s="409">
        <f t="shared" si="59"/>
        <v>0</v>
      </c>
      <c r="BU19" s="409">
        <f t="shared" si="59"/>
        <v>0</v>
      </c>
      <c r="BV19" s="409">
        <f t="shared" si="59"/>
        <v>0</v>
      </c>
      <c r="BW19" s="409">
        <f t="shared" si="59"/>
        <v>0</v>
      </c>
      <c r="BX19" s="409">
        <f t="shared" si="59"/>
        <v>0</v>
      </c>
      <c r="BY19" s="409">
        <f t="shared" si="59"/>
        <v>0</v>
      </c>
      <c r="BZ19" s="409">
        <f t="shared" si="59"/>
        <v>0</v>
      </c>
      <c r="CA19" s="409">
        <f t="shared" si="60"/>
        <v>0</v>
      </c>
      <c r="CB19" s="409">
        <f t="shared" si="60"/>
        <v>0</v>
      </c>
      <c r="CC19" s="409">
        <f t="shared" si="60"/>
        <v>0</v>
      </c>
      <c r="CD19" s="409">
        <f t="shared" si="60"/>
        <v>0</v>
      </c>
      <c r="CE19" s="409">
        <f t="shared" si="60"/>
        <v>0</v>
      </c>
      <c r="CF19" s="409">
        <f t="shared" si="60"/>
        <v>0</v>
      </c>
      <c r="CG19" s="409">
        <f t="shared" si="60"/>
        <v>0</v>
      </c>
      <c r="CH19" s="409">
        <f t="shared" si="60"/>
        <v>0</v>
      </c>
      <c r="CI19" s="409">
        <f t="shared" si="60"/>
        <v>0</v>
      </c>
      <c r="CJ19" s="409">
        <f t="shared" si="60"/>
        <v>0</v>
      </c>
      <c r="CK19" s="409">
        <f t="shared" si="61"/>
        <v>0</v>
      </c>
      <c r="CL19" s="409">
        <f t="shared" si="61"/>
        <v>0</v>
      </c>
      <c r="CM19" s="409">
        <f t="shared" si="61"/>
        <v>0</v>
      </c>
      <c r="CN19" s="409">
        <f t="shared" si="61"/>
        <v>0</v>
      </c>
      <c r="CO19" s="409">
        <f t="shared" si="61"/>
        <v>0</v>
      </c>
      <c r="CP19" s="409">
        <f t="shared" si="61"/>
        <v>0</v>
      </c>
      <c r="CQ19" s="409">
        <f t="shared" si="61"/>
        <v>0</v>
      </c>
      <c r="CR19" s="409">
        <f t="shared" si="61"/>
        <v>0</v>
      </c>
      <c r="CS19" s="409">
        <f t="shared" si="61"/>
        <v>0</v>
      </c>
      <c r="CT19" s="409">
        <f t="shared" si="61"/>
        <v>0</v>
      </c>
      <c r="CU19" s="409">
        <f t="shared" si="62"/>
        <v>0</v>
      </c>
      <c r="CV19" s="409">
        <f t="shared" si="62"/>
        <v>0</v>
      </c>
      <c r="CW19" s="409">
        <f t="shared" si="62"/>
        <v>0</v>
      </c>
      <c r="CX19" s="409">
        <f t="shared" si="62"/>
        <v>0</v>
      </c>
      <c r="CY19" s="409">
        <f t="shared" si="62"/>
        <v>0</v>
      </c>
      <c r="CZ19" s="409">
        <f t="shared" si="62"/>
        <v>0</v>
      </c>
      <c r="DA19" s="409">
        <f t="shared" si="62"/>
        <v>0</v>
      </c>
      <c r="DB19" s="409">
        <f t="shared" si="62"/>
        <v>0</v>
      </c>
      <c r="DC19" s="409">
        <f t="shared" si="62"/>
        <v>0</v>
      </c>
      <c r="DD19" s="409">
        <f t="shared" si="62"/>
        <v>0</v>
      </c>
      <c r="DE19" s="409">
        <f t="shared" si="63"/>
        <v>0</v>
      </c>
      <c r="DF19" s="409">
        <f t="shared" si="63"/>
        <v>0</v>
      </c>
      <c r="DG19" s="409">
        <f t="shared" si="63"/>
        <v>0</v>
      </c>
      <c r="DH19" s="409">
        <f t="shared" si="63"/>
        <v>0</v>
      </c>
      <c r="DI19" s="409">
        <f t="shared" si="63"/>
        <v>0</v>
      </c>
      <c r="DJ19" s="409">
        <f t="shared" si="63"/>
        <v>0</v>
      </c>
      <c r="DK19" s="409">
        <f t="shared" si="63"/>
        <v>0</v>
      </c>
      <c r="DL19" s="409">
        <f t="shared" si="63"/>
        <v>0</v>
      </c>
      <c r="DM19" s="409">
        <f t="shared" si="63"/>
        <v>0</v>
      </c>
      <c r="DN19" s="409">
        <f t="shared" si="63"/>
        <v>0</v>
      </c>
      <c r="DO19" s="409">
        <f t="shared" si="64"/>
        <v>0</v>
      </c>
      <c r="DP19" s="409">
        <f t="shared" si="64"/>
        <v>0</v>
      </c>
      <c r="DQ19" s="409">
        <f t="shared" si="64"/>
        <v>0</v>
      </c>
      <c r="DR19" s="409">
        <f t="shared" si="64"/>
        <v>0</v>
      </c>
      <c r="DS19" s="409">
        <f t="shared" si="64"/>
        <v>0</v>
      </c>
      <c r="DT19" s="409">
        <f t="shared" si="64"/>
        <v>0</v>
      </c>
      <c r="DU19" s="409">
        <f t="shared" si="64"/>
        <v>0</v>
      </c>
      <c r="DV19" s="409">
        <f t="shared" si="64"/>
        <v>0</v>
      </c>
      <c r="DW19" s="409">
        <f t="shared" si="64"/>
        <v>0</v>
      </c>
      <c r="DX19" s="409">
        <f t="shared" si="64"/>
        <v>0</v>
      </c>
      <c r="DY19" s="409">
        <f t="shared" si="65"/>
        <v>0</v>
      </c>
      <c r="DZ19" s="409">
        <f t="shared" si="65"/>
        <v>0</v>
      </c>
      <c r="EA19" s="409">
        <f t="shared" si="65"/>
        <v>0</v>
      </c>
      <c r="EB19" s="409">
        <f t="shared" si="65"/>
        <v>0</v>
      </c>
      <c r="EC19" s="409">
        <f t="shared" si="65"/>
        <v>0</v>
      </c>
      <c r="ED19" s="409">
        <f t="shared" si="65"/>
        <v>0</v>
      </c>
      <c r="EE19" s="409">
        <f t="shared" si="65"/>
        <v>0</v>
      </c>
      <c r="EF19" s="409">
        <f t="shared" si="65"/>
        <v>0</v>
      </c>
      <c r="EG19" s="409">
        <f t="shared" si="65"/>
        <v>0</v>
      </c>
      <c r="EH19" s="409">
        <f t="shared" si="65"/>
        <v>0</v>
      </c>
      <c r="EI19" s="409">
        <f t="shared" si="66"/>
        <v>0</v>
      </c>
      <c r="EJ19" s="409">
        <f t="shared" si="66"/>
        <v>0</v>
      </c>
      <c r="EK19" s="409">
        <f t="shared" si="66"/>
        <v>0</v>
      </c>
      <c r="EL19" s="409">
        <f t="shared" si="66"/>
        <v>0</v>
      </c>
      <c r="EM19" s="409">
        <f t="shared" si="66"/>
        <v>0</v>
      </c>
      <c r="EN19" s="409">
        <f t="shared" si="66"/>
        <v>0</v>
      </c>
      <c r="EO19" s="409">
        <f t="shared" si="66"/>
        <v>0</v>
      </c>
      <c r="EP19" s="409">
        <f t="shared" si="66"/>
        <v>0</v>
      </c>
      <c r="EQ19" s="409">
        <f t="shared" si="66"/>
        <v>0</v>
      </c>
      <c r="ER19" s="409">
        <f t="shared" si="66"/>
        <v>0</v>
      </c>
      <c r="ES19" s="409">
        <f t="shared" si="67"/>
        <v>0</v>
      </c>
      <c r="ET19" s="409">
        <f t="shared" si="67"/>
        <v>0</v>
      </c>
      <c r="EU19" s="409">
        <f t="shared" si="67"/>
        <v>0</v>
      </c>
      <c r="EV19" s="409">
        <f t="shared" si="67"/>
        <v>0</v>
      </c>
      <c r="EW19" s="409">
        <f t="shared" si="67"/>
        <v>0</v>
      </c>
      <c r="EX19" s="409">
        <f t="shared" si="67"/>
        <v>0</v>
      </c>
      <c r="EY19" s="409">
        <f t="shared" si="67"/>
        <v>0</v>
      </c>
      <c r="EZ19" s="409">
        <f t="shared" si="67"/>
        <v>0</v>
      </c>
      <c r="FA19" s="409">
        <f t="shared" si="67"/>
        <v>0</v>
      </c>
      <c r="FB19" s="409">
        <f t="shared" si="67"/>
        <v>0</v>
      </c>
      <c r="FC19" s="409">
        <f t="shared" si="68"/>
        <v>0</v>
      </c>
      <c r="FD19" s="409">
        <f t="shared" si="68"/>
        <v>0</v>
      </c>
      <c r="FE19" s="409">
        <f t="shared" si="68"/>
        <v>0</v>
      </c>
      <c r="FF19" s="409">
        <f t="shared" si="68"/>
        <v>0</v>
      </c>
      <c r="FG19" s="409">
        <f t="shared" si="68"/>
        <v>0</v>
      </c>
      <c r="FH19" s="409">
        <f t="shared" si="68"/>
        <v>0</v>
      </c>
      <c r="FI19" s="409">
        <f t="shared" si="68"/>
        <v>0</v>
      </c>
      <c r="FJ19" s="409">
        <f t="shared" si="68"/>
        <v>0</v>
      </c>
      <c r="FK19" s="409">
        <f t="shared" si="68"/>
        <v>0</v>
      </c>
      <c r="FL19" s="409">
        <f t="shared" si="68"/>
        <v>0</v>
      </c>
      <c r="FM19" s="409">
        <f t="shared" si="69"/>
        <v>0</v>
      </c>
      <c r="FN19" s="409">
        <f t="shared" si="69"/>
        <v>0</v>
      </c>
      <c r="FO19" s="409">
        <f t="shared" si="69"/>
        <v>0</v>
      </c>
      <c r="FP19" s="409">
        <f t="shared" si="69"/>
        <v>0</v>
      </c>
      <c r="FQ19" s="409">
        <f t="shared" si="69"/>
        <v>0</v>
      </c>
      <c r="FR19" s="409">
        <f t="shared" si="69"/>
        <v>0</v>
      </c>
      <c r="FS19" s="409">
        <f t="shared" si="69"/>
        <v>0</v>
      </c>
      <c r="FT19" s="409">
        <f t="shared" si="69"/>
        <v>0</v>
      </c>
      <c r="FU19" s="409">
        <f t="shared" si="69"/>
        <v>0</v>
      </c>
      <c r="FV19" s="409">
        <f t="shared" si="69"/>
        <v>0</v>
      </c>
      <c r="FW19" s="409">
        <f t="shared" si="70"/>
        <v>0</v>
      </c>
      <c r="FX19" s="409">
        <f t="shared" si="70"/>
        <v>0</v>
      </c>
      <c r="FY19" s="409">
        <f t="shared" si="70"/>
        <v>0</v>
      </c>
      <c r="FZ19" s="409">
        <f t="shared" si="70"/>
        <v>0</v>
      </c>
      <c r="GA19" s="409">
        <f t="shared" si="70"/>
        <v>0</v>
      </c>
      <c r="GB19" s="409">
        <f t="shared" si="70"/>
        <v>0</v>
      </c>
      <c r="GC19" s="409">
        <f t="shared" si="70"/>
        <v>0</v>
      </c>
      <c r="GD19" s="409">
        <f t="shared" si="70"/>
        <v>0</v>
      </c>
      <c r="GE19" s="409">
        <f t="shared" si="70"/>
        <v>0</v>
      </c>
      <c r="GF19" s="409">
        <f t="shared" si="70"/>
        <v>0</v>
      </c>
      <c r="GG19" s="409">
        <f t="shared" si="71"/>
        <v>0</v>
      </c>
      <c r="GH19" s="409">
        <f t="shared" si="71"/>
        <v>0</v>
      </c>
      <c r="GI19" s="409">
        <f t="shared" si="71"/>
        <v>0</v>
      </c>
      <c r="GJ19" s="409">
        <f t="shared" si="71"/>
        <v>0</v>
      </c>
      <c r="GK19" s="409">
        <f t="shared" si="71"/>
        <v>0</v>
      </c>
      <c r="GL19" s="409">
        <f t="shared" si="71"/>
        <v>0</v>
      </c>
      <c r="GM19" s="409">
        <f t="shared" si="71"/>
        <v>0</v>
      </c>
      <c r="GN19" s="409">
        <f t="shared" si="71"/>
        <v>0</v>
      </c>
      <c r="GO19" s="409">
        <f t="shared" si="71"/>
        <v>0</v>
      </c>
      <c r="GP19" s="409">
        <f t="shared" si="71"/>
        <v>0</v>
      </c>
      <c r="GQ19" s="409">
        <f t="shared" si="72"/>
        <v>0</v>
      </c>
      <c r="GR19" s="409">
        <f t="shared" si="72"/>
        <v>0</v>
      </c>
      <c r="GS19" s="409">
        <f t="shared" si="72"/>
        <v>0</v>
      </c>
      <c r="GT19" s="409">
        <f t="shared" si="72"/>
        <v>0</v>
      </c>
      <c r="GU19" s="409">
        <f t="shared" si="72"/>
        <v>0</v>
      </c>
      <c r="GV19" s="409">
        <f t="shared" si="72"/>
        <v>0</v>
      </c>
      <c r="GW19" s="409">
        <f t="shared" si="72"/>
        <v>0</v>
      </c>
      <c r="GX19" s="409">
        <f t="shared" si="72"/>
        <v>0</v>
      </c>
      <c r="GY19" s="409">
        <f t="shared" si="72"/>
        <v>0</v>
      </c>
      <c r="GZ19" s="409">
        <f t="shared" si="72"/>
        <v>0</v>
      </c>
      <c r="HA19" s="409">
        <f t="shared" si="73"/>
        <v>0</v>
      </c>
      <c r="HB19" s="409">
        <f t="shared" si="73"/>
        <v>0</v>
      </c>
      <c r="HC19" s="409">
        <f t="shared" si="73"/>
        <v>0</v>
      </c>
      <c r="HD19" s="409">
        <f t="shared" si="73"/>
        <v>0</v>
      </c>
      <c r="HE19" s="409">
        <f t="shared" si="73"/>
        <v>0</v>
      </c>
      <c r="HF19" s="409">
        <f t="shared" si="73"/>
        <v>0</v>
      </c>
      <c r="HG19" s="409">
        <f t="shared" si="73"/>
        <v>0</v>
      </c>
      <c r="HH19" s="409">
        <f t="shared" si="73"/>
        <v>0</v>
      </c>
      <c r="HI19" s="409">
        <f t="shared" si="73"/>
        <v>0</v>
      </c>
      <c r="HJ19" s="409">
        <f t="shared" si="73"/>
        <v>0</v>
      </c>
      <c r="HK19" s="409">
        <f t="shared" si="74"/>
        <v>0</v>
      </c>
      <c r="HL19" s="409">
        <f t="shared" si="74"/>
        <v>0</v>
      </c>
      <c r="HM19" s="409">
        <f t="shared" si="74"/>
        <v>0</v>
      </c>
      <c r="HN19" s="409">
        <f t="shared" si="74"/>
        <v>0</v>
      </c>
      <c r="HO19" s="409">
        <f t="shared" si="74"/>
        <v>0</v>
      </c>
      <c r="HP19" s="409">
        <f t="shared" si="74"/>
        <v>0</v>
      </c>
      <c r="HQ19" s="409">
        <f t="shared" si="74"/>
        <v>0</v>
      </c>
      <c r="HR19" s="409">
        <f t="shared" si="74"/>
        <v>0</v>
      </c>
      <c r="HS19" s="409">
        <f t="shared" si="74"/>
        <v>0</v>
      </c>
      <c r="HT19" s="409">
        <f t="shared" si="74"/>
        <v>0</v>
      </c>
      <c r="HU19" s="409">
        <f t="shared" si="75"/>
        <v>0</v>
      </c>
      <c r="HV19" s="409">
        <f t="shared" si="75"/>
        <v>0</v>
      </c>
      <c r="HW19" s="409">
        <f t="shared" si="75"/>
        <v>0</v>
      </c>
      <c r="HX19" s="409">
        <f t="shared" si="75"/>
        <v>0</v>
      </c>
      <c r="HY19" s="409">
        <f t="shared" si="75"/>
        <v>0</v>
      </c>
      <c r="HZ19" s="409">
        <f t="shared" si="75"/>
        <v>0</v>
      </c>
      <c r="IA19" s="409">
        <f t="shared" si="75"/>
        <v>0</v>
      </c>
      <c r="IB19" s="409">
        <f t="shared" si="75"/>
        <v>0</v>
      </c>
      <c r="IC19" s="409">
        <f t="shared" si="75"/>
        <v>0</v>
      </c>
      <c r="ID19" s="409">
        <f t="shared" si="75"/>
        <v>0</v>
      </c>
      <c r="IE19" s="409">
        <f t="shared" si="76"/>
        <v>0</v>
      </c>
      <c r="IF19" s="409">
        <f t="shared" si="76"/>
        <v>0</v>
      </c>
      <c r="IG19" s="409">
        <f t="shared" si="76"/>
        <v>0</v>
      </c>
      <c r="IH19" s="409">
        <f t="shared" si="76"/>
        <v>0</v>
      </c>
      <c r="II19" s="409">
        <f t="shared" si="76"/>
        <v>0</v>
      </c>
      <c r="IJ19" s="409">
        <f t="shared" si="76"/>
        <v>0</v>
      </c>
      <c r="IK19" s="378">
        <f t="shared" si="54"/>
        <v>12</v>
      </c>
    </row>
    <row r="20" spans="1:245" hidden="1" x14ac:dyDescent="0.2">
      <c r="A20" s="380" t="str">
        <f t="shared" si="34"/>
        <v>x</v>
      </c>
      <c r="B20" s="712" t="str">
        <f>IF(ISERROR(INDEX('Legend(DX)'!$H$8:$H$9,13)),"",INDEX('Legend(DX)'!$H$8:$H$9,13))</f>
        <v/>
      </c>
      <c r="C20" s="712" t="e">
        <f>IF(INDEX('Legend(DX)'!$T$8:$T$9,13)=0,"See Legend",INDEX('Legend(DX)'!$T$8:$T$9,13))</f>
        <v>#REF!</v>
      </c>
      <c r="D20" s="712" t="e">
        <f>IF(INDEX('Legend(DX)'!$R$8:$R$9,(ROW(C20))-7)=0,IF(AND(INDEX('Legend(DX)'!$D$8:$D$9,(ROW(C20))-6)="CH",INDEX('Legend(DX)'!$F$8:$F$9,(ROW(C20))-6)="CASE - MANUAL"),INDEX('Legend(DX)'!$R$8:$R$9,(ROW(C20))-6),IF(INDEX('Legend(DX)'!$V$8:$V$9,(ROW(C20))-7)&gt;1, "(" &amp; INDEX('Legend(DX)'!$V$8:$V$9,(ROW(C20))-7) &amp; ") " &amp; INDEX('Legend(DX)'!$W$8:$W$9,(ROW(C20))-6),INDEX('Legend(DX)'!$W$8:$W$9,(ROW(C20))-7))),INDEX('Legend(DX)'!$R$8:$R$9,(ROW(C20))-7))</f>
        <v>#REF!</v>
      </c>
      <c r="E20" s="713" t="str" cm="1">
        <f t="array" ref="E20">IF(OR(ISNUMBER(SEARCH("Skid",C20)),ISNUMBER(SEARCH("Subcooler",C20)),ISNUMBER(SEARCH("Pump",C20)),ISNUMBER(SEARCH("PH",C20))),0,IF(ISERROR(INDEX('Legend(DX)'!$AA$8:$AA$9,ROW()-7)),"",INDEX('Legend(DX)'!$AA$8:$AA$9,ROW()-7)))</f>
        <v/>
      </c>
      <c r="F20" s="714"/>
      <c r="G20" s="714"/>
      <c r="H20" s="714"/>
      <c r="I20" s="714"/>
      <c r="J20" s="714"/>
      <c r="K20" s="890">
        <f t="shared" si="35"/>
        <v>0</v>
      </c>
      <c r="L20" s="718"/>
      <c r="M20" s="719"/>
      <c r="N20" s="972">
        <f t="shared" si="7"/>
        <v>-1</v>
      </c>
      <c r="O20" s="972">
        <f t="shared" si="36"/>
        <v>-1</v>
      </c>
      <c r="P20" s="972">
        <f t="shared" si="8"/>
        <v>-1</v>
      </c>
      <c r="Q20" s="972">
        <f t="shared" si="37"/>
        <v>-1</v>
      </c>
      <c r="R20" s="972">
        <f t="shared" si="9"/>
        <v>-1</v>
      </c>
      <c r="S20" s="972">
        <f t="shared" si="38"/>
        <v>-1</v>
      </c>
      <c r="T20" s="972">
        <f t="shared" si="10"/>
        <v>-1</v>
      </c>
      <c r="U20" s="972">
        <f t="shared" si="39"/>
        <v>-1</v>
      </c>
      <c r="V20" s="972">
        <f t="shared" si="11"/>
        <v>-1</v>
      </c>
      <c r="W20" s="972">
        <f t="shared" si="40"/>
        <v>-1</v>
      </c>
      <c r="X20" s="972">
        <f t="shared" si="12"/>
        <v>-1</v>
      </c>
      <c r="Y20" s="972">
        <f t="shared" si="41"/>
        <v>-1</v>
      </c>
      <c r="Z20" s="972">
        <f t="shared" si="42"/>
        <v>-1</v>
      </c>
      <c r="AA20" s="972">
        <f t="shared" si="43"/>
        <v>-1</v>
      </c>
      <c r="AB20" s="972">
        <f t="shared" si="44"/>
        <v>-1</v>
      </c>
      <c r="AC20" s="972">
        <f t="shared" si="45"/>
        <v>-1</v>
      </c>
      <c r="AD20" s="972">
        <f t="shared" si="46"/>
        <v>-1</v>
      </c>
      <c r="AE20" s="972">
        <f t="shared" si="47"/>
        <v>-1</v>
      </c>
      <c r="AF20" s="972">
        <f t="shared" si="48"/>
        <v>-1</v>
      </c>
      <c r="AG20" s="972">
        <f t="shared" si="49"/>
        <v>-1</v>
      </c>
      <c r="AH20" s="972">
        <f t="shared" si="50"/>
        <v>-1</v>
      </c>
      <c r="AI20" s="972">
        <f t="shared" si="51"/>
        <v>-1</v>
      </c>
      <c r="AJ20" s="972">
        <f t="shared" si="52"/>
        <v>-1</v>
      </c>
      <c r="AK20" s="381" t="str">
        <f>IF(ISERROR(INDEX('Legend(DX)'!$AI$8:$AI$9,IK20)),"",INDEX('Legend(DX)'!$AI$8:$AI$9,IK20))</f>
        <v/>
      </c>
      <c r="AL20" s="727" t="str">
        <f t="shared" si="55"/>
        <v/>
      </c>
      <c r="AM20" s="409">
        <f t="shared" si="56"/>
        <v>0</v>
      </c>
      <c r="AN20" s="409">
        <f t="shared" si="56"/>
        <v>0</v>
      </c>
      <c r="AO20" s="409">
        <f t="shared" si="56"/>
        <v>0</v>
      </c>
      <c r="AP20" s="409">
        <f t="shared" si="56"/>
        <v>0</v>
      </c>
      <c r="AQ20" s="409">
        <f t="shared" si="56"/>
        <v>0</v>
      </c>
      <c r="AR20" s="409">
        <f t="shared" si="56"/>
        <v>0</v>
      </c>
      <c r="AS20" s="409">
        <f t="shared" si="56"/>
        <v>0</v>
      </c>
      <c r="AT20" s="409">
        <f t="shared" si="56"/>
        <v>0</v>
      </c>
      <c r="AU20" s="409">
        <f t="shared" si="56"/>
        <v>0</v>
      </c>
      <c r="AV20" s="409">
        <f t="shared" si="56"/>
        <v>0</v>
      </c>
      <c r="AW20" s="409">
        <f t="shared" si="57"/>
        <v>0</v>
      </c>
      <c r="AX20" s="409">
        <f t="shared" si="57"/>
        <v>0</v>
      </c>
      <c r="AY20" s="409">
        <f t="shared" si="57"/>
        <v>0</v>
      </c>
      <c r="AZ20" s="409">
        <f t="shared" si="57"/>
        <v>0</v>
      </c>
      <c r="BA20" s="409">
        <f t="shared" si="57"/>
        <v>0</v>
      </c>
      <c r="BB20" s="409">
        <f t="shared" si="57"/>
        <v>0</v>
      </c>
      <c r="BC20" s="409">
        <f t="shared" si="57"/>
        <v>0</v>
      </c>
      <c r="BD20" s="409">
        <f t="shared" si="57"/>
        <v>0</v>
      </c>
      <c r="BE20" s="409">
        <f t="shared" si="57"/>
        <v>0</v>
      </c>
      <c r="BF20" s="409">
        <f t="shared" si="57"/>
        <v>0</v>
      </c>
      <c r="BG20" s="409">
        <f t="shared" si="58"/>
        <v>0</v>
      </c>
      <c r="BH20" s="409">
        <f t="shared" si="58"/>
        <v>0</v>
      </c>
      <c r="BI20" s="409">
        <f t="shared" si="58"/>
        <v>0</v>
      </c>
      <c r="BJ20" s="409">
        <f t="shared" si="58"/>
        <v>0</v>
      </c>
      <c r="BK20" s="409">
        <f t="shared" si="58"/>
        <v>0</v>
      </c>
      <c r="BL20" s="409">
        <f t="shared" si="58"/>
        <v>0</v>
      </c>
      <c r="BM20" s="409">
        <f t="shared" si="58"/>
        <v>0</v>
      </c>
      <c r="BN20" s="409">
        <f t="shared" si="58"/>
        <v>0</v>
      </c>
      <c r="BO20" s="409">
        <f t="shared" si="58"/>
        <v>0</v>
      </c>
      <c r="BP20" s="409">
        <f t="shared" si="58"/>
        <v>0</v>
      </c>
      <c r="BQ20" s="409">
        <f t="shared" si="59"/>
        <v>0</v>
      </c>
      <c r="BR20" s="409">
        <f t="shared" si="59"/>
        <v>0</v>
      </c>
      <c r="BS20" s="409">
        <f t="shared" si="59"/>
        <v>0</v>
      </c>
      <c r="BT20" s="409">
        <f t="shared" si="59"/>
        <v>0</v>
      </c>
      <c r="BU20" s="409">
        <f t="shared" si="59"/>
        <v>0</v>
      </c>
      <c r="BV20" s="409">
        <f t="shared" si="59"/>
        <v>0</v>
      </c>
      <c r="BW20" s="409">
        <f t="shared" si="59"/>
        <v>0</v>
      </c>
      <c r="BX20" s="409">
        <f t="shared" si="59"/>
        <v>0</v>
      </c>
      <c r="BY20" s="409">
        <f t="shared" si="59"/>
        <v>0</v>
      </c>
      <c r="BZ20" s="409">
        <f t="shared" si="59"/>
        <v>0</v>
      </c>
      <c r="CA20" s="409">
        <f t="shared" si="60"/>
        <v>0</v>
      </c>
      <c r="CB20" s="409">
        <f t="shared" si="60"/>
        <v>0</v>
      </c>
      <c r="CC20" s="409">
        <f t="shared" si="60"/>
        <v>0</v>
      </c>
      <c r="CD20" s="409">
        <f t="shared" si="60"/>
        <v>0</v>
      </c>
      <c r="CE20" s="409">
        <f t="shared" si="60"/>
        <v>0</v>
      </c>
      <c r="CF20" s="409">
        <f t="shared" si="60"/>
        <v>0</v>
      </c>
      <c r="CG20" s="409">
        <f t="shared" si="60"/>
        <v>0</v>
      </c>
      <c r="CH20" s="409">
        <f t="shared" si="60"/>
        <v>0</v>
      </c>
      <c r="CI20" s="409">
        <f t="shared" si="60"/>
        <v>0</v>
      </c>
      <c r="CJ20" s="409">
        <f t="shared" si="60"/>
        <v>0</v>
      </c>
      <c r="CK20" s="409">
        <f t="shared" si="61"/>
        <v>0</v>
      </c>
      <c r="CL20" s="409">
        <f t="shared" si="61"/>
        <v>0</v>
      </c>
      <c r="CM20" s="409">
        <f t="shared" si="61"/>
        <v>0</v>
      </c>
      <c r="CN20" s="409">
        <f t="shared" si="61"/>
        <v>0</v>
      </c>
      <c r="CO20" s="409">
        <f t="shared" si="61"/>
        <v>0</v>
      </c>
      <c r="CP20" s="409">
        <f t="shared" si="61"/>
        <v>0</v>
      </c>
      <c r="CQ20" s="409">
        <f t="shared" si="61"/>
        <v>0</v>
      </c>
      <c r="CR20" s="409">
        <f t="shared" si="61"/>
        <v>0</v>
      </c>
      <c r="CS20" s="409">
        <f t="shared" si="61"/>
        <v>0</v>
      </c>
      <c r="CT20" s="409">
        <f t="shared" si="61"/>
        <v>0</v>
      </c>
      <c r="CU20" s="409">
        <f t="shared" si="62"/>
        <v>0</v>
      </c>
      <c r="CV20" s="409">
        <f t="shared" si="62"/>
        <v>0</v>
      </c>
      <c r="CW20" s="409">
        <f t="shared" si="62"/>
        <v>0</v>
      </c>
      <c r="CX20" s="409">
        <f t="shared" si="62"/>
        <v>0</v>
      </c>
      <c r="CY20" s="409">
        <f t="shared" si="62"/>
        <v>0</v>
      </c>
      <c r="CZ20" s="409">
        <f t="shared" si="62"/>
        <v>0</v>
      </c>
      <c r="DA20" s="409">
        <f t="shared" si="62"/>
        <v>0</v>
      </c>
      <c r="DB20" s="409">
        <f t="shared" si="62"/>
        <v>0</v>
      </c>
      <c r="DC20" s="409">
        <f t="shared" si="62"/>
        <v>0</v>
      </c>
      <c r="DD20" s="409">
        <f t="shared" si="62"/>
        <v>0</v>
      </c>
      <c r="DE20" s="409">
        <f t="shared" si="63"/>
        <v>0</v>
      </c>
      <c r="DF20" s="409">
        <f t="shared" si="63"/>
        <v>0</v>
      </c>
      <c r="DG20" s="409">
        <f t="shared" si="63"/>
        <v>0</v>
      </c>
      <c r="DH20" s="409">
        <f t="shared" si="63"/>
        <v>0</v>
      </c>
      <c r="DI20" s="409">
        <f t="shared" si="63"/>
        <v>0</v>
      </c>
      <c r="DJ20" s="409">
        <f t="shared" si="63"/>
        <v>0</v>
      </c>
      <c r="DK20" s="409">
        <f t="shared" si="63"/>
        <v>0</v>
      </c>
      <c r="DL20" s="409">
        <f t="shared" si="63"/>
        <v>0</v>
      </c>
      <c r="DM20" s="409">
        <f t="shared" si="63"/>
        <v>0</v>
      </c>
      <c r="DN20" s="409">
        <f t="shared" si="63"/>
        <v>0</v>
      </c>
      <c r="DO20" s="409">
        <f t="shared" si="64"/>
        <v>0</v>
      </c>
      <c r="DP20" s="409">
        <f t="shared" si="64"/>
        <v>0</v>
      </c>
      <c r="DQ20" s="409">
        <f t="shared" si="64"/>
        <v>0</v>
      </c>
      <c r="DR20" s="409">
        <f t="shared" si="64"/>
        <v>0</v>
      </c>
      <c r="DS20" s="409">
        <f t="shared" si="64"/>
        <v>0</v>
      </c>
      <c r="DT20" s="409">
        <f t="shared" si="64"/>
        <v>0</v>
      </c>
      <c r="DU20" s="409">
        <f t="shared" si="64"/>
        <v>0</v>
      </c>
      <c r="DV20" s="409">
        <f t="shared" si="64"/>
        <v>0</v>
      </c>
      <c r="DW20" s="409">
        <f t="shared" si="64"/>
        <v>0</v>
      </c>
      <c r="DX20" s="409">
        <f t="shared" si="64"/>
        <v>0</v>
      </c>
      <c r="DY20" s="409">
        <f t="shared" si="65"/>
        <v>0</v>
      </c>
      <c r="DZ20" s="409">
        <f t="shared" si="65"/>
        <v>0</v>
      </c>
      <c r="EA20" s="409">
        <f t="shared" si="65"/>
        <v>0</v>
      </c>
      <c r="EB20" s="409">
        <f t="shared" si="65"/>
        <v>0</v>
      </c>
      <c r="EC20" s="409">
        <f t="shared" si="65"/>
        <v>0</v>
      </c>
      <c r="ED20" s="409">
        <f t="shared" si="65"/>
        <v>0</v>
      </c>
      <c r="EE20" s="409">
        <f t="shared" si="65"/>
        <v>0</v>
      </c>
      <c r="EF20" s="409">
        <f t="shared" si="65"/>
        <v>0</v>
      </c>
      <c r="EG20" s="409">
        <f t="shared" si="65"/>
        <v>0</v>
      </c>
      <c r="EH20" s="409">
        <f t="shared" si="65"/>
        <v>0</v>
      </c>
      <c r="EI20" s="409">
        <f t="shared" si="66"/>
        <v>0</v>
      </c>
      <c r="EJ20" s="409">
        <f t="shared" si="66"/>
        <v>0</v>
      </c>
      <c r="EK20" s="409">
        <f t="shared" si="66"/>
        <v>0</v>
      </c>
      <c r="EL20" s="409">
        <f t="shared" si="66"/>
        <v>0</v>
      </c>
      <c r="EM20" s="409">
        <f t="shared" si="66"/>
        <v>0</v>
      </c>
      <c r="EN20" s="409">
        <f t="shared" si="66"/>
        <v>0</v>
      </c>
      <c r="EO20" s="409">
        <f t="shared" si="66"/>
        <v>0</v>
      </c>
      <c r="EP20" s="409">
        <f t="shared" si="66"/>
        <v>0</v>
      </c>
      <c r="EQ20" s="409">
        <f t="shared" si="66"/>
        <v>0</v>
      </c>
      <c r="ER20" s="409">
        <f t="shared" si="66"/>
        <v>0</v>
      </c>
      <c r="ES20" s="409">
        <f t="shared" si="67"/>
        <v>0</v>
      </c>
      <c r="ET20" s="409">
        <f t="shared" si="67"/>
        <v>0</v>
      </c>
      <c r="EU20" s="409">
        <f t="shared" si="67"/>
        <v>0</v>
      </c>
      <c r="EV20" s="409">
        <f t="shared" si="67"/>
        <v>0</v>
      </c>
      <c r="EW20" s="409">
        <f t="shared" si="67"/>
        <v>0</v>
      </c>
      <c r="EX20" s="409">
        <f t="shared" si="67"/>
        <v>0</v>
      </c>
      <c r="EY20" s="409">
        <f t="shared" si="67"/>
        <v>0</v>
      </c>
      <c r="EZ20" s="409">
        <f t="shared" si="67"/>
        <v>0</v>
      </c>
      <c r="FA20" s="409">
        <f t="shared" si="67"/>
        <v>0</v>
      </c>
      <c r="FB20" s="409">
        <f t="shared" si="67"/>
        <v>0</v>
      </c>
      <c r="FC20" s="409">
        <f t="shared" si="68"/>
        <v>0</v>
      </c>
      <c r="FD20" s="409">
        <f t="shared" si="68"/>
        <v>0</v>
      </c>
      <c r="FE20" s="409">
        <f t="shared" si="68"/>
        <v>0</v>
      </c>
      <c r="FF20" s="409">
        <f t="shared" si="68"/>
        <v>0</v>
      </c>
      <c r="FG20" s="409">
        <f t="shared" si="68"/>
        <v>0</v>
      </c>
      <c r="FH20" s="409">
        <f t="shared" si="68"/>
        <v>0</v>
      </c>
      <c r="FI20" s="409">
        <f t="shared" si="68"/>
        <v>0</v>
      </c>
      <c r="FJ20" s="409">
        <f t="shared" si="68"/>
        <v>0</v>
      </c>
      <c r="FK20" s="409">
        <f t="shared" si="68"/>
        <v>0</v>
      </c>
      <c r="FL20" s="409">
        <f t="shared" si="68"/>
        <v>0</v>
      </c>
      <c r="FM20" s="409">
        <f t="shared" si="69"/>
        <v>0</v>
      </c>
      <c r="FN20" s="409">
        <f t="shared" si="69"/>
        <v>0</v>
      </c>
      <c r="FO20" s="409">
        <f t="shared" si="69"/>
        <v>0</v>
      </c>
      <c r="FP20" s="409">
        <f t="shared" si="69"/>
        <v>0</v>
      </c>
      <c r="FQ20" s="409">
        <f t="shared" si="69"/>
        <v>0</v>
      </c>
      <c r="FR20" s="409">
        <f t="shared" si="69"/>
        <v>0</v>
      </c>
      <c r="FS20" s="409">
        <f t="shared" si="69"/>
        <v>0</v>
      </c>
      <c r="FT20" s="409">
        <f t="shared" si="69"/>
        <v>0</v>
      </c>
      <c r="FU20" s="409">
        <f t="shared" si="69"/>
        <v>0</v>
      </c>
      <c r="FV20" s="409">
        <f t="shared" si="69"/>
        <v>0</v>
      </c>
      <c r="FW20" s="409">
        <f t="shared" si="70"/>
        <v>0</v>
      </c>
      <c r="FX20" s="409">
        <f t="shared" si="70"/>
        <v>0</v>
      </c>
      <c r="FY20" s="409">
        <f t="shared" si="70"/>
        <v>0</v>
      </c>
      <c r="FZ20" s="409">
        <f t="shared" si="70"/>
        <v>0</v>
      </c>
      <c r="GA20" s="409">
        <f t="shared" si="70"/>
        <v>0</v>
      </c>
      <c r="GB20" s="409">
        <f t="shared" si="70"/>
        <v>0</v>
      </c>
      <c r="GC20" s="409">
        <f t="shared" si="70"/>
        <v>0</v>
      </c>
      <c r="GD20" s="409">
        <f t="shared" si="70"/>
        <v>0</v>
      </c>
      <c r="GE20" s="409">
        <f t="shared" si="70"/>
        <v>0</v>
      </c>
      <c r="GF20" s="409">
        <f t="shared" si="70"/>
        <v>0</v>
      </c>
      <c r="GG20" s="409">
        <f t="shared" si="71"/>
        <v>0</v>
      </c>
      <c r="GH20" s="409">
        <f t="shared" si="71"/>
        <v>0</v>
      </c>
      <c r="GI20" s="409">
        <f t="shared" si="71"/>
        <v>0</v>
      </c>
      <c r="GJ20" s="409">
        <f t="shared" si="71"/>
        <v>0</v>
      </c>
      <c r="GK20" s="409">
        <f t="shared" si="71"/>
        <v>0</v>
      </c>
      <c r="GL20" s="409">
        <f t="shared" si="71"/>
        <v>0</v>
      </c>
      <c r="GM20" s="409">
        <f t="shared" si="71"/>
        <v>0</v>
      </c>
      <c r="GN20" s="409">
        <f t="shared" si="71"/>
        <v>0</v>
      </c>
      <c r="GO20" s="409">
        <f t="shared" si="71"/>
        <v>0</v>
      </c>
      <c r="GP20" s="409">
        <f t="shared" si="71"/>
        <v>0</v>
      </c>
      <c r="GQ20" s="409">
        <f t="shared" si="72"/>
        <v>0</v>
      </c>
      <c r="GR20" s="409">
        <f t="shared" si="72"/>
        <v>0</v>
      </c>
      <c r="GS20" s="409">
        <f t="shared" si="72"/>
        <v>0</v>
      </c>
      <c r="GT20" s="409">
        <f t="shared" si="72"/>
        <v>0</v>
      </c>
      <c r="GU20" s="409">
        <f t="shared" si="72"/>
        <v>0</v>
      </c>
      <c r="GV20" s="409">
        <f t="shared" si="72"/>
        <v>0</v>
      </c>
      <c r="GW20" s="409">
        <f t="shared" si="72"/>
        <v>0</v>
      </c>
      <c r="GX20" s="409">
        <f t="shared" si="72"/>
        <v>0</v>
      </c>
      <c r="GY20" s="409">
        <f t="shared" si="72"/>
        <v>0</v>
      </c>
      <c r="GZ20" s="409">
        <f t="shared" si="72"/>
        <v>0</v>
      </c>
      <c r="HA20" s="409">
        <f t="shared" si="73"/>
        <v>0</v>
      </c>
      <c r="HB20" s="409">
        <f t="shared" si="73"/>
        <v>0</v>
      </c>
      <c r="HC20" s="409">
        <f t="shared" si="73"/>
        <v>0</v>
      </c>
      <c r="HD20" s="409">
        <f t="shared" si="73"/>
        <v>0</v>
      </c>
      <c r="HE20" s="409">
        <f t="shared" si="73"/>
        <v>0</v>
      </c>
      <c r="HF20" s="409">
        <f t="shared" si="73"/>
        <v>0</v>
      </c>
      <c r="HG20" s="409">
        <f t="shared" si="73"/>
        <v>0</v>
      </c>
      <c r="HH20" s="409">
        <f t="shared" si="73"/>
        <v>0</v>
      </c>
      <c r="HI20" s="409">
        <f t="shared" si="73"/>
        <v>0</v>
      </c>
      <c r="HJ20" s="409">
        <f t="shared" si="73"/>
        <v>0</v>
      </c>
      <c r="HK20" s="409">
        <f t="shared" si="74"/>
        <v>0</v>
      </c>
      <c r="HL20" s="409">
        <f t="shared" si="74"/>
        <v>0</v>
      </c>
      <c r="HM20" s="409">
        <f t="shared" si="74"/>
        <v>0</v>
      </c>
      <c r="HN20" s="409">
        <f t="shared" si="74"/>
        <v>0</v>
      </c>
      <c r="HO20" s="409">
        <f t="shared" si="74"/>
        <v>0</v>
      </c>
      <c r="HP20" s="409">
        <f t="shared" si="74"/>
        <v>0</v>
      </c>
      <c r="HQ20" s="409">
        <f t="shared" si="74"/>
        <v>0</v>
      </c>
      <c r="HR20" s="409">
        <f t="shared" si="74"/>
        <v>0</v>
      </c>
      <c r="HS20" s="409">
        <f t="shared" si="74"/>
        <v>0</v>
      </c>
      <c r="HT20" s="409">
        <f t="shared" si="74"/>
        <v>0</v>
      </c>
      <c r="HU20" s="409">
        <f t="shared" si="75"/>
        <v>0</v>
      </c>
      <c r="HV20" s="409">
        <f t="shared" si="75"/>
        <v>0</v>
      </c>
      <c r="HW20" s="409">
        <f t="shared" si="75"/>
        <v>0</v>
      </c>
      <c r="HX20" s="409">
        <f t="shared" si="75"/>
        <v>0</v>
      </c>
      <c r="HY20" s="409">
        <f t="shared" si="75"/>
        <v>0</v>
      </c>
      <c r="HZ20" s="409">
        <f t="shared" si="75"/>
        <v>0</v>
      </c>
      <c r="IA20" s="409">
        <f t="shared" si="75"/>
        <v>0</v>
      </c>
      <c r="IB20" s="409">
        <f t="shared" si="75"/>
        <v>0</v>
      </c>
      <c r="IC20" s="409">
        <f t="shared" si="75"/>
        <v>0</v>
      </c>
      <c r="ID20" s="409">
        <f t="shared" si="75"/>
        <v>0</v>
      </c>
      <c r="IE20" s="409">
        <f t="shared" si="76"/>
        <v>0</v>
      </c>
      <c r="IF20" s="409">
        <f t="shared" si="76"/>
        <v>0</v>
      </c>
      <c r="IG20" s="409">
        <f t="shared" si="76"/>
        <v>0</v>
      </c>
      <c r="IH20" s="409">
        <f t="shared" si="76"/>
        <v>0</v>
      </c>
      <c r="II20" s="409">
        <f t="shared" si="76"/>
        <v>0</v>
      </c>
      <c r="IJ20" s="409">
        <f t="shared" si="76"/>
        <v>0</v>
      </c>
      <c r="IK20" s="378">
        <f t="shared" si="54"/>
        <v>13</v>
      </c>
    </row>
    <row r="21" spans="1:245" hidden="1" x14ac:dyDescent="0.2">
      <c r="A21" s="380" t="str">
        <f t="shared" si="34"/>
        <v>x</v>
      </c>
      <c r="B21" s="712" t="str">
        <f>IF(ISERROR(INDEX('Legend(DX)'!$H$8:$H$9,14)),"",INDEX('Legend(DX)'!$H$8:$H$9,14))</f>
        <v/>
      </c>
      <c r="C21" s="712" t="e">
        <f>IF(INDEX('Legend(DX)'!$T$8:$T$9,14)=0,"See Legend",INDEX('Legend(DX)'!$T$8:$T$9,14))</f>
        <v>#REF!</v>
      </c>
      <c r="D21" s="712" t="e">
        <f>IF(INDEX('Legend(DX)'!$R$8:$R$9,(ROW(C21))-7)=0,IF(AND(INDEX('Legend(DX)'!$D$8:$D$9,(ROW(C21))-6)="CH",INDEX('Legend(DX)'!$F$8:$F$9,(ROW(C21))-6)="CASE - MANUAL"),INDEX('Legend(DX)'!$R$8:$R$9,(ROW(C21))-6),IF(INDEX('Legend(DX)'!$V$8:$V$9,(ROW(C21))-7)&gt;1, "(" &amp; INDEX('Legend(DX)'!$V$8:$V$9,(ROW(C21))-7) &amp; ") " &amp; INDEX('Legend(DX)'!$W$8:$W$9,(ROW(C21))-6),INDEX('Legend(DX)'!$W$8:$W$9,(ROW(C21))-7))),INDEX('Legend(DX)'!$R$8:$R$9,(ROW(C21))-7))</f>
        <v>#REF!</v>
      </c>
      <c r="E21" s="713" t="str" cm="1">
        <f t="array" ref="E21">IF(OR(ISNUMBER(SEARCH("Skid",C21)),ISNUMBER(SEARCH("Subcooler",C21)),ISNUMBER(SEARCH("Pump",C21)),ISNUMBER(SEARCH("PH",C21))),0,IF(ISERROR(INDEX('Legend(DX)'!$AA$8:$AA$9,ROW()-7)),"",INDEX('Legend(DX)'!$AA$8:$AA$9,ROW()-7)))</f>
        <v/>
      </c>
      <c r="F21" s="714"/>
      <c r="G21" s="714"/>
      <c r="H21" s="714"/>
      <c r="I21" s="714"/>
      <c r="J21" s="714"/>
      <c r="K21" s="890">
        <f t="shared" si="35"/>
        <v>0</v>
      </c>
      <c r="L21" s="718"/>
      <c r="M21" s="719"/>
      <c r="N21" s="972">
        <f t="shared" si="7"/>
        <v>-1</v>
      </c>
      <c r="O21" s="972">
        <f t="shared" si="36"/>
        <v>-1</v>
      </c>
      <c r="P21" s="972">
        <f t="shared" si="8"/>
        <v>-1</v>
      </c>
      <c r="Q21" s="972">
        <f t="shared" si="37"/>
        <v>-1</v>
      </c>
      <c r="R21" s="972">
        <f t="shared" si="9"/>
        <v>-1</v>
      </c>
      <c r="S21" s="972">
        <f t="shared" si="38"/>
        <v>-1</v>
      </c>
      <c r="T21" s="972">
        <f t="shared" si="10"/>
        <v>-1</v>
      </c>
      <c r="U21" s="972">
        <f t="shared" si="39"/>
        <v>-1</v>
      </c>
      <c r="V21" s="972">
        <f t="shared" si="11"/>
        <v>-1</v>
      </c>
      <c r="W21" s="972">
        <f t="shared" si="40"/>
        <v>-1</v>
      </c>
      <c r="X21" s="972">
        <f t="shared" si="12"/>
        <v>-1</v>
      </c>
      <c r="Y21" s="972">
        <f t="shared" si="41"/>
        <v>-1</v>
      </c>
      <c r="Z21" s="972">
        <f t="shared" si="42"/>
        <v>-1</v>
      </c>
      <c r="AA21" s="972">
        <f t="shared" si="43"/>
        <v>-1</v>
      </c>
      <c r="AB21" s="972">
        <f t="shared" si="44"/>
        <v>-1</v>
      </c>
      <c r="AC21" s="972">
        <f t="shared" si="45"/>
        <v>-1</v>
      </c>
      <c r="AD21" s="972">
        <f t="shared" si="46"/>
        <v>-1</v>
      </c>
      <c r="AE21" s="972">
        <f t="shared" si="47"/>
        <v>-1</v>
      </c>
      <c r="AF21" s="972">
        <f t="shared" si="48"/>
        <v>-1</v>
      </c>
      <c r="AG21" s="972">
        <f t="shared" si="49"/>
        <v>-1</v>
      </c>
      <c r="AH21" s="972">
        <f t="shared" si="50"/>
        <v>-1</v>
      </c>
      <c r="AI21" s="972">
        <f t="shared" si="51"/>
        <v>-1</v>
      </c>
      <c r="AJ21" s="972">
        <f t="shared" si="52"/>
        <v>-1</v>
      </c>
      <c r="AK21" s="381" t="str">
        <f>IF(ISERROR(INDEX('Legend(DX)'!$AI$8:$AI$9,IK21)),"",INDEX('Legend(DX)'!$AI$8:$AI$9,IK21))</f>
        <v/>
      </c>
      <c r="AL21" s="727" t="str">
        <f t="shared" si="55"/>
        <v/>
      </c>
      <c r="AM21" s="409">
        <f t="shared" si="56"/>
        <v>0</v>
      </c>
      <c r="AN21" s="409">
        <f t="shared" si="56"/>
        <v>0</v>
      </c>
      <c r="AO21" s="409">
        <f t="shared" si="56"/>
        <v>0</v>
      </c>
      <c r="AP21" s="409">
        <f t="shared" si="56"/>
        <v>0</v>
      </c>
      <c r="AQ21" s="409">
        <f t="shared" si="56"/>
        <v>0</v>
      </c>
      <c r="AR21" s="409">
        <f t="shared" si="56"/>
        <v>0</v>
      </c>
      <c r="AS21" s="409">
        <f t="shared" si="56"/>
        <v>0</v>
      </c>
      <c r="AT21" s="409">
        <f t="shared" si="56"/>
        <v>0</v>
      </c>
      <c r="AU21" s="409">
        <f t="shared" si="56"/>
        <v>0</v>
      </c>
      <c r="AV21" s="409">
        <f t="shared" si="56"/>
        <v>0</v>
      </c>
      <c r="AW21" s="409">
        <f t="shared" si="57"/>
        <v>0</v>
      </c>
      <c r="AX21" s="409">
        <f t="shared" si="57"/>
        <v>0</v>
      </c>
      <c r="AY21" s="409">
        <f t="shared" si="57"/>
        <v>0</v>
      </c>
      <c r="AZ21" s="409">
        <f t="shared" si="57"/>
        <v>0</v>
      </c>
      <c r="BA21" s="409">
        <f t="shared" si="57"/>
        <v>0</v>
      </c>
      <c r="BB21" s="409">
        <f t="shared" si="57"/>
        <v>0</v>
      </c>
      <c r="BC21" s="409">
        <f t="shared" si="57"/>
        <v>0</v>
      </c>
      <c r="BD21" s="409">
        <f t="shared" si="57"/>
        <v>0</v>
      </c>
      <c r="BE21" s="409">
        <f t="shared" si="57"/>
        <v>0</v>
      </c>
      <c r="BF21" s="409">
        <f t="shared" si="57"/>
        <v>0</v>
      </c>
      <c r="BG21" s="409">
        <f t="shared" si="58"/>
        <v>0</v>
      </c>
      <c r="BH21" s="409">
        <f t="shared" si="58"/>
        <v>0</v>
      </c>
      <c r="BI21" s="409">
        <f t="shared" si="58"/>
        <v>0</v>
      </c>
      <c r="BJ21" s="409">
        <f t="shared" si="58"/>
        <v>0</v>
      </c>
      <c r="BK21" s="409">
        <f t="shared" si="58"/>
        <v>0</v>
      </c>
      <c r="BL21" s="409">
        <f t="shared" si="58"/>
        <v>0</v>
      </c>
      <c r="BM21" s="409">
        <f t="shared" si="58"/>
        <v>0</v>
      </c>
      <c r="BN21" s="409">
        <f t="shared" si="58"/>
        <v>0</v>
      </c>
      <c r="BO21" s="409">
        <f t="shared" si="58"/>
        <v>0</v>
      </c>
      <c r="BP21" s="409">
        <f t="shared" si="58"/>
        <v>0</v>
      </c>
      <c r="BQ21" s="409">
        <f t="shared" si="59"/>
        <v>0</v>
      </c>
      <c r="BR21" s="409">
        <f t="shared" si="59"/>
        <v>0</v>
      </c>
      <c r="BS21" s="409">
        <f t="shared" si="59"/>
        <v>0</v>
      </c>
      <c r="BT21" s="409">
        <f t="shared" si="59"/>
        <v>0</v>
      </c>
      <c r="BU21" s="409">
        <f t="shared" si="59"/>
        <v>0</v>
      </c>
      <c r="BV21" s="409">
        <f t="shared" si="59"/>
        <v>0</v>
      </c>
      <c r="BW21" s="409">
        <f t="shared" si="59"/>
        <v>0</v>
      </c>
      <c r="BX21" s="409">
        <f t="shared" si="59"/>
        <v>0</v>
      </c>
      <c r="BY21" s="409">
        <f t="shared" si="59"/>
        <v>0</v>
      </c>
      <c r="BZ21" s="409">
        <f t="shared" si="59"/>
        <v>0</v>
      </c>
      <c r="CA21" s="409">
        <f t="shared" si="60"/>
        <v>0</v>
      </c>
      <c r="CB21" s="409">
        <f t="shared" si="60"/>
        <v>0</v>
      </c>
      <c r="CC21" s="409">
        <f t="shared" si="60"/>
        <v>0</v>
      </c>
      <c r="CD21" s="409">
        <f t="shared" si="60"/>
        <v>0</v>
      </c>
      <c r="CE21" s="409">
        <f t="shared" si="60"/>
        <v>0</v>
      </c>
      <c r="CF21" s="409">
        <f t="shared" si="60"/>
        <v>0</v>
      </c>
      <c r="CG21" s="409">
        <f t="shared" si="60"/>
        <v>0</v>
      </c>
      <c r="CH21" s="409">
        <f t="shared" si="60"/>
        <v>0</v>
      </c>
      <c r="CI21" s="409">
        <f t="shared" si="60"/>
        <v>0</v>
      </c>
      <c r="CJ21" s="409">
        <f t="shared" si="60"/>
        <v>0</v>
      </c>
      <c r="CK21" s="409">
        <f t="shared" si="61"/>
        <v>0</v>
      </c>
      <c r="CL21" s="409">
        <f t="shared" si="61"/>
        <v>0</v>
      </c>
      <c r="CM21" s="409">
        <f t="shared" si="61"/>
        <v>0</v>
      </c>
      <c r="CN21" s="409">
        <f t="shared" si="61"/>
        <v>0</v>
      </c>
      <c r="CO21" s="409">
        <f t="shared" si="61"/>
        <v>0</v>
      </c>
      <c r="CP21" s="409">
        <f t="shared" si="61"/>
        <v>0</v>
      </c>
      <c r="CQ21" s="409">
        <f t="shared" si="61"/>
        <v>0</v>
      </c>
      <c r="CR21" s="409">
        <f t="shared" si="61"/>
        <v>0</v>
      </c>
      <c r="CS21" s="409">
        <f t="shared" si="61"/>
        <v>0</v>
      </c>
      <c r="CT21" s="409">
        <f t="shared" si="61"/>
        <v>0</v>
      </c>
      <c r="CU21" s="409">
        <f t="shared" si="62"/>
        <v>0</v>
      </c>
      <c r="CV21" s="409">
        <f t="shared" si="62"/>
        <v>0</v>
      </c>
      <c r="CW21" s="409">
        <f t="shared" si="62"/>
        <v>0</v>
      </c>
      <c r="CX21" s="409">
        <f t="shared" si="62"/>
        <v>0</v>
      </c>
      <c r="CY21" s="409">
        <f t="shared" si="62"/>
        <v>0</v>
      </c>
      <c r="CZ21" s="409">
        <f t="shared" si="62"/>
        <v>0</v>
      </c>
      <c r="DA21" s="409">
        <f t="shared" si="62"/>
        <v>0</v>
      </c>
      <c r="DB21" s="409">
        <f t="shared" si="62"/>
        <v>0</v>
      </c>
      <c r="DC21" s="409">
        <f t="shared" si="62"/>
        <v>0</v>
      </c>
      <c r="DD21" s="409">
        <f t="shared" si="62"/>
        <v>0</v>
      </c>
      <c r="DE21" s="409">
        <f t="shared" si="63"/>
        <v>0</v>
      </c>
      <c r="DF21" s="409">
        <f t="shared" si="63"/>
        <v>0</v>
      </c>
      <c r="DG21" s="409">
        <f t="shared" si="63"/>
        <v>0</v>
      </c>
      <c r="DH21" s="409">
        <f t="shared" si="63"/>
        <v>0</v>
      </c>
      <c r="DI21" s="409">
        <f t="shared" si="63"/>
        <v>0</v>
      </c>
      <c r="DJ21" s="409">
        <f t="shared" si="63"/>
        <v>0</v>
      </c>
      <c r="DK21" s="409">
        <f t="shared" si="63"/>
        <v>0</v>
      </c>
      <c r="DL21" s="409">
        <f t="shared" si="63"/>
        <v>0</v>
      </c>
      <c r="DM21" s="409">
        <f t="shared" si="63"/>
        <v>0</v>
      </c>
      <c r="DN21" s="409">
        <f t="shared" si="63"/>
        <v>0</v>
      </c>
      <c r="DO21" s="409">
        <f t="shared" si="64"/>
        <v>0</v>
      </c>
      <c r="DP21" s="409">
        <f t="shared" si="64"/>
        <v>0</v>
      </c>
      <c r="DQ21" s="409">
        <f t="shared" si="64"/>
        <v>0</v>
      </c>
      <c r="DR21" s="409">
        <f t="shared" si="64"/>
        <v>0</v>
      </c>
      <c r="DS21" s="409">
        <f t="shared" si="64"/>
        <v>0</v>
      </c>
      <c r="DT21" s="409">
        <f t="shared" si="64"/>
        <v>0</v>
      </c>
      <c r="DU21" s="409">
        <f t="shared" si="64"/>
        <v>0</v>
      </c>
      <c r="DV21" s="409">
        <f t="shared" si="64"/>
        <v>0</v>
      </c>
      <c r="DW21" s="409">
        <f t="shared" si="64"/>
        <v>0</v>
      </c>
      <c r="DX21" s="409">
        <f t="shared" si="64"/>
        <v>0</v>
      </c>
      <c r="DY21" s="409">
        <f t="shared" si="65"/>
        <v>0</v>
      </c>
      <c r="DZ21" s="409">
        <f t="shared" si="65"/>
        <v>0</v>
      </c>
      <c r="EA21" s="409">
        <f t="shared" si="65"/>
        <v>0</v>
      </c>
      <c r="EB21" s="409">
        <f t="shared" si="65"/>
        <v>0</v>
      </c>
      <c r="EC21" s="409">
        <f t="shared" si="65"/>
        <v>0</v>
      </c>
      <c r="ED21" s="409">
        <f t="shared" si="65"/>
        <v>0</v>
      </c>
      <c r="EE21" s="409">
        <f t="shared" si="65"/>
        <v>0</v>
      </c>
      <c r="EF21" s="409">
        <f t="shared" si="65"/>
        <v>0</v>
      </c>
      <c r="EG21" s="409">
        <f t="shared" si="65"/>
        <v>0</v>
      </c>
      <c r="EH21" s="409">
        <f t="shared" si="65"/>
        <v>0</v>
      </c>
      <c r="EI21" s="409">
        <f t="shared" si="66"/>
        <v>0</v>
      </c>
      <c r="EJ21" s="409">
        <f t="shared" si="66"/>
        <v>0</v>
      </c>
      <c r="EK21" s="409">
        <f t="shared" si="66"/>
        <v>0</v>
      </c>
      <c r="EL21" s="409">
        <f t="shared" si="66"/>
        <v>0</v>
      </c>
      <c r="EM21" s="409">
        <f t="shared" si="66"/>
        <v>0</v>
      </c>
      <c r="EN21" s="409">
        <f t="shared" si="66"/>
        <v>0</v>
      </c>
      <c r="EO21" s="409">
        <f t="shared" si="66"/>
        <v>0</v>
      </c>
      <c r="EP21" s="409">
        <f t="shared" si="66"/>
        <v>0</v>
      </c>
      <c r="EQ21" s="409">
        <f t="shared" si="66"/>
        <v>0</v>
      </c>
      <c r="ER21" s="409">
        <f t="shared" si="66"/>
        <v>0</v>
      </c>
      <c r="ES21" s="409">
        <f t="shared" si="67"/>
        <v>0</v>
      </c>
      <c r="ET21" s="409">
        <f t="shared" si="67"/>
        <v>0</v>
      </c>
      <c r="EU21" s="409">
        <f t="shared" si="67"/>
        <v>0</v>
      </c>
      <c r="EV21" s="409">
        <f t="shared" si="67"/>
        <v>0</v>
      </c>
      <c r="EW21" s="409">
        <f t="shared" si="67"/>
        <v>0</v>
      </c>
      <c r="EX21" s="409">
        <f t="shared" si="67"/>
        <v>0</v>
      </c>
      <c r="EY21" s="409">
        <f t="shared" si="67"/>
        <v>0</v>
      </c>
      <c r="EZ21" s="409">
        <f t="shared" si="67"/>
        <v>0</v>
      </c>
      <c r="FA21" s="409">
        <f t="shared" si="67"/>
        <v>0</v>
      </c>
      <c r="FB21" s="409">
        <f t="shared" si="67"/>
        <v>0</v>
      </c>
      <c r="FC21" s="409">
        <f t="shared" si="68"/>
        <v>0</v>
      </c>
      <c r="FD21" s="409">
        <f t="shared" si="68"/>
        <v>0</v>
      </c>
      <c r="FE21" s="409">
        <f t="shared" si="68"/>
        <v>0</v>
      </c>
      <c r="FF21" s="409">
        <f t="shared" si="68"/>
        <v>0</v>
      </c>
      <c r="FG21" s="409">
        <f t="shared" si="68"/>
        <v>0</v>
      </c>
      <c r="FH21" s="409">
        <f t="shared" si="68"/>
        <v>0</v>
      </c>
      <c r="FI21" s="409">
        <f t="shared" si="68"/>
        <v>0</v>
      </c>
      <c r="FJ21" s="409">
        <f t="shared" si="68"/>
        <v>0</v>
      </c>
      <c r="FK21" s="409">
        <f t="shared" si="68"/>
        <v>0</v>
      </c>
      <c r="FL21" s="409">
        <f t="shared" si="68"/>
        <v>0</v>
      </c>
      <c r="FM21" s="409">
        <f t="shared" si="69"/>
        <v>0</v>
      </c>
      <c r="FN21" s="409">
        <f t="shared" si="69"/>
        <v>0</v>
      </c>
      <c r="FO21" s="409">
        <f t="shared" si="69"/>
        <v>0</v>
      </c>
      <c r="FP21" s="409">
        <f t="shared" si="69"/>
        <v>0</v>
      </c>
      <c r="FQ21" s="409">
        <f t="shared" si="69"/>
        <v>0</v>
      </c>
      <c r="FR21" s="409">
        <f t="shared" si="69"/>
        <v>0</v>
      </c>
      <c r="FS21" s="409">
        <f t="shared" si="69"/>
        <v>0</v>
      </c>
      <c r="FT21" s="409">
        <f t="shared" si="69"/>
        <v>0</v>
      </c>
      <c r="FU21" s="409">
        <f t="shared" si="69"/>
        <v>0</v>
      </c>
      <c r="FV21" s="409">
        <f t="shared" si="69"/>
        <v>0</v>
      </c>
      <c r="FW21" s="409">
        <f t="shared" si="70"/>
        <v>0</v>
      </c>
      <c r="FX21" s="409">
        <f t="shared" si="70"/>
        <v>0</v>
      </c>
      <c r="FY21" s="409">
        <f t="shared" si="70"/>
        <v>0</v>
      </c>
      <c r="FZ21" s="409">
        <f t="shared" si="70"/>
        <v>0</v>
      </c>
      <c r="GA21" s="409">
        <f t="shared" si="70"/>
        <v>0</v>
      </c>
      <c r="GB21" s="409">
        <f t="shared" si="70"/>
        <v>0</v>
      </c>
      <c r="GC21" s="409">
        <f t="shared" si="70"/>
        <v>0</v>
      </c>
      <c r="GD21" s="409">
        <f t="shared" si="70"/>
        <v>0</v>
      </c>
      <c r="GE21" s="409">
        <f t="shared" si="70"/>
        <v>0</v>
      </c>
      <c r="GF21" s="409">
        <f t="shared" si="70"/>
        <v>0</v>
      </c>
      <c r="GG21" s="409">
        <f t="shared" si="71"/>
        <v>0</v>
      </c>
      <c r="GH21" s="409">
        <f t="shared" si="71"/>
        <v>0</v>
      </c>
      <c r="GI21" s="409">
        <f t="shared" si="71"/>
        <v>0</v>
      </c>
      <c r="GJ21" s="409">
        <f t="shared" si="71"/>
        <v>0</v>
      </c>
      <c r="GK21" s="409">
        <f t="shared" si="71"/>
        <v>0</v>
      </c>
      <c r="GL21" s="409">
        <f t="shared" si="71"/>
        <v>0</v>
      </c>
      <c r="GM21" s="409">
        <f t="shared" si="71"/>
        <v>0</v>
      </c>
      <c r="GN21" s="409">
        <f t="shared" si="71"/>
        <v>0</v>
      </c>
      <c r="GO21" s="409">
        <f t="shared" si="71"/>
        <v>0</v>
      </c>
      <c r="GP21" s="409">
        <f t="shared" si="71"/>
        <v>0</v>
      </c>
      <c r="GQ21" s="409">
        <f t="shared" si="72"/>
        <v>0</v>
      </c>
      <c r="GR21" s="409">
        <f t="shared" si="72"/>
        <v>0</v>
      </c>
      <c r="GS21" s="409">
        <f t="shared" si="72"/>
        <v>0</v>
      </c>
      <c r="GT21" s="409">
        <f t="shared" si="72"/>
        <v>0</v>
      </c>
      <c r="GU21" s="409">
        <f t="shared" si="72"/>
        <v>0</v>
      </c>
      <c r="GV21" s="409">
        <f t="shared" si="72"/>
        <v>0</v>
      </c>
      <c r="GW21" s="409">
        <f t="shared" si="72"/>
        <v>0</v>
      </c>
      <c r="GX21" s="409">
        <f t="shared" si="72"/>
        <v>0</v>
      </c>
      <c r="GY21" s="409">
        <f t="shared" si="72"/>
        <v>0</v>
      </c>
      <c r="GZ21" s="409">
        <f t="shared" si="72"/>
        <v>0</v>
      </c>
      <c r="HA21" s="409">
        <f t="shared" si="73"/>
        <v>0</v>
      </c>
      <c r="HB21" s="409">
        <f t="shared" si="73"/>
        <v>0</v>
      </c>
      <c r="HC21" s="409">
        <f t="shared" si="73"/>
        <v>0</v>
      </c>
      <c r="HD21" s="409">
        <f t="shared" si="73"/>
        <v>0</v>
      </c>
      <c r="HE21" s="409">
        <f t="shared" si="73"/>
        <v>0</v>
      </c>
      <c r="HF21" s="409">
        <f t="shared" si="73"/>
        <v>0</v>
      </c>
      <c r="HG21" s="409">
        <f t="shared" si="73"/>
        <v>0</v>
      </c>
      <c r="HH21" s="409">
        <f t="shared" si="73"/>
        <v>0</v>
      </c>
      <c r="HI21" s="409">
        <f t="shared" si="73"/>
        <v>0</v>
      </c>
      <c r="HJ21" s="409">
        <f t="shared" si="73"/>
        <v>0</v>
      </c>
      <c r="HK21" s="409">
        <f t="shared" si="74"/>
        <v>0</v>
      </c>
      <c r="HL21" s="409">
        <f t="shared" si="74"/>
        <v>0</v>
      </c>
      <c r="HM21" s="409">
        <f t="shared" si="74"/>
        <v>0</v>
      </c>
      <c r="HN21" s="409">
        <f t="shared" si="74"/>
        <v>0</v>
      </c>
      <c r="HO21" s="409">
        <f t="shared" si="74"/>
        <v>0</v>
      </c>
      <c r="HP21" s="409">
        <f t="shared" si="74"/>
        <v>0</v>
      </c>
      <c r="HQ21" s="409">
        <f t="shared" si="74"/>
        <v>0</v>
      </c>
      <c r="HR21" s="409">
        <f t="shared" si="74"/>
        <v>0</v>
      </c>
      <c r="HS21" s="409">
        <f t="shared" si="74"/>
        <v>0</v>
      </c>
      <c r="HT21" s="409">
        <f t="shared" si="74"/>
        <v>0</v>
      </c>
      <c r="HU21" s="409">
        <f t="shared" si="75"/>
        <v>0</v>
      </c>
      <c r="HV21" s="409">
        <f t="shared" si="75"/>
        <v>0</v>
      </c>
      <c r="HW21" s="409">
        <f t="shared" si="75"/>
        <v>0</v>
      </c>
      <c r="HX21" s="409">
        <f t="shared" si="75"/>
        <v>0</v>
      </c>
      <c r="HY21" s="409">
        <f t="shared" si="75"/>
        <v>0</v>
      </c>
      <c r="HZ21" s="409">
        <f t="shared" si="75"/>
        <v>0</v>
      </c>
      <c r="IA21" s="409">
        <f t="shared" si="75"/>
        <v>0</v>
      </c>
      <c r="IB21" s="409">
        <f t="shared" si="75"/>
        <v>0</v>
      </c>
      <c r="IC21" s="409">
        <f t="shared" si="75"/>
        <v>0</v>
      </c>
      <c r="ID21" s="409">
        <f t="shared" si="75"/>
        <v>0</v>
      </c>
      <c r="IE21" s="409">
        <f t="shared" si="76"/>
        <v>0</v>
      </c>
      <c r="IF21" s="409">
        <f t="shared" si="76"/>
        <v>0</v>
      </c>
      <c r="IG21" s="409">
        <f t="shared" si="76"/>
        <v>0</v>
      </c>
      <c r="IH21" s="409">
        <f t="shared" si="76"/>
        <v>0</v>
      </c>
      <c r="II21" s="409">
        <f t="shared" si="76"/>
        <v>0</v>
      </c>
      <c r="IJ21" s="409">
        <f t="shared" si="76"/>
        <v>0</v>
      </c>
      <c r="IK21" s="378">
        <f t="shared" si="54"/>
        <v>14</v>
      </c>
    </row>
    <row r="22" spans="1:245" hidden="1" x14ac:dyDescent="0.2">
      <c r="A22" s="380" t="str">
        <f t="shared" si="34"/>
        <v>x</v>
      </c>
      <c r="B22" s="712" t="str">
        <f>IF(ISERROR(INDEX('Legend(DX)'!$H$8:$H$9,15)),"",INDEX('Legend(DX)'!$H$8:$H$9,15))</f>
        <v/>
      </c>
      <c r="C22" s="712" t="e">
        <f>IF(INDEX('Legend(DX)'!$T$8:$T$9,15)=0,"See Legend",INDEX('Legend(DX)'!$T$8:$T$9,15))</f>
        <v>#REF!</v>
      </c>
      <c r="D22" s="712" t="e">
        <f>IF(INDEX('Legend(DX)'!$R$8:$R$9,(ROW(C22))-7)=0,IF(AND(INDEX('Legend(DX)'!$D$8:$D$9,(ROW(C22))-6)="CH",INDEX('Legend(DX)'!$F$8:$F$9,(ROW(C22))-6)="CASE - MANUAL"),INDEX('Legend(DX)'!$R$8:$R$9,(ROW(C22))-6),IF(INDEX('Legend(DX)'!$V$8:$V$9,(ROW(C22))-7)&gt;1, "(" &amp; INDEX('Legend(DX)'!$V$8:$V$9,(ROW(C22))-7) &amp; ") " &amp; INDEX('Legend(DX)'!$W$8:$W$9,(ROW(C22))-6),INDEX('Legend(DX)'!$W$8:$W$9,(ROW(C22))-7))),INDEX('Legend(DX)'!$R$8:$R$9,(ROW(C22))-7))</f>
        <v>#REF!</v>
      </c>
      <c r="E22" s="713" t="str" cm="1">
        <f t="array" ref="E22">IF(OR(ISNUMBER(SEARCH("Skid",C22)),ISNUMBER(SEARCH("Subcooler",C22)),ISNUMBER(SEARCH("Pump",C22)),ISNUMBER(SEARCH("PH",C22))),0,IF(ISERROR(INDEX('Legend(DX)'!$AA$8:$AA$9,ROW()-7)),"",INDEX('Legend(DX)'!$AA$8:$AA$9,ROW()-7)))</f>
        <v/>
      </c>
      <c r="F22" s="714"/>
      <c r="G22" s="714"/>
      <c r="H22" s="714"/>
      <c r="I22" s="714"/>
      <c r="J22" s="714"/>
      <c r="K22" s="890">
        <f t="shared" si="35"/>
        <v>0</v>
      </c>
      <c r="L22" s="718"/>
      <c r="M22" s="719"/>
      <c r="N22" s="972">
        <f t="shared" si="7"/>
        <v>-1</v>
      </c>
      <c r="O22" s="972">
        <f t="shared" si="36"/>
        <v>-1</v>
      </c>
      <c r="P22" s="972">
        <f t="shared" si="8"/>
        <v>-1</v>
      </c>
      <c r="Q22" s="972">
        <f t="shared" si="37"/>
        <v>-1</v>
      </c>
      <c r="R22" s="972">
        <f t="shared" si="9"/>
        <v>-1</v>
      </c>
      <c r="S22" s="972">
        <f t="shared" si="38"/>
        <v>-1</v>
      </c>
      <c r="T22" s="972">
        <f t="shared" si="10"/>
        <v>-1</v>
      </c>
      <c r="U22" s="972">
        <f t="shared" si="39"/>
        <v>-1</v>
      </c>
      <c r="V22" s="972">
        <f t="shared" si="11"/>
        <v>-1</v>
      </c>
      <c r="W22" s="972">
        <f t="shared" si="40"/>
        <v>-1</v>
      </c>
      <c r="X22" s="972">
        <f t="shared" si="12"/>
        <v>-1</v>
      </c>
      <c r="Y22" s="972">
        <f t="shared" si="41"/>
        <v>-1</v>
      </c>
      <c r="Z22" s="972">
        <f t="shared" si="42"/>
        <v>-1</v>
      </c>
      <c r="AA22" s="972">
        <f t="shared" si="43"/>
        <v>-1</v>
      </c>
      <c r="AB22" s="972">
        <f t="shared" si="44"/>
        <v>-1</v>
      </c>
      <c r="AC22" s="972">
        <f t="shared" si="45"/>
        <v>-1</v>
      </c>
      <c r="AD22" s="972">
        <f t="shared" si="46"/>
        <v>-1</v>
      </c>
      <c r="AE22" s="972">
        <f t="shared" si="47"/>
        <v>-1</v>
      </c>
      <c r="AF22" s="972">
        <f t="shared" si="48"/>
        <v>-1</v>
      </c>
      <c r="AG22" s="972">
        <f t="shared" si="49"/>
        <v>-1</v>
      </c>
      <c r="AH22" s="972">
        <f t="shared" si="50"/>
        <v>-1</v>
      </c>
      <c r="AI22" s="972">
        <f t="shared" si="51"/>
        <v>-1</v>
      </c>
      <c r="AJ22" s="972">
        <f t="shared" si="52"/>
        <v>-1</v>
      </c>
      <c r="AK22" s="381" t="str">
        <f>IF(ISERROR(INDEX('Legend(DX)'!$AI$8:$AI$9,IK22)),"",INDEX('Legend(DX)'!$AI$8:$AI$9,IK22))</f>
        <v/>
      </c>
      <c r="AL22" s="727" t="str">
        <f t="shared" si="55"/>
        <v/>
      </c>
      <c r="AM22" s="409">
        <f t="shared" si="56"/>
        <v>0</v>
      </c>
      <c r="AN22" s="409">
        <f t="shared" si="56"/>
        <v>0</v>
      </c>
      <c r="AO22" s="409">
        <f t="shared" si="56"/>
        <v>0</v>
      </c>
      <c r="AP22" s="409">
        <f t="shared" si="56"/>
        <v>0</v>
      </c>
      <c r="AQ22" s="409">
        <f t="shared" si="56"/>
        <v>0</v>
      </c>
      <c r="AR22" s="409">
        <f t="shared" si="56"/>
        <v>0</v>
      </c>
      <c r="AS22" s="409">
        <f t="shared" si="56"/>
        <v>0</v>
      </c>
      <c r="AT22" s="409">
        <f t="shared" si="56"/>
        <v>0</v>
      </c>
      <c r="AU22" s="409">
        <f t="shared" si="56"/>
        <v>0</v>
      </c>
      <c r="AV22" s="409">
        <f t="shared" si="56"/>
        <v>0</v>
      </c>
      <c r="AW22" s="409">
        <f t="shared" si="57"/>
        <v>0</v>
      </c>
      <c r="AX22" s="409">
        <f t="shared" si="57"/>
        <v>0</v>
      </c>
      <c r="AY22" s="409">
        <f t="shared" si="57"/>
        <v>0</v>
      </c>
      <c r="AZ22" s="409">
        <f t="shared" si="57"/>
        <v>0</v>
      </c>
      <c r="BA22" s="409">
        <f t="shared" si="57"/>
        <v>0</v>
      </c>
      <c r="BB22" s="409">
        <f t="shared" si="57"/>
        <v>0</v>
      </c>
      <c r="BC22" s="409">
        <f t="shared" si="57"/>
        <v>0</v>
      </c>
      <c r="BD22" s="409">
        <f t="shared" si="57"/>
        <v>0</v>
      </c>
      <c r="BE22" s="409">
        <f t="shared" si="57"/>
        <v>0</v>
      </c>
      <c r="BF22" s="409">
        <f t="shared" si="57"/>
        <v>0</v>
      </c>
      <c r="BG22" s="409">
        <f t="shared" si="58"/>
        <v>0</v>
      </c>
      <c r="BH22" s="409">
        <f t="shared" si="58"/>
        <v>0</v>
      </c>
      <c r="BI22" s="409">
        <f t="shared" si="58"/>
        <v>0</v>
      </c>
      <c r="BJ22" s="409">
        <f t="shared" si="58"/>
        <v>0</v>
      </c>
      <c r="BK22" s="409">
        <f t="shared" si="58"/>
        <v>0</v>
      </c>
      <c r="BL22" s="409">
        <f t="shared" si="58"/>
        <v>0</v>
      </c>
      <c r="BM22" s="409">
        <f t="shared" si="58"/>
        <v>0</v>
      </c>
      <c r="BN22" s="409">
        <f t="shared" si="58"/>
        <v>0</v>
      </c>
      <c r="BO22" s="409">
        <f t="shared" si="58"/>
        <v>0</v>
      </c>
      <c r="BP22" s="409">
        <f t="shared" si="58"/>
        <v>0</v>
      </c>
      <c r="BQ22" s="409">
        <f t="shared" si="59"/>
        <v>0</v>
      </c>
      <c r="BR22" s="409">
        <f t="shared" si="59"/>
        <v>0</v>
      </c>
      <c r="BS22" s="409">
        <f t="shared" si="59"/>
        <v>0</v>
      </c>
      <c r="BT22" s="409">
        <f t="shared" si="59"/>
        <v>0</v>
      </c>
      <c r="BU22" s="409">
        <f t="shared" si="59"/>
        <v>0</v>
      </c>
      <c r="BV22" s="409">
        <f t="shared" si="59"/>
        <v>0</v>
      </c>
      <c r="BW22" s="409">
        <f t="shared" si="59"/>
        <v>0</v>
      </c>
      <c r="BX22" s="409">
        <f t="shared" si="59"/>
        <v>0</v>
      </c>
      <c r="BY22" s="409">
        <f t="shared" si="59"/>
        <v>0</v>
      </c>
      <c r="BZ22" s="409">
        <f t="shared" si="59"/>
        <v>0</v>
      </c>
      <c r="CA22" s="409">
        <f t="shared" si="60"/>
        <v>0</v>
      </c>
      <c r="CB22" s="409">
        <f t="shared" si="60"/>
        <v>0</v>
      </c>
      <c r="CC22" s="409">
        <f t="shared" si="60"/>
        <v>0</v>
      </c>
      <c r="CD22" s="409">
        <f t="shared" si="60"/>
        <v>0</v>
      </c>
      <c r="CE22" s="409">
        <f t="shared" si="60"/>
        <v>0</v>
      </c>
      <c r="CF22" s="409">
        <f t="shared" si="60"/>
        <v>0</v>
      </c>
      <c r="CG22" s="409">
        <f t="shared" si="60"/>
        <v>0</v>
      </c>
      <c r="CH22" s="409">
        <f t="shared" si="60"/>
        <v>0</v>
      </c>
      <c r="CI22" s="409">
        <f t="shared" si="60"/>
        <v>0</v>
      </c>
      <c r="CJ22" s="409">
        <f t="shared" si="60"/>
        <v>0</v>
      </c>
      <c r="CK22" s="409">
        <f t="shared" si="61"/>
        <v>0</v>
      </c>
      <c r="CL22" s="409">
        <f t="shared" si="61"/>
        <v>0</v>
      </c>
      <c r="CM22" s="409">
        <f t="shared" si="61"/>
        <v>0</v>
      </c>
      <c r="CN22" s="409">
        <f t="shared" si="61"/>
        <v>0</v>
      </c>
      <c r="CO22" s="409">
        <f t="shared" si="61"/>
        <v>0</v>
      </c>
      <c r="CP22" s="409">
        <f t="shared" si="61"/>
        <v>0</v>
      </c>
      <c r="CQ22" s="409">
        <f t="shared" si="61"/>
        <v>0</v>
      </c>
      <c r="CR22" s="409">
        <f t="shared" si="61"/>
        <v>0</v>
      </c>
      <c r="CS22" s="409">
        <f t="shared" si="61"/>
        <v>0</v>
      </c>
      <c r="CT22" s="409">
        <f t="shared" si="61"/>
        <v>0</v>
      </c>
      <c r="CU22" s="409">
        <f t="shared" si="62"/>
        <v>0</v>
      </c>
      <c r="CV22" s="409">
        <f t="shared" si="62"/>
        <v>0</v>
      </c>
      <c r="CW22" s="409">
        <f t="shared" si="62"/>
        <v>0</v>
      </c>
      <c r="CX22" s="409">
        <f t="shared" si="62"/>
        <v>0</v>
      </c>
      <c r="CY22" s="409">
        <f t="shared" si="62"/>
        <v>0</v>
      </c>
      <c r="CZ22" s="409">
        <f t="shared" si="62"/>
        <v>0</v>
      </c>
      <c r="DA22" s="409">
        <f t="shared" si="62"/>
        <v>0</v>
      </c>
      <c r="DB22" s="409">
        <f t="shared" si="62"/>
        <v>0</v>
      </c>
      <c r="DC22" s="409">
        <f t="shared" si="62"/>
        <v>0</v>
      </c>
      <c r="DD22" s="409">
        <f t="shared" si="62"/>
        <v>0</v>
      </c>
      <c r="DE22" s="409">
        <f t="shared" si="63"/>
        <v>0</v>
      </c>
      <c r="DF22" s="409">
        <f t="shared" si="63"/>
        <v>0</v>
      </c>
      <c r="DG22" s="409">
        <f t="shared" si="63"/>
        <v>0</v>
      </c>
      <c r="DH22" s="409">
        <f t="shared" si="63"/>
        <v>0</v>
      </c>
      <c r="DI22" s="409">
        <f t="shared" si="63"/>
        <v>0</v>
      </c>
      <c r="DJ22" s="409">
        <f t="shared" si="63"/>
        <v>0</v>
      </c>
      <c r="DK22" s="409">
        <f t="shared" si="63"/>
        <v>0</v>
      </c>
      <c r="DL22" s="409">
        <f t="shared" si="63"/>
        <v>0</v>
      </c>
      <c r="DM22" s="409">
        <f t="shared" si="63"/>
        <v>0</v>
      </c>
      <c r="DN22" s="409">
        <f t="shared" si="63"/>
        <v>0</v>
      </c>
      <c r="DO22" s="409">
        <f t="shared" si="64"/>
        <v>0</v>
      </c>
      <c r="DP22" s="409">
        <f t="shared" si="64"/>
        <v>0</v>
      </c>
      <c r="DQ22" s="409">
        <f t="shared" si="64"/>
        <v>0</v>
      </c>
      <c r="DR22" s="409">
        <f t="shared" si="64"/>
        <v>0</v>
      </c>
      <c r="DS22" s="409">
        <f t="shared" si="64"/>
        <v>0</v>
      </c>
      <c r="DT22" s="409">
        <f t="shared" si="64"/>
        <v>0</v>
      </c>
      <c r="DU22" s="409">
        <f t="shared" si="64"/>
        <v>0</v>
      </c>
      <c r="DV22" s="409">
        <f t="shared" si="64"/>
        <v>0</v>
      </c>
      <c r="DW22" s="409">
        <f t="shared" si="64"/>
        <v>0</v>
      </c>
      <c r="DX22" s="409">
        <f t="shared" si="64"/>
        <v>0</v>
      </c>
      <c r="DY22" s="409">
        <f t="shared" si="65"/>
        <v>0</v>
      </c>
      <c r="DZ22" s="409">
        <f t="shared" si="65"/>
        <v>0</v>
      </c>
      <c r="EA22" s="409">
        <f t="shared" si="65"/>
        <v>0</v>
      </c>
      <c r="EB22" s="409">
        <f t="shared" si="65"/>
        <v>0</v>
      </c>
      <c r="EC22" s="409">
        <f t="shared" si="65"/>
        <v>0</v>
      </c>
      <c r="ED22" s="409">
        <f t="shared" si="65"/>
        <v>0</v>
      </c>
      <c r="EE22" s="409">
        <f t="shared" si="65"/>
        <v>0</v>
      </c>
      <c r="EF22" s="409">
        <f t="shared" si="65"/>
        <v>0</v>
      </c>
      <c r="EG22" s="409">
        <f t="shared" si="65"/>
        <v>0</v>
      </c>
      <c r="EH22" s="409">
        <f t="shared" si="65"/>
        <v>0</v>
      </c>
      <c r="EI22" s="409">
        <f t="shared" si="66"/>
        <v>0</v>
      </c>
      <c r="EJ22" s="409">
        <f t="shared" si="66"/>
        <v>0</v>
      </c>
      <c r="EK22" s="409">
        <f t="shared" si="66"/>
        <v>0</v>
      </c>
      <c r="EL22" s="409">
        <f t="shared" si="66"/>
        <v>0</v>
      </c>
      <c r="EM22" s="409">
        <f t="shared" si="66"/>
        <v>0</v>
      </c>
      <c r="EN22" s="409">
        <f t="shared" si="66"/>
        <v>0</v>
      </c>
      <c r="EO22" s="409">
        <f t="shared" si="66"/>
        <v>0</v>
      </c>
      <c r="EP22" s="409">
        <f t="shared" si="66"/>
        <v>0</v>
      </c>
      <c r="EQ22" s="409">
        <f t="shared" si="66"/>
        <v>0</v>
      </c>
      <c r="ER22" s="409">
        <f t="shared" si="66"/>
        <v>0</v>
      </c>
      <c r="ES22" s="409">
        <f t="shared" si="67"/>
        <v>0</v>
      </c>
      <c r="ET22" s="409">
        <f t="shared" si="67"/>
        <v>0</v>
      </c>
      <c r="EU22" s="409">
        <f t="shared" si="67"/>
        <v>0</v>
      </c>
      <c r="EV22" s="409">
        <f t="shared" si="67"/>
        <v>0</v>
      </c>
      <c r="EW22" s="409">
        <f t="shared" si="67"/>
        <v>0</v>
      </c>
      <c r="EX22" s="409">
        <f t="shared" si="67"/>
        <v>0</v>
      </c>
      <c r="EY22" s="409">
        <f t="shared" si="67"/>
        <v>0</v>
      </c>
      <c r="EZ22" s="409">
        <f t="shared" si="67"/>
        <v>0</v>
      </c>
      <c r="FA22" s="409">
        <f t="shared" si="67"/>
        <v>0</v>
      </c>
      <c r="FB22" s="409">
        <f t="shared" si="67"/>
        <v>0</v>
      </c>
      <c r="FC22" s="409">
        <f t="shared" si="68"/>
        <v>0</v>
      </c>
      <c r="FD22" s="409">
        <f t="shared" si="68"/>
        <v>0</v>
      </c>
      <c r="FE22" s="409">
        <f t="shared" si="68"/>
        <v>0</v>
      </c>
      <c r="FF22" s="409">
        <f t="shared" si="68"/>
        <v>0</v>
      </c>
      <c r="FG22" s="409">
        <f t="shared" si="68"/>
        <v>0</v>
      </c>
      <c r="FH22" s="409">
        <f t="shared" si="68"/>
        <v>0</v>
      </c>
      <c r="FI22" s="409">
        <f t="shared" si="68"/>
        <v>0</v>
      </c>
      <c r="FJ22" s="409">
        <f t="shared" si="68"/>
        <v>0</v>
      </c>
      <c r="FK22" s="409">
        <f t="shared" si="68"/>
        <v>0</v>
      </c>
      <c r="FL22" s="409">
        <f t="shared" si="68"/>
        <v>0</v>
      </c>
      <c r="FM22" s="409">
        <f t="shared" si="69"/>
        <v>0</v>
      </c>
      <c r="FN22" s="409">
        <f t="shared" si="69"/>
        <v>0</v>
      </c>
      <c r="FO22" s="409">
        <f t="shared" si="69"/>
        <v>0</v>
      </c>
      <c r="FP22" s="409">
        <f t="shared" si="69"/>
        <v>0</v>
      </c>
      <c r="FQ22" s="409">
        <f t="shared" si="69"/>
        <v>0</v>
      </c>
      <c r="FR22" s="409">
        <f t="shared" si="69"/>
        <v>0</v>
      </c>
      <c r="FS22" s="409">
        <f t="shared" si="69"/>
        <v>0</v>
      </c>
      <c r="FT22" s="409">
        <f t="shared" si="69"/>
        <v>0</v>
      </c>
      <c r="FU22" s="409">
        <f t="shared" si="69"/>
        <v>0</v>
      </c>
      <c r="FV22" s="409">
        <f t="shared" si="69"/>
        <v>0</v>
      </c>
      <c r="FW22" s="409">
        <f t="shared" si="70"/>
        <v>0</v>
      </c>
      <c r="FX22" s="409">
        <f t="shared" si="70"/>
        <v>0</v>
      </c>
      <c r="FY22" s="409">
        <f t="shared" si="70"/>
        <v>0</v>
      </c>
      <c r="FZ22" s="409">
        <f t="shared" si="70"/>
        <v>0</v>
      </c>
      <c r="GA22" s="409">
        <f t="shared" si="70"/>
        <v>0</v>
      </c>
      <c r="GB22" s="409">
        <f t="shared" si="70"/>
        <v>0</v>
      </c>
      <c r="GC22" s="409">
        <f t="shared" si="70"/>
        <v>0</v>
      </c>
      <c r="GD22" s="409">
        <f t="shared" si="70"/>
        <v>0</v>
      </c>
      <c r="GE22" s="409">
        <f t="shared" si="70"/>
        <v>0</v>
      </c>
      <c r="GF22" s="409">
        <f t="shared" si="70"/>
        <v>0</v>
      </c>
      <c r="GG22" s="409">
        <f t="shared" si="71"/>
        <v>0</v>
      </c>
      <c r="GH22" s="409">
        <f t="shared" si="71"/>
        <v>0</v>
      </c>
      <c r="GI22" s="409">
        <f t="shared" si="71"/>
        <v>0</v>
      </c>
      <c r="GJ22" s="409">
        <f t="shared" si="71"/>
        <v>0</v>
      </c>
      <c r="GK22" s="409">
        <f t="shared" si="71"/>
        <v>0</v>
      </c>
      <c r="GL22" s="409">
        <f t="shared" si="71"/>
        <v>0</v>
      </c>
      <c r="GM22" s="409">
        <f t="shared" si="71"/>
        <v>0</v>
      </c>
      <c r="GN22" s="409">
        <f t="shared" si="71"/>
        <v>0</v>
      </c>
      <c r="GO22" s="409">
        <f t="shared" si="71"/>
        <v>0</v>
      </c>
      <c r="GP22" s="409">
        <f t="shared" si="71"/>
        <v>0</v>
      </c>
      <c r="GQ22" s="409">
        <f t="shared" si="72"/>
        <v>0</v>
      </c>
      <c r="GR22" s="409">
        <f t="shared" si="72"/>
        <v>0</v>
      </c>
      <c r="GS22" s="409">
        <f t="shared" si="72"/>
        <v>0</v>
      </c>
      <c r="GT22" s="409">
        <f t="shared" si="72"/>
        <v>0</v>
      </c>
      <c r="GU22" s="409">
        <f t="shared" si="72"/>
        <v>0</v>
      </c>
      <c r="GV22" s="409">
        <f t="shared" si="72"/>
        <v>0</v>
      </c>
      <c r="GW22" s="409">
        <f t="shared" si="72"/>
        <v>0</v>
      </c>
      <c r="GX22" s="409">
        <f t="shared" si="72"/>
        <v>0</v>
      </c>
      <c r="GY22" s="409">
        <f t="shared" si="72"/>
        <v>0</v>
      </c>
      <c r="GZ22" s="409">
        <f t="shared" si="72"/>
        <v>0</v>
      </c>
      <c r="HA22" s="409">
        <f t="shared" si="73"/>
        <v>0</v>
      </c>
      <c r="HB22" s="409">
        <f t="shared" si="73"/>
        <v>0</v>
      </c>
      <c r="HC22" s="409">
        <f t="shared" si="73"/>
        <v>0</v>
      </c>
      <c r="HD22" s="409">
        <f t="shared" si="73"/>
        <v>0</v>
      </c>
      <c r="HE22" s="409">
        <f t="shared" si="73"/>
        <v>0</v>
      </c>
      <c r="HF22" s="409">
        <f t="shared" si="73"/>
        <v>0</v>
      </c>
      <c r="HG22" s="409">
        <f t="shared" si="73"/>
        <v>0</v>
      </c>
      <c r="HH22" s="409">
        <f t="shared" si="73"/>
        <v>0</v>
      </c>
      <c r="HI22" s="409">
        <f t="shared" si="73"/>
        <v>0</v>
      </c>
      <c r="HJ22" s="409">
        <f t="shared" si="73"/>
        <v>0</v>
      </c>
      <c r="HK22" s="409">
        <f t="shared" si="74"/>
        <v>0</v>
      </c>
      <c r="HL22" s="409">
        <f t="shared" si="74"/>
        <v>0</v>
      </c>
      <c r="HM22" s="409">
        <f t="shared" si="74"/>
        <v>0</v>
      </c>
      <c r="HN22" s="409">
        <f t="shared" si="74"/>
        <v>0</v>
      </c>
      <c r="HO22" s="409">
        <f t="shared" si="74"/>
        <v>0</v>
      </c>
      <c r="HP22" s="409">
        <f t="shared" si="74"/>
        <v>0</v>
      </c>
      <c r="HQ22" s="409">
        <f t="shared" si="74"/>
        <v>0</v>
      </c>
      <c r="HR22" s="409">
        <f t="shared" si="74"/>
        <v>0</v>
      </c>
      <c r="HS22" s="409">
        <f t="shared" si="74"/>
        <v>0</v>
      </c>
      <c r="HT22" s="409">
        <f t="shared" si="74"/>
        <v>0</v>
      </c>
      <c r="HU22" s="409">
        <f t="shared" si="75"/>
        <v>0</v>
      </c>
      <c r="HV22" s="409">
        <f t="shared" si="75"/>
        <v>0</v>
      </c>
      <c r="HW22" s="409">
        <f t="shared" si="75"/>
        <v>0</v>
      </c>
      <c r="HX22" s="409">
        <f t="shared" si="75"/>
        <v>0</v>
      </c>
      <c r="HY22" s="409">
        <f t="shared" si="75"/>
        <v>0</v>
      </c>
      <c r="HZ22" s="409">
        <f t="shared" si="75"/>
        <v>0</v>
      </c>
      <c r="IA22" s="409">
        <f t="shared" si="75"/>
        <v>0</v>
      </c>
      <c r="IB22" s="409">
        <f t="shared" si="75"/>
        <v>0</v>
      </c>
      <c r="IC22" s="409">
        <f t="shared" si="75"/>
        <v>0</v>
      </c>
      <c r="ID22" s="409">
        <f t="shared" si="75"/>
        <v>0</v>
      </c>
      <c r="IE22" s="409">
        <f t="shared" si="76"/>
        <v>0</v>
      </c>
      <c r="IF22" s="409">
        <f t="shared" si="76"/>
        <v>0</v>
      </c>
      <c r="IG22" s="409">
        <f t="shared" si="76"/>
        <v>0</v>
      </c>
      <c r="IH22" s="409">
        <f t="shared" si="76"/>
        <v>0</v>
      </c>
      <c r="II22" s="409">
        <f t="shared" si="76"/>
        <v>0</v>
      </c>
      <c r="IJ22" s="409">
        <f t="shared" si="76"/>
        <v>0</v>
      </c>
      <c r="IK22" s="378">
        <f t="shared" si="54"/>
        <v>15</v>
      </c>
    </row>
    <row r="23" spans="1:245" hidden="1" x14ac:dyDescent="0.2">
      <c r="A23" s="380" t="str">
        <f t="shared" si="34"/>
        <v>x</v>
      </c>
      <c r="B23" s="712" t="str">
        <f>IF(ISERROR(INDEX('Legend(DX)'!$H$8:$H$9,16)),"",INDEX('Legend(DX)'!$H$8:$H$9,16))</f>
        <v/>
      </c>
      <c r="C23" s="712" t="e">
        <f>IF(INDEX('Legend(DX)'!$T$8:$T$9,16)=0,"See Legend",INDEX('Legend(DX)'!$T$8:$T$9,16))</f>
        <v>#REF!</v>
      </c>
      <c r="D23" s="712" t="e">
        <f>IF(INDEX('Legend(DX)'!$R$8:$R$9,(ROW(C23))-7)=0,IF(AND(INDEX('Legend(DX)'!$D$8:$D$9,(ROW(C23))-6)="CH",INDEX('Legend(DX)'!$F$8:$F$9,(ROW(C23))-6)="CASE - MANUAL"),INDEX('Legend(DX)'!$R$8:$R$9,(ROW(C23))-6),IF(INDEX('Legend(DX)'!$V$8:$V$9,(ROW(C23))-7)&gt;1, "(" &amp; INDEX('Legend(DX)'!$V$8:$V$9,(ROW(C23))-7) &amp; ") " &amp; INDEX('Legend(DX)'!$W$8:$W$9,(ROW(C23))-6),INDEX('Legend(DX)'!$W$8:$W$9,(ROW(C23))-7))),INDEX('Legend(DX)'!$R$8:$R$9,(ROW(C23))-7))</f>
        <v>#REF!</v>
      </c>
      <c r="E23" s="713" t="str" cm="1">
        <f t="array" ref="E23">IF(OR(ISNUMBER(SEARCH("Skid",C23)),ISNUMBER(SEARCH("Subcooler",C23)),ISNUMBER(SEARCH("Pump",C23)),ISNUMBER(SEARCH("PH",C23))),0,IF(ISERROR(INDEX('Legend(DX)'!$AA$8:$AA$9,ROW()-7)),"",INDEX('Legend(DX)'!$AA$8:$AA$9,ROW()-7)))</f>
        <v/>
      </c>
      <c r="F23" s="714"/>
      <c r="G23" s="714"/>
      <c r="H23" s="714"/>
      <c r="I23" s="714"/>
      <c r="J23" s="714"/>
      <c r="K23" s="890">
        <f t="shared" si="35"/>
        <v>0</v>
      </c>
      <c r="L23" s="718"/>
      <c r="M23" s="719"/>
      <c r="N23" s="972">
        <f t="shared" si="7"/>
        <v>-1</v>
      </c>
      <c r="O23" s="972">
        <f t="shared" si="36"/>
        <v>-1</v>
      </c>
      <c r="P23" s="972">
        <f t="shared" si="8"/>
        <v>-1</v>
      </c>
      <c r="Q23" s="972">
        <f t="shared" si="37"/>
        <v>-1</v>
      </c>
      <c r="R23" s="972">
        <f t="shared" si="9"/>
        <v>-1</v>
      </c>
      <c r="S23" s="972">
        <f t="shared" si="38"/>
        <v>-1</v>
      </c>
      <c r="T23" s="972">
        <f t="shared" si="10"/>
        <v>-1</v>
      </c>
      <c r="U23" s="972">
        <f t="shared" si="39"/>
        <v>-1</v>
      </c>
      <c r="V23" s="972">
        <f t="shared" si="11"/>
        <v>-1</v>
      </c>
      <c r="W23" s="972">
        <f t="shared" si="40"/>
        <v>-1</v>
      </c>
      <c r="X23" s="972">
        <f t="shared" si="12"/>
        <v>-1</v>
      </c>
      <c r="Y23" s="972">
        <f t="shared" si="41"/>
        <v>-1</v>
      </c>
      <c r="Z23" s="972">
        <f t="shared" si="42"/>
        <v>-1</v>
      </c>
      <c r="AA23" s="972">
        <f t="shared" si="43"/>
        <v>-1</v>
      </c>
      <c r="AB23" s="972">
        <f t="shared" si="44"/>
        <v>-1</v>
      </c>
      <c r="AC23" s="972">
        <f t="shared" si="45"/>
        <v>-1</v>
      </c>
      <c r="AD23" s="972">
        <f t="shared" si="46"/>
        <v>-1</v>
      </c>
      <c r="AE23" s="972">
        <f t="shared" si="47"/>
        <v>-1</v>
      </c>
      <c r="AF23" s="972">
        <f t="shared" si="48"/>
        <v>-1</v>
      </c>
      <c r="AG23" s="972">
        <f t="shared" si="49"/>
        <v>-1</v>
      </c>
      <c r="AH23" s="972">
        <f t="shared" si="50"/>
        <v>-1</v>
      </c>
      <c r="AI23" s="972">
        <f t="shared" si="51"/>
        <v>-1</v>
      </c>
      <c r="AJ23" s="972">
        <f t="shared" si="52"/>
        <v>-1</v>
      </c>
      <c r="AK23" s="381" t="str">
        <f>IF(ISERROR(INDEX('Legend(DX)'!$AI$8:$AI$9,IK23)),"",INDEX('Legend(DX)'!$AI$8:$AI$9,IK23))</f>
        <v/>
      </c>
      <c r="AL23" s="727" t="str">
        <f t="shared" si="55"/>
        <v/>
      </c>
      <c r="AM23" s="409">
        <f t="shared" si="56"/>
        <v>0</v>
      </c>
      <c r="AN23" s="409">
        <f t="shared" si="56"/>
        <v>0</v>
      </c>
      <c r="AO23" s="409">
        <f t="shared" si="56"/>
        <v>0</v>
      </c>
      <c r="AP23" s="409">
        <f t="shared" si="56"/>
        <v>0</v>
      </c>
      <c r="AQ23" s="409">
        <f t="shared" si="56"/>
        <v>0</v>
      </c>
      <c r="AR23" s="409">
        <f t="shared" si="56"/>
        <v>0</v>
      </c>
      <c r="AS23" s="409">
        <f t="shared" si="56"/>
        <v>0</v>
      </c>
      <c r="AT23" s="409">
        <f t="shared" si="56"/>
        <v>0</v>
      </c>
      <c r="AU23" s="409">
        <f t="shared" si="56"/>
        <v>0</v>
      </c>
      <c r="AV23" s="409">
        <f t="shared" si="56"/>
        <v>0</v>
      </c>
      <c r="AW23" s="409">
        <f t="shared" si="57"/>
        <v>0</v>
      </c>
      <c r="AX23" s="409">
        <f t="shared" si="57"/>
        <v>0</v>
      </c>
      <c r="AY23" s="409">
        <f t="shared" si="57"/>
        <v>0</v>
      </c>
      <c r="AZ23" s="409">
        <f t="shared" si="57"/>
        <v>0</v>
      </c>
      <c r="BA23" s="409">
        <f t="shared" si="57"/>
        <v>0</v>
      </c>
      <c r="BB23" s="409">
        <f t="shared" si="57"/>
        <v>0</v>
      </c>
      <c r="BC23" s="409">
        <f t="shared" si="57"/>
        <v>0</v>
      </c>
      <c r="BD23" s="409">
        <f t="shared" si="57"/>
        <v>0</v>
      </c>
      <c r="BE23" s="409">
        <f t="shared" si="57"/>
        <v>0</v>
      </c>
      <c r="BF23" s="409">
        <f t="shared" si="57"/>
        <v>0</v>
      </c>
      <c r="BG23" s="409">
        <f t="shared" si="58"/>
        <v>0</v>
      </c>
      <c r="BH23" s="409">
        <f t="shared" si="58"/>
        <v>0</v>
      </c>
      <c r="BI23" s="409">
        <f t="shared" si="58"/>
        <v>0</v>
      </c>
      <c r="BJ23" s="409">
        <f t="shared" si="58"/>
        <v>0</v>
      </c>
      <c r="BK23" s="409">
        <f t="shared" si="58"/>
        <v>0</v>
      </c>
      <c r="BL23" s="409">
        <f t="shared" si="58"/>
        <v>0</v>
      </c>
      <c r="BM23" s="409">
        <f t="shared" si="58"/>
        <v>0</v>
      </c>
      <c r="BN23" s="409">
        <f t="shared" si="58"/>
        <v>0</v>
      </c>
      <c r="BO23" s="409">
        <f t="shared" si="58"/>
        <v>0</v>
      </c>
      <c r="BP23" s="409">
        <f t="shared" si="58"/>
        <v>0</v>
      </c>
      <c r="BQ23" s="409">
        <f t="shared" si="59"/>
        <v>0</v>
      </c>
      <c r="BR23" s="409">
        <f t="shared" si="59"/>
        <v>0</v>
      </c>
      <c r="BS23" s="409">
        <f t="shared" si="59"/>
        <v>0</v>
      </c>
      <c r="BT23" s="409">
        <f t="shared" si="59"/>
        <v>0</v>
      </c>
      <c r="BU23" s="409">
        <f t="shared" si="59"/>
        <v>0</v>
      </c>
      <c r="BV23" s="409">
        <f t="shared" si="59"/>
        <v>0</v>
      </c>
      <c r="BW23" s="409">
        <f t="shared" si="59"/>
        <v>0</v>
      </c>
      <c r="BX23" s="409">
        <f t="shared" si="59"/>
        <v>0</v>
      </c>
      <c r="BY23" s="409">
        <f t="shared" si="59"/>
        <v>0</v>
      </c>
      <c r="BZ23" s="409">
        <f t="shared" si="59"/>
        <v>0</v>
      </c>
      <c r="CA23" s="409">
        <f t="shared" si="60"/>
        <v>0</v>
      </c>
      <c r="CB23" s="409">
        <f t="shared" si="60"/>
        <v>0</v>
      </c>
      <c r="CC23" s="409">
        <f t="shared" si="60"/>
        <v>0</v>
      </c>
      <c r="CD23" s="409">
        <f t="shared" si="60"/>
        <v>0</v>
      </c>
      <c r="CE23" s="409">
        <f t="shared" si="60"/>
        <v>0</v>
      </c>
      <c r="CF23" s="409">
        <f t="shared" si="60"/>
        <v>0</v>
      </c>
      <c r="CG23" s="409">
        <f t="shared" si="60"/>
        <v>0</v>
      </c>
      <c r="CH23" s="409">
        <f t="shared" si="60"/>
        <v>0</v>
      </c>
      <c r="CI23" s="409">
        <f t="shared" si="60"/>
        <v>0</v>
      </c>
      <c r="CJ23" s="409">
        <f t="shared" si="60"/>
        <v>0</v>
      </c>
      <c r="CK23" s="409">
        <f t="shared" si="61"/>
        <v>0</v>
      </c>
      <c r="CL23" s="409">
        <f t="shared" si="61"/>
        <v>0</v>
      </c>
      <c r="CM23" s="409">
        <f t="shared" si="61"/>
        <v>0</v>
      </c>
      <c r="CN23" s="409">
        <f t="shared" si="61"/>
        <v>0</v>
      </c>
      <c r="CO23" s="409">
        <f t="shared" si="61"/>
        <v>0</v>
      </c>
      <c r="CP23" s="409">
        <f t="shared" si="61"/>
        <v>0</v>
      </c>
      <c r="CQ23" s="409">
        <f t="shared" si="61"/>
        <v>0</v>
      </c>
      <c r="CR23" s="409">
        <f t="shared" si="61"/>
        <v>0</v>
      </c>
      <c r="CS23" s="409">
        <f t="shared" si="61"/>
        <v>0</v>
      </c>
      <c r="CT23" s="409">
        <f t="shared" si="61"/>
        <v>0</v>
      </c>
      <c r="CU23" s="409">
        <f t="shared" si="62"/>
        <v>0</v>
      </c>
      <c r="CV23" s="409">
        <f t="shared" si="62"/>
        <v>0</v>
      </c>
      <c r="CW23" s="409">
        <f t="shared" si="62"/>
        <v>0</v>
      </c>
      <c r="CX23" s="409">
        <f t="shared" si="62"/>
        <v>0</v>
      </c>
      <c r="CY23" s="409">
        <f t="shared" si="62"/>
        <v>0</v>
      </c>
      <c r="CZ23" s="409">
        <f t="shared" si="62"/>
        <v>0</v>
      </c>
      <c r="DA23" s="409">
        <f t="shared" si="62"/>
        <v>0</v>
      </c>
      <c r="DB23" s="409">
        <f t="shared" si="62"/>
        <v>0</v>
      </c>
      <c r="DC23" s="409">
        <f t="shared" si="62"/>
        <v>0</v>
      </c>
      <c r="DD23" s="409">
        <f t="shared" si="62"/>
        <v>0</v>
      </c>
      <c r="DE23" s="409">
        <f t="shared" si="63"/>
        <v>0</v>
      </c>
      <c r="DF23" s="409">
        <f t="shared" si="63"/>
        <v>0</v>
      </c>
      <c r="DG23" s="409">
        <f t="shared" si="63"/>
        <v>0</v>
      </c>
      <c r="DH23" s="409">
        <f t="shared" si="63"/>
        <v>0</v>
      </c>
      <c r="DI23" s="409">
        <f t="shared" si="63"/>
        <v>0</v>
      </c>
      <c r="DJ23" s="409">
        <f t="shared" si="63"/>
        <v>0</v>
      </c>
      <c r="DK23" s="409">
        <f t="shared" si="63"/>
        <v>0</v>
      </c>
      <c r="DL23" s="409">
        <f t="shared" si="63"/>
        <v>0</v>
      </c>
      <c r="DM23" s="409">
        <f t="shared" si="63"/>
        <v>0</v>
      </c>
      <c r="DN23" s="409">
        <f t="shared" si="63"/>
        <v>0</v>
      </c>
      <c r="DO23" s="409">
        <f t="shared" si="64"/>
        <v>0</v>
      </c>
      <c r="DP23" s="409">
        <f t="shared" si="64"/>
        <v>0</v>
      </c>
      <c r="DQ23" s="409">
        <f t="shared" si="64"/>
        <v>0</v>
      </c>
      <c r="DR23" s="409">
        <f t="shared" si="64"/>
        <v>0</v>
      </c>
      <c r="DS23" s="409">
        <f t="shared" si="64"/>
        <v>0</v>
      </c>
      <c r="DT23" s="409">
        <f t="shared" si="64"/>
        <v>0</v>
      </c>
      <c r="DU23" s="409">
        <f t="shared" si="64"/>
        <v>0</v>
      </c>
      <c r="DV23" s="409">
        <f t="shared" si="64"/>
        <v>0</v>
      </c>
      <c r="DW23" s="409">
        <f t="shared" si="64"/>
        <v>0</v>
      </c>
      <c r="DX23" s="409">
        <f t="shared" si="64"/>
        <v>0</v>
      </c>
      <c r="DY23" s="409">
        <f t="shared" si="65"/>
        <v>0</v>
      </c>
      <c r="DZ23" s="409">
        <f t="shared" si="65"/>
        <v>0</v>
      </c>
      <c r="EA23" s="409">
        <f t="shared" si="65"/>
        <v>0</v>
      </c>
      <c r="EB23" s="409">
        <f t="shared" si="65"/>
        <v>0</v>
      </c>
      <c r="EC23" s="409">
        <f t="shared" si="65"/>
        <v>0</v>
      </c>
      <c r="ED23" s="409">
        <f t="shared" si="65"/>
        <v>0</v>
      </c>
      <c r="EE23" s="409">
        <f t="shared" si="65"/>
        <v>0</v>
      </c>
      <c r="EF23" s="409">
        <f t="shared" si="65"/>
        <v>0</v>
      </c>
      <c r="EG23" s="409">
        <f t="shared" si="65"/>
        <v>0</v>
      </c>
      <c r="EH23" s="409">
        <f t="shared" si="65"/>
        <v>0</v>
      </c>
      <c r="EI23" s="409">
        <f t="shared" si="66"/>
        <v>0</v>
      </c>
      <c r="EJ23" s="409">
        <f t="shared" si="66"/>
        <v>0</v>
      </c>
      <c r="EK23" s="409">
        <f t="shared" si="66"/>
        <v>0</v>
      </c>
      <c r="EL23" s="409">
        <f t="shared" si="66"/>
        <v>0</v>
      </c>
      <c r="EM23" s="409">
        <f t="shared" si="66"/>
        <v>0</v>
      </c>
      <c r="EN23" s="409">
        <f t="shared" si="66"/>
        <v>0</v>
      </c>
      <c r="EO23" s="409">
        <f t="shared" si="66"/>
        <v>0</v>
      </c>
      <c r="EP23" s="409">
        <f t="shared" si="66"/>
        <v>0</v>
      </c>
      <c r="EQ23" s="409">
        <f t="shared" si="66"/>
        <v>0</v>
      </c>
      <c r="ER23" s="409">
        <f t="shared" si="66"/>
        <v>0</v>
      </c>
      <c r="ES23" s="409">
        <f t="shared" si="67"/>
        <v>0</v>
      </c>
      <c r="ET23" s="409">
        <f t="shared" si="67"/>
        <v>0</v>
      </c>
      <c r="EU23" s="409">
        <f t="shared" si="67"/>
        <v>0</v>
      </c>
      <c r="EV23" s="409">
        <f t="shared" si="67"/>
        <v>0</v>
      </c>
      <c r="EW23" s="409">
        <f t="shared" si="67"/>
        <v>0</v>
      </c>
      <c r="EX23" s="409">
        <f t="shared" si="67"/>
        <v>0</v>
      </c>
      <c r="EY23" s="409">
        <f t="shared" si="67"/>
        <v>0</v>
      </c>
      <c r="EZ23" s="409">
        <f t="shared" si="67"/>
        <v>0</v>
      </c>
      <c r="FA23" s="409">
        <f t="shared" si="67"/>
        <v>0</v>
      </c>
      <c r="FB23" s="409">
        <f t="shared" si="67"/>
        <v>0</v>
      </c>
      <c r="FC23" s="409">
        <f t="shared" si="68"/>
        <v>0</v>
      </c>
      <c r="FD23" s="409">
        <f t="shared" si="68"/>
        <v>0</v>
      </c>
      <c r="FE23" s="409">
        <f t="shared" si="68"/>
        <v>0</v>
      </c>
      <c r="FF23" s="409">
        <f t="shared" si="68"/>
        <v>0</v>
      </c>
      <c r="FG23" s="409">
        <f t="shared" si="68"/>
        <v>0</v>
      </c>
      <c r="FH23" s="409">
        <f t="shared" si="68"/>
        <v>0</v>
      </c>
      <c r="FI23" s="409">
        <f t="shared" si="68"/>
        <v>0</v>
      </c>
      <c r="FJ23" s="409">
        <f t="shared" si="68"/>
        <v>0</v>
      </c>
      <c r="FK23" s="409">
        <f t="shared" si="68"/>
        <v>0</v>
      </c>
      <c r="FL23" s="409">
        <f t="shared" si="68"/>
        <v>0</v>
      </c>
      <c r="FM23" s="409">
        <f t="shared" si="69"/>
        <v>0</v>
      </c>
      <c r="FN23" s="409">
        <f t="shared" si="69"/>
        <v>0</v>
      </c>
      <c r="FO23" s="409">
        <f t="shared" si="69"/>
        <v>0</v>
      </c>
      <c r="FP23" s="409">
        <f t="shared" si="69"/>
        <v>0</v>
      </c>
      <c r="FQ23" s="409">
        <f t="shared" si="69"/>
        <v>0</v>
      </c>
      <c r="FR23" s="409">
        <f t="shared" si="69"/>
        <v>0</v>
      </c>
      <c r="FS23" s="409">
        <f t="shared" si="69"/>
        <v>0</v>
      </c>
      <c r="FT23" s="409">
        <f t="shared" si="69"/>
        <v>0</v>
      </c>
      <c r="FU23" s="409">
        <f t="shared" si="69"/>
        <v>0</v>
      </c>
      <c r="FV23" s="409">
        <f t="shared" si="69"/>
        <v>0</v>
      </c>
      <c r="FW23" s="409">
        <f t="shared" si="70"/>
        <v>0</v>
      </c>
      <c r="FX23" s="409">
        <f t="shared" si="70"/>
        <v>0</v>
      </c>
      <c r="FY23" s="409">
        <f t="shared" si="70"/>
        <v>0</v>
      </c>
      <c r="FZ23" s="409">
        <f t="shared" si="70"/>
        <v>0</v>
      </c>
      <c r="GA23" s="409">
        <f t="shared" si="70"/>
        <v>0</v>
      </c>
      <c r="GB23" s="409">
        <f t="shared" si="70"/>
        <v>0</v>
      </c>
      <c r="GC23" s="409">
        <f t="shared" si="70"/>
        <v>0</v>
      </c>
      <c r="GD23" s="409">
        <f t="shared" si="70"/>
        <v>0</v>
      </c>
      <c r="GE23" s="409">
        <f t="shared" si="70"/>
        <v>0</v>
      </c>
      <c r="GF23" s="409">
        <f t="shared" si="70"/>
        <v>0</v>
      </c>
      <c r="GG23" s="409">
        <f t="shared" si="71"/>
        <v>0</v>
      </c>
      <c r="GH23" s="409">
        <f t="shared" si="71"/>
        <v>0</v>
      </c>
      <c r="GI23" s="409">
        <f t="shared" si="71"/>
        <v>0</v>
      </c>
      <c r="GJ23" s="409">
        <f t="shared" si="71"/>
        <v>0</v>
      </c>
      <c r="GK23" s="409">
        <f t="shared" si="71"/>
        <v>0</v>
      </c>
      <c r="GL23" s="409">
        <f t="shared" si="71"/>
        <v>0</v>
      </c>
      <c r="GM23" s="409">
        <f t="shared" si="71"/>
        <v>0</v>
      </c>
      <c r="GN23" s="409">
        <f t="shared" si="71"/>
        <v>0</v>
      </c>
      <c r="GO23" s="409">
        <f t="shared" si="71"/>
        <v>0</v>
      </c>
      <c r="GP23" s="409">
        <f t="shared" si="71"/>
        <v>0</v>
      </c>
      <c r="GQ23" s="409">
        <f t="shared" si="72"/>
        <v>0</v>
      </c>
      <c r="GR23" s="409">
        <f t="shared" si="72"/>
        <v>0</v>
      </c>
      <c r="GS23" s="409">
        <f t="shared" si="72"/>
        <v>0</v>
      </c>
      <c r="GT23" s="409">
        <f t="shared" si="72"/>
        <v>0</v>
      </c>
      <c r="GU23" s="409">
        <f t="shared" si="72"/>
        <v>0</v>
      </c>
      <c r="GV23" s="409">
        <f t="shared" si="72"/>
        <v>0</v>
      </c>
      <c r="GW23" s="409">
        <f t="shared" si="72"/>
        <v>0</v>
      </c>
      <c r="GX23" s="409">
        <f t="shared" si="72"/>
        <v>0</v>
      </c>
      <c r="GY23" s="409">
        <f t="shared" si="72"/>
        <v>0</v>
      </c>
      <c r="GZ23" s="409">
        <f t="shared" si="72"/>
        <v>0</v>
      </c>
      <c r="HA23" s="409">
        <f t="shared" si="73"/>
        <v>0</v>
      </c>
      <c r="HB23" s="409">
        <f t="shared" si="73"/>
        <v>0</v>
      </c>
      <c r="HC23" s="409">
        <f t="shared" si="73"/>
        <v>0</v>
      </c>
      <c r="HD23" s="409">
        <f t="shared" si="73"/>
        <v>0</v>
      </c>
      <c r="HE23" s="409">
        <f t="shared" si="73"/>
        <v>0</v>
      </c>
      <c r="HF23" s="409">
        <f t="shared" si="73"/>
        <v>0</v>
      </c>
      <c r="HG23" s="409">
        <f t="shared" si="73"/>
        <v>0</v>
      </c>
      <c r="HH23" s="409">
        <f t="shared" si="73"/>
        <v>0</v>
      </c>
      <c r="HI23" s="409">
        <f t="shared" si="73"/>
        <v>0</v>
      </c>
      <c r="HJ23" s="409">
        <f t="shared" si="73"/>
        <v>0</v>
      </c>
      <c r="HK23" s="409">
        <f t="shared" si="74"/>
        <v>0</v>
      </c>
      <c r="HL23" s="409">
        <f t="shared" si="74"/>
        <v>0</v>
      </c>
      <c r="HM23" s="409">
        <f t="shared" si="74"/>
        <v>0</v>
      </c>
      <c r="HN23" s="409">
        <f t="shared" si="74"/>
        <v>0</v>
      </c>
      <c r="HO23" s="409">
        <f t="shared" si="74"/>
        <v>0</v>
      </c>
      <c r="HP23" s="409">
        <f t="shared" si="74"/>
        <v>0</v>
      </c>
      <c r="HQ23" s="409">
        <f t="shared" si="74"/>
        <v>0</v>
      </c>
      <c r="HR23" s="409">
        <f t="shared" si="74"/>
        <v>0</v>
      </c>
      <c r="HS23" s="409">
        <f t="shared" si="74"/>
        <v>0</v>
      </c>
      <c r="HT23" s="409">
        <f t="shared" si="74"/>
        <v>0</v>
      </c>
      <c r="HU23" s="409">
        <f t="shared" si="75"/>
        <v>0</v>
      </c>
      <c r="HV23" s="409">
        <f t="shared" si="75"/>
        <v>0</v>
      </c>
      <c r="HW23" s="409">
        <f t="shared" si="75"/>
        <v>0</v>
      </c>
      <c r="HX23" s="409">
        <f t="shared" si="75"/>
        <v>0</v>
      </c>
      <c r="HY23" s="409">
        <f t="shared" si="75"/>
        <v>0</v>
      </c>
      <c r="HZ23" s="409">
        <f t="shared" si="75"/>
        <v>0</v>
      </c>
      <c r="IA23" s="409">
        <f t="shared" si="75"/>
        <v>0</v>
      </c>
      <c r="IB23" s="409">
        <f t="shared" si="75"/>
        <v>0</v>
      </c>
      <c r="IC23" s="409">
        <f t="shared" si="75"/>
        <v>0</v>
      </c>
      <c r="ID23" s="409">
        <f t="shared" si="75"/>
        <v>0</v>
      </c>
      <c r="IE23" s="409">
        <f t="shared" si="76"/>
        <v>0</v>
      </c>
      <c r="IF23" s="409">
        <f t="shared" si="76"/>
        <v>0</v>
      </c>
      <c r="IG23" s="409">
        <f t="shared" si="76"/>
        <v>0</v>
      </c>
      <c r="IH23" s="409">
        <f t="shared" si="76"/>
        <v>0</v>
      </c>
      <c r="II23" s="409">
        <f t="shared" si="76"/>
        <v>0</v>
      </c>
      <c r="IJ23" s="409">
        <f t="shared" si="76"/>
        <v>0</v>
      </c>
      <c r="IK23" s="378">
        <f t="shared" si="54"/>
        <v>16</v>
      </c>
    </row>
    <row r="24" spans="1:245" hidden="1" x14ac:dyDescent="0.2">
      <c r="A24" s="380" t="str">
        <f t="shared" si="34"/>
        <v>x</v>
      </c>
      <c r="B24" s="712" t="str">
        <f>IF(ISERROR(INDEX('Legend(DX)'!$H$8:$H$9,17)),"",INDEX('Legend(DX)'!$H$8:$H$9,17))</f>
        <v/>
      </c>
      <c r="C24" s="712" t="e">
        <f>IF(INDEX('Legend(DX)'!$T$8:$T$9,17)=0,"See Legend",INDEX('Legend(DX)'!$T$8:$T$9,17))</f>
        <v>#REF!</v>
      </c>
      <c r="D24" s="712" t="e">
        <f>IF(INDEX('Legend(DX)'!$R$8:$R$9,(ROW(C24))-7)=0,IF(AND(INDEX('Legend(DX)'!$D$8:$D$9,(ROW(C24))-6)="CH",INDEX('Legend(DX)'!$F$8:$F$9,(ROW(C24))-6)="CASE - MANUAL"),INDEX('Legend(DX)'!$R$8:$R$9,(ROW(C24))-6),IF(INDEX('Legend(DX)'!$V$8:$V$9,(ROW(C24))-7)&gt;1, "(" &amp; INDEX('Legend(DX)'!$V$8:$V$9,(ROW(C24))-7) &amp; ") " &amp; INDEX('Legend(DX)'!$W$8:$W$9,(ROW(C24))-6),INDEX('Legend(DX)'!$W$8:$W$9,(ROW(C24))-7))),INDEX('Legend(DX)'!$R$8:$R$9,(ROW(C24))-7))</f>
        <v>#REF!</v>
      </c>
      <c r="E24" s="713" t="str" cm="1">
        <f t="array" ref="E24">IF(OR(ISNUMBER(SEARCH("Skid",C24)),ISNUMBER(SEARCH("Subcooler",C24)),ISNUMBER(SEARCH("Pump",C24)),ISNUMBER(SEARCH("PH",C24))),0,IF(ISERROR(INDEX('Legend(DX)'!$AA$8:$AA$9,ROW()-7)),"",INDEX('Legend(DX)'!$AA$8:$AA$9,ROW()-7)))</f>
        <v/>
      </c>
      <c r="F24" s="714"/>
      <c r="G24" s="714"/>
      <c r="H24" s="714"/>
      <c r="I24" s="714"/>
      <c r="J24" s="714"/>
      <c r="K24" s="890">
        <f t="shared" si="35"/>
        <v>0</v>
      </c>
      <c r="L24" s="718"/>
      <c r="M24" s="719"/>
      <c r="N24" s="972">
        <f t="shared" si="7"/>
        <v>-1</v>
      </c>
      <c r="O24" s="972">
        <f t="shared" si="36"/>
        <v>-1</v>
      </c>
      <c r="P24" s="972">
        <f t="shared" si="8"/>
        <v>-1</v>
      </c>
      <c r="Q24" s="972">
        <f t="shared" si="37"/>
        <v>-1</v>
      </c>
      <c r="R24" s="972">
        <f t="shared" si="9"/>
        <v>-1</v>
      </c>
      <c r="S24" s="972">
        <f t="shared" si="38"/>
        <v>-1</v>
      </c>
      <c r="T24" s="972">
        <f t="shared" si="10"/>
        <v>-1</v>
      </c>
      <c r="U24" s="972">
        <f t="shared" si="39"/>
        <v>-1</v>
      </c>
      <c r="V24" s="972">
        <f t="shared" si="11"/>
        <v>-1</v>
      </c>
      <c r="W24" s="972">
        <f t="shared" si="40"/>
        <v>-1</v>
      </c>
      <c r="X24" s="972">
        <f t="shared" si="12"/>
        <v>-1</v>
      </c>
      <c r="Y24" s="972">
        <f t="shared" si="41"/>
        <v>-1</v>
      </c>
      <c r="Z24" s="972">
        <f t="shared" si="42"/>
        <v>-1</v>
      </c>
      <c r="AA24" s="972">
        <f t="shared" si="43"/>
        <v>-1</v>
      </c>
      <c r="AB24" s="972">
        <f t="shared" si="44"/>
        <v>-1</v>
      </c>
      <c r="AC24" s="972">
        <f t="shared" si="45"/>
        <v>-1</v>
      </c>
      <c r="AD24" s="972">
        <f t="shared" si="46"/>
        <v>-1</v>
      </c>
      <c r="AE24" s="972">
        <f t="shared" si="47"/>
        <v>-1</v>
      </c>
      <c r="AF24" s="972">
        <f t="shared" si="48"/>
        <v>-1</v>
      </c>
      <c r="AG24" s="972">
        <f t="shared" si="49"/>
        <v>-1</v>
      </c>
      <c r="AH24" s="972">
        <f t="shared" si="50"/>
        <v>-1</v>
      </c>
      <c r="AI24" s="972">
        <f t="shared" si="51"/>
        <v>-1</v>
      </c>
      <c r="AJ24" s="972">
        <f t="shared" si="52"/>
        <v>-1</v>
      </c>
      <c r="AK24" s="381" t="str">
        <f>IF(ISERROR(INDEX('Legend(DX)'!$AI$8:$AI$9,IK24)),"",INDEX('Legend(DX)'!$AI$8:$AI$9,IK24))</f>
        <v/>
      </c>
      <c r="AL24" s="727" t="str">
        <f t="shared" si="55"/>
        <v/>
      </c>
      <c r="AM24" s="409">
        <f t="shared" si="56"/>
        <v>0</v>
      </c>
      <c r="AN24" s="409">
        <f t="shared" si="56"/>
        <v>0</v>
      </c>
      <c r="AO24" s="409">
        <f t="shared" si="56"/>
        <v>0</v>
      </c>
      <c r="AP24" s="409">
        <f t="shared" si="56"/>
        <v>0</v>
      </c>
      <c r="AQ24" s="409">
        <f t="shared" si="56"/>
        <v>0</v>
      </c>
      <c r="AR24" s="409">
        <f t="shared" si="56"/>
        <v>0</v>
      </c>
      <c r="AS24" s="409">
        <f t="shared" si="56"/>
        <v>0</v>
      </c>
      <c r="AT24" s="409">
        <f t="shared" si="56"/>
        <v>0</v>
      </c>
      <c r="AU24" s="409">
        <f t="shared" si="56"/>
        <v>0</v>
      </c>
      <c r="AV24" s="409">
        <f t="shared" si="56"/>
        <v>0</v>
      </c>
      <c r="AW24" s="409">
        <f t="shared" si="57"/>
        <v>0</v>
      </c>
      <c r="AX24" s="409">
        <f t="shared" si="57"/>
        <v>0</v>
      </c>
      <c r="AY24" s="409">
        <f t="shared" si="57"/>
        <v>0</v>
      </c>
      <c r="AZ24" s="409">
        <f t="shared" si="57"/>
        <v>0</v>
      </c>
      <c r="BA24" s="409">
        <f t="shared" si="57"/>
        <v>0</v>
      </c>
      <c r="BB24" s="409">
        <f t="shared" si="57"/>
        <v>0</v>
      </c>
      <c r="BC24" s="409">
        <f t="shared" si="57"/>
        <v>0</v>
      </c>
      <c r="BD24" s="409">
        <f t="shared" si="57"/>
        <v>0</v>
      </c>
      <c r="BE24" s="409">
        <f t="shared" si="57"/>
        <v>0</v>
      </c>
      <c r="BF24" s="409">
        <f t="shared" si="57"/>
        <v>0</v>
      </c>
      <c r="BG24" s="409">
        <f t="shared" si="58"/>
        <v>0</v>
      </c>
      <c r="BH24" s="409">
        <f t="shared" si="58"/>
        <v>0</v>
      </c>
      <c r="BI24" s="409">
        <f t="shared" si="58"/>
        <v>0</v>
      </c>
      <c r="BJ24" s="409">
        <f t="shared" si="58"/>
        <v>0</v>
      </c>
      <c r="BK24" s="409">
        <f t="shared" si="58"/>
        <v>0</v>
      </c>
      <c r="BL24" s="409">
        <f t="shared" si="58"/>
        <v>0</v>
      </c>
      <c r="BM24" s="409">
        <f t="shared" si="58"/>
        <v>0</v>
      </c>
      <c r="BN24" s="409">
        <f t="shared" si="58"/>
        <v>0</v>
      </c>
      <c r="BO24" s="409">
        <f t="shared" si="58"/>
        <v>0</v>
      </c>
      <c r="BP24" s="409">
        <f t="shared" si="58"/>
        <v>0</v>
      </c>
      <c r="BQ24" s="409">
        <f t="shared" si="59"/>
        <v>0</v>
      </c>
      <c r="BR24" s="409">
        <f t="shared" si="59"/>
        <v>0</v>
      </c>
      <c r="BS24" s="409">
        <f t="shared" si="59"/>
        <v>0</v>
      </c>
      <c r="BT24" s="409">
        <f t="shared" si="59"/>
        <v>0</v>
      </c>
      <c r="BU24" s="409">
        <f t="shared" si="59"/>
        <v>0</v>
      </c>
      <c r="BV24" s="409">
        <f t="shared" si="59"/>
        <v>0</v>
      </c>
      <c r="BW24" s="409">
        <f t="shared" si="59"/>
        <v>0</v>
      </c>
      <c r="BX24" s="409">
        <f t="shared" si="59"/>
        <v>0</v>
      </c>
      <c r="BY24" s="409">
        <f t="shared" si="59"/>
        <v>0</v>
      </c>
      <c r="BZ24" s="409">
        <f t="shared" si="59"/>
        <v>0</v>
      </c>
      <c r="CA24" s="409">
        <f t="shared" si="60"/>
        <v>0</v>
      </c>
      <c r="CB24" s="409">
        <f t="shared" si="60"/>
        <v>0</v>
      </c>
      <c r="CC24" s="409">
        <f t="shared" si="60"/>
        <v>0</v>
      </c>
      <c r="CD24" s="409">
        <f t="shared" si="60"/>
        <v>0</v>
      </c>
      <c r="CE24" s="409">
        <f t="shared" si="60"/>
        <v>0</v>
      </c>
      <c r="CF24" s="409">
        <f t="shared" si="60"/>
        <v>0</v>
      </c>
      <c r="CG24" s="409">
        <f t="shared" si="60"/>
        <v>0</v>
      </c>
      <c r="CH24" s="409">
        <f t="shared" si="60"/>
        <v>0</v>
      </c>
      <c r="CI24" s="409">
        <f t="shared" si="60"/>
        <v>0</v>
      </c>
      <c r="CJ24" s="409">
        <f t="shared" si="60"/>
        <v>0</v>
      </c>
      <c r="CK24" s="409">
        <f t="shared" si="61"/>
        <v>0</v>
      </c>
      <c r="CL24" s="409">
        <f t="shared" si="61"/>
        <v>0</v>
      </c>
      <c r="CM24" s="409">
        <f t="shared" si="61"/>
        <v>0</v>
      </c>
      <c r="CN24" s="409">
        <f t="shared" si="61"/>
        <v>0</v>
      </c>
      <c r="CO24" s="409">
        <f t="shared" si="61"/>
        <v>0</v>
      </c>
      <c r="CP24" s="409">
        <f t="shared" si="61"/>
        <v>0</v>
      </c>
      <c r="CQ24" s="409">
        <f t="shared" si="61"/>
        <v>0</v>
      </c>
      <c r="CR24" s="409">
        <f t="shared" si="61"/>
        <v>0</v>
      </c>
      <c r="CS24" s="409">
        <f t="shared" si="61"/>
        <v>0</v>
      </c>
      <c r="CT24" s="409">
        <f t="shared" si="61"/>
        <v>0</v>
      </c>
      <c r="CU24" s="409">
        <f t="shared" si="62"/>
        <v>0</v>
      </c>
      <c r="CV24" s="409">
        <f t="shared" si="62"/>
        <v>0</v>
      </c>
      <c r="CW24" s="409">
        <f t="shared" si="62"/>
        <v>0</v>
      </c>
      <c r="CX24" s="409">
        <f t="shared" si="62"/>
        <v>0</v>
      </c>
      <c r="CY24" s="409">
        <f t="shared" si="62"/>
        <v>0</v>
      </c>
      <c r="CZ24" s="409">
        <f t="shared" si="62"/>
        <v>0</v>
      </c>
      <c r="DA24" s="409">
        <f t="shared" si="62"/>
        <v>0</v>
      </c>
      <c r="DB24" s="409">
        <f t="shared" si="62"/>
        <v>0</v>
      </c>
      <c r="DC24" s="409">
        <f t="shared" si="62"/>
        <v>0</v>
      </c>
      <c r="DD24" s="409">
        <f t="shared" si="62"/>
        <v>0</v>
      </c>
      <c r="DE24" s="409">
        <f t="shared" si="63"/>
        <v>0</v>
      </c>
      <c r="DF24" s="409">
        <f t="shared" si="63"/>
        <v>0</v>
      </c>
      <c r="DG24" s="409">
        <f t="shared" si="63"/>
        <v>0</v>
      </c>
      <c r="DH24" s="409">
        <f t="shared" si="63"/>
        <v>0</v>
      </c>
      <c r="DI24" s="409">
        <f t="shared" si="63"/>
        <v>0</v>
      </c>
      <c r="DJ24" s="409">
        <f t="shared" si="63"/>
        <v>0</v>
      </c>
      <c r="DK24" s="409">
        <f t="shared" si="63"/>
        <v>0</v>
      </c>
      <c r="DL24" s="409">
        <f t="shared" si="63"/>
        <v>0</v>
      </c>
      <c r="DM24" s="409">
        <f t="shared" si="63"/>
        <v>0</v>
      </c>
      <c r="DN24" s="409">
        <f t="shared" si="63"/>
        <v>0</v>
      </c>
      <c r="DO24" s="409">
        <f t="shared" si="64"/>
        <v>0</v>
      </c>
      <c r="DP24" s="409">
        <f t="shared" si="64"/>
        <v>0</v>
      </c>
      <c r="DQ24" s="409">
        <f t="shared" si="64"/>
        <v>0</v>
      </c>
      <c r="DR24" s="409">
        <f t="shared" si="64"/>
        <v>0</v>
      </c>
      <c r="DS24" s="409">
        <f t="shared" si="64"/>
        <v>0</v>
      </c>
      <c r="DT24" s="409">
        <f t="shared" si="64"/>
        <v>0</v>
      </c>
      <c r="DU24" s="409">
        <f t="shared" si="64"/>
        <v>0</v>
      </c>
      <c r="DV24" s="409">
        <f t="shared" si="64"/>
        <v>0</v>
      </c>
      <c r="DW24" s="409">
        <f t="shared" si="64"/>
        <v>0</v>
      </c>
      <c r="DX24" s="409">
        <f t="shared" si="64"/>
        <v>0</v>
      </c>
      <c r="DY24" s="409">
        <f t="shared" si="65"/>
        <v>0</v>
      </c>
      <c r="DZ24" s="409">
        <f t="shared" si="65"/>
        <v>0</v>
      </c>
      <c r="EA24" s="409">
        <f t="shared" si="65"/>
        <v>0</v>
      </c>
      <c r="EB24" s="409">
        <f t="shared" si="65"/>
        <v>0</v>
      </c>
      <c r="EC24" s="409">
        <f t="shared" si="65"/>
        <v>0</v>
      </c>
      <c r="ED24" s="409">
        <f t="shared" si="65"/>
        <v>0</v>
      </c>
      <c r="EE24" s="409">
        <f t="shared" si="65"/>
        <v>0</v>
      </c>
      <c r="EF24" s="409">
        <f t="shared" si="65"/>
        <v>0</v>
      </c>
      <c r="EG24" s="409">
        <f t="shared" si="65"/>
        <v>0</v>
      </c>
      <c r="EH24" s="409">
        <f t="shared" si="65"/>
        <v>0</v>
      </c>
      <c r="EI24" s="409">
        <f t="shared" si="66"/>
        <v>0</v>
      </c>
      <c r="EJ24" s="409">
        <f t="shared" si="66"/>
        <v>0</v>
      </c>
      <c r="EK24" s="409">
        <f t="shared" si="66"/>
        <v>0</v>
      </c>
      <c r="EL24" s="409">
        <f t="shared" si="66"/>
        <v>0</v>
      </c>
      <c r="EM24" s="409">
        <f t="shared" si="66"/>
        <v>0</v>
      </c>
      <c r="EN24" s="409">
        <f t="shared" si="66"/>
        <v>0</v>
      </c>
      <c r="EO24" s="409">
        <f t="shared" si="66"/>
        <v>0</v>
      </c>
      <c r="EP24" s="409">
        <f t="shared" si="66"/>
        <v>0</v>
      </c>
      <c r="EQ24" s="409">
        <f t="shared" si="66"/>
        <v>0</v>
      </c>
      <c r="ER24" s="409">
        <f t="shared" si="66"/>
        <v>0</v>
      </c>
      <c r="ES24" s="409">
        <f t="shared" si="67"/>
        <v>0</v>
      </c>
      <c r="ET24" s="409">
        <f t="shared" si="67"/>
        <v>0</v>
      </c>
      <c r="EU24" s="409">
        <f t="shared" si="67"/>
        <v>0</v>
      </c>
      <c r="EV24" s="409">
        <f t="shared" si="67"/>
        <v>0</v>
      </c>
      <c r="EW24" s="409">
        <f t="shared" si="67"/>
        <v>0</v>
      </c>
      <c r="EX24" s="409">
        <f t="shared" si="67"/>
        <v>0</v>
      </c>
      <c r="EY24" s="409">
        <f t="shared" si="67"/>
        <v>0</v>
      </c>
      <c r="EZ24" s="409">
        <f t="shared" si="67"/>
        <v>0</v>
      </c>
      <c r="FA24" s="409">
        <f t="shared" si="67"/>
        <v>0</v>
      </c>
      <c r="FB24" s="409">
        <f t="shared" si="67"/>
        <v>0</v>
      </c>
      <c r="FC24" s="409">
        <f t="shared" si="68"/>
        <v>0</v>
      </c>
      <c r="FD24" s="409">
        <f t="shared" si="68"/>
        <v>0</v>
      </c>
      <c r="FE24" s="409">
        <f t="shared" si="68"/>
        <v>0</v>
      </c>
      <c r="FF24" s="409">
        <f t="shared" si="68"/>
        <v>0</v>
      </c>
      <c r="FG24" s="409">
        <f t="shared" si="68"/>
        <v>0</v>
      </c>
      <c r="FH24" s="409">
        <f t="shared" si="68"/>
        <v>0</v>
      </c>
      <c r="FI24" s="409">
        <f t="shared" si="68"/>
        <v>0</v>
      </c>
      <c r="FJ24" s="409">
        <f t="shared" si="68"/>
        <v>0</v>
      </c>
      <c r="FK24" s="409">
        <f t="shared" si="68"/>
        <v>0</v>
      </c>
      <c r="FL24" s="409">
        <f t="shared" si="68"/>
        <v>0</v>
      </c>
      <c r="FM24" s="409">
        <f t="shared" si="69"/>
        <v>0</v>
      </c>
      <c r="FN24" s="409">
        <f t="shared" si="69"/>
        <v>0</v>
      </c>
      <c r="FO24" s="409">
        <f t="shared" si="69"/>
        <v>0</v>
      </c>
      <c r="FP24" s="409">
        <f t="shared" si="69"/>
        <v>0</v>
      </c>
      <c r="FQ24" s="409">
        <f t="shared" si="69"/>
        <v>0</v>
      </c>
      <c r="FR24" s="409">
        <f t="shared" si="69"/>
        <v>0</v>
      </c>
      <c r="FS24" s="409">
        <f t="shared" si="69"/>
        <v>0</v>
      </c>
      <c r="FT24" s="409">
        <f t="shared" si="69"/>
        <v>0</v>
      </c>
      <c r="FU24" s="409">
        <f t="shared" si="69"/>
        <v>0</v>
      </c>
      <c r="FV24" s="409">
        <f t="shared" si="69"/>
        <v>0</v>
      </c>
      <c r="FW24" s="409">
        <f t="shared" si="70"/>
        <v>0</v>
      </c>
      <c r="FX24" s="409">
        <f t="shared" si="70"/>
        <v>0</v>
      </c>
      <c r="FY24" s="409">
        <f t="shared" si="70"/>
        <v>0</v>
      </c>
      <c r="FZ24" s="409">
        <f t="shared" si="70"/>
        <v>0</v>
      </c>
      <c r="GA24" s="409">
        <f t="shared" si="70"/>
        <v>0</v>
      </c>
      <c r="GB24" s="409">
        <f t="shared" si="70"/>
        <v>0</v>
      </c>
      <c r="GC24" s="409">
        <f t="shared" si="70"/>
        <v>0</v>
      </c>
      <c r="GD24" s="409">
        <f t="shared" si="70"/>
        <v>0</v>
      </c>
      <c r="GE24" s="409">
        <f t="shared" si="70"/>
        <v>0</v>
      </c>
      <c r="GF24" s="409">
        <f t="shared" si="70"/>
        <v>0</v>
      </c>
      <c r="GG24" s="409">
        <f t="shared" si="71"/>
        <v>0</v>
      </c>
      <c r="GH24" s="409">
        <f t="shared" si="71"/>
        <v>0</v>
      </c>
      <c r="GI24" s="409">
        <f t="shared" si="71"/>
        <v>0</v>
      </c>
      <c r="GJ24" s="409">
        <f t="shared" si="71"/>
        <v>0</v>
      </c>
      <c r="GK24" s="409">
        <f t="shared" si="71"/>
        <v>0</v>
      </c>
      <c r="GL24" s="409">
        <f t="shared" si="71"/>
        <v>0</v>
      </c>
      <c r="GM24" s="409">
        <f t="shared" si="71"/>
        <v>0</v>
      </c>
      <c r="GN24" s="409">
        <f t="shared" si="71"/>
        <v>0</v>
      </c>
      <c r="GO24" s="409">
        <f t="shared" si="71"/>
        <v>0</v>
      </c>
      <c r="GP24" s="409">
        <f t="shared" si="71"/>
        <v>0</v>
      </c>
      <c r="GQ24" s="409">
        <f t="shared" si="72"/>
        <v>0</v>
      </c>
      <c r="GR24" s="409">
        <f t="shared" si="72"/>
        <v>0</v>
      </c>
      <c r="GS24" s="409">
        <f t="shared" si="72"/>
        <v>0</v>
      </c>
      <c r="GT24" s="409">
        <f t="shared" si="72"/>
        <v>0</v>
      </c>
      <c r="GU24" s="409">
        <f t="shared" si="72"/>
        <v>0</v>
      </c>
      <c r="GV24" s="409">
        <f t="shared" si="72"/>
        <v>0</v>
      </c>
      <c r="GW24" s="409">
        <f t="shared" si="72"/>
        <v>0</v>
      </c>
      <c r="GX24" s="409">
        <f t="shared" si="72"/>
        <v>0</v>
      </c>
      <c r="GY24" s="409">
        <f t="shared" si="72"/>
        <v>0</v>
      </c>
      <c r="GZ24" s="409">
        <f t="shared" si="72"/>
        <v>0</v>
      </c>
      <c r="HA24" s="409">
        <f t="shared" si="73"/>
        <v>0</v>
      </c>
      <c r="HB24" s="409">
        <f t="shared" si="73"/>
        <v>0</v>
      </c>
      <c r="HC24" s="409">
        <f t="shared" si="73"/>
        <v>0</v>
      </c>
      <c r="HD24" s="409">
        <f t="shared" si="73"/>
        <v>0</v>
      </c>
      <c r="HE24" s="409">
        <f t="shared" si="73"/>
        <v>0</v>
      </c>
      <c r="HF24" s="409">
        <f t="shared" si="73"/>
        <v>0</v>
      </c>
      <c r="HG24" s="409">
        <f t="shared" si="73"/>
        <v>0</v>
      </c>
      <c r="HH24" s="409">
        <f t="shared" si="73"/>
        <v>0</v>
      </c>
      <c r="HI24" s="409">
        <f t="shared" si="73"/>
        <v>0</v>
      </c>
      <c r="HJ24" s="409">
        <f t="shared" si="73"/>
        <v>0</v>
      </c>
      <c r="HK24" s="409">
        <f t="shared" si="74"/>
        <v>0</v>
      </c>
      <c r="HL24" s="409">
        <f t="shared" si="74"/>
        <v>0</v>
      </c>
      <c r="HM24" s="409">
        <f t="shared" si="74"/>
        <v>0</v>
      </c>
      <c r="HN24" s="409">
        <f t="shared" si="74"/>
        <v>0</v>
      </c>
      <c r="HO24" s="409">
        <f t="shared" si="74"/>
        <v>0</v>
      </c>
      <c r="HP24" s="409">
        <f t="shared" si="74"/>
        <v>0</v>
      </c>
      <c r="HQ24" s="409">
        <f t="shared" si="74"/>
        <v>0</v>
      </c>
      <c r="HR24" s="409">
        <f t="shared" si="74"/>
        <v>0</v>
      </c>
      <c r="HS24" s="409">
        <f t="shared" si="74"/>
        <v>0</v>
      </c>
      <c r="HT24" s="409">
        <f t="shared" si="74"/>
        <v>0</v>
      </c>
      <c r="HU24" s="409">
        <f t="shared" si="75"/>
        <v>0</v>
      </c>
      <c r="HV24" s="409">
        <f t="shared" si="75"/>
        <v>0</v>
      </c>
      <c r="HW24" s="409">
        <f t="shared" si="75"/>
        <v>0</v>
      </c>
      <c r="HX24" s="409">
        <f t="shared" si="75"/>
        <v>0</v>
      </c>
      <c r="HY24" s="409">
        <f t="shared" si="75"/>
        <v>0</v>
      </c>
      <c r="HZ24" s="409">
        <f t="shared" si="75"/>
        <v>0</v>
      </c>
      <c r="IA24" s="409">
        <f t="shared" si="75"/>
        <v>0</v>
      </c>
      <c r="IB24" s="409">
        <f t="shared" si="75"/>
        <v>0</v>
      </c>
      <c r="IC24" s="409">
        <f t="shared" si="75"/>
        <v>0</v>
      </c>
      <c r="ID24" s="409">
        <f t="shared" si="75"/>
        <v>0</v>
      </c>
      <c r="IE24" s="409">
        <f t="shared" si="76"/>
        <v>0</v>
      </c>
      <c r="IF24" s="409">
        <f t="shared" si="76"/>
        <v>0</v>
      </c>
      <c r="IG24" s="409">
        <f t="shared" si="76"/>
        <v>0</v>
      </c>
      <c r="IH24" s="409">
        <f t="shared" si="76"/>
        <v>0</v>
      </c>
      <c r="II24" s="409">
        <f t="shared" si="76"/>
        <v>0</v>
      </c>
      <c r="IJ24" s="409">
        <f t="shared" si="76"/>
        <v>0</v>
      </c>
      <c r="IK24" s="378">
        <f t="shared" si="54"/>
        <v>17</v>
      </c>
    </row>
    <row r="25" spans="1:245" hidden="1" x14ac:dyDescent="0.2">
      <c r="A25" s="380" t="str">
        <f t="shared" si="34"/>
        <v>x</v>
      </c>
      <c r="B25" s="712" t="str">
        <f>IF(ISERROR(INDEX('Legend(DX)'!$H$8:$H$9,18)),"",INDEX('Legend(DX)'!$H$8:$H$9,18))</f>
        <v/>
      </c>
      <c r="C25" s="712" t="e">
        <f>IF(INDEX('Legend(DX)'!$T$8:$T$9,18)=0,"See Legend",INDEX('Legend(DX)'!$T$8:$T$9,18))</f>
        <v>#REF!</v>
      </c>
      <c r="D25" s="712" t="e">
        <f>IF(INDEX('Legend(DX)'!$R$8:$R$9,(ROW(C25))-7)=0,IF(AND(INDEX('Legend(DX)'!$D$8:$D$9,(ROW(C25))-6)="CH",INDEX('Legend(DX)'!$F$8:$F$9,(ROW(C25))-6)="CASE - MANUAL"),INDEX('Legend(DX)'!$R$8:$R$9,(ROW(C25))-6),IF(INDEX('Legend(DX)'!$V$8:$V$9,(ROW(C25))-7)&gt;1, "(" &amp; INDEX('Legend(DX)'!$V$8:$V$9,(ROW(C25))-7) &amp; ") " &amp; INDEX('Legend(DX)'!$W$8:$W$9,(ROW(C25))-6),INDEX('Legend(DX)'!$W$8:$W$9,(ROW(C25))-7))),INDEX('Legend(DX)'!$R$8:$R$9,(ROW(C25))-7))</f>
        <v>#REF!</v>
      </c>
      <c r="E25" s="713" t="str" cm="1">
        <f t="array" ref="E25">IF(OR(ISNUMBER(SEARCH("Skid",C25)),ISNUMBER(SEARCH("Subcooler",C25)),ISNUMBER(SEARCH("Pump",C25)),ISNUMBER(SEARCH("PH",C25))),0,IF(ISERROR(INDEX('Legend(DX)'!$AA$8:$AA$9,ROW()-7)),"",INDEX('Legend(DX)'!$AA$8:$AA$9,ROW()-7)))</f>
        <v/>
      </c>
      <c r="F25" s="714"/>
      <c r="G25" s="714"/>
      <c r="H25" s="714"/>
      <c r="I25" s="714"/>
      <c r="J25" s="714"/>
      <c r="K25" s="890">
        <f t="shared" si="35"/>
        <v>0</v>
      </c>
      <c r="L25" s="718"/>
      <c r="M25" s="719"/>
      <c r="N25" s="972">
        <f t="shared" si="7"/>
        <v>-1</v>
      </c>
      <c r="O25" s="972">
        <f t="shared" si="36"/>
        <v>-1</v>
      </c>
      <c r="P25" s="972">
        <f t="shared" si="8"/>
        <v>-1</v>
      </c>
      <c r="Q25" s="972">
        <f t="shared" si="37"/>
        <v>-1</v>
      </c>
      <c r="R25" s="972">
        <f t="shared" si="9"/>
        <v>-1</v>
      </c>
      <c r="S25" s="972">
        <f t="shared" si="38"/>
        <v>-1</v>
      </c>
      <c r="T25" s="972">
        <f t="shared" si="10"/>
        <v>-1</v>
      </c>
      <c r="U25" s="972">
        <f t="shared" si="39"/>
        <v>-1</v>
      </c>
      <c r="V25" s="972">
        <f t="shared" si="11"/>
        <v>-1</v>
      </c>
      <c r="W25" s="972">
        <f t="shared" si="40"/>
        <v>-1</v>
      </c>
      <c r="X25" s="972">
        <f t="shared" si="12"/>
        <v>-1</v>
      </c>
      <c r="Y25" s="972">
        <f t="shared" si="41"/>
        <v>-1</v>
      </c>
      <c r="Z25" s="972">
        <f t="shared" si="42"/>
        <v>-1</v>
      </c>
      <c r="AA25" s="972">
        <f t="shared" si="43"/>
        <v>-1</v>
      </c>
      <c r="AB25" s="972">
        <f t="shared" si="44"/>
        <v>-1</v>
      </c>
      <c r="AC25" s="972">
        <f t="shared" si="45"/>
        <v>-1</v>
      </c>
      <c r="AD25" s="972">
        <f t="shared" si="46"/>
        <v>-1</v>
      </c>
      <c r="AE25" s="972">
        <f t="shared" si="47"/>
        <v>-1</v>
      </c>
      <c r="AF25" s="972">
        <f t="shared" si="48"/>
        <v>-1</v>
      </c>
      <c r="AG25" s="972">
        <f t="shared" si="49"/>
        <v>-1</v>
      </c>
      <c r="AH25" s="972">
        <f t="shared" si="50"/>
        <v>-1</v>
      </c>
      <c r="AI25" s="972">
        <f t="shared" si="51"/>
        <v>-1</v>
      </c>
      <c r="AJ25" s="972">
        <f t="shared" si="52"/>
        <v>-1</v>
      </c>
      <c r="AK25" s="381" t="str">
        <f>IF(ISERROR(INDEX('Legend(DX)'!$AI$8:$AI$9,IK25)),"",INDEX('Legend(DX)'!$AI$8:$AI$9,IK25))</f>
        <v/>
      </c>
      <c r="AL25" s="727" t="str">
        <f t="shared" si="55"/>
        <v/>
      </c>
      <c r="AM25" s="409">
        <f t="shared" si="56"/>
        <v>0</v>
      </c>
      <c r="AN25" s="409">
        <f t="shared" si="56"/>
        <v>0</v>
      </c>
      <c r="AO25" s="409">
        <f t="shared" si="56"/>
        <v>0</v>
      </c>
      <c r="AP25" s="409">
        <f t="shared" si="56"/>
        <v>0</v>
      </c>
      <c r="AQ25" s="409">
        <f t="shared" si="56"/>
        <v>0</v>
      </c>
      <c r="AR25" s="409">
        <f t="shared" si="56"/>
        <v>0</v>
      </c>
      <c r="AS25" s="409">
        <f t="shared" si="56"/>
        <v>0</v>
      </c>
      <c r="AT25" s="409">
        <f t="shared" si="56"/>
        <v>0</v>
      </c>
      <c r="AU25" s="409">
        <f t="shared" si="56"/>
        <v>0</v>
      </c>
      <c r="AV25" s="409">
        <f t="shared" si="56"/>
        <v>0</v>
      </c>
      <c r="AW25" s="409">
        <f t="shared" si="57"/>
        <v>0</v>
      </c>
      <c r="AX25" s="409">
        <f t="shared" si="57"/>
        <v>0</v>
      </c>
      <c r="AY25" s="409">
        <f t="shared" si="57"/>
        <v>0</v>
      </c>
      <c r="AZ25" s="409">
        <f t="shared" si="57"/>
        <v>0</v>
      </c>
      <c r="BA25" s="409">
        <f t="shared" si="57"/>
        <v>0</v>
      </c>
      <c r="BB25" s="409">
        <f t="shared" si="57"/>
        <v>0</v>
      </c>
      <c r="BC25" s="409">
        <f t="shared" si="57"/>
        <v>0</v>
      </c>
      <c r="BD25" s="409">
        <f t="shared" si="57"/>
        <v>0</v>
      </c>
      <c r="BE25" s="409">
        <f t="shared" si="57"/>
        <v>0</v>
      </c>
      <c r="BF25" s="409">
        <f t="shared" si="57"/>
        <v>0</v>
      </c>
      <c r="BG25" s="409">
        <f t="shared" si="58"/>
        <v>0</v>
      </c>
      <c r="BH25" s="409">
        <f t="shared" si="58"/>
        <v>0</v>
      </c>
      <c r="BI25" s="409">
        <f t="shared" si="58"/>
        <v>0</v>
      </c>
      <c r="BJ25" s="409">
        <f t="shared" si="58"/>
        <v>0</v>
      </c>
      <c r="BK25" s="409">
        <f t="shared" si="58"/>
        <v>0</v>
      </c>
      <c r="BL25" s="409">
        <f t="shared" si="58"/>
        <v>0</v>
      </c>
      <c r="BM25" s="409">
        <f t="shared" si="58"/>
        <v>0</v>
      </c>
      <c r="BN25" s="409">
        <f t="shared" si="58"/>
        <v>0</v>
      </c>
      <c r="BO25" s="409">
        <f t="shared" si="58"/>
        <v>0</v>
      </c>
      <c r="BP25" s="409">
        <f t="shared" si="58"/>
        <v>0</v>
      </c>
      <c r="BQ25" s="409">
        <f t="shared" si="59"/>
        <v>0</v>
      </c>
      <c r="BR25" s="409">
        <f t="shared" si="59"/>
        <v>0</v>
      </c>
      <c r="BS25" s="409">
        <f t="shared" si="59"/>
        <v>0</v>
      </c>
      <c r="BT25" s="409">
        <f t="shared" si="59"/>
        <v>0</v>
      </c>
      <c r="BU25" s="409">
        <f t="shared" si="59"/>
        <v>0</v>
      </c>
      <c r="BV25" s="409">
        <f t="shared" si="59"/>
        <v>0</v>
      </c>
      <c r="BW25" s="409">
        <f t="shared" si="59"/>
        <v>0</v>
      </c>
      <c r="BX25" s="409">
        <f t="shared" si="59"/>
        <v>0</v>
      </c>
      <c r="BY25" s="409">
        <f t="shared" si="59"/>
        <v>0</v>
      </c>
      <c r="BZ25" s="409">
        <f t="shared" si="59"/>
        <v>0</v>
      </c>
      <c r="CA25" s="409">
        <f t="shared" si="60"/>
        <v>0</v>
      </c>
      <c r="CB25" s="409">
        <f t="shared" si="60"/>
        <v>0</v>
      </c>
      <c r="CC25" s="409">
        <f t="shared" si="60"/>
        <v>0</v>
      </c>
      <c r="CD25" s="409">
        <f t="shared" si="60"/>
        <v>0</v>
      </c>
      <c r="CE25" s="409">
        <f t="shared" si="60"/>
        <v>0</v>
      </c>
      <c r="CF25" s="409">
        <f t="shared" si="60"/>
        <v>0</v>
      </c>
      <c r="CG25" s="409">
        <f t="shared" si="60"/>
        <v>0</v>
      </c>
      <c r="CH25" s="409">
        <f t="shared" si="60"/>
        <v>0</v>
      </c>
      <c r="CI25" s="409">
        <f t="shared" si="60"/>
        <v>0</v>
      </c>
      <c r="CJ25" s="409">
        <f t="shared" si="60"/>
        <v>0</v>
      </c>
      <c r="CK25" s="409">
        <f t="shared" si="61"/>
        <v>0</v>
      </c>
      <c r="CL25" s="409">
        <f t="shared" si="61"/>
        <v>0</v>
      </c>
      <c r="CM25" s="409">
        <f t="shared" si="61"/>
        <v>0</v>
      </c>
      <c r="CN25" s="409">
        <f t="shared" si="61"/>
        <v>0</v>
      </c>
      <c r="CO25" s="409">
        <f t="shared" si="61"/>
        <v>0</v>
      </c>
      <c r="CP25" s="409">
        <f t="shared" si="61"/>
        <v>0</v>
      </c>
      <c r="CQ25" s="409">
        <f t="shared" si="61"/>
        <v>0</v>
      </c>
      <c r="CR25" s="409">
        <f t="shared" si="61"/>
        <v>0</v>
      </c>
      <c r="CS25" s="409">
        <f t="shared" si="61"/>
        <v>0</v>
      </c>
      <c r="CT25" s="409">
        <f t="shared" si="61"/>
        <v>0</v>
      </c>
      <c r="CU25" s="409">
        <f t="shared" si="62"/>
        <v>0</v>
      </c>
      <c r="CV25" s="409">
        <f t="shared" si="62"/>
        <v>0</v>
      </c>
      <c r="CW25" s="409">
        <f t="shared" si="62"/>
        <v>0</v>
      </c>
      <c r="CX25" s="409">
        <f t="shared" si="62"/>
        <v>0</v>
      </c>
      <c r="CY25" s="409">
        <f t="shared" si="62"/>
        <v>0</v>
      </c>
      <c r="CZ25" s="409">
        <f t="shared" si="62"/>
        <v>0</v>
      </c>
      <c r="DA25" s="409">
        <f t="shared" si="62"/>
        <v>0</v>
      </c>
      <c r="DB25" s="409">
        <f t="shared" si="62"/>
        <v>0</v>
      </c>
      <c r="DC25" s="409">
        <f t="shared" si="62"/>
        <v>0</v>
      </c>
      <c r="DD25" s="409">
        <f t="shared" si="62"/>
        <v>0</v>
      </c>
      <c r="DE25" s="409">
        <f t="shared" si="63"/>
        <v>0</v>
      </c>
      <c r="DF25" s="409">
        <f t="shared" si="63"/>
        <v>0</v>
      </c>
      <c r="DG25" s="409">
        <f t="shared" si="63"/>
        <v>0</v>
      </c>
      <c r="DH25" s="409">
        <f t="shared" si="63"/>
        <v>0</v>
      </c>
      <c r="DI25" s="409">
        <f t="shared" si="63"/>
        <v>0</v>
      </c>
      <c r="DJ25" s="409">
        <f t="shared" si="63"/>
        <v>0</v>
      </c>
      <c r="DK25" s="409">
        <f t="shared" si="63"/>
        <v>0</v>
      </c>
      <c r="DL25" s="409">
        <f t="shared" si="63"/>
        <v>0</v>
      </c>
      <c r="DM25" s="409">
        <f t="shared" si="63"/>
        <v>0</v>
      </c>
      <c r="DN25" s="409">
        <f t="shared" si="63"/>
        <v>0</v>
      </c>
      <c r="DO25" s="409">
        <f t="shared" si="64"/>
        <v>0</v>
      </c>
      <c r="DP25" s="409">
        <f t="shared" si="64"/>
        <v>0</v>
      </c>
      <c r="DQ25" s="409">
        <f t="shared" si="64"/>
        <v>0</v>
      </c>
      <c r="DR25" s="409">
        <f t="shared" si="64"/>
        <v>0</v>
      </c>
      <c r="DS25" s="409">
        <f t="shared" si="64"/>
        <v>0</v>
      </c>
      <c r="DT25" s="409">
        <f t="shared" si="64"/>
        <v>0</v>
      </c>
      <c r="DU25" s="409">
        <f t="shared" si="64"/>
        <v>0</v>
      </c>
      <c r="DV25" s="409">
        <f t="shared" si="64"/>
        <v>0</v>
      </c>
      <c r="DW25" s="409">
        <f t="shared" si="64"/>
        <v>0</v>
      </c>
      <c r="DX25" s="409">
        <f t="shared" si="64"/>
        <v>0</v>
      </c>
      <c r="DY25" s="409">
        <f t="shared" si="65"/>
        <v>0</v>
      </c>
      <c r="DZ25" s="409">
        <f t="shared" si="65"/>
        <v>0</v>
      </c>
      <c r="EA25" s="409">
        <f t="shared" si="65"/>
        <v>0</v>
      </c>
      <c r="EB25" s="409">
        <f t="shared" si="65"/>
        <v>0</v>
      </c>
      <c r="EC25" s="409">
        <f t="shared" si="65"/>
        <v>0</v>
      </c>
      <c r="ED25" s="409">
        <f t="shared" si="65"/>
        <v>0</v>
      </c>
      <c r="EE25" s="409">
        <f t="shared" si="65"/>
        <v>0</v>
      </c>
      <c r="EF25" s="409">
        <f t="shared" si="65"/>
        <v>0</v>
      </c>
      <c r="EG25" s="409">
        <f t="shared" si="65"/>
        <v>0</v>
      </c>
      <c r="EH25" s="409">
        <f t="shared" si="65"/>
        <v>0</v>
      </c>
      <c r="EI25" s="409">
        <f t="shared" si="66"/>
        <v>0</v>
      </c>
      <c r="EJ25" s="409">
        <f t="shared" si="66"/>
        <v>0</v>
      </c>
      <c r="EK25" s="409">
        <f t="shared" si="66"/>
        <v>0</v>
      </c>
      <c r="EL25" s="409">
        <f t="shared" si="66"/>
        <v>0</v>
      </c>
      <c r="EM25" s="409">
        <f t="shared" si="66"/>
        <v>0</v>
      </c>
      <c r="EN25" s="409">
        <f t="shared" si="66"/>
        <v>0</v>
      </c>
      <c r="EO25" s="409">
        <f t="shared" si="66"/>
        <v>0</v>
      </c>
      <c r="EP25" s="409">
        <f t="shared" si="66"/>
        <v>0</v>
      </c>
      <c r="EQ25" s="409">
        <f t="shared" si="66"/>
        <v>0</v>
      </c>
      <c r="ER25" s="409">
        <f t="shared" si="66"/>
        <v>0</v>
      </c>
      <c r="ES25" s="409">
        <f t="shared" si="67"/>
        <v>0</v>
      </c>
      <c r="ET25" s="409">
        <f t="shared" si="67"/>
        <v>0</v>
      </c>
      <c r="EU25" s="409">
        <f t="shared" si="67"/>
        <v>0</v>
      </c>
      <c r="EV25" s="409">
        <f t="shared" si="67"/>
        <v>0</v>
      </c>
      <c r="EW25" s="409">
        <f t="shared" si="67"/>
        <v>0</v>
      </c>
      <c r="EX25" s="409">
        <f t="shared" si="67"/>
        <v>0</v>
      </c>
      <c r="EY25" s="409">
        <f t="shared" si="67"/>
        <v>0</v>
      </c>
      <c r="EZ25" s="409">
        <f t="shared" si="67"/>
        <v>0</v>
      </c>
      <c r="FA25" s="409">
        <f t="shared" si="67"/>
        <v>0</v>
      </c>
      <c r="FB25" s="409">
        <f t="shared" si="67"/>
        <v>0</v>
      </c>
      <c r="FC25" s="409">
        <f t="shared" si="68"/>
        <v>0</v>
      </c>
      <c r="FD25" s="409">
        <f t="shared" si="68"/>
        <v>0</v>
      </c>
      <c r="FE25" s="409">
        <f t="shared" si="68"/>
        <v>0</v>
      </c>
      <c r="FF25" s="409">
        <f t="shared" si="68"/>
        <v>0</v>
      </c>
      <c r="FG25" s="409">
        <f t="shared" si="68"/>
        <v>0</v>
      </c>
      <c r="FH25" s="409">
        <f t="shared" si="68"/>
        <v>0</v>
      </c>
      <c r="FI25" s="409">
        <f t="shared" si="68"/>
        <v>0</v>
      </c>
      <c r="FJ25" s="409">
        <f t="shared" si="68"/>
        <v>0</v>
      </c>
      <c r="FK25" s="409">
        <f t="shared" si="68"/>
        <v>0</v>
      </c>
      <c r="FL25" s="409">
        <f t="shared" si="68"/>
        <v>0</v>
      </c>
      <c r="FM25" s="409">
        <f t="shared" si="69"/>
        <v>0</v>
      </c>
      <c r="FN25" s="409">
        <f t="shared" si="69"/>
        <v>0</v>
      </c>
      <c r="FO25" s="409">
        <f t="shared" si="69"/>
        <v>0</v>
      </c>
      <c r="FP25" s="409">
        <f t="shared" si="69"/>
        <v>0</v>
      </c>
      <c r="FQ25" s="409">
        <f t="shared" si="69"/>
        <v>0</v>
      </c>
      <c r="FR25" s="409">
        <f t="shared" si="69"/>
        <v>0</v>
      </c>
      <c r="FS25" s="409">
        <f t="shared" si="69"/>
        <v>0</v>
      </c>
      <c r="FT25" s="409">
        <f t="shared" si="69"/>
        <v>0</v>
      </c>
      <c r="FU25" s="409">
        <f t="shared" si="69"/>
        <v>0</v>
      </c>
      <c r="FV25" s="409">
        <f t="shared" si="69"/>
        <v>0</v>
      </c>
      <c r="FW25" s="409">
        <f t="shared" si="70"/>
        <v>0</v>
      </c>
      <c r="FX25" s="409">
        <f t="shared" si="70"/>
        <v>0</v>
      </c>
      <c r="FY25" s="409">
        <f t="shared" si="70"/>
        <v>0</v>
      </c>
      <c r="FZ25" s="409">
        <f t="shared" si="70"/>
        <v>0</v>
      </c>
      <c r="GA25" s="409">
        <f t="shared" si="70"/>
        <v>0</v>
      </c>
      <c r="GB25" s="409">
        <f t="shared" si="70"/>
        <v>0</v>
      </c>
      <c r="GC25" s="409">
        <f t="shared" si="70"/>
        <v>0</v>
      </c>
      <c r="GD25" s="409">
        <f t="shared" si="70"/>
        <v>0</v>
      </c>
      <c r="GE25" s="409">
        <f t="shared" si="70"/>
        <v>0</v>
      </c>
      <c r="GF25" s="409">
        <f t="shared" si="70"/>
        <v>0</v>
      </c>
      <c r="GG25" s="409">
        <f t="shared" si="71"/>
        <v>0</v>
      </c>
      <c r="GH25" s="409">
        <f t="shared" si="71"/>
        <v>0</v>
      </c>
      <c r="GI25" s="409">
        <f t="shared" si="71"/>
        <v>0</v>
      </c>
      <c r="GJ25" s="409">
        <f t="shared" si="71"/>
        <v>0</v>
      </c>
      <c r="GK25" s="409">
        <f t="shared" si="71"/>
        <v>0</v>
      </c>
      <c r="GL25" s="409">
        <f t="shared" si="71"/>
        <v>0</v>
      </c>
      <c r="GM25" s="409">
        <f t="shared" si="71"/>
        <v>0</v>
      </c>
      <c r="GN25" s="409">
        <f t="shared" si="71"/>
        <v>0</v>
      </c>
      <c r="GO25" s="409">
        <f t="shared" si="71"/>
        <v>0</v>
      </c>
      <c r="GP25" s="409">
        <f t="shared" si="71"/>
        <v>0</v>
      </c>
      <c r="GQ25" s="409">
        <f t="shared" si="72"/>
        <v>0</v>
      </c>
      <c r="GR25" s="409">
        <f t="shared" si="72"/>
        <v>0</v>
      </c>
      <c r="GS25" s="409">
        <f t="shared" si="72"/>
        <v>0</v>
      </c>
      <c r="GT25" s="409">
        <f t="shared" si="72"/>
        <v>0</v>
      </c>
      <c r="GU25" s="409">
        <f t="shared" si="72"/>
        <v>0</v>
      </c>
      <c r="GV25" s="409">
        <f t="shared" si="72"/>
        <v>0</v>
      </c>
      <c r="GW25" s="409">
        <f t="shared" si="72"/>
        <v>0</v>
      </c>
      <c r="GX25" s="409">
        <f t="shared" si="72"/>
        <v>0</v>
      </c>
      <c r="GY25" s="409">
        <f t="shared" si="72"/>
        <v>0</v>
      </c>
      <c r="GZ25" s="409">
        <f t="shared" si="72"/>
        <v>0</v>
      </c>
      <c r="HA25" s="409">
        <f t="shared" si="73"/>
        <v>0</v>
      </c>
      <c r="HB25" s="409">
        <f t="shared" si="73"/>
        <v>0</v>
      </c>
      <c r="HC25" s="409">
        <f t="shared" si="73"/>
        <v>0</v>
      </c>
      <c r="HD25" s="409">
        <f t="shared" si="73"/>
        <v>0</v>
      </c>
      <c r="HE25" s="409">
        <f t="shared" si="73"/>
        <v>0</v>
      </c>
      <c r="HF25" s="409">
        <f t="shared" si="73"/>
        <v>0</v>
      </c>
      <c r="HG25" s="409">
        <f t="shared" si="73"/>
        <v>0</v>
      </c>
      <c r="HH25" s="409">
        <f t="shared" si="73"/>
        <v>0</v>
      </c>
      <c r="HI25" s="409">
        <f t="shared" si="73"/>
        <v>0</v>
      </c>
      <c r="HJ25" s="409">
        <f t="shared" si="73"/>
        <v>0</v>
      </c>
      <c r="HK25" s="409">
        <f t="shared" si="74"/>
        <v>0</v>
      </c>
      <c r="HL25" s="409">
        <f t="shared" si="74"/>
        <v>0</v>
      </c>
      <c r="HM25" s="409">
        <f t="shared" si="74"/>
        <v>0</v>
      </c>
      <c r="HN25" s="409">
        <f t="shared" si="74"/>
        <v>0</v>
      </c>
      <c r="HO25" s="409">
        <f t="shared" si="74"/>
        <v>0</v>
      </c>
      <c r="HP25" s="409">
        <f t="shared" si="74"/>
        <v>0</v>
      </c>
      <c r="HQ25" s="409">
        <f t="shared" si="74"/>
        <v>0</v>
      </c>
      <c r="HR25" s="409">
        <f t="shared" si="74"/>
        <v>0</v>
      </c>
      <c r="HS25" s="409">
        <f t="shared" si="74"/>
        <v>0</v>
      </c>
      <c r="HT25" s="409">
        <f t="shared" si="74"/>
        <v>0</v>
      </c>
      <c r="HU25" s="409">
        <f t="shared" si="75"/>
        <v>0</v>
      </c>
      <c r="HV25" s="409">
        <f t="shared" si="75"/>
        <v>0</v>
      </c>
      <c r="HW25" s="409">
        <f t="shared" si="75"/>
        <v>0</v>
      </c>
      <c r="HX25" s="409">
        <f t="shared" si="75"/>
        <v>0</v>
      </c>
      <c r="HY25" s="409">
        <f t="shared" si="75"/>
        <v>0</v>
      </c>
      <c r="HZ25" s="409">
        <f t="shared" si="75"/>
        <v>0</v>
      </c>
      <c r="IA25" s="409">
        <f t="shared" si="75"/>
        <v>0</v>
      </c>
      <c r="IB25" s="409">
        <f t="shared" si="75"/>
        <v>0</v>
      </c>
      <c r="IC25" s="409">
        <f t="shared" si="75"/>
        <v>0</v>
      </c>
      <c r="ID25" s="409">
        <f t="shared" si="75"/>
        <v>0</v>
      </c>
      <c r="IE25" s="409">
        <f t="shared" si="76"/>
        <v>0</v>
      </c>
      <c r="IF25" s="409">
        <f t="shared" si="76"/>
        <v>0</v>
      </c>
      <c r="IG25" s="409">
        <f t="shared" si="76"/>
        <v>0</v>
      </c>
      <c r="IH25" s="409">
        <f t="shared" si="76"/>
        <v>0</v>
      </c>
      <c r="II25" s="409">
        <f t="shared" si="76"/>
        <v>0</v>
      </c>
      <c r="IJ25" s="409">
        <f t="shared" si="76"/>
        <v>0</v>
      </c>
      <c r="IK25" s="378">
        <f t="shared" si="54"/>
        <v>18</v>
      </c>
    </row>
    <row r="26" spans="1:245" hidden="1" x14ac:dyDescent="0.2">
      <c r="A26" s="380" t="str">
        <f t="shared" si="34"/>
        <v>x</v>
      </c>
      <c r="B26" s="712" t="str">
        <f>IF(ISERROR(INDEX('Legend(DX)'!$H$8:$H$9,19)),"",INDEX('Legend(DX)'!$H$8:$H$9,19))</f>
        <v/>
      </c>
      <c r="C26" s="712" t="e">
        <f>IF(INDEX('Legend(DX)'!$T$8:$T$9,19)=0,"See Legend",INDEX('Legend(DX)'!$T$8:$T$9,19))</f>
        <v>#REF!</v>
      </c>
      <c r="D26" s="712" t="e">
        <f>IF(INDEX('Legend(DX)'!$R$8:$R$9,(ROW(C26))-7)=0,IF(AND(INDEX('Legend(DX)'!$D$8:$D$9,(ROW(C26))-6)="CH",INDEX('Legend(DX)'!$F$8:$F$9,(ROW(C26))-6)="CASE - MANUAL"),INDEX('Legend(DX)'!$R$8:$R$9,(ROW(C26))-6),IF(INDEX('Legend(DX)'!$V$8:$V$9,(ROW(C26))-7)&gt;1, "(" &amp; INDEX('Legend(DX)'!$V$8:$V$9,(ROW(C26))-7) &amp; ") " &amp; INDEX('Legend(DX)'!$W$8:$W$9,(ROW(C26))-6),INDEX('Legend(DX)'!$W$8:$W$9,(ROW(C26))-7))),INDEX('Legend(DX)'!$R$8:$R$9,(ROW(C26))-7))</f>
        <v>#REF!</v>
      </c>
      <c r="E26" s="713" t="str" cm="1">
        <f t="array" ref="E26">IF(OR(ISNUMBER(SEARCH("Skid",C26)),ISNUMBER(SEARCH("Subcooler",C26)),ISNUMBER(SEARCH("Pump",C26)),ISNUMBER(SEARCH("PH",C26))),0,IF(ISERROR(INDEX('Legend(DX)'!$AA$8:$AA$9,ROW()-7)),"",INDEX('Legend(DX)'!$AA$8:$AA$9,ROW()-7)))</f>
        <v/>
      </c>
      <c r="F26" s="714"/>
      <c r="G26" s="714"/>
      <c r="H26" s="714"/>
      <c r="I26" s="714"/>
      <c r="J26" s="714"/>
      <c r="K26" s="890">
        <f t="shared" si="35"/>
        <v>0</v>
      </c>
      <c r="L26" s="718"/>
      <c r="M26" s="720"/>
      <c r="N26" s="972">
        <f t="shared" si="7"/>
        <v>-1</v>
      </c>
      <c r="O26" s="972">
        <f t="shared" si="36"/>
        <v>-1</v>
      </c>
      <c r="P26" s="972">
        <f t="shared" si="8"/>
        <v>-1</v>
      </c>
      <c r="Q26" s="972">
        <f t="shared" si="37"/>
        <v>-1</v>
      </c>
      <c r="R26" s="972">
        <f t="shared" si="9"/>
        <v>-1</v>
      </c>
      <c r="S26" s="972">
        <f t="shared" si="38"/>
        <v>-1</v>
      </c>
      <c r="T26" s="972">
        <f t="shared" si="10"/>
        <v>-1</v>
      </c>
      <c r="U26" s="972">
        <f t="shared" si="39"/>
        <v>-1</v>
      </c>
      <c r="V26" s="972">
        <f t="shared" si="11"/>
        <v>-1</v>
      </c>
      <c r="W26" s="972">
        <f t="shared" si="40"/>
        <v>-1</v>
      </c>
      <c r="X26" s="972">
        <f t="shared" si="12"/>
        <v>-1</v>
      </c>
      <c r="Y26" s="972">
        <f t="shared" si="41"/>
        <v>-1</v>
      </c>
      <c r="Z26" s="972">
        <f t="shared" si="42"/>
        <v>-1</v>
      </c>
      <c r="AA26" s="972">
        <f t="shared" si="43"/>
        <v>-1</v>
      </c>
      <c r="AB26" s="972">
        <f t="shared" si="44"/>
        <v>-1</v>
      </c>
      <c r="AC26" s="972">
        <f t="shared" si="45"/>
        <v>-1</v>
      </c>
      <c r="AD26" s="972">
        <f t="shared" si="46"/>
        <v>-1</v>
      </c>
      <c r="AE26" s="972">
        <f t="shared" si="47"/>
        <v>-1</v>
      </c>
      <c r="AF26" s="972">
        <f t="shared" si="48"/>
        <v>-1</v>
      </c>
      <c r="AG26" s="972">
        <f t="shared" si="49"/>
        <v>-1</v>
      </c>
      <c r="AH26" s="972">
        <f t="shared" si="50"/>
        <v>-1</v>
      </c>
      <c r="AI26" s="972">
        <f t="shared" si="51"/>
        <v>-1</v>
      </c>
      <c r="AJ26" s="972">
        <f t="shared" si="52"/>
        <v>-1</v>
      </c>
      <c r="AK26" s="381" t="str">
        <f>IF(ISERROR(INDEX('Legend(DX)'!$AI$8:$AI$9,IK26)),"",INDEX('Legend(DX)'!$AI$8:$AI$9,IK26))</f>
        <v/>
      </c>
      <c r="AL26" s="727" t="str">
        <f t="shared" si="55"/>
        <v/>
      </c>
      <c r="AM26" s="409">
        <f t="shared" si="56"/>
        <v>0</v>
      </c>
      <c r="AN26" s="409">
        <f t="shared" si="56"/>
        <v>0</v>
      </c>
      <c r="AO26" s="409">
        <f t="shared" si="56"/>
        <v>0</v>
      </c>
      <c r="AP26" s="409">
        <f t="shared" si="56"/>
        <v>0</v>
      </c>
      <c r="AQ26" s="409">
        <f t="shared" si="56"/>
        <v>0</v>
      </c>
      <c r="AR26" s="409">
        <f t="shared" si="56"/>
        <v>0</v>
      </c>
      <c r="AS26" s="409">
        <f t="shared" si="56"/>
        <v>0</v>
      </c>
      <c r="AT26" s="409">
        <f t="shared" si="56"/>
        <v>0</v>
      </c>
      <c r="AU26" s="409">
        <f t="shared" si="56"/>
        <v>0</v>
      </c>
      <c r="AV26" s="409">
        <f t="shared" si="56"/>
        <v>0</v>
      </c>
      <c r="AW26" s="409">
        <f t="shared" si="57"/>
        <v>0</v>
      </c>
      <c r="AX26" s="409">
        <f t="shared" si="57"/>
        <v>0</v>
      </c>
      <c r="AY26" s="409">
        <f t="shared" si="57"/>
        <v>0</v>
      </c>
      <c r="AZ26" s="409">
        <f t="shared" si="57"/>
        <v>0</v>
      </c>
      <c r="BA26" s="409">
        <f t="shared" si="57"/>
        <v>0</v>
      </c>
      <c r="BB26" s="409">
        <f t="shared" si="57"/>
        <v>0</v>
      </c>
      <c r="BC26" s="409">
        <f t="shared" si="57"/>
        <v>0</v>
      </c>
      <c r="BD26" s="409">
        <f t="shared" si="57"/>
        <v>0</v>
      </c>
      <c r="BE26" s="409">
        <f t="shared" si="57"/>
        <v>0</v>
      </c>
      <c r="BF26" s="409">
        <f t="shared" si="57"/>
        <v>0</v>
      </c>
      <c r="BG26" s="409">
        <f t="shared" si="58"/>
        <v>0</v>
      </c>
      <c r="BH26" s="409">
        <f t="shared" si="58"/>
        <v>0</v>
      </c>
      <c r="BI26" s="409">
        <f t="shared" si="58"/>
        <v>0</v>
      </c>
      <c r="BJ26" s="409">
        <f t="shared" si="58"/>
        <v>0</v>
      </c>
      <c r="BK26" s="409">
        <f t="shared" si="58"/>
        <v>0</v>
      </c>
      <c r="BL26" s="409">
        <f t="shared" si="58"/>
        <v>0</v>
      </c>
      <c r="BM26" s="409">
        <f t="shared" si="58"/>
        <v>0</v>
      </c>
      <c r="BN26" s="409">
        <f t="shared" si="58"/>
        <v>0</v>
      </c>
      <c r="BO26" s="409">
        <f t="shared" si="58"/>
        <v>0</v>
      </c>
      <c r="BP26" s="409">
        <f t="shared" si="58"/>
        <v>0</v>
      </c>
      <c r="BQ26" s="409">
        <f t="shared" si="59"/>
        <v>0</v>
      </c>
      <c r="BR26" s="409">
        <f t="shared" si="59"/>
        <v>0</v>
      </c>
      <c r="BS26" s="409">
        <f t="shared" si="59"/>
        <v>0</v>
      </c>
      <c r="BT26" s="409">
        <f t="shared" si="59"/>
        <v>0</v>
      </c>
      <c r="BU26" s="409">
        <f t="shared" si="59"/>
        <v>0</v>
      </c>
      <c r="BV26" s="409">
        <f t="shared" si="59"/>
        <v>0</v>
      </c>
      <c r="BW26" s="409">
        <f t="shared" si="59"/>
        <v>0</v>
      </c>
      <c r="BX26" s="409">
        <f t="shared" si="59"/>
        <v>0</v>
      </c>
      <c r="BY26" s="409">
        <f t="shared" si="59"/>
        <v>0</v>
      </c>
      <c r="BZ26" s="409">
        <f t="shared" si="59"/>
        <v>0</v>
      </c>
      <c r="CA26" s="409">
        <f t="shared" si="60"/>
        <v>0</v>
      </c>
      <c r="CB26" s="409">
        <f t="shared" si="60"/>
        <v>0</v>
      </c>
      <c r="CC26" s="409">
        <f t="shared" si="60"/>
        <v>0</v>
      </c>
      <c r="CD26" s="409">
        <f t="shared" si="60"/>
        <v>0</v>
      </c>
      <c r="CE26" s="409">
        <f t="shared" si="60"/>
        <v>0</v>
      </c>
      <c r="CF26" s="409">
        <f t="shared" si="60"/>
        <v>0</v>
      </c>
      <c r="CG26" s="409">
        <f t="shared" si="60"/>
        <v>0</v>
      </c>
      <c r="CH26" s="409">
        <f t="shared" si="60"/>
        <v>0</v>
      </c>
      <c r="CI26" s="409">
        <f t="shared" si="60"/>
        <v>0</v>
      </c>
      <c r="CJ26" s="409">
        <f t="shared" si="60"/>
        <v>0</v>
      </c>
      <c r="CK26" s="409">
        <f t="shared" si="61"/>
        <v>0</v>
      </c>
      <c r="CL26" s="409">
        <f t="shared" si="61"/>
        <v>0</v>
      </c>
      <c r="CM26" s="409">
        <f t="shared" si="61"/>
        <v>0</v>
      </c>
      <c r="CN26" s="409">
        <f t="shared" si="61"/>
        <v>0</v>
      </c>
      <c r="CO26" s="409">
        <f t="shared" si="61"/>
        <v>0</v>
      </c>
      <c r="CP26" s="409">
        <f t="shared" si="61"/>
        <v>0</v>
      </c>
      <c r="CQ26" s="409">
        <f t="shared" si="61"/>
        <v>0</v>
      </c>
      <c r="CR26" s="409">
        <f t="shared" si="61"/>
        <v>0</v>
      </c>
      <c r="CS26" s="409">
        <f t="shared" si="61"/>
        <v>0</v>
      </c>
      <c r="CT26" s="409">
        <f t="shared" si="61"/>
        <v>0</v>
      </c>
      <c r="CU26" s="409">
        <f t="shared" si="62"/>
        <v>0</v>
      </c>
      <c r="CV26" s="409">
        <f t="shared" si="62"/>
        <v>0</v>
      </c>
      <c r="CW26" s="409">
        <f t="shared" si="62"/>
        <v>0</v>
      </c>
      <c r="CX26" s="409">
        <f t="shared" si="62"/>
        <v>0</v>
      </c>
      <c r="CY26" s="409">
        <f t="shared" si="62"/>
        <v>0</v>
      </c>
      <c r="CZ26" s="409">
        <f t="shared" si="62"/>
        <v>0</v>
      </c>
      <c r="DA26" s="409">
        <f t="shared" si="62"/>
        <v>0</v>
      </c>
      <c r="DB26" s="409">
        <f t="shared" si="62"/>
        <v>0</v>
      </c>
      <c r="DC26" s="409">
        <f t="shared" si="62"/>
        <v>0</v>
      </c>
      <c r="DD26" s="409">
        <f t="shared" si="62"/>
        <v>0</v>
      </c>
      <c r="DE26" s="409">
        <f t="shared" si="63"/>
        <v>0</v>
      </c>
      <c r="DF26" s="409">
        <f t="shared" si="63"/>
        <v>0</v>
      </c>
      <c r="DG26" s="409">
        <f t="shared" si="63"/>
        <v>0</v>
      </c>
      <c r="DH26" s="409">
        <f t="shared" si="63"/>
        <v>0</v>
      </c>
      <c r="DI26" s="409">
        <f t="shared" si="63"/>
        <v>0</v>
      </c>
      <c r="DJ26" s="409">
        <f t="shared" si="63"/>
        <v>0</v>
      </c>
      <c r="DK26" s="409">
        <f t="shared" si="63"/>
        <v>0</v>
      </c>
      <c r="DL26" s="409">
        <f t="shared" si="63"/>
        <v>0</v>
      </c>
      <c r="DM26" s="409">
        <f t="shared" si="63"/>
        <v>0</v>
      </c>
      <c r="DN26" s="409">
        <f t="shared" si="63"/>
        <v>0</v>
      </c>
      <c r="DO26" s="409">
        <f t="shared" si="64"/>
        <v>0</v>
      </c>
      <c r="DP26" s="409">
        <f t="shared" si="64"/>
        <v>0</v>
      </c>
      <c r="DQ26" s="409">
        <f t="shared" si="64"/>
        <v>0</v>
      </c>
      <c r="DR26" s="409">
        <f t="shared" si="64"/>
        <v>0</v>
      </c>
      <c r="DS26" s="409">
        <f t="shared" si="64"/>
        <v>0</v>
      </c>
      <c r="DT26" s="409">
        <f t="shared" si="64"/>
        <v>0</v>
      </c>
      <c r="DU26" s="409">
        <f t="shared" si="64"/>
        <v>0</v>
      </c>
      <c r="DV26" s="409">
        <f t="shared" si="64"/>
        <v>0</v>
      </c>
      <c r="DW26" s="409">
        <f t="shared" si="64"/>
        <v>0</v>
      </c>
      <c r="DX26" s="409">
        <f t="shared" si="64"/>
        <v>0</v>
      </c>
      <c r="DY26" s="409">
        <f t="shared" si="65"/>
        <v>0</v>
      </c>
      <c r="DZ26" s="409">
        <f t="shared" si="65"/>
        <v>0</v>
      </c>
      <c r="EA26" s="409">
        <f t="shared" si="65"/>
        <v>0</v>
      </c>
      <c r="EB26" s="409">
        <f t="shared" si="65"/>
        <v>0</v>
      </c>
      <c r="EC26" s="409">
        <f t="shared" si="65"/>
        <v>0</v>
      </c>
      <c r="ED26" s="409">
        <f t="shared" si="65"/>
        <v>0</v>
      </c>
      <c r="EE26" s="409">
        <f t="shared" si="65"/>
        <v>0</v>
      </c>
      <c r="EF26" s="409">
        <f t="shared" si="65"/>
        <v>0</v>
      </c>
      <c r="EG26" s="409">
        <f t="shared" si="65"/>
        <v>0</v>
      </c>
      <c r="EH26" s="409">
        <f t="shared" si="65"/>
        <v>0</v>
      </c>
      <c r="EI26" s="409">
        <f t="shared" si="66"/>
        <v>0</v>
      </c>
      <c r="EJ26" s="409">
        <f t="shared" si="66"/>
        <v>0</v>
      </c>
      <c r="EK26" s="409">
        <f t="shared" si="66"/>
        <v>0</v>
      </c>
      <c r="EL26" s="409">
        <f t="shared" si="66"/>
        <v>0</v>
      </c>
      <c r="EM26" s="409">
        <f t="shared" si="66"/>
        <v>0</v>
      </c>
      <c r="EN26" s="409">
        <f t="shared" si="66"/>
        <v>0</v>
      </c>
      <c r="EO26" s="409">
        <f t="shared" si="66"/>
        <v>0</v>
      </c>
      <c r="EP26" s="409">
        <f t="shared" si="66"/>
        <v>0</v>
      </c>
      <c r="EQ26" s="409">
        <f t="shared" si="66"/>
        <v>0</v>
      </c>
      <c r="ER26" s="409">
        <f t="shared" si="66"/>
        <v>0</v>
      </c>
      <c r="ES26" s="409">
        <f t="shared" si="67"/>
        <v>0</v>
      </c>
      <c r="ET26" s="409">
        <f t="shared" si="67"/>
        <v>0</v>
      </c>
      <c r="EU26" s="409">
        <f t="shared" si="67"/>
        <v>0</v>
      </c>
      <c r="EV26" s="409">
        <f t="shared" si="67"/>
        <v>0</v>
      </c>
      <c r="EW26" s="409">
        <f t="shared" si="67"/>
        <v>0</v>
      </c>
      <c r="EX26" s="409">
        <f t="shared" si="67"/>
        <v>0</v>
      </c>
      <c r="EY26" s="409">
        <f t="shared" si="67"/>
        <v>0</v>
      </c>
      <c r="EZ26" s="409">
        <f t="shared" si="67"/>
        <v>0</v>
      </c>
      <c r="FA26" s="409">
        <f t="shared" si="67"/>
        <v>0</v>
      </c>
      <c r="FB26" s="409">
        <f t="shared" si="67"/>
        <v>0</v>
      </c>
      <c r="FC26" s="409">
        <f t="shared" si="68"/>
        <v>0</v>
      </c>
      <c r="FD26" s="409">
        <f t="shared" si="68"/>
        <v>0</v>
      </c>
      <c r="FE26" s="409">
        <f t="shared" si="68"/>
        <v>0</v>
      </c>
      <c r="FF26" s="409">
        <f t="shared" si="68"/>
        <v>0</v>
      </c>
      <c r="FG26" s="409">
        <f t="shared" si="68"/>
        <v>0</v>
      </c>
      <c r="FH26" s="409">
        <f t="shared" si="68"/>
        <v>0</v>
      </c>
      <c r="FI26" s="409">
        <f t="shared" si="68"/>
        <v>0</v>
      </c>
      <c r="FJ26" s="409">
        <f t="shared" si="68"/>
        <v>0</v>
      </c>
      <c r="FK26" s="409">
        <f t="shared" si="68"/>
        <v>0</v>
      </c>
      <c r="FL26" s="409">
        <f t="shared" si="68"/>
        <v>0</v>
      </c>
      <c r="FM26" s="409">
        <f t="shared" si="69"/>
        <v>0</v>
      </c>
      <c r="FN26" s="409">
        <f t="shared" si="69"/>
        <v>0</v>
      </c>
      <c r="FO26" s="409">
        <f t="shared" si="69"/>
        <v>0</v>
      </c>
      <c r="FP26" s="409">
        <f t="shared" si="69"/>
        <v>0</v>
      </c>
      <c r="FQ26" s="409">
        <f t="shared" si="69"/>
        <v>0</v>
      </c>
      <c r="FR26" s="409">
        <f t="shared" si="69"/>
        <v>0</v>
      </c>
      <c r="FS26" s="409">
        <f t="shared" si="69"/>
        <v>0</v>
      </c>
      <c r="FT26" s="409">
        <f t="shared" si="69"/>
        <v>0</v>
      </c>
      <c r="FU26" s="409">
        <f t="shared" si="69"/>
        <v>0</v>
      </c>
      <c r="FV26" s="409">
        <f t="shared" si="69"/>
        <v>0</v>
      </c>
      <c r="FW26" s="409">
        <f t="shared" si="70"/>
        <v>0</v>
      </c>
      <c r="FX26" s="409">
        <f t="shared" si="70"/>
        <v>0</v>
      </c>
      <c r="FY26" s="409">
        <f t="shared" si="70"/>
        <v>0</v>
      </c>
      <c r="FZ26" s="409">
        <f t="shared" si="70"/>
        <v>0</v>
      </c>
      <c r="GA26" s="409">
        <f t="shared" si="70"/>
        <v>0</v>
      </c>
      <c r="GB26" s="409">
        <f t="shared" si="70"/>
        <v>0</v>
      </c>
      <c r="GC26" s="409">
        <f t="shared" si="70"/>
        <v>0</v>
      </c>
      <c r="GD26" s="409">
        <f t="shared" si="70"/>
        <v>0</v>
      </c>
      <c r="GE26" s="409">
        <f t="shared" si="70"/>
        <v>0</v>
      </c>
      <c r="GF26" s="409">
        <f t="shared" si="70"/>
        <v>0</v>
      </c>
      <c r="GG26" s="409">
        <f t="shared" si="71"/>
        <v>0</v>
      </c>
      <c r="GH26" s="409">
        <f t="shared" si="71"/>
        <v>0</v>
      </c>
      <c r="GI26" s="409">
        <f t="shared" si="71"/>
        <v>0</v>
      </c>
      <c r="GJ26" s="409">
        <f t="shared" si="71"/>
        <v>0</v>
      </c>
      <c r="GK26" s="409">
        <f t="shared" si="71"/>
        <v>0</v>
      </c>
      <c r="GL26" s="409">
        <f t="shared" si="71"/>
        <v>0</v>
      </c>
      <c r="GM26" s="409">
        <f t="shared" si="71"/>
        <v>0</v>
      </c>
      <c r="GN26" s="409">
        <f t="shared" si="71"/>
        <v>0</v>
      </c>
      <c r="GO26" s="409">
        <f t="shared" si="71"/>
        <v>0</v>
      </c>
      <c r="GP26" s="409">
        <f t="shared" si="71"/>
        <v>0</v>
      </c>
      <c r="GQ26" s="409">
        <f t="shared" si="72"/>
        <v>0</v>
      </c>
      <c r="GR26" s="409">
        <f t="shared" si="72"/>
        <v>0</v>
      </c>
      <c r="GS26" s="409">
        <f t="shared" si="72"/>
        <v>0</v>
      </c>
      <c r="GT26" s="409">
        <f t="shared" si="72"/>
        <v>0</v>
      </c>
      <c r="GU26" s="409">
        <f t="shared" si="72"/>
        <v>0</v>
      </c>
      <c r="GV26" s="409">
        <f t="shared" si="72"/>
        <v>0</v>
      </c>
      <c r="GW26" s="409">
        <f t="shared" si="72"/>
        <v>0</v>
      </c>
      <c r="GX26" s="409">
        <f t="shared" si="72"/>
        <v>0</v>
      </c>
      <c r="GY26" s="409">
        <f t="shared" si="72"/>
        <v>0</v>
      </c>
      <c r="GZ26" s="409">
        <f t="shared" si="72"/>
        <v>0</v>
      </c>
      <c r="HA26" s="409">
        <f t="shared" si="73"/>
        <v>0</v>
      </c>
      <c r="HB26" s="409">
        <f t="shared" si="73"/>
        <v>0</v>
      </c>
      <c r="HC26" s="409">
        <f t="shared" si="73"/>
        <v>0</v>
      </c>
      <c r="HD26" s="409">
        <f t="shared" si="73"/>
        <v>0</v>
      </c>
      <c r="HE26" s="409">
        <f t="shared" si="73"/>
        <v>0</v>
      </c>
      <c r="HF26" s="409">
        <f t="shared" si="73"/>
        <v>0</v>
      </c>
      <c r="HG26" s="409">
        <f t="shared" si="73"/>
        <v>0</v>
      </c>
      <c r="HH26" s="409">
        <f t="shared" si="73"/>
        <v>0</v>
      </c>
      <c r="HI26" s="409">
        <f t="shared" si="73"/>
        <v>0</v>
      </c>
      <c r="HJ26" s="409">
        <f t="shared" si="73"/>
        <v>0</v>
      </c>
      <c r="HK26" s="409">
        <f t="shared" si="74"/>
        <v>0</v>
      </c>
      <c r="HL26" s="409">
        <f t="shared" si="74"/>
        <v>0</v>
      </c>
      <c r="HM26" s="409">
        <f t="shared" si="74"/>
        <v>0</v>
      </c>
      <c r="HN26" s="409">
        <f t="shared" si="74"/>
        <v>0</v>
      </c>
      <c r="HO26" s="409">
        <f t="shared" si="74"/>
        <v>0</v>
      </c>
      <c r="HP26" s="409">
        <f t="shared" si="74"/>
        <v>0</v>
      </c>
      <c r="HQ26" s="409">
        <f t="shared" si="74"/>
        <v>0</v>
      </c>
      <c r="HR26" s="409">
        <f t="shared" si="74"/>
        <v>0</v>
      </c>
      <c r="HS26" s="409">
        <f t="shared" si="74"/>
        <v>0</v>
      </c>
      <c r="HT26" s="409">
        <f t="shared" si="74"/>
        <v>0</v>
      </c>
      <c r="HU26" s="409">
        <f t="shared" si="75"/>
        <v>0</v>
      </c>
      <c r="HV26" s="409">
        <f t="shared" si="75"/>
        <v>0</v>
      </c>
      <c r="HW26" s="409">
        <f t="shared" si="75"/>
        <v>0</v>
      </c>
      <c r="HX26" s="409">
        <f t="shared" si="75"/>
        <v>0</v>
      </c>
      <c r="HY26" s="409">
        <f t="shared" si="75"/>
        <v>0</v>
      </c>
      <c r="HZ26" s="409">
        <f t="shared" si="75"/>
        <v>0</v>
      </c>
      <c r="IA26" s="409">
        <f t="shared" si="75"/>
        <v>0</v>
      </c>
      <c r="IB26" s="409">
        <f t="shared" si="75"/>
        <v>0</v>
      </c>
      <c r="IC26" s="409">
        <f t="shared" si="75"/>
        <v>0</v>
      </c>
      <c r="ID26" s="409">
        <f t="shared" si="75"/>
        <v>0</v>
      </c>
      <c r="IE26" s="409">
        <f t="shared" si="76"/>
        <v>0</v>
      </c>
      <c r="IF26" s="409">
        <f t="shared" si="76"/>
        <v>0</v>
      </c>
      <c r="IG26" s="409">
        <f t="shared" si="76"/>
        <v>0</v>
      </c>
      <c r="IH26" s="409">
        <f t="shared" si="76"/>
        <v>0</v>
      </c>
      <c r="II26" s="409">
        <f t="shared" si="76"/>
        <v>0</v>
      </c>
      <c r="IJ26" s="409">
        <f t="shared" si="76"/>
        <v>0</v>
      </c>
      <c r="IK26" s="378">
        <f t="shared" si="54"/>
        <v>19</v>
      </c>
    </row>
    <row r="27" spans="1:245" hidden="1" x14ac:dyDescent="0.2">
      <c r="A27" s="380" t="str">
        <f t="shared" si="34"/>
        <v>x</v>
      </c>
      <c r="B27" s="712" t="str">
        <f>IF(ISERROR(INDEX('Legend(DX)'!$H$8:$H$9,20)),"",INDEX('Legend(DX)'!$H$8:$H$9,20))</f>
        <v/>
      </c>
      <c r="C27" s="712" t="e">
        <f>IF(INDEX('Legend(DX)'!$T$8:$T$9,20)=0,"See Legend",INDEX('Legend(DX)'!$T$8:$T$9,20))</f>
        <v>#REF!</v>
      </c>
      <c r="D27" s="712" t="e">
        <f>IF(INDEX('Legend(DX)'!$R$8:$R$9,(ROW(C27))-7)=0,IF(AND(INDEX('Legend(DX)'!$D$8:$D$9,(ROW(C27))-6)="CH",INDEX('Legend(DX)'!$F$8:$F$9,(ROW(C27))-6)="CASE - MANUAL"),INDEX('Legend(DX)'!$R$8:$R$9,(ROW(C27))-6),IF(INDEX('Legend(DX)'!$V$8:$V$9,(ROW(C27))-7)&gt;1, "(" &amp; INDEX('Legend(DX)'!$V$8:$V$9,(ROW(C27))-7) &amp; ") " &amp; INDEX('Legend(DX)'!$W$8:$W$9,(ROW(C27))-6),INDEX('Legend(DX)'!$W$8:$W$9,(ROW(C27))-7))),INDEX('Legend(DX)'!$R$8:$R$9,(ROW(C27))-7))</f>
        <v>#REF!</v>
      </c>
      <c r="E27" s="713" t="str" cm="1">
        <f t="array" ref="E27">IF(OR(ISNUMBER(SEARCH("Skid",C27)),ISNUMBER(SEARCH("Subcooler",C27)),ISNUMBER(SEARCH("Pump",C27)),ISNUMBER(SEARCH("PH",C27))),0,IF(ISERROR(INDEX('Legend(DX)'!$AA$8:$AA$9,ROW()-7)),"",INDEX('Legend(DX)'!$AA$8:$AA$9,ROW()-7)))</f>
        <v/>
      </c>
      <c r="F27" s="714"/>
      <c r="G27" s="714"/>
      <c r="H27" s="714"/>
      <c r="I27" s="714"/>
      <c r="J27" s="714"/>
      <c r="K27" s="890">
        <f t="shared" si="35"/>
        <v>0</v>
      </c>
      <c r="L27" s="718"/>
      <c r="M27" s="720"/>
      <c r="N27" s="972">
        <f t="shared" si="7"/>
        <v>-1</v>
      </c>
      <c r="O27" s="972">
        <f t="shared" si="36"/>
        <v>-1</v>
      </c>
      <c r="P27" s="972">
        <f t="shared" si="8"/>
        <v>-1</v>
      </c>
      <c r="Q27" s="972">
        <f t="shared" si="37"/>
        <v>-1</v>
      </c>
      <c r="R27" s="972">
        <f t="shared" si="9"/>
        <v>-1</v>
      </c>
      <c r="S27" s="972">
        <f t="shared" si="38"/>
        <v>-1</v>
      </c>
      <c r="T27" s="972">
        <f t="shared" si="10"/>
        <v>-1</v>
      </c>
      <c r="U27" s="972">
        <f t="shared" si="39"/>
        <v>-1</v>
      </c>
      <c r="V27" s="972">
        <f t="shared" si="11"/>
        <v>-1</v>
      </c>
      <c r="W27" s="972">
        <f t="shared" si="40"/>
        <v>-1</v>
      </c>
      <c r="X27" s="972">
        <f t="shared" si="12"/>
        <v>-1</v>
      </c>
      <c r="Y27" s="972">
        <f t="shared" si="41"/>
        <v>-1</v>
      </c>
      <c r="Z27" s="972">
        <f t="shared" si="42"/>
        <v>-1</v>
      </c>
      <c r="AA27" s="972">
        <f t="shared" si="43"/>
        <v>-1</v>
      </c>
      <c r="AB27" s="972">
        <f t="shared" si="44"/>
        <v>-1</v>
      </c>
      <c r="AC27" s="972">
        <f t="shared" si="45"/>
        <v>-1</v>
      </c>
      <c r="AD27" s="972">
        <f t="shared" si="46"/>
        <v>-1</v>
      </c>
      <c r="AE27" s="972">
        <f t="shared" si="47"/>
        <v>-1</v>
      </c>
      <c r="AF27" s="972">
        <f t="shared" si="48"/>
        <v>-1</v>
      </c>
      <c r="AG27" s="972">
        <f t="shared" si="49"/>
        <v>-1</v>
      </c>
      <c r="AH27" s="972">
        <f t="shared" si="50"/>
        <v>-1</v>
      </c>
      <c r="AI27" s="972">
        <f t="shared" si="51"/>
        <v>-1</v>
      </c>
      <c r="AJ27" s="972">
        <f t="shared" si="52"/>
        <v>-1</v>
      </c>
      <c r="AK27" s="381" t="str">
        <f>IF(ISERROR(INDEX('Legend(DX)'!$AI$8:$AI$9,IK27)),"",INDEX('Legend(DX)'!$AI$8:$AI$9,IK27))</f>
        <v/>
      </c>
      <c r="AL27" s="727" t="str">
        <f t="shared" si="55"/>
        <v/>
      </c>
      <c r="AM27" s="409">
        <f t="shared" si="56"/>
        <v>0</v>
      </c>
      <c r="AN27" s="409">
        <f t="shared" si="56"/>
        <v>0</v>
      </c>
      <c r="AO27" s="409">
        <f t="shared" si="56"/>
        <v>0</v>
      </c>
      <c r="AP27" s="409">
        <f t="shared" si="56"/>
        <v>0</v>
      </c>
      <c r="AQ27" s="409">
        <f t="shared" si="56"/>
        <v>0</v>
      </c>
      <c r="AR27" s="409">
        <f t="shared" si="56"/>
        <v>0</v>
      </c>
      <c r="AS27" s="409">
        <f t="shared" si="56"/>
        <v>0</v>
      </c>
      <c r="AT27" s="409">
        <f t="shared" si="56"/>
        <v>0</v>
      </c>
      <c r="AU27" s="409">
        <f t="shared" si="56"/>
        <v>0</v>
      </c>
      <c r="AV27" s="409">
        <f t="shared" si="56"/>
        <v>0</v>
      </c>
      <c r="AW27" s="409">
        <f t="shared" si="57"/>
        <v>0</v>
      </c>
      <c r="AX27" s="409">
        <f t="shared" si="57"/>
        <v>0</v>
      </c>
      <c r="AY27" s="409">
        <f t="shared" si="57"/>
        <v>0</v>
      </c>
      <c r="AZ27" s="409">
        <f t="shared" si="57"/>
        <v>0</v>
      </c>
      <c r="BA27" s="409">
        <f t="shared" si="57"/>
        <v>0</v>
      </c>
      <c r="BB27" s="409">
        <f t="shared" si="57"/>
        <v>0</v>
      </c>
      <c r="BC27" s="409">
        <f t="shared" si="57"/>
        <v>0</v>
      </c>
      <c r="BD27" s="409">
        <f t="shared" si="57"/>
        <v>0</v>
      </c>
      <c r="BE27" s="409">
        <f t="shared" si="57"/>
        <v>0</v>
      </c>
      <c r="BF27" s="409">
        <f t="shared" si="57"/>
        <v>0</v>
      </c>
      <c r="BG27" s="409">
        <f t="shared" si="58"/>
        <v>0</v>
      </c>
      <c r="BH27" s="409">
        <f t="shared" si="58"/>
        <v>0</v>
      </c>
      <c r="BI27" s="409">
        <f t="shared" si="58"/>
        <v>0</v>
      </c>
      <c r="BJ27" s="409">
        <f t="shared" si="58"/>
        <v>0</v>
      </c>
      <c r="BK27" s="409">
        <f t="shared" si="58"/>
        <v>0</v>
      </c>
      <c r="BL27" s="409">
        <f t="shared" si="58"/>
        <v>0</v>
      </c>
      <c r="BM27" s="409">
        <f t="shared" si="58"/>
        <v>0</v>
      </c>
      <c r="BN27" s="409">
        <f t="shared" si="58"/>
        <v>0</v>
      </c>
      <c r="BO27" s="409">
        <f t="shared" si="58"/>
        <v>0</v>
      </c>
      <c r="BP27" s="409">
        <f t="shared" si="58"/>
        <v>0</v>
      </c>
      <c r="BQ27" s="409">
        <f t="shared" si="59"/>
        <v>0</v>
      </c>
      <c r="BR27" s="409">
        <f t="shared" si="59"/>
        <v>0</v>
      </c>
      <c r="BS27" s="409">
        <f t="shared" si="59"/>
        <v>0</v>
      </c>
      <c r="BT27" s="409">
        <f t="shared" si="59"/>
        <v>0</v>
      </c>
      <c r="BU27" s="409">
        <f t="shared" si="59"/>
        <v>0</v>
      </c>
      <c r="BV27" s="409">
        <f t="shared" si="59"/>
        <v>0</v>
      </c>
      <c r="BW27" s="409">
        <f t="shared" si="59"/>
        <v>0</v>
      </c>
      <c r="BX27" s="409">
        <f t="shared" si="59"/>
        <v>0</v>
      </c>
      <c r="BY27" s="409">
        <f t="shared" si="59"/>
        <v>0</v>
      </c>
      <c r="BZ27" s="409">
        <f t="shared" si="59"/>
        <v>0</v>
      </c>
      <c r="CA27" s="409">
        <f t="shared" si="60"/>
        <v>0</v>
      </c>
      <c r="CB27" s="409">
        <f t="shared" si="60"/>
        <v>0</v>
      </c>
      <c r="CC27" s="409">
        <f t="shared" si="60"/>
        <v>0</v>
      </c>
      <c r="CD27" s="409">
        <f t="shared" si="60"/>
        <v>0</v>
      </c>
      <c r="CE27" s="409">
        <f t="shared" si="60"/>
        <v>0</v>
      </c>
      <c r="CF27" s="409">
        <f t="shared" si="60"/>
        <v>0</v>
      </c>
      <c r="CG27" s="409">
        <f t="shared" si="60"/>
        <v>0</v>
      </c>
      <c r="CH27" s="409">
        <f t="shared" si="60"/>
        <v>0</v>
      </c>
      <c r="CI27" s="409">
        <f t="shared" si="60"/>
        <v>0</v>
      </c>
      <c r="CJ27" s="409">
        <f t="shared" si="60"/>
        <v>0</v>
      </c>
      <c r="CK27" s="409">
        <f t="shared" si="61"/>
        <v>0</v>
      </c>
      <c r="CL27" s="409">
        <f t="shared" si="61"/>
        <v>0</v>
      </c>
      <c r="CM27" s="409">
        <f t="shared" si="61"/>
        <v>0</v>
      </c>
      <c r="CN27" s="409">
        <f t="shared" si="61"/>
        <v>0</v>
      </c>
      <c r="CO27" s="409">
        <f t="shared" si="61"/>
        <v>0</v>
      </c>
      <c r="CP27" s="409">
        <f t="shared" si="61"/>
        <v>0</v>
      </c>
      <c r="CQ27" s="409">
        <f t="shared" si="61"/>
        <v>0</v>
      </c>
      <c r="CR27" s="409">
        <f t="shared" si="61"/>
        <v>0</v>
      </c>
      <c r="CS27" s="409">
        <f t="shared" si="61"/>
        <v>0</v>
      </c>
      <c r="CT27" s="409">
        <f t="shared" si="61"/>
        <v>0</v>
      </c>
      <c r="CU27" s="409">
        <f t="shared" si="62"/>
        <v>0</v>
      </c>
      <c r="CV27" s="409">
        <f t="shared" si="62"/>
        <v>0</v>
      </c>
      <c r="CW27" s="409">
        <f t="shared" si="62"/>
        <v>0</v>
      </c>
      <c r="CX27" s="409">
        <f t="shared" si="62"/>
        <v>0</v>
      </c>
      <c r="CY27" s="409">
        <f t="shared" si="62"/>
        <v>0</v>
      </c>
      <c r="CZ27" s="409">
        <f t="shared" si="62"/>
        <v>0</v>
      </c>
      <c r="DA27" s="409">
        <f t="shared" si="62"/>
        <v>0</v>
      </c>
      <c r="DB27" s="409">
        <f t="shared" si="62"/>
        <v>0</v>
      </c>
      <c r="DC27" s="409">
        <f t="shared" si="62"/>
        <v>0</v>
      </c>
      <c r="DD27" s="409">
        <f t="shared" si="62"/>
        <v>0</v>
      </c>
      <c r="DE27" s="409">
        <f t="shared" si="63"/>
        <v>0</v>
      </c>
      <c r="DF27" s="409">
        <f t="shared" si="63"/>
        <v>0</v>
      </c>
      <c r="DG27" s="409">
        <f t="shared" si="63"/>
        <v>0</v>
      </c>
      <c r="DH27" s="409">
        <f t="shared" si="63"/>
        <v>0</v>
      </c>
      <c r="DI27" s="409">
        <f t="shared" si="63"/>
        <v>0</v>
      </c>
      <c r="DJ27" s="409">
        <f t="shared" si="63"/>
        <v>0</v>
      </c>
      <c r="DK27" s="409">
        <f t="shared" si="63"/>
        <v>0</v>
      </c>
      <c r="DL27" s="409">
        <f t="shared" si="63"/>
        <v>0</v>
      </c>
      <c r="DM27" s="409">
        <f t="shared" si="63"/>
        <v>0</v>
      </c>
      <c r="DN27" s="409">
        <f t="shared" si="63"/>
        <v>0</v>
      </c>
      <c r="DO27" s="409">
        <f t="shared" si="64"/>
        <v>0</v>
      </c>
      <c r="DP27" s="409">
        <f t="shared" si="64"/>
        <v>0</v>
      </c>
      <c r="DQ27" s="409">
        <f t="shared" si="64"/>
        <v>0</v>
      </c>
      <c r="DR27" s="409">
        <f t="shared" si="64"/>
        <v>0</v>
      </c>
      <c r="DS27" s="409">
        <f t="shared" si="64"/>
        <v>0</v>
      </c>
      <c r="DT27" s="409">
        <f t="shared" si="64"/>
        <v>0</v>
      </c>
      <c r="DU27" s="409">
        <f t="shared" si="64"/>
        <v>0</v>
      </c>
      <c r="DV27" s="409">
        <f t="shared" si="64"/>
        <v>0</v>
      </c>
      <c r="DW27" s="409">
        <f t="shared" si="64"/>
        <v>0</v>
      </c>
      <c r="DX27" s="409">
        <f t="shared" si="64"/>
        <v>0</v>
      </c>
      <c r="DY27" s="409">
        <f t="shared" si="65"/>
        <v>0</v>
      </c>
      <c r="DZ27" s="409">
        <f t="shared" si="65"/>
        <v>0</v>
      </c>
      <c r="EA27" s="409">
        <f t="shared" si="65"/>
        <v>0</v>
      </c>
      <c r="EB27" s="409">
        <f t="shared" si="65"/>
        <v>0</v>
      </c>
      <c r="EC27" s="409">
        <f t="shared" si="65"/>
        <v>0</v>
      </c>
      <c r="ED27" s="409">
        <f t="shared" si="65"/>
        <v>0</v>
      </c>
      <c r="EE27" s="409">
        <f t="shared" si="65"/>
        <v>0</v>
      </c>
      <c r="EF27" s="409">
        <f t="shared" si="65"/>
        <v>0</v>
      </c>
      <c r="EG27" s="409">
        <f t="shared" si="65"/>
        <v>0</v>
      </c>
      <c r="EH27" s="409">
        <f t="shared" si="65"/>
        <v>0</v>
      </c>
      <c r="EI27" s="409">
        <f t="shared" si="66"/>
        <v>0</v>
      </c>
      <c r="EJ27" s="409">
        <f t="shared" si="66"/>
        <v>0</v>
      </c>
      <c r="EK27" s="409">
        <f t="shared" si="66"/>
        <v>0</v>
      </c>
      <c r="EL27" s="409">
        <f t="shared" si="66"/>
        <v>0</v>
      </c>
      <c r="EM27" s="409">
        <f t="shared" si="66"/>
        <v>0</v>
      </c>
      <c r="EN27" s="409">
        <f t="shared" si="66"/>
        <v>0</v>
      </c>
      <c r="EO27" s="409">
        <f t="shared" si="66"/>
        <v>0</v>
      </c>
      <c r="EP27" s="409">
        <f t="shared" si="66"/>
        <v>0</v>
      </c>
      <c r="EQ27" s="409">
        <f t="shared" si="66"/>
        <v>0</v>
      </c>
      <c r="ER27" s="409">
        <f t="shared" si="66"/>
        <v>0</v>
      </c>
      <c r="ES27" s="409">
        <f t="shared" si="67"/>
        <v>0</v>
      </c>
      <c r="ET27" s="409">
        <f t="shared" si="67"/>
        <v>0</v>
      </c>
      <c r="EU27" s="409">
        <f t="shared" si="67"/>
        <v>0</v>
      </c>
      <c r="EV27" s="409">
        <f t="shared" si="67"/>
        <v>0</v>
      </c>
      <c r="EW27" s="409">
        <f t="shared" si="67"/>
        <v>0</v>
      </c>
      <c r="EX27" s="409">
        <f t="shared" si="67"/>
        <v>0</v>
      </c>
      <c r="EY27" s="409">
        <f t="shared" si="67"/>
        <v>0</v>
      </c>
      <c r="EZ27" s="409">
        <f t="shared" si="67"/>
        <v>0</v>
      </c>
      <c r="FA27" s="409">
        <f t="shared" si="67"/>
        <v>0</v>
      </c>
      <c r="FB27" s="409">
        <f t="shared" si="67"/>
        <v>0</v>
      </c>
      <c r="FC27" s="409">
        <f t="shared" si="68"/>
        <v>0</v>
      </c>
      <c r="FD27" s="409">
        <f t="shared" si="68"/>
        <v>0</v>
      </c>
      <c r="FE27" s="409">
        <f t="shared" si="68"/>
        <v>0</v>
      </c>
      <c r="FF27" s="409">
        <f t="shared" si="68"/>
        <v>0</v>
      </c>
      <c r="FG27" s="409">
        <f t="shared" si="68"/>
        <v>0</v>
      </c>
      <c r="FH27" s="409">
        <f t="shared" si="68"/>
        <v>0</v>
      </c>
      <c r="FI27" s="409">
        <f t="shared" si="68"/>
        <v>0</v>
      </c>
      <c r="FJ27" s="409">
        <f t="shared" si="68"/>
        <v>0</v>
      </c>
      <c r="FK27" s="409">
        <f t="shared" si="68"/>
        <v>0</v>
      </c>
      <c r="FL27" s="409">
        <f t="shared" si="68"/>
        <v>0</v>
      </c>
      <c r="FM27" s="409">
        <f t="shared" si="69"/>
        <v>0</v>
      </c>
      <c r="FN27" s="409">
        <f t="shared" si="69"/>
        <v>0</v>
      </c>
      <c r="FO27" s="409">
        <f t="shared" si="69"/>
        <v>0</v>
      </c>
      <c r="FP27" s="409">
        <f t="shared" si="69"/>
        <v>0</v>
      </c>
      <c r="FQ27" s="409">
        <f t="shared" si="69"/>
        <v>0</v>
      </c>
      <c r="FR27" s="409">
        <f t="shared" si="69"/>
        <v>0</v>
      </c>
      <c r="FS27" s="409">
        <f t="shared" si="69"/>
        <v>0</v>
      </c>
      <c r="FT27" s="409">
        <f t="shared" si="69"/>
        <v>0</v>
      </c>
      <c r="FU27" s="409">
        <f t="shared" si="69"/>
        <v>0</v>
      </c>
      <c r="FV27" s="409">
        <f t="shared" si="69"/>
        <v>0</v>
      </c>
      <c r="FW27" s="409">
        <f t="shared" si="70"/>
        <v>0</v>
      </c>
      <c r="FX27" s="409">
        <f t="shared" si="70"/>
        <v>0</v>
      </c>
      <c r="FY27" s="409">
        <f t="shared" si="70"/>
        <v>0</v>
      </c>
      <c r="FZ27" s="409">
        <f t="shared" si="70"/>
        <v>0</v>
      </c>
      <c r="GA27" s="409">
        <f t="shared" si="70"/>
        <v>0</v>
      </c>
      <c r="GB27" s="409">
        <f t="shared" si="70"/>
        <v>0</v>
      </c>
      <c r="GC27" s="409">
        <f t="shared" si="70"/>
        <v>0</v>
      </c>
      <c r="GD27" s="409">
        <f t="shared" si="70"/>
        <v>0</v>
      </c>
      <c r="GE27" s="409">
        <f t="shared" si="70"/>
        <v>0</v>
      </c>
      <c r="GF27" s="409">
        <f t="shared" si="70"/>
        <v>0</v>
      </c>
      <c r="GG27" s="409">
        <f t="shared" si="71"/>
        <v>0</v>
      </c>
      <c r="GH27" s="409">
        <f t="shared" si="71"/>
        <v>0</v>
      </c>
      <c r="GI27" s="409">
        <f t="shared" si="71"/>
        <v>0</v>
      </c>
      <c r="GJ27" s="409">
        <f t="shared" si="71"/>
        <v>0</v>
      </c>
      <c r="GK27" s="409">
        <f t="shared" si="71"/>
        <v>0</v>
      </c>
      <c r="GL27" s="409">
        <f t="shared" si="71"/>
        <v>0</v>
      </c>
      <c r="GM27" s="409">
        <f t="shared" si="71"/>
        <v>0</v>
      </c>
      <c r="GN27" s="409">
        <f t="shared" si="71"/>
        <v>0</v>
      </c>
      <c r="GO27" s="409">
        <f t="shared" si="71"/>
        <v>0</v>
      </c>
      <c r="GP27" s="409">
        <f t="shared" si="71"/>
        <v>0</v>
      </c>
      <c r="GQ27" s="409">
        <f t="shared" si="72"/>
        <v>0</v>
      </c>
      <c r="GR27" s="409">
        <f t="shared" si="72"/>
        <v>0</v>
      </c>
      <c r="GS27" s="409">
        <f t="shared" si="72"/>
        <v>0</v>
      </c>
      <c r="GT27" s="409">
        <f t="shared" si="72"/>
        <v>0</v>
      </c>
      <c r="GU27" s="409">
        <f t="shared" si="72"/>
        <v>0</v>
      </c>
      <c r="GV27" s="409">
        <f t="shared" si="72"/>
        <v>0</v>
      </c>
      <c r="GW27" s="409">
        <f t="shared" si="72"/>
        <v>0</v>
      </c>
      <c r="GX27" s="409">
        <f t="shared" si="72"/>
        <v>0</v>
      </c>
      <c r="GY27" s="409">
        <f t="shared" si="72"/>
        <v>0</v>
      </c>
      <c r="GZ27" s="409">
        <f t="shared" si="72"/>
        <v>0</v>
      </c>
      <c r="HA27" s="409">
        <f t="shared" si="73"/>
        <v>0</v>
      </c>
      <c r="HB27" s="409">
        <f t="shared" si="73"/>
        <v>0</v>
      </c>
      <c r="HC27" s="409">
        <f t="shared" si="73"/>
        <v>0</v>
      </c>
      <c r="HD27" s="409">
        <f t="shared" si="73"/>
        <v>0</v>
      </c>
      <c r="HE27" s="409">
        <f t="shared" si="73"/>
        <v>0</v>
      </c>
      <c r="HF27" s="409">
        <f t="shared" si="73"/>
        <v>0</v>
      </c>
      <c r="HG27" s="409">
        <f t="shared" si="73"/>
        <v>0</v>
      </c>
      <c r="HH27" s="409">
        <f t="shared" si="73"/>
        <v>0</v>
      </c>
      <c r="HI27" s="409">
        <f t="shared" si="73"/>
        <v>0</v>
      </c>
      <c r="HJ27" s="409">
        <f t="shared" si="73"/>
        <v>0</v>
      </c>
      <c r="HK27" s="409">
        <f t="shared" si="74"/>
        <v>0</v>
      </c>
      <c r="HL27" s="409">
        <f t="shared" si="74"/>
        <v>0</v>
      </c>
      <c r="HM27" s="409">
        <f t="shared" si="74"/>
        <v>0</v>
      </c>
      <c r="HN27" s="409">
        <f t="shared" si="74"/>
        <v>0</v>
      </c>
      <c r="HO27" s="409">
        <f t="shared" si="74"/>
        <v>0</v>
      </c>
      <c r="HP27" s="409">
        <f t="shared" si="74"/>
        <v>0</v>
      </c>
      <c r="HQ27" s="409">
        <f t="shared" si="74"/>
        <v>0</v>
      </c>
      <c r="HR27" s="409">
        <f t="shared" si="74"/>
        <v>0</v>
      </c>
      <c r="HS27" s="409">
        <f t="shared" si="74"/>
        <v>0</v>
      </c>
      <c r="HT27" s="409">
        <f t="shared" si="74"/>
        <v>0</v>
      </c>
      <c r="HU27" s="409">
        <f t="shared" si="75"/>
        <v>0</v>
      </c>
      <c r="HV27" s="409">
        <f t="shared" si="75"/>
        <v>0</v>
      </c>
      <c r="HW27" s="409">
        <f t="shared" si="75"/>
        <v>0</v>
      </c>
      <c r="HX27" s="409">
        <f t="shared" si="75"/>
        <v>0</v>
      </c>
      <c r="HY27" s="409">
        <f t="shared" si="75"/>
        <v>0</v>
      </c>
      <c r="HZ27" s="409">
        <f t="shared" si="75"/>
        <v>0</v>
      </c>
      <c r="IA27" s="409">
        <f t="shared" si="75"/>
        <v>0</v>
      </c>
      <c r="IB27" s="409">
        <f t="shared" si="75"/>
        <v>0</v>
      </c>
      <c r="IC27" s="409">
        <f t="shared" si="75"/>
        <v>0</v>
      </c>
      <c r="ID27" s="409">
        <f t="shared" si="75"/>
        <v>0</v>
      </c>
      <c r="IE27" s="409">
        <f t="shared" si="76"/>
        <v>0</v>
      </c>
      <c r="IF27" s="409">
        <f t="shared" si="76"/>
        <v>0</v>
      </c>
      <c r="IG27" s="409">
        <f t="shared" si="76"/>
        <v>0</v>
      </c>
      <c r="IH27" s="409">
        <f t="shared" si="76"/>
        <v>0</v>
      </c>
      <c r="II27" s="409">
        <f t="shared" si="76"/>
        <v>0</v>
      </c>
      <c r="IJ27" s="409">
        <f t="shared" si="76"/>
        <v>0</v>
      </c>
      <c r="IK27" s="378">
        <f t="shared" si="54"/>
        <v>20</v>
      </c>
    </row>
    <row r="28" spans="1:245" hidden="1" x14ac:dyDescent="0.2">
      <c r="A28" s="380" t="str">
        <f t="shared" si="34"/>
        <v>x</v>
      </c>
      <c r="B28" s="712" t="str">
        <f>IF(ISERROR(INDEX('Legend(DX)'!$H$8:$H$9,21)),"",INDEX('Legend(DX)'!$H$8:$H$9,21))</f>
        <v/>
      </c>
      <c r="C28" s="712" t="e">
        <f>IF(INDEX('Legend(DX)'!$T$8:$T$9,21)=0,"See Legend",INDEX('Legend(DX)'!$T$8:$T$9,21))</f>
        <v>#REF!</v>
      </c>
      <c r="D28" s="712" t="e">
        <f>IF(INDEX('Legend(DX)'!$R$8:$R$9,(ROW(C28))-7)=0,IF(AND(INDEX('Legend(DX)'!$D$8:$D$9,(ROW(C28))-6)="CH",INDEX('Legend(DX)'!$F$8:$F$9,(ROW(C28))-6)="CASE - MANUAL"),INDEX('Legend(DX)'!$R$8:$R$9,(ROW(C28))-6),IF(INDEX('Legend(DX)'!$V$8:$V$9,(ROW(C28))-7)&gt;1, "(" &amp; INDEX('Legend(DX)'!$V$8:$V$9,(ROW(C28))-7) &amp; ") " &amp; INDEX('Legend(DX)'!$W$8:$W$9,(ROW(C28))-6),INDEX('Legend(DX)'!$W$8:$W$9,(ROW(C28))-7))),INDEX('Legend(DX)'!$R$8:$R$9,(ROW(C28))-7))</f>
        <v>#REF!</v>
      </c>
      <c r="E28" s="713" t="str" cm="1">
        <f t="array" ref="E28">IF(OR(ISNUMBER(SEARCH("Skid",C28)),ISNUMBER(SEARCH("Subcooler",C28)),ISNUMBER(SEARCH("Pump",C28)),ISNUMBER(SEARCH("PH",C28))),0,IF(ISERROR(INDEX('Legend(DX)'!$AA$8:$AA$9,ROW()-7)),"",INDEX('Legend(DX)'!$AA$8:$AA$9,ROW()-7)))</f>
        <v/>
      </c>
      <c r="F28" s="714"/>
      <c r="G28" s="714"/>
      <c r="H28" s="714"/>
      <c r="I28" s="714"/>
      <c r="J28" s="714"/>
      <c r="K28" s="890">
        <f t="shared" si="35"/>
        <v>0</v>
      </c>
      <c r="L28" s="718"/>
      <c r="M28" s="720"/>
      <c r="N28" s="972">
        <f t="shared" si="7"/>
        <v>-1</v>
      </c>
      <c r="O28" s="972">
        <f t="shared" si="36"/>
        <v>-1</v>
      </c>
      <c r="P28" s="972">
        <f t="shared" si="8"/>
        <v>-1</v>
      </c>
      <c r="Q28" s="972">
        <f t="shared" si="37"/>
        <v>-1</v>
      </c>
      <c r="R28" s="972">
        <f t="shared" si="9"/>
        <v>-1</v>
      </c>
      <c r="S28" s="972">
        <f t="shared" si="38"/>
        <v>-1</v>
      </c>
      <c r="T28" s="972">
        <f t="shared" si="10"/>
        <v>-1</v>
      </c>
      <c r="U28" s="972">
        <f t="shared" si="39"/>
        <v>-1</v>
      </c>
      <c r="V28" s="972">
        <f t="shared" si="11"/>
        <v>-1</v>
      </c>
      <c r="W28" s="972">
        <f t="shared" si="40"/>
        <v>-1</v>
      </c>
      <c r="X28" s="972">
        <f t="shared" si="12"/>
        <v>-1</v>
      </c>
      <c r="Y28" s="972">
        <f t="shared" si="41"/>
        <v>-1</v>
      </c>
      <c r="Z28" s="972">
        <f t="shared" si="42"/>
        <v>-1</v>
      </c>
      <c r="AA28" s="972">
        <f t="shared" si="43"/>
        <v>-1</v>
      </c>
      <c r="AB28" s="972">
        <f t="shared" si="44"/>
        <v>-1</v>
      </c>
      <c r="AC28" s="972">
        <f t="shared" si="45"/>
        <v>-1</v>
      </c>
      <c r="AD28" s="972">
        <f t="shared" si="46"/>
        <v>-1</v>
      </c>
      <c r="AE28" s="972">
        <f t="shared" si="47"/>
        <v>-1</v>
      </c>
      <c r="AF28" s="972">
        <f t="shared" si="48"/>
        <v>-1</v>
      </c>
      <c r="AG28" s="972">
        <f t="shared" si="49"/>
        <v>-1</v>
      </c>
      <c r="AH28" s="972">
        <f t="shared" si="50"/>
        <v>-1</v>
      </c>
      <c r="AI28" s="972">
        <f t="shared" si="51"/>
        <v>-1</v>
      </c>
      <c r="AJ28" s="972">
        <f t="shared" si="52"/>
        <v>-1</v>
      </c>
      <c r="AK28" s="381" t="str">
        <f>IF(ISERROR(INDEX('Legend(DX)'!$AI$8:$AI$9,IK28)),"",INDEX('Legend(DX)'!$AI$8:$AI$9,IK28))</f>
        <v/>
      </c>
      <c r="AL28" s="727" t="str">
        <f t="shared" si="55"/>
        <v/>
      </c>
      <c r="AM28" s="409">
        <f t="shared" ref="AM28:AV37" si="77">IF(ISNA(AM$7),"",IF(OR(AND(AM$7&lt;=$N28,AM$7&gt;$N28-TIME(0,TimeIncr,0)),AND(AM$7&lt;=$P28,AM$7&gt;$P28-TIME(0,TimeIncr,0)),AND(AM$7&lt;=$R28,AM$7&gt;$R28-TIME(0,TimeIncr,0)),AND(AM$7&lt;=$T28,AM$7&gt;$T28-TIME(0,TimeIncr,0)),AND(AM$7&lt;=$V28,AM$7&gt;$V28-TIME(0,TimeIncr,0)),AND(AM$7&lt;=$X28,AM$7&gt;$X28-TIME(0,TimeIncr,0)),AND(AM$7&lt;=$Z28,AM$7&gt;$Z28-TIME(0,TimeIncr,0)),AND(AM$7&lt;=$AB28,AM$7&gt;$AB28-TIME(0,TimeIncr,0)),AND(AM$7&lt;=$AD28,AM$7&gt;$AD28-TIME(0,TimeIncr,0)),AND(AM$7&lt;=$AF28,AM$7&gt;$AF28-TIME(0,TimeIncr,0)),AND(AM$7&lt;=$AH28,AM$7&gt;$AH28-TIME(0,TimeIncr,0)),AND(AM$7&lt;=$AJ28,AM$7&gt;$AJ28-TIME(0,TimeIncr,0))),$E28*$L28,IF(OR(AND(AM$7&gt;=$M28,AM$7&lt;=$N28),AND(AM$7&gt;=$O28,AM$7&lt;=$P28),AND(AM$7&gt;=$Q28,AM$7&lt;=$R28),AND(AM$7&gt;=$S28,AM$7&lt;=$T28),AND(AM$7&gt;=$U28,AM$7&lt;=$V28),AND(AM$7&gt;=$W28,AM$7&lt;=$X28),AND(AM$7&gt;=$Y28,AM$7&lt;=$Z28),AND(AM$7&gt;=$AA28,AM$7&lt;=$AB28),AND(AM$7&gt;=$AC28,AM$7&lt;=$AD28),AND(AM$7&gt;=$AE28,AM$7&lt;=$AF28),AND(AM$7&gt;=$AG28,AM$7&lt;=$AH28),AND(AM$7&gt;=$AI28,AM$7&lt;=$AJ28)),0,IF(OR(AND($M28&gt;$N28,AM$7&lt;=$N28),AND($O28&gt;$P28,AM$7&lt;=$P28),AND($Q28&gt;$R28,AM$7&lt;=$R28),AND($S28&gt;$T28,AM$7&lt;=$T28),AND($U28&gt;$V28,AM$7&lt;=$V28),AND($W28&gt;$X28,AM$7&lt;=$X28),AND($Y28&gt;$Z28,AM$7&lt;=$Z28),AND($AA28&gt;$AB28,AM$7&lt;=$AB28),AND($AC28&gt;$AD28,AM$7&lt;=$AD28),AND($AE28&gt;$AF28,AM$7&lt;=$AF28),AND($AG28&gt;$AH28,AM$7&lt;=$AH28),AND($AI28&gt;$AJ28,AM$7&lt;=$AJ28)),0,IF(OR(AND(AM$7&gt;=$M28,$M28&gt;$N28),AND(AM$7&gt;=$O28,$O28&gt;$P28),AND(AM$7&gt;=$Q28,$Q28&gt;$R28),AND(AM$7&gt;=$S28,$S28&gt;$T28),AND(AM$7&gt;=$U28,$U28&gt;$V28),AND(AM$7&gt;=$W28,$W28&gt;$X28),AND(AM$7&gt;=$Y28,$Y28&gt;$Z28),AND(AM$7&gt;=$AA28,$AA28&gt;$AB28),AND(AM$7&gt;=$AC28,$AC28&gt;$AD28),AND(AM$7&gt;=$AE28,$AE28&gt;$AF28),AND(AM$7&gt;=$AG28,$AG28&gt;$AH28),AND(AM$7&gt;=$AI28,$AI28&gt;$AJ28)),0,$E28)))))</f>
        <v>0</v>
      </c>
      <c r="AN28" s="409">
        <f t="shared" si="77"/>
        <v>0</v>
      </c>
      <c r="AO28" s="409">
        <f t="shared" si="77"/>
        <v>0</v>
      </c>
      <c r="AP28" s="409">
        <f t="shared" si="77"/>
        <v>0</v>
      </c>
      <c r="AQ28" s="409">
        <f t="shared" si="77"/>
        <v>0</v>
      </c>
      <c r="AR28" s="409">
        <f t="shared" si="77"/>
        <v>0</v>
      </c>
      <c r="AS28" s="409">
        <f t="shared" si="77"/>
        <v>0</v>
      </c>
      <c r="AT28" s="409">
        <f t="shared" si="77"/>
        <v>0</v>
      </c>
      <c r="AU28" s="409">
        <f t="shared" si="77"/>
        <v>0</v>
      </c>
      <c r="AV28" s="409">
        <f t="shared" si="77"/>
        <v>0</v>
      </c>
      <c r="AW28" s="409">
        <f t="shared" ref="AW28:BF37" si="78">IF(ISNA(AW$7),"",IF(OR(AND(AW$7&lt;=$N28,AW$7&gt;$N28-TIME(0,TimeIncr,0)),AND(AW$7&lt;=$P28,AW$7&gt;$P28-TIME(0,TimeIncr,0)),AND(AW$7&lt;=$R28,AW$7&gt;$R28-TIME(0,TimeIncr,0)),AND(AW$7&lt;=$T28,AW$7&gt;$T28-TIME(0,TimeIncr,0)),AND(AW$7&lt;=$V28,AW$7&gt;$V28-TIME(0,TimeIncr,0)),AND(AW$7&lt;=$X28,AW$7&gt;$X28-TIME(0,TimeIncr,0)),AND(AW$7&lt;=$Z28,AW$7&gt;$Z28-TIME(0,TimeIncr,0)),AND(AW$7&lt;=$AB28,AW$7&gt;$AB28-TIME(0,TimeIncr,0)),AND(AW$7&lt;=$AD28,AW$7&gt;$AD28-TIME(0,TimeIncr,0)),AND(AW$7&lt;=$AF28,AW$7&gt;$AF28-TIME(0,TimeIncr,0)),AND(AW$7&lt;=$AH28,AW$7&gt;$AH28-TIME(0,TimeIncr,0)),AND(AW$7&lt;=$AJ28,AW$7&gt;$AJ28-TIME(0,TimeIncr,0))),$E28*$L28,IF(OR(AND(AW$7&gt;=$M28,AW$7&lt;=$N28),AND(AW$7&gt;=$O28,AW$7&lt;=$P28),AND(AW$7&gt;=$Q28,AW$7&lt;=$R28),AND(AW$7&gt;=$S28,AW$7&lt;=$T28),AND(AW$7&gt;=$U28,AW$7&lt;=$V28),AND(AW$7&gt;=$W28,AW$7&lt;=$X28),AND(AW$7&gt;=$Y28,AW$7&lt;=$Z28),AND(AW$7&gt;=$AA28,AW$7&lt;=$AB28),AND(AW$7&gt;=$AC28,AW$7&lt;=$AD28),AND(AW$7&gt;=$AE28,AW$7&lt;=$AF28),AND(AW$7&gt;=$AG28,AW$7&lt;=$AH28),AND(AW$7&gt;=$AI28,AW$7&lt;=$AJ28)),0,IF(OR(AND($M28&gt;$N28,AW$7&lt;=$N28),AND($O28&gt;$P28,AW$7&lt;=$P28),AND($Q28&gt;$R28,AW$7&lt;=$R28),AND($S28&gt;$T28,AW$7&lt;=$T28),AND($U28&gt;$V28,AW$7&lt;=$V28),AND($W28&gt;$X28,AW$7&lt;=$X28),AND($Y28&gt;$Z28,AW$7&lt;=$Z28),AND($AA28&gt;$AB28,AW$7&lt;=$AB28),AND($AC28&gt;$AD28,AW$7&lt;=$AD28),AND($AE28&gt;$AF28,AW$7&lt;=$AF28),AND($AG28&gt;$AH28,AW$7&lt;=$AH28),AND($AI28&gt;$AJ28,AW$7&lt;=$AJ28)),0,IF(OR(AND(AW$7&gt;=$M28,$M28&gt;$N28),AND(AW$7&gt;=$O28,$O28&gt;$P28),AND(AW$7&gt;=$Q28,$Q28&gt;$R28),AND(AW$7&gt;=$S28,$S28&gt;$T28),AND(AW$7&gt;=$U28,$U28&gt;$V28),AND(AW$7&gt;=$W28,$W28&gt;$X28),AND(AW$7&gt;=$Y28,$Y28&gt;$Z28),AND(AW$7&gt;=$AA28,$AA28&gt;$AB28),AND(AW$7&gt;=$AC28,$AC28&gt;$AD28),AND(AW$7&gt;=$AE28,$AE28&gt;$AF28),AND(AW$7&gt;=$AG28,$AG28&gt;$AH28),AND(AW$7&gt;=$AI28,$AI28&gt;$AJ28)),0,$E28)))))</f>
        <v>0</v>
      </c>
      <c r="AX28" s="409">
        <f t="shared" si="78"/>
        <v>0</v>
      </c>
      <c r="AY28" s="409">
        <f t="shared" si="78"/>
        <v>0</v>
      </c>
      <c r="AZ28" s="409">
        <f t="shared" si="78"/>
        <v>0</v>
      </c>
      <c r="BA28" s="409">
        <f t="shared" si="78"/>
        <v>0</v>
      </c>
      <c r="BB28" s="409">
        <f t="shared" si="78"/>
        <v>0</v>
      </c>
      <c r="BC28" s="409">
        <f t="shared" si="78"/>
        <v>0</v>
      </c>
      <c r="BD28" s="409">
        <f t="shared" si="78"/>
        <v>0</v>
      </c>
      <c r="BE28" s="409">
        <f t="shared" si="78"/>
        <v>0</v>
      </c>
      <c r="BF28" s="409">
        <f t="shared" si="78"/>
        <v>0</v>
      </c>
      <c r="BG28" s="409">
        <f t="shared" ref="BG28:BP37" si="79">IF(ISNA(BG$7),"",IF(OR(AND(BG$7&lt;=$N28,BG$7&gt;$N28-TIME(0,TimeIncr,0)),AND(BG$7&lt;=$P28,BG$7&gt;$P28-TIME(0,TimeIncr,0)),AND(BG$7&lt;=$R28,BG$7&gt;$R28-TIME(0,TimeIncr,0)),AND(BG$7&lt;=$T28,BG$7&gt;$T28-TIME(0,TimeIncr,0)),AND(BG$7&lt;=$V28,BG$7&gt;$V28-TIME(0,TimeIncr,0)),AND(BG$7&lt;=$X28,BG$7&gt;$X28-TIME(0,TimeIncr,0)),AND(BG$7&lt;=$Z28,BG$7&gt;$Z28-TIME(0,TimeIncr,0)),AND(BG$7&lt;=$AB28,BG$7&gt;$AB28-TIME(0,TimeIncr,0)),AND(BG$7&lt;=$AD28,BG$7&gt;$AD28-TIME(0,TimeIncr,0)),AND(BG$7&lt;=$AF28,BG$7&gt;$AF28-TIME(0,TimeIncr,0)),AND(BG$7&lt;=$AH28,BG$7&gt;$AH28-TIME(0,TimeIncr,0)),AND(BG$7&lt;=$AJ28,BG$7&gt;$AJ28-TIME(0,TimeIncr,0))),$E28*$L28,IF(OR(AND(BG$7&gt;=$M28,BG$7&lt;=$N28),AND(BG$7&gt;=$O28,BG$7&lt;=$P28),AND(BG$7&gt;=$Q28,BG$7&lt;=$R28),AND(BG$7&gt;=$S28,BG$7&lt;=$T28),AND(BG$7&gt;=$U28,BG$7&lt;=$V28),AND(BG$7&gt;=$W28,BG$7&lt;=$X28),AND(BG$7&gt;=$Y28,BG$7&lt;=$Z28),AND(BG$7&gt;=$AA28,BG$7&lt;=$AB28),AND(BG$7&gt;=$AC28,BG$7&lt;=$AD28),AND(BG$7&gt;=$AE28,BG$7&lt;=$AF28),AND(BG$7&gt;=$AG28,BG$7&lt;=$AH28),AND(BG$7&gt;=$AI28,BG$7&lt;=$AJ28)),0,IF(OR(AND($M28&gt;$N28,BG$7&lt;=$N28),AND($O28&gt;$P28,BG$7&lt;=$P28),AND($Q28&gt;$R28,BG$7&lt;=$R28),AND($S28&gt;$T28,BG$7&lt;=$T28),AND($U28&gt;$V28,BG$7&lt;=$V28),AND($W28&gt;$X28,BG$7&lt;=$X28),AND($Y28&gt;$Z28,BG$7&lt;=$Z28),AND($AA28&gt;$AB28,BG$7&lt;=$AB28),AND($AC28&gt;$AD28,BG$7&lt;=$AD28),AND($AE28&gt;$AF28,BG$7&lt;=$AF28),AND($AG28&gt;$AH28,BG$7&lt;=$AH28),AND($AI28&gt;$AJ28,BG$7&lt;=$AJ28)),0,IF(OR(AND(BG$7&gt;=$M28,$M28&gt;$N28),AND(BG$7&gt;=$O28,$O28&gt;$P28),AND(BG$7&gt;=$Q28,$Q28&gt;$R28),AND(BG$7&gt;=$S28,$S28&gt;$T28),AND(BG$7&gt;=$U28,$U28&gt;$V28),AND(BG$7&gt;=$W28,$W28&gt;$X28),AND(BG$7&gt;=$Y28,$Y28&gt;$Z28),AND(BG$7&gt;=$AA28,$AA28&gt;$AB28),AND(BG$7&gt;=$AC28,$AC28&gt;$AD28),AND(BG$7&gt;=$AE28,$AE28&gt;$AF28),AND(BG$7&gt;=$AG28,$AG28&gt;$AH28),AND(BG$7&gt;=$AI28,$AI28&gt;$AJ28)),0,$E28)))))</f>
        <v>0</v>
      </c>
      <c r="BH28" s="409">
        <f t="shared" si="79"/>
        <v>0</v>
      </c>
      <c r="BI28" s="409">
        <f t="shared" si="79"/>
        <v>0</v>
      </c>
      <c r="BJ28" s="409">
        <f t="shared" si="79"/>
        <v>0</v>
      </c>
      <c r="BK28" s="409">
        <f t="shared" si="79"/>
        <v>0</v>
      </c>
      <c r="BL28" s="409">
        <f t="shared" si="79"/>
        <v>0</v>
      </c>
      <c r="BM28" s="409">
        <f t="shared" si="79"/>
        <v>0</v>
      </c>
      <c r="BN28" s="409">
        <f t="shared" si="79"/>
        <v>0</v>
      </c>
      <c r="BO28" s="409">
        <f t="shared" si="79"/>
        <v>0</v>
      </c>
      <c r="BP28" s="409">
        <f t="shared" si="79"/>
        <v>0</v>
      </c>
      <c r="BQ28" s="409">
        <f t="shared" ref="BQ28:BZ37" si="80">IF(ISNA(BQ$7),"",IF(OR(AND(BQ$7&lt;=$N28,BQ$7&gt;$N28-TIME(0,TimeIncr,0)),AND(BQ$7&lt;=$P28,BQ$7&gt;$P28-TIME(0,TimeIncr,0)),AND(BQ$7&lt;=$R28,BQ$7&gt;$R28-TIME(0,TimeIncr,0)),AND(BQ$7&lt;=$T28,BQ$7&gt;$T28-TIME(0,TimeIncr,0)),AND(BQ$7&lt;=$V28,BQ$7&gt;$V28-TIME(0,TimeIncr,0)),AND(BQ$7&lt;=$X28,BQ$7&gt;$X28-TIME(0,TimeIncr,0)),AND(BQ$7&lt;=$Z28,BQ$7&gt;$Z28-TIME(0,TimeIncr,0)),AND(BQ$7&lt;=$AB28,BQ$7&gt;$AB28-TIME(0,TimeIncr,0)),AND(BQ$7&lt;=$AD28,BQ$7&gt;$AD28-TIME(0,TimeIncr,0)),AND(BQ$7&lt;=$AF28,BQ$7&gt;$AF28-TIME(0,TimeIncr,0)),AND(BQ$7&lt;=$AH28,BQ$7&gt;$AH28-TIME(0,TimeIncr,0)),AND(BQ$7&lt;=$AJ28,BQ$7&gt;$AJ28-TIME(0,TimeIncr,0))),$E28*$L28,IF(OR(AND(BQ$7&gt;=$M28,BQ$7&lt;=$N28),AND(BQ$7&gt;=$O28,BQ$7&lt;=$P28),AND(BQ$7&gt;=$Q28,BQ$7&lt;=$R28),AND(BQ$7&gt;=$S28,BQ$7&lt;=$T28),AND(BQ$7&gt;=$U28,BQ$7&lt;=$V28),AND(BQ$7&gt;=$W28,BQ$7&lt;=$X28),AND(BQ$7&gt;=$Y28,BQ$7&lt;=$Z28),AND(BQ$7&gt;=$AA28,BQ$7&lt;=$AB28),AND(BQ$7&gt;=$AC28,BQ$7&lt;=$AD28),AND(BQ$7&gt;=$AE28,BQ$7&lt;=$AF28),AND(BQ$7&gt;=$AG28,BQ$7&lt;=$AH28),AND(BQ$7&gt;=$AI28,BQ$7&lt;=$AJ28)),0,IF(OR(AND($M28&gt;$N28,BQ$7&lt;=$N28),AND($O28&gt;$P28,BQ$7&lt;=$P28),AND($Q28&gt;$R28,BQ$7&lt;=$R28),AND($S28&gt;$T28,BQ$7&lt;=$T28),AND($U28&gt;$V28,BQ$7&lt;=$V28),AND($W28&gt;$X28,BQ$7&lt;=$X28),AND($Y28&gt;$Z28,BQ$7&lt;=$Z28),AND($AA28&gt;$AB28,BQ$7&lt;=$AB28),AND($AC28&gt;$AD28,BQ$7&lt;=$AD28),AND($AE28&gt;$AF28,BQ$7&lt;=$AF28),AND($AG28&gt;$AH28,BQ$7&lt;=$AH28),AND($AI28&gt;$AJ28,BQ$7&lt;=$AJ28)),0,IF(OR(AND(BQ$7&gt;=$M28,$M28&gt;$N28),AND(BQ$7&gt;=$O28,$O28&gt;$P28),AND(BQ$7&gt;=$Q28,$Q28&gt;$R28),AND(BQ$7&gt;=$S28,$S28&gt;$T28),AND(BQ$7&gt;=$U28,$U28&gt;$V28),AND(BQ$7&gt;=$W28,$W28&gt;$X28),AND(BQ$7&gt;=$Y28,$Y28&gt;$Z28),AND(BQ$7&gt;=$AA28,$AA28&gt;$AB28),AND(BQ$7&gt;=$AC28,$AC28&gt;$AD28),AND(BQ$7&gt;=$AE28,$AE28&gt;$AF28),AND(BQ$7&gt;=$AG28,$AG28&gt;$AH28),AND(BQ$7&gt;=$AI28,$AI28&gt;$AJ28)),0,$E28)))))</f>
        <v>0</v>
      </c>
      <c r="BR28" s="409">
        <f t="shared" si="80"/>
        <v>0</v>
      </c>
      <c r="BS28" s="409">
        <f t="shared" si="80"/>
        <v>0</v>
      </c>
      <c r="BT28" s="409">
        <f t="shared" si="80"/>
        <v>0</v>
      </c>
      <c r="BU28" s="409">
        <f t="shared" si="80"/>
        <v>0</v>
      </c>
      <c r="BV28" s="409">
        <f t="shared" si="80"/>
        <v>0</v>
      </c>
      <c r="BW28" s="409">
        <f t="shared" si="80"/>
        <v>0</v>
      </c>
      <c r="BX28" s="409">
        <f t="shared" si="80"/>
        <v>0</v>
      </c>
      <c r="BY28" s="409">
        <f t="shared" si="80"/>
        <v>0</v>
      </c>
      <c r="BZ28" s="409">
        <f t="shared" si="80"/>
        <v>0</v>
      </c>
      <c r="CA28" s="409">
        <f t="shared" ref="CA28:CJ37" si="81">IF(ISNA(CA$7),"",IF(OR(AND(CA$7&lt;=$N28,CA$7&gt;$N28-TIME(0,TimeIncr,0)),AND(CA$7&lt;=$P28,CA$7&gt;$P28-TIME(0,TimeIncr,0)),AND(CA$7&lt;=$R28,CA$7&gt;$R28-TIME(0,TimeIncr,0)),AND(CA$7&lt;=$T28,CA$7&gt;$T28-TIME(0,TimeIncr,0)),AND(CA$7&lt;=$V28,CA$7&gt;$V28-TIME(0,TimeIncr,0)),AND(CA$7&lt;=$X28,CA$7&gt;$X28-TIME(0,TimeIncr,0)),AND(CA$7&lt;=$Z28,CA$7&gt;$Z28-TIME(0,TimeIncr,0)),AND(CA$7&lt;=$AB28,CA$7&gt;$AB28-TIME(0,TimeIncr,0)),AND(CA$7&lt;=$AD28,CA$7&gt;$AD28-TIME(0,TimeIncr,0)),AND(CA$7&lt;=$AF28,CA$7&gt;$AF28-TIME(0,TimeIncr,0)),AND(CA$7&lt;=$AH28,CA$7&gt;$AH28-TIME(0,TimeIncr,0)),AND(CA$7&lt;=$AJ28,CA$7&gt;$AJ28-TIME(0,TimeIncr,0))),$E28*$L28,IF(OR(AND(CA$7&gt;=$M28,CA$7&lt;=$N28),AND(CA$7&gt;=$O28,CA$7&lt;=$P28),AND(CA$7&gt;=$Q28,CA$7&lt;=$R28),AND(CA$7&gt;=$S28,CA$7&lt;=$T28),AND(CA$7&gt;=$U28,CA$7&lt;=$V28),AND(CA$7&gt;=$W28,CA$7&lt;=$X28),AND(CA$7&gt;=$Y28,CA$7&lt;=$Z28),AND(CA$7&gt;=$AA28,CA$7&lt;=$AB28),AND(CA$7&gt;=$AC28,CA$7&lt;=$AD28),AND(CA$7&gt;=$AE28,CA$7&lt;=$AF28),AND(CA$7&gt;=$AG28,CA$7&lt;=$AH28),AND(CA$7&gt;=$AI28,CA$7&lt;=$AJ28)),0,IF(OR(AND($M28&gt;$N28,CA$7&lt;=$N28),AND($O28&gt;$P28,CA$7&lt;=$P28),AND($Q28&gt;$R28,CA$7&lt;=$R28),AND($S28&gt;$T28,CA$7&lt;=$T28),AND($U28&gt;$V28,CA$7&lt;=$V28),AND($W28&gt;$X28,CA$7&lt;=$X28),AND($Y28&gt;$Z28,CA$7&lt;=$Z28),AND($AA28&gt;$AB28,CA$7&lt;=$AB28),AND($AC28&gt;$AD28,CA$7&lt;=$AD28),AND($AE28&gt;$AF28,CA$7&lt;=$AF28),AND($AG28&gt;$AH28,CA$7&lt;=$AH28),AND($AI28&gt;$AJ28,CA$7&lt;=$AJ28)),0,IF(OR(AND(CA$7&gt;=$M28,$M28&gt;$N28),AND(CA$7&gt;=$O28,$O28&gt;$P28),AND(CA$7&gt;=$Q28,$Q28&gt;$R28),AND(CA$7&gt;=$S28,$S28&gt;$T28),AND(CA$7&gt;=$U28,$U28&gt;$V28),AND(CA$7&gt;=$W28,$W28&gt;$X28),AND(CA$7&gt;=$Y28,$Y28&gt;$Z28),AND(CA$7&gt;=$AA28,$AA28&gt;$AB28),AND(CA$7&gt;=$AC28,$AC28&gt;$AD28),AND(CA$7&gt;=$AE28,$AE28&gt;$AF28),AND(CA$7&gt;=$AG28,$AG28&gt;$AH28),AND(CA$7&gt;=$AI28,$AI28&gt;$AJ28)),0,$E28)))))</f>
        <v>0</v>
      </c>
      <c r="CB28" s="409">
        <f t="shared" si="81"/>
        <v>0</v>
      </c>
      <c r="CC28" s="409">
        <f t="shared" si="81"/>
        <v>0</v>
      </c>
      <c r="CD28" s="409">
        <f t="shared" si="81"/>
        <v>0</v>
      </c>
      <c r="CE28" s="409">
        <f t="shared" si="81"/>
        <v>0</v>
      </c>
      <c r="CF28" s="409">
        <f t="shared" si="81"/>
        <v>0</v>
      </c>
      <c r="CG28" s="409">
        <f t="shared" si="81"/>
        <v>0</v>
      </c>
      <c r="CH28" s="409">
        <f t="shared" si="81"/>
        <v>0</v>
      </c>
      <c r="CI28" s="409">
        <f t="shared" si="81"/>
        <v>0</v>
      </c>
      <c r="CJ28" s="409">
        <f t="shared" si="81"/>
        <v>0</v>
      </c>
      <c r="CK28" s="409">
        <f t="shared" ref="CK28:CT37" si="82">IF(ISNA(CK$7),"",IF(OR(AND(CK$7&lt;=$N28,CK$7&gt;$N28-TIME(0,TimeIncr,0)),AND(CK$7&lt;=$P28,CK$7&gt;$P28-TIME(0,TimeIncr,0)),AND(CK$7&lt;=$R28,CK$7&gt;$R28-TIME(0,TimeIncr,0)),AND(CK$7&lt;=$T28,CK$7&gt;$T28-TIME(0,TimeIncr,0)),AND(CK$7&lt;=$V28,CK$7&gt;$V28-TIME(0,TimeIncr,0)),AND(CK$7&lt;=$X28,CK$7&gt;$X28-TIME(0,TimeIncr,0)),AND(CK$7&lt;=$Z28,CK$7&gt;$Z28-TIME(0,TimeIncr,0)),AND(CK$7&lt;=$AB28,CK$7&gt;$AB28-TIME(0,TimeIncr,0)),AND(CK$7&lt;=$AD28,CK$7&gt;$AD28-TIME(0,TimeIncr,0)),AND(CK$7&lt;=$AF28,CK$7&gt;$AF28-TIME(0,TimeIncr,0)),AND(CK$7&lt;=$AH28,CK$7&gt;$AH28-TIME(0,TimeIncr,0)),AND(CK$7&lt;=$AJ28,CK$7&gt;$AJ28-TIME(0,TimeIncr,0))),$E28*$L28,IF(OR(AND(CK$7&gt;=$M28,CK$7&lt;=$N28),AND(CK$7&gt;=$O28,CK$7&lt;=$P28),AND(CK$7&gt;=$Q28,CK$7&lt;=$R28),AND(CK$7&gt;=$S28,CK$7&lt;=$T28),AND(CK$7&gt;=$U28,CK$7&lt;=$V28),AND(CK$7&gt;=$W28,CK$7&lt;=$X28),AND(CK$7&gt;=$Y28,CK$7&lt;=$Z28),AND(CK$7&gt;=$AA28,CK$7&lt;=$AB28),AND(CK$7&gt;=$AC28,CK$7&lt;=$AD28),AND(CK$7&gt;=$AE28,CK$7&lt;=$AF28),AND(CK$7&gt;=$AG28,CK$7&lt;=$AH28),AND(CK$7&gt;=$AI28,CK$7&lt;=$AJ28)),0,IF(OR(AND($M28&gt;$N28,CK$7&lt;=$N28),AND($O28&gt;$P28,CK$7&lt;=$P28),AND($Q28&gt;$R28,CK$7&lt;=$R28),AND($S28&gt;$T28,CK$7&lt;=$T28),AND($U28&gt;$V28,CK$7&lt;=$V28),AND($W28&gt;$X28,CK$7&lt;=$X28),AND($Y28&gt;$Z28,CK$7&lt;=$Z28),AND($AA28&gt;$AB28,CK$7&lt;=$AB28),AND($AC28&gt;$AD28,CK$7&lt;=$AD28),AND($AE28&gt;$AF28,CK$7&lt;=$AF28),AND($AG28&gt;$AH28,CK$7&lt;=$AH28),AND($AI28&gt;$AJ28,CK$7&lt;=$AJ28)),0,IF(OR(AND(CK$7&gt;=$M28,$M28&gt;$N28),AND(CK$7&gt;=$O28,$O28&gt;$P28),AND(CK$7&gt;=$Q28,$Q28&gt;$R28),AND(CK$7&gt;=$S28,$S28&gt;$T28),AND(CK$7&gt;=$U28,$U28&gt;$V28),AND(CK$7&gt;=$W28,$W28&gt;$X28),AND(CK$7&gt;=$Y28,$Y28&gt;$Z28),AND(CK$7&gt;=$AA28,$AA28&gt;$AB28),AND(CK$7&gt;=$AC28,$AC28&gt;$AD28),AND(CK$7&gt;=$AE28,$AE28&gt;$AF28),AND(CK$7&gt;=$AG28,$AG28&gt;$AH28),AND(CK$7&gt;=$AI28,$AI28&gt;$AJ28)),0,$E28)))))</f>
        <v>0</v>
      </c>
      <c r="CL28" s="409">
        <f t="shared" si="82"/>
        <v>0</v>
      </c>
      <c r="CM28" s="409">
        <f t="shared" si="82"/>
        <v>0</v>
      </c>
      <c r="CN28" s="409">
        <f t="shared" si="82"/>
        <v>0</v>
      </c>
      <c r="CO28" s="409">
        <f t="shared" si="82"/>
        <v>0</v>
      </c>
      <c r="CP28" s="409">
        <f t="shared" si="82"/>
        <v>0</v>
      </c>
      <c r="CQ28" s="409">
        <f t="shared" si="82"/>
        <v>0</v>
      </c>
      <c r="CR28" s="409">
        <f t="shared" si="82"/>
        <v>0</v>
      </c>
      <c r="CS28" s="409">
        <f t="shared" si="82"/>
        <v>0</v>
      </c>
      <c r="CT28" s="409">
        <f t="shared" si="82"/>
        <v>0</v>
      </c>
      <c r="CU28" s="409">
        <f t="shared" ref="CU28:DD37" si="83">IF(ISNA(CU$7),"",IF(OR(AND(CU$7&lt;=$N28,CU$7&gt;$N28-TIME(0,TimeIncr,0)),AND(CU$7&lt;=$P28,CU$7&gt;$P28-TIME(0,TimeIncr,0)),AND(CU$7&lt;=$R28,CU$7&gt;$R28-TIME(0,TimeIncr,0)),AND(CU$7&lt;=$T28,CU$7&gt;$T28-TIME(0,TimeIncr,0)),AND(CU$7&lt;=$V28,CU$7&gt;$V28-TIME(0,TimeIncr,0)),AND(CU$7&lt;=$X28,CU$7&gt;$X28-TIME(0,TimeIncr,0)),AND(CU$7&lt;=$Z28,CU$7&gt;$Z28-TIME(0,TimeIncr,0)),AND(CU$7&lt;=$AB28,CU$7&gt;$AB28-TIME(0,TimeIncr,0)),AND(CU$7&lt;=$AD28,CU$7&gt;$AD28-TIME(0,TimeIncr,0)),AND(CU$7&lt;=$AF28,CU$7&gt;$AF28-TIME(0,TimeIncr,0)),AND(CU$7&lt;=$AH28,CU$7&gt;$AH28-TIME(0,TimeIncr,0)),AND(CU$7&lt;=$AJ28,CU$7&gt;$AJ28-TIME(0,TimeIncr,0))),$E28*$L28,IF(OR(AND(CU$7&gt;=$M28,CU$7&lt;=$N28),AND(CU$7&gt;=$O28,CU$7&lt;=$P28),AND(CU$7&gt;=$Q28,CU$7&lt;=$R28),AND(CU$7&gt;=$S28,CU$7&lt;=$T28),AND(CU$7&gt;=$U28,CU$7&lt;=$V28),AND(CU$7&gt;=$W28,CU$7&lt;=$X28),AND(CU$7&gt;=$Y28,CU$7&lt;=$Z28),AND(CU$7&gt;=$AA28,CU$7&lt;=$AB28),AND(CU$7&gt;=$AC28,CU$7&lt;=$AD28),AND(CU$7&gt;=$AE28,CU$7&lt;=$AF28),AND(CU$7&gt;=$AG28,CU$7&lt;=$AH28),AND(CU$7&gt;=$AI28,CU$7&lt;=$AJ28)),0,IF(OR(AND($M28&gt;$N28,CU$7&lt;=$N28),AND($O28&gt;$P28,CU$7&lt;=$P28),AND($Q28&gt;$R28,CU$7&lt;=$R28),AND($S28&gt;$T28,CU$7&lt;=$T28),AND($U28&gt;$V28,CU$7&lt;=$V28),AND($W28&gt;$X28,CU$7&lt;=$X28),AND($Y28&gt;$Z28,CU$7&lt;=$Z28),AND($AA28&gt;$AB28,CU$7&lt;=$AB28),AND($AC28&gt;$AD28,CU$7&lt;=$AD28),AND($AE28&gt;$AF28,CU$7&lt;=$AF28),AND($AG28&gt;$AH28,CU$7&lt;=$AH28),AND($AI28&gt;$AJ28,CU$7&lt;=$AJ28)),0,IF(OR(AND(CU$7&gt;=$M28,$M28&gt;$N28),AND(CU$7&gt;=$O28,$O28&gt;$P28),AND(CU$7&gt;=$Q28,$Q28&gt;$R28),AND(CU$7&gt;=$S28,$S28&gt;$T28),AND(CU$7&gt;=$U28,$U28&gt;$V28),AND(CU$7&gt;=$W28,$W28&gt;$X28),AND(CU$7&gt;=$Y28,$Y28&gt;$Z28),AND(CU$7&gt;=$AA28,$AA28&gt;$AB28),AND(CU$7&gt;=$AC28,$AC28&gt;$AD28),AND(CU$7&gt;=$AE28,$AE28&gt;$AF28),AND(CU$7&gt;=$AG28,$AG28&gt;$AH28),AND(CU$7&gt;=$AI28,$AI28&gt;$AJ28)),0,$E28)))))</f>
        <v>0</v>
      </c>
      <c r="CV28" s="409">
        <f t="shared" si="83"/>
        <v>0</v>
      </c>
      <c r="CW28" s="409">
        <f t="shared" si="83"/>
        <v>0</v>
      </c>
      <c r="CX28" s="409">
        <f t="shared" si="83"/>
        <v>0</v>
      </c>
      <c r="CY28" s="409">
        <f t="shared" si="83"/>
        <v>0</v>
      </c>
      <c r="CZ28" s="409">
        <f t="shared" si="83"/>
        <v>0</v>
      </c>
      <c r="DA28" s="409">
        <f t="shared" si="83"/>
        <v>0</v>
      </c>
      <c r="DB28" s="409">
        <f t="shared" si="83"/>
        <v>0</v>
      </c>
      <c r="DC28" s="409">
        <f t="shared" si="83"/>
        <v>0</v>
      </c>
      <c r="DD28" s="409">
        <f t="shared" si="83"/>
        <v>0</v>
      </c>
      <c r="DE28" s="409">
        <f t="shared" ref="DE28:DN37" si="84">IF(ISNA(DE$7),"",IF(OR(AND(DE$7&lt;=$N28,DE$7&gt;$N28-TIME(0,TimeIncr,0)),AND(DE$7&lt;=$P28,DE$7&gt;$P28-TIME(0,TimeIncr,0)),AND(DE$7&lt;=$R28,DE$7&gt;$R28-TIME(0,TimeIncr,0)),AND(DE$7&lt;=$T28,DE$7&gt;$T28-TIME(0,TimeIncr,0)),AND(DE$7&lt;=$V28,DE$7&gt;$V28-TIME(0,TimeIncr,0)),AND(DE$7&lt;=$X28,DE$7&gt;$X28-TIME(0,TimeIncr,0)),AND(DE$7&lt;=$Z28,DE$7&gt;$Z28-TIME(0,TimeIncr,0)),AND(DE$7&lt;=$AB28,DE$7&gt;$AB28-TIME(0,TimeIncr,0)),AND(DE$7&lt;=$AD28,DE$7&gt;$AD28-TIME(0,TimeIncr,0)),AND(DE$7&lt;=$AF28,DE$7&gt;$AF28-TIME(0,TimeIncr,0)),AND(DE$7&lt;=$AH28,DE$7&gt;$AH28-TIME(0,TimeIncr,0)),AND(DE$7&lt;=$AJ28,DE$7&gt;$AJ28-TIME(0,TimeIncr,0))),$E28*$L28,IF(OR(AND(DE$7&gt;=$M28,DE$7&lt;=$N28),AND(DE$7&gt;=$O28,DE$7&lt;=$P28),AND(DE$7&gt;=$Q28,DE$7&lt;=$R28),AND(DE$7&gt;=$S28,DE$7&lt;=$T28),AND(DE$7&gt;=$U28,DE$7&lt;=$V28),AND(DE$7&gt;=$W28,DE$7&lt;=$X28),AND(DE$7&gt;=$Y28,DE$7&lt;=$Z28),AND(DE$7&gt;=$AA28,DE$7&lt;=$AB28),AND(DE$7&gt;=$AC28,DE$7&lt;=$AD28),AND(DE$7&gt;=$AE28,DE$7&lt;=$AF28),AND(DE$7&gt;=$AG28,DE$7&lt;=$AH28),AND(DE$7&gt;=$AI28,DE$7&lt;=$AJ28)),0,IF(OR(AND($M28&gt;$N28,DE$7&lt;=$N28),AND($O28&gt;$P28,DE$7&lt;=$P28),AND($Q28&gt;$R28,DE$7&lt;=$R28),AND($S28&gt;$T28,DE$7&lt;=$T28),AND($U28&gt;$V28,DE$7&lt;=$V28),AND($W28&gt;$X28,DE$7&lt;=$X28),AND($Y28&gt;$Z28,DE$7&lt;=$Z28),AND($AA28&gt;$AB28,DE$7&lt;=$AB28),AND($AC28&gt;$AD28,DE$7&lt;=$AD28),AND($AE28&gt;$AF28,DE$7&lt;=$AF28),AND($AG28&gt;$AH28,DE$7&lt;=$AH28),AND($AI28&gt;$AJ28,DE$7&lt;=$AJ28)),0,IF(OR(AND(DE$7&gt;=$M28,$M28&gt;$N28),AND(DE$7&gt;=$O28,$O28&gt;$P28),AND(DE$7&gt;=$Q28,$Q28&gt;$R28),AND(DE$7&gt;=$S28,$S28&gt;$T28),AND(DE$7&gt;=$U28,$U28&gt;$V28),AND(DE$7&gt;=$W28,$W28&gt;$X28),AND(DE$7&gt;=$Y28,$Y28&gt;$Z28),AND(DE$7&gt;=$AA28,$AA28&gt;$AB28),AND(DE$7&gt;=$AC28,$AC28&gt;$AD28),AND(DE$7&gt;=$AE28,$AE28&gt;$AF28),AND(DE$7&gt;=$AG28,$AG28&gt;$AH28),AND(DE$7&gt;=$AI28,$AI28&gt;$AJ28)),0,$E28)))))</f>
        <v>0</v>
      </c>
      <c r="DF28" s="409">
        <f t="shared" si="84"/>
        <v>0</v>
      </c>
      <c r="DG28" s="409">
        <f t="shared" si="84"/>
        <v>0</v>
      </c>
      <c r="DH28" s="409">
        <f t="shared" si="84"/>
        <v>0</v>
      </c>
      <c r="DI28" s="409">
        <f t="shared" si="84"/>
        <v>0</v>
      </c>
      <c r="DJ28" s="409">
        <f t="shared" si="84"/>
        <v>0</v>
      </c>
      <c r="DK28" s="409">
        <f t="shared" si="84"/>
        <v>0</v>
      </c>
      <c r="DL28" s="409">
        <f t="shared" si="84"/>
        <v>0</v>
      </c>
      <c r="DM28" s="409">
        <f t="shared" si="84"/>
        <v>0</v>
      </c>
      <c r="DN28" s="409">
        <f t="shared" si="84"/>
        <v>0</v>
      </c>
      <c r="DO28" s="409">
        <f t="shared" ref="DO28:DX37" si="85">IF(ISNA(DO$7),"",IF(OR(AND(DO$7&lt;=$N28,DO$7&gt;$N28-TIME(0,TimeIncr,0)),AND(DO$7&lt;=$P28,DO$7&gt;$P28-TIME(0,TimeIncr,0)),AND(DO$7&lt;=$R28,DO$7&gt;$R28-TIME(0,TimeIncr,0)),AND(DO$7&lt;=$T28,DO$7&gt;$T28-TIME(0,TimeIncr,0)),AND(DO$7&lt;=$V28,DO$7&gt;$V28-TIME(0,TimeIncr,0)),AND(DO$7&lt;=$X28,DO$7&gt;$X28-TIME(0,TimeIncr,0)),AND(DO$7&lt;=$Z28,DO$7&gt;$Z28-TIME(0,TimeIncr,0)),AND(DO$7&lt;=$AB28,DO$7&gt;$AB28-TIME(0,TimeIncr,0)),AND(DO$7&lt;=$AD28,DO$7&gt;$AD28-TIME(0,TimeIncr,0)),AND(DO$7&lt;=$AF28,DO$7&gt;$AF28-TIME(0,TimeIncr,0)),AND(DO$7&lt;=$AH28,DO$7&gt;$AH28-TIME(0,TimeIncr,0)),AND(DO$7&lt;=$AJ28,DO$7&gt;$AJ28-TIME(0,TimeIncr,0))),$E28*$L28,IF(OR(AND(DO$7&gt;=$M28,DO$7&lt;=$N28),AND(DO$7&gt;=$O28,DO$7&lt;=$P28),AND(DO$7&gt;=$Q28,DO$7&lt;=$R28),AND(DO$7&gt;=$S28,DO$7&lt;=$T28),AND(DO$7&gt;=$U28,DO$7&lt;=$V28),AND(DO$7&gt;=$W28,DO$7&lt;=$X28),AND(DO$7&gt;=$Y28,DO$7&lt;=$Z28),AND(DO$7&gt;=$AA28,DO$7&lt;=$AB28),AND(DO$7&gt;=$AC28,DO$7&lt;=$AD28),AND(DO$7&gt;=$AE28,DO$7&lt;=$AF28),AND(DO$7&gt;=$AG28,DO$7&lt;=$AH28),AND(DO$7&gt;=$AI28,DO$7&lt;=$AJ28)),0,IF(OR(AND($M28&gt;$N28,DO$7&lt;=$N28),AND($O28&gt;$P28,DO$7&lt;=$P28),AND($Q28&gt;$R28,DO$7&lt;=$R28),AND($S28&gt;$T28,DO$7&lt;=$T28),AND($U28&gt;$V28,DO$7&lt;=$V28),AND($W28&gt;$X28,DO$7&lt;=$X28),AND($Y28&gt;$Z28,DO$7&lt;=$Z28),AND($AA28&gt;$AB28,DO$7&lt;=$AB28),AND($AC28&gt;$AD28,DO$7&lt;=$AD28),AND($AE28&gt;$AF28,DO$7&lt;=$AF28),AND($AG28&gt;$AH28,DO$7&lt;=$AH28),AND($AI28&gt;$AJ28,DO$7&lt;=$AJ28)),0,IF(OR(AND(DO$7&gt;=$M28,$M28&gt;$N28),AND(DO$7&gt;=$O28,$O28&gt;$P28),AND(DO$7&gt;=$Q28,$Q28&gt;$R28),AND(DO$7&gt;=$S28,$S28&gt;$T28),AND(DO$7&gt;=$U28,$U28&gt;$V28),AND(DO$7&gt;=$W28,$W28&gt;$X28),AND(DO$7&gt;=$Y28,$Y28&gt;$Z28),AND(DO$7&gt;=$AA28,$AA28&gt;$AB28),AND(DO$7&gt;=$AC28,$AC28&gt;$AD28),AND(DO$7&gt;=$AE28,$AE28&gt;$AF28),AND(DO$7&gt;=$AG28,$AG28&gt;$AH28),AND(DO$7&gt;=$AI28,$AI28&gt;$AJ28)),0,$E28)))))</f>
        <v>0</v>
      </c>
      <c r="DP28" s="409">
        <f t="shared" si="85"/>
        <v>0</v>
      </c>
      <c r="DQ28" s="409">
        <f t="shared" si="85"/>
        <v>0</v>
      </c>
      <c r="DR28" s="409">
        <f t="shared" si="85"/>
        <v>0</v>
      </c>
      <c r="DS28" s="409">
        <f t="shared" si="85"/>
        <v>0</v>
      </c>
      <c r="DT28" s="409">
        <f t="shared" si="85"/>
        <v>0</v>
      </c>
      <c r="DU28" s="409">
        <f t="shared" si="85"/>
        <v>0</v>
      </c>
      <c r="DV28" s="409">
        <f t="shared" si="85"/>
        <v>0</v>
      </c>
      <c r="DW28" s="409">
        <f t="shared" si="85"/>
        <v>0</v>
      </c>
      <c r="DX28" s="409">
        <f t="shared" si="85"/>
        <v>0</v>
      </c>
      <c r="DY28" s="409">
        <f t="shared" ref="DY28:EH37" si="86">IF(ISNA(DY$7),"",IF(OR(AND(DY$7&lt;=$N28,DY$7&gt;$N28-TIME(0,TimeIncr,0)),AND(DY$7&lt;=$P28,DY$7&gt;$P28-TIME(0,TimeIncr,0)),AND(DY$7&lt;=$R28,DY$7&gt;$R28-TIME(0,TimeIncr,0)),AND(DY$7&lt;=$T28,DY$7&gt;$T28-TIME(0,TimeIncr,0)),AND(DY$7&lt;=$V28,DY$7&gt;$V28-TIME(0,TimeIncr,0)),AND(DY$7&lt;=$X28,DY$7&gt;$X28-TIME(0,TimeIncr,0)),AND(DY$7&lt;=$Z28,DY$7&gt;$Z28-TIME(0,TimeIncr,0)),AND(DY$7&lt;=$AB28,DY$7&gt;$AB28-TIME(0,TimeIncr,0)),AND(DY$7&lt;=$AD28,DY$7&gt;$AD28-TIME(0,TimeIncr,0)),AND(DY$7&lt;=$AF28,DY$7&gt;$AF28-TIME(0,TimeIncr,0)),AND(DY$7&lt;=$AH28,DY$7&gt;$AH28-TIME(0,TimeIncr,0)),AND(DY$7&lt;=$AJ28,DY$7&gt;$AJ28-TIME(0,TimeIncr,0))),$E28*$L28,IF(OR(AND(DY$7&gt;=$M28,DY$7&lt;=$N28),AND(DY$7&gt;=$O28,DY$7&lt;=$P28),AND(DY$7&gt;=$Q28,DY$7&lt;=$R28),AND(DY$7&gt;=$S28,DY$7&lt;=$T28),AND(DY$7&gt;=$U28,DY$7&lt;=$V28),AND(DY$7&gt;=$W28,DY$7&lt;=$X28),AND(DY$7&gt;=$Y28,DY$7&lt;=$Z28),AND(DY$7&gt;=$AA28,DY$7&lt;=$AB28),AND(DY$7&gt;=$AC28,DY$7&lt;=$AD28),AND(DY$7&gt;=$AE28,DY$7&lt;=$AF28),AND(DY$7&gt;=$AG28,DY$7&lt;=$AH28),AND(DY$7&gt;=$AI28,DY$7&lt;=$AJ28)),0,IF(OR(AND($M28&gt;$N28,DY$7&lt;=$N28),AND($O28&gt;$P28,DY$7&lt;=$P28),AND($Q28&gt;$R28,DY$7&lt;=$R28),AND($S28&gt;$T28,DY$7&lt;=$T28),AND($U28&gt;$V28,DY$7&lt;=$V28),AND($W28&gt;$X28,DY$7&lt;=$X28),AND($Y28&gt;$Z28,DY$7&lt;=$Z28),AND($AA28&gt;$AB28,DY$7&lt;=$AB28),AND($AC28&gt;$AD28,DY$7&lt;=$AD28),AND($AE28&gt;$AF28,DY$7&lt;=$AF28),AND($AG28&gt;$AH28,DY$7&lt;=$AH28),AND($AI28&gt;$AJ28,DY$7&lt;=$AJ28)),0,IF(OR(AND(DY$7&gt;=$M28,$M28&gt;$N28),AND(DY$7&gt;=$O28,$O28&gt;$P28),AND(DY$7&gt;=$Q28,$Q28&gt;$R28),AND(DY$7&gt;=$S28,$S28&gt;$T28),AND(DY$7&gt;=$U28,$U28&gt;$V28),AND(DY$7&gt;=$W28,$W28&gt;$X28),AND(DY$7&gt;=$Y28,$Y28&gt;$Z28),AND(DY$7&gt;=$AA28,$AA28&gt;$AB28),AND(DY$7&gt;=$AC28,$AC28&gt;$AD28),AND(DY$7&gt;=$AE28,$AE28&gt;$AF28),AND(DY$7&gt;=$AG28,$AG28&gt;$AH28),AND(DY$7&gt;=$AI28,$AI28&gt;$AJ28)),0,$E28)))))</f>
        <v>0</v>
      </c>
      <c r="DZ28" s="409">
        <f t="shared" si="86"/>
        <v>0</v>
      </c>
      <c r="EA28" s="409">
        <f t="shared" si="86"/>
        <v>0</v>
      </c>
      <c r="EB28" s="409">
        <f t="shared" si="86"/>
        <v>0</v>
      </c>
      <c r="EC28" s="409">
        <f t="shared" si="86"/>
        <v>0</v>
      </c>
      <c r="ED28" s="409">
        <f t="shared" si="86"/>
        <v>0</v>
      </c>
      <c r="EE28" s="409">
        <f t="shared" si="86"/>
        <v>0</v>
      </c>
      <c r="EF28" s="409">
        <f t="shared" si="86"/>
        <v>0</v>
      </c>
      <c r="EG28" s="409">
        <f t="shared" si="86"/>
        <v>0</v>
      </c>
      <c r="EH28" s="409">
        <f t="shared" si="86"/>
        <v>0</v>
      </c>
      <c r="EI28" s="409">
        <f t="shared" ref="EI28:ER37" si="87">IF(ISNA(EI$7),"",IF(OR(AND(EI$7&lt;=$N28,EI$7&gt;$N28-TIME(0,TimeIncr,0)),AND(EI$7&lt;=$P28,EI$7&gt;$P28-TIME(0,TimeIncr,0)),AND(EI$7&lt;=$R28,EI$7&gt;$R28-TIME(0,TimeIncr,0)),AND(EI$7&lt;=$T28,EI$7&gt;$T28-TIME(0,TimeIncr,0)),AND(EI$7&lt;=$V28,EI$7&gt;$V28-TIME(0,TimeIncr,0)),AND(EI$7&lt;=$X28,EI$7&gt;$X28-TIME(0,TimeIncr,0)),AND(EI$7&lt;=$Z28,EI$7&gt;$Z28-TIME(0,TimeIncr,0)),AND(EI$7&lt;=$AB28,EI$7&gt;$AB28-TIME(0,TimeIncr,0)),AND(EI$7&lt;=$AD28,EI$7&gt;$AD28-TIME(0,TimeIncr,0)),AND(EI$7&lt;=$AF28,EI$7&gt;$AF28-TIME(0,TimeIncr,0)),AND(EI$7&lt;=$AH28,EI$7&gt;$AH28-TIME(0,TimeIncr,0)),AND(EI$7&lt;=$AJ28,EI$7&gt;$AJ28-TIME(0,TimeIncr,0))),$E28*$L28,IF(OR(AND(EI$7&gt;=$M28,EI$7&lt;=$N28),AND(EI$7&gt;=$O28,EI$7&lt;=$P28),AND(EI$7&gt;=$Q28,EI$7&lt;=$R28),AND(EI$7&gt;=$S28,EI$7&lt;=$T28),AND(EI$7&gt;=$U28,EI$7&lt;=$V28),AND(EI$7&gt;=$W28,EI$7&lt;=$X28),AND(EI$7&gt;=$Y28,EI$7&lt;=$Z28),AND(EI$7&gt;=$AA28,EI$7&lt;=$AB28),AND(EI$7&gt;=$AC28,EI$7&lt;=$AD28),AND(EI$7&gt;=$AE28,EI$7&lt;=$AF28),AND(EI$7&gt;=$AG28,EI$7&lt;=$AH28),AND(EI$7&gt;=$AI28,EI$7&lt;=$AJ28)),0,IF(OR(AND($M28&gt;$N28,EI$7&lt;=$N28),AND($O28&gt;$P28,EI$7&lt;=$P28),AND($Q28&gt;$R28,EI$7&lt;=$R28),AND($S28&gt;$T28,EI$7&lt;=$T28),AND($U28&gt;$V28,EI$7&lt;=$V28),AND($W28&gt;$X28,EI$7&lt;=$X28),AND($Y28&gt;$Z28,EI$7&lt;=$Z28),AND($AA28&gt;$AB28,EI$7&lt;=$AB28),AND($AC28&gt;$AD28,EI$7&lt;=$AD28),AND($AE28&gt;$AF28,EI$7&lt;=$AF28),AND($AG28&gt;$AH28,EI$7&lt;=$AH28),AND($AI28&gt;$AJ28,EI$7&lt;=$AJ28)),0,IF(OR(AND(EI$7&gt;=$M28,$M28&gt;$N28),AND(EI$7&gt;=$O28,$O28&gt;$P28),AND(EI$7&gt;=$Q28,$Q28&gt;$R28),AND(EI$7&gt;=$S28,$S28&gt;$T28),AND(EI$7&gt;=$U28,$U28&gt;$V28),AND(EI$7&gt;=$W28,$W28&gt;$X28),AND(EI$7&gt;=$Y28,$Y28&gt;$Z28),AND(EI$7&gt;=$AA28,$AA28&gt;$AB28),AND(EI$7&gt;=$AC28,$AC28&gt;$AD28),AND(EI$7&gt;=$AE28,$AE28&gt;$AF28),AND(EI$7&gt;=$AG28,$AG28&gt;$AH28),AND(EI$7&gt;=$AI28,$AI28&gt;$AJ28)),0,$E28)))))</f>
        <v>0</v>
      </c>
      <c r="EJ28" s="409">
        <f t="shared" si="87"/>
        <v>0</v>
      </c>
      <c r="EK28" s="409">
        <f t="shared" si="87"/>
        <v>0</v>
      </c>
      <c r="EL28" s="409">
        <f t="shared" si="87"/>
        <v>0</v>
      </c>
      <c r="EM28" s="409">
        <f t="shared" si="87"/>
        <v>0</v>
      </c>
      <c r="EN28" s="409">
        <f t="shared" si="87"/>
        <v>0</v>
      </c>
      <c r="EO28" s="409">
        <f t="shared" si="87"/>
        <v>0</v>
      </c>
      <c r="EP28" s="409">
        <f t="shared" si="87"/>
        <v>0</v>
      </c>
      <c r="EQ28" s="409">
        <f t="shared" si="87"/>
        <v>0</v>
      </c>
      <c r="ER28" s="409">
        <f t="shared" si="87"/>
        <v>0</v>
      </c>
      <c r="ES28" s="409">
        <f t="shared" ref="ES28:FB37" si="88">IF(ISNA(ES$7),"",IF(OR(AND(ES$7&lt;=$N28,ES$7&gt;$N28-TIME(0,TimeIncr,0)),AND(ES$7&lt;=$P28,ES$7&gt;$P28-TIME(0,TimeIncr,0)),AND(ES$7&lt;=$R28,ES$7&gt;$R28-TIME(0,TimeIncr,0)),AND(ES$7&lt;=$T28,ES$7&gt;$T28-TIME(0,TimeIncr,0)),AND(ES$7&lt;=$V28,ES$7&gt;$V28-TIME(0,TimeIncr,0)),AND(ES$7&lt;=$X28,ES$7&gt;$X28-TIME(0,TimeIncr,0)),AND(ES$7&lt;=$Z28,ES$7&gt;$Z28-TIME(0,TimeIncr,0)),AND(ES$7&lt;=$AB28,ES$7&gt;$AB28-TIME(0,TimeIncr,0)),AND(ES$7&lt;=$AD28,ES$7&gt;$AD28-TIME(0,TimeIncr,0)),AND(ES$7&lt;=$AF28,ES$7&gt;$AF28-TIME(0,TimeIncr,0)),AND(ES$7&lt;=$AH28,ES$7&gt;$AH28-TIME(0,TimeIncr,0)),AND(ES$7&lt;=$AJ28,ES$7&gt;$AJ28-TIME(0,TimeIncr,0))),$E28*$L28,IF(OR(AND(ES$7&gt;=$M28,ES$7&lt;=$N28),AND(ES$7&gt;=$O28,ES$7&lt;=$P28),AND(ES$7&gt;=$Q28,ES$7&lt;=$R28),AND(ES$7&gt;=$S28,ES$7&lt;=$T28),AND(ES$7&gt;=$U28,ES$7&lt;=$V28),AND(ES$7&gt;=$W28,ES$7&lt;=$X28),AND(ES$7&gt;=$Y28,ES$7&lt;=$Z28),AND(ES$7&gt;=$AA28,ES$7&lt;=$AB28),AND(ES$7&gt;=$AC28,ES$7&lt;=$AD28),AND(ES$7&gt;=$AE28,ES$7&lt;=$AF28),AND(ES$7&gt;=$AG28,ES$7&lt;=$AH28),AND(ES$7&gt;=$AI28,ES$7&lt;=$AJ28)),0,IF(OR(AND($M28&gt;$N28,ES$7&lt;=$N28),AND($O28&gt;$P28,ES$7&lt;=$P28),AND($Q28&gt;$R28,ES$7&lt;=$R28),AND($S28&gt;$T28,ES$7&lt;=$T28),AND($U28&gt;$V28,ES$7&lt;=$V28),AND($W28&gt;$X28,ES$7&lt;=$X28),AND($Y28&gt;$Z28,ES$7&lt;=$Z28),AND($AA28&gt;$AB28,ES$7&lt;=$AB28),AND($AC28&gt;$AD28,ES$7&lt;=$AD28),AND($AE28&gt;$AF28,ES$7&lt;=$AF28),AND($AG28&gt;$AH28,ES$7&lt;=$AH28),AND($AI28&gt;$AJ28,ES$7&lt;=$AJ28)),0,IF(OR(AND(ES$7&gt;=$M28,$M28&gt;$N28),AND(ES$7&gt;=$O28,$O28&gt;$P28),AND(ES$7&gt;=$Q28,$Q28&gt;$R28),AND(ES$7&gt;=$S28,$S28&gt;$T28),AND(ES$7&gt;=$U28,$U28&gt;$V28),AND(ES$7&gt;=$W28,$W28&gt;$X28),AND(ES$7&gt;=$Y28,$Y28&gt;$Z28),AND(ES$7&gt;=$AA28,$AA28&gt;$AB28),AND(ES$7&gt;=$AC28,$AC28&gt;$AD28),AND(ES$7&gt;=$AE28,$AE28&gt;$AF28),AND(ES$7&gt;=$AG28,$AG28&gt;$AH28),AND(ES$7&gt;=$AI28,$AI28&gt;$AJ28)),0,$E28)))))</f>
        <v>0</v>
      </c>
      <c r="ET28" s="409">
        <f t="shared" si="88"/>
        <v>0</v>
      </c>
      <c r="EU28" s="409">
        <f t="shared" si="88"/>
        <v>0</v>
      </c>
      <c r="EV28" s="409">
        <f t="shared" si="88"/>
        <v>0</v>
      </c>
      <c r="EW28" s="409">
        <f t="shared" si="88"/>
        <v>0</v>
      </c>
      <c r="EX28" s="409">
        <f t="shared" si="88"/>
        <v>0</v>
      </c>
      <c r="EY28" s="409">
        <f t="shared" si="88"/>
        <v>0</v>
      </c>
      <c r="EZ28" s="409">
        <f t="shared" si="88"/>
        <v>0</v>
      </c>
      <c r="FA28" s="409">
        <f t="shared" si="88"/>
        <v>0</v>
      </c>
      <c r="FB28" s="409">
        <f t="shared" si="88"/>
        <v>0</v>
      </c>
      <c r="FC28" s="409">
        <f t="shared" ref="FC28:FL37" si="89">IF(ISNA(FC$7),"",IF(OR(AND(FC$7&lt;=$N28,FC$7&gt;$N28-TIME(0,TimeIncr,0)),AND(FC$7&lt;=$P28,FC$7&gt;$P28-TIME(0,TimeIncr,0)),AND(FC$7&lt;=$R28,FC$7&gt;$R28-TIME(0,TimeIncr,0)),AND(FC$7&lt;=$T28,FC$7&gt;$T28-TIME(0,TimeIncr,0)),AND(FC$7&lt;=$V28,FC$7&gt;$V28-TIME(0,TimeIncr,0)),AND(FC$7&lt;=$X28,FC$7&gt;$X28-TIME(0,TimeIncr,0)),AND(FC$7&lt;=$Z28,FC$7&gt;$Z28-TIME(0,TimeIncr,0)),AND(FC$7&lt;=$AB28,FC$7&gt;$AB28-TIME(0,TimeIncr,0)),AND(FC$7&lt;=$AD28,FC$7&gt;$AD28-TIME(0,TimeIncr,0)),AND(FC$7&lt;=$AF28,FC$7&gt;$AF28-TIME(0,TimeIncr,0)),AND(FC$7&lt;=$AH28,FC$7&gt;$AH28-TIME(0,TimeIncr,0)),AND(FC$7&lt;=$AJ28,FC$7&gt;$AJ28-TIME(0,TimeIncr,0))),$E28*$L28,IF(OR(AND(FC$7&gt;=$M28,FC$7&lt;=$N28),AND(FC$7&gt;=$O28,FC$7&lt;=$P28),AND(FC$7&gt;=$Q28,FC$7&lt;=$R28),AND(FC$7&gt;=$S28,FC$7&lt;=$T28),AND(FC$7&gt;=$U28,FC$7&lt;=$V28),AND(FC$7&gt;=$W28,FC$7&lt;=$X28),AND(FC$7&gt;=$Y28,FC$7&lt;=$Z28),AND(FC$7&gt;=$AA28,FC$7&lt;=$AB28),AND(FC$7&gt;=$AC28,FC$7&lt;=$AD28),AND(FC$7&gt;=$AE28,FC$7&lt;=$AF28),AND(FC$7&gt;=$AG28,FC$7&lt;=$AH28),AND(FC$7&gt;=$AI28,FC$7&lt;=$AJ28)),0,IF(OR(AND($M28&gt;$N28,FC$7&lt;=$N28),AND($O28&gt;$P28,FC$7&lt;=$P28),AND($Q28&gt;$R28,FC$7&lt;=$R28),AND($S28&gt;$T28,FC$7&lt;=$T28),AND($U28&gt;$V28,FC$7&lt;=$V28),AND($W28&gt;$X28,FC$7&lt;=$X28),AND($Y28&gt;$Z28,FC$7&lt;=$Z28),AND($AA28&gt;$AB28,FC$7&lt;=$AB28),AND($AC28&gt;$AD28,FC$7&lt;=$AD28),AND($AE28&gt;$AF28,FC$7&lt;=$AF28),AND($AG28&gt;$AH28,FC$7&lt;=$AH28),AND($AI28&gt;$AJ28,FC$7&lt;=$AJ28)),0,IF(OR(AND(FC$7&gt;=$M28,$M28&gt;$N28),AND(FC$7&gt;=$O28,$O28&gt;$P28),AND(FC$7&gt;=$Q28,$Q28&gt;$R28),AND(FC$7&gt;=$S28,$S28&gt;$T28),AND(FC$7&gt;=$U28,$U28&gt;$V28),AND(FC$7&gt;=$W28,$W28&gt;$X28),AND(FC$7&gt;=$Y28,$Y28&gt;$Z28),AND(FC$7&gt;=$AA28,$AA28&gt;$AB28),AND(FC$7&gt;=$AC28,$AC28&gt;$AD28),AND(FC$7&gt;=$AE28,$AE28&gt;$AF28),AND(FC$7&gt;=$AG28,$AG28&gt;$AH28),AND(FC$7&gt;=$AI28,$AI28&gt;$AJ28)),0,$E28)))))</f>
        <v>0</v>
      </c>
      <c r="FD28" s="409">
        <f t="shared" si="89"/>
        <v>0</v>
      </c>
      <c r="FE28" s="409">
        <f t="shared" si="89"/>
        <v>0</v>
      </c>
      <c r="FF28" s="409">
        <f t="shared" si="89"/>
        <v>0</v>
      </c>
      <c r="FG28" s="409">
        <f t="shared" si="89"/>
        <v>0</v>
      </c>
      <c r="FH28" s="409">
        <f t="shared" si="89"/>
        <v>0</v>
      </c>
      <c r="FI28" s="409">
        <f t="shared" si="89"/>
        <v>0</v>
      </c>
      <c r="FJ28" s="409">
        <f t="shared" si="89"/>
        <v>0</v>
      </c>
      <c r="FK28" s="409">
        <f t="shared" si="89"/>
        <v>0</v>
      </c>
      <c r="FL28" s="409">
        <f t="shared" si="89"/>
        <v>0</v>
      </c>
      <c r="FM28" s="409">
        <f t="shared" ref="FM28:FV37" si="90">IF(ISNA(FM$7),"",IF(OR(AND(FM$7&lt;=$N28,FM$7&gt;$N28-TIME(0,TimeIncr,0)),AND(FM$7&lt;=$P28,FM$7&gt;$P28-TIME(0,TimeIncr,0)),AND(FM$7&lt;=$R28,FM$7&gt;$R28-TIME(0,TimeIncr,0)),AND(FM$7&lt;=$T28,FM$7&gt;$T28-TIME(0,TimeIncr,0)),AND(FM$7&lt;=$V28,FM$7&gt;$V28-TIME(0,TimeIncr,0)),AND(FM$7&lt;=$X28,FM$7&gt;$X28-TIME(0,TimeIncr,0)),AND(FM$7&lt;=$Z28,FM$7&gt;$Z28-TIME(0,TimeIncr,0)),AND(FM$7&lt;=$AB28,FM$7&gt;$AB28-TIME(0,TimeIncr,0)),AND(FM$7&lt;=$AD28,FM$7&gt;$AD28-TIME(0,TimeIncr,0)),AND(FM$7&lt;=$AF28,FM$7&gt;$AF28-TIME(0,TimeIncr,0)),AND(FM$7&lt;=$AH28,FM$7&gt;$AH28-TIME(0,TimeIncr,0)),AND(FM$7&lt;=$AJ28,FM$7&gt;$AJ28-TIME(0,TimeIncr,0))),$E28*$L28,IF(OR(AND(FM$7&gt;=$M28,FM$7&lt;=$N28),AND(FM$7&gt;=$O28,FM$7&lt;=$P28),AND(FM$7&gt;=$Q28,FM$7&lt;=$R28),AND(FM$7&gt;=$S28,FM$7&lt;=$T28),AND(FM$7&gt;=$U28,FM$7&lt;=$V28),AND(FM$7&gt;=$W28,FM$7&lt;=$X28),AND(FM$7&gt;=$Y28,FM$7&lt;=$Z28),AND(FM$7&gt;=$AA28,FM$7&lt;=$AB28),AND(FM$7&gt;=$AC28,FM$7&lt;=$AD28),AND(FM$7&gt;=$AE28,FM$7&lt;=$AF28),AND(FM$7&gt;=$AG28,FM$7&lt;=$AH28),AND(FM$7&gt;=$AI28,FM$7&lt;=$AJ28)),0,IF(OR(AND($M28&gt;$N28,FM$7&lt;=$N28),AND($O28&gt;$P28,FM$7&lt;=$P28),AND($Q28&gt;$R28,FM$7&lt;=$R28),AND($S28&gt;$T28,FM$7&lt;=$T28),AND($U28&gt;$V28,FM$7&lt;=$V28),AND($W28&gt;$X28,FM$7&lt;=$X28),AND($Y28&gt;$Z28,FM$7&lt;=$Z28),AND($AA28&gt;$AB28,FM$7&lt;=$AB28),AND($AC28&gt;$AD28,FM$7&lt;=$AD28),AND($AE28&gt;$AF28,FM$7&lt;=$AF28),AND($AG28&gt;$AH28,FM$7&lt;=$AH28),AND($AI28&gt;$AJ28,FM$7&lt;=$AJ28)),0,IF(OR(AND(FM$7&gt;=$M28,$M28&gt;$N28),AND(FM$7&gt;=$O28,$O28&gt;$P28),AND(FM$7&gt;=$Q28,$Q28&gt;$R28),AND(FM$7&gt;=$S28,$S28&gt;$T28),AND(FM$7&gt;=$U28,$U28&gt;$V28),AND(FM$7&gt;=$W28,$W28&gt;$X28),AND(FM$7&gt;=$Y28,$Y28&gt;$Z28),AND(FM$7&gt;=$AA28,$AA28&gt;$AB28),AND(FM$7&gt;=$AC28,$AC28&gt;$AD28),AND(FM$7&gt;=$AE28,$AE28&gt;$AF28),AND(FM$7&gt;=$AG28,$AG28&gt;$AH28),AND(FM$7&gt;=$AI28,$AI28&gt;$AJ28)),0,$E28)))))</f>
        <v>0</v>
      </c>
      <c r="FN28" s="409">
        <f t="shared" si="90"/>
        <v>0</v>
      </c>
      <c r="FO28" s="409">
        <f t="shared" si="90"/>
        <v>0</v>
      </c>
      <c r="FP28" s="409">
        <f t="shared" si="90"/>
        <v>0</v>
      </c>
      <c r="FQ28" s="409">
        <f t="shared" si="90"/>
        <v>0</v>
      </c>
      <c r="FR28" s="409">
        <f t="shared" si="90"/>
        <v>0</v>
      </c>
      <c r="FS28" s="409">
        <f t="shared" si="90"/>
        <v>0</v>
      </c>
      <c r="FT28" s="409">
        <f t="shared" si="90"/>
        <v>0</v>
      </c>
      <c r="FU28" s="409">
        <f t="shared" si="90"/>
        <v>0</v>
      </c>
      <c r="FV28" s="409">
        <f t="shared" si="90"/>
        <v>0</v>
      </c>
      <c r="FW28" s="409">
        <f t="shared" ref="FW28:GF37" si="91">IF(ISNA(FW$7),"",IF(OR(AND(FW$7&lt;=$N28,FW$7&gt;$N28-TIME(0,TimeIncr,0)),AND(FW$7&lt;=$P28,FW$7&gt;$P28-TIME(0,TimeIncr,0)),AND(FW$7&lt;=$R28,FW$7&gt;$R28-TIME(0,TimeIncr,0)),AND(FW$7&lt;=$T28,FW$7&gt;$T28-TIME(0,TimeIncr,0)),AND(FW$7&lt;=$V28,FW$7&gt;$V28-TIME(0,TimeIncr,0)),AND(FW$7&lt;=$X28,FW$7&gt;$X28-TIME(0,TimeIncr,0)),AND(FW$7&lt;=$Z28,FW$7&gt;$Z28-TIME(0,TimeIncr,0)),AND(FW$7&lt;=$AB28,FW$7&gt;$AB28-TIME(0,TimeIncr,0)),AND(FW$7&lt;=$AD28,FW$7&gt;$AD28-TIME(0,TimeIncr,0)),AND(FW$7&lt;=$AF28,FW$7&gt;$AF28-TIME(0,TimeIncr,0)),AND(FW$7&lt;=$AH28,FW$7&gt;$AH28-TIME(0,TimeIncr,0)),AND(FW$7&lt;=$AJ28,FW$7&gt;$AJ28-TIME(0,TimeIncr,0))),$E28*$L28,IF(OR(AND(FW$7&gt;=$M28,FW$7&lt;=$N28),AND(FW$7&gt;=$O28,FW$7&lt;=$P28),AND(FW$7&gt;=$Q28,FW$7&lt;=$R28),AND(FW$7&gt;=$S28,FW$7&lt;=$T28),AND(FW$7&gt;=$U28,FW$7&lt;=$V28),AND(FW$7&gt;=$W28,FW$7&lt;=$X28),AND(FW$7&gt;=$Y28,FW$7&lt;=$Z28),AND(FW$7&gt;=$AA28,FW$7&lt;=$AB28),AND(FW$7&gt;=$AC28,FW$7&lt;=$AD28),AND(FW$7&gt;=$AE28,FW$7&lt;=$AF28),AND(FW$7&gt;=$AG28,FW$7&lt;=$AH28),AND(FW$7&gt;=$AI28,FW$7&lt;=$AJ28)),0,IF(OR(AND($M28&gt;$N28,FW$7&lt;=$N28),AND($O28&gt;$P28,FW$7&lt;=$P28),AND($Q28&gt;$R28,FW$7&lt;=$R28),AND($S28&gt;$T28,FW$7&lt;=$T28),AND($U28&gt;$V28,FW$7&lt;=$V28),AND($W28&gt;$X28,FW$7&lt;=$X28),AND($Y28&gt;$Z28,FW$7&lt;=$Z28),AND($AA28&gt;$AB28,FW$7&lt;=$AB28),AND($AC28&gt;$AD28,FW$7&lt;=$AD28),AND($AE28&gt;$AF28,FW$7&lt;=$AF28),AND($AG28&gt;$AH28,FW$7&lt;=$AH28),AND($AI28&gt;$AJ28,FW$7&lt;=$AJ28)),0,IF(OR(AND(FW$7&gt;=$M28,$M28&gt;$N28),AND(FW$7&gt;=$O28,$O28&gt;$P28),AND(FW$7&gt;=$Q28,$Q28&gt;$R28),AND(FW$7&gt;=$S28,$S28&gt;$T28),AND(FW$7&gt;=$U28,$U28&gt;$V28),AND(FW$7&gt;=$W28,$W28&gt;$X28),AND(FW$7&gt;=$Y28,$Y28&gt;$Z28),AND(FW$7&gt;=$AA28,$AA28&gt;$AB28),AND(FW$7&gt;=$AC28,$AC28&gt;$AD28),AND(FW$7&gt;=$AE28,$AE28&gt;$AF28),AND(FW$7&gt;=$AG28,$AG28&gt;$AH28),AND(FW$7&gt;=$AI28,$AI28&gt;$AJ28)),0,$E28)))))</f>
        <v>0</v>
      </c>
      <c r="FX28" s="409">
        <f t="shared" si="91"/>
        <v>0</v>
      </c>
      <c r="FY28" s="409">
        <f t="shared" si="91"/>
        <v>0</v>
      </c>
      <c r="FZ28" s="409">
        <f t="shared" si="91"/>
        <v>0</v>
      </c>
      <c r="GA28" s="409">
        <f t="shared" si="91"/>
        <v>0</v>
      </c>
      <c r="GB28" s="409">
        <f t="shared" si="91"/>
        <v>0</v>
      </c>
      <c r="GC28" s="409">
        <f t="shared" si="91"/>
        <v>0</v>
      </c>
      <c r="GD28" s="409">
        <f t="shared" si="91"/>
        <v>0</v>
      </c>
      <c r="GE28" s="409">
        <f t="shared" si="91"/>
        <v>0</v>
      </c>
      <c r="GF28" s="409">
        <f t="shared" si="91"/>
        <v>0</v>
      </c>
      <c r="GG28" s="409">
        <f t="shared" ref="GG28:GP37" si="92">IF(ISNA(GG$7),"",IF(OR(AND(GG$7&lt;=$N28,GG$7&gt;$N28-TIME(0,TimeIncr,0)),AND(GG$7&lt;=$P28,GG$7&gt;$P28-TIME(0,TimeIncr,0)),AND(GG$7&lt;=$R28,GG$7&gt;$R28-TIME(0,TimeIncr,0)),AND(GG$7&lt;=$T28,GG$7&gt;$T28-TIME(0,TimeIncr,0)),AND(GG$7&lt;=$V28,GG$7&gt;$V28-TIME(0,TimeIncr,0)),AND(GG$7&lt;=$X28,GG$7&gt;$X28-TIME(0,TimeIncr,0)),AND(GG$7&lt;=$Z28,GG$7&gt;$Z28-TIME(0,TimeIncr,0)),AND(GG$7&lt;=$AB28,GG$7&gt;$AB28-TIME(0,TimeIncr,0)),AND(GG$7&lt;=$AD28,GG$7&gt;$AD28-TIME(0,TimeIncr,0)),AND(GG$7&lt;=$AF28,GG$7&gt;$AF28-TIME(0,TimeIncr,0)),AND(GG$7&lt;=$AH28,GG$7&gt;$AH28-TIME(0,TimeIncr,0)),AND(GG$7&lt;=$AJ28,GG$7&gt;$AJ28-TIME(0,TimeIncr,0))),$E28*$L28,IF(OR(AND(GG$7&gt;=$M28,GG$7&lt;=$N28),AND(GG$7&gt;=$O28,GG$7&lt;=$P28),AND(GG$7&gt;=$Q28,GG$7&lt;=$R28),AND(GG$7&gt;=$S28,GG$7&lt;=$T28),AND(GG$7&gt;=$U28,GG$7&lt;=$V28),AND(GG$7&gt;=$W28,GG$7&lt;=$X28),AND(GG$7&gt;=$Y28,GG$7&lt;=$Z28),AND(GG$7&gt;=$AA28,GG$7&lt;=$AB28),AND(GG$7&gt;=$AC28,GG$7&lt;=$AD28),AND(GG$7&gt;=$AE28,GG$7&lt;=$AF28),AND(GG$7&gt;=$AG28,GG$7&lt;=$AH28),AND(GG$7&gt;=$AI28,GG$7&lt;=$AJ28)),0,IF(OR(AND($M28&gt;$N28,GG$7&lt;=$N28),AND($O28&gt;$P28,GG$7&lt;=$P28),AND($Q28&gt;$R28,GG$7&lt;=$R28),AND($S28&gt;$T28,GG$7&lt;=$T28),AND($U28&gt;$V28,GG$7&lt;=$V28),AND($W28&gt;$X28,GG$7&lt;=$X28),AND($Y28&gt;$Z28,GG$7&lt;=$Z28),AND($AA28&gt;$AB28,GG$7&lt;=$AB28),AND($AC28&gt;$AD28,GG$7&lt;=$AD28),AND($AE28&gt;$AF28,GG$7&lt;=$AF28),AND($AG28&gt;$AH28,GG$7&lt;=$AH28),AND($AI28&gt;$AJ28,GG$7&lt;=$AJ28)),0,IF(OR(AND(GG$7&gt;=$M28,$M28&gt;$N28),AND(GG$7&gt;=$O28,$O28&gt;$P28),AND(GG$7&gt;=$Q28,$Q28&gt;$R28),AND(GG$7&gt;=$S28,$S28&gt;$T28),AND(GG$7&gt;=$U28,$U28&gt;$V28),AND(GG$7&gt;=$W28,$W28&gt;$X28),AND(GG$7&gt;=$Y28,$Y28&gt;$Z28),AND(GG$7&gt;=$AA28,$AA28&gt;$AB28),AND(GG$7&gt;=$AC28,$AC28&gt;$AD28),AND(GG$7&gt;=$AE28,$AE28&gt;$AF28),AND(GG$7&gt;=$AG28,$AG28&gt;$AH28),AND(GG$7&gt;=$AI28,$AI28&gt;$AJ28)),0,$E28)))))</f>
        <v>0</v>
      </c>
      <c r="GH28" s="409">
        <f t="shared" si="92"/>
        <v>0</v>
      </c>
      <c r="GI28" s="409">
        <f t="shared" si="92"/>
        <v>0</v>
      </c>
      <c r="GJ28" s="409">
        <f t="shared" si="92"/>
        <v>0</v>
      </c>
      <c r="GK28" s="409">
        <f t="shared" si="92"/>
        <v>0</v>
      </c>
      <c r="GL28" s="409">
        <f t="shared" si="92"/>
        <v>0</v>
      </c>
      <c r="GM28" s="409">
        <f t="shared" si="92"/>
        <v>0</v>
      </c>
      <c r="GN28" s="409">
        <f t="shared" si="92"/>
        <v>0</v>
      </c>
      <c r="GO28" s="409">
        <f t="shared" si="92"/>
        <v>0</v>
      </c>
      <c r="GP28" s="409">
        <f t="shared" si="92"/>
        <v>0</v>
      </c>
      <c r="GQ28" s="409">
        <f t="shared" ref="GQ28:GZ37" si="93">IF(ISNA(GQ$7),"",IF(OR(AND(GQ$7&lt;=$N28,GQ$7&gt;$N28-TIME(0,TimeIncr,0)),AND(GQ$7&lt;=$P28,GQ$7&gt;$P28-TIME(0,TimeIncr,0)),AND(GQ$7&lt;=$R28,GQ$7&gt;$R28-TIME(0,TimeIncr,0)),AND(GQ$7&lt;=$T28,GQ$7&gt;$T28-TIME(0,TimeIncr,0)),AND(GQ$7&lt;=$V28,GQ$7&gt;$V28-TIME(0,TimeIncr,0)),AND(GQ$7&lt;=$X28,GQ$7&gt;$X28-TIME(0,TimeIncr,0)),AND(GQ$7&lt;=$Z28,GQ$7&gt;$Z28-TIME(0,TimeIncr,0)),AND(GQ$7&lt;=$AB28,GQ$7&gt;$AB28-TIME(0,TimeIncr,0)),AND(GQ$7&lt;=$AD28,GQ$7&gt;$AD28-TIME(0,TimeIncr,0)),AND(GQ$7&lt;=$AF28,GQ$7&gt;$AF28-TIME(0,TimeIncr,0)),AND(GQ$7&lt;=$AH28,GQ$7&gt;$AH28-TIME(0,TimeIncr,0)),AND(GQ$7&lt;=$AJ28,GQ$7&gt;$AJ28-TIME(0,TimeIncr,0))),$E28*$L28,IF(OR(AND(GQ$7&gt;=$M28,GQ$7&lt;=$N28),AND(GQ$7&gt;=$O28,GQ$7&lt;=$P28),AND(GQ$7&gt;=$Q28,GQ$7&lt;=$R28),AND(GQ$7&gt;=$S28,GQ$7&lt;=$T28),AND(GQ$7&gt;=$U28,GQ$7&lt;=$V28),AND(GQ$7&gt;=$W28,GQ$7&lt;=$X28),AND(GQ$7&gt;=$Y28,GQ$7&lt;=$Z28),AND(GQ$7&gt;=$AA28,GQ$7&lt;=$AB28),AND(GQ$7&gt;=$AC28,GQ$7&lt;=$AD28),AND(GQ$7&gt;=$AE28,GQ$7&lt;=$AF28),AND(GQ$7&gt;=$AG28,GQ$7&lt;=$AH28),AND(GQ$7&gt;=$AI28,GQ$7&lt;=$AJ28)),0,IF(OR(AND($M28&gt;$N28,GQ$7&lt;=$N28),AND($O28&gt;$P28,GQ$7&lt;=$P28),AND($Q28&gt;$R28,GQ$7&lt;=$R28),AND($S28&gt;$T28,GQ$7&lt;=$T28),AND($U28&gt;$V28,GQ$7&lt;=$V28),AND($W28&gt;$X28,GQ$7&lt;=$X28),AND($Y28&gt;$Z28,GQ$7&lt;=$Z28),AND($AA28&gt;$AB28,GQ$7&lt;=$AB28),AND($AC28&gt;$AD28,GQ$7&lt;=$AD28),AND($AE28&gt;$AF28,GQ$7&lt;=$AF28),AND($AG28&gt;$AH28,GQ$7&lt;=$AH28),AND($AI28&gt;$AJ28,GQ$7&lt;=$AJ28)),0,IF(OR(AND(GQ$7&gt;=$M28,$M28&gt;$N28),AND(GQ$7&gt;=$O28,$O28&gt;$P28),AND(GQ$7&gt;=$Q28,$Q28&gt;$R28),AND(GQ$7&gt;=$S28,$S28&gt;$T28),AND(GQ$7&gt;=$U28,$U28&gt;$V28),AND(GQ$7&gt;=$W28,$W28&gt;$X28),AND(GQ$7&gt;=$Y28,$Y28&gt;$Z28),AND(GQ$7&gt;=$AA28,$AA28&gt;$AB28),AND(GQ$7&gt;=$AC28,$AC28&gt;$AD28),AND(GQ$7&gt;=$AE28,$AE28&gt;$AF28),AND(GQ$7&gt;=$AG28,$AG28&gt;$AH28),AND(GQ$7&gt;=$AI28,$AI28&gt;$AJ28)),0,$E28)))))</f>
        <v>0</v>
      </c>
      <c r="GR28" s="409">
        <f t="shared" si="93"/>
        <v>0</v>
      </c>
      <c r="GS28" s="409">
        <f t="shared" si="93"/>
        <v>0</v>
      </c>
      <c r="GT28" s="409">
        <f t="shared" si="93"/>
        <v>0</v>
      </c>
      <c r="GU28" s="409">
        <f t="shared" si="93"/>
        <v>0</v>
      </c>
      <c r="GV28" s="409">
        <f t="shared" si="93"/>
        <v>0</v>
      </c>
      <c r="GW28" s="409">
        <f t="shared" si="93"/>
        <v>0</v>
      </c>
      <c r="GX28" s="409">
        <f t="shared" si="93"/>
        <v>0</v>
      </c>
      <c r="GY28" s="409">
        <f t="shared" si="93"/>
        <v>0</v>
      </c>
      <c r="GZ28" s="409">
        <f t="shared" si="93"/>
        <v>0</v>
      </c>
      <c r="HA28" s="409">
        <f t="shared" ref="HA28:HJ37" si="94">IF(ISNA(HA$7),"",IF(OR(AND(HA$7&lt;=$N28,HA$7&gt;$N28-TIME(0,TimeIncr,0)),AND(HA$7&lt;=$P28,HA$7&gt;$P28-TIME(0,TimeIncr,0)),AND(HA$7&lt;=$R28,HA$7&gt;$R28-TIME(0,TimeIncr,0)),AND(HA$7&lt;=$T28,HA$7&gt;$T28-TIME(0,TimeIncr,0)),AND(HA$7&lt;=$V28,HA$7&gt;$V28-TIME(0,TimeIncr,0)),AND(HA$7&lt;=$X28,HA$7&gt;$X28-TIME(0,TimeIncr,0)),AND(HA$7&lt;=$Z28,HA$7&gt;$Z28-TIME(0,TimeIncr,0)),AND(HA$7&lt;=$AB28,HA$7&gt;$AB28-TIME(0,TimeIncr,0)),AND(HA$7&lt;=$AD28,HA$7&gt;$AD28-TIME(0,TimeIncr,0)),AND(HA$7&lt;=$AF28,HA$7&gt;$AF28-TIME(0,TimeIncr,0)),AND(HA$7&lt;=$AH28,HA$7&gt;$AH28-TIME(0,TimeIncr,0)),AND(HA$7&lt;=$AJ28,HA$7&gt;$AJ28-TIME(0,TimeIncr,0))),$E28*$L28,IF(OR(AND(HA$7&gt;=$M28,HA$7&lt;=$N28),AND(HA$7&gt;=$O28,HA$7&lt;=$P28),AND(HA$7&gt;=$Q28,HA$7&lt;=$R28),AND(HA$7&gt;=$S28,HA$7&lt;=$T28),AND(HA$7&gt;=$U28,HA$7&lt;=$V28),AND(HA$7&gt;=$W28,HA$7&lt;=$X28),AND(HA$7&gt;=$Y28,HA$7&lt;=$Z28),AND(HA$7&gt;=$AA28,HA$7&lt;=$AB28),AND(HA$7&gt;=$AC28,HA$7&lt;=$AD28),AND(HA$7&gt;=$AE28,HA$7&lt;=$AF28),AND(HA$7&gt;=$AG28,HA$7&lt;=$AH28),AND(HA$7&gt;=$AI28,HA$7&lt;=$AJ28)),0,IF(OR(AND($M28&gt;$N28,HA$7&lt;=$N28),AND($O28&gt;$P28,HA$7&lt;=$P28),AND($Q28&gt;$R28,HA$7&lt;=$R28),AND($S28&gt;$T28,HA$7&lt;=$T28),AND($U28&gt;$V28,HA$7&lt;=$V28),AND($W28&gt;$X28,HA$7&lt;=$X28),AND($Y28&gt;$Z28,HA$7&lt;=$Z28),AND($AA28&gt;$AB28,HA$7&lt;=$AB28),AND($AC28&gt;$AD28,HA$7&lt;=$AD28),AND($AE28&gt;$AF28,HA$7&lt;=$AF28),AND($AG28&gt;$AH28,HA$7&lt;=$AH28),AND($AI28&gt;$AJ28,HA$7&lt;=$AJ28)),0,IF(OR(AND(HA$7&gt;=$M28,$M28&gt;$N28),AND(HA$7&gt;=$O28,$O28&gt;$P28),AND(HA$7&gt;=$Q28,$Q28&gt;$R28),AND(HA$7&gt;=$S28,$S28&gt;$T28),AND(HA$7&gt;=$U28,$U28&gt;$V28),AND(HA$7&gt;=$W28,$W28&gt;$X28),AND(HA$7&gt;=$Y28,$Y28&gt;$Z28),AND(HA$7&gt;=$AA28,$AA28&gt;$AB28),AND(HA$7&gt;=$AC28,$AC28&gt;$AD28),AND(HA$7&gt;=$AE28,$AE28&gt;$AF28),AND(HA$7&gt;=$AG28,$AG28&gt;$AH28),AND(HA$7&gt;=$AI28,$AI28&gt;$AJ28)),0,$E28)))))</f>
        <v>0</v>
      </c>
      <c r="HB28" s="409">
        <f t="shared" si="94"/>
        <v>0</v>
      </c>
      <c r="HC28" s="409">
        <f t="shared" si="94"/>
        <v>0</v>
      </c>
      <c r="HD28" s="409">
        <f t="shared" si="94"/>
        <v>0</v>
      </c>
      <c r="HE28" s="409">
        <f t="shared" si="94"/>
        <v>0</v>
      </c>
      <c r="HF28" s="409">
        <f t="shared" si="94"/>
        <v>0</v>
      </c>
      <c r="HG28" s="409">
        <f t="shared" si="94"/>
        <v>0</v>
      </c>
      <c r="HH28" s="409">
        <f t="shared" si="94"/>
        <v>0</v>
      </c>
      <c r="HI28" s="409">
        <f t="shared" si="94"/>
        <v>0</v>
      </c>
      <c r="HJ28" s="409">
        <f t="shared" si="94"/>
        <v>0</v>
      </c>
      <c r="HK28" s="409">
        <f t="shared" ref="HK28:HT37" si="95">IF(ISNA(HK$7),"",IF(OR(AND(HK$7&lt;=$N28,HK$7&gt;$N28-TIME(0,TimeIncr,0)),AND(HK$7&lt;=$P28,HK$7&gt;$P28-TIME(0,TimeIncr,0)),AND(HK$7&lt;=$R28,HK$7&gt;$R28-TIME(0,TimeIncr,0)),AND(HK$7&lt;=$T28,HK$7&gt;$T28-TIME(0,TimeIncr,0)),AND(HK$7&lt;=$V28,HK$7&gt;$V28-TIME(0,TimeIncr,0)),AND(HK$7&lt;=$X28,HK$7&gt;$X28-TIME(0,TimeIncr,0)),AND(HK$7&lt;=$Z28,HK$7&gt;$Z28-TIME(0,TimeIncr,0)),AND(HK$7&lt;=$AB28,HK$7&gt;$AB28-TIME(0,TimeIncr,0)),AND(HK$7&lt;=$AD28,HK$7&gt;$AD28-TIME(0,TimeIncr,0)),AND(HK$7&lt;=$AF28,HK$7&gt;$AF28-TIME(0,TimeIncr,0)),AND(HK$7&lt;=$AH28,HK$7&gt;$AH28-TIME(0,TimeIncr,0)),AND(HK$7&lt;=$AJ28,HK$7&gt;$AJ28-TIME(0,TimeIncr,0))),$E28*$L28,IF(OR(AND(HK$7&gt;=$M28,HK$7&lt;=$N28),AND(HK$7&gt;=$O28,HK$7&lt;=$P28),AND(HK$7&gt;=$Q28,HK$7&lt;=$R28),AND(HK$7&gt;=$S28,HK$7&lt;=$T28),AND(HK$7&gt;=$U28,HK$7&lt;=$V28),AND(HK$7&gt;=$W28,HK$7&lt;=$X28),AND(HK$7&gt;=$Y28,HK$7&lt;=$Z28),AND(HK$7&gt;=$AA28,HK$7&lt;=$AB28),AND(HK$7&gt;=$AC28,HK$7&lt;=$AD28),AND(HK$7&gt;=$AE28,HK$7&lt;=$AF28),AND(HK$7&gt;=$AG28,HK$7&lt;=$AH28),AND(HK$7&gt;=$AI28,HK$7&lt;=$AJ28)),0,IF(OR(AND($M28&gt;$N28,HK$7&lt;=$N28),AND($O28&gt;$P28,HK$7&lt;=$P28),AND($Q28&gt;$R28,HK$7&lt;=$R28),AND($S28&gt;$T28,HK$7&lt;=$T28),AND($U28&gt;$V28,HK$7&lt;=$V28),AND($W28&gt;$X28,HK$7&lt;=$X28),AND($Y28&gt;$Z28,HK$7&lt;=$Z28),AND($AA28&gt;$AB28,HK$7&lt;=$AB28),AND($AC28&gt;$AD28,HK$7&lt;=$AD28),AND($AE28&gt;$AF28,HK$7&lt;=$AF28),AND($AG28&gt;$AH28,HK$7&lt;=$AH28),AND($AI28&gt;$AJ28,HK$7&lt;=$AJ28)),0,IF(OR(AND(HK$7&gt;=$M28,$M28&gt;$N28),AND(HK$7&gt;=$O28,$O28&gt;$P28),AND(HK$7&gt;=$Q28,$Q28&gt;$R28),AND(HK$7&gt;=$S28,$S28&gt;$T28),AND(HK$7&gt;=$U28,$U28&gt;$V28),AND(HK$7&gt;=$W28,$W28&gt;$X28),AND(HK$7&gt;=$Y28,$Y28&gt;$Z28),AND(HK$7&gt;=$AA28,$AA28&gt;$AB28),AND(HK$7&gt;=$AC28,$AC28&gt;$AD28),AND(HK$7&gt;=$AE28,$AE28&gt;$AF28),AND(HK$7&gt;=$AG28,$AG28&gt;$AH28),AND(HK$7&gt;=$AI28,$AI28&gt;$AJ28)),0,$E28)))))</f>
        <v>0</v>
      </c>
      <c r="HL28" s="409">
        <f t="shared" si="95"/>
        <v>0</v>
      </c>
      <c r="HM28" s="409">
        <f t="shared" si="95"/>
        <v>0</v>
      </c>
      <c r="HN28" s="409">
        <f t="shared" si="95"/>
        <v>0</v>
      </c>
      <c r="HO28" s="409">
        <f t="shared" si="95"/>
        <v>0</v>
      </c>
      <c r="HP28" s="409">
        <f t="shared" si="95"/>
        <v>0</v>
      </c>
      <c r="HQ28" s="409">
        <f t="shared" si="95"/>
        <v>0</v>
      </c>
      <c r="HR28" s="409">
        <f t="shared" si="95"/>
        <v>0</v>
      </c>
      <c r="HS28" s="409">
        <f t="shared" si="95"/>
        <v>0</v>
      </c>
      <c r="HT28" s="409">
        <f t="shared" si="95"/>
        <v>0</v>
      </c>
      <c r="HU28" s="409">
        <f t="shared" ref="HU28:ID37" si="96">IF(ISNA(HU$7),"",IF(OR(AND(HU$7&lt;=$N28,HU$7&gt;$N28-TIME(0,TimeIncr,0)),AND(HU$7&lt;=$P28,HU$7&gt;$P28-TIME(0,TimeIncr,0)),AND(HU$7&lt;=$R28,HU$7&gt;$R28-TIME(0,TimeIncr,0)),AND(HU$7&lt;=$T28,HU$7&gt;$T28-TIME(0,TimeIncr,0)),AND(HU$7&lt;=$V28,HU$7&gt;$V28-TIME(0,TimeIncr,0)),AND(HU$7&lt;=$X28,HU$7&gt;$X28-TIME(0,TimeIncr,0)),AND(HU$7&lt;=$Z28,HU$7&gt;$Z28-TIME(0,TimeIncr,0)),AND(HU$7&lt;=$AB28,HU$7&gt;$AB28-TIME(0,TimeIncr,0)),AND(HU$7&lt;=$AD28,HU$7&gt;$AD28-TIME(0,TimeIncr,0)),AND(HU$7&lt;=$AF28,HU$7&gt;$AF28-TIME(0,TimeIncr,0)),AND(HU$7&lt;=$AH28,HU$7&gt;$AH28-TIME(0,TimeIncr,0)),AND(HU$7&lt;=$AJ28,HU$7&gt;$AJ28-TIME(0,TimeIncr,0))),$E28*$L28,IF(OR(AND(HU$7&gt;=$M28,HU$7&lt;=$N28),AND(HU$7&gt;=$O28,HU$7&lt;=$P28),AND(HU$7&gt;=$Q28,HU$7&lt;=$R28),AND(HU$7&gt;=$S28,HU$7&lt;=$T28),AND(HU$7&gt;=$U28,HU$7&lt;=$V28),AND(HU$7&gt;=$W28,HU$7&lt;=$X28),AND(HU$7&gt;=$Y28,HU$7&lt;=$Z28),AND(HU$7&gt;=$AA28,HU$7&lt;=$AB28),AND(HU$7&gt;=$AC28,HU$7&lt;=$AD28),AND(HU$7&gt;=$AE28,HU$7&lt;=$AF28),AND(HU$7&gt;=$AG28,HU$7&lt;=$AH28),AND(HU$7&gt;=$AI28,HU$7&lt;=$AJ28)),0,IF(OR(AND($M28&gt;$N28,HU$7&lt;=$N28),AND($O28&gt;$P28,HU$7&lt;=$P28),AND($Q28&gt;$R28,HU$7&lt;=$R28),AND($S28&gt;$T28,HU$7&lt;=$T28),AND($U28&gt;$V28,HU$7&lt;=$V28),AND($W28&gt;$X28,HU$7&lt;=$X28),AND($Y28&gt;$Z28,HU$7&lt;=$Z28),AND($AA28&gt;$AB28,HU$7&lt;=$AB28),AND($AC28&gt;$AD28,HU$7&lt;=$AD28),AND($AE28&gt;$AF28,HU$7&lt;=$AF28),AND($AG28&gt;$AH28,HU$7&lt;=$AH28),AND($AI28&gt;$AJ28,HU$7&lt;=$AJ28)),0,IF(OR(AND(HU$7&gt;=$M28,$M28&gt;$N28),AND(HU$7&gt;=$O28,$O28&gt;$P28),AND(HU$7&gt;=$Q28,$Q28&gt;$R28),AND(HU$7&gt;=$S28,$S28&gt;$T28),AND(HU$7&gt;=$U28,$U28&gt;$V28),AND(HU$7&gt;=$W28,$W28&gt;$X28),AND(HU$7&gt;=$Y28,$Y28&gt;$Z28),AND(HU$7&gt;=$AA28,$AA28&gt;$AB28),AND(HU$7&gt;=$AC28,$AC28&gt;$AD28),AND(HU$7&gt;=$AE28,$AE28&gt;$AF28),AND(HU$7&gt;=$AG28,$AG28&gt;$AH28),AND(HU$7&gt;=$AI28,$AI28&gt;$AJ28)),0,$E28)))))</f>
        <v>0</v>
      </c>
      <c r="HV28" s="409">
        <f t="shared" si="96"/>
        <v>0</v>
      </c>
      <c r="HW28" s="409">
        <f t="shared" si="96"/>
        <v>0</v>
      </c>
      <c r="HX28" s="409">
        <f t="shared" si="96"/>
        <v>0</v>
      </c>
      <c r="HY28" s="409">
        <f t="shared" si="96"/>
        <v>0</v>
      </c>
      <c r="HZ28" s="409">
        <f t="shared" si="96"/>
        <v>0</v>
      </c>
      <c r="IA28" s="409">
        <f t="shared" si="96"/>
        <v>0</v>
      </c>
      <c r="IB28" s="409">
        <f t="shared" si="96"/>
        <v>0</v>
      </c>
      <c r="IC28" s="409">
        <f t="shared" si="96"/>
        <v>0</v>
      </c>
      <c r="ID28" s="409">
        <f t="shared" si="96"/>
        <v>0</v>
      </c>
      <c r="IE28" s="409">
        <f t="shared" ref="IE28:IJ37" si="97">IF(ISNA(IE$7),"",IF(OR(AND(IE$7&lt;=$N28,IE$7&gt;$N28-TIME(0,TimeIncr,0)),AND(IE$7&lt;=$P28,IE$7&gt;$P28-TIME(0,TimeIncr,0)),AND(IE$7&lt;=$R28,IE$7&gt;$R28-TIME(0,TimeIncr,0)),AND(IE$7&lt;=$T28,IE$7&gt;$T28-TIME(0,TimeIncr,0)),AND(IE$7&lt;=$V28,IE$7&gt;$V28-TIME(0,TimeIncr,0)),AND(IE$7&lt;=$X28,IE$7&gt;$X28-TIME(0,TimeIncr,0)),AND(IE$7&lt;=$Z28,IE$7&gt;$Z28-TIME(0,TimeIncr,0)),AND(IE$7&lt;=$AB28,IE$7&gt;$AB28-TIME(0,TimeIncr,0)),AND(IE$7&lt;=$AD28,IE$7&gt;$AD28-TIME(0,TimeIncr,0)),AND(IE$7&lt;=$AF28,IE$7&gt;$AF28-TIME(0,TimeIncr,0)),AND(IE$7&lt;=$AH28,IE$7&gt;$AH28-TIME(0,TimeIncr,0)),AND(IE$7&lt;=$AJ28,IE$7&gt;$AJ28-TIME(0,TimeIncr,0))),$E28*$L28,IF(OR(AND(IE$7&gt;=$M28,IE$7&lt;=$N28),AND(IE$7&gt;=$O28,IE$7&lt;=$P28),AND(IE$7&gt;=$Q28,IE$7&lt;=$R28),AND(IE$7&gt;=$S28,IE$7&lt;=$T28),AND(IE$7&gt;=$U28,IE$7&lt;=$V28),AND(IE$7&gt;=$W28,IE$7&lt;=$X28),AND(IE$7&gt;=$Y28,IE$7&lt;=$Z28),AND(IE$7&gt;=$AA28,IE$7&lt;=$AB28),AND(IE$7&gt;=$AC28,IE$7&lt;=$AD28),AND(IE$7&gt;=$AE28,IE$7&lt;=$AF28),AND(IE$7&gt;=$AG28,IE$7&lt;=$AH28),AND(IE$7&gt;=$AI28,IE$7&lt;=$AJ28)),0,IF(OR(AND($M28&gt;$N28,IE$7&lt;=$N28),AND($O28&gt;$P28,IE$7&lt;=$P28),AND($Q28&gt;$R28,IE$7&lt;=$R28),AND($S28&gt;$T28,IE$7&lt;=$T28),AND($U28&gt;$V28,IE$7&lt;=$V28),AND($W28&gt;$X28,IE$7&lt;=$X28),AND($Y28&gt;$Z28,IE$7&lt;=$Z28),AND($AA28&gt;$AB28,IE$7&lt;=$AB28),AND($AC28&gt;$AD28,IE$7&lt;=$AD28),AND($AE28&gt;$AF28,IE$7&lt;=$AF28),AND($AG28&gt;$AH28,IE$7&lt;=$AH28),AND($AI28&gt;$AJ28,IE$7&lt;=$AJ28)),0,IF(OR(AND(IE$7&gt;=$M28,$M28&gt;$N28),AND(IE$7&gt;=$O28,$O28&gt;$P28),AND(IE$7&gt;=$Q28,$Q28&gt;$R28),AND(IE$7&gt;=$S28,$S28&gt;$T28),AND(IE$7&gt;=$U28,$U28&gt;$V28),AND(IE$7&gt;=$W28,$W28&gt;$X28),AND(IE$7&gt;=$Y28,$Y28&gt;$Z28),AND(IE$7&gt;=$AA28,$AA28&gt;$AB28),AND(IE$7&gt;=$AC28,$AC28&gt;$AD28),AND(IE$7&gt;=$AE28,$AE28&gt;$AF28),AND(IE$7&gt;=$AG28,$AG28&gt;$AH28),AND(IE$7&gt;=$AI28,$AI28&gt;$AJ28)),0,$E28)))))</f>
        <v>0</v>
      </c>
      <c r="IF28" s="409">
        <f t="shared" si="97"/>
        <v>0</v>
      </c>
      <c r="IG28" s="409">
        <f t="shared" si="97"/>
        <v>0</v>
      </c>
      <c r="IH28" s="409">
        <f t="shared" si="97"/>
        <v>0</v>
      </c>
      <c r="II28" s="409">
        <f t="shared" si="97"/>
        <v>0</v>
      </c>
      <c r="IJ28" s="409">
        <f t="shared" si="97"/>
        <v>0</v>
      </c>
      <c r="IK28" s="378">
        <f t="shared" si="54"/>
        <v>21</v>
      </c>
    </row>
    <row r="29" spans="1:245" hidden="1" x14ac:dyDescent="0.2">
      <c r="A29" s="380" t="str">
        <f t="shared" si="34"/>
        <v>x</v>
      </c>
      <c r="B29" s="712" t="str">
        <f>IF(ISERROR(INDEX('Legend(DX)'!$H$8:$H$9,22)),"",INDEX('Legend(DX)'!$H$8:$H$9,22))</f>
        <v/>
      </c>
      <c r="C29" s="712" t="e">
        <f>IF(INDEX('Legend(DX)'!$T$8:$T$9,22)=0,"See Legend",INDEX('Legend(DX)'!$T$8:$T$9,22))</f>
        <v>#REF!</v>
      </c>
      <c r="D29" s="712" t="e">
        <f>IF(INDEX('Legend(DX)'!$R$8:$R$9,(ROW(C29))-7)=0,IF(AND(INDEX('Legend(DX)'!$D$8:$D$9,(ROW(C29))-6)="CH",INDEX('Legend(DX)'!$F$8:$F$9,(ROW(C29))-6)="CASE - MANUAL"),INDEX('Legend(DX)'!$R$8:$R$9,(ROW(C29))-6),IF(INDEX('Legend(DX)'!$V$8:$V$9,(ROW(C29))-7)&gt;1, "(" &amp; INDEX('Legend(DX)'!$V$8:$V$9,(ROW(C29))-7) &amp; ") " &amp; INDEX('Legend(DX)'!$W$8:$W$9,(ROW(C29))-6),INDEX('Legend(DX)'!$W$8:$W$9,(ROW(C29))-7))),INDEX('Legend(DX)'!$R$8:$R$9,(ROW(C29))-7))</f>
        <v>#REF!</v>
      </c>
      <c r="E29" s="713" t="str" cm="1">
        <f t="array" ref="E29">IF(OR(ISNUMBER(SEARCH("Skid",C29)),ISNUMBER(SEARCH("Subcooler",C29)),ISNUMBER(SEARCH("Pump",C29)),ISNUMBER(SEARCH("PH",C29))),0,IF(ISERROR(INDEX('Legend(DX)'!$AA$8:$AA$9,ROW()-7)),"",INDEX('Legend(DX)'!$AA$8:$AA$9,ROW()-7)))</f>
        <v/>
      </c>
      <c r="F29" s="714"/>
      <c r="G29" s="714"/>
      <c r="H29" s="714"/>
      <c r="I29" s="714"/>
      <c r="J29" s="714"/>
      <c r="K29" s="890">
        <f t="shared" si="35"/>
        <v>0</v>
      </c>
      <c r="L29" s="718"/>
      <c r="M29" s="720"/>
      <c r="N29" s="972">
        <f t="shared" si="7"/>
        <v>-1</v>
      </c>
      <c r="O29" s="972">
        <f t="shared" si="36"/>
        <v>-1</v>
      </c>
      <c r="P29" s="972">
        <f t="shared" si="8"/>
        <v>-1</v>
      </c>
      <c r="Q29" s="972">
        <f t="shared" si="37"/>
        <v>-1</v>
      </c>
      <c r="R29" s="972">
        <f t="shared" si="9"/>
        <v>-1</v>
      </c>
      <c r="S29" s="972">
        <f t="shared" si="38"/>
        <v>-1</v>
      </c>
      <c r="T29" s="972">
        <f t="shared" si="10"/>
        <v>-1</v>
      </c>
      <c r="U29" s="972">
        <f t="shared" si="39"/>
        <v>-1</v>
      </c>
      <c r="V29" s="972">
        <f t="shared" si="11"/>
        <v>-1</v>
      </c>
      <c r="W29" s="972">
        <f t="shared" si="40"/>
        <v>-1</v>
      </c>
      <c r="X29" s="972">
        <f t="shared" si="12"/>
        <v>-1</v>
      </c>
      <c r="Y29" s="972">
        <f t="shared" si="41"/>
        <v>-1</v>
      </c>
      <c r="Z29" s="972">
        <f t="shared" si="42"/>
        <v>-1</v>
      </c>
      <c r="AA29" s="972">
        <f t="shared" si="43"/>
        <v>-1</v>
      </c>
      <c r="AB29" s="972">
        <f t="shared" si="44"/>
        <v>-1</v>
      </c>
      <c r="AC29" s="972">
        <f t="shared" si="45"/>
        <v>-1</v>
      </c>
      <c r="AD29" s="972">
        <f t="shared" si="46"/>
        <v>-1</v>
      </c>
      <c r="AE29" s="972">
        <f t="shared" si="47"/>
        <v>-1</v>
      </c>
      <c r="AF29" s="972">
        <f t="shared" si="48"/>
        <v>-1</v>
      </c>
      <c r="AG29" s="972">
        <f t="shared" si="49"/>
        <v>-1</v>
      </c>
      <c r="AH29" s="972">
        <f t="shared" si="50"/>
        <v>-1</v>
      </c>
      <c r="AI29" s="972">
        <f t="shared" si="51"/>
        <v>-1</v>
      </c>
      <c r="AJ29" s="972">
        <f t="shared" si="52"/>
        <v>-1</v>
      </c>
      <c r="AK29" s="381" t="str">
        <f>IF(ISERROR(INDEX('Legend(DX)'!$AI$8:$AI$9,IK29)),"",INDEX('Legend(DX)'!$AI$8:$AI$9,IK29))</f>
        <v/>
      </c>
      <c r="AL29" s="727" t="str">
        <f t="shared" si="55"/>
        <v/>
      </c>
      <c r="AM29" s="409">
        <f t="shared" si="77"/>
        <v>0</v>
      </c>
      <c r="AN29" s="409">
        <f t="shared" si="77"/>
        <v>0</v>
      </c>
      <c r="AO29" s="409">
        <f t="shared" si="77"/>
        <v>0</v>
      </c>
      <c r="AP29" s="409">
        <f t="shared" si="77"/>
        <v>0</v>
      </c>
      <c r="AQ29" s="409">
        <f t="shared" si="77"/>
        <v>0</v>
      </c>
      <c r="AR29" s="409">
        <f t="shared" si="77"/>
        <v>0</v>
      </c>
      <c r="AS29" s="409">
        <f t="shared" si="77"/>
        <v>0</v>
      </c>
      <c r="AT29" s="409">
        <f t="shared" si="77"/>
        <v>0</v>
      </c>
      <c r="AU29" s="409">
        <f t="shared" si="77"/>
        <v>0</v>
      </c>
      <c r="AV29" s="409">
        <f t="shared" si="77"/>
        <v>0</v>
      </c>
      <c r="AW29" s="409">
        <f t="shared" si="78"/>
        <v>0</v>
      </c>
      <c r="AX29" s="409">
        <f t="shared" si="78"/>
        <v>0</v>
      </c>
      <c r="AY29" s="409">
        <f t="shared" si="78"/>
        <v>0</v>
      </c>
      <c r="AZ29" s="409">
        <f t="shared" si="78"/>
        <v>0</v>
      </c>
      <c r="BA29" s="409">
        <f t="shared" si="78"/>
        <v>0</v>
      </c>
      <c r="BB29" s="409">
        <f t="shared" si="78"/>
        <v>0</v>
      </c>
      <c r="BC29" s="409">
        <f t="shared" si="78"/>
        <v>0</v>
      </c>
      <c r="BD29" s="409">
        <f t="shared" si="78"/>
        <v>0</v>
      </c>
      <c r="BE29" s="409">
        <f t="shared" si="78"/>
        <v>0</v>
      </c>
      <c r="BF29" s="409">
        <f t="shared" si="78"/>
        <v>0</v>
      </c>
      <c r="BG29" s="409">
        <f t="shared" si="79"/>
        <v>0</v>
      </c>
      <c r="BH29" s="409">
        <f t="shared" si="79"/>
        <v>0</v>
      </c>
      <c r="BI29" s="409">
        <f t="shared" si="79"/>
        <v>0</v>
      </c>
      <c r="BJ29" s="409">
        <f t="shared" si="79"/>
        <v>0</v>
      </c>
      <c r="BK29" s="409">
        <f t="shared" si="79"/>
        <v>0</v>
      </c>
      <c r="BL29" s="409">
        <f t="shared" si="79"/>
        <v>0</v>
      </c>
      <c r="BM29" s="409">
        <f t="shared" si="79"/>
        <v>0</v>
      </c>
      <c r="BN29" s="409">
        <f t="shared" si="79"/>
        <v>0</v>
      </c>
      <c r="BO29" s="409">
        <f t="shared" si="79"/>
        <v>0</v>
      </c>
      <c r="BP29" s="409">
        <f t="shared" si="79"/>
        <v>0</v>
      </c>
      <c r="BQ29" s="409">
        <f t="shared" si="80"/>
        <v>0</v>
      </c>
      <c r="BR29" s="409">
        <f t="shared" si="80"/>
        <v>0</v>
      </c>
      <c r="BS29" s="409">
        <f t="shared" si="80"/>
        <v>0</v>
      </c>
      <c r="BT29" s="409">
        <f t="shared" si="80"/>
        <v>0</v>
      </c>
      <c r="BU29" s="409">
        <f t="shared" si="80"/>
        <v>0</v>
      </c>
      <c r="BV29" s="409">
        <f t="shared" si="80"/>
        <v>0</v>
      </c>
      <c r="BW29" s="409">
        <f t="shared" si="80"/>
        <v>0</v>
      </c>
      <c r="BX29" s="409">
        <f t="shared" si="80"/>
        <v>0</v>
      </c>
      <c r="BY29" s="409">
        <f t="shared" si="80"/>
        <v>0</v>
      </c>
      <c r="BZ29" s="409">
        <f t="shared" si="80"/>
        <v>0</v>
      </c>
      <c r="CA29" s="409">
        <f t="shared" si="81"/>
        <v>0</v>
      </c>
      <c r="CB29" s="409">
        <f t="shared" si="81"/>
        <v>0</v>
      </c>
      <c r="CC29" s="409">
        <f t="shared" si="81"/>
        <v>0</v>
      </c>
      <c r="CD29" s="409">
        <f t="shared" si="81"/>
        <v>0</v>
      </c>
      <c r="CE29" s="409">
        <f t="shared" si="81"/>
        <v>0</v>
      </c>
      <c r="CF29" s="409">
        <f t="shared" si="81"/>
        <v>0</v>
      </c>
      <c r="CG29" s="409">
        <f t="shared" si="81"/>
        <v>0</v>
      </c>
      <c r="CH29" s="409">
        <f t="shared" si="81"/>
        <v>0</v>
      </c>
      <c r="CI29" s="409">
        <f t="shared" si="81"/>
        <v>0</v>
      </c>
      <c r="CJ29" s="409">
        <f t="shared" si="81"/>
        <v>0</v>
      </c>
      <c r="CK29" s="409">
        <f t="shared" si="82"/>
        <v>0</v>
      </c>
      <c r="CL29" s="409">
        <f t="shared" si="82"/>
        <v>0</v>
      </c>
      <c r="CM29" s="409">
        <f t="shared" si="82"/>
        <v>0</v>
      </c>
      <c r="CN29" s="409">
        <f t="shared" si="82"/>
        <v>0</v>
      </c>
      <c r="CO29" s="409">
        <f t="shared" si="82"/>
        <v>0</v>
      </c>
      <c r="CP29" s="409">
        <f t="shared" si="82"/>
        <v>0</v>
      </c>
      <c r="CQ29" s="409">
        <f t="shared" si="82"/>
        <v>0</v>
      </c>
      <c r="CR29" s="409">
        <f t="shared" si="82"/>
        <v>0</v>
      </c>
      <c r="CS29" s="409">
        <f t="shared" si="82"/>
        <v>0</v>
      </c>
      <c r="CT29" s="409">
        <f t="shared" si="82"/>
        <v>0</v>
      </c>
      <c r="CU29" s="409">
        <f t="shared" si="83"/>
        <v>0</v>
      </c>
      <c r="CV29" s="409">
        <f t="shared" si="83"/>
        <v>0</v>
      </c>
      <c r="CW29" s="409">
        <f t="shared" si="83"/>
        <v>0</v>
      </c>
      <c r="CX29" s="409">
        <f t="shared" si="83"/>
        <v>0</v>
      </c>
      <c r="CY29" s="409">
        <f t="shared" si="83"/>
        <v>0</v>
      </c>
      <c r="CZ29" s="409">
        <f t="shared" si="83"/>
        <v>0</v>
      </c>
      <c r="DA29" s="409">
        <f t="shared" si="83"/>
        <v>0</v>
      </c>
      <c r="DB29" s="409">
        <f t="shared" si="83"/>
        <v>0</v>
      </c>
      <c r="DC29" s="409">
        <f t="shared" si="83"/>
        <v>0</v>
      </c>
      <c r="DD29" s="409">
        <f t="shared" si="83"/>
        <v>0</v>
      </c>
      <c r="DE29" s="409">
        <f t="shared" si="84"/>
        <v>0</v>
      </c>
      <c r="DF29" s="409">
        <f t="shared" si="84"/>
        <v>0</v>
      </c>
      <c r="DG29" s="409">
        <f t="shared" si="84"/>
        <v>0</v>
      </c>
      <c r="DH29" s="409">
        <f t="shared" si="84"/>
        <v>0</v>
      </c>
      <c r="DI29" s="409">
        <f t="shared" si="84"/>
        <v>0</v>
      </c>
      <c r="DJ29" s="409">
        <f t="shared" si="84"/>
        <v>0</v>
      </c>
      <c r="DK29" s="409">
        <f t="shared" si="84"/>
        <v>0</v>
      </c>
      <c r="DL29" s="409">
        <f t="shared" si="84"/>
        <v>0</v>
      </c>
      <c r="DM29" s="409">
        <f t="shared" si="84"/>
        <v>0</v>
      </c>
      <c r="DN29" s="409">
        <f t="shared" si="84"/>
        <v>0</v>
      </c>
      <c r="DO29" s="409">
        <f t="shared" si="85"/>
        <v>0</v>
      </c>
      <c r="DP29" s="409">
        <f t="shared" si="85"/>
        <v>0</v>
      </c>
      <c r="DQ29" s="409">
        <f t="shared" si="85"/>
        <v>0</v>
      </c>
      <c r="DR29" s="409">
        <f t="shared" si="85"/>
        <v>0</v>
      </c>
      <c r="DS29" s="409">
        <f t="shared" si="85"/>
        <v>0</v>
      </c>
      <c r="DT29" s="409">
        <f t="shared" si="85"/>
        <v>0</v>
      </c>
      <c r="DU29" s="409">
        <f t="shared" si="85"/>
        <v>0</v>
      </c>
      <c r="DV29" s="409">
        <f t="shared" si="85"/>
        <v>0</v>
      </c>
      <c r="DW29" s="409">
        <f t="shared" si="85"/>
        <v>0</v>
      </c>
      <c r="DX29" s="409">
        <f t="shared" si="85"/>
        <v>0</v>
      </c>
      <c r="DY29" s="409">
        <f t="shared" si="86"/>
        <v>0</v>
      </c>
      <c r="DZ29" s="409">
        <f t="shared" si="86"/>
        <v>0</v>
      </c>
      <c r="EA29" s="409">
        <f t="shared" si="86"/>
        <v>0</v>
      </c>
      <c r="EB29" s="409">
        <f t="shared" si="86"/>
        <v>0</v>
      </c>
      <c r="EC29" s="409">
        <f t="shared" si="86"/>
        <v>0</v>
      </c>
      <c r="ED29" s="409">
        <f t="shared" si="86"/>
        <v>0</v>
      </c>
      <c r="EE29" s="409">
        <f t="shared" si="86"/>
        <v>0</v>
      </c>
      <c r="EF29" s="409">
        <f t="shared" si="86"/>
        <v>0</v>
      </c>
      <c r="EG29" s="409">
        <f t="shared" si="86"/>
        <v>0</v>
      </c>
      <c r="EH29" s="409">
        <f t="shared" si="86"/>
        <v>0</v>
      </c>
      <c r="EI29" s="409">
        <f t="shared" si="87"/>
        <v>0</v>
      </c>
      <c r="EJ29" s="409">
        <f t="shared" si="87"/>
        <v>0</v>
      </c>
      <c r="EK29" s="409">
        <f t="shared" si="87"/>
        <v>0</v>
      </c>
      <c r="EL29" s="409">
        <f t="shared" si="87"/>
        <v>0</v>
      </c>
      <c r="EM29" s="409">
        <f t="shared" si="87"/>
        <v>0</v>
      </c>
      <c r="EN29" s="409">
        <f t="shared" si="87"/>
        <v>0</v>
      </c>
      <c r="EO29" s="409">
        <f t="shared" si="87"/>
        <v>0</v>
      </c>
      <c r="EP29" s="409">
        <f t="shared" si="87"/>
        <v>0</v>
      </c>
      <c r="EQ29" s="409">
        <f t="shared" si="87"/>
        <v>0</v>
      </c>
      <c r="ER29" s="409">
        <f t="shared" si="87"/>
        <v>0</v>
      </c>
      <c r="ES29" s="409">
        <f t="shared" si="88"/>
        <v>0</v>
      </c>
      <c r="ET29" s="409">
        <f t="shared" si="88"/>
        <v>0</v>
      </c>
      <c r="EU29" s="409">
        <f t="shared" si="88"/>
        <v>0</v>
      </c>
      <c r="EV29" s="409">
        <f t="shared" si="88"/>
        <v>0</v>
      </c>
      <c r="EW29" s="409">
        <f t="shared" si="88"/>
        <v>0</v>
      </c>
      <c r="EX29" s="409">
        <f t="shared" si="88"/>
        <v>0</v>
      </c>
      <c r="EY29" s="409">
        <f t="shared" si="88"/>
        <v>0</v>
      </c>
      <c r="EZ29" s="409">
        <f t="shared" si="88"/>
        <v>0</v>
      </c>
      <c r="FA29" s="409">
        <f t="shared" si="88"/>
        <v>0</v>
      </c>
      <c r="FB29" s="409">
        <f t="shared" si="88"/>
        <v>0</v>
      </c>
      <c r="FC29" s="409">
        <f t="shared" si="89"/>
        <v>0</v>
      </c>
      <c r="FD29" s="409">
        <f t="shared" si="89"/>
        <v>0</v>
      </c>
      <c r="FE29" s="409">
        <f t="shared" si="89"/>
        <v>0</v>
      </c>
      <c r="FF29" s="409">
        <f t="shared" si="89"/>
        <v>0</v>
      </c>
      <c r="FG29" s="409">
        <f t="shared" si="89"/>
        <v>0</v>
      </c>
      <c r="FH29" s="409">
        <f t="shared" si="89"/>
        <v>0</v>
      </c>
      <c r="FI29" s="409">
        <f t="shared" si="89"/>
        <v>0</v>
      </c>
      <c r="FJ29" s="409">
        <f t="shared" si="89"/>
        <v>0</v>
      </c>
      <c r="FK29" s="409">
        <f t="shared" si="89"/>
        <v>0</v>
      </c>
      <c r="FL29" s="409">
        <f t="shared" si="89"/>
        <v>0</v>
      </c>
      <c r="FM29" s="409">
        <f t="shared" si="90"/>
        <v>0</v>
      </c>
      <c r="FN29" s="409">
        <f t="shared" si="90"/>
        <v>0</v>
      </c>
      <c r="FO29" s="409">
        <f t="shared" si="90"/>
        <v>0</v>
      </c>
      <c r="FP29" s="409">
        <f t="shared" si="90"/>
        <v>0</v>
      </c>
      <c r="FQ29" s="409">
        <f t="shared" si="90"/>
        <v>0</v>
      </c>
      <c r="FR29" s="409">
        <f t="shared" si="90"/>
        <v>0</v>
      </c>
      <c r="FS29" s="409">
        <f t="shared" si="90"/>
        <v>0</v>
      </c>
      <c r="FT29" s="409">
        <f t="shared" si="90"/>
        <v>0</v>
      </c>
      <c r="FU29" s="409">
        <f t="shared" si="90"/>
        <v>0</v>
      </c>
      <c r="FV29" s="409">
        <f t="shared" si="90"/>
        <v>0</v>
      </c>
      <c r="FW29" s="409">
        <f t="shared" si="91"/>
        <v>0</v>
      </c>
      <c r="FX29" s="409">
        <f t="shared" si="91"/>
        <v>0</v>
      </c>
      <c r="FY29" s="409">
        <f t="shared" si="91"/>
        <v>0</v>
      </c>
      <c r="FZ29" s="409">
        <f t="shared" si="91"/>
        <v>0</v>
      </c>
      <c r="GA29" s="409">
        <f t="shared" si="91"/>
        <v>0</v>
      </c>
      <c r="GB29" s="409">
        <f t="shared" si="91"/>
        <v>0</v>
      </c>
      <c r="GC29" s="409">
        <f t="shared" si="91"/>
        <v>0</v>
      </c>
      <c r="GD29" s="409">
        <f t="shared" si="91"/>
        <v>0</v>
      </c>
      <c r="GE29" s="409">
        <f t="shared" si="91"/>
        <v>0</v>
      </c>
      <c r="GF29" s="409">
        <f t="shared" si="91"/>
        <v>0</v>
      </c>
      <c r="GG29" s="409">
        <f t="shared" si="92"/>
        <v>0</v>
      </c>
      <c r="GH29" s="409">
        <f t="shared" si="92"/>
        <v>0</v>
      </c>
      <c r="GI29" s="409">
        <f t="shared" si="92"/>
        <v>0</v>
      </c>
      <c r="GJ29" s="409">
        <f t="shared" si="92"/>
        <v>0</v>
      </c>
      <c r="GK29" s="409">
        <f t="shared" si="92"/>
        <v>0</v>
      </c>
      <c r="GL29" s="409">
        <f t="shared" si="92"/>
        <v>0</v>
      </c>
      <c r="GM29" s="409">
        <f t="shared" si="92"/>
        <v>0</v>
      </c>
      <c r="GN29" s="409">
        <f t="shared" si="92"/>
        <v>0</v>
      </c>
      <c r="GO29" s="409">
        <f t="shared" si="92"/>
        <v>0</v>
      </c>
      <c r="GP29" s="409">
        <f t="shared" si="92"/>
        <v>0</v>
      </c>
      <c r="GQ29" s="409">
        <f t="shared" si="93"/>
        <v>0</v>
      </c>
      <c r="GR29" s="409">
        <f t="shared" si="93"/>
        <v>0</v>
      </c>
      <c r="GS29" s="409">
        <f t="shared" si="93"/>
        <v>0</v>
      </c>
      <c r="GT29" s="409">
        <f t="shared" si="93"/>
        <v>0</v>
      </c>
      <c r="GU29" s="409">
        <f t="shared" si="93"/>
        <v>0</v>
      </c>
      <c r="GV29" s="409">
        <f t="shared" si="93"/>
        <v>0</v>
      </c>
      <c r="GW29" s="409">
        <f t="shared" si="93"/>
        <v>0</v>
      </c>
      <c r="GX29" s="409">
        <f t="shared" si="93"/>
        <v>0</v>
      </c>
      <c r="GY29" s="409">
        <f t="shared" si="93"/>
        <v>0</v>
      </c>
      <c r="GZ29" s="409">
        <f t="shared" si="93"/>
        <v>0</v>
      </c>
      <c r="HA29" s="409">
        <f t="shared" si="94"/>
        <v>0</v>
      </c>
      <c r="HB29" s="409">
        <f t="shared" si="94"/>
        <v>0</v>
      </c>
      <c r="HC29" s="409">
        <f t="shared" si="94"/>
        <v>0</v>
      </c>
      <c r="HD29" s="409">
        <f t="shared" si="94"/>
        <v>0</v>
      </c>
      <c r="HE29" s="409">
        <f t="shared" si="94"/>
        <v>0</v>
      </c>
      <c r="HF29" s="409">
        <f t="shared" si="94"/>
        <v>0</v>
      </c>
      <c r="HG29" s="409">
        <f t="shared" si="94"/>
        <v>0</v>
      </c>
      <c r="HH29" s="409">
        <f t="shared" si="94"/>
        <v>0</v>
      </c>
      <c r="HI29" s="409">
        <f t="shared" si="94"/>
        <v>0</v>
      </c>
      <c r="HJ29" s="409">
        <f t="shared" si="94"/>
        <v>0</v>
      </c>
      <c r="HK29" s="409">
        <f t="shared" si="95"/>
        <v>0</v>
      </c>
      <c r="HL29" s="409">
        <f t="shared" si="95"/>
        <v>0</v>
      </c>
      <c r="HM29" s="409">
        <f t="shared" si="95"/>
        <v>0</v>
      </c>
      <c r="HN29" s="409">
        <f t="shared" si="95"/>
        <v>0</v>
      </c>
      <c r="HO29" s="409">
        <f t="shared" si="95"/>
        <v>0</v>
      </c>
      <c r="HP29" s="409">
        <f t="shared" si="95"/>
        <v>0</v>
      </c>
      <c r="HQ29" s="409">
        <f t="shared" si="95"/>
        <v>0</v>
      </c>
      <c r="HR29" s="409">
        <f t="shared" si="95"/>
        <v>0</v>
      </c>
      <c r="HS29" s="409">
        <f t="shared" si="95"/>
        <v>0</v>
      </c>
      <c r="HT29" s="409">
        <f t="shared" si="95"/>
        <v>0</v>
      </c>
      <c r="HU29" s="409">
        <f t="shared" si="96"/>
        <v>0</v>
      </c>
      <c r="HV29" s="409">
        <f t="shared" si="96"/>
        <v>0</v>
      </c>
      <c r="HW29" s="409">
        <f t="shared" si="96"/>
        <v>0</v>
      </c>
      <c r="HX29" s="409">
        <f t="shared" si="96"/>
        <v>0</v>
      </c>
      <c r="HY29" s="409">
        <f t="shared" si="96"/>
        <v>0</v>
      </c>
      <c r="HZ29" s="409">
        <f t="shared" si="96"/>
        <v>0</v>
      </c>
      <c r="IA29" s="409">
        <f t="shared" si="96"/>
        <v>0</v>
      </c>
      <c r="IB29" s="409">
        <f t="shared" si="96"/>
        <v>0</v>
      </c>
      <c r="IC29" s="409">
        <f t="shared" si="96"/>
        <v>0</v>
      </c>
      <c r="ID29" s="409">
        <f t="shared" si="96"/>
        <v>0</v>
      </c>
      <c r="IE29" s="409">
        <f t="shared" si="97"/>
        <v>0</v>
      </c>
      <c r="IF29" s="409">
        <f t="shared" si="97"/>
        <v>0</v>
      </c>
      <c r="IG29" s="409">
        <f t="shared" si="97"/>
        <v>0</v>
      </c>
      <c r="IH29" s="409">
        <f t="shared" si="97"/>
        <v>0</v>
      </c>
      <c r="II29" s="409">
        <f t="shared" si="97"/>
        <v>0</v>
      </c>
      <c r="IJ29" s="409">
        <f t="shared" si="97"/>
        <v>0</v>
      </c>
      <c r="IK29" s="378">
        <f t="shared" si="54"/>
        <v>22</v>
      </c>
    </row>
    <row r="30" spans="1:245" hidden="1" x14ac:dyDescent="0.2">
      <c r="A30" s="380" t="str">
        <f t="shared" si="34"/>
        <v>x</v>
      </c>
      <c r="B30" s="712" t="str">
        <f>IF(ISERROR(INDEX('Legend(DX)'!$H$8:$H$9,23)),"",INDEX('Legend(DX)'!$H$8:$H$9,23))</f>
        <v/>
      </c>
      <c r="C30" s="712" t="e">
        <f>IF(INDEX('Legend(DX)'!$T$8:$T$9,23)=0,"See Legend",INDEX('Legend(DX)'!$T$8:$T$9,23))</f>
        <v>#REF!</v>
      </c>
      <c r="D30" s="712" t="e">
        <f>IF(INDEX('Legend(DX)'!$R$8:$R$9,(ROW(C30))-7)=0,IF(AND(INDEX('Legend(DX)'!$D$8:$D$9,(ROW(C30))-6)="CH",INDEX('Legend(DX)'!$F$8:$F$9,(ROW(C30))-6)="CASE - MANUAL"),INDEX('Legend(DX)'!$R$8:$R$9,(ROW(C30))-6),IF(INDEX('Legend(DX)'!$V$8:$V$9,(ROW(C30))-7)&gt;1, "(" &amp; INDEX('Legend(DX)'!$V$8:$V$9,(ROW(C30))-7) &amp; ") " &amp; INDEX('Legend(DX)'!$W$8:$W$9,(ROW(C30))-6),INDEX('Legend(DX)'!$W$8:$W$9,(ROW(C30))-7))),INDEX('Legend(DX)'!$R$8:$R$9,(ROW(C30))-7))</f>
        <v>#REF!</v>
      </c>
      <c r="E30" s="713" t="str" cm="1">
        <f t="array" ref="E30">IF(OR(ISNUMBER(SEARCH("Skid",C30)),ISNUMBER(SEARCH("Subcooler",C30)),ISNUMBER(SEARCH("Pump",C30)),ISNUMBER(SEARCH("PH",C30))),0,IF(ISERROR(INDEX('Legend(DX)'!$AA$8:$AA$9,ROW()-7)),"",INDEX('Legend(DX)'!$AA$8:$AA$9,ROW()-7)))</f>
        <v/>
      </c>
      <c r="F30" s="714"/>
      <c r="G30" s="714"/>
      <c r="H30" s="714"/>
      <c r="I30" s="714"/>
      <c r="J30" s="714"/>
      <c r="K30" s="890">
        <f t="shared" si="35"/>
        <v>0</v>
      </c>
      <c r="L30" s="718"/>
      <c r="M30" s="720"/>
      <c r="N30" s="972">
        <f t="shared" si="7"/>
        <v>-1</v>
      </c>
      <c r="O30" s="972">
        <f t="shared" si="36"/>
        <v>-1</v>
      </c>
      <c r="P30" s="972">
        <f t="shared" si="8"/>
        <v>-1</v>
      </c>
      <c r="Q30" s="972">
        <f t="shared" si="37"/>
        <v>-1</v>
      </c>
      <c r="R30" s="972">
        <f t="shared" si="9"/>
        <v>-1</v>
      </c>
      <c r="S30" s="972">
        <f t="shared" si="38"/>
        <v>-1</v>
      </c>
      <c r="T30" s="972">
        <f t="shared" si="10"/>
        <v>-1</v>
      </c>
      <c r="U30" s="972">
        <f t="shared" si="39"/>
        <v>-1</v>
      </c>
      <c r="V30" s="972">
        <f t="shared" si="11"/>
        <v>-1</v>
      </c>
      <c r="W30" s="972">
        <f t="shared" si="40"/>
        <v>-1</v>
      </c>
      <c r="X30" s="972">
        <f t="shared" si="12"/>
        <v>-1</v>
      </c>
      <c r="Y30" s="972">
        <f t="shared" si="41"/>
        <v>-1</v>
      </c>
      <c r="Z30" s="972">
        <f t="shared" si="42"/>
        <v>-1</v>
      </c>
      <c r="AA30" s="972">
        <f t="shared" si="43"/>
        <v>-1</v>
      </c>
      <c r="AB30" s="972">
        <f t="shared" si="44"/>
        <v>-1</v>
      </c>
      <c r="AC30" s="972">
        <f t="shared" si="45"/>
        <v>-1</v>
      </c>
      <c r="AD30" s="972">
        <f t="shared" si="46"/>
        <v>-1</v>
      </c>
      <c r="AE30" s="972">
        <f t="shared" si="47"/>
        <v>-1</v>
      </c>
      <c r="AF30" s="972">
        <f t="shared" si="48"/>
        <v>-1</v>
      </c>
      <c r="AG30" s="972">
        <f t="shared" si="49"/>
        <v>-1</v>
      </c>
      <c r="AH30" s="972">
        <f t="shared" si="50"/>
        <v>-1</v>
      </c>
      <c r="AI30" s="972">
        <f t="shared" si="51"/>
        <v>-1</v>
      </c>
      <c r="AJ30" s="972">
        <f t="shared" si="52"/>
        <v>-1</v>
      </c>
      <c r="AK30" s="381" t="str">
        <f>IF(ISERROR(INDEX('Legend(DX)'!$AI$8:$AI$9,IK30)),"",INDEX('Legend(DX)'!$AI$8:$AI$9,IK30))</f>
        <v/>
      </c>
      <c r="AL30" s="727" t="str">
        <f t="shared" si="55"/>
        <v/>
      </c>
      <c r="AM30" s="409">
        <f t="shared" si="77"/>
        <v>0</v>
      </c>
      <c r="AN30" s="409">
        <f t="shared" si="77"/>
        <v>0</v>
      </c>
      <c r="AO30" s="409">
        <f t="shared" si="77"/>
        <v>0</v>
      </c>
      <c r="AP30" s="409">
        <f t="shared" si="77"/>
        <v>0</v>
      </c>
      <c r="AQ30" s="409">
        <f t="shared" si="77"/>
        <v>0</v>
      </c>
      <c r="AR30" s="409">
        <f t="shared" si="77"/>
        <v>0</v>
      </c>
      <c r="AS30" s="409">
        <f t="shared" si="77"/>
        <v>0</v>
      </c>
      <c r="AT30" s="409">
        <f t="shared" si="77"/>
        <v>0</v>
      </c>
      <c r="AU30" s="409">
        <f t="shared" si="77"/>
        <v>0</v>
      </c>
      <c r="AV30" s="409">
        <f t="shared" si="77"/>
        <v>0</v>
      </c>
      <c r="AW30" s="409">
        <f t="shared" si="78"/>
        <v>0</v>
      </c>
      <c r="AX30" s="409">
        <f t="shared" si="78"/>
        <v>0</v>
      </c>
      <c r="AY30" s="409">
        <f t="shared" si="78"/>
        <v>0</v>
      </c>
      <c r="AZ30" s="409">
        <f t="shared" si="78"/>
        <v>0</v>
      </c>
      <c r="BA30" s="409">
        <f t="shared" si="78"/>
        <v>0</v>
      </c>
      <c r="BB30" s="409">
        <f t="shared" si="78"/>
        <v>0</v>
      </c>
      <c r="BC30" s="409">
        <f t="shared" si="78"/>
        <v>0</v>
      </c>
      <c r="BD30" s="409">
        <f t="shared" si="78"/>
        <v>0</v>
      </c>
      <c r="BE30" s="409">
        <f t="shared" si="78"/>
        <v>0</v>
      </c>
      <c r="BF30" s="409">
        <f t="shared" si="78"/>
        <v>0</v>
      </c>
      <c r="BG30" s="409">
        <f t="shared" si="79"/>
        <v>0</v>
      </c>
      <c r="BH30" s="409">
        <f t="shared" si="79"/>
        <v>0</v>
      </c>
      <c r="BI30" s="409">
        <f t="shared" si="79"/>
        <v>0</v>
      </c>
      <c r="BJ30" s="409">
        <f t="shared" si="79"/>
        <v>0</v>
      </c>
      <c r="BK30" s="409">
        <f t="shared" si="79"/>
        <v>0</v>
      </c>
      <c r="BL30" s="409">
        <f t="shared" si="79"/>
        <v>0</v>
      </c>
      <c r="BM30" s="409">
        <f t="shared" si="79"/>
        <v>0</v>
      </c>
      <c r="BN30" s="409">
        <f t="shared" si="79"/>
        <v>0</v>
      </c>
      <c r="BO30" s="409">
        <f t="shared" si="79"/>
        <v>0</v>
      </c>
      <c r="BP30" s="409">
        <f t="shared" si="79"/>
        <v>0</v>
      </c>
      <c r="BQ30" s="409">
        <f t="shared" si="80"/>
        <v>0</v>
      </c>
      <c r="BR30" s="409">
        <f t="shared" si="80"/>
        <v>0</v>
      </c>
      <c r="BS30" s="409">
        <f t="shared" si="80"/>
        <v>0</v>
      </c>
      <c r="BT30" s="409">
        <f t="shared" si="80"/>
        <v>0</v>
      </c>
      <c r="BU30" s="409">
        <f t="shared" si="80"/>
        <v>0</v>
      </c>
      <c r="BV30" s="409">
        <f t="shared" si="80"/>
        <v>0</v>
      </c>
      <c r="BW30" s="409">
        <f t="shared" si="80"/>
        <v>0</v>
      </c>
      <c r="BX30" s="409">
        <f t="shared" si="80"/>
        <v>0</v>
      </c>
      <c r="BY30" s="409">
        <f t="shared" si="80"/>
        <v>0</v>
      </c>
      <c r="BZ30" s="409">
        <f t="shared" si="80"/>
        <v>0</v>
      </c>
      <c r="CA30" s="409">
        <f t="shared" si="81"/>
        <v>0</v>
      </c>
      <c r="CB30" s="409">
        <f t="shared" si="81"/>
        <v>0</v>
      </c>
      <c r="CC30" s="409">
        <f t="shared" si="81"/>
        <v>0</v>
      </c>
      <c r="CD30" s="409">
        <f t="shared" si="81"/>
        <v>0</v>
      </c>
      <c r="CE30" s="409">
        <f t="shared" si="81"/>
        <v>0</v>
      </c>
      <c r="CF30" s="409">
        <f t="shared" si="81"/>
        <v>0</v>
      </c>
      <c r="CG30" s="409">
        <f t="shared" si="81"/>
        <v>0</v>
      </c>
      <c r="CH30" s="409">
        <f t="shared" si="81"/>
        <v>0</v>
      </c>
      <c r="CI30" s="409">
        <f t="shared" si="81"/>
        <v>0</v>
      </c>
      <c r="CJ30" s="409">
        <f t="shared" si="81"/>
        <v>0</v>
      </c>
      <c r="CK30" s="409">
        <f t="shared" si="82"/>
        <v>0</v>
      </c>
      <c r="CL30" s="409">
        <f t="shared" si="82"/>
        <v>0</v>
      </c>
      <c r="CM30" s="409">
        <f t="shared" si="82"/>
        <v>0</v>
      </c>
      <c r="CN30" s="409">
        <f t="shared" si="82"/>
        <v>0</v>
      </c>
      <c r="CO30" s="409">
        <f t="shared" si="82"/>
        <v>0</v>
      </c>
      <c r="CP30" s="409">
        <f t="shared" si="82"/>
        <v>0</v>
      </c>
      <c r="CQ30" s="409">
        <f t="shared" si="82"/>
        <v>0</v>
      </c>
      <c r="CR30" s="409">
        <f t="shared" si="82"/>
        <v>0</v>
      </c>
      <c r="CS30" s="409">
        <f t="shared" si="82"/>
        <v>0</v>
      </c>
      <c r="CT30" s="409">
        <f t="shared" si="82"/>
        <v>0</v>
      </c>
      <c r="CU30" s="409">
        <f t="shared" si="83"/>
        <v>0</v>
      </c>
      <c r="CV30" s="409">
        <f t="shared" si="83"/>
        <v>0</v>
      </c>
      <c r="CW30" s="409">
        <f t="shared" si="83"/>
        <v>0</v>
      </c>
      <c r="CX30" s="409">
        <f t="shared" si="83"/>
        <v>0</v>
      </c>
      <c r="CY30" s="409">
        <f t="shared" si="83"/>
        <v>0</v>
      </c>
      <c r="CZ30" s="409">
        <f t="shared" si="83"/>
        <v>0</v>
      </c>
      <c r="DA30" s="409">
        <f t="shared" si="83"/>
        <v>0</v>
      </c>
      <c r="DB30" s="409">
        <f t="shared" si="83"/>
        <v>0</v>
      </c>
      <c r="DC30" s="409">
        <f t="shared" si="83"/>
        <v>0</v>
      </c>
      <c r="DD30" s="409">
        <f t="shared" si="83"/>
        <v>0</v>
      </c>
      <c r="DE30" s="409">
        <f t="shared" si="84"/>
        <v>0</v>
      </c>
      <c r="DF30" s="409">
        <f t="shared" si="84"/>
        <v>0</v>
      </c>
      <c r="DG30" s="409">
        <f t="shared" si="84"/>
        <v>0</v>
      </c>
      <c r="DH30" s="409">
        <f t="shared" si="84"/>
        <v>0</v>
      </c>
      <c r="DI30" s="409">
        <f t="shared" si="84"/>
        <v>0</v>
      </c>
      <c r="DJ30" s="409">
        <f t="shared" si="84"/>
        <v>0</v>
      </c>
      <c r="DK30" s="409">
        <f t="shared" si="84"/>
        <v>0</v>
      </c>
      <c r="DL30" s="409">
        <f t="shared" si="84"/>
        <v>0</v>
      </c>
      <c r="DM30" s="409">
        <f t="shared" si="84"/>
        <v>0</v>
      </c>
      <c r="DN30" s="409">
        <f t="shared" si="84"/>
        <v>0</v>
      </c>
      <c r="DO30" s="409">
        <f t="shared" si="85"/>
        <v>0</v>
      </c>
      <c r="DP30" s="409">
        <f t="shared" si="85"/>
        <v>0</v>
      </c>
      <c r="DQ30" s="409">
        <f t="shared" si="85"/>
        <v>0</v>
      </c>
      <c r="DR30" s="409">
        <f t="shared" si="85"/>
        <v>0</v>
      </c>
      <c r="DS30" s="409">
        <f t="shared" si="85"/>
        <v>0</v>
      </c>
      <c r="DT30" s="409">
        <f t="shared" si="85"/>
        <v>0</v>
      </c>
      <c r="DU30" s="409">
        <f t="shared" si="85"/>
        <v>0</v>
      </c>
      <c r="DV30" s="409">
        <f t="shared" si="85"/>
        <v>0</v>
      </c>
      <c r="DW30" s="409">
        <f t="shared" si="85"/>
        <v>0</v>
      </c>
      <c r="DX30" s="409">
        <f t="shared" si="85"/>
        <v>0</v>
      </c>
      <c r="DY30" s="409">
        <f t="shared" si="86"/>
        <v>0</v>
      </c>
      <c r="DZ30" s="409">
        <f t="shared" si="86"/>
        <v>0</v>
      </c>
      <c r="EA30" s="409">
        <f t="shared" si="86"/>
        <v>0</v>
      </c>
      <c r="EB30" s="409">
        <f t="shared" si="86"/>
        <v>0</v>
      </c>
      <c r="EC30" s="409">
        <f t="shared" si="86"/>
        <v>0</v>
      </c>
      <c r="ED30" s="409">
        <f t="shared" si="86"/>
        <v>0</v>
      </c>
      <c r="EE30" s="409">
        <f t="shared" si="86"/>
        <v>0</v>
      </c>
      <c r="EF30" s="409">
        <f t="shared" si="86"/>
        <v>0</v>
      </c>
      <c r="EG30" s="409">
        <f t="shared" si="86"/>
        <v>0</v>
      </c>
      <c r="EH30" s="409">
        <f t="shared" si="86"/>
        <v>0</v>
      </c>
      <c r="EI30" s="409">
        <f t="shared" si="87"/>
        <v>0</v>
      </c>
      <c r="EJ30" s="409">
        <f t="shared" si="87"/>
        <v>0</v>
      </c>
      <c r="EK30" s="409">
        <f t="shared" si="87"/>
        <v>0</v>
      </c>
      <c r="EL30" s="409">
        <f t="shared" si="87"/>
        <v>0</v>
      </c>
      <c r="EM30" s="409">
        <f t="shared" si="87"/>
        <v>0</v>
      </c>
      <c r="EN30" s="409">
        <f t="shared" si="87"/>
        <v>0</v>
      </c>
      <c r="EO30" s="409">
        <f t="shared" si="87"/>
        <v>0</v>
      </c>
      <c r="EP30" s="409">
        <f t="shared" si="87"/>
        <v>0</v>
      </c>
      <c r="EQ30" s="409">
        <f t="shared" si="87"/>
        <v>0</v>
      </c>
      <c r="ER30" s="409">
        <f t="shared" si="87"/>
        <v>0</v>
      </c>
      <c r="ES30" s="409">
        <f t="shared" si="88"/>
        <v>0</v>
      </c>
      <c r="ET30" s="409">
        <f t="shared" si="88"/>
        <v>0</v>
      </c>
      <c r="EU30" s="409">
        <f t="shared" si="88"/>
        <v>0</v>
      </c>
      <c r="EV30" s="409">
        <f t="shared" si="88"/>
        <v>0</v>
      </c>
      <c r="EW30" s="409">
        <f t="shared" si="88"/>
        <v>0</v>
      </c>
      <c r="EX30" s="409">
        <f t="shared" si="88"/>
        <v>0</v>
      </c>
      <c r="EY30" s="409">
        <f t="shared" si="88"/>
        <v>0</v>
      </c>
      <c r="EZ30" s="409">
        <f t="shared" si="88"/>
        <v>0</v>
      </c>
      <c r="FA30" s="409">
        <f t="shared" si="88"/>
        <v>0</v>
      </c>
      <c r="FB30" s="409">
        <f t="shared" si="88"/>
        <v>0</v>
      </c>
      <c r="FC30" s="409">
        <f t="shared" si="89"/>
        <v>0</v>
      </c>
      <c r="FD30" s="409">
        <f t="shared" si="89"/>
        <v>0</v>
      </c>
      <c r="FE30" s="409">
        <f t="shared" si="89"/>
        <v>0</v>
      </c>
      <c r="FF30" s="409">
        <f t="shared" si="89"/>
        <v>0</v>
      </c>
      <c r="FG30" s="409">
        <f t="shared" si="89"/>
        <v>0</v>
      </c>
      <c r="FH30" s="409">
        <f t="shared" si="89"/>
        <v>0</v>
      </c>
      <c r="FI30" s="409">
        <f t="shared" si="89"/>
        <v>0</v>
      </c>
      <c r="FJ30" s="409">
        <f t="shared" si="89"/>
        <v>0</v>
      </c>
      <c r="FK30" s="409">
        <f t="shared" si="89"/>
        <v>0</v>
      </c>
      <c r="FL30" s="409">
        <f t="shared" si="89"/>
        <v>0</v>
      </c>
      <c r="FM30" s="409">
        <f t="shared" si="90"/>
        <v>0</v>
      </c>
      <c r="FN30" s="409">
        <f t="shared" si="90"/>
        <v>0</v>
      </c>
      <c r="FO30" s="409">
        <f t="shared" si="90"/>
        <v>0</v>
      </c>
      <c r="FP30" s="409">
        <f t="shared" si="90"/>
        <v>0</v>
      </c>
      <c r="FQ30" s="409">
        <f t="shared" si="90"/>
        <v>0</v>
      </c>
      <c r="FR30" s="409">
        <f t="shared" si="90"/>
        <v>0</v>
      </c>
      <c r="FS30" s="409">
        <f t="shared" si="90"/>
        <v>0</v>
      </c>
      <c r="FT30" s="409">
        <f t="shared" si="90"/>
        <v>0</v>
      </c>
      <c r="FU30" s="409">
        <f t="shared" si="90"/>
        <v>0</v>
      </c>
      <c r="FV30" s="409">
        <f t="shared" si="90"/>
        <v>0</v>
      </c>
      <c r="FW30" s="409">
        <f t="shared" si="91"/>
        <v>0</v>
      </c>
      <c r="FX30" s="409">
        <f t="shared" si="91"/>
        <v>0</v>
      </c>
      <c r="FY30" s="409">
        <f t="shared" si="91"/>
        <v>0</v>
      </c>
      <c r="FZ30" s="409">
        <f t="shared" si="91"/>
        <v>0</v>
      </c>
      <c r="GA30" s="409">
        <f t="shared" si="91"/>
        <v>0</v>
      </c>
      <c r="GB30" s="409">
        <f t="shared" si="91"/>
        <v>0</v>
      </c>
      <c r="GC30" s="409">
        <f t="shared" si="91"/>
        <v>0</v>
      </c>
      <c r="GD30" s="409">
        <f t="shared" si="91"/>
        <v>0</v>
      </c>
      <c r="GE30" s="409">
        <f t="shared" si="91"/>
        <v>0</v>
      </c>
      <c r="GF30" s="409">
        <f t="shared" si="91"/>
        <v>0</v>
      </c>
      <c r="GG30" s="409">
        <f t="shared" si="92"/>
        <v>0</v>
      </c>
      <c r="GH30" s="409">
        <f t="shared" si="92"/>
        <v>0</v>
      </c>
      <c r="GI30" s="409">
        <f t="shared" si="92"/>
        <v>0</v>
      </c>
      <c r="GJ30" s="409">
        <f t="shared" si="92"/>
        <v>0</v>
      </c>
      <c r="GK30" s="409">
        <f t="shared" si="92"/>
        <v>0</v>
      </c>
      <c r="GL30" s="409">
        <f t="shared" si="92"/>
        <v>0</v>
      </c>
      <c r="GM30" s="409">
        <f t="shared" si="92"/>
        <v>0</v>
      </c>
      <c r="GN30" s="409">
        <f t="shared" si="92"/>
        <v>0</v>
      </c>
      <c r="GO30" s="409">
        <f t="shared" si="92"/>
        <v>0</v>
      </c>
      <c r="GP30" s="409">
        <f t="shared" si="92"/>
        <v>0</v>
      </c>
      <c r="GQ30" s="409">
        <f t="shared" si="93"/>
        <v>0</v>
      </c>
      <c r="GR30" s="409">
        <f t="shared" si="93"/>
        <v>0</v>
      </c>
      <c r="GS30" s="409">
        <f t="shared" si="93"/>
        <v>0</v>
      </c>
      <c r="GT30" s="409">
        <f t="shared" si="93"/>
        <v>0</v>
      </c>
      <c r="GU30" s="409">
        <f t="shared" si="93"/>
        <v>0</v>
      </c>
      <c r="GV30" s="409">
        <f t="shared" si="93"/>
        <v>0</v>
      </c>
      <c r="GW30" s="409">
        <f t="shared" si="93"/>
        <v>0</v>
      </c>
      <c r="GX30" s="409">
        <f t="shared" si="93"/>
        <v>0</v>
      </c>
      <c r="GY30" s="409">
        <f t="shared" si="93"/>
        <v>0</v>
      </c>
      <c r="GZ30" s="409">
        <f t="shared" si="93"/>
        <v>0</v>
      </c>
      <c r="HA30" s="409">
        <f t="shared" si="94"/>
        <v>0</v>
      </c>
      <c r="HB30" s="409">
        <f t="shared" si="94"/>
        <v>0</v>
      </c>
      <c r="HC30" s="409">
        <f t="shared" si="94"/>
        <v>0</v>
      </c>
      <c r="HD30" s="409">
        <f t="shared" si="94"/>
        <v>0</v>
      </c>
      <c r="HE30" s="409">
        <f t="shared" si="94"/>
        <v>0</v>
      </c>
      <c r="HF30" s="409">
        <f t="shared" si="94"/>
        <v>0</v>
      </c>
      <c r="HG30" s="409">
        <f t="shared" si="94"/>
        <v>0</v>
      </c>
      <c r="HH30" s="409">
        <f t="shared" si="94"/>
        <v>0</v>
      </c>
      <c r="HI30" s="409">
        <f t="shared" si="94"/>
        <v>0</v>
      </c>
      <c r="HJ30" s="409">
        <f t="shared" si="94"/>
        <v>0</v>
      </c>
      <c r="HK30" s="409">
        <f t="shared" si="95"/>
        <v>0</v>
      </c>
      <c r="HL30" s="409">
        <f t="shared" si="95"/>
        <v>0</v>
      </c>
      <c r="HM30" s="409">
        <f t="shared" si="95"/>
        <v>0</v>
      </c>
      <c r="HN30" s="409">
        <f t="shared" si="95"/>
        <v>0</v>
      </c>
      <c r="HO30" s="409">
        <f t="shared" si="95"/>
        <v>0</v>
      </c>
      <c r="HP30" s="409">
        <f t="shared" si="95"/>
        <v>0</v>
      </c>
      <c r="HQ30" s="409">
        <f t="shared" si="95"/>
        <v>0</v>
      </c>
      <c r="HR30" s="409">
        <f t="shared" si="95"/>
        <v>0</v>
      </c>
      <c r="HS30" s="409">
        <f t="shared" si="95"/>
        <v>0</v>
      </c>
      <c r="HT30" s="409">
        <f t="shared" si="95"/>
        <v>0</v>
      </c>
      <c r="HU30" s="409">
        <f t="shared" si="96"/>
        <v>0</v>
      </c>
      <c r="HV30" s="409">
        <f t="shared" si="96"/>
        <v>0</v>
      </c>
      <c r="HW30" s="409">
        <f t="shared" si="96"/>
        <v>0</v>
      </c>
      <c r="HX30" s="409">
        <f t="shared" si="96"/>
        <v>0</v>
      </c>
      <c r="HY30" s="409">
        <f t="shared" si="96"/>
        <v>0</v>
      </c>
      <c r="HZ30" s="409">
        <f t="shared" si="96"/>
        <v>0</v>
      </c>
      <c r="IA30" s="409">
        <f t="shared" si="96"/>
        <v>0</v>
      </c>
      <c r="IB30" s="409">
        <f t="shared" si="96"/>
        <v>0</v>
      </c>
      <c r="IC30" s="409">
        <f t="shared" si="96"/>
        <v>0</v>
      </c>
      <c r="ID30" s="409">
        <f t="shared" si="96"/>
        <v>0</v>
      </c>
      <c r="IE30" s="409">
        <f t="shared" si="97"/>
        <v>0</v>
      </c>
      <c r="IF30" s="409">
        <f t="shared" si="97"/>
        <v>0</v>
      </c>
      <c r="IG30" s="409">
        <f t="shared" si="97"/>
        <v>0</v>
      </c>
      <c r="IH30" s="409">
        <f t="shared" si="97"/>
        <v>0</v>
      </c>
      <c r="II30" s="409">
        <f t="shared" si="97"/>
        <v>0</v>
      </c>
      <c r="IJ30" s="409">
        <f t="shared" si="97"/>
        <v>0</v>
      </c>
      <c r="IK30" s="378">
        <f t="shared" si="54"/>
        <v>23</v>
      </c>
    </row>
    <row r="31" spans="1:245" hidden="1" x14ac:dyDescent="0.2">
      <c r="A31" s="380" t="str">
        <f t="shared" si="34"/>
        <v>x</v>
      </c>
      <c r="B31" s="712" t="str">
        <f>IF(ISERROR(INDEX('Legend(DX)'!$H$8:$H$9,24)),"",INDEX('Legend(DX)'!$H$8:$H$9,24))</f>
        <v/>
      </c>
      <c r="C31" s="712" t="e">
        <f>IF(INDEX('Legend(DX)'!$T$8:$T$9,24)=0,"See Legend",INDEX('Legend(DX)'!$T$8:$T$9,24))</f>
        <v>#REF!</v>
      </c>
      <c r="D31" s="712" t="e">
        <f>IF(INDEX('Legend(DX)'!$R$8:$R$9,(ROW(C31))-7)=0,IF(AND(INDEX('Legend(DX)'!$D$8:$D$9,(ROW(C31))-6)="CH",INDEX('Legend(DX)'!$F$8:$F$9,(ROW(C31))-6)="CASE - MANUAL"),INDEX('Legend(DX)'!$R$8:$R$9,(ROW(C31))-6),IF(INDEX('Legend(DX)'!$V$8:$V$9,(ROW(C31))-7)&gt;1, "(" &amp; INDEX('Legend(DX)'!$V$8:$V$9,(ROW(C31))-7) &amp; ") " &amp; INDEX('Legend(DX)'!$W$8:$W$9,(ROW(C31))-6),INDEX('Legend(DX)'!$W$8:$W$9,(ROW(C31))-7))),INDEX('Legend(DX)'!$R$8:$R$9,(ROW(C31))-7))</f>
        <v>#REF!</v>
      </c>
      <c r="E31" s="713" t="str" cm="1">
        <f t="array" ref="E31">IF(OR(ISNUMBER(SEARCH("Skid",C31)),ISNUMBER(SEARCH("Subcooler",C31)),ISNUMBER(SEARCH("Pump",C31)),ISNUMBER(SEARCH("PH",C31))),0,IF(ISERROR(INDEX('Legend(DX)'!$AA$8:$AA$9,ROW()-7)),"",INDEX('Legend(DX)'!$AA$8:$AA$9,ROW()-7)))</f>
        <v/>
      </c>
      <c r="F31" s="714"/>
      <c r="G31" s="714"/>
      <c r="H31" s="714"/>
      <c r="I31" s="714"/>
      <c r="J31" s="714"/>
      <c r="K31" s="890">
        <f t="shared" si="35"/>
        <v>0</v>
      </c>
      <c r="L31" s="718"/>
      <c r="M31" s="720"/>
      <c r="N31" s="972">
        <f t="shared" si="7"/>
        <v>-1</v>
      </c>
      <c r="O31" s="972">
        <f t="shared" si="36"/>
        <v>-1</v>
      </c>
      <c r="P31" s="972">
        <f t="shared" si="8"/>
        <v>-1</v>
      </c>
      <c r="Q31" s="972">
        <f t="shared" si="37"/>
        <v>-1</v>
      </c>
      <c r="R31" s="972">
        <f t="shared" si="9"/>
        <v>-1</v>
      </c>
      <c r="S31" s="972">
        <f t="shared" si="38"/>
        <v>-1</v>
      </c>
      <c r="T31" s="972">
        <f t="shared" si="10"/>
        <v>-1</v>
      </c>
      <c r="U31" s="972">
        <f t="shared" si="39"/>
        <v>-1</v>
      </c>
      <c r="V31" s="972">
        <f t="shared" si="11"/>
        <v>-1</v>
      </c>
      <c r="W31" s="972">
        <f t="shared" si="40"/>
        <v>-1</v>
      </c>
      <c r="X31" s="972">
        <f t="shared" si="12"/>
        <v>-1</v>
      </c>
      <c r="Y31" s="972">
        <f t="shared" si="41"/>
        <v>-1</v>
      </c>
      <c r="Z31" s="972">
        <f t="shared" si="42"/>
        <v>-1</v>
      </c>
      <c r="AA31" s="972">
        <f t="shared" si="43"/>
        <v>-1</v>
      </c>
      <c r="AB31" s="972">
        <f t="shared" si="44"/>
        <v>-1</v>
      </c>
      <c r="AC31" s="972">
        <f t="shared" si="45"/>
        <v>-1</v>
      </c>
      <c r="AD31" s="972">
        <f t="shared" si="46"/>
        <v>-1</v>
      </c>
      <c r="AE31" s="972">
        <f t="shared" si="47"/>
        <v>-1</v>
      </c>
      <c r="AF31" s="972">
        <f t="shared" si="48"/>
        <v>-1</v>
      </c>
      <c r="AG31" s="972">
        <f t="shared" si="49"/>
        <v>-1</v>
      </c>
      <c r="AH31" s="972">
        <f t="shared" si="50"/>
        <v>-1</v>
      </c>
      <c r="AI31" s="972">
        <f t="shared" si="51"/>
        <v>-1</v>
      </c>
      <c r="AJ31" s="972">
        <f t="shared" si="52"/>
        <v>-1</v>
      </c>
      <c r="AK31" s="381" t="str">
        <f>IF(ISERROR(INDEX('Legend(DX)'!$AI$8:$AI$9,IK31)),"",INDEX('Legend(DX)'!$AI$8:$AI$9,IK31))</f>
        <v/>
      </c>
      <c r="AL31" s="727" t="str">
        <f t="shared" si="55"/>
        <v/>
      </c>
      <c r="AM31" s="409">
        <f t="shared" si="77"/>
        <v>0</v>
      </c>
      <c r="AN31" s="409">
        <f t="shared" si="77"/>
        <v>0</v>
      </c>
      <c r="AO31" s="409">
        <f t="shared" si="77"/>
        <v>0</v>
      </c>
      <c r="AP31" s="409">
        <f t="shared" si="77"/>
        <v>0</v>
      </c>
      <c r="AQ31" s="409">
        <f t="shared" si="77"/>
        <v>0</v>
      </c>
      <c r="AR31" s="409">
        <f t="shared" si="77"/>
        <v>0</v>
      </c>
      <c r="AS31" s="409">
        <f t="shared" si="77"/>
        <v>0</v>
      </c>
      <c r="AT31" s="409">
        <f t="shared" si="77"/>
        <v>0</v>
      </c>
      <c r="AU31" s="409">
        <f t="shared" si="77"/>
        <v>0</v>
      </c>
      <c r="AV31" s="409">
        <f t="shared" si="77"/>
        <v>0</v>
      </c>
      <c r="AW31" s="409">
        <f t="shared" si="78"/>
        <v>0</v>
      </c>
      <c r="AX31" s="409">
        <f t="shared" si="78"/>
        <v>0</v>
      </c>
      <c r="AY31" s="409">
        <f t="shared" si="78"/>
        <v>0</v>
      </c>
      <c r="AZ31" s="409">
        <f t="shared" si="78"/>
        <v>0</v>
      </c>
      <c r="BA31" s="409">
        <f t="shared" si="78"/>
        <v>0</v>
      </c>
      <c r="BB31" s="409">
        <f t="shared" si="78"/>
        <v>0</v>
      </c>
      <c r="BC31" s="409">
        <f t="shared" si="78"/>
        <v>0</v>
      </c>
      <c r="BD31" s="409">
        <f t="shared" si="78"/>
        <v>0</v>
      </c>
      <c r="BE31" s="409">
        <f t="shared" si="78"/>
        <v>0</v>
      </c>
      <c r="BF31" s="409">
        <f t="shared" si="78"/>
        <v>0</v>
      </c>
      <c r="BG31" s="409">
        <f t="shared" si="79"/>
        <v>0</v>
      </c>
      <c r="BH31" s="409">
        <f t="shared" si="79"/>
        <v>0</v>
      </c>
      <c r="BI31" s="409">
        <f t="shared" si="79"/>
        <v>0</v>
      </c>
      <c r="BJ31" s="409">
        <f t="shared" si="79"/>
        <v>0</v>
      </c>
      <c r="BK31" s="409">
        <f t="shared" si="79"/>
        <v>0</v>
      </c>
      <c r="BL31" s="409">
        <f t="shared" si="79"/>
        <v>0</v>
      </c>
      <c r="BM31" s="409">
        <f t="shared" si="79"/>
        <v>0</v>
      </c>
      <c r="BN31" s="409">
        <f t="shared" si="79"/>
        <v>0</v>
      </c>
      <c r="BO31" s="409">
        <f t="shared" si="79"/>
        <v>0</v>
      </c>
      <c r="BP31" s="409">
        <f t="shared" si="79"/>
        <v>0</v>
      </c>
      <c r="BQ31" s="409">
        <f t="shared" si="80"/>
        <v>0</v>
      </c>
      <c r="BR31" s="409">
        <f t="shared" si="80"/>
        <v>0</v>
      </c>
      <c r="BS31" s="409">
        <f t="shared" si="80"/>
        <v>0</v>
      </c>
      <c r="BT31" s="409">
        <f t="shared" si="80"/>
        <v>0</v>
      </c>
      <c r="BU31" s="409">
        <f t="shared" si="80"/>
        <v>0</v>
      </c>
      <c r="BV31" s="409">
        <f t="shared" si="80"/>
        <v>0</v>
      </c>
      <c r="BW31" s="409">
        <f t="shared" si="80"/>
        <v>0</v>
      </c>
      <c r="BX31" s="409">
        <f t="shared" si="80"/>
        <v>0</v>
      </c>
      <c r="BY31" s="409">
        <f t="shared" si="80"/>
        <v>0</v>
      </c>
      <c r="BZ31" s="409">
        <f t="shared" si="80"/>
        <v>0</v>
      </c>
      <c r="CA31" s="409">
        <f t="shared" si="81"/>
        <v>0</v>
      </c>
      <c r="CB31" s="409">
        <f t="shared" si="81"/>
        <v>0</v>
      </c>
      <c r="CC31" s="409">
        <f t="shared" si="81"/>
        <v>0</v>
      </c>
      <c r="CD31" s="409">
        <f t="shared" si="81"/>
        <v>0</v>
      </c>
      <c r="CE31" s="409">
        <f t="shared" si="81"/>
        <v>0</v>
      </c>
      <c r="CF31" s="409">
        <f t="shared" si="81"/>
        <v>0</v>
      </c>
      <c r="CG31" s="409">
        <f t="shared" si="81"/>
        <v>0</v>
      </c>
      <c r="CH31" s="409">
        <f t="shared" si="81"/>
        <v>0</v>
      </c>
      <c r="CI31" s="409">
        <f t="shared" si="81"/>
        <v>0</v>
      </c>
      <c r="CJ31" s="409">
        <f t="shared" si="81"/>
        <v>0</v>
      </c>
      <c r="CK31" s="409">
        <f t="shared" si="82"/>
        <v>0</v>
      </c>
      <c r="CL31" s="409">
        <f t="shared" si="82"/>
        <v>0</v>
      </c>
      <c r="CM31" s="409">
        <f t="shared" si="82"/>
        <v>0</v>
      </c>
      <c r="CN31" s="409">
        <f t="shared" si="82"/>
        <v>0</v>
      </c>
      <c r="CO31" s="409">
        <f t="shared" si="82"/>
        <v>0</v>
      </c>
      <c r="CP31" s="409">
        <f t="shared" si="82"/>
        <v>0</v>
      </c>
      <c r="CQ31" s="409">
        <f t="shared" si="82"/>
        <v>0</v>
      </c>
      <c r="CR31" s="409">
        <f t="shared" si="82"/>
        <v>0</v>
      </c>
      <c r="CS31" s="409">
        <f t="shared" si="82"/>
        <v>0</v>
      </c>
      <c r="CT31" s="409">
        <f t="shared" si="82"/>
        <v>0</v>
      </c>
      <c r="CU31" s="409">
        <f t="shared" si="83"/>
        <v>0</v>
      </c>
      <c r="CV31" s="409">
        <f t="shared" si="83"/>
        <v>0</v>
      </c>
      <c r="CW31" s="409">
        <f t="shared" si="83"/>
        <v>0</v>
      </c>
      <c r="CX31" s="409">
        <f t="shared" si="83"/>
        <v>0</v>
      </c>
      <c r="CY31" s="409">
        <f t="shared" si="83"/>
        <v>0</v>
      </c>
      <c r="CZ31" s="409">
        <f t="shared" si="83"/>
        <v>0</v>
      </c>
      <c r="DA31" s="409">
        <f t="shared" si="83"/>
        <v>0</v>
      </c>
      <c r="DB31" s="409">
        <f t="shared" si="83"/>
        <v>0</v>
      </c>
      <c r="DC31" s="409">
        <f t="shared" si="83"/>
        <v>0</v>
      </c>
      <c r="DD31" s="409">
        <f t="shared" si="83"/>
        <v>0</v>
      </c>
      <c r="DE31" s="409">
        <f t="shared" si="84"/>
        <v>0</v>
      </c>
      <c r="DF31" s="409">
        <f t="shared" si="84"/>
        <v>0</v>
      </c>
      <c r="DG31" s="409">
        <f t="shared" si="84"/>
        <v>0</v>
      </c>
      <c r="DH31" s="409">
        <f t="shared" si="84"/>
        <v>0</v>
      </c>
      <c r="DI31" s="409">
        <f t="shared" si="84"/>
        <v>0</v>
      </c>
      <c r="DJ31" s="409">
        <f t="shared" si="84"/>
        <v>0</v>
      </c>
      <c r="DK31" s="409">
        <f t="shared" si="84"/>
        <v>0</v>
      </c>
      <c r="DL31" s="409">
        <f t="shared" si="84"/>
        <v>0</v>
      </c>
      <c r="DM31" s="409">
        <f t="shared" si="84"/>
        <v>0</v>
      </c>
      <c r="DN31" s="409">
        <f t="shared" si="84"/>
        <v>0</v>
      </c>
      <c r="DO31" s="409">
        <f t="shared" si="85"/>
        <v>0</v>
      </c>
      <c r="DP31" s="409">
        <f t="shared" si="85"/>
        <v>0</v>
      </c>
      <c r="DQ31" s="409">
        <f t="shared" si="85"/>
        <v>0</v>
      </c>
      <c r="DR31" s="409">
        <f t="shared" si="85"/>
        <v>0</v>
      </c>
      <c r="DS31" s="409">
        <f t="shared" si="85"/>
        <v>0</v>
      </c>
      <c r="DT31" s="409">
        <f t="shared" si="85"/>
        <v>0</v>
      </c>
      <c r="DU31" s="409">
        <f t="shared" si="85"/>
        <v>0</v>
      </c>
      <c r="DV31" s="409">
        <f t="shared" si="85"/>
        <v>0</v>
      </c>
      <c r="DW31" s="409">
        <f t="shared" si="85"/>
        <v>0</v>
      </c>
      <c r="DX31" s="409">
        <f t="shared" si="85"/>
        <v>0</v>
      </c>
      <c r="DY31" s="409">
        <f t="shared" si="86"/>
        <v>0</v>
      </c>
      <c r="DZ31" s="409">
        <f t="shared" si="86"/>
        <v>0</v>
      </c>
      <c r="EA31" s="409">
        <f t="shared" si="86"/>
        <v>0</v>
      </c>
      <c r="EB31" s="409">
        <f t="shared" si="86"/>
        <v>0</v>
      </c>
      <c r="EC31" s="409">
        <f t="shared" si="86"/>
        <v>0</v>
      </c>
      <c r="ED31" s="409">
        <f t="shared" si="86"/>
        <v>0</v>
      </c>
      <c r="EE31" s="409">
        <f t="shared" si="86"/>
        <v>0</v>
      </c>
      <c r="EF31" s="409">
        <f t="shared" si="86"/>
        <v>0</v>
      </c>
      <c r="EG31" s="409">
        <f t="shared" si="86"/>
        <v>0</v>
      </c>
      <c r="EH31" s="409">
        <f t="shared" si="86"/>
        <v>0</v>
      </c>
      <c r="EI31" s="409">
        <f t="shared" si="87"/>
        <v>0</v>
      </c>
      <c r="EJ31" s="409">
        <f t="shared" si="87"/>
        <v>0</v>
      </c>
      <c r="EK31" s="409">
        <f t="shared" si="87"/>
        <v>0</v>
      </c>
      <c r="EL31" s="409">
        <f t="shared" si="87"/>
        <v>0</v>
      </c>
      <c r="EM31" s="409">
        <f t="shared" si="87"/>
        <v>0</v>
      </c>
      <c r="EN31" s="409">
        <f t="shared" si="87"/>
        <v>0</v>
      </c>
      <c r="EO31" s="409">
        <f t="shared" si="87"/>
        <v>0</v>
      </c>
      <c r="EP31" s="409">
        <f t="shared" si="87"/>
        <v>0</v>
      </c>
      <c r="EQ31" s="409">
        <f t="shared" si="87"/>
        <v>0</v>
      </c>
      <c r="ER31" s="409">
        <f t="shared" si="87"/>
        <v>0</v>
      </c>
      <c r="ES31" s="409">
        <f t="shared" si="88"/>
        <v>0</v>
      </c>
      <c r="ET31" s="409">
        <f t="shared" si="88"/>
        <v>0</v>
      </c>
      <c r="EU31" s="409">
        <f t="shared" si="88"/>
        <v>0</v>
      </c>
      <c r="EV31" s="409">
        <f t="shared" si="88"/>
        <v>0</v>
      </c>
      <c r="EW31" s="409">
        <f t="shared" si="88"/>
        <v>0</v>
      </c>
      <c r="EX31" s="409">
        <f t="shared" si="88"/>
        <v>0</v>
      </c>
      <c r="EY31" s="409">
        <f t="shared" si="88"/>
        <v>0</v>
      </c>
      <c r="EZ31" s="409">
        <f t="shared" si="88"/>
        <v>0</v>
      </c>
      <c r="FA31" s="409">
        <f t="shared" si="88"/>
        <v>0</v>
      </c>
      <c r="FB31" s="409">
        <f t="shared" si="88"/>
        <v>0</v>
      </c>
      <c r="FC31" s="409">
        <f t="shared" si="89"/>
        <v>0</v>
      </c>
      <c r="FD31" s="409">
        <f t="shared" si="89"/>
        <v>0</v>
      </c>
      <c r="FE31" s="409">
        <f t="shared" si="89"/>
        <v>0</v>
      </c>
      <c r="FF31" s="409">
        <f t="shared" si="89"/>
        <v>0</v>
      </c>
      <c r="FG31" s="409">
        <f t="shared" si="89"/>
        <v>0</v>
      </c>
      <c r="FH31" s="409">
        <f t="shared" si="89"/>
        <v>0</v>
      </c>
      <c r="FI31" s="409">
        <f t="shared" si="89"/>
        <v>0</v>
      </c>
      <c r="FJ31" s="409">
        <f t="shared" si="89"/>
        <v>0</v>
      </c>
      <c r="FK31" s="409">
        <f t="shared" si="89"/>
        <v>0</v>
      </c>
      <c r="FL31" s="409">
        <f t="shared" si="89"/>
        <v>0</v>
      </c>
      <c r="FM31" s="409">
        <f t="shared" si="90"/>
        <v>0</v>
      </c>
      <c r="FN31" s="409">
        <f t="shared" si="90"/>
        <v>0</v>
      </c>
      <c r="FO31" s="409">
        <f t="shared" si="90"/>
        <v>0</v>
      </c>
      <c r="FP31" s="409">
        <f t="shared" si="90"/>
        <v>0</v>
      </c>
      <c r="FQ31" s="409">
        <f t="shared" si="90"/>
        <v>0</v>
      </c>
      <c r="FR31" s="409">
        <f t="shared" si="90"/>
        <v>0</v>
      </c>
      <c r="FS31" s="409">
        <f t="shared" si="90"/>
        <v>0</v>
      </c>
      <c r="FT31" s="409">
        <f t="shared" si="90"/>
        <v>0</v>
      </c>
      <c r="FU31" s="409">
        <f t="shared" si="90"/>
        <v>0</v>
      </c>
      <c r="FV31" s="409">
        <f t="shared" si="90"/>
        <v>0</v>
      </c>
      <c r="FW31" s="409">
        <f t="shared" si="91"/>
        <v>0</v>
      </c>
      <c r="FX31" s="409">
        <f t="shared" si="91"/>
        <v>0</v>
      </c>
      <c r="FY31" s="409">
        <f t="shared" si="91"/>
        <v>0</v>
      </c>
      <c r="FZ31" s="409">
        <f t="shared" si="91"/>
        <v>0</v>
      </c>
      <c r="GA31" s="409">
        <f t="shared" si="91"/>
        <v>0</v>
      </c>
      <c r="GB31" s="409">
        <f t="shared" si="91"/>
        <v>0</v>
      </c>
      <c r="GC31" s="409">
        <f t="shared" si="91"/>
        <v>0</v>
      </c>
      <c r="GD31" s="409">
        <f t="shared" si="91"/>
        <v>0</v>
      </c>
      <c r="GE31" s="409">
        <f t="shared" si="91"/>
        <v>0</v>
      </c>
      <c r="GF31" s="409">
        <f t="shared" si="91"/>
        <v>0</v>
      </c>
      <c r="GG31" s="409">
        <f t="shared" si="92"/>
        <v>0</v>
      </c>
      <c r="GH31" s="409">
        <f t="shared" si="92"/>
        <v>0</v>
      </c>
      <c r="GI31" s="409">
        <f t="shared" si="92"/>
        <v>0</v>
      </c>
      <c r="GJ31" s="409">
        <f t="shared" si="92"/>
        <v>0</v>
      </c>
      <c r="GK31" s="409">
        <f t="shared" si="92"/>
        <v>0</v>
      </c>
      <c r="GL31" s="409">
        <f t="shared" si="92"/>
        <v>0</v>
      </c>
      <c r="GM31" s="409">
        <f t="shared" si="92"/>
        <v>0</v>
      </c>
      <c r="GN31" s="409">
        <f t="shared" si="92"/>
        <v>0</v>
      </c>
      <c r="GO31" s="409">
        <f t="shared" si="92"/>
        <v>0</v>
      </c>
      <c r="GP31" s="409">
        <f t="shared" si="92"/>
        <v>0</v>
      </c>
      <c r="GQ31" s="409">
        <f t="shared" si="93"/>
        <v>0</v>
      </c>
      <c r="GR31" s="409">
        <f t="shared" si="93"/>
        <v>0</v>
      </c>
      <c r="GS31" s="409">
        <f t="shared" si="93"/>
        <v>0</v>
      </c>
      <c r="GT31" s="409">
        <f t="shared" si="93"/>
        <v>0</v>
      </c>
      <c r="GU31" s="409">
        <f t="shared" si="93"/>
        <v>0</v>
      </c>
      <c r="GV31" s="409">
        <f t="shared" si="93"/>
        <v>0</v>
      </c>
      <c r="GW31" s="409">
        <f t="shared" si="93"/>
        <v>0</v>
      </c>
      <c r="GX31" s="409">
        <f t="shared" si="93"/>
        <v>0</v>
      </c>
      <c r="GY31" s="409">
        <f t="shared" si="93"/>
        <v>0</v>
      </c>
      <c r="GZ31" s="409">
        <f t="shared" si="93"/>
        <v>0</v>
      </c>
      <c r="HA31" s="409">
        <f t="shared" si="94"/>
        <v>0</v>
      </c>
      <c r="HB31" s="409">
        <f t="shared" si="94"/>
        <v>0</v>
      </c>
      <c r="HC31" s="409">
        <f t="shared" si="94"/>
        <v>0</v>
      </c>
      <c r="HD31" s="409">
        <f t="shared" si="94"/>
        <v>0</v>
      </c>
      <c r="HE31" s="409">
        <f t="shared" si="94"/>
        <v>0</v>
      </c>
      <c r="HF31" s="409">
        <f t="shared" si="94"/>
        <v>0</v>
      </c>
      <c r="HG31" s="409">
        <f t="shared" si="94"/>
        <v>0</v>
      </c>
      <c r="HH31" s="409">
        <f t="shared" si="94"/>
        <v>0</v>
      </c>
      <c r="HI31" s="409">
        <f t="shared" si="94"/>
        <v>0</v>
      </c>
      <c r="HJ31" s="409">
        <f t="shared" si="94"/>
        <v>0</v>
      </c>
      <c r="HK31" s="409">
        <f t="shared" si="95"/>
        <v>0</v>
      </c>
      <c r="HL31" s="409">
        <f t="shared" si="95"/>
        <v>0</v>
      </c>
      <c r="HM31" s="409">
        <f t="shared" si="95"/>
        <v>0</v>
      </c>
      <c r="HN31" s="409">
        <f t="shared" si="95"/>
        <v>0</v>
      </c>
      <c r="HO31" s="409">
        <f t="shared" si="95"/>
        <v>0</v>
      </c>
      <c r="HP31" s="409">
        <f t="shared" si="95"/>
        <v>0</v>
      </c>
      <c r="HQ31" s="409">
        <f t="shared" si="95"/>
        <v>0</v>
      </c>
      <c r="HR31" s="409">
        <f t="shared" si="95"/>
        <v>0</v>
      </c>
      <c r="HS31" s="409">
        <f t="shared" si="95"/>
        <v>0</v>
      </c>
      <c r="HT31" s="409">
        <f t="shared" si="95"/>
        <v>0</v>
      </c>
      <c r="HU31" s="409">
        <f t="shared" si="96"/>
        <v>0</v>
      </c>
      <c r="HV31" s="409">
        <f t="shared" si="96"/>
        <v>0</v>
      </c>
      <c r="HW31" s="409">
        <f t="shared" si="96"/>
        <v>0</v>
      </c>
      <c r="HX31" s="409">
        <f t="shared" si="96"/>
        <v>0</v>
      </c>
      <c r="HY31" s="409">
        <f t="shared" si="96"/>
        <v>0</v>
      </c>
      <c r="HZ31" s="409">
        <f t="shared" si="96"/>
        <v>0</v>
      </c>
      <c r="IA31" s="409">
        <f t="shared" si="96"/>
        <v>0</v>
      </c>
      <c r="IB31" s="409">
        <f t="shared" si="96"/>
        <v>0</v>
      </c>
      <c r="IC31" s="409">
        <f t="shared" si="96"/>
        <v>0</v>
      </c>
      <c r="ID31" s="409">
        <f t="shared" si="96"/>
        <v>0</v>
      </c>
      <c r="IE31" s="409">
        <f t="shared" si="97"/>
        <v>0</v>
      </c>
      <c r="IF31" s="409">
        <f t="shared" si="97"/>
        <v>0</v>
      </c>
      <c r="IG31" s="409">
        <f t="shared" si="97"/>
        <v>0</v>
      </c>
      <c r="IH31" s="409">
        <f t="shared" si="97"/>
        <v>0</v>
      </c>
      <c r="II31" s="409">
        <f t="shared" si="97"/>
        <v>0</v>
      </c>
      <c r="IJ31" s="409">
        <f t="shared" si="97"/>
        <v>0</v>
      </c>
      <c r="IK31" s="378">
        <f t="shared" si="54"/>
        <v>24</v>
      </c>
    </row>
    <row r="32" spans="1:245" hidden="1" x14ac:dyDescent="0.2">
      <c r="A32" s="380" t="str">
        <f t="shared" si="34"/>
        <v>x</v>
      </c>
      <c r="B32" s="712" t="str">
        <f>IF(ISERROR(INDEX('Legend(DX)'!$H$8:$H$9,25)),"",INDEX('Legend(DX)'!$H$8:$H$9,25))</f>
        <v/>
      </c>
      <c r="C32" s="712" t="e">
        <f>IF(INDEX('Legend(DX)'!$T$8:$T$9,25)=0,"See Legend",INDEX('Legend(DX)'!$T$8:$T$9,25))</f>
        <v>#REF!</v>
      </c>
      <c r="D32" s="712" t="e">
        <f>IF(INDEX('Legend(DX)'!$R$8:$R$9,(ROW(C32))-7)=0,IF(AND(INDEX('Legend(DX)'!$D$8:$D$9,(ROW(C32))-6)="CH",INDEX('Legend(DX)'!$F$8:$F$9,(ROW(C32))-6)="CASE - MANUAL"),INDEX('Legend(DX)'!$R$8:$R$9,(ROW(C32))-6),IF(INDEX('Legend(DX)'!$V$8:$V$9,(ROW(C32))-7)&gt;1, "(" &amp; INDEX('Legend(DX)'!$V$8:$V$9,(ROW(C32))-7) &amp; ") " &amp; INDEX('Legend(DX)'!$W$8:$W$9,(ROW(C32))-6),INDEX('Legend(DX)'!$W$8:$W$9,(ROW(C32))-7))),INDEX('Legend(DX)'!$R$8:$R$9,(ROW(C32))-7))</f>
        <v>#REF!</v>
      </c>
      <c r="E32" s="713" t="str" cm="1">
        <f t="array" ref="E32">IF(OR(ISNUMBER(SEARCH("Skid",C32)),ISNUMBER(SEARCH("Subcooler",C32)),ISNUMBER(SEARCH("Pump",C32)),ISNUMBER(SEARCH("PH",C32))),0,IF(ISERROR(INDEX('Legend(DX)'!$AA$8:$AA$9,ROW()-7)),"",INDEX('Legend(DX)'!$AA$8:$AA$9,ROW()-7)))</f>
        <v/>
      </c>
      <c r="F32" s="714"/>
      <c r="G32" s="714"/>
      <c r="H32" s="714"/>
      <c r="I32" s="714"/>
      <c r="J32" s="714"/>
      <c r="K32" s="890">
        <f t="shared" si="35"/>
        <v>0</v>
      </c>
      <c r="L32" s="718"/>
      <c r="M32" s="720"/>
      <c r="N32" s="972">
        <f t="shared" si="7"/>
        <v>-1</v>
      </c>
      <c r="O32" s="972">
        <f t="shared" si="36"/>
        <v>-1</v>
      </c>
      <c r="P32" s="972">
        <f t="shared" si="8"/>
        <v>-1</v>
      </c>
      <c r="Q32" s="972">
        <f t="shared" si="37"/>
        <v>-1</v>
      </c>
      <c r="R32" s="972">
        <f t="shared" si="9"/>
        <v>-1</v>
      </c>
      <c r="S32" s="972">
        <f t="shared" si="38"/>
        <v>-1</v>
      </c>
      <c r="T32" s="972">
        <f t="shared" si="10"/>
        <v>-1</v>
      </c>
      <c r="U32" s="972">
        <f t="shared" si="39"/>
        <v>-1</v>
      </c>
      <c r="V32" s="972">
        <f t="shared" si="11"/>
        <v>-1</v>
      </c>
      <c r="W32" s="972">
        <f t="shared" si="40"/>
        <v>-1</v>
      </c>
      <c r="X32" s="972">
        <f t="shared" si="12"/>
        <v>-1</v>
      </c>
      <c r="Y32" s="972">
        <f t="shared" si="41"/>
        <v>-1</v>
      </c>
      <c r="Z32" s="972">
        <f t="shared" si="42"/>
        <v>-1</v>
      </c>
      <c r="AA32" s="972">
        <f t="shared" si="43"/>
        <v>-1</v>
      </c>
      <c r="AB32" s="972">
        <f t="shared" si="44"/>
        <v>-1</v>
      </c>
      <c r="AC32" s="972">
        <f t="shared" si="45"/>
        <v>-1</v>
      </c>
      <c r="AD32" s="972">
        <f t="shared" si="46"/>
        <v>-1</v>
      </c>
      <c r="AE32" s="972">
        <f t="shared" si="47"/>
        <v>-1</v>
      </c>
      <c r="AF32" s="972">
        <f t="shared" si="48"/>
        <v>-1</v>
      </c>
      <c r="AG32" s="972">
        <f t="shared" si="49"/>
        <v>-1</v>
      </c>
      <c r="AH32" s="972">
        <f t="shared" si="50"/>
        <v>-1</v>
      </c>
      <c r="AI32" s="972">
        <f t="shared" si="51"/>
        <v>-1</v>
      </c>
      <c r="AJ32" s="972">
        <f t="shared" si="52"/>
        <v>-1</v>
      </c>
      <c r="AK32" s="381" t="str">
        <f>IF(ISERROR(INDEX('Legend(DX)'!$AI$8:$AI$9,IK32)),"",INDEX('Legend(DX)'!$AI$8:$AI$9,IK32))</f>
        <v/>
      </c>
      <c r="AL32" s="727" t="str">
        <f t="shared" si="53"/>
        <v/>
      </c>
      <c r="AM32" s="409">
        <f t="shared" si="77"/>
        <v>0</v>
      </c>
      <c r="AN32" s="409">
        <f t="shared" si="77"/>
        <v>0</v>
      </c>
      <c r="AO32" s="409">
        <f t="shared" si="77"/>
        <v>0</v>
      </c>
      <c r="AP32" s="409">
        <f t="shared" si="77"/>
        <v>0</v>
      </c>
      <c r="AQ32" s="409">
        <f t="shared" si="77"/>
        <v>0</v>
      </c>
      <c r="AR32" s="409">
        <f t="shared" si="77"/>
        <v>0</v>
      </c>
      <c r="AS32" s="409">
        <f t="shared" si="77"/>
        <v>0</v>
      </c>
      <c r="AT32" s="409">
        <f t="shared" si="77"/>
        <v>0</v>
      </c>
      <c r="AU32" s="409">
        <f t="shared" si="77"/>
        <v>0</v>
      </c>
      <c r="AV32" s="409">
        <f t="shared" si="77"/>
        <v>0</v>
      </c>
      <c r="AW32" s="409">
        <f t="shared" si="78"/>
        <v>0</v>
      </c>
      <c r="AX32" s="409">
        <f t="shared" si="78"/>
        <v>0</v>
      </c>
      <c r="AY32" s="409">
        <f t="shared" si="78"/>
        <v>0</v>
      </c>
      <c r="AZ32" s="409">
        <f t="shared" si="78"/>
        <v>0</v>
      </c>
      <c r="BA32" s="409">
        <f t="shared" si="78"/>
        <v>0</v>
      </c>
      <c r="BB32" s="409">
        <f t="shared" si="78"/>
        <v>0</v>
      </c>
      <c r="BC32" s="409">
        <f t="shared" si="78"/>
        <v>0</v>
      </c>
      <c r="BD32" s="409">
        <f t="shared" si="78"/>
        <v>0</v>
      </c>
      <c r="BE32" s="409">
        <f t="shared" si="78"/>
        <v>0</v>
      </c>
      <c r="BF32" s="409">
        <f t="shared" si="78"/>
        <v>0</v>
      </c>
      <c r="BG32" s="409">
        <f t="shared" si="79"/>
        <v>0</v>
      </c>
      <c r="BH32" s="409">
        <f t="shared" si="79"/>
        <v>0</v>
      </c>
      <c r="BI32" s="409">
        <f t="shared" si="79"/>
        <v>0</v>
      </c>
      <c r="BJ32" s="409">
        <f t="shared" si="79"/>
        <v>0</v>
      </c>
      <c r="BK32" s="409">
        <f t="shared" si="79"/>
        <v>0</v>
      </c>
      <c r="BL32" s="409">
        <f t="shared" si="79"/>
        <v>0</v>
      </c>
      <c r="BM32" s="409">
        <f t="shared" si="79"/>
        <v>0</v>
      </c>
      <c r="BN32" s="409">
        <f t="shared" si="79"/>
        <v>0</v>
      </c>
      <c r="BO32" s="409">
        <f t="shared" si="79"/>
        <v>0</v>
      </c>
      <c r="BP32" s="409">
        <f t="shared" si="79"/>
        <v>0</v>
      </c>
      <c r="BQ32" s="409">
        <f t="shared" si="80"/>
        <v>0</v>
      </c>
      <c r="BR32" s="409">
        <f t="shared" si="80"/>
        <v>0</v>
      </c>
      <c r="BS32" s="409">
        <f t="shared" si="80"/>
        <v>0</v>
      </c>
      <c r="BT32" s="409">
        <f t="shared" si="80"/>
        <v>0</v>
      </c>
      <c r="BU32" s="409">
        <f t="shared" si="80"/>
        <v>0</v>
      </c>
      <c r="BV32" s="409">
        <f t="shared" si="80"/>
        <v>0</v>
      </c>
      <c r="BW32" s="409">
        <f t="shared" si="80"/>
        <v>0</v>
      </c>
      <c r="BX32" s="409">
        <f t="shared" si="80"/>
        <v>0</v>
      </c>
      <c r="BY32" s="409">
        <f t="shared" si="80"/>
        <v>0</v>
      </c>
      <c r="BZ32" s="409">
        <f t="shared" si="80"/>
        <v>0</v>
      </c>
      <c r="CA32" s="409">
        <f t="shared" si="81"/>
        <v>0</v>
      </c>
      <c r="CB32" s="409">
        <f t="shared" si="81"/>
        <v>0</v>
      </c>
      <c r="CC32" s="409">
        <f t="shared" si="81"/>
        <v>0</v>
      </c>
      <c r="CD32" s="409">
        <f t="shared" si="81"/>
        <v>0</v>
      </c>
      <c r="CE32" s="409">
        <f t="shared" si="81"/>
        <v>0</v>
      </c>
      <c r="CF32" s="409">
        <f t="shared" si="81"/>
        <v>0</v>
      </c>
      <c r="CG32" s="409">
        <f t="shared" si="81"/>
        <v>0</v>
      </c>
      <c r="CH32" s="409">
        <f t="shared" si="81"/>
        <v>0</v>
      </c>
      <c r="CI32" s="409">
        <f t="shared" si="81"/>
        <v>0</v>
      </c>
      <c r="CJ32" s="409">
        <f t="shared" si="81"/>
        <v>0</v>
      </c>
      <c r="CK32" s="409">
        <f t="shared" si="82"/>
        <v>0</v>
      </c>
      <c r="CL32" s="409">
        <f t="shared" si="82"/>
        <v>0</v>
      </c>
      <c r="CM32" s="409">
        <f t="shared" si="82"/>
        <v>0</v>
      </c>
      <c r="CN32" s="409">
        <f t="shared" si="82"/>
        <v>0</v>
      </c>
      <c r="CO32" s="409">
        <f t="shared" si="82"/>
        <v>0</v>
      </c>
      <c r="CP32" s="409">
        <f t="shared" si="82"/>
        <v>0</v>
      </c>
      <c r="CQ32" s="409">
        <f t="shared" si="82"/>
        <v>0</v>
      </c>
      <c r="CR32" s="409">
        <f t="shared" si="82"/>
        <v>0</v>
      </c>
      <c r="CS32" s="409">
        <f t="shared" si="82"/>
        <v>0</v>
      </c>
      <c r="CT32" s="409">
        <f t="shared" si="82"/>
        <v>0</v>
      </c>
      <c r="CU32" s="409">
        <f t="shared" si="83"/>
        <v>0</v>
      </c>
      <c r="CV32" s="409">
        <f t="shared" si="83"/>
        <v>0</v>
      </c>
      <c r="CW32" s="409">
        <f t="shared" si="83"/>
        <v>0</v>
      </c>
      <c r="CX32" s="409">
        <f t="shared" si="83"/>
        <v>0</v>
      </c>
      <c r="CY32" s="409">
        <f t="shared" si="83"/>
        <v>0</v>
      </c>
      <c r="CZ32" s="409">
        <f t="shared" si="83"/>
        <v>0</v>
      </c>
      <c r="DA32" s="409">
        <f t="shared" si="83"/>
        <v>0</v>
      </c>
      <c r="DB32" s="409">
        <f t="shared" si="83"/>
        <v>0</v>
      </c>
      <c r="DC32" s="409">
        <f t="shared" si="83"/>
        <v>0</v>
      </c>
      <c r="DD32" s="409">
        <f t="shared" si="83"/>
        <v>0</v>
      </c>
      <c r="DE32" s="409">
        <f t="shared" si="84"/>
        <v>0</v>
      </c>
      <c r="DF32" s="409">
        <f t="shared" si="84"/>
        <v>0</v>
      </c>
      <c r="DG32" s="409">
        <f t="shared" si="84"/>
        <v>0</v>
      </c>
      <c r="DH32" s="409">
        <f t="shared" si="84"/>
        <v>0</v>
      </c>
      <c r="DI32" s="409">
        <f t="shared" si="84"/>
        <v>0</v>
      </c>
      <c r="DJ32" s="409">
        <f t="shared" si="84"/>
        <v>0</v>
      </c>
      <c r="DK32" s="409">
        <f t="shared" si="84"/>
        <v>0</v>
      </c>
      <c r="DL32" s="409">
        <f t="shared" si="84"/>
        <v>0</v>
      </c>
      <c r="DM32" s="409">
        <f t="shared" si="84"/>
        <v>0</v>
      </c>
      <c r="DN32" s="409">
        <f t="shared" si="84"/>
        <v>0</v>
      </c>
      <c r="DO32" s="409">
        <f t="shared" si="85"/>
        <v>0</v>
      </c>
      <c r="DP32" s="409">
        <f t="shared" si="85"/>
        <v>0</v>
      </c>
      <c r="DQ32" s="409">
        <f t="shared" si="85"/>
        <v>0</v>
      </c>
      <c r="DR32" s="409">
        <f t="shared" si="85"/>
        <v>0</v>
      </c>
      <c r="DS32" s="409">
        <f t="shared" si="85"/>
        <v>0</v>
      </c>
      <c r="DT32" s="409">
        <f t="shared" si="85"/>
        <v>0</v>
      </c>
      <c r="DU32" s="409">
        <f t="shared" si="85"/>
        <v>0</v>
      </c>
      <c r="DV32" s="409">
        <f t="shared" si="85"/>
        <v>0</v>
      </c>
      <c r="DW32" s="409">
        <f t="shared" si="85"/>
        <v>0</v>
      </c>
      <c r="DX32" s="409">
        <f t="shared" si="85"/>
        <v>0</v>
      </c>
      <c r="DY32" s="409">
        <f t="shared" si="86"/>
        <v>0</v>
      </c>
      <c r="DZ32" s="409">
        <f t="shared" si="86"/>
        <v>0</v>
      </c>
      <c r="EA32" s="409">
        <f t="shared" si="86"/>
        <v>0</v>
      </c>
      <c r="EB32" s="409">
        <f t="shared" si="86"/>
        <v>0</v>
      </c>
      <c r="EC32" s="409">
        <f t="shared" si="86"/>
        <v>0</v>
      </c>
      <c r="ED32" s="409">
        <f t="shared" si="86"/>
        <v>0</v>
      </c>
      <c r="EE32" s="409">
        <f t="shared" si="86"/>
        <v>0</v>
      </c>
      <c r="EF32" s="409">
        <f t="shared" si="86"/>
        <v>0</v>
      </c>
      <c r="EG32" s="409">
        <f t="shared" si="86"/>
        <v>0</v>
      </c>
      <c r="EH32" s="409">
        <f t="shared" si="86"/>
        <v>0</v>
      </c>
      <c r="EI32" s="409">
        <f t="shared" si="87"/>
        <v>0</v>
      </c>
      <c r="EJ32" s="409">
        <f t="shared" si="87"/>
        <v>0</v>
      </c>
      <c r="EK32" s="409">
        <f t="shared" si="87"/>
        <v>0</v>
      </c>
      <c r="EL32" s="409">
        <f t="shared" si="87"/>
        <v>0</v>
      </c>
      <c r="EM32" s="409">
        <f t="shared" si="87"/>
        <v>0</v>
      </c>
      <c r="EN32" s="409">
        <f t="shared" si="87"/>
        <v>0</v>
      </c>
      <c r="EO32" s="409">
        <f t="shared" si="87"/>
        <v>0</v>
      </c>
      <c r="EP32" s="409">
        <f t="shared" si="87"/>
        <v>0</v>
      </c>
      <c r="EQ32" s="409">
        <f t="shared" si="87"/>
        <v>0</v>
      </c>
      <c r="ER32" s="409">
        <f t="shared" si="87"/>
        <v>0</v>
      </c>
      <c r="ES32" s="409">
        <f t="shared" si="88"/>
        <v>0</v>
      </c>
      <c r="ET32" s="409">
        <f t="shared" si="88"/>
        <v>0</v>
      </c>
      <c r="EU32" s="409">
        <f t="shared" si="88"/>
        <v>0</v>
      </c>
      <c r="EV32" s="409">
        <f t="shared" si="88"/>
        <v>0</v>
      </c>
      <c r="EW32" s="409">
        <f t="shared" si="88"/>
        <v>0</v>
      </c>
      <c r="EX32" s="409">
        <f t="shared" si="88"/>
        <v>0</v>
      </c>
      <c r="EY32" s="409">
        <f t="shared" si="88"/>
        <v>0</v>
      </c>
      <c r="EZ32" s="409">
        <f t="shared" si="88"/>
        <v>0</v>
      </c>
      <c r="FA32" s="409">
        <f t="shared" si="88"/>
        <v>0</v>
      </c>
      <c r="FB32" s="409">
        <f t="shared" si="88"/>
        <v>0</v>
      </c>
      <c r="FC32" s="409">
        <f t="shared" si="89"/>
        <v>0</v>
      </c>
      <c r="FD32" s="409">
        <f t="shared" si="89"/>
        <v>0</v>
      </c>
      <c r="FE32" s="409">
        <f t="shared" si="89"/>
        <v>0</v>
      </c>
      <c r="FF32" s="409">
        <f t="shared" si="89"/>
        <v>0</v>
      </c>
      <c r="FG32" s="409">
        <f t="shared" si="89"/>
        <v>0</v>
      </c>
      <c r="FH32" s="409">
        <f t="shared" si="89"/>
        <v>0</v>
      </c>
      <c r="FI32" s="409">
        <f t="shared" si="89"/>
        <v>0</v>
      </c>
      <c r="FJ32" s="409">
        <f t="shared" si="89"/>
        <v>0</v>
      </c>
      <c r="FK32" s="409">
        <f t="shared" si="89"/>
        <v>0</v>
      </c>
      <c r="FL32" s="409">
        <f t="shared" si="89"/>
        <v>0</v>
      </c>
      <c r="FM32" s="409">
        <f t="shared" si="90"/>
        <v>0</v>
      </c>
      <c r="FN32" s="409">
        <f t="shared" si="90"/>
        <v>0</v>
      </c>
      <c r="FO32" s="409">
        <f t="shared" si="90"/>
        <v>0</v>
      </c>
      <c r="FP32" s="409">
        <f t="shared" si="90"/>
        <v>0</v>
      </c>
      <c r="FQ32" s="409">
        <f t="shared" si="90"/>
        <v>0</v>
      </c>
      <c r="FR32" s="409">
        <f t="shared" si="90"/>
        <v>0</v>
      </c>
      <c r="FS32" s="409">
        <f t="shared" si="90"/>
        <v>0</v>
      </c>
      <c r="FT32" s="409">
        <f t="shared" si="90"/>
        <v>0</v>
      </c>
      <c r="FU32" s="409">
        <f t="shared" si="90"/>
        <v>0</v>
      </c>
      <c r="FV32" s="409">
        <f t="shared" si="90"/>
        <v>0</v>
      </c>
      <c r="FW32" s="409">
        <f t="shared" si="91"/>
        <v>0</v>
      </c>
      <c r="FX32" s="409">
        <f t="shared" si="91"/>
        <v>0</v>
      </c>
      <c r="FY32" s="409">
        <f t="shared" si="91"/>
        <v>0</v>
      </c>
      <c r="FZ32" s="409">
        <f t="shared" si="91"/>
        <v>0</v>
      </c>
      <c r="GA32" s="409">
        <f t="shared" si="91"/>
        <v>0</v>
      </c>
      <c r="GB32" s="409">
        <f t="shared" si="91"/>
        <v>0</v>
      </c>
      <c r="GC32" s="409">
        <f t="shared" si="91"/>
        <v>0</v>
      </c>
      <c r="GD32" s="409">
        <f t="shared" si="91"/>
        <v>0</v>
      </c>
      <c r="GE32" s="409">
        <f t="shared" si="91"/>
        <v>0</v>
      </c>
      <c r="GF32" s="409">
        <f t="shared" si="91"/>
        <v>0</v>
      </c>
      <c r="GG32" s="409">
        <f t="shared" si="92"/>
        <v>0</v>
      </c>
      <c r="GH32" s="409">
        <f t="shared" si="92"/>
        <v>0</v>
      </c>
      <c r="GI32" s="409">
        <f t="shared" si="92"/>
        <v>0</v>
      </c>
      <c r="GJ32" s="409">
        <f t="shared" si="92"/>
        <v>0</v>
      </c>
      <c r="GK32" s="409">
        <f t="shared" si="92"/>
        <v>0</v>
      </c>
      <c r="GL32" s="409">
        <f t="shared" si="92"/>
        <v>0</v>
      </c>
      <c r="GM32" s="409">
        <f t="shared" si="92"/>
        <v>0</v>
      </c>
      <c r="GN32" s="409">
        <f t="shared" si="92"/>
        <v>0</v>
      </c>
      <c r="GO32" s="409">
        <f t="shared" si="92"/>
        <v>0</v>
      </c>
      <c r="GP32" s="409">
        <f t="shared" si="92"/>
        <v>0</v>
      </c>
      <c r="GQ32" s="409">
        <f t="shared" si="93"/>
        <v>0</v>
      </c>
      <c r="GR32" s="409">
        <f t="shared" si="93"/>
        <v>0</v>
      </c>
      <c r="GS32" s="409">
        <f t="shared" si="93"/>
        <v>0</v>
      </c>
      <c r="GT32" s="409">
        <f t="shared" si="93"/>
        <v>0</v>
      </c>
      <c r="GU32" s="409">
        <f t="shared" si="93"/>
        <v>0</v>
      </c>
      <c r="GV32" s="409">
        <f t="shared" si="93"/>
        <v>0</v>
      </c>
      <c r="GW32" s="409">
        <f t="shared" si="93"/>
        <v>0</v>
      </c>
      <c r="GX32" s="409">
        <f t="shared" si="93"/>
        <v>0</v>
      </c>
      <c r="GY32" s="409">
        <f t="shared" si="93"/>
        <v>0</v>
      </c>
      <c r="GZ32" s="409">
        <f t="shared" si="93"/>
        <v>0</v>
      </c>
      <c r="HA32" s="409">
        <f t="shared" si="94"/>
        <v>0</v>
      </c>
      <c r="HB32" s="409">
        <f t="shared" si="94"/>
        <v>0</v>
      </c>
      <c r="HC32" s="409">
        <f t="shared" si="94"/>
        <v>0</v>
      </c>
      <c r="HD32" s="409">
        <f t="shared" si="94"/>
        <v>0</v>
      </c>
      <c r="HE32" s="409">
        <f t="shared" si="94"/>
        <v>0</v>
      </c>
      <c r="HF32" s="409">
        <f t="shared" si="94"/>
        <v>0</v>
      </c>
      <c r="HG32" s="409">
        <f t="shared" si="94"/>
        <v>0</v>
      </c>
      <c r="HH32" s="409">
        <f t="shared" si="94"/>
        <v>0</v>
      </c>
      <c r="HI32" s="409">
        <f t="shared" si="94"/>
        <v>0</v>
      </c>
      <c r="HJ32" s="409">
        <f t="shared" si="94"/>
        <v>0</v>
      </c>
      <c r="HK32" s="409">
        <f t="shared" si="95"/>
        <v>0</v>
      </c>
      <c r="HL32" s="409">
        <f t="shared" si="95"/>
        <v>0</v>
      </c>
      <c r="HM32" s="409">
        <f t="shared" si="95"/>
        <v>0</v>
      </c>
      <c r="HN32" s="409">
        <f t="shared" si="95"/>
        <v>0</v>
      </c>
      <c r="HO32" s="409">
        <f t="shared" si="95"/>
        <v>0</v>
      </c>
      <c r="HP32" s="409">
        <f t="shared" si="95"/>
        <v>0</v>
      </c>
      <c r="HQ32" s="409">
        <f t="shared" si="95"/>
        <v>0</v>
      </c>
      <c r="HR32" s="409">
        <f t="shared" si="95"/>
        <v>0</v>
      </c>
      <c r="HS32" s="409">
        <f t="shared" si="95"/>
        <v>0</v>
      </c>
      <c r="HT32" s="409">
        <f t="shared" si="95"/>
        <v>0</v>
      </c>
      <c r="HU32" s="409">
        <f t="shared" si="96"/>
        <v>0</v>
      </c>
      <c r="HV32" s="409">
        <f t="shared" si="96"/>
        <v>0</v>
      </c>
      <c r="HW32" s="409">
        <f t="shared" si="96"/>
        <v>0</v>
      </c>
      <c r="HX32" s="409">
        <f t="shared" si="96"/>
        <v>0</v>
      </c>
      <c r="HY32" s="409">
        <f t="shared" si="96"/>
        <v>0</v>
      </c>
      <c r="HZ32" s="409">
        <f t="shared" si="96"/>
        <v>0</v>
      </c>
      <c r="IA32" s="409">
        <f t="shared" si="96"/>
        <v>0</v>
      </c>
      <c r="IB32" s="409">
        <f t="shared" si="96"/>
        <v>0</v>
      </c>
      <c r="IC32" s="409">
        <f t="shared" si="96"/>
        <v>0</v>
      </c>
      <c r="ID32" s="409">
        <f t="shared" si="96"/>
        <v>0</v>
      </c>
      <c r="IE32" s="409">
        <f t="shared" si="97"/>
        <v>0</v>
      </c>
      <c r="IF32" s="409">
        <f t="shared" si="97"/>
        <v>0</v>
      </c>
      <c r="IG32" s="409">
        <f t="shared" si="97"/>
        <v>0</v>
      </c>
      <c r="IH32" s="409">
        <f t="shared" si="97"/>
        <v>0</v>
      </c>
      <c r="II32" s="409">
        <f t="shared" si="97"/>
        <v>0</v>
      </c>
      <c r="IJ32" s="409">
        <f t="shared" si="97"/>
        <v>0</v>
      </c>
      <c r="IK32" s="378">
        <f t="shared" si="54"/>
        <v>25</v>
      </c>
    </row>
    <row r="33" spans="1:245" hidden="1" x14ac:dyDescent="0.2">
      <c r="A33" s="380" t="str">
        <f t="shared" si="34"/>
        <v>x</v>
      </c>
      <c r="B33" s="712" t="str">
        <f>IF(ISERROR(INDEX('Legend(DX)'!$H$8:$H$9,26)),"",INDEX('Legend(DX)'!$H$8:$H$9,26))</f>
        <v/>
      </c>
      <c r="C33" s="712" t="e">
        <f>IF(INDEX('Legend(DX)'!$T$8:$T$9,26)=0,"See Legend",INDEX('Legend(DX)'!$T$8:$T$9,26))</f>
        <v>#REF!</v>
      </c>
      <c r="D33" s="712" t="e">
        <f>IF(INDEX('Legend(DX)'!$R$8:$R$9,(ROW(C33))-7)=0,IF(AND(INDEX('Legend(DX)'!$D$8:$D$9,(ROW(C33))-6)="CH",INDEX('Legend(DX)'!$F$8:$F$9,(ROW(C33))-6)="CASE - MANUAL"),INDEX('Legend(DX)'!$R$8:$R$9,(ROW(C33))-6),IF(INDEX('Legend(DX)'!$V$8:$V$9,(ROW(C33))-7)&gt;1, "(" &amp; INDEX('Legend(DX)'!$V$8:$V$9,(ROW(C33))-7) &amp; ") " &amp; INDEX('Legend(DX)'!$W$8:$W$9,(ROW(C33))-6),INDEX('Legend(DX)'!$W$8:$W$9,(ROW(C33))-7))),INDEX('Legend(DX)'!$R$8:$R$9,(ROW(C33))-7))</f>
        <v>#REF!</v>
      </c>
      <c r="E33" s="713" t="str" cm="1">
        <f t="array" ref="E33">IF(OR(ISNUMBER(SEARCH("Skid",C33)),ISNUMBER(SEARCH("Subcooler",C33)),ISNUMBER(SEARCH("Pump",C33)),ISNUMBER(SEARCH("PH",C33))),0,IF(ISERROR(INDEX('Legend(DX)'!$AA$8:$AA$9,ROW()-7)),"",INDEX('Legend(DX)'!$AA$8:$AA$9,ROW()-7)))</f>
        <v/>
      </c>
      <c r="F33" s="714"/>
      <c r="G33" s="714"/>
      <c r="H33" s="714"/>
      <c r="I33" s="714"/>
      <c r="J33" s="714"/>
      <c r="K33" s="890">
        <f t="shared" si="35"/>
        <v>0</v>
      </c>
      <c r="L33" s="718"/>
      <c r="M33" s="720"/>
      <c r="N33" s="972">
        <f t="shared" si="7"/>
        <v>-1</v>
      </c>
      <c r="O33" s="972">
        <f t="shared" si="36"/>
        <v>-1</v>
      </c>
      <c r="P33" s="972">
        <f t="shared" si="8"/>
        <v>-1</v>
      </c>
      <c r="Q33" s="972">
        <f t="shared" si="37"/>
        <v>-1</v>
      </c>
      <c r="R33" s="972">
        <f t="shared" si="9"/>
        <v>-1</v>
      </c>
      <c r="S33" s="972">
        <f t="shared" si="38"/>
        <v>-1</v>
      </c>
      <c r="T33" s="972">
        <f t="shared" si="10"/>
        <v>-1</v>
      </c>
      <c r="U33" s="972">
        <f t="shared" si="39"/>
        <v>-1</v>
      </c>
      <c r="V33" s="972">
        <f t="shared" si="11"/>
        <v>-1</v>
      </c>
      <c r="W33" s="972">
        <f t="shared" si="40"/>
        <v>-1</v>
      </c>
      <c r="X33" s="972">
        <f t="shared" si="12"/>
        <v>-1</v>
      </c>
      <c r="Y33" s="972">
        <f t="shared" si="41"/>
        <v>-1</v>
      </c>
      <c r="Z33" s="972">
        <f t="shared" si="42"/>
        <v>-1</v>
      </c>
      <c r="AA33" s="972">
        <f t="shared" si="43"/>
        <v>-1</v>
      </c>
      <c r="AB33" s="972">
        <f t="shared" si="44"/>
        <v>-1</v>
      </c>
      <c r="AC33" s="972">
        <f t="shared" si="45"/>
        <v>-1</v>
      </c>
      <c r="AD33" s="972">
        <f t="shared" si="46"/>
        <v>-1</v>
      </c>
      <c r="AE33" s="972">
        <f t="shared" si="47"/>
        <v>-1</v>
      </c>
      <c r="AF33" s="972">
        <f t="shared" si="48"/>
        <v>-1</v>
      </c>
      <c r="AG33" s="972">
        <f t="shared" si="49"/>
        <v>-1</v>
      </c>
      <c r="AH33" s="972">
        <f t="shared" si="50"/>
        <v>-1</v>
      </c>
      <c r="AI33" s="972">
        <f t="shared" si="51"/>
        <v>-1</v>
      </c>
      <c r="AJ33" s="972">
        <f t="shared" si="52"/>
        <v>-1</v>
      </c>
      <c r="AK33" s="381" t="str">
        <f>IF(ISERROR(INDEX('Legend(DX)'!$AI$8:$AI$9,IK33)),"",INDEX('Legend(DX)'!$AI$8:$AI$9,IK33))</f>
        <v/>
      </c>
      <c r="AL33" s="727" t="str">
        <f t="shared" si="53"/>
        <v/>
      </c>
      <c r="AM33" s="409">
        <f t="shared" si="77"/>
        <v>0</v>
      </c>
      <c r="AN33" s="409">
        <f t="shared" si="77"/>
        <v>0</v>
      </c>
      <c r="AO33" s="409">
        <f t="shared" si="77"/>
        <v>0</v>
      </c>
      <c r="AP33" s="409">
        <f t="shared" si="77"/>
        <v>0</v>
      </c>
      <c r="AQ33" s="409">
        <f t="shared" si="77"/>
        <v>0</v>
      </c>
      <c r="AR33" s="409">
        <f t="shared" si="77"/>
        <v>0</v>
      </c>
      <c r="AS33" s="409">
        <f t="shared" si="77"/>
        <v>0</v>
      </c>
      <c r="AT33" s="409">
        <f t="shared" si="77"/>
        <v>0</v>
      </c>
      <c r="AU33" s="409">
        <f t="shared" si="77"/>
        <v>0</v>
      </c>
      <c r="AV33" s="409">
        <f t="shared" si="77"/>
        <v>0</v>
      </c>
      <c r="AW33" s="409">
        <f t="shared" si="78"/>
        <v>0</v>
      </c>
      <c r="AX33" s="409">
        <f t="shared" si="78"/>
        <v>0</v>
      </c>
      <c r="AY33" s="409">
        <f t="shared" si="78"/>
        <v>0</v>
      </c>
      <c r="AZ33" s="409">
        <f t="shared" si="78"/>
        <v>0</v>
      </c>
      <c r="BA33" s="409">
        <f t="shared" si="78"/>
        <v>0</v>
      </c>
      <c r="BB33" s="409">
        <f t="shared" si="78"/>
        <v>0</v>
      </c>
      <c r="BC33" s="409">
        <f t="shared" si="78"/>
        <v>0</v>
      </c>
      <c r="BD33" s="409">
        <f t="shared" si="78"/>
        <v>0</v>
      </c>
      <c r="BE33" s="409">
        <f t="shared" si="78"/>
        <v>0</v>
      </c>
      <c r="BF33" s="409">
        <f t="shared" si="78"/>
        <v>0</v>
      </c>
      <c r="BG33" s="409">
        <f t="shared" si="79"/>
        <v>0</v>
      </c>
      <c r="BH33" s="409">
        <f t="shared" si="79"/>
        <v>0</v>
      </c>
      <c r="BI33" s="409">
        <f t="shared" si="79"/>
        <v>0</v>
      </c>
      <c r="BJ33" s="409">
        <f t="shared" si="79"/>
        <v>0</v>
      </c>
      <c r="BK33" s="409">
        <f t="shared" si="79"/>
        <v>0</v>
      </c>
      <c r="BL33" s="409">
        <f t="shared" si="79"/>
        <v>0</v>
      </c>
      <c r="BM33" s="409">
        <f t="shared" si="79"/>
        <v>0</v>
      </c>
      <c r="BN33" s="409">
        <f t="shared" si="79"/>
        <v>0</v>
      </c>
      <c r="BO33" s="409">
        <f t="shared" si="79"/>
        <v>0</v>
      </c>
      <c r="BP33" s="409">
        <f t="shared" si="79"/>
        <v>0</v>
      </c>
      <c r="BQ33" s="409">
        <f t="shared" si="80"/>
        <v>0</v>
      </c>
      <c r="BR33" s="409">
        <f t="shared" si="80"/>
        <v>0</v>
      </c>
      <c r="BS33" s="409">
        <f t="shared" si="80"/>
        <v>0</v>
      </c>
      <c r="BT33" s="409">
        <f t="shared" si="80"/>
        <v>0</v>
      </c>
      <c r="BU33" s="409">
        <f t="shared" si="80"/>
        <v>0</v>
      </c>
      <c r="BV33" s="409">
        <f t="shared" si="80"/>
        <v>0</v>
      </c>
      <c r="BW33" s="409">
        <f t="shared" si="80"/>
        <v>0</v>
      </c>
      <c r="BX33" s="409">
        <f t="shared" si="80"/>
        <v>0</v>
      </c>
      <c r="BY33" s="409">
        <f t="shared" si="80"/>
        <v>0</v>
      </c>
      <c r="BZ33" s="409">
        <f t="shared" si="80"/>
        <v>0</v>
      </c>
      <c r="CA33" s="409">
        <f t="shared" si="81"/>
        <v>0</v>
      </c>
      <c r="CB33" s="409">
        <f t="shared" si="81"/>
        <v>0</v>
      </c>
      <c r="CC33" s="409">
        <f t="shared" si="81"/>
        <v>0</v>
      </c>
      <c r="CD33" s="409">
        <f t="shared" si="81"/>
        <v>0</v>
      </c>
      <c r="CE33" s="409">
        <f t="shared" si="81"/>
        <v>0</v>
      </c>
      <c r="CF33" s="409">
        <f t="shared" si="81"/>
        <v>0</v>
      </c>
      <c r="CG33" s="409">
        <f t="shared" si="81"/>
        <v>0</v>
      </c>
      <c r="CH33" s="409">
        <f t="shared" si="81"/>
        <v>0</v>
      </c>
      <c r="CI33" s="409">
        <f t="shared" si="81"/>
        <v>0</v>
      </c>
      <c r="CJ33" s="409">
        <f t="shared" si="81"/>
        <v>0</v>
      </c>
      <c r="CK33" s="409">
        <f t="shared" si="82"/>
        <v>0</v>
      </c>
      <c r="CL33" s="409">
        <f t="shared" si="82"/>
        <v>0</v>
      </c>
      <c r="CM33" s="409">
        <f t="shared" si="82"/>
        <v>0</v>
      </c>
      <c r="CN33" s="409">
        <f t="shared" si="82"/>
        <v>0</v>
      </c>
      <c r="CO33" s="409">
        <f t="shared" si="82"/>
        <v>0</v>
      </c>
      <c r="CP33" s="409">
        <f t="shared" si="82"/>
        <v>0</v>
      </c>
      <c r="CQ33" s="409">
        <f t="shared" si="82"/>
        <v>0</v>
      </c>
      <c r="CR33" s="409">
        <f t="shared" si="82"/>
        <v>0</v>
      </c>
      <c r="CS33" s="409">
        <f t="shared" si="82"/>
        <v>0</v>
      </c>
      <c r="CT33" s="409">
        <f t="shared" si="82"/>
        <v>0</v>
      </c>
      <c r="CU33" s="409">
        <f t="shared" si="83"/>
        <v>0</v>
      </c>
      <c r="CV33" s="409">
        <f t="shared" si="83"/>
        <v>0</v>
      </c>
      <c r="CW33" s="409">
        <f t="shared" si="83"/>
        <v>0</v>
      </c>
      <c r="CX33" s="409">
        <f t="shared" si="83"/>
        <v>0</v>
      </c>
      <c r="CY33" s="409">
        <f t="shared" si="83"/>
        <v>0</v>
      </c>
      <c r="CZ33" s="409">
        <f t="shared" si="83"/>
        <v>0</v>
      </c>
      <c r="DA33" s="409">
        <f t="shared" si="83"/>
        <v>0</v>
      </c>
      <c r="DB33" s="409">
        <f t="shared" si="83"/>
        <v>0</v>
      </c>
      <c r="DC33" s="409">
        <f t="shared" si="83"/>
        <v>0</v>
      </c>
      <c r="DD33" s="409">
        <f t="shared" si="83"/>
        <v>0</v>
      </c>
      <c r="DE33" s="409">
        <f t="shared" si="84"/>
        <v>0</v>
      </c>
      <c r="DF33" s="409">
        <f t="shared" si="84"/>
        <v>0</v>
      </c>
      <c r="DG33" s="409">
        <f t="shared" si="84"/>
        <v>0</v>
      </c>
      <c r="DH33" s="409">
        <f t="shared" si="84"/>
        <v>0</v>
      </c>
      <c r="DI33" s="409">
        <f t="shared" si="84"/>
        <v>0</v>
      </c>
      <c r="DJ33" s="409">
        <f t="shared" si="84"/>
        <v>0</v>
      </c>
      <c r="DK33" s="409">
        <f t="shared" si="84"/>
        <v>0</v>
      </c>
      <c r="DL33" s="409">
        <f t="shared" si="84"/>
        <v>0</v>
      </c>
      <c r="DM33" s="409">
        <f t="shared" si="84"/>
        <v>0</v>
      </c>
      <c r="DN33" s="409">
        <f t="shared" si="84"/>
        <v>0</v>
      </c>
      <c r="DO33" s="409">
        <f t="shared" si="85"/>
        <v>0</v>
      </c>
      <c r="DP33" s="409">
        <f t="shared" si="85"/>
        <v>0</v>
      </c>
      <c r="DQ33" s="409">
        <f t="shared" si="85"/>
        <v>0</v>
      </c>
      <c r="DR33" s="409">
        <f t="shared" si="85"/>
        <v>0</v>
      </c>
      <c r="DS33" s="409">
        <f t="shared" si="85"/>
        <v>0</v>
      </c>
      <c r="DT33" s="409">
        <f t="shared" si="85"/>
        <v>0</v>
      </c>
      <c r="DU33" s="409">
        <f t="shared" si="85"/>
        <v>0</v>
      </c>
      <c r="DV33" s="409">
        <f t="shared" si="85"/>
        <v>0</v>
      </c>
      <c r="DW33" s="409">
        <f t="shared" si="85"/>
        <v>0</v>
      </c>
      <c r="DX33" s="409">
        <f t="shared" si="85"/>
        <v>0</v>
      </c>
      <c r="DY33" s="409">
        <f t="shared" si="86"/>
        <v>0</v>
      </c>
      <c r="DZ33" s="409">
        <f t="shared" si="86"/>
        <v>0</v>
      </c>
      <c r="EA33" s="409">
        <f t="shared" si="86"/>
        <v>0</v>
      </c>
      <c r="EB33" s="409">
        <f t="shared" si="86"/>
        <v>0</v>
      </c>
      <c r="EC33" s="409">
        <f t="shared" si="86"/>
        <v>0</v>
      </c>
      <c r="ED33" s="409">
        <f t="shared" si="86"/>
        <v>0</v>
      </c>
      <c r="EE33" s="409">
        <f t="shared" si="86"/>
        <v>0</v>
      </c>
      <c r="EF33" s="409">
        <f t="shared" si="86"/>
        <v>0</v>
      </c>
      <c r="EG33" s="409">
        <f t="shared" si="86"/>
        <v>0</v>
      </c>
      <c r="EH33" s="409">
        <f t="shared" si="86"/>
        <v>0</v>
      </c>
      <c r="EI33" s="409">
        <f t="shared" si="87"/>
        <v>0</v>
      </c>
      <c r="EJ33" s="409">
        <f t="shared" si="87"/>
        <v>0</v>
      </c>
      <c r="EK33" s="409">
        <f t="shared" si="87"/>
        <v>0</v>
      </c>
      <c r="EL33" s="409">
        <f t="shared" si="87"/>
        <v>0</v>
      </c>
      <c r="EM33" s="409">
        <f t="shared" si="87"/>
        <v>0</v>
      </c>
      <c r="EN33" s="409">
        <f t="shared" si="87"/>
        <v>0</v>
      </c>
      <c r="EO33" s="409">
        <f t="shared" si="87"/>
        <v>0</v>
      </c>
      <c r="EP33" s="409">
        <f t="shared" si="87"/>
        <v>0</v>
      </c>
      <c r="EQ33" s="409">
        <f t="shared" si="87"/>
        <v>0</v>
      </c>
      <c r="ER33" s="409">
        <f t="shared" si="87"/>
        <v>0</v>
      </c>
      <c r="ES33" s="409">
        <f t="shared" si="88"/>
        <v>0</v>
      </c>
      <c r="ET33" s="409">
        <f t="shared" si="88"/>
        <v>0</v>
      </c>
      <c r="EU33" s="409">
        <f t="shared" si="88"/>
        <v>0</v>
      </c>
      <c r="EV33" s="409">
        <f t="shared" si="88"/>
        <v>0</v>
      </c>
      <c r="EW33" s="409">
        <f t="shared" si="88"/>
        <v>0</v>
      </c>
      <c r="EX33" s="409">
        <f t="shared" si="88"/>
        <v>0</v>
      </c>
      <c r="EY33" s="409">
        <f t="shared" si="88"/>
        <v>0</v>
      </c>
      <c r="EZ33" s="409">
        <f t="shared" si="88"/>
        <v>0</v>
      </c>
      <c r="FA33" s="409">
        <f t="shared" si="88"/>
        <v>0</v>
      </c>
      <c r="FB33" s="409">
        <f t="shared" si="88"/>
        <v>0</v>
      </c>
      <c r="FC33" s="409">
        <f t="shared" si="89"/>
        <v>0</v>
      </c>
      <c r="FD33" s="409">
        <f t="shared" si="89"/>
        <v>0</v>
      </c>
      <c r="FE33" s="409">
        <f t="shared" si="89"/>
        <v>0</v>
      </c>
      <c r="FF33" s="409">
        <f t="shared" si="89"/>
        <v>0</v>
      </c>
      <c r="FG33" s="409">
        <f t="shared" si="89"/>
        <v>0</v>
      </c>
      <c r="FH33" s="409">
        <f t="shared" si="89"/>
        <v>0</v>
      </c>
      <c r="FI33" s="409">
        <f t="shared" si="89"/>
        <v>0</v>
      </c>
      <c r="FJ33" s="409">
        <f t="shared" si="89"/>
        <v>0</v>
      </c>
      <c r="FK33" s="409">
        <f t="shared" si="89"/>
        <v>0</v>
      </c>
      <c r="FL33" s="409">
        <f t="shared" si="89"/>
        <v>0</v>
      </c>
      <c r="FM33" s="409">
        <f t="shared" si="90"/>
        <v>0</v>
      </c>
      <c r="FN33" s="409">
        <f t="shared" si="90"/>
        <v>0</v>
      </c>
      <c r="FO33" s="409">
        <f t="shared" si="90"/>
        <v>0</v>
      </c>
      <c r="FP33" s="409">
        <f t="shared" si="90"/>
        <v>0</v>
      </c>
      <c r="FQ33" s="409">
        <f t="shared" si="90"/>
        <v>0</v>
      </c>
      <c r="FR33" s="409">
        <f t="shared" si="90"/>
        <v>0</v>
      </c>
      <c r="FS33" s="409">
        <f t="shared" si="90"/>
        <v>0</v>
      </c>
      <c r="FT33" s="409">
        <f t="shared" si="90"/>
        <v>0</v>
      </c>
      <c r="FU33" s="409">
        <f t="shared" si="90"/>
        <v>0</v>
      </c>
      <c r="FV33" s="409">
        <f t="shared" si="90"/>
        <v>0</v>
      </c>
      <c r="FW33" s="409">
        <f t="shared" si="91"/>
        <v>0</v>
      </c>
      <c r="FX33" s="409">
        <f t="shared" si="91"/>
        <v>0</v>
      </c>
      <c r="FY33" s="409">
        <f t="shared" si="91"/>
        <v>0</v>
      </c>
      <c r="FZ33" s="409">
        <f t="shared" si="91"/>
        <v>0</v>
      </c>
      <c r="GA33" s="409">
        <f t="shared" si="91"/>
        <v>0</v>
      </c>
      <c r="GB33" s="409">
        <f t="shared" si="91"/>
        <v>0</v>
      </c>
      <c r="GC33" s="409">
        <f t="shared" si="91"/>
        <v>0</v>
      </c>
      <c r="GD33" s="409">
        <f t="shared" si="91"/>
        <v>0</v>
      </c>
      <c r="GE33" s="409">
        <f t="shared" si="91"/>
        <v>0</v>
      </c>
      <c r="GF33" s="409">
        <f t="shared" si="91"/>
        <v>0</v>
      </c>
      <c r="GG33" s="409">
        <f t="shared" si="92"/>
        <v>0</v>
      </c>
      <c r="GH33" s="409">
        <f t="shared" si="92"/>
        <v>0</v>
      </c>
      <c r="GI33" s="409">
        <f t="shared" si="92"/>
        <v>0</v>
      </c>
      <c r="GJ33" s="409">
        <f t="shared" si="92"/>
        <v>0</v>
      </c>
      <c r="GK33" s="409">
        <f t="shared" si="92"/>
        <v>0</v>
      </c>
      <c r="GL33" s="409">
        <f t="shared" si="92"/>
        <v>0</v>
      </c>
      <c r="GM33" s="409">
        <f t="shared" si="92"/>
        <v>0</v>
      </c>
      <c r="GN33" s="409">
        <f t="shared" si="92"/>
        <v>0</v>
      </c>
      <c r="GO33" s="409">
        <f t="shared" si="92"/>
        <v>0</v>
      </c>
      <c r="GP33" s="409">
        <f t="shared" si="92"/>
        <v>0</v>
      </c>
      <c r="GQ33" s="409">
        <f t="shared" si="93"/>
        <v>0</v>
      </c>
      <c r="GR33" s="409">
        <f t="shared" si="93"/>
        <v>0</v>
      </c>
      <c r="GS33" s="409">
        <f t="shared" si="93"/>
        <v>0</v>
      </c>
      <c r="GT33" s="409">
        <f t="shared" si="93"/>
        <v>0</v>
      </c>
      <c r="GU33" s="409">
        <f t="shared" si="93"/>
        <v>0</v>
      </c>
      <c r="GV33" s="409">
        <f t="shared" si="93"/>
        <v>0</v>
      </c>
      <c r="GW33" s="409">
        <f t="shared" si="93"/>
        <v>0</v>
      </c>
      <c r="GX33" s="409">
        <f t="shared" si="93"/>
        <v>0</v>
      </c>
      <c r="GY33" s="409">
        <f t="shared" si="93"/>
        <v>0</v>
      </c>
      <c r="GZ33" s="409">
        <f t="shared" si="93"/>
        <v>0</v>
      </c>
      <c r="HA33" s="409">
        <f t="shared" si="94"/>
        <v>0</v>
      </c>
      <c r="HB33" s="409">
        <f t="shared" si="94"/>
        <v>0</v>
      </c>
      <c r="HC33" s="409">
        <f t="shared" si="94"/>
        <v>0</v>
      </c>
      <c r="HD33" s="409">
        <f t="shared" si="94"/>
        <v>0</v>
      </c>
      <c r="HE33" s="409">
        <f t="shared" si="94"/>
        <v>0</v>
      </c>
      <c r="HF33" s="409">
        <f t="shared" si="94"/>
        <v>0</v>
      </c>
      <c r="HG33" s="409">
        <f t="shared" si="94"/>
        <v>0</v>
      </c>
      <c r="HH33" s="409">
        <f t="shared" si="94"/>
        <v>0</v>
      </c>
      <c r="HI33" s="409">
        <f t="shared" si="94"/>
        <v>0</v>
      </c>
      <c r="HJ33" s="409">
        <f t="shared" si="94"/>
        <v>0</v>
      </c>
      <c r="HK33" s="409">
        <f t="shared" si="95"/>
        <v>0</v>
      </c>
      <c r="HL33" s="409">
        <f t="shared" si="95"/>
        <v>0</v>
      </c>
      <c r="HM33" s="409">
        <f t="shared" si="95"/>
        <v>0</v>
      </c>
      <c r="HN33" s="409">
        <f t="shared" si="95"/>
        <v>0</v>
      </c>
      <c r="HO33" s="409">
        <f t="shared" si="95"/>
        <v>0</v>
      </c>
      <c r="HP33" s="409">
        <f t="shared" si="95"/>
        <v>0</v>
      </c>
      <c r="HQ33" s="409">
        <f t="shared" si="95"/>
        <v>0</v>
      </c>
      <c r="HR33" s="409">
        <f t="shared" si="95"/>
        <v>0</v>
      </c>
      <c r="HS33" s="409">
        <f t="shared" si="95"/>
        <v>0</v>
      </c>
      <c r="HT33" s="409">
        <f t="shared" si="95"/>
        <v>0</v>
      </c>
      <c r="HU33" s="409">
        <f t="shared" si="96"/>
        <v>0</v>
      </c>
      <c r="HV33" s="409">
        <f t="shared" si="96"/>
        <v>0</v>
      </c>
      <c r="HW33" s="409">
        <f t="shared" si="96"/>
        <v>0</v>
      </c>
      <c r="HX33" s="409">
        <f t="shared" si="96"/>
        <v>0</v>
      </c>
      <c r="HY33" s="409">
        <f t="shared" si="96"/>
        <v>0</v>
      </c>
      <c r="HZ33" s="409">
        <f t="shared" si="96"/>
        <v>0</v>
      </c>
      <c r="IA33" s="409">
        <f t="shared" si="96"/>
        <v>0</v>
      </c>
      <c r="IB33" s="409">
        <f t="shared" si="96"/>
        <v>0</v>
      </c>
      <c r="IC33" s="409">
        <f t="shared" si="96"/>
        <v>0</v>
      </c>
      <c r="ID33" s="409">
        <f t="shared" si="96"/>
        <v>0</v>
      </c>
      <c r="IE33" s="409">
        <f t="shared" si="97"/>
        <v>0</v>
      </c>
      <c r="IF33" s="409">
        <f t="shared" si="97"/>
        <v>0</v>
      </c>
      <c r="IG33" s="409">
        <f t="shared" si="97"/>
        <v>0</v>
      </c>
      <c r="IH33" s="409">
        <f t="shared" si="97"/>
        <v>0</v>
      </c>
      <c r="II33" s="409">
        <f t="shared" si="97"/>
        <v>0</v>
      </c>
      <c r="IJ33" s="409">
        <f t="shared" si="97"/>
        <v>0</v>
      </c>
      <c r="IK33" s="378">
        <f t="shared" si="54"/>
        <v>26</v>
      </c>
    </row>
    <row r="34" spans="1:245" hidden="1" x14ac:dyDescent="0.2">
      <c r="A34" s="380" t="str">
        <f t="shared" si="34"/>
        <v>x</v>
      </c>
      <c r="B34" s="712" t="str">
        <f>IF(ISERROR(INDEX('Legend(DX)'!$H$8:$H$9,27)),"",INDEX('Legend(DX)'!$H$8:$H$9,27))</f>
        <v/>
      </c>
      <c r="C34" s="712" t="e">
        <f>IF(INDEX('Legend(DX)'!$T$8:$T$9,27)=0,"See Legend",INDEX('Legend(DX)'!$T$8:$T$9,27))</f>
        <v>#REF!</v>
      </c>
      <c r="D34" s="712" t="e">
        <f>IF(INDEX('Legend(DX)'!$R$8:$R$9,(ROW(C34))-7)=0,IF(AND(INDEX('Legend(DX)'!$D$8:$D$9,(ROW(C34))-6)="CH",INDEX('Legend(DX)'!$F$8:$F$9,(ROW(C34))-6)="CASE - MANUAL"),INDEX('Legend(DX)'!$R$8:$R$9,(ROW(C34))-6),IF(INDEX('Legend(DX)'!$V$8:$V$9,(ROW(C34))-7)&gt;1, "(" &amp; INDEX('Legend(DX)'!$V$8:$V$9,(ROW(C34))-7) &amp; ") " &amp; INDEX('Legend(DX)'!$W$8:$W$9,(ROW(C34))-6),INDEX('Legend(DX)'!$W$8:$W$9,(ROW(C34))-7))),INDEX('Legend(DX)'!$R$8:$R$9,(ROW(C34))-7))</f>
        <v>#REF!</v>
      </c>
      <c r="E34" s="713" t="str" cm="1">
        <f t="array" ref="E34">IF(OR(ISNUMBER(SEARCH("Skid",C34)),ISNUMBER(SEARCH("Subcooler",C34)),ISNUMBER(SEARCH("Pump",C34)),ISNUMBER(SEARCH("PH",C34))),0,IF(ISERROR(INDEX('Legend(DX)'!$AA$8:$AA$9,ROW()-7)),"",INDEX('Legend(DX)'!$AA$8:$AA$9,ROW()-7)))</f>
        <v/>
      </c>
      <c r="F34" s="714"/>
      <c r="G34" s="714"/>
      <c r="H34" s="714"/>
      <c r="I34" s="714"/>
      <c r="J34" s="714"/>
      <c r="K34" s="890">
        <f t="shared" si="35"/>
        <v>0</v>
      </c>
      <c r="L34" s="718"/>
      <c r="M34" s="719"/>
      <c r="N34" s="972">
        <f t="shared" si="7"/>
        <v>-1</v>
      </c>
      <c r="O34" s="972">
        <f t="shared" si="36"/>
        <v>-1</v>
      </c>
      <c r="P34" s="972">
        <f t="shared" si="8"/>
        <v>-1</v>
      </c>
      <c r="Q34" s="972">
        <f t="shared" si="37"/>
        <v>-1</v>
      </c>
      <c r="R34" s="972">
        <f t="shared" si="9"/>
        <v>-1</v>
      </c>
      <c r="S34" s="972">
        <f t="shared" si="38"/>
        <v>-1</v>
      </c>
      <c r="T34" s="972">
        <f t="shared" si="10"/>
        <v>-1</v>
      </c>
      <c r="U34" s="972">
        <f t="shared" si="39"/>
        <v>-1</v>
      </c>
      <c r="V34" s="972">
        <f t="shared" si="11"/>
        <v>-1</v>
      </c>
      <c r="W34" s="972">
        <f t="shared" si="40"/>
        <v>-1</v>
      </c>
      <c r="X34" s="972">
        <f t="shared" si="12"/>
        <v>-1</v>
      </c>
      <c r="Y34" s="972">
        <f t="shared" si="41"/>
        <v>-1</v>
      </c>
      <c r="Z34" s="972">
        <f t="shared" si="42"/>
        <v>-1</v>
      </c>
      <c r="AA34" s="972">
        <f t="shared" si="43"/>
        <v>-1</v>
      </c>
      <c r="AB34" s="972">
        <f t="shared" si="44"/>
        <v>-1</v>
      </c>
      <c r="AC34" s="972">
        <f t="shared" si="45"/>
        <v>-1</v>
      </c>
      <c r="AD34" s="972">
        <f t="shared" si="46"/>
        <v>-1</v>
      </c>
      <c r="AE34" s="972">
        <f t="shared" si="47"/>
        <v>-1</v>
      </c>
      <c r="AF34" s="972">
        <f t="shared" si="48"/>
        <v>-1</v>
      </c>
      <c r="AG34" s="972">
        <f t="shared" si="49"/>
        <v>-1</v>
      </c>
      <c r="AH34" s="972">
        <f t="shared" si="50"/>
        <v>-1</v>
      </c>
      <c r="AI34" s="972">
        <f t="shared" si="51"/>
        <v>-1</v>
      </c>
      <c r="AJ34" s="972">
        <f t="shared" si="52"/>
        <v>-1</v>
      </c>
      <c r="AK34" s="381" t="str">
        <f>IF(ISERROR(INDEX('Legend(DX)'!$AI$8:$AI$9,IK34)),"",INDEX('Legend(DX)'!$AI$8:$AI$9,IK34))</f>
        <v/>
      </c>
      <c r="AL34" s="727" t="str">
        <f t="shared" si="53"/>
        <v/>
      </c>
      <c r="AM34" s="409">
        <f t="shared" si="77"/>
        <v>0</v>
      </c>
      <c r="AN34" s="409">
        <f t="shared" si="77"/>
        <v>0</v>
      </c>
      <c r="AO34" s="409">
        <f t="shared" si="77"/>
        <v>0</v>
      </c>
      <c r="AP34" s="409">
        <f t="shared" si="77"/>
        <v>0</v>
      </c>
      <c r="AQ34" s="409">
        <f t="shared" si="77"/>
        <v>0</v>
      </c>
      <c r="AR34" s="409">
        <f t="shared" si="77"/>
        <v>0</v>
      </c>
      <c r="AS34" s="409">
        <f t="shared" si="77"/>
        <v>0</v>
      </c>
      <c r="AT34" s="409">
        <f t="shared" si="77"/>
        <v>0</v>
      </c>
      <c r="AU34" s="409">
        <f t="shared" si="77"/>
        <v>0</v>
      </c>
      <c r="AV34" s="409">
        <f t="shared" si="77"/>
        <v>0</v>
      </c>
      <c r="AW34" s="409">
        <f t="shared" si="78"/>
        <v>0</v>
      </c>
      <c r="AX34" s="409">
        <f t="shared" si="78"/>
        <v>0</v>
      </c>
      <c r="AY34" s="409">
        <f t="shared" si="78"/>
        <v>0</v>
      </c>
      <c r="AZ34" s="409">
        <f t="shared" si="78"/>
        <v>0</v>
      </c>
      <c r="BA34" s="409">
        <f t="shared" si="78"/>
        <v>0</v>
      </c>
      <c r="BB34" s="409">
        <f t="shared" si="78"/>
        <v>0</v>
      </c>
      <c r="BC34" s="409">
        <f t="shared" si="78"/>
        <v>0</v>
      </c>
      <c r="BD34" s="409">
        <f t="shared" si="78"/>
        <v>0</v>
      </c>
      <c r="BE34" s="409">
        <f t="shared" si="78"/>
        <v>0</v>
      </c>
      <c r="BF34" s="409">
        <f t="shared" si="78"/>
        <v>0</v>
      </c>
      <c r="BG34" s="409">
        <f t="shared" si="79"/>
        <v>0</v>
      </c>
      <c r="BH34" s="409">
        <f t="shared" si="79"/>
        <v>0</v>
      </c>
      <c r="BI34" s="409">
        <f t="shared" si="79"/>
        <v>0</v>
      </c>
      <c r="BJ34" s="409">
        <f t="shared" si="79"/>
        <v>0</v>
      </c>
      <c r="BK34" s="409">
        <f t="shared" si="79"/>
        <v>0</v>
      </c>
      <c r="BL34" s="409">
        <f t="shared" si="79"/>
        <v>0</v>
      </c>
      <c r="BM34" s="409">
        <f t="shared" si="79"/>
        <v>0</v>
      </c>
      <c r="BN34" s="409">
        <f t="shared" si="79"/>
        <v>0</v>
      </c>
      <c r="BO34" s="409">
        <f t="shared" si="79"/>
        <v>0</v>
      </c>
      <c r="BP34" s="409">
        <f t="shared" si="79"/>
        <v>0</v>
      </c>
      <c r="BQ34" s="409">
        <f t="shared" si="80"/>
        <v>0</v>
      </c>
      <c r="BR34" s="409">
        <f t="shared" si="80"/>
        <v>0</v>
      </c>
      <c r="BS34" s="409">
        <f t="shared" si="80"/>
        <v>0</v>
      </c>
      <c r="BT34" s="409">
        <f t="shared" si="80"/>
        <v>0</v>
      </c>
      <c r="BU34" s="409">
        <f t="shared" si="80"/>
        <v>0</v>
      </c>
      <c r="BV34" s="409">
        <f t="shared" si="80"/>
        <v>0</v>
      </c>
      <c r="BW34" s="409">
        <f t="shared" si="80"/>
        <v>0</v>
      </c>
      <c r="BX34" s="409">
        <f t="shared" si="80"/>
        <v>0</v>
      </c>
      <c r="BY34" s="409">
        <f t="shared" si="80"/>
        <v>0</v>
      </c>
      <c r="BZ34" s="409">
        <f t="shared" si="80"/>
        <v>0</v>
      </c>
      <c r="CA34" s="409">
        <f t="shared" si="81"/>
        <v>0</v>
      </c>
      <c r="CB34" s="409">
        <f t="shared" si="81"/>
        <v>0</v>
      </c>
      <c r="CC34" s="409">
        <f t="shared" si="81"/>
        <v>0</v>
      </c>
      <c r="CD34" s="409">
        <f t="shared" si="81"/>
        <v>0</v>
      </c>
      <c r="CE34" s="409">
        <f t="shared" si="81"/>
        <v>0</v>
      </c>
      <c r="CF34" s="409">
        <f t="shared" si="81"/>
        <v>0</v>
      </c>
      <c r="CG34" s="409">
        <f t="shared" si="81"/>
        <v>0</v>
      </c>
      <c r="CH34" s="409">
        <f t="shared" si="81"/>
        <v>0</v>
      </c>
      <c r="CI34" s="409">
        <f t="shared" si="81"/>
        <v>0</v>
      </c>
      <c r="CJ34" s="409">
        <f t="shared" si="81"/>
        <v>0</v>
      </c>
      <c r="CK34" s="409">
        <f t="shared" si="82"/>
        <v>0</v>
      </c>
      <c r="CL34" s="409">
        <f t="shared" si="82"/>
        <v>0</v>
      </c>
      <c r="CM34" s="409">
        <f t="shared" si="82"/>
        <v>0</v>
      </c>
      <c r="CN34" s="409">
        <f t="shared" si="82"/>
        <v>0</v>
      </c>
      <c r="CO34" s="409">
        <f t="shared" si="82"/>
        <v>0</v>
      </c>
      <c r="CP34" s="409">
        <f t="shared" si="82"/>
        <v>0</v>
      </c>
      <c r="CQ34" s="409">
        <f t="shared" si="82"/>
        <v>0</v>
      </c>
      <c r="CR34" s="409">
        <f t="shared" si="82"/>
        <v>0</v>
      </c>
      <c r="CS34" s="409">
        <f t="shared" si="82"/>
        <v>0</v>
      </c>
      <c r="CT34" s="409">
        <f t="shared" si="82"/>
        <v>0</v>
      </c>
      <c r="CU34" s="409">
        <f t="shared" si="83"/>
        <v>0</v>
      </c>
      <c r="CV34" s="409">
        <f t="shared" si="83"/>
        <v>0</v>
      </c>
      <c r="CW34" s="409">
        <f t="shared" si="83"/>
        <v>0</v>
      </c>
      <c r="CX34" s="409">
        <f t="shared" si="83"/>
        <v>0</v>
      </c>
      <c r="CY34" s="409">
        <f t="shared" si="83"/>
        <v>0</v>
      </c>
      <c r="CZ34" s="409">
        <f t="shared" si="83"/>
        <v>0</v>
      </c>
      <c r="DA34" s="409">
        <f t="shared" si="83"/>
        <v>0</v>
      </c>
      <c r="DB34" s="409">
        <f t="shared" si="83"/>
        <v>0</v>
      </c>
      <c r="DC34" s="409">
        <f t="shared" si="83"/>
        <v>0</v>
      </c>
      <c r="DD34" s="409">
        <f t="shared" si="83"/>
        <v>0</v>
      </c>
      <c r="DE34" s="409">
        <f t="shared" si="84"/>
        <v>0</v>
      </c>
      <c r="DF34" s="409">
        <f t="shared" si="84"/>
        <v>0</v>
      </c>
      <c r="DG34" s="409">
        <f t="shared" si="84"/>
        <v>0</v>
      </c>
      <c r="DH34" s="409">
        <f t="shared" si="84"/>
        <v>0</v>
      </c>
      <c r="DI34" s="409">
        <f t="shared" si="84"/>
        <v>0</v>
      </c>
      <c r="DJ34" s="409">
        <f t="shared" si="84"/>
        <v>0</v>
      </c>
      <c r="DK34" s="409">
        <f t="shared" si="84"/>
        <v>0</v>
      </c>
      <c r="DL34" s="409">
        <f t="shared" si="84"/>
        <v>0</v>
      </c>
      <c r="DM34" s="409">
        <f t="shared" si="84"/>
        <v>0</v>
      </c>
      <c r="DN34" s="409">
        <f t="shared" si="84"/>
        <v>0</v>
      </c>
      <c r="DO34" s="409">
        <f t="shared" si="85"/>
        <v>0</v>
      </c>
      <c r="DP34" s="409">
        <f t="shared" si="85"/>
        <v>0</v>
      </c>
      <c r="DQ34" s="409">
        <f t="shared" si="85"/>
        <v>0</v>
      </c>
      <c r="DR34" s="409">
        <f t="shared" si="85"/>
        <v>0</v>
      </c>
      <c r="DS34" s="409">
        <f t="shared" si="85"/>
        <v>0</v>
      </c>
      <c r="DT34" s="409">
        <f t="shared" si="85"/>
        <v>0</v>
      </c>
      <c r="DU34" s="409">
        <f t="shared" si="85"/>
        <v>0</v>
      </c>
      <c r="DV34" s="409">
        <f t="shared" si="85"/>
        <v>0</v>
      </c>
      <c r="DW34" s="409">
        <f t="shared" si="85"/>
        <v>0</v>
      </c>
      <c r="DX34" s="409">
        <f t="shared" si="85"/>
        <v>0</v>
      </c>
      <c r="DY34" s="409">
        <f t="shared" si="86"/>
        <v>0</v>
      </c>
      <c r="DZ34" s="409">
        <f t="shared" si="86"/>
        <v>0</v>
      </c>
      <c r="EA34" s="409">
        <f t="shared" si="86"/>
        <v>0</v>
      </c>
      <c r="EB34" s="409">
        <f t="shared" si="86"/>
        <v>0</v>
      </c>
      <c r="EC34" s="409">
        <f t="shared" si="86"/>
        <v>0</v>
      </c>
      <c r="ED34" s="409">
        <f t="shared" si="86"/>
        <v>0</v>
      </c>
      <c r="EE34" s="409">
        <f t="shared" si="86"/>
        <v>0</v>
      </c>
      <c r="EF34" s="409">
        <f t="shared" si="86"/>
        <v>0</v>
      </c>
      <c r="EG34" s="409">
        <f t="shared" si="86"/>
        <v>0</v>
      </c>
      <c r="EH34" s="409">
        <f t="shared" si="86"/>
        <v>0</v>
      </c>
      <c r="EI34" s="409">
        <f t="shared" si="87"/>
        <v>0</v>
      </c>
      <c r="EJ34" s="409">
        <f t="shared" si="87"/>
        <v>0</v>
      </c>
      <c r="EK34" s="409">
        <f t="shared" si="87"/>
        <v>0</v>
      </c>
      <c r="EL34" s="409">
        <f t="shared" si="87"/>
        <v>0</v>
      </c>
      <c r="EM34" s="409">
        <f t="shared" si="87"/>
        <v>0</v>
      </c>
      <c r="EN34" s="409">
        <f t="shared" si="87"/>
        <v>0</v>
      </c>
      <c r="EO34" s="409">
        <f t="shared" si="87"/>
        <v>0</v>
      </c>
      <c r="EP34" s="409">
        <f t="shared" si="87"/>
        <v>0</v>
      </c>
      <c r="EQ34" s="409">
        <f t="shared" si="87"/>
        <v>0</v>
      </c>
      <c r="ER34" s="409">
        <f t="shared" si="87"/>
        <v>0</v>
      </c>
      <c r="ES34" s="409">
        <f t="shared" si="88"/>
        <v>0</v>
      </c>
      <c r="ET34" s="409">
        <f t="shared" si="88"/>
        <v>0</v>
      </c>
      <c r="EU34" s="409">
        <f t="shared" si="88"/>
        <v>0</v>
      </c>
      <c r="EV34" s="409">
        <f t="shared" si="88"/>
        <v>0</v>
      </c>
      <c r="EW34" s="409">
        <f t="shared" si="88"/>
        <v>0</v>
      </c>
      <c r="EX34" s="409">
        <f t="shared" si="88"/>
        <v>0</v>
      </c>
      <c r="EY34" s="409">
        <f t="shared" si="88"/>
        <v>0</v>
      </c>
      <c r="EZ34" s="409">
        <f t="shared" si="88"/>
        <v>0</v>
      </c>
      <c r="FA34" s="409">
        <f t="shared" si="88"/>
        <v>0</v>
      </c>
      <c r="FB34" s="409">
        <f t="shared" si="88"/>
        <v>0</v>
      </c>
      <c r="FC34" s="409">
        <f t="shared" si="89"/>
        <v>0</v>
      </c>
      <c r="FD34" s="409">
        <f t="shared" si="89"/>
        <v>0</v>
      </c>
      <c r="FE34" s="409">
        <f t="shared" si="89"/>
        <v>0</v>
      </c>
      <c r="FF34" s="409">
        <f t="shared" si="89"/>
        <v>0</v>
      </c>
      <c r="FG34" s="409">
        <f t="shared" si="89"/>
        <v>0</v>
      </c>
      <c r="FH34" s="409">
        <f t="shared" si="89"/>
        <v>0</v>
      </c>
      <c r="FI34" s="409">
        <f t="shared" si="89"/>
        <v>0</v>
      </c>
      <c r="FJ34" s="409">
        <f t="shared" si="89"/>
        <v>0</v>
      </c>
      <c r="FK34" s="409">
        <f t="shared" si="89"/>
        <v>0</v>
      </c>
      <c r="FL34" s="409">
        <f t="shared" si="89"/>
        <v>0</v>
      </c>
      <c r="FM34" s="409">
        <f t="shared" si="90"/>
        <v>0</v>
      </c>
      <c r="FN34" s="409">
        <f t="shared" si="90"/>
        <v>0</v>
      </c>
      <c r="FO34" s="409">
        <f t="shared" si="90"/>
        <v>0</v>
      </c>
      <c r="FP34" s="409">
        <f t="shared" si="90"/>
        <v>0</v>
      </c>
      <c r="FQ34" s="409">
        <f t="shared" si="90"/>
        <v>0</v>
      </c>
      <c r="FR34" s="409">
        <f t="shared" si="90"/>
        <v>0</v>
      </c>
      <c r="FS34" s="409">
        <f t="shared" si="90"/>
        <v>0</v>
      </c>
      <c r="FT34" s="409">
        <f t="shared" si="90"/>
        <v>0</v>
      </c>
      <c r="FU34" s="409">
        <f t="shared" si="90"/>
        <v>0</v>
      </c>
      <c r="FV34" s="409">
        <f t="shared" si="90"/>
        <v>0</v>
      </c>
      <c r="FW34" s="409">
        <f t="shared" si="91"/>
        <v>0</v>
      </c>
      <c r="FX34" s="409">
        <f t="shared" si="91"/>
        <v>0</v>
      </c>
      <c r="FY34" s="409">
        <f t="shared" si="91"/>
        <v>0</v>
      </c>
      <c r="FZ34" s="409">
        <f t="shared" si="91"/>
        <v>0</v>
      </c>
      <c r="GA34" s="409">
        <f t="shared" si="91"/>
        <v>0</v>
      </c>
      <c r="GB34" s="409">
        <f t="shared" si="91"/>
        <v>0</v>
      </c>
      <c r="GC34" s="409">
        <f t="shared" si="91"/>
        <v>0</v>
      </c>
      <c r="GD34" s="409">
        <f t="shared" si="91"/>
        <v>0</v>
      </c>
      <c r="GE34" s="409">
        <f t="shared" si="91"/>
        <v>0</v>
      </c>
      <c r="GF34" s="409">
        <f t="shared" si="91"/>
        <v>0</v>
      </c>
      <c r="GG34" s="409">
        <f t="shared" si="92"/>
        <v>0</v>
      </c>
      <c r="GH34" s="409">
        <f t="shared" si="92"/>
        <v>0</v>
      </c>
      <c r="GI34" s="409">
        <f t="shared" si="92"/>
        <v>0</v>
      </c>
      <c r="GJ34" s="409">
        <f t="shared" si="92"/>
        <v>0</v>
      </c>
      <c r="GK34" s="409">
        <f t="shared" si="92"/>
        <v>0</v>
      </c>
      <c r="GL34" s="409">
        <f t="shared" si="92"/>
        <v>0</v>
      </c>
      <c r="GM34" s="409">
        <f t="shared" si="92"/>
        <v>0</v>
      </c>
      <c r="GN34" s="409">
        <f t="shared" si="92"/>
        <v>0</v>
      </c>
      <c r="GO34" s="409">
        <f t="shared" si="92"/>
        <v>0</v>
      </c>
      <c r="GP34" s="409">
        <f t="shared" si="92"/>
        <v>0</v>
      </c>
      <c r="GQ34" s="409">
        <f t="shared" si="93"/>
        <v>0</v>
      </c>
      <c r="GR34" s="409">
        <f t="shared" si="93"/>
        <v>0</v>
      </c>
      <c r="GS34" s="409">
        <f t="shared" si="93"/>
        <v>0</v>
      </c>
      <c r="GT34" s="409">
        <f t="shared" si="93"/>
        <v>0</v>
      </c>
      <c r="GU34" s="409">
        <f t="shared" si="93"/>
        <v>0</v>
      </c>
      <c r="GV34" s="409">
        <f t="shared" si="93"/>
        <v>0</v>
      </c>
      <c r="GW34" s="409">
        <f t="shared" si="93"/>
        <v>0</v>
      </c>
      <c r="GX34" s="409">
        <f t="shared" si="93"/>
        <v>0</v>
      </c>
      <c r="GY34" s="409">
        <f t="shared" si="93"/>
        <v>0</v>
      </c>
      <c r="GZ34" s="409">
        <f t="shared" si="93"/>
        <v>0</v>
      </c>
      <c r="HA34" s="409">
        <f t="shared" si="94"/>
        <v>0</v>
      </c>
      <c r="HB34" s="409">
        <f t="shared" si="94"/>
        <v>0</v>
      </c>
      <c r="HC34" s="409">
        <f t="shared" si="94"/>
        <v>0</v>
      </c>
      <c r="HD34" s="409">
        <f t="shared" si="94"/>
        <v>0</v>
      </c>
      <c r="HE34" s="409">
        <f t="shared" si="94"/>
        <v>0</v>
      </c>
      <c r="HF34" s="409">
        <f t="shared" si="94"/>
        <v>0</v>
      </c>
      <c r="HG34" s="409">
        <f t="shared" si="94"/>
        <v>0</v>
      </c>
      <c r="HH34" s="409">
        <f t="shared" si="94"/>
        <v>0</v>
      </c>
      <c r="HI34" s="409">
        <f t="shared" si="94"/>
        <v>0</v>
      </c>
      <c r="HJ34" s="409">
        <f t="shared" si="94"/>
        <v>0</v>
      </c>
      <c r="HK34" s="409">
        <f t="shared" si="95"/>
        <v>0</v>
      </c>
      <c r="HL34" s="409">
        <f t="shared" si="95"/>
        <v>0</v>
      </c>
      <c r="HM34" s="409">
        <f t="shared" si="95"/>
        <v>0</v>
      </c>
      <c r="HN34" s="409">
        <f t="shared" si="95"/>
        <v>0</v>
      </c>
      <c r="HO34" s="409">
        <f t="shared" si="95"/>
        <v>0</v>
      </c>
      <c r="HP34" s="409">
        <f t="shared" si="95"/>
        <v>0</v>
      </c>
      <c r="HQ34" s="409">
        <f t="shared" si="95"/>
        <v>0</v>
      </c>
      <c r="HR34" s="409">
        <f t="shared" si="95"/>
        <v>0</v>
      </c>
      <c r="HS34" s="409">
        <f t="shared" si="95"/>
        <v>0</v>
      </c>
      <c r="HT34" s="409">
        <f t="shared" si="95"/>
        <v>0</v>
      </c>
      <c r="HU34" s="409">
        <f t="shared" si="96"/>
        <v>0</v>
      </c>
      <c r="HV34" s="409">
        <f t="shared" si="96"/>
        <v>0</v>
      </c>
      <c r="HW34" s="409">
        <f t="shared" si="96"/>
        <v>0</v>
      </c>
      <c r="HX34" s="409">
        <f t="shared" si="96"/>
        <v>0</v>
      </c>
      <c r="HY34" s="409">
        <f t="shared" si="96"/>
        <v>0</v>
      </c>
      <c r="HZ34" s="409">
        <f t="shared" si="96"/>
        <v>0</v>
      </c>
      <c r="IA34" s="409">
        <f t="shared" si="96"/>
        <v>0</v>
      </c>
      <c r="IB34" s="409">
        <f t="shared" si="96"/>
        <v>0</v>
      </c>
      <c r="IC34" s="409">
        <f t="shared" si="96"/>
        <v>0</v>
      </c>
      <c r="ID34" s="409">
        <f t="shared" si="96"/>
        <v>0</v>
      </c>
      <c r="IE34" s="409">
        <f t="shared" si="97"/>
        <v>0</v>
      </c>
      <c r="IF34" s="409">
        <f t="shared" si="97"/>
        <v>0</v>
      </c>
      <c r="IG34" s="409">
        <f t="shared" si="97"/>
        <v>0</v>
      </c>
      <c r="IH34" s="409">
        <f t="shared" si="97"/>
        <v>0</v>
      </c>
      <c r="II34" s="409">
        <f t="shared" si="97"/>
        <v>0</v>
      </c>
      <c r="IJ34" s="409">
        <f t="shared" si="97"/>
        <v>0</v>
      </c>
      <c r="IK34" s="378">
        <f t="shared" si="54"/>
        <v>27</v>
      </c>
    </row>
    <row r="35" spans="1:245" hidden="1" x14ac:dyDescent="0.2">
      <c r="A35" s="380" t="str">
        <f t="shared" si="34"/>
        <v>x</v>
      </c>
      <c r="B35" s="712" t="str">
        <f>IF(ISERROR(INDEX('Legend(DX)'!$H$8:$H$9,28)),"",INDEX('Legend(DX)'!$H$8:$H$9,28))</f>
        <v/>
      </c>
      <c r="C35" s="712" t="e">
        <f>IF(INDEX('Legend(DX)'!$T$8:$T$9,28)=0,"See Legend",INDEX('Legend(DX)'!$T$8:$T$9,28))</f>
        <v>#REF!</v>
      </c>
      <c r="D35" s="712" t="e">
        <f>IF(INDEX('Legend(DX)'!$R$8:$R$9,(ROW(C35))-7)=0,IF(AND(INDEX('Legend(DX)'!$D$8:$D$9,(ROW(C35))-6)="CH",INDEX('Legend(DX)'!$F$8:$F$9,(ROW(C35))-6)="CASE - MANUAL"),INDEX('Legend(DX)'!$R$8:$R$9,(ROW(C35))-6),IF(INDEX('Legend(DX)'!$V$8:$V$9,(ROW(C35))-7)&gt;1, "(" &amp; INDEX('Legend(DX)'!$V$8:$V$9,(ROW(C35))-7) &amp; ") " &amp; INDEX('Legend(DX)'!$W$8:$W$9,(ROW(C35))-6),INDEX('Legend(DX)'!$W$8:$W$9,(ROW(C35))-7))),INDEX('Legend(DX)'!$R$8:$R$9,(ROW(C35))-7))</f>
        <v>#REF!</v>
      </c>
      <c r="E35" s="713" t="str" cm="1">
        <f t="array" ref="E35">IF(OR(ISNUMBER(SEARCH("Skid",C35)),ISNUMBER(SEARCH("Subcooler",C35)),ISNUMBER(SEARCH("Pump",C35)),ISNUMBER(SEARCH("PH",C35))),0,IF(ISERROR(INDEX('Legend(DX)'!$AA$8:$AA$9,ROW()-7)),"",INDEX('Legend(DX)'!$AA$8:$AA$9,ROW()-7)))</f>
        <v/>
      </c>
      <c r="F35" s="714"/>
      <c r="G35" s="714"/>
      <c r="H35" s="714"/>
      <c r="I35" s="714"/>
      <c r="J35" s="714"/>
      <c r="K35" s="890">
        <f t="shared" si="35"/>
        <v>0</v>
      </c>
      <c r="L35" s="718"/>
      <c r="M35" s="720"/>
      <c r="N35" s="972">
        <f t="shared" si="7"/>
        <v>-1</v>
      </c>
      <c r="O35" s="972">
        <f t="shared" si="36"/>
        <v>-1</v>
      </c>
      <c r="P35" s="972">
        <f t="shared" si="8"/>
        <v>-1</v>
      </c>
      <c r="Q35" s="972">
        <f t="shared" si="37"/>
        <v>-1</v>
      </c>
      <c r="R35" s="972">
        <f t="shared" si="9"/>
        <v>-1</v>
      </c>
      <c r="S35" s="972">
        <f t="shared" si="38"/>
        <v>-1</v>
      </c>
      <c r="T35" s="972">
        <f t="shared" si="10"/>
        <v>-1</v>
      </c>
      <c r="U35" s="972">
        <f t="shared" si="39"/>
        <v>-1</v>
      </c>
      <c r="V35" s="972">
        <f t="shared" si="11"/>
        <v>-1</v>
      </c>
      <c r="W35" s="972">
        <f t="shared" si="40"/>
        <v>-1</v>
      </c>
      <c r="X35" s="972">
        <f t="shared" si="12"/>
        <v>-1</v>
      </c>
      <c r="Y35" s="972">
        <f t="shared" si="41"/>
        <v>-1</v>
      </c>
      <c r="Z35" s="972">
        <f t="shared" si="42"/>
        <v>-1</v>
      </c>
      <c r="AA35" s="972">
        <f t="shared" si="43"/>
        <v>-1</v>
      </c>
      <c r="AB35" s="972">
        <f t="shared" si="44"/>
        <v>-1</v>
      </c>
      <c r="AC35" s="972">
        <f t="shared" si="45"/>
        <v>-1</v>
      </c>
      <c r="AD35" s="972">
        <f t="shared" si="46"/>
        <v>-1</v>
      </c>
      <c r="AE35" s="972">
        <f t="shared" si="47"/>
        <v>-1</v>
      </c>
      <c r="AF35" s="972">
        <f t="shared" si="48"/>
        <v>-1</v>
      </c>
      <c r="AG35" s="972">
        <f t="shared" si="49"/>
        <v>-1</v>
      </c>
      <c r="AH35" s="972">
        <f t="shared" si="50"/>
        <v>-1</v>
      </c>
      <c r="AI35" s="972">
        <f t="shared" si="51"/>
        <v>-1</v>
      </c>
      <c r="AJ35" s="972">
        <f t="shared" si="52"/>
        <v>-1</v>
      </c>
      <c r="AK35" s="381" t="str">
        <f>IF(ISERROR(INDEX('Legend(DX)'!$AI$8:$AI$9,IK35)),"",INDEX('Legend(DX)'!$AI$8:$AI$9,IK35))</f>
        <v/>
      </c>
      <c r="AL35" s="727" t="str">
        <f t="shared" si="53"/>
        <v/>
      </c>
      <c r="AM35" s="409">
        <f t="shared" si="77"/>
        <v>0</v>
      </c>
      <c r="AN35" s="409">
        <f t="shared" si="77"/>
        <v>0</v>
      </c>
      <c r="AO35" s="409">
        <f t="shared" si="77"/>
        <v>0</v>
      </c>
      <c r="AP35" s="409">
        <f t="shared" si="77"/>
        <v>0</v>
      </c>
      <c r="AQ35" s="409">
        <f t="shared" si="77"/>
        <v>0</v>
      </c>
      <c r="AR35" s="409">
        <f t="shared" si="77"/>
        <v>0</v>
      </c>
      <c r="AS35" s="409">
        <f t="shared" si="77"/>
        <v>0</v>
      </c>
      <c r="AT35" s="409">
        <f t="shared" si="77"/>
        <v>0</v>
      </c>
      <c r="AU35" s="409">
        <f t="shared" si="77"/>
        <v>0</v>
      </c>
      <c r="AV35" s="409">
        <f t="shared" si="77"/>
        <v>0</v>
      </c>
      <c r="AW35" s="409">
        <f t="shared" si="78"/>
        <v>0</v>
      </c>
      <c r="AX35" s="409">
        <f t="shared" si="78"/>
        <v>0</v>
      </c>
      <c r="AY35" s="409">
        <f t="shared" si="78"/>
        <v>0</v>
      </c>
      <c r="AZ35" s="409">
        <f t="shared" si="78"/>
        <v>0</v>
      </c>
      <c r="BA35" s="409">
        <f t="shared" si="78"/>
        <v>0</v>
      </c>
      <c r="BB35" s="409">
        <f t="shared" si="78"/>
        <v>0</v>
      </c>
      <c r="BC35" s="409">
        <f t="shared" si="78"/>
        <v>0</v>
      </c>
      <c r="BD35" s="409">
        <f t="shared" si="78"/>
        <v>0</v>
      </c>
      <c r="BE35" s="409">
        <f t="shared" si="78"/>
        <v>0</v>
      </c>
      <c r="BF35" s="409">
        <f t="shared" si="78"/>
        <v>0</v>
      </c>
      <c r="BG35" s="409">
        <f t="shared" si="79"/>
        <v>0</v>
      </c>
      <c r="BH35" s="409">
        <f t="shared" si="79"/>
        <v>0</v>
      </c>
      <c r="BI35" s="409">
        <f t="shared" si="79"/>
        <v>0</v>
      </c>
      <c r="BJ35" s="409">
        <f t="shared" si="79"/>
        <v>0</v>
      </c>
      <c r="BK35" s="409">
        <f t="shared" si="79"/>
        <v>0</v>
      </c>
      <c r="BL35" s="409">
        <f t="shared" si="79"/>
        <v>0</v>
      </c>
      <c r="BM35" s="409">
        <f t="shared" si="79"/>
        <v>0</v>
      </c>
      <c r="BN35" s="409">
        <f t="shared" si="79"/>
        <v>0</v>
      </c>
      <c r="BO35" s="409">
        <f t="shared" si="79"/>
        <v>0</v>
      </c>
      <c r="BP35" s="409">
        <f t="shared" si="79"/>
        <v>0</v>
      </c>
      <c r="BQ35" s="409">
        <f t="shared" si="80"/>
        <v>0</v>
      </c>
      <c r="BR35" s="409">
        <f t="shared" si="80"/>
        <v>0</v>
      </c>
      <c r="BS35" s="409">
        <f t="shared" si="80"/>
        <v>0</v>
      </c>
      <c r="BT35" s="409">
        <f t="shared" si="80"/>
        <v>0</v>
      </c>
      <c r="BU35" s="409">
        <f t="shared" si="80"/>
        <v>0</v>
      </c>
      <c r="BV35" s="409">
        <f t="shared" si="80"/>
        <v>0</v>
      </c>
      <c r="BW35" s="409">
        <f t="shared" si="80"/>
        <v>0</v>
      </c>
      <c r="BX35" s="409">
        <f t="shared" si="80"/>
        <v>0</v>
      </c>
      <c r="BY35" s="409">
        <f t="shared" si="80"/>
        <v>0</v>
      </c>
      <c r="BZ35" s="409">
        <f t="shared" si="80"/>
        <v>0</v>
      </c>
      <c r="CA35" s="409">
        <f t="shared" si="81"/>
        <v>0</v>
      </c>
      <c r="CB35" s="409">
        <f t="shared" si="81"/>
        <v>0</v>
      </c>
      <c r="CC35" s="409">
        <f t="shared" si="81"/>
        <v>0</v>
      </c>
      <c r="CD35" s="409">
        <f t="shared" si="81"/>
        <v>0</v>
      </c>
      <c r="CE35" s="409">
        <f t="shared" si="81"/>
        <v>0</v>
      </c>
      <c r="CF35" s="409">
        <f t="shared" si="81"/>
        <v>0</v>
      </c>
      <c r="CG35" s="409">
        <f t="shared" si="81"/>
        <v>0</v>
      </c>
      <c r="CH35" s="409">
        <f t="shared" si="81"/>
        <v>0</v>
      </c>
      <c r="CI35" s="409">
        <f t="shared" si="81"/>
        <v>0</v>
      </c>
      <c r="CJ35" s="409">
        <f t="shared" si="81"/>
        <v>0</v>
      </c>
      <c r="CK35" s="409">
        <f t="shared" si="82"/>
        <v>0</v>
      </c>
      <c r="CL35" s="409">
        <f t="shared" si="82"/>
        <v>0</v>
      </c>
      <c r="CM35" s="409">
        <f t="shared" si="82"/>
        <v>0</v>
      </c>
      <c r="CN35" s="409">
        <f t="shared" si="82"/>
        <v>0</v>
      </c>
      <c r="CO35" s="409">
        <f t="shared" si="82"/>
        <v>0</v>
      </c>
      <c r="CP35" s="409">
        <f t="shared" si="82"/>
        <v>0</v>
      </c>
      <c r="CQ35" s="409">
        <f t="shared" si="82"/>
        <v>0</v>
      </c>
      <c r="CR35" s="409">
        <f t="shared" si="82"/>
        <v>0</v>
      </c>
      <c r="CS35" s="409">
        <f t="shared" si="82"/>
        <v>0</v>
      </c>
      <c r="CT35" s="409">
        <f t="shared" si="82"/>
        <v>0</v>
      </c>
      <c r="CU35" s="409">
        <f t="shared" si="83"/>
        <v>0</v>
      </c>
      <c r="CV35" s="409">
        <f t="shared" si="83"/>
        <v>0</v>
      </c>
      <c r="CW35" s="409">
        <f t="shared" si="83"/>
        <v>0</v>
      </c>
      <c r="CX35" s="409">
        <f t="shared" si="83"/>
        <v>0</v>
      </c>
      <c r="CY35" s="409">
        <f t="shared" si="83"/>
        <v>0</v>
      </c>
      <c r="CZ35" s="409">
        <f t="shared" si="83"/>
        <v>0</v>
      </c>
      <c r="DA35" s="409">
        <f t="shared" si="83"/>
        <v>0</v>
      </c>
      <c r="DB35" s="409">
        <f t="shared" si="83"/>
        <v>0</v>
      </c>
      <c r="DC35" s="409">
        <f t="shared" si="83"/>
        <v>0</v>
      </c>
      <c r="DD35" s="409">
        <f t="shared" si="83"/>
        <v>0</v>
      </c>
      <c r="DE35" s="409">
        <f t="shared" si="84"/>
        <v>0</v>
      </c>
      <c r="DF35" s="409">
        <f t="shared" si="84"/>
        <v>0</v>
      </c>
      <c r="DG35" s="409">
        <f t="shared" si="84"/>
        <v>0</v>
      </c>
      <c r="DH35" s="409">
        <f t="shared" si="84"/>
        <v>0</v>
      </c>
      <c r="DI35" s="409">
        <f t="shared" si="84"/>
        <v>0</v>
      </c>
      <c r="DJ35" s="409">
        <f t="shared" si="84"/>
        <v>0</v>
      </c>
      <c r="DK35" s="409">
        <f t="shared" si="84"/>
        <v>0</v>
      </c>
      <c r="DL35" s="409">
        <f t="shared" si="84"/>
        <v>0</v>
      </c>
      <c r="DM35" s="409">
        <f t="shared" si="84"/>
        <v>0</v>
      </c>
      <c r="DN35" s="409">
        <f t="shared" si="84"/>
        <v>0</v>
      </c>
      <c r="DO35" s="409">
        <f t="shared" si="85"/>
        <v>0</v>
      </c>
      <c r="DP35" s="409">
        <f t="shared" si="85"/>
        <v>0</v>
      </c>
      <c r="DQ35" s="409">
        <f t="shared" si="85"/>
        <v>0</v>
      </c>
      <c r="DR35" s="409">
        <f t="shared" si="85"/>
        <v>0</v>
      </c>
      <c r="DS35" s="409">
        <f t="shared" si="85"/>
        <v>0</v>
      </c>
      <c r="DT35" s="409">
        <f t="shared" si="85"/>
        <v>0</v>
      </c>
      <c r="DU35" s="409">
        <f t="shared" si="85"/>
        <v>0</v>
      </c>
      <c r="DV35" s="409">
        <f t="shared" si="85"/>
        <v>0</v>
      </c>
      <c r="DW35" s="409">
        <f t="shared" si="85"/>
        <v>0</v>
      </c>
      <c r="DX35" s="409">
        <f t="shared" si="85"/>
        <v>0</v>
      </c>
      <c r="DY35" s="409">
        <f t="shared" si="86"/>
        <v>0</v>
      </c>
      <c r="DZ35" s="409">
        <f t="shared" si="86"/>
        <v>0</v>
      </c>
      <c r="EA35" s="409">
        <f t="shared" si="86"/>
        <v>0</v>
      </c>
      <c r="EB35" s="409">
        <f t="shared" si="86"/>
        <v>0</v>
      </c>
      <c r="EC35" s="409">
        <f t="shared" si="86"/>
        <v>0</v>
      </c>
      <c r="ED35" s="409">
        <f t="shared" si="86"/>
        <v>0</v>
      </c>
      <c r="EE35" s="409">
        <f t="shared" si="86"/>
        <v>0</v>
      </c>
      <c r="EF35" s="409">
        <f t="shared" si="86"/>
        <v>0</v>
      </c>
      <c r="EG35" s="409">
        <f t="shared" si="86"/>
        <v>0</v>
      </c>
      <c r="EH35" s="409">
        <f t="shared" si="86"/>
        <v>0</v>
      </c>
      <c r="EI35" s="409">
        <f t="shared" si="87"/>
        <v>0</v>
      </c>
      <c r="EJ35" s="409">
        <f t="shared" si="87"/>
        <v>0</v>
      </c>
      <c r="EK35" s="409">
        <f t="shared" si="87"/>
        <v>0</v>
      </c>
      <c r="EL35" s="409">
        <f t="shared" si="87"/>
        <v>0</v>
      </c>
      <c r="EM35" s="409">
        <f t="shared" si="87"/>
        <v>0</v>
      </c>
      <c r="EN35" s="409">
        <f t="shared" si="87"/>
        <v>0</v>
      </c>
      <c r="EO35" s="409">
        <f t="shared" si="87"/>
        <v>0</v>
      </c>
      <c r="EP35" s="409">
        <f t="shared" si="87"/>
        <v>0</v>
      </c>
      <c r="EQ35" s="409">
        <f t="shared" si="87"/>
        <v>0</v>
      </c>
      <c r="ER35" s="409">
        <f t="shared" si="87"/>
        <v>0</v>
      </c>
      <c r="ES35" s="409">
        <f t="shared" si="88"/>
        <v>0</v>
      </c>
      <c r="ET35" s="409">
        <f t="shared" si="88"/>
        <v>0</v>
      </c>
      <c r="EU35" s="409">
        <f t="shared" si="88"/>
        <v>0</v>
      </c>
      <c r="EV35" s="409">
        <f t="shared" si="88"/>
        <v>0</v>
      </c>
      <c r="EW35" s="409">
        <f t="shared" si="88"/>
        <v>0</v>
      </c>
      <c r="EX35" s="409">
        <f t="shared" si="88"/>
        <v>0</v>
      </c>
      <c r="EY35" s="409">
        <f t="shared" si="88"/>
        <v>0</v>
      </c>
      <c r="EZ35" s="409">
        <f t="shared" si="88"/>
        <v>0</v>
      </c>
      <c r="FA35" s="409">
        <f t="shared" si="88"/>
        <v>0</v>
      </c>
      <c r="FB35" s="409">
        <f t="shared" si="88"/>
        <v>0</v>
      </c>
      <c r="FC35" s="409">
        <f t="shared" si="89"/>
        <v>0</v>
      </c>
      <c r="FD35" s="409">
        <f t="shared" si="89"/>
        <v>0</v>
      </c>
      <c r="FE35" s="409">
        <f t="shared" si="89"/>
        <v>0</v>
      </c>
      <c r="FF35" s="409">
        <f t="shared" si="89"/>
        <v>0</v>
      </c>
      <c r="FG35" s="409">
        <f t="shared" si="89"/>
        <v>0</v>
      </c>
      <c r="FH35" s="409">
        <f t="shared" si="89"/>
        <v>0</v>
      </c>
      <c r="FI35" s="409">
        <f t="shared" si="89"/>
        <v>0</v>
      </c>
      <c r="FJ35" s="409">
        <f t="shared" si="89"/>
        <v>0</v>
      </c>
      <c r="FK35" s="409">
        <f t="shared" si="89"/>
        <v>0</v>
      </c>
      <c r="FL35" s="409">
        <f t="shared" si="89"/>
        <v>0</v>
      </c>
      <c r="FM35" s="409">
        <f t="shared" si="90"/>
        <v>0</v>
      </c>
      <c r="FN35" s="409">
        <f t="shared" si="90"/>
        <v>0</v>
      </c>
      <c r="FO35" s="409">
        <f t="shared" si="90"/>
        <v>0</v>
      </c>
      <c r="FP35" s="409">
        <f t="shared" si="90"/>
        <v>0</v>
      </c>
      <c r="FQ35" s="409">
        <f t="shared" si="90"/>
        <v>0</v>
      </c>
      <c r="FR35" s="409">
        <f t="shared" si="90"/>
        <v>0</v>
      </c>
      <c r="FS35" s="409">
        <f t="shared" si="90"/>
        <v>0</v>
      </c>
      <c r="FT35" s="409">
        <f t="shared" si="90"/>
        <v>0</v>
      </c>
      <c r="FU35" s="409">
        <f t="shared" si="90"/>
        <v>0</v>
      </c>
      <c r="FV35" s="409">
        <f t="shared" si="90"/>
        <v>0</v>
      </c>
      <c r="FW35" s="409">
        <f t="shared" si="91"/>
        <v>0</v>
      </c>
      <c r="FX35" s="409">
        <f t="shared" si="91"/>
        <v>0</v>
      </c>
      <c r="FY35" s="409">
        <f t="shared" si="91"/>
        <v>0</v>
      </c>
      <c r="FZ35" s="409">
        <f t="shared" si="91"/>
        <v>0</v>
      </c>
      <c r="GA35" s="409">
        <f t="shared" si="91"/>
        <v>0</v>
      </c>
      <c r="GB35" s="409">
        <f t="shared" si="91"/>
        <v>0</v>
      </c>
      <c r="GC35" s="409">
        <f t="shared" si="91"/>
        <v>0</v>
      </c>
      <c r="GD35" s="409">
        <f t="shared" si="91"/>
        <v>0</v>
      </c>
      <c r="GE35" s="409">
        <f t="shared" si="91"/>
        <v>0</v>
      </c>
      <c r="GF35" s="409">
        <f t="shared" si="91"/>
        <v>0</v>
      </c>
      <c r="GG35" s="409">
        <f t="shared" si="92"/>
        <v>0</v>
      </c>
      <c r="GH35" s="409">
        <f t="shared" si="92"/>
        <v>0</v>
      </c>
      <c r="GI35" s="409">
        <f t="shared" si="92"/>
        <v>0</v>
      </c>
      <c r="GJ35" s="409">
        <f t="shared" si="92"/>
        <v>0</v>
      </c>
      <c r="GK35" s="409">
        <f t="shared" si="92"/>
        <v>0</v>
      </c>
      <c r="GL35" s="409">
        <f t="shared" si="92"/>
        <v>0</v>
      </c>
      <c r="GM35" s="409">
        <f t="shared" si="92"/>
        <v>0</v>
      </c>
      <c r="GN35" s="409">
        <f t="shared" si="92"/>
        <v>0</v>
      </c>
      <c r="GO35" s="409">
        <f t="shared" si="92"/>
        <v>0</v>
      </c>
      <c r="GP35" s="409">
        <f t="shared" si="92"/>
        <v>0</v>
      </c>
      <c r="GQ35" s="409">
        <f t="shared" si="93"/>
        <v>0</v>
      </c>
      <c r="GR35" s="409">
        <f t="shared" si="93"/>
        <v>0</v>
      </c>
      <c r="GS35" s="409">
        <f t="shared" si="93"/>
        <v>0</v>
      </c>
      <c r="GT35" s="409">
        <f t="shared" si="93"/>
        <v>0</v>
      </c>
      <c r="GU35" s="409">
        <f t="shared" si="93"/>
        <v>0</v>
      </c>
      <c r="GV35" s="409">
        <f t="shared" si="93"/>
        <v>0</v>
      </c>
      <c r="GW35" s="409">
        <f t="shared" si="93"/>
        <v>0</v>
      </c>
      <c r="GX35" s="409">
        <f t="shared" si="93"/>
        <v>0</v>
      </c>
      <c r="GY35" s="409">
        <f t="shared" si="93"/>
        <v>0</v>
      </c>
      <c r="GZ35" s="409">
        <f t="shared" si="93"/>
        <v>0</v>
      </c>
      <c r="HA35" s="409">
        <f t="shared" si="94"/>
        <v>0</v>
      </c>
      <c r="HB35" s="409">
        <f t="shared" si="94"/>
        <v>0</v>
      </c>
      <c r="HC35" s="409">
        <f t="shared" si="94"/>
        <v>0</v>
      </c>
      <c r="HD35" s="409">
        <f t="shared" si="94"/>
        <v>0</v>
      </c>
      <c r="HE35" s="409">
        <f t="shared" si="94"/>
        <v>0</v>
      </c>
      <c r="HF35" s="409">
        <f t="shared" si="94"/>
        <v>0</v>
      </c>
      <c r="HG35" s="409">
        <f t="shared" si="94"/>
        <v>0</v>
      </c>
      <c r="HH35" s="409">
        <f t="shared" si="94"/>
        <v>0</v>
      </c>
      <c r="HI35" s="409">
        <f t="shared" si="94"/>
        <v>0</v>
      </c>
      <c r="HJ35" s="409">
        <f t="shared" si="94"/>
        <v>0</v>
      </c>
      <c r="HK35" s="409">
        <f t="shared" si="95"/>
        <v>0</v>
      </c>
      <c r="HL35" s="409">
        <f t="shared" si="95"/>
        <v>0</v>
      </c>
      <c r="HM35" s="409">
        <f t="shared" si="95"/>
        <v>0</v>
      </c>
      <c r="HN35" s="409">
        <f t="shared" si="95"/>
        <v>0</v>
      </c>
      <c r="HO35" s="409">
        <f t="shared" si="95"/>
        <v>0</v>
      </c>
      <c r="HP35" s="409">
        <f t="shared" si="95"/>
        <v>0</v>
      </c>
      <c r="HQ35" s="409">
        <f t="shared" si="95"/>
        <v>0</v>
      </c>
      <c r="HR35" s="409">
        <f t="shared" si="95"/>
        <v>0</v>
      </c>
      <c r="HS35" s="409">
        <f t="shared" si="95"/>
        <v>0</v>
      </c>
      <c r="HT35" s="409">
        <f t="shared" si="95"/>
        <v>0</v>
      </c>
      <c r="HU35" s="409">
        <f t="shared" si="96"/>
        <v>0</v>
      </c>
      <c r="HV35" s="409">
        <f t="shared" si="96"/>
        <v>0</v>
      </c>
      <c r="HW35" s="409">
        <f t="shared" si="96"/>
        <v>0</v>
      </c>
      <c r="HX35" s="409">
        <f t="shared" si="96"/>
        <v>0</v>
      </c>
      <c r="HY35" s="409">
        <f t="shared" si="96"/>
        <v>0</v>
      </c>
      <c r="HZ35" s="409">
        <f t="shared" si="96"/>
        <v>0</v>
      </c>
      <c r="IA35" s="409">
        <f t="shared" si="96"/>
        <v>0</v>
      </c>
      <c r="IB35" s="409">
        <f t="shared" si="96"/>
        <v>0</v>
      </c>
      <c r="IC35" s="409">
        <f t="shared" si="96"/>
        <v>0</v>
      </c>
      <c r="ID35" s="409">
        <f t="shared" si="96"/>
        <v>0</v>
      </c>
      <c r="IE35" s="409">
        <f t="shared" si="97"/>
        <v>0</v>
      </c>
      <c r="IF35" s="409">
        <f t="shared" si="97"/>
        <v>0</v>
      </c>
      <c r="IG35" s="409">
        <f t="shared" si="97"/>
        <v>0</v>
      </c>
      <c r="IH35" s="409">
        <f t="shared" si="97"/>
        <v>0</v>
      </c>
      <c r="II35" s="409">
        <f t="shared" si="97"/>
        <v>0</v>
      </c>
      <c r="IJ35" s="409">
        <f t="shared" si="97"/>
        <v>0</v>
      </c>
      <c r="IK35" s="378">
        <f t="shared" si="54"/>
        <v>28</v>
      </c>
    </row>
    <row r="36" spans="1:245" hidden="1" x14ac:dyDescent="0.2">
      <c r="A36" s="380" t="str">
        <f t="shared" si="34"/>
        <v>x</v>
      </c>
      <c r="B36" s="712" t="str">
        <f>IF(ISERROR(INDEX('Legend(DX)'!$H$8:$H$9,29)),"",INDEX('Legend(DX)'!$H$8:$H$9,29))</f>
        <v/>
      </c>
      <c r="C36" s="712" t="e">
        <f>IF(INDEX('Legend(DX)'!$T$8:$T$9,29)=0,"See Legend",INDEX('Legend(DX)'!$T$8:$T$9,29))</f>
        <v>#REF!</v>
      </c>
      <c r="D36" s="712" t="e">
        <f>IF(INDEX('Legend(DX)'!$R$8:$R$9,(ROW(C36))-7)=0,IF(AND(INDEX('Legend(DX)'!$D$8:$D$9,(ROW(C36))-6)="CH",INDEX('Legend(DX)'!$F$8:$F$9,(ROW(C36))-6)="CASE - MANUAL"),INDEX('Legend(DX)'!$R$8:$R$9,(ROW(C36))-6),IF(INDEX('Legend(DX)'!$V$8:$V$9,(ROW(C36))-7)&gt;1, "(" &amp; INDEX('Legend(DX)'!$V$8:$V$9,(ROW(C36))-7) &amp; ") " &amp; INDEX('Legend(DX)'!$W$8:$W$9,(ROW(C36))-6),INDEX('Legend(DX)'!$W$8:$W$9,(ROW(C36))-7))),INDEX('Legend(DX)'!$R$8:$R$9,(ROW(C36))-7))</f>
        <v>#REF!</v>
      </c>
      <c r="E36" s="713" t="str" cm="1">
        <f t="array" ref="E36">IF(OR(ISNUMBER(SEARCH("Skid",C36)),ISNUMBER(SEARCH("Subcooler",C36)),ISNUMBER(SEARCH("Pump",C36)),ISNUMBER(SEARCH("PH",C36))),0,IF(ISERROR(INDEX('Legend(DX)'!$AA$8:$AA$9,ROW()-7)),"",INDEX('Legend(DX)'!$AA$8:$AA$9,ROW()-7)))</f>
        <v/>
      </c>
      <c r="F36" s="714"/>
      <c r="G36" s="714"/>
      <c r="H36" s="714"/>
      <c r="I36" s="714"/>
      <c r="J36" s="714"/>
      <c r="K36" s="890">
        <f t="shared" si="35"/>
        <v>0</v>
      </c>
      <c r="L36" s="718"/>
      <c r="M36" s="719"/>
      <c r="N36" s="972">
        <f t="shared" si="7"/>
        <v>-1</v>
      </c>
      <c r="O36" s="972">
        <f t="shared" si="36"/>
        <v>-1</v>
      </c>
      <c r="P36" s="972">
        <f t="shared" si="8"/>
        <v>-1</v>
      </c>
      <c r="Q36" s="972">
        <f t="shared" si="37"/>
        <v>-1</v>
      </c>
      <c r="R36" s="972">
        <f t="shared" si="9"/>
        <v>-1</v>
      </c>
      <c r="S36" s="972">
        <f t="shared" si="38"/>
        <v>-1</v>
      </c>
      <c r="T36" s="972">
        <f t="shared" si="10"/>
        <v>-1</v>
      </c>
      <c r="U36" s="972">
        <f t="shared" si="39"/>
        <v>-1</v>
      </c>
      <c r="V36" s="972">
        <f t="shared" si="11"/>
        <v>-1</v>
      </c>
      <c r="W36" s="972">
        <f t="shared" si="40"/>
        <v>-1</v>
      </c>
      <c r="X36" s="972">
        <f t="shared" si="12"/>
        <v>-1</v>
      </c>
      <c r="Y36" s="972">
        <f t="shared" si="41"/>
        <v>-1</v>
      </c>
      <c r="Z36" s="972">
        <f t="shared" si="42"/>
        <v>-1</v>
      </c>
      <c r="AA36" s="972">
        <f t="shared" si="43"/>
        <v>-1</v>
      </c>
      <c r="AB36" s="972">
        <f t="shared" si="44"/>
        <v>-1</v>
      </c>
      <c r="AC36" s="972">
        <f t="shared" si="45"/>
        <v>-1</v>
      </c>
      <c r="AD36" s="972">
        <f t="shared" si="46"/>
        <v>-1</v>
      </c>
      <c r="AE36" s="972">
        <f t="shared" si="47"/>
        <v>-1</v>
      </c>
      <c r="AF36" s="972">
        <f t="shared" si="48"/>
        <v>-1</v>
      </c>
      <c r="AG36" s="972">
        <f t="shared" si="49"/>
        <v>-1</v>
      </c>
      <c r="AH36" s="972">
        <f t="shared" si="50"/>
        <v>-1</v>
      </c>
      <c r="AI36" s="972">
        <f t="shared" si="51"/>
        <v>-1</v>
      </c>
      <c r="AJ36" s="972">
        <f t="shared" si="52"/>
        <v>-1</v>
      </c>
      <c r="AK36" s="381" t="str">
        <f>IF(ISERROR(INDEX('Legend(DX)'!$AI$8:$AI$9,IK36)),"",INDEX('Legend(DX)'!$AI$8:$AI$9,IK36))</f>
        <v/>
      </c>
      <c r="AL36" s="727" t="str">
        <f t="shared" si="53"/>
        <v/>
      </c>
      <c r="AM36" s="409">
        <f t="shared" si="77"/>
        <v>0</v>
      </c>
      <c r="AN36" s="409">
        <f t="shared" si="77"/>
        <v>0</v>
      </c>
      <c r="AO36" s="409">
        <f t="shared" si="77"/>
        <v>0</v>
      </c>
      <c r="AP36" s="409">
        <f t="shared" si="77"/>
        <v>0</v>
      </c>
      <c r="AQ36" s="409">
        <f t="shared" si="77"/>
        <v>0</v>
      </c>
      <c r="AR36" s="409">
        <f t="shared" si="77"/>
        <v>0</v>
      </c>
      <c r="AS36" s="409">
        <f t="shared" si="77"/>
        <v>0</v>
      </c>
      <c r="AT36" s="409">
        <f t="shared" si="77"/>
        <v>0</v>
      </c>
      <c r="AU36" s="409">
        <f t="shared" si="77"/>
        <v>0</v>
      </c>
      <c r="AV36" s="409">
        <f t="shared" si="77"/>
        <v>0</v>
      </c>
      <c r="AW36" s="409">
        <f t="shared" si="78"/>
        <v>0</v>
      </c>
      <c r="AX36" s="409">
        <f t="shared" si="78"/>
        <v>0</v>
      </c>
      <c r="AY36" s="409">
        <f t="shared" si="78"/>
        <v>0</v>
      </c>
      <c r="AZ36" s="409">
        <f t="shared" si="78"/>
        <v>0</v>
      </c>
      <c r="BA36" s="409">
        <f t="shared" si="78"/>
        <v>0</v>
      </c>
      <c r="BB36" s="409">
        <f t="shared" si="78"/>
        <v>0</v>
      </c>
      <c r="BC36" s="409">
        <f t="shared" si="78"/>
        <v>0</v>
      </c>
      <c r="BD36" s="409">
        <f t="shared" si="78"/>
        <v>0</v>
      </c>
      <c r="BE36" s="409">
        <f t="shared" si="78"/>
        <v>0</v>
      </c>
      <c r="BF36" s="409">
        <f t="shared" si="78"/>
        <v>0</v>
      </c>
      <c r="BG36" s="409">
        <f t="shared" si="79"/>
        <v>0</v>
      </c>
      <c r="BH36" s="409">
        <f t="shared" si="79"/>
        <v>0</v>
      </c>
      <c r="BI36" s="409">
        <f t="shared" si="79"/>
        <v>0</v>
      </c>
      <c r="BJ36" s="409">
        <f t="shared" si="79"/>
        <v>0</v>
      </c>
      <c r="BK36" s="409">
        <f t="shared" si="79"/>
        <v>0</v>
      </c>
      <c r="BL36" s="409">
        <f t="shared" si="79"/>
        <v>0</v>
      </c>
      <c r="BM36" s="409">
        <f t="shared" si="79"/>
        <v>0</v>
      </c>
      <c r="BN36" s="409">
        <f t="shared" si="79"/>
        <v>0</v>
      </c>
      <c r="BO36" s="409">
        <f t="shared" si="79"/>
        <v>0</v>
      </c>
      <c r="BP36" s="409">
        <f t="shared" si="79"/>
        <v>0</v>
      </c>
      <c r="BQ36" s="409">
        <f t="shared" si="80"/>
        <v>0</v>
      </c>
      <c r="BR36" s="409">
        <f t="shared" si="80"/>
        <v>0</v>
      </c>
      <c r="BS36" s="409">
        <f t="shared" si="80"/>
        <v>0</v>
      </c>
      <c r="BT36" s="409">
        <f t="shared" si="80"/>
        <v>0</v>
      </c>
      <c r="BU36" s="409">
        <f t="shared" si="80"/>
        <v>0</v>
      </c>
      <c r="BV36" s="409">
        <f t="shared" si="80"/>
        <v>0</v>
      </c>
      <c r="BW36" s="409">
        <f t="shared" si="80"/>
        <v>0</v>
      </c>
      <c r="BX36" s="409">
        <f t="shared" si="80"/>
        <v>0</v>
      </c>
      <c r="BY36" s="409">
        <f t="shared" si="80"/>
        <v>0</v>
      </c>
      <c r="BZ36" s="409">
        <f t="shared" si="80"/>
        <v>0</v>
      </c>
      <c r="CA36" s="409">
        <f t="shared" si="81"/>
        <v>0</v>
      </c>
      <c r="CB36" s="409">
        <f t="shared" si="81"/>
        <v>0</v>
      </c>
      <c r="CC36" s="409">
        <f t="shared" si="81"/>
        <v>0</v>
      </c>
      <c r="CD36" s="409">
        <f t="shared" si="81"/>
        <v>0</v>
      </c>
      <c r="CE36" s="409">
        <f t="shared" si="81"/>
        <v>0</v>
      </c>
      <c r="CF36" s="409">
        <f t="shared" si="81"/>
        <v>0</v>
      </c>
      <c r="CG36" s="409">
        <f t="shared" si="81"/>
        <v>0</v>
      </c>
      <c r="CH36" s="409">
        <f t="shared" si="81"/>
        <v>0</v>
      </c>
      <c r="CI36" s="409">
        <f t="shared" si="81"/>
        <v>0</v>
      </c>
      <c r="CJ36" s="409">
        <f t="shared" si="81"/>
        <v>0</v>
      </c>
      <c r="CK36" s="409">
        <f t="shared" si="82"/>
        <v>0</v>
      </c>
      <c r="CL36" s="409">
        <f t="shared" si="82"/>
        <v>0</v>
      </c>
      <c r="CM36" s="409">
        <f t="shared" si="82"/>
        <v>0</v>
      </c>
      <c r="CN36" s="409">
        <f t="shared" si="82"/>
        <v>0</v>
      </c>
      <c r="CO36" s="409">
        <f t="shared" si="82"/>
        <v>0</v>
      </c>
      <c r="CP36" s="409">
        <f t="shared" si="82"/>
        <v>0</v>
      </c>
      <c r="CQ36" s="409">
        <f t="shared" si="82"/>
        <v>0</v>
      </c>
      <c r="CR36" s="409">
        <f t="shared" si="82"/>
        <v>0</v>
      </c>
      <c r="CS36" s="409">
        <f t="shared" si="82"/>
        <v>0</v>
      </c>
      <c r="CT36" s="409">
        <f t="shared" si="82"/>
        <v>0</v>
      </c>
      <c r="CU36" s="409">
        <f t="shared" si="83"/>
        <v>0</v>
      </c>
      <c r="CV36" s="409">
        <f t="shared" si="83"/>
        <v>0</v>
      </c>
      <c r="CW36" s="409">
        <f t="shared" si="83"/>
        <v>0</v>
      </c>
      <c r="CX36" s="409">
        <f t="shared" si="83"/>
        <v>0</v>
      </c>
      <c r="CY36" s="409">
        <f t="shared" si="83"/>
        <v>0</v>
      </c>
      <c r="CZ36" s="409">
        <f t="shared" si="83"/>
        <v>0</v>
      </c>
      <c r="DA36" s="409">
        <f t="shared" si="83"/>
        <v>0</v>
      </c>
      <c r="DB36" s="409">
        <f t="shared" si="83"/>
        <v>0</v>
      </c>
      <c r="DC36" s="409">
        <f t="shared" si="83"/>
        <v>0</v>
      </c>
      <c r="DD36" s="409">
        <f t="shared" si="83"/>
        <v>0</v>
      </c>
      <c r="DE36" s="409">
        <f t="shared" si="84"/>
        <v>0</v>
      </c>
      <c r="DF36" s="409">
        <f t="shared" si="84"/>
        <v>0</v>
      </c>
      <c r="DG36" s="409">
        <f t="shared" si="84"/>
        <v>0</v>
      </c>
      <c r="DH36" s="409">
        <f t="shared" si="84"/>
        <v>0</v>
      </c>
      <c r="DI36" s="409">
        <f t="shared" si="84"/>
        <v>0</v>
      </c>
      <c r="DJ36" s="409">
        <f t="shared" si="84"/>
        <v>0</v>
      </c>
      <c r="DK36" s="409">
        <f t="shared" si="84"/>
        <v>0</v>
      </c>
      <c r="DL36" s="409">
        <f t="shared" si="84"/>
        <v>0</v>
      </c>
      <c r="DM36" s="409">
        <f t="shared" si="84"/>
        <v>0</v>
      </c>
      <c r="DN36" s="409">
        <f t="shared" si="84"/>
        <v>0</v>
      </c>
      <c r="DO36" s="409">
        <f t="shared" si="85"/>
        <v>0</v>
      </c>
      <c r="DP36" s="409">
        <f t="shared" si="85"/>
        <v>0</v>
      </c>
      <c r="DQ36" s="409">
        <f t="shared" si="85"/>
        <v>0</v>
      </c>
      <c r="DR36" s="409">
        <f t="shared" si="85"/>
        <v>0</v>
      </c>
      <c r="DS36" s="409">
        <f t="shared" si="85"/>
        <v>0</v>
      </c>
      <c r="DT36" s="409">
        <f t="shared" si="85"/>
        <v>0</v>
      </c>
      <c r="DU36" s="409">
        <f t="shared" si="85"/>
        <v>0</v>
      </c>
      <c r="DV36" s="409">
        <f t="shared" si="85"/>
        <v>0</v>
      </c>
      <c r="DW36" s="409">
        <f t="shared" si="85"/>
        <v>0</v>
      </c>
      <c r="DX36" s="409">
        <f t="shared" si="85"/>
        <v>0</v>
      </c>
      <c r="DY36" s="409">
        <f t="shared" si="86"/>
        <v>0</v>
      </c>
      <c r="DZ36" s="409">
        <f t="shared" si="86"/>
        <v>0</v>
      </c>
      <c r="EA36" s="409">
        <f t="shared" si="86"/>
        <v>0</v>
      </c>
      <c r="EB36" s="409">
        <f t="shared" si="86"/>
        <v>0</v>
      </c>
      <c r="EC36" s="409">
        <f t="shared" si="86"/>
        <v>0</v>
      </c>
      <c r="ED36" s="409">
        <f t="shared" si="86"/>
        <v>0</v>
      </c>
      <c r="EE36" s="409">
        <f t="shared" si="86"/>
        <v>0</v>
      </c>
      <c r="EF36" s="409">
        <f t="shared" si="86"/>
        <v>0</v>
      </c>
      <c r="EG36" s="409">
        <f t="shared" si="86"/>
        <v>0</v>
      </c>
      <c r="EH36" s="409">
        <f t="shared" si="86"/>
        <v>0</v>
      </c>
      <c r="EI36" s="409">
        <f t="shared" si="87"/>
        <v>0</v>
      </c>
      <c r="EJ36" s="409">
        <f t="shared" si="87"/>
        <v>0</v>
      </c>
      <c r="EK36" s="409">
        <f t="shared" si="87"/>
        <v>0</v>
      </c>
      <c r="EL36" s="409">
        <f t="shared" si="87"/>
        <v>0</v>
      </c>
      <c r="EM36" s="409">
        <f t="shared" si="87"/>
        <v>0</v>
      </c>
      <c r="EN36" s="409">
        <f t="shared" si="87"/>
        <v>0</v>
      </c>
      <c r="EO36" s="409">
        <f t="shared" si="87"/>
        <v>0</v>
      </c>
      <c r="EP36" s="409">
        <f t="shared" si="87"/>
        <v>0</v>
      </c>
      <c r="EQ36" s="409">
        <f t="shared" si="87"/>
        <v>0</v>
      </c>
      <c r="ER36" s="409">
        <f t="shared" si="87"/>
        <v>0</v>
      </c>
      <c r="ES36" s="409">
        <f t="shared" si="88"/>
        <v>0</v>
      </c>
      <c r="ET36" s="409">
        <f t="shared" si="88"/>
        <v>0</v>
      </c>
      <c r="EU36" s="409">
        <f t="shared" si="88"/>
        <v>0</v>
      </c>
      <c r="EV36" s="409">
        <f t="shared" si="88"/>
        <v>0</v>
      </c>
      <c r="EW36" s="409">
        <f t="shared" si="88"/>
        <v>0</v>
      </c>
      <c r="EX36" s="409">
        <f t="shared" si="88"/>
        <v>0</v>
      </c>
      <c r="EY36" s="409">
        <f t="shared" si="88"/>
        <v>0</v>
      </c>
      <c r="EZ36" s="409">
        <f t="shared" si="88"/>
        <v>0</v>
      </c>
      <c r="FA36" s="409">
        <f t="shared" si="88"/>
        <v>0</v>
      </c>
      <c r="FB36" s="409">
        <f t="shared" si="88"/>
        <v>0</v>
      </c>
      <c r="FC36" s="409">
        <f t="shared" si="89"/>
        <v>0</v>
      </c>
      <c r="FD36" s="409">
        <f t="shared" si="89"/>
        <v>0</v>
      </c>
      <c r="FE36" s="409">
        <f t="shared" si="89"/>
        <v>0</v>
      </c>
      <c r="FF36" s="409">
        <f t="shared" si="89"/>
        <v>0</v>
      </c>
      <c r="FG36" s="409">
        <f t="shared" si="89"/>
        <v>0</v>
      </c>
      <c r="FH36" s="409">
        <f t="shared" si="89"/>
        <v>0</v>
      </c>
      <c r="FI36" s="409">
        <f t="shared" si="89"/>
        <v>0</v>
      </c>
      <c r="FJ36" s="409">
        <f t="shared" si="89"/>
        <v>0</v>
      </c>
      <c r="FK36" s="409">
        <f t="shared" si="89"/>
        <v>0</v>
      </c>
      <c r="FL36" s="409">
        <f t="shared" si="89"/>
        <v>0</v>
      </c>
      <c r="FM36" s="409">
        <f t="shared" si="90"/>
        <v>0</v>
      </c>
      <c r="FN36" s="409">
        <f t="shared" si="90"/>
        <v>0</v>
      </c>
      <c r="FO36" s="409">
        <f t="shared" si="90"/>
        <v>0</v>
      </c>
      <c r="FP36" s="409">
        <f t="shared" si="90"/>
        <v>0</v>
      </c>
      <c r="FQ36" s="409">
        <f t="shared" si="90"/>
        <v>0</v>
      </c>
      <c r="FR36" s="409">
        <f t="shared" si="90"/>
        <v>0</v>
      </c>
      <c r="FS36" s="409">
        <f t="shared" si="90"/>
        <v>0</v>
      </c>
      <c r="FT36" s="409">
        <f t="shared" si="90"/>
        <v>0</v>
      </c>
      <c r="FU36" s="409">
        <f t="shared" si="90"/>
        <v>0</v>
      </c>
      <c r="FV36" s="409">
        <f t="shared" si="90"/>
        <v>0</v>
      </c>
      <c r="FW36" s="409">
        <f t="shared" si="91"/>
        <v>0</v>
      </c>
      <c r="FX36" s="409">
        <f t="shared" si="91"/>
        <v>0</v>
      </c>
      <c r="FY36" s="409">
        <f t="shared" si="91"/>
        <v>0</v>
      </c>
      <c r="FZ36" s="409">
        <f t="shared" si="91"/>
        <v>0</v>
      </c>
      <c r="GA36" s="409">
        <f t="shared" si="91"/>
        <v>0</v>
      </c>
      <c r="GB36" s="409">
        <f t="shared" si="91"/>
        <v>0</v>
      </c>
      <c r="GC36" s="409">
        <f t="shared" si="91"/>
        <v>0</v>
      </c>
      <c r="GD36" s="409">
        <f t="shared" si="91"/>
        <v>0</v>
      </c>
      <c r="GE36" s="409">
        <f t="shared" si="91"/>
        <v>0</v>
      </c>
      <c r="GF36" s="409">
        <f t="shared" si="91"/>
        <v>0</v>
      </c>
      <c r="GG36" s="409">
        <f t="shared" si="92"/>
        <v>0</v>
      </c>
      <c r="GH36" s="409">
        <f t="shared" si="92"/>
        <v>0</v>
      </c>
      <c r="GI36" s="409">
        <f t="shared" si="92"/>
        <v>0</v>
      </c>
      <c r="GJ36" s="409">
        <f t="shared" si="92"/>
        <v>0</v>
      </c>
      <c r="GK36" s="409">
        <f t="shared" si="92"/>
        <v>0</v>
      </c>
      <c r="GL36" s="409">
        <f t="shared" si="92"/>
        <v>0</v>
      </c>
      <c r="GM36" s="409">
        <f t="shared" si="92"/>
        <v>0</v>
      </c>
      <c r="GN36" s="409">
        <f t="shared" si="92"/>
        <v>0</v>
      </c>
      <c r="GO36" s="409">
        <f t="shared" si="92"/>
        <v>0</v>
      </c>
      <c r="GP36" s="409">
        <f t="shared" si="92"/>
        <v>0</v>
      </c>
      <c r="GQ36" s="409">
        <f t="shared" si="93"/>
        <v>0</v>
      </c>
      <c r="GR36" s="409">
        <f t="shared" si="93"/>
        <v>0</v>
      </c>
      <c r="GS36" s="409">
        <f t="shared" si="93"/>
        <v>0</v>
      </c>
      <c r="GT36" s="409">
        <f t="shared" si="93"/>
        <v>0</v>
      </c>
      <c r="GU36" s="409">
        <f t="shared" si="93"/>
        <v>0</v>
      </c>
      <c r="GV36" s="409">
        <f t="shared" si="93"/>
        <v>0</v>
      </c>
      <c r="GW36" s="409">
        <f t="shared" si="93"/>
        <v>0</v>
      </c>
      <c r="GX36" s="409">
        <f t="shared" si="93"/>
        <v>0</v>
      </c>
      <c r="GY36" s="409">
        <f t="shared" si="93"/>
        <v>0</v>
      </c>
      <c r="GZ36" s="409">
        <f t="shared" si="93"/>
        <v>0</v>
      </c>
      <c r="HA36" s="409">
        <f t="shared" si="94"/>
        <v>0</v>
      </c>
      <c r="HB36" s="409">
        <f t="shared" si="94"/>
        <v>0</v>
      </c>
      <c r="HC36" s="409">
        <f t="shared" si="94"/>
        <v>0</v>
      </c>
      <c r="HD36" s="409">
        <f t="shared" si="94"/>
        <v>0</v>
      </c>
      <c r="HE36" s="409">
        <f t="shared" si="94"/>
        <v>0</v>
      </c>
      <c r="HF36" s="409">
        <f t="shared" si="94"/>
        <v>0</v>
      </c>
      <c r="HG36" s="409">
        <f t="shared" si="94"/>
        <v>0</v>
      </c>
      <c r="HH36" s="409">
        <f t="shared" si="94"/>
        <v>0</v>
      </c>
      <c r="HI36" s="409">
        <f t="shared" si="94"/>
        <v>0</v>
      </c>
      <c r="HJ36" s="409">
        <f t="shared" si="94"/>
        <v>0</v>
      </c>
      <c r="HK36" s="409">
        <f t="shared" si="95"/>
        <v>0</v>
      </c>
      <c r="HL36" s="409">
        <f t="shared" si="95"/>
        <v>0</v>
      </c>
      <c r="HM36" s="409">
        <f t="shared" si="95"/>
        <v>0</v>
      </c>
      <c r="HN36" s="409">
        <f t="shared" si="95"/>
        <v>0</v>
      </c>
      <c r="HO36" s="409">
        <f t="shared" si="95"/>
        <v>0</v>
      </c>
      <c r="HP36" s="409">
        <f t="shared" si="95"/>
        <v>0</v>
      </c>
      <c r="HQ36" s="409">
        <f t="shared" si="95"/>
        <v>0</v>
      </c>
      <c r="HR36" s="409">
        <f t="shared" si="95"/>
        <v>0</v>
      </c>
      <c r="HS36" s="409">
        <f t="shared" si="95"/>
        <v>0</v>
      </c>
      <c r="HT36" s="409">
        <f t="shared" si="95"/>
        <v>0</v>
      </c>
      <c r="HU36" s="409">
        <f t="shared" si="96"/>
        <v>0</v>
      </c>
      <c r="HV36" s="409">
        <f t="shared" si="96"/>
        <v>0</v>
      </c>
      <c r="HW36" s="409">
        <f t="shared" si="96"/>
        <v>0</v>
      </c>
      <c r="HX36" s="409">
        <f t="shared" si="96"/>
        <v>0</v>
      </c>
      <c r="HY36" s="409">
        <f t="shared" si="96"/>
        <v>0</v>
      </c>
      <c r="HZ36" s="409">
        <f t="shared" si="96"/>
        <v>0</v>
      </c>
      <c r="IA36" s="409">
        <f t="shared" si="96"/>
        <v>0</v>
      </c>
      <c r="IB36" s="409">
        <f t="shared" si="96"/>
        <v>0</v>
      </c>
      <c r="IC36" s="409">
        <f t="shared" si="96"/>
        <v>0</v>
      </c>
      <c r="ID36" s="409">
        <f t="shared" si="96"/>
        <v>0</v>
      </c>
      <c r="IE36" s="409">
        <f t="shared" si="97"/>
        <v>0</v>
      </c>
      <c r="IF36" s="409">
        <f t="shared" si="97"/>
        <v>0</v>
      </c>
      <c r="IG36" s="409">
        <f t="shared" si="97"/>
        <v>0</v>
      </c>
      <c r="IH36" s="409">
        <f t="shared" si="97"/>
        <v>0</v>
      </c>
      <c r="II36" s="409">
        <f t="shared" si="97"/>
        <v>0</v>
      </c>
      <c r="IJ36" s="409">
        <f t="shared" si="97"/>
        <v>0</v>
      </c>
      <c r="IK36" s="378">
        <f t="shared" si="54"/>
        <v>29</v>
      </c>
    </row>
    <row r="37" spans="1:245" hidden="1" x14ac:dyDescent="0.2">
      <c r="A37" s="380" t="str">
        <f t="shared" si="34"/>
        <v>x</v>
      </c>
      <c r="B37" s="712" t="str">
        <f>IF(ISERROR(INDEX('Legend(DX)'!$H$8:$H$9,30)),"",INDEX('Legend(DX)'!$H$8:$H$9,30))</f>
        <v/>
      </c>
      <c r="C37" s="712" t="e">
        <f>IF(INDEX('Legend(DX)'!$T$8:$T$9,30)=0,"See Legend",INDEX('Legend(DX)'!$T$8:$T$9,30))</f>
        <v>#REF!</v>
      </c>
      <c r="D37" s="712" t="e">
        <f>IF(INDEX('Legend(DX)'!$R$8:$R$9,(ROW(C37))-7)=0,IF(AND(INDEX('Legend(DX)'!$D$8:$D$9,(ROW(C37))-6)="CH",INDEX('Legend(DX)'!$F$8:$F$9,(ROW(C37))-6)="CASE - MANUAL"),INDEX('Legend(DX)'!$R$8:$R$9,(ROW(C37))-6),IF(INDEX('Legend(DX)'!$V$8:$V$9,(ROW(C37))-7)&gt;1, "(" &amp; INDEX('Legend(DX)'!$V$8:$V$9,(ROW(C37))-7) &amp; ") " &amp; INDEX('Legend(DX)'!$W$8:$W$9,(ROW(C37))-6),INDEX('Legend(DX)'!$W$8:$W$9,(ROW(C37))-7))),INDEX('Legend(DX)'!$R$8:$R$9,(ROW(C37))-7))</f>
        <v>#REF!</v>
      </c>
      <c r="E37" s="713" t="str" cm="1">
        <f t="array" ref="E37">IF(OR(ISNUMBER(SEARCH("Skid",C37)),ISNUMBER(SEARCH("Subcooler",C37)),ISNUMBER(SEARCH("Pump",C37)),ISNUMBER(SEARCH("PH",C37))),0,IF(ISERROR(INDEX('Legend(DX)'!$AA$8:$AA$9,ROW()-7)),"",INDEX('Legend(DX)'!$AA$8:$AA$9,ROW()-7)))</f>
        <v/>
      </c>
      <c r="F37" s="714"/>
      <c r="G37" s="714"/>
      <c r="H37" s="714"/>
      <c r="I37" s="714"/>
      <c r="J37" s="714"/>
      <c r="K37" s="890">
        <f t="shared" si="35"/>
        <v>0</v>
      </c>
      <c r="L37" s="718"/>
      <c r="M37" s="720"/>
      <c r="N37" s="972">
        <f t="shared" si="7"/>
        <v>-1</v>
      </c>
      <c r="O37" s="972">
        <f t="shared" si="36"/>
        <v>-1</v>
      </c>
      <c r="P37" s="972">
        <f t="shared" si="8"/>
        <v>-1</v>
      </c>
      <c r="Q37" s="972">
        <f t="shared" si="37"/>
        <v>-1</v>
      </c>
      <c r="R37" s="972">
        <f t="shared" si="9"/>
        <v>-1</v>
      </c>
      <c r="S37" s="972">
        <f t="shared" si="38"/>
        <v>-1</v>
      </c>
      <c r="T37" s="972">
        <f t="shared" si="10"/>
        <v>-1</v>
      </c>
      <c r="U37" s="972">
        <f t="shared" si="39"/>
        <v>-1</v>
      </c>
      <c r="V37" s="972">
        <f t="shared" si="11"/>
        <v>-1</v>
      </c>
      <c r="W37" s="972">
        <f t="shared" si="40"/>
        <v>-1</v>
      </c>
      <c r="X37" s="972">
        <f t="shared" si="12"/>
        <v>-1</v>
      </c>
      <c r="Y37" s="972">
        <f t="shared" si="41"/>
        <v>-1</v>
      </c>
      <c r="Z37" s="972">
        <f t="shared" si="42"/>
        <v>-1</v>
      </c>
      <c r="AA37" s="972">
        <f t="shared" si="43"/>
        <v>-1</v>
      </c>
      <c r="AB37" s="972">
        <f t="shared" si="44"/>
        <v>-1</v>
      </c>
      <c r="AC37" s="972">
        <f t="shared" si="45"/>
        <v>-1</v>
      </c>
      <c r="AD37" s="972">
        <f t="shared" si="46"/>
        <v>-1</v>
      </c>
      <c r="AE37" s="972">
        <f t="shared" si="47"/>
        <v>-1</v>
      </c>
      <c r="AF37" s="972">
        <f t="shared" si="48"/>
        <v>-1</v>
      </c>
      <c r="AG37" s="972">
        <f t="shared" si="49"/>
        <v>-1</v>
      </c>
      <c r="AH37" s="972">
        <f t="shared" si="50"/>
        <v>-1</v>
      </c>
      <c r="AI37" s="972">
        <f t="shared" si="51"/>
        <v>-1</v>
      </c>
      <c r="AJ37" s="972">
        <f t="shared" si="52"/>
        <v>-1</v>
      </c>
      <c r="AK37" s="381" t="str">
        <f>IF(ISERROR(INDEX('Legend(DX)'!$AI$8:$AI$9,IK37)),"",INDEX('Legend(DX)'!$AI$8:$AI$9,IK37))</f>
        <v/>
      </c>
      <c r="AL37" s="727" t="str">
        <f t="shared" si="53"/>
        <v/>
      </c>
      <c r="AM37" s="409">
        <f t="shared" si="77"/>
        <v>0</v>
      </c>
      <c r="AN37" s="409">
        <f t="shared" si="77"/>
        <v>0</v>
      </c>
      <c r="AO37" s="409">
        <f t="shared" si="77"/>
        <v>0</v>
      </c>
      <c r="AP37" s="409">
        <f t="shared" si="77"/>
        <v>0</v>
      </c>
      <c r="AQ37" s="409">
        <f t="shared" si="77"/>
        <v>0</v>
      </c>
      <c r="AR37" s="409">
        <f t="shared" si="77"/>
        <v>0</v>
      </c>
      <c r="AS37" s="409">
        <f t="shared" si="77"/>
        <v>0</v>
      </c>
      <c r="AT37" s="409">
        <f t="shared" si="77"/>
        <v>0</v>
      </c>
      <c r="AU37" s="409">
        <f t="shared" si="77"/>
        <v>0</v>
      </c>
      <c r="AV37" s="409">
        <f t="shared" si="77"/>
        <v>0</v>
      </c>
      <c r="AW37" s="409">
        <f t="shared" si="78"/>
        <v>0</v>
      </c>
      <c r="AX37" s="409">
        <f t="shared" si="78"/>
        <v>0</v>
      </c>
      <c r="AY37" s="409">
        <f t="shared" si="78"/>
        <v>0</v>
      </c>
      <c r="AZ37" s="409">
        <f t="shared" si="78"/>
        <v>0</v>
      </c>
      <c r="BA37" s="409">
        <f t="shared" si="78"/>
        <v>0</v>
      </c>
      <c r="BB37" s="409">
        <f t="shared" si="78"/>
        <v>0</v>
      </c>
      <c r="BC37" s="409">
        <f t="shared" si="78"/>
        <v>0</v>
      </c>
      <c r="BD37" s="409">
        <f t="shared" si="78"/>
        <v>0</v>
      </c>
      <c r="BE37" s="409">
        <f t="shared" si="78"/>
        <v>0</v>
      </c>
      <c r="BF37" s="409">
        <f t="shared" si="78"/>
        <v>0</v>
      </c>
      <c r="BG37" s="409">
        <f t="shared" si="79"/>
        <v>0</v>
      </c>
      <c r="BH37" s="409">
        <f t="shared" si="79"/>
        <v>0</v>
      </c>
      <c r="BI37" s="409">
        <f t="shared" si="79"/>
        <v>0</v>
      </c>
      <c r="BJ37" s="409">
        <f t="shared" si="79"/>
        <v>0</v>
      </c>
      <c r="BK37" s="409">
        <f t="shared" si="79"/>
        <v>0</v>
      </c>
      <c r="BL37" s="409">
        <f t="shared" si="79"/>
        <v>0</v>
      </c>
      <c r="BM37" s="409">
        <f t="shared" si="79"/>
        <v>0</v>
      </c>
      <c r="BN37" s="409">
        <f t="shared" si="79"/>
        <v>0</v>
      </c>
      <c r="BO37" s="409">
        <f t="shared" si="79"/>
        <v>0</v>
      </c>
      <c r="BP37" s="409">
        <f t="shared" si="79"/>
        <v>0</v>
      </c>
      <c r="BQ37" s="409">
        <f t="shared" si="80"/>
        <v>0</v>
      </c>
      <c r="BR37" s="409">
        <f t="shared" si="80"/>
        <v>0</v>
      </c>
      <c r="BS37" s="409">
        <f t="shared" si="80"/>
        <v>0</v>
      </c>
      <c r="BT37" s="409">
        <f t="shared" si="80"/>
        <v>0</v>
      </c>
      <c r="BU37" s="409">
        <f t="shared" si="80"/>
        <v>0</v>
      </c>
      <c r="BV37" s="409">
        <f t="shared" si="80"/>
        <v>0</v>
      </c>
      <c r="BW37" s="409">
        <f t="shared" si="80"/>
        <v>0</v>
      </c>
      <c r="BX37" s="409">
        <f t="shared" si="80"/>
        <v>0</v>
      </c>
      <c r="BY37" s="409">
        <f t="shared" si="80"/>
        <v>0</v>
      </c>
      <c r="BZ37" s="409">
        <f t="shared" si="80"/>
        <v>0</v>
      </c>
      <c r="CA37" s="409">
        <f t="shared" si="81"/>
        <v>0</v>
      </c>
      <c r="CB37" s="409">
        <f t="shared" si="81"/>
        <v>0</v>
      </c>
      <c r="CC37" s="409">
        <f t="shared" si="81"/>
        <v>0</v>
      </c>
      <c r="CD37" s="409">
        <f t="shared" si="81"/>
        <v>0</v>
      </c>
      <c r="CE37" s="409">
        <f t="shared" si="81"/>
        <v>0</v>
      </c>
      <c r="CF37" s="409">
        <f t="shared" si="81"/>
        <v>0</v>
      </c>
      <c r="CG37" s="409">
        <f t="shared" si="81"/>
        <v>0</v>
      </c>
      <c r="CH37" s="409">
        <f t="shared" si="81"/>
        <v>0</v>
      </c>
      <c r="CI37" s="409">
        <f t="shared" si="81"/>
        <v>0</v>
      </c>
      <c r="CJ37" s="409">
        <f t="shared" si="81"/>
        <v>0</v>
      </c>
      <c r="CK37" s="409">
        <f t="shared" si="82"/>
        <v>0</v>
      </c>
      <c r="CL37" s="409">
        <f t="shared" si="82"/>
        <v>0</v>
      </c>
      <c r="CM37" s="409">
        <f t="shared" si="82"/>
        <v>0</v>
      </c>
      <c r="CN37" s="409">
        <f t="shared" si="82"/>
        <v>0</v>
      </c>
      <c r="CO37" s="409">
        <f t="shared" si="82"/>
        <v>0</v>
      </c>
      <c r="CP37" s="409">
        <f t="shared" si="82"/>
        <v>0</v>
      </c>
      <c r="CQ37" s="409">
        <f t="shared" si="82"/>
        <v>0</v>
      </c>
      <c r="CR37" s="409">
        <f t="shared" si="82"/>
        <v>0</v>
      </c>
      <c r="CS37" s="409">
        <f t="shared" si="82"/>
        <v>0</v>
      </c>
      <c r="CT37" s="409">
        <f t="shared" si="82"/>
        <v>0</v>
      </c>
      <c r="CU37" s="409">
        <f t="shared" si="83"/>
        <v>0</v>
      </c>
      <c r="CV37" s="409">
        <f t="shared" si="83"/>
        <v>0</v>
      </c>
      <c r="CW37" s="409">
        <f t="shared" si="83"/>
        <v>0</v>
      </c>
      <c r="CX37" s="409">
        <f t="shared" si="83"/>
        <v>0</v>
      </c>
      <c r="CY37" s="409">
        <f t="shared" si="83"/>
        <v>0</v>
      </c>
      <c r="CZ37" s="409">
        <f t="shared" si="83"/>
        <v>0</v>
      </c>
      <c r="DA37" s="409">
        <f t="shared" si="83"/>
        <v>0</v>
      </c>
      <c r="DB37" s="409">
        <f t="shared" si="83"/>
        <v>0</v>
      </c>
      <c r="DC37" s="409">
        <f t="shared" si="83"/>
        <v>0</v>
      </c>
      <c r="DD37" s="409">
        <f t="shared" si="83"/>
        <v>0</v>
      </c>
      <c r="DE37" s="409">
        <f t="shared" si="84"/>
        <v>0</v>
      </c>
      <c r="DF37" s="409">
        <f t="shared" si="84"/>
        <v>0</v>
      </c>
      <c r="DG37" s="409">
        <f t="shared" si="84"/>
        <v>0</v>
      </c>
      <c r="DH37" s="409">
        <f t="shared" si="84"/>
        <v>0</v>
      </c>
      <c r="DI37" s="409">
        <f t="shared" si="84"/>
        <v>0</v>
      </c>
      <c r="DJ37" s="409">
        <f t="shared" si="84"/>
        <v>0</v>
      </c>
      <c r="DK37" s="409">
        <f t="shared" si="84"/>
        <v>0</v>
      </c>
      <c r="DL37" s="409">
        <f t="shared" si="84"/>
        <v>0</v>
      </c>
      <c r="DM37" s="409">
        <f t="shared" si="84"/>
        <v>0</v>
      </c>
      <c r="DN37" s="409">
        <f t="shared" si="84"/>
        <v>0</v>
      </c>
      <c r="DO37" s="409">
        <f t="shared" si="85"/>
        <v>0</v>
      </c>
      <c r="DP37" s="409">
        <f t="shared" si="85"/>
        <v>0</v>
      </c>
      <c r="DQ37" s="409">
        <f t="shared" si="85"/>
        <v>0</v>
      </c>
      <c r="DR37" s="409">
        <f t="shared" si="85"/>
        <v>0</v>
      </c>
      <c r="DS37" s="409">
        <f t="shared" si="85"/>
        <v>0</v>
      </c>
      <c r="DT37" s="409">
        <f t="shared" si="85"/>
        <v>0</v>
      </c>
      <c r="DU37" s="409">
        <f t="shared" si="85"/>
        <v>0</v>
      </c>
      <c r="DV37" s="409">
        <f t="shared" si="85"/>
        <v>0</v>
      </c>
      <c r="DW37" s="409">
        <f t="shared" si="85"/>
        <v>0</v>
      </c>
      <c r="DX37" s="409">
        <f t="shared" si="85"/>
        <v>0</v>
      </c>
      <c r="DY37" s="409">
        <f t="shared" si="86"/>
        <v>0</v>
      </c>
      <c r="DZ37" s="409">
        <f t="shared" si="86"/>
        <v>0</v>
      </c>
      <c r="EA37" s="409">
        <f t="shared" si="86"/>
        <v>0</v>
      </c>
      <c r="EB37" s="409">
        <f t="shared" si="86"/>
        <v>0</v>
      </c>
      <c r="EC37" s="409">
        <f t="shared" si="86"/>
        <v>0</v>
      </c>
      <c r="ED37" s="409">
        <f t="shared" si="86"/>
        <v>0</v>
      </c>
      <c r="EE37" s="409">
        <f t="shared" si="86"/>
        <v>0</v>
      </c>
      <c r="EF37" s="409">
        <f t="shared" si="86"/>
        <v>0</v>
      </c>
      <c r="EG37" s="409">
        <f t="shared" si="86"/>
        <v>0</v>
      </c>
      <c r="EH37" s="409">
        <f t="shared" si="86"/>
        <v>0</v>
      </c>
      <c r="EI37" s="409">
        <f t="shared" si="87"/>
        <v>0</v>
      </c>
      <c r="EJ37" s="409">
        <f t="shared" si="87"/>
        <v>0</v>
      </c>
      <c r="EK37" s="409">
        <f t="shared" si="87"/>
        <v>0</v>
      </c>
      <c r="EL37" s="409">
        <f t="shared" si="87"/>
        <v>0</v>
      </c>
      <c r="EM37" s="409">
        <f t="shared" si="87"/>
        <v>0</v>
      </c>
      <c r="EN37" s="409">
        <f t="shared" si="87"/>
        <v>0</v>
      </c>
      <c r="EO37" s="409">
        <f t="shared" si="87"/>
        <v>0</v>
      </c>
      <c r="EP37" s="409">
        <f t="shared" si="87"/>
        <v>0</v>
      </c>
      <c r="EQ37" s="409">
        <f t="shared" si="87"/>
        <v>0</v>
      </c>
      <c r="ER37" s="409">
        <f t="shared" si="87"/>
        <v>0</v>
      </c>
      <c r="ES37" s="409">
        <f t="shared" si="88"/>
        <v>0</v>
      </c>
      <c r="ET37" s="409">
        <f t="shared" si="88"/>
        <v>0</v>
      </c>
      <c r="EU37" s="409">
        <f t="shared" si="88"/>
        <v>0</v>
      </c>
      <c r="EV37" s="409">
        <f t="shared" si="88"/>
        <v>0</v>
      </c>
      <c r="EW37" s="409">
        <f t="shared" si="88"/>
        <v>0</v>
      </c>
      <c r="EX37" s="409">
        <f t="shared" si="88"/>
        <v>0</v>
      </c>
      <c r="EY37" s="409">
        <f t="shared" si="88"/>
        <v>0</v>
      </c>
      <c r="EZ37" s="409">
        <f t="shared" si="88"/>
        <v>0</v>
      </c>
      <c r="FA37" s="409">
        <f t="shared" si="88"/>
        <v>0</v>
      </c>
      <c r="FB37" s="409">
        <f t="shared" si="88"/>
        <v>0</v>
      </c>
      <c r="FC37" s="409">
        <f t="shared" si="89"/>
        <v>0</v>
      </c>
      <c r="FD37" s="409">
        <f t="shared" si="89"/>
        <v>0</v>
      </c>
      <c r="FE37" s="409">
        <f t="shared" si="89"/>
        <v>0</v>
      </c>
      <c r="FF37" s="409">
        <f t="shared" si="89"/>
        <v>0</v>
      </c>
      <c r="FG37" s="409">
        <f t="shared" si="89"/>
        <v>0</v>
      </c>
      <c r="FH37" s="409">
        <f t="shared" si="89"/>
        <v>0</v>
      </c>
      <c r="FI37" s="409">
        <f t="shared" si="89"/>
        <v>0</v>
      </c>
      <c r="FJ37" s="409">
        <f t="shared" si="89"/>
        <v>0</v>
      </c>
      <c r="FK37" s="409">
        <f t="shared" si="89"/>
        <v>0</v>
      </c>
      <c r="FL37" s="409">
        <f t="shared" si="89"/>
        <v>0</v>
      </c>
      <c r="FM37" s="409">
        <f t="shared" si="90"/>
        <v>0</v>
      </c>
      <c r="FN37" s="409">
        <f t="shared" si="90"/>
        <v>0</v>
      </c>
      <c r="FO37" s="409">
        <f t="shared" si="90"/>
        <v>0</v>
      </c>
      <c r="FP37" s="409">
        <f t="shared" si="90"/>
        <v>0</v>
      </c>
      <c r="FQ37" s="409">
        <f t="shared" si="90"/>
        <v>0</v>
      </c>
      <c r="FR37" s="409">
        <f t="shared" si="90"/>
        <v>0</v>
      </c>
      <c r="FS37" s="409">
        <f t="shared" si="90"/>
        <v>0</v>
      </c>
      <c r="FT37" s="409">
        <f t="shared" si="90"/>
        <v>0</v>
      </c>
      <c r="FU37" s="409">
        <f t="shared" si="90"/>
        <v>0</v>
      </c>
      <c r="FV37" s="409">
        <f t="shared" si="90"/>
        <v>0</v>
      </c>
      <c r="FW37" s="409">
        <f t="shared" si="91"/>
        <v>0</v>
      </c>
      <c r="FX37" s="409">
        <f t="shared" si="91"/>
        <v>0</v>
      </c>
      <c r="FY37" s="409">
        <f t="shared" si="91"/>
        <v>0</v>
      </c>
      <c r="FZ37" s="409">
        <f t="shared" si="91"/>
        <v>0</v>
      </c>
      <c r="GA37" s="409">
        <f t="shared" si="91"/>
        <v>0</v>
      </c>
      <c r="GB37" s="409">
        <f t="shared" si="91"/>
        <v>0</v>
      </c>
      <c r="GC37" s="409">
        <f t="shared" si="91"/>
        <v>0</v>
      </c>
      <c r="GD37" s="409">
        <f t="shared" si="91"/>
        <v>0</v>
      </c>
      <c r="GE37" s="409">
        <f t="shared" si="91"/>
        <v>0</v>
      </c>
      <c r="GF37" s="409">
        <f t="shared" si="91"/>
        <v>0</v>
      </c>
      <c r="GG37" s="409">
        <f t="shared" si="92"/>
        <v>0</v>
      </c>
      <c r="GH37" s="409">
        <f t="shared" si="92"/>
        <v>0</v>
      </c>
      <c r="GI37" s="409">
        <f t="shared" si="92"/>
        <v>0</v>
      </c>
      <c r="GJ37" s="409">
        <f t="shared" si="92"/>
        <v>0</v>
      </c>
      <c r="GK37" s="409">
        <f t="shared" si="92"/>
        <v>0</v>
      </c>
      <c r="GL37" s="409">
        <f t="shared" si="92"/>
        <v>0</v>
      </c>
      <c r="GM37" s="409">
        <f t="shared" si="92"/>
        <v>0</v>
      </c>
      <c r="GN37" s="409">
        <f t="shared" si="92"/>
        <v>0</v>
      </c>
      <c r="GO37" s="409">
        <f t="shared" si="92"/>
        <v>0</v>
      </c>
      <c r="GP37" s="409">
        <f t="shared" si="92"/>
        <v>0</v>
      </c>
      <c r="GQ37" s="409">
        <f t="shared" si="93"/>
        <v>0</v>
      </c>
      <c r="GR37" s="409">
        <f t="shared" si="93"/>
        <v>0</v>
      </c>
      <c r="GS37" s="409">
        <f t="shared" si="93"/>
        <v>0</v>
      </c>
      <c r="GT37" s="409">
        <f t="shared" si="93"/>
        <v>0</v>
      </c>
      <c r="GU37" s="409">
        <f t="shared" si="93"/>
        <v>0</v>
      </c>
      <c r="GV37" s="409">
        <f t="shared" si="93"/>
        <v>0</v>
      </c>
      <c r="GW37" s="409">
        <f t="shared" si="93"/>
        <v>0</v>
      </c>
      <c r="GX37" s="409">
        <f t="shared" si="93"/>
        <v>0</v>
      </c>
      <c r="GY37" s="409">
        <f t="shared" si="93"/>
        <v>0</v>
      </c>
      <c r="GZ37" s="409">
        <f t="shared" si="93"/>
        <v>0</v>
      </c>
      <c r="HA37" s="409">
        <f t="shared" si="94"/>
        <v>0</v>
      </c>
      <c r="HB37" s="409">
        <f t="shared" si="94"/>
        <v>0</v>
      </c>
      <c r="HC37" s="409">
        <f t="shared" si="94"/>
        <v>0</v>
      </c>
      <c r="HD37" s="409">
        <f t="shared" si="94"/>
        <v>0</v>
      </c>
      <c r="HE37" s="409">
        <f t="shared" si="94"/>
        <v>0</v>
      </c>
      <c r="HF37" s="409">
        <f t="shared" si="94"/>
        <v>0</v>
      </c>
      <c r="HG37" s="409">
        <f t="shared" si="94"/>
        <v>0</v>
      </c>
      <c r="HH37" s="409">
        <f t="shared" si="94"/>
        <v>0</v>
      </c>
      <c r="HI37" s="409">
        <f t="shared" si="94"/>
        <v>0</v>
      </c>
      <c r="HJ37" s="409">
        <f t="shared" si="94"/>
        <v>0</v>
      </c>
      <c r="HK37" s="409">
        <f t="shared" si="95"/>
        <v>0</v>
      </c>
      <c r="HL37" s="409">
        <f t="shared" si="95"/>
        <v>0</v>
      </c>
      <c r="HM37" s="409">
        <f t="shared" si="95"/>
        <v>0</v>
      </c>
      <c r="HN37" s="409">
        <f t="shared" si="95"/>
        <v>0</v>
      </c>
      <c r="HO37" s="409">
        <f t="shared" si="95"/>
        <v>0</v>
      </c>
      <c r="HP37" s="409">
        <f t="shared" si="95"/>
        <v>0</v>
      </c>
      <c r="HQ37" s="409">
        <f t="shared" si="95"/>
        <v>0</v>
      </c>
      <c r="HR37" s="409">
        <f t="shared" si="95"/>
        <v>0</v>
      </c>
      <c r="HS37" s="409">
        <f t="shared" si="95"/>
        <v>0</v>
      </c>
      <c r="HT37" s="409">
        <f t="shared" si="95"/>
        <v>0</v>
      </c>
      <c r="HU37" s="409">
        <f t="shared" si="96"/>
        <v>0</v>
      </c>
      <c r="HV37" s="409">
        <f t="shared" si="96"/>
        <v>0</v>
      </c>
      <c r="HW37" s="409">
        <f t="shared" si="96"/>
        <v>0</v>
      </c>
      <c r="HX37" s="409">
        <f t="shared" si="96"/>
        <v>0</v>
      </c>
      <c r="HY37" s="409">
        <f t="shared" si="96"/>
        <v>0</v>
      </c>
      <c r="HZ37" s="409">
        <f t="shared" si="96"/>
        <v>0</v>
      </c>
      <c r="IA37" s="409">
        <f t="shared" si="96"/>
        <v>0</v>
      </c>
      <c r="IB37" s="409">
        <f t="shared" si="96"/>
        <v>0</v>
      </c>
      <c r="IC37" s="409">
        <f t="shared" si="96"/>
        <v>0</v>
      </c>
      <c r="ID37" s="409">
        <f t="shared" si="96"/>
        <v>0</v>
      </c>
      <c r="IE37" s="409">
        <f t="shared" si="97"/>
        <v>0</v>
      </c>
      <c r="IF37" s="409">
        <f t="shared" si="97"/>
        <v>0</v>
      </c>
      <c r="IG37" s="409">
        <f t="shared" si="97"/>
        <v>0</v>
      </c>
      <c r="IH37" s="409">
        <f t="shared" si="97"/>
        <v>0</v>
      </c>
      <c r="II37" s="409">
        <f t="shared" si="97"/>
        <v>0</v>
      </c>
      <c r="IJ37" s="409">
        <f t="shared" si="97"/>
        <v>0</v>
      </c>
      <c r="IK37" s="378">
        <f t="shared" si="54"/>
        <v>30</v>
      </c>
    </row>
    <row r="38" spans="1:245" hidden="1" x14ac:dyDescent="0.2">
      <c r="A38" s="380" t="str">
        <f t="shared" si="34"/>
        <v>x</v>
      </c>
      <c r="B38" s="712" t="str">
        <f>IF(ISERROR(INDEX('Legend(DX)'!$H$8:$H$9,31)),"",INDEX('Legend(DX)'!$H$8:$H$9,31))</f>
        <v/>
      </c>
      <c r="C38" s="712" t="e">
        <f>IF(INDEX('Legend(DX)'!$T$8:$T$9,31)=0,"See Legend",INDEX('Legend(DX)'!$T$8:$T$9,31))</f>
        <v>#REF!</v>
      </c>
      <c r="D38" s="712" t="e">
        <f>IF(INDEX('Legend(DX)'!$R$8:$R$9,(ROW(C38))-7)=0,IF(AND(INDEX('Legend(DX)'!$D$8:$D$9,(ROW(C38))-6)="CH",INDEX('Legend(DX)'!$F$8:$F$9,(ROW(C38))-6)="CASE - MANUAL"),INDEX('Legend(DX)'!$R$8:$R$9,(ROW(C38))-6),IF(INDEX('Legend(DX)'!$V$8:$V$9,(ROW(C38))-7)&gt;1, "(" &amp; INDEX('Legend(DX)'!$V$8:$V$9,(ROW(C38))-7) &amp; ") " &amp; INDEX('Legend(DX)'!$W$8:$W$9,(ROW(C38))-6),INDEX('Legend(DX)'!$W$8:$W$9,(ROW(C38))-7))),INDEX('Legend(DX)'!$R$8:$R$9,(ROW(C38))-7))</f>
        <v>#REF!</v>
      </c>
      <c r="E38" s="713" t="str" cm="1">
        <f t="array" ref="E38">IF(OR(ISNUMBER(SEARCH("Skid",C38)),ISNUMBER(SEARCH("Subcooler",C38)),ISNUMBER(SEARCH("Pump",C38)),ISNUMBER(SEARCH("PH",C38))),0,IF(ISERROR(INDEX('Legend(DX)'!$AA$8:$AA$9,ROW()-7)),"",INDEX('Legend(DX)'!$AA$8:$AA$9,ROW()-7)))</f>
        <v/>
      </c>
      <c r="F38" s="714"/>
      <c r="G38" s="714"/>
      <c r="H38" s="714"/>
      <c r="I38" s="714"/>
      <c r="J38" s="714"/>
      <c r="K38" s="890">
        <f t="shared" si="35"/>
        <v>0</v>
      </c>
      <c r="L38" s="718"/>
      <c r="M38" s="719"/>
      <c r="N38" s="972">
        <f t="shared" si="7"/>
        <v>-1</v>
      </c>
      <c r="O38" s="972">
        <f t="shared" si="36"/>
        <v>-1</v>
      </c>
      <c r="P38" s="972">
        <f t="shared" si="8"/>
        <v>-1</v>
      </c>
      <c r="Q38" s="972">
        <f t="shared" si="37"/>
        <v>-1</v>
      </c>
      <c r="R38" s="972">
        <f t="shared" si="9"/>
        <v>-1</v>
      </c>
      <c r="S38" s="972">
        <f t="shared" si="38"/>
        <v>-1</v>
      </c>
      <c r="T38" s="972">
        <f t="shared" si="10"/>
        <v>-1</v>
      </c>
      <c r="U38" s="972">
        <f t="shared" si="39"/>
        <v>-1</v>
      </c>
      <c r="V38" s="972">
        <f t="shared" si="11"/>
        <v>-1</v>
      </c>
      <c r="W38" s="972">
        <f t="shared" si="40"/>
        <v>-1</v>
      </c>
      <c r="X38" s="972">
        <f t="shared" si="12"/>
        <v>-1</v>
      </c>
      <c r="Y38" s="972">
        <f t="shared" si="41"/>
        <v>-1</v>
      </c>
      <c r="Z38" s="972">
        <f t="shared" si="42"/>
        <v>-1</v>
      </c>
      <c r="AA38" s="972">
        <f t="shared" si="43"/>
        <v>-1</v>
      </c>
      <c r="AB38" s="972">
        <f t="shared" si="44"/>
        <v>-1</v>
      </c>
      <c r="AC38" s="972">
        <f t="shared" si="45"/>
        <v>-1</v>
      </c>
      <c r="AD38" s="972">
        <f t="shared" si="46"/>
        <v>-1</v>
      </c>
      <c r="AE38" s="972">
        <f t="shared" si="47"/>
        <v>-1</v>
      </c>
      <c r="AF38" s="972">
        <f t="shared" si="48"/>
        <v>-1</v>
      </c>
      <c r="AG38" s="972">
        <f t="shared" si="49"/>
        <v>-1</v>
      </c>
      <c r="AH38" s="972">
        <f t="shared" si="50"/>
        <v>-1</v>
      </c>
      <c r="AI38" s="972">
        <f t="shared" si="51"/>
        <v>-1</v>
      </c>
      <c r="AJ38" s="972">
        <f t="shared" si="52"/>
        <v>-1</v>
      </c>
      <c r="AK38" s="381" t="str">
        <f>IF(ISERROR(INDEX('Legend(DX)'!$AI$8:$AI$9,IK38)),"",INDEX('Legend(DX)'!$AI$8:$AI$9,IK38))</f>
        <v/>
      </c>
      <c r="AL38" s="727" t="str">
        <f t="shared" si="53"/>
        <v/>
      </c>
      <c r="AM38" s="409">
        <f t="shared" ref="AM38:AV67" si="98">IF(ISNA(AM$7),"",IF(OR(AND(AM$7&lt;=$N38,AM$7&gt;$N38-TIME(0,TimeIncr,0)),AND(AM$7&lt;=$P38,AM$7&gt;$P38-TIME(0,TimeIncr,0)),AND(AM$7&lt;=$R38,AM$7&gt;$R38-TIME(0,TimeIncr,0)),AND(AM$7&lt;=$T38,AM$7&gt;$T38-TIME(0,TimeIncr,0)),AND(AM$7&lt;=$V38,AM$7&gt;$V38-TIME(0,TimeIncr,0)),AND(AM$7&lt;=$X38,AM$7&gt;$X38-TIME(0,TimeIncr,0)),AND(AM$7&lt;=$Z38,AM$7&gt;$Z38-TIME(0,TimeIncr,0)),AND(AM$7&lt;=$AB38,AM$7&gt;$AB38-TIME(0,TimeIncr,0)),AND(AM$7&lt;=$AD38,AM$7&gt;$AD38-TIME(0,TimeIncr,0)),AND(AM$7&lt;=$AF38,AM$7&gt;$AF38-TIME(0,TimeIncr,0)),AND(AM$7&lt;=$AH38,AM$7&gt;$AH38-TIME(0,TimeIncr,0)),AND(AM$7&lt;=$AJ38,AM$7&gt;$AJ38-TIME(0,TimeIncr,0))),$E38*$L38,IF(OR(AND(AM$7&gt;=$M38,AM$7&lt;=$N38),AND(AM$7&gt;=$O38,AM$7&lt;=$P38),AND(AM$7&gt;=$Q38,AM$7&lt;=$R38),AND(AM$7&gt;=$S38,AM$7&lt;=$T38),AND(AM$7&gt;=$U38,AM$7&lt;=$V38),AND(AM$7&gt;=$W38,AM$7&lt;=$X38),AND(AM$7&gt;=$Y38,AM$7&lt;=$Z38),AND(AM$7&gt;=$AA38,AM$7&lt;=$AB38),AND(AM$7&gt;=$AC38,AM$7&lt;=$AD38),AND(AM$7&gt;=$AE38,AM$7&lt;=$AF38),AND(AM$7&gt;=$AG38,AM$7&lt;=$AH38),AND(AM$7&gt;=$AI38,AM$7&lt;=$AJ38)),0,IF(OR(AND($M38&gt;$N38,AM$7&lt;=$N38),AND($O38&gt;$P38,AM$7&lt;=$P38),AND($Q38&gt;$R38,AM$7&lt;=$R38),AND($S38&gt;$T38,AM$7&lt;=$T38),AND($U38&gt;$V38,AM$7&lt;=$V38),AND($W38&gt;$X38,AM$7&lt;=$X38),AND($Y38&gt;$Z38,AM$7&lt;=$Z38),AND($AA38&gt;$AB38,AM$7&lt;=$AB38),AND($AC38&gt;$AD38,AM$7&lt;=$AD38),AND($AE38&gt;$AF38,AM$7&lt;=$AF38),AND($AG38&gt;$AH38,AM$7&lt;=$AH38),AND($AI38&gt;$AJ38,AM$7&lt;=$AJ38)),0,IF(OR(AND(AM$7&gt;=$M38,$M38&gt;$N38),AND(AM$7&gt;=$O38,$O38&gt;$P38),AND(AM$7&gt;=$Q38,$Q38&gt;$R38),AND(AM$7&gt;=$S38,$S38&gt;$T38),AND(AM$7&gt;=$U38,$U38&gt;$V38),AND(AM$7&gt;=$W38,$W38&gt;$X38),AND(AM$7&gt;=$Y38,$Y38&gt;$Z38),AND(AM$7&gt;=$AA38,$AA38&gt;$AB38),AND(AM$7&gt;=$AC38,$AC38&gt;$AD38),AND(AM$7&gt;=$AE38,$AE38&gt;$AF38),AND(AM$7&gt;=$AG38,$AG38&gt;$AH38),AND(AM$7&gt;=$AI38,$AI38&gt;$AJ38)),0,$E38)))))</f>
        <v>0</v>
      </c>
      <c r="AN38" s="409">
        <f t="shared" si="98"/>
        <v>0</v>
      </c>
      <c r="AO38" s="409">
        <f t="shared" si="98"/>
        <v>0</v>
      </c>
      <c r="AP38" s="409">
        <f t="shared" si="98"/>
        <v>0</v>
      </c>
      <c r="AQ38" s="409">
        <f t="shared" si="98"/>
        <v>0</v>
      </c>
      <c r="AR38" s="409">
        <f t="shared" si="98"/>
        <v>0</v>
      </c>
      <c r="AS38" s="409">
        <f t="shared" si="98"/>
        <v>0</v>
      </c>
      <c r="AT38" s="409">
        <f t="shared" si="98"/>
        <v>0</v>
      </c>
      <c r="AU38" s="409">
        <f t="shared" si="98"/>
        <v>0</v>
      </c>
      <c r="AV38" s="409">
        <f t="shared" si="98"/>
        <v>0</v>
      </c>
      <c r="AW38" s="409">
        <f t="shared" ref="AW38:BF67" si="99">IF(ISNA(AW$7),"",IF(OR(AND(AW$7&lt;=$N38,AW$7&gt;$N38-TIME(0,TimeIncr,0)),AND(AW$7&lt;=$P38,AW$7&gt;$P38-TIME(0,TimeIncr,0)),AND(AW$7&lt;=$R38,AW$7&gt;$R38-TIME(0,TimeIncr,0)),AND(AW$7&lt;=$T38,AW$7&gt;$T38-TIME(0,TimeIncr,0)),AND(AW$7&lt;=$V38,AW$7&gt;$V38-TIME(0,TimeIncr,0)),AND(AW$7&lt;=$X38,AW$7&gt;$X38-TIME(0,TimeIncr,0)),AND(AW$7&lt;=$Z38,AW$7&gt;$Z38-TIME(0,TimeIncr,0)),AND(AW$7&lt;=$AB38,AW$7&gt;$AB38-TIME(0,TimeIncr,0)),AND(AW$7&lt;=$AD38,AW$7&gt;$AD38-TIME(0,TimeIncr,0)),AND(AW$7&lt;=$AF38,AW$7&gt;$AF38-TIME(0,TimeIncr,0)),AND(AW$7&lt;=$AH38,AW$7&gt;$AH38-TIME(0,TimeIncr,0)),AND(AW$7&lt;=$AJ38,AW$7&gt;$AJ38-TIME(0,TimeIncr,0))),$E38*$L38,IF(OR(AND(AW$7&gt;=$M38,AW$7&lt;=$N38),AND(AW$7&gt;=$O38,AW$7&lt;=$P38),AND(AW$7&gt;=$Q38,AW$7&lt;=$R38),AND(AW$7&gt;=$S38,AW$7&lt;=$T38),AND(AW$7&gt;=$U38,AW$7&lt;=$V38),AND(AW$7&gt;=$W38,AW$7&lt;=$X38),AND(AW$7&gt;=$Y38,AW$7&lt;=$Z38),AND(AW$7&gt;=$AA38,AW$7&lt;=$AB38),AND(AW$7&gt;=$AC38,AW$7&lt;=$AD38),AND(AW$7&gt;=$AE38,AW$7&lt;=$AF38),AND(AW$7&gt;=$AG38,AW$7&lt;=$AH38),AND(AW$7&gt;=$AI38,AW$7&lt;=$AJ38)),0,IF(OR(AND($M38&gt;$N38,AW$7&lt;=$N38),AND($O38&gt;$P38,AW$7&lt;=$P38),AND($Q38&gt;$R38,AW$7&lt;=$R38),AND($S38&gt;$T38,AW$7&lt;=$T38),AND($U38&gt;$V38,AW$7&lt;=$V38),AND($W38&gt;$X38,AW$7&lt;=$X38),AND($Y38&gt;$Z38,AW$7&lt;=$Z38),AND($AA38&gt;$AB38,AW$7&lt;=$AB38),AND($AC38&gt;$AD38,AW$7&lt;=$AD38),AND($AE38&gt;$AF38,AW$7&lt;=$AF38),AND($AG38&gt;$AH38,AW$7&lt;=$AH38),AND($AI38&gt;$AJ38,AW$7&lt;=$AJ38)),0,IF(OR(AND(AW$7&gt;=$M38,$M38&gt;$N38),AND(AW$7&gt;=$O38,$O38&gt;$P38),AND(AW$7&gt;=$Q38,$Q38&gt;$R38),AND(AW$7&gt;=$S38,$S38&gt;$T38),AND(AW$7&gt;=$U38,$U38&gt;$V38),AND(AW$7&gt;=$W38,$W38&gt;$X38),AND(AW$7&gt;=$Y38,$Y38&gt;$Z38),AND(AW$7&gt;=$AA38,$AA38&gt;$AB38),AND(AW$7&gt;=$AC38,$AC38&gt;$AD38),AND(AW$7&gt;=$AE38,$AE38&gt;$AF38),AND(AW$7&gt;=$AG38,$AG38&gt;$AH38),AND(AW$7&gt;=$AI38,$AI38&gt;$AJ38)),0,$E38)))))</f>
        <v>0</v>
      </c>
      <c r="AX38" s="409">
        <f t="shared" si="99"/>
        <v>0</v>
      </c>
      <c r="AY38" s="409">
        <f t="shared" si="99"/>
        <v>0</v>
      </c>
      <c r="AZ38" s="409">
        <f t="shared" si="99"/>
        <v>0</v>
      </c>
      <c r="BA38" s="409">
        <f t="shared" si="99"/>
        <v>0</v>
      </c>
      <c r="BB38" s="409">
        <f t="shared" si="99"/>
        <v>0</v>
      </c>
      <c r="BC38" s="409">
        <f t="shared" si="99"/>
        <v>0</v>
      </c>
      <c r="BD38" s="409">
        <f t="shared" si="99"/>
        <v>0</v>
      </c>
      <c r="BE38" s="409">
        <f t="shared" si="99"/>
        <v>0</v>
      </c>
      <c r="BF38" s="409">
        <f t="shared" si="99"/>
        <v>0</v>
      </c>
      <c r="BG38" s="409">
        <f t="shared" ref="BG38:BP67" si="100">IF(ISNA(BG$7),"",IF(OR(AND(BG$7&lt;=$N38,BG$7&gt;$N38-TIME(0,TimeIncr,0)),AND(BG$7&lt;=$P38,BG$7&gt;$P38-TIME(0,TimeIncr,0)),AND(BG$7&lt;=$R38,BG$7&gt;$R38-TIME(0,TimeIncr,0)),AND(BG$7&lt;=$T38,BG$7&gt;$T38-TIME(0,TimeIncr,0)),AND(BG$7&lt;=$V38,BG$7&gt;$V38-TIME(0,TimeIncr,0)),AND(BG$7&lt;=$X38,BG$7&gt;$X38-TIME(0,TimeIncr,0)),AND(BG$7&lt;=$Z38,BG$7&gt;$Z38-TIME(0,TimeIncr,0)),AND(BG$7&lt;=$AB38,BG$7&gt;$AB38-TIME(0,TimeIncr,0)),AND(BG$7&lt;=$AD38,BG$7&gt;$AD38-TIME(0,TimeIncr,0)),AND(BG$7&lt;=$AF38,BG$7&gt;$AF38-TIME(0,TimeIncr,0)),AND(BG$7&lt;=$AH38,BG$7&gt;$AH38-TIME(0,TimeIncr,0)),AND(BG$7&lt;=$AJ38,BG$7&gt;$AJ38-TIME(0,TimeIncr,0))),$E38*$L38,IF(OR(AND(BG$7&gt;=$M38,BG$7&lt;=$N38),AND(BG$7&gt;=$O38,BG$7&lt;=$P38),AND(BG$7&gt;=$Q38,BG$7&lt;=$R38),AND(BG$7&gt;=$S38,BG$7&lt;=$T38),AND(BG$7&gt;=$U38,BG$7&lt;=$V38),AND(BG$7&gt;=$W38,BG$7&lt;=$X38),AND(BG$7&gt;=$Y38,BG$7&lt;=$Z38),AND(BG$7&gt;=$AA38,BG$7&lt;=$AB38),AND(BG$7&gt;=$AC38,BG$7&lt;=$AD38),AND(BG$7&gt;=$AE38,BG$7&lt;=$AF38),AND(BG$7&gt;=$AG38,BG$7&lt;=$AH38),AND(BG$7&gt;=$AI38,BG$7&lt;=$AJ38)),0,IF(OR(AND($M38&gt;$N38,BG$7&lt;=$N38),AND($O38&gt;$P38,BG$7&lt;=$P38),AND($Q38&gt;$R38,BG$7&lt;=$R38),AND($S38&gt;$T38,BG$7&lt;=$T38),AND($U38&gt;$V38,BG$7&lt;=$V38),AND($W38&gt;$X38,BG$7&lt;=$X38),AND($Y38&gt;$Z38,BG$7&lt;=$Z38),AND($AA38&gt;$AB38,BG$7&lt;=$AB38),AND($AC38&gt;$AD38,BG$7&lt;=$AD38),AND($AE38&gt;$AF38,BG$7&lt;=$AF38),AND($AG38&gt;$AH38,BG$7&lt;=$AH38),AND($AI38&gt;$AJ38,BG$7&lt;=$AJ38)),0,IF(OR(AND(BG$7&gt;=$M38,$M38&gt;$N38),AND(BG$7&gt;=$O38,$O38&gt;$P38),AND(BG$7&gt;=$Q38,$Q38&gt;$R38),AND(BG$7&gt;=$S38,$S38&gt;$T38),AND(BG$7&gt;=$U38,$U38&gt;$V38),AND(BG$7&gt;=$W38,$W38&gt;$X38),AND(BG$7&gt;=$Y38,$Y38&gt;$Z38),AND(BG$7&gt;=$AA38,$AA38&gt;$AB38),AND(BG$7&gt;=$AC38,$AC38&gt;$AD38),AND(BG$7&gt;=$AE38,$AE38&gt;$AF38),AND(BG$7&gt;=$AG38,$AG38&gt;$AH38),AND(BG$7&gt;=$AI38,$AI38&gt;$AJ38)),0,$E38)))))</f>
        <v>0</v>
      </c>
      <c r="BH38" s="409">
        <f t="shared" si="100"/>
        <v>0</v>
      </c>
      <c r="BI38" s="409">
        <f t="shared" si="100"/>
        <v>0</v>
      </c>
      <c r="BJ38" s="409">
        <f t="shared" si="100"/>
        <v>0</v>
      </c>
      <c r="BK38" s="409">
        <f t="shared" si="100"/>
        <v>0</v>
      </c>
      <c r="BL38" s="409">
        <f t="shared" si="100"/>
        <v>0</v>
      </c>
      <c r="BM38" s="409">
        <f t="shared" si="100"/>
        <v>0</v>
      </c>
      <c r="BN38" s="409">
        <f t="shared" si="100"/>
        <v>0</v>
      </c>
      <c r="BO38" s="409">
        <f t="shared" si="100"/>
        <v>0</v>
      </c>
      <c r="BP38" s="409">
        <f t="shared" si="100"/>
        <v>0</v>
      </c>
      <c r="BQ38" s="409">
        <f t="shared" ref="BQ38:BZ67" si="101">IF(ISNA(BQ$7),"",IF(OR(AND(BQ$7&lt;=$N38,BQ$7&gt;$N38-TIME(0,TimeIncr,0)),AND(BQ$7&lt;=$P38,BQ$7&gt;$P38-TIME(0,TimeIncr,0)),AND(BQ$7&lt;=$R38,BQ$7&gt;$R38-TIME(0,TimeIncr,0)),AND(BQ$7&lt;=$T38,BQ$7&gt;$T38-TIME(0,TimeIncr,0)),AND(BQ$7&lt;=$V38,BQ$7&gt;$V38-TIME(0,TimeIncr,0)),AND(BQ$7&lt;=$X38,BQ$7&gt;$X38-TIME(0,TimeIncr,0)),AND(BQ$7&lt;=$Z38,BQ$7&gt;$Z38-TIME(0,TimeIncr,0)),AND(BQ$7&lt;=$AB38,BQ$7&gt;$AB38-TIME(0,TimeIncr,0)),AND(BQ$7&lt;=$AD38,BQ$7&gt;$AD38-TIME(0,TimeIncr,0)),AND(BQ$7&lt;=$AF38,BQ$7&gt;$AF38-TIME(0,TimeIncr,0)),AND(BQ$7&lt;=$AH38,BQ$7&gt;$AH38-TIME(0,TimeIncr,0)),AND(BQ$7&lt;=$AJ38,BQ$7&gt;$AJ38-TIME(0,TimeIncr,0))),$E38*$L38,IF(OR(AND(BQ$7&gt;=$M38,BQ$7&lt;=$N38),AND(BQ$7&gt;=$O38,BQ$7&lt;=$P38),AND(BQ$7&gt;=$Q38,BQ$7&lt;=$R38),AND(BQ$7&gt;=$S38,BQ$7&lt;=$T38),AND(BQ$7&gt;=$U38,BQ$7&lt;=$V38),AND(BQ$7&gt;=$W38,BQ$7&lt;=$X38),AND(BQ$7&gt;=$Y38,BQ$7&lt;=$Z38),AND(BQ$7&gt;=$AA38,BQ$7&lt;=$AB38),AND(BQ$7&gt;=$AC38,BQ$7&lt;=$AD38),AND(BQ$7&gt;=$AE38,BQ$7&lt;=$AF38),AND(BQ$7&gt;=$AG38,BQ$7&lt;=$AH38),AND(BQ$7&gt;=$AI38,BQ$7&lt;=$AJ38)),0,IF(OR(AND($M38&gt;$N38,BQ$7&lt;=$N38),AND($O38&gt;$P38,BQ$7&lt;=$P38),AND($Q38&gt;$R38,BQ$7&lt;=$R38),AND($S38&gt;$T38,BQ$7&lt;=$T38),AND($U38&gt;$V38,BQ$7&lt;=$V38),AND($W38&gt;$X38,BQ$7&lt;=$X38),AND($Y38&gt;$Z38,BQ$7&lt;=$Z38),AND($AA38&gt;$AB38,BQ$7&lt;=$AB38),AND($AC38&gt;$AD38,BQ$7&lt;=$AD38),AND($AE38&gt;$AF38,BQ$7&lt;=$AF38),AND($AG38&gt;$AH38,BQ$7&lt;=$AH38),AND($AI38&gt;$AJ38,BQ$7&lt;=$AJ38)),0,IF(OR(AND(BQ$7&gt;=$M38,$M38&gt;$N38),AND(BQ$7&gt;=$O38,$O38&gt;$P38),AND(BQ$7&gt;=$Q38,$Q38&gt;$R38),AND(BQ$7&gt;=$S38,$S38&gt;$T38),AND(BQ$7&gt;=$U38,$U38&gt;$V38),AND(BQ$7&gt;=$W38,$W38&gt;$X38),AND(BQ$7&gt;=$Y38,$Y38&gt;$Z38),AND(BQ$7&gt;=$AA38,$AA38&gt;$AB38),AND(BQ$7&gt;=$AC38,$AC38&gt;$AD38),AND(BQ$7&gt;=$AE38,$AE38&gt;$AF38),AND(BQ$7&gt;=$AG38,$AG38&gt;$AH38),AND(BQ$7&gt;=$AI38,$AI38&gt;$AJ38)),0,$E38)))))</f>
        <v>0</v>
      </c>
      <c r="BR38" s="409">
        <f t="shared" si="101"/>
        <v>0</v>
      </c>
      <c r="BS38" s="409">
        <f t="shared" si="101"/>
        <v>0</v>
      </c>
      <c r="BT38" s="409">
        <f t="shared" si="101"/>
        <v>0</v>
      </c>
      <c r="BU38" s="409">
        <f t="shared" si="101"/>
        <v>0</v>
      </c>
      <c r="BV38" s="409">
        <f t="shared" si="101"/>
        <v>0</v>
      </c>
      <c r="BW38" s="409">
        <f t="shared" si="101"/>
        <v>0</v>
      </c>
      <c r="BX38" s="409">
        <f t="shared" si="101"/>
        <v>0</v>
      </c>
      <c r="BY38" s="409">
        <f t="shared" si="101"/>
        <v>0</v>
      </c>
      <c r="BZ38" s="409">
        <f t="shared" si="101"/>
        <v>0</v>
      </c>
      <c r="CA38" s="409">
        <f t="shared" ref="CA38:CJ67" si="102">IF(ISNA(CA$7),"",IF(OR(AND(CA$7&lt;=$N38,CA$7&gt;$N38-TIME(0,TimeIncr,0)),AND(CA$7&lt;=$P38,CA$7&gt;$P38-TIME(0,TimeIncr,0)),AND(CA$7&lt;=$R38,CA$7&gt;$R38-TIME(0,TimeIncr,0)),AND(CA$7&lt;=$T38,CA$7&gt;$T38-TIME(0,TimeIncr,0)),AND(CA$7&lt;=$V38,CA$7&gt;$V38-TIME(0,TimeIncr,0)),AND(CA$7&lt;=$X38,CA$7&gt;$X38-TIME(0,TimeIncr,0)),AND(CA$7&lt;=$Z38,CA$7&gt;$Z38-TIME(0,TimeIncr,0)),AND(CA$7&lt;=$AB38,CA$7&gt;$AB38-TIME(0,TimeIncr,0)),AND(CA$7&lt;=$AD38,CA$7&gt;$AD38-TIME(0,TimeIncr,0)),AND(CA$7&lt;=$AF38,CA$7&gt;$AF38-TIME(0,TimeIncr,0)),AND(CA$7&lt;=$AH38,CA$7&gt;$AH38-TIME(0,TimeIncr,0)),AND(CA$7&lt;=$AJ38,CA$7&gt;$AJ38-TIME(0,TimeIncr,0))),$E38*$L38,IF(OR(AND(CA$7&gt;=$M38,CA$7&lt;=$N38),AND(CA$7&gt;=$O38,CA$7&lt;=$P38),AND(CA$7&gt;=$Q38,CA$7&lt;=$R38),AND(CA$7&gt;=$S38,CA$7&lt;=$T38),AND(CA$7&gt;=$U38,CA$7&lt;=$V38),AND(CA$7&gt;=$W38,CA$7&lt;=$X38),AND(CA$7&gt;=$Y38,CA$7&lt;=$Z38),AND(CA$7&gt;=$AA38,CA$7&lt;=$AB38),AND(CA$7&gt;=$AC38,CA$7&lt;=$AD38),AND(CA$7&gt;=$AE38,CA$7&lt;=$AF38),AND(CA$7&gt;=$AG38,CA$7&lt;=$AH38),AND(CA$7&gt;=$AI38,CA$7&lt;=$AJ38)),0,IF(OR(AND($M38&gt;$N38,CA$7&lt;=$N38),AND($O38&gt;$P38,CA$7&lt;=$P38),AND($Q38&gt;$R38,CA$7&lt;=$R38),AND($S38&gt;$T38,CA$7&lt;=$T38),AND($U38&gt;$V38,CA$7&lt;=$V38),AND($W38&gt;$X38,CA$7&lt;=$X38),AND($Y38&gt;$Z38,CA$7&lt;=$Z38),AND($AA38&gt;$AB38,CA$7&lt;=$AB38),AND($AC38&gt;$AD38,CA$7&lt;=$AD38),AND($AE38&gt;$AF38,CA$7&lt;=$AF38),AND($AG38&gt;$AH38,CA$7&lt;=$AH38),AND($AI38&gt;$AJ38,CA$7&lt;=$AJ38)),0,IF(OR(AND(CA$7&gt;=$M38,$M38&gt;$N38),AND(CA$7&gt;=$O38,$O38&gt;$P38),AND(CA$7&gt;=$Q38,$Q38&gt;$R38),AND(CA$7&gt;=$S38,$S38&gt;$T38),AND(CA$7&gt;=$U38,$U38&gt;$V38),AND(CA$7&gt;=$W38,$W38&gt;$X38),AND(CA$7&gt;=$Y38,$Y38&gt;$Z38),AND(CA$7&gt;=$AA38,$AA38&gt;$AB38),AND(CA$7&gt;=$AC38,$AC38&gt;$AD38),AND(CA$7&gt;=$AE38,$AE38&gt;$AF38),AND(CA$7&gt;=$AG38,$AG38&gt;$AH38),AND(CA$7&gt;=$AI38,$AI38&gt;$AJ38)),0,$E38)))))</f>
        <v>0</v>
      </c>
      <c r="CB38" s="409">
        <f t="shared" si="102"/>
        <v>0</v>
      </c>
      <c r="CC38" s="409">
        <f t="shared" si="102"/>
        <v>0</v>
      </c>
      <c r="CD38" s="409">
        <f t="shared" si="102"/>
        <v>0</v>
      </c>
      <c r="CE38" s="409">
        <f t="shared" si="102"/>
        <v>0</v>
      </c>
      <c r="CF38" s="409">
        <f t="shared" si="102"/>
        <v>0</v>
      </c>
      <c r="CG38" s="409">
        <f t="shared" si="102"/>
        <v>0</v>
      </c>
      <c r="CH38" s="409">
        <f t="shared" si="102"/>
        <v>0</v>
      </c>
      <c r="CI38" s="409">
        <f t="shared" si="102"/>
        <v>0</v>
      </c>
      <c r="CJ38" s="409">
        <f t="shared" si="102"/>
        <v>0</v>
      </c>
      <c r="CK38" s="409">
        <f t="shared" ref="CK38:CT67" si="103">IF(ISNA(CK$7),"",IF(OR(AND(CK$7&lt;=$N38,CK$7&gt;$N38-TIME(0,TimeIncr,0)),AND(CK$7&lt;=$P38,CK$7&gt;$P38-TIME(0,TimeIncr,0)),AND(CK$7&lt;=$R38,CK$7&gt;$R38-TIME(0,TimeIncr,0)),AND(CK$7&lt;=$T38,CK$7&gt;$T38-TIME(0,TimeIncr,0)),AND(CK$7&lt;=$V38,CK$7&gt;$V38-TIME(0,TimeIncr,0)),AND(CK$7&lt;=$X38,CK$7&gt;$X38-TIME(0,TimeIncr,0)),AND(CK$7&lt;=$Z38,CK$7&gt;$Z38-TIME(0,TimeIncr,0)),AND(CK$7&lt;=$AB38,CK$7&gt;$AB38-TIME(0,TimeIncr,0)),AND(CK$7&lt;=$AD38,CK$7&gt;$AD38-TIME(0,TimeIncr,0)),AND(CK$7&lt;=$AF38,CK$7&gt;$AF38-TIME(0,TimeIncr,0)),AND(CK$7&lt;=$AH38,CK$7&gt;$AH38-TIME(0,TimeIncr,0)),AND(CK$7&lt;=$AJ38,CK$7&gt;$AJ38-TIME(0,TimeIncr,0))),$E38*$L38,IF(OR(AND(CK$7&gt;=$M38,CK$7&lt;=$N38),AND(CK$7&gt;=$O38,CK$7&lt;=$P38),AND(CK$7&gt;=$Q38,CK$7&lt;=$R38),AND(CK$7&gt;=$S38,CK$7&lt;=$T38),AND(CK$7&gt;=$U38,CK$7&lt;=$V38),AND(CK$7&gt;=$W38,CK$7&lt;=$X38),AND(CK$7&gt;=$Y38,CK$7&lt;=$Z38),AND(CK$7&gt;=$AA38,CK$7&lt;=$AB38),AND(CK$7&gt;=$AC38,CK$7&lt;=$AD38),AND(CK$7&gt;=$AE38,CK$7&lt;=$AF38),AND(CK$7&gt;=$AG38,CK$7&lt;=$AH38),AND(CK$7&gt;=$AI38,CK$7&lt;=$AJ38)),0,IF(OR(AND($M38&gt;$N38,CK$7&lt;=$N38),AND($O38&gt;$P38,CK$7&lt;=$P38),AND($Q38&gt;$R38,CK$7&lt;=$R38),AND($S38&gt;$T38,CK$7&lt;=$T38),AND($U38&gt;$V38,CK$7&lt;=$V38),AND($W38&gt;$X38,CK$7&lt;=$X38),AND($Y38&gt;$Z38,CK$7&lt;=$Z38),AND($AA38&gt;$AB38,CK$7&lt;=$AB38),AND($AC38&gt;$AD38,CK$7&lt;=$AD38),AND($AE38&gt;$AF38,CK$7&lt;=$AF38),AND($AG38&gt;$AH38,CK$7&lt;=$AH38),AND($AI38&gt;$AJ38,CK$7&lt;=$AJ38)),0,IF(OR(AND(CK$7&gt;=$M38,$M38&gt;$N38),AND(CK$7&gt;=$O38,$O38&gt;$P38),AND(CK$7&gt;=$Q38,$Q38&gt;$R38),AND(CK$7&gt;=$S38,$S38&gt;$T38),AND(CK$7&gt;=$U38,$U38&gt;$V38),AND(CK$7&gt;=$W38,$W38&gt;$X38),AND(CK$7&gt;=$Y38,$Y38&gt;$Z38),AND(CK$7&gt;=$AA38,$AA38&gt;$AB38),AND(CK$7&gt;=$AC38,$AC38&gt;$AD38),AND(CK$7&gt;=$AE38,$AE38&gt;$AF38),AND(CK$7&gt;=$AG38,$AG38&gt;$AH38),AND(CK$7&gt;=$AI38,$AI38&gt;$AJ38)),0,$E38)))))</f>
        <v>0</v>
      </c>
      <c r="CL38" s="409">
        <f t="shared" si="103"/>
        <v>0</v>
      </c>
      <c r="CM38" s="409">
        <f t="shared" si="103"/>
        <v>0</v>
      </c>
      <c r="CN38" s="409">
        <f t="shared" si="103"/>
        <v>0</v>
      </c>
      <c r="CO38" s="409">
        <f t="shared" si="103"/>
        <v>0</v>
      </c>
      <c r="CP38" s="409">
        <f t="shared" si="103"/>
        <v>0</v>
      </c>
      <c r="CQ38" s="409">
        <f t="shared" si="103"/>
        <v>0</v>
      </c>
      <c r="CR38" s="409">
        <f t="shared" si="103"/>
        <v>0</v>
      </c>
      <c r="CS38" s="409">
        <f t="shared" si="103"/>
        <v>0</v>
      </c>
      <c r="CT38" s="409">
        <f t="shared" si="103"/>
        <v>0</v>
      </c>
      <c r="CU38" s="409">
        <f t="shared" ref="CU38:DD67" si="104">IF(ISNA(CU$7),"",IF(OR(AND(CU$7&lt;=$N38,CU$7&gt;$N38-TIME(0,TimeIncr,0)),AND(CU$7&lt;=$P38,CU$7&gt;$P38-TIME(0,TimeIncr,0)),AND(CU$7&lt;=$R38,CU$7&gt;$R38-TIME(0,TimeIncr,0)),AND(CU$7&lt;=$T38,CU$7&gt;$T38-TIME(0,TimeIncr,0)),AND(CU$7&lt;=$V38,CU$7&gt;$V38-TIME(0,TimeIncr,0)),AND(CU$7&lt;=$X38,CU$7&gt;$X38-TIME(0,TimeIncr,0)),AND(CU$7&lt;=$Z38,CU$7&gt;$Z38-TIME(0,TimeIncr,0)),AND(CU$7&lt;=$AB38,CU$7&gt;$AB38-TIME(0,TimeIncr,0)),AND(CU$7&lt;=$AD38,CU$7&gt;$AD38-TIME(0,TimeIncr,0)),AND(CU$7&lt;=$AF38,CU$7&gt;$AF38-TIME(0,TimeIncr,0)),AND(CU$7&lt;=$AH38,CU$7&gt;$AH38-TIME(0,TimeIncr,0)),AND(CU$7&lt;=$AJ38,CU$7&gt;$AJ38-TIME(0,TimeIncr,0))),$E38*$L38,IF(OR(AND(CU$7&gt;=$M38,CU$7&lt;=$N38),AND(CU$7&gt;=$O38,CU$7&lt;=$P38),AND(CU$7&gt;=$Q38,CU$7&lt;=$R38),AND(CU$7&gt;=$S38,CU$7&lt;=$T38),AND(CU$7&gt;=$U38,CU$7&lt;=$V38),AND(CU$7&gt;=$W38,CU$7&lt;=$X38),AND(CU$7&gt;=$Y38,CU$7&lt;=$Z38),AND(CU$7&gt;=$AA38,CU$7&lt;=$AB38),AND(CU$7&gt;=$AC38,CU$7&lt;=$AD38),AND(CU$7&gt;=$AE38,CU$7&lt;=$AF38),AND(CU$7&gt;=$AG38,CU$7&lt;=$AH38),AND(CU$7&gt;=$AI38,CU$7&lt;=$AJ38)),0,IF(OR(AND($M38&gt;$N38,CU$7&lt;=$N38),AND($O38&gt;$P38,CU$7&lt;=$P38),AND($Q38&gt;$R38,CU$7&lt;=$R38),AND($S38&gt;$T38,CU$7&lt;=$T38),AND($U38&gt;$V38,CU$7&lt;=$V38),AND($W38&gt;$X38,CU$7&lt;=$X38),AND($Y38&gt;$Z38,CU$7&lt;=$Z38),AND($AA38&gt;$AB38,CU$7&lt;=$AB38),AND($AC38&gt;$AD38,CU$7&lt;=$AD38),AND($AE38&gt;$AF38,CU$7&lt;=$AF38),AND($AG38&gt;$AH38,CU$7&lt;=$AH38),AND($AI38&gt;$AJ38,CU$7&lt;=$AJ38)),0,IF(OR(AND(CU$7&gt;=$M38,$M38&gt;$N38),AND(CU$7&gt;=$O38,$O38&gt;$P38),AND(CU$7&gt;=$Q38,$Q38&gt;$R38),AND(CU$7&gt;=$S38,$S38&gt;$T38),AND(CU$7&gt;=$U38,$U38&gt;$V38),AND(CU$7&gt;=$W38,$W38&gt;$X38),AND(CU$7&gt;=$Y38,$Y38&gt;$Z38),AND(CU$7&gt;=$AA38,$AA38&gt;$AB38),AND(CU$7&gt;=$AC38,$AC38&gt;$AD38),AND(CU$7&gt;=$AE38,$AE38&gt;$AF38),AND(CU$7&gt;=$AG38,$AG38&gt;$AH38),AND(CU$7&gt;=$AI38,$AI38&gt;$AJ38)),0,$E38)))))</f>
        <v>0</v>
      </c>
      <c r="CV38" s="409">
        <f t="shared" si="104"/>
        <v>0</v>
      </c>
      <c r="CW38" s="409">
        <f t="shared" si="104"/>
        <v>0</v>
      </c>
      <c r="CX38" s="409">
        <f t="shared" si="104"/>
        <v>0</v>
      </c>
      <c r="CY38" s="409">
        <f t="shared" si="104"/>
        <v>0</v>
      </c>
      <c r="CZ38" s="409">
        <f t="shared" si="104"/>
        <v>0</v>
      </c>
      <c r="DA38" s="409">
        <f t="shared" si="104"/>
        <v>0</v>
      </c>
      <c r="DB38" s="409">
        <f t="shared" si="104"/>
        <v>0</v>
      </c>
      <c r="DC38" s="409">
        <f t="shared" si="104"/>
        <v>0</v>
      </c>
      <c r="DD38" s="409">
        <f t="shared" si="104"/>
        <v>0</v>
      </c>
      <c r="DE38" s="409">
        <f t="shared" ref="DE38:DN67" si="105">IF(ISNA(DE$7),"",IF(OR(AND(DE$7&lt;=$N38,DE$7&gt;$N38-TIME(0,TimeIncr,0)),AND(DE$7&lt;=$P38,DE$7&gt;$P38-TIME(0,TimeIncr,0)),AND(DE$7&lt;=$R38,DE$7&gt;$R38-TIME(0,TimeIncr,0)),AND(DE$7&lt;=$T38,DE$7&gt;$T38-TIME(0,TimeIncr,0)),AND(DE$7&lt;=$V38,DE$7&gt;$V38-TIME(0,TimeIncr,0)),AND(DE$7&lt;=$X38,DE$7&gt;$X38-TIME(0,TimeIncr,0)),AND(DE$7&lt;=$Z38,DE$7&gt;$Z38-TIME(0,TimeIncr,0)),AND(DE$7&lt;=$AB38,DE$7&gt;$AB38-TIME(0,TimeIncr,0)),AND(DE$7&lt;=$AD38,DE$7&gt;$AD38-TIME(0,TimeIncr,0)),AND(DE$7&lt;=$AF38,DE$7&gt;$AF38-TIME(0,TimeIncr,0)),AND(DE$7&lt;=$AH38,DE$7&gt;$AH38-TIME(0,TimeIncr,0)),AND(DE$7&lt;=$AJ38,DE$7&gt;$AJ38-TIME(0,TimeIncr,0))),$E38*$L38,IF(OR(AND(DE$7&gt;=$M38,DE$7&lt;=$N38),AND(DE$7&gt;=$O38,DE$7&lt;=$P38),AND(DE$7&gt;=$Q38,DE$7&lt;=$R38),AND(DE$7&gt;=$S38,DE$7&lt;=$T38),AND(DE$7&gt;=$U38,DE$7&lt;=$V38),AND(DE$7&gt;=$W38,DE$7&lt;=$X38),AND(DE$7&gt;=$Y38,DE$7&lt;=$Z38),AND(DE$7&gt;=$AA38,DE$7&lt;=$AB38),AND(DE$7&gt;=$AC38,DE$7&lt;=$AD38),AND(DE$7&gt;=$AE38,DE$7&lt;=$AF38),AND(DE$7&gt;=$AG38,DE$7&lt;=$AH38),AND(DE$7&gt;=$AI38,DE$7&lt;=$AJ38)),0,IF(OR(AND($M38&gt;$N38,DE$7&lt;=$N38),AND($O38&gt;$P38,DE$7&lt;=$P38),AND($Q38&gt;$R38,DE$7&lt;=$R38),AND($S38&gt;$T38,DE$7&lt;=$T38),AND($U38&gt;$V38,DE$7&lt;=$V38),AND($W38&gt;$X38,DE$7&lt;=$X38),AND($Y38&gt;$Z38,DE$7&lt;=$Z38),AND($AA38&gt;$AB38,DE$7&lt;=$AB38),AND($AC38&gt;$AD38,DE$7&lt;=$AD38),AND($AE38&gt;$AF38,DE$7&lt;=$AF38),AND($AG38&gt;$AH38,DE$7&lt;=$AH38),AND($AI38&gt;$AJ38,DE$7&lt;=$AJ38)),0,IF(OR(AND(DE$7&gt;=$M38,$M38&gt;$N38),AND(DE$7&gt;=$O38,$O38&gt;$P38),AND(DE$7&gt;=$Q38,$Q38&gt;$R38),AND(DE$7&gt;=$S38,$S38&gt;$T38),AND(DE$7&gt;=$U38,$U38&gt;$V38),AND(DE$7&gt;=$W38,$W38&gt;$X38),AND(DE$7&gt;=$Y38,$Y38&gt;$Z38),AND(DE$7&gt;=$AA38,$AA38&gt;$AB38),AND(DE$7&gt;=$AC38,$AC38&gt;$AD38),AND(DE$7&gt;=$AE38,$AE38&gt;$AF38),AND(DE$7&gt;=$AG38,$AG38&gt;$AH38),AND(DE$7&gt;=$AI38,$AI38&gt;$AJ38)),0,$E38)))))</f>
        <v>0</v>
      </c>
      <c r="DF38" s="409">
        <f t="shared" si="105"/>
        <v>0</v>
      </c>
      <c r="DG38" s="409">
        <f t="shared" si="105"/>
        <v>0</v>
      </c>
      <c r="DH38" s="409">
        <f t="shared" si="105"/>
        <v>0</v>
      </c>
      <c r="DI38" s="409">
        <f t="shared" si="105"/>
        <v>0</v>
      </c>
      <c r="DJ38" s="409">
        <f t="shared" si="105"/>
        <v>0</v>
      </c>
      <c r="DK38" s="409">
        <f t="shared" si="105"/>
        <v>0</v>
      </c>
      <c r="DL38" s="409">
        <f t="shared" si="105"/>
        <v>0</v>
      </c>
      <c r="DM38" s="409">
        <f t="shared" si="105"/>
        <v>0</v>
      </c>
      <c r="DN38" s="409">
        <f t="shared" si="105"/>
        <v>0</v>
      </c>
      <c r="DO38" s="409">
        <f t="shared" ref="DO38:DX67" si="106">IF(ISNA(DO$7),"",IF(OR(AND(DO$7&lt;=$N38,DO$7&gt;$N38-TIME(0,TimeIncr,0)),AND(DO$7&lt;=$P38,DO$7&gt;$P38-TIME(0,TimeIncr,0)),AND(DO$7&lt;=$R38,DO$7&gt;$R38-TIME(0,TimeIncr,0)),AND(DO$7&lt;=$T38,DO$7&gt;$T38-TIME(0,TimeIncr,0)),AND(DO$7&lt;=$V38,DO$7&gt;$V38-TIME(0,TimeIncr,0)),AND(DO$7&lt;=$X38,DO$7&gt;$X38-TIME(0,TimeIncr,0)),AND(DO$7&lt;=$Z38,DO$7&gt;$Z38-TIME(0,TimeIncr,0)),AND(DO$7&lt;=$AB38,DO$7&gt;$AB38-TIME(0,TimeIncr,0)),AND(DO$7&lt;=$AD38,DO$7&gt;$AD38-TIME(0,TimeIncr,0)),AND(DO$7&lt;=$AF38,DO$7&gt;$AF38-TIME(0,TimeIncr,0)),AND(DO$7&lt;=$AH38,DO$7&gt;$AH38-TIME(0,TimeIncr,0)),AND(DO$7&lt;=$AJ38,DO$7&gt;$AJ38-TIME(0,TimeIncr,0))),$E38*$L38,IF(OR(AND(DO$7&gt;=$M38,DO$7&lt;=$N38),AND(DO$7&gt;=$O38,DO$7&lt;=$P38),AND(DO$7&gt;=$Q38,DO$7&lt;=$R38),AND(DO$7&gt;=$S38,DO$7&lt;=$T38),AND(DO$7&gt;=$U38,DO$7&lt;=$V38),AND(DO$7&gt;=$W38,DO$7&lt;=$X38),AND(DO$7&gt;=$Y38,DO$7&lt;=$Z38),AND(DO$7&gt;=$AA38,DO$7&lt;=$AB38),AND(DO$7&gt;=$AC38,DO$7&lt;=$AD38),AND(DO$7&gt;=$AE38,DO$7&lt;=$AF38),AND(DO$7&gt;=$AG38,DO$7&lt;=$AH38),AND(DO$7&gt;=$AI38,DO$7&lt;=$AJ38)),0,IF(OR(AND($M38&gt;$N38,DO$7&lt;=$N38),AND($O38&gt;$P38,DO$7&lt;=$P38),AND($Q38&gt;$R38,DO$7&lt;=$R38),AND($S38&gt;$T38,DO$7&lt;=$T38),AND($U38&gt;$V38,DO$7&lt;=$V38),AND($W38&gt;$X38,DO$7&lt;=$X38),AND($Y38&gt;$Z38,DO$7&lt;=$Z38),AND($AA38&gt;$AB38,DO$7&lt;=$AB38),AND($AC38&gt;$AD38,DO$7&lt;=$AD38),AND($AE38&gt;$AF38,DO$7&lt;=$AF38),AND($AG38&gt;$AH38,DO$7&lt;=$AH38),AND($AI38&gt;$AJ38,DO$7&lt;=$AJ38)),0,IF(OR(AND(DO$7&gt;=$M38,$M38&gt;$N38),AND(DO$7&gt;=$O38,$O38&gt;$P38),AND(DO$7&gt;=$Q38,$Q38&gt;$R38),AND(DO$7&gt;=$S38,$S38&gt;$T38),AND(DO$7&gt;=$U38,$U38&gt;$V38),AND(DO$7&gt;=$W38,$W38&gt;$X38),AND(DO$7&gt;=$Y38,$Y38&gt;$Z38),AND(DO$7&gt;=$AA38,$AA38&gt;$AB38),AND(DO$7&gt;=$AC38,$AC38&gt;$AD38),AND(DO$7&gt;=$AE38,$AE38&gt;$AF38),AND(DO$7&gt;=$AG38,$AG38&gt;$AH38),AND(DO$7&gt;=$AI38,$AI38&gt;$AJ38)),0,$E38)))))</f>
        <v>0</v>
      </c>
      <c r="DP38" s="409">
        <f t="shared" si="106"/>
        <v>0</v>
      </c>
      <c r="DQ38" s="409">
        <f t="shared" si="106"/>
        <v>0</v>
      </c>
      <c r="DR38" s="409">
        <f t="shared" si="106"/>
        <v>0</v>
      </c>
      <c r="DS38" s="409">
        <f t="shared" si="106"/>
        <v>0</v>
      </c>
      <c r="DT38" s="409">
        <f t="shared" si="106"/>
        <v>0</v>
      </c>
      <c r="DU38" s="409">
        <f t="shared" si="106"/>
        <v>0</v>
      </c>
      <c r="DV38" s="409">
        <f t="shared" si="106"/>
        <v>0</v>
      </c>
      <c r="DW38" s="409">
        <f t="shared" si="106"/>
        <v>0</v>
      </c>
      <c r="DX38" s="409">
        <f t="shared" si="106"/>
        <v>0</v>
      </c>
      <c r="DY38" s="409">
        <f t="shared" ref="DY38:EH67" si="107">IF(ISNA(DY$7),"",IF(OR(AND(DY$7&lt;=$N38,DY$7&gt;$N38-TIME(0,TimeIncr,0)),AND(DY$7&lt;=$P38,DY$7&gt;$P38-TIME(0,TimeIncr,0)),AND(DY$7&lt;=$R38,DY$7&gt;$R38-TIME(0,TimeIncr,0)),AND(DY$7&lt;=$T38,DY$7&gt;$T38-TIME(0,TimeIncr,0)),AND(DY$7&lt;=$V38,DY$7&gt;$V38-TIME(0,TimeIncr,0)),AND(DY$7&lt;=$X38,DY$7&gt;$X38-TIME(0,TimeIncr,0)),AND(DY$7&lt;=$Z38,DY$7&gt;$Z38-TIME(0,TimeIncr,0)),AND(DY$7&lt;=$AB38,DY$7&gt;$AB38-TIME(0,TimeIncr,0)),AND(DY$7&lt;=$AD38,DY$7&gt;$AD38-TIME(0,TimeIncr,0)),AND(DY$7&lt;=$AF38,DY$7&gt;$AF38-TIME(0,TimeIncr,0)),AND(DY$7&lt;=$AH38,DY$7&gt;$AH38-TIME(0,TimeIncr,0)),AND(DY$7&lt;=$AJ38,DY$7&gt;$AJ38-TIME(0,TimeIncr,0))),$E38*$L38,IF(OR(AND(DY$7&gt;=$M38,DY$7&lt;=$N38),AND(DY$7&gt;=$O38,DY$7&lt;=$P38),AND(DY$7&gt;=$Q38,DY$7&lt;=$R38),AND(DY$7&gt;=$S38,DY$7&lt;=$T38),AND(DY$7&gt;=$U38,DY$7&lt;=$V38),AND(DY$7&gt;=$W38,DY$7&lt;=$X38),AND(DY$7&gt;=$Y38,DY$7&lt;=$Z38),AND(DY$7&gt;=$AA38,DY$7&lt;=$AB38),AND(DY$7&gt;=$AC38,DY$7&lt;=$AD38),AND(DY$7&gt;=$AE38,DY$7&lt;=$AF38),AND(DY$7&gt;=$AG38,DY$7&lt;=$AH38),AND(DY$7&gt;=$AI38,DY$7&lt;=$AJ38)),0,IF(OR(AND($M38&gt;$N38,DY$7&lt;=$N38),AND($O38&gt;$P38,DY$7&lt;=$P38),AND($Q38&gt;$R38,DY$7&lt;=$R38),AND($S38&gt;$T38,DY$7&lt;=$T38),AND($U38&gt;$V38,DY$7&lt;=$V38),AND($W38&gt;$X38,DY$7&lt;=$X38),AND($Y38&gt;$Z38,DY$7&lt;=$Z38),AND($AA38&gt;$AB38,DY$7&lt;=$AB38),AND($AC38&gt;$AD38,DY$7&lt;=$AD38),AND($AE38&gt;$AF38,DY$7&lt;=$AF38),AND($AG38&gt;$AH38,DY$7&lt;=$AH38),AND($AI38&gt;$AJ38,DY$7&lt;=$AJ38)),0,IF(OR(AND(DY$7&gt;=$M38,$M38&gt;$N38),AND(DY$7&gt;=$O38,$O38&gt;$P38),AND(DY$7&gt;=$Q38,$Q38&gt;$R38),AND(DY$7&gt;=$S38,$S38&gt;$T38),AND(DY$7&gt;=$U38,$U38&gt;$V38),AND(DY$7&gt;=$W38,$W38&gt;$X38),AND(DY$7&gt;=$Y38,$Y38&gt;$Z38),AND(DY$7&gt;=$AA38,$AA38&gt;$AB38),AND(DY$7&gt;=$AC38,$AC38&gt;$AD38),AND(DY$7&gt;=$AE38,$AE38&gt;$AF38),AND(DY$7&gt;=$AG38,$AG38&gt;$AH38),AND(DY$7&gt;=$AI38,$AI38&gt;$AJ38)),0,$E38)))))</f>
        <v>0</v>
      </c>
      <c r="DZ38" s="409">
        <f t="shared" si="107"/>
        <v>0</v>
      </c>
      <c r="EA38" s="409">
        <f t="shared" si="107"/>
        <v>0</v>
      </c>
      <c r="EB38" s="409">
        <f t="shared" si="107"/>
        <v>0</v>
      </c>
      <c r="EC38" s="409">
        <f t="shared" si="107"/>
        <v>0</v>
      </c>
      <c r="ED38" s="409">
        <f t="shared" si="107"/>
        <v>0</v>
      </c>
      <c r="EE38" s="409">
        <f t="shared" si="107"/>
        <v>0</v>
      </c>
      <c r="EF38" s="409">
        <f t="shared" si="107"/>
        <v>0</v>
      </c>
      <c r="EG38" s="409">
        <f t="shared" si="107"/>
        <v>0</v>
      </c>
      <c r="EH38" s="409">
        <f t="shared" si="107"/>
        <v>0</v>
      </c>
      <c r="EI38" s="409">
        <f t="shared" ref="EI38:ER67" si="108">IF(ISNA(EI$7),"",IF(OR(AND(EI$7&lt;=$N38,EI$7&gt;$N38-TIME(0,TimeIncr,0)),AND(EI$7&lt;=$P38,EI$7&gt;$P38-TIME(0,TimeIncr,0)),AND(EI$7&lt;=$R38,EI$7&gt;$R38-TIME(0,TimeIncr,0)),AND(EI$7&lt;=$T38,EI$7&gt;$T38-TIME(0,TimeIncr,0)),AND(EI$7&lt;=$V38,EI$7&gt;$V38-TIME(0,TimeIncr,0)),AND(EI$7&lt;=$X38,EI$7&gt;$X38-TIME(0,TimeIncr,0)),AND(EI$7&lt;=$Z38,EI$7&gt;$Z38-TIME(0,TimeIncr,0)),AND(EI$7&lt;=$AB38,EI$7&gt;$AB38-TIME(0,TimeIncr,0)),AND(EI$7&lt;=$AD38,EI$7&gt;$AD38-TIME(0,TimeIncr,0)),AND(EI$7&lt;=$AF38,EI$7&gt;$AF38-TIME(0,TimeIncr,0)),AND(EI$7&lt;=$AH38,EI$7&gt;$AH38-TIME(0,TimeIncr,0)),AND(EI$7&lt;=$AJ38,EI$7&gt;$AJ38-TIME(0,TimeIncr,0))),$E38*$L38,IF(OR(AND(EI$7&gt;=$M38,EI$7&lt;=$N38),AND(EI$7&gt;=$O38,EI$7&lt;=$P38),AND(EI$7&gt;=$Q38,EI$7&lt;=$R38),AND(EI$7&gt;=$S38,EI$7&lt;=$T38),AND(EI$7&gt;=$U38,EI$7&lt;=$V38),AND(EI$7&gt;=$W38,EI$7&lt;=$X38),AND(EI$7&gt;=$Y38,EI$7&lt;=$Z38),AND(EI$7&gt;=$AA38,EI$7&lt;=$AB38),AND(EI$7&gt;=$AC38,EI$7&lt;=$AD38),AND(EI$7&gt;=$AE38,EI$7&lt;=$AF38),AND(EI$7&gt;=$AG38,EI$7&lt;=$AH38),AND(EI$7&gt;=$AI38,EI$7&lt;=$AJ38)),0,IF(OR(AND($M38&gt;$N38,EI$7&lt;=$N38),AND($O38&gt;$P38,EI$7&lt;=$P38),AND($Q38&gt;$R38,EI$7&lt;=$R38),AND($S38&gt;$T38,EI$7&lt;=$T38),AND($U38&gt;$V38,EI$7&lt;=$V38),AND($W38&gt;$X38,EI$7&lt;=$X38),AND($Y38&gt;$Z38,EI$7&lt;=$Z38),AND($AA38&gt;$AB38,EI$7&lt;=$AB38),AND($AC38&gt;$AD38,EI$7&lt;=$AD38),AND($AE38&gt;$AF38,EI$7&lt;=$AF38),AND($AG38&gt;$AH38,EI$7&lt;=$AH38),AND($AI38&gt;$AJ38,EI$7&lt;=$AJ38)),0,IF(OR(AND(EI$7&gt;=$M38,$M38&gt;$N38),AND(EI$7&gt;=$O38,$O38&gt;$P38),AND(EI$7&gt;=$Q38,$Q38&gt;$R38),AND(EI$7&gt;=$S38,$S38&gt;$T38),AND(EI$7&gt;=$U38,$U38&gt;$V38),AND(EI$7&gt;=$W38,$W38&gt;$X38),AND(EI$7&gt;=$Y38,$Y38&gt;$Z38),AND(EI$7&gt;=$AA38,$AA38&gt;$AB38),AND(EI$7&gt;=$AC38,$AC38&gt;$AD38),AND(EI$7&gt;=$AE38,$AE38&gt;$AF38),AND(EI$7&gt;=$AG38,$AG38&gt;$AH38),AND(EI$7&gt;=$AI38,$AI38&gt;$AJ38)),0,$E38)))))</f>
        <v>0</v>
      </c>
      <c r="EJ38" s="409">
        <f t="shared" si="108"/>
        <v>0</v>
      </c>
      <c r="EK38" s="409">
        <f t="shared" si="108"/>
        <v>0</v>
      </c>
      <c r="EL38" s="409">
        <f t="shared" si="108"/>
        <v>0</v>
      </c>
      <c r="EM38" s="409">
        <f t="shared" si="108"/>
        <v>0</v>
      </c>
      <c r="EN38" s="409">
        <f t="shared" si="108"/>
        <v>0</v>
      </c>
      <c r="EO38" s="409">
        <f t="shared" si="108"/>
        <v>0</v>
      </c>
      <c r="EP38" s="409">
        <f t="shared" si="108"/>
        <v>0</v>
      </c>
      <c r="EQ38" s="409">
        <f t="shared" si="108"/>
        <v>0</v>
      </c>
      <c r="ER38" s="409">
        <f t="shared" si="108"/>
        <v>0</v>
      </c>
      <c r="ES38" s="409">
        <f t="shared" ref="ES38:FB67" si="109">IF(ISNA(ES$7),"",IF(OR(AND(ES$7&lt;=$N38,ES$7&gt;$N38-TIME(0,TimeIncr,0)),AND(ES$7&lt;=$P38,ES$7&gt;$P38-TIME(0,TimeIncr,0)),AND(ES$7&lt;=$R38,ES$7&gt;$R38-TIME(0,TimeIncr,0)),AND(ES$7&lt;=$T38,ES$7&gt;$T38-TIME(0,TimeIncr,0)),AND(ES$7&lt;=$V38,ES$7&gt;$V38-TIME(0,TimeIncr,0)),AND(ES$7&lt;=$X38,ES$7&gt;$X38-TIME(0,TimeIncr,0)),AND(ES$7&lt;=$Z38,ES$7&gt;$Z38-TIME(0,TimeIncr,0)),AND(ES$7&lt;=$AB38,ES$7&gt;$AB38-TIME(0,TimeIncr,0)),AND(ES$7&lt;=$AD38,ES$7&gt;$AD38-TIME(0,TimeIncr,0)),AND(ES$7&lt;=$AF38,ES$7&gt;$AF38-TIME(0,TimeIncr,0)),AND(ES$7&lt;=$AH38,ES$7&gt;$AH38-TIME(0,TimeIncr,0)),AND(ES$7&lt;=$AJ38,ES$7&gt;$AJ38-TIME(0,TimeIncr,0))),$E38*$L38,IF(OR(AND(ES$7&gt;=$M38,ES$7&lt;=$N38),AND(ES$7&gt;=$O38,ES$7&lt;=$P38),AND(ES$7&gt;=$Q38,ES$7&lt;=$R38),AND(ES$7&gt;=$S38,ES$7&lt;=$T38),AND(ES$7&gt;=$U38,ES$7&lt;=$V38),AND(ES$7&gt;=$W38,ES$7&lt;=$X38),AND(ES$7&gt;=$Y38,ES$7&lt;=$Z38),AND(ES$7&gt;=$AA38,ES$7&lt;=$AB38),AND(ES$7&gt;=$AC38,ES$7&lt;=$AD38),AND(ES$7&gt;=$AE38,ES$7&lt;=$AF38),AND(ES$7&gt;=$AG38,ES$7&lt;=$AH38),AND(ES$7&gt;=$AI38,ES$7&lt;=$AJ38)),0,IF(OR(AND($M38&gt;$N38,ES$7&lt;=$N38),AND($O38&gt;$P38,ES$7&lt;=$P38),AND($Q38&gt;$R38,ES$7&lt;=$R38),AND($S38&gt;$T38,ES$7&lt;=$T38),AND($U38&gt;$V38,ES$7&lt;=$V38),AND($W38&gt;$X38,ES$7&lt;=$X38),AND($Y38&gt;$Z38,ES$7&lt;=$Z38),AND($AA38&gt;$AB38,ES$7&lt;=$AB38),AND($AC38&gt;$AD38,ES$7&lt;=$AD38),AND($AE38&gt;$AF38,ES$7&lt;=$AF38),AND($AG38&gt;$AH38,ES$7&lt;=$AH38),AND($AI38&gt;$AJ38,ES$7&lt;=$AJ38)),0,IF(OR(AND(ES$7&gt;=$M38,$M38&gt;$N38),AND(ES$7&gt;=$O38,$O38&gt;$P38),AND(ES$7&gt;=$Q38,$Q38&gt;$R38),AND(ES$7&gt;=$S38,$S38&gt;$T38),AND(ES$7&gt;=$U38,$U38&gt;$V38),AND(ES$7&gt;=$W38,$W38&gt;$X38),AND(ES$7&gt;=$Y38,$Y38&gt;$Z38),AND(ES$7&gt;=$AA38,$AA38&gt;$AB38),AND(ES$7&gt;=$AC38,$AC38&gt;$AD38),AND(ES$7&gt;=$AE38,$AE38&gt;$AF38),AND(ES$7&gt;=$AG38,$AG38&gt;$AH38),AND(ES$7&gt;=$AI38,$AI38&gt;$AJ38)),0,$E38)))))</f>
        <v>0</v>
      </c>
      <c r="ET38" s="409">
        <f t="shared" si="109"/>
        <v>0</v>
      </c>
      <c r="EU38" s="409">
        <f t="shared" si="109"/>
        <v>0</v>
      </c>
      <c r="EV38" s="409">
        <f t="shared" si="109"/>
        <v>0</v>
      </c>
      <c r="EW38" s="409">
        <f t="shared" si="109"/>
        <v>0</v>
      </c>
      <c r="EX38" s="409">
        <f t="shared" si="109"/>
        <v>0</v>
      </c>
      <c r="EY38" s="409">
        <f t="shared" si="109"/>
        <v>0</v>
      </c>
      <c r="EZ38" s="409">
        <f t="shared" si="109"/>
        <v>0</v>
      </c>
      <c r="FA38" s="409">
        <f t="shared" si="109"/>
        <v>0</v>
      </c>
      <c r="FB38" s="409">
        <f t="shared" si="109"/>
        <v>0</v>
      </c>
      <c r="FC38" s="409">
        <f t="shared" ref="FC38:FL67" si="110">IF(ISNA(FC$7),"",IF(OR(AND(FC$7&lt;=$N38,FC$7&gt;$N38-TIME(0,TimeIncr,0)),AND(FC$7&lt;=$P38,FC$7&gt;$P38-TIME(0,TimeIncr,0)),AND(FC$7&lt;=$R38,FC$7&gt;$R38-TIME(0,TimeIncr,0)),AND(FC$7&lt;=$T38,FC$7&gt;$T38-TIME(0,TimeIncr,0)),AND(FC$7&lt;=$V38,FC$7&gt;$V38-TIME(0,TimeIncr,0)),AND(FC$7&lt;=$X38,FC$7&gt;$X38-TIME(0,TimeIncr,0)),AND(FC$7&lt;=$Z38,FC$7&gt;$Z38-TIME(0,TimeIncr,0)),AND(FC$7&lt;=$AB38,FC$7&gt;$AB38-TIME(0,TimeIncr,0)),AND(FC$7&lt;=$AD38,FC$7&gt;$AD38-TIME(0,TimeIncr,0)),AND(FC$7&lt;=$AF38,FC$7&gt;$AF38-TIME(0,TimeIncr,0)),AND(FC$7&lt;=$AH38,FC$7&gt;$AH38-TIME(0,TimeIncr,0)),AND(FC$7&lt;=$AJ38,FC$7&gt;$AJ38-TIME(0,TimeIncr,0))),$E38*$L38,IF(OR(AND(FC$7&gt;=$M38,FC$7&lt;=$N38),AND(FC$7&gt;=$O38,FC$7&lt;=$P38),AND(FC$7&gt;=$Q38,FC$7&lt;=$R38),AND(FC$7&gt;=$S38,FC$7&lt;=$T38),AND(FC$7&gt;=$U38,FC$7&lt;=$V38),AND(FC$7&gt;=$W38,FC$7&lt;=$X38),AND(FC$7&gt;=$Y38,FC$7&lt;=$Z38),AND(FC$7&gt;=$AA38,FC$7&lt;=$AB38),AND(FC$7&gt;=$AC38,FC$7&lt;=$AD38),AND(FC$7&gt;=$AE38,FC$7&lt;=$AF38),AND(FC$7&gt;=$AG38,FC$7&lt;=$AH38),AND(FC$7&gt;=$AI38,FC$7&lt;=$AJ38)),0,IF(OR(AND($M38&gt;$N38,FC$7&lt;=$N38),AND($O38&gt;$P38,FC$7&lt;=$P38),AND($Q38&gt;$R38,FC$7&lt;=$R38),AND($S38&gt;$T38,FC$7&lt;=$T38),AND($U38&gt;$V38,FC$7&lt;=$V38),AND($W38&gt;$X38,FC$7&lt;=$X38),AND($Y38&gt;$Z38,FC$7&lt;=$Z38),AND($AA38&gt;$AB38,FC$7&lt;=$AB38),AND($AC38&gt;$AD38,FC$7&lt;=$AD38),AND($AE38&gt;$AF38,FC$7&lt;=$AF38),AND($AG38&gt;$AH38,FC$7&lt;=$AH38),AND($AI38&gt;$AJ38,FC$7&lt;=$AJ38)),0,IF(OR(AND(FC$7&gt;=$M38,$M38&gt;$N38),AND(FC$7&gt;=$O38,$O38&gt;$P38),AND(FC$7&gt;=$Q38,$Q38&gt;$R38),AND(FC$7&gt;=$S38,$S38&gt;$T38),AND(FC$7&gt;=$U38,$U38&gt;$V38),AND(FC$7&gt;=$W38,$W38&gt;$X38),AND(FC$7&gt;=$Y38,$Y38&gt;$Z38),AND(FC$7&gt;=$AA38,$AA38&gt;$AB38),AND(FC$7&gt;=$AC38,$AC38&gt;$AD38),AND(FC$7&gt;=$AE38,$AE38&gt;$AF38),AND(FC$7&gt;=$AG38,$AG38&gt;$AH38),AND(FC$7&gt;=$AI38,$AI38&gt;$AJ38)),0,$E38)))))</f>
        <v>0</v>
      </c>
      <c r="FD38" s="409">
        <f t="shared" si="110"/>
        <v>0</v>
      </c>
      <c r="FE38" s="409">
        <f t="shared" si="110"/>
        <v>0</v>
      </c>
      <c r="FF38" s="409">
        <f t="shared" si="110"/>
        <v>0</v>
      </c>
      <c r="FG38" s="409">
        <f t="shared" si="110"/>
        <v>0</v>
      </c>
      <c r="FH38" s="409">
        <f t="shared" si="110"/>
        <v>0</v>
      </c>
      <c r="FI38" s="409">
        <f t="shared" si="110"/>
        <v>0</v>
      </c>
      <c r="FJ38" s="409">
        <f t="shared" si="110"/>
        <v>0</v>
      </c>
      <c r="FK38" s="409">
        <f t="shared" si="110"/>
        <v>0</v>
      </c>
      <c r="FL38" s="409">
        <f t="shared" si="110"/>
        <v>0</v>
      </c>
      <c r="FM38" s="409">
        <f t="shared" ref="FM38:FV67" si="111">IF(ISNA(FM$7),"",IF(OR(AND(FM$7&lt;=$N38,FM$7&gt;$N38-TIME(0,TimeIncr,0)),AND(FM$7&lt;=$P38,FM$7&gt;$P38-TIME(0,TimeIncr,0)),AND(FM$7&lt;=$R38,FM$7&gt;$R38-TIME(0,TimeIncr,0)),AND(FM$7&lt;=$T38,FM$7&gt;$T38-TIME(0,TimeIncr,0)),AND(FM$7&lt;=$V38,FM$7&gt;$V38-TIME(0,TimeIncr,0)),AND(FM$7&lt;=$X38,FM$7&gt;$X38-TIME(0,TimeIncr,0)),AND(FM$7&lt;=$Z38,FM$7&gt;$Z38-TIME(0,TimeIncr,0)),AND(FM$7&lt;=$AB38,FM$7&gt;$AB38-TIME(0,TimeIncr,0)),AND(FM$7&lt;=$AD38,FM$7&gt;$AD38-TIME(0,TimeIncr,0)),AND(FM$7&lt;=$AF38,FM$7&gt;$AF38-TIME(0,TimeIncr,0)),AND(FM$7&lt;=$AH38,FM$7&gt;$AH38-TIME(0,TimeIncr,0)),AND(FM$7&lt;=$AJ38,FM$7&gt;$AJ38-TIME(0,TimeIncr,0))),$E38*$L38,IF(OR(AND(FM$7&gt;=$M38,FM$7&lt;=$N38),AND(FM$7&gt;=$O38,FM$7&lt;=$P38),AND(FM$7&gt;=$Q38,FM$7&lt;=$R38),AND(FM$7&gt;=$S38,FM$7&lt;=$T38),AND(FM$7&gt;=$U38,FM$7&lt;=$V38),AND(FM$7&gt;=$W38,FM$7&lt;=$X38),AND(FM$7&gt;=$Y38,FM$7&lt;=$Z38),AND(FM$7&gt;=$AA38,FM$7&lt;=$AB38),AND(FM$7&gt;=$AC38,FM$7&lt;=$AD38),AND(FM$7&gt;=$AE38,FM$7&lt;=$AF38),AND(FM$7&gt;=$AG38,FM$7&lt;=$AH38),AND(FM$7&gt;=$AI38,FM$7&lt;=$AJ38)),0,IF(OR(AND($M38&gt;$N38,FM$7&lt;=$N38),AND($O38&gt;$P38,FM$7&lt;=$P38),AND($Q38&gt;$R38,FM$7&lt;=$R38),AND($S38&gt;$T38,FM$7&lt;=$T38),AND($U38&gt;$V38,FM$7&lt;=$V38),AND($W38&gt;$X38,FM$7&lt;=$X38),AND($Y38&gt;$Z38,FM$7&lt;=$Z38),AND($AA38&gt;$AB38,FM$7&lt;=$AB38),AND($AC38&gt;$AD38,FM$7&lt;=$AD38),AND($AE38&gt;$AF38,FM$7&lt;=$AF38),AND($AG38&gt;$AH38,FM$7&lt;=$AH38),AND($AI38&gt;$AJ38,FM$7&lt;=$AJ38)),0,IF(OR(AND(FM$7&gt;=$M38,$M38&gt;$N38),AND(FM$7&gt;=$O38,$O38&gt;$P38),AND(FM$7&gt;=$Q38,$Q38&gt;$R38),AND(FM$7&gt;=$S38,$S38&gt;$T38),AND(FM$7&gt;=$U38,$U38&gt;$V38),AND(FM$7&gt;=$W38,$W38&gt;$X38),AND(FM$7&gt;=$Y38,$Y38&gt;$Z38),AND(FM$7&gt;=$AA38,$AA38&gt;$AB38),AND(FM$7&gt;=$AC38,$AC38&gt;$AD38),AND(FM$7&gt;=$AE38,$AE38&gt;$AF38),AND(FM$7&gt;=$AG38,$AG38&gt;$AH38),AND(FM$7&gt;=$AI38,$AI38&gt;$AJ38)),0,$E38)))))</f>
        <v>0</v>
      </c>
      <c r="FN38" s="409">
        <f t="shared" si="111"/>
        <v>0</v>
      </c>
      <c r="FO38" s="409">
        <f t="shared" si="111"/>
        <v>0</v>
      </c>
      <c r="FP38" s="409">
        <f t="shared" si="111"/>
        <v>0</v>
      </c>
      <c r="FQ38" s="409">
        <f t="shared" si="111"/>
        <v>0</v>
      </c>
      <c r="FR38" s="409">
        <f t="shared" si="111"/>
        <v>0</v>
      </c>
      <c r="FS38" s="409">
        <f t="shared" si="111"/>
        <v>0</v>
      </c>
      <c r="FT38" s="409">
        <f t="shared" si="111"/>
        <v>0</v>
      </c>
      <c r="FU38" s="409">
        <f t="shared" si="111"/>
        <v>0</v>
      </c>
      <c r="FV38" s="409">
        <f t="shared" si="111"/>
        <v>0</v>
      </c>
      <c r="FW38" s="409">
        <f t="shared" ref="FW38:GF67" si="112">IF(ISNA(FW$7),"",IF(OR(AND(FW$7&lt;=$N38,FW$7&gt;$N38-TIME(0,TimeIncr,0)),AND(FW$7&lt;=$P38,FW$7&gt;$P38-TIME(0,TimeIncr,0)),AND(FW$7&lt;=$R38,FW$7&gt;$R38-TIME(0,TimeIncr,0)),AND(FW$7&lt;=$T38,FW$7&gt;$T38-TIME(0,TimeIncr,0)),AND(FW$7&lt;=$V38,FW$7&gt;$V38-TIME(0,TimeIncr,0)),AND(FW$7&lt;=$X38,FW$7&gt;$X38-TIME(0,TimeIncr,0)),AND(FW$7&lt;=$Z38,FW$7&gt;$Z38-TIME(0,TimeIncr,0)),AND(FW$7&lt;=$AB38,FW$7&gt;$AB38-TIME(0,TimeIncr,0)),AND(FW$7&lt;=$AD38,FW$7&gt;$AD38-TIME(0,TimeIncr,0)),AND(FW$7&lt;=$AF38,FW$7&gt;$AF38-TIME(0,TimeIncr,0)),AND(FW$7&lt;=$AH38,FW$7&gt;$AH38-TIME(0,TimeIncr,0)),AND(FW$7&lt;=$AJ38,FW$7&gt;$AJ38-TIME(0,TimeIncr,0))),$E38*$L38,IF(OR(AND(FW$7&gt;=$M38,FW$7&lt;=$N38),AND(FW$7&gt;=$O38,FW$7&lt;=$P38),AND(FW$7&gt;=$Q38,FW$7&lt;=$R38),AND(FW$7&gt;=$S38,FW$7&lt;=$T38),AND(FW$7&gt;=$U38,FW$7&lt;=$V38),AND(FW$7&gt;=$W38,FW$7&lt;=$X38),AND(FW$7&gt;=$Y38,FW$7&lt;=$Z38),AND(FW$7&gt;=$AA38,FW$7&lt;=$AB38),AND(FW$7&gt;=$AC38,FW$7&lt;=$AD38),AND(FW$7&gt;=$AE38,FW$7&lt;=$AF38),AND(FW$7&gt;=$AG38,FW$7&lt;=$AH38),AND(FW$7&gt;=$AI38,FW$7&lt;=$AJ38)),0,IF(OR(AND($M38&gt;$N38,FW$7&lt;=$N38),AND($O38&gt;$P38,FW$7&lt;=$P38),AND($Q38&gt;$R38,FW$7&lt;=$R38),AND($S38&gt;$T38,FW$7&lt;=$T38),AND($U38&gt;$V38,FW$7&lt;=$V38),AND($W38&gt;$X38,FW$7&lt;=$X38),AND($Y38&gt;$Z38,FW$7&lt;=$Z38),AND($AA38&gt;$AB38,FW$7&lt;=$AB38),AND($AC38&gt;$AD38,FW$7&lt;=$AD38),AND($AE38&gt;$AF38,FW$7&lt;=$AF38),AND($AG38&gt;$AH38,FW$7&lt;=$AH38),AND($AI38&gt;$AJ38,FW$7&lt;=$AJ38)),0,IF(OR(AND(FW$7&gt;=$M38,$M38&gt;$N38),AND(FW$7&gt;=$O38,$O38&gt;$P38),AND(FW$7&gt;=$Q38,$Q38&gt;$R38),AND(FW$7&gt;=$S38,$S38&gt;$T38),AND(FW$7&gt;=$U38,$U38&gt;$V38),AND(FW$7&gt;=$W38,$W38&gt;$X38),AND(FW$7&gt;=$Y38,$Y38&gt;$Z38),AND(FW$7&gt;=$AA38,$AA38&gt;$AB38),AND(FW$7&gt;=$AC38,$AC38&gt;$AD38),AND(FW$7&gt;=$AE38,$AE38&gt;$AF38),AND(FW$7&gt;=$AG38,$AG38&gt;$AH38),AND(FW$7&gt;=$AI38,$AI38&gt;$AJ38)),0,$E38)))))</f>
        <v>0</v>
      </c>
      <c r="FX38" s="409">
        <f t="shared" si="112"/>
        <v>0</v>
      </c>
      <c r="FY38" s="409">
        <f t="shared" si="112"/>
        <v>0</v>
      </c>
      <c r="FZ38" s="409">
        <f t="shared" si="112"/>
        <v>0</v>
      </c>
      <c r="GA38" s="409">
        <f t="shared" si="112"/>
        <v>0</v>
      </c>
      <c r="GB38" s="409">
        <f t="shared" si="112"/>
        <v>0</v>
      </c>
      <c r="GC38" s="409">
        <f t="shared" si="112"/>
        <v>0</v>
      </c>
      <c r="GD38" s="409">
        <f t="shared" si="112"/>
        <v>0</v>
      </c>
      <c r="GE38" s="409">
        <f t="shared" si="112"/>
        <v>0</v>
      </c>
      <c r="GF38" s="409">
        <f t="shared" si="112"/>
        <v>0</v>
      </c>
      <c r="GG38" s="409">
        <f t="shared" ref="GG38:GP67" si="113">IF(ISNA(GG$7),"",IF(OR(AND(GG$7&lt;=$N38,GG$7&gt;$N38-TIME(0,TimeIncr,0)),AND(GG$7&lt;=$P38,GG$7&gt;$P38-TIME(0,TimeIncr,0)),AND(GG$7&lt;=$R38,GG$7&gt;$R38-TIME(0,TimeIncr,0)),AND(GG$7&lt;=$T38,GG$7&gt;$T38-TIME(0,TimeIncr,0)),AND(GG$7&lt;=$V38,GG$7&gt;$V38-TIME(0,TimeIncr,0)),AND(GG$7&lt;=$X38,GG$7&gt;$X38-TIME(0,TimeIncr,0)),AND(GG$7&lt;=$Z38,GG$7&gt;$Z38-TIME(0,TimeIncr,0)),AND(GG$7&lt;=$AB38,GG$7&gt;$AB38-TIME(0,TimeIncr,0)),AND(GG$7&lt;=$AD38,GG$7&gt;$AD38-TIME(0,TimeIncr,0)),AND(GG$7&lt;=$AF38,GG$7&gt;$AF38-TIME(0,TimeIncr,0)),AND(GG$7&lt;=$AH38,GG$7&gt;$AH38-TIME(0,TimeIncr,0)),AND(GG$7&lt;=$AJ38,GG$7&gt;$AJ38-TIME(0,TimeIncr,0))),$E38*$L38,IF(OR(AND(GG$7&gt;=$M38,GG$7&lt;=$N38),AND(GG$7&gt;=$O38,GG$7&lt;=$P38),AND(GG$7&gt;=$Q38,GG$7&lt;=$R38),AND(GG$7&gt;=$S38,GG$7&lt;=$T38),AND(GG$7&gt;=$U38,GG$7&lt;=$V38),AND(GG$7&gt;=$W38,GG$7&lt;=$X38),AND(GG$7&gt;=$Y38,GG$7&lt;=$Z38),AND(GG$7&gt;=$AA38,GG$7&lt;=$AB38),AND(GG$7&gt;=$AC38,GG$7&lt;=$AD38),AND(GG$7&gt;=$AE38,GG$7&lt;=$AF38),AND(GG$7&gt;=$AG38,GG$7&lt;=$AH38),AND(GG$7&gt;=$AI38,GG$7&lt;=$AJ38)),0,IF(OR(AND($M38&gt;$N38,GG$7&lt;=$N38),AND($O38&gt;$P38,GG$7&lt;=$P38),AND($Q38&gt;$R38,GG$7&lt;=$R38),AND($S38&gt;$T38,GG$7&lt;=$T38),AND($U38&gt;$V38,GG$7&lt;=$V38),AND($W38&gt;$X38,GG$7&lt;=$X38),AND($Y38&gt;$Z38,GG$7&lt;=$Z38),AND($AA38&gt;$AB38,GG$7&lt;=$AB38),AND($AC38&gt;$AD38,GG$7&lt;=$AD38),AND($AE38&gt;$AF38,GG$7&lt;=$AF38),AND($AG38&gt;$AH38,GG$7&lt;=$AH38),AND($AI38&gt;$AJ38,GG$7&lt;=$AJ38)),0,IF(OR(AND(GG$7&gt;=$M38,$M38&gt;$N38),AND(GG$7&gt;=$O38,$O38&gt;$P38),AND(GG$7&gt;=$Q38,$Q38&gt;$R38),AND(GG$7&gt;=$S38,$S38&gt;$T38),AND(GG$7&gt;=$U38,$U38&gt;$V38),AND(GG$7&gt;=$W38,$W38&gt;$X38),AND(GG$7&gt;=$Y38,$Y38&gt;$Z38),AND(GG$7&gt;=$AA38,$AA38&gt;$AB38),AND(GG$7&gt;=$AC38,$AC38&gt;$AD38),AND(GG$7&gt;=$AE38,$AE38&gt;$AF38),AND(GG$7&gt;=$AG38,$AG38&gt;$AH38),AND(GG$7&gt;=$AI38,$AI38&gt;$AJ38)),0,$E38)))))</f>
        <v>0</v>
      </c>
      <c r="GH38" s="409">
        <f t="shared" si="113"/>
        <v>0</v>
      </c>
      <c r="GI38" s="409">
        <f t="shared" si="113"/>
        <v>0</v>
      </c>
      <c r="GJ38" s="409">
        <f t="shared" si="113"/>
        <v>0</v>
      </c>
      <c r="GK38" s="409">
        <f t="shared" si="113"/>
        <v>0</v>
      </c>
      <c r="GL38" s="409">
        <f t="shared" si="113"/>
        <v>0</v>
      </c>
      <c r="GM38" s="409">
        <f t="shared" si="113"/>
        <v>0</v>
      </c>
      <c r="GN38" s="409">
        <f t="shared" si="113"/>
        <v>0</v>
      </c>
      <c r="GO38" s="409">
        <f t="shared" si="113"/>
        <v>0</v>
      </c>
      <c r="GP38" s="409">
        <f t="shared" si="113"/>
        <v>0</v>
      </c>
      <c r="GQ38" s="409">
        <f t="shared" ref="GQ38:GZ67" si="114">IF(ISNA(GQ$7),"",IF(OR(AND(GQ$7&lt;=$N38,GQ$7&gt;$N38-TIME(0,TimeIncr,0)),AND(GQ$7&lt;=$P38,GQ$7&gt;$P38-TIME(0,TimeIncr,0)),AND(GQ$7&lt;=$R38,GQ$7&gt;$R38-TIME(0,TimeIncr,0)),AND(GQ$7&lt;=$T38,GQ$7&gt;$T38-TIME(0,TimeIncr,0)),AND(GQ$7&lt;=$V38,GQ$7&gt;$V38-TIME(0,TimeIncr,0)),AND(GQ$7&lt;=$X38,GQ$7&gt;$X38-TIME(0,TimeIncr,0)),AND(GQ$7&lt;=$Z38,GQ$7&gt;$Z38-TIME(0,TimeIncr,0)),AND(GQ$7&lt;=$AB38,GQ$7&gt;$AB38-TIME(0,TimeIncr,0)),AND(GQ$7&lt;=$AD38,GQ$7&gt;$AD38-TIME(0,TimeIncr,0)),AND(GQ$7&lt;=$AF38,GQ$7&gt;$AF38-TIME(0,TimeIncr,0)),AND(GQ$7&lt;=$AH38,GQ$7&gt;$AH38-TIME(0,TimeIncr,0)),AND(GQ$7&lt;=$AJ38,GQ$7&gt;$AJ38-TIME(0,TimeIncr,0))),$E38*$L38,IF(OR(AND(GQ$7&gt;=$M38,GQ$7&lt;=$N38),AND(GQ$7&gt;=$O38,GQ$7&lt;=$P38),AND(GQ$7&gt;=$Q38,GQ$7&lt;=$R38),AND(GQ$7&gt;=$S38,GQ$7&lt;=$T38),AND(GQ$7&gt;=$U38,GQ$7&lt;=$V38),AND(GQ$7&gt;=$W38,GQ$7&lt;=$X38),AND(GQ$7&gt;=$Y38,GQ$7&lt;=$Z38),AND(GQ$7&gt;=$AA38,GQ$7&lt;=$AB38),AND(GQ$7&gt;=$AC38,GQ$7&lt;=$AD38),AND(GQ$7&gt;=$AE38,GQ$7&lt;=$AF38),AND(GQ$7&gt;=$AG38,GQ$7&lt;=$AH38),AND(GQ$7&gt;=$AI38,GQ$7&lt;=$AJ38)),0,IF(OR(AND($M38&gt;$N38,GQ$7&lt;=$N38),AND($O38&gt;$P38,GQ$7&lt;=$P38),AND($Q38&gt;$R38,GQ$7&lt;=$R38),AND($S38&gt;$T38,GQ$7&lt;=$T38),AND($U38&gt;$V38,GQ$7&lt;=$V38),AND($W38&gt;$X38,GQ$7&lt;=$X38),AND($Y38&gt;$Z38,GQ$7&lt;=$Z38),AND($AA38&gt;$AB38,GQ$7&lt;=$AB38),AND($AC38&gt;$AD38,GQ$7&lt;=$AD38),AND($AE38&gt;$AF38,GQ$7&lt;=$AF38),AND($AG38&gt;$AH38,GQ$7&lt;=$AH38),AND($AI38&gt;$AJ38,GQ$7&lt;=$AJ38)),0,IF(OR(AND(GQ$7&gt;=$M38,$M38&gt;$N38),AND(GQ$7&gt;=$O38,$O38&gt;$P38),AND(GQ$7&gt;=$Q38,$Q38&gt;$R38),AND(GQ$7&gt;=$S38,$S38&gt;$T38),AND(GQ$7&gt;=$U38,$U38&gt;$V38),AND(GQ$7&gt;=$W38,$W38&gt;$X38),AND(GQ$7&gt;=$Y38,$Y38&gt;$Z38),AND(GQ$7&gt;=$AA38,$AA38&gt;$AB38),AND(GQ$7&gt;=$AC38,$AC38&gt;$AD38),AND(GQ$7&gt;=$AE38,$AE38&gt;$AF38),AND(GQ$7&gt;=$AG38,$AG38&gt;$AH38),AND(GQ$7&gt;=$AI38,$AI38&gt;$AJ38)),0,$E38)))))</f>
        <v>0</v>
      </c>
      <c r="GR38" s="409">
        <f t="shared" si="114"/>
        <v>0</v>
      </c>
      <c r="GS38" s="409">
        <f t="shared" si="114"/>
        <v>0</v>
      </c>
      <c r="GT38" s="409">
        <f t="shared" si="114"/>
        <v>0</v>
      </c>
      <c r="GU38" s="409">
        <f t="shared" si="114"/>
        <v>0</v>
      </c>
      <c r="GV38" s="409">
        <f t="shared" si="114"/>
        <v>0</v>
      </c>
      <c r="GW38" s="409">
        <f t="shared" si="114"/>
        <v>0</v>
      </c>
      <c r="GX38" s="409">
        <f t="shared" si="114"/>
        <v>0</v>
      </c>
      <c r="GY38" s="409">
        <f t="shared" si="114"/>
        <v>0</v>
      </c>
      <c r="GZ38" s="409">
        <f t="shared" si="114"/>
        <v>0</v>
      </c>
      <c r="HA38" s="409">
        <f t="shared" ref="HA38:HJ67" si="115">IF(ISNA(HA$7),"",IF(OR(AND(HA$7&lt;=$N38,HA$7&gt;$N38-TIME(0,TimeIncr,0)),AND(HA$7&lt;=$P38,HA$7&gt;$P38-TIME(0,TimeIncr,0)),AND(HA$7&lt;=$R38,HA$7&gt;$R38-TIME(0,TimeIncr,0)),AND(HA$7&lt;=$T38,HA$7&gt;$T38-TIME(0,TimeIncr,0)),AND(HA$7&lt;=$V38,HA$7&gt;$V38-TIME(0,TimeIncr,0)),AND(HA$7&lt;=$X38,HA$7&gt;$X38-TIME(0,TimeIncr,0)),AND(HA$7&lt;=$Z38,HA$7&gt;$Z38-TIME(0,TimeIncr,0)),AND(HA$7&lt;=$AB38,HA$7&gt;$AB38-TIME(0,TimeIncr,0)),AND(HA$7&lt;=$AD38,HA$7&gt;$AD38-TIME(0,TimeIncr,0)),AND(HA$7&lt;=$AF38,HA$7&gt;$AF38-TIME(0,TimeIncr,0)),AND(HA$7&lt;=$AH38,HA$7&gt;$AH38-TIME(0,TimeIncr,0)),AND(HA$7&lt;=$AJ38,HA$7&gt;$AJ38-TIME(0,TimeIncr,0))),$E38*$L38,IF(OR(AND(HA$7&gt;=$M38,HA$7&lt;=$N38),AND(HA$7&gt;=$O38,HA$7&lt;=$P38),AND(HA$7&gt;=$Q38,HA$7&lt;=$R38),AND(HA$7&gt;=$S38,HA$7&lt;=$T38),AND(HA$7&gt;=$U38,HA$7&lt;=$V38),AND(HA$7&gt;=$W38,HA$7&lt;=$X38),AND(HA$7&gt;=$Y38,HA$7&lt;=$Z38),AND(HA$7&gt;=$AA38,HA$7&lt;=$AB38),AND(HA$7&gt;=$AC38,HA$7&lt;=$AD38),AND(HA$7&gt;=$AE38,HA$7&lt;=$AF38),AND(HA$7&gt;=$AG38,HA$7&lt;=$AH38),AND(HA$7&gt;=$AI38,HA$7&lt;=$AJ38)),0,IF(OR(AND($M38&gt;$N38,HA$7&lt;=$N38),AND($O38&gt;$P38,HA$7&lt;=$P38),AND($Q38&gt;$R38,HA$7&lt;=$R38),AND($S38&gt;$T38,HA$7&lt;=$T38),AND($U38&gt;$V38,HA$7&lt;=$V38),AND($W38&gt;$X38,HA$7&lt;=$X38),AND($Y38&gt;$Z38,HA$7&lt;=$Z38),AND($AA38&gt;$AB38,HA$7&lt;=$AB38),AND($AC38&gt;$AD38,HA$7&lt;=$AD38),AND($AE38&gt;$AF38,HA$7&lt;=$AF38),AND($AG38&gt;$AH38,HA$7&lt;=$AH38),AND($AI38&gt;$AJ38,HA$7&lt;=$AJ38)),0,IF(OR(AND(HA$7&gt;=$M38,$M38&gt;$N38),AND(HA$7&gt;=$O38,$O38&gt;$P38),AND(HA$7&gt;=$Q38,$Q38&gt;$R38),AND(HA$7&gt;=$S38,$S38&gt;$T38),AND(HA$7&gt;=$U38,$U38&gt;$V38),AND(HA$7&gt;=$W38,$W38&gt;$X38),AND(HA$7&gt;=$Y38,$Y38&gt;$Z38),AND(HA$7&gt;=$AA38,$AA38&gt;$AB38),AND(HA$7&gt;=$AC38,$AC38&gt;$AD38),AND(HA$7&gt;=$AE38,$AE38&gt;$AF38),AND(HA$7&gt;=$AG38,$AG38&gt;$AH38),AND(HA$7&gt;=$AI38,$AI38&gt;$AJ38)),0,$E38)))))</f>
        <v>0</v>
      </c>
      <c r="HB38" s="409">
        <f t="shared" si="115"/>
        <v>0</v>
      </c>
      <c r="HC38" s="409">
        <f t="shared" si="115"/>
        <v>0</v>
      </c>
      <c r="HD38" s="409">
        <f t="shared" si="115"/>
        <v>0</v>
      </c>
      <c r="HE38" s="409">
        <f t="shared" si="115"/>
        <v>0</v>
      </c>
      <c r="HF38" s="409">
        <f t="shared" si="115"/>
        <v>0</v>
      </c>
      <c r="HG38" s="409">
        <f t="shared" si="115"/>
        <v>0</v>
      </c>
      <c r="HH38" s="409">
        <f t="shared" si="115"/>
        <v>0</v>
      </c>
      <c r="HI38" s="409">
        <f t="shared" si="115"/>
        <v>0</v>
      </c>
      <c r="HJ38" s="409">
        <f t="shared" si="115"/>
        <v>0</v>
      </c>
      <c r="HK38" s="409">
        <f t="shared" ref="HK38:HT67" si="116">IF(ISNA(HK$7),"",IF(OR(AND(HK$7&lt;=$N38,HK$7&gt;$N38-TIME(0,TimeIncr,0)),AND(HK$7&lt;=$P38,HK$7&gt;$P38-TIME(0,TimeIncr,0)),AND(HK$7&lt;=$R38,HK$7&gt;$R38-TIME(0,TimeIncr,0)),AND(HK$7&lt;=$T38,HK$7&gt;$T38-TIME(0,TimeIncr,0)),AND(HK$7&lt;=$V38,HK$7&gt;$V38-TIME(0,TimeIncr,0)),AND(HK$7&lt;=$X38,HK$7&gt;$X38-TIME(0,TimeIncr,0)),AND(HK$7&lt;=$Z38,HK$7&gt;$Z38-TIME(0,TimeIncr,0)),AND(HK$7&lt;=$AB38,HK$7&gt;$AB38-TIME(0,TimeIncr,0)),AND(HK$7&lt;=$AD38,HK$7&gt;$AD38-TIME(0,TimeIncr,0)),AND(HK$7&lt;=$AF38,HK$7&gt;$AF38-TIME(0,TimeIncr,0)),AND(HK$7&lt;=$AH38,HK$7&gt;$AH38-TIME(0,TimeIncr,0)),AND(HK$7&lt;=$AJ38,HK$7&gt;$AJ38-TIME(0,TimeIncr,0))),$E38*$L38,IF(OR(AND(HK$7&gt;=$M38,HK$7&lt;=$N38),AND(HK$7&gt;=$O38,HK$7&lt;=$P38),AND(HK$7&gt;=$Q38,HK$7&lt;=$R38),AND(HK$7&gt;=$S38,HK$7&lt;=$T38),AND(HK$7&gt;=$U38,HK$7&lt;=$V38),AND(HK$7&gt;=$W38,HK$7&lt;=$X38),AND(HK$7&gt;=$Y38,HK$7&lt;=$Z38),AND(HK$7&gt;=$AA38,HK$7&lt;=$AB38),AND(HK$7&gt;=$AC38,HK$7&lt;=$AD38),AND(HK$7&gt;=$AE38,HK$7&lt;=$AF38),AND(HK$7&gt;=$AG38,HK$7&lt;=$AH38),AND(HK$7&gt;=$AI38,HK$7&lt;=$AJ38)),0,IF(OR(AND($M38&gt;$N38,HK$7&lt;=$N38),AND($O38&gt;$P38,HK$7&lt;=$P38),AND($Q38&gt;$R38,HK$7&lt;=$R38),AND($S38&gt;$T38,HK$7&lt;=$T38),AND($U38&gt;$V38,HK$7&lt;=$V38),AND($W38&gt;$X38,HK$7&lt;=$X38),AND($Y38&gt;$Z38,HK$7&lt;=$Z38),AND($AA38&gt;$AB38,HK$7&lt;=$AB38),AND($AC38&gt;$AD38,HK$7&lt;=$AD38),AND($AE38&gt;$AF38,HK$7&lt;=$AF38),AND($AG38&gt;$AH38,HK$7&lt;=$AH38),AND($AI38&gt;$AJ38,HK$7&lt;=$AJ38)),0,IF(OR(AND(HK$7&gt;=$M38,$M38&gt;$N38),AND(HK$7&gt;=$O38,$O38&gt;$P38),AND(HK$7&gt;=$Q38,$Q38&gt;$R38),AND(HK$7&gt;=$S38,$S38&gt;$T38),AND(HK$7&gt;=$U38,$U38&gt;$V38),AND(HK$7&gt;=$W38,$W38&gt;$X38),AND(HK$7&gt;=$Y38,$Y38&gt;$Z38),AND(HK$7&gt;=$AA38,$AA38&gt;$AB38),AND(HK$7&gt;=$AC38,$AC38&gt;$AD38),AND(HK$7&gt;=$AE38,$AE38&gt;$AF38),AND(HK$7&gt;=$AG38,$AG38&gt;$AH38),AND(HK$7&gt;=$AI38,$AI38&gt;$AJ38)),0,$E38)))))</f>
        <v>0</v>
      </c>
      <c r="HL38" s="409">
        <f t="shared" si="116"/>
        <v>0</v>
      </c>
      <c r="HM38" s="409">
        <f t="shared" si="116"/>
        <v>0</v>
      </c>
      <c r="HN38" s="409">
        <f t="shared" si="116"/>
        <v>0</v>
      </c>
      <c r="HO38" s="409">
        <f t="shared" si="116"/>
        <v>0</v>
      </c>
      <c r="HP38" s="409">
        <f t="shared" si="116"/>
        <v>0</v>
      </c>
      <c r="HQ38" s="409">
        <f t="shared" si="116"/>
        <v>0</v>
      </c>
      <c r="HR38" s="409">
        <f t="shared" si="116"/>
        <v>0</v>
      </c>
      <c r="HS38" s="409">
        <f t="shared" si="116"/>
        <v>0</v>
      </c>
      <c r="HT38" s="409">
        <f t="shared" si="116"/>
        <v>0</v>
      </c>
      <c r="HU38" s="409">
        <f t="shared" ref="HU38:ID67" si="117">IF(ISNA(HU$7),"",IF(OR(AND(HU$7&lt;=$N38,HU$7&gt;$N38-TIME(0,TimeIncr,0)),AND(HU$7&lt;=$P38,HU$7&gt;$P38-TIME(0,TimeIncr,0)),AND(HU$7&lt;=$R38,HU$7&gt;$R38-TIME(0,TimeIncr,0)),AND(HU$7&lt;=$T38,HU$7&gt;$T38-TIME(0,TimeIncr,0)),AND(HU$7&lt;=$V38,HU$7&gt;$V38-TIME(0,TimeIncr,0)),AND(HU$7&lt;=$X38,HU$7&gt;$X38-TIME(0,TimeIncr,0)),AND(HU$7&lt;=$Z38,HU$7&gt;$Z38-TIME(0,TimeIncr,0)),AND(HU$7&lt;=$AB38,HU$7&gt;$AB38-TIME(0,TimeIncr,0)),AND(HU$7&lt;=$AD38,HU$7&gt;$AD38-TIME(0,TimeIncr,0)),AND(HU$7&lt;=$AF38,HU$7&gt;$AF38-TIME(0,TimeIncr,0)),AND(HU$7&lt;=$AH38,HU$7&gt;$AH38-TIME(0,TimeIncr,0)),AND(HU$7&lt;=$AJ38,HU$7&gt;$AJ38-TIME(0,TimeIncr,0))),$E38*$L38,IF(OR(AND(HU$7&gt;=$M38,HU$7&lt;=$N38),AND(HU$7&gt;=$O38,HU$7&lt;=$P38),AND(HU$7&gt;=$Q38,HU$7&lt;=$R38),AND(HU$7&gt;=$S38,HU$7&lt;=$T38),AND(HU$7&gt;=$U38,HU$7&lt;=$V38),AND(HU$7&gt;=$W38,HU$7&lt;=$X38),AND(HU$7&gt;=$Y38,HU$7&lt;=$Z38),AND(HU$7&gt;=$AA38,HU$7&lt;=$AB38),AND(HU$7&gt;=$AC38,HU$7&lt;=$AD38),AND(HU$7&gt;=$AE38,HU$7&lt;=$AF38),AND(HU$7&gt;=$AG38,HU$7&lt;=$AH38),AND(HU$7&gt;=$AI38,HU$7&lt;=$AJ38)),0,IF(OR(AND($M38&gt;$N38,HU$7&lt;=$N38),AND($O38&gt;$P38,HU$7&lt;=$P38),AND($Q38&gt;$R38,HU$7&lt;=$R38),AND($S38&gt;$T38,HU$7&lt;=$T38),AND($U38&gt;$V38,HU$7&lt;=$V38),AND($W38&gt;$X38,HU$7&lt;=$X38),AND($Y38&gt;$Z38,HU$7&lt;=$Z38),AND($AA38&gt;$AB38,HU$7&lt;=$AB38),AND($AC38&gt;$AD38,HU$7&lt;=$AD38),AND($AE38&gt;$AF38,HU$7&lt;=$AF38),AND($AG38&gt;$AH38,HU$7&lt;=$AH38),AND($AI38&gt;$AJ38,HU$7&lt;=$AJ38)),0,IF(OR(AND(HU$7&gt;=$M38,$M38&gt;$N38),AND(HU$7&gt;=$O38,$O38&gt;$P38),AND(HU$7&gt;=$Q38,$Q38&gt;$R38),AND(HU$7&gt;=$S38,$S38&gt;$T38),AND(HU$7&gt;=$U38,$U38&gt;$V38),AND(HU$7&gt;=$W38,$W38&gt;$X38),AND(HU$7&gt;=$Y38,$Y38&gt;$Z38),AND(HU$7&gt;=$AA38,$AA38&gt;$AB38),AND(HU$7&gt;=$AC38,$AC38&gt;$AD38),AND(HU$7&gt;=$AE38,$AE38&gt;$AF38),AND(HU$7&gt;=$AG38,$AG38&gt;$AH38),AND(HU$7&gt;=$AI38,$AI38&gt;$AJ38)),0,$E38)))))</f>
        <v>0</v>
      </c>
      <c r="HV38" s="409">
        <f t="shared" si="117"/>
        <v>0</v>
      </c>
      <c r="HW38" s="409">
        <f t="shared" si="117"/>
        <v>0</v>
      </c>
      <c r="HX38" s="409">
        <f t="shared" si="117"/>
        <v>0</v>
      </c>
      <c r="HY38" s="409">
        <f t="shared" si="117"/>
        <v>0</v>
      </c>
      <c r="HZ38" s="409">
        <f t="shared" si="117"/>
        <v>0</v>
      </c>
      <c r="IA38" s="409">
        <f t="shared" si="117"/>
        <v>0</v>
      </c>
      <c r="IB38" s="409">
        <f t="shared" si="117"/>
        <v>0</v>
      </c>
      <c r="IC38" s="409">
        <f t="shared" si="117"/>
        <v>0</v>
      </c>
      <c r="ID38" s="409">
        <f t="shared" si="117"/>
        <v>0</v>
      </c>
      <c r="IE38" s="409">
        <f t="shared" ref="IE38:IJ67" si="118">IF(ISNA(IE$7),"",IF(OR(AND(IE$7&lt;=$N38,IE$7&gt;$N38-TIME(0,TimeIncr,0)),AND(IE$7&lt;=$P38,IE$7&gt;$P38-TIME(0,TimeIncr,0)),AND(IE$7&lt;=$R38,IE$7&gt;$R38-TIME(0,TimeIncr,0)),AND(IE$7&lt;=$T38,IE$7&gt;$T38-TIME(0,TimeIncr,0)),AND(IE$7&lt;=$V38,IE$7&gt;$V38-TIME(0,TimeIncr,0)),AND(IE$7&lt;=$X38,IE$7&gt;$X38-TIME(0,TimeIncr,0)),AND(IE$7&lt;=$Z38,IE$7&gt;$Z38-TIME(0,TimeIncr,0)),AND(IE$7&lt;=$AB38,IE$7&gt;$AB38-TIME(0,TimeIncr,0)),AND(IE$7&lt;=$AD38,IE$7&gt;$AD38-TIME(0,TimeIncr,0)),AND(IE$7&lt;=$AF38,IE$7&gt;$AF38-TIME(0,TimeIncr,0)),AND(IE$7&lt;=$AH38,IE$7&gt;$AH38-TIME(0,TimeIncr,0)),AND(IE$7&lt;=$AJ38,IE$7&gt;$AJ38-TIME(0,TimeIncr,0))),$E38*$L38,IF(OR(AND(IE$7&gt;=$M38,IE$7&lt;=$N38),AND(IE$7&gt;=$O38,IE$7&lt;=$P38),AND(IE$7&gt;=$Q38,IE$7&lt;=$R38),AND(IE$7&gt;=$S38,IE$7&lt;=$T38),AND(IE$7&gt;=$U38,IE$7&lt;=$V38),AND(IE$7&gt;=$W38,IE$7&lt;=$X38),AND(IE$7&gt;=$Y38,IE$7&lt;=$Z38),AND(IE$7&gt;=$AA38,IE$7&lt;=$AB38),AND(IE$7&gt;=$AC38,IE$7&lt;=$AD38),AND(IE$7&gt;=$AE38,IE$7&lt;=$AF38),AND(IE$7&gt;=$AG38,IE$7&lt;=$AH38),AND(IE$7&gt;=$AI38,IE$7&lt;=$AJ38)),0,IF(OR(AND($M38&gt;$N38,IE$7&lt;=$N38),AND($O38&gt;$P38,IE$7&lt;=$P38),AND($Q38&gt;$R38,IE$7&lt;=$R38),AND($S38&gt;$T38,IE$7&lt;=$T38),AND($U38&gt;$V38,IE$7&lt;=$V38),AND($W38&gt;$X38,IE$7&lt;=$X38),AND($Y38&gt;$Z38,IE$7&lt;=$Z38),AND($AA38&gt;$AB38,IE$7&lt;=$AB38),AND($AC38&gt;$AD38,IE$7&lt;=$AD38),AND($AE38&gt;$AF38,IE$7&lt;=$AF38),AND($AG38&gt;$AH38,IE$7&lt;=$AH38),AND($AI38&gt;$AJ38,IE$7&lt;=$AJ38)),0,IF(OR(AND(IE$7&gt;=$M38,$M38&gt;$N38),AND(IE$7&gt;=$O38,$O38&gt;$P38),AND(IE$7&gt;=$Q38,$Q38&gt;$R38),AND(IE$7&gt;=$S38,$S38&gt;$T38),AND(IE$7&gt;=$U38,$U38&gt;$V38),AND(IE$7&gt;=$W38,$W38&gt;$X38),AND(IE$7&gt;=$Y38,$Y38&gt;$Z38),AND(IE$7&gt;=$AA38,$AA38&gt;$AB38),AND(IE$7&gt;=$AC38,$AC38&gt;$AD38),AND(IE$7&gt;=$AE38,$AE38&gt;$AF38),AND(IE$7&gt;=$AG38,$AG38&gt;$AH38),AND(IE$7&gt;=$AI38,$AI38&gt;$AJ38)),0,$E38)))))</f>
        <v>0</v>
      </c>
      <c r="IF38" s="409">
        <f t="shared" si="118"/>
        <v>0</v>
      </c>
      <c r="IG38" s="409">
        <f t="shared" si="118"/>
        <v>0</v>
      </c>
      <c r="IH38" s="409">
        <f t="shared" si="118"/>
        <v>0</v>
      </c>
      <c r="II38" s="409">
        <f t="shared" si="118"/>
        <v>0</v>
      </c>
      <c r="IJ38" s="409">
        <f t="shared" si="118"/>
        <v>0</v>
      </c>
      <c r="IK38" s="378">
        <f t="shared" si="54"/>
        <v>31</v>
      </c>
    </row>
    <row r="39" spans="1:245" hidden="1" x14ac:dyDescent="0.2">
      <c r="A39" s="380" t="str">
        <f t="shared" si="34"/>
        <v>x</v>
      </c>
      <c r="B39" s="712" t="str">
        <f>IF(ISERROR(INDEX('Legend(DX)'!$H$8:$H$9,32)),"",INDEX('Legend(DX)'!$H$8:$H$9,32))</f>
        <v/>
      </c>
      <c r="C39" s="712" t="e">
        <f>IF(INDEX('Legend(DX)'!$T$8:$T$9,32)=0,"See Legend",INDEX('Legend(DX)'!$T$8:$T$9,32))</f>
        <v>#REF!</v>
      </c>
      <c r="D39" s="712" t="e">
        <f>IF(INDEX('Legend(DX)'!$R$8:$R$9,(ROW(C39))-7)=0,IF(AND(INDEX('Legend(DX)'!$D$8:$D$9,(ROW(C39))-6)="CH",INDEX('Legend(DX)'!$F$8:$F$9,(ROW(C39))-6)="CASE - MANUAL"),INDEX('Legend(DX)'!$R$8:$R$9,(ROW(C39))-6),IF(INDEX('Legend(DX)'!$V$8:$V$9,(ROW(C39))-7)&gt;1, "(" &amp; INDEX('Legend(DX)'!$V$8:$V$9,(ROW(C39))-7) &amp; ") " &amp; INDEX('Legend(DX)'!$W$8:$W$9,(ROW(C39))-6),INDEX('Legend(DX)'!$W$8:$W$9,(ROW(C39))-7))),INDEX('Legend(DX)'!$R$8:$R$9,(ROW(C39))-7))</f>
        <v>#REF!</v>
      </c>
      <c r="E39" s="713" t="str" cm="1">
        <f t="array" ref="E39">IF(OR(ISNUMBER(SEARCH("Skid",C39)),ISNUMBER(SEARCH("Subcooler",C39)),ISNUMBER(SEARCH("Pump",C39)),ISNUMBER(SEARCH("PH",C39))),0,IF(ISERROR(INDEX('Legend(DX)'!$AA$8:$AA$9,ROW()-7)),"",INDEX('Legend(DX)'!$AA$8:$AA$9,ROW()-7)))</f>
        <v/>
      </c>
      <c r="F39" s="714"/>
      <c r="G39" s="714"/>
      <c r="H39" s="714"/>
      <c r="I39" s="714"/>
      <c r="J39" s="714"/>
      <c r="K39" s="890">
        <f t="shared" si="35"/>
        <v>0</v>
      </c>
      <c r="L39" s="718"/>
      <c r="M39" s="719"/>
      <c r="N39" s="972">
        <f t="shared" si="7"/>
        <v>-1</v>
      </c>
      <c r="O39" s="972">
        <f t="shared" si="36"/>
        <v>-1</v>
      </c>
      <c r="P39" s="972">
        <f t="shared" si="8"/>
        <v>-1</v>
      </c>
      <c r="Q39" s="972">
        <f t="shared" si="37"/>
        <v>-1</v>
      </c>
      <c r="R39" s="972">
        <f t="shared" si="9"/>
        <v>-1</v>
      </c>
      <c r="S39" s="972">
        <f t="shared" si="38"/>
        <v>-1</v>
      </c>
      <c r="T39" s="972">
        <f t="shared" si="10"/>
        <v>-1</v>
      </c>
      <c r="U39" s="972">
        <f t="shared" si="39"/>
        <v>-1</v>
      </c>
      <c r="V39" s="972">
        <f t="shared" si="11"/>
        <v>-1</v>
      </c>
      <c r="W39" s="972">
        <f t="shared" si="40"/>
        <v>-1</v>
      </c>
      <c r="X39" s="972">
        <f t="shared" si="12"/>
        <v>-1</v>
      </c>
      <c r="Y39" s="972">
        <f t="shared" si="41"/>
        <v>-1</v>
      </c>
      <c r="Z39" s="972">
        <f t="shared" si="42"/>
        <v>-1</v>
      </c>
      <c r="AA39" s="972">
        <f t="shared" si="43"/>
        <v>-1</v>
      </c>
      <c r="AB39" s="972">
        <f t="shared" si="44"/>
        <v>-1</v>
      </c>
      <c r="AC39" s="972">
        <f t="shared" si="45"/>
        <v>-1</v>
      </c>
      <c r="AD39" s="972">
        <f t="shared" si="46"/>
        <v>-1</v>
      </c>
      <c r="AE39" s="972">
        <f t="shared" si="47"/>
        <v>-1</v>
      </c>
      <c r="AF39" s="972">
        <f t="shared" si="48"/>
        <v>-1</v>
      </c>
      <c r="AG39" s="972">
        <f t="shared" si="49"/>
        <v>-1</v>
      </c>
      <c r="AH39" s="972">
        <f t="shared" si="50"/>
        <v>-1</v>
      </c>
      <c r="AI39" s="972">
        <f t="shared" si="51"/>
        <v>-1</v>
      </c>
      <c r="AJ39" s="972">
        <f t="shared" si="52"/>
        <v>-1</v>
      </c>
      <c r="AK39" s="381" t="str">
        <f>IF(ISERROR(INDEX('Legend(DX)'!$AI$8:$AI$9,IK39)),"",INDEX('Legend(DX)'!$AI$8:$AI$9,IK39))</f>
        <v/>
      </c>
      <c r="AL39" s="727" t="str">
        <f t="shared" si="53"/>
        <v/>
      </c>
      <c r="AM39" s="409">
        <f t="shared" si="98"/>
        <v>0</v>
      </c>
      <c r="AN39" s="409">
        <f t="shared" si="98"/>
        <v>0</v>
      </c>
      <c r="AO39" s="409">
        <f t="shared" si="98"/>
        <v>0</v>
      </c>
      <c r="AP39" s="409">
        <f t="shared" si="98"/>
        <v>0</v>
      </c>
      <c r="AQ39" s="409">
        <f t="shared" si="98"/>
        <v>0</v>
      </c>
      <c r="AR39" s="409">
        <f t="shared" si="98"/>
        <v>0</v>
      </c>
      <c r="AS39" s="409">
        <f t="shared" si="98"/>
        <v>0</v>
      </c>
      <c r="AT39" s="409">
        <f t="shared" si="98"/>
        <v>0</v>
      </c>
      <c r="AU39" s="409">
        <f t="shared" si="98"/>
        <v>0</v>
      </c>
      <c r="AV39" s="409">
        <f t="shared" si="98"/>
        <v>0</v>
      </c>
      <c r="AW39" s="409">
        <f t="shared" si="99"/>
        <v>0</v>
      </c>
      <c r="AX39" s="409">
        <f t="shared" si="99"/>
        <v>0</v>
      </c>
      <c r="AY39" s="409">
        <f t="shared" si="99"/>
        <v>0</v>
      </c>
      <c r="AZ39" s="409">
        <f t="shared" si="99"/>
        <v>0</v>
      </c>
      <c r="BA39" s="409">
        <f t="shared" si="99"/>
        <v>0</v>
      </c>
      <c r="BB39" s="409">
        <f t="shared" si="99"/>
        <v>0</v>
      </c>
      <c r="BC39" s="409">
        <f t="shared" si="99"/>
        <v>0</v>
      </c>
      <c r="BD39" s="409">
        <f t="shared" si="99"/>
        <v>0</v>
      </c>
      <c r="BE39" s="409">
        <f t="shared" si="99"/>
        <v>0</v>
      </c>
      <c r="BF39" s="409">
        <f t="shared" si="99"/>
        <v>0</v>
      </c>
      <c r="BG39" s="409">
        <f t="shared" si="100"/>
        <v>0</v>
      </c>
      <c r="BH39" s="409">
        <f t="shared" si="100"/>
        <v>0</v>
      </c>
      <c r="BI39" s="409">
        <f t="shared" si="100"/>
        <v>0</v>
      </c>
      <c r="BJ39" s="409">
        <f t="shared" si="100"/>
        <v>0</v>
      </c>
      <c r="BK39" s="409">
        <f t="shared" si="100"/>
        <v>0</v>
      </c>
      <c r="BL39" s="409">
        <f t="shared" si="100"/>
        <v>0</v>
      </c>
      <c r="BM39" s="409">
        <f t="shared" si="100"/>
        <v>0</v>
      </c>
      <c r="BN39" s="409">
        <f t="shared" si="100"/>
        <v>0</v>
      </c>
      <c r="BO39" s="409">
        <f t="shared" si="100"/>
        <v>0</v>
      </c>
      <c r="BP39" s="409">
        <f t="shared" si="100"/>
        <v>0</v>
      </c>
      <c r="BQ39" s="409">
        <f t="shared" si="101"/>
        <v>0</v>
      </c>
      <c r="BR39" s="409">
        <f t="shared" si="101"/>
        <v>0</v>
      </c>
      <c r="BS39" s="409">
        <f t="shared" si="101"/>
        <v>0</v>
      </c>
      <c r="BT39" s="409">
        <f t="shared" si="101"/>
        <v>0</v>
      </c>
      <c r="BU39" s="409">
        <f t="shared" si="101"/>
        <v>0</v>
      </c>
      <c r="BV39" s="409">
        <f t="shared" si="101"/>
        <v>0</v>
      </c>
      <c r="BW39" s="409">
        <f t="shared" si="101"/>
        <v>0</v>
      </c>
      <c r="BX39" s="409">
        <f t="shared" si="101"/>
        <v>0</v>
      </c>
      <c r="BY39" s="409">
        <f t="shared" si="101"/>
        <v>0</v>
      </c>
      <c r="BZ39" s="409">
        <f t="shared" si="101"/>
        <v>0</v>
      </c>
      <c r="CA39" s="409">
        <f t="shared" si="102"/>
        <v>0</v>
      </c>
      <c r="CB39" s="409">
        <f t="shared" si="102"/>
        <v>0</v>
      </c>
      <c r="CC39" s="409">
        <f t="shared" si="102"/>
        <v>0</v>
      </c>
      <c r="CD39" s="409">
        <f t="shared" si="102"/>
        <v>0</v>
      </c>
      <c r="CE39" s="409">
        <f t="shared" si="102"/>
        <v>0</v>
      </c>
      <c r="CF39" s="409">
        <f t="shared" si="102"/>
        <v>0</v>
      </c>
      <c r="CG39" s="409">
        <f t="shared" si="102"/>
        <v>0</v>
      </c>
      <c r="CH39" s="409">
        <f t="shared" si="102"/>
        <v>0</v>
      </c>
      <c r="CI39" s="409">
        <f t="shared" si="102"/>
        <v>0</v>
      </c>
      <c r="CJ39" s="409">
        <f t="shared" si="102"/>
        <v>0</v>
      </c>
      <c r="CK39" s="409">
        <f t="shared" si="103"/>
        <v>0</v>
      </c>
      <c r="CL39" s="409">
        <f t="shared" si="103"/>
        <v>0</v>
      </c>
      <c r="CM39" s="409">
        <f t="shared" si="103"/>
        <v>0</v>
      </c>
      <c r="CN39" s="409">
        <f t="shared" si="103"/>
        <v>0</v>
      </c>
      <c r="CO39" s="409">
        <f t="shared" si="103"/>
        <v>0</v>
      </c>
      <c r="CP39" s="409">
        <f t="shared" si="103"/>
        <v>0</v>
      </c>
      <c r="CQ39" s="409">
        <f t="shared" si="103"/>
        <v>0</v>
      </c>
      <c r="CR39" s="409">
        <f t="shared" si="103"/>
        <v>0</v>
      </c>
      <c r="CS39" s="409">
        <f t="shared" si="103"/>
        <v>0</v>
      </c>
      <c r="CT39" s="409">
        <f t="shared" si="103"/>
        <v>0</v>
      </c>
      <c r="CU39" s="409">
        <f t="shared" si="104"/>
        <v>0</v>
      </c>
      <c r="CV39" s="409">
        <f t="shared" si="104"/>
        <v>0</v>
      </c>
      <c r="CW39" s="409">
        <f t="shared" si="104"/>
        <v>0</v>
      </c>
      <c r="CX39" s="409">
        <f t="shared" si="104"/>
        <v>0</v>
      </c>
      <c r="CY39" s="409">
        <f t="shared" si="104"/>
        <v>0</v>
      </c>
      <c r="CZ39" s="409">
        <f t="shared" si="104"/>
        <v>0</v>
      </c>
      <c r="DA39" s="409">
        <f t="shared" si="104"/>
        <v>0</v>
      </c>
      <c r="DB39" s="409">
        <f t="shared" si="104"/>
        <v>0</v>
      </c>
      <c r="DC39" s="409">
        <f t="shared" si="104"/>
        <v>0</v>
      </c>
      <c r="DD39" s="409">
        <f t="shared" si="104"/>
        <v>0</v>
      </c>
      <c r="DE39" s="409">
        <f t="shared" si="105"/>
        <v>0</v>
      </c>
      <c r="DF39" s="409">
        <f t="shared" si="105"/>
        <v>0</v>
      </c>
      <c r="DG39" s="409">
        <f t="shared" si="105"/>
        <v>0</v>
      </c>
      <c r="DH39" s="409">
        <f t="shared" si="105"/>
        <v>0</v>
      </c>
      <c r="DI39" s="409">
        <f t="shared" si="105"/>
        <v>0</v>
      </c>
      <c r="DJ39" s="409">
        <f t="shared" si="105"/>
        <v>0</v>
      </c>
      <c r="DK39" s="409">
        <f t="shared" si="105"/>
        <v>0</v>
      </c>
      <c r="DL39" s="409">
        <f t="shared" si="105"/>
        <v>0</v>
      </c>
      <c r="DM39" s="409">
        <f t="shared" si="105"/>
        <v>0</v>
      </c>
      <c r="DN39" s="409">
        <f t="shared" si="105"/>
        <v>0</v>
      </c>
      <c r="DO39" s="409">
        <f t="shared" si="106"/>
        <v>0</v>
      </c>
      <c r="DP39" s="409">
        <f t="shared" si="106"/>
        <v>0</v>
      </c>
      <c r="DQ39" s="409">
        <f t="shared" si="106"/>
        <v>0</v>
      </c>
      <c r="DR39" s="409">
        <f t="shared" si="106"/>
        <v>0</v>
      </c>
      <c r="DS39" s="409">
        <f t="shared" si="106"/>
        <v>0</v>
      </c>
      <c r="DT39" s="409">
        <f t="shared" si="106"/>
        <v>0</v>
      </c>
      <c r="DU39" s="409">
        <f t="shared" si="106"/>
        <v>0</v>
      </c>
      <c r="DV39" s="409">
        <f t="shared" si="106"/>
        <v>0</v>
      </c>
      <c r="DW39" s="409">
        <f t="shared" si="106"/>
        <v>0</v>
      </c>
      <c r="DX39" s="409">
        <f t="shared" si="106"/>
        <v>0</v>
      </c>
      <c r="DY39" s="409">
        <f t="shared" si="107"/>
        <v>0</v>
      </c>
      <c r="DZ39" s="409">
        <f t="shared" si="107"/>
        <v>0</v>
      </c>
      <c r="EA39" s="409">
        <f t="shared" si="107"/>
        <v>0</v>
      </c>
      <c r="EB39" s="409">
        <f t="shared" si="107"/>
        <v>0</v>
      </c>
      <c r="EC39" s="409">
        <f t="shared" si="107"/>
        <v>0</v>
      </c>
      <c r="ED39" s="409">
        <f t="shared" si="107"/>
        <v>0</v>
      </c>
      <c r="EE39" s="409">
        <f t="shared" si="107"/>
        <v>0</v>
      </c>
      <c r="EF39" s="409">
        <f t="shared" si="107"/>
        <v>0</v>
      </c>
      <c r="EG39" s="409">
        <f t="shared" si="107"/>
        <v>0</v>
      </c>
      <c r="EH39" s="409">
        <f t="shared" si="107"/>
        <v>0</v>
      </c>
      <c r="EI39" s="409">
        <f t="shared" si="108"/>
        <v>0</v>
      </c>
      <c r="EJ39" s="409">
        <f t="shared" si="108"/>
        <v>0</v>
      </c>
      <c r="EK39" s="409">
        <f t="shared" si="108"/>
        <v>0</v>
      </c>
      <c r="EL39" s="409">
        <f t="shared" si="108"/>
        <v>0</v>
      </c>
      <c r="EM39" s="409">
        <f t="shared" si="108"/>
        <v>0</v>
      </c>
      <c r="EN39" s="409">
        <f t="shared" si="108"/>
        <v>0</v>
      </c>
      <c r="EO39" s="409">
        <f t="shared" si="108"/>
        <v>0</v>
      </c>
      <c r="EP39" s="409">
        <f t="shared" si="108"/>
        <v>0</v>
      </c>
      <c r="EQ39" s="409">
        <f t="shared" si="108"/>
        <v>0</v>
      </c>
      <c r="ER39" s="409">
        <f t="shared" si="108"/>
        <v>0</v>
      </c>
      <c r="ES39" s="409">
        <f t="shared" si="109"/>
        <v>0</v>
      </c>
      <c r="ET39" s="409">
        <f t="shared" si="109"/>
        <v>0</v>
      </c>
      <c r="EU39" s="409">
        <f t="shared" si="109"/>
        <v>0</v>
      </c>
      <c r="EV39" s="409">
        <f t="shared" si="109"/>
        <v>0</v>
      </c>
      <c r="EW39" s="409">
        <f t="shared" si="109"/>
        <v>0</v>
      </c>
      <c r="EX39" s="409">
        <f t="shared" si="109"/>
        <v>0</v>
      </c>
      <c r="EY39" s="409">
        <f t="shared" si="109"/>
        <v>0</v>
      </c>
      <c r="EZ39" s="409">
        <f t="shared" si="109"/>
        <v>0</v>
      </c>
      <c r="FA39" s="409">
        <f t="shared" si="109"/>
        <v>0</v>
      </c>
      <c r="FB39" s="409">
        <f t="shared" si="109"/>
        <v>0</v>
      </c>
      <c r="FC39" s="409">
        <f t="shared" si="110"/>
        <v>0</v>
      </c>
      <c r="FD39" s="409">
        <f t="shared" si="110"/>
        <v>0</v>
      </c>
      <c r="FE39" s="409">
        <f t="shared" si="110"/>
        <v>0</v>
      </c>
      <c r="FF39" s="409">
        <f t="shared" si="110"/>
        <v>0</v>
      </c>
      <c r="FG39" s="409">
        <f t="shared" si="110"/>
        <v>0</v>
      </c>
      <c r="FH39" s="409">
        <f t="shared" si="110"/>
        <v>0</v>
      </c>
      <c r="FI39" s="409">
        <f t="shared" si="110"/>
        <v>0</v>
      </c>
      <c r="FJ39" s="409">
        <f t="shared" si="110"/>
        <v>0</v>
      </c>
      <c r="FK39" s="409">
        <f t="shared" si="110"/>
        <v>0</v>
      </c>
      <c r="FL39" s="409">
        <f t="shared" si="110"/>
        <v>0</v>
      </c>
      <c r="FM39" s="409">
        <f t="shared" si="111"/>
        <v>0</v>
      </c>
      <c r="FN39" s="409">
        <f t="shared" si="111"/>
        <v>0</v>
      </c>
      <c r="FO39" s="409">
        <f t="shared" si="111"/>
        <v>0</v>
      </c>
      <c r="FP39" s="409">
        <f t="shared" si="111"/>
        <v>0</v>
      </c>
      <c r="FQ39" s="409">
        <f t="shared" si="111"/>
        <v>0</v>
      </c>
      <c r="FR39" s="409">
        <f t="shared" si="111"/>
        <v>0</v>
      </c>
      <c r="FS39" s="409">
        <f t="shared" si="111"/>
        <v>0</v>
      </c>
      <c r="FT39" s="409">
        <f t="shared" si="111"/>
        <v>0</v>
      </c>
      <c r="FU39" s="409">
        <f t="shared" si="111"/>
        <v>0</v>
      </c>
      <c r="FV39" s="409">
        <f t="shared" si="111"/>
        <v>0</v>
      </c>
      <c r="FW39" s="409">
        <f t="shared" si="112"/>
        <v>0</v>
      </c>
      <c r="FX39" s="409">
        <f t="shared" si="112"/>
        <v>0</v>
      </c>
      <c r="FY39" s="409">
        <f t="shared" si="112"/>
        <v>0</v>
      </c>
      <c r="FZ39" s="409">
        <f t="shared" si="112"/>
        <v>0</v>
      </c>
      <c r="GA39" s="409">
        <f t="shared" si="112"/>
        <v>0</v>
      </c>
      <c r="GB39" s="409">
        <f t="shared" si="112"/>
        <v>0</v>
      </c>
      <c r="GC39" s="409">
        <f t="shared" si="112"/>
        <v>0</v>
      </c>
      <c r="GD39" s="409">
        <f t="shared" si="112"/>
        <v>0</v>
      </c>
      <c r="GE39" s="409">
        <f t="shared" si="112"/>
        <v>0</v>
      </c>
      <c r="GF39" s="409">
        <f t="shared" si="112"/>
        <v>0</v>
      </c>
      <c r="GG39" s="409">
        <f t="shared" si="113"/>
        <v>0</v>
      </c>
      <c r="GH39" s="409">
        <f t="shared" si="113"/>
        <v>0</v>
      </c>
      <c r="GI39" s="409">
        <f t="shared" si="113"/>
        <v>0</v>
      </c>
      <c r="GJ39" s="409">
        <f t="shared" si="113"/>
        <v>0</v>
      </c>
      <c r="GK39" s="409">
        <f t="shared" si="113"/>
        <v>0</v>
      </c>
      <c r="GL39" s="409">
        <f t="shared" si="113"/>
        <v>0</v>
      </c>
      <c r="GM39" s="409">
        <f t="shared" si="113"/>
        <v>0</v>
      </c>
      <c r="GN39" s="409">
        <f t="shared" si="113"/>
        <v>0</v>
      </c>
      <c r="GO39" s="409">
        <f t="shared" si="113"/>
        <v>0</v>
      </c>
      <c r="GP39" s="409">
        <f t="shared" si="113"/>
        <v>0</v>
      </c>
      <c r="GQ39" s="409">
        <f t="shared" si="114"/>
        <v>0</v>
      </c>
      <c r="GR39" s="409">
        <f t="shared" si="114"/>
        <v>0</v>
      </c>
      <c r="GS39" s="409">
        <f t="shared" si="114"/>
        <v>0</v>
      </c>
      <c r="GT39" s="409">
        <f t="shared" si="114"/>
        <v>0</v>
      </c>
      <c r="GU39" s="409">
        <f t="shared" si="114"/>
        <v>0</v>
      </c>
      <c r="GV39" s="409">
        <f t="shared" si="114"/>
        <v>0</v>
      </c>
      <c r="GW39" s="409">
        <f t="shared" si="114"/>
        <v>0</v>
      </c>
      <c r="GX39" s="409">
        <f t="shared" si="114"/>
        <v>0</v>
      </c>
      <c r="GY39" s="409">
        <f t="shared" si="114"/>
        <v>0</v>
      </c>
      <c r="GZ39" s="409">
        <f t="shared" si="114"/>
        <v>0</v>
      </c>
      <c r="HA39" s="409">
        <f t="shared" si="115"/>
        <v>0</v>
      </c>
      <c r="HB39" s="409">
        <f t="shared" si="115"/>
        <v>0</v>
      </c>
      <c r="HC39" s="409">
        <f t="shared" si="115"/>
        <v>0</v>
      </c>
      <c r="HD39" s="409">
        <f t="shared" si="115"/>
        <v>0</v>
      </c>
      <c r="HE39" s="409">
        <f t="shared" si="115"/>
        <v>0</v>
      </c>
      <c r="HF39" s="409">
        <f t="shared" si="115"/>
        <v>0</v>
      </c>
      <c r="HG39" s="409">
        <f t="shared" si="115"/>
        <v>0</v>
      </c>
      <c r="HH39" s="409">
        <f t="shared" si="115"/>
        <v>0</v>
      </c>
      <c r="HI39" s="409">
        <f t="shared" si="115"/>
        <v>0</v>
      </c>
      <c r="HJ39" s="409">
        <f t="shared" si="115"/>
        <v>0</v>
      </c>
      <c r="HK39" s="409">
        <f t="shared" si="116"/>
        <v>0</v>
      </c>
      <c r="HL39" s="409">
        <f t="shared" si="116"/>
        <v>0</v>
      </c>
      <c r="HM39" s="409">
        <f t="shared" si="116"/>
        <v>0</v>
      </c>
      <c r="HN39" s="409">
        <f t="shared" si="116"/>
        <v>0</v>
      </c>
      <c r="HO39" s="409">
        <f t="shared" si="116"/>
        <v>0</v>
      </c>
      <c r="HP39" s="409">
        <f t="shared" si="116"/>
        <v>0</v>
      </c>
      <c r="HQ39" s="409">
        <f t="shared" si="116"/>
        <v>0</v>
      </c>
      <c r="HR39" s="409">
        <f t="shared" si="116"/>
        <v>0</v>
      </c>
      <c r="HS39" s="409">
        <f t="shared" si="116"/>
        <v>0</v>
      </c>
      <c r="HT39" s="409">
        <f t="shared" si="116"/>
        <v>0</v>
      </c>
      <c r="HU39" s="409">
        <f t="shared" si="117"/>
        <v>0</v>
      </c>
      <c r="HV39" s="409">
        <f t="shared" si="117"/>
        <v>0</v>
      </c>
      <c r="HW39" s="409">
        <f t="shared" si="117"/>
        <v>0</v>
      </c>
      <c r="HX39" s="409">
        <f t="shared" si="117"/>
        <v>0</v>
      </c>
      <c r="HY39" s="409">
        <f t="shared" si="117"/>
        <v>0</v>
      </c>
      <c r="HZ39" s="409">
        <f t="shared" si="117"/>
        <v>0</v>
      </c>
      <c r="IA39" s="409">
        <f t="shared" si="117"/>
        <v>0</v>
      </c>
      <c r="IB39" s="409">
        <f t="shared" si="117"/>
        <v>0</v>
      </c>
      <c r="IC39" s="409">
        <f t="shared" si="117"/>
        <v>0</v>
      </c>
      <c r="ID39" s="409">
        <f t="shared" si="117"/>
        <v>0</v>
      </c>
      <c r="IE39" s="409">
        <f t="shared" si="118"/>
        <v>0</v>
      </c>
      <c r="IF39" s="409">
        <f t="shared" si="118"/>
        <v>0</v>
      </c>
      <c r="IG39" s="409">
        <f t="shared" si="118"/>
        <v>0</v>
      </c>
      <c r="IH39" s="409">
        <f t="shared" si="118"/>
        <v>0</v>
      </c>
      <c r="II39" s="409">
        <f t="shared" si="118"/>
        <v>0</v>
      </c>
      <c r="IJ39" s="409">
        <f t="shared" si="118"/>
        <v>0</v>
      </c>
      <c r="IK39" s="378">
        <f t="shared" si="54"/>
        <v>32</v>
      </c>
    </row>
    <row r="40" spans="1:245" hidden="1" x14ac:dyDescent="0.2">
      <c r="A40" s="380" t="str">
        <f t="shared" si="34"/>
        <v>x</v>
      </c>
      <c r="B40" s="712" t="str">
        <f>IF(ISERROR(INDEX('Legend(DX)'!$H$8:$H$9,33)),"",INDEX('Legend(DX)'!$H$8:$H$9,33))</f>
        <v/>
      </c>
      <c r="C40" s="712" t="e">
        <f>IF(INDEX('Legend(DX)'!$T$8:$T$9,33)=0,"See Legend",INDEX('Legend(DX)'!$T$8:$T$9,33))</f>
        <v>#REF!</v>
      </c>
      <c r="D40" s="712" t="e">
        <f>IF(INDEX('Legend(DX)'!$R$8:$R$9,(ROW(C40))-7)=0,IF(AND(INDEX('Legend(DX)'!$D$8:$D$9,(ROW(C40))-6)="CH",INDEX('Legend(DX)'!$F$8:$F$9,(ROW(C40))-6)="CASE - MANUAL"),INDEX('Legend(DX)'!$R$8:$R$9,(ROW(C40))-6),IF(INDEX('Legend(DX)'!$V$8:$V$9,(ROW(C40))-7)&gt;1, "(" &amp; INDEX('Legend(DX)'!$V$8:$V$9,(ROW(C40))-7) &amp; ") " &amp; INDEX('Legend(DX)'!$W$8:$W$9,(ROW(C40))-6),INDEX('Legend(DX)'!$W$8:$W$9,(ROW(C40))-7))),INDEX('Legend(DX)'!$R$8:$R$9,(ROW(C40))-7))</f>
        <v>#REF!</v>
      </c>
      <c r="E40" s="713" t="str" cm="1">
        <f t="array" ref="E40">IF(OR(ISNUMBER(SEARCH("Skid",C40)),ISNUMBER(SEARCH("Subcooler",C40)),ISNUMBER(SEARCH("Pump",C40)),ISNUMBER(SEARCH("PH",C40))),0,IF(ISERROR(INDEX('Legend(DX)'!$AA$8:$AA$9,ROW()-7)),"",INDEX('Legend(DX)'!$AA$8:$AA$9,ROW()-7)))</f>
        <v/>
      </c>
      <c r="F40" s="714"/>
      <c r="G40" s="714"/>
      <c r="H40" s="714"/>
      <c r="I40" s="714"/>
      <c r="J40" s="714"/>
      <c r="K40" s="890">
        <f t="shared" si="35"/>
        <v>0</v>
      </c>
      <c r="L40" s="718"/>
      <c r="M40" s="719"/>
      <c r="N40" s="972">
        <f t="shared" si="7"/>
        <v>-1</v>
      </c>
      <c r="O40" s="972">
        <f>IF($F40&lt;2,-1,IF(M40+TIME((24/$F40),0,0)&gt;1,MROUND(M40-1+TIME((24/$F40),0,0),"0:01"),MROUND(M40+TIME((24/$F40),0,0),"0:01")))</f>
        <v>-1</v>
      </c>
      <c r="P40" s="972">
        <f t="shared" si="8"/>
        <v>-1</v>
      </c>
      <c r="Q40" s="972">
        <f>IF($F40&lt;3,-1,IF(O40+TIME((24/$F40),0,0)&gt;1,MROUND(O40-1+TIME((24/$F40),0,0),"0:01"),MROUND(O40+TIME((24/$F40),0,0),"0:01")))</f>
        <v>-1</v>
      </c>
      <c r="R40" s="972">
        <f t="shared" si="9"/>
        <v>-1</v>
      </c>
      <c r="S40" s="972">
        <f>IF($F40&lt;4,-1,IF(Q40+TIME((24/$F40),0,0)&gt;1,MROUND(Q40-1+TIME((24/$F40),0,0),"0:01"),MROUND(Q40+TIME((24/$F40),0,0),"0:01")))</f>
        <v>-1</v>
      </c>
      <c r="T40" s="972">
        <f t="shared" si="10"/>
        <v>-1</v>
      </c>
      <c r="U40" s="972">
        <f>IF($F40&lt;5,-1,IF(S40+TIME((24/$F40),0,0)&gt;1,MROUND(S40-1+TIME((24/$F40),0,0),"0:01"),MROUND(S40+TIME((24/$F40),0,0),"0:01")))</f>
        <v>-1</v>
      </c>
      <c r="V40" s="972">
        <f t="shared" si="11"/>
        <v>-1</v>
      </c>
      <c r="W40" s="972">
        <f>IF($F40&lt;6,-1,IF(U40+TIME((24/$F40),0,0)&gt;1,MROUND(U40-1+TIME((24/$F40),0,0),"0:01"),MROUND(U40+TIME((24/$F40),0,0),"0:01")))</f>
        <v>-1</v>
      </c>
      <c r="X40" s="972">
        <f t="shared" si="12"/>
        <v>-1</v>
      </c>
      <c r="Y40" s="972">
        <f t="shared" si="41"/>
        <v>-1</v>
      </c>
      <c r="Z40" s="972">
        <f t="shared" si="42"/>
        <v>-1</v>
      </c>
      <c r="AA40" s="972">
        <f t="shared" si="43"/>
        <v>-1</v>
      </c>
      <c r="AB40" s="972">
        <f t="shared" si="44"/>
        <v>-1</v>
      </c>
      <c r="AC40" s="972">
        <f t="shared" si="45"/>
        <v>-1</v>
      </c>
      <c r="AD40" s="972">
        <f t="shared" si="46"/>
        <v>-1</v>
      </c>
      <c r="AE40" s="972">
        <f t="shared" si="47"/>
        <v>-1</v>
      </c>
      <c r="AF40" s="972">
        <f t="shared" si="48"/>
        <v>-1</v>
      </c>
      <c r="AG40" s="972">
        <f t="shared" si="49"/>
        <v>-1</v>
      </c>
      <c r="AH40" s="972">
        <f t="shared" si="50"/>
        <v>-1</v>
      </c>
      <c r="AI40" s="972">
        <f t="shared" si="51"/>
        <v>-1</v>
      </c>
      <c r="AJ40" s="972">
        <f t="shared" si="52"/>
        <v>-1</v>
      </c>
      <c r="AK40" s="381" t="str">
        <f>IF(ISERROR(INDEX('Legend(DX)'!$AI$8:$AI$9,IK40)),"",INDEX('Legend(DX)'!$AI$8:$AI$9,IK40))</f>
        <v/>
      </c>
      <c r="AL40" s="727" t="str">
        <f>B40</f>
        <v/>
      </c>
      <c r="AM40" s="409">
        <f t="shared" si="98"/>
        <v>0</v>
      </c>
      <c r="AN40" s="409">
        <f t="shared" si="98"/>
        <v>0</v>
      </c>
      <c r="AO40" s="409">
        <f t="shared" si="98"/>
        <v>0</v>
      </c>
      <c r="AP40" s="409">
        <f t="shared" si="98"/>
        <v>0</v>
      </c>
      <c r="AQ40" s="409">
        <f t="shared" si="98"/>
        <v>0</v>
      </c>
      <c r="AR40" s="409">
        <f t="shared" si="98"/>
        <v>0</v>
      </c>
      <c r="AS40" s="409">
        <f t="shared" si="98"/>
        <v>0</v>
      </c>
      <c r="AT40" s="409">
        <f t="shared" si="98"/>
        <v>0</v>
      </c>
      <c r="AU40" s="409">
        <f t="shared" si="98"/>
        <v>0</v>
      </c>
      <c r="AV40" s="409">
        <f t="shared" si="98"/>
        <v>0</v>
      </c>
      <c r="AW40" s="409">
        <f t="shared" si="99"/>
        <v>0</v>
      </c>
      <c r="AX40" s="409">
        <f t="shared" si="99"/>
        <v>0</v>
      </c>
      <c r="AY40" s="409">
        <f t="shared" si="99"/>
        <v>0</v>
      </c>
      <c r="AZ40" s="409">
        <f t="shared" si="99"/>
        <v>0</v>
      </c>
      <c r="BA40" s="409">
        <f t="shared" si="99"/>
        <v>0</v>
      </c>
      <c r="BB40" s="409">
        <f t="shared" si="99"/>
        <v>0</v>
      </c>
      <c r="BC40" s="409">
        <f t="shared" si="99"/>
        <v>0</v>
      </c>
      <c r="BD40" s="409">
        <f t="shared" si="99"/>
        <v>0</v>
      </c>
      <c r="BE40" s="409">
        <f t="shared" si="99"/>
        <v>0</v>
      </c>
      <c r="BF40" s="409">
        <f t="shared" si="99"/>
        <v>0</v>
      </c>
      <c r="BG40" s="409">
        <f t="shared" si="100"/>
        <v>0</v>
      </c>
      <c r="BH40" s="409">
        <f t="shared" si="100"/>
        <v>0</v>
      </c>
      <c r="BI40" s="409">
        <f t="shared" si="100"/>
        <v>0</v>
      </c>
      <c r="BJ40" s="409">
        <f t="shared" si="100"/>
        <v>0</v>
      </c>
      <c r="BK40" s="409">
        <f t="shared" si="100"/>
        <v>0</v>
      </c>
      <c r="BL40" s="409">
        <f t="shared" si="100"/>
        <v>0</v>
      </c>
      <c r="BM40" s="409">
        <f t="shared" si="100"/>
        <v>0</v>
      </c>
      <c r="BN40" s="409">
        <f t="shared" si="100"/>
        <v>0</v>
      </c>
      <c r="BO40" s="409">
        <f t="shared" si="100"/>
        <v>0</v>
      </c>
      <c r="BP40" s="409">
        <f t="shared" si="100"/>
        <v>0</v>
      </c>
      <c r="BQ40" s="409">
        <f t="shared" si="101"/>
        <v>0</v>
      </c>
      <c r="BR40" s="409">
        <f t="shared" si="101"/>
        <v>0</v>
      </c>
      <c r="BS40" s="409">
        <f t="shared" si="101"/>
        <v>0</v>
      </c>
      <c r="BT40" s="409">
        <f t="shared" si="101"/>
        <v>0</v>
      </c>
      <c r="BU40" s="409">
        <f t="shared" si="101"/>
        <v>0</v>
      </c>
      <c r="BV40" s="409">
        <f t="shared" si="101"/>
        <v>0</v>
      </c>
      <c r="BW40" s="409">
        <f t="shared" si="101"/>
        <v>0</v>
      </c>
      <c r="BX40" s="409">
        <f t="shared" si="101"/>
        <v>0</v>
      </c>
      <c r="BY40" s="409">
        <f t="shared" si="101"/>
        <v>0</v>
      </c>
      <c r="BZ40" s="409">
        <f t="shared" si="101"/>
        <v>0</v>
      </c>
      <c r="CA40" s="409">
        <f t="shared" si="102"/>
        <v>0</v>
      </c>
      <c r="CB40" s="409">
        <f t="shared" si="102"/>
        <v>0</v>
      </c>
      <c r="CC40" s="409">
        <f t="shared" si="102"/>
        <v>0</v>
      </c>
      <c r="CD40" s="409">
        <f t="shared" si="102"/>
        <v>0</v>
      </c>
      <c r="CE40" s="409">
        <f t="shared" si="102"/>
        <v>0</v>
      </c>
      <c r="CF40" s="409">
        <f t="shared" si="102"/>
        <v>0</v>
      </c>
      <c r="CG40" s="409">
        <f t="shared" si="102"/>
        <v>0</v>
      </c>
      <c r="CH40" s="409">
        <f t="shared" si="102"/>
        <v>0</v>
      </c>
      <c r="CI40" s="409">
        <f t="shared" si="102"/>
        <v>0</v>
      </c>
      <c r="CJ40" s="409">
        <f t="shared" si="102"/>
        <v>0</v>
      </c>
      <c r="CK40" s="409">
        <f t="shared" si="103"/>
        <v>0</v>
      </c>
      <c r="CL40" s="409">
        <f t="shared" si="103"/>
        <v>0</v>
      </c>
      <c r="CM40" s="409">
        <f t="shared" si="103"/>
        <v>0</v>
      </c>
      <c r="CN40" s="409">
        <f t="shared" si="103"/>
        <v>0</v>
      </c>
      <c r="CO40" s="409">
        <f t="shared" si="103"/>
        <v>0</v>
      </c>
      <c r="CP40" s="409">
        <f t="shared" si="103"/>
        <v>0</v>
      </c>
      <c r="CQ40" s="409">
        <f t="shared" si="103"/>
        <v>0</v>
      </c>
      <c r="CR40" s="409">
        <f t="shared" si="103"/>
        <v>0</v>
      </c>
      <c r="CS40" s="409">
        <f t="shared" si="103"/>
        <v>0</v>
      </c>
      <c r="CT40" s="409">
        <f t="shared" si="103"/>
        <v>0</v>
      </c>
      <c r="CU40" s="409">
        <f t="shared" si="104"/>
        <v>0</v>
      </c>
      <c r="CV40" s="409">
        <f t="shared" si="104"/>
        <v>0</v>
      </c>
      <c r="CW40" s="409">
        <f t="shared" si="104"/>
        <v>0</v>
      </c>
      <c r="CX40" s="409">
        <f t="shared" si="104"/>
        <v>0</v>
      </c>
      <c r="CY40" s="409">
        <f t="shared" si="104"/>
        <v>0</v>
      </c>
      <c r="CZ40" s="409">
        <f t="shared" si="104"/>
        <v>0</v>
      </c>
      <c r="DA40" s="409">
        <f t="shared" si="104"/>
        <v>0</v>
      </c>
      <c r="DB40" s="409">
        <f t="shared" si="104"/>
        <v>0</v>
      </c>
      <c r="DC40" s="409">
        <f t="shared" si="104"/>
        <v>0</v>
      </c>
      <c r="DD40" s="409">
        <f t="shared" si="104"/>
        <v>0</v>
      </c>
      <c r="DE40" s="409">
        <f t="shared" si="105"/>
        <v>0</v>
      </c>
      <c r="DF40" s="409">
        <f t="shared" si="105"/>
        <v>0</v>
      </c>
      <c r="DG40" s="409">
        <f t="shared" si="105"/>
        <v>0</v>
      </c>
      <c r="DH40" s="409">
        <f t="shared" si="105"/>
        <v>0</v>
      </c>
      <c r="DI40" s="409">
        <f t="shared" si="105"/>
        <v>0</v>
      </c>
      <c r="DJ40" s="409">
        <f t="shared" si="105"/>
        <v>0</v>
      </c>
      <c r="DK40" s="409">
        <f t="shared" si="105"/>
        <v>0</v>
      </c>
      <c r="DL40" s="409">
        <f t="shared" si="105"/>
        <v>0</v>
      </c>
      <c r="DM40" s="409">
        <f t="shared" si="105"/>
        <v>0</v>
      </c>
      <c r="DN40" s="409">
        <f t="shared" si="105"/>
        <v>0</v>
      </c>
      <c r="DO40" s="409">
        <f t="shared" si="106"/>
        <v>0</v>
      </c>
      <c r="DP40" s="409">
        <f t="shared" si="106"/>
        <v>0</v>
      </c>
      <c r="DQ40" s="409">
        <f t="shared" si="106"/>
        <v>0</v>
      </c>
      <c r="DR40" s="409">
        <f t="shared" si="106"/>
        <v>0</v>
      </c>
      <c r="DS40" s="409">
        <f t="shared" si="106"/>
        <v>0</v>
      </c>
      <c r="DT40" s="409">
        <f t="shared" si="106"/>
        <v>0</v>
      </c>
      <c r="DU40" s="409">
        <f t="shared" si="106"/>
        <v>0</v>
      </c>
      <c r="DV40" s="409">
        <f t="shared" si="106"/>
        <v>0</v>
      </c>
      <c r="DW40" s="409">
        <f t="shared" si="106"/>
        <v>0</v>
      </c>
      <c r="DX40" s="409">
        <f t="shared" si="106"/>
        <v>0</v>
      </c>
      <c r="DY40" s="409">
        <f t="shared" si="107"/>
        <v>0</v>
      </c>
      <c r="DZ40" s="409">
        <f t="shared" si="107"/>
        <v>0</v>
      </c>
      <c r="EA40" s="409">
        <f t="shared" si="107"/>
        <v>0</v>
      </c>
      <c r="EB40" s="409">
        <f t="shared" si="107"/>
        <v>0</v>
      </c>
      <c r="EC40" s="409">
        <f t="shared" si="107"/>
        <v>0</v>
      </c>
      <c r="ED40" s="409">
        <f t="shared" si="107"/>
        <v>0</v>
      </c>
      <c r="EE40" s="409">
        <f t="shared" si="107"/>
        <v>0</v>
      </c>
      <c r="EF40" s="409">
        <f t="shared" si="107"/>
        <v>0</v>
      </c>
      <c r="EG40" s="409">
        <f t="shared" si="107"/>
        <v>0</v>
      </c>
      <c r="EH40" s="409">
        <f t="shared" si="107"/>
        <v>0</v>
      </c>
      <c r="EI40" s="409">
        <f t="shared" si="108"/>
        <v>0</v>
      </c>
      <c r="EJ40" s="409">
        <f t="shared" si="108"/>
        <v>0</v>
      </c>
      <c r="EK40" s="409">
        <f t="shared" si="108"/>
        <v>0</v>
      </c>
      <c r="EL40" s="409">
        <f t="shared" si="108"/>
        <v>0</v>
      </c>
      <c r="EM40" s="409">
        <f t="shared" si="108"/>
        <v>0</v>
      </c>
      <c r="EN40" s="409">
        <f t="shared" si="108"/>
        <v>0</v>
      </c>
      <c r="EO40" s="409">
        <f t="shared" si="108"/>
        <v>0</v>
      </c>
      <c r="EP40" s="409">
        <f t="shared" si="108"/>
        <v>0</v>
      </c>
      <c r="EQ40" s="409">
        <f t="shared" si="108"/>
        <v>0</v>
      </c>
      <c r="ER40" s="409">
        <f t="shared" si="108"/>
        <v>0</v>
      </c>
      <c r="ES40" s="409">
        <f t="shared" si="109"/>
        <v>0</v>
      </c>
      <c r="ET40" s="409">
        <f t="shared" si="109"/>
        <v>0</v>
      </c>
      <c r="EU40" s="409">
        <f t="shared" si="109"/>
        <v>0</v>
      </c>
      <c r="EV40" s="409">
        <f t="shared" si="109"/>
        <v>0</v>
      </c>
      <c r="EW40" s="409">
        <f t="shared" si="109"/>
        <v>0</v>
      </c>
      <c r="EX40" s="409">
        <f t="shared" si="109"/>
        <v>0</v>
      </c>
      <c r="EY40" s="409">
        <f t="shared" si="109"/>
        <v>0</v>
      </c>
      <c r="EZ40" s="409">
        <f t="shared" si="109"/>
        <v>0</v>
      </c>
      <c r="FA40" s="409">
        <f t="shared" si="109"/>
        <v>0</v>
      </c>
      <c r="FB40" s="409">
        <f t="shared" si="109"/>
        <v>0</v>
      </c>
      <c r="FC40" s="409">
        <f t="shared" si="110"/>
        <v>0</v>
      </c>
      <c r="FD40" s="409">
        <f t="shared" si="110"/>
        <v>0</v>
      </c>
      <c r="FE40" s="409">
        <f t="shared" si="110"/>
        <v>0</v>
      </c>
      <c r="FF40" s="409">
        <f t="shared" si="110"/>
        <v>0</v>
      </c>
      <c r="FG40" s="409">
        <f t="shared" si="110"/>
        <v>0</v>
      </c>
      <c r="FH40" s="409">
        <f t="shared" si="110"/>
        <v>0</v>
      </c>
      <c r="FI40" s="409">
        <f t="shared" si="110"/>
        <v>0</v>
      </c>
      <c r="FJ40" s="409">
        <f t="shared" si="110"/>
        <v>0</v>
      </c>
      <c r="FK40" s="409">
        <f t="shared" si="110"/>
        <v>0</v>
      </c>
      <c r="FL40" s="409">
        <f t="shared" si="110"/>
        <v>0</v>
      </c>
      <c r="FM40" s="409">
        <f t="shared" si="111"/>
        <v>0</v>
      </c>
      <c r="FN40" s="409">
        <f t="shared" si="111"/>
        <v>0</v>
      </c>
      <c r="FO40" s="409">
        <f t="shared" si="111"/>
        <v>0</v>
      </c>
      <c r="FP40" s="409">
        <f t="shared" si="111"/>
        <v>0</v>
      </c>
      <c r="FQ40" s="409">
        <f t="shared" si="111"/>
        <v>0</v>
      </c>
      <c r="FR40" s="409">
        <f t="shared" si="111"/>
        <v>0</v>
      </c>
      <c r="FS40" s="409">
        <f t="shared" si="111"/>
        <v>0</v>
      </c>
      <c r="FT40" s="409">
        <f t="shared" si="111"/>
        <v>0</v>
      </c>
      <c r="FU40" s="409">
        <f t="shared" si="111"/>
        <v>0</v>
      </c>
      <c r="FV40" s="409">
        <f t="shared" si="111"/>
        <v>0</v>
      </c>
      <c r="FW40" s="409">
        <f t="shared" si="112"/>
        <v>0</v>
      </c>
      <c r="FX40" s="409">
        <f t="shared" si="112"/>
        <v>0</v>
      </c>
      <c r="FY40" s="409">
        <f t="shared" si="112"/>
        <v>0</v>
      </c>
      <c r="FZ40" s="409">
        <f t="shared" si="112"/>
        <v>0</v>
      </c>
      <c r="GA40" s="409">
        <f t="shared" si="112"/>
        <v>0</v>
      </c>
      <c r="GB40" s="409">
        <f t="shared" si="112"/>
        <v>0</v>
      </c>
      <c r="GC40" s="409">
        <f t="shared" si="112"/>
        <v>0</v>
      </c>
      <c r="GD40" s="409">
        <f t="shared" si="112"/>
        <v>0</v>
      </c>
      <c r="GE40" s="409">
        <f t="shared" si="112"/>
        <v>0</v>
      </c>
      <c r="GF40" s="409">
        <f t="shared" si="112"/>
        <v>0</v>
      </c>
      <c r="GG40" s="409">
        <f t="shared" si="113"/>
        <v>0</v>
      </c>
      <c r="GH40" s="409">
        <f t="shared" si="113"/>
        <v>0</v>
      </c>
      <c r="GI40" s="409">
        <f t="shared" si="113"/>
        <v>0</v>
      </c>
      <c r="GJ40" s="409">
        <f t="shared" si="113"/>
        <v>0</v>
      </c>
      <c r="GK40" s="409">
        <f t="shared" si="113"/>
        <v>0</v>
      </c>
      <c r="GL40" s="409">
        <f t="shared" si="113"/>
        <v>0</v>
      </c>
      <c r="GM40" s="409">
        <f t="shared" si="113"/>
        <v>0</v>
      </c>
      <c r="GN40" s="409">
        <f t="shared" si="113"/>
        <v>0</v>
      </c>
      <c r="GO40" s="409">
        <f t="shared" si="113"/>
        <v>0</v>
      </c>
      <c r="GP40" s="409">
        <f t="shared" si="113"/>
        <v>0</v>
      </c>
      <c r="GQ40" s="409">
        <f t="shared" si="114"/>
        <v>0</v>
      </c>
      <c r="GR40" s="409">
        <f t="shared" si="114"/>
        <v>0</v>
      </c>
      <c r="GS40" s="409">
        <f t="shared" si="114"/>
        <v>0</v>
      </c>
      <c r="GT40" s="409">
        <f t="shared" si="114"/>
        <v>0</v>
      </c>
      <c r="GU40" s="409">
        <f t="shared" si="114"/>
        <v>0</v>
      </c>
      <c r="GV40" s="409">
        <f t="shared" si="114"/>
        <v>0</v>
      </c>
      <c r="GW40" s="409">
        <f t="shared" si="114"/>
        <v>0</v>
      </c>
      <c r="GX40" s="409">
        <f t="shared" si="114"/>
        <v>0</v>
      </c>
      <c r="GY40" s="409">
        <f t="shared" si="114"/>
        <v>0</v>
      </c>
      <c r="GZ40" s="409">
        <f t="shared" si="114"/>
        <v>0</v>
      </c>
      <c r="HA40" s="409">
        <f t="shared" si="115"/>
        <v>0</v>
      </c>
      <c r="HB40" s="409">
        <f t="shared" si="115"/>
        <v>0</v>
      </c>
      <c r="HC40" s="409">
        <f t="shared" si="115"/>
        <v>0</v>
      </c>
      <c r="HD40" s="409">
        <f t="shared" si="115"/>
        <v>0</v>
      </c>
      <c r="HE40" s="409">
        <f t="shared" si="115"/>
        <v>0</v>
      </c>
      <c r="HF40" s="409">
        <f t="shared" si="115"/>
        <v>0</v>
      </c>
      <c r="HG40" s="409">
        <f t="shared" si="115"/>
        <v>0</v>
      </c>
      <c r="HH40" s="409">
        <f t="shared" si="115"/>
        <v>0</v>
      </c>
      <c r="HI40" s="409">
        <f t="shared" si="115"/>
        <v>0</v>
      </c>
      <c r="HJ40" s="409">
        <f t="shared" si="115"/>
        <v>0</v>
      </c>
      <c r="HK40" s="409">
        <f t="shared" si="116"/>
        <v>0</v>
      </c>
      <c r="HL40" s="409">
        <f t="shared" si="116"/>
        <v>0</v>
      </c>
      <c r="HM40" s="409">
        <f t="shared" si="116"/>
        <v>0</v>
      </c>
      <c r="HN40" s="409">
        <f t="shared" si="116"/>
        <v>0</v>
      </c>
      <c r="HO40" s="409">
        <f t="shared" si="116"/>
        <v>0</v>
      </c>
      <c r="HP40" s="409">
        <f t="shared" si="116"/>
        <v>0</v>
      </c>
      <c r="HQ40" s="409">
        <f t="shared" si="116"/>
        <v>0</v>
      </c>
      <c r="HR40" s="409">
        <f t="shared" si="116"/>
        <v>0</v>
      </c>
      <c r="HS40" s="409">
        <f t="shared" si="116"/>
        <v>0</v>
      </c>
      <c r="HT40" s="409">
        <f t="shared" si="116"/>
        <v>0</v>
      </c>
      <c r="HU40" s="409">
        <f t="shared" si="117"/>
        <v>0</v>
      </c>
      <c r="HV40" s="409">
        <f t="shared" si="117"/>
        <v>0</v>
      </c>
      <c r="HW40" s="409">
        <f t="shared" si="117"/>
        <v>0</v>
      </c>
      <c r="HX40" s="409">
        <f t="shared" si="117"/>
        <v>0</v>
      </c>
      <c r="HY40" s="409">
        <f t="shared" si="117"/>
        <v>0</v>
      </c>
      <c r="HZ40" s="409">
        <f t="shared" si="117"/>
        <v>0</v>
      </c>
      <c r="IA40" s="409">
        <f t="shared" si="117"/>
        <v>0</v>
      </c>
      <c r="IB40" s="409">
        <f t="shared" si="117"/>
        <v>0</v>
      </c>
      <c r="IC40" s="409">
        <f t="shared" si="117"/>
        <v>0</v>
      </c>
      <c r="ID40" s="409">
        <f t="shared" si="117"/>
        <v>0</v>
      </c>
      <c r="IE40" s="409">
        <f t="shared" si="118"/>
        <v>0</v>
      </c>
      <c r="IF40" s="409">
        <f t="shared" si="118"/>
        <v>0</v>
      </c>
      <c r="IG40" s="409">
        <f t="shared" si="118"/>
        <v>0</v>
      </c>
      <c r="IH40" s="409">
        <f t="shared" si="118"/>
        <v>0</v>
      </c>
      <c r="II40" s="409">
        <f t="shared" si="118"/>
        <v>0</v>
      </c>
      <c r="IJ40" s="409">
        <f t="shared" si="118"/>
        <v>0</v>
      </c>
      <c r="IK40" s="378">
        <f t="shared" si="54"/>
        <v>33</v>
      </c>
    </row>
    <row r="41" spans="1:245" hidden="1" x14ac:dyDescent="0.2">
      <c r="A41" s="380" t="str">
        <f t="shared" si="34"/>
        <v>x</v>
      </c>
      <c r="B41" s="712" t="str">
        <f>IF(ISERROR(INDEX('Legend(DX)'!$H$8:$H$9,34)),"",INDEX('Legend(DX)'!$H$8:$H$9,34))</f>
        <v/>
      </c>
      <c r="C41" s="712" t="e">
        <f>IF(INDEX('Legend(DX)'!$T$8:$T$9,34)=0,"See Legend",INDEX('Legend(DX)'!$T$8:$T$9,34))</f>
        <v>#REF!</v>
      </c>
      <c r="D41" s="712" t="e">
        <f>IF(INDEX('Legend(DX)'!$R$8:$R$9,(ROW(C41))-7)=0,IF(AND(INDEX('Legend(DX)'!$D$8:$D$9,(ROW(C41))-6)="CH",INDEX('Legend(DX)'!$F$8:$F$9,(ROW(C41))-6)="CASE - MANUAL"),INDEX('Legend(DX)'!$R$8:$R$9,(ROW(C41))-6),IF(INDEX('Legend(DX)'!$V$8:$V$9,(ROW(C41))-7)&gt;1, "(" &amp; INDEX('Legend(DX)'!$V$8:$V$9,(ROW(C41))-7) &amp; ") " &amp; INDEX('Legend(DX)'!$W$8:$W$9,(ROW(C41))-6),INDEX('Legend(DX)'!$W$8:$W$9,(ROW(C41))-7))),INDEX('Legend(DX)'!$R$8:$R$9,(ROW(C41))-7))</f>
        <v>#REF!</v>
      </c>
      <c r="E41" s="713" t="str" cm="1">
        <f t="array" ref="E41">IF(OR(ISNUMBER(SEARCH("Skid",C41)),ISNUMBER(SEARCH("Subcooler",C41)),ISNUMBER(SEARCH("Pump",C41)),ISNUMBER(SEARCH("PH",C41))),0,IF(ISERROR(INDEX('Legend(DX)'!$AA$8:$AA$9,ROW()-7)),"",INDEX('Legend(DX)'!$AA$8:$AA$9,ROW()-7)))</f>
        <v/>
      </c>
      <c r="F41" s="714"/>
      <c r="G41" s="714"/>
      <c r="H41" s="714"/>
      <c r="I41" s="714"/>
      <c r="J41" s="714"/>
      <c r="K41" s="890">
        <f t="shared" si="35"/>
        <v>0</v>
      </c>
      <c r="L41" s="718"/>
      <c r="M41" s="719"/>
      <c r="N41" s="972">
        <f t="shared" si="7"/>
        <v>-1</v>
      </c>
      <c r="O41" s="972">
        <f t="shared" si="36"/>
        <v>-1</v>
      </c>
      <c r="P41" s="972">
        <f t="shared" si="8"/>
        <v>-1</v>
      </c>
      <c r="Q41" s="972">
        <f t="shared" si="37"/>
        <v>-1</v>
      </c>
      <c r="R41" s="972">
        <f t="shared" si="9"/>
        <v>-1</v>
      </c>
      <c r="S41" s="972">
        <f t="shared" si="38"/>
        <v>-1</v>
      </c>
      <c r="T41" s="972">
        <f t="shared" si="10"/>
        <v>-1</v>
      </c>
      <c r="U41" s="972">
        <f t="shared" si="39"/>
        <v>-1</v>
      </c>
      <c r="V41" s="972">
        <f t="shared" si="11"/>
        <v>-1</v>
      </c>
      <c r="W41" s="972">
        <f t="shared" si="40"/>
        <v>-1</v>
      </c>
      <c r="X41" s="972">
        <f t="shared" si="12"/>
        <v>-1</v>
      </c>
      <c r="Y41" s="972">
        <f t="shared" si="41"/>
        <v>-1</v>
      </c>
      <c r="Z41" s="972">
        <f t="shared" si="42"/>
        <v>-1</v>
      </c>
      <c r="AA41" s="972">
        <f t="shared" si="43"/>
        <v>-1</v>
      </c>
      <c r="AB41" s="972">
        <f t="shared" si="44"/>
        <v>-1</v>
      </c>
      <c r="AC41" s="972">
        <f t="shared" si="45"/>
        <v>-1</v>
      </c>
      <c r="AD41" s="972">
        <f t="shared" si="46"/>
        <v>-1</v>
      </c>
      <c r="AE41" s="972">
        <f t="shared" si="47"/>
        <v>-1</v>
      </c>
      <c r="AF41" s="972">
        <f t="shared" si="48"/>
        <v>-1</v>
      </c>
      <c r="AG41" s="972">
        <f t="shared" si="49"/>
        <v>-1</v>
      </c>
      <c r="AH41" s="972">
        <f t="shared" si="50"/>
        <v>-1</v>
      </c>
      <c r="AI41" s="972">
        <f t="shared" si="51"/>
        <v>-1</v>
      </c>
      <c r="AJ41" s="972">
        <f t="shared" si="52"/>
        <v>-1</v>
      </c>
      <c r="AK41" s="381" t="str">
        <f>IF(ISERROR(INDEX('Legend(DX)'!$AI$8:$AI$9,IK41)),"",INDEX('Legend(DX)'!$AI$8:$AI$9,IK41))</f>
        <v/>
      </c>
      <c r="AL41" s="727" t="str">
        <f t="shared" si="53"/>
        <v/>
      </c>
      <c r="AM41" s="409">
        <f t="shared" si="98"/>
        <v>0</v>
      </c>
      <c r="AN41" s="409">
        <f t="shared" si="98"/>
        <v>0</v>
      </c>
      <c r="AO41" s="409">
        <f t="shared" si="98"/>
        <v>0</v>
      </c>
      <c r="AP41" s="409">
        <f t="shared" si="98"/>
        <v>0</v>
      </c>
      <c r="AQ41" s="409">
        <f t="shared" si="98"/>
        <v>0</v>
      </c>
      <c r="AR41" s="409">
        <f t="shared" si="98"/>
        <v>0</v>
      </c>
      <c r="AS41" s="409">
        <f t="shared" si="98"/>
        <v>0</v>
      </c>
      <c r="AT41" s="409">
        <f t="shared" si="98"/>
        <v>0</v>
      </c>
      <c r="AU41" s="409">
        <f t="shared" si="98"/>
        <v>0</v>
      </c>
      <c r="AV41" s="409">
        <f t="shared" si="98"/>
        <v>0</v>
      </c>
      <c r="AW41" s="409">
        <f t="shared" si="99"/>
        <v>0</v>
      </c>
      <c r="AX41" s="409">
        <f t="shared" si="99"/>
        <v>0</v>
      </c>
      <c r="AY41" s="409">
        <f t="shared" si="99"/>
        <v>0</v>
      </c>
      <c r="AZ41" s="409">
        <f t="shared" si="99"/>
        <v>0</v>
      </c>
      <c r="BA41" s="409">
        <f t="shared" si="99"/>
        <v>0</v>
      </c>
      <c r="BB41" s="409">
        <f t="shared" si="99"/>
        <v>0</v>
      </c>
      <c r="BC41" s="409">
        <f t="shared" si="99"/>
        <v>0</v>
      </c>
      <c r="BD41" s="409">
        <f t="shared" si="99"/>
        <v>0</v>
      </c>
      <c r="BE41" s="409">
        <f t="shared" si="99"/>
        <v>0</v>
      </c>
      <c r="BF41" s="409">
        <f t="shared" si="99"/>
        <v>0</v>
      </c>
      <c r="BG41" s="409">
        <f t="shared" si="100"/>
        <v>0</v>
      </c>
      <c r="BH41" s="409">
        <f t="shared" si="100"/>
        <v>0</v>
      </c>
      <c r="BI41" s="409">
        <f t="shared" si="100"/>
        <v>0</v>
      </c>
      <c r="BJ41" s="409">
        <f t="shared" si="100"/>
        <v>0</v>
      </c>
      <c r="BK41" s="409">
        <f t="shared" si="100"/>
        <v>0</v>
      </c>
      <c r="BL41" s="409">
        <f t="shared" si="100"/>
        <v>0</v>
      </c>
      <c r="BM41" s="409">
        <f t="shared" si="100"/>
        <v>0</v>
      </c>
      <c r="BN41" s="409">
        <f t="shared" si="100"/>
        <v>0</v>
      </c>
      <c r="BO41" s="409">
        <f t="shared" si="100"/>
        <v>0</v>
      </c>
      <c r="BP41" s="409">
        <f t="shared" si="100"/>
        <v>0</v>
      </c>
      <c r="BQ41" s="409">
        <f t="shared" si="101"/>
        <v>0</v>
      </c>
      <c r="BR41" s="409">
        <f t="shared" si="101"/>
        <v>0</v>
      </c>
      <c r="BS41" s="409">
        <f t="shared" si="101"/>
        <v>0</v>
      </c>
      <c r="BT41" s="409">
        <f t="shared" si="101"/>
        <v>0</v>
      </c>
      <c r="BU41" s="409">
        <f t="shared" si="101"/>
        <v>0</v>
      </c>
      <c r="BV41" s="409">
        <f t="shared" si="101"/>
        <v>0</v>
      </c>
      <c r="BW41" s="409">
        <f t="shared" si="101"/>
        <v>0</v>
      </c>
      <c r="BX41" s="409">
        <f t="shared" si="101"/>
        <v>0</v>
      </c>
      <c r="BY41" s="409">
        <f t="shared" si="101"/>
        <v>0</v>
      </c>
      <c r="BZ41" s="409">
        <f t="shared" si="101"/>
        <v>0</v>
      </c>
      <c r="CA41" s="409">
        <f t="shared" si="102"/>
        <v>0</v>
      </c>
      <c r="CB41" s="409">
        <f t="shared" si="102"/>
        <v>0</v>
      </c>
      <c r="CC41" s="409">
        <f t="shared" si="102"/>
        <v>0</v>
      </c>
      <c r="CD41" s="409">
        <f t="shared" si="102"/>
        <v>0</v>
      </c>
      <c r="CE41" s="409">
        <f t="shared" si="102"/>
        <v>0</v>
      </c>
      <c r="CF41" s="409">
        <f t="shared" si="102"/>
        <v>0</v>
      </c>
      <c r="CG41" s="409">
        <f t="shared" si="102"/>
        <v>0</v>
      </c>
      <c r="CH41" s="409">
        <f t="shared" si="102"/>
        <v>0</v>
      </c>
      <c r="CI41" s="409">
        <f t="shared" si="102"/>
        <v>0</v>
      </c>
      <c r="CJ41" s="409">
        <f t="shared" si="102"/>
        <v>0</v>
      </c>
      <c r="CK41" s="409">
        <f t="shared" si="103"/>
        <v>0</v>
      </c>
      <c r="CL41" s="409">
        <f t="shared" si="103"/>
        <v>0</v>
      </c>
      <c r="CM41" s="409">
        <f t="shared" si="103"/>
        <v>0</v>
      </c>
      <c r="CN41" s="409">
        <f t="shared" si="103"/>
        <v>0</v>
      </c>
      <c r="CO41" s="409">
        <f t="shared" si="103"/>
        <v>0</v>
      </c>
      <c r="CP41" s="409">
        <f t="shared" si="103"/>
        <v>0</v>
      </c>
      <c r="CQ41" s="409">
        <f t="shared" si="103"/>
        <v>0</v>
      </c>
      <c r="CR41" s="409">
        <f t="shared" si="103"/>
        <v>0</v>
      </c>
      <c r="CS41" s="409">
        <f t="shared" si="103"/>
        <v>0</v>
      </c>
      <c r="CT41" s="409">
        <f t="shared" si="103"/>
        <v>0</v>
      </c>
      <c r="CU41" s="409">
        <f t="shared" si="104"/>
        <v>0</v>
      </c>
      <c r="CV41" s="409">
        <f t="shared" si="104"/>
        <v>0</v>
      </c>
      <c r="CW41" s="409">
        <f t="shared" si="104"/>
        <v>0</v>
      </c>
      <c r="CX41" s="409">
        <f t="shared" si="104"/>
        <v>0</v>
      </c>
      <c r="CY41" s="409">
        <f t="shared" si="104"/>
        <v>0</v>
      </c>
      <c r="CZ41" s="409">
        <f t="shared" si="104"/>
        <v>0</v>
      </c>
      <c r="DA41" s="409">
        <f t="shared" si="104"/>
        <v>0</v>
      </c>
      <c r="DB41" s="409">
        <f t="shared" si="104"/>
        <v>0</v>
      </c>
      <c r="DC41" s="409">
        <f t="shared" si="104"/>
        <v>0</v>
      </c>
      <c r="DD41" s="409">
        <f t="shared" si="104"/>
        <v>0</v>
      </c>
      <c r="DE41" s="409">
        <f t="shared" si="105"/>
        <v>0</v>
      </c>
      <c r="DF41" s="409">
        <f t="shared" si="105"/>
        <v>0</v>
      </c>
      <c r="DG41" s="409">
        <f t="shared" si="105"/>
        <v>0</v>
      </c>
      <c r="DH41" s="409">
        <f t="shared" si="105"/>
        <v>0</v>
      </c>
      <c r="DI41" s="409">
        <f t="shared" si="105"/>
        <v>0</v>
      </c>
      <c r="DJ41" s="409">
        <f t="shared" si="105"/>
        <v>0</v>
      </c>
      <c r="DK41" s="409">
        <f t="shared" si="105"/>
        <v>0</v>
      </c>
      <c r="DL41" s="409">
        <f t="shared" si="105"/>
        <v>0</v>
      </c>
      <c r="DM41" s="409">
        <f t="shared" si="105"/>
        <v>0</v>
      </c>
      <c r="DN41" s="409">
        <f t="shared" si="105"/>
        <v>0</v>
      </c>
      <c r="DO41" s="409">
        <f t="shared" si="106"/>
        <v>0</v>
      </c>
      <c r="DP41" s="409">
        <f t="shared" si="106"/>
        <v>0</v>
      </c>
      <c r="DQ41" s="409">
        <f t="shared" si="106"/>
        <v>0</v>
      </c>
      <c r="DR41" s="409">
        <f t="shared" si="106"/>
        <v>0</v>
      </c>
      <c r="DS41" s="409">
        <f t="shared" si="106"/>
        <v>0</v>
      </c>
      <c r="DT41" s="409">
        <f t="shared" si="106"/>
        <v>0</v>
      </c>
      <c r="DU41" s="409">
        <f t="shared" si="106"/>
        <v>0</v>
      </c>
      <c r="DV41" s="409">
        <f t="shared" si="106"/>
        <v>0</v>
      </c>
      <c r="DW41" s="409">
        <f t="shared" si="106"/>
        <v>0</v>
      </c>
      <c r="DX41" s="409">
        <f t="shared" si="106"/>
        <v>0</v>
      </c>
      <c r="DY41" s="409">
        <f t="shared" si="107"/>
        <v>0</v>
      </c>
      <c r="DZ41" s="409">
        <f t="shared" si="107"/>
        <v>0</v>
      </c>
      <c r="EA41" s="409">
        <f t="shared" si="107"/>
        <v>0</v>
      </c>
      <c r="EB41" s="409">
        <f t="shared" si="107"/>
        <v>0</v>
      </c>
      <c r="EC41" s="409">
        <f t="shared" si="107"/>
        <v>0</v>
      </c>
      <c r="ED41" s="409">
        <f t="shared" si="107"/>
        <v>0</v>
      </c>
      <c r="EE41" s="409">
        <f t="shared" si="107"/>
        <v>0</v>
      </c>
      <c r="EF41" s="409">
        <f t="shared" si="107"/>
        <v>0</v>
      </c>
      <c r="EG41" s="409">
        <f t="shared" si="107"/>
        <v>0</v>
      </c>
      <c r="EH41" s="409">
        <f t="shared" si="107"/>
        <v>0</v>
      </c>
      <c r="EI41" s="409">
        <f t="shared" si="108"/>
        <v>0</v>
      </c>
      <c r="EJ41" s="409">
        <f t="shared" si="108"/>
        <v>0</v>
      </c>
      <c r="EK41" s="409">
        <f t="shared" si="108"/>
        <v>0</v>
      </c>
      <c r="EL41" s="409">
        <f t="shared" si="108"/>
        <v>0</v>
      </c>
      <c r="EM41" s="409">
        <f t="shared" si="108"/>
        <v>0</v>
      </c>
      <c r="EN41" s="409">
        <f t="shared" si="108"/>
        <v>0</v>
      </c>
      <c r="EO41" s="409">
        <f t="shared" si="108"/>
        <v>0</v>
      </c>
      <c r="EP41" s="409">
        <f t="shared" si="108"/>
        <v>0</v>
      </c>
      <c r="EQ41" s="409">
        <f t="shared" si="108"/>
        <v>0</v>
      </c>
      <c r="ER41" s="409">
        <f t="shared" si="108"/>
        <v>0</v>
      </c>
      <c r="ES41" s="409">
        <f t="shared" si="109"/>
        <v>0</v>
      </c>
      <c r="ET41" s="409">
        <f t="shared" si="109"/>
        <v>0</v>
      </c>
      <c r="EU41" s="409">
        <f t="shared" si="109"/>
        <v>0</v>
      </c>
      <c r="EV41" s="409">
        <f t="shared" si="109"/>
        <v>0</v>
      </c>
      <c r="EW41" s="409">
        <f t="shared" si="109"/>
        <v>0</v>
      </c>
      <c r="EX41" s="409">
        <f t="shared" si="109"/>
        <v>0</v>
      </c>
      <c r="EY41" s="409">
        <f t="shared" si="109"/>
        <v>0</v>
      </c>
      <c r="EZ41" s="409">
        <f t="shared" si="109"/>
        <v>0</v>
      </c>
      <c r="FA41" s="409">
        <f t="shared" si="109"/>
        <v>0</v>
      </c>
      <c r="FB41" s="409">
        <f t="shared" si="109"/>
        <v>0</v>
      </c>
      <c r="FC41" s="409">
        <f t="shared" si="110"/>
        <v>0</v>
      </c>
      <c r="FD41" s="409">
        <f t="shared" si="110"/>
        <v>0</v>
      </c>
      <c r="FE41" s="409">
        <f t="shared" si="110"/>
        <v>0</v>
      </c>
      <c r="FF41" s="409">
        <f t="shared" si="110"/>
        <v>0</v>
      </c>
      <c r="FG41" s="409">
        <f t="shared" si="110"/>
        <v>0</v>
      </c>
      <c r="FH41" s="409">
        <f t="shared" si="110"/>
        <v>0</v>
      </c>
      <c r="FI41" s="409">
        <f t="shared" si="110"/>
        <v>0</v>
      </c>
      <c r="FJ41" s="409">
        <f t="shared" si="110"/>
        <v>0</v>
      </c>
      <c r="FK41" s="409">
        <f t="shared" si="110"/>
        <v>0</v>
      </c>
      <c r="FL41" s="409">
        <f t="shared" si="110"/>
        <v>0</v>
      </c>
      <c r="FM41" s="409">
        <f t="shared" si="111"/>
        <v>0</v>
      </c>
      <c r="FN41" s="409">
        <f t="shared" si="111"/>
        <v>0</v>
      </c>
      <c r="FO41" s="409">
        <f t="shared" si="111"/>
        <v>0</v>
      </c>
      <c r="FP41" s="409">
        <f t="shared" si="111"/>
        <v>0</v>
      </c>
      <c r="FQ41" s="409">
        <f t="shared" si="111"/>
        <v>0</v>
      </c>
      <c r="FR41" s="409">
        <f t="shared" si="111"/>
        <v>0</v>
      </c>
      <c r="FS41" s="409">
        <f t="shared" si="111"/>
        <v>0</v>
      </c>
      <c r="FT41" s="409">
        <f t="shared" si="111"/>
        <v>0</v>
      </c>
      <c r="FU41" s="409">
        <f t="shared" si="111"/>
        <v>0</v>
      </c>
      <c r="FV41" s="409">
        <f t="shared" si="111"/>
        <v>0</v>
      </c>
      <c r="FW41" s="409">
        <f t="shared" si="112"/>
        <v>0</v>
      </c>
      <c r="FX41" s="409">
        <f t="shared" si="112"/>
        <v>0</v>
      </c>
      <c r="FY41" s="409">
        <f t="shared" si="112"/>
        <v>0</v>
      </c>
      <c r="FZ41" s="409">
        <f t="shared" si="112"/>
        <v>0</v>
      </c>
      <c r="GA41" s="409">
        <f t="shared" si="112"/>
        <v>0</v>
      </c>
      <c r="GB41" s="409">
        <f t="shared" si="112"/>
        <v>0</v>
      </c>
      <c r="GC41" s="409">
        <f t="shared" si="112"/>
        <v>0</v>
      </c>
      <c r="GD41" s="409">
        <f t="shared" si="112"/>
        <v>0</v>
      </c>
      <c r="GE41" s="409">
        <f t="shared" si="112"/>
        <v>0</v>
      </c>
      <c r="GF41" s="409">
        <f t="shared" si="112"/>
        <v>0</v>
      </c>
      <c r="GG41" s="409">
        <f t="shared" si="113"/>
        <v>0</v>
      </c>
      <c r="GH41" s="409">
        <f t="shared" si="113"/>
        <v>0</v>
      </c>
      <c r="GI41" s="409">
        <f t="shared" si="113"/>
        <v>0</v>
      </c>
      <c r="GJ41" s="409">
        <f t="shared" si="113"/>
        <v>0</v>
      </c>
      <c r="GK41" s="409">
        <f t="shared" si="113"/>
        <v>0</v>
      </c>
      <c r="GL41" s="409">
        <f t="shared" si="113"/>
        <v>0</v>
      </c>
      <c r="GM41" s="409">
        <f t="shared" si="113"/>
        <v>0</v>
      </c>
      <c r="GN41" s="409">
        <f t="shared" si="113"/>
        <v>0</v>
      </c>
      <c r="GO41" s="409">
        <f t="shared" si="113"/>
        <v>0</v>
      </c>
      <c r="GP41" s="409">
        <f t="shared" si="113"/>
        <v>0</v>
      </c>
      <c r="GQ41" s="409">
        <f t="shared" si="114"/>
        <v>0</v>
      </c>
      <c r="GR41" s="409">
        <f t="shared" si="114"/>
        <v>0</v>
      </c>
      <c r="GS41" s="409">
        <f t="shared" si="114"/>
        <v>0</v>
      </c>
      <c r="GT41" s="409">
        <f t="shared" si="114"/>
        <v>0</v>
      </c>
      <c r="GU41" s="409">
        <f t="shared" si="114"/>
        <v>0</v>
      </c>
      <c r="GV41" s="409">
        <f t="shared" si="114"/>
        <v>0</v>
      </c>
      <c r="GW41" s="409">
        <f t="shared" si="114"/>
        <v>0</v>
      </c>
      <c r="GX41" s="409">
        <f t="shared" si="114"/>
        <v>0</v>
      </c>
      <c r="GY41" s="409">
        <f t="shared" si="114"/>
        <v>0</v>
      </c>
      <c r="GZ41" s="409">
        <f t="shared" si="114"/>
        <v>0</v>
      </c>
      <c r="HA41" s="409">
        <f t="shared" si="115"/>
        <v>0</v>
      </c>
      <c r="HB41" s="409">
        <f t="shared" si="115"/>
        <v>0</v>
      </c>
      <c r="HC41" s="409">
        <f t="shared" si="115"/>
        <v>0</v>
      </c>
      <c r="HD41" s="409">
        <f t="shared" si="115"/>
        <v>0</v>
      </c>
      <c r="HE41" s="409">
        <f t="shared" si="115"/>
        <v>0</v>
      </c>
      <c r="HF41" s="409">
        <f t="shared" si="115"/>
        <v>0</v>
      </c>
      <c r="HG41" s="409">
        <f t="shared" si="115"/>
        <v>0</v>
      </c>
      <c r="HH41" s="409">
        <f t="shared" si="115"/>
        <v>0</v>
      </c>
      <c r="HI41" s="409">
        <f t="shared" si="115"/>
        <v>0</v>
      </c>
      <c r="HJ41" s="409">
        <f t="shared" si="115"/>
        <v>0</v>
      </c>
      <c r="HK41" s="409">
        <f t="shared" si="116"/>
        <v>0</v>
      </c>
      <c r="HL41" s="409">
        <f t="shared" si="116"/>
        <v>0</v>
      </c>
      <c r="HM41" s="409">
        <f t="shared" si="116"/>
        <v>0</v>
      </c>
      <c r="HN41" s="409">
        <f t="shared" si="116"/>
        <v>0</v>
      </c>
      <c r="HO41" s="409">
        <f t="shared" si="116"/>
        <v>0</v>
      </c>
      <c r="HP41" s="409">
        <f t="shared" si="116"/>
        <v>0</v>
      </c>
      <c r="HQ41" s="409">
        <f t="shared" si="116"/>
        <v>0</v>
      </c>
      <c r="HR41" s="409">
        <f t="shared" si="116"/>
        <v>0</v>
      </c>
      <c r="HS41" s="409">
        <f t="shared" si="116"/>
        <v>0</v>
      </c>
      <c r="HT41" s="409">
        <f t="shared" si="116"/>
        <v>0</v>
      </c>
      <c r="HU41" s="409">
        <f t="shared" si="117"/>
        <v>0</v>
      </c>
      <c r="HV41" s="409">
        <f t="shared" si="117"/>
        <v>0</v>
      </c>
      <c r="HW41" s="409">
        <f t="shared" si="117"/>
        <v>0</v>
      </c>
      <c r="HX41" s="409">
        <f t="shared" si="117"/>
        <v>0</v>
      </c>
      <c r="HY41" s="409">
        <f t="shared" si="117"/>
        <v>0</v>
      </c>
      <c r="HZ41" s="409">
        <f t="shared" si="117"/>
        <v>0</v>
      </c>
      <c r="IA41" s="409">
        <f t="shared" si="117"/>
        <v>0</v>
      </c>
      <c r="IB41" s="409">
        <f t="shared" si="117"/>
        <v>0</v>
      </c>
      <c r="IC41" s="409">
        <f t="shared" si="117"/>
        <v>0</v>
      </c>
      <c r="ID41" s="409">
        <f t="shared" si="117"/>
        <v>0</v>
      </c>
      <c r="IE41" s="409">
        <f t="shared" si="118"/>
        <v>0</v>
      </c>
      <c r="IF41" s="409">
        <f t="shared" si="118"/>
        <v>0</v>
      </c>
      <c r="IG41" s="409">
        <f t="shared" si="118"/>
        <v>0</v>
      </c>
      <c r="IH41" s="409">
        <f t="shared" si="118"/>
        <v>0</v>
      </c>
      <c r="II41" s="409">
        <f t="shared" si="118"/>
        <v>0</v>
      </c>
      <c r="IJ41" s="409">
        <f t="shared" si="118"/>
        <v>0</v>
      </c>
      <c r="IK41" s="378">
        <f t="shared" si="54"/>
        <v>34</v>
      </c>
    </row>
    <row r="42" spans="1:245" hidden="1" x14ac:dyDescent="0.2">
      <c r="A42" s="380" t="str">
        <f t="shared" si="34"/>
        <v>x</v>
      </c>
      <c r="B42" s="712" t="str">
        <f>IF(ISERROR(INDEX('Legend(DX)'!$H$8:$H$9,35)),"",INDEX('Legend(DX)'!$H$8:$H$9,35))</f>
        <v/>
      </c>
      <c r="C42" s="712" t="e">
        <f>IF(INDEX('Legend(DX)'!$T$8:$T$9,35)=0,"See Legend",INDEX('Legend(DX)'!$T$8:$T$9,35))</f>
        <v>#REF!</v>
      </c>
      <c r="D42" s="712" t="e">
        <f>IF(INDEX('Legend(DX)'!$R$8:$R$9,(ROW(C42))-7)=0,IF(AND(INDEX('Legend(DX)'!$D$8:$D$9,(ROW(C42))-6)="CH",INDEX('Legend(DX)'!$F$8:$F$9,(ROW(C42))-6)="CASE - MANUAL"),INDEX('Legend(DX)'!$R$8:$R$9,(ROW(C42))-6),IF(INDEX('Legend(DX)'!$V$8:$V$9,(ROW(C42))-7)&gt;1, "(" &amp; INDEX('Legend(DX)'!$V$8:$V$9,(ROW(C42))-7) &amp; ") " &amp; INDEX('Legend(DX)'!$W$8:$W$9,(ROW(C42))-6),INDEX('Legend(DX)'!$W$8:$W$9,(ROW(C42))-7))),INDEX('Legend(DX)'!$R$8:$R$9,(ROW(C42))-7))</f>
        <v>#REF!</v>
      </c>
      <c r="E42" s="713" t="str" cm="1">
        <f t="array" ref="E42">IF(OR(ISNUMBER(SEARCH("Skid",C42)),ISNUMBER(SEARCH("Subcooler",C42)),ISNUMBER(SEARCH("Pump",C42)),ISNUMBER(SEARCH("PH",C42))),0,IF(ISERROR(INDEX('Legend(DX)'!$AA$8:$AA$9,ROW()-7)),"",INDEX('Legend(DX)'!$AA$8:$AA$9,ROW()-7)))</f>
        <v/>
      </c>
      <c r="F42" s="714"/>
      <c r="G42" s="714"/>
      <c r="H42" s="714"/>
      <c r="I42" s="714"/>
      <c r="J42" s="714"/>
      <c r="K42" s="890">
        <f t="shared" si="35"/>
        <v>0</v>
      </c>
      <c r="L42" s="718"/>
      <c r="M42" s="719"/>
      <c r="N42" s="972">
        <f t="shared" si="7"/>
        <v>-1</v>
      </c>
      <c r="O42" s="972">
        <f t="shared" si="36"/>
        <v>-1</v>
      </c>
      <c r="P42" s="972">
        <f t="shared" si="8"/>
        <v>-1</v>
      </c>
      <c r="Q42" s="972">
        <f t="shared" si="37"/>
        <v>-1</v>
      </c>
      <c r="R42" s="972">
        <f t="shared" si="9"/>
        <v>-1</v>
      </c>
      <c r="S42" s="972">
        <f t="shared" si="38"/>
        <v>-1</v>
      </c>
      <c r="T42" s="972">
        <f t="shared" si="10"/>
        <v>-1</v>
      </c>
      <c r="U42" s="972">
        <f t="shared" si="39"/>
        <v>-1</v>
      </c>
      <c r="V42" s="972">
        <f t="shared" si="11"/>
        <v>-1</v>
      </c>
      <c r="W42" s="972">
        <f t="shared" si="40"/>
        <v>-1</v>
      </c>
      <c r="X42" s="972">
        <f t="shared" si="12"/>
        <v>-1</v>
      </c>
      <c r="Y42" s="972">
        <f t="shared" si="41"/>
        <v>-1</v>
      </c>
      <c r="Z42" s="972">
        <f t="shared" si="42"/>
        <v>-1</v>
      </c>
      <c r="AA42" s="972">
        <f t="shared" si="43"/>
        <v>-1</v>
      </c>
      <c r="AB42" s="972">
        <f t="shared" si="44"/>
        <v>-1</v>
      </c>
      <c r="AC42" s="972">
        <f t="shared" si="45"/>
        <v>-1</v>
      </c>
      <c r="AD42" s="972">
        <f t="shared" si="46"/>
        <v>-1</v>
      </c>
      <c r="AE42" s="972">
        <f t="shared" si="47"/>
        <v>-1</v>
      </c>
      <c r="AF42" s="972">
        <f t="shared" si="48"/>
        <v>-1</v>
      </c>
      <c r="AG42" s="972">
        <f t="shared" si="49"/>
        <v>-1</v>
      </c>
      <c r="AH42" s="972">
        <f t="shared" si="50"/>
        <v>-1</v>
      </c>
      <c r="AI42" s="972">
        <f t="shared" si="51"/>
        <v>-1</v>
      </c>
      <c r="AJ42" s="972">
        <f t="shared" si="52"/>
        <v>-1</v>
      </c>
      <c r="AK42" s="381" t="str">
        <f>IF(ISERROR(INDEX('Legend(DX)'!$AI$8:$AI$9,IK42)),"",INDEX('Legend(DX)'!$AI$8:$AI$9,IK42))</f>
        <v/>
      </c>
      <c r="AL42" s="727" t="str">
        <f t="shared" si="53"/>
        <v/>
      </c>
      <c r="AM42" s="409">
        <f t="shared" si="98"/>
        <v>0</v>
      </c>
      <c r="AN42" s="409">
        <f t="shared" si="98"/>
        <v>0</v>
      </c>
      <c r="AO42" s="409">
        <f t="shared" si="98"/>
        <v>0</v>
      </c>
      <c r="AP42" s="409">
        <f t="shared" si="98"/>
        <v>0</v>
      </c>
      <c r="AQ42" s="409">
        <f t="shared" si="98"/>
        <v>0</v>
      </c>
      <c r="AR42" s="409">
        <f t="shared" si="98"/>
        <v>0</v>
      </c>
      <c r="AS42" s="409">
        <f t="shared" si="98"/>
        <v>0</v>
      </c>
      <c r="AT42" s="409">
        <f t="shared" si="98"/>
        <v>0</v>
      </c>
      <c r="AU42" s="409">
        <f t="shared" si="98"/>
        <v>0</v>
      </c>
      <c r="AV42" s="409">
        <f t="shared" si="98"/>
        <v>0</v>
      </c>
      <c r="AW42" s="409">
        <f t="shared" si="99"/>
        <v>0</v>
      </c>
      <c r="AX42" s="409">
        <f t="shared" si="99"/>
        <v>0</v>
      </c>
      <c r="AY42" s="409">
        <f t="shared" si="99"/>
        <v>0</v>
      </c>
      <c r="AZ42" s="409">
        <f t="shared" si="99"/>
        <v>0</v>
      </c>
      <c r="BA42" s="409">
        <f t="shared" si="99"/>
        <v>0</v>
      </c>
      <c r="BB42" s="409">
        <f t="shared" si="99"/>
        <v>0</v>
      </c>
      <c r="BC42" s="409">
        <f t="shared" si="99"/>
        <v>0</v>
      </c>
      <c r="BD42" s="409">
        <f t="shared" si="99"/>
        <v>0</v>
      </c>
      <c r="BE42" s="409">
        <f t="shared" si="99"/>
        <v>0</v>
      </c>
      <c r="BF42" s="409">
        <f t="shared" si="99"/>
        <v>0</v>
      </c>
      <c r="BG42" s="409">
        <f t="shared" si="100"/>
        <v>0</v>
      </c>
      <c r="BH42" s="409">
        <f t="shared" si="100"/>
        <v>0</v>
      </c>
      <c r="BI42" s="409">
        <f t="shared" si="100"/>
        <v>0</v>
      </c>
      <c r="BJ42" s="409">
        <f t="shared" si="100"/>
        <v>0</v>
      </c>
      <c r="BK42" s="409">
        <f t="shared" si="100"/>
        <v>0</v>
      </c>
      <c r="BL42" s="409">
        <f t="shared" si="100"/>
        <v>0</v>
      </c>
      <c r="BM42" s="409">
        <f t="shared" si="100"/>
        <v>0</v>
      </c>
      <c r="BN42" s="409">
        <f t="shared" si="100"/>
        <v>0</v>
      </c>
      <c r="BO42" s="409">
        <f t="shared" si="100"/>
        <v>0</v>
      </c>
      <c r="BP42" s="409">
        <f t="shared" si="100"/>
        <v>0</v>
      </c>
      <c r="BQ42" s="409">
        <f t="shared" si="101"/>
        <v>0</v>
      </c>
      <c r="BR42" s="409">
        <f t="shared" si="101"/>
        <v>0</v>
      </c>
      <c r="BS42" s="409">
        <f t="shared" si="101"/>
        <v>0</v>
      </c>
      <c r="BT42" s="409">
        <f t="shared" si="101"/>
        <v>0</v>
      </c>
      <c r="BU42" s="409">
        <f t="shared" si="101"/>
        <v>0</v>
      </c>
      <c r="BV42" s="409">
        <f t="shared" si="101"/>
        <v>0</v>
      </c>
      <c r="BW42" s="409">
        <f t="shared" si="101"/>
        <v>0</v>
      </c>
      <c r="BX42" s="409">
        <f t="shared" si="101"/>
        <v>0</v>
      </c>
      <c r="BY42" s="409">
        <f t="shared" si="101"/>
        <v>0</v>
      </c>
      <c r="BZ42" s="409">
        <f t="shared" si="101"/>
        <v>0</v>
      </c>
      <c r="CA42" s="409">
        <f t="shared" si="102"/>
        <v>0</v>
      </c>
      <c r="CB42" s="409">
        <f t="shared" si="102"/>
        <v>0</v>
      </c>
      <c r="CC42" s="409">
        <f t="shared" si="102"/>
        <v>0</v>
      </c>
      <c r="CD42" s="409">
        <f t="shared" si="102"/>
        <v>0</v>
      </c>
      <c r="CE42" s="409">
        <f t="shared" si="102"/>
        <v>0</v>
      </c>
      <c r="CF42" s="409">
        <f t="shared" si="102"/>
        <v>0</v>
      </c>
      <c r="CG42" s="409">
        <f t="shared" si="102"/>
        <v>0</v>
      </c>
      <c r="CH42" s="409">
        <f t="shared" si="102"/>
        <v>0</v>
      </c>
      <c r="CI42" s="409">
        <f t="shared" si="102"/>
        <v>0</v>
      </c>
      <c r="CJ42" s="409">
        <f t="shared" si="102"/>
        <v>0</v>
      </c>
      <c r="CK42" s="409">
        <f t="shared" si="103"/>
        <v>0</v>
      </c>
      <c r="CL42" s="409">
        <f t="shared" si="103"/>
        <v>0</v>
      </c>
      <c r="CM42" s="409">
        <f t="shared" si="103"/>
        <v>0</v>
      </c>
      <c r="CN42" s="409">
        <f t="shared" si="103"/>
        <v>0</v>
      </c>
      <c r="CO42" s="409">
        <f t="shared" si="103"/>
        <v>0</v>
      </c>
      <c r="CP42" s="409">
        <f t="shared" si="103"/>
        <v>0</v>
      </c>
      <c r="CQ42" s="409">
        <f t="shared" si="103"/>
        <v>0</v>
      </c>
      <c r="CR42" s="409">
        <f t="shared" si="103"/>
        <v>0</v>
      </c>
      <c r="CS42" s="409">
        <f t="shared" si="103"/>
        <v>0</v>
      </c>
      <c r="CT42" s="409">
        <f t="shared" si="103"/>
        <v>0</v>
      </c>
      <c r="CU42" s="409">
        <f t="shared" si="104"/>
        <v>0</v>
      </c>
      <c r="CV42" s="409">
        <f t="shared" si="104"/>
        <v>0</v>
      </c>
      <c r="CW42" s="409">
        <f t="shared" si="104"/>
        <v>0</v>
      </c>
      <c r="CX42" s="409">
        <f t="shared" si="104"/>
        <v>0</v>
      </c>
      <c r="CY42" s="409">
        <f t="shared" si="104"/>
        <v>0</v>
      </c>
      <c r="CZ42" s="409">
        <f t="shared" si="104"/>
        <v>0</v>
      </c>
      <c r="DA42" s="409">
        <f t="shared" si="104"/>
        <v>0</v>
      </c>
      <c r="DB42" s="409">
        <f t="shared" si="104"/>
        <v>0</v>
      </c>
      <c r="DC42" s="409">
        <f t="shared" si="104"/>
        <v>0</v>
      </c>
      <c r="DD42" s="409">
        <f t="shared" si="104"/>
        <v>0</v>
      </c>
      <c r="DE42" s="409">
        <f t="shared" si="105"/>
        <v>0</v>
      </c>
      <c r="DF42" s="409">
        <f t="shared" si="105"/>
        <v>0</v>
      </c>
      <c r="DG42" s="409">
        <f t="shared" si="105"/>
        <v>0</v>
      </c>
      <c r="DH42" s="409">
        <f t="shared" si="105"/>
        <v>0</v>
      </c>
      <c r="DI42" s="409">
        <f t="shared" si="105"/>
        <v>0</v>
      </c>
      <c r="DJ42" s="409">
        <f t="shared" si="105"/>
        <v>0</v>
      </c>
      <c r="DK42" s="409">
        <f t="shared" si="105"/>
        <v>0</v>
      </c>
      <c r="DL42" s="409">
        <f t="shared" si="105"/>
        <v>0</v>
      </c>
      <c r="DM42" s="409">
        <f t="shared" si="105"/>
        <v>0</v>
      </c>
      <c r="DN42" s="409">
        <f t="shared" si="105"/>
        <v>0</v>
      </c>
      <c r="DO42" s="409">
        <f t="shared" si="106"/>
        <v>0</v>
      </c>
      <c r="DP42" s="409">
        <f t="shared" si="106"/>
        <v>0</v>
      </c>
      <c r="DQ42" s="409">
        <f t="shared" si="106"/>
        <v>0</v>
      </c>
      <c r="DR42" s="409">
        <f t="shared" si="106"/>
        <v>0</v>
      </c>
      <c r="DS42" s="409">
        <f t="shared" si="106"/>
        <v>0</v>
      </c>
      <c r="DT42" s="409">
        <f t="shared" si="106"/>
        <v>0</v>
      </c>
      <c r="DU42" s="409">
        <f t="shared" si="106"/>
        <v>0</v>
      </c>
      <c r="DV42" s="409">
        <f t="shared" si="106"/>
        <v>0</v>
      </c>
      <c r="DW42" s="409">
        <f t="shared" si="106"/>
        <v>0</v>
      </c>
      <c r="DX42" s="409">
        <f t="shared" si="106"/>
        <v>0</v>
      </c>
      <c r="DY42" s="409">
        <f t="shared" si="107"/>
        <v>0</v>
      </c>
      <c r="DZ42" s="409">
        <f t="shared" si="107"/>
        <v>0</v>
      </c>
      <c r="EA42" s="409">
        <f t="shared" si="107"/>
        <v>0</v>
      </c>
      <c r="EB42" s="409">
        <f t="shared" si="107"/>
        <v>0</v>
      </c>
      <c r="EC42" s="409">
        <f t="shared" si="107"/>
        <v>0</v>
      </c>
      <c r="ED42" s="409">
        <f t="shared" si="107"/>
        <v>0</v>
      </c>
      <c r="EE42" s="409">
        <f t="shared" si="107"/>
        <v>0</v>
      </c>
      <c r="EF42" s="409">
        <f t="shared" si="107"/>
        <v>0</v>
      </c>
      <c r="EG42" s="409">
        <f t="shared" si="107"/>
        <v>0</v>
      </c>
      <c r="EH42" s="409">
        <f t="shared" si="107"/>
        <v>0</v>
      </c>
      <c r="EI42" s="409">
        <f t="shared" si="108"/>
        <v>0</v>
      </c>
      <c r="EJ42" s="409">
        <f t="shared" si="108"/>
        <v>0</v>
      </c>
      <c r="EK42" s="409">
        <f t="shared" si="108"/>
        <v>0</v>
      </c>
      <c r="EL42" s="409">
        <f t="shared" si="108"/>
        <v>0</v>
      </c>
      <c r="EM42" s="409">
        <f t="shared" si="108"/>
        <v>0</v>
      </c>
      <c r="EN42" s="409">
        <f t="shared" si="108"/>
        <v>0</v>
      </c>
      <c r="EO42" s="409">
        <f t="shared" si="108"/>
        <v>0</v>
      </c>
      <c r="EP42" s="409">
        <f t="shared" si="108"/>
        <v>0</v>
      </c>
      <c r="EQ42" s="409">
        <f t="shared" si="108"/>
        <v>0</v>
      </c>
      <c r="ER42" s="409">
        <f t="shared" si="108"/>
        <v>0</v>
      </c>
      <c r="ES42" s="409">
        <f t="shared" si="109"/>
        <v>0</v>
      </c>
      <c r="ET42" s="409">
        <f t="shared" si="109"/>
        <v>0</v>
      </c>
      <c r="EU42" s="409">
        <f t="shared" si="109"/>
        <v>0</v>
      </c>
      <c r="EV42" s="409">
        <f t="shared" si="109"/>
        <v>0</v>
      </c>
      <c r="EW42" s="409">
        <f t="shared" si="109"/>
        <v>0</v>
      </c>
      <c r="EX42" s="409">
        <f t="shared" si="109"/>
        <v>0</v>
      </c>
      <c r="EY42" s="409">
        <f t="shared" si="109"/>
        <v>0</v>
      </c>
      <c r="EZ42" s="409">
        <f t="shared" si="109"/>
        <v>0</v>
      </c>
      <c r="FA42" s="409">
        <f t="shared" si="109"/>
        <v>0</v>
      </c>
      <c r="FB42" s="409">
        <f t="shared" si="109"/>
        <v>0</v>
      </c>
      <c r="FC42" s="409">
        <f t="shared" si="110"/>
        <v>0</v>
      </c>
      <c r="FD42" s="409">
        <f t="shared" si="110"/>
        <v>0</v>
      </c>
      <c r="FE42" s="409">
        <f t="shared" si="110"/>
        <v>0</v>
      </c>
      <c r="FF42" s="409">
        <f t="shared" si="110"/>
        <v>0</v>
      </c>
      <c r="FG42" s="409">
        <f t="shared" si="110"/>
        <v>0</v>
      </c>
      <c r="FH42" s="409">
        <f t="shared" si="110"/>
        <v>0</v>
      </c>
      <c r="FI42" s="409">
        <f t="shared" si="110"/>
        <v>0</v>
      </c>
      <c r="FJ42" s="409">
        <f t="shared" si="110"/>
        <v>0</v>
      </c>
      <c r="FK42" s="409">
        <f t="shared" si="110"/>
        <v>0</v>
      </c>
      <c r="FL42" s="409">
        <f t="shared" si="110"/>
        <v>0</v>
      </c>
      <c r="FM42" s="409">
        <f t="shared" si="111"/>
        <v>0</v>
      </c>
      <c r="FN42" s="409">
        <f t="shared" si="111"/>
        <v>0</v>
      </c>
      <c r="FO42" s="409">
        <f t="shared" si="111"/>
        <v>0</v>
      </c>
      <c r="FP42" s="409">
        <f t="shared" si="111"/>
        <v>0</v>
      </c>
      <c r="FQ42" s="409">
        <f t="shared" si="111"/>
        <v>0</v>
      </c>
      <c r="FR42" s="409">
        <f t="shared" si="111"/>
        <v>0</v>
      </c>
      <c r="FS42" s="409">
        <f t="shared" si="111"/>
        <v>0</v>
      </c>
      <c r="FT42" s="409">
        <f t="shared" si="111"/>
        <v>0</v>
      </c>
      <c r="FU42" s="409">
        <f t="shared" si="111"/>
        <v>0</v>
      </c>
      <c r="FV42" s="409">
        <f t="shared" si="111"/>
        <v>0</v>
      </c>
      <c r="FW42" s="409">
        <f t="shared" si="112"/>
        <v>0</v>
      </c>
      <c r="FX42" s="409">
        <f t="shared" si="112"/>
        <v>0</v>
      </c>
      <c r="FY42" s="409">
        <f t="shared" si="112"/>
        <v>0</v>
      </c>
      <c r="FZ42" s="409">
        <f t="shared" si="112"/>
        <v>0</v>
      </c>
      <c r="GA42" s="409">
        <f t="shared" si="112"/>
        <v>0</v>
      </c>
      <c r="GB42" s="409">
        <f t="shared" si="112"/>
        <v>0</v>
      </c>
      <c r="GC42" s="409">
        <f t="shared" si="112"/>
        <v>0</v>
      </c>
      <c r="GD42" s="409">
        <f t="shared" si="112"/>
        <v>0</v>
      </c>
      <c r="GE42" s="409">
        <f t="shared" si="112"/>
        <v>0</v>
      </c>
      <c r="GF42" s="409">
        <f t="shared" si="112"/>
        <v>0</v>
      </c>
      <c r="GG42" s="409">
        <f t="shared" si="113"/>
        <v>0</v>
      </c>
      <c r="GH42" s="409">
        <f t="shared" si="113"/>
        <v>0</v>
      </c>
      <c r="GI42" s="409">
        <f t="shared" si="113"/>
        <v>0</v>
      </c>
      <c r="GJ42" s="409">
        <f t="shared" si="113"/>
        <v>0</v>
      </c>
      <c r="GK42" s="409">
        <f t="shared" si="113"/>
        <v>0</v>
      </c>
      <c r="GL42" s="409">
        <f t="shared" si="113"/>
        <v>0</v>
      </c>
      <c r="GM42" s="409">
        <f t="shared" si="113"/>
        <v>0</v>
      </c>
      <c r="GN42" s="409">
        <f t="shared" si="113"/>
        <v>0</v>
      </c>
      <c r="GO42" s="409">
        <f t="shared" si="113"/>
        <v>0</v>
      </c>
      <c r="GP42" s="409">
        <f t="shared" si="113"/>
        <v>0</v>
      </c>
      <c r="GQ42" s="409">
        <f t="shared" si="114"/>
        <v>0</v>
      </c>
      <c r="GR42" s="409">
        <f t="shared" si="114"/>
        <v>0</v>
      </c>
      <c r="GS42" s="409">
        <f t="shared" si="114"/>
        <v>0</v>
      </c>
      <c r="GT42" s="409">
        <f t="shared" si="114"/>
        <v>0</v>
      </c>
      <c r="GU42" s="409">
        <f t="shared" si="114"/>
        <v>0</v>
      </c>
      <c r="GV42" s="409">
        <f t="shared" si="114"/>
        <v>0</v>
      </c>
      <c r="GW42" s="409">
        <f t="shared" si="114"/>
        <v>0</v>
      </c>
      <c r="GX42" s="409">
        <f t="shared" si="114"/>
        <v>0</v>
      </c>
      <c r="GY42" s="409">
        <f t="shared" si="114"/>
        <v>0</v>
      </c>
      <c r="GZ42" s="409">
        <f t="shared" si="114"/>
        <v>0</v>
      </c>
      <c r="HA42" s="409">
        <f t="shared" si="115"/>
        <v>0</v>
      </c>
      <c r="HB42" s="409">
        <f t="shared" si="115"/>
        <v>0</v>
      </c>
      <c r="HC42" s="409">
        <f t="shared" si="115"/>
        <v>0</v>
      </c>
      <c r="HD42" s="409">
        <f t="shared" si="115"/>
        <v>0</v>
      </c>
      <c r="HE42" s="409">
        <f t="shared" si="115"/>
        <v>0</v>
      </c>
      <c r="HF42" s="409">
        <f t="shared" si="115"/>
        <v>0</v>
      </c>
      <c r="HG42" s="409">
        <f t="shared" si="115"/>
        <v>0</v>
      </c>
      <c r="HH42" s="409">
        <f t="shared" si="115"/>
        <v>0</v>
      </c>
      <c r="HI42" s="409">
        <f t="shared" si="115"/>
        <v>0</v>
      </c>
      <c r="HJ42" s="409">
        <f t="shared" si="115"/>
        <v>0</v>
      </c>
      <c r="HK42" s="409">
        <f t="shared" si="116"/>
        <v>0</v>
      </c>
      <c r="HL42" s="409">
        <f t="shared" si="116"/>
        <v>0</v>
      </c>
      <c r="HM42" s="409">
        <f t="shared" si="116"/>
        <v>0</v>
      </c>
      <c r="HN42" s="409">
        <f t="shared" si="116"/>
        <v>0</v>
      </c>
      <c r="HO42" s="409">
        <f t="shared" si="116"/>
        <v>0</v>
      </c>
      <c r="HP42" s="409">
        <f t="shared" si="116"/>
        <v>0</v>
      </c>
      <c r="HQ42" s="409">
        <f t="shared" si="116"/>
        <v>0</v>
      </c>
      <c r="HR42" s="409">
        <f t="shared" si="116"/>
        <v>0</v>
      </c>
      <c r="HS42" s="409">
        <f t="shared" si="116"/>
        <v>0</v>
      </c>
      <c r="HT42" s="409">
        <f t="shared" si="116"/>
        <v>0</v>
      </c>
      <c r="HU42" s="409">
        <f t="shared" si="117"/>
        <v>0</v>
      </c>
      <c r="HV42" s="409">
        <f t="shared" si="117"/>
        <v>0</v>
      </c>
      <c r="HW42" s="409">
        <f t="shared" si="117"/>
        <v>0</v>
      </c>
      <c r="HX42" s="409">
        <f t="shared" si="117"/>
        <v>0</v>
      </c>
      <c r="HY42" s="409">
        <f t="shared" si="117"/>
        <v>0</v>
      </c>
      <c r="HZ42" s="409">
        <f t="shared" si="117"/>
        <v>0</v>
      </c>
      <c r="IA42" s="409">
        <f t="shared" si="117"/>
        <v>0</v>
      </c>
      <c r="IB42" s="409">
        <f t="shared" si="117"/>
        <v>0</v>
      </c>
      <c r="IC42" s="409">
        <f t="shared" si="117"/>
        <v>0</v>
      </c>
      <c r="ID42" s="409">
        <f t="shared" si="117"/>
        <v>0</v>
      </c>
      <c r="IE42" s="409">
        <f t="shared" si="118"/>
        <v>0</v>
      </c>
      <c r="IF42" s="409">
        <f t="shared" si="118"/>
        <v>0</v>
      </c>
      <c r="IG42" s="409">
        <f t="shared" si="118"/>
        <v>0</v>
      </c>
      <c r="IH42" s="409">
        <f t="shared" si="118"/>
        <v>0</v>
      </c>
      <c r="II42" s="409">
        <f t="shared" si="118"/>
        <v>0</v>
      </c>
      <c r="IJ42" s="409">
        <f t="shared" si="118"/>
        <v>0</v>
      </c>
      <c r="IK42" s="378">
        <f t="shared" si="54"/>
        <v>35</v>
      </c>
    </row>
    <row r="43" spans="1:245" hidden="1" x14ac:dyDescent="0.2">
      <c r="A43" s="380" t="str">
        <f t="shared" ref="A43:A77" si="119">IF(ISERROR(C43),"e",IF(OR(E43=0,B43=""),"x",""))</f>
        <v>x</v>
      </c>
      <c r="B43" s="712" cm="1">
        <f t="array" ref="B43">IF(ISERROR(INDEX('Legend(Skid)'!$H$8:$H$9,ROW()-42)),"",INDEX('Legend(Skid)'!$H$8:$H$9,ROW()-42))</f>
        <v>0</v>
      </c>
      <c r="C43" s="712" t="str" cm="1">
        <f t="array" ref="C43">IF(INDEX('Legend(Skid)'!$T$8:$T$9,ROW()-42)=0,"See Legend",INDEX('Legend(Skid)'!$T$8:$T$9,ROW()-42))</f>
        <v>See Legend</v>
      </c>
      <c r="D43" s="712">
        <f>IF(INDEX('Legend(Skid)'!$R$8:$R$9,(ROW(C43))-42)=0,IF(AND(INDEX('Legend(Skid)'!$D$8:$D$9,(ROW(C43))-41)="CH",INDEX('Legend(Skid)'!$F$8:$F$9,(ROW(C43))-41)="CASE - MANUAL"),INDEX('Legend(Skid)'!$R$8:$R$9,(ROW(C43))-41),IF(INDEX('Legend(Skid)'!$V$8:$V$9,(ROW(C43))-42)&gt;1, "(" &amp; INDEX('Legend(Skid)'!$V$8:$V$9,(ROW(C43))-42) &amp; ") " &amp; INDEX('Legend(Skid)'!$W$8:$W$9,(ROW(C43))-41),INDEX('Legend(Skid)'!$W$8:$W$9,(ROW(C43))-42))),INDEX('Legend(Skid)'!$R$8:$R$9,(ROW(C43))-42))</f>
        <v>0</v>
      </c>
      <c r="E43" s="713" cm="1">
        <f t="array" ref="E43">IF(OR(ISNUMBER(SEARCH("Pump",C43)),ISNUMBER(SEARCH("PH",C43)),ISERROR(INDEX('Legend(Skid)'!$AA$8:$AA$9,ROW()-42))),0,INDEX('Legend(Skid)'!$AA$8:$AA$9,ROW()-42))</f>
        <v>0</v>
      </c>
      <c r="F43" s="714"/>
      <c r="G43" s="714"/>
      <c r="H43" s="714"/>
      <c r="I43" s="714"/>
      <c r="J43" s="714"/>
      <c r="K43" s="890">
        <f t="shared" si="35"/>
        <v>0</v>
      </c>
      <c r="L43" s="718"/>
      <c r="M43" s="719"/>
      <c r="N43" s="972">
        <f t="shared" si="7"/>
        <v>-1</v>
      </c>
      <c r="O43" s="972">
        <f t="shared" si="36"/>
        <v>-1</v>
      </c>
      <c r="P43" s="972">
        <f t="shared" si="8"/>
        <v>-1</v>
      </c>
      <c r="Q43" s="972">
        <f t="shared" si="37"/>
        <v>-1</v>
      </c>
      <c r="R43" s="972">
        <f t="shared" si="9"/>
        <v>-1</v>
      </c>
      <c r="S43" s="972">
        <f t="shared" si="38"/>
        <v>-1</v>
      </c>
      <c r="T43" s="972">
        <f t="shared" si="10"/>
        <v>-1</v>
      </c>
      <c r="U43" s="972">
        <f t="shared" si="39"/>
        <v>-1</v>
      </c>
      <c r="V43" s="972">
        <f t="shared" si="11"/>
        <v>-1</v>
      </c>
      <c r="W43" s="972">
        <f t="shared" si="40"/>
        <v>-1</v>
      </c>
      <c r="X43" s="972">
        <f t="shared" si="12"/>
        <v>-1</v>
      </c>
      <c r="Y43" s="972">
        <f t="shared" si="41"/>
        <v>-1</v>
      </c>
      <c r="Z43" s="972">
        <f t="shared" si="42"/>
        <v>-1</v>
      </c>
      <c r="AA43" s="972">
        <f t="shared" si="43"/>
        <v>-1</v>
      </c>
      <c r="AB43" s="972">
        <f t="shared" si="44"/>
        <v>-1</v>
      </c>
      <c r="AC43" s="972">
        <f t="shared" si="45"/>
        <v>-1</v>
      </c>
      <c r="AD43" s="972">
        <f t="shared" si="46"/>
        <v>-1</v>
      </c>
      <c r="AE43" s="972">
        <f t="shared" si="47"/>
        <v>-1</v>
      </c>
      <c r="AF43" s="972">
        <f t="shared" si="48"/>
        <v>-1</v>
      </c>
      <c r="AG43" s="972">
        <f t="shared" si="49"/>
        <v>-1</v>
      </c>
      <c r="AH43" s="972">
        <f t="shared" si="50"/>
        <v>-1</v>
      </c>
      <c r="AI43" s="972">
        <f t="shared" si="51"/>
        <v>-1</v>
      </c>
      <c r="AJ43" s="972">
        <f t="shared" si="52"/>
        <v>-1</v>
      </c>
      <c r="AK43" s="381">
        <f>IF(ISERROR(INDEX('Legend(Skid)'!$AI$8:$AI$9,ROW()-42)),"",INDEX('Legend(Skid)'!$AI$8:$AI$9,ROW()-42))</f>
        <v>0</v>
      </c>
      <c r="AL43" s="727">
        <f t="shared" si="53"/>
        <v>0</v>
      </c>
      <c r="AM43" s="409">
        <f t="shared" si="98"/>
        <v>0</v>
      </c>
      <c r="AN43" s="409">
        <f t="shared" si="98"/>
        <v>0</v>
      </c>
      <c r="AO43" s="409">
        <f t="shared" si="98"/>
        <v>0</v>
      </c>
      <c r="AP43" s="409">
        <f t="shared" si="98"/>
        <v>0</v>
      </c>
      <c r="AQ43" s="409">
        <f t="shared" si="98"/>
        <v>0</v>
      </c>
      <c r="AR43" s="409">
        <f t="shared" si="98"/>
        <v>0</v>
      </c>
      <c r="AS43" s="409">
        <f t="shared" si="98"/>
        <v>0</v>
      </c>
      <c r="AT43" s="409">
        <f t="shared" si="98"/>
        <v>0</v>
      </c>
      <c r="AU43" s="409">
        <f t="shared" si="98"/>
        <v>0</v>
      </c>
      <c r="AV43" s="409">
        <f t="shared" si="98"/>
        <v>0</v>
      </c>
      <c r="AW43" s="409">
        <f t="shared" si="99"/>
        <v>0</v>
      </c>
      <c r="AX43" s="409">
        <f t="shared" si="99"/>
        <v>0</v>
      </c>
      <c r="AY43" s="409">
        <f t="shared" si="99"/>
        <v>0</v>
      </c>
      <c r="AZ43" s="409">
        <f t="shared" si="99"/>
        <v>0</v>
      </c>
      <c r="BA43" s="409">
        <f t="shared" si="99"/>
        <v>0</v>
      </c>
      <c r="BB43" s="409">
        <f t="shared" si="99"/>
        <v>0</v>
      </c>
      <c r="BC43" s="409">
        <f t="shared" si="99"/>
        <v>0</v>
      </c>
      <c r="BD43" s="409">
        <f t="shared" si="99"/>
        <v>0</v>
      </c>
      <c r="BE43" s="409">
        <f t="shared" si="99"/>
        <v>0</v>
      </c>
      <c r="BF43" s="409">
        <f t="shared" si="99"/>
        <v>0</v>
      </c>
      <c r="BG43" s="409">
        <f t="shared" si="100"/>
        <v>0</v>
      </c>
      <c r="BH43" s="409">
        <f t="shared" si="100"/>
        <v>0</v>
      </c>
      <c r="BI43" s="409">
        <f t="shared" si="100"/>
        <v>0</v>
      </c>
      <c r="BJ43" s="409">
        <f t="shared" si="100"/>
        <v>0</v>
      </c>
      <c r="BK43" s="409">
        <f t="shared" si="100"/>
        <v>0</v>
      </c>
      <c r="BL43" s="409">
        <f t="shared" si="100"/>
        <v>0</v>
      </c>
      <c r="BM43" s="409">
        <f t="shared" si="100"/>
        <v>0</v>
      </c>
      <c r="BN43" s="409">
        <f t="shared" si="100"/>
        <v>0</v>
      </c>
      <c r="BO43" s="409">
        <f t="shared" si="100"/>
        <v>0</v>
      </c>
      <c r="BP43" s="409">
        <f t="shared" si="100"/>
        <v>0</v>
      </c>
      <c r="BQ43" s="409">
        <f t="shared" si="101"/>
        <v>0</v>
      </c>
      <c r="BR43" s="409">
        <f t="shared" si="101"/>
        <v>0</v>
      </c>
      <c r="BS43" s="409">
        <f t="shared" si="101"/>
        <v>0</v>
      </c>
      <c r="BT43" s="409">
        <f t="shared" si="101"/>
        <v>0</v>
      </c>
      <c r="BU43" s="409">
        <f t="shared" si="101"/>
        <v>0</v>
      </c>
      <c r="BV43" s="409">
        <f t="shared" si="101"/>
        <v>0</v>
      </c>
      <c r="BW43" s="409">
        <f t="shared" si="101"/>
        <v>0</v>
      </c>
      <c r="BX43" s="409">
        <f t="shared" si="101"/>
        <v>0</v>
      </c>
      <c r="BY43" s="409">
        <f t="shared" si="101"/>
        <v>0</v>
      </c>
      <c r="BZ43" s="409">
        <f t="shared" si="101"/>
        <v>0</v>
      </c>
      <c r="CA43" s="409">
        <f t="shared" si="102"/>
        <v>0</v>
      </c>
      <c r="CB43" s="409">
        <f t="shared" si="102"/>
        <v>0</v>
      </c>
      <c r="CC43" s="409">
        <f t="shared" si="102"/>
        <v>0</v>
      </c>
      <c r="CD43" s="409">
        <f t="shared" si="102"/>
        <v>0</v>
      </c>
      <c r="CE43" s="409">
        <f t="shared" si="102"/>
        <v>0</v>
      </c>
      <c r="CF43" s="409">
        <f t="shared" si="102"/>
        <v>0</v>
      </c>
      <c r="CG43" s="409">
        <f t="shared" si="102"/>
        <v>0</v>
      </c>
      <c r="CH43" s="409">
        <f t="shared" si="102"/>
        <v>0</v>
      </c>
      <c r="CI43" s="409">
        <f t="shared" si="102"/>
        <v>0</v>
      </c>
      <c r="CJ43" s="409">
        <f t="shared" si="102"/>
        <v>0</v>
      </c>
      <c r="CK43" s="409">
        <f t="shared" si="103"/>
        <v>0</v>
      </c>
      <c r="CL43" s="409">
        <f t="shared" si="103"/>
        <v>0</v>
      </c>
      <c r="CM43" s="409">
        <f t="shared" si="103"/>
        <v>0</v>
      </c>
      <c r="CN43" s="409">
        <f t="shared" si="103"/>
        <v>0</v>
      </c>
      <c r="CO43" s="409">
        <f t="shared" si="103"/>
        <v>0</v>
      </c>
      <c r="CP43" s="409">
        <f t="shared" si="103"/>
        <v>0</v>
      </c>
      <c r="CQ43" s="409">
        <f t="shared" si="103"/>
        <v>0</v>
      </c>
      <c r="CR43" s="409">
        <f t="shared" si="103"/>
        <v>0</v>
      </c>
      <c r="CS43" s="409">
        <f t="shared" si="103"/>
        <v>0</v>
      </c>
      <c r="CT43" s="409">
        <f t="shared" si="103"/>
        <v>0</v>
      </c>
      <c r="CU43" s="409">
        <f t="shared" si="104"/>
        <v>0</v>
      </c>
      <c r="CV43" s="409">
        <f t="shared" si="104"/>
        <v>0</v>
      </c>
      <c r="CW43" s="409">
        <f t="shared" si="104"/>
        <v>0</v>
      </c>
      <c r="CX43" s="409">
        <f t="shared" si="104"/>
        <v>0</v>
      </c>
      <c r="CY43" s="409">
        <f t="shared" si="104"/>
        <v>0</v>
      </c>
      <c r="CZ43" s="409">
        <f t="shared" si="104"/>
        <v>0</v>
      </c>
      <c r="DA43" s="409">
        <f t="shared" si="104"/>
        <v>0</v>
      </c>
      <c r="DB43" s="409">
        <f t="shared" si="104"/>
        <v>0</v>
      </c>
      <c r="DC43" s="409">
        <f t="shared" si="104"/>
        <v>0</v>
      </c>
      <c r="DD43" s="409">
        <f t="shared" si="104"/>
        <v>0</v>
      </c>
      <c r="DE43" s="409">
        <f t="shared" si="105"/>
        <v>0</v>
      </c>
      <c r="DF43" s="409">
        <f t="shared" si="105"/>
        <v>0</v>
      </c>
      <c r="DG43" s="409">
        <f t="shared" si="105"/>
        <v>0</v>
      </c>
      <c r="DH43" s="409">
        <f t="shared" si="105"/>
        <v>0</v>
      </c>
      <c r="DI43" s="409">
        <f t="shared" si="105"/>
        <v>0</v>
      </c>
      <c r="DJ43" s="409">
        <f t="shared" si="105"/>
        <v>0</v>
      </c>
      <c r="DK43" s="409">
        <f t="shared" si="105"/>
        <v>0</v>
      </c>
      <c r="DL43" s="409">
        <f t="shared" si="105"/>
        <v>0</v>
      </c>
      <c r="DM43" s="409">
        <f t="shared" si="105"/>
        <v>0</v>
      </c>
      <c r="DN43" s="409">
        <f t="shared" si="105"/>
        <v>0</v>
      </c>
      <c r="DO43" s="409">
        <f t="shared" si="106"/>
        <v>0</v>
      </c>
      <c r="DP43" s="409">
        <f t="shared" si="106"/>
        <v>0</v>
      </c>
      <c r="DQ43" s="409">
        <f t="shared" si="106"/>
        <v>0</v>
      </c>
      <c r="DR43" s="409">
        <f t="shared" si="106"/>
        <v>0</v>
      </c>
      <c r="DS43" s="409">
        <f t="shared" si="106"/>
        <v>0</v>
      </c>
      <c r="DT43" s="409">
        <f t="shared" si="106"/>
        <v>0</v>
      </c>
      <c r="DU43" s="409">
        <f t="shared" si="106"/>
        <v>0</v>
      </c>
      <c r="DV43" s="409">
        <f t="shared" si="106"/>
        <v>0</v>
      </c>
      <c r="DW43" s="409">
        <f t="shared" si="106"/>
        <v>0</v>
      </c>
      <c r="DX43" s="409">
        <f t="shared" si="106"/>
        <v>0</v>
      </c>
      <c r="DY43" s="409">
        <f t="shared" si="107"/>
        <v>0</v>
      </c>
      <c r="DZ43" s="409">
        <f t="shared" si="107"/>
        <v>0</v>
      </c>
      <c r="EA43" s="409">
        <f t="shared" si="107"/>
        <v>0</v>
      </c>
      <c r="EB43" s="409">
        <f t="shared" si="107"/>
        <v>0</v>
      </c>
      <c r="EC43" s="409">
        <f t="shared" si="107"/>
        <v>0</v>
      </c>
      <c r="ED43" s="409">
        <f t="shared" si="107"/>
        <v>0</v>
      </c>
      <c r="EE43" s="409">
        <f t="shared" si="107"/>
        <v>0</v>
      </c>
      <c r="EF43" s="409">
        <f t="shared" si="107"/>
        <v>0</v>
      </c>
      <c r="EG43" s="409">
        <f t="shared" si="107"/>
        <v>0</v>
      </c>
      <c r="EH43" s="409">
        <f t="shared" si="107"/>
        <v>0</v>
      </c>
      <c r="EI43" s="409">
        <f t="shared" si="108"/>
        <v>0</v>
      </c>
      <c r="EJ43" s="409">
        <f t="shared" si="108"/>
        <v>0</v>
      </c>
      <c r="EK43" s="409">
        <f t="shared" si="108"/>
        <v>0</v>
      </c>
      <c r="EL43" s="409">
        <f t="shared" si="108"/>
        <v>0</v>
      </c>
      <c r="EM43" s="409">
        <f t="shared" si="108"/>
        <v>0</v>
      </c>
      <c r="EN43" s="409">
        <f t="shared" si="108"/>
        <v>0</v>
      </c>
      <c r="EO43" s="409">
        <f t="shared" si="108"/>
        <v>0</v>
      </c>
      <c r="EP43" s="409">
        <f t="shared" si="108"/>
        <v>0</v>
      </c>
      <c r="EQ43" s="409">
        <f t="shared" si="108"/>
        <v>0</v>
      </c>
      <c r="ER43" s="409">
        <f t="shared" si="108"/>
        <v>0</v>
      </c>
      <c r="ES43" s="409">
        <f t="shared" si="109"/>
        <v>0</v>
      </c>
      <c r="ET43" s="409">
        <f t="shared" si="109"/>
        <v>0</v>
      </c>
      <c r="EU43" s="409">
        <f t="shared" si="109"/>
        <v>0</v>
      </c>
      <c r="EV43" s="409">
        <f t="shared" si="109"/>
        <v>0</v>
      </c>
      <c r="EW43" s="409">
        <f t="shared" si="109"/>
        <v>0</v>
      </c>
      <c r="EX43" s="409">
        <f t="shared" si="109"/>
        <v>0</v>
      </c>
      <c r="EY43" s="409">
        <f t="shared" si="109"/>
        <v>0</v>
      </c>
      <c r="EZ43" s="409">
        <f t="shared" si="109"/>
        <v>0</v>
      </c>
      <c r="FA43" s="409">
        <f t="shared" si="109"/>
        <v>0</v>
      </c>
      <c r="FB43" s="409">
        <f t="shared" si="109"/>
        <v>0</v>
      </c>
      <c r="FC43" s="409">
        <f t="shared" si="110"/>
        <v>0</v>
      </c>
      <c r="FD43" s="409">
        <f t="shared" si="110"/>
        <v>0</v>
      </c>
      <c r="FE43" s="409">
        <f t="shared" si="110"/>
        <v>0</v>
      </c>
      <c r="FF43" s="409">
        <f t="shared" si="110"/>
        <v>0</v>
      </c>
      <c r="FG43" s="409">
        <f t="shared" si="110"/>
        <v>0</v>
      </c>
      <c r="FH43" s="409">
        <f t="shared" si="110"/>
        <v>0</v>
      </c>
      <c r="FI43" s="409">
        <f t="shared" si="110"/>
        <v>0</v>
      </c>
      <c r="FJ43" s="409">
        <f t="shared" si="110"/>
        <v>0</v>
      </c>
      <c r="FK43" s="409">
        <f t="shared" si="110"/>
        <v>0</v>
      </c>
      <c r="FL43" s="409">
        <f t="shared" si="110"/>
        <v>0</v>
      </c>
      <c r="FM43" s="409">
        <f t="shared" si="111"/>
        <v>0</v>
      </c>
      <c r="FN43" s="409">
        <f t="shared" si="111"/>
        <v>0</v>
      </c>
      <c r="FO43" s="409">
        <f t="shared" si="111"/>
        <v>0</v>
      </c>
      <c r="FP43" s="409">
        <f t="shared" si="111"/>
        <v>0</v>
      </c>
      <c r="FQ43" s="409">
        <f t="shared" si="111"/>
        <v>0</v>
      </c>
      <c r="FR43" s="409">
        <f t="shared" si="111"/>
        <v>0</v>
      </c>
      <c r="FS43" s="409">
        <f t="shared" si="111"/>
        <v>0</v>
      </c>
      <c r="FT43" s="409">
        <f t="shared" si="111"/>
        <v>0</v>
      </c>
      <c r="FU43" s="409">
        <f t="shared" si="111"/>
        <v>0</v>
      </c>
      <c r="FV43" s="409">
        <f t="shared" si="111"/>
        <v>0</v>
      </c>
      <c r="FW43" s="409">
        <f t="shared" si="112"/>
        <v>0</v>
      </c>
      <c r="FX43" s="409">
        <f t="shared" si="112"/>
        <v>0</v>
      </c>
      <c r="FY43" s="409">
        <f t="shared" si="112"/>
        <v>0</v>
      </c>
      <c r="FZ43" s="409">
        <f t="shared" si="112"/>
        <v>0</v>
      </c>
      <c r="GA43" s="409">
        <f t="shared" si="112"/>
        <v>0</v>
      </c>
      <c r="GB43" s="409">
        <f t="shared" si="112"/>
        <v>0</v>
      </c>
      <c r="GC43" s="409">
        <f t="shared" si="112"/>
        <v>0</v>
      </c>
      <c r="GD43" s="409">
        <f t="shared" si="112"/>
        <v>0</v>
      </c>
      <c r="GE43" s="409">
        <f t="shared" si="112"/>
        <v>0</v>
      </c>
      <c r="GF43" s="409">
        <f t="shared" si="112"/>
        <v>0</v>
      </c>
      <c r="GG43" s="409">
        <f t="shared" si="113"/>
        <v>0</v>
      </c>
      <c r="GH43" s="409">
        <f t="shared" si="113"/>
        <v>0</v>
      </c>
      <c r="GI43" s="409">
        <f t="shared" si="113"/>
        <v>0</v>
      </c>
      <c r="GJ43" s="409">
        <f t="shared" si="113"/>
        <v>0</v>
      </c>
      <c r="GK43" s="409">
        <f t="shared" si="113"/>
        <v>0</v>
      </c>
      <c r="GL43" s="409">
        <f t="shared" si="113"/>
        <v>0</v>
      </c>
      <c r="GM43" s="409">
        <f t="shared" si="113"/>
        <v>0</v>
      </c>
      <c r="GN43" s="409">
        <f t="shared" si="113"/>
        <v>0</v>
      </c>
      <c r="GO43" s="409">
        <f t="shared" si="113"/>
        <v>0</v>
      </c>
      <c r="GP43" s="409">
        <f t="shared" si="113"/>
        <v>0</v>
      </c>
      <c r="GQ43" s="409">
        <f t="shared" si="114"/>
        <v>0</v>
      </c>
      <c r="GR43" s="409">
        <f t="shared" si="114"/>
        <v>0</v>
      </c>
      <c r="GS43" s="409">
        <f t="shared" si="114"/>
        <v>0</v>
      </c>
      <c r="GT43" s="409">
        <f t="shared" si="114"/>
        <v>0</v>
      </c>
      <c r="GU43" s="409">
        <f t="shared" si="114"/>
        <v>0</v>
      </c>
      <c r="GV43" s="409">
        <f t="shared" si="114"/>
        <v>0</v>
      </c>
      <c r="GW43" s="409">
        <f t="shared" si="114"/>
        <v>0</v>
      </c>
      <c r="GX43" s="409">
        <f t="shared" si="114"/>
        <v>0</v>
      </c>
      <c r="GY43" s="409">
        <f t="shared" si="114"/>
        <v>0</v>
      </c>
      <c r="GZ43" s="409">
        <f t="shared" si="114"/>
        <v>0</v>
      </c>
      <c r="HA43" s="409">
        <f t="shared" si="115"/>
        <v>0</v>
      </c>
      <c r="HB43" s="409">
        <f t="shared" si="115"/>
        <v>0</v>
      </c>
      <c r="HC43" s="409">
        <f t="shared" si="115"/>
        <v>0</v>
      </c>
      <c r="HD43" s="409">
        <f t="shared" si="115"/>
        <v>0</v>
      </c>
      <c r="HE43" s="409">
        <f t="shared" si="115"/>
        <v>0</v>
      </c>
      <c r="HF43" s="409">
        <f t="shared" si="115"/>
        <v>0</v>
      </c>
      <c r="HG43" s="409">
        <f t="shared" si="115"/>
        <v>0</v>
      </c>
      <c r="HH43" s="409">
        <f t="shared" si="115"/>
        <v>0</v>
      </c>
      <c r="HI43" s="409">
        <f t="shared" si="115"/>
        <v>0</v>
      </c>
      <c r="HJ43" s="409">
        <f t="shared" si="115"/>
        <v>0</v>
      </c>
      <c r="HK43" s="409">
        <f t="shared" si="116"/>
        <v>0</v>
      </c>
      <c r="HL43" s="409">
        <f t="shared" si="116"/>
        <v>0</v>
      </c>
      <c r="HM43" s="409">
        <f t="shared" si="116"/>
        <v>0</v>
      </c>
      <c r="HN43" s="409">
        <f t="shared" si="116"/>
        <v>0</v>
      </c>
      <c r="HO43" s="409">
        <f t="shared" si="116"/>
        <v>0</v>
      </c>
      <c r="HP43" s="409">
        <f t="shared" si="116"/>
        <v>0</v>
      </c>
      <c r="HQ43" s="409">
        <f t="shared" si="116"/>
        <v>0</v>
      </c>
      <c r="HR43" s="409">
        <f t="shared" si="116"/>
        <v>0</v>
      </c>
      <c r="HS43" s="409">
        <f t="shared" si="116"/>
        <v>0</v>
      </c>
      <c r="HT43" s="409">
        <f t="shared" si="116"/>
        <v>0</v>
      </c>
      <c r="HU43" s="409">
        <f t="shared" si="117"/>
        <v>0</v>
      </c>
      <c r="HV43" s="409">
        <f t="shared" si="117"/>
        <v>0</v>
      </c>
      <c r="HW43" s="409">
        <f t="shared" si="117"/>
        <v>0</v>
      </c>
      <c r="HX43" s="409">
        <f t="shared" si="117"/>
        <v>0</v>
      </c>
      <c r="HY43" s="409">
        <f t="shared" si="117"/>
        <v>0</v>
      </c>
      <c r="HZ43" s="409">
        <f t="shared" si="117"/>
        <v>0</v>
      </c>
      <c r="IA43" s="409">
        <f t="shared" si="117"/>
        <v>0</v>
      </c>
      <c r="IB43" s="409">
        <f t="shared" si="117"/>
        <v>0</v>
      </c>
      <c r="IC43" s="409">
        <f t="shared" si="117"/>
        <v>0</v>
      </c>
      <c r="ID43" s="409">
        <f t="shared" si="117"/>
        <v>0</v>
      </c>
      <c r="IE43" s="409">
        <f t="shared" si="118"/>
        <v>0</v>
      </c>
      <c r="IF43" s="409">
        <f t="shared" si="118"/>
        <v>0</v>
      </c>
      <c r="IG43" s="409">
        <f t="shared" si="118"/>
        <v>0</v>
      </c>
      <c r="IH43" s="409">
        <f t="shared" si="118"/>
        <v>0</v>
      </c>
      <c r="II43" s="409">
        <f t="shared" si="118"/>
        <v>0</v>
      </c>
      <c r="IJ43" s="409">
        <f t="shared" si="118"/>
        <v>0</v>
      </c>
      <c r="IK43" s="378">
        <f t="shared" si="54"/>
        <v>36</v>
      </c>
    </row>
    <row r="44" spans="1:245" hidden="1" x14ac:dyDescent="0.2">
      <c r="A44" s="380" t="str">
        <f t="shared" si="119"/>
        <v>x</v>
      </c>
      <c r="B44" s="712" cm="1">
        <f t="array" ref="B44">IF(ISERROR(INDEX('Legend(Skid)'!$H$8:$H$9,ROW()-42)),"",INDEX('Legend(Skid)'!$H$8:$H$9,ROW()-42))</f>
        <v>0</v>
      </c>
      <c r="C44" s="712" t="str" cm="1">
        <f t="array" ref="C44">IF(INDEX('Legend(Skid)'!$T$8:$T$9,ROW()-42)=0,"See Legend",INDEX('Legend(Skid)'!$T$8:$T$9,ROW()-42))</f>
        <v>See Legend</v>
      </c>
      <c r="D44" s="712" t="e">
        <f>IF(INDEX('Legend(Skid)'!$R$8:$R$9,(ROW(C44))-42)=0,IF(AND(INDEX('Legend(Skid)'!$D$8:$D$9,(ROW(C44))-41)="CH",INDEX('Legend(Skid)'!$F$8:$F$9,(ROW(C44))-41)="CASE - MANUAL"),INDEX('Legend(Skid)'!$R$8:$R$9,(ROW(C44))-41),IF(INDEX('Legend(Skid)'!$V$8:$V$9,(ROW(C44))-42)&gt;1, "(" &amp; INDEX('Legend(Skid)'!$V$8:$V$9,(ROW(C44))-42) &amp; ") " &amp; INDEX('Legend(Skid)'!$W$8:$W$9,(ROW(C44))-41),INDEX('Legend(Skid)'!$W$8:$W$9,(ROW(C44))-42))),INDEX('Legend(Skid)'!$R$8:$R$9,(ROW(C44))-42))</f>
        <v>#REF!</v>
      </c>
      <c r="E44" s="713" cm="1">
        <f t="array" ref="E44">IF(OR(ISNUMBER(SEARCH("Pump",C44)),ISNUMBER(SEARCH("PH",C44)),ISERROR(INDEX('Legend(Skid)'!$AA$8:$AA$9,ROW()-42))),0,INDEX('Legend(Skid)'!$AA$8:$AA$9,ROW()-42))</f>
        <v>0</v>
      </c>
      <c r="F44" s="714"/>
      <c r="G44" s="714"/>
      <c r="H44" s="714"/>
      <c r="I44" s="714"/>
      <c r="J44" s="714"/>
      <c r="K44" s="890">
        <f t="shared" si="35"/>
        <v>0</v>
      </c>
      <c r="L44" s="718"/>
      <c r="M44" s="719"/>
      <c r="N44" s="972">
        <f t="shared" ref="N44:N77" si="120">IF(M44="",-1,IF(M44+TIME(0,$K44,0)&gt;1,M44+TIME(0,$K44,0)-1,M44+TIME(0,$K44,0)))</f>
        <v>-1</v>
      </c>
      <c r="O44" s="972">
        <f t="shared" ref="O44:O77" si="121">IF($F44&lt;2,-1,IF(M44+TIME((24/$F44),0,0)&gt;1,MROUND(M44-1+TIME((24/$F44),0,0),"0:01"),MROUND(M44+TIME((24/$F44),0,0),"0:01")))</f>
        <v>-1</v>
      </c>
      <c r="P44" s="972">
        <f t="shared" ref="P44:P77" si="122">IF(O44="",-1,IF(O44+TIME(0,$K44,0)&gt;1,O44+TIME(0,$K44,0)-1,O44+TIME(0,$K44,0)))</f>
        <v>-1</v>
      </c>
      <c r="Q44" s="972">
        <f t="shared" ref="Q44:Q77" si="123">IF($F44&lt;3,-1,IF(O44+TIME((24/$F44),0,0)&gt;1,MROUND(O44-1+TIME((24/$F44),0,0),"0:01"),MROUND(O44+TIME((24/$F44),0,0),"0:01")))</f>
        <v>-1</v>
      </c>
      <c r="R44" s="972">
        <f t="shared" ref="R44:R77" si="124">IF(Q44="",-1,IF(Q44+TIME(0,$K44,0)&gt;1,Q44+TIME(0,$K44,0)-1,Q44+TIME(0,$K44,0)))</f>
        <v>-1</v>
      </c>
      <c r="S44" s="972">
        <f t="shared" ref="S44:S77" si="125">IF($F44&lt;4,-1,IF(Q44+TIME((24/$F44),0,0)&gt;1,MROUND(Q44-1+TIME((24/$F44),0,0),"0:01"),MROUND(Q44+TIME((24/$F44),0,0),"0:01")))</f>
        <v>-1</v>
      </c>
      <c r="T44" s="972">
        <f t="shared" ref="T44:T77" si="126">IF(S44="",-1,IF(S44+TIME(0,$K44,0)&gt;1,S44+TIME(0,$K44,0)-1,S44+TIME(0,$K44,0)))</f>
        <v>-1</v>
      </c>
      <c r="U44" s="972">
        <f t="shared" ref="U44:U77" si="127">IF($F44&lt;5,-1,IF(S44+TIME((24/$F44),0,0)&gt;1,MROUND(S44-1+TIME((24/$F44),0,0),"0:01"),MROUND(S44+TIME((24/$F44),0,0),"0:01")))</f>
        <v>-1</v>
      </c>
      <c r="V44" s="972">
        <f t="shared" ref="V44:V77" si="128">IF(U44="",-1,IF(U44+TIME(0,$K44,0)&gt;1,U44+TIME(0,$K44,0)-1,U44+TIME(0,$K44,0)))</f>
        <v>-1</v>
      </c>
      <c r="W44" s="972">
        <f t="shared" ref="W44:W77" si="129">IF($F44&lt;6,-1,IF(U44+TIME((24/$F44),0,0)&gt;1,MROUND(U44-1+TIME((24/$F44),0,0),"0:01"),MROUND(U44+TIME((24/$F44),0,0),"0:01")))</f>
        <v>-1</v>
      </c>
      <c r="X44" s="972">
        <f t="shared" ref="X44:X77" si="130">IF(W44="",-1,IF(W44+TIME(0,$K44,0)&gt;1,W44+TIME(0,$K44,0)-1,W44+TIME(0,$K44,0)))</f>
        <v>-1</v>
      </c>
      <c r="Y44" s="972">
        <f t="shared" ref="Y44:Y77" si="131">IF($F44&lt;7,-1,IF(W44+TIME((24/$F44),0,0)&gt;1,MROUND(W44-1+TIME((24/$F44),0,0),"0:01"),MROUND(W44+TIME((24/$F44),0,0),"0:01")))</f>
        <v>-1</v>
      </c>
      <c r="Z44" s="972">
        <f t="shared" ref="Z44:Z77" si="132">IF(Y44="",-1,IF(Y44+TIME(0,$K44,0)&gt;1,Y44+TIME(0,$K44,0)-1,Y44+TIME(0,$K44,0)))</f>
        <v>-1</v>
      </c>
      <c r="AA44" s="972">
        <f t="shared" ref="AA44:AA77" si="133">IF($F44&lt;8,-1,IF(Y44+TIME((24/$F44),0,0)&gt;1,MROUND(Y44-1+TIME((24/$F44),0,0),"0:01"),MROUND(Y44+TIME((24/$F44),0,0),"0:01")))</f>
        <v>-1</v>
      </c>
      <c r="AB44" s="972">
        <f t="shared" ref="AB44:AB77" si="134">IF(AA44="",-1,IF(AA44+TIME(0,$K44,0)&gt;1,AA44+TIME(0,$K44,0)-1,AA44+TIME(0,$K44,0)))</f>
        <v>-1</v>
      </c>
      <c r="AC44" s="972">
        <f t="shared" ref="AC44:AC77" si="135">IF($F44&lt;9,-1,IF(AA44+TIME((24/$F44),0,0)&gt;1,MROUND(AA44-1+TIME((24/$F44),0,0),"0:01"),MROUND(AA44+TIME((24/$F44),0,0),"0:01")))</f>
        <v>-1</v>
      </c>
      <c r="AD44" s="972">
        <f t="shared" ref="AD44:AD77" si="136">IF(AC44="",-1,IF(AC44+TIME(0,$K44,0)&gt;1,AC44+TIME(0,$K44,0)-1,AC44+TIME(0,$K44,0)))</f>
        <v>-1</v>
      </c>
      <c r="AE44" s="972">
        <f t="shared" ref="AE44:AE77" si="137">IF($F44&lt;10,-1,IF(AC44+TIME((24/$F44),0,0)&gt;1,MROUND(AC44-1+TIME((24/$F44),0,0),"0:01"),MROUND(AC44+TIME((24/$F44),0,0),"0:01")))</f>
        <v>-1</v>
      </c>
      <c r="AF44" s="972">
        <f t="shared" ref="AF44:AF77" si="138">IF(AE44="",-1,IF(AE44+TIME(0,$K44,0)&gt;1,AE44+TIME(0,$K44,0)-1,AE44+TIME(0,$K44,0)))</f>
        <v>-1</v>
      </c>
      <c r="AG44" s="972">
        <f t="shared" ref="AG44:AG77" si="139">IF($F44&lt;11,-1,IF(AE44+TIME((24/$F44),0,0)&gt;1,MROUND(AE44-1+TIME((24/$F44),0,0),"0:01"),MROUND(AE44+TIME((24/$F44),0,0),"0:01")))</f>
        <v>-1</v>
      </c>
      <c r="AH44" s="972">
        <f t="shared" ref="AH44:AH77" si="140">IF(AG44="",-1,IF(AG44+TIME(0,$K44,0)&gt;1,AG44+TIME(0,$K44,0)-1,AG44+TIME(0,$K44,0)))</f>
        <v>-1</v>
      </c>
      <c r="AI44" s="972">
        <f t="shared" ref="AI44:AI77" si="141">IF($F44&lt;12,-1,IF(AG44+TIME((24/$F44),0,0)&gt;1,MROUND(AG44-1+TIME((24/$F44),0,0),"0:01"),MROUND(AG44+TIME((24/$F44),0,0),"0:01")))</f>
        <v>-1</v>
      </c>
      <c r="AJ44" s="972">
        <f t="shared" ref="AJ44:AJ77" si="142">IF(AI44="",-1,IF(AI44+TIME(0,$K44,0)&gt;1,AI44+TIME(0,$K44,0)-1,AI44+TIME(0,$K44,0)))</f>
        <v>-1</v>
      </c>
      <c r="AK44" s="381">
        <f>IF(ISERROR(INDEX('Legend(Skid)'!$AI$8:$AI$9,ROW()-42)),"",INDEX('Legend(Skid)'!$AI$8:$AI$9,ROW()-42))</f>
        <v>0</v>
      </c>
      <c r="AL44" s="727">
        <f t="shared" si="53"/>
        <v>0</v>
      </c>
      <c r="AM44" s="409">
        <f t="shared" si="98"/>
        <v>0</v>
      </c>
      <c r="AN44" s="409">
        <f t="shared" si="98"/>
        <v>0</v>
      </c>
      <c r="AO44" s="409">
        <f t="shared" si="98"/>
        <v>0</v>
      </c>
      <c r="AP44" s="409">
        <f t="shared" si="98"/>
        <v>0</v>
      </c>
      <c r="AQ44" s="409">
        <f t="shared" si="98"/>
        <v>0</v>
      </c>
      <c r="AR44" s="409">
        <f t="shared" si="98"/>
        <v>0</v>
      </c>
      <c r="AS44" s="409">
        <f t="shared" si="98"/>
        <v>0</v>
      </c>
      <c r="AT44" s="409">
        <f t="shared" si="98"/>
        <v>0</v>
      </c>
      <c r="AU44" s="409">
        <f t="shared" si="98"/>
        <v>0</v>
      </c>
      <c r="AV44" s="409">
        <f t="shared" si="98"/>
        <v>0</v>
      </c>
      <c r="AW44" s="409">
        <f t="shared" si="99"/>
        <v>0</v>
      </c>
      <c r="AX44" s="409">
        <f t="shared" si="99"/>
        <v>0</v>
      </c>
      <c r="AY44" s="409">
        <f t="shared" si="99"/>
        <v>0</v>
      </c>
      <c r="AZ44" s="409">
        <f t="shared" si="99"/>
        <v>0</v>
      </c>
      <c r="BA44" s="409">
        <f t="shared" si="99"/>
        <v>0</v>
      </c>
      <c r="BB44" s="409">
        <f t="shared" si="99"/>
        <v>0</v>
      </c>
      <c r="BC44" s="409">
        <f t="shared" si="99"/>
        <v>0</v>
      </c>
      <c r="BD44" s="409">
        <f t="shared" si="99"/>
        <v>0</v>
      </c>
      <c r="BE44" s="409">
        <f t="shared" si="99"/>
        <v>0</v>
      </c>
      <c r="BF44" s="409">
        <f t="shared" si="99"/>
        <v>0</v>
      </c>
      <c r="BG44" s="409">
        <f t="shared" si="100"/>
        <v>0</v>
      </c>
      <c r="BH44" s="409">
        <f t="shared" si="100"/>
        <v>0</v>
      </c>
      <c r="BI44" s="409">
        <f t="shared" si="100"/>
        <v>0</v>
      </c>
      <c r="BJ44" s="409">
        <f t="shared" si="100"/>
        <v>0</v>
      </c>
      <c r="BK44" s="409">
        <f t="shared" si="100"/>
        <v>0</v>
      </c>
      <c r="BL44" s="409">
        <f t="shared" si="100"/>
        <v>0</v>
      </c>
      <c r="BM44" s="409">
        <f t="shared" si="100"/>
        <v>0</v>
      </c>
      <c r="BN44" s="409">
        <f t="shared" si="100"/>
        <v>0</v>
      </c>
      <c r="BO44" s="409">
        <f t="shared" si="100"/>
        <v>0</v>
      </c>
      <c r="BP44" s="409">
        <f t="shared" si="100"/>
        <v>0</v>
      </c>
      <c r="BQ44" s="409">
        <f t="shared" si="101"/>
        <v>0</v>
      </c>
      <c r="BR44" s="409">
        <f t="shared" si="101"/>
        <v>0</v>
      </c>
      <c r="BS44" s="409">
        <f t="shared" si="101"/>
        <v>0</v>
      </c>
      <c r="BT44" s="409">
        <f t="shared" si="101"/>
        <v>0</v>
      </c>
      <c r="BU44" s="409">
        <f t="shared" si="101"/>
        <v>0</v>
      </c>
      <c r="BV44" s="409">
        <f t="shared" si="101"/>
        <v>0</v>
      </c>
      <c r="BW44" s="409">
        <f t="shared" si="101"/>
        <v>0</v>
      </c>
      <c r="BX44" s="409">
        <f t="shared" si="101"/>
        <v>0</v>
      </c>
      <c r="BY44" s="409">
        <f t="shared" si="101"/>
        <v>0</v>
      </c>
      <c r="BZ44" s="409">
        <f t="shared" si="101"/>
        <v>0</v>
      </c>
      <c r="CA44" s="409">
        <f t="shared" si="102"/>
        <v>0</v>
      </c>
      <c r="CB44" s="409">
        <f t="shared" si="102"/>
        <v>0</v>
      </c>
      <c r="CC44" s="409">
        <f t="shared" si="102"/>
        <v>0</v>
      </c>
      <c r="CD44" s="409">
        <f t="shared" si="102"/>
        <v>0</v>
      </c>
      <c r="CE44" s="409">
        <f t="shared" si="102"/>
        <v>0</v>
      </c>
      <c r="CF44" s="409">
        <f t="shared" si="102"/>
        <v>0</v>
      </c>
      <c r="CG44" s="409">
        <f t="shared" si="102"/>
        <v>0</v>
      </c>
      <c r="CH44" s="409">
        <f t="shared" si="102"/>
        <v>0</v>
      </c>
      <c r="CI44" s="409">
        <f t="shared" si="102"/>
        <v>0</v>
      </c>
      <c r="CJ44" s="409">
        <f t="shared" si="102"/>
        <v>0</v>
      </c>
      <c r="CK44" s="409">
        <f t="shared" si="103"/>
        <v>0</v>
      </c>
      <c r="CL44" s="409">
        <f t="shared" si="103"/>
        <v>0</v>
      </c>
      <c r="CM44" s="409">
        <f t="shared" si="103"/>
        <v>0</v>
      </c>
      <c r="CN44" s="409">
        <f t="shared" si="103"/>
        <v>0</v>
      </c>
      <c r="CO44" s="409">
        <f t="shared" si="103"/>
        <v>0</v>
      </c>
      <c r="CP44" s="409">
        <f t="shared" si="103"/>
        <v>0</v>
      </c>
      <c r="CQ44" s="409">
        <f t="shared" si="103"/>
        <v>0</v>
      </c>
      <c r="CR44" s="409">
        <f t="shared" si="103"/>
        <v>0</v>
      </c>
      <c r="CS44" s="409">
        <f t="shared" si="103"/>
        <v>0</v>
      </c>
      <c r="CT44" s="409">
        <f t="shared" si="103"/>
        <v>0</v>
      </c>
      <c r="CU44" s="409">
        <f t="shared" si="104"/>
        <v>0</v>
      </c>
      <c r="CV44" s="409">
        <f t="shared" si="104"/>
        <v>0</v>
      </c>
      <c r="CW44" s="409">
        <f t="shared" si="104"/>
        <v>0</v>
      </c>
      <c r="CX44" s="409">
        <f t="shared" si="104"/>
        <v>0</v>
      </c>
      <c r="CY44" s="409">
        <f t="shared" si="104"/>
        <v>0</v>
      </c>
      <c r="CZ44" s="409">
        <f t="shared" si="104"/>
        <v>0</v>
      </c>
      <c r="DA44" s="409">
        <f t="shared" si="104"/>
        <v>0</v>
      </c>
      <c r="DB44" s="409">
        <f t="shared" si="104"/>
        <v>0</v>
      </c>
      <c r="DC44" s="409">
        <f t="shared" si="104"/>
        <v>0</v>
      </c>
      <c r="DD44" s="409">
        <f t="shared" si="104"/>
        <v>0</v>
      </c>
      <c r="DE44" s="409">
        <f t="shared" si="105"/>
        <v>0</v>
      </c>
      <c r="DF44" s="409">
        <f t="shared" si="105"/>
        <v>0</v>
      </c>
      <c r="DG44" s="409">
        <f t="shared" si="105"/>
        <v>0</v>
      </c>
      <c r="DH44" s="409">
        <f t="shared" si="105"/>
        <v>0</v>
      </c>
      <c r="DI44" s="409">
        <f t="shared" si="105"/>
        <v>0</v>
      </c>
      <c r="DJ44" s="409">
        <f t="shared" si="105"/>
        <v>0</v>
      </c>
      <c r="DK44" s="409">
        <f t="shared" si="105"/>
        <v>0</v>
      </c>
      <c r="DL44" s="409">
        <f t="shared" si="105"/>
        <v>0</v>
      </c>
      <c r="DM44" s="409">
        <f t="shared" si="105"/>
        <v>0</v>
      </c>
      <c r="DN44" s="409">
        <f t="shared" si="105"/>
        <v>0</v>
      </c>
      <c r="DO44" s="409">
        <f t="shared" si="106"/>
        <v>0</v>
      </c>
      <c r="DP44" s="409">
        <f t="shared" si="106"/>
        <v>0</v>
      </c>
      <c r="DQ44" s="409">
        <f t="shared" si="106"/>
        <v>0</v>
      </c>
      <c r="DR44" s="409">
        <f t="shared" si="106"/>
        <v>0</v>
      </c>
      <c r="DS44" s="409">
        <f t="shared" si="106"/>
        <v>0</v>
      </c>
      <c r="DT44" s="409">
        <f t="shared" si="106"/>
        <v>0</v>
      </c>
      <c r="DU44" s="409">
        <f t="shared" si="106"/>
        <v>0</v>
      </c>
      <c r="DV44" s="409">
        <f t="shared" si="106"/>
        <v>0</v>
      </c>
      <c r="DW44" s="409">
        <f t="shared" si="106"/>
        <v>0</v>
      </c>
      <c r="DX44" s="409">
        <f t="shared" si="106"/>
        <v>0</v>
      </c>
      <c r="DY44" s="409">
        <f t="shared" si="107"/>
        <v>0</v>
      </c>
      <c r="DZ44" s="409">
        <f t="shared" si="107"/>
        <v>0</v>
      </c>
      <c r="EA44" s="409">
        <f t="shared" si="107"/>
        <v>0</v>
      </c>
      <c r="EB44" s="409">
        <f t="shared" si="107"/>
        <v>0</v>
      </c>
      <c r="EC44" s="409">
        <f t="shared" si="107"/>
        <v>0</v>
      </c>
      <c r="ED44" s="409">
        <f t="shared" si="107"/>
        <v>0</v>
      </c>
      <c r="EE44" s="409">
        <f t="shared" si="107"/>
        <v>0</v>
      </c>
      <c r="EF44" s="409">
        <f t="shared" si="107"/>
        <v>0</v>
      </c>
      <c r="EG44" s="409">
        <f t="shared" si="107"/>
        <v>0</v>
      </c>
      <c r="EH44" s="409">
        <f t="shared" si="107"/>
        <v>0</v>
      </c>
      <c r="EI44" s="409">
        <f t="shared" si="108"/>
        <v>0</v>
      </c>
      <c r="EJ44" s="409">
        <f t="shared" si="108"/>
        <v>0</v>
      </c>
      <c r="EK44" s="409">
        <f t="shared" si="108"/>
        <v>0</v>
      </c>
      <c r="EL44" s="409">
        <f t="shared" si="108"/>
        <v>0</v>
      </c>
      <c r="EM44" s="409">
        <f t="shared" si="108"/>
        <v>0</v>
      </c>
      <c r="EN44" s="409">
        <f t="shared" si="108"/>
        <v>0</v>
      </c>
      <c r="EO44" s="409">
        <f t="shared" si="108"/>
        <v>0</v>
      </c>
      <c r="EP44" s="409">
        <f t="shared" si="108"/>
        <v>0</v>
      </c>
      <c r="EQ44" s="409">
        <f t="shared" si="108"/>
        <v>0</v>
      </c>
      <c r="ER44" s="409">
        <f t="shared" si="108"/>
        <v>0</v>
      </c>
      <c r="ES44" s="409">
        <f t="shared" si="109"/>
        <v>0</v>
      </c>
      <c r="ET44" s="409">
        <f t="shared" si="109"/>
        <v>0</v>
      </c>
      <c r="EU44" s="409">
        <f t="shared" si="109"/>
        <v>0</v>
      </c>
      <c r="EV44" s="409">
        <f t="shared" si="109"/>
        <v>0</v>
      </c>
      <c r="EW44" s="409">
        <f t="shared" si="109"/>
        <v>0</v>
      </c>
      <c r="EX44" s="409">
        <f t="shared" si="109"/>
        <v>0</v>
      </c>
      <c r="EY44" s="409">
        <f t="shared" si="109"/>
        <v>0</v>
      </c>
      <c r="EZ44" s="409">
        <f t="shared" si="109"/>
        <v>0</v>
      </c>
      <c r="FA44" s="409">
        <f t="shared" si="109"/>
        <v>0</v>
      </c>
      <c r="FB44" s="409">
        <f t="shared" si="109"/>
        <v>0</v>
      </c>
      <c r="FC44" s="409">
        <f t="shared" si="110"/>
        <v>0</v>
      </c>
      <c r="FD44" s="409">
        <f t="shared" si="110"/>
        <v>0</v>
      </c>
      <c r="FE44" s="409">
        <f t="shared" si="110"/>
        <v>0</v>
      </c>
      <c r="FF44" s="409">
        <f t="shared" si="110"/>
        <v>0</v>
      </c>
      <c r="FG44" s="409">
        <f t="shared" si="110"/>
        <v>0</v>
      </c>
      <c r="FH44" s="409">
        <f t="shared" si="110"/>
        <v>0</v>
      </c>
      <c r="FI44" s="409">
        <f t="shared" si="110"/>
        <v>0</v>
      </c>
      <c r="FJ44" s="409">
        <f t="shared" si="110"/>
        <v>0</v>
      </c>
      <c r="FK44" s="409">
        <f t="shared" si="110"/>
        <v>0</v>
      </c>
      <c r="FL44" s="409">
        <f t="shared" si="110"/>
        <v>0</v>
      </c>
      <c r="FM44" s="409">
        <f t="shared" si="111"/>
        <v>0</v>
      </c>
      <c r="FN44" s="409">
        <f t="shared" si="111"/>
        <v>0</v>
      </c>
      <c r="FO44" s="409">
        <f t="shared" si="111"/>
        <v>0</v>
      </c>
      <c r="FP44" s="409">
        <f t="shared" si="111"/>
        <v>0</v>
      </c>
      <c r="FQ44" s="409">
        <f t="shared" si="111"/>
        <v>0</v>
      </c>
      <c r="FR44" s="409">
        <f t="shared" si="111"/>
        <v>0</v>
      </c>
      <c r="FS44" s="409">
        <f t="shared" si="111"/>
        <v>0</v>
      </c>
      <c r="FT44" s="409">
        <f t="shared" si="111"/>
        <v>0</v>
      </c>
      <c r="FU44" s="409">
        <f t="shared" si="111"/>
        <v>0</v>
      </c>
      <c r="FV44" s="409">
        <f t="shared" si="111"/>
        <v>0</v>
      </c>
      <c r="FW44" s="409">
        <f t="shared" si="112"/>
        <v>0</v>
      </c>
      <c r="FX44" s="409">
        <f t="shared" si="112"/>
        <v>0</v>
      </c>
      <c r="FY44" s="409">
        <f t="shared" si="112"/>
        <v>0</v>
      </c>
      <c r="FZ44" s="409">
        <f t="shared" si="112"/>
        <v>0</v>
      </c>
      <c r="GA44" s="409">
        <f t="shared" si="112"/>
        <v>0</v>
      </c>
      <c r="GB44" s="409">
        <f t="shared" si="112"/>
        <v>0</v>
      </c>
      <c r="GC44" s="409">
        <f t="shared" si="112"/>
        <v>0</v>
      </c>
      <c r="GD44" s="409">
        <f t="shared" si="112"/>
        <v>0</v>
      </c>
      <c r="GE44" s="409">
        <f t="shared" si="112"/>
        <v>0</v>
      </c>
      <c r="GF44" s="409">
        <f t="shared" si="112"/>
        <v>0</v>
      </c>
      <c r="GG44" s="409">
        <f t="shared" si="113"/>
        <v>0</v>
      </c>
      <c r="GH44" s="409">
        <f t="shared" si="113"/>
        <v>0</v>
      </c>
      <c r="GI44" s="409">
        <f t="shared" si="113"/>
        <v>0</v>
      </c>
      <c r="GJ44" s="409">
        <f t="shared" si="113"/>
        <v>0</v>
      </c>
      <c r="GK44" s="409">
        <f t="shared" si="113"/>
        <v>0</v>
      </c>
      <c r="GL44" s="409">
        <f t="shared" si="113"/>
        <v>0</v>
      </c>
      <c r="GM44" s="409">
        <f t="shared" si="113"/>
        <v>0</v>
      </c>
      <c r="GN44" s="409">
        <f t="shared" si="113"/>
        <v>0</v>
      </c>
      <c r="GO44" s="409">
        <f t="shared" si="113"/>
        <v>0</v>
      </c>
      <c r="GP44" s="409">
        <f t="shared" si="113"/>
        <v>0</v>
      </c>
      <c r="GQ44" s="409">
        <f t="shared" si="114"/>
        <v>0</v>
      </c>
      <c r="GR44" s="409">
        <f t="shared" si="114"/>
        <v>0</v>
      </c>
      <c r="GS44" s="409">
        <f t="shared" si="114"/>
        <v>0</v>
      </c>
      <c r="GT44" s="409">
        <f t="shared" si="114"/>
        <v>0</v>
      </c>
      <c r="GU44" s="409">
        <f t="shared" si="114"/>
        <v>0</v>
      </c>
      <c r="GV44" s="409">
        <f t="shared" si="114"/>
        <v>0</v>
      </c>
      <c r="GW44" s="409">
        <f t="shared" si="114"/>
        <v>0</v>
      </c>
      <c r="GX44" s="409">
        <f t="shared" si="114"/>
        <v>0</v>
      </c>
      <c r="GY44" s="409">
        <f t="shared" si="114"/>
        <v>0</v>
      </c>
      <c r="GZ44" s="409">
        <f t="shared" si="114"/>
        <v>0</v>
      </c>
      <c r="HA44" s="409">
        <f t="shared" si="115"/>
        <v>0</v>
      </c>
      <c r="HB44" s="409">
        <f t="shared" si="115"/>
        <v>0</v>
      </c>
      <c r="HC44" s="409">
        <f t="shared" si="115"/>
        <v>0</v>
      </c>
      <c r="HD44" s="409">
        <f t="shared" si="115"/>
        <v>0</v>
      </c>
      <c r="HE44" s="409">
        <f t="shared" si="115"/>
        <v>0</v>
      </c>
      <c r="HF44" s="409">
        <f t="shared" si="115"/>
        <v>0</v>
      </c>
      <c r="HG44" s="409">
        <f t="shared" si="115"/>
        <v>0</v>
      </c>
      <c r="HH44" s="409">
        <f t="shared" si="115"/>
        <v>0</v>
      </c>
      <c r="HI44" s="409">
        <f t="shared" si="115"/>
        <v>0</v>
      </c>
      <c r="HJ44" s="409">
        <f t="shared" si="115"/>
        <v>0</v>
      </c>
      <c r="HK44" s="409">
        <f t="shared" si="116"/>
        <v>0</v>
      </c>
      <c r="HL44" s="409">
        <f t="shared" si="116"/>
        <v>0</v>
      </c>
      <c r="HM44" s="409">
        <f t="shared" si="116"/>
        <v>0</v>
      </c>
      <c r="HN44" s="409">
        <f t="shared" si="116"/>
        <v>0</v>
      </c>
      <c r="HO44" s="409">
        <f t="shared" si="116"/>
        <v>0</v>
      </c>
      <c r="HP44" s="409">
        <f t="shared" si="116"/>
        <v>0</v>
      </c>
      <c r="HQ44" s="409">
        <f t="shared" si="116"/>
        <v>0</v>
      </c>
      <c r="HR44" s="409">
        <f t="shared" si="116"/>
        <v>0</v>
      </c>
      <c r="HS44" s="409">
        <f t="shared" si="116"/>
        <v>0</v>
      </c>
      <c r="HT44" s="409">
        <f t="shared" si="116"/>
        <v>0</v>
      </c>
      <c r="HU44" s="409">
        <f t="shared" si="117"/>
        <v>0</v>
      </c>
      <c r="HV44" s="409">
        <f t="shared" si="117"/>
        <v>0</v>
      </c>
      <c r="HW44" s="409">
        <f t="shared" si="117"/>
        <v>0</v>
      </c>
      <c r="HX44" s="409">
        <f t="shared" si="117"/>
        <v>0</v>
      </c>
      <c r="HY44" s="409">
        <f t="shared" si="117"/>
        <v>0</v>
      </c>
      <c r="HZ44" s="409">
        <f t="shared" si="117"/>
        <v>0</v>
      </c>
      <c r="IA44" s="409">
        <f t="shared" si="117"/>
        <v>0</v>
      </c>
      <c r="IB44" s="409">
        <f t="shared" si="117"/>
        <v>0</v>
      </c>
      <c r="IC44" s="409">
        <f t="shared" si="117"/>
        <v>0</v>
      </c>
      <c r="ID44" s="409">
        <f t="shared" si="117"/>
        <v>0</v>
      </c>
      <c r="IE44" s="409">
        <f t="shared" si="118"/>
        <v>0</v>
      </c>
      <c r="IF44" s="409">
        <f t="shared" si="118"/>
        <v>0</v>
      </c>
      <c r="IG44" s="409">
        <f t="shared" si="118"/>
        <v>0</v>
      </c>
      <c r="IH44" s="409">
        <f t="shared" si="118"/>
        <v>0</v>
      </c>
      <c r="II44" s="409">
        <f t="shared" si="118"/>
        <v>0</v>
      </c>
      <c r="IJ44" s="409">
        <f t="shared" si="118"/>
        <v>0</v>
      </c>
      <c r="IK44" s="378">
        <f t="shared" si="54"/>
        <v>37</v>
      </c>
    </row>
    <row r="45" spans="1:245" hidden="1" x14ac:dyDescent="0.2">
      <c r="A45" s="380" t="str">
        <f t="shared" si="119"/>
        <v>e</v>
      </c>
      <c r="B45" s="712" t="str" cm="1">
        <f t="array" ref="B45">IF(ISERROR(INDEX('Legend(Skid)'!$H$8:$H$9,ROW()-42)),"",INDEX('Legend(Skid)'!$H$8:$H$9,ROW()-42))</f>
        <v/>
      </c>
      <c r="C45" s="712" t="e" cm="1">
        <f t="array" ref="C45">IF(INDEX('Legend(Skid)'!$T$8:$T$9,ROW()-42)=0,"See Legend",INDEX('Legend(Skid)'!$T$8:$T$9,ROW()-42))</f>
        <v>#REF!</v>
      </c>
      <c r="D45" s="712" t="e">
        <f>IF(INDEX('Legend(Skid)'!$R$8:$R$9,(ROW(C45))-42)=0,IF(AND(INDEX('Legend(Skid)'!$D$8:$D$9,(ROW(C45))-41)="CH",INDEX('Legend(Skid)'!$F$8:$F$9,(ROW(C45))-41)="CASE - MANUAL"),INDEX('Legend(Skid)'!$R$8:$R$9,(ROW(C45))-41),IF(INDEX('Legend(Skid)'!$V$8:$V$9,(ROW(C45))-42)&gt;1, "(" &amp; INDEX('Legend(Skid)'!$V$8:$V$9,(ROW(C45))-42) &amp; ") " &amp; INDEX('Legend(Skid)'!$W$8:$W$9,(ROW(C45))-41),INDEX('Legend(Skid)'!$W$8:$W$9,(ROW(C45))-42))),INDEX('Legend(Skid)'!$R$8:$R$9,(ROW(C45))-42))</f>
        <v>#REF!</v>
      </c>
      <c r="E45" s="713" cm="1">
        <f t="array" ref="E45">IF(OR(ISNUMBER(SEARCH("Pump",C45)),ISNUMBER(SEARCH("PH",C45)),ISERROR(INDEX('Legend(Skid)'!$AA$8:$AA$9,ROW()-42))),0,INDEX('Legend(Skid)'!$AA$8:$AA$9,ROW()-42))</f>
        <v>0</v>
      </c>
      <c r="F45" s="714"/>
      <c r="G45" s="714"/>
      <c r="H45" s="714"/>
      <c r="I45" s="714"/>
      <c r="J45" s="714"/>
      <c r="K45" s="890">
        <f t="shared" si="35"/>
        <v>0</v>
      </c>
      <c r="L45" s="718"/>
      <c r="M45" s="719"/>
      <c r="N45" s="972">
        <f t="shared" si="120"/>
        <v>-1</v>
      </c>
      <c r="O45" s="972">
        <f t="shared" si="121"/>
        <v>-1</v>
      </c>
      <c r="P45" s="972">
        <f t="shared" si="122"/>
        <v>-1</v>
      </c>
      <c r="Q45" s="972">
        <f t="shared" si="123"/>
        <v>-1</v>
      </c>
      <c r="R45" s="972">
        <f t="shared" si="124"/>
        <v>-1</v>
      </c>
      <c r="S45" s="972">
        <f t="shared" si="125"/>
        <v>-1</v>
      </c>
      <c r="T45" s="972">
        <f t="shared" si="126"/>
        <v>-1</v>
      </c>
      <c r="U45" s="972">
        <f t="shared" si="127"/>
        <v>-1</v>
      </c>
      <c r="V45" s="972">
        <f t="shared" si="128"/>
        <v>-1</v>
      </c>
      <c r="W45" s="972">
        <f t="shared" si="129"/>
        <v>-1</v>
      </c>
      <c r="X45" s="972">
        <f t="shared" si="130"/>
        <v>-1</v>
      </c>
      <c r="Y45" s="972">
        <f t="shared" si="131"/>
        <v>-1</v>
      </c>
      <c r="Z45" s="972">
        <f t="shared" si="132"/>
        <v>-1</v>
      </c>
      <c r="AA45" s="972">
        <f t="shared" si="133"/>
        <v>-1</v>
      </c>
      <c r="AB45" s="972">
        <f t="shared" si="134"/>
        <v>-1</v>
      </c>
      <c r="AC45" s="972">
        <f t="shared" si="135"/>
        <v>-1</v>
      </c>
      <c r="AD45" s="972">
        <f t="shared" si="136"/>
        <v>-1</v>
      </c>
      <c r="AE45" s="972">
        <f t="shared" si="137"/>
        <v>-1</v>
      </c>
      <c r="AF45" s="972">
        <f t="shared" si="138"/>
        <v>-1</v>
      </c>
      <c r="AG45" s="972">
        <f t="shared" si="139"/>
        <v>-1</v>
      </c>
      <c r="AH45" s="972">
        <f t="shared" si="140"/>
        <v>-1</v>
      </c>
      <c r="AI45" s="972">
        <f t="shared" si="141"/>
        <v>-1</v>
      </c>
      <c r="AJ45" s="972">
        <f t="shared" si="142"/>
        <v>-1</v>
      </c>
      <c r="AK45" s="381" t="str">
        <f>IF(ISERROR(INDEX('Legend(Skid)'!$AI$8:$AI$9,ROW()-42)),"",INDEX('Legend(Skid)'!$AI$8:$AI$9,ROW()-42))</f>
        <v/>
      </c>
      <c r="AL45" s="727" t="str">
        <f t="shared" si="53"/>
        <v/>
      </c>
      <c r="AM45" s="409">
        <f t="shared" si="98"/>
        <v>0</v>
      </c>
      <c r="AN45" s="409">
        <f t="shared" si="98"/>
        <v>0</v>
      </c>
      <c r="AO45" s="409">
        <f t="shared" si="98"/>
        <v>0</v>
      </c>
      <c r="AP45" s="409">
        <f t="shared" si="98"/>
        <v>0</v>
      </c>
      <c r="AQ45" s="409">
        <f t="shared" si="98"/>
        <v>0</v>
      </c>
      <c r="AR45" s="409">
        <f t="shared" si="98"/>
        <v>0</v>
      </c>
      <c r="AS45" s="409">
        <f t="shared" si="98"/>
        <v>0</v>
      </c>
      <c r="AT45" s="409">
        <f t="shared" si="98"/>
        <v>0</v>
      </c>
      <c r="AU45" s="409">
        <f t="shared" si="98"/>
        <v>0</v>
      </c>
      <c r="AV45" s="409">
        <f t="shared" si="98"/>
        <v>0</v>
      </c>
      <c r="AW45" s="409">
        <f t="shared" si="99"/>
        <v>0</v>
      </c>
      <c r="AX45" s="409">
        <f t="shared" si="99"/>
        <v>0</v>
      </c>
      <c r="AY45" s="409">
        <f t="shared" si="99"/>
        <v>0</v>
      </c>
      <c r="AZ45" s="409">
        <f t="shared" si="99"/>
        <v>0</v>
      </c>
      <c r="BA45" s="409">
        <f t="shared" si="99"/>
        <v>0</v>
      </c>
      <c r="BB45" s="409">
        <f t="shared" si="99"/>
        <v>0</v>
      </c>
      <c r="BC45" s="409">
        <f t="shared" si="99"/>
        <v>0</v>
      </c>
      <c r="BD45" s="409">
        <f t="shared" si="99"/>
        <v>0</v>
      </c>
      <c r="BE45" s="409">
        <f t="shared" si="99"/>
        <v>0</v>
      </c>
      <c r="BF45" s="409">
        <f t="shared" si="99"/>
        <v>0</v>
      </c>
      <c r="BG45" s="409">
        <f t="shared" si="100"/>
        <v>0</v>
      </c>
      <c r="BH45" s="409">
        <f t="shared" si="100"/>
        <v>0</v>
      </c>
      <c r="BI45" s="409">
        <f t="shared" si="100"/>
        <v>0</v>
      </c>
      <c r="BJ45" s="409">
        <f t="shared" si="100"/>
        <v>0</v>
      </c>
      <c r="BK45" s="409">
        <f t="shared" si="100"/>
        <v>0</v>
      </c>
      <c r="BL45" s="409">
        <f t="shared" si="100"/>
        <v>0</v>
      </c>
      <c r="BM45" s="409">
        <f t="shared" si="100"/>
        <v>0</v>
      </c>
      <c r="BN45" s="409">
        <f t="shared" si="100"/>
        <v>0</v>
      </c>
      <c r="BO45" s="409">
        <f t="shared" si="100"/>
        <v>0</v>
      </c>
      <c r="BP45" s="409">
        <f t="shared" si="100"/>
        <v>0</v>
      </c>
      <c r="BQ45" s="409">
        <f t="shared" si="101"/>
        <v>0</v>
      </c>
      <c r="BR45" s="409">
        <f t="shared" si="101"/>
        <v>0</v>
      </c>
      <c r="BS45" s="409">
        <f t="shared" si="101"/>
        <v>0</v>
      </c>
      <c r="BT45" s="409">
        <f t="shared" si="101"/>
        <v>0</v>
      </c>
      <c r="BU45" s="409">
        <f t="shared" si="101"/>
        <v>0</v>
      </c>
      <c r="BV45" s="409">
        <f t="shared" si="101"/>
        <v>0</v>
      </c>
      <c r="BW45" s="409">
        <f t="shared" si="101"/>
        <v>0</v>
      </c>
      <c r="BX45" s="409">
        <f t="shared" si="101"/>
        <v>0</v>
      </c>
      <c r="BY45" s="409">
        <f t="shared" si="101"/>
        <v>0</v>
      </c>
      <c r="BZ45" s="409">
        <f t="shared" si="101"/>
        <v>0</v>
      </c>
      <c r="CA45" s="409">
        <f t="shared" si="102"/>
        <v>0</v>
      </c>
      <c r="CB45" s="409">
        <f t="shared" si="102"/>
        <v>0</v>
      </c>
      <c r="CC45" s="409">
        <f t="shared" si="102"/>
        <v>0</v>
      </c>
      <c r="CD45" s="409">
        <f t="shared" si="102"/>
        <v>0</v>
      </c>
      <c r="CE45" s="409">
        <f t="shared" si="102"/>
        <v>0</v>
      </c>
      <c r="CF45" s="409">
        <f t="shared" si="102"/>
        <v>0</v>
      </c>
      <c r="CG45" s="409">
        <f t="shared" si="102"/>
        <v>0</v>
      </c>
      <c r="CH45" s="409">
        <f t="shared" si="102"/>
        <v>0</v>
      </c>
      <c r="CI45" s="409">
        <f t="shared" si="102"/>
        <v>0</v>
      </c>
      <c r="CJ45" s="409">
        <f t="shared" si="102"/>
        <v>0</v>
      </c>
      <c r="CK45" s="409">
        <f t="shared" si="103"/>
        <v>0</v>
      </c>
      <c r="CL45" s="409">
        <f t="shared" si="103"/>
        <v>0</v>
      </c>
      <c r="CM45" s="409">
        <f t="shared" si="103"/>
        <v>0</v>
      </c>
      <c r="CN45" s="409">
        <f t="shared" si="103"/>
        <v>0</v>
      </c>
      <c r="CO45" s="409">
        <f t="shared" si="103"/>
        <v>0</v>
      </c>
      <c r="CP45" s="409">
        <f t="shared" si="103"/>
        <v>0</v>
      </c>
      <c r="CQ45" s="409">
        <f t="shared" si="103"/>
        <v>0</v>
      </c>
      <c r="CR45" s="409">
        <f t="shared" si="103"/>
        <v>0</v>
      </c>
      <c r="CS45" s="409">
        <f t="shared" si="103"/>
        <v>0</v>
      </c>
      <c r="CT45" s="409">
        <f t="shared" si="103"/>
        <v>0</v>
      </c>
      <c r="CU45" s="409">
        <f t="shared" si="104"/>
        <v>0</v>
      </c>
      <c r="CV45" s="409">
        <f t="shared" si="104"/>
        <v>0</v>
      </c>
      <c r="CW45" s="409">
        <f t="shared" si="104"/>
        <v>0</v>
      </c>
      <c r="CX45" s="409">
        <f t="shared" si="104"/>
        <v>0</v>
      </c>
      <c r="CY45" s="409">
        <f t="shared" si="104"/>
        <v>0</v>
      </c>
      <c r="CZ45" s="409">
        <f t="shared" si="104"/>
        <v>0</v>
      </c>
      <c r="DA45" s="409">
        <f t="shared" si="104"/>
        <v>0</v>
      </c>
      <c r="DB45" s="409">
        <f t="shared" si="104"/>
        <v>0</v>
      </c>
      <c r="DC45" s="409">
        <f t="shared" si="104"/>
        <v>0</v>
      </c>
      <c r="DD45" s="409">
        <f t="shared" si="104"/>
        <v>0</v>
      </c>
      <c r="DE45" s="409">
        <f t="shared" si="105"/>
        <v>0</v>
      </c>
      <c r="DF45" s="409">
        <f t="shared" si="105"/>
        <v>0</v>
      </c>
      <c r="DG45" s="409">
        <f t="shared" si="105"/>
        <v>0</v>
      </c>
      <c r="DH45" s="409">
        <f t="shared" si="105"/>
        <v>0</v>
      </c>
      <c r="DI45" s="409">
        <f t="shared" si="105"/>
        <v>0</v>
      </c>
      <c r="DJ45" s="409">
        <f t="shared" si="105"/>
        <v>0</v>
      </c>
      <c r="DK45" s="409">
        <f t="shared" si="105"/>
        <v>0</v>
      </c>
      <c r="DL45" s="409">
        <f t="shared" si="105"/>
        <v>0</v>
      </c>
      <c r="DM45" s="409">
        <f t="shared" si="105"/>
        <v>0</v>
      </c>
      <c r="DN45" s="409">
        <f t="shared" si="105"/>
        <v>0</v>
      </c>
      <c r="DO45" s="409">
        <f t="shared" si="106"/>
        <v>0</v>
      </c>
      <c r="DP45" s="409">
        <f t="shared" si="106"/>
        <v>0</v>
      </c>
      <c r="DQ45" s="409">
        <f t="shared" si="106"/>
        <v>0</v>
      </c>
      <c r="DR45" s="409">
        <f t="shared" si="106"/>
        <v>0</v>
      </c>
      <c r="DS45" s="409">
        <f t="shared" si="106"/>
        <v>0</v>
      </c>
      <c r="DT45" s="409">
        <f t="shared" si="106"/>
        <v>0</v>
      </c>
      <c r="DU45" s="409">
        <f t="shared" si="106"/>
        <v>0</v>
      </c>
      <c r="DV45" s="409">
        <f t="shared" si="106"/>
        <v>0</v>
      </c>
      <c r="DW45" s="409">
        <f t="shared" si="106"/>
        <v>0</v>
      </c>
      <c r="DX45" s="409">
        <f t="shared" si="106"/>
        <v>0</v>
      </c>
      <c r="DY45" s="409">
        <f t="shared" si="107"/>
        <v>0</v>
      </c>
      <c r="DZ45" s="409">
        <f t="shared" si="107"/>
        <v>0</v>
      </c>
      <c r="EA45" s="409">
        <f t="shared" si="107"/>
        <v>0</v>
      </c>
      <c r="EB45" s="409">
        <f t="shared" si="107"/>
        <v>0</v>
      </c>
      <c r="EC45" s="409">
        <f t="shared" si="107"/>
        <v>0</v>
      </c>
      <c r="ED45" s="409">
        <f t="shared" si="107"/>
        <v>0</v>
      </c>
      <c r="EE45" s="409">
        <f t="shared" si="107"/>
        <v>0</v>
      </c>
      <c r="EF45" s="409">
        <f t="shared" si="107"/>
        <v>0</v>
      </c>
      <c r="EG45" s="409">
        <f t="shared" si="107"/>
        <v>0</v>
      </c>
      <c r="EH45" s="409">
        <f t="shared" si="107"/>
        <v>0</v>
      </c>
      <c r="EI45" s="409">
        <f t="shared" si="108"/>
        <v>0</v>
      </c>
      <c r="EJ45" s="409">
        <f t="shared" si="108"/>
        <v>0</v>
      </c>
      <c r="EK45" s="409">
        <f t="shared" si="108"/>
        <v>0</v>
      </c>
      <c r="EL45" s="409">
        <f t="shared" si="108"/>
        <v>0</v>
      </c>
      <c r="EM45" s="409">
        <f t="shared" si="108"/>
        <v>0</v>
      </c>
      <c r="EN45" s="409">
        <f t="shared" si="108"/>
        <v>0</v>
      </c>
      <c r="EO45" s="409">
        <f t="shared" si="108"/>
        <v>0</v>
      </c>
      <c r="EP45" s="409">
        <f t="shared" si="108"/>
        <v>0</v>
      </c>
      <c r="EQ45" s="409">
        <f t="shared" si="108"/>
        <v>0</v>
      </c>
      <c r="ER45" s="409">
        <f t="shared" si="108"/>
        <v>0</v>
      </c>
      <c r="ES45" s="409">
        <f t="shared" si="109"/>
        <v>0</v>
      </c>
      <c r="ET45" s="409">
        <f t="shared" si="109"/>
        <v>0</v>
      </c>
      <c r="EU45" s="409">
        <f t="shared" si="109"/>
        <v>0</v>
      </c>
      <c r="EV45" s="409">
        <f t="shared" si="109"/>
        <v>0</v>
      </c>
      <c r="EW45" s="409">
        <f t="shared" si="109"/>
        <v>0</v>
      </c>
      <c r="EX45" s="409">
        <f t="shared" si="109"/>
        <v>0</v>
      </c>
      <c r="EY45" s="409">
        <f t="shared" si="109"/>
        <v>0</v>
      </c>
      <c r="EZ45" s="409">
        <f t="shared" si="109"/>
        <v>0</v>
      </c>
      <c r="FA45" s="409">
        <f t="shared" si="109"/>
        <v>0</v>
      </c>
      <c r="FB45" s="409">
        <f t="shared" si="109"/>
        <v>0</v>
      </c>
      <c r="FC45" s="409">
        <f t="shared" si="110"/>
        <v>0</v>
      </c>
      <c r="FD45" s="409">
        <f t="shared" si="110"/>
        <v>0</v>
      </c>
      <c r="FE45" s="409">
        <f t="shared" si="110"/>
        <v>0</v>
      </c>
      <c r="FF45" s="409">
        <f t="shared" si="110"/>
        <v>0</v>
      </c>
      <c r="FG45" s="409">
        <f t="shared" si="110"/>
        <v>0</v>
      </c>
      <c r="FH45" s="409">
        <f t="shared" si="110"/>
        <v>0</v>
      </c>
      <c r="FI45" s="409">
        <f t="shared" si="110"/>
        <v>0</v>
      </c>
      <c r="FJ45" s="409">
        <f t="shared" si="110"/>
        <v>0</v>
      </c>
      <c r="FK45" s="409">
        <f t="shared" si="110"/>
        <v>0</v>
      </c>
      <c r="FL45" s="409">
        <f t="shared" si="110"/>
        <v>0</v>
      </c>
      <c r="FM45" s="409">
        <f t="shared" si="111"/>
        <v>0</v>
      </c>
      <c r="FN45" s="409">
        <f t="shared" si="111"/>
        <v>0</v>
      </c>
      <c r="FO45" s="409">
        <f t="shared" si="111"/>
        <v>0</v>
      </c>
      <c r="FP45" s="409">
        <f t="shared" si="111"/>
        <v>0</v>
      </c>
      <c r="FQ45" s="409">
        <f t="shared" si="111"/>
        <v>0</v>
      </c>
      <c r="FR45" s="409">
        <f t="shared" si="111"/>
        <v>0</v>
      </c>
      <c r="FS45" s="409">
        <f t="shared" si="111"/>
        <v>0</v>
      </c>
      <c r="FT45" s="409">
        <f t="shared" si="111"/>
        <v>0</v>
      </c>
      <c r="FU45" s="409">
        <f t="shared" si="111"/>
        <v>0</v>
      </c>
      <c r="FV45" s="409">
        <f t="shared" si="111"/>
        <v>0</v>
      </c>
      <c r="FW45" s="409">
        <f t="shared" si="112"/>
        <v>0</v>
      </c>
      <c r="FX45" s="409">
        <f t="shared" si="112"/>
        <v>0</v>
      </c>
      <c r="FY45" s="409">
        <f t="shared" si="112"/>
        <v>0</v>
      </c>
      <c r="FZ45" s="409">
        <f t="shared" si="112"/>
        <v>0</v>
      </c>
      <c r="GA45" s="409">
        <f t="shared" si="112"/>
        <v>0</v>
      </c>
      <c r="GB45" s="409">
        <f t="shared" si="112"/>
        <v>0</v>
      </c>
      <c r="GC45" s="409">
        <f t="shared" si="112"/>
        <v>0</v>
      </c>
      <c r="GD45" s="409">
        <f t="shared" si="112"/>
        <v>0</v>
      </c>
      <c r="GE45" s="409">
        <f t="shared" si="112"/>
        <v>0</v>
      </c>
      <c r="GF45" s="409">
        <f t="shared" si="112"/>
        <v>0</v>
      </c>
      <c r="GG45" s="409">
        <f t="shared" si="113"/>
        <v>0</v>
      </c>
      <c r="GH45" s="409">
        <f t="shared" si="113"/>
        <v>0</v>
      </c>
      <c r="GI45" s="409">
        <f t="shared" si="113"/>
        <v>0</v>
      </c>
      <c r="GJ45" s="409">
        <f t="shared" si="113"/>
        <v>0</v>
      </c>
      <c r="GK45" s="409">
        <f t="shared" si="113"/>
        <v>0</v>
      </c>
      <c r="GL45" s="409">
        <f t="shared" si="113"/>
        <v>0</v>
      </c>
      <c r="GM45" s="409">
        <f t="shared" si="113"/>
        <v>0</v>
      </c>
      <c r="GN45" s="409">
        <f t="shared" si="113"/>
        <v>0</v>
      </c>
      <c r="GO45" s="409">
        <f t="shared" si="113"/>
        <v>0</v>
      </c>
      <c r="GP45" s="409">
        <f t="shared" si="113"/>
        <v>0</v>
      </c>
      <c r="GQ45" s="409">
        <f t="shared" si="114"/>
        <v>0</v>
      </c>
      <c r="GR45" s="409">
        <f t="shared" si="114"/>
        <v>0</v>
      </c>
      <c r="GS45" s="409">
        <f t="shared" si="114"/>
        <v>0</v>
      </c>
      <c r="GT45" s="409">
        <f t="shared" si="114"/>
        <v>0</v>
      </c>
      <c r="GU45" s="409">
        <f t="shared" si="114"/>
        <v>0</v>
      </c>
      <c r="GV45" s="409">
        <f t="shared" si="114"/>
        <v>0</v>
      </c>
      <c r="GW45" s="409">
        <f t="shared" si="114"/>
        <v>0</v>
      </c>
      <c r="GX45" s="409">
        <f t="shared" si="114"/>
        <v>0</v>
      </c>
      <c r="GY45" s="409">
        <f t="shared" si="114"/>
        <v>0</v>
      </c>
      <c r="GZ45" s="409">
        <f t="shared" si="114"/>
        <v>0</v>
      </c>
      <c r="HA45" s="409">
        <f t="shared" si="115"/>
        <v>0</v>
      </c>
      <c r="HB45" s="409">
        <f t="shared" si="115"/>
        <v>0</v>
      </c>
      <c r="HC45" s="409">
        <f t="shared" si="115"/>
        <v>0</v>
      </c>
      <c r="HD45" s="409">
        <f t="shared" si="115"/>
        <v>0</v>
      </c>
      <c r="HE45" s="409">
        <f t="shared" si="115"/>
        <v>0</v>
      </c>
      <c r="HF45" s="409">
        <f t="shared" si="115"/>
        <v>0</v>
      </c>
      <c r="HG45" s="409">
        <f t="shared" si="115"/>
        <v>0</v>
      </c>
      <c r="HH45" s="409">
        <f t="shared" si="115"/>
        <v>0</v>
      </c>
      <c r="HI45" s="409">
        <f t="shared" si="115"/>
        <v>0</v>
      </c>
      <c r="HJ45" s="409">
        <f t="shared" si="115"/>
        <v>0</v>
      </c>
      <c r="HK45" s="409">
        <f t="shared" si="116"/>
        <v>0</v>
      </c>
      <c r="HL45" s="409">
        <f t="shared" si="116"/>
        <v>0</v>
      </c>
      <c r="HM45" s="409">
        <f t="shared" si="116"/>
        <v>0</v>
      </c>
      <c r="HN45" s="409">
        <f t="shared" si="116"/>
        <v>0</v>
      </c>
      <c r="HO45" s="409">
        <f t="shared" si="116"/>
        <v>0</v>
      </c>
      <c r="HP45" s="409">
        <f t="shared" si="116"/>
        <v>0</v>
      </c>
      <c r="HQ45" s="409">
        <f t="shared" si="116"/>
        <v>0</v>
      </c>
      <c r="HR45" s="409">
        <f t="shared" si="116"/>
        <v>0</v>
      </c>
      <c r="HS45" s="409">
        <f t="shared" si="116"/>
        <v>0</v>
      </c>
      <c r="HT45" s="409">
        <f t="shared" si="116"/>
        <v>0</v>
      </c>
      <c r="HU45" s="409">
        <f t="shared" si="117"/>
        <v>0</v>
      </c>
      <c r="HV45" s="409">
        <f t="shared" si="117"/>
        <v>0</v>
      </c>
      <c r="HW45" s="409">
        <f t="shared" si="117"/>
        <v>0</v>
      </c>
      <c r="HX45" s="409">
        <f t="shared" si="117"/>
        <v>0</v>
      </c>
      <c r="HY45" s="409">
        <f t="shared" si="117"/>
        <v>0</v>
      </c>
      <c r="HZ45" s="409">
        <f t="shared" si="117"/>
        <v>0</v>
      </c>
      <c r="IA45" s="409">
        <f t="shared" si="117"/>
        <v>0</v>
      </c>
      <c r="IB45" s="409">
        <f t="shared" si="117"/>
        <v>0</v>
      </c>
      <c r="IC45" s="409">
        <f t="shared" si="117"/>
        <v>0</v>
      </c>
      <c r="ID45" s="409">
        <f t="shared" si="117"/>
        <v>0</v>
      </c>
      <c r="IE45" s="409">
        <f t="shared" si="118"/>
        <v>0</v>
      </c>
      <c r="IF45" s="409">
        <f t="shared" si="118"/>
        <v>0</v>
      </c>
      <c r="IG45" s="409">
        <f t="shared" si="118"/>
        <v>0</v>
      </c>
      <c r="IH45" s="409">
        <f t="shared" si="118"/>
        <v>0</v>
      </c>
      <c r="II45" s="409">
        <f t="shared" si="118"/>
        <v>0</v>
      </c>
      <c r="IJ45" s="409">
        <f t="shared" si="118"/>
        <v>0</v>
      </c>
      <c r="IK45" s="378">
        <f t="shared" si="54"/>
        <v>38</v>
      </c>
    </row>
    <row r="46" spans="1:245" hidden="1" x14ac:dyDescent="0.2">
      <c r="A46" s="380" t="str">
        <f>IF(ISERROR(C46),"e",IF(OR(E46=0,B46=""),"x",""))</f>
        <v>e</v>
      </c>
      <c r="B46" s="712" t="str" cm="1">
        <f t="array" ref="B46">IF(ISERROR(INDEX('Legend(Skid)'!$H$8:$H$9,ROW()-42)),"",INDEX('Legend(Skid)'!$H$8:$H$9,ROW()-42))</f>
        <v/>
      </c>
      <c r="C46" s="712" t="e" cm="1">
        <f t="array" ref="C46">IF(INDEX('Legend(Skid)'!$T$8:$T$9,ROW()-42)=0,"See Legend",INDEX('Legend(Skid)'!$T$8:$T$9,ROW()-42))</f>
        <v>#REF!</v>
      </c>
      <c r="D46" s="712" t="e">
        <f>IF(INDEX('Legend(Skid)'!$R$8:$R$9,(ROW(C46))-42)=0,IF(AND(INDEX('Legend(Skid)'!$D$8:$D$9,(ROW(C46))-41)="CH",INDEX('Legend(Skid)'!$F$8:$F$9,(ROW(C46))-41)="CASE - MANUAL"),INDEX('Legend(Skid)'!$R$8:$R$9,(ROW(C46))-41),IF(INDEX('Legend(Skid)'!$V$8:$V$9,(ROW(C46))-42)&gt;1, "(" &amp; INDEX('Legend(Skid)'!$V$8:$V$9,(ROW(C46))-42) &amp; ") " &amp; INDEX('Legend(Skid)'!$W$8:$W$9,(ROW(C46))-41),INDEX('Legend(Skid)'!$W$8:$W$9,(ROW(C46))-42))),INDEX('Legend(Skid)'!$R$8:$R$9,(ROW(C46))-42))</f>
        <v>#REF!</v>
      </c>
      <c r="E46" s="713" cm="1">
        <f t="array" ref="E46">IF(OR(ISNUMBER(SEARCH("Pump",C46)),ISNUMBER(SEARCH("PH",C46)),ISERROR(INDEX('Legend(Skid)'!$AA$8:$AA$9,ROW()-42))),0,INDEX('Legend(Skid)'!$AA$8:$AA$9,ROW()-42))</f>
        <v>0</v>
      </c>
      <c r="F46" s="714"/>
      <c r="G46" s="714"/>
      <c r="H46" s="714"/>
      <c r="I46" s="714"/>
      <c r="J46" s="714"/>
      <c r="K46" s="890">
        <f t="shared" si="35"/>
        <v>0</v>
      </c>
      <c r="L46" s="718"/>
      <c r="M46" s="719"/>
      <c r="N46" s="972">
        <f t="shared" si="120"/>
        <v>-1</v>
      </c>
      <c r="O46" s="972">
        <f t="shared" si="121"/>
        <v>-1</v>
      </c>
      <c r="P46" s="972">
        <f t="shared" si="122"/>
        <v>-1</v>
      </c>
      <c r="Q46" s="972">
        <f t="shared" si="123"/>
        <v>-1</v>
      </c>
      <c r="R46" s="972">
        <f t="shared" si="124"/>
        <v>-1</v>
      </c>
      <c r="S46" s="972">
        <f t="shared" si="125"/>
        <v>-1</v>
      </c>
      <c r="T46" s="972">
        <f t="shared" si="126"/>
        <v>-1</v>
      </c>
      <c r="U46" s="972">
        <f t="shared" si="127"/>
        <v>-1</v>
      </c>
      <c r="V46" s="972">
        <f t="shared" si="128"/>
        <v>-1</v>
      </c>
      <c r="W46" s="972">
        <f t="shared" si="129"/>
        <v>-1</v>
      </c>
      <c r="X46" s="972">
        <f t="shared" si="130"/>
        <v>-1</v>
      </c>
      <c r="Y46" s="972">
        <f t="shared" si="131"/>
        <v>-1</v>
      </c>
      <c r="Z46" s="972">
        <f t="shared" si="132"/>
        <v>-1</v>
      </c>
      <c r="AA46" s="972">
        <f t="shared" si="133"/>
        <v>-1</v>
      </c>
      <c r="AB46" s="972">
        <f t="shared" si="134"/>
        <v>-1</v>
      </c>
      <c r="AC46" s="972">
        <f t="shared" si="135"/>
        <v>-1</v>
      </c>
      <c r="AD46" s="972">
        <f t="shared" si="136"/>
        <v>-1</v>
      </c>
      <c r="AE46" s="972">
        <f t="shared" si="137"/>
        <v>-1</v>
      </c>
      <c r="AF46" s="972">
        <f t="shared" si="138"/>
        <v>-1</v>
      </c>
      <c r="AG46" s="972">
        <f t="shared" si="139"/>
        <v>-1</v>
      </c>
      <c r="AH46" s="972">
        <f t="shared" si="140"/>
        <v>-1</v>
      </c>
      <c r="AI46" s="972">
        <f t="shared" si="141"/>
        <v>-1</v>
      </c>
      <c r="AJ46" s="972">
        <f t="shared" si="142"/>
        <v>-1</v>
      </c>
      <c r="AK46" s="381" t="str">
        <f>IF(ISERROR(INDEX('Legend(Skid)'!$AI$8:$AI$9,ROW()-42)),"",INDEX('Legend(Skid)'!$AI$8:$AI$9,ROW()-42))</f>
        <v/>
      </c>
      <c r="AL46" s="727" t="str">
        <f t="shared" si="53"/>
        <v/>
      </c>
      <c r="AM46" s="409">
        <f t="shared" si="98"/>
        <v>0</v>
      </c>
      <c r="AN46" s="409">
        <f t="shared" si="98"/>
        <v>0</v>
      </c>
      <c r="AO46" s="409">
        <f t="shared" si="98"/>
        <v>0</v>
      </c>
      <c r="AP46" s="409">
        <f t="shared" si="98"/>
        <v>0</v>
      </c>
      <c r="AQ46" s="409">
        <f t="shared" si="98"/>
        <v>0</v>
      </c>
      <c r="AR46" s="409">
        <f t="shared" si="98"/>
        <v>0</v>
      </c>
      <c r="AS46" s="409">
        <f t="shared" si="98"/>
        <v>0</v>
      </c>
      <c r="AT46" s="409">
        <f t="shared" si="98"/>
        <v>0</v>
      </c>
      <c r="AU46" s="409">
        <f t="shared" si="98"/>
        <v>0</v>
      </c>
      <c r="AV46" s="409">
        <f t="shared" si="98"/>
        <v>0</v>
      </c>
      <c r="AW46" s="409">
        <f t="shared" si="99"/>
        <v>0</v>
      </c>
      <c r="AX46" s="409">
        <f t="shared" si="99"/>
        <v>0</v>
      </c>
      <c r="AY46" s="409">
        <f t="shared" si="99"/>
        <v>0</v>
      </c>
      <c r="AZ46" s="409">
        <f t="shared" si="99"/>
        <v>0</v>
      </c>
      <c r="BA46" s="409">
        <f t="shared" si="99"/>
        <v>0</v>
      </c>
      <c r="BB46" s="409">
        <f t="shared" si="99"/>
        <v>0</v>
      </c>
      <c r="BC46" s="409">
        <f t="shared" si="99"/>
        <v>0</v>
      </c>
      <c r="BD46" s="409">
        <f t="shared" si="99"/>
        <v>0</v>
      </c>
      <c r="BE46" s="409">
        <f t="shared" si="99"/>
        <v>0</v>
      </c>
      <c r="BF46" s="409">
        <f t="shared" si="99"/>
        <v>0</v>
      </c>
      <c r="BG46" s="409">
        <f t="shared" si="100"/>
        <v>0</v>
      </c>
      <c r="BH46" s="409">
        <f t="shared" si="100"/>
        <v>0</v>
      </c>
      <c r="BI46" s="409">
        <f t="shared" si="100"/>
        <v>0</v>
      </c>
      <c r="BJ46" s="409">
        <f t="shared" si="100"/>
        <v>0</v>
      </c>
      <c r="BK46" s="409">
        <f t="shared" si="100"/>
        <v>0</v>
      </c>
      <c r="BL46" s="409">
        <f t="shared" si="100"/>
        <v>0</v>
      </c>
      <c r="BM46" s="409">
        <f t="shared" si="100"/>
        <v>0</v>
      </c>
      <c r="BN46" s="409">
        <f t="shared" si="100"/>
        <v>0</v>
      </c>
      <c r="BO46" s="409">
        <f t="shared" si="100"/>
        <v>0</v>
      </c>
      <c r="BP46" s="409">
        <f t="shared" si="100"/>
        <v>0</v>
      </c>
      <c r="BQ46" s="409">
        <f t="shared" si="101"/>
        <v>0</v>
      </c>
      <c r="BR46" s="409">
        <f t="shared" si="101"/>
        <v>0</v>
      </c>
      <c r="BS46" s="409">
        <f t="shared" si="101"/>
        <v>0</v>
      </c>
      <c r="BT46" s="409">
        <f t="shared" si="101"/>
        <v>0</v>
      </c>
      <c r="BU46" s="409">
        <f t="shared" si="101"/>
        <v>0</v>
      </c>
      <c r="BV46" s="409">
        <f t="shared" si="101"/>
        <v>0</v>
      </c>
      <c r="BW46" s="409">
        <f t="shared" si="101"/>
        <v>0</v>
      </c>
      <c r="BX46" s="409">
        <f t="shared" si="101"/>
        <v>0</v>
      </c>
      <c r="BY46" s="409">
        <f t="shared" si="101"/>
        <v>0</v>
      </c>
      <c r="BZ46" s="409">
        <f t="shared" si="101"/>
        <v>0</v>
      </c>
      <c r="CA46" s="409">
        <f t="shared" si="102"/>
        <v>0</v>
      </c>
      <c r="CB46" s="409">
        <f t="shared" si="102"/>
        <v>0</v>
      </c>
      <c r="CC46" s="409">
        <f t="shared" si="102"/>
        <v>0</v>
      </c>
      <c r="CD46" s="409">
        <f t="shared" si="102"/>
        <v>0</v>
      </c>
      <c r="CE46" s="409">
        <f t="shared" si="102"/>
        <v>0</v>
      </c>
      <c r="CF46" s="409">
        <f t="shared" si="102"/>
        <v>0</v>
      </c>
      <c r="CG46" s="409">
        <f t="shared" si="102"/>
        <v>0</v>
      </c>
      <c r="CH46" s="409">
        <f t="shared" si="102"/>
        <v>0</v>
      </c>
      <c r="CI46" s="409">
        <f t="shared" si="102"/>
        <v>0</v>
      </c>
      <c r="CJ46" s="409">
        <f t="shared" si="102"/>
        <v>0</v>
      </c>
      <c r="CK46" s="409">
        <f t="shared" si="103"/>
        <v>0</v>
      </c>
      <c r="CL46" s="409">
        <f t="shared" si="103"/>
        <v>0</v>
      </c>
      <c r="CM46" s="409">
        <f t="shared" si="103"/>
        <v>0</v>
      </c>
      <c r="CN46" s="409">
        <f t="shared" si="103"/>
        <v>0</v>
      </c>
      <c r="CO46" s="409">
        <f t="shared" si="103"/>
        <v>0</v>
      </c>
      <c r="CP46" s="409">
        <f t="shared" si="103"/>
        <v>0</v>
      </c>
      <c r="CQ46" s="409">
        <f t="shared" si="103"/>
        <v>0</v>
      </c>
      <c r="CR46" s="409">
        <f t="shared" si="103"/>
        <v>0</v>
      </c>
      <c r="CS46" s="409">
        <f t="shared" si="103"/>
        <v>0</v>
      </c>
      <c r="CT46" s="409">
        <f t="shared" si="103"/>
        <v>0</v>
      </c>
      <c r="CU46" s="409">
        <f t="shared" si="104"/>
        <v>0</v>
      </c>
      <c r="CV46" s="409">
        <f t="shared" si="104"/>
        <v>0</v>
      </c>
      <c r="CW46" s="409">
        <f t="shared" si="104"/>
        <v>0</v>
      </c>
      <c r="CX46" s="409">
        <f t="shared" si="104"/>
        <v>0</v>
      </c>
      <c r="CY46" s="409">
        <f t="shared" si="104"/>
        <v>0</v>
      </c>
      <c r="CZ46" s="409">
        <f t="shared" si="104"/>
        <v>0</v>
      </c>
      <c r="DA46" s="409">
        <f t="shared" si="104"/>
        <v>0</v>
      </c>
      <c r="DB46" s="409">
        <f t="shared" si="104"/>
        <v>0</v>
      </c>
      <c r="DC46" s="409">
        <f t="shared" si="104"/>
        <v>0</v>
      </c>
      <c r="DD46" s="409">
        <f t="shared" si="104"/>
        <v>0</v>
      </c>
      <c r="DE46" s="409">
        <f t="shared" si="105"/>
        <v>0</v>
      </c>
      <c r="DF46" s="409">
        <f t="shared" si="105"/>
        <v>0</v>
      </c>
      <c r="DG46" s="409">
        <f t="shared" si="105"/>
        <v>0</v>
      </c>
      <c r="DH46" s="409">
        <f t="shared" si="105"/>
        <v>0</v>
      </c>
      <c r="DI46" s="409">
        <f t="shared" si="105"/>
        <v>0</v>
      </c>
      <c r="DJ46" s="409">
        <f t="shared" si="105"/>
        <v>0</v>
      </c>
      <c r="DK46" s="409">
        <f t="shared" si="105"/>
        <v>0</v>
      </c>
      <c r="DL46" s="409">
        <f t="shared" si="105"/>
        <v>0</v>
      </c>
      <c r="DM46" s="409">
        <f t="shared" si="105"/>
        <v>0</v>
      </c>
      <c r="DN46" s="409">
        <f t="shared" si="105"/>
        <v>0</v>
      </c>
      <c r="DO46" s="409">
        <f t="shared" si="106"/>
        <v>0</v>
      </c>
      <c r="DP46" s="409">
        <f t="shared" si="106"/>
        <v>0</v>
      </c>
      <c r="DQ46" s="409">
        <f t="shared" si="106"/>
        <v>0</v>
      </c>
      <c r="DR46" s="409">
        <f t="shared" si="106"/>
        <v>0</v>
      </c>
      <c r="DS46" s="409">
        <f t="shared" si="106"/>
        <v>0</v>
      </c>
      <c r="DT46" s="409">
        <f t="shared" si="106"/>
        <v>0</v>
      </c>
      <c r="DU46" s="409">
        <f t="shared" si="106"/>
        <v>0</v>
      </c>
      <c r="DV46" s="409">
        <f t="shared" si="106"/>
        <v>0</v>
      </c>
      <c r="DW46" s="409">
        <f t="shared" si="106"/>
        <v>0</v>
      </c>
      <c r="DX46" s="409">
        <f t="shared" si="106"/>
        <v>0</v>
      </c>
      <c r="DY46" s="409">
        <f t="shared" si="107"/>
        <v>0</v>
      </c>
      <c r="DZ46" s="409">
        <f t="shared" si="107"/>
        <v>0</v>
      </c>
      <c r="EA46" s="409">
        <f t="shared" si="107"/>
        <v>0</v>
      </c>
      <c r="EB46" s="409">
        <f t="shared" si="107"/>
        <v>0</v>
      </c>
      <c r="EC46" s="409">
        <f t="shared" si="107"/>
        <v>0</v>
      </c>
      <c r="ED46" s="409">
        <f t="shared" si="107"/>
        <v>0</v>
      </c>
      <c r="EE46" s="409">
        <f t="shared" si="107"/>
        <v>0</v>
      </c>
      <c r="EF46" s="409">
        <f t="shared" si="107"/>
        <v>0</v>
      </c>
      <c r="EG46" s="409">
        <f t="shared" si="107"/>
        <v>0</v>
      </c>
      <c r="EH46" s="409">
        <f t="shared" si="107"/>
        <v>0</v>
      </c>
      <c r="EI46" s="409">
        <f t="shared" si="108"/>
        <v>0</v>
      </c>
      <c r="EJ46" s="409">
        <f t="shared" si="108"/>
        <v>0</v>
      </c>
      <c r="EK46" s="409">
        <f t="shared" si="108"/>
        <v>0</v>
      </c>
      <c r="EL46" s="409">
        <f t="shared" si="108"/>
        <v>0</v>
      </c>
      <c r="EM46" s="409">
        <f t="shared" si="108"/>
        <v>0</v>
      </c>
      <c r="EN46" s="409">
        <f t="shared" si="108"/>
        <v>0</v>
      </c>
      <c r="EO46" s="409">
        <f t="shared" si="108"/>
        <v>0</v>
      </c>
      <c r="EP46" s="409">
        <f t="shared" si="108"/>
        <v>0</v>
      </c>
      <c r="EQ46" s="409">
        <f t="shared" si="108"/>
        <v>0</v>
      </c>
      <c r="ER46" s="409">
        <f t="shared" si="108"/>
        <v>0</v>
      </c>
      <c r="ES46" s="409">
        <f t="shared" si="109"/>
        <v>0</v>
      </c>
      <c r="ET46" s="409">
        <f t="shared" si="109"/>
        <v>0</v>
      </c>
      <c r="EU46" s="409">
        <f t="shared" si="109"/>
        <v>0</v>
      </c>
      <c r="EV46" s="409">
        <f t="shared" si="109"/>
        <v>0</v>
      </c>
      <c r="EW46" s="409">
        <f t="shared" si="109"/>
        <v>0</v>
      </c>
      <c r="EX46" s="409">
        <f t="shared" si="109"/>
        <v>0</v>
      </c>
      <c r="EY46" s="409">
        <f t="shared" si="109"/>
        <v>0</v>
      </c>
      <c r="EZ46" s="409">
        <f t="shared" si="109"/>
        <v>0</v>
      </c>
      <c r="FA46" s="409">
        <f t="shared" si="109"/>
        <v>0</v>
      </c>
      <c r="FB46" s="409">
        <f t="shared" si="109"/>
        <v>0</v>
      </c>
      <c r="FC46" s="409">
        <f t="shared" si="110"/>
        <v>0</v>
      </c>
      <c r="FD46" s="409">
        <f t="shared" si="110"/>
        <v>0</v>
      </c>
      <c r="FE46" s="409">
        <f t="shared" si="110"/>
        <v>0</v>
      </c>
      <c r="FF46" s="409">
        <f t="shared" si="110"/>
        <v>0</v>
      </c>
      <c r="FG46" s="409">
        <f t="shared" si="110"/>
        <v>0</v>
      </c>
      <c r="FH46" s="409">
        <f t="shared" si="110"/>
        <v>0</v>
      </c>
      <c r="FI46" s="409">
        <f t="shared" si="110"/>
        <v>0</v>
      </c>
      <c r="FJ46" s="409">
        <f t="shared" si="110"/>
        <v>0</v>
      </c>
      <c r="FK46" s="409">
        <f t="shared" si="110"/>
        <v>0</v>
      </c>
      <c r="FL46" s="409">
        <f t="shared" si="110"/>
        <v>0</v>
      </c>
      <c r="FM46" s="409">
        <f t="shared" si="111"/>
        <v>0</v>
      </c>
      <c r="FN46" s="409">
        <f t="shared" si="111"/>
        <v>0</v>
      </c>
      <c r="FO46" s="409">
        <f t="shared" si="111"/>
        <v>0</v>
      </c>
      <c r="FP46" s="409">
        <f t="shared" si="111"/>
        <v>0</v>
      </c>
      <c r="FQ46" s="409">
        <f t="shared" si="111"/>
        <v>0</v>
      </c>
      <c r="FR46" s="409">
        <f t="shared" si="111"/>
        <v>0</v>
      </c>
      <c r="FS46" s="409">
        <f t="shared" si="111"/>
        <v>0</v>
      </c>
      <c r="FT46" s="409">
        <f t="shared" si="111"/>
        <v>0</v>
      </c>
      <c r="FU46" s="409">
        <f t="shared" si="111"/>
        <v>0</v>
      </c>
      <c r="FV46" s="409">
        <f t="shared" si="111"/>
        <v>0</v>
      </c>
      <c r="FW46" s="409">
        <f t="shared" si="112"/>
        <v>0</v>
      </c>
      <c r="FX46" s="409">
        <f t="shared" si="112"/>
        <v>0</v>
      </c>
      <c r="FY46" s="409">
        <f t="shared" si="112"/>
        <v>0</v>
      </c>
      <c r="FZ46" s="409">
        <f t="shared" si="112"/>
        <v>0</v>
      </c>
      <c r="GA46" s="409">
        <f t="shared" si="112"/>
        <v>0</v>
      </c>
      <c r="GB46" s="409">
        <f t="shared" si="112"/>
        <v>0</v>
      </c>
      <c r="GC46" s="409">
        <f t="shared" si="112"/>
        <v>0</v>
      </c>
      <c r="GD46" s="409">
        <f t="shared" si="112"/>
        <v>0</v>
      </c>
      <c r="GE46" s="409">
        <f t="shared" si="112"/>
        <v>0</v>
      </c>
      <c r="GF46" s="409">
        <f t="shared" si="112"/>
        <v>0</v>
      </c>
      <c r="GG46" s="409">
        <f t="shared" si="113"/>
        <v>0</v>
      </c>
      <c r="GH46" s="409">
        <f t="shared" si="113"/>
        <v>0</v>
      </c>
      <c r="GI46" s="409">
        <f t="shared" si="113"/>
        <v>0</v>
      </c>
      <c r="GJ46" s="409">
        <f t="shared" si="113"/>
        <v>0</v>
      </c>
      <c r="GK46" s="409">
        <f t="shared" si="113"/>
        <v>0</v>
      </c>
      <c r="GL46" s="409">
        <f t="shared" si="113"/>
        <v>0</v>
      </c>
      <c r="GM46" s="409">
        <f t="shared" si="113"/>
        <v>0</v>
      </c>
      <c r="GN46" s="409">
        <f t="shared" si="113"/>
        <v>0</v>
      </c>
      <c r="GO46" s="409">
        <f t="shared" si="113"/>
        <v>0</v>
      </c>
      <c r="GP46" s="409">
        <f t="shared" si="113"/>
        <v>0</v>
      </c>
      <c r="GQ46" s="409">
        <f t="shared" si="114"/>
        <v>0</v>
      </c>
      <c r="GR46" s="409">
        <f t="shared" si="114"/>
        <v>0</v>
      </c>
      <c r="GS46" s="409">
        <f t="shared" si="114"/>
        <v>0</v>
      </c>
      <c r="GT46" s="409">
        <f t="shared" si="114"/>
        <v>0</v>
      </c>
      <c r="GU46" s="409">
        <f t="shared" si="114"/>
        <v>0</v>
      </c>
      <c r="GV46" s="409">
        <f t="shared" si="114"/>
        <v>0</v>
      </c>
      <c r="GW46" s="409">
        <f t="shared" si="114"/>
        <v>0</v>
      </c>
      <c r="GX46" s="409">
        <f t="shared" si="114"/>
        <v>0</v>
      </c>
      <c r="GY46" s="409">
        <f t="shared" si="114"/>
        <v>0</v>
      </c>
      <c r="GZ46" s="409">
        <f t="shared" si="114"/>
        <v>0</v>
      </c>
      <c r="HA46" s="409">
        <f t="shared" si="115"/>
        <v>0</v>
      </c>
      <c r="HB46" s="409">
        <f t="shared" si="115"/>
        <v>0</v>
      </c>
      <c r="HC46" s="409">
        <f t="shared" si="115"/>
        <v>0</v>
      </c>
      <c r="HD46" s="409">
        <f t="shared" si="115"/>
        <v>0</v>
      </c>
      <c r="HE46" s="409">
        <f t="shared" si="115"/>
        <v>0</v>
      </c>
      <c r="HF46" s="409">
        <f t="shared" si="115"/>
        <v>0</v>
      </c>
      <c r="HG46" s="409">
        <f t="shared" si="115"/>
        <v>0</v>
      </c>
      <c r="HH46" s="409">
        <f t="shared" si="115"/>
        <v>0</v>
      </c>
      <c r="HI46" s="409">
        <f t="shared" si="115"/>
        <v>0</v>
      </c>
      <c r="HJ46" s="409">
        <f t="shared" si="115"/>
        <v>0</v>
      </c>
      <c r="HK46" s="409">
        <f t="shared" si="116"/>
        <v>0</v>
      </c>
      <c r="HL46" s="409">
        <f t="shared" si="116"/>
        <v>0</v>
      </c>
      <c r="HM46" s="409">
        <f t="shared" si="116"/>
        <v>0</v>
      </c>
      <c r="HN46" s="409">
        <f t="shared" si="116"/>
        <v>0</v>
      </c>
      <c r="HO46" s="409">
        <f t="shared" si="116"/>
        <v>0</v>
      </c>
      <c r="HP46" s="409">
        <f t="shared" si="116"/>
        <v>0</v>
      </c>
      <c r="HQ46" s="409">
        <f t="shared" si="116"/>
        <v>0</v>
      </c>
      <c r="HR46" s="409">
        <f t="shared" si="116"/>
        <v>0</v>
      </c>
      <c r="HS46" s="409">
        <f t="shared" si="116"/>
        <v>0</v>
      </c>
      <c r="HT46" s="409">
        <f t="shared" si="116"/>
        <v>0</v>
      </c>
      <c r="HU46" s="409">
        <f t="shared" si="117"/>
        <v>0</v>
      </c>
      <c r="HV46" s="409">
        <f t="shared" si="117"/>
        <v>0</v>
      </c>
      <c r="HW46" s="409">
        <f t="shared" si="117"/>
        <v>0</v>
      </c>
      <c r="HX46" s="409">
        <f t="shared" si="117"/>
        <v>0</v>
      </c>
      <c r="HY46" s="409">
        <f t="shared" si="117"/>
        <v>0</v>
      </c>
      <c r="HZ46" s="409">
        <f t="shared" si="117"/>
        <v>0</v>
      </c>
      <c r="IA46" s="409">
        <f t="shared" si="117"/>
        <v>0</v>
      </c>
      <c r="IB46" s="409">
        <f t="shared" si="117"/>
        <v>0</v>
      </c>
      <c r="IC46" s="409">
        <f t="shared" si="117"/>
        <v>0</v>
      </c>
      <c r="ID46" s="409">
        <f t="shared" si="117"/>
        <v>0</v>
      </c>
      <c r="IE46" s="409">
        <f t="shared" si="118"/>
        <v>0</v>
      </c>
      <c r="IF46" s="409">
        <f t="shared" si="118"/>
        <v>0</v>
      </c>
      <c r="IG46" s="409">
        <f t="shared" si="118"/>
        <v>0</v>
      </c>
      <c r="IH46" s="409">
        <f t="shared" si="118"/>
        <v>0</v>
      </c>
      <c r="II46" s="409">
        <f t="shared" si="118"/>
        <v>0</v>
      </c>
      <c r="IJ46" s="409">
        <f t="shared" si="118"/>
        <v>0</v>
      </c>
      <c r="IK46" s="378">
        <f t="shared" si="54"/>
        <v>39</v>
      </c>
    </row>
    <row r="47" spans="1:245" hidden="1" x14ac:dyDescent="0.2">
      <c r="A47" s="380" t="str">
        <f t="shared" si="119"/>
        <v>e</v>
      </c>
      <c r="B47" s="712" t="str" cm="1">
        <f t="array" ref="B47">IF(ISERROR(INDEX('Legend(Skid)'!$H$8:$H$9,ROW()-42)),"",INDEX('Legend(Skid)'!$H$8:$H$9,ROW()-42))</f>
        <v/>
      </c>
      <c r="C47" s="712" t="e" cm="1">
        <f t="array" ref="C47">IF(INDEX('Legend(Skid)'!$T$8:$T$9,ROW()-42)=0,"See Legend",INDEX('Legend(Skid)'!$T$8:$T$9,ROW()-42))</f>
        <v>#REF!</v>
      </c>
      <c r="D47" s="712" t="e">
        <f>IF(INDEX('Legend(Skid)'!$R$8:$R$9,(ROW(C47))-42)=0,IF(AND(INDEX('Legend(Skid)'!$D$8:$D$9,(ROW(C47))-41)="CH",INDEX('Legend(Skid)'!$F$8:$F$9,(ROW(C47))-41)="CASE - MANUAL"),INDEX('Legend(Skid)'!$R$8:$R$9,(ROW(C47))-41),IF(INDEX('Legend(Skid)'!$V$8:$V$9,(ROW(C47))-42)&gt;1, "(" &amp; INDEX('Legend(Skid)'!$V$8:$V$9,(ROW(C47))-42) &amp; ") " &amp; INDEX('Legend(Skid)'!$W$8:$W$9,(ROW(C47))-41),INDEX('Legend(Skid)'!$W$8:$W$9,(ROW(C47))-42))),INDEX('Legend(Skid)'!$R$8:$R$9,(ROW(C47))-42))</f>
        <v>#REF!</v>
      </c>
      <c r="E47" s="713" cm="1">
        <f t="array" ref="E47">IF(OR(ISNUMBER(SEARCH("Pump",C47)),ISNUMBER(SEARCH("PH",C47)),ISERROR(INDEX('Legend(Skid)'!$AA$8:$AA$9,ROW()-42))),0,INDEX('Legend(Skid)'!$AA$8:$AA$9,ROW()-42))</f>
        <v>0</v>
      </c>
      <c r="F47" s="714"/>
      <c r="G47" s="714"/>
      <c r="H47" s="714"/>
      <c r="I47" s="714"/>
      <c r="J47" s="714"/>
      <c r="K47" s="890">
        <f t="shared" si="35"/>
        <v>0</v>
      </c>
      <c r="L47" s="718"/>
      <c r="M47" s="719"/>
      <c r="N47" s="972">
        <f t="shared" si="120"/>
        <v>-1</v>
      </c>
      <c r="O47" s="972">
        <f t="shared" si="121"/>
        <v>-1</v>
      </c>
      <c r="P47" s="972">
        <f t="shared" si="122"/>
        <v>-1</v>
      </c>
      <c r="Q47" s="972">
        <f t="shared" si="123"/>
        <v>-1</v>
      </c>
      <c r="R47" s="972">
        <f t="shared" si="124"/>
        <v>-1</v>
      </c>
      <c r="S47" s="972">
        <f t="shared" si="125"/>
        <v>-1</v>
      </c>
      <c r="T47" s="972">
        <f t="shared" si="126"/>
        <v>-1</v>
      </c>
      <c r="U47" s="972">
        <f t="shared" si="127"/>
        <v>-1</v>
      </c>
      <c r="V47" s="972">
        <f t="shared" si="128"/>
        <v>-1</v>
      </c>
      <c r="W47" s="972">
        <f t="shared" si="129"/>
        <v>-1</v>
      </c>
      <c r="X47" s="972">
        <f t="shared" si="130"/>
        <v>-1</v>
      </c>
      <c r="Y47" s="972">
        <f t="shared" si="131"/>
        <v>-1</v>
      </c>
      <c r="Z47" s="972">
        <f t="shared" si="132"/>
        <v>-1</v>
      </c>
      <c r="AA47" s="972">
        <f t="shared" si="133"/>
        <v>-1</v>
      </c>
      <c r="AB47" s="972">
        <f t="shared" si="134"/>
        <v>-1</v>
      </c>
      <c r="AC47" s="972">
        <f t="shared" si="135"/>
        <v>-1</v>
      </c>
      <c r="AD47" s="972">
        <f t="shared" si="136"/>
        <v>-1</v>
      </c>
      <c r="AE47" s="972">
        <f t="shared" si="137"/>
        <v>-1</v>
      </c>
      <c r="AF47" s="972">
        <f t="shared" si="138"/>
        <v>-1</v>
      </c>
      <c r="AG47" s="972">
        <f t="shared" si="139"/>
        <v>-1</v>
      </c>
      <c r="AH47" s="972">
        <f t="shared" si="140"/>
        <v>-1</v>
      </c>
      <c r="AI47" s="972">
        <f t="shared" si="141"/>
        <v>-1</v>
      </c>
      <c r="AJ47" s="972">
        <f t="shared" si="142"/>
        <v>-1</v>
      </c>
      <c r="AK47" s="381" t="str">
        <f>IF(ISERROR(INDEX('Legend(Skid)'!$AI$8:$AI$9,ROW()-42)),"",INDEX('Legend(Skid)'!$AI$8:$AI$9,ROW()-42))</f>
        <v/>
      </c>
      <c r="AL47" s="727" t="str">
        <f t="shared" si="53"/>
        <v/>
      </c>
      <c r="AM47" s="409">
        <f t="shared" si="98"/>
        <v>0</v>
      </c>
      <c r="AN47" s="409">
        <f t="shared" si="98"/>
        <v>0</v>
      </c>
      <c r="AO47" s="409">
        <f t="shared" si="98"/>
        <v>0</v>
      </c>
      <c r="AP47" s="409">
        <f t="shared" si="98"/>
        <v>0</v>
      </c>
      <c r="AQ47" s="409">
        <f t="shared" si="98"/>
        <v>0</v>
      </c>
      <c r="AR47" s="409">
        <f t="shared" si="98"/>
        <v>0</v>
      </c>
      <c r="AS47" s="409">
        <f t="shared" si="98"/>
        <v>0</v>
      </c>
      <c r="AT47" s="409">
        <f t="shared" si="98"/>
        <v>0</v>
      </c>
      <c r="AU47" s="409">
        <f t="shared" si="98"/>
        <v>0</v>
      </c>
      <c r="AV47" s="409">
        <f t="shared" si="98"/>
        <v>0</v>
      </c>
      <c r="AW47" s="409">
        <f t="shared" si="99"/>
        <v>0</v>
      </c>
      <c r="AX47" s="409">
        <f t="shared" si="99"/>
        <v>0</v>
      </c>
      <c r="AY47" s="409">
        <f t="shared" si="99"/>
        <v>0</v>
      </c>
      <c r="AZ47" s="409">
        <f t="shared" si="99"/>
        <v>0</v>
      </c>
      <c r="BA47" s="409">
        <f t="shared" si="99"/>
        <v>0</v>
      </c>
      <c r="BB47" s="409">
        <f t="shared" si="99"/>
        <v>0</v>
      </c>
      <c r="BC47" s="409">
        <f t="shared" si="99"/>
        <v>0</v>
      </c>
      <c r="BD47" s="409">
        <f t="shared" si="99"/>
        <v>0</v>
      </c>
      <c r="BE47" s="409">
        <f t="shared" si="99"/>
        <v>0</v>
      </c>
      <c r="BF47" s="409">
        <f t="shared" si="99"/>
        <v>0</v>
      </c>
      <c r="BG47" s="409">
        <f t="shared" si="100"/>
        <v>0</v>
      </c>
      <c r="BH47" s="409">
        <f t="shared" si="100"/>
        <v>0</v>
      </c>
      <c r="BI47" s="409">
        <f t="shared" si="100"/>
        <v>0</v>
      </c>
      <c r="BJ47" s="409">
        <f t="shared" si="100"/>
        <v>0</v>
      </c>
      <c r="BK47" s="409">
        <f t="shared" si="100"/>
        <v>0</v>
      </c>
      <c r="BL47" s="409">
        <f t="shared" si="100"/>
        <v>0</v>
      </c>
      <c r="BM47" s="409">
        <f t="shared" si="100"/>
        <v>0</v>
      </c>
      <c r="BN47" s="409">
        <f t="shared" si="100"/>
        <v>0</v>
      </c>
      <c r="BO47" s="409">
        <f t="shared" si="100"/>
        <v>0</v>
      </c>
      <c r="BP47" s="409">
        <f t="shared" si="100"/>
        <v>0</v>
      </c>
      <c r="BQ47" s="409">
        <f t="shared" si="101"/>
        <v>0</v>
      </c>
      <c r="BR47" s="409">
        <f t="shared" si="101"/>
        <v>0</v>
      </c>
      <c r="BS47" s="409">
        <f t="shared" si="101"/>
        <v>0</v>
      </c>
      <c r="BT47" s="409">
        <f t="shared" si="101"/>
        <v>0</v>
      </c>
      <c r="BU47" s="409">
        <f t="shared" si="101"/>
        <v>0</v>
      </c>
      <c r="BV47" s="409">
        <f t="shared" si="101"/>
        <v>0</v>
      </c>
      <c r="BW47" s="409">
        <f t="shared" si="101"/>
        <v>0</v>
      </c>
      <c r="BX47" s="409">
        <f t="shared" si="101"/>
        <v>0</v>
      </c>
      <c r="BY47" s="409">
        <f t="shared" si="101"/>
        <v>0</v>
      </c>
      <c r="BZ47" s="409">
        <f t="shared" si="101"/>
        <v>0</v>
      </c>
      <c r="CA47" s="409">
        <f t="shared" si="102"/>
        <v>0</v>
      </c>
      <c r="CB47" s="409">
        <f t="shared" si="102"/>
        <v>0</v>
      </c>
      <c r="CC47" s="409">
        <f t="shared" si="102"/>
        <v>0</v>
      </c>
      <c r="CD47" s="409">
        <f t="shared" si="102"/>
        <v>0</v>
      </c>
      <c r="CE47" s="409">
        <f t="shared" si="102"/>
        <v>0</v>
      </c>
      <c r="CF47" s="409">
        <f t="shared" si="102"/>
        <v>0</v>
      </c>
      <c r="CG47" s="409">
        <f t="shared" si="102"/>
        <v>0</v>
      </c>
      <c r="CH47" s="409">
        <f t="shared" si="102"/>
        <v>0</v>
      </c>
      <c r="CI47" s="409">
        <f t="shared" si="102"/>
        <v>0</v>
      </c>
      <c r="CJ47" s="409">
        <f t="shared" si="102"/>
        <v>0</v>
      </c>
      <c r="CK47" s="409">
        <f t="shared" si="103"/>
        <v>0</v>
      </c>
      <c r="CL47" s="409">
        <f t="shared" si="103"/>
        <v>0</v>
      </c>
      <c r="CM47" s="409">
        <f t="shared" si="103"/>
        <v>0</v>
      </c>
      <c r="CN47" s="409">
        <f t="shared" si="103"/>
        <v>0</v>
      </c>
      <c r="CO47" s="409">
        <f t="shared" si="103"/>
        <v>0</v>
      </c>
      <c r="CP47" s="409">
        <f t="shared" si="103"/>
        <v>0</v>
      </c>
      <c r="CQ47" s="409">
        <f t="shared" si="103"/>
        <v>0</v>
      </c>
      <c r="CR47" s="409">
        <f t="shared" si="103"/>
        <v>0</v>
      </c>
      <c r="CS47" s="409">
        <f t="shared" si="103"/>
        <v>0</v>
      </c>
      <c r="CT47" s="409">
        <f t="shared" si="103"/>
        <v>0</v>
      </c>
      <c r="CU47" s="409">
        <f t="shared" si="104"/>
        <v>0</v>
      </c>
      <c r="CV47" s="409">
        <f t="shared" si="104"/>
        <v>0</v>
      </c>
      <c r="CW47" s="409">
        <f t="shared" si="104"/>
        <v>0</v>
      </c>
      <c r="CX47" s="409">
        <f t="shared" si="104"/>
        <v>0</v>
      </c>
      <c r="CY47" s="409">
        <f t="shared" si="104"/>
        <v>0</v>
      </c>
      <c r="CZ47" s="409">
        <f t="shared" si="104"/>
        <v>0</v>
      </c>
      <c r="DA47" s="409">
        <f t="shared" si="104"/>
        <v>0</v>
      </c>
      <c r="DB47" s="409">
        <f t="shared" si="104"/>
        <v>0</v>
      </c>
      <c r="DC47" s="409">
        <f t="shared" si="104"/>
        <v>0</v>
      </c>
      <c r="DD47" s="409">
        <f t="shared" si="104"/>
        <v>0</v>
      </c>
      <c r="DE47" s="409">
        <f t="shared" si="105"/>
        <v>0</v>
      </c>
      <c r="DF47" s="409">
        <f t="shared" si="105"/>
        <v>0</v>
      </c>
      <c r="DG47" s="409">
        <f t="shared" si="105"/>
        <v>0</v>
      </c>
      <c r="DH47" s="409">
        <f t="shared" si="105"/>
        <v>0</v>
      </c>
      <c r="DI47" s="409">
        <f t="shared" si="105"/>
        <v>0</v>
      </c>
      <c r="DJ47" s="409">
        <f t="shared" si="105"/>
        <v>0</v>
      </c>
      <c r="DK47" s="409">
        <f t="shared" si="105"/>
        <v>0</v>
      </c>
      <c r="DL47" s="409">
        <f t="shared" si="105"/>
        <v>0</v>
      </c>
      <c r="DM47" s="409">
        <f t="shared" si="105"/>
        <v>0</v>
      </c>
      <c r="DN47" s="409">
        <f t="shared" si="105"/>
        <v>0</v>
      </c>
      <c r="DO47" s="409">
        <f t="shared" si="106"/>
        <v>0</v>
      </c>
      <c r="DP47" s="409">
        <f t="shared" si="106"/>
        <v>0</v>
      </c>
      <c r="DQ47" s="409">
        <f t="shared" si="106"/>
        <v>0</v>
      </c>
      <c r="DR47" s="409">
        <f t="shared" si="106"/>
        <v>0</v>
      </c>
      <c r="DS47" s="409">
        <f t="shared" si="106"/>
        <v>0</v>
      </c>
      <c r="DT47" s="409">
        <f t="shared" si="106"/>
        <v>0</v>
      </c>
      <c r="DU47" s="409">
        <f t="shared" si="106"/>
        <v>0</v>
      </c>
      <c r="DV47" s="409">
        <f t="shared" si="106"/>
        <v>0</v>
      </c>
      <c r="DW47" s="409">
        <f t="shared" si="106"/>
        <v>0</v>
      </c>
      <c r="DX47" s="409">
        <f t="shared" si="106"/>
        <v>0</v>
      </c>
      <c r="DY47" s="409">
        <f t="shared" si="107"/>
        <v>0</v>
      </c>
      <c r="DZ47" s="409">
        <f t="shared" si="107"/>
        <v>0</v>
      </c>
      <c r="EA47" s="409">
        <f t="shared" si="107"/>
        <v>0</v>
      </c>
      <c r="EB47" s="409">
        <f t="shared" si="107"/>
        <v>0</v>
      </c>
      <c r="EC47" s="409">
        <f t="shared" si="107"/>
        <v>0</v>
      </c>
      <c r="ED47" s="409">
        <f t="shared" si="107"/>
        <v>0</v>
      </c>
      <c r="EE47" s="409">
        <f t="shared" si="107"/>
        <v>0</v>
      </c>
      <c r="EF47" s="409">
        <f t="shared" si="107"/>
        <v>0</v>
      </c>
      <c r="EG47" s="409">
        <f t="shared" si="107"/>
        <v>0</v>
      </c>
      <c r="EH47" s="409">
        <f t="shared" si="107"/>
        <v>0</v>
      </c>
      <c r="EI47" s="409">
        <f t="shared" si="108"/>
        <v>0</v>
      </c>
      <c r="EJ47" s="409">
        <f t="shared" si="108"/>
        <v>0</v>
      </c>
      <c r="EK47" s="409">
        <f t="shared" si="108"/>
        <v>0</v>
      </c>
      <c r="EL47" s="409">
        <f t="shared" si="108"/>
        <v>0</v>
      </c>
      <c r="EM47" s="409">
        <f t="shared" si="108"/>
        <v>0</v>
      </c>
      <c r="EN47" s="409">
        <f t="shared" si="108"/>
        <v>0</v>
      </c>
      <c r="EO47" s="409">
        <f t="shared" si="108"/>
        <v>0</v>
      </c>
      <c r="EP47" s="409">
        <f t="shared" si="108"/>
        <v>0</v>
      </c>
      <c r="EQ47" s="409">
        <f t="shared" si="108"/>
        <v>0</v>
      </c>
      <c r="ER47" s="409">
        <f t="shared" si="108"/>
        <v>0</v>
      </c>
      <c r="ES47" s="409">
        <f t="shared" si="109"/>
        <v>0</v>
      </c>
      <c r="ET47" s="409">
        <f t="shared" si="109"/>
        <v>0</v>
      </c>
      <c r="EU47" s="409">
        <f t="shared" si="109"/>
        <v>0</v>
      </c>
      <c r="EV47" s="409">
        <f t="shared" si="109"/>
        <v>0</v>
      </c>
      <c r="EW47" s="409">
        <f t="shared" si="109"/>
        <v>0</v>
      </c>
      <c r="EX47" s="409">
        <f t="shared" si="109"/>
        <v>0</v>
      </c>
      <c r="EY47" s="409">
        <f t="shared" si="109"/>
        <v>0</v>
      </c>
      <c r="EZ47" s="409">
        <f t="shared" si="109"/>
        <v>0</v>
      </c>
      <c r="FA47" s="409">
        <f t="shared" si="109"/>
        <v>0</v>
      </c>
      <c r="FB47" s="409">
        <f t="shared" si="109"/>
        <v>0</v>
      </c>
      <c r="FC47" s="409">
        <f t="shared" si="110"/>
        <v>0</v>
      </c>
      <c r="FD47" s="409">
        <f t="shared" si="110"/>
        <v>0</v>
      </c>
      <c r="FE47" s="409">
        <f t="shared" si="110"/>
        <v>0</v>
      </c>
      <c r="FF47" s="409">
        <f t="shared" si="110"/>
        <v>0</v>
      </c>
      <c r="FG47" s="409">
        <f t="shared" si="110"/>
        <v>0</v>
      </c>
      <c r="FH47" s="409">
        <f t="shared" si="110"/>
        <v>0</v>
      </c>
      <c r="FI47" s="409">
        <f t="shared" si="110"/>
        <v>0</v>
      </c>
      <c r="FJ47" s="409">
        <f t="shared" si="110"/>
        <v>0</v>
      </c>
      <c r="FK47" s="409">
        <f t="shared" si="110"/>
        <v>0</v>
      </c>
      <c r="FL47" s="409">
        <f t="shared" si="110"/>
        <v>0</v>
      </c>
      <c r="FM47" s="409">
        <f t="shared" si="111"/>
        <v>0</v>
      </c>
      <c r="FN47" s="409">
        <f t="shared" si="111"/>
        <v>0</v>
      </c>
      <c r="FO47" s="409">
        <f t="shared" si="111"/>
        <v>0</v>
      </c>
      <c r="FP47" s="409">
        <f t="shared" si="111"/>
        <v>0</v>
      </c>
      <c r="FQ47" s="409">
        <f t="shared" si="111"/>
        <v>0</v>
      </c>
      <c r="FR47" s="409">
        <f t="shared" si="111"/>
        <v>0</v>
      </c>
      <c r="FS47" s="409">
        <f t="shared" si="111"/>
        <v>0</v>
      </c>
      <c r="FT47" s="409">
        <f t="shared" si="111"/>
        <v>0</v>
      </c>
      <c r="FU47" s="409">
        <f t="shared" si="111"/>
        <v>0</v>
      </c>
      <c r="FV47" s="409">
        <f t="shared" si="111"/>
        <v>0</v>
      </c>
      <c r="FW47" s="409">
        <f t="shared" si="112"/>
        <v>0</v>
      </c>
      <c r="FX47" s="409">
        <f t="shared" si="112"/>
        <v>0</v>
      </c>
      <c r="FY47" s="409">
        <f t="shared" si="112"/>
        <v>0</v>
      </c>
      <c r="FZ47" s="409">
        <f t="shared" si="112"/>
        <v>0</v>
      </c>
      <c r="GA47" s="409">
        <f t="shared" si="112"/>
        <v>0</v>
      </c>
      <c r="GB47" s="409">
        <f t="shared" si="112"/>
        <v>0</v>
      </c>
      <c r="GC47" s="409">
        <f t="shared" si="112"/>
        <v>0</v>
      </c>
      <c r="GD47" s="409">
        <f t="shared" si="112"/>
        <v>0</v>
      </c>
      <c r="GE47" s="409">
        <f t="shared" si="112"/>
        <v>0</v>
      </c>
      <c r="GF47" s="409">
        <f t="shared" si="112"/>
        <v>0</v>
      </c>
      <c r="GG47" s="409">
        <f t="shared" si="113"/>
        <v>0</v>
      </c>
      <c r="GH47" s="409">
        <f t="shared" si="113"/>
        <v>0</v>
      </c>
      <c r="GI47" s="409">
        <f t="shared" si="113"/>
        <v>0</v>
      </c>
      <c r="GJ47" s="409">
        <f t="shared" si="113"/>
        <v>0</v>
      </c>
      <c r="GK47" s="409">
        <f t="shared" si="113"/>
        <v>0</v>
      </c>
      <c r="GL47" s="409">
        <f t="shared" si="113"/>
        <v>0</v>
      </c>
      <c r="GM47" s="409">
        <f t="shared" si="113"/>
        <v>0</v>
      </c>
      <c r="GN47" s="409">
        <f t="shared" si="113"/>
        <v>0</v>
      </c>
      <c r="GO47" s="409">
        <f t="shared" si="113"/>
        <v>0</v>
      </c>
      <c r="GP47" s="409">
        <f t="shared" si="113"/>
        <v>0</v>
      </c>
      <c r="GQ47" s="409">
        <f t="shared" si="114"/>
        <v>0</v>
      </c>
      <c r="GR47" s="409">
        <f t="shared" si="114"/>
        <v>0</v>
      </c>
      <c r="GS47" s="409">
        <f t="shared" si="114"/>
        <v>0</v>
      </c>
      <c r="GT47" s="409">
        <f t="shared" si="114"/>
        <v>0</v>
      </c>
      <c r="GU47" s="409">
        <f t="shared" si="114"/>
        <v>0</v>
      </c>
      <c r="GV47" s="409">
        <f t="shared" si="114"/>
        <v>0</v>
      </c>
      <c r="GW47" s="409">
        <f t="shared" si="114"/>
        <v>0</v>
      </c>
      <c r="GX47" s="409">
        <f t="shared" si="114"/>
        <v>0</v>
      </c>
      <c r="GY47" s="409">
        <f t="shared" si="114"/>
        <v>0</v>
      </c>
      <c r="GZ47" s="409">
        <f t="shared" si="114"/>
        <v>0</v>
      </c>
      <c r="HA47" s="409">
        <f t="shared" si="115"/>
        <v>0</v>
      </c>
      <c r="HB47" s="409">
        <f t="shared" si="115"/>
        <v>0</v>
      </c>
      <c r="HC47" s="409">
        <f t="shared" si="115"/>
        <v>0</v>
      </c>
      <c r="HD47" s="409">
        <f t="shared" si="115"/>
        <v>0</v>
      </c>
      <c r="HE47" s="409">
        <f t="shared" si="115"/>
        <v>0</v>
      </c>
      <c r="HF47" s="409">
        <f t="shared" si="115"/>
        <v>0</v>
      </c>
      <c r="HG47" s="409">
        <f t="shared" si="115"/>
        <v>0</v>
      </c>
      <c r="HH47" s="409">
        <f t="shared" si="115"/>
        <v>0</v>
      </c>
      <c r="HI47" s="409">
        <f t="shared" si="115"/>
        <v>0</v>
      </c>
      <c r="HJ47" s="409">
        <f t="shared" si="115"/>
        <v>0</v>
      </c>
      <c r="HK47" s="409">
        <f t="shared" si="116"/>
        <v>0</v>
      </c>
      <c r="HL47" s="409">
        <f t="shared" si="116"/>
        <v>0</v>
      </c>
      <c r="HM47" s="409">
        <f t="shared" si="116"/>
        <v>0</v>
      </c>
      <c r="HN47" s="409">
        <f t="shared" si="116"/>
        <v>0</v>
      </c>
      <c r="HO47" s="409">
        <f t="shared" si="116"/>
        <v>0</v>
      </c>
      <c r="HP47" s="409">
        <f t="shared" si="116"/>
        <v>0</v>
      </c>
      <c r="HQ47" s="409">
        <f t="shared" si="116"/>
        <v>0</v>
      </c>
      <c r="HR47" s="409">
        <f t="shared" si="116"/>
        <v>0</v>
      </c>
      <c r="HS47" s="409">
        <f t="shared" si="116"/>
        <v>0</v>
      </c>
      <c r="HT47" s="409">
        <f t="shared" si="116"/>
        <v>0</v>
      </c>
      <c r="HU47" s="409">
        <f t="shared" si="117"/>
        <v>0</v>
      </c>
      <c r="HV47" s="409">
        <f t="shared" si="117"/>
        <v>0</v>
      </c>
      <c r="HW47" s="409">
        <f t="shared" si="117"/>
        <v>0</v>
      </c>
      <c r="HX47" s="409">
        <f t="shared" si="117"/>
        <v>0</v>
      </c>
      <c r="HY47" s="409">
        <f t="shared" si="117"/>
        <v>0</v>
      </c>
      <c r="HZ47" s="409">
        <f t="shared" si="117"/>
        <v>0</v>
      </c>
      <c r="IA47" s="409">
        <f t="shared" si="117"/>
        <v>0</v>
      </c>
      <c r="IB47" s="409">
        <f t="shared" si="117"/>
        <v>0</v>
      </c>
      <c r="IC47" s="409">
        <f t="shared" si="117"/>
        <v>0</v>
      </c>
      <c r="ID47" s="409">
        <f t="shared" si="117"/>
        <v>0</v>
      </c>
      <c r="IE47" s="409">
        <f t="shared" si="118"/>
        <v>0</v>
      </c>
      <c r="IF47" s="409">
        <f t="shared" si="118"/>
        <v>0</v>
      </c>
      <c r="IG47" s="409">
        <f t="shared" si="118"/>
        <v>0</v>
      </c>
      <c r="IH47" s="409">
        <f t="shared" si="118"/>
        <v>0</v>
      </c>
      <c r="II47" s="409">
        <f t="shared" si="118"/>
        <v>0</v>
      </c>
      <c r="IJ47" s="409">
        <f t="shared" si="118"/>
        <v>0</v>
      </c>
      <c r="IK47" s="378">
        <f t="shared" si="54"/>
        <v>40</v>
      </c>
    </row>
    <row r="48" spans="1:245" hidden="1" x14ac:dyDescent="0.2">
      <c r="A48" s="380" t="str">
        <f t="shared" si="119"/>
        <v>e</v>
      </c>
      <c r="B48" s="712" t="str" cm="1">
        <f t="array" ref="B48">IF(ISERROR(INDEX('Legend(Skid)'!$H$8:$H$9,ROW()-42)),"",INDEX('Legend(Skid)'!$H$8:$H$9,ROW()-42))</f>
        <v/>
      </c>
      <c r="C48" s="712" t="e" cm="1">
        <f t="array" ref="C48">IF(INDEX('Legend(Skid)'!$T$8:$T$9,ROW()-42)=0,"See Legend",INDEX('Legend(Skid)'!$T$8:$T$9,ROW()-42))</f>
        <v>#REF!</v>
      </c>
      <c r="D48" s="712" t="e">
        <f>IF(INDEX('Legend(Skid)'!$R$8:$R$9,(ROW(C48))-42)=0,IF(AND(INDEX('Legend(Skid)'!$D$8:$D$9,(ROW(C48))-41)="CH",INDEX('Legend(Skid)'!$F$8:$F$9,(ROW(C48))-41)="CASE - MANUAL"),INDEX('Legend(Skid)'!$R$8:$R$9,(ROW(C48))-41),IF(INDEX('Legend(Skid)'!$V$8:$V$9,(ROW(C48))-42)&gt;1, "(" &amp; INDEX('Legend(Skid)'!$V$8:$V$9,(ROW(C48))-42) &amp; ") " &amp; INDEX('Legend(Skid)'!$W$8:$W$9,(ROW(C48))-41),INDEX('Legend(Skid)'!$W$8:$W$9,(ROW(C48))-42))),INDEX('Legend(Skid)'!$R$8:$R$9,(ROW(C48))-42))</f>
        <v>#REF!</v>
      </c>
      <c r="E48" s="713" cm="1">
        <f t="array" ref="E48">IF(OR(ISNUMBER(SEARCH("Pump",C48)),ISNUMBER(SEARCH("PH",C48)),ISERROR(INDEX('Legend(Skid)'!$AA$8:$AA$9,ROW()-42))),0,INDEX('Legend(Skid)'!$AA$8:$AA$9,ROW()-42))</f>
        <v>0</v>
      </c>
      <c r="F48" s="714"/>
      <c r="G48" s="714"/>
      <c r="H48" s="714"/>
      <c r="I48" s="714"/>
      <c r="J48" s="714"/>
      <c r="K48" s="890">
        <f t="shared" si="35"/>
        <v>0</v>
      </c>
      <c r="L48" s="718"/>
      <c r="M48" s="719"/>
      <c r="N48" s="972">
        <f t="shared" si="120"/>
        <v>-1</v>
      </c>
      <c r="O48" s="972">
        <f t="shared" si="121"/>
        <v>-1</v>
      </c>
      <c r="P48" s="972">
        <f t="shared" si="122"/>
        <v>-1</v>
      </c>
      <c r="Q48" s="972">
        <f t="shared" si="123"/>
        <v>-1</v>
      </c>
      <c r="R48" s="972">
        <f t="shared" si="124"/>
        <v>-1</v>
      </c>
      <c r="S48" s="972">
        <f t="shared" si="125"/>
        <v>-1</v>
      </c>
      <c r="T48" s="972">
        <f t="shared" si="126"/>
        <v>-1</v>
      </c>
      <c r="U48" s="972">
        <f t="shared" si="127"/>
        <v>-1</v>
      </c>
      <c r="V48" s="972">
        <f t="shared" si="128"/>
        <v>-1</v>
      </c>
      <c r="W48" s="972">
        <f t="shared" si="129"/>
        <v>-1</v>
      </c>
      <c r="X48" s="972">
        <f t="shared" si="130"/>
        <v>-1</v>
      </c>
      <c r="Y48" s="972">
        <f t="shared" si="131"/>
        <v>-1</v>
      </c>
      <c r="Z48" s="972">
        <f t="shared" si="132"/>
        <v>-1</v>
      </c>
      <c r="AA48" s="972">
        <f t="shared" si="133"/>
        <v>-1</v>
      </c>
      <c r="AB48" s="972">
        <f t="shared" si="134"/>
        <v>-1</v>
      </c>
      <c r="AC48" s="972">
        <f t="shared" si="135"/>
        <v>-1</v>
      </c>
      <c r="AD48" s="972">
        <f t="shared" si="136"/>
        <v>-1</v>
      </c>
      <c r="AE48" s="972">
        <f t="shared" si="137"/>
        <v>-1</v>
      </c>
      <c r="AF48" s="972">
        <f t="shared" si="138"/>
        <v>-1</v>
      </c>
      <c r="AG48" s="972">
        <f t="shared" si="139"/>
        <v>-1</v>
      </c>
      <c r="AH48" s="972">
        <f t="shared" si="140"/>
        <v>-1</v>
      </c>
      <c r="AI48" s="972">
        <f t="shared" si="141"/>
        <v>-1</v>
      </c>
      <c r="AJ48" s="972">
        <f t="shared" si="142"/>
        <v>-1</v>
      </c>
      <c r="AK48" s="381" t="str">
        <f>IF(ISERROR(INDEX('Legend(Skid)'!$AI$8:$AI$9,ROW()-42)),"",INDEX('Legend(Skid)'!$AI$8:$AI$9,ROW()-42))</f>
        <v/>
      </c>
      <c r="AL48" s="727" t="str">
        <f t="shared" si="53"/>
        <v/>
      </c>
      <c r="AM48" s="409">
        <f t="shared" si="98"/>
        <v>0</v>
      </c>
      <c r="AN48" s="409">
        <f t="shared" si="98"/>
        <v>0</v>
      </c>
      <c r="AO48" s="409">
        <f t="shared" si="98"/>
        <v>0</v>
      </c>
      <c r="AP48" s="409">
        <f t="shared" si="98"/>
        <v>0</v>
      </c>
      <c r="AQ48" s="409">
        <f t="shared" si="98"/>
        <v>0</v>
      </c>
      <c r="AR48" s="409">
        <f t="shared" si="98"/>
        <v>0</v>
      </c>
      <c r="AS48" s="409">
        <f t="shared" si="98"/>
        <v>0</v>
      </c>
      <c r="AT48" s="409">
        <f t="shared" si="98"/>
        <v>0</v>
      </c>
      <c r="AU48" s="409">
        <f t="shared" si="98"/>
        <v>0</v>
      </c>
      <c r="AV48" s="409">
        <f t="shared" si="98"/>
        <v>0</v>
      </c>
      <c r="AW48" s="409">
        <f t="shared" si="99"/>
        <v>0</v>
      </c>
      <c r="AX48" s="409">
        <f t="shared" si="99"/>
        <v>0</v>
      </c>
      <c r="AY48" s="409">
        <f t="shared" si="99"/>
        <v>0</v>
      </c>
      <c r="AZ48" s="409">
        <f t="shared" si="99"/>
        <v>0</v>
      </c>
      <c r="BA48" s="409">
        <f t="shared" si="99"/>
        <v>0</v>
      </c>
      <c r="BB48" s="409">
        <f t="shared" si="99"/>
        <v>0</v>
      </c>
      <c r="BC48" s="409">
        <f t="shared" si="99"/>
        <v>0</v>
      </c>
      <c r="BD48" s="409">
        <f t="shared" si="99"/>
        <v>0</v>
      </c>
      <c r="BE48" s="409">
        <f t="shared" si="99"/>
        <v>0</v>
      </c>
      <c r="BF48" s="409">
        <f t="shared" si="99"/>
        <v>0</v>
      </c>
      <c r="BG48" s="409">
        <f t="shared" si="100"/>
        <v>0</v>
      </c>
      <c r="BH48" s="409">
        <f t="shared" si="100"/>
        <v>0</v>
      </c>
      <c r="BI48" s="409">
        <f t="shared" si="100"/>
        <v>0</v>
      </c>
      <c r="BJ48" s="409">
        <f t="shared" si="100"/>
        <v>0</v>
      </c>
      <c r="BK48" s="409">
        <f t="shared" si="100"/>
        <v>0</v>
      </c>
      <c r="BL48" s="409">
        <f t="shared" si="100"/>
        <v>0</v>
      </c>
      <c r="BM48" s="409">
        <f t="shared" si="100"/>
        <v>0</v>
      </c>
      <c r="BN48" s="409">
        <f t="shared" si="100"/>
        <v>0</v>
      </c>
      <c r="BO48" s="409">
        <f t="shared" si="100"/>
        <v>0</v>
      </c>
      <c r="BP48" s="409">
        <f t="shared" si="100"/>
        <v>0</v>
      </c>
      <c r="BQ48" s="409">
        <f t="shared" si="101"/>
        <v>0</v>
      </c>
      <c r="BR48" s="409">
        <f t="shared" si="101"/>
        <v>0</v>
      </c>
      <c r="BS48" s="409">
        <f t="shared" si="101"/>
        <v>0</v>
      </c>
      <c r="BT48" s="409">
        <f t="shared" si="101"/>
        <v>0</v>
      </c>
      <c r="BU48" s="409">
        <f t="shared" si="101"/>
        <v>0</v>
      </c>
      <c r="BV48" s="409">
        <f t="shared" si="101"/>
        <v>0</v>
      </c>
      <c r="BW48" s="409">
        <f t="shared" si="101"/>
        <v>0</v>
      </c>
      <c r="BX48" s="409">
        <f t="shared" si="101"/>
        <v>0</v>
      </c>
      <c r="BY48" s="409">
        <f t="shared" si="101"/>
        <v>0</v>
      </c>
      <c r="BZ48" s="409">
        <f t="shared" si="101"/>
        <v>0</v>
      </c>
      <c r="CA48" s="409">
        <f t="shared" si="102"/>
        <v>0</v>
      </c>
      <c r="CB48" s="409">
        <f t="shared" si="102"/>
        <v>0</v>
      </c>
      <c r="CC48" s="409">
        <f t="shared" si="102"/>
        <v>0</v>
      </c>
      <c r="CD48" s="409">
        <f t="shared" si="102"/>
        <v>0</v>
      </c>
      <c r="CE48" s="409">
        <f t="shared" si="102"/>
        <v>0</v>
      </c>
      <c r="CF48" s="409">
        <f t="shared" si="102"/>
        <v>0</v>
      </c>
      <c r="CG48" s="409">
        <f t="shared" si="102"/>
        <v>0</v>
      </c>
      <c r="CH48" s="409">
        <f t="shared" si="102"/>
        <v>0</v>
      </c>
      <c r="CI48" s="409">
        <f t="shared" si="102"/>
        <v>0</v>
      </c>
      <c r="CJ48" s="409">
        <f t="shared" si="102"/>
        <v>0</v>
      </c>
      <c r="CK48" s="409">
        <f t="shared" si="103"/>
        <v>0</v>
      </c>
      <c r="CL48" s="409">
        <f t="shared" si="103"/>
        <v>0</v>
      </c>
      <c r="CM48" s="409">
        <f t="shared" si="103"/>
        <v>0</v>
      </c>
      <c r="CN48" s="409">
        <f t="shared" si="103"/>
        <v>0</v>
      </c>
      <c r="CO48" s="409">
        <f t="shared" si="103"/>
        <v>0</v>
      </c>
      <c r="CP48" s="409">
        <f t="shared" si="103"/>
        <v>0</v>
      </c>
      <c r="CQ48" s="409">
        <f t="shared" si="103"/>
        <v>0</v>
      </c>
      <c r="CR48" s="409">
        <f t="shared" si="103"/>
        <v>0</v>
      </c>
      <c r="CS48" s="409">
        <f t="shared" si="103"/>
        <v>0</v>
      </c>
      <c r="CT48" s="409">
        <f t="shared" si="103"/>
        <v>0</v>
      </c>
      <c r="CU48" s="409">
        <f t="shared" si="104"/>
        <v>0</v>
      </c>
      <c r="CV48" s="409">
        <f t="shared" si="104"/>
        <v>0</v>
      </c>
      <c r="CW48" s="409">
        <f t="shared" si="104"/>
        <v>0</v>
      </c>
      <c r="CX48" s="409">
        <f t="shared" si="104"/>
        <v>0</v>
      </c>
      <c r="CY48" s="409">
        <f t="shared" si="104"/>
        <v>0</v>
      </c>
      <c r="CZ48" s="409">
        <f t="shared" si="104"/>
        <v>0</v>
      </c>
      <c r="DA48" s="409">
        <f t="shared" si="104"/>
        <v>0</v>
      </c>
      <c r="DB48" s="409">
        <f t="shared" si="104"/>
        <v>0</v>
      </c>
      <c r="DC48" s="409">
        <f t="shared" si="104"/>
        <v>0</v>
      </c>
      <c r="DD48" s="409">
        <f t="shared" si="104"/>
        <v>0</v>
      </c>
      <c r="DE48" s="409">
        <f t="shared" si="105"/>
        <v>0</v>
      </c>
      <c r="DF48" s="409">
        <f t="shared" si="105"/>
        <v>0</v>
      </c>
      <c r="DG48" s="409">
        <f t="shared" si="105"/>
        <v>0</v>
      </c>
      <c r="DH48" s="409">
        <f t="shared" si="105"/>
        <v>0</v>
      </c>
      <c r="DI48" s="409">
        <f t="shared" si="105"/>
        <v>0</v>
      </c>
      <c r="DJ48" s="409">
        <f t="shared" si="105"/>
        <v>0</v>
      </c>
      <c r="DK48" s="409">
        <f t="shared" si="105"/>
        <v>0</v>
      </c>
      <c r="DL48" s="409">
        <f t="shared" si="105"/>
        <v>0</v>
      </c>
      <c r="DM48" s="409">
        <f t="shared" si="105"/>
        <v>0</v>
      </c>
      <c r="DN48" s="409">
        <f t="shared" si="105"/>
        <v>0</v>
      </c>
      <c r="DO48" s="409">
        <f t="shared" si="106"/>
        <v>0</v>
      </c>
      <c r="DP48" s="409">
        <f t="shared" si="106"/>
        <v>0</v>
      </c>
      <c r="DQ48" s="409">
        <f t="shared" si="106"/>
        <v>0</v>
      </c>
      <c r="DR48" s="409">
        <f t="shared" si="106"/>
        <v>0</v>
      </c>
      <c r="DS48" s="409">
        <f t="shared" si="106"/>
        <v>0</v>
      </c>
      <c r="DT48" s="409">
        <f t="shared" si="106"/>
        <v>0</v>
      </c>
      <c r="DU48" s="409">
        <f t="shared" si="106"/>
        <v>0</v>
      </c>
      <c r="DV48" s="409">
        <f t="shared" si="106"/>
        <v>0</v>
      </c>
      <c r="DW48" s="409">
        <f t="shared" si="106"/>
        <v>0</v>
      </c>
      <c r="DX48" s="409">
        <f t="shared" si="106"/>
        <v>0</v>
      </c>
      <c r="DY48" s="409">
        <f t="shared" si="107"/>
        <v>0</v>
      </c>
      <c r="DZ48" s="409">
        <f t="shared" si="107"/>
        <v>0</v>
      </c>
      <c r="EA48" s="409">
        <f t="shared" si="107"/>
        <v>0</v>
      </c>
      <c r="EB48" s="409">
        <f t="shared" si="107"/>
        <v>0</v>
      </c>
      <c r="EC48" s="409">
        <f t="shared" si="107"/>
        <v>0</v>
      </c>
      <c r="ED48" s="409">
        <f t="shared" si="107"/>
        <v>0</v>
      </c>
      <c r="EE48" s="409">
        <f t="shared" si="107"/>
        <v>0</v>
      </c>
      <c r="EF48" s="409">
        <f t="shared" si="107"/>
        <v>0</v>
      </c>
      <c r="EG48" s="409">
        <f t="shared" si="107"/>
        <v>0</v>
      </c>
      <c r="EH48" s="409">
        <f t="shared" si="107"/>
        <v>0</v>
      </c>
      <c r="EI48" s="409">
        <f t="shared" si="108"/>
        <v>0</v>
      </c>
      <c r="EJ48" s="409">
        <f t="shared" si="108"/>
        <v>0</v>
      </c>
      <c r="EK48" s="409">
        <f t="shared" si="108"/>
        <v>0</v>
      </c>
      <c r="EL48" s="409">
        <f t="shared" si="108"/>
        <v>0</v>
      </c>
      <c r="EM48" s="409">
        <f t="shared" si="108"/>
        <v>0</v>
      </c>
      <c r="EN48" s="409">
        <f t="shared" si="108"/>
        <v>0</v>
      </c>
      <c r="EO48" s="409">
        <f t="shared" si="108"/>
        <v>0</v>
      </c>
      <c r="EP48" s="409">
        <f t="shared" si="108"/>
        <v>0</v>
      </c>
      <c r="EQ48" s="409">
        <f t="shared" si="108"/>
        <v>0</v>
      </c>
      <c r="ER48" s="409">
        <f t="shared" si="108"/>
        <v>0</v>
      </c>
      <c r="ES48" s="409">
        <f t="shared" si="109"/>
        <v>0</v>
      </c>
      <c r="ET48" s="409">
        <f t="shared" si="109"/>
        <v>0</v>
      </c>
      <c r="EU48" s="409">
        <f t="shared" si="109"/>
        <v>0</v>
      </c>
      <c r="EV48" s="409">
        <f t="shared" si="109"/>
        <v>0</v>
      </c>
      <c r="EW48" s="409">
        <f t="shared" si="109"/>
        <v>0</v>
      </c>
      <c r="EX48" s="409">
        <f t="shared" si="109"/>
        <v>0</v>
      </c>
      <c r="EY48" s="409">
        <f t="shared" si="109"/>
        <v>0</v>
      </c>
      <c r="EZ48" s="409">
        <f t="shared" si="109"/>
        <v>0</v>
      </c>
      <c r="FA48" s="409">
        <f t="shared" si="109"/>
        <v>0</v>
      </c>
      <c r="FB48" s="409">
        <f t="shared" si="109"/>
        <v>0</v>
      </c>
      <c r="FC48" s="409">
        <f t="shared" si="110"/>
        <v>0</v>
      </c>
      <c r="FD48" s="409">
        <f t="shared" si="110"/>
        <v>0</v>
      </c>
      <c r="FE48" s="409">
        <f t="shared" si="110"/>
        <v>0</v>
      </c>
      <c r="FF48" s="409">
        <f t="shared" si="110"/>
        <v>0</v>
      </c>
      <c r="FG48" s="409">
        <f t="shared" si="110"/>
        <v>0</v>
      </c>
      <c r="FH48" s="409">
        <f t="shared" si="110"/>
        <v>0</v>
      </c>
      <c r="FI48" s="409">
        <f t="shared" si="110"/>
        <v>0</v>
      </c>
      <c r="FJ48" s="409">
        <f t="shared" si="110"/>
        <v>0</v>
      </c>
      <c r="FK48" s="409">
        <f t="shared" si="110"/>
        <v>0</v>
      </c>
      <c r="FL48" s="409">
        <f t="shared" si="110"/>
        <v>0</v>
      </c>
      <c r="FM48" s="409">
        <f t="shared" si="111"/>
        <v>0</v>
      </c>
      <c r="FN48" s="409">
        <f t="shared" si="111"/>
        <v>0</v>
      </c>
      <c r="FO48" s="409">
        <f t="shared" si="111"/>
        <v>0</v>
      </c>
      <c r="FP48" s="409">
        <f t="shared" si="111"/>
        <v>0</v>
      </c>
      <c r="FQ48" s="409">
        <f t="shared" si="111"/>
        <v>0</v>
      </c>
      <c r="FR48" s="409">
        <f t="shared" si="111"/>
        <v>0</v>
      </c>
      <c r="FS48" s="409">
        <f t="shared" si="111"/>
        <v>0</v>
      </c>
      <c r="FT48" s="409">
        <f t="shared" si="111"/>
        <v>0</v>
      </c>
      <c r="FU48" s="409">
        <f t="shared" si="111"/>
        <v>0</v>
      </c>
      <c r="FV48" s="409">
        <f t="shared" si="111"/>
        <v>0</v>
      </c>
      <c r="FW48" s="409">
        <f t="shared" si="112"/>
        <v>0</v>
      </c>
      <c r="FX48" s="409">
        <f t="shared" si="112"/>
        <v>0</v>
      </c>
      <c r="FY48" s="409">
        <f t="shared" si="112"/>
        <v>0</v>
      </c>
      <c r="FZ48" s="409">
        <f t="shared" si="112"/>
        <v>0</v>
      </c>
      <c r="GA48" s="409">
        <f t="shared" si="112"/>
        <v>0</v>
      </c>
      <c r="GB48" s="409">
        <f t="shared" si="112"/>
        <v>0</v>
      </c>
      <c r="GC48" s="409">
        <f t="shared" si="112"/>
        <v>0</v>
      </c>
      <c r="GD48" s="409">
        <f t="shared" si="112"/>
        <v>0</v>
      </c>
      <c r="GE48" s="409">
        <f t="shared" si="112"/>
        <v>0</v>
      </c>
      <c r="GF48" s="409">
        <f t="shared" si="112"/>
        <v>0</v>
      </c>
      <c r="GG48" s="409">
        <f t="shared" si="113"/>
        <v>0</v>
      </c>
      <c r="GH48" s="409">
        <f t="shared" si="113"/>
        <v>0</v>
      </c>
      <c r="GI48" s="409">
        <f t="shared" si="113"/>
        <v>0</v>
      </c>
      <c r="GJ48" s="409">
        <f t="shared" si="113"/>
        <v>0</v>
      </c>
      <c r="GK48" s="409">
        <f t="shared" si="113"/>
        <v>0</v>
      </c>
      <c r="GL48" s="409">
        <f t="shared" si="113"/>
        <v>0</v>
      </c>
      <c r="GM48" s="409">
        <f t="shared" si="113"/>
        <v>0</v>
      </c>
      <c r="GN48" s="409">
        <f t="shared" si="113"/>
        <v>0</v>
      </c>
      <c r="GO48" s="409">
        <f t="shared" si="113"/>
        <v>0</v>
      </c>
      <c r="GP48" s="409">
        <f t="shared" si="113"/>
        <v>0</v>
      </c>
      <c r="GQ48" s="409">
        <f t="shared" si="114"/>
        <v>0</v>
      </c>
      <c r="GR48" s="409">
        <f t="shared" si="114"/>
        <v>0</v>
      </c>
      <c r="GS48" s="409">
        <f t="shared" si="114"/>
        <v>0</v>
      </c>
      <c r="GT48" s="409">
        <f t="shared" si="114"/>
        <v>0</v>
      </c>
      <c r="GU48" s="409">
        <f t="shared" si="114"/>
        <v>0</v>
      </c>
      <c r="GV48" s="409">
        <f t="shared" si="114"/>
        <v>0</v>
      </c>
      <c r="GW48" s="409">
        <f t="shared" si="114"/>
        <v>0</v>
      </c>
      <c r="GX48" s="409">
        <f t="shared" si="114"/>
        <v>0</v>
      </c>
      <c r="GY48" s="409">
        <f t="shared" si="114"/>
        <v>0</v>
      </c>
      <c r="GZ48" s="409">
        <f t="shared" si="114"/>
        <v>0</v>
      </c>
      <c r="HA48" s="409">
        <f t="shared" si="115"/>
        <v>0</v>
      </c>
      <c r="HB48" s="409">
        <f t="shared" si="115"/>
        <v>0</v>
      </c>
      <c r="HC48" s="409">
        <f t="shared" si="115"/>
        <v>0</v>
      </c>
      <c r="HD48" s="409">
        <f t="shared" si="115"/>
        <v>0</v>
      </c>
      <c r="HE48" s="409">
        <f t="shared" si="115"/>
        <v>0</v>
      </c>
      <c r="HF48" s="409">
        <f t="shared" si="115"/>
        <v>0</v>
      </c>
      <c r="HG48" s="409">
        <f t="shared" si="115"/>
        <v>0</v>
      </c>
      <c r="HH48" s="409">
        <f t="shared" si="115"/>
        <v>0</v>
      </c>
      <c r="HI48" s="409">
        <f t="shared" si="115"/>
        <v>0</v>
      </c>
      <c r="HJ48" s="409">
        <f t="shared" si="115"/>
        <v>0</v>
      </c>
      <c r="HK48" s="409">
        <f t="shared" si="116"/>
        <v>0</v>
      </c>
      <c r="HL48" s="409">
        <f t="shared" si="116"/>
        <v>0</v>
      </c>
      <c r="HM48" s="409">
        <f t="shared" si="116"/>
        <v>0</v>
      </c>
      <c r="HN48" s="409">
        <f t="shared" si="116"/>
        <v>0</v>
      </c>
      <c r="HO48" s="409">
        <f t="shared" si="116"/>
        <v>0</v>
      </c>
      <c r="HP48" s="409">
        <f t="shared" si="116"/>
        <v>0</v>
      </c>
      <c r="HQ48" s="409">
        <f t="shared" si="116"/>
        <v>0</v>
      </c>
      <c r="HR48" s="409">
        <f t="shared" si="116"/>
        <v>0</v>
      </c>
      <c r="HS48" s="409">
        <f t="shared" si="116"/>
        <v>0</v>
      </c>
      <c r="HT48" s="409">
        <f t="shared" si="116"/>
        <v>0</v>
      </c>
      <c r="HU48" s="409">
        <f t="shared" si="117"/>
        <v>0</v>
      </c>
      <c r="HV48" s="409">
        <f t="shared" si="117"/>
        <v>0</v>
      </c>
      <c r="HW48" s="409">
        <f t="shared" si="117"/>
        <v>0</v>
      </c>
      <c r="HX48" s="409">
        <f t="shared" si="117"/>
        <v>0</v>
      </c>
      <c r="HY48" s="409">
        <f t="shared" si="117"/>
        <v>0</v>
      </c>
      <c r="HZ48" s="409">
        <f t="shared" si="117"/>
        <v>0</v>
      </c>
      <c r="IA48" s="409">
        <f t="shared" si="117"/>
        <v>0</v>
      </c>
      <c r="IB48" s="409">
        <f t="shared" si="117"/>
        <v>0</v>
      </c>
      <c r="IC48" s="409">
        <f t="shared" si="117"/>
        <v>0</v>
      </c>
      <c r="ID48" s="409">
        <f t="shared" si="117"/>
        <v>0</v>
      </c>
      <c r="IE48" s="409">
        <f t="shared" si="118"/>
        <v>0</v>
      </c>
      <c r="IF48" s="409">
        <f t="shared" si="118"/>
        <v>0</v>
      </c>
      <c r="IG48" s="409">
        <f t="shared" si="118"/>
        <v>0</v>
      </c>
      <c r="IH48" s="409">
        <f t="shared" si="118"/>
        <v>0</v>
      </c>
      <c r="II48" s="409">
        <f t="shared" si="118"/>
        <v>0</v>
      </c>
      <c r="IJ48" s="409">
        <f t="shared" si="118"/>
        <v>0</v>
      </c>
      <c r="IK48" s="378">
        <f t="shared" si="54"/>
        <v>41</v>
      </c>
    </row>
    <row r="49" spans="1:245" hidden="1" x14ac:dyDescent="0.2">
      <c r="A49" s="380" t="str">
        <f t="shared" si="119"/>
        <v>e</v>
      </c>
      <c r="B49" s="712" t="str" cm="1">
        <f t="array" ref="B49">IF(ISERROR(INDEX('Legend(Skid)'!$H$8:$H$9,ROW()-42)),"",INDEX('Legend(Skid)'!$H$8:$H$9,ROW()-42))</f>
        <v/>
      </c>
      <c r="C49" s="712" t="e" cm="1">
        <f t="array" ref="C49">IF(INDEX('Legend(Skid)'!$T$8:$T$9,ROW()-42)=0,"See Legend",INDEX('Legend(Skid)'!$T$8:$T$9,ROW()-42))</f>
        <v>#REF!</v>
      </c>
      <c r="D49" s="712" t="e">
        <f>IF(INDEX('Legend(Skid)'!$R$8:$R$9,(ROW(C49))-42)=0,IF(AND(INDEX('Legend(Skid)'!$D$8:$D$9,(ROW(C49))-41)="CH",INDEX('Legend(Skid)'!$F$8:$F$9,(ROW(C49))-41)="CASE - MANUAL"),INDEX('Legend(Skid)'!$R$8:$R$9,(ROW(C49))-41),IF(INDEX('Legend(Skid)'!$V$8:$V$9,(ROW(C49))-42)&gt;1, "(" &amp; INDEX('Legend(Skid)'!$V$8:$V$9,(ROW(C49))-42) &amp; ") " &amp; INDEX('Legend(Skid)'!$W$8:$W$9,(ROW(C49))-41),INDEX('Legend(Skid)'!$W$8:$W$9,(ROW(C49))-42))),INDEX('Legend(Skid)'!$R$8:$R$9,(ROW(C49))-42))</f>
        <v>#REF!</v>
      </c>
      <c r="E49" s="713" cm="1">
        <f t="array" ref="E49">IF(OR(ISNUMBER(SEARCH("Pump",C49)),ISNUMBER(SEARCH("PH",C49)),ISERROR(INDEX('Legend(Skid)'!$AA$8:$AA$9,ROW()-42))),0,INDEX('Legend(Skid)'!$AA$8:$AA$9,ROW()-42))</f>
        <v>0</v>
      </c>
      <c r="F49" s="714"/>
      <c r="G49" s="714"/>
      <c r="H49" s="714"/>
      <c r="I49" s="714"/>
      <c r="J49" s="714"/>
      <c r="K49" s="890">
        <f t="shared" si="35"/>
        <v>0</v>
      </c>
      <c r="L49" s="718"/>
      <c r="M49" s="719"/>
      <c r="N49" s="972">
        <f t="shared" si="120"/>
        <v>-1</v>
      </c>
      <c r="O49" s="972">
        <f t="shared" si="121"/>
        <v>-1</v>
      </c>
      <c r="P49" s="972">
        <f t="shared" si="122"/>
        <v>-1</v>
      </c>
      <c r="Q49" s="972">
        <f t="shared" si="123"/>
        <v>-1</v>
      </c>
      <c r="R49" s="972">
        <f t="shared" si="124"/>
        <v>-1</v>
      </c>
      <c r="S49" s="972">
        <f t="shared" si="125"/>
        <v>-1</v>
      </c>
      <c r="T49" s="972">
        <f t="shared" si="126"/>
        <v>-1</v>
      </c>
      <c r="U49" s="972">
        <f t="shared" si="127"/>
        <v>-1</v>
      </c>
      <c r="V49" s="972">
        <f t="shared" si="128"/>
        <v>-1</v>
      </c>
      <c r="W49" s="972">
        <f t="shared" si="129"/>
        <v>-1</v>
      </c>
      <c r="X49" s="972">
        <f t="shared" si="130"/>
        <v>-1</v>
      </c>
      <c r="Y49" s="972">
        <f t="shared" si="131"/>
        <v>-1</v>
      </c>
      <c r="Z49" s="972">
        <f t="shared" si="132"/>
        <v>-1</v>
      </c>
      <c r="AA49" s="972">
        <f t="shared" si="133"/>
        <v>-1</v>
      </c>
      <c r="AB49" s="972">
        <f t="shared" si="134"/>
        <v>-1</v>
      </c>
      <c r="AC49" s="972">
        <f t="shared" si="135"/>
        <v>-1</v>
      </c>
      <c r="AD49" s="972">
        <f t="shared" si="136"/>
        <v>-1</v>
      </c>
      <c r="AE49" s="972">
        <f t="shared" si="137"/>
        <v>-1</v>
      </c>
      <c r="AF49" s="972">
        <f t="shared" si="138"/>
        <v>-1</v>
      </c>
      <c r="AG49" s="972">
        <f t="shared" si="139"/>
        <v>-1</v>
      </c>
      <c r="AH49" s="972">
        <f t="shared" si="140"/>
        <v>-1</v>
      </c>
      <c r="AI49" s="972">
        <f t="shared" si="141"/>
        <v>-1</v>
      </c>
      <c r="AJ49" s="972">
        <f t="shared" si="142"/>
        <v>-1</v>
      </c>
      <c r="AK49" s="381" t="str">
        <f>IF(ISERROR(INDEX('Legend(Skid)'!$AI$8:$AI$9,ROW()-42)),"",INDEX('Legend(Skid)'!$AI$8:$AI$9,ROW()-42))</f>
        <v/>
      </c>
      <c r="AL49" s="727" t="str">
        <f t="shared" si="53"/>
        <v/>
      </c>
      <c r="AM49" s="409">
        <f t="shared" si="98"/>
        <v>0</v>
      </c>
      <c r="AN49" s="409">
        <f t="shared" si="98"/>
        <v>0</v>
      </c>
      <c r="AO49" s="409">
        <f t="shared" si="98"/>
        <v>0</v>
      </c>
      <c r="AP49" s="409">
        <f t="shared" si="98"/>
        <v>0</v>
      </c>
      <c r="AQ49" s="409">
        <f t="shared" si="98"/>
        <v>0</v>
      </c>
      <c r="AR49" s="409">
        <f t="shared" si="98"/>
        <v>0</v>
      </c>
      <c r="AS49" s="409">
        <f t="shared" si="98"/>
        <v>0</v>
      </c>
      <c r="AT49" s="409">
        <f t="shared" si="98"/>
        <v>0</v>
      </c>
      <c r="AU49" s="409">
        <f t="shared" si="98"/>
        <v>0</v>
      </c>
      <c r="AV49" s="409">
        <f t="shared" si="98"/>
        <v>0</v>
      </c>
      <c r="AW49" s="409">
        <f t="shared" si="99"/>
        <v>0</v>
      </c>
      <c r="AX49" s="409">
        <f t="shared" si="99"/>
        <v>0</v>
      </c>
      <c r="AY49" s="409">
        <f t="shared" si="99"/>
        <v>0</v>
      </c>
      <c r="AZ49" s="409">
        <f t="shared" si="99"/>
        <v>0</v>
      </c>
      <c r="BA49" s="409">
        <f t="shared" si="99"/>
        <v>0</v>
      </c>
      <c r="BB49" s="409">
        <f t="shared" si="99"/>
        <v>0</v>
      </c>
      <c r="BC49" s="409">
        <f t="shared" si="99"/>
        <v>0</v>
      </c>
      <c r="BD49" s="409">
        <f t="shared" si="99"/>
        <v>0</v>
      </c>
      <c r="BE49" s="409">
        <f t="shared" si="99"/>
        <v>0</v>
      </c>
      <c r="BF49" s="409">
        <f t="shared" si="99"/>
        <v>0</v>
      </c>
      <c r="BG49" s="409">
        <f t="shared" si="100"/>
        <v>0</v>
      </c>
      <c r="BH49" s="409">
        <f t="shared" si="100"/>
        <v>0</v>
      </c>
      <c r="BI49" s="409">
        <f t="shared" si="100"/>
        <v>0</v>
      </c>
      <c r="BJ49" s="409">
        <f t="shared" si="100"/>
        <v>0</v>
      </c>
      <c r="BK49" s="409">
        <f t="shared" si="100"/>
        <v>0</v>
      </c>
      <c r="BL49" s="409">
        <f t="shared" si="100"/>
        <v>0</v>
      </c>
      <c r="BM49" s="409">
        <f t="shared" si="100"/>
        <v>0</v>
      </c>
      <c r="BN49" s="409">
        <f t="shared" si="100"/>
        <v>0</v>
      </c>
      <c r="BO49" s="409">
        <f t="shared" si="100"/>
        <v>0</v>
      </c>
      <c r="BP49" s="409">
        <f t="shared" si="100"/>
        <v>0</v>
      </c>
      <c r="BQ49" s="409">
        <f t="shared" si="101"/>
        <v>0</v>
      </c>
      <c r="BR49" s="409">
        <f t="shared" si="101"/>
        <v>0</v>
      </c>
      <c r="BS49" s="409">
        <f t="shared" si="101"/>
        <v>0</v>
      </c>
      <c r="BT49" s="409">
        <f t="shared" si="101"/>
        <v>0</v>
      </c>
      <c r="BU49" s="409">
        <f t="shared" si="101"/>
        <v>0</v>
      </c>
      <c r="BV49" s="409">
        <f t="shared" si="101"/>
        <v>0</v>
      </c>
      <c r="BW49" s="409">
        <f t="shared" si="101"/>
        <v>0</v>
      </c>
      <c r="BX49" s="409">
        <f t="shared" si="101"/>
        <v>0</v>
      </c>
      <c r="BY49" s="409">
        <f t="shared" si="101"/>
        <v>0</v>
      </c>
      <c r="BZ49" s="409">
        <f t="shared" si="101"/>
        <v>0</v>
      </c>
      <c r="CA49" s="409">
        <f t="shared" si="102"/>
        <v>0</v>
      </c>
      <c r="CB49" s="409">
        <f t="shared" si="102"/>
        <v>0</v>
      </c>
      <c r="CC49" s="409">
        <f t="shared" si="102"/>
        <v>0</v>
      </c>
      <c r="CD49" s="409">
        <f t="shared" si="102"/>
        <v>0</v>
      </c>
      <c r="CE49" s="409">
        <f t="shared" si="102"/>
        <v>0</v>
      </c>
      <c r="CF49" s="409">
        <f t="shared" si="102"/>
        <v>0</v>
      </c>
      <c r="CG49" s="409">
        <f t="shared" si="102"/>
        <v>0</v>
      </c>
      <c r="CH49" s="409">
        <f t="shared" si="102"/>
        <v>0</v>
      </c>
      <c r="CI49" s="409">
        <f t="shared" si="102"/>
        <v>0</v>
      </c>
      <c r="CJ49" s="409">
        <f t="shared" si="102"/>
        <v>0</v>
      </c>
      <c r="CK49" s="409">
        <f t="shared" si="103"/>
        <v>0</v>
      </c>
      <c r="CL49" s="409">
        <f t="shared" si="103"/>
        <v>0</v>
      </c>
      <c r="CM49" s="409">
        <f t="shared" si="103"/>
        <v>0</v>
      </c>
      <c r="CN49" s="409">
        <f t="shared" si="103"/>
        <v>0</v>
      </c>
      <c r="CO49" s="409">
        <f t="shared" si="103"/>
        <v>0</v>
      </c>
      <c r="CP49" s="409">
        <f t="shared" si="103"/>
        <v>0</v>
      </c>
      <c r="CQ49" s="409">
        <f t="shared" si="103"/>
        <v>0</v>
      </c>
      <c r="CR49" s="409">
        <f t="shared" si="103"/>
        <v>0</v>
      </c>
      <c r="CS49" s="409">
        <f t="shared" si="103"/>
        <v>0</v>
      </c>
      <c r="CT49" s="409">
        <f t="shared" si="103"/>
        <v>0</v>
      </c>
      <c r="CU49" s="409">
        <f t="shared" si="104"/>
        <v>0</v>
      </c>
      <c r="CV49" s="409">
        <f t="shared" si="104"/>
        <v>0</v>
      </c>
      <c r="CW49" s="409">
        <f t="shared" si="104"/>
        <v>0</v>
      </c>
      <c r="CX49" s="409">
        <f t="shared" si="104"/>
        <v>0</v>
      </c>
      <c r="CY49" s="409">
        <f t="shared" si="104"/>
        <v>0</v>
      </c>
      <c r="CZ49" s="409">
        <f t="shared" si="104"/>
        <v>0</v>
      </c>
      <c r="DA49" s="409">
        <f t="shared" si="104"/>
        <v>0</v>
      </c>
      <c r="DB49" s="409">
        <f t="shared" si="104"/>
        <v>0</v>
      </c>
      <c r="DC49" s="409">
        <f t="shared" si="104"/>
        <v>0</v>
      </c>
      <c r="DD49" s="409">
        <f t="shared" si="104"/>
        <v>0</v>
      </c>
      <c r="DE49" s="409">
        <f t="shared" si="105"/>
        <v>0</v>
      </c>
      <c r="DF49" s="409">
        <f t="shared" si="105"/>
        <v>0</v>
      </c>
      <c r="DG49" s="409">
        <f t="shared" si="105"/>
        <v>0</v>
      </c>
      <c r="DH49" s="409">
        <f t="shared" si="105"/>
        <v>0</v>
      </c>
      <c r="DI49" s="409">
        <f t="shared" si="105"/>
        <v>0</v>
      </c>
      <c r="DJ49" s="409">
        <f t="shared" si="105"/>
        <v>0</v>
      </c>
      <c r="DK49" s="409">
        <f t="shared" si="105"/>
        <v>0</v>
      </c>
      <c r="DL49" s="409">
        <f t="shared" si="105"/>
        <v>0</v>
      </c>
      <c r="DM49" s="409">
        <f t="shared" si="105"/>
        <v>0</v>
      </c>
      <c r="DN49" s="409">
        <f t="shared" si="105"/>
        <v>0</v>
      </c>
      <c r="DO49" s="409">
        <f t="shared" si="106"/>
        <v>0</v>
      </c>
      <c r="DP49" s="409">
        <f t="shared" si="106"/>
        <v>0</v>
      </c>
      <c r="DQ49" s="409">
        <f t="shared" si="106"/>
        <v>0</v>
      </c>
      <c r="DR49" s="409">
        <f t="shared" si="106"/>
        <v>0</v>
      </c>
      <c r="DS49" s="409">
        <f t="shared" si="106"/>
        <v>0</v>
      </c>
      <c r="DT49" s="409">
        <f t="shared" si="106"/>
        <v>0</v>
      </c>
      <c r="DU49" s="409">
        <f t="shared" si="106"/>
        <v>0</v>
      </c>
      <c r="DV49" s="409">
        <f t="shared" si="106"/>
        <v>0</v>
      </c>
      <c r="DW49" s="409">
        <f t="shared" si="106"/>
        <v>0</v>
      </c>
      <c r="DX49" s="409">
        <f t="shared" si="106"/>
        <v>0</v>
      </c>
      <c r="DY49" s="409">
        <f t="shared" si="107"/>
        <v>0</v>
      </c>
      <c r="DZ49" s="409">
        <f t="shared" si="107"/>
        <v>0</v>
      </c>
      <c r="EA49" s="409">
        <f t="shared" si="107"/>
        <v>0</v>
      </c>
      <c r="EB49" s="409">
        <f t="shared" si="107"/>
        <v>0</v>
      </c>
      <c r="EC49" s="409">
        <f t="shared" si="107"/>
        <v>0</v>
      </c>
      <c r="ED49" s="409">
        <f t="shared" si="107"/>
        <v>0</v>
      </c>
      <c r="EE49" s="409">
        <f t="shared" si="107"/>
        <v>0</v>
      </c>
      <c r="EF49" s="409">
        <f t="shared" si="107"/>
        <v>0</v>
      </c>
      <c r="EG49" s="409">
        <f t="shared" si="107"/>
        <v>0</v>
      </c>
      <c r="EH49" s="409">
        <f t="shared" si="107"/>
        <v>0</v>
      </c>
      <c r="EI49" s="409">
        <f t="shared" si="108"/>
        <v>0</v>
      </c>
      <c r="EJ49" s="409">
        <f t="shared" si="108"/>
        <v>0</v>
      </c>
      <c r="EK49" s="409">
        <f t="shared" si="108"/>
        <v>0</v>
      </c>
      <c r="EL49" s="409">
        <f t="shared" si="108"/>
        <v>0</v>
      </c>
      <c r="EM49" s="409">
        <f t="shared" si="108"/>
        <v>0</v>
      </c>
      <c r="EN49" s="409">
        <f t="shared" si="108"/>
        <v>0</v>
      </c>
      <c r="EO49" s="409">
        <f t="shared" si="108"/>
        <v>0</v>
      </c>
      <c r="EP49" s="409">
        <f t="shared" si="108"/>
        <v>0</v>
      </c>
      <c r="EQ49" s="409">
        <f t="shared" si="108"/>
        <v>0</v>
      </c>
      <c r="ER49" s="409">
        <f t="shared" si="108"/>
        <v>0</v>
      </c>
      <c r="ES49" s="409">
        <f t="shared" si="109"/>
        <v>0</v>
      </c>
      <c r="ET49" s="409">
        <f t="shared" si="109"/>
        <v>0</v>
      </c>
      <c r="EU49" s="409">
        <f t="shared" si="109"/>
        <v>0</v>
      </c>
      <c r="EV49" s="409">
        <f t="shared" si="109"/>
        <v>0</v>
      </c>
      <c r="EW49" s="409">
        <f t="shared" si="109"/>
        <v>0</v>
      </c>
      <c r="EX49" s="409">
        <f t="shared" si="109"/>
        <v>0</v>
      </c>
      <c r="EY49" s="409">
        <f t="shared" si="109"/>
        <v>0</v>
      </c>
      <c r="EZ49" s="409">
        <f t="shared" si="109"/>
        <v>0</v>
      </c>
      <c r="FA49" s="409">
        <f t="shared" si="109"/>
        <v>0</v>
      </c>
      <c r="FB49" s="409">
        <f t="shared" si="109"/>
        <v>0</v>
      </c>
      <c r="FC49" s="409">
        <f t="shared" si="110"/>
        <v>0</v>
      </c>
      <c r="FD49" s="409">
        <f t="shared" si="110"/>
        <v>0</v>
      </c>
      <c r="FE49" s="409">
        <f t="shared" si="110"/>
        <v>0</v>
      </c>
      <c r="FF49" s="409">
        <f t="shared" si="110"/>
        <v>0</v>
      </c>
      <c r="FG49" s="409">
        <f t="shared" si="110"/>
        <v>0</v>
      </c>
      <c r="FH49" s="409">
        <f t="shared" si="110"/>
        <v>0</v>
      </c>
      <c r="FI49" s="409">
        <f t="shared" si="110"/>
        <v>0</v>
      </c>
      <c r="FJ49" s="409">
        <f t="shared" si="110"/>
        <v>0</v>
      </c>
      <c r="FK49" s="409">
        <f t="shared" si="110"/>
        <v>0</v>
      </c>
      <c r="FL49" s="409">
        <f t="shared" si="110"/>
        <v>0</v>
      </c>
      <c r="FM49" s="409">
        <f t="shared" si="111"/>
        <v>0</v>
      </c>
      <c r="FN49" s="409">
        <f t="shared" si="111"/>
        <v>0</v>
      </c>
      <c r="FO49" s="409">
        <f t="shared" si="111"/>
        <v>0</v>
      </c>
      <c r="FP49" s="409">
        <f t="shared" si="111"/>
        <v>0</v>
      </c>
      <c r="FQ49" s="409">
        <f t="shared" si="111"/>
        <v>0</v>
      </c>
      <c r="FR49" s="409">
        <f t="shared" si="111"/>
        <v>0</v>
      </c>
      <c r="FS49" s="409">
        <f t="shared" si="111"/>
        <v>0</v>
      </c>
      <c r="FT49" s="409">
        <f t="shared" si="111"/>
        <v>0</v>
      </c>
      <c r="FU49" s="409">
        <f t="shared" si="111"/>
        <v>0</v>
      </c>
      <c r="FV49" s="409">
        <f t="shared" si="111"/>
        <v>0</v>
      </c>
      <c r="FW49" s="409">
        <f t="shared" si="112"/>
        <v>0</v>
      </c>
      <c r="FX49" s="409">
        <f t="shared" si="112"/>
        <v>0</v>
      </c>
      <c r="FY49" s="409">
        <f t="shared" si="112"/>
        <v>0</v>
      </c>
      <c r="FZ49" s="409">
        <f t="shared" si="112"/>
        <v>0</v>
      </c>
      <c r="GA49" s="409">
        <f t="shared" si="112"/>
        <v>0</v>
      </c>
      <c r="GB49" s="409">
        <f t="shared" si="112"/>
        <v>0</v>
      </c>
      <c r="GC49" s="409">
        <f t="shared" si="112"/>
        <v>0</v>
      </c>
      <c r="GD49" s="409">
        <f t="shared" si="112"/>
        <v>0</v>
      </c>
      <c r="GE49" s="409">
        <f t="shared" si="112"/>
        <v>0</v>
      </c>
      <c r="GF49" s="409">
        <f t="shared" si="112"/>
        <v>0</v>
      </c>
      <c r="GG49" s="409">
        <f t="shared" si="113"/>
        <v>0</v>
      </c>
      <c r="GH49" s="409">
        <f t="shared" si="113"/>
        <v>0</v>
      </c>
      <c r="GI49" s="409">
        <f t="shared" si="113"/>
        <v>0</v>
      </c>
      <c r="GJ49" s="409">
        <f t="shared" si="113"/>
        <v>0</v>
      </c>
      <c r="GK49" s="409">
        <f t="shared" si="113"/>
        <v>0</v>
      </c>
      <c r="GL49" s="409">
        <f t="shared" si="113"/>
        <v>0</v>
      </c>
      <c r="GM49" s="409">
        <f t="shared" si="113"/>
        <v>0</v>
      </c>
      <c r="GN49" s="409">
        <f t="shared" si="113"/>
        <v>0</v>
      </c>
      <c r="GO49" s="409">
        <f t="shared" si="113"/>
        <v>0</v>
      </c>
      <c r="GP49" s="409">
        <f t="shared" si="113"/>
        <v>0</v>
      </c>
      <c r="GQ49" s="409">
        <f t="shared" si="114"/>
        <v>0</v>
      </c>
      <c r="GR49" s="409">
        <f t="shared" si="114"/>
        <v>0</v>
      </c>
      <c r="GS49" s="409">
        <f t="shared" si="114"/>
        <v>0</v>
      </c>
      <c r="GT49" s="409">
        <f t="shared" si="114"/>
        <v>0</v>
      </c>
      <c r="GU49" s="409">
        <f t="shared" si="114"/>
        <v>0</v>
      </c>
      <c r="GV49" s="409">
        <f t="shared" si="114"/>
        <v>0</v>
      </c>
      <c r="GW49" s="409">
        <f t="shared" si="114"/>
        <v>0</v>
      </c>
      <c r="GX49" s="409">
        <f t="shared" si="114"/>
        <v>0</v>
      </c>
      <c r="GY49" s="409">
        <f t="shared" si="114"/>
        <v>0</v>
      </c>
      <c r="GZ49" s="409">
        <f t="shared" si="114"/>
        <v>0</v>
      </c>
      <c r="HA49" s="409">
        <f t="shared" si="115"/>
        <v>0</v>
      </c>
      <c r="HB49" s="409">
        <f t="shared" si="115"/>
        <v>0</v>
      </c>
      <c r="HC49" s="409">
        <f t="shared" si="115"/>
        <v>0</v>
      </c>
      <c r="HD49" s="409">
        <f t="shared" si="115"/>
        <v>0</v>
      </c>
      <c r="HE49" s="409">
        <f t="shared" si="115"/>
        <v>0</v>
      </c>
      <c r="HF49" s="409">
        <f t="shared" si="115"/>
        <v>0</v>
      </c>
      <c r="HG49" s="409">
        <f t="shared" si="115"/>
        <v>0</v>
      </c>
      <c r="HH49" s="409">
        <f t="shared" si="115"/>
        <v>0</v>
      </c>
      <c r="HI49" s="409">
        <f t="shared" si="115"/>
        <v>0</v>
      </c>
      <c r="HJ49" s="409">
        <f t="shared" si="115"/>
        <v>0</v>
      </c>
      <c r="HK49" s="409">
        <f t="shared" si="116"/>
        <v>0</v>
      </c>
      <c r="HL49" s="409">
        <f t="shared" si="116"/>
        <v>0</v>
      </c>
      <c r="HM49" s="409">
        <f t="shared" si="116"/>
        <v>0</v>
      </c>
      <c r="HN49" s="409">
        <f t="shared" si="116"/>
        <v>0</v>
      </c>
      <c r="HO49" s="409">
        <f t="shared" si="116"/>
        <v>0</v>
      </c>
      <c r="HP49" s="409">
        <f t="shared" si="116"/>
        <v>0</v>
      </c>
      <c r="HQ49" s="409">
        <f t="shared" si="116"/>
        <v>0</v>
      </c>
      <c r="HR49" s="409">
        <f t="shared" si="116"/>
        <v>0</v>
      </c>
      <c r="HS49" s="409">
        <f t="shared" si="116"/>
        <v>0</v>
      </c>
      <c r="HT49" s="409">
        <f t="shared" si="116"/>
        <v>0</v>
      </c>
      <c r="HU49" s="409">
        <f t="shared" si="117"/>
        <v>0</v>
      </c>
      <c r="HV49" s="409">
        <f t="shared" si="117"/>
        <v>0</v>
      </c>
      <c r="HW49" s="409">
        <f t="shared" si="117"/>
        <v>0</v>
      </c>
      <c r="HX49" s="409">
        <f t="shared" si="117"/>
        <v>0</v>
      </c>
      <c r="HY49" s="409">
        <f t="shared" si="117"/>
        <v>0</v>
      </c>
      <c r="HZ49" s="409">
        <f t="shared" si="117"/>
        <v>0</v>
      </c>
      <c r="IA49" s="409">
        <f t="shared" si="117"/>
        <v>0</v>
      </c>
      <c r="IB49" s="409">
        <f t="shared" si="117"/>
        <v>0</v>
      </c>
      <c r="IC49" s="409">
        <f t="shared" si="117"/>
        <v>0</v>
      </c>
      <c r="ID49" s="409">
        <f t="shared" si="117"/>
        <v>0</v>
      </c>
      <c r="IE49" s="409">
        <f t="shared" si="118"/>
        <v>0</v>
      </c>
      <c r="IF49" s="409">
        <f t="shared" si="118"/>
        <v>0</v>
      </c>
      <c r="IG49" s="409">
        <f t="shared" si="118"/>
        <v>0</v>
      </c>
      <c r="IH49" s="409">
        <f t="shared" si="118"/>
        <v>0</v>
      </c>
      <c r="II49" s="409">
        <f t="shared" si="118"/>
        <v>0</v>
      </c>
      <c r="IJ49" s="409">
        <f t="shared" si="118"/>
        <v>0</v>
      </c>
      <c r="IK49" s="378">
        <f t="shared" si="54"/>
        <v>42</v>
      </c>
    </row>
    <row r="50" spans="1:245" hidden="1" x14ac:dyDescent="0.2">
      <c r="A50" s="380" t="str">
        <f t="shared" si="119"/>
        <v>e</v>
      </c>
      <c r="B50" s="712" t="str" cm="1">
        <f t="array" ref="B50">IF(ISERROR(INDEX('Legend(Skid)'!$H$8:$H$9,ROW()-42)),"",INDEX('Legend(Skid)'!$H$8:$H$9,ROW()-42))</f>
        <v/>
      </c>
      <c r="C50" s="712" t="e" cm="1">
        <f t="array" ref="C50">IF(INDEX('Legend(Skid)'!$T$8:$T$9,ROW()-42)=0,"See Legend",INDEX('Legend(Skid)'!$T$8:$T$9,ROW()-42))</f>
        <v>#REF!</v>
      </c>
      <c r="D50" s="712" t="e">
        <f>IF(INDEX('Legend(Skid)'!$R$8:$R$9,(ROW(C50))-42)=0,IF(AND(INDEX('Legend(Skid)'!$D$8:$D$9,(ROW(C50))-41)="CH",INDEX('Legend(Skid)'!$F$8:$F$9,(ROW(C50))-41)="CASE - MANUAL"),INDEX('Legend(Skid)'!$R$8:$R$9,(ROW(C50))-41),IF(INDEX('Legend(Skid)'!$V$8:$V$9,(ROW(C50))-42)&gt;1, "(" &amp; INDEX('Legend(Skid)'!$V$8:$V$9,(ROW(C50))-42) &amp; ") " &amp; INDEX('Legend(Skid)'!$W$8:$W$9,(ROW(C50))-41),INDEX('Legend(Skid)'!$W$8:$W$9,(ROW(C50))-42))),INDEX('Legend(Skid)'!$R$8:$R$9,(ROW(C50))-42))</f>
        <v>#REF!</v>
      </c>
      <c r="E50" s="713" cm="1">
        <f t="array" ref="E50">IF(OR(ISNUMBER(SEARCH("Pump",C50)),ISNUMBER(SEARCH("PH",C50)),ISERROR(INDEX('Legend(Skid)'!$AA$8:$AA$9,ROW()-42))),0,INDEX('Legend(Skid)'!$AA$8:$AA$9,ROW()-42))</f>
        <v>0</v>
      </c>
      <c r="F50" s="714"/>
      <c r="G50" s="714"/>
      <c r="H50" s="714"/>
      <c r="I50" s="714"/>
      <c r="J50" s="714"/>
      <c r="K50" s="890">
        <f t="shared" si="35"/>
        <v>0</v>
      </c>
      <c r="L50" s="718"/>
      <c r="M50" s="719"/>
      <c r="N50" s="972">
        <f t="shared" si="120"/>
        <v>-1</v>
      </c>
      <c r="O50" s="972">
        <f t="shared" si="121"/>
        <v>-1</v>
      </c>
      <c r="P50" s="972">
        <f t="shared" si="122"/>
        <v>-1</v>
      </c>
      <c r="Q50" s="972">
        <f t="shared" si="123"/>
        <v>-1</v>
      </c>
      <c r="R50" s="972">
        <f t="shared" si="124"/>
        <v>-1</v>
      </c>
      <c r="S50" s="972">
        <f t="shared" si="125"/>
        <v>-1</v>
      </c>
      <c r="T50" s="972">
        <f t="shared" si="126"/>
        <v>-1</v>
      </c>
      <c r="U50" s="972">
        <f t="shared" si="127"/>
        <v>-1</v>
      </c>
      <c r="V50" s="972">
        <f t="shared" si="128"/>
        <v>-1</v>
      </c>
      <c r="W50" s="972">
        <f t="shared" si="129"/>
        <v>-1</v>
      </c>
      <c r="X50" s="972">
        <f t="shared" si="130"/>
        <v>-1</v>
      </c>
      <c r="Y50" s="972">
        <f t="shared" si="131"/>
        <v>-1</v>
      </c>
      <c r="Z50" s="972">
        <f t="shared" si="132"/>
        <v>-1</v>
      </c>
      <c r="AA50" s="972">
        <f t="shared" si="133"/>
        <v>-1</v>
      </c>
      <c r="AB50" s="972">
        <f t="shared" si="134"/>
        <v>-1</v>
      </c>
      <c r="AC50" s="972">
        <f t="shared" si="135"/>
        <v>-1</v>
      </c>
      <c r="AD50" s="972">
        <f t="shared" si="136"/>
        <v>-1</v>
      </c>
      <c r="AE50" s="972">
        <f t="shared" si="137"/>
        <v>-1</v>
      </c>
      <c r="AF50" s="972">
        <f t="shared" si="138"/>
        <v>-1</v>
      </c>
      <c r="AG50" s="972">
        <f t="shared" si="139"/>
        <v>-1</v>
      </c>
      <c r="AH50" s="972">
        <f t="shared" si="140"/>
        <v>-1</v>
      </c>
      <c r="AI50" s="972">
        <f t="shared" si="141"/>
        <v>-1</v>
      </c>
      <c r="AJ50" s="972">
        <f t="shared" si="142"/>
        <v>-1</v>
      </c>
      <c r="AK50" s="381" t="str">
        <f>IF(ISERROR(INDEX('Legend(Skid)'!$AI$8:$AI$9,ROW()-42)),"",INDEX('Legend(Skid)'!$AI$8:$AI$9,ROW()-42))</f>
        <v/>
      </c>
      <c r="AL50" s="727" t="str">
        <f t="shared" si="53"/>
        <v/>
      </c>
      <c r="AM50" s="409">
        <f t="shared" si="98"/>
        <v>0</v>
      </c>
      <c r="AN50" s="409">
        <f t="shared" si="98"/>
        <v>0</v>
      </c>
      <c r="AO50" s="409">
        <f t="shared" si="98"/>
        <v>0</v>
      </c>
      <c r="AP50" s="409">
        <f t="shared" si="98"/>
        <v>0</v>
      </c>
      <c r="AQ50" s="409">
        <f t="shared" si="98"/>
        <v>0</v>
      </c>
      <c r="AR50" s="409">
        <f t="shared" si="98"/>
        <v>0</v>
      </c>
      <c r="AS50" s="409">
        <f t="shared" si="98"/>
        <v>0</v>
      </c>
      <c r="AT50" s="409">
        <f t="shared" si="98"/>
        <v>0</v>
      </c>
      <c r="AU50" s="409">
        <f t="shared" si="98"/>
        <v>0</v>
      </c>
      <c r="AV50" s="409">
        <f t="shared" si="98"/>
        <v>0</v>
      </c>
      <c r="AW50" s="409">
        <f t="shared" si="99"/>
        <v>0</v>
      </c>
      <c r="AX50" s="409">
        <f t="shared" si="99"/>
        <v>0</v>
      </c>
      <c r="AY50" s="409">
        <f t="shared" si="99"/>
        <v>0</v>
      </c>
      <c r="AZ50" s="409">
        <f t="shared" si="99"/>
        <v>0</v>
      </c>
      <c r="BA50" s="409">
        <f t="shared" si="99"/>
        <v>0</v>
      </c>
      <c r="BB50" s="409">
        <f t="shared" si="99"/>
        <v>0</v>
      </c>
      <c r="BC50" s="409">
        <f t="shared" si="99"/>
        <v>0</v>
      </c>
      <c r="BD50" s="409">
        <f t="shared" si="99"/>
        <v>0</v>
      </c>
      <c r="BE50" s="409">
        <f t="shared" si="99"/>
        <v>0</v>
      </c>
      <c r="BF50" s="409">
        <f t="shared" si="99"/>
        <v>0</v>
      </c>
      <c r="BG50" s="409">
        <f t="shared" si="100"/>
        <v>0</v>
      </c>
      <c r="BH50" s="409">
        <f t="shared" si="100"/>
        <v>0</v>
      </c>
      <c r="BI50" s="409">
        <f t="shared" si="100"/>
        <v>0</v>
      </c>
      <c r="BJ50" s="409">
        <f t="shared" si="100"/>
        <v>0</v>
      </c>
      <c r="BK50" s="409">
        <f t="shared" si="100"/>
        <v>0</v>
      </c>
      <c r="BL50" s="409">
        <f t="shared" si="100"/>
        <v>0</v>
      </c>
      <c r="BM50" s="409">
        <f t="shared" si="100"/>
        <v>0</v>
      </c>
      <c r="BN50" s="409">
        <f t="shared" si="100"/>
        <v>0</v>
      </c>
      <c r="BO50" s="409">
        <f t="shared" si="100"/>
        <v>0</v>
      </c>
      <c r="BP50" s="409">
        <f t="shared" si="100"/>
        <v>0</v>
      </c>
      <c r="BQ50" s="409">
        <f t="shared" si="101"/>
        <v>0</v>
      </c>
      <c r="BR50" s="409">
        <f t="shared" si="101"/>
        <v>0</v>
      </c>
      <c r="BS50" s="409">
        <f t="shared" si="101"/>
        <v>0</v>
      </c>
      <c r="BT50" s="409">
        <f t="shared" si="101"/>
        <v>0</v>
      </c>
      <c r="BU50" s="409">
        <f t="shared" si="101"/>
        <v>0</v>
      </c>
      <c r="BV50" s="409">
        <f t="shared" si="101"/>
        <v>0</v>
      </c>
      <c r="BW50" s="409">
        <f t="shared" si="101"/>
        <v>0</v>
      </c>
      <c r="BX50" s="409">
        <f t="shared" si="101"/>
        <v>0</v>
      </c>
      <c r="BY50" s="409">
        <f t="shared" si="101"/>
        <v>0</v>
      </c>
      <c r="BZ50" s="409">
        <f t="shared" si="101"/>
        <v>0</v>
      </c>
      <c r="CA50" s="409">
        <f t="shared" si="102"/>
        <v>0</v>
      </c>
      <c r="CB50" s="409">
        <f t="shared" si="102"/>
        <v>0</v>
      </c>
      <c r="CC50" s="409">
        <f t="shared" si="102"/>
        <v>0</v>
      </c>
      <c r="CD50" s="409">
        <f t="shared" si="102"/>
        <v>0</v>
      </c>
      <c r="CE50" s="409">
        <f t="shared" si="102"/>
        <v>0</v>
      </c>
      <c r="CF50" s="409">
        <f t="shared" si="102"/>
        <v>0</v>
      </c>
      <c r="CG50" s="409">
        <f t="shared" si="102"/>
        <v>0</v>
      </c>
      <c r="CH50" s="409">
        <f t="shared" si="102"/>
        <v>0</v>
      </c>
      <c r="CI50" s="409">
        <f t="shared" si="102"/>
        <v>0</v>
      </c>
      <c r="CJ50" s="409">
        <f t="shared" si="102"/>
        <v>0</v>
      </c>
      <c r="CK50" s="409">
        <f t="shared" si="103"/>
        <v>0</v>
      </c>
      <c r="CL50" s="409">
        <f t="shared" si="103"/>
        <v>0</v>
      </c>
      <c r="CM50" s="409">
        <f t="shared" si="103"/>
        <v>0</v>
      </c>
      <c r="CN50" s="409">
        <f t="shared" si="103"/>
        <v>0</v>
      </c>
      <c r="CO50" s="409">
        <f t="shared" si="103"/>
        <v>0</v>
      </c>
      <c r="CP50" s="409">
        <f t="shared" si="103"/>
        <v>0</v>
      </c>
      <c r="CQ50" s="409">
        <f t="shared" si="103"/>
        <v>0</v>
      </c>
      <c r="CR50" s="409">
        <f t="shared" si="103"/>
        <v>0</v>
      </c>
      <c r="CS50" s="409">
        <f t="shared" si="103"/>
        <v>0</v>
      </c>
      <c r="CT50" s="409">
        <f t="shared" si="103"/>
        <v>0</v>
      </c>
      <c r="CU50" s="409">
        <f t="shared" si="104"/>
        <v>0</v>
      </c>
      <c r="CV50" s="409">
        <f t="shared" si="104"/>
        <v>0</v>
      </c>
      <c r="CW50" s="409">
        <f t="shared" si="104"/>
        <v>0</v>
      </c>
      <c r="CX50" s="409">
        <f t="shared" si="104"/>
        <v>0</v>
      </c>
      <c r="CY50" s="409">
        <f t="shared" si="104"/>
        <v>0</v>
      </c>
      <c r="CZ50" s="409">
        <f t="shared" si="104"/>
        <v>0</v>
      </c>
      <c r="DA50" s="409">
        <f t="shared" si="104"/>
        <v>0</v>
      </c>
      <c r="DB50" s="409">
        <f t="shared" si="104"/>
        <v>0</v>
      </c>
      <c r="DC50" s="409">
        <f t="shared" si="104"/>
        <v>0</v>
      </c>
      <c r="DD50" s="409">
        <f t="shared" si="104"/>
        <v>0</v>
      </c>
      <c r="DE50" s="409">
        <f t="shared" si="105"/>
        <v>0</v>
      </c>
      <c r="DF50" s="409">
        <f t="shared" si="105"/>
        <v>0</v>
      </c>
      <c r="DG50" s="409">
        <f t="shared" si="105"/>
        <v>0</v>
      </c>
      <c r="DH50" s="409">
        <f t="shared" si="105"/>
        <v>0</v>
      </c>
      <c r="DI50" s="409">
        <f t="shared" si="105"/>
        <v>0</v>
      </c>
      <c r="DJ50" s="409">
        <f t="shared" si="105"/>
        <v>0</v>
      </c>
      <c r="DK50" s="409">
        <f t="shared" si="105"/>
        <v>0</v>
      </c>
      <c r="DL50" s="409">
        <f t="shared" si="105"/>
        <v>0</v>
      </c>
      <c r="DM50" s="409">
        <f t="shared" si="105"/>
        <v>0</v>
      </c>
      <c r="DN50" s="409">
        <f t="shared" si="105"/>
        <v>0</v>
      </c>
      <c r="DO50" s="409">
        <f t="shared" si="106"/>
        <v>0</v>
      </c>
      <c r="DP50" s="409">
        <f t="shared" si="106"/>
        <v>0</v>
      </c>
      <c r="DQ50" s="409">
        <f t="shared" si="106"/>
        <v>0</v>
      </c>
      <c r="DR50" s="409">
        <f t="shared" si="106"/>
        <v>0</v>
      </c>
      <c r="DS50" s="409">
        <f t="shared" si="106"/>
        <v>0</v>
      </c>
      <c r="DT50" s="409">
        <f t="shared" si="106"/>
        <v>0</v>
      </c>
      <c r="DU50" s="409">
        <f t="shared" si="106"/>
        <v>0</v>
      </c>
      <c r="DV50" s="409">
        <f t="shared" si="106"/>
        <v>0</v>
      </c>
      <c r="DW50" s="409">
        <f t="shared" si="106"/>
        <v>0</v>
      </c>
      <c r="DX50" s="409">
        <f t="shared" si="106"/>
        <v>0</v>
      </c>
      <c r="DY50" s="409">
        <f t="shared" si="107"/>
        <v>0</v>
      </c>
      <c r="DZ50" s="409">
        <f t="shared" si="107"/>
        <v>0</v>
      </c>
      <c r="EA50" s="409">
        <f t="shared" si="107"/>
        <v>0</v>
      </c>
      <c r="EB50" s="409">
        <f t="shared" si="107"/>
        <v>0</v>
      </c>
      <c r="EC50" s="409">
        <f t="shared" si="107"/>
        <v>0</v>
      </c>
      <c r="ED50" s="409">
        <f t="shared" si="107"/>
        <v>0</v>
      </c>
      <c r="EE50" s="409">
        <f t="shared" si="107"/>
        <v>0</v>
      </c>
      <c r="EF50" s="409">
        <f t="shared" si="107"/>
        <v>0</v>
      </c>
      <c r="EG50" s="409">
        <f t="shared" si="107"/>
        <v>0</v>
      </c>
      <c r="EH50" s="409">
        <f t="shared" si="107"/>
        <v>0</v>
      </c>
      <c r="EI50" s="409">
        <f t="shared" si="108"/>
        <v>0</v>
      </c>
      <c r="EJ50" s="409">
        <f t="shared" si="108"/>
        <v>0</v>
      </c>
      <c r="EK50" s="409">
        <f t="shared" si="108"/>
        <v>0</v>
      </c>
      <c r="EL50" s="409">
        <f t="shared" si="108"/>
        <v>0</v>
      </c>
      <c r="EM50" s="409">
        <f t="shared" si="108"/>
        <v>0</v>
      </c>
      <c r="EN50" s="409">
        <f t="shared" si="108"/>
        <v>0</v>
      </c>
      <c r="EO50" s="409">
        <f t="shared" si="108"/>
        <v>0</v>
      </c>
      <c r="EP50" s="409">
        <f t="shared" si="108"/>
        <v>0</v>
      </c>
      <c r="EQ50" s="409">
        <f t="shared" si="108"/>
        <v>0</v>
      </c>
      <c r="ER50" s="409">
        <f t="shared" si="108"/>
        <v>0</v>
      </c>
      <c r="ES50" s="409">
        <f t="shared" si="109"/>
        <v>0</v>
      </c>
      <c r="ET50" s="409">
        <f t="shared" si="109"/>
        <v>0</v>
      </c>
      <c r="EU50" s="409">
        <f t="shared" si="109"/>
        <v>0</v>
      </c>
      <c r="EV50" s="409">
        <f t="shared" si="109"/>
        <v>0</v>
      </c>
      <c r="EW50" s="409">
        <f t="shared" si="109"/>
        <v>0</v>
      </c>
      <c r="EX50" s="409">
        <f t="shared" si="109"/>
        <v>0</v>
      </c>
      <c r="EY50" s="409">
        <f t="shared" si="109"/>
        <v>0</v>
      </c>
      <c r="EZ50" s="409">
        <f t="shared" si="109"/>
        <v>0</v>
      </c>
      <c r="FA50" s="409">
        <f t="shared" si="109"/>
        <v>0</v>
      </c>
      <c r="FB50" s="409">
        <f t="shared" si="109"/>
        <v>0</v>
      </c>
      <c r="FC50" s="409">
        <f t="shared" si="110"/>
        <v>0</v>
      </c>
      <c r="FD50" s="409">
        <f t="shared" si="110"/>
        <v>0</v>
      </c>
      <c r="FE50" s="409">
        <f t="shared" si="110"/>
        <v>0</v>
      </c>
      <c r="FF50" s="409">
        <f t="shared" si="110"/>
        <v>0</v>
      </c>
      <c r="FG50" s="409">
        <f t="shared" si="110"/>
        <v>0</v>
      </c>
      <c r="FH50" s="409">
        <f t="shared" si="110"/>
        <v>0</v>
      </c>
      <c r="FI50" s="409">
        <f t="shared" si="110"/>
        <v>0</v>
      </c>
      <c r="FJ50" s="409">
        <f t="shared" si="110"/>
        <v>0</v>
      </c>
      <c r="FK50" s="409">
        <f t="shared" si="110"/>
        <v>0</v>
      </c>
      <c r="FL50" s="409">
        <f t="shared" si="110"/>
        <v>0</v>
      </c>
      <c r="FM50" s="409">
        <f t="shared" si="111"/>
        <v>0</v>
      </c>
      <c r="FN50" s="409">
        <f t="shared" si="111"/>
        <v>0</v>
      </c>
      <c r="FO50" s="409">
        <f t="shared" si="111"/>
        <v>0</v>
      </c>
      <c r="FP50" s="409">
        <f t="shared" si="111"/>
        <v>0</v>
      </c>
      <c r="FQ50" s="409">
        <f t="shared" si="111"/>
        <v>0</v>
      </c>
      <c r="FR50" s="409">
        <f t="shared" si="111"/>
        <v>0</v>
      </c>
      <c r="FS50" s="409">
        <f t="shared" si="111"/>
        <v>0</v>
      </c>
      <c r="FT50" s="409">
        <f t="shared" si="111"/>
        <v>0</v>
      </c>
      <c r="FU50" s="409">
        <f t="shared" si="111"/>
        <v>0</v>
      </c>
      <c r="FV50" s="409">
        <f t="shared" si="111"/>
        <v>0</v>
      </c>
      <c r="FW50" s="409">
        <f t="shared" si="112"/>
        <v>0</v>
      </c>
      <c r="FX50" s="409">
        <f t="shared" si="112"/>
        <v>0</v>
      </c>
      <c r="FY50" s="409">
        <f t="shared" si="112"/>
        <v>0</v>
      </c>
      <c r="FZ50" s="409">
        <f t="shared" si="112"/>
        <v>0</v>
      </c>
      <c r="GA50" s="409">
        <f t="shared" si="112"/>
        <v>0</v>
      </c>
      <c r="GB50" s="409">
        <f t="shared" si="112"/>
        <v>0</v>
      </c>
      <c r="GC50" s="409">
        <f t="shared" si="112"/>
        <v>0</v>
      </c>
      <c r="GD50" s="409">
        <f t="shared" si="112"/>
        <v>0</v>
      </c>
      <c r="GE50" s="409">
        <f t="shared" si="112"/>
        <v>0</v>
      </c>
      <c r="GF50" s="409">
        <f t="shared" si="112"/>
        <v>0</v>
      </c>
      <c r="GG50" s="409">
        <f t="shared" si="113"/>
        <v>0</v>
      </c>
      <c r="GH50" s="409">
        <f t="shared" si="113"/>
        <v>0</v>
      </c>
      <c r="GI50" s="409">
        <f t="shared" si="113"/>
        <v>0</v>
      </c>
      <c r="GJ50" s="409">
        <f t="shared" si="113"/>
        <v>0</v>
      </c>
      <c r="GK50" s="409">
        <f t="shared" si="113"/>
        <v>0</v>
      </c>
      <c r="GL50" s="409">
        <f t="shared" si="113"/>
        <v>0</v>
      </c>
      <c r="GM50" s="409">
        <f t="shared" si="113"/>
        <v>0</v>
      </c>
      <c r="GN50" s="409">
        <f t="shared" si="113"/>
        <v>0</v>
      </c>
      <c r="GO50" s="409">
        <f t="shared" si="113"/>
        <v>0</v>
      </c>
      <c r="GP50" s="409">
        <f t="shared" si="113"/>
        <v>0</v>
      </c>
      <c r="GQ50" s="409">
        <f t="shared" si="114"/>
        <v>0</v>
      </c>
      <c r="GR50" s="409">
        <f t="shared" si="114"/>
        <v>0</v>
      </c>
      <c r="GS50" s="409">
        <f t="shared" si="114"/>
        <v>0</v>
      </c>
      <c r="GT50" s="409">
        <f t="shared" si="114"/>
        <v>0</v>
      </c>
      <c r="GU50" s="409">
        <f t="shared" si="114"/>
        <v>0</v>
      </c>
      <c r="GV50" s="409">
        <f t="shared" si="114"/>
        <v>0</v>
      </c>
      <c r="GW50" s="409">
        <f t="shared" si="114"/>
        <v>0</v>
      </c>
      <c r="GX50" s="409">
        <f t="shared" si="114"/>
        <v>0</v>
      </c>
      <c r="GY50" s="409">
        <f t="shared" si="114"/>
        <v>0</v>
      </c>
      <c r="GZ50" s="409">
        <f t="shared" si="114"/>
        <v>0</v>
      </c>
      <c r="HA50" s="409">
        <f t="shared" si="115"/>
        <v>0</v>
      </c>
      <c r="HB50" s="409">
        <f t="shared" si="115"/>
        <v>0</v>
      </c>
      <c r="HC50" s="409">
        <f t="shared" si="115"/>
        <v>0</v>
      </c>
      <c r="HD50" s="409">
        <f t="shared" si="115"/>
        <v>0</v>
      </c>
      <c r="HE50" s="409">
        <f t="shared" si="115"/>
        <v>0</v>
      </c>
      <c r="HF50" s="409">
        <f t="shared" si="115"/>
        <v>0</v>
      </c>
      <c r="HG50" s="409">
        <f t="shared" si="115"/>
        <v>0</v>
      </c>
      <c r="HH50" s="409">
        <f t="shared" si="115"/>
        <v>0</v>
      </c>
      <c r="HI50" s="409">
        <f t="shared" si="115"/>
        <v>0</v>
      </c>
      <c r="HJ50" s="409">
        <f t="shared" si="115"/>
        <v>0</v>
      </c>
      <c r="HK50" s="409">
        <f t="shared" si="116"/>
        <v>0</v>
      </c>
      <c r="HL50" s="409">
        <f t="shared" si="116"/>
        <v>0</v>
      </c>
      <c r="HM50" s="409">
        <f t="shared" si="116"/>
        <v>0</v>
      </c>
      <c r="HN50" s="409">
        <f t="shared" si="116"/>
        <v>0</v>
      </c>
      <c r="HO50" s="409">
        <f t="shared" si="116"/>
        <v>0</v>
      </c>
      <c r="HP50" s="409">
        <f t="shared" si="116"/>
        <v>0</v>
      </c>
      <c r="HQ50" s="409">
        <f t="shared" si="116"/>
        <v>0</v>
      </c>
      <c r="HR50" s="409">
        <f t="shared" si="116"/>
        <v>0</v>
      </c>
      <c r="HS50" s="409">
        <f t="shared" si="116"/>
        <v>0</v>
      </c>
      <c r="HT50" s="409">
        <f t="shared" si="116"/>
        <v>0</v>
      </c>
      <c r="HU50" s="409">
        <f t="shared" si="117"/>
        <v>0</v>
      </c>
      <c r="HV50" s="409">
        <f t="shared" si="117"/>
        <v>0</v>
      </c>
      <c r="HW50" s="409">
        <f t="shared" si="117"/>
        <v>0</v>
      </c>
      <c r="HX50" s="409">
        <f t="shared" si="117"/>
        <v>0</v>
      </c>
      <c r="HY50" s="409">
        <f t="shared" si="117"/>
        <v>0</v>
      </c>
      <c r="HZ50" s="409">
        <f t="shared" si="117"/>
        <v>0</v>
      </c>
      <c r="IA50" s="409">
        <f t="shared" si="117"/>
        <v>0</v>
      </c>
      <c r="IB50" s="409">
        <f t="shared" si="117"/>
        <v>0</v>
      </c>
      <c r="IC50" s="409">
        <f t="shared" si="117"/>
        <v>0</v>
      </c>
      <c r="ID50" s="409">
        <f t="shared" si="117"/>
        <v>0</v>
      </c>
      <c r="IE50" s="409">
        <f t="shared" si="118"/>
        <v>0</v>
      </c>
      <c r="IF50" s="409">
        <f t="shared" si="118"/>
        <v>0</v>
      </c>
      <c r="IG50" s="409">
        <f t="shared" si="118"/>
        <v>0</v>
      </c>
      <c r="IH50" s="409">
        <f t="shared" si="118"/>
        <v>0</v>
      </c>
      <c r="II50" s="409">
        <f t="shared" si="118"/>
        <v>0</v>
      </c>
      <c r="IJ50" s="409">
        <f t="shared" si="118"/>
        <v>0</v>
      </c>
      <c r="IK50" s="378">
        <f t="shared" si="54"/>
        <v>43</v>
      </c>
    </row>
    <row r="51" spans="1:245" hidden="1" x14ac:dyDescent="0.2">
      <c r="A51" s="380" t="str">
        <f t="shared" si="119"/>
        <v>e</v>
      </c>
      <c r="B51" s="712" t="str" cm="1">
        <f t="array" ref="B51">IF(ISERROR(INDEX('Legend(Skid)'!$H$8:$H$9,ROW()-42)),"",INDEX('Legend(Skid)'!$H$8:$H$9,ROW()-42))</f>
        <v/>
      </c>
      <c r="C51" s="712" t="e" cm="1">
        <f t="array" ref="C51">IF(INDEX('Legend(Skid)'!$T$8:$T$9,ROW()-42)=0,"See Legend",INDEX('Legend(Skid)'!$T$8:$T$9,ROW()-42))</f>
        <v>#REF!</v>
      </c>
      <c r="D51" s="712" t="e">
        <f>IF(INDEX('Legend(Skid)'!$R$8:$R$9,(ROW(C51))-42)=0,IF(AND(INDEX('Legend(Skid)'!$D$8:$D$9,(ROW(C51))-41)="CH",INDEX('Legend(Skid)'!$F$8:$F$9,(ROW(C51))-41)="CASE - MANUAL"),INDEX('Legend(Skid)'!$R$8:$R$9,(ROW(C51))-41),IF(INDEX('Legend(Skid)'!$V$8:$V$9,(ROW(C51))-42)&gt;1, "(" &amp; INDEX('Legend(Skid)'!$V$8:$V$9,(ROW(C51))-42) &amp; ") " &amp; INDEX('Legend(Skid)'!$W$8:$W$9,(ROW(C51))-41),INDEX('Legend(Skid)'!$W$8:$W$9,(ROW(C51))-42))),INDEX('Legend(Skid)'!$R$8:$R$9,(ROW(C51))-42))</f>
        <v>#REF!</v>
      </c>
      <c r="E51" s="713" cm="1">
        <f t="array" ref="E51">IF(OR(ISNUMBER(SEARCH("Pump",C51)),ISNUMBER(SEARCH("PH",C51)),ISERROR(INDEX('Legend(Skid)'!$AA$8:$AA$9,ROW()-42))),0,INDEX('Legend(Skid)'!$AA$8:$AA$9,ROW()-42))</f>
        <v>0</v>
      </c>
      <c r="F51" s="714"/>
      <c r="G51" s="714"/>
      <c r="H51" s="714"/>
      <c r="I51" s="714"/>
      <c r="J51" s="714"/>
      <c r="K51" s="890">
        <f t="shared" si="35"/>
        <v>0</v>
      </c>
      <c r="L51" s="718"/>
      <c r="M51" s="719"/>
      <c r="N51" s="972">
        <f t="shared" si="120"/>
        <v>-1</v>
      </c>
      <c r="O51" s="972">
        <f t="shared" si="121"/>
        <v>-1</v>
      </c>
      <c r="P51" s="972">
        <f t="shared" si="122"/>
        <v>-1</v>
      </c>
      <c r="Q51" s="972">
        <f t="shared" si="123"/>
        <v>-1</v>
      </c>
      <c r="R51" s="972">
        <f t="shared" si="124"/>
        <v>-1</v>
      </c>
      <c r="S51" s="972">
        <f t="shared" si="125"/>
        <v>-1</v>
      </c>
      <c r="T51" s="972">
        <f t="shared" si="126"/>
        <v>-1</v>
      </c>
      <c r="U51" s="972">
        <f t="shared" si="127"/>
        <v>-1</v>
      </c>
      <c r="V51" s="972">
        <f t="shared" si="128"/>
        <v>-1</v>
      </c>
      <c r="W51" s="972">
        <f t="shared" si="129"/>
        <v>-1</v>
      </c>
      <c r="X51" s="972">
        <f t="shared" si="130"/>
        <v>-1</v>
      </c>
      <c r="Y51" s="972">
        <f t="shared" si="131"/>
        <v>-1</v>
      </c>
      <c r="Z51" s="972">
        <f t="shared" si="132"/>
        <v>-1</v>
      </c>
      <c r="AA51" s="972">
        <f t="shared" si="133"/>
        <v>-1</v>
      </c>
      <c r="AB51" s="972">
        <f t="shared" si="134"/>
        <v>-1</v>
      </c>
      <c r="AC51" s="972">
        <f t="shared" si="135"/>
        <v>-1</v>
      </c>
      <c r="AD51" s="972">
        <f t="shared" si="136"/>
        <v>-1</v>
      </c>
      <c r="AE51" s="972">
        <f t="shared" si="137"/>
        <v>-1</v>
      </c>
      <c r="AF51" s="972">
        <f t="shared" si="138"/>
        <v>-1</v>
      </c>
      <c r="AG51" s="972">
        <f t="shared" si="139"/>
        <v>-1</v>
      </c>
      <c r="AH51" s="972">
        <f t="shared" si="140"/>
        <v>-1</v>
      </c>
      <c r="AI51" s="972">
        <f t="shared" si="141"/>
        <v>-1</v>
      </c>
      <c r="AJ51" s="972">
        <f t="shared" si="142"/>
        <v>-1</v>
      </c>
      <c r="AK51" s="381" t="str">
        <f>IF(ISERROR(INDEX('Legend(Skid)'!$AI$8:$AI$9,ROW()-42)),"",INDEX('Legend(Skid)'!$AI$8:$AI$9,ROW()-42))</f>
        <v/>
      </c>
      <c r="AL51" s="727" t="str">
        <f t="shared" si="53"/>
        <v/>
      </c>
      <c r="AM51" s="409">
        <f t="shared" si="98"/>
        <v>0</v>
      </c>
      <c r="AN51" s="409">
        <f t="shared" si="98"/>
        <v>0</v>
      </c>
      <c r="AO51" s="409">
        <f t="shared" si="98"/>
        <v>0</v>
      </c>
      <c r="AP51" s="409">
        <f t="shared" si="98"/>
        <v>0</v>
      </c>
      <c r="AQ51" s="409">
        <f t="shared" si="98"/>
        <v>0</v>
      </c>
      <c r="AR51" s="409">
        <f t="shared" si="98"/>
        <v>0</v>
      </c>
      <c r="AS51" s="409">
        <f t="shared" si="98"/>
        <v>0</v>
      </c>
      <c r="AT51" s="409">
        <f t="shared" si="98"/>
        <v>0</v>
      </c>
      <c r="AU51" s="409">
        <f t="shared" si="98"/>
        <v>0</v>
      </c>
      <c r="AV51" s="409">
        <f t="shared" si="98"/>
        <v>0</v>
      </c>
      <c r="AW51" s="409">
        <f t="shared" si="99"/>
        <v>0</v>
      </c>
      <c r="AX51" s="409">
        <f t="shared" si="99"/>
        <v>0</v>
      </c>
      <c r="AY51" s="409">
        <f t="shared" si="99"/>
        <v>0</v>
      </c>
      <c r="AZ51" s="409">
        <f t="shared" si="99"/>
        <v>0</v>
      </c>
      <c r="BA51" s="409">
        <f t="shared" si="99"/>
        <v>0</v>
      </c>
      <c r="BB51" s="409">
        <f t="shared" si="99"/>
        <v>0</v>
      </c>
      <c r="BC51" s="409">
        <f t="shared" si="99"/>
        <v>0</v>
      </c>
      <c r="BD51" s="409">
        <f t="shared" si="99"/>
        <v>0</v>
      </c>
      <c r="BE51" s="409">
        <f t="shared" si="99"/>
        <v>0</v>
      </c>
      <c r="BF51" s="409">
        <f t="shared" si="99"/>
        <v>0</v>
      </c>
      <c r="BG51" s="409">
        <f t="shared" si="100"/>
        <v>0</v>
      </c>
      <c r="BH51" s="409">
        <f t="shared" si="100"/>
        <v>0</v>
      </c>
      <c r="BI51" s="409">
        <f t="shared" si="100"/>
        <v>0</v>
      </c>
      <c r="BJ51" s="409">
        <f t="shared" si="100"/>
        <v>0</v>
      </c>
      <c r="BK51" s="409">
        <f t="shared" si="100"/>
        <v>0</v>
      </c>
      <c r="BL51" s="409">
        <f t="shared" si="100"/>
        <v>0</v>
      </c>
      <c r="BM51" s="409">
        <f t="shared" si="100"/>
        <v>0</v>
      </c>
      <c r="BN51" s="409">
        <f t="shared" si="100"/>
        <v>0</v>
      </c>
      <c r="BO51" s="409">
        <f t="shared" si="100"/>
        <v>0</v>
      </c>
      <c r="BP51" s="409">
        <f t="shared" si="100"/>
        <v>0</v>
      </c>
      <c r="BQ51" s="409">
        <f t="shared" si="101"/>
        <v>0</v>
      </c>
      <c r="BR51" s="409">
        <f t="shared" si="101"/>
        <v>0</v>
      </c>
      <c r="BS51" s="409">
        <f t="shared" si="101"/>
        <v>0</v>
      </c>
      <c r="BT51" s="409">
        <f t="shared" si="101"/>
        <v>0</v>
      </c>
      <c r="BU51" s="409">
        <f t="shared" si="101"/>
        <v>0</v>
      </c>
      <c r="BV51" s="409">
        <f t="shared" si="101"/>
        <v>0</v>
      </c>
      <c r="BW51" s="409">
        <f t="shared" si="101"/>
        <v>0</v>
      </c>
      <c r="BX51" s="409">
        <f t="shared" si="101"/>
        <v>0</v>
      </c>
      <c r="BY51" s="409">
        <f t="shared" si="101"/>
        <v>0</v>
      </c>
      <c r="BZ51" s="409">
        <f t="shared" si="101"/>
        <v>0</v>
      </c>
      <c r="CA51" s="409">
        <f t="shared" si="102"/>
        <v>0</v>
      </c>
      <c r="CB51" s="409">
        <f t="shared" si="102"/>
        <v>0</v>
      </c>
      <c r="CC51" s="409">
        <f t="shared" si="102"/>
        <v>0</v>
      </c>
      <c r="CD51" s="409">
        <f t="shared" si="102"/>
        <v>0</v>
      </c>
      <c r="CE51" s="409">
        <f t="shared" si="102"/>
        <v>0</v>
      </c>
      <c r="CF51" s="409">
        <f t="shared" si="102"/>
        <v>0</v>
      </c>
      <c r="CG51" s="409">
        <f t="shared" si="102"/>
        <v>0</v>
      </c>
      <c r="CH51" s="409">
        <f t="shared" si="102"/>
        <v>0</v>
      </c>
      <c r="CI51" s="409">
        <f t="shared" si="102"/>
        <v>0</v>
      </c>
      <c r="CJ51" s="409">
        <f t="shared" si="102"/>
        <v>0</v>
      </c>
      <c r="CK51" s="409">
        <f t="shared" si="103"/>
        <v>0</v>
      </c>
      <c r="CL51" s="409">
        <f t="shared" si="103"/>
        <v>0</v>
      </c>
      <c r="CM51" s="409">
        <f t="shared" si="103"/>
        <v>0</v>
      </c>
      <c r="CN51" s="409">
        <f t="shared" si="103"/>
        <v>0</v>
      </c>
      <c r="CO51" s="409">
        <f t="shared" si="103"/>
        <v>0</v>
      </c>
      <c r="CP51" s="409">
        <f t="shared" si="103"/>
        <v>0</v>
      </c>
      <c r="CQ51" s="409">
        <f t="shared" si="103"/>
        <v>0</v>
      </c>
      <c r="CR51" s="409">
        <f t="shared" si="103"/>
        <v>0</v>
      </c>
      <c r="CS51" s="409">
        <f t="shared" si="103"/>
        <v>0</v>
      </c>
      <c r="CT51" s="409">
        <f t="shared" si="103"/>
        <v>0</v>
      </c>
      <c r="CU51" s="409">
        <f t="shared" si="104"/>
        <v>0</v>
      </c>
      <c r="CV51" s="409">
        <f t="shared" si="104"/>
        <v>0</v>
      </c>
      <c r="CW51" s="409">
        <f t="shared" si="104"/>
        <v>0</v>
      </c>
      <c r="CX51" s="409">
        <f t="shared" si="104"/>
        <v>0</v>
      </c>
      <c r="CY51" s="409">
        <f t="shared" si="104"/>
        <v>0</v>
      </c>
      <c r="CZ51" s="409">
        <f t="shared" si="104"/>
        <v>0</v>
      </c>
      <c r="DA51" s="409">
        <f t="shared" si="104"/>
        <v>0</v>
      </c>
      <c r="DB51" s="409">
        <f t="shared" si="104"/>
        <v>0</v>
      </c>
      <c r="DC51" s="409">
        <f t="shared" si="104"/>
        <v>0</v>
      </c>
      <c r="DD51" s="409">
        <f t="shared" si="104"/>
        <v>0</v>
      </c>
      <c r="DE51" s="409">
        <f t="shared" si="105"/>
        <v>0</v>
      </c>
      <c r="DF51" s="409">
        <f t="shared" si="105"/>
        <v>0</v>
      </c>
      <c r="DG51" s="409">
        <f t="shared" si="105"/>
        <v>0</v>
      </c>
      <c r="DH51" s="409">
        <f t="shared" si="105"/>
        <v>0</v>
      </c>
      <c r="DI51" s="409">
        <f t="shared" si="105"/>
        <v>0</v>
      </c>
      <c r="DJ51" s="409">
        <f t="shared" si="105"/>
        <v>0</v>
      </c>
      <c r="DK51" s="409">
        <f t="shared" si="105"/>
        <v>0</v>
      </c>
      <c r="DL51" s="409">
        <f t="shared" si="105"/>
        <v>0</v>
      </c>
      <c r="DM51" s="409">
        <f t="shared" si="105"/>
        <v>0</v>
      </c>
      <c r="DN51" s="409">
        <f t="shared" si="105"/>
        <v>0</v>
      </c>
      <c r="DO51" s="409">
        <f t="shared" si="106"/>
        <v>0</v>
      </c>
      <c r="DP51" s="409">
        <f t="shared" si="106"/>
        <v>0</v>
      </c>
      <c r="DQ51" s="409">
        <f t="shared" si="106"/>
        <v>0</v>
      </c>
      <c r="DR51" s="409">
        <f t="shared" si="106"/>
        <v>0</v>
      </c>
      <c r="DS51" s="409">
        <f t="shared" si="106"/>
        <v>0</v>
      </c>
      <c r="DT51" s="409">
        <f t="shared" si="106"/>
        <v>0</v>
      </c>
      <c r="DU51" s="409">
        <f t="shared" si="106"/>
        <v>0</v>
      </c>
      <c r="DV51" s="409">
        <f t="shared" si="106"/>
        <v>0</v>
      </c>
      <c r="DW51" s="409">
        <f t="shared" si="106"/>
        <v>0</v>
      </c>
      <c r="DX51" s="409">
        <f t="shared" si="106"/>
        <v>0</v>
      </c>
      <c r="DY51" s="409">
        <f t="shared" si="107"/>
        <v>0</v>
      </c>
      <c r="DZ51" s="409">
        <f t="shared" si="107"/>
        <v>0</v>
      </c>
      <c r="EA51" s="409">
        <f t="shared" si="107"/>
        <v>0</v>
      </c>
      <c r="EB51" s="409">
        <f t="shared" si="107"/>
        <v>0</v>
      </c>
      <c r="EC51" s="409">
        <f t="shared" si="107"/>
        <v>0</v>
      </c>
      <c r="ED51" s="409">
        <f t="shared" si="107"/>
        <v>0</v>
      </c>
      <c r="EE51" s="409">
        <f t="shared" si="107"/>
        <v>0</v>
      </c>
      <c r="EF51" s="409">
        <f t="shared" si="107"/>
        <v>0</v>
      </c>
      <c r="EG51" s="409">
        <f t="shared" si="107"/>
        <v>0</v>
      </c>
      <c r="EH51" s="409">
        <f t="shared" si="107"/>
        <v>0</v>
      </c>
      <c r="EI51" s="409">
        <f t="shared" si="108"/>
        <v>0</v>
      </c>
      <c r="EJ51" s="409">
        <f t="shared" si="108"/>
        <v>0</v>
      </c>
      <c r="EK51" s="409">
        <f t="shared" si="108"/>
        <v>0</v>
      </c>
      <c r="EL51" s="409">
        <f t="shared" si="108"/>
        <v>0</v>
      </c>
      <c r="EM51" s="409">
        <f t="shared" si="108"/>
        <v>0</v>
      </c>
      <c r="EN51" s="409">
        <f t="shared" si="108"/>
        <v>0</v>
      </c>
      <c r="EO51" s="409">
        <f t="shared" si="108"/>
        <v>0</v>
      </c>
      <c r="EP51" s="409">
        <f t="shared" si="108"/>
        <v>0</v>
      </c>
      <c r="EQ51" s="409">
        <f t="shared" si="108"/>
        <v>0</v>
      </c>
      <c r="ER51" s="409">
        <f t="shared" si="108"/>
        <v>0</v>
      </c>
      <c r="ES51" s="409">
        <f t="shared" si="109"/>
        <v>0</v>
      </c>
      <c r="ET51" s="409">
        <f t="shared" si="109"/>
        <v>0</v>
      </c>
      <c r="EU51" s="409">
        <f t="shared" si="109"/>
        <v>0</v>
      </c>
      <c r="EV51" s="409">
        <f t="shared" si="109"/>
        <v>0</v>
      </c>
      <c r="EW51" s="409">
        <f t="shared" si="109"/>
        <v>0</v>
      </c>
      <c r="EX51" s="409">
        <f t="shared" si="109"/>
        <v>0</v>
      </c>
      <c r="EY51" s="409">
        <f t="shared" si="109"/>
        <v>0</v>
      </c>
      <c r="EZ51" s="409">
        <f t="shared" si="109"/>
        <v>0</v>
      </c>
      <c r="FA51" s="409">
        <f t="shared" si="109"/>
        <v>0</v>
      </c>
      <c r="FB51" s="409">
        <f t="shared" si="109"/>
        <v>0</v>
      </c>
      <c r="FC51" s="409">
        <f t="shared" si="110"/>
        <v>0</v>
      </c>
      <c r="FD51" s="409">
        <f t="shared" si="110"/>
        <v>0</v>
      </c>
      <c r="FE51" s="409">
        <f t="shared" si="110"/>
        <v>0</v>
      </c>
      <c r="FF51" s="409">
        <f t="shared" si="110"/>
        <v>0</v>
      </c>
      <c r="FG51" s="409">
        <f t="shared" si="110"/>
        <v>0</v>
      </c>
      <c r="FH51" s="409">
        <f t="shared" si="110"/>
        <v>0</v>
      </c>
      <c r="FI51" s="409">
        <f t="shared" si="110"/>
        <v>0</v>
      </c>
      <c r="FJ51" s="409">
        <f t="shared" si="110"/>
        <v>0</v>
      </c>
      <c r="FK51" s="409">
        <f t="shared" si="110"/>
        <v>0</v>
      </c>
      <c r="FL51" s="409">
        <f t="shared" si="110"/>
        <v>0</v>
      </c>
      <c r="FM51" s="409">
        <f t="shared" si="111"/>
        <v>0</v>
      </c>
      <c r="FN51" s="409">
        <f t="shared" si="111"/>
        <v>0</v>
      </c>
      <c r="FO51" s="409">
        <f t="shared" si="111"/>
        <v>0</v>
      </c>
      <c r="FP51" s="409">
        <f t="shared" si="111"/>
        <v>0</v>
      </c>
      <c r="FQ51" s="409">
        <f t="shared" si="111"/>
        <v>0</v>
      </c>
      <c r="FR51" s="409">
        <f t="shared" si="111"/>
        <v>0</v>
      </c>
      <c r="FS51" s="409">
        <f t="shared" si="111"/>
        <v>0</v>
      </c>
      <c r="FT51" s="409">
        <f t="shared" si="111"/>
        <v>0</v>
      </c>
      <c r="FU51" s="409">
        <f t="shared" si="111"/>
        <v>0</v>
      </c>
      <c r="FV51" s="409">
        <f t="shared" si="111"/>
        <v>0</v>
      </c>
      <c r="FW51" s="409">
        <f t="shared" si="112"/>
        <v>0</v>
      </c>
      <c r="FX51" s="409">
        <f t="shared" si="112"/>
        <v>0</v>
      </c>
      <c r="FY51" s="409">
        <f t="shared" si="112"/>
        <v>0</v>
      </c>
      <c r="FZ51" s="409">
        <f t="shared" si="112"/>
        <v>0</v>
      </c>
      <c r="GA51" s="409">
        <f t="shared" si="112"/>
        <v>0</v>
      </c>
      <c r="GB51" s="409">
        <f t="shared" si="112"/>
        <v>0</v>
      </c>
      <c r="GC51" s="409">
        <f t="shared" si="112"/>
        <v>0</v>
      </c>
      <c r="GD51" s="409">
        <f t="shared" si="112"/>
        <v>0</v>
      </c>
      <c r="GE51" s="409">
        <f t="shared" si="112"/>
        <v>0</v>
      </c>
      <c r="GF51" s="409">
        <f t="shared" si="112"/>
        <v>0</v>
      </c>
      <c r="GG51" s="409">
        <f t="shared" si="113"/>
        <v>0</v>
      </c>
      <c r="GH51" s="409">
        <f t="shared" si="113"/>
        <v>0</v>
      </c>
      <c r="GI51" s="409">
        <f t="shared" si="113"/>
        <v>0</v>
      </c>
      <c r="GJ51" s="409">
        <f t="shared" si="113"/>
        <v>0</v>
      </c>
      <c r="GK51" s="409">
        <f t="shared" si="113"/>
        <v>0</v>
      </c>
      <c r="GL51" s="409">
        <f t="shared" si="113"/>
        <v>0</v>
      </c>
      <c r="GM51" s="409">
        <f t="shared" si="113"/>
        <v>0</v>
      </c>
      <c r="GN51" s="409">
        <f t="shared" si="113"/>
        <v>0</v>
      </c>
      <c r="GO51" s="409">
        <f t="shared" si="113"/>
        <v>0</v>
      </c>
      <c r="GP51" s="409">
        <f t="shared" si="113"/>
        <v>0</v>
      </c>
      <c r="GQ51" s="409">
        <f t="shared" si="114"/>
        <v>0</v>
      </c>
      <c r="GR51" s="409">
        <f t="shared" si="114"/>
        <v>0</v>
      </c>
      <c r="GS51" s="409">
        <f t="shared" si="114"/>
        <v>0</v>
      </c>
      <c r="GT51" s="409">
        <f t="shared" si="114"/>
        <v>0</v>
      </c>
      <c r="GU51" s="409">
        <f t="shared" si="114"/>
        <v>0</v>
      </c>
      <c r="GV51" s="409">
        <f t="shared" si="114"/>
        <v>0</v>
      </c>
      <c r="GW51" s="409">
        <f t="shared" si="114"/>
        <v>0</v>
      </c>
      <c r="GX51" s="409">
        <f t="shared" si="114"/>
        <v>0</v>
      </c>
      <c r="GY51" s="409">
        <f t="shared" si="114"/>
        <v>0</v>
      </c>
      <c r="GZ51" s="409">
        <f t="shared" si="114"/>
        <v>0</v>
      </c>
      <c r="HA51" s="409">
        <f t="shared" si="115"/>
        <v>0</v>
      </c>
      <c r="HB51" s="409">
        <f t="shared" si="115"/>
        <v>0</v>
      </c>
      <c r="HC51" s="409">
        <f t="shared" si="115"/>
        <v>0</v>
      </c>
      <c r="HD51" s="409">
        <f t="shared" si="115"/>
        <v>0</v>
      </c>
      <c r="HE51" s="409">
        <f t="shared" si="115"/>
        <v>0</v>
      </c>
      <c r="HF51" s="409">
        <f t="shared" si="115"/>
        <v>0</v>
      </c>
      <c r="HG51" s="409">
        <f t="shared" si="115"/>
        <v>0</v>
      </c>
      <c r="HH51" s="409">
        <f t="shared" si="115"/>
        <v>0</v>
      </c>
      <c r="HI51" s="409">
        <f t="shared" si="115"/>
        <v>0</v>
      </c>
      <c r="HJ51" s="409">
        <f t="shared" si="115"/>
        <v>0</v>
      </c>
      <c r="HK51" s="409">
        <f t="shared" si="116"/>
        <v>0</v>
      </c>
      <c r="HL51" s="409">
        <f t="shared" si="116"/>
        <v>0</v>
      </c>
      <c r="HM51" s="409">
        <f t="shared" si="116"/>
        <v>0</v>
      </c>
      <c r="HN51" s="409">
        <f t="shared" si="116"/>
        <v>0</v>
      </c>
      <c r="HO51" s="409">
        <f t="shared" si="116"/>
        <v>0</v>
      </c>
      <c r="HP51" s="409">
        <f t="shared" si="116"/>
        <v>0</v>
      </c>
      <c r="HQ51" s="409">
        <f t="shared" si="116"/>
        <v>0</v>
      </c>
      <c r="HR51" s="409">
        <f t="shared" si="116"/>
        <v>0</v>
      </c>
      <c r="HS51" s="409">
        <f t="shared" si="116"/>
        <v>0</v>
      </c>
      <c r="HT51" s="409">
        <f t="shared" si="116"/>
        <v>0</v>
      </c>
      <c r="HU51" s="409">
        <f t="shared" si="117"/>
        <v>0</v>
      </c>
      <c r="HV51" s="409">
        <f t="shared" si="117"/>
        <v>0</v>
      </c>
      <c r="HW51" s="409">
        <f t="shared" si="117"/>
        <v>0</v>
      </c>
      <c r="HX51" s="409">
        <f t="shared" si="117"/>
        <v>0</v>
      </c>
      <c r="HY51" s="409">
        <f t="shared" si="117"/>
        <v>0</v>
      </c>
      <c r="HZ51" s="409">
        <f t="shared" si="117"/>
        <v>0</v>
      </c>
      <c r="IA51" s="409">
        <f t="shared" si="117"/>
        <v>0</v>
      </c>
      <c r="IB51" s="409">
        <f t="shared" si="117"/>
        <v>0</v>
      </c>
      <c r="IC51" s="409">
        <f t="shared" si="117"/>
        <v>0</v>
      </c>
      <c r="ID51" s="409">
        <f t="shared" si="117"/>
        <v>0</v>
      </c>
      <c r="IE51" s="409">
        <f t="shared" si="118"/>
        <v>0</v>
      </c>
      <c r="IF51" s="409">
        <f t="shared" si="118"/>
        <v>0</v>
      </c>
      <c r="IG51" s="409">
        <f t="shared" si="118"/>
        <v>0</v>
      </c>
      <c r="IH51" s="409">
        <f t="shared" si="118"/>
        <v>0</v>
      </c>
      <c r="II51" s="409">
        <f t="shared" si="118"/>
        <v>0</v>
      </c>
      <c r="IJ51" s="409">
        <f t="shared" si="118"/>
        <v>0</v>
      </c>
      <c r="IK51" s="378">
        <f t="shared" si="54"/>
        <v>44</v>
      </c>
    </row>
    <row r="52" spans="1:245" hidden="1" x14ac:dyDescent="0.2">
      <c r="A52" s="380" t="str">
        <f t="shared" si="119"/>
        <v>e</v>
      </c>
      <c r="B52" s="712" t="str" cm="1">
        <f t="array" ref="B52">IF(ISERROR(INDEX('Legend(Skid)'!$H$8:$H$9,ROW()-42)),"",INDEX('Legend(Skid)'!$H$8:$H$9,ROW()-42))</f>
        <v/>
      </c>
      <c r="C52" s="712" t="e" cm="1">
        <f t="array" ref="C52">IF(INDEX('Legend(Skid)'!$T$8:$T$9,ROW()-42)=0,"See Legend",INDEX('Legend(Skid)'!$T$8:$T$9,ROW()-42))</f>
        <v>#REF!</v>
      </c>
      <c r="D52" s="712" t="e">
        <f>IF(INDEX('Legend(Skid)'!$R$8:$R$9,(ROW(C52))-42)=0,IF(AND(INDEX('Legend(Skid)'!$D$8:$D$9,(ROW(C52))-41)="CH",INDEX('Legend(Skid)'!$F$8:$F$9,(ROW(C52))-41)="CASE - MANUAL"),INDEX('Legend(Skid)'!$R$8:$R$9,(ROW(C52))-41),IF(INDEX('Legend(Skid)'!$V$8:$V$9,(ROW(C52))-42)&gt;1, "(" &amp; INDEX('Legend(Skid)'!$V$8:$V$9,(ROW(C52))-42) &amp; ") " &amp; INDEX('Legend(Skid)'!$W$8:$W$9,(ROW(C52))-41),INDEX('Legend(Skid)'!$W$8:$W$9,(ROW(C52))-42))),INDEX('Legend(Skid)'!$R$8:$R$9,(ROW(C52))-42))</f>
        <v>#REF!</v>
      </c>
      <c r="E52" s="713" cm="1">
        <f t="array" ref="E52">IF(OR(ISNUMBER(SEARCH("Pump",C52)),ISNUMBER(SEARCH("PH",C52)),ISERROR(INDEX('Legend(Skid)'!$AA$8:$AA$9,ROW()-42))),0,INDEX('Legend(Skid)'!$AA$8:$AA$9,ROW()-42))</f>
        <v>0</v>
      </c>
      <c r="F52" s="714"/>
      <c r="G52" s="714"/>
      <c r="H52" s="714"/>
      <c r="I52" s="714"/>
      <c r="J52" s="714"/>
      <c r="K52" s="890">
        <f t="shared" si="35"/>
        <v>0</v>
      </c>
      <c r="L52" s="718"/>
      <c r="M52" s="719"/>
      <c r="N52" s="972">
        <f t="shared" si="120"/>
        <v>-1</v>
      </c>
      <c r="O52" s="972">
        <f t="shared" si="121"/>
        <v>-1</v>
      </c>
      <c r="P52" s="972">
        <f t="shared" si="122"/>
        <v>-1</v>
      </c>
      <c r="Q52" s="972">
        <f t="shared" si="123"/>
        <v>-1</v>
      </c>
      <c r="R52" s="972">
        <f t="shared" si="124"/>
        <v>-1</v>
      </c>
      <c r="S52" s="972">
        <f t="shared" si="125"/>
        <v>-1</v>
      </c>
      <c r="T52" s="972">
        <f t="shared" si="126"/>
        <v>-1</v>
      </c>
      <c r="U52" s="972">
        <f t="shared" si="127"/>
        <v>-1</v>
      </c>
      <c r="V52" s="972">
        <f t="shared" si="128"/>
        <v>-1</v>
      </c>
      <c r="W52" s="972">
        <f t="shared" si="129"/>
        <v>-1</v>
      </c>
      <c r="X52" s="972">
        <f t="shared" si="130"/>
        <v>-1</v>
      </c>
      <c r="Y52" s="972">
        <f t="shared" si="131"/>
        <v>-1</v>
      </c>
      <c r="Z52" s="972">
        <f t="shared" si="132"/>
        <v>-1</v>
      </c>
      <c r="AA52" s="972">
        <f t="shared" si="133"/>
        <v>-1</v>
      </c>
      <c r="AB52" s="972">
        <f t="shared" si="134"/>
        <v>-1</v>
      </c>
      <c r="AC52" s="972">
        <f t="shared" si="135"/>
        <v>-1</v>
      </c>
      <c r="AD52" s="972">
        <f t="shared" si="136"/>
        <v>-1</v>
      </c>
      <c r="AE52" s="972">
        <f t="shared" si="137"/>
        <v>-1</v>
      </c>
      <c r="AF52" s="972">
        <f t="shared" si="138"/>
        <v>-1</v>
      </c>
      <c r="AG52" s="972">
        <f t="shared" si="139"/>
        <v>-1</v>
      </c>
      <c r="AH52" s="972">
        <f t="shared" si="140"/>
        <v>-1</v>
      </c>
      <c r="AI52" s="972">
        <f t="shared" si="141"/>
        <v>-1</v>
      </c>
      <c r="AJ52" s="972">
        <f t="shared" si="142"/>
        <v>-1</v>
      </c>
      <c r="AK52" s="381" t="str">
        <f>IF(ISERROR(INDEX('Legend(Skid)'!$AI$8:$AI$9,ROW()-42)),"",INDEX('Legend(Skid)'!$AI$8:$AI$9,ROW()-42))</f>
        <v/>
      </c>
      <c r="AL52" s="727" t="str">
        <f t="shared" si="53"/>
        <v/>
      </c>
      <c r="AM52" s="409">
        <f t="shared" si="98"/>
        <v>0</v>
      </c>
      <c r="AN52" s="409">
        <f t="shared" si="98"/>
        <v>0</v>
      </c>
      <c r="AO52" s="409">
        <f t="shared" si="98"/>
        <v>0</v>
      </c>
      <c r="AP52" s="409">
        <f t="shared" si="98"/>
        <v>0</v>
      </c>
      <c r="AQ52" s="409">
        <f t="shared" si="98"/>
        <v>0</v>
      </c>
      <c r="AR52" s="409">
        <f t="shared" si="98"/>
        <v>0</v>
      </c>
      <c r="AS52" s="409">
        <f t="shared" si="98"/>
        <v>0</v>
      </c>
      <c r="AT52" s="409">
        <f t="shared" si="98"/>
        <v>0</v>
      </c>
      <c r="AU52" s="409">
        <f t="shared" si="98"/>
        <v>0</v>
      </c>
      <c r="AV52" s="409">
        <f t="shared" si="98"/>
        <v>0</v>
      </c>
      <c r="AW52" s="409">
        <f t="shared" si="99"/>
        <v>0</v>
      </c>
      <c r="AX52" s="409">
        <f t="shared" si="99"/>
        <v>0</v>
      </c>
      <c r="AY52" s="409">
        <f t="shared" si="99"/>
        <v>0</v>
      </c>
      <c r="AZ52" s="409">
        <f t="shared" si="99"/>
        <v>0</v>
      </c>
      <c r="BA52" s="409">
        <f t="shared" si="99"/>
        <v>0</v>
      </c>
      <c r="BB52" s="409">
        <f t="shared" si="99"/>
        <v>0</v>
      </c>
      <c r="BC52" s="409">
        <f t="shared" si="99"/>
        <v>0</v>
      </c>
      <c r="BD52" s="409">
        <f t="shared" si="99"/>
        <v>0</v>
      </c>
      <c r="BE52" s="409">
        <f t="shared" si="99"/>
        <v>0</v>
      </c>
      <c r="BF52" s="409">
        <f t="shared" si="99"/>
        <v>0</v>
      </c>
      <c r="BG52" s="409">
        <f t="shared" si="100"/>
        <v>0</v>
      </c>
      <c r="BH52" s="409">
        <f t="shared" si="100"/>
        <v>0</v>
      </c>
      <c r="BI52" s="409">
        <f t="shared" si="100"/>
        <v>0</v>
      </c>
      <c r="BJ52" s="409">
        <f t="shared" si="100"/>
        <v>0</v>
      </c>
      <c r="BK52" s="409">
        <f t="shared" si="100"/>
        <v>0</v>
      </c>
      <c r="BL52" s="409">
        <f t="shared" si="100"/>
        <v>0</v>
      </c>
      <c r="BM52" s="409">
        <f t="shared" si="100"/>
        <v>0</v>
      </c>
      <c r="BN52" s="409">
        <f t="shared" si="100"/>
        <v>0</v>
      </c>
      <c r="BO52" s="409">
        <f t="shared" si="100"/>
        <v>0</v>
      </c>
      <c r="BP52" s="409">
        <f t="shared" si="100"/>
        <v>0</v>
      </c>
      <c r="BQ52" s="409">
        <f t="shared" si="101"/>
        <v>0</v>
      </c>
      <c r="BR52" s="409">
        <f t="shared" si="101"/>
        <v>0</v>
      </c>
      <c r="BS52" s="409">
        <f t="shared" si="101"/>
        <v>0</v>
      </c>
      <c r="BT52" s="409">
        <f t="shared" si="101"/>
        <v>0</v>
      </c>
      <c r="BU52" s="409">
        <f t="shared" si="101"/>
        <v>0</v>
      </c>
      <c r="BV52" s="409">
        <f t="shared" si="101"/>
        <v>0</v>
      </c>
      <c r="BW52" s="409">
        <f t="shared" si="101"/>
        <v>0</v>
      </c>
      <c r="BX52" s="409">
        <f t="shared" si="101"/>
        <v>0</v>
      </c>
      <c r="BY52" s="409">
        <f t="shared" si="101"/>
        <v>0</v>
      </c>
      <c r="BZ52" s="409">
        <f t="shared" si="101"/>
        <v>0</v>
      </c>
      <c r="CA52" s="409">
        <f t="shared" si="102"/>
        <v>0</v>
      </c>
      <c r="CB52" s="409">
        <f t="shared" si="102"/>
        <v>0</v>
      </c>
      <c r="CC52" s="409">
        <f t="shared" si="102"/>
        <v>0</v>
      </c>
      <c r="CD52" s="409">
        <f t="shared" si="102"/>
        <v>0</v>
      </c>
      <c r="CE52" s="409">
        <f t="shared" si="102"/>
        <v>0</v>
      </c>
      <c r="CF52" s="409">
        <f t="shared" si="102"/>
        <v>0</v>
      </c>
      <c r="CG52" s="409">
        <f t="shared" si="102"/>
        <v>0</v>
      </c>
      <c r="CH52" s="409">
        <f t="shared" si="102"/>
        <v>0</v>
      </c>
      <c r="CI52" s="409">
        <f t="shared" si="102"/>
        <v>0</v>
      </c>
      <c r="CJ52" s="409">
        <f t="shared" si="102"/>
        <v>0</v>
      </c>
      <c r="CK52" s="409">
        <f t="shared" si="103"/>
        <v>0</v>
      </c>
      <c r="CL52" s="409">
        <f t="shared" si="103"/>
        <v>0</v>
      </c>
      <c r="CM52" s="409">
        <f t="shared" si="103"/>
        <v>0</v>
      </c>
      <c r="CN52" s="409">
        <f t="shared" si="103"/>
        <v>0</v>
      </c>
      <c r="CO52" s="409">
        <f t="shared" si="103"/>
        <v>0</v>
      </c>
      <c r="CP52" s="409">
        <f t="shared" si="103"/>
        <v>0</v>
      </c>
      <c r="CQ52" s="409">
        <f t="shared" si="103"/>
        <v>0</v>
      </c>
      <c r="CR52" s="409">
        <f t="shared" si="103"/>
        <v>0</v>
      </c>
      <c r="CS52" s="409">
        <f t="shared" si="103"/>
        <v>0</v>
      </c>
      <c r="CT52" s="409">
        <f t="shared" si="103"/>
        <v>0</v>
      </c>
      <c r="CU52" s="409">
        <f t="shared" si="104"/>
        <v>0</v>
      </c>
      <c r="CV52" s="409">
        <f t="shared" si="104"/>
        <v>0</v>
      </c>
      <c r="CW52" s="409">
        <f t="shared" si="104"/>
        <v>0</v>
      </c>
      <c r="CX52" s="409">
        <f t="shared" si="104"/>
        <v>0</v>
      </c>
      <c r="CY52" s="409">
        <f t="shared" si="104"/>
        <v>0</v>
      </c>
      <c r="CZ52" s="409">
        <f t="shared" si="104"/>
        <v>0</v>
      </c>
      <c r="DA52" s="409">
        <f t="shared" si="104"/>
        <v>0</v>
      </c>
      <c r="DB52" s="409">
        <f t="shared" si="104"/>
        <v>0</v>
      </c>
      <c r="DC52" s="409">
        <f t="shared" si="104"/>
        <v>0</v>
      </c>
      <c r="DD52" s="409">
        <f t="shared" si="104"/>
        <v>0</v>
      </c>
      <c r="DE52" s="409">
        <f t="shared" si="105"/>
        <v>0</v>
      </c>
      <c r="DF52" s="409">
        <f t="shared" si="105"/>
        <v>0</v>
      </c>
      <c r="DG52" s="409">
        <f t="shared" si="105"/>
        <v>0</v>
      </c>
      <c r="DH52" s="409">
        <f t="shared" si="105"/>
        <v>0</v>
      </c>
      <c r="DI52" s="409">
        <f t="shared" si="105"/>
        <v>0</v>
      </c>
      <c r="DJ52" s="409">
        <f t="shared" si="105"/>
        <v>0</v>
      </c>
      <c r="DK52" s="409">
        <f t="shared" si="105"/>
        <v>0</v>
      </c>
      <c r="DL52" s="409">
        <f t="shared" si="105"/>
        <v>0</v>
      </c>
      <c r="DM52" s="409">
        <f t="shared" si="105"/>
        <v>0</v>
      </c>
      <c r="DN52" s="409">
        <f t="shared" si="105"/>
        <v>0</v>
      </c>
      <c r="DO52" s="409">
        <f t="shared" si="106"/>
        <v>0</v>
      </c>
      <c r="DP52" s="409">
        <f t="shared" si="106"/>
        <v>0</v>
      </c>
      <c r="DQ52" s="409">
        <f t="shared" si="106"/>
        <v>0</v>
      </c>
      <c r="DR52" s="409">
        <f t="shared" si="106"/>
        <v>0</v>
      </c>
      <c r="DS52" s="409">
        <f t="shared" si="106"/>
        <v>0</v>
      </c>
      <c r="DT52" s="409">
        <f t="shared" si="106"/>
        <v>0</v>
      </c>
      <c r="DU52" s="409">
        <f t="shared" si="106"/>
        <v>0</v>
      </c>
      <c r="DV52" s="409">
        <f t="shared" si="106"/>
        <v>0</v>
      </c>
      <c r="DW52" s="409">
        <f t="shared" si="106"/>
        <v>0</v>
      </c>
      <c r="DX52" s="409">
        <f t="shared" si="106"/>
        <v>0</v>
      </c>
      <c r="DY52" s="409">
        <f t="shared" si="107"/>
        <v>0</v>
      </c>
      <c r="DZ52" s="409">
        <f t="shared" si="107"/>
        <v>0</v>
      </c>
      <c r="EA52" s="409">
        <f t="shared" si="107"/>
        <v>0</v>
      </c>
      <c r="EB52" s="409">
        <f t="shared" si="107"/>
        <v>0</v>
      </c>
      <c r="EC52" s="409">
        <f t="shared" si="107"/>
        <v>0</v>
      </c>
      <c r="ED52" s="409">
        <f t="shared" si="107"/>
        <v>0</v>
      </c>
      <c r="EE52" s="409">
        <f t="shared" si="107"/>
        <v>0</v>
      </c>
      <c r="EF52" s="409">
        <f t="shared" si="107"/>
        <v>0</v>
      </c>
      <c r="EG52" s="409">
        <f t="shared" si="107"/>
        <v>0</v>
      </c>
      <c r="EH52" s="409">
        <f t="shared" si="107"/>
        <v>0</v>
      </c>
      <c r="EI52" s="409">
        <f t="shared" si="108"/>
        <v>0</v>
      </c>
      <c r="EJ52" s="409">
        <f t="shared" si="108"/>
        <v>0</v>
      </c>
      <c r="EK52" s="409">
        <f t="shared" si="108"/>
        <v>0</v>
      </c>
      <c r="EL52" s="409">
        <f t="shared" si="108"/>
        <v>0</v>
      </c>
      <c r="EM52" s="409">
        <f t="shared" si="108"/>
        <v>0</v>
      </c>
      <c r="EN52" s="409">
        <f t="shared" si="108"/>
        <v>0</v>
      </c>
      <c r="EO52" s="409">
        <f t="shared" si="108"/>
        <v>0</v>
      </c>
      <c r="EP52" s="409">
        <f t="shared" si="108"/>
        <v>0</v>
      </c>
      <c r="EQ52" s="409">
        <f t="shared" si="108"/>
        <v>0</v>
      </c>
      <c r="ER52" s="409">
        <f t="shared" si="108"/>
        <v>0</v>
      </c>
      <c r="ES52" s="409">
        <f t="shared" si="109"/>
        <v>0</v>
      </c>
      <c r="ET52" s="409">
        <f t="shared" si="109"/>
        <v>0</v>
      </c>
      <c r="EU52" s="409">
        <f t="shared" si="109"/>
        <v>0</v>
      </c>
      <c r="EV52" s="409">
        <f t="shared" si="109"/>
        <v>0</v>
      </c>
      <c r="EW52" s="409">
        <f t="shared" si="109"/>
        <v>0</v>
      </c>
      <c r="EX52" s="409">
        <f t="shared" si="109"/>
        <v>0</v>
      </c>
      <c r="EY52" s="409">
        <f t="shared" si="109"/>
        <v>0</v>
      </c>
      <c r="EZ52" s="409">
        <f t="shared" si="109"/>
        <v>0</v>
      </c>
      <c r="FA52" s="409">
        <f t="shared" si="109"/>
        <v>0</v>
      </c>
      <c r="FB52" s="409">
        <f t="shared" si="109"/>
        <v>0</v>
      </c>
      <c r="FC52" s="409">
        <f t="shared" si="110"/>
        <v>0</v>
      </c>
      <c r="FD52" s="409">
        <f t="shared" si="110"/>
        <v>0</v>
      </c>
      <c r="FE52" s="409">
        <f t="shared" si="110"/>
        <v>0</v>
      </c>
      <c r="FF52" s="409">
        <f t="shared" si="110"/>
        <v>0</v>
      </c>
      <c r="FG52" s="409">
        <f t="shared" si="110"/>
        <v>0</v>
      </c>
      <c r="FH52" s="409">
        <f t="shared" si="110"/>
        <v>0</v>
      </c>
      <c r="FI52" s="409">
        <f t="shared" si="110"/>
        <v>0</v>
      </c>
      <c r="FJ52" s="409">
        <f t="shared" si="110"/>
        <v>0</v>
      </c>
      <c r="FK52" s="409">
        <f t="shared" si="110"/>
        <v>0</v>
      </c>
      <c r="FL52" s="409">
        <f t="shared" si="110"/>
        <v>0</v>
      </c>
      <c r="FM52" s="409">
        <f t="shared" si="111"/>
        <v>0</v>
      </c>
      <c r="FN52" s="409">
        <f t="shared" si="111"/>
        <v>0</v>
      </c>
      <c r="FO52" s="409">
        <f t="shared" si="111"/>
        <v>0</v>
      </c>
      <c r="FP52" s="409">
        <f t="shared" si="111"/>
        <v>0</v>
      </c>
      <c r="FQ52" s="409">
        <f t="shared" si="111"/>
        <v>0</v>
      </c>
      <c r="FR52" s="409">
        <f t="shared" si="111"/>
        <v>0</v>
      </c>
      <c r="FS52" s="409">
        <f t="shared" si="111"/>
        <v>0</v>
      </c>
      <c r="FT52" s="409">
        <f t="shared" si="111"/>
        <v>0</v>
      </c>
      <c r="FU52" s="409">
        <f t="shared" si="111"/>
        <v>0</v>
      </c>
      <c r="FV52" s="409">
        <f t="shared" si="111"/>
        <v>0</v>
      </c>
      <c r="FW52" s="409">
        <f t="shared" si="112"/>
        <v>0</v>
      </c>
      <c r="FX52" s="409">
        <f t="shared" si="112"/>
        <v>0</v>
      </c>
      <c r="FY52" s="409">
        <f t="shared" si="112"/>
        <v>0</v>
      </c>
      <c r="FZ52" s="409">
        <f t="shared" si="112"/>
        <v>0</v>
      </c>
      <c r="GA52" s="409">
        <f t="shared" si="112"/>
        <v>0</v>
      </c>
      <c r="GB52" s="409">
        <f t="shared" si="112"/>
        <v>0</v>
      </c>
      <c r="GC52" s="409">
        <f t="shared" si="112"/>
        <v>0</v>
      </c>
      <c r="GD52" s="409">
        <f t="shared" si="112"/>
        <v>0</v>
      </c>
      <c r="GE52" s="409">
        <f t="shared" si="112"/>
        <v>0</v>
      </c>
      <c r="GF52" s="409">
        <f t="shared" si="112"/>
        <v>0</v>
      </c>
      <c r="GG52" s="409">
        <f t="shared" si="113"/>
        <v>0</v>
      </c>
      <c r="GH52" s="409">
        <f t="shared" si="113"/>
        <v>0</v>
      </c>
      <c r="GI52" s="409">
        <f t="shared" si="113"/>
        <v>0</v>
      </c>
      <c r="GJ52" s="409">
        <f t="shared" si="113"/>
        <v>0</v>
      </c>
      <c r="GK52" s="409">
        <f t="shared" si="113"/>
        <v>0</v>
      </c>
      <c r="GL52" s="409">
        <f t="shared" si="113"/>
        <v>0</v>
      </c>
      <c r="GM52" s="409">
        <f t="shared" si="113"/>
        <v>0</v>
      </c>
      <c r="GN52" s="409">
        <f t="shared" si="113"/>
        <v>0</v>
      </c>
      <c r="GO52" s="409">
        <f t="shared" si="113"/>
        <v>0</v>
      </c>
      <c r="GP52" s="409">
        <f t="shared" si="113"/>
        <v>0</v>
      </c>
      <c r="GQ52" s="409">
        <f t="shared" si="114"/>
        <v>0</v>
      </c>
      <c r="GR52" s="409">
        <f t="shared" si="114"/>
        <v>0</v>
      </c>
      <c r="GS52" s="409">
        <f t="shared" si="114"/>
        <v>0</v>
      </c>
      <c r="GT52" s="409">
        <f t="shared" si="114"/>
        <v>0</v>
      </c>
      <c r="GU52" s="409">
        <f t="shared" si="114"/>
        <v>0</v>
      </c>
      <c r="GV52" s="409">
        <f t="shared" si="114"/>
        <v>0</v>
      </c>
      <c r="GW52" s="409">
        <f t="shared" si="114"/>
        <v>0</v>
      </c>
      <c r="GX52" s="409">
        <f t="shared" si="114"/>
        <v>0</v>
      </c>
      <c r="GY52" s="409">
        <f t="shared" si="114"/>
        <v>0</v>
      </c>
      <c r="GZ52" s="409">
        <f t="shared" si="114"/>
        <v>0</v>
      </c>
      <c r="HA52" s="409">
        <f t="shared" si="115"/>
        <v>0</v>
      </c>
      <c r="HB52" s="409">
        <f t="shared" si="115"/>
        <v>0</v>
      </c>
      <c r="HC52" s="409">
        <f t="shared" si="115"/>
        <v>0</v>
      </c>
      <c r="HD52" s="409">
        <f t="shared" si="115"/>
        <v>0</v>
      </c>
      <c r="HE52" s="409">
        <f t="shared" si="115"/>
        <v>0</v>
      </c>
      <c r="HF52" s="409">
        <f t="shared" si="115"/>
        <v>0</v>
      </c>
      <c r="HG52" s="409">
        <f t="shared" si="115"/>
        <v>0</v>
      </c>
      <c r="HH52" s="409">
        <f t="shared" si="115"/>
        <v>0</v>
      </c>
      <c r="HI52" s="409">
        <f t="shared" si="115"/>
        <v>0</v>
      </c>
      <c r="HJ52" s="409">
        <f t="shared" si="115"/>
        <v>0</v>
      </c>
      <c r="HK52" s="409">
        <f t="shared" si="116"/>
        <v>0</v>
      </c>
      <c r="HL52" s="409">
        <f t="shared" si="116"/>
        <v>0</v>
      </c>
      <c r="HM52" s="409">
        <f t="shared" si="116"/>
        <v>0</v>
      </c>
      <c r="HN52" s="409">
        <f t="shared" si="116"/>
        <v>0</v>
      </c>
      <c r="HO52" s="409">
        <f t="shared" si="116"/>
        <v>0</v>
      </c>
      <c r="HP52" s="409">
        <f t="shared" si="116"/>
        <v>0</v>
      </c>
      <c r="HQ52" s="409">
        <f t="shared" si="116"/>
        <v>0</v>
      </c>
      <c r="HR52" s="409">
        <f t="shared" si="116"/>
        <v>0</v>
      </c>
      <c r="HS52" s="409">
        <f t="shared" si="116"/>
        <v>0</v>
      </c>
      <c r="HT52" s="409">
        <f t="shared" si="116"/>
        <v>0</v>
      </c>
      <c r="HU52" s="409">
        <f t="shared" si="117"/>
        <v>0</v>
      </c>
      <c r="HV52" s="409">
        <f t="shared" si="117"/>
        <v>0</v>
      </c>
      <c r="HW52" s="409">
        <f t="shared" si="117"/>
        <v>0</v>
      </c>
      <c r="HX52" s="409">
        <f t="shared" si="117"/>
        <v>0</v>
      </c>
      <c r="HY52" s="409">
        <f t="shared" si="117"/>
        <v>0</v>
      </c>
      <c r="HZ52" s="409">
        <f t="shared" si="117"/>
        <v>0</v>
      </c>
      <c r="IA52" s="409">
        <f t="shared" si="117"/>
        <v>0</v>
      </c>
      <c r="IB52" s="409">
        <f t="shared" si="117"/>
        <v>0</v>
      </c>
      <c r="IC52" s="409">
        <f t="shared" si="117"/>
        <v>0</v>
      </c>
      <c r="ID52" s="409">
        <f t="shared" si="117"/>
        <v>0</v>
      </c>
      <c r="IE52" s="409">
        <f t="shared" si="118"/>
        <v>0</v>
      </c>
      <c r="IF52" s="409">
        <f t="shared" si="118"/>
        <v>0</v>
      </c>
      <c r="IG52" s="409">
        <f t="shared" si="118"/>
        <v>0</v>
      </c>
      <c r="IH52" s="409">
        <f t="shared" si="118"/>
        <v>0</v>
      </c>
      <c r="II52" s="409">
        <f t="shared" si="118"/>
        <v>0</v>
      </c>
      <c r="IJ52" s="409">
        <f t="shared" si="118"/>
        <v>0</v>
      </c>
      <c r="IK52" s="378">
        <f t="shared" si="54"/>
        <v>45</v>
      </c>
    </row>
    <row r="53" spans="1:245" hidden="1" x14ac:dyDescent="0.2">
      <c r="A53" s="380" t="str">
        <f t="shared" si="119"/>
        <v>e</v>
      </c>
      <c r="B53" s="712" t="str" cm="1">
        <f t="array" ref="B53">IF(ISERROR(INDEX('Legend(Skid)'!$H$8:$H$9,ROW()-42)),"",INDEX('Legend(Skid)'!$H$8:$H$9,ROW()-42))</f>
        <v/>
      </c>
      <c r="C53" s="712" t="e" cm="1">
        <f t="array" ref="C53">IF(INDEX('Legend(Skid)'!$T$8:$T$9,ROW()-42)=0,"See Legend",INDEX('Legend(Skid)'!$T$8:$T$9,ROW()-42))</f>
        <v>#REF!</v>
      </c>
      <c r="D53" s="712" t="e">
        <f>IF(INDEX('Legend(Skid)'!$R$8:$R$9,(ROW(C53))-42)=0,IF(AND(INDEX('Legend(Skid)'!$D$8:$D$9,(ROW(C53))-41)="CH",INDEX('Legend(Skid)'!$F$8:$F$9,(ROW(C53))-41)="CASE - MANUAL"),INDEX('Legend(Skid)'!$R$8:$R$9,(ROW(C53))-41),IF(INDEX('Legend(Skid)'!$V$8:$V$9,(ROW(C53))-42)&gt;1, "(" &amp; INDEX('Legend(Skid)'!$V$8:$V$9,(ROW(C53))-42) &amp; ") " &amp; INDEX('Legend(Skid)'!$W$8:$W$9,(ROW(C53))-41),INDEX('Legend(Skid)'!$W$8:$W$9,(ROW(C53))-42))),INDEX('Legend(Skid)'!$R$8:$R$9,(ROW(C53))-42))</f>
        <v>#REF!</v>
      </c>
      <c r="E53" s="713" cm="1">
        <f t="array" ref="E53">IF(OR(ISNUMBER(SEARCH("Pump",C53)),ISNUMBER(SEARCH("PH",C53)),ISERROR(INDEX('Legend(Skid)'!$AA$8:$AA$9,ROW()-42))),0,INDEX('Legend(Skid)'!$AA$8:$AA$9,ROW()-42))</f>
        <v>0</v>
      </c>
      <c r="F53" s="714"/>
      <c r="G53" s="714"/>
      <c r="H53" s="714"/>
      <c r="I53" s="714"/>
      <c r="J53" s="714"/>
      <c r="K53" s="890">
        <f t="shared" si="35"/>
        <v>0</v>
      </c>
      <c r="L53" s="718"/>
      <c r="M53" s="719"/>
      <c r="N53" s="972">
        <f t="shared" si="120"/>
        <v>-1</v>
      </c>
      <c r="O53" s="972">
        <f t="shared" si="121"/>
        <v>-1</v>
      </c>
      <c r="P53" s="972">
        <f t="shared" si="122"/>
        <v>-1</v>
      </c>
      <c r="Q53" s="972">
        <f t="shared" si="123"/>
        <v>-1</v>
      </c>
      <c r="R53" s="972">
        <f t="shared" si="124"/>
        <v>-1</v>
      </c>
      <c r="S53" s="972">
        <f t="shared" si="125"/>
        <v>-1</v>
      </c>
      <c r="T53" s="972">
        <f t="shared" si="126"/>
        <v>-1</v>
      </c>
      <c r="U53" s="972">
        <f t="shared" si="127"/>
        <v>-1</v>
      </c>
      <c r="V53" s="972">
        <f t="shared" si="128"/>
        <v>-1</v>
      </c>
      <c r="W53" s="972">
        <f t="shared" si="129"/>
        <v>-1</v>
      </c>
      <c r="X53" s="972">
        <f t="shared" si="130"/>
        <v>-1</v>
      </c>
      <c r="Y53" s="972">
        <f t="shared" si="131"/>
        <v>-1</v>
      </c>
      <c r="Z53" s="972">
        <f t="shared" si="132"/>
        <v>-1</v>
      </c>
      <c r="AA53" s="972">
        <f t="shared" si="133"/>
        <v>-1</v>
      </c>
      <c r="AB53" s="972">
        <f t="shared" si="134"/>
        <v>-1</v>
      </c>
      <c r="AC53" s="972">
        <f t="shared" si="135"/>
        <v>-1</v>
      </c>
      <c r="AD53" s="972">
        <f t="shared" si="136"/>
        <v>-1</v>
      </c>
      <c r="AE53" s="972">
        <f t="shared" si="137"/>
        <v>-1</v>
      </c>
      <c r="AF53" s="972">
        <f t="shared" si="138"/>
        <v>-1</v>
      </c>
      <c r="AG53" s="972">
        <f t="shared" si="139"/>
        <v>-1</v>
      </c>
      <c r="AH53" s="972">
        <f t="shared" si="140"/>
        <v>-1</v>
      </c>
      <c r="AI53" s="972">
        <f t="shared" si="141"/>
        <v>-1</v>
      </c>
      <c r="AJ53" s="972">
        <f t="shared" si="142"/>
        <v>-1</v>
      </c>
      <c r="AK53" s="381" t="str">
        <f>IF(ISERROR(INDEX('Legend(Skid)'!$AI$8:$AI$9,ROW()-42)),"",INDEX('Legend(Skid)'!$AI$8:$AI$9,ROW()-42))</f>
        <v/>
      </c>
      <c r="AL53" s="727" t="str">
        <f t="shared" si="53"/>
        <v/>
      </c>
      <c r="AM53" s="409">
        <f t="shared" si="98"/>
        <v>0</v>
      </c>
      <c r="AN53" s="409">
        <f t="shared" si="98"/>
        <v>0</v>
      </c>
      <c r="AO53" s="409">
        <f t="shared" si="98"/>
        <v>0</v>
      </c>
      <c r="AP53" s="409">
        <f t="shared" si="98"/>
        <v>0</v>
      </c>
      <c r="AQ53" s="409">
        <f t="shared" si="98"/>
        <v>0</v>
      </c>
      <c r="AR53" s="409">
        <f t="shared" si="98"/>
        <v>0</v>
      </c>
      <c r="AS53" s="409">
        <f t="shared" si="98"/>
        <v>0</v>
      </c>
      <c r="AT53" s="409">
        <f t="shared" si="98"/>
        <v>0</v>
      </c>
      <c r="AU53" s="409">
        <f t="shared" si="98"/>
        <v>0</v>
      </c>
      <c r="AV53" s="409">
        <f t="shared" si="98"/>
        <v>0</v>
      </c>
      <c r="AW53" s="409">
        <f t="shared" si="99"/>
        <v>0</v>
      </c>
      <c r="AX53" s="409">
        <f t="shared" si="99"/>
        <v>0</v>
      </c>
      <c r="AY53" s="409">
        <f t="shared" si="99"/>
        <v>0</v>
      </c>
      <c r="AZ53" s="409">
        <f t="shared" si="99"/>
        <v>0</v>
      </c>
      <c r="BA53" s="409">
        <f t="shared" si="99"/>
        <v>0</v>
      </c>
      <c r="BB53" s="409">
        <f t="shared" si="99"/>
        <v>0</v>
      </c>
      <c r="BC53" s="409">
        <f t="shared" si="99"/>
        <v>0</v>
      </c>
      <c r="BD53" s="409">
        <f t="shared" si="99"/>
        <v>0</v>
      </c>
      <c r="BE53" s="409">
        <f t="shared" si="99"/>
        <v>0</v>
      </c>
      <c r="BF53" s="409">
        <f t="shared" si="99"/>
        <v>0</v>
      </c>
      <c r="BG53" s="409">
        <f t="shared" si="100"/>
        <v>0</v>
      </c>
      <c r="BH53" s="409">
        <f t="shared" si="100"/>
        <v>0</v>
      </c>
      <c r="BI53" s="409">
        <f t="shared" si="100"/>
        <v>0</v>
      </c>
      <c r="BJ53" s="409">
        <f t="shared" si="100"/>
        <v>0</v>
      </c>
      <c r="BK53" s="409">
        <f t="shared" si="100"/>
        <v>0</v>
      </c>
      <c r="BL53" s="409">
        <f t="shared" si="100"/>
        <v>0</v>
      </c>
      <c r="BM53" s="409">
        <f t="shared" si="100"/>
        <v>0</v>
      </c>
      <c r="BN53" s="409">
        <f t="shared" si="100"/>
        <v>0</v>
      </c>
      <c r="BO53" s="409">
        <f t="shared" si="100"/>
        <v>0</v>
      </c>
      <c r="BP53" s="409">
        <f t="shared" si="100"/>
        <v>0</v>
      </c>
      <c r="BQ53" s="409">
        <f t="shared" si="101"/>
        <v>0</v>
      </c>
      <c r="BR53" s="409">
        <f t="shared" si="101"/>
        <v>0</v>
      </c>
      <c r="BS53" s="409">
        <f t="shared" si="101"/>
        <v>0</v>
      </c>
      <c r="BT53" s="409">
        <f t="shared" si="101"/>
        <v>0</v>
      </c>
      <c r="BU53" s="409">
        <f t="shared" si="101"/>
        <v>0</v>
      </c>
      <c r="BV53" s="409">
        <f t="shared" si="101"/>
        <v>0</v>
      </c>
      <c r="BW53" s="409">
        <f t="shared" si="101"/>
        <v>0</v>
      </c>
      <c r="BX53" s="409">
        <f t="shared" si="101"/>
        <v>0</v>
      </c>
      <c r="BY53" s="409">
        <f t="shared" si="101"/>
        <v>0</v>
      </c>
      <c r="BZ53" s="409">
        <f t="shared" si="101"/>
        <v>0</v>
      </c>
      <c r="CA53" s="409">
        <f t="shared" si="102"/>
        <v>0</v>
      </c>
      <c r="CB53" s="409">
        <f t="shared" si="102"/>
        <v>0</v>
      </c>
      <c r="CC53" s="409">
        <f t="shared" si="102"/>
        <v>0</v>
      </c>
      <c r="CD53" s="409">
        <f t="shared" si="102"/>
        <v>0</v>
      </c>
      <c r="CE53" s="409">
        <f t="shared" si="102"/>
        <v>0</v>
      </c>
      <c r="CF53" s="409">
        <f t="shared" si="102"/>
        <v>0</v>
      </c>
      <c r="CG53" s="409">
        <f t="shared" si="102"/>
        <v>0</v>
      </c>
      <c r="CH53" s="409">
        <f t="shared" si="102"/>
        <v>0</v>
      </c>
      <c r="CI53" s="409">
        <f t="shared" si="102"/>
        <v>0</v>
      </c>
      <c r="CJ53" s="409">
        <f t="shared" si="102"/>
        <v>0</v>
      </c>
      <c r="CK53" s="409">
        <f t="shared" si="103"/>
        <v>0</v>
      </c>
      <c r="CL53" s="409">
        <f t="shared" si="103"/>
        <v>0</v>
      </c>
      <c r="CM53" s="409">
        <f t="shared" si="103"/>
        <v>0</v>
      </c>
      <c r="CN53" s="409">
        <f t="shared" si="103"/>
        <v>0</v>
      </c>
      <c r="CO53" s="409">
        <f t="shared" si="103"/>
        <v>0</v>
      </c>
      <c r="CP53" s="409">
        <f t="shared" si="103"/>
        <v>0</v>
      </c>
      <c r="CQ53" s="409">
        <f t="shared" si="103"/>
        <v>0</v>
      </c>
      <c r="CR53" s="409">
        <f t="shared" si="103"/>
        <v>0</v>
      </c>
      <c r="CS53" s="409">
        <f t="shared" si="103"/>
        <v>0</v>
      </c>
      <c r="CT53" s="409">
        <f t="shared" si="103"/>
        <v>0</v>
      </c>
      <c r="CU53" s="409">
        <f t="shared" si="104"/>
        <v>0</v>
      </c>
      <c r="CV53" s="409">
        <f t="shared" si="104"/>
        <v>0</v>
      </c>
      <c r="CW53" s="409">
        <f t="shared" si="104"/>
        <v>0</v>
      </c>
      <c r="CX53" s="409">
        <f t="shared" si="104"/>
        <v>0</v>
      </c>
      <c r="CY53" s="409">
        <f t="shared" si="104"/>
        <v>0</v>
      </c>
      <c r="CZ53" s="409">
        <f t="shared" si="104"/>
        <v>0</v>
      </c>
      <c r="DA53" s="409">
        <f t="shared" si="104"/>
        <v>0</v>
      </c>
      <c r="DB53" s="409">
        <f t="shared" si="104"/>
        <v>0</v>
      </c>
      <c r="DC53" s="409">
        <f t="shared" si="104"/>
        <v>0</v>
      </c>
      <c r="DD53" s="409">
        <f t="shared" si="104"/>
        <v>0</v>
      </c>
      <c r="DE53" s="409">
        <f t="shared" si="105"/>
        <v>0</v>
      </c>
      <c r="DF53" s="409">
        <f t="shared" si="105"/>
        <v>0</v>
      </c>
      <c r="DG53" s="409">
        <f t="shared" si="105"/>
        <v>0</v>
      </c>
      <c r="DH53" s="409">
        <f t="shared" si="105"/>
        <v>0</v>
      </c>
      <c r="DI53" s="409">
        <f t="shared" si="105"/>
        <v>0</v>
      </c>
      <c r="DJ53" s="409">
        <f t="shared" si="105"/>
        <v>0</v>
      </c>
      <c r="DK53" s="409">
        <f t="shared" si="105"/>
        <v>0</v>
      </c>
      <c r="DL53" s="409">
        <f t="shared" si="105"/>
        <v>0</v>
      </c>
      <c r="DM53" s="409">
        <f t="shared" si="105"/>
        <v>0</v>
      </c>
      <c r="DN53" s="409">
        <f t="shared" si="105"/>
        <v>0</v>
      </c>
      <c r="DO53" s="409">
        <f t="shared" si="106"/>
        <v>0</v>
      </c>
      <c r="DP53" s="409">
        <f t="shared" si="106"/>
        <v>0</v>
      </c>
      <c r="DQ53" s="409">
        <f t="shared" si="106"/>
        <v>0</v>
      </c>
      <c r="DR53" s="409">
        <f t="shared" si="106"/>
        <v>0</v>
      </c>
      <c r="DS53" s="409">
        <f t="shared" si="106"/>
        <v>0</v>
      </c>
      <c r="DT53" s="409">
        <f t="shared" si="106"/>
        <v>0</v>
      </c>
      <c r="DU53" s="409">
        <f t="shared" si="106"/>
        <v>0</v>
      </c>
      <c r="DV53" s="409">
        <f t="shared" si="106"/>
        <v>0</v>
      </c>
      <c r="DW53" s="409">
        <f t="shared" si="106"/>
        <v>0</v>
      </c>
      <c r="DX53" s="409">
        <f t="shared" si="106"/>
        <v>0</v>
      </c>
      <c r="DY53" s="409">
        <f t="shared" si="107"/>
        <v>0</v>
      </c>
      <c r="DZ53" s="409">
        <f t="shared" si="107"/>
        <v>0</v>
      </c>
      <c r="EA53" s="409">
        <f t="shared" si="107"/>
        <v>0</v>
      </c>
      <c r="EB53" s="409">
        <f t="shared" si="107"/>
        <v>0</v>
      </c>
      <c r="EC53" s="409">
        <f t="shared" si="107"/>
        <v>0</v>
      </c>
      <c r="ED53" s="409">
        <f t="shared" si="107"/>
        <v>0</v>
      </c>
      <c r="EE53" s="409">
        <f t="shared" si="107"/>
        <v>0</v>
      </c>
      <c r="EF53" s="409">
        <f t="shared" si="107"/>
        <v>0</v>
      </c>
      <c r="EG53" s="409">
        <f t="shared" si="107"/>
        <v>0</v>
      </c>
      <c r="EH53" s="409">
        <f t="shared" si="107"/>
        <v>0</v>
      </c>
      <c r="EI53" s="409">
        <f t="shared" si="108"/>
        <v>0</v>
      </c>
      <c r="EJ53" s="409">
        <f t="shared" si="108"/>
        <v>0</v>
      </c>
      <c r="EK53" s="409">
        <f t="shared" si="108"/>
        <v>0</v>
      </c>
      <c r="EL53" s="409">
        <f t="shared" si="108"/>
        <v>0</v>
      </c>
      <c r="EM53" s="409">
        <f t="shared" si="108"/>
        <v>0</v>
      </c>
      <c r="EN53" s="409">
        <f t="shared" si="108"/>
        <v>0</v>
      </c>
      <c r="EO53" s="409">
        <f t="shared" si="108"/>
        <v>0</v>
      </c>
      <c r="EP53" s="409">
        <f t="shared" si="108"/>
        <v>0</v>
      </c>
      <c r="EQ53" s="409">
        <f t="shared" si="108"/>
        <v>0</v>
      </c>
      <c r="ER53" s="409">
        <f t="shared" si="108"/>
        <v>0</v>
      </c>
      <c r="ES53" s="409">
        <f t="shared" si="109"/>
        <v>0</v>
      </c>
      <c r="ET53" s="409">
        <f t="shared" si="109"/>
        <v>0</v>
      </c>
      <c r="EU53" s="409">
        <f t="shared" si="109"/>
        <v>0</v>
      </c>
      <c r="EV53" s="409">
        <f t="shared" si="109"/>
        <v>0</v>
      </c>
      <c r="EW53" s="409">
        <f t="shared" si="109"/>
        <v>0</v>
      </c>
      <c r="EX53" s="409">
        <f t="shared" si="109"/>
        <v>0</v>
      </c>
      <c r="EY53" s="409">
        <f t="shared" si="109"/>
        <v>0</v>
      </c>
      <c r="EZ53" s="409">
        <f t="shared" si="109"/>
        <v>0</v>
      </c>
      <c r="FA53" s="409">
        <f t="shared" si="109"/>
        <v>0</v>
      </c>
      <c r="FB53" s="409">
        <f t="shared" si="109"/>
        <v>0</v>
      </c>
      <c r="FC53" s="409">
        <f t="shared" si="110"/>
        <v>0</v>
      </c>
      <c r="FD53" s="409">
        <f t="shared" si="110"/>
        <v>0</v>
      </c>
      <c r="FE53" s="409">
        <f t="shared" si="110"/>
        <v>0</v>
      </c>
      <c r="FF53" s="409">
        <f t="shared" si="110"/>
        <v>0</v>
      </c>
      <c r="FG53" s="409">
        <f t="shared" si="110"/>
        <v>0</v>
      </c>
      <c r="FH53" s="409">
        <f t="shared" si="110"/>
        <v>0</v>
      </c>
      <c r="FI53" s="409">
        <f t="shared" si="110"/>
        <v>0</v>
      </c>
      <c r="FJ53" s="409">
        <f t="shared" si="110"/>
        <v>0</v>
      </c>
      <c r="FK53" s="409">
        <f t="shared" si="110"/>
        <v>0</v>
      </c>
      <c r="FL53" s="409">
        <f t="shared" si="110"/>
        <v>0</v>
      </c>
      <c r="FM53" s="409">
        <f t="shared" si="111"/>
        <v>0</v>
      </c>
      <c r="FN53" s="409">
        <f t="shared" si="111"/>
        <v>0</v>
      </c>
      <c r="FO53" s="409">
        <f t="shared" si="111"/>
        <v>0</v>
      </c>
      <c r="FP53" s="409">
        <f t="shared" si="111"/>
        <v>0</v>
      </c>
      <c r="FQ53" s="409">
        <f t="shared" si="111"/>
        <v>0</v>
      </c>
      <c r="FR53" s="409">
        <f t="shared" si="111"/>
        <v>0</v>
      </c>
      <c r="FS53" s="409">
        <f t="shared" si="111"/>
        <v>0</v>
      </c>
      <c r="FT53" s="409">
        <f t="shared" si="111"/>
        <v>0</v>
      </c>
      <c r="FU53" s="409">
        <f t="shared" si="111"/>
        <v>0</v>
      </c>
      <c r="FV53" s="409">
        <f t="shared" si="111"/>
        <v>0</v>
      </c>
      <c r="FW53" s="409">
        <f t="shared" si="112"/>
        <v>0</v>
      </c>
      <c r="FX53" s="409">
        <f t="shared" si="112"/>
        <v>0</v>
      </c>
      <c r="FY53" s="409">
        <f t="shared" si="112"/>
        <v>0</v>
      </c>
      <c r="FZ53" s="409">
        <f t="shared" si="112"/>
        <v>0</v>
      </c>
      <c r="GA53" s="409">
        <f t="shared" si="112"/>
        <v>0</v>
      </c>
      <c r="GB53" s="409">
        <f t="shared" si="112"/>
        <v>0</v>
      </c>
      <c r="GC53" s="409">
        <f t="shared" si="112"/>
        <v>0</v>
      </c>
      <c r="GD53" s="409">
        <f t="shared" si="112"/>
        <v>0</v>
      </c>
      <c r="GE53" s="409">
        <f t="shared" si="112"/>
        <v>0</v>
      </c>
      <c r="GF53" s="409">
        <f t="shared" si="112"/>
        <v>0</v>
      </c>
      <c r="GG53" s="409">
        <f t="shared" si="113"/>
        <v>0</v>
      </c>
      <c r="GH53" s="409">
        <f t="shared" si="113"/>
        <v>0</v>
      </c>
      <c r="GI53" s="409">
        <f t="shared" si="113"/>
        <v>0</v>
      </c>
      <c r="GJ53" s="409">
        <f t="shared" si="113"/>
        <v>0</v>
      </c>
      <c r="GK53" s="409">
        <f t="shared" si="113"/>
        <v>0</v>
      </c>
      <c r="GL53" s="409">
        <f t="shared" si="113"/>
        <v>0</v>
      </c>
      <c r="GM53" s="409">
        <f t="shared" si="113"/>
        <v>0</v>
      </c>
      <c r="GN53" s="409">
        <f t="shared" si="113"/>
        <v>0</v>
      </c>
      <c r="GO53" s="409">
        <f t="shared" si="113"/>
        <v>0</v>
      </c>
      <c r="GP53" s="409">
        <f t="shared" si="113"/>
        <v>0</v>
      </c>
      <c r="GQ53" s="409">
        <f t="shared" si="114"/>
        <v>0</v>
      </c>
      <c r="GR53" s="409">
        <f t="shared" si="114"/>
        <v>0</v>
      </c>
      <c r="GS53" s="409">
        <f t="shared" si="114"/>
        <v>0</v>
      </c>
      <c r="GT53" s="409">
        <f t="shared" si="114"/>
        <v>0</v>
      </c>
      <c r="GU53" s="409">
        <f t="shared" si="114"/>
        <v>0</v>
      </c>
      <c r="GV53" s="409">
        <f t="shared" si="114"/>
        <v>0</v>
      </c>
      <c r="GW53" s="409">
        <f t="shared" si="114"/>
        <v>0</v>
      </c>
      <c r="GX53" s="409">
        <f t="shared" si="114"/>
        <v>0</v>
      </c>
      <c r="GY53" s="409">
        <f t="shared" si="114"/>
        <v>0</v>
      </c>
      <c r="GZ53" s="409">
        <f t="shared" si="114"/>
        <v>0</v>
      </c>
      <c r="HA53" s="409">
        <f t="shared" si="115"/>
        <v>0</v>
      </c>
      <c r="HB53" s="409">
        <f t="shared" si="115"/>
        <v>0</v>
      </c>
      <c r="HC53" s="409">
        <f t="shared" si="115"/>
        <v>0</v>
      </c>
      <c r="HD53" s="409">
        <f t="shared" si="115"/>
        <v>0</v>
      </c>
      <c r="HE53" s="409">
        <f t="shared" si="115"/>
        <v>0</v>
      </c>
      <c r="HF53" s="409">
        <f t="shared" si="115"/>
        <v>0</v>
      </c>
      <c r="HG53" s="409">
        <f t="shared" si="115"/>
        <v>0</v>
      </c>
      <c r="HH53" s="409">
        <f t="shared" si="115"/>
        <v>0</v>
      </c>
      <c r="HI53" s="409">
        <f t="shared" si="115"/>
        <v>0</v>
      </c>
      <c r="HJ53" s="409">
        <f t="shared" si="115"/>
        <v>0</v>
      </c>
      <c r="HK53" s="409">
        <f t="shared" si="116"/>
        <v>0</v>
      </c>
      <c r="HL53" s="409">
        <f t="shared" si="116"/>
        <v>0</v>
      </c>
      <c r="HM53" s="409">
        <f t="shared" si="116"/>
        <v>0</v>
      </c>
      <c r="HN53" s="409">
        <f t="shared" si="116"/>
        <v>0</v>
      </c>
      <c r="HO53" s="409">
        <f t="shared" si="116"/>
        <v>0</v>
      </c>
      <c r="HP53" s="409">
        <f t="shared" si="116"/>
        <v>0</v>
      </c>
      <c r="HQ53" s="409">
        <f t="shared" si="116"/>
        <v>0</v>
      </c>
      <c r="HR53" s="409">
        <f t="shared" si="116"/>
        <v>0</v>
      </c>
      <c r="HS53" s="409">
        <f t="shared" si="116"/>
        <v>0</v>
      </c>
      <c r="HT53" s="409">
        <f t="shared" si="116"/>
        <v>0</v>
      </c>
      <c r="HU53" s="409">
        <f t="shared" si="117"/>
        <v>0</v>
      </c>
      <c r="HV53" s="409">
        <f t="shared" si="117"/>
        <v>0</v>
      </c>
      <c r="HW53" s="409">
        <f t="shared" si="117"/>
        <v>0</v>
      </c>
      <c r="HX53" s="409">
        <f t="shared" si="117"/>
        <v>0</v>
      </c>
      <c r="HY53" s="409">
        <f t="shared" si="117"/>
        <v>0</v>
      </c>
      <c r="HZ53" s="409">
        <f t="shared" si="117"/>
        <v>0</v>
      </c>
      <c r="IA53" s="409">
        <f t="shared" si="117"/>
        <v>0</v>
      </c>
      <c r="IB53" s="409">
        <f t="shared" si="117"/>
        <v>0</v>
      </c>
      <c r="IC53" s="409">
        <f t="shared" si="117"/>
        <v>0</v>
      </c>
      <c r="ID53" s="409">
        <f t="shared" si="117"/>
        <v>0</v>
      </c>
      <c r="IE53" s="409">
        <f t="shared" si="118"/>
        <v>0</v>
      </c>
      <c r="IF53" s="409">
        <f t="shared" si="118"/>
        <v>0</v>
      </c>
      <c r="IG53" s="409">
        <f t="shared" si="118"/>
        <v>0</v>
      </c>
      <c r="IH53" s="409">
        <f t="shared" si="118"/>
        <v>0</v>
      </c>
      <c r="II53" s="409">
        <f t="shared" si="118"/>
        <v>0</v>
      </c>
      <c r="IJ53" s="409">
        <f t="shared" si="118"/>
        <v>0</v>
      </c>
      <c r="IK53" s="378">
        <f t="shared" si="54"/>
        <v>46</v>
      </c>
    </row>
    <row r="54" spans="1:245" hidden="1" x14ac:dyDescent="0.2">
      <c r="A54" s="380" t="str">
        <f t="shared" si="119"/>
        <v>e</v>
      </c>
      <c r="B54" s="712" t="str" cm="1">
        <f t="array" ref="B54">IF(ISERROR(INDEX('Legend(Skid)'!$H$8:$H$9,ROW()-42)),"",INDEX('Legend(Skid)'!$H$8:$H$9,ROW()-42))</f>
        <v/>
      </c>
      <c r="C54" s="712" t="e" cm="1">
        <f t="array" ref="C54">IF(INDEX('Legend(Skid)'!$T$8:$T$9,ROW()-42)=0,"See Legend",INDEX('Legend(Skid)'!$T$8:$T$9,ROW()-42))</f>
        <v>#REF!</v>
      </c>
      <c r="D54" s="712" t="e">
        <f>IF(INDEX('Legend(Skid)'!$R$8:$R$9,(ROW(C54))-42)=0,IF(AND(INDEX('Legend(Skid)'!$D$8:$D$9,(ROW(C54))-41)="CH",INDEX('Legend(Skid)'!$F$8:$F$9,(ROW(C54))-41)="CASE - MANUAL"),INDEX('Legend(Skid)'!$R$8:$R$9,(ROW(C54))-41),IF(INDEX('Legend(Skid)'!$V$8:$V$9,(ROW(C54))-42)&gt;1, "(" &amp; INDEX('Legend(Skid)'!$V$8:$V$9,(ROW(C54))-42) &amp; ") " &amp; INDEX('Legend(Skid)'!$W$8:$W$9,(ROW(C54))-41),INDEX('Legend(Skid)'!$W$8:$W$9,(ROW(C54))-42))),INDEX('Legend(Skid)'!$R$8:$R$9,(ROW(C54))-42))</f>
        <v>#REF!</v>
      </c>
      <c r="E54" s="713" cm="1">
        <f t="array" ref="E54">IF(OR(ISNUMBER(SEARCH("Pump",C54)),ISNUMBER(SEARCH("PH",C54)),ISERROR(INDEX('Legend(Skid)'!$AA$8:$AA$9,ROW()-42))),0,INDEX('Legend(Skid)'!$AA$8:$AA$9,ROW()-42))</f>
        <v>0</v>
      </c>
      <c r="F54" s="714"/>
      <c r="G54" s="714"/>
      <c r="H54" s="714"/>
      <c r="I54" s="714"/>
      <c r="J54" s="714"/>
      <c r="K54" s="890">
        <f t="shared" si="35"/>
        <v>0</v>
      </c>
      <c r="L54" s="718"/>
      <c r="M54" s="719"/>
      <c r="N54" s="972">
        <f t="shared" si="120"/>
        <v>-1</v>
      </c>
      <c r="O54" s="972">
        <f t="shared" si="121"/>
        <v>-1</v>
      </c>
      <c r="P54" s="972">
        <f t="shared" si="122"/>
        <v>-1</v>
      </c>
      <c r="Q54" s="972">
        <f t="shared" si="123"/>
        <v>-1</v>
      </c>
      <c r="R54" s="972">
        <f t="shared" si="124"/>
        <v>-1</v>
      </c>
      <c r="S54" s="972">
        <f t="shared" si="125"/>
        <v>-1</v>
      </c>
      <c r="T54" s="972">
        <f t="shared" si="126"/>
        <v>-1</v>
      </c>
      <c r="U54" s="972">
        <f t="shared" si="127"/>
        <v>-1</v>
      </c>
      <c r="V54" s="972">
        <f t="shared" si="128"/>
        <v>-1</v>
      </c>
      <c r="W54" s="972">
        <f t="shared" si="129"/>
        <v>-1</v>
      </c>
      <c r="X54" s="972">
        <f t="shared" si="130"/>
        <v>-1</v>
      </c>
      <c r="Y54" s="972">
        <f t="shared" si="131"/>
        <v>-1</v>
      </c>
      <c r="Z54" s="972">
        <f t="shared" si="132"/>
        <v>-1</v>
      </c>
      <c r="AA54" s="972">
        <f t="shared" si="133"/>
        <v>-1</v>
      </c>
      <c r="AB54" s="972">
        <f t="shared" si="134"/>
        <v>-1</v>
      </c>
      <c r="AC54" s="972">
        <f t="shared" si="135"/>
        <v>-1</v>
      </c>
      <c r="AD54" s="972">
        <f t="shared" si="136"/>
        <v>-1</v>
      </c>
      <c r="AE54" s="972">
        <f t="shared" si="137"/>
        <v>-1</v>
      </c>
      <c r="AF54" s="972">
        <f t="shared" si="138"/>
        <v>-1</v>
      </c>
      <c r="AG54" s="972">
        <f t="shared" si="139"/>
        <v>-1</v>
      </c>
      <c r="AH54" s="972">
        <f t="shared" si="140"/>
        <v>-1</v>
      </c>
      <c r="AI54" s="972">
        <f t="shared" si="141"/>
        <v>-1</v>
      </c>
      <c r="AJ54" s="972">
        <f t="shared" si="142"/>
        <v>-1</v>
      </c>
      <c r="AK54" s="381" t="str">
        <f>IF(ISERROR(INDEX('Legend(Skid)'!$AI$8:$AI$9,ROW()-42)),"",INDEX('Legend(Skid)'!$AI$8:$AI$9,ROW()-42))</f>
        <v/>
      </c>
      <c r="AL54" s="727" t="str">
        <f t="shared" si="53"/>
        <v/>
      </c>
      <c r="AM54" s="409">
        <f t="shared" si="98"/>
        <v>0</v>
      </c>
      <c r="AN54" s="409">
        <f t="shared" si="98"/>
        <v>0</v>
      </c>
      <c r="AO54" s="409">
        <f t="shared" si="98"/>
        <v>0</v>
      </c>
      <c r="AP54" s="409">
        <f t="shared" si="98"/>
        <v>0</v>
      </c>
      <c r="AQ54" s="409">
        <f t="shared" si="98"/>
        <v>0</v>
      </c>
      <c r="AR54" s="409">
        <f t="shared" si="98"/>
        <v>0</v>
      </c>
      <c r="AS54" s="409">
        <f t="shared" si="98"/>
        <v>0</v>
      </c>
      <c r="AT54" s="409">
        <f t="shared" si="98"/>
        <v>0</v>
      </c>
      <c r="AU54" s="409">
        <f t="shared" si="98"/>
        <v>0</v>
      </c>
      <c r="AV54" s="409">
        <f t="shared" si="98"/>
        <v>0</v>
      </c>
      <c r="AW54" s="409">
        <f t="shared" si="99"/>
        <v>0</v>
      </c>
      <c r="AX54" s="409">
        <f t="shared" si="99"/>
        <v>0</v>
      </c>
      <c r="AY54" s="409">
        <f t="shared" si="99"/>
        <v>0</v>
      </c>
      <c r="AZ54" s="409">
        <f t="shared" si="99"/>
        <v>0</v>
      </c>
      <c r="BA54" s="409">
        <f t="shared" si="99"/>
        <v>0</v>
      </c>
      <c r="BB54" s="409">
        <f t="shared" si="99"/>
        <v>0</v>
      </c>
      <c r="BC54" s="409">
        <f t="shared" si="99"/>
        <v>0</v>
      </c>
      <c r="BD54" s="409">
        <f t="shared" si="99"/>
        <v>0</v>
      </c>
      <c r="BE54" s="409">
        <f t="shared" si="99"/>
        <v>0</v>
      </c>
      <c r="BF54" s="409">
        <f t="shared" si="99"/>
        <v>0</v>
      </c>
      <c r="BG54" s="409">
        <f t="shared" si="100"/>
        <v>0</v>
      </c>
      <c r="BH54" s="409">
        <f t="shared" si="100"/>
        <v>0</v>
      </c>
      <c r="BI54" s="409">
        <f t="shared" si="100"/>
        <v>0</v>
      </c>
      <c r="BJ54" s="409">
        <f t="shared" si="100"/>
        <v>0</v>
      </c>
      <c r="BK54" s="409">
        <f t="shared" si="100"/>
        <v>0</v>
      </c>
      <c r="BL54" s="409">
        <f t="shared" si="100"/>
        <v>0</v>
      </c>
      <c r="BM54" s="409">
        <f t="shared" si="100"/>
        <v>0</v>
      </c>
      <c r="BN54" s="409">
        <f t="shared" si="100"/>
        <v>0</v>
      </c>
      <c r="BO54" s="409">
        <f t="shared" si="100"/>
        <v>0</v>
      </c>
      <c r="BP54" s="409">
        <f t="shared" si="100"/>
        <v>0</v>
      </c>
      <c r="BQ54" s="409">
        <f t="shared" si="101"/>
        <v>0</v>
      </c>
      <c r="BR54" s="409">
        <f t="shared" si="101"/>
        <v>0</v>
      </c>
      <c r="BS54" s="409">
        <f t="shared" si="101"/>
        <v>0</v>
      </c>
      <c r="BT54" s="409">
        <f t="shared" si="101"/>
        <v>0</v>
      </c>
      <c r="BU54" s="409">
        <f t="shared" si="101"/>
        <v>0</v>
      </c>
      <c r="BV54" s="409">
        <f t="shared" si="101"/>
        <v>0</v>
      </c>
      <c r="BW54" s="409">
        <f t="shared" si="101"/>
        <v>0</v>
      </c>
      <c r="BX54" s="409">
        <f t="shared" si="101"/>
        <v>0</v>
      </c>
      <c r="BY54" s="409">
        <f t="shared" si="101"/>
        <v>0</v>
      </c>
      <c r="BZ54" s="409">
        <f t="shared" si="101"/>
        <v>0</v>
      </c>
      <c r="CA54" s="409">
        <f t="shared" si="102"/>
        <v>0</v>
      </c>
      <c r="CB54" s="409">
        <f t="shared" si="102"/>
        <v>0</v>
      </c>
      <c r="CC54" s="409">
        <f t="shared" si="102"/>
        <v>0</v>
      </c>
      <c r="CD54" s="409">
        <f t="shared" si="102"/>
        <v>0</v>
      </c>
      <c r="CE54" s="409">
        <f t="shared" si="102"/>
        <v>0</v>
      </c>
      <c r="CF54" s="409">
        <f t="shared" si="102"/>
        <v>0</v>
      </c>
      <c r="CG54" s="409">
        <f t="shared" si="102"/>
        <v>0</v>
      </c>
      <c r="CH54" s="409">
        <f t="shared" si="102"/>
        <v>0</v>
      </c>
      <c r="CI54" s="409">
        <f t="shared" si="102"/>
        <v>0</v>
      </c>
      <c r="CJ54" s="409">
        <f t="shared" si="102"/>
        <v>0</v>
      </c>
      <c r="CK54" s="409">
        <f t="shared" si="103"/>
        <v>0</v>
      </c>
      <c r="CL54" s="409">
        <f t="shared" si="103"/>
        <v>0</v>
      </c>
      <c r="CM54" s="409">
        <f t="shared" si="103"/>
        <v>0</v>
      </c>
      <c r="CN54" s="409">
        <f t="shared" si="103"/>
        <v>0</v>
      </c>
      <c r="CO54" s="409">
        <f t="shared" si="103"/>
        <v>0</v>
      </c>
      <c r="CP54" s="409">
        <f t="shared" si="103"/>
        <v>0</v>
      </c>
      <c r="CQ54" s="409">
        <f t="shared" si="103"/>
        <v>0</v>
      </c>
      <c r="CR54" s="409">
        <f t="shared" si="103"/>
        <v>0</v>
      </c>
      <c r="CS54" s="409">
        <f t="shared" si="103"/>
        <v>0</v>
      </c>
      <c r="CT54" s="409">
        <f t="shared" si="103"/>
        <v>0</v>
      </c>
      <c r="CU54" s="409">
        <f t="shared" si="104"/>
        <v>0</v>
      </c>
      <c r="CV54" s="409">
        <f t="shared" si="104"/>
        <v>0</v>
      </c>
      <c r="CW54" s="409">
        <f t="shared" si="104"/>
        <v>0</v>
      </c>
      <c r="CX54" s="409">
        <f t="shared" si="104"/>
        <v>0</v>
      </c>
      <c r="CY54" s="409">
        <f t="shared" si="104"/>
        <v>0</v>
      </c>
      <c r="CZ54" s="409">
        <f t="shared" si="104"/>
        <v>0</v>
      </c>
      <c r="DA54" s="409">
        <f t="shared" si="104"/>
        <v>0</v>
      </c>
      <c r="DB54" s="409">
        <f t="shared" si="104"/>
        <v>0</v>
      </c>
      <c r="DC54" s="409">
        <f t="shared" si="104"/>
        <v>0</v>
      </c>
      <c r="DD54" s="409">
        <f t="shared" si="104"/>
        <v>0</v>
      </c>
      <c r="DE54" s="409">
        <f t="shared" si="105"/>
        <v>0</v>
      </c>
      <c r="DF54" s="409">
        <f t="shared" si="105"/>
        <v>0</v>
      </c>
      <c r="DG54" s="409">
        <f t="shared" si="105"/>
        <v>0</v>
      </c>
      <c r="DH54" s="409">
        <f t="shared" si="105"/>
        <v>0</v>
      </c>
      <c r="DI54" s="409">
        <f t="shared" si="105"/>
        <v>0</v>
      </c>
      <c r="DJ54" s="409">
        <f t="shared" si="105"/>
        <v>0</v>
      </c>
      <c r="DK54" s="409">
        <f t="shared" si="105"/>
        <v>0</v>
      </c>
      <c r="DL54" s="409">
        <f t="shared" si="105"/>
        <v>0</v>
      </c>
      <c r="DM54" s="409">
        <f t="shared" si="105"/>
        <v>0</v>
      </c>
      <c r="DN54" s="409">
        <f t="shared" si="105"/>
        <v>0</v>
      </c>
      <c r="DO54" s="409">
        <f t="shared" si="106"/>
        <v>0</v>
      </c>
      <c r="DP54" s="409">
        <f t="shared" si="106"/>
        <v>0</v>
      </c>
      <c r="DQ54" s="409">
        <f t="shared" si="106"/>
        <v>0</v>
      </c>
      <c r="DR54" s="409">
        <f t="shared" si="106"/>
        <v>0</v>
      </c>
      <c r="DS54" s="409">
        <f t="shared" si="106"/>
        <v>0</v>
      </c>
      <c r="DT54" s="409">
        <f t="shared" si="106"/>
        <v>0</v>
      </c>
      <c r="DU54" s="409">
        <f t="shared" si="106"/>
        <v>0</v>
      </c>
      <c r="DV54" s="409">
        <f t="shared" si="106"/>
        <v>0</v>
      </c>
      <c r="DW54" s="409">
        <f t="shared" si="106"/>
        <v>0</v>
      </c>
      <c r="DX54" s="409">
        <f t="shared" si="106"/>
        <v>0</v>
      </c>
      <c r="DY54" s="409">
        <f t="shared" si="107"/>
        <v>0</v>
      </c>
      <c r="DZ54" s="409">
        <f t="shared" si="107"/>
        <v>0</v>
      </c>
      <c r="EA54" s="409">
        <f t="shared" si="107"/>
        <v>0</v>
      </c>
      <c r="EB54" s="409">
        <f t="shared" si="107"/>
        <v>0</v>
      </c>
      <c r="EC54" s="409">
        <f t="shared" si="107"/>
        <v>0</v>
      </c>
      <c r="ED54" s="409">
        <f t="shared" si="107"/>
        <v>0</v>
      </c>
      <c r="EE54" s="409">
        <f t="shared" si="107"/>
        <v>0</v>
      </c>
      <c r="EF54" s="409">
        <f t="shared" si="107"/>
        <v>0</v>
      </c>
      <c r="EG54" s="409">
        <f t="shared" si="107"/>
        <v>0</v>
      </c>
      <c r="EH54" s="409">
        <f t="shared" si="107"/>
        <v>0</v>
      </c>
      <c r="EI54" s="409">
        <f t="shared" si="108"/>
        <v>0</v>
      </c>
      <c r="EJ54" s="409">
        <f t="shared" si="108"/>
        <v>0</v>
      </c>
      <c r="EK54" s="409">
        <f t="shared" si="108"/>
        <v>0</v>
      </c>
      <c r="EL54" s="409">
        <f t="shared" si="108"/>
        <v>0</v>
      </c>
      <c r="EM54" s="409">
        <f t="shared" si="108"/>
        <v>0</v>
      </c>
      <c r="EN54" s="409">
        <f t="shared" si="108"/>
        <v>0</v>
      </c>
      <c r="EO54" s="409">
        <f t="shared" si="108"/>
        <v>0</v>
      </c>
      <c r="EP54" s="409">
        <f t="shared" si="108"/>
        <v>0</v>
      </c>
      <c r="EQ54" s="409">
        <f t="shared" si="108"/>
        <v>0</v>
      </c>
      <c r="ER54" s="409">
        <f t="shared" si="108"/>
        <v>0</v>
      </c>
      <c r="ES54" s="409">
        <f t="shared" si="109"/>
        <v>0</v>
      </c>
      <c r="ET54" s="409">
        <f t="shared" si="109"/>
        <v>0</v>
      </c>
      <c r="EU54" s="409">
        <f t="shared" si="109"/>
        <v>0</v>
      </c>
      <c r="EV54" s="409">
        <f t="shared" si="109"/>
        <v>0</v>
      </c>
      <c r="EW54" s="409">
        <f t="shared" si="109"/>
        <v>0</v>
      </c>
      <c r="EX54" s="409">
        <f t="shared" si="109"/>
        <v>0</v>
      </c>
      <c r="EY54" s="409">
        <f t="shared" si="109"/>
        <v>0</v>
      </c>
      <c r="EZ54" s="409">
        <f t="shared" si="109"/>
        <v>0</v>
      </c>
      <c r="FA54" s="409">
        <f t="shared" si="109"/>
        <v>0</v>
      </c>
      <c r="FB54" s="409">
        <f t="shared" si="109"/>
        <v>0</v>
      </c>
      <c r="FC54" s="409">
        <f t="shared" si="110"/>
        <v>0</v>
      </c>
      <c r="FD54" s="409">
        <f t="shared" si="110"/>
        <v>0</v>
      </c>
      <c r="FE54" s="409">
        <f t="shared" si="110"/>
        <v>0</v>
      </c>
      <c r="FF54" s="409">
        <f t="shared" si="110"/>
        <v>0</v>
      </c>
      <c r="FG54" s="409">
        <f t="shared" si="110"/>
        <v>0</v>
      </c>
      <c r="FH54" s="409">
        <f t="shared" si="110"/>
        <v>0</v>
      </c>
      <c r="FI54" s="409">
        <f t="shared" si="110"/>
        <v>0</v>
      </c>
      <c r="FJ54" s="409">
        <f t="shared" si="110"/>
        <v>0</v>
      </c>
      <c r="FK54" s="409">
        <f t="shared" si="110"/>
        <v>0</v>
      </c>
      <c r="FL54" s="409">
        <f t="shared" si="110"/>
        <v>0</v>
      </c>
      <c r="FM54" s="409">
        <f t="shared" si="111"/>
        <v>0</v>
      </c>
      <c r="FN54" s="409">
        <f t="shared" si="111"/>
        <v>0</v>
      </c>
      <c r="FO54" s="409">
        <f t="shared" si="111"/>
        <v>0</v>
      </c>
      <c r="FP54" s="409">
        <f t="shared" si="111"/>
        <v>0</v>
      </c>
      <c r="FQ54" s="409">
        <f t="shared" si="111"/>
        <v>0</v>
      </c>
      <c r="FR54" s="409">
        <f t="shared" si="111"/>
        <v>0</v>
      </c>
      <c r="FS54" s="409">
        <f t="shared" si="111"/>
        <v>0</v>
      </c>
      <c r="FT54" s="409">
        <f t="shared" si="111"/>
        <v>0</v>
      </c>
      <c r="FU54" s="409">
        <f t="shared" si="111"/>
        <v>0</v>
      </c>
      <c r="FV54" s="409">
        <f t="shared" si="111"/>
        <v>0</v>
      </c>
      <c r="FW54" s="409">
        <f t="shared" si="112"/>
        <v>0</v>
      </c>
      <c r="FX54" s="409">
        <f t="shared" si="112"/>
        <v>0</v>
      </c>
      <c r="FY54" s="409">
        <f t="shared" si="112"/>
        <v>0</v>
      </c>
      <c r="FZ54" s="409">
        <f t="shared" si="112"/>
        <v>0</v>
      </c>
      <c r="GA54" s="409">
        <f t="shared" si="112"/>
        <v>0</v>
      </c>
      <c r="GB54" s="409">
        <f t="shared" si="112"/>
        <v>0</v>
      </c>
      <c r="GC54" s="409">
        <f t="shared" si="112"/>
        <v>0</v>
      </c>
      <c r="GD54" s="409">
        <f t="shared" si="112"/>
        <v>0</v>
      </c>
      <c r="GE54" s="409">
        <f t="shared" si="112"/>
        <v>0</v>
      </c>
      <c r="GF54" s="409">
        <f t="shared" si="112"/>
        <v>0</v>
      </c>
      <c r="GG54" s="409">
        <f t="shared" si="113"/>
        <v>0</v>
      </c>
      <c r="GH54" s="409">
        <f t="shared" si="113"/>
        <v>0</v>
      </c>
      <c r="GI54" s="409">
        <f t="shared" si="113"/>
        <v>0</v>
      </c>
      <c r="GJ54" s="409">
        <f t="shared" si="113"/>
        <v>0</v>
      </c>
      <c r="GK54" s="409">
        <f t="shared" si="113"/>
        <v>0</v>
      </c>
      <c r="GL54" s="409">
        <f t="shared" si="113"/>
        <v>0</v>
      </c>
      <c r="GM54" s="409">
        <f t="shared" si="113"/>
        <v>0</v>
      </c>
      <c r="GN54" s="409">
        <f t="shared" si="113"/>
        <v>0</v>
      </c>
      <c r="GO54" s="409">
        <f t="shared" si="113"/>
        <v>0</v>
      </c>
      <c r="GP54" s="409">
        <f t="shared" si="113"/>
        <v>0</v>
      </c>
      <c r="GQ54" s="409">
        <f t="shared" si="114"/>
        <v>0</v>
      </c>
      <c r="GR54" s="409">
        <f t="shared" si="114"/>
        <v>0</v>
      </c>
      <c r="GS54" s="409">
        <f t="shared" si="114"/>
        <v>0</v>
      </c>
      <c r="GT54" s="409">
        <f t="shared" si="114"/>
        <v>0</v>
      </c>
      <c r="GU54" s="409">
        <f t="shared" si="114"/>
        <v>0</v>
      </c>
      <c r="GV54" s="409">
        <f t="shared" si="114"/>
        <v>0</v>
      </c>
      <c r="GW54" s="409">
        <f t="shared" si="114"/>
        <v>0</v>
      </c>
      <c r="GX54" s="409">
        <f t="shared" si="114"/>
        <v>0</v>
      </c>
      <c r="GY54" s="409">
        <f t="shared" si="114"/>
        <v>0</v>
      </c>
      <c r="GZ54" s="409">
        <f t="shared" si="114"/>
        <v>0</v>
      </c>
      <c r="HA54" s="409">
        <f t="shared" si="115"/>
        <v>0</v>
      </c>
      <c r="HB54" s="409">
        <f t="shared" si="115"/>
        <v>0</v>
      </c>
      <c r="HC54" s="409">
        <f t="shared" si="115"/>
        <v>0</v>
      </c>
      <c r="HD54" s="409">
        <f t="shared" si="115"/>
        <v>0</v>
      </c>
      <c r="HE54" s="409">
        <f t="shared" si="115"/>
        <v>0</v>
      </c>
      <c r="HF54" s="409">
        <f t="shared" si="115"/>
        <v>0</v>
      </c>
      <c r="HG54" s="409">
        <f t="shared" si="115"/>
        <v>0</v>
      </c>
      <c r="HH54" s="409">
        <f t="shared" si="115"/>
        <v>0</v>
      </c>
      <c r="HI54" s="409">
        <f t="shared" si="115"/>
        <v>0</v>
      </c>
      <c r="HJ54" s="409">
        <f t="shared" si="115"/>
        <v>0</v>
      </c>
      <c r="HK54" s="409">
        <f t="shared" si="116"/>
        <v>0</v>
      </c>
      <c r="HL54" s="409">
        <f t="shared" si="116"/>
        <v>0</v>
      </c>
      <c r="HM54" s="409">
        <f t="shared" si="116"/>
        <v>0</v>
      </c>
      <c r="HN54" s="409">
        <f t="shared" si="116"/>
        <v>0</v>
      </c>
      <c r="HO54" s="409">
        <f t="shared" si="116"/>
        <v>0</v>
      </c>
      <c r="HP54" s="409">
        <f t="shared" si="116"/>
        <v>0</v>
      </c>
      <c r="HQ54" s="409">
        <f t="shared" si="116"/>
        <v>0</v>
      </c>
      <c r="HR54" s="409">
        <f t="shared" si="116"/>
        <v>0</v>
      </c>
      <c r="HS54" s="409">
        <f t="shared" si="116"/>
        <v>0</v>
      </c>
      <c r="HT54" s="409">
        <f t="shared" si="116"/>
        <v>0</v>
      </c>
      <c r="HU54" s="409">
        <f t="shared" si="117"/>
        <v>0</v>
      </c>
      <c r="HV54" s="409">
        <f t="shared" si="117"/>
        <v>0</v>
      </c>
      <c r="HW54" s="409">
        <f t="shared" si="117"/>
        <v>0</v>
      </c>
      <c r="HX54" s="409">
        <f t="shared" si="117"/>
        <v>0</v>
      </c>
      <c r="HY54" s="409">
        <f t="shared" si="117"/>
        <v>0</v>
      </c>
      <c r="HZ54" s="409">
        <f t="shared" si="117"/>
        <v>0</v>
      </c>
      <c r="IA54" s="409">
        <f t="shared" si="117"/>
        <v>0</v>
      </c>
      <c r="IB54" s="409">
        <f t="shared" si="117"/>
        <v>0</v>
      </c>
      <c r="IC54" s="409">
        <f t="shared" si="117"/>
        <v>0</v>
      </c>
      <c r="ID54" s="409">
        <f t="shared" si="117"/>
        <v>0</v>
      </c>
      <c r="IE54" s="409">
        <f t="shared" si="118"/>
        <v>0</v>
      </c>
      <c r="IF54" s="409">
        <f t="shared" si="118"/>
        <v>0</v>
      </c>
      <c r="IG54" s="409">
        <f t="shared" si="118"/>
        <v>0</v>
      </c>
      <c r="IH54" s="409">
        <f t="shared" si="118"/>
        <v>0</v>
      </c>
      <c r="II54" s="409">
        <f t="shared" si="118"/>
        <v>0</v>
      </c>
      <c r="IJ54" s="409">
        <f t="shared" si="118"/>
        <v>0</v>
      </c>
      <c r="IK54" s="378">
        <f t="shared" si="54"/>
        <v>47</v>
      </c>
    </row>
    <row r="55" spans="1:245" hidden="1" x14ac:dyDescent="0.2">
      <c r="A55" s="380" t="str">
        <f t="shared" si="119"/>
        <v>e</v>
      </c>
      <c r="B55" s="712" t="str" cm="1">
        <f t="array" ref="B55">IF(ISERROR(INDEX('Legend(Skid)'!$H$8:$H$9,ROW()-42)),"",INDEX('Legend(Skid)'!$H$8:$H$9,ROW()-42))</f>
        <v/>
      </c>
      <c r="C55" s="712" t="e" cm="1">
        <f t="array" ref="C55">IF(INDEX('Legend(Skid)'!$T$8:$T$9,ROW()-42)=0,"See Legend",INDEX('Legend(Skid)'!$T$8:$T$9,ROW()-42))</f>
        <v>#REF!</v>
      </c>
      <c r="D55" s="712" t="e">
        <f>IF(INDEX('Legend(Skid)'!$R$8:$R$9,(ROW(C55))-42)=0,IF(AND(INDEX('Legend(Skid)'!$D$8:$D$9,(ROW(C55))-41)="CH",INDEX('Legend(Skid)'!$F$8:$F$9,(ROW(C55))-41)="CASE - MANUAL"),INDEX('Legend(Skid)'!$R$8:$R$9,(ROW(C55))-41),IF(INDEX('Legend(Skid)'!$V$8:$V$9,(ROW(C55))-42)&gt;1, "(" &amp; INDEX('Legend(Skid)'!$V$8:$V$9,(ROW(C55))-42) &amp; ") " &amp; INDEX('Legend(Skid)'!$W$8:$W$9,(ROW(C55))-41),INDEX('Legend(Skid)'!$W$8:$W$9,(ROW(C55))-42))),INDEX('Legend(Skid)'!$R$8:$R$9,(ROW(C55))-42))</f>
        <v>#REF!</v>
      </c>
      <c r="E55" s="713" cm="1">
        <f t="array" ref="E55">IF(OR(ISNUMBER(SEARCH("Pump",C55)),ISNUMBER(SEARCH("PH",C55)),ISERROR(INDEX('Legend(Skid)'!$AA$8:$AA$9,ROW()-42))),0,INDEX('Legend(Skid)'!$AA$8:$AA$9,ROW()-42))</f>
        <v>0</v>
      </c>
      <c r="F55" s="714"/>
      <c r="G55" s="714"/>
      <c r="H55" s="714"/>
      <c r="I55" s="714"/>
      <c r="J55" s="714"/>
      <c r="K55" s="890">
        <f t="shared" si="35"/>
        <v>0</v>
      </c>
      <c r="L55" s="718"/>
      <c r="M55" s="719"/>
      <c r="N55" s="972">
        <f t="shared" si="120"/>
        <v>-1</v>
      </c>
      <c r="O55" s="972">
        <f t="shared" si="121"/>
        <v>-1</v>
      </c>
      <c r="P55" s="972">
        <f t="shared" si="122"/>
        <v>-1</v>
      </c>
      <c r="Q55" s="972">
        <f t="shared" si="123"/>
        <v>-1</v>
      </c>
      <c r="R55" s="972">
        <f t="shared" si="124"/>
        <v>-1</v>
      </c>
      <c r="S55" s="972">
        <f t="shared" si="125"/>
        <v>-1</v>
      </c>
      <c r="T55" s="972">
        <f t="shared" si="126"/>
        <v>-1</v>
      </c>
      <c r="U55" s="972">
        <f t="shared" si="127"/>
        <v>-1</v>
      </c>
      <c r="V55" s="972">
        <f t="shared" si="128"/>
        <v>-1</v>
      </c>
      <c r="W55" s="972">
        <f t="shared" si="129"/>
        <v>-1</v>
      </c>
      <c r="X55" s="972">
        <f t="shared" si="130"/>
        <v>-1</v>
      </c>
      <c r="Y55" s="972">
        <f t="shared" si="131"/>
        <v>-1</v>
      </c>
      <c r="Z55" s="972">
        <f t="shared" si="132"/>
        <v>-1</v>
      </c>
      <c r="AA55" s="972">
        <f t="shared" si="133"/>
        <v>-1</v>
      </c>
      <c r="AB55" s="972">
        <f t="shared" si="134"/>
        <v>-1</v>
      </c>
      <c r="AC55" s="972">
        <f t="shared" si="135"/>
        <v>-1</v>
      </c>
      <c r="AD55" s="972">
        <f t="shared" si="136"/>
        <v>-1</v>
      </c>
      <c r="AE55" s="972">
        <f t="shared" si="137"/>
        <v>-1</v>
      </c>
      <c r="AF55" s="972">
        <f t="shared" si="138"/>
        <v>-1</v>
      </c>
      <c r="AG55" s="972">
        <f t="shared" si="139"/>
        <v>-1</v>
      </c>
      <c r="AH55" s="972">
        <f t="shared" si="140"/>
        <v>-1</v>
      </c>
      <c r="AI55" s="972">
        <f t="shared" si="141"/>
        <v>-1</v>
      </c>
      <c r="AJ55" s="972">
        <f t="shared" si="142"/>
        <v>-1</v>
      </c>
      <c r="AK55" s="381" t="str">
        <f>IF(ISERROR(INDEX('Legend(Skid)'!$AI$8:$AI$9,ROW()-42)),"",INDEX('Legend(Skid)'!$AI$8:$AI$9,ROW()-42))</f>
        <v/>
      </c>
      <c r="AL55" s="727" t="str">
        <f t="shared" si="53"/>
        <v/>
      </c>
      <c r="AM55" s="409">
        <f t="shared" si="98"/>
        <v>0</v>
      </c>
      <c r="AN55" s="409">
        <f t="shared" si="98"/>
        <v>0</v>
      </c>
      <c r="AO55" s="409">
        <f t="shared" si="98"/>
        <v>0</v>
      </c>
      <c r="AP55" s="409">
        <f t="shared" si="98"/>
        <v>0</v>
      </c>
      <c r="AQ55" s="409">
        <f t="shared" si="98"/>
        <v>0</v>
      </c>
      <c r="AR55" s="409">
        <f t="shared" si="98"/>
        <v>0</v>
      </c>
      <c r="AS55" s="409">
        <f t="shared" si="98"/>
        <v>0</v>
      </c>
      <c r="AT55" s="409">
        <f t="shared" si="98"/>
        <v>0</v>
      </c>
      <c r="AU55" s="409">
        <f t="shared" si="98"/>
        <v>0</v>
      </c>
      <c r="AV55" s="409">
        <f t="shared" si="98"/>
        <v>0</v>
      </c>
      <c r="AW55" s="409">
        <f t="shared" si="99"/>
        <v>0</v>
      </c>
      <c r="AX55" s="409">
        <f t="shared" si="99"/>
        <v>0</v>
      </c>
      <c r="AY55" s="409">
        <f t="shared" si="99"/>
        <v>0</v>
      </c>
      <c r="AZ55" s="409">
        <f t="shared" si="99"/>
        <v>0</v>
      </c>
      <c r="BA55" s="409">
        <f t="shared" si="99"/>
        <v>0</v>
      </c>
      <c r="BB55" s="409">
        <f t="shared" si="99"/>
        <v>0</v>
      </c>
      <c r="BC55" s="409">
        <f t="shared" si="99"/>
        <v>0</v>
      </c>
      <c r="BD55" s="409">
        <f t="shared" si="99"/>
        <v>0</v>
      </c>
      <c r="BE55" s="409">
        <f t="shared" si="99"/>
        <v>0</v>
      </c>
      <c r="BF55" s="409">
        <f t="shared" si="99"/>
        <v>0</v>
      </c>
      <c r="BG55" s="409">
        <f t="shared" si="100"/>
        <v>0</v>
      </c>
      <c r="BH55" s="409">
        <f t="shared" si="100"/>
        <v>0</v>
      </c>
      <c r="BI55" s="409">
        <f t="shared" si="100"/>
        <v>0</v>
      </c>
      <c r="BJ55" s="409">
        <f t="shared" si="100"/>
        <v>0</v>
      </c>
      <c r="BK55" s="409">
        <f t="shared" si="100"/>
        <v>0</v>
      </c>
      <c r="BL55" s="409">
        <f t="shared" si="100"/>
        <v>0</v>
      </c>
      <c r="BM55" s="409">
        <f t="shared" si="100"/>
        <v>0</v>
      </c>
      <c r="BN55" s="409">
        <f t="shared" si="100"/>
        <v>0</v>
      </c>
      <c r="BO55" s="409">
        <f t="shared" si="100"/>
        <v>0</v>
      </c>
      <c r="BP55" s="409">
        <f t="shared" si="100"/>
        <v>0</v>
      </c>
      <c r="BQ55" s="409">
        <f t="shared" si="101"/>
        <v>0</v>
      </c>
      <c r="BR55" s="409">
        <f t="shared" si="101"/>
        <v>0</v>
      </c>
      <c r="BS55" s="409">
        <f t="shared" si="101"/>
        <v>0</v>
      </c>
      <c r="BT55" s="409">
        <f t="shared" si="101"/>
        <v>0</v>
      </c>
      <c r="BU55" s="409">
        <f t="shared" si="101"/>
        <v>0</v>
      </c>
      <c r="BV55" s="409">
        <f t="shared" si="101"/>
        <v>0</v>
      </c>
      <c r="BW55" s="409">
        <f t="shared" si="101"/>
        <v>0</v>
      </c>
      <c r="BX55" s="409">
        <f t="shared" si="101"/>
        <v>0</v>
      </c>
      <c r="BY55" s="409">
        <f t="shared" si="101"/>
        <v>0</v>
      </c>
      <c r="BZ55" s="409">
        <f t="shared" si="101"/>
        <v>0</v>
      </c>
      <c r="CA55" s="409">
        <f t="shared" si="102"/>
        <v>0</v>
      </c>
      <c r="CB55" s="409">
        <f t="shared" si="102"/>
        <v>0</v>
      </c>
      <c r="CC55" s="409">
        <f t="shared" si="102"/>
        <v>0</v>
      </c>
      <c r="CD55" s="409">
        <f t="shared" si="102"/>
        <v>0</v>
      </c>
      <c r="CE55" s="409">
        <f t="shared" si="102"/>
        <v>0</v>
      </c>
      <c r="CF55" s="409">
        <f t="shared" si="102"/>
        <v>0</v>
      </c>
      <c r="CG55" s="409">
        <f t="shared" si="102"/>
        <v>0</v>
      </c>
      <c r="CH55" s="409">
        <f t="shared" si="102"/>
        <v>0</v>
      </c>
      <c r="CI55" s="409">
        <f t="shared" si="102"/>
        <v>0</v>
      </c>
      <c r="CJ55" s="409">
        <f t="shared" si="102"/>
        <v>0</v>
      </c>
      <c r="CK55" s="409">
        <f t="shared" si="103"/>
        <v>0</v>
      </c>
      <c r="CL55" s="409">
        <f t="shared" si="103"/>
        <v>0</v>
      </c>
      <c r="CM55" s="409">
        <f t="shared" si="103"/>
        <v>0</v>
      </c>
      <c r="CN55" s="409">
        <f t="shared" si="103"/>
        <v>0</v>
      </c>
      <c r="CO55" s="409">
        <f t="shared" si="103"/>
        <v>0</v>
      </c>
      <c r="CP55" s="409">
        <f t="shared" si="103"/>
        <v>0</v>
      </c>
      <c r="CQ55" s="409">
        <f t="shared" si="103"/>
        <v>0</v>
      </c>
      <c r="CR55" s="409">
        <f t="shared" si="103"/>
        <v>0</v>
      </c>
      <c r="CS55" s="409">
        <f t="shared" si="103"/>
        <v>0</v>
      </c>
      <c r="CT55" s="409">
        <f t="shared" si="103"/>
        <v>0</v>
      </c>
      <c r="CU55" s="409">
        <f t="shared" si="104"/>
        <v>0</v>
      </c>
      <c r="CV55" s="409">
        <f t="shared" si="104"/>
        <v>0</v>
      </c>
      <c r="CW55" s="409">
        <f t="shared" si="104"/>
        <v>0</v>
      </c>
      <c r="CX55" s="409">
        <f t="shared" si="104"/>
        <v>0</v>
      </c>
      <c r="CY55" s="409">
        <f t="shared" si="104"/>
        <v>0</v>
      </c>
      <c r="CZ55" s="409">
        <f t="shared" si="104"/>
        <v>0</v>
      </c>
      <c r="DA55" s="409">
        <f t="shared" si="104"/>
        <v>0</v>
      </c>
      <c r="DB55" s="409">
        <f t="shared" si="104"/>
        <v>0</v>
      </c>
      <c r="DC55" s="409">
        <f t="shared" si="104"/>
        <v>0</v>
      </c>
      <c r="DD55" s="409">
        <f t="shared" si="104"/>
        <v>0</v>
      </c>
      <c r="DE55" s="409">
        <f t="shared" si="105"/>
        <v>0</v>
      </c>
      <c r="DF55" s="409">
        <f t="shared" si="105"/>
        <v>0</v>
      </c>
      <c r="DG55" s="409">
        <f t="shared" si="105"/>
        <v>0</v>
      </c>
      <c r="DH55" s="409">
        <f t="shared" si="105"/>
        <v>0</v>
      </c>
      <c r="DI55" s="409">
        <f t="shared" si="105"/>
        <v>0</v>
      </c>
      <c r="DJ55" s="409">
        <f t="shared" si="105"/>
        <v>0</v>
      </c>
      <c r="DK55" s="409">
        <f t="shared" si="105"/>
        <v>0</v>
      </c>
      <c r="DL55" s="409">
        <f t="shared" si="105"/>
        <v>0</v>
      </c>
      <c r="DM55" s="409">
        <f t="shared" si="105"/>
        <v>0</v>
      </c>
      <c r="DN55" s="409">
        <f t="shared" si="105"/>
        <v>0</v>
      </c>
      <c r="DO55" s="409">
        <f t="shared" si="106"/>
        <v>0</v>
      </c>
      <c r="DP55" s="409">
        <f t="shared" si="106"/>
        <v>0</v>
      </c>
      <c r="DQ55" s="409">
        <f t="shared" si="106"/>
        <v>0</v>
      </c>
      <c r="DR55" s="409">
        <f t="shared" si="106"/>
        <v>0</v>
      </c>
      <c r="DS55" s="409">
        <f t="shared" si="106"/>
        <v>0</v>
      </c>
      <c r="DT55" s="409">
        <f t="shared" si="106"/>
        <v>0</v>
      </c>
      <c r="DU55" s="409">
        <f t="shared" si="106"/>
        <v>0</v>
      </c>
      <c r="DV55" s="409">
        <f t="shared" si="106"/>
        <v>0</v>
      </c>
      <c r="DW55" s="409">
        <f t="shared" si="106"/>
        <v>0</v>
      </c>
      <c r="DX55" s="409">
        <f t="shared" si="106"/>
        <v>0</v>
      </c>
      <c r="DY55" s="409">
        <f t="shared" si="107"/>
        <v>0</v>
      </c>
      <c r="DZ55" s="409">
        <f t="shared" si="107"/>
        <v>0</v>
      </c>
      <c r="EA55" s="409">
        <f t="shared" si="107"/>
        <v>0</v>
      </c>
      <c r="EB55" s="409">
        <f t="shared" si="107"/>
        <v>0</v>
      </c>
      <c r="EC55" s="409">
        <f t="shared" si="107"/>
        <v>0</v>
      </c>
      <c r="ED55" s="409">
        <f t="shared" si="107"/>
        <v>0</v>
      </c>
      <c r="EE55" s="409">
        <f t="shared" si="107"/>
        <v>0</v>
      </c>
      <c r="EF55" s="409">
        <f t="shared" si="107"/>
        <v>0</v>
      </c>
      <c r="EG55" s="409">
        <f t="shared" si="107"/>
        <v>0</v>
      </c>
      <c r="EH55" s="409">
        <f t="shared" si="107"/>
        <v>0</v>
      </c>
      <c r="EI55" s="409">
        <f t="shared" si="108"/>
        <v>0</v>
      </c>
      <c r="EJ55" s="409">
        <f t="shared" si="108"/>
        <v>0</v>
      </c>
      <c r="EK55" s="409">
        <f t="shared" si="108"/>
        <v>0</v>
      </c>
      <c r="EL55" s="409">
        <f t="shared" si="108"/>
        <v>0</v>
      </c>
      <c r="EM55" s="409">
        <f t="shared" si="108"/>
        <v>0</v>
      </c>
      <c r="EN55" s="409">
        <f t="shared" si="108"/>
        <v>0</v>
      </c>
      <c r="EO55" s="409">
        <f t="shared" si="108"/>
        <v>0</v>
      </c>
      <c r="EP55" s="409">
        <f t="shared" si="108"/>
        <v>0</v>
      </c>
      <c r="EQ55" s="409">
        <f t="shared" si="108"/>
        <v>0</v>
      </c>
      <c r="ER55" s="409">
        <f t="shared" si="108"/>
        <v>0</v>
      </c>
      <c r="ES55" s="409">
        <f t="shared" si="109"/>
        <v>0</v>
      </c>
      <c r="ET55" s="409">
        <f t="shared" si="109"/>
        <v>0</v>
      </c>
      <c r="EU55" s="409">
        <f t="shared" si="109"/>
        <v>0</v>
      </c>
      <c r="EV55" s="409">
        <f t="shared" si="109"/>
        <v>0</v>
      </c>
      <c r="EW55" s="409">
        <f t="shared" si="109"/>
        <v>0</v>
      </c>
      <c r="EX55" s="409">
        <f t="shared" si="109"/>
        <v>0</v>
      </c>
      <c r="EY55" s="409">
        <f t="shared" si="109"/>
        <v>0</v>
      </c>
      <c r="EZ55" s="409">
        <f t="shared" si="109"/>
        <v>0</v>
      </c>
      <c r="FA55" s="409">
        <f t="shared" si="109"/>
        <v>0</v>
      </c>
      <c r="FB55" s="409">
        <f t="shared" si="109"/>
        <v>0</v>
      </c>
      <c r="FC55" s="409">
        <f t="shared" si="110"/>
        <v>0</v>
      </c>
      <c r="FD55" s="409">
        <f t="shared" si="110"/>
        <v>0</v>
      </c>
      <c r="FE55" s="409">
        <f t="shared" si="110"/>
        <v>0</v>
      </c>
      <c r="FF55" s="409">
        <f t="shared" si="110"/>
        <v>0</v>
      </c>
      <c r="FG55" s="409">
        <f t="shared" si="110"/>
        <v>0</v>
      </c>
      <c r="FH55" s="409">
        <f t="shared" si="110"/>
        <v>0</v>
      </c>
      <c r="FI55" s="409">
        <f t="shared" si="110"/>
        <v>0</v>
      </c>
      <c r="FJ55" s="409">
        <f t="shared" si="110"/>
        <v>0</v>
      </c>
      <c r="FK55" s="409">
        <f t="shared" si="110"/>
        <v>0</v>
      </c>
      <c r="FL55" s="409">
        <f t="shared" si="110"/>
        <v>0</v>
      </c>
      <c r="FM55" s="409">
        <f t="shared" si="111"/>
        <v>0</v>
      </c>
      <c r="FN55" s="409">
        <f t="shared" si="111"/>
        <v>0</v>
      </c>
      <c r="FO55" s="409">
        <f t="shared" si="111"/>
        <v>0</v>
      </c>
      <c r="FP55" s="409">
        <f t="shared" si="111"/>
        <v>0</v>
      </c>
      <c r="FQ55" s="409">
        <f t="shared" si="111"/>
        <v>0</v>
      </c>
      <c r="FR55" s="409">
        <f t="shared" si="111"/>
        <v>0</v>
      </c>
      <c r="FS55" s="409">
        <f t="shared" si="111"/>
        <v>0</v>
      </c>
      <c r="FT55" s="409">
        <f t="shared" si="111"/>
        <v>0</v>
      </c>
      <c r="FU55" s="409">
        <f t="shared" si="111"/>
        <v>0</v>
      </c>
      <c r="FV55" s="409">
        <f t="shared" si="111"/>
        <v>0</v>
      </c>
      <c r="FW55" s="409">
        <f t="shared" si="112"/>
        <v>0</v>
      </c>
      <c r="FX55" s="409">
        <f t="shared" si="112"/>
        <v>0</v>
      </c>
      <c r="FY55" s="409">
        <f t="shared" si="112"/>
        <v>0</v>
      </c>
      <c r="FZ55" s="409">
        <f t="shared" si="112"/>
        <v>0</v>
      </c>
      <c r="GA55" s="409">
        <f t="shared" si="112"/>
        <v>0</v>
      </c>
      <c r="GB55" s="409">
        <f t="shared" si="112"/>
        <v>0</v>
      </c>
      <c r="GC55" s="409">
        <f t="shared" si="112"/>
        <v>0</v>
      </c>
      <c r="GD55" s="409">
        <f t="shared" si="112"/>
        <v>0</v>
      </c>
      <c r="GE55" s="409">
        <f t="shared" si="112"/>
        <v>0</v>
      </c>
      <c r="GF55" s="409">
        <f t="shared" si="112"/>
        <v>0</v>
      </c>
      <c r="GG55" s="409">
        <f t="shared" si="113"/>
        <v>0</v>
      </c>
      <c r="GH55" s="409">
        <f t="shared" si="113"/>
        <v>0</v>
      </c>
      <c r="GI55" s="409">
        <f t="shared" si="113"/>
        <v>0</v>
      </c>
      <c r="GJ55" s="409">
        <f t="shared" si="113"/>
        <v>0</v>
      </c>
      <c r="GK55" s="409">
        <f t="shared" si="113"/>
        <v>0</v>
      </c>
      <c r="GL55" s="409">
        <f t="shared" si="113"/>
        <v>0</v>
      </c>
      <c r="GM55" s="409">
        <f t="shared" si="113"/>
        <v>0</v>
      </c>
      <c r="GN55" s="409">
        <f t="shared" si="113"/>
        <v>0</v>
      </c>
      <c r="GO55" s="409">
        <f t="shared" si="113"/>
        <v>0</v>
      </c>
      <c r="GP55" s="409">
        <f t="shared" si="113"/>
        <v>0</v>
      </c>
      <c r="GQ55" s="409">
        <f t="shared" si="114"/>
        <v>0</v>
      </c>
      <c r="GR55" s="409">
        <f t="shared" si="114"/>
        <v>0</v>
      </c>
      <c r="GS55" s="409">
        <f t="shared" si="114"/>
        <v>0</v>
      </c>
      <c r="GT55" s="409">
        <f t="shared" si="114"/>
        <v>0</v>
      </c>
      <c r="GU55" s="409">
        <f t="shared" si="114"/>
        <v>0</v>
      </c>
      <c r="GV55" s="409">
        <f t="shared" si="114"/>
        <v>0</v>
      </c>
      <c r="GW55" s="409">
        <f t="shared" si="114"/>
        <v>0</v>
      </c>
      <c r="GX55" s="409">
        <f t="shared" si="114"/>
        <v>0</v>
      </c>
      <c r="GY55" s="409">
        <f t="shared" si="114"/>
        <v>0</v>
      </c>
      <c r="GZ55" s="409">
        <f t="shared" si="114"/>
        <v>0</v>
      </c>
      <c r="HA55" s="409">
        <f t="shared" si="115"/>
        <v>0</v>
      </c>
      <c r="HB55" s="409">
        <f t="shared" si="115"/>
        <v>0</v>
      </c>
      <c r="HC55" s="409">
        <f t="shared" si="115"/>
        <v>0</v>
      </c>
      <c r="HD55" s="409">
        <f t="shared" si="115"/>
        <v>0</v>
      </c>
      <c r="HE55" s="409">
        <f t="shared" si="115"/>
        <v>0</v>
      </c>
      <c r="HF55" s="409">
        <f t="shared" si="115"/>
        <v>0</v>
      </c>
      <c r="HG55" s="409">
        <f t="shared" si="115"/>
        <v>0</v>
      </c>
      <c r="HH55" s="409">
        <f t="shared" si="115"/>
        <v>0</v>
      </c>
      <c r="HI55" s="409">
        <f t="shared" si="115"/>
        <v>0</v>
      </c>
      <c r="HJ55" s="409">
        <f t="shared" si="115"/>
        <v>0</v>
      </c>
      <c r="HK55" s="409">
        <f t="shared" si="116"/>
        <v>0</v>
      </c>
      <c r="HL55" s="409">
        <f t="shared" si="116"/>
        <v>0</v>
      </c>
      <c r="HM55" s="409">
        <f t="shared" si="116"/>
        <v>0</v>
      </c>
      <c r="HN55" s="409">
        <f t="shared" si="116"/>
        <v>0</v>
      </c>
      <c r="HO55" s="409">
        <f t="shared" si="116"/>
        <v>0</v>
      </c>
      <c r="HP55" s="409">
        <f t="shared" si="116"/>
        <v>0</v>
      </c>
      <c r="HQ55" s="409">
        <f t="shared" si="116"/>
        <v>0</v>
      </c>
      <c r="HR55" s="409">
        <f t="shared" si="116"/>
        <v>0</v>
      </c>
      <c r="HS55" s="409">
        <f t="shared" si="116"/>
        <v>0</v>
      </c>
      <c r="HT55" s="409">
        <f t="shared" si="116"/>
        <v>0</v>
      </c>
      <c r="HU55" s="409">
        <f t="shared" si="117"/>
        <v>0</v>
      </c>
      <c r="HV55" s="409">
        <f t="shared" si="117"/>
        <v>0</v>
      </c>
      <c r="HW55" s="409">
        <f t="shared" si="117"/>
        <v>0</v>
      </c>
      <c r="HX55" s="409">
        <f t="shared" si="117"/>
        <v>0</v>
      </c>
      <c r="HY55" s="409">
        <f t="shared" si="117"/>
        <v>0</v>
      </c>
      <c r="HZ55" s="409">
        <f t="shared" si="117"/>
        <v>0</v>
      </c>
      <c r="IA55" s="409">
        <f t="shared" si="117"/>
        <v>0</v>
      </c>
      <c r="IB55" s="409">
        <f t="shared" si="117"/>
        <v>0</v>
      </c>
      <c r="IC55" s="409">
        <f t="shared" si="117"/>
        <v>0</v>
      </c>
      <c r="ID55" s="409">
        <f t="shared" si="117"/>
        <v>0</v>
      </c>
      <c r="IE55" s="409">
        <f t="shared" si="118"/>
        <v>0</v>
      </c>
      <c r="IF55" s="409">
        <f t="shared" si="118"/>
        <v>0</v>
      </c>
      <c r="IG55" s="409">
        <f t="shared" si="118"/>
        <v>0</v>
      </c>
      <c r="IH55" s="409">
        <f t="shared" si="118"/>
        <v>0</v>
      </c>
      <c r="II55" s="409">
        <f t="shared" si="118"/>
        <v>0</v>
      </c>
      <c r="IJ55" s="409">
        <f t="shared" si="118"/>
        <v>0</v>
      </c>
      <c r="IK55" s="378">
        <f t="shared" si="54"/>
        <v>48</v>
      </c>
    </row>
    <row r="56" spans="1:245" hidden="1" x14ac:dyDescent="0.2">
      <c r="A56" s="380" t="str">
        <f t="shared" si="119"/>
        <v>e</v>
      </c>
      <c r="B56" s="712" t="str" cm="1">
        <f t="array" ref="B56">IF(ISERROR(INDEX('Legend(Skid)'!$H$8:$H$9,ROW()-42)),"",INDEX('Legend(Skid)'!$H$8:$H$9,ROW()-42))</f>
        <v/>
      </c>
      <c r="C56" s="712" t="e" cm="1">
        <f t="array" ref="C56">IF(INDEX('Legend(Skid)'!$T$8:$T$9,ROW()-42)=0,"See Legend",INDEX('Legend(Skid)'!$T$8:$T$9,ROW()-42))</f>
        <v>#REF!</v>
      </c>
      <c r="D56" s="712" t="e">
        <f>IF(INDEX('Legend(Skid)'!$R$8:$R$9,(ROW(C56))-42)=0,IF(AND(INDEX('Legend(Skid)'!$D$8:$D$9,(ROW(C56))-41)="CH",INDEX('Legend(Skid)'!$F$8:$F$9,(ROW(C56))-41)="CASE - MANUAL"),INDEX('Legend(Skid)'!$R$8:$R$9,(ROW(C56))-41),IF(INDEX('Legend(Skid)'!$V$8:$V$9,(ROW(C56))-42)&gt;1, "(" &amp; INDEX('Legend(Skid)'!$V$8:$V$9,(ROW(C56))-42) &amp; ") " &amp; INDEX('Legend(Skid)'!$W$8:$W$9,(ROW(C56))-41),INDEX('Legend(Skid)'!$W$8:$W$9,(ROW(C56))-42))),INDEX('Legend(Skid)'!$R$8:$R$9,(ROW(C56))-42))</f>
        <v>#REF!</v>
      </c>
      <c r="E56" s="713" cm="1">
        <f t="array" ref="E56">IF(OR(ISNUMBER(SEARCH("Pump",C56)),ISNUMBER(SEARCH("PH",C56)),ISERROR(INDEX('Legend(Skid)'!$AA$8:$AA$9,ROW()-42))),0,INDEX('Legend(Skid)'!$AA$8:$AA$9,ROW()-42))</f>
        <v>0</v>
      </c>
      <c r="F56" s="714"/>
      <c r="G56" s="714"/>
      <c r="H56" s="714"/>
      <c r="I56" s="714"/>
      <c r="J56" s="714"/>
      <c r="K56" s="890">
        <f t="shared" si="35"/>
        <v>0</v>
      </c>
      <c r="L56" s="718"/>
      <c r="M56" s="719"/>
      <c r="N56" s="972">
        <f t="shared" si="120"/>
        <v>-1</v>
      </c>
      <c r="O56" s="972">
        <f t="shared" si="121"/>
        <v>-1</v>
      </c>
      <c r="P56" s="972">
        <f t="shared" si="122"/>
        <v>-1</v>
      </c>
      <c r="Q56" s="972">
        <f t="shared" si="123"/>
        <v>-1</v>
      </c>
      <c r="R56" s="972">
        <f t="shared" si="124"/>
        <v>-1</v>
      </c>
      <c r="S56" s="972">
        <f t="shared" si="125"/>
        <v>-1</v>
      </c>
      <c r="T56" s="972">
        <f t="shared" si="126"/>
        <v>-1</v>
      </c>
      <c r="U56" s="972">
        <f t="shared" si="127"/>
        <v>-1</v>
      </c>
      <c r="V56" s="972">
        <f t="shared" si="128"/>
        <v>-1</v>
      </c>
      <c r="W56" s="972">
        <f t="shared" si="129"/>
        <v>-1</v>
      </c>
      <c r="X56" s="972">
        <f t="shared" si="130"/>
        <v>-1</v>
      </c>
      <c r="Y56" s="972">
        <f t="shared" si="131"/>
        <v>-1</v>
      </c>
      <c r="Z56" s="972">
        <f t="shared" si="132"/>
        <v>-1</v>
      </c>
      <c r="AA56" s="972">
        <f t="shared" si="133"/>
        <v>-1</v>
      </c>
      <c r="AB56" s="972">
        <f t="shared" si="134"/>
        <v>-1</v>
      </c>
      <c r="AC56" s="972">
        <f t="shared" si="135"/>
        <v>-1</v>
      </c>
      <c r="AD56" s="972">
        <f t="shared" si="136"/>
        <v>-1</v>
      </c>
      <c r="AE56" s="972">
        <f t="shared" si="137"/>
        <v>-1</v>
      </c>
      <c r="AF56" s="972">
        <f t="shared" si="138"/>
        <v>-1</v>
      </c>
      <c r="AG56" s="972">
        <f t="shared" si="139"/>
        <v>-1</v>
      </c>
      <c r="AH56" s="972">
        <f t="shared" si="140"/>
        <v>-1</v>
      </c>
      <c r="AI56" s="972">
        <f t="shared" si="141"/>
        <v>-1</v>
      </c>
      <c r="AJ56" s="972">
        <f t="shared" si="142"/>
        <v>-1</v>
      </c>
      <c r="AK56" s="381" t="str">
        <f>IF(ISERROR(INDEX('Legend(Skid)'!$AI$8:$AI$9,ROW()-42)),"",INDEX('Legend(Skid)'!$AI$8:$AI$9,ROW()-42))</f>
        <v/>
      </c>
      <c r="AL56" s="727" t="str">
        <f t="shared" si="53"/>
        <v/>
      </c>
      <c r="AM56" s="409">
        <f t="shared" si="98"/>
        <v>0</v>
      </c>
      <c r="AN56" s="409">
        <f t="shared" si="98"/>
        <v>0</v>
      </c>
      <c r="AO56" s="409">
        <f t="shared" si="98"/>
        <v>0</v>
      </c>
      <c r="AP56" s="409">
        <f t="shared" si="98"/>
        <v>0</v>
      </c>
      <c r="AQ56" s="409">
        <f t="shared" si="98"/>
        <v>0</v>
      </c>
      <c r="AR56" s="409">
        <f t="shared" si="98"/>
        <v>0</v>
      </c>
      <c r="AS56" s="409">
        <f t="shared" si="98"/>
        <v>0</v>
      </c>
      <c r="AT56" s="409">
        <f t="shared" si="98"/>
        <v>0</v>
      </c>
      <c r="AU56" s="409">
        <f t="shared" si="98"/>
        <v>0</v>
      </c>
      <c r="AV56" s="409">
        <f t="shared" si="98"/>
        <v>0</v>
      </c>
      <c r="AW56" s="409">
        <f t="shared" si="99"/>
        <v>0</v>
      </c>
      <c r="AX56" s="409">
        <f t="shared" si="99"/>
        <v>0</v>
      </c>
      <c r="AY56" s="409">
        <f t="shared" si="99"/>
        <v>0</v>
      </c>
      <c r="AZ56" s="409">
        <f t="shared" si="99"/>
        <v>0</v>
      </c>
      <c r="BA56" s="409">
        <f t="shared" si="99"/>
        <v>0</v>
      </c>
      <c r="BB56" s="409">
        <f t="shared" si="99"/>
        <v>0</v>
      </c>
      <c r="BC56" s="409">
        <f t="shared" si="99"/>
        <v>0</v>
      </c>
      <c r="BD56" s="409">
        <f t="shared" si="99"/>
        <v>0</v>
      </c>
      <c r="BE56" s="409">
        <f t="shared" si="99"/>
        <v>0</v>
      </c>
      <c r="BF56" s="409">
        <f t="shared" si="99"/>
        <v>0</v>
      </c>
      <c r="BG56" s="409">
        <f t="shared" si="100"/>
        <v>0</v>
      </c>
      <c r="BH56" s="409">
        <f t="shared" si="100"/>
        <v>0</v>
      </c>
      <c r="BI56" s="409">
        <f t="shared" si="100"/>
        <v>0</v>
      </c>
      <c r="BJ56" s="409">
        <f t="shared" si="100"/>
        <v>0</v>
      </c>
      <c r="BK56" s="409">
        <f t="shared" si="100"/>
        <v>0</v>
      </c>
      <c r="BL56" s="409">
        <f t="shared" si="100"/>
        <v>0</v>
      </c>
      <c r="BM56" s="409">
        <f t="shared" si="100"/>
        <v>0</v>
      </c>
      <c r="BN56" s="409">
        <f t="shared" si="100"/>
        <v>0</v>
      </c>
      <c r="BO56" s="409">
        <f t="shared" si="100"/>
        <v>0</v>
      </c>
      <c r="BP56" s="409">
        <f t="shared" si="100"/>
        <v>0</v>
      </c>
      <c r="BQ56" s="409">
        <f t="shared" si="101"/>
        <v>0</v>
      </c>
      <c r="BR56" s="409">
        <f t="shared" si="101"/>
        <v>0</v>
      </c>
      <c r="BS56" s="409">
        <f t="shared" si="101"/>
        <v>0</v>
      </c>
      <c r="BT56" s="409">
        <f t="shared" si="101"/>
        <v>0</v>
      </c>
      <c r="BU56" s="409">
        <f t="shared" si="101"/>
        <v>0</v>
      </c>
      <c r="BV56" s="409">
        <f t="shared" si="101"/>
        <v>0</v>
      </c>
      <c r="BW56" s="409">
        <f t="shared" si="101"/>
        <v>0</v>
      </c>
      <c r="BX56" s="409">
        <f t="shared" si="101"/>
        <v>0</v>
      </c>
      <c r="BY56" s="409">
        <f t="shared" si="101"/>
        <v>0</v>
      </c>
      <c r="BZ56" s="409">
        <f t="shared" si="101"/>
        <v>0</v>
      </c>
      <c r="CA56" s="409">
        <f t="shared" si="102"/>
        <v>0</v>
      </c>
      <c r="CB56" s="409">
        <f t="shared" si="102"/>
        <v>0</v>
      </c>
      <c r="CC56" s="409">
        <f t="shared" si="102"/>
        <v>0</v>
      </c>
      <c r="CD56" s="409">
        <f t="shared" si="102"/>
        <v>0</v>
      </c>
      <c r="CE56" s="409">
        <f t="shared" si="102"/>
        <v>0</v>
      </c>
      <c r="CF56" s="409">
        <f t="shared" si="102"/>
        <v>0</v>
      </c>
      <c r="CG56" s="409">
        <f t="shared" si="102"/>
        <v>0</v>
      </c>
      <c r="CH56" s="409">
        <f t="shared" si="102"/>
        <v>0</v>
      </c>
      <c r="CI56" s="409">
        <f t="shared" si="102"/>
        <v>0</v>
      </c>
      <c r="CJ56" s="409">
        <f t="shared" si="102"/>
        <v>0</v>
      </c>
      <c r="CK56" s="409">
        <f t="shared" si="103"/>
        <v>0</v>
      </c>
      <c r="CL56" s="409">
        <f t="shared" si="103"/>
        <v>0</v>
      </c>
      <c r="CM56" s="409">
        <f t="shared" si="103"/>
        <v>0</v>
      </c>
      <c r="CN56" s="409">
        <f t="shared" si="103"/>
        <v>0</v>
      </c>
      <c r="CO56" s="409">
        <f t="shared" si="103"/>
        <v>0</v>
      </c>
      <c r="CP56" s="409">
        <f t="shared" si="103"/>
        <v>0</v>
      </c>
      <c r="CQ56" s="409">
        <f t="shared" si="103"/>
        <v>0</v>
      </c>
      <c r="CR56" s="409">
        <f t="shared" si="103"/>
        <v>0</v>
      </c>
      <c r="CS56" s="409">
        <f t="shared" si="103"/>
        <v>0</v>
      </c>
      <c r="CT56" s="409">
        <f t="shared" si="103"/>
        <v>0</v>
      </c>
      <c r="CU56" s="409">
        <f t="shared" si="104"/>
        <v>0</v>
      </c>
      <c r="CV56" s="409">
        <f t="shared" si="104"/>
        <v>0</v>
      </c>
      <c r="CW56" s="409">
        <f t="shared" si="104"/>
        <v>0</v>
      </c>
      <c r="CX56" s="409">
        <f t="shared" si="104"/>
        <v>0</v>
      </c>
      <c r="CY56" s="409">
        <f t="shared" si="104"/>
        <v>0</v>
      </c>
      <c r="CZ56" s="409">
        <f t="shared" si="104"/>
        <v>0</v>
      </c>
      <c r="DA56" s="409">
        <f t="shared" si="104"/>
        <v>0</v>
      </c>
      <c r="DB56" s="409">
        <f t="shared" si="104"/>
        <v>0</v>
      </c>
      <c r="DC56" s="409">
        <f t="shared" si="104"/>
        <v>0</v>
      </c>
      <c r="DD56" s="409">
        <f t="shared" si="104"/>
        <v>0</v>
      </c>
      <c r="DE56" s="409">
        <f t="shared" si="105"/>
        <v>0</v>
      </c>
      <c r="DF56" s="409">
        <f t="shared" si="105"/>
        <v>0</v>
      </c>
      <c r="DG56" s="409">
        <f t="shared" si="105"/>
        <v>0</v>
      </c>
      <c r="DH56" s="409">
        <f t="shared" si="105"/>
        <v>0</v>
      </c>
      <c r="DI56" s="409">
        <f t="shared" si="105"/>
        <v>0</v>
      </c>
      <c r="DJ56" s="409">
        <f t="shared" si="105"/>
        <v>0</v>
      </c>
      <c r="DK56" s="409">
        <f t="shared" si="105"/>
        <v>0</v>
      </c>
      <c r="DL56" s="409">
        <f t="shared" si="105"/>
        <v>0</v>
      </c>
      <c r="DM56" s="409">
        <f t="shared" si="105"/>
        <v>0</v>
      </c>
      <c r="DN56" s="409">
        <f t="shared" si="105"/>
        <v>0</v>
      </c>
      <c r="DO56" s="409">
        <f t="shared" si="106"/>
        <v>0</v>
      </c>
      <c r="DP56" s="409">
        <f t="shared" si="106"/>
        <v>0</v>
      </c>
      <c r="DQ56" s="409">
        <f t="shared" si="106"/>
        <v>0</v>
      </c>
      <c r="DR56" s="409">
        <f t="shared" si="106"/>
        <v>0</v>
      </c>
      <c r="DS56" s="409">
        <f t="shared" si="106"/>
        <v>0</v>
      </c>
      <c r="DT56" s="409">
        <f t="shared" si="106"/>
        <v>0</v>
      </c>
      <c r="DU56" s="409">
        <f t="shared" si="106"/>
        <v>0</v>
      </c>
      <c r="DV56" s="409">
        <f t="shared" si="106"/>
        <v>0</v>
      </c>
      <c r="DW56" s="409">
        <f t="shared" si="106"/>
        <v>0</v>
      </c>
      <c r="DX56" s="409">
        <f t="shared" si="106"/>
        <v>0</v>
      </c>
      <c r="DY56" s="409">
        <f t="shared" si="107"/>
        <v>0</v>
      </c>
      <c r="DZ56" s="409">
        <f t="shared" si="107"/>
        <v>0</v>
      </c>
      <c r="EA56" s="409">
        <f t="shared" si="107"/>
        <v>0</v>
      </c>
      <c r="EB56" s="409">
        <f t="shared" si="107"/>
        <v>0</v>
      </c>
      <c r="EC56" s="409">
        <f t="shared" si="107"/>
        <v>0</v>
      </c>
      <c r="ED56" s="409">
        <f t="shared" si="107"/>
        <v>0</v>
      </c>
      <c r="EE56" s="409">
        <f t="shared" si="107"/>
        <v>0</v>
      </c>
      <c r="EF56" s="409">
        <f t="shared" si="107"/>
        <v>0</v>
      </c>
      <c r="EG56" s="409">
        <f t="shared" si="107"/>
        <v>0</v>
      </c>
      <c r="EH56" s="409">
        <f t="shared" si="107"/>
        <v>0</v>
      </c>
      <c r="EI56" s="409">
        <f t="shared" si="108"/>
        <v>0</v>
      </c>
      <c r="EJ56" s="409">
        <f t="shared" si="108"/>
        <v>0</v>
      </c>
      <c r="EK56" s="409">
        <f t="shared" si="108"/>
        <v>0</v>
      </c>
      <c r="EL56" s="409">
        <f t="shared" si="108"/>
        <v>0</v>
      </c>
      <c r="EM56" s="409">
        <f t="shared" si="108"/>
        <v>0</v>
      </c>
      <c r="EN56" s="409">
        <f t="shared" si="108"/>
        <v>0</v>
      </c>
      <c r="EO56" s="409">
        <f t="shared" si="108"/>
        <v>0</v>
      </c>
      <c r="EP56" s="409">
        <f t="shared" si="108"/>
        <v>0</v>
      </c>
      <c r="EQ56" s="409">
        <f t="shared" si="108"/>
        <v>0</v>
      </c>
      <c r="ER56" s="409">
        <f t="shared" si="108"/>
        <v>0</v>
      </c>
      <c r="ES56" s="409">
        <f t="shared" si="109"/>
        <v>0</v>
      </c>
      <c r="ET56" s="409">
        <f t="shared" si="109"/>
        <v>0</v>
      </c>
      <c r="EU56" s="409">
        <f t="shared" si="109"/>
        <v>0</v>
      </c>
      <c r="EV56" s="409">
        <f t="shared" si="109"/>
        <v>0</v>
      </c>
      <c r="EW56" s="409">
        <f t="shared" si="109"/>
        <v>0</v>
      </c>
      <c r="EX56" s="409">
        <f t="shared" si="109"/>
        <v>0</v>
      </c>
      <c r="EY56" s="409">
        <f t="shared" si="109"/>
        <v>0</v>
      </c>
      <c r="EZ56" s="409">
        <f t="shared" si="109"/>
        <v>0</v>
      </c>
      <c r="FA56" s="409">
        <f t="shared" si="109"/>
        <v>0</v>
      </c>
      <c r="FB56" s="409">
        <f t="shared" si="109"/>
        <v>0</v>
      </c>
      <c r="FC56" s="409">
        <f t="shared" si="110"/>
        <v>0</v>
      </c>
      <c r="FD56" s="409">
        <f t="shared" si="110"/>
        <v>0</v>
      </c>
      <c r="FE56" s="409">
        <f t="shared" si="110"/>
        <v>0</v>
      </c>
      <c r="FF56" s="409">
        <f t="shared" si="110"/>
        <v>0</v>
      </c>
      <c r="FG56" s="409">
        <f t="shared" si="110"/>
        <v>0</v>
      </c>
      <c r="FH56" s="409">
        <f t="shared" si="110"/>
        <v>0</v>
      </c>
      <c r="FI56" s="409">
        <f t="shared" si="110"/>
        <v>0</v>
      </c>
      <c r="FJ56" s="409">
        <f t="shared" si="110"/>
        <v>0</v>
      </c>
      <c r="FK56" s="409">
        <f t="shared" si="110"/>
        <v>0</v>
      </c>
      <c r="FL56" s="409">
        <f t="shared" si="110"/>
        <v>0</v>
      </c>
      <c r="FM56" s="409">
        <f t="shared" si="111"/>
        <v>0</v>
      </c>
      <c r="FN56" s="409">
        <f t="shared" si="111"/>
        <v>0</v>
      </c>
      <c r="FO56" s="409">
        <f t="shared" si="111"/>
        <v>0</v>
      </c>
      <c r="FP56" s="409">
        <f t="shared" si="111"/>
        <v>0</v>
      </c>
      <c r="FQ56" s="409">
        <f t="shared" si="111"/>
        <v>0</v>
      </c>
      <c r="FR56" s="409">
        <f t="shared" si="111"/>
        <v>0</v>
      </c>
      <c r="FS56" s="409">
        <f t="shared" si="111"/>
        <v>0</v>
      </c>
      <c r="FT56" s="409">
        <f t="shared" si="111"/>
        <v>0</v>
      </c>
      <c r="FU56" s="409">
        <f t="shared" si="111"/>
        <v>0</v>
      </c>
      <c r="FV56" s="409">
        <f t="shared" si="111"/>
        <v>0</v>
      </c>
      <c r="FW56" s="409">
        <f t="shared" si="112"/>
        <v>0</v>
      </c>
      <c r="FX56" s="409">
        <f t="shared" si="112"/>
        <v>0</v>
      </c>
      <c r="FY56" s="409">
        <f t="shared" si="112"/>
        <v>0</v>
      </c>
      <c r="FZ56" s="409">
        <f t="shared" si="112"/>
        <v>0</v>
      </c>
      <c r="GA56" s="409">
        <f t="shared" si="112"/>
        <v>0</v>
      </c>
      <c r="GB56" s="409">
        <f t="shared" si="112"/>
        <v>0</v>
      </c>
      <c r="GC56" s="409">
        <f t="shared" si="112"/>
        <v>0</v>
      </c>
      <c r="GD56" s="409">
        <f t="shared" si="112"/>
        <v>0</v>
      </c>
      <c r="GE56" s="409">
        <f t="shared" si="112"/>
        <v>0</v>
      </c>
      <c r="GF56" s="409">
        <f t="shared" si="112"/>
        <v>0</v>
      </c>
      <c r="GG56" s="409">
        <f t="shared" si="113"/>
        <v>0</v>
      </c>
      <c r="GH56" s="409">
        <f t="shared" si="113"/>
        <v>0</v>
      </c>
      <c r="GI56" s="409">
        <f t="shared" si="113"/>
        <v>0</v>
      </c>
      <c r="GJ56" s="409">
        <f t="shared" si="113"/>
        <v>0</v>
      </c>
      <c r="GK56" s="409">
        <f t="shared" si="113"/>
        <v>0</v>
      </c>
      <c r="GL56" s="409">
        <f t="shared" si="113"/>
        <v>0</v>
      </c>
      <c r="GM56" s="409">
        <f t="shared" si="113"/>
        <v>0</v>
      </c>
      <c r="GN56" s="409">
        <f t="shared" si="113"/>
        <v>0</v>
      </c>
      <c r="GO56" s="409">
        <f t="shared" si="113"/>
        <v>0</v>
      </c>
      <c r="GP56" s="409">
        <f t="shared" si="113"/>
        <v>0</v>
      </c>
      <c r="GQ56" s="409">
        <f t="shared" si="114"/>
        <v>0</v>
      </c>
      <c r="GR56" s="409">
        <f t="shared" si="114"/>
        <v>0</v>
      </c>
      <c r="GS56" s="409">
        <f t="shared" si="114"/>
        <v>0</v>
      </c>
      <c r="GT56" s="409">
        <f t="shared" si="114"/>
        <v>0</v>
      </c>
      <c r="GU56" s="409">
        <f t="shared" si="114"/>
        <v>0</v>
      </c>
      <c r="GV56" s="409">
        <f t="shared" si="114"/>
        <v>0</v>
      </c>
      <c r="GW56" s="409">
        <f t="shared" si="114"/>
        <v>0</v>
      </c>
      <c r="GX56" s="409">
        <f t="shared" si="114"/>
        <v>0</v>
      </c>
      <c r="GY56" s="409">
        <f t="shared" si="114"/>
        <v>0</v>
      </c>
      <c r="GZ56" s="409">
        <f t="shared" si="114"/>
        <v>0</v>
      </c>
      <c r="HA56" s="409">
        <f t="shared" si="115"/>
        <v>0</v>
      </c>
      <c r="HB56" s="409">
        <f t="shared" si="115"/>
        <v>0</v>
      </c>
      <c r="HC56" s="409">
        <f t="shared" si="115"/>
        <v>0</v>
      </c>
      <c r="HD56" s="409">
        <f t="shared" si="115"/>
        <v>0</v>
      </c>
      <c r="HE56" s="409">
        <f t="shared" si="115"/>
        <v>0</v>
      </c>
      <c r="HF56" s="409">
        <f t="shared" si="115"/>
        <v>0</v>
      </c>
      <c r="HG56" s="409">
        <f t="shared" si="115"/>
        <v>0</v>
      </c>
      <c r="HH56" s="409">
        <f t="shared" si="115"/>
        <v>0</v>
      </c>
      <c r="HI56" s="409">
        <f t="shared" si="115"/>
        <v>0</v>
      </c>
      <c r="HJ56" s="409">
        <f t="shared" si="115"/>
        <v>0</v>
      </c>
      <c r="HK56" s="409">
        <f t="shared" si="116"/>
        <v>0</v>
      </c>
      <c r="HL56" s="409">
        <f t="shared" si="116"/>
        <v>0</v>
      </c>
      <c r="HM56" s="409">
        <f t="shared" si="116"/>
        <v>0</v>
      </c>
      <c r="HN56" s="409">
        <f t="shared" si="116"/>
        <v>0</v>
      </c>
      <c r="HO56" s="409">
        <f t="shared" si="116"/>
        <v>0</v>
      </c>
      <c r="HP56" s="409">
        <f t="shared" si="116"/>
        <v>0</v>
      </c>
      <c r="HQ56" s="409">
        <f t="shared" si="116"/>
        <v>0</v>
      </c>
      <c r="HR56" s="409">
        <f t="shared" si="116"/>
        <v>0</v>
      </c>
      <c r="HS56" s="409">
        <f t="shared" si="116"/>
        <v>0</v>
      </c>
      <c r="HT56" s="409">
        <f t="shared" si="116"/>
        <v>0</v>
      </c>
      <c r="HU56" s="409">
        <f t="shared" si="117"/>
        <v>0</v>
      </c>
      <c r="HV56" s="409">
        <f t="shared" si="117"/>
        <v>0</v>
      </c>
      <c r="HW56" s="409">
        <f t="shared" si="117"/>
        <v>0</v>
      </c>
      <c r="HX56" s="409">
        <f t="shared" si="117"/>
        <v>0</v>
      </c>
      <c r="HY56" s="409">
        <f t="shared" si="117"/>
        <v>0</v>
      </c>
      <c r="HZ56" s="409">
        <f t="shared" si="117"/>
        <v>0</v>
      </c>
      <c r="IA56" s="409">
        <f t="shared" si="117"/>
        <v>0</v>
      </c>
      <c r="IB56" s="409">
        <f t="shared" si="117"/>
        <v>0</v>
      </c>
      <c r="IC56" s="409">
        <f t="shared" si="117"/>
        <v>0</v>
      </c>
      <c r="ID56" s="409">
        <f t="shared" si="117"/>
        <v>0</v>
      </c>
      <c r="IE56" s="409">
        <f t="shared" si="118"/>
        <v>0</v>
      </c>
      <c r="IF56" s="409">
        <f t="shared" si="118"/>
        <v>0</v>
      </c>
      <c r="IG56" s="409">
        <f t="shared" si="118"/>
        <v>0</v>
      </c>
      <c r="IH56" s="409">
        <f t="shared" si="118"/>
        <v>0</v>
      </c>
      <c r="II56" s="409">
        <f t="shared" si="118"/>
        <v>0</v>
      </c>
      <c r="IJ56" s="409">
        <f t="shared" si="118"/>
        <v>0</v>
      </c>
      <c r="IK56" s="378">
        <f t="shared" si="54"/>
        <v>49</v>
      </c>
    </row>
    <row r="57" spans="1:245" hidden="1" x14ac:dyDescent="0.2">
      <c r="A57" s="380" t="str">
        <f t="shared" si="119"/>
        <v>e</v>
      </c>
      <c r="B57" s="712" t="str" cm="1">
        <f t="array" ref="B57">IF(ISERROR(INDEX('Legend(Skid)'!$H$8:$H$9,ROW()-42)),"",INDEX('Legend(Skid)'!$H$8:$H$9,ROW()-42))</f>
        <v/>
      </c>
      <c r="C57" s="712" t="e" cm="1">
        <f t="array" ref="C57">IF(INDEX('Legend(Skid)'!$T$8:$T$9,ROW()-42)=0,"See Legend",INDEX('Legend(Skid)'!$T$8:$T$9,ROW()-42))</f>
        <v>#REF!</v>
      </c>
      <c r="D57" s="712" t="e">
        <f>IF(INDEX('Legend(Skid)'!$R$8:$R$9,(ROW(C57))-42)=0,IF(AND(INDEX('Legend(Skid)'!$D$8:$D$9,(ROW(C57))-41)="CH",INDEX('Legend(Skid)'!$F$8:$F$9,(ROW(C57))-41)="CASE - MANUAL"),INDEX('Legend(Skid)'!$R$8:$R$9,(ROW(C57))-41),IF(INDEX('Legend(Skid)'!$V$8:$V$9,(ROW(C57))-42)&gt;1, "(" &amp; INDEX('Legend(Skid)'!$V$8:$V$9,(ROW(C57))-42) &amp; ") " &amp; INDEX('Legend(Skid)'!$W$8:$W$9,(ROW(C57))-41),INDEX('Legend(Skid)'!$W$8:$W$9,(ROW(C57))-42))),INDEX('Legend(Skid)'!$R$8:$R$9,(ROW(C57))-42))</f>
        <v>#REF!</v>
      </c>
      <c r="E57" s="713" cm="1">
        <f t="array" ref="E57">IF(OR(ISNUMBER(SEARCH("Pump",C57)),ISNUMBER(SEARCH("PH",C57)),ISERROR(INDEX('Legend(Skid)'!$AA$8:$AA$9,ROW()-42))),0,INDEX('Legend(Skid)'!$AA$8:$AA$9,ROW()-42))</f>
        <v>0</v>
      </c>
      <c r="F57" s="714"/>
      <c r="G57" s="714"/>
      <c r="H57" s="714"/>
      <c r="I57" s="714"/>
      <c r="J57" s="714"/>
      <c r="K57" s="890">
        <f t="shared" si="35"/>
        <v>0</v>
      </c>
      <c r="L57" s="718"/>
      <c r="M57" s="719"/>
      <c r="N57" s="972">
        <f t="shared" si="120"/>
        <v>-1</v>
      </c>
      <c r="O57" s="972">
        <f t="shared" si="121"/>
        <v>-1</v>
      </c>
      <c r="P57" s="972">
        <f t="shared" si="122"/>
        <v>-1</v>
      </c>
      <c r="Q57" s="972">
        <f t="shared" si="123"/>
        <v>-1</v>
      </c>
      <c r="R57" s="972">
        <f t="shared" si="124"/>
        <v>-1</v>
      </c>
      <c r="S57" s="972">
        <f t="shared" si="125"/>
        <v>-1</v>
      </c>
      <c r="T57" s="972">
        <f t="shared" si="126"/>
        <v>-1</v>
      </c>
      <c r="U57" s="972">
        <f t="shared" si="127"/>
        <v>-1</v>
      </c>
      <c r="V57" s="972">
        <f t="shared" si="128"/>
        <v>-1</v>
      </c>
      <c r="W57" s="972">
        <f t="shared" si="129"/>
        <v>-1</v>
      </c>
      <c r="X57" s="972">
        <f t="shared" si="130"/>
        <v>-1</v>
      </c>
      <c r="Y57" s="972">
        <f t="shared" si="131"/>
        <v>-1</v>
      </c>
      <c r="Z57" s="972">
        <f t="shared" si="132"/>
        <v>-1</v>
      </c>
      <c r="AA57" s="972">
        <f t="shared" si="133"/>
        <v>-1</v>
      </c>
      <c r="AB57" s="972">
        <f t="shared" si="134"/>
        <v>-1</v>
      </c>
      <c r="AC57" s="972">
        <f t="shared" si="135"/>
        <v>-1</v>
      </c>
      <c r="AD57" s="972">
        <f t="shared" si="136"/>
        <v>-1</v>
      </c>
      <c r="AE57" s="972">
        <f t="shared" si="137"/>
        <v>-1</v>
      </c>
      <c r="AF57" s="972">
        <f t="shared" si="138"/>
        <v>-1</v>
      </c>
      <c r="AG57" s="972">
        <f t="shared" si="139"/>
        <v>-1</v>
      </c>
      <c r="AH57" s="972">
        <f t="shared" si="140"/>
        <v>-1</v>
      </c>
      <c r="AI57" s="972">
        <f t="shared" si="141"/>
        <v>-1</v>
      </c>
      <c r="AJ57" s="972">
        <f t="shared" si="142"/>
        <v>-1</v>
      </c>
      <c r="AK57" s="381" t="str">
        <f>IF(ISERROR(INDEX('Legend(Skid)'!$AI$8:$AI$9,ROW()-42)),"",INDEX('Legend(Skid)'!$AI$8:$AI$9,ROW()-42))</f>
        <v/>
      </c>
      <c r="AL57" s="727" t="str">
        <f t="shared" si="53"/>
        <v/>
      </c>
      <c r="AM57" s="409">
        <f t="shared" si="98"/>
        <v>0</v>
      </c>
      <c r="AN57" s="409">
        <f t="shared" si="98"/>
        <v>0</v>
      </c>
      <c r="AO57" s="409">
        <f t="shared" si="98"/>
        <v>0</v>
      </c>
      <c r="AP57" s="409">
        <f t="shared" si="98"/>
        <v>0</v>
      </c>
      <c r="AQ57" s="409">
        <f t="shared" si="98"/>
        <v>0</v>
      </c>
      <c r="AR57" s="409">
        <f t="shared" si="98"/>
        <v>0</v>
      </c>
      <c r="AS57" s="409">
        <f t="shared" si="98"/>
        <v>0</v>
      </c>
      <c r="AT57" s="409">
        <f t="shared" si="98"/>
        <v>0</v>
      </c>
      <c r="AU57" s="409">
        <f t="shared" si="98"/>
        <v>0</v>
      </c>
      <c r="AV57" s="409">
        <f t="shared" si="98"/>
        <v>0</v>
      </c>
      <c r="AW57" s="409">
        <f t="shared" si="99"/>
        <v>0</v>
      </c>
      <c r="AX57" s="409">
        <f t="shared" si="99"/>
        <v>0</v>
      </c>
      <c r="AY57" s="409">
        <f t="shared" si="99"/>
        <v>0</v>
      </c>
      <c r="AZ57" s="409">
        <f t="shared" si="99"/>
        <v>0</v>
      </c>
      <c r="BA57" s="409">
        <f t="shared" si="99"/>
        <v>0</v>
      </c>
      <c r="BB57" s="409">
        <f t="shared" si="99"/>
        <v>0</v>
      </c>
      <c r="BC57" s="409">
        <f t="shared" si="99"/>
        <v>0</v>
      </c>
      <c r="BD57" s="409">
        <f t="shared" si="99"/>
        <v>0</v>
      </c>
      <c r="BE57" s="409">
        <f t="shared" si="99"/>
        <v>0</v>
      </c>
      <c r="BF57" s="409">
        <f t="shared" si="99"/>
        <v>0</v>
      </c>
      <c r="BG57" s="409">
        <f t="shared" si="100"/>
        <v>0</v>
      </c>
      <c r="BH57" s="409">
        <f t="shared" si="100"/>
        <v>0</v>
      </c>
      <c r="BI57" s="409">
        <f t="shared" si="100"/>
        <v>0</v>
      </c>
      <c r="BJ57" s="409">
        <f t="shared" si="100"/>
        <v>0</v>
      </c>
      <c r="BK57" s="409">
        <f t="shared" si="100"/>
        <v>0</v>
      </c>
      <c r="BL57" s="409">
        <f t="shared" si="100"/>
        <v>0</v>
      </c>
      <c r="BM57" s="409">
        <f t="shared" si="100"/>
        <v>0</v>
      </c>
      <c r="BN57" s="409">
        <f t="shared" si="100"/>
        <v>0</v>
      </c>
      <c r="BO57" s="409">
        <f t="shared" si="100"/>
        <v>0</v>
      </c>
      <c r="BP57" s="409">
        <f t="shared" si="100"/>
        <v>0</v>
      </c>
      <c r="BQ57" s="409">
        <f t="shared" si="101"/>
        <v>0</v>
      </c>
      <c r="BR57" s="409">
        <f t="shared" si="101"/>
        <v>0</v>
      </c>
      <c r="BS57" s="409">
        <f t="shared" si="101"/>
        <v>0</v>
      </c>
      <c r="BT57" s="409">
        <f t="shared" si="101"/>
        <v>0</v>
      </c>
      <c r="BU57" s="409">
        <f t="shared" si="101"/>
        <v>0</v>
      </c>
      <c r="BV57" s="409">
        <f t="shared" si="101"/>
        <v>0</v>
      </c>
      <c r="BW57" s="409">
        <f t="shared" si="101"/>
        <v>0</v>
      </c>
      <c r="BX57" s="409">
        <f t="shared" si="101"/>
        <v>0</v>
      </c>
      <c r="BY57" s="409">
        <f t="shared" si="101"/>
        <v>0</v>
      </c>
      <c r="BZ57" s="409">
        <f t="shared" si="101"/>
        <v>0</v>
      </c>
      <c r="CA57" s="409">
        <f t="shared" si="102"/>
        <v>0</v>
      </c>
      <c r="CB57" s="409">
        <f t="shared" si="102"/>
        <v>0</v>
      </c>
      <c r="CC57" s="409">
        <f t="shared" si="102"/>
        <v>0</v>
      </c>
      <c r="CD57" s="409">
        <f t="shared" si="102"/>
        <v>0</v>
      </c>
      <c r="CE57" s="409">
        <f t="shared" si="102"/>
        <v>0</v>
      </c>
      <c r="CF57" s="409">
        <f t="shared" si="102"/>
        <v>0</v>
      </c>
      <c r="CG57" s="409">
        <f t="shared" si="102"/>
        <v>0</v>
      </c>
      <c r="CH57" s="409">
        <f t="shared" si="102"/>
        <v>0</v>
      </c>
      <c r="CI57" s="409">
        <f t="shared" si="102"/>
        <v>0</v>
      </c>
      <c r="CJ57" s="409">
        <f t="shared" si="102"/>
        <v>0</v>
      </c>
      <c r="CK57" s="409">
        <f t="shared" si="103"/>
        <v>0</v>
      </c>
      <c r="CL57" s="409">
        <f t="shared" si="103"/>
        <v>0</v>
      </c>
      <c r="CM57" s="409">
        <f t="shared" si="103"/>
        <v>0</v>
      </c>
      <c r="CN57" s="409">
        <f t="shared" si="103"/>
        <v>0</v>
      </c>
      <c r="CO57" s="409">
        <f t="shared" si="103"/>
        <v>0</v>
      </c>
      <c r="CP57" s="409">
        <f t="shared" si="103"/>
        <v>0</v>
      </c>
      <c r="CQ57" s="409">
        <f t="shared" si="103"/>
        <v>0</v>
      </c>
      <c r="CR57" s="409">
        <f t="shared" si="103"/>
        <v>0</v>
      </c>
      <c r="CS57" s="409">
        <f t="shared" si="103"/>
        <v>0</v>
      </c>
      <c r="CT57" s="409">
        <f t="shared" si="103"/>
        <v>0</v>
      </c>
      <c r="CU57" s="409">
        <f t="shared" si="104"/>
        <v>0</v>
      </c>
      <c r="CV57" s="409">
        <f t="shared" si="104"/>
        <v>0</v>
      </c>
      <c r="CW57" s="409">
        <f t="shared" si="104"/>
        <v>0</v>
      </c>
      <c r="CX57" s="409">
        <f t="shared" si="104"/>
        <v>0</v>
      </c>
      <c r="CY57" s="409">
        <f t="shared" si="104"/>
        <v>0</v>
      </c>
      <c r="CZ57" s="409">
        <f t="shared" si="104"/>
        <v>0</v>
      </c>
      <c r="DA57" s="409">
        <f t="shared" si="104"/>
        <v>0</v>
      </c>
      <c r="DB57" s="409">
        <f t="shared" si="104"/>
        <v>0</v>
      </c>
      <c r="DC57" s="409">
        <f t="shared" si="104"/>
        <v>0</v>
      </c>
      <c r="DD57" s="409">
        <f t="shared" si="104"/>
        <v>0</v>
      </c>
      <c r="DE57" s="409">
        <f t="shared" si="105"/>
        <v>0</v>
      </c>
      <c r="DF57" s="409">
        <f t="shared" si="105"/>
        <v>0</v>
      </c>
      <c r="DG57" s="409">
        <f t="shared" si="105"/>
        <v>0</v>
      </c>
      <c r="DH57" s="409">
        <f t="shared" si="105"/>
        <v>0</v>
      </c>
      <c r="DI57" s="409">
        <f t="shared" si="105"/>
        <v>0</v>
      </c>
      <c r="DJ57" s="409">
        <f t="shared" si="105"/>
        <v>0</v>
      </c>
      <c r="DK57" s="409">
        <f t="shared" si="105"/>
        <v>0</v>
      </c>
      <c r="DL57" s="409">
        <f t="shared" si="105"/>
        <v>0</v>
      </c>
      <c r="DM57" s="409">
        <f t="shared" si="105"/>
        <v>0</v>
      </c>
      <c r="DN57" s="409">
        <f t="shared" si="105"/>
        <v>0</v>
      </c>
      <c r="DO57" s="409">
        <f t="shared" si="106"/>
        <v>0</v>
      </c>
      <c r="DP57" s="409">
        <f t="shared" si="106"/>
        <v>0</v>
      </c>
      <c r="DQ57" s="409">
        <f t="shared" si="106"/>
        <v>0</v>
      </c>
      <c r="DR57" s="409">
        <f t="shared" si="106"/>
        <v>0</v>
      </c>
      <c r="DS57" s="409">
        <f t="shared" si="106"/>
        <v>0</v>
      </c>
      <c r="DT57" s="409">
        <f t="shared" si="106"/>
        <v>0</v>
      </c>
      <c r="DU57" s="409">
        <f t="shared" si="106"/>
        <v>0</v>
      </c>
      <c r="DV57" s="409">
        <f t="shared" si="106"/>
        <v>0</v>
      </c>
      <c r="DW57" s="409">
        <f t="shared" si="106"/>
        <v>0</v>
      </c>
      <c r="DX57" s="409">
        <f t="shared" si="106"/>
        <v>0</v>
      </c>
      <c r="DY57" s="409">
        <f t="shared" si="107"/>
        <v>0</v>
      </c>
      <c r="DZ57" s="409">
        <f t="shared" si="107"/>
        <v>0</v>
      </c>
      <c r="EA57" s="409">
        <f t="shared" si="107"/>
        <v>0</v>
      </c>
      <c r="EB57" s="409">
        <f t="shared" si="107"/>
        <v>0</v>
      </c>
      <c r="EC57" s="409">
        <f t="shared" si="107"/>
        <v>0</v>
      </c>
      <c r="ED57" s="409">
        <f t="shared" si="107"/>
        <v>0</v>
      </c>
      <c r="EE57" s="409">
        <f t="shared" si="107"/>
        <v>0</v>
      </c>
      <c r="EF57" s="409">
        <f t="shared" si="107"/>
        <v>0</v>
      </c>
      <c r="EG57" s="409">
        <f t="shared" si="107"/>
        <v>0</v>
      </c>
      <c r="EH57" s="409">
        <f t="shared" si="107"/>
        <v>0</v>
      </c>
      <c r="EI57" s="409">
        <f t="shared" si="108"/>
        <v>0</v>
      </c>
      <c r="EJ57" s="409">
        <f t="shared" si="108"/>
        <v>0</v>
      </c>
      <c r="EK57" s="409">
        <f t="shared" si="108"/>
        <v>0</v>
      </c>
      <c r="EL57" s="409">
        <f t="shared" si="108"/>
        <v>0</v>
      </c>
      <c r="EM57" s="409">
        <f t="shared" si="108"/>
        <v>0</v>
      </c>
      <c r="EN57" s="409">
        <f t="shared" si="108"/>
        <v>0</v>
      </c>
      <c r="EO57" s="409">
        <f t="shared" si="108"/>
        <v>0</v>
      </c>
      <c r="EP57" s="409">
        <f t="shared" si="108"/>
        <v>0</v>
      </c>
      <c r="EQ57" s="409">
        <f t="shared" si="108"/>
        <v>0</v>
      </c>
      <c r="ER57" s="409">
        <f t="shared" si="108"/>
        <v>0</v>
      </c>
      <c r="ES57" s="409">
        <f t="shared" si="109"/>
        <v>0</v>
      </c>
      <c r="ET57" s="409">
        <f t="shared" si="109"/>
        <v>0</v>
      </c>
      <c r="EU57" s="409">
        <f t="shared" si="109"/>
        <v>0</v>
      </c>
      <c r="EV57" s="409">
        <f t="shared" si="109"/>
        <v>0</v>
      </c>
      <c r="EW57" s="409">
        <f t="shared" si="109"/>
        <v>0</v>
      </c>
      <c r="EX57" s="409">
        <f t="shared" si="109"/>
        <v>0</v>
      </c>
      <c r="EY57" s="409">
        <f t="shared" si="109"/>
        <v>0</v>
      </c>
      <c r="EZ57" s="409">
        <f t="shared" si="109"/>
        <v>0</v>
      </c>
      <c r="FA57" s="409">
        <f t="shared" si="109"/>
        <v>0</v>
      </c>
      <c r="FB57" s="409">
        <f t="shared" si="109"/>
        <v>0</v>
      </c>
      <c r="FC57" s="409">
        <f t="shared" si="110"/>
        <v>0</v>
      </c>
      <c r="FD57" s="409">
        <f t="shared" si="110"/>
        <v>0</v>
      </c>
      <c r="FE57" s="409">
        <f t="shared" si="110"/>
        <v>0</v>
      </c>
      <c r="FF57" s="409">
        <f t="shared" si="110"/>
        <v>0</v>
      </c>
      <c r="FG57" s="409">
        <f t="shared" si="110"/>
        <v>0</v>
      </c>
      <c r="FH57" s="409">
        <f t="shared" si="110"/>
        <v>0</v>
      </c>
      <c r="FI57" s="409">
        <f t="shared" si="110"/>
        <v>0</v>
      </c>
      <c r="FJ57" s="409">
        <f t="shared" si="110"/>
        <v>0</v>
      </c>
      <c r="FK57" s="409">
        <f t="shared" si="110"/>
        <v>0</v>
      </c>
      <c r="FL57" s="409">
        <f t="shared" si="110"/>
        <v>0</v>
      </c>
      <c r="FM57" s="409">
        <f t="shared" si="111"/>
        <v>0</v>
      </c>
      <c r="FN57" s="409">
        <f t="shared" si="111"/>
        <v>0</v>
      </c>
      <c r="FO57" s="409">
        <f t="shared" si="111"/>
        <v>0</v>
      </c>
      <c r="FP57" s="409">
        <f t="shared" si="111"/>
        <v>0</v>
      </c>
      <c r="FQ57" s="409">
        <f t="shared" si="111"/>
        <v>0</v>
      </c>
      <c r="FR57" s="409">
        <f t="shared" si="111"/>
        <v>0</v>
      </c>
      <c r="FS57" s="409">
        <f t="shared" si="111"/>
        <v>0</v>
      </c>
      <c r="FT57" s="409">
        <f t="shared" si="111"/>
        <v>0</v>
      </c>
      <c r="FU57" s="409">
        <f t="shared" si="111"/>
        <v>0</v>
      </c>
      <c r="FV57" s="409">
        <f t="shared" si="111"/>
        <v>0</v>
      </c>
      <c r="FW57" s="409">
        <f t="shared" si="112"/>
        <v>0</v>
      </c>
      <c r="FX57" s="409">
        <f t="shared" si="112"/>
        <v>0</v>
      </c>
      <c r="FY57" s="409">
        <f t="shared" si="112"/>
        <v>0</v>
      </c>
      <c r="FZ57" s="409">
        <f t="shared" si="112"/>
        <v>0</v>
      </c>
      <c r="GA57" s="409">
        <f t="shared" si="112"/>
        <v>0</v>
      </c>
      <c r="GB57" s="409">
        <f t="shared" si="112"/>
        <v>0</v>
      </c>
      <c r="GC57" s="409">
        <f t="shared" si="112"/>
        <v>0</v>
      </c>
      <c r="GD57" s="409">
        <f t="shared" si="112"/>
        <v>0</v>
      </c>
      <c r="GE57" s="409">
        <f t="shared" si="112"/>
        <v>0</v>
      </c>
      <c r="GF57" s="409">
        <f t="shared" si="112"/>
        <v>0</v>
      </c>
      <c r="GG57" s="409">
        <f t="shared" si="113"/>
        <v>0</v>
      </c>
      <c r="GH57" s="409">
        <f t="shared" si="113"/>
        <v>0</v>
      </c>
      <c r="GI57" s="409">
        <f t="shared" si="113"/>
        <v>0</v>
      </c>
      <c r="GJ57" s="409">
        <f t="shared" si="113"/>
        <v>0</v>
      </c>
      <c r="GK57" s="409">
        <f t="shared" si="113"/>
        <v>0</v>
      </c>
      <c r="GL57" s="409">
        <f t="shared" si="113"/>
        <v>0</v>
      </c>
      <c r="GM57" s="409">
        <f t="shared" si="113"/>
        <v>0</v>
      </c>
      <c r="GN57" s="409">
        <f t="shared" si="113"/>
        <v>0</v>
      </c>
      <c r="GO57" s="409">
        <f t="shared" si="113"/>
        <v>0</v>
      </c>
      <c r="GP57" s="409">
        <f t="shared" si="113"/>
        <v>0</v>
      </c>
      <c r="GQ57" s="409">
        <f t="shared" si="114"/>
        <v>0</v>
      </c>
      <c r="GR57" s="409">
        <f t="shared" si="114"/>
        <v>0</v>
      </c>
      <c r="GS57" s="409">
        <f t="shared" si="114"/>
        <v>0</v>
      </c>
      <c r="GT57" s="409">
        <f t="shared" si="114"/>
        <v>0</v>
      </c>
      <c r="GU57" s="409">
        <f t="shared" si="114"/>
        <v>0</v>
      </c>
      <c r="GV57" s="409">
        <f t="shared" si="114"/>
        <v>0</v>
      </c>
      <c r="GW57" s="409">
        <f t="shared" si="114"/>
        <v>0</v>
      </c>
      <c r="GX57" s="409">
        <f t="shared" si="114"/>
        <v>0</v>
      </c>
      <c r="GY57" s="409">
        <f t="shared" si="114"/>
        <v>0</v>
      </c>
      <c r="GZ57" s="409">
        <f t="shared" si="114"/>
        <v>0</v>
      </c>
      <c r="HA57" s="409">
        <f t="shared" si="115"/>
        <v>0</v>
      </c>
      <c r="HB57" s="409">
        <f t="shared" si="115"/>
        <v>0</v>
      </c>
      <c r="HC57" s="409">
        <f t="shared" si="115"/>
        <v>0</v>
      </c>
      <c r="HD57" s="409">
        <f t="shared" si="115"/>
        <v>0</v>
      </c>
      <c r="HE57" s="409">
        <f t="shared" si="115"/>
        <v>0</v>
      </c>
      <c r="HF57" s="409">
        <f t="shared" si="115"/>
        <v>0</v>
      </c>
      <c r="HG57" s="409">
        <f t="shared" si="115"/>
        <v>0</v>
      </c>
      <c r="HH57" s="409">
        <f t="shared" si="115"/>
        <v>0</v>
      </c>
      <c r="HI57" s="409">
        <f t="shared" si="115"/>
        <v>0</v>
      </c>
      <c r="HJ57" s="409">
        <f t="shared" si="115"/>
        <v>0</v>
      </c>
      <c r="HK57" s="409">
        <f t="shared" si="116"/>
        <v>0</v>
      </c>
      <c r="HL57" s="409">
        <f t="shared" si="116"/>
        <v>0</v>
      </c>
      <c r="HM57" s="409">
        <f t="shared" si="116"/>
        <v>0</v>
      </c>
      <c r="HN57" s="409">
        <f t="shared" si="116"/>
        <v>0</v>
      </c>
      <c r="HO57" s="409">
        <f t="shared" si="116"/>
        <v>0</v>
      </c>
      <c r="HP57" s="409">
        <f t="shared" si="116"/>
        <v>0</v>
      </c>
      <c r="HQ57" s="409">
        <f t="shared" si="116"/>
        <v>0</v>
      </c>
      <c r="HR57" s="409">
        <f t="shared" si="116"/>
        <v>0</v>
      </c>
      <c r="HS57" s="409">
        <f t="shared" si="116"/>
        <v>0</v>
      </c>
      <c r="HT57" s="409">
        <f t="shared" si="116"/>
        <v>0</v>
      </c>
      <c r="HU57" s="409">
        <f t="shared" si="117"/>
        <v>0</v>
      </c>
      <c r="HV57" s="409">
        <f t="shared" si="117"/>
        <v>0</v>
      </c>
      <c r="HW57" s="409">
        <f t="shared" si="117"/>
        <v>0</v>
      </c>
      <c r="HX57" s="409">
        <f t="shared" si="117"/>
        <v>0</v>
      </c>
      <c r="HY57" s="409">
        <f t="shared" si="117"/>
        <v>0</v>
      </c>
      <c r="HZ57" s="409">
        <f t="shared" si="117"/>
        <v>0</v>
      </c>
      <c r="IA57" s="409">
        <f t="shared" si="117"/>
        <v>0</v>
      </c>
      <c r="IB57" s="409">
        <f t="shared" si="117"/>
        <v>0</v>
      </c>
      <c r="IC57" s="409">
        <f t="shared" si="117"/>
        <v>0</v>
      </c>
      <c r="ID57" s="409">
        <f t="shared" si="117"/>
        <v>0</v>
      </c>
      <c r="IE57" s="409">
        <f t="shared" si="118"/>
        <v>0</v>
      </c>
      <c r="IF57" s="409">
        <f t="shared" si="118"/>
        <v>0</v>
      </c>
      <c r="IG57" s="409">
        <f t="shared" si="118"/>
        <v>0</v>
      </c>
      <c r="IH57" s="409">
        <f t="shared" si="118"/>
        <v>0</v>
      </c>
      <c r="II57" s="409">
        <f t="shared" si="118"/>
        <v>0</v>
      </c>
      <c r="IJ57" s="409">
        <f t="shared" si="118"/>
        <v>0</v>
      </c>
      <c r="IK57" s="378">
        <f t="shared" si="54"/>
        <v>50</v>
      </c>
    </row>
    <row r="58" spans="1:245" hidden="1" x14ac:dyDescent="0.2">
      <c r="A58" s="380" t="str">
        <f t="shared" si="119"/>
        <v>e</v>
      </c>
      <c r="B58" s="712" t="str" cm="1">
        <f t="array" ref="B58">IF(ISERROR(INDEX('Legend(Skid)'!$H$8:$H$9,ROW()-42)),"",INDEX('Legend(Skid)'!$H$8:$H$9,ROW()-42))</f>
        <v/>
      </c>
      <c r="C58" s="712" t="e" cm="1">
        <f t="array" ref="C58">IF(INDEX('Legend(Skid)'!$T$8:$T$9,ROW()-42)=0,"See Legend",INDEX('Legend(Skid)'!$T$8:$T$9,ROW()-42))</f>
        <v>#REF!</v>
      </c>
      <c r="D58" s="712" t="e">
        <f>IF(INDEX('Legend(Skid)'!$R$8:$R$9,(ROW(C58))-42)=0,IF(AND(INDEX('Legend(Skid)'!$D$8:$D$9,(ROW(C58))-41)="CH",INDEX('Legend(Skid)'!$F$8:$F$9,(ROW(C58))-41)="CASE - MANUAL"),INDEX('Legend(Skid)'!$R$8:$R$9,(ROW(C58))-41),IF(INDEX('Legend(Skid)'!$V$8:$V$9,(ROW(C58))-42)&gt;1, "(" &amp; INDEX('Legend(Skid)'!$V$8:$V$9,(ROW(C58))-42) &amp; ") " &amp; INDEX('Legend(Skid)'!$W$8:$W$9,(ROW(C58))-41),INDEX('Legend(Skid)'!$W$8:$W$9,(ROW(C58))-42))),INDEX('Legend(Skid)'!$R$8:$R$9,(ROW(C58))-42))</f>
        <v>#REF!</v>
      </c>
      <c r="E58" s="713" cm="1">
        <f t="array" ref="E58">IF(OR(ISNUMBER(SEARCH("Pump",C58)),ISNUMBER(SEARCH("PH",C58)),ISERROR(INDEX('Legend(Skid)'!$AA$8:$AA$9,ROW()-42))),0,INDEX('Legend(Skid)'!$AA$8:$AA$9,ROW()-42))</f>
        <v>0</v>
      </c>
      <c r="F58" s="714"/>
      <c r="G58" s="714"/>
      <c r="H58" s="714"/>
      <c r="I58" s="714"/>
      <c r="J58" s="714"/>
      <c r="K58" s="890">
        <f t="shared" si="35"/>
        <v>0</v>
      </c>
      <c r="L58" s="718"/>
      <c r="M58" s="719"/>
      <c r="N58" s="972">
        <f t="shared" si="120"/>
        <v>-1</v>
      </c>
      <c r="O58" s="972">
        <f t="shared" si="121"/>
        <v>-1</v>
      </c>
      <c r="P58" s="972">
        <f t="shared" si="122"/>
        <v>-1</v>
      </c>
      <c r="Q58" s="972">
        <f t="shared" si="123"/>
        <v>-1</v>
      </c>
      <c r="R58" s="972">
        <f t="shared" si="124"/>
        <v>-1</v>
      </c>
      <c r="S58" s="972">
        <f t="shared" si="125"/>
        <v>-1</v>
      </c>
      <c r="T58" s="972">
        <f t="shared" si="126"/>
        <v>-1</v>
      </c>
      <c r="U58" s="972">
        <f t="shared" si="127"/>
        <v>-1</v>
      </c>
      <c r="V58" s="972">
        <f t="shared" si="128"/>
        <v>-1</v>
      </c>
      <c r="W58" s="972">
        <f t="shared" si="129"/>
        <v>-1</v>
      </c>
      <c r="X58" s="972">
        <f t="shared" si="130"/>
        <v>-1</v>
      </c>
      <c r="Y58" s="972">
        <f t="shared" si="131"/>
        <v>-1</v>
      </c>
      <c r="Z58" s="972">
        <f t="shared" si="132"/>
        <v>-1</v>
      </c>
      <c r="AA58" s="972">
        <f t="shared" si="133"/>
        <v>-1</v>
      </c>
      <c r="AB58" s="972">
        <f t="shared" si="134"/>
        <v>-1</v>
      </c>
      <c r="AC58" s="972">
        <f t="shared" si="135"/>
        <v>-1</v>
      </c>
      <c r="AD58" s="972">
        <f t="shared" si="136"/>
        <v>-1</v>
      </c>
      <c r="AE58" s="972">
        <f t="shared" si="137"/>
        <v>-1</v>
      </c>
      <c r="AF58" s="972">
        <f t="shared" si="138"/>
        <v>-1</v>
      </c>
      <c r="AG58" s="972">
        <f t="shared" si="139"/>
        <v>-1</v>
      </c>
      <c r="AH58" s="972">
        <f t="shared" si="140"/>
        <v>-1</v>
      </c>
      <c r="AI58" s="972">
        <f t="shared" si="141"/>
        <v>-1</v>
      </c>
      <c r="AJ58" s="972">
        <f t="shared" si="142"/>
        <v>-1</v>
      </c>
      <c r="AK58" s="381" t="str">
        <f>IF(ISERROR(INDEX('Legend(Skid)'!$AI$8:$AI$9,ROW()-42)),"",INDEX('Legend(Skid)'!$AI$8:$AI$9,ROW()-42))</f>
        <v/>
      </c>
      <c r="AL58" s="727" t="str">
        <f t="shared" si="53"/>
        <v/>
      </c>
      <c r="AM58" s="409">
        <f t="shared" si="98"/>
        <v>0</v>
      </c>
      <c r="AN58" s="409">
        <f t="shared" si="98"/>
        <v>0</v>
      </c>
      <c r="AO58" s="409">
        <f t="shared" si="98"/>
        <v>0</v>
      </c>
      <c r="AP58" s="409">
        <f t="shared" si="98"/>
        <v>0</v>
      </c>
      <c r="AQ58" s="409">
        <f t="shared" si="98"/>
        <v>0</v>
      </c>
      <c r="AR58" s="409">
        <f t="shared" si="98"/>
        <v>0</v>
      </c>
      <c r="AS58" s="409">
        <f t="shared" si="98"/>
        <v>0</v>
      </c>
      <c r="AT58" s="409">
        <f t="shared" si="98"/>
        <v>0</v>
      </c>
      <c r="AU58" s="409">
        <f t="shared" si="98"/>
        <v>0</v>
      </c>
      <c r="AV58" s="409">
        <f t="shared" si="98"/>
        <v>0</v>
      </c>
      <c r="AW58" s="409">
        <f t="shared" si="99"/>
        <v>0</v>
      </c>
      <c r="AX58" s="409">
        <f t="shared" si="99"/>
        <v>0</v>
      </c>
      <c r="AY58" s="409">
        <f t="shared" si="99"/>
        <v>0</v>
      </c>
      <c r="AZ58" s="409">
        <f t="shared" si="99"/>
        <v>0</v>
      </c>
      <c r="BA58" s="409">
        <f t="shared" si="99"/>
        <v>0</v>
      </c>
      <c r="BB58" s="409">
        <f t="shared" si="99"/>
        <v>0</v>
      </c>
      <c r="BC58" s="409">
        <f t="shared" si="99"/>
        <v>0</v>
      </c>
      <c r="BD58" s="409">
        <f t="shared" si="99"/>
        <v>0</v>
      </c>
      <c r="BE58" s="409">
        <f t="shared" si="99"/>
        <v>0</v>
      </c>
      <c r="BF58" s="409">
        <f t="shared" si="99"/>
        <v>0</v>
      </c>
      <c r="BG58" s="409">
        <f t="shared" si="100"/>
        <v>0</v>
      </c>
      <c r="BH58" s="409">
        <f t="shared" si="100"/>
        <v>0</v>
      </c>
      <c r="BI58" s="409">
        <f t="shared" si="100"/>
        <v>0</v>
      </c>
      <c r="BJ58" s="409">
        <f t="shared" si="100"/>
        <v>0</v>
      </c>
      <c r="BK58" s="409">
        <f t="shared" si="100"/>
        <v>0</v>
      </c>
      <c r="BL58" s="409">
        <f t="shared" si="100"/>
        <v>0</v>
      </c>
      <c r="BM58" s="409">
        <f t="shared" si="100"/>
        <v>0</v>
      </c>
      <c r="BN58" s="409">
        <f t="shared" si="100"/>
        <v>0</v>
      </c>
      <c r="BO58" s="409">
        <f t="shared" si="100"/>
        <v>0</v>
      </c>
      <c r="BP58" s="409">
        <f t="shared" si="100"/>
        <v>0</v>
      </c>
      <c r="BQ58" s="409">
        <f t="shared" si="101"/>
        <v>0</v>
      </c>
      <c r="BR58" s="409">
        <f t="shared" si="101"/>
        <v>0</v>
      </c>
      <c r="BS58" s="409">
        <f t="shared" si="101"/>
        <v>0</v>
      </c>
      <c r="BT58" s="409">
        <f t="shared" si="101"/>
        <v>0</v>
      </c>
      <c r="BU58" s="409">
        <f t="shared" si="101"/>
        <v>0</v>
      </c>
      <c r="BV58" s="409">
        <f t="shared" si="101"/>
        <v>0</v>
      </c>
      <c r="BW58" s="409">
        <f t="shared" si="101"/>
        <v>0</v>
      </c>
      <c r="BX58" s="409">
        <f t="shared" si="101"/>
        <v>0</v>
      </c>
      <c r="BY58" s="409">
        <f t="shared" si="101"/>
        <v>0</v>
      </c>
      <c r="BZ58" s="409">
        <f t="shared" si="101"/>
        <v>0</v>
      </c>
      <c r="CA58" s="409">
        <f t="shared" si="102"/>
        <v>0</v>
      </c>
      <c r="CB58" s="409">
        <f t="shared" si="102"/>
        <v>0</v>
      </c>
      <c r="CC58" s="409">
        <f t="shared" si="102"/>
        <v>0</v>
      </c>
      <c r="CD58" s="409">
        <f t="shared" si="102"/>
        <v>0</v>
      </c>
      <c r="CE58" s="409">
        <f t="shared" si="102"/>
        <v>0</v>
      </c>
      <c r="CF58" s="409">
        <f t="shared" si="102"/>
        <v>0</v>
      </c>
      <c r="CG58" s="409">
        <f t="shared" si="102"/>
        <v>0</v>
      </c>
      <c r="CH58" s="409">
        <f t="shared" si="102"/>
        <v>0</v>
      </c>
      <c r="CI58" s="409">
        <f t="shared" si="102"/>
        <v>0</v>
      </c>
      <c r="CJ58" s="409">
        <f t="shared" si="102"/>
        <v>0</v>
      </c>
      <c r="CK58" s="409">
        <f t="shared" si="103"/>
        <v>0</v>
      </c>
      <c r="CL58" s="409">
        <f t="shared" si="103"/>
        <v>0</v>
      </c>
      <c r="CM58" s="409">
        <f t="shared" si="103"/>
        <v>0</v>
      </c>
      <c r="CN58" s="409">
        <f t="shared" si="103"/>
        <v>0</v>
      </c>
      <c r="CO58" s="409">
        <f t="shared" si="103"/>
        <v>0</v>
      </c>
      <c r="CP58" s="409">
        <f t="shared" si="103"/>
        <v>0</v>
      </c>
      <c r="CQ58" s="409">
        <f t="shared" si="103"/>
        <v>0</v>
      </c>
      <c r="CR58" s="409">
        <f t="shared" si="103"/>
        <v>0</v>
      </c>
      <c r="CS58" s="409">
        <f t="shared" si="103"/>
        <v>0</v>
      </c>
      <c r="CT58" s="409">
        <f t="shared" si="103"/>
        <v>0</v>
      </c>
      <c r="CU58" s="409">
        <f t="shared" si="104"/>
        <v>0</v>
      </c>
      <c r="CV58" s="409">
        <f t="shared" si="104"/>
        <v>0</v>
      </c>
      <c r="CW58" s="409">
        <f t="shared" si="104"/>
        <v>0</v>
      </c>
      <c r="CX58" s="409">
        <f t="shared" si="104"/>
        <v>0</v>
      </c>
      <c r="CY58" s="409">
        <f t="shared" si="104"/>
        <v>0</v>
      </c>
      <c r="CZ58" s="409">
        <f t="shared" si="104"/>
        <v>0</v>
      </c>
      <c r="DA58" s="409">
        <f t="shared" si="104"/>
        <v>0</v>
      </c>
      <c r="DB58" s="409">
        <f t="shared" si="104"/>
        <v>0</v>
      </c>
      <c r="DC58" s="409">
        <f t="shared" si="104"/>
        <v>0</v>
      </c>
      <c r="DD58" s="409">
        <f t="shared" si="104"/>
        <v>0</v>
      </c>
      <c r="DE58" s="409">
        <f t="shared" si="105"/>
        <v>0</v>
      </c>
      <c r="DF58" s="409">
        <f t="shared" si="105"/>
        <v>0</v>
      </c>
      <c r="DG58" s="409">
        <f t="shared" si="105"/>
        <v>0</v>
      </c>
      <c r="DH58" s="409">
        <f t="shared" si="105"/>
        <v>0</v>
      </c>
      <c r="DI58" s="409">
        <f t="shared" si="105"/>
        <v>0</v>
      </c>
      <c r="DJ58" s="409">
        <f t="shared" si="105"/>
        <v>0</v>
      </c>
      <c r="DK58" s="409">
        <f t="shared" si="105"/>
        <v>0</v>
      </c>
      <c r="DL58" s="409">
        <f t="shared" si="105"/>
        <v>0</v>
      </c>
      <c r="DM58" s="409">
        <f t="shared" si="105"/>
        <v>0</v>
      </c>
      <c r="DN58" s="409">
        <f t="shared" si="105"/>
        <v>0</v>
      </c>
      <c r="DO58" s="409">
        <f t="shared" si="106"/>
        <v>0</v>
      </c>
      <c r="DP58" s="409">
        <f t="shared" si="106"/>
        <v>0</v>
      </c>
      <c r="DQ58" s="409">
        <f t="shared" si="106"/>
        <v>0</v>
      </c>
      <c r="DR58" s="409">
        <f t="shared" si="106"/>
        <v>0</v>
      </c>
      <c r="DS58" s="409">
        <f t="shared" si="106"/>
        <v>0</v>
      </c>
      <c r="DT58" s="409">
        <f t="shared" si="106"/>
        <v>0</v>
      </c>
      <c r="DU58" s="409">
        <f t="shared" si="106"/>
        <v>0</v>
      </c>
      <c r="DV58" s="409">
        <f t="shared" si="106"/>
        <v>0</v>
      </c>
      <c r="DW58" s="409">
        <f t="shared" si="106"/>
        <v>0</v>
      </c>
      <c r="DX58" s="409">
        <f t="shared" si="106"/>
        <v>0</v>
      </c>
      <c r="DY58" s="409">
        <f t="shared" si="107"/>
        <v>0</v>
      </c>
      <c r="DZ58" s="409">
        <f t="shared" si="107"/>
        <v>0</v>
      </c>
      <c r="EA58" s="409">
        <f t="shared" si="107"/>
        <v>0</v>
      </c>
      <c r="EB58" s="409">
        <f t="shared" si="107"/>
        <v>0</v>
      </c>
      <c r="EC58" s="409">
        <f t="shared" si="107"/>
        <v>0</v>
      </c>
      <c r="ED58" s="409">
        <f t="shared" si="107"/>
        <v>0</v>
      </c>
      <c r="EE58" s="409">
        <f t="shared" si="107"/>
        <v>0</v>
      </c>
      <c r="EF58" s="409">
        <f t="shared" si="107"/>
        <v>0</v>
      </c>
      <c r="EG58" s="409">
        <f t="shared" si="107"/>
        <v>0</v>
      </c>
      <c r="EH58" s="409">
        <f t="shared" si="107"/>
        <v>0</v>
      </c>
      <c r="EI58" s="409">
        <f t="shared" si="108"/>
        <v>0</v>
      </c>
      <c r="EJ58" s="409">
        <f t="shared" si="108"/>
        <v>0</v>
      </c>
      <c r="EK58" s="409">
        <f t="shared" si="108"/>
        <v>0</v>
      </c>
      <c r="EL58" s="409">
        <f t="shared" si="108"/>
        <v>0</v>
      </c>
      <c r="EM58" s="409">
        <f t="shared" si="108"/>
        <v>0</v>
      </c>
      <c r="EN58" s="409">
        <f t="shared" si="108"/>
        <v>0</v>
      </c>
      <c r="EO58" s="409">
        <f t="shared" si="108"/>
        <v>0</v>
      </c>
      <c r="EP58" s="409">
        <f t="shared" si="108"/>
        <v>0</v>
      </c>
      <c r="EQ58" s="409">
        <f t="shared" si="108"/>
        <v>0</v>
      </c>
      <c r="ER58" s="409">
        <f t="shared" si="108"/>
        <v>0</v>
      </c>
      <c r="ES58" s="409">
        <f t="shared" si="109"/>
        <v>0</v>
      </c>
      <c r="ET58" s="409">
        <f t="shared" si="109"/>
        <v>0</v>
      </c>
      <c r="EU58" s="409">
        <f t="shared" si="109"/>
        <v>0</v>
      </c>
      <c r="EV58" s="409">
        <f t="shared" si="109"/>
        <v>0</v>
      </c>
      <c r="EW58" s="409">
        <f t="shared" si="109"/>
        <v>0</v>
      </c>
      <c r="EX58" s="409">
        <f t="shared" si="109"/>
        <v>0</v>
      </c>
      <c r="EY58" s="409">
        <f t="shared" si="109"/>
        <v>0</v>
      </c>
      <c r="EZ58" s="409">
        <f t="shared" si="109"/>
        <v>0</v>
      </c>
      <c r="FA58" s="409">
        <f t="shared" si="109"/>
        <v>0</v>
      </c>
      <c r="FB58" s="409">
        <f t="shared" si="109"/>
        <v>0</v>
      </c>
      <c r="FC58" s="409">
        <f t="shared" si="110"/>
        <v>0</v>
      </c>
      <c r="FD58" s="409">
        <f t="shared" si="110"/>
        <v>0</v>
      </c>
      <c r="FE58" s="409">
        <f t="shared" si="110"/>
        <v>0</v>
      </c>
      <c r="FF58" s="409">
        <f t="shared" si="110"/>
        <v>0</v>
      </c>
      <c r="FG58" s="409">
        <f t="shared" si="110"/>
        <v>0</v>
      </c>
      <c r="FH58" s="409">
        <f t="shared" si="110"/>
        <v>0</v>
      </c>
      <c r="FI58" s="409">
        <f t="shared" si="110"/>
        <v>0</v>
      </c>
      <c r="FJ58" s="409">
        <f t="shared" si="110"/>
        <v>0</v>
      </c>
      <c r="FK58" s="409">
        <f t="shared" si="110"/>
        <v>0</v>
      </c>
      <c r="FL58" s="409">
        <f t="shared" si="110"/>
        <v>0</v>
      </c>
      <c r="FM58" s="409">
        <f t="shared" si="111"/>
        <v>0</v>
      </c>
      <c r="FN58" s="409">
        <f t="shared" si="111"/>
        <v>0</v>
      </c>
      <c r="FO58" s="409">
        <f t="shared" si="111"/>
        <v>0</v>
      </c>
      <c r="FP58" s="409">
        <f t="shared" si="111"/>
        <v>0</v>
      </c>
      <c r="FQ58" s="409">
        <f t="shared" si="111"/>
        <v>0</v>
      </c>
      <c r="FR58" s="409">
        <f t="shared" si="111"/>
        <v>0</v>
      </c>
      <c r="FS58" s="409">
        <f t="shared" si="111"/>
        <v>0</v>
      </c>
      <c r="FT58" s="409">
        <f t="shared" si="111"/>
        <v>0</v>
      </c>
      <c r="FU58" s="409">
        <f t="shared" si="111"/>
        <v>0</v>
      </c>
      <c r="FV58" s="409">
        <f t="shared" si="111"/>
        <v>0</v>
      </c>
      <c r="FW58" s="409">
        <f t="shared" si="112"/>
        <v>0</v>
      </c>
      <c r="FX58" s="409">
        <f t="shared" si="112"/>
        <v>0</v>
      </c>
      <c r="FY58" s="409">
        <f t="shared" si="112"/>
        <v>0</v>
      </c>
      <c r="FZ58" s="409">
        <f t="shared" si="112"/>
        <v>0</v>
      </c>
      <c r="GA58" s="409">
        <f t="shared" si="112"/>
        <v>0</v>
      </c>
      <c r="GB58" s="409">
        <f t="shared" si="112"/>
        <v>0</v>
      </c>
      <c r="GC58" s="409">
        <f t="shared" si="112"/>
        <v>0</v>
      </c>
      <c r="GD58" s="409">
        <f t="shared" si="112"/>
        <v>0</v>
      </c>
      <c r="GE58" s="409">
        <f t="shared" si="112"/>
        <v>0</v>
      </c>
      <c r="GF58" s="409">
        <f t="shared" si="112"/>
        <v>0</v>
      </c>
      <c r="GG58" s="409">
        <f t="shared" si="113"/>
        <v>0</v>
      </c>
      <c r="GH58" s="409">
        <f t="shared" si="113"/>
        <v>0</v>
      </c>
      <c r="GI58" s="409">
        <f t="shared" si="113"/>
        <v>0</v>
      </c>
      <c r="GJ58" s="409">
        <f t="shared" si="113"/>
        <v>0</v>
      </c>
      <c r="GK58" s="409">
        <f t="shared" si="113"/>
        <v>0</v>
      </c>
      <c r="GL58" s="409">
        <f t="shared" si="113"/>
        <v>0</v>
      </c>
      <c r="GM58" s="409">
        <f t="shared" si="113"/>
        <v>0</v>
      </c>
      <c r="GN58" s="409">
        <f t="shared" si="113"/>
        <v>0</v>
      </c>
      <c r="GO58" s="409">
        <f t="shared" si="113"/>
        <v>0</v>
      </c>
      <c r="GP58" s="409">
        <f t="shared" si="113"/>
        <v>0</v>
      </c>
      <c r="GQ58" s="409">
        <f t="shared" si="114"/>
        <v>0</v>
      </c>
      <c r="GR58" s="409">
        <f t="shared" si="114"/>
        <v>0</v>
      </c>
      <c r="GS58" s="409">
        <f t="shared" si="114"/>
        <v>0</v>
      </c>
      <c r="GT58" s="409">
        <f t="shared" si="114"/>
        <v>0</v>
      </c>
      <c r="GU58" s="409">
        <f t="shared" si="114"/>
        <v>0</v>
      </c>
      <c r="GV58" s="409">
        <f t="shared" si="114"/>
        <v>0</v>
      </c>
      <c r="GW58" s="409">
        <f t="shared" si="114"/>
        <v>0</v>
      </c>
      <c r="GX58" s="409">
        <f t="shared" si="114"/>
        <v>0</v>
      </c>
      <c r="GY58" s="409">
        <f t="shared" si="114"/>
        <v>0</v>
      </c>
      <c r="GZ58" s="409">
        <f t="shared" si="114"/>
        <v>0</v>
      </c>
      <c r="HA58" s="409">
        <f t="shared" si="115"/>
        <v>0</v>
      </c>
      <c r="HB58" s="409">
        <f t="shared" si="115"/>
        <v>0</v>
      </c>
      <c r="HC58" s="409">
        <f t="shared" si="115"/>
        <v>0</v>
      </c>
      <c r="HD58" s="409">
        <f t="shared" si="115"/>
        <v>0</v>
      </c>
      <c r="HE58" s="409">
        <f t="shared" si="115"/>
        <v>0</v>
      </c>
      <c r="HF58" s="409">
        <f t="shared" si="115"/>
        <v>0</v>
      </c>
      <c r="HG58" s="409">
        <f t="shared" si="115"/>
        <v>0</v>
      </c>
      <c r="HH58" s="409">
        <f t="shared" si="115"/>
        <v>0</v>
      </c>
      <c r="HI58" s="409">
        <f t="shared" si="115"/>
        <v>0</v>
      </c>
      <c r="HJ58" s="409">
        <f t="shared" si="115"/>
        <v>0</v>
      </c>
      <c r="HK58" s="409">
        <f t="shared" si="116"/>
        <v>0</v>
      </c>
      <c r="HL58" s="409">
        <f t="shared" si="116"/>
        <v>0</v>
      </c>
      <c r="HM58" s="409">
        <f t="shared" si="116"/>
        <v>0</v>
      </c>
      <c r="HN58" s="409">
        <f t="shared" si="116"/>
        <v>0</v>
      </c>
      <c r="HO58" s="409">
        <f t="shared" si="116"/>
        <v>0</v>
      </c>
      <c r="HP58" s="409">
        <f t="shared" si="116"/>
        <v>0</v>
      </c>
      <c r="HQ58" s="409">
        <f t="shared" si="116"/>
        <v>0</v>
      </c>
      <c r="HR58" s="409">
        <f t="shared" si="116"/>
        <v>0</v>
      </c>
      <c r="HS58" s="409">
        <f t="shared" si="116"/>
        <v>0</v>
      </c>
      <c r="HT58" s="409">
        <f t="shared" si="116"/>
        <v>0</v>
      </c>
      <c r="HU58" s="409">
        <f t="shared" si="117"/>
        <v>0</v>
      </c>
      <c r="HV58" s="409">
        <f t="shared" si="117"/>
        <v>0</v>
      </c>
      <c r="HW58" s="409">
        <f t="shared" si="117"/>
        <v>0</v>
      </c>
      <c r="HX58" s="409">
        <f t="shared" si="117"/>
        <v>0</v>
      </c>
      <c r="HY58" s="409">
        <f t="shared" si="117"/>
        <v>0</v>
      </c>
      <c r="HZ58" s="409">
        <f t="shared" si="117"/>
        <v>0</v>
      </c>
      <c r="IA58" s="409">
        <f t="shared" si="117"/>
        <v>0</v>
      </c>
      <c r="IB58" s="409">
        <f t="shared" si="117"/>
        <v>0</v>
      </c>
      <c r="IC58" s="409">
        <f t="shared" si="117"/>
        <v>0</v>
      </c>
      <c r="ID58" s="409">
        <f t="shared" si="117"/>
        <v>0</v>
      </c>
      <c r="IE58" s="409">
        <f t="shared" si="118"/>
        <v>0</v>
      </c>
      <c r="IF58" s="409">
        <f t="shared" si="118"/>
        <v>0</v>
      </c>
      <c r="IG58" s="409">
        <f t="shared" si="118"/>
        <v>0</v>
      </c>
      <c r="IH58" s="409">
        <f t="shared" si="118"/>
        <v>0</v>
      </c>
      <c r="II58" s="409">
        <f t="shared" si="118"/>
        <v>0</v>
      </c>
      <c r="IJ58" s="409">
        <f t="shared" si="118"/>
        <v>0</v>
      </c>
      <c r="IK58" s="378">
        <f t="shared" si="54"/>
        <v>51</v>
      </c>
    </row>
    <row r="59" spans="1:245" hidden="1" x14ac:dyDescent="0.2">
      <c r="A59" s="380" t="str">
        <f t="shared" si="119"/>
        <v>e</v>
      </c>
      <c r="B59" s="712" t="str" cm="1">
        <f t="array" ref="B59">IF(ISERROR(INDEX('Legend(Skid)'!$H$8:$H$9,ROW()-42)),"",INDEX('Legend(Skid)'!$H$8:$H$9,ROW()-42))</f>
        <v/>
      </c>
      <c r="C59" s="712" t="e" cm="1">
        <f t="array" ref="C59">IF(INDEX('Legend(Skid)'!$T$8:$T$9,ROW()-42)=0,"See Legend",INDEX('Legend(Skid)'!$T$8:$T$9,ROW()-42))</f>
        <v>#REF!</v>
      </c>
      <c r="D59" s="712" t="e">
        <f>IF(INDEX('Legend(Skid)'!$R$8:$R$9,(ROW(C59))-42)=0,IF(AND(INDEX('Legend(Skid)'!$D$8:$D$9,(ROW(C59))-41)="CH",INDEX('Legend(Skid)'!$F$8:$F$9,(ROW(C59))-41)="CASE - MANUAL"),INDEX('Legend(Skid)'!$R$8:$R$9,(ROW(C59))-41),IF(INDEX('Legend(Skid)'!$V$8:$V$9,(ROW(C59))-42)&gt;1, "(" &amp; INDEX('Legend(Skid)'!$V$8:$V$9,(ROW(C59))-42) &amp; ") " &amp; INDEX('Legend(Skid)'!$W$8:$W$9,(ROW(C59))-41),INDEX('Legend(Skid)'!$W$8:$W$9,(ROW(C59))-42))),INDEX('Legend(Skid)'!$R$8:$R$9,(ROW(C59))-42))</f>
        <v>#REF!</v>
      </c>
      <c r="E59" s="713" cm="1">
        <f t="array" ref="E59">IF(OR(ISNUMBER(SEARCH("Pump",C59)),ISNUMBER(SEARCH("PH",C59)),ISERROR(INDEX('Legend(Skid)'!$AA$8:$AA$9,ROW()-42))),0,INDEX('Legend(Skid)'!$AA$8:$AA$9,ROW()-42))</f>
        <v>0</v>
      </c>
      <c r="F59" s="714"/>
      <c r="G59" s="714"/>
      <c r="H59" s="714"/>
      <c r="I59" s="714"/>
      <c r="J59" s="714"/>
      <c r="K59" s="890">
        <f t="shared" si="35"/>
        <v>0</v>
      </c>
      <c r="L59" s="718"/>
      <c r="M59" s="719"/>
      <c r="N59" s="972">
        <f t="shared" si="120"/>
        <v>-1</v>
      </c>
      <c r="O59" s="972">
        <f t="shared" si="121"/>
        <v>-1</v>
      </c>
      <c r="P59" s="972">
        <f t="shared" si="122"/>
        <v>-1</v>
      </c>
      <c r="Q59" s="972">
        <f t="shared" si="123"/>
        <v>-1</v>
      </c>
      <c r="R59" s="972">
        <f t="shared" si="124"/>
        <v>-1</v>
      </c>
      <c r="S59" s="972">
        <f t="shared" si="125"/>
        <v>-1</v>
      </c>
      <c r="T59" s="972">
        <f t="shared" si="126"/>
        <v>-1</v>
      </c>
      <c r="U59" s="972">
        <f t="shared" si="127"/>
        <v>-1</v>
      </c>
      <c r="V59" s="972">
        <f t="shared" si="128"/>
        <v>-1</v>
      </c>
      <c r="W59" s="972">
        <f t="shared" si="129"/>
        <v>-1</v>
      </c>
      <c r="X59" s="972">
        <f t="shared" si="130"/>
        <v>-1</v>
      </c>
      <c r="Y59" s="972">
        <f t="shared" si="131"/>
        <v>-1</v>
      </c>
      <c r="Z59" s="972">
        <f t="shared" si="132"/>
        <v>-1</v>
      </c>
      <c r="AA59" s="972">
        <f t="shared" si="133"/>
        <v>-1</v>
      </c>
      <c r="AB59" s="972">
        <f t="shared" si="134"/>
        <v>-1</v>
      </c>
      <c r="AC59" s="972">
        <f t="shared" si="135"/>
        <v>-1</v>
      </c>
      <c r="AD59" s="972">
        <f t="shared" si="136"/>
        <v>-1</v>
      </c>
      <c r="AE59" s="972">
        <f t="shared" si="137"/>
        <v>-1</v>
      </c>
      <c r="AF59" s="972">
        <f t="shared" si="138"/>
        <v>-1</v>
      </c>
      <c r="AG59" s="972">
        <f t="shared" si="139"/>
        <v>-1</v>
      </c>
      <c r="AH59" s="972">
        <f t="shared" si="140"/>
        <v>-1</v>
      </c>
      <c r="AI59" s="972">
        <f t="shared" si="141"/>
        <v>-1</v>
      </c>
      <c r="AJ59" s="972">
        <f t="shared" si="142"/>
        <v>-1</v>
      </c>
      <c r="AK59" s="381" t="str">
        <f>IF(ISERROR(INDEX('Legend(Skid)'!$AI$8:$AI$9,ROW()-42)),"",INDEX('Legend(Skid)'!$AI$8:$AI$9,ROW()-42))</f>
        <v/>
      </c>
      <c r="AL59" s="727" t="str">
        <f t="shared" si="53"/>
        <v/>
      </c>
      <c r="AM59" s="409">
        <f t="shared" si="98"/>
        <v>0</v>
      </c>
      <c r="AN59" s="409">
        <f t="shared" si="98"/>
        <v>0</v>
      </c>
      <c r="AO59" s="409">
        <f t="shared" si="98"/>
        <v>0</v>
      </c>
      <c r="AP59" s="409">
        <f t="shared" si="98"/>
        <v>0</v>
      </c>
      <c r="AQ59" s="409">
        <f t="shared" si="98"/>
        <v>0</v>
      </c>
      <c r="AR59" s="409">
        <f t="shared" ref="AM59:AV63" si="143">IF(ISNA(AR$7),"",IF(OR(AND(AR$7&lt;=$N59,AR$7&gt;$N59-TIME(0,TimeIncr,0)),AND(AR$7&lt;=$P59,AR$7&gt;$P59-TIME(0,TimeIncr,0)),AND(AR$7&lt;=$R59,AR$7&gt;$R59-TIME(0,TimeIncr,0)),AND(AR$7&lt;=$T59,AR$7&gt;$T59-TIME(0,TimeIncr,0)),AND(AR$7&lt;=$V59,AR$7&gt;$V59-TIME(0,TimeIncr,0)),AND(AR$7&lt;=$X59,AR$7&gt;$X59-TIME(0,TimeIncr,0)),AND(AR$7&lt;=$Z59,AR$7&gt;$Z59-TIME(0,TimeIncr,0)),AND(AR$7&lt;=$AB59,AR$7&gt;$AB59-TIME(0,TimeIncr,0)),AND(AR$7&lt;=$AD59,AR$7&gt;$AD59-TIME(0,TimeIncr,0)),AND(AR$7&lt;=$AF59,AR$7&gt;$AF59-TIME(0,TimeIncr,0)),AND(AR$7&lt;=$AH59,AR$7&gt;$AH59-TIME(0,TimeIncr,0)),AND(AR$7&lt;=$AJ59,AR$7&gt;$AJ59-TIME(0,TimeIncr,0))),$E59*$L59,IF(OR(AND(AR$7&gt;=$M59,AR$7&lt;=$N59),AND(AR$7&gt;=$O59,AR$7&lt;=$P59),AND(AR$7&gt;=$Q59,AR$7&lt;=$R59),AND(AR$7&gt;=$S59,AR$7&lt;=$T59),AND(AR$7&gt;=$U59,AR$7&lt;=$V59),AND(AR$7&gt;=$W59,AR$7&lt;=$X59),AND(AR$7&gt;=$Y59,AR$7&lt;=$Z59),AND(AR$7&gt;=$AA59,AR$7&lt;=$AB59),AND(AR$7&gt;=$AC59,AR$7&lt;=$AD59),AND(AR$7&gt;=$AE59,AR$7&lt;=$AF59),AND(AR$7&gt;=$AG59,AR$7&lt;=$AH59),AND(AR$7&gt;=$AI59,AR$7&lt;=$AJ59)),0,IF(OR(AND($M59&gt;$N59,AR$7&lt;=$N59),AND($O59&gt;$P59,AR$7&lt;=$P59),AND($Q59&gt;$R59,AR$7&lt;=$R59),AND($S59&gt;$T59,AR$7&lt;=$T59),AND($U59&gt;$V59,AR$7&lt;=$V59),AND($W59&gt;$X59,AR$7&lt;=$X59),AND($Y59&gt;$Z59,AR$7&lt;=$Z59),AND($AA59&gt;$AB59,AR$7&lt;=$AB59),AND($AC59&gt;$AD59,AR$7&lt;=$AD59),AND($AE59&gt;$AF59,AR$7&lt;=$AF59),AND($AG59&gt;$AH59,AR$7&lt;=$AH59),AND($AI59&gt;$AJ59,AR$7&lt;=$AJ59)),0,IF(OR(AND(AR$7&gt;=$M59,$M59&gt;$N59),AND(AR$7&gt;=$O59,$O59&gt;$P59),AND(AR$7&gt;=$Q59,$Q59&gt;$R59),AND(AR$7&gt;=$S59,$S59&gt;$T59),AND(AR$7&gt;=$U59,$U59&gt;$V59),AND(AR$7&gt;=$W59,$W59&gt;$X59),AND(AR$7&gt;=$Y59,$Y59&gt;$Z59),AND(AR$7&gt;=$AA59,$AA59&gt;$AB59),AND(AR$7&gt;=$AC59,$AC59&gt;$AD59),AND(AR$7&gt;=$AE59,$AE59&gt;$AF59),AND(AR$7&gt;=$AG59,$AG59&gt;$AH59),AND(AR$7&gt;=$AI59,$AI59&gt;$AJ59)),0,$E59)))))</f>
        <v>0</v>
      </c>
      <c r="AS59" s="409">
        <f t="shared" si="143"/>
        <v>0</v>
      </c>
      <c r="AT59" s="409">
        <f t="shared" si="143"/>
        <v>0</v>
      </c>
      <c r="AU59" s="409">
        <f t="shared" si="143"/>
        <v>0</v>
      </c>
      <c r="AV59" s="409">
        <f t="shared" si="143"/>
        <v>0</v>
      </c>
      <c r="AW59" s="409">
        <f t="shared" si="99"/>
        <v>0</v>
      </c>
      <c r="AX59" s="409">
        <f t="shared" si="99"/>
        <v>0</v>
      </c>
      <c r="AY59" s="409">
        <f t="shared" si="99"/>
        <v>0</v>
      </c>
      <c r="AZ59" s="409">
        <f t="shared" si="99"/>
        <v>0</v>
      </c>
      <c r="BA59" s="409">
        <f t="shared" si="99"/>
        <v>0</v>
      </c>
      <c r="BB59" s="409">
        <f t="shared" ref="AW59:BF63" si="144">IF(ISNA(BB$7),"",IF(OR(AND(BB$7&lt;=$N59,BB$7&gt;$N59-TIME(0,TimeIncr,0)),AND(BB$7&lt;=$P59,BB$7&gt;$P59-TIME(0,TimeIncr,0)),AND(BB$7&lt;=$R59,BB$7&gt;$R59-TIME(0,TimeIncr,0)),AND(BB$7&lt;=$T59,BB$7&gt;$T59-TIME(0,TimeIncr,0)),AND(BB$7&lt;=$V59,BB$7&gt;$V59-TIME(0,TimeIncr,0)),AND(BB$7&lt;=$X59,BB$7&gt;$X59-TIME(0,TimeIncr,0)),AND(BB$7&lt;=$Z59,BB$7&gt;$Z59-TIME(0,TimeIncr,0)),AND(BB$7&lt;=$AB59,BB$7&gt;$AB59-TIME(0,TimeIncr,0)),AND(BB$7&lt;=$AD59,BB$7&gt;$AD59-TIME(0,TimeIncr,0)),AND(BB$7&lt;=$AF59,BB$7&gt;$AF59-TIME(0,TimeIncr,0)),AND(BB$7&lt;=$AH59,BB$7&gt;$AH59-TIME(0,TimeIncr,0)),AND(BB$7&lt;=$AJ59,BB$7&gt;$AJ59-TIME(0,TimeIncr,0))),$E59*$L59,IF(OR(AND(BB$7&gt;=$M59,BB$7&lt;=$N59),AND(BB$7&gt;=$O59,BB$7&lt;=$P59),AND(BB$7&gt;=$Q59,BB$7&lt;=$R59),AND(BB$7&gt;=$S59,BB$7&lt;=$T59),AND(BB$7&gt;=$U59,BB$7&lt;=$V59),AND(BB$7&gt;=$W59,BB$7&lt;=$X59),AND(BB$7&gt;=$Y59,BB$7&lt;=$Z59),AND(BB$7&gt;=$AA59,BB$7&lt;=$AB59),AND(BB$7&gt;=$AC59,BB$7&lt;=$AD59),AND(BB$7&gt;=$AE59,BB$7&lt;=$AF59),AND(BB$7&gt;=$AG59,BB$7&lt;=$AH59),AND(BB$7&gt;=$AI59,BB$7&lt;=$AJ59)),0,IF(OR(AND($M59&gt;$N59,BB$7&lt;=$N59),AND($O59&gt;$P59,BB$7&lt;=$P59),AND($Q59&gt;$R59,BB$7&lt;=$R59),AND($S59&gt;$T59,BB$7&lt;=$T59),AND($U59&gt;$V59,BB$7&lt;=$V59),AND($W59&gt;$X59,BB$7&lt;=$X59),AND($Y59&gt;$Z59,BB$7&lt;=$Z59),AND($AA59&gt;$AB59,BB$7&lt;=$AB59),AND($AC59&gt;$AD59,BB$7&lt;=$AD59),AND($AE59&gt;$AF59,BB$7&lt;=$AF59),AND($AG59&gt;$AH59,BB$7&lt;=$AH59),AND($AI59&gt;$AJ59,BB$7&lt;=$AJ59)),0,IF(OR(AND(BB$7&gt;=$M59,$M59&gt;$N59),AND(BB$7&gt;=$O59,$O59&gt;$P59),AND(BB$7&gt;=$Q59,$Q59&gt;$R59),AND(BB$7&gt;=$S59,$S59&gt;$T59),AND(BB$7&gt;=$U59,$U59&gt;$V59),AND(BB$7&gt;=$W59,$W59&gt;$X59),AND(BB$7&gt;=$Y59,$Y59&gt;$Z59),AND(BB$7&gt;=$AA59,$AA59&gt;$AB59),AND(BB$7&gt;=$AC59,$AC59&gt;$AD59),AND(BB$7&gt;=$AE59,$AE59&gt;$AF59),AND(BB$7&gt;=$AG59,$AG59&gt;$AH59),AND(BB$7&gt;=$AI59,$AI59&gt;$AJ59)),0,$E59)))))</f>
        <v>0</v>
      </c>
      <c r="BC59" s="409">
        <f t="shared" si="144"/>
        <v>0</v>
      </c>
      <c r="BD59" s="409">
        <f t="shared" si="144"/>
        <v>0</v>
      </c>
      <c r="BE59" s="409">
        <f t="shared" si="144"/>
        <v>0</v>
      </c>
      <c r="BF59" s="409">
        <f t="shared" si="144"/>
        <v>0</v>
      </c>
      <c r="BG59" s="409">
        <f t="shared" si="100"/>
        <v>0</v>
      </c>
      <c r="BH59" s="409">
        <f t="shared" si="100"/>
        <v>0</v>
      </c>
      <c r="BI59" s="409">
        <f t="shared" si="100"/>
        <v>0</v>
      </c>
      <c r="BJ59" s="409">
        <f t="shared" si="100"/>
        <v>0</v>
      </c>
      <c r="BK59" s="409">
        <f t="shared" si="100"/>
        <v>0</v>
      </c>
      <c r="BL59" s="409">
        <f t="shared" ref="BG59:BP63" si="145">IF(ISNA(BL$7),"",IF(OR(AND(BL$7&lt;=$N59,BL$7&gt;$N59-TIME(0,TimeIncr,0)),AND(BL$7&lt;=$P59,BL$7&gt;$P59-TIME(0,TimeIncr,0)),AND(BL$7&lt;=$R59,BL$7&gt;$R59-TIME(0,TimeIncr,0)),AND(BL$7&lt;=$T59,BL$7&gt;$T59-TIME(0,TimeIncr,0)),AND(BL$7&lt;=$V59,BL$7&gt;$V59-TIME(0,TimeIncr,0)),AND(BL$7&lt;=$X59,BL$7&gt;$X59-TIME(0,TimeIncr,0)),AND(BL$7&lt;=$Z59,BL$7&gt;$Z59-TIME(0,TimeIncr,0)),AND(BL$7&lt;=$AB59,BL$7&gt;$AB59-TIME(0,TimeIncr,0)),AND(BL$7&lt;=$AD59,BL$7&gt;$AD59-TIME(0,TimeIncr,0)),AND(BL$7&lt;=$AF59,BL$7&gt;$AF59-TIME(0,TimeIncr,0)),AND(BL$7&lt;=$AH59,BL$7&gt;$AH59-TIME(0,TimeIncr,0)),AND(BL$7&lt;=$AJ59,BL$7&gt;$AJ59-TIME(0,TimeIncr,0))),$E59*$L59,IF(OR(AND(BL$7&gt;=$M59,BL$7&lt;=$N59),AND(BL$7&gt;=$O59,BL$7&lt;=$P59),AND(BL$7&gt;=$Q59,BL$7&lt;=$R59),AND(BL$7&gt;=$S59,BL$7&lt;=$T59),AND(BL$7&gt;=$U59,BL$7&lt;=$V59),AND(BL$7&gt;=$W59,BL$7&lt;=$X59),AND(BL$7&gt;=$Y59,BL$7&lt;=$Z59),AND(BL$7&gt;=$AA59,BL$7&lt;=$AB59),AND(BL$7&gt;=$AC59,BL$7&lt;=$AD59),AND(BL$7&gt;=$AE59,BL$7&lt;=$AF59),AND(BL$7&gt;=$AG59,BL$7&lt;=$AH59),AND(BL$7&gt;=$AI59,BL$7&lt;=$AJ59)),0,IF(OR(AND($M59&gt;$N59,BL$7&lt;=$N59),AND($O59&gt;$P59,BL$7&lt;=$P59),AND($Q59&gt;$R59,BL$7&lt;=$R59),AND($S59&gt;$T59,BL$7&lt;=$T59),AND($U59&gt;$V59,BL$7&lt;=$V59),AND($W59&gt;$X59,BL$7&lt;=$X59),AND($Y59&gt;$Z59,BL$7&lt;=$Z59),AND($AA59&gt;$AB59,BL$7&lt;=$AB59),AND($AC59&gt;$AD59,BL$7&lt;=$AD59),AND($AE59&gt;$AF59,BL$7&lt;=$AF59),AND($AG59&gt;$AH59,BL$7&lt;=$AH59),AND($AI59&gt;$AJ59,BL$7&lt;=$AJ59)),0,IF(OR(AND(BL$7&gt;=$M59,$M59&gt;$N59),AND(BL$7&gt;=$O59,$O59&gt;$P59),AND(BL$7&gt;=$Q59,$Q59&gt;$R59),AND(BL$7&gt;=$S59,$S59&gt;$T59),AND(BL$7&gt;=$U59,$U59&gt;$V59),AND(BL$7&gt;=$W59,$W59&gt;$X59),AND(BL$7&gt;=$Y59,$Y59&gt;$Z59),AND(BL$7&gt;=$AA59,$AA59&gt;$AB59),AND(BL$7&gt;=$AC59,$AC59&gt;$AD59),AND(BL$7&gt;=$AE59,$AE59&gt;$AF59),AND(BL$7&gt;=$AG59,$AG59&gt;$AH59),AND(BL$7&gt;=$AI59,$AI59&gt;$AJ59)),0,$E59)))))</f>
        <v>0</v>
      </c>
      <c r="BM59" s="409">
        <f t="shared" si="145"/>
        <v>0</v>
      </c>
      <c r="BN59" s="409">
        <f t="shared" si="145"/>
        <v>0</v>
      </c>
      <c r="BO59" s="409">
        <f t="shared" si="145"/>
        <v>0</v>
      </c>
      <c r="BP59" s="409">
        <f t="shared" si="145"/>
        <v>0</v>
      </c>
      <c r="BQ59" s="409">
        <f t="shared" si="101"/>
        <v>0</v>
      </c>
      <c r="BR59" s="409">
        <f t="shared" si="101"/>
        <v>0</v>
      </c>
      <c r="BS59" s="409">
        <f t="shared" si="101"/>
        <v>0</v>
      </c>
      <c r="BT59" s="409">
        <f t="shared" si="101"/>
        <v>0</v>
      </c>
      <c r="BU59" s="409">
        <f t="shared" si="101"/>
        <v>0</v>
      </c>
      <c r="BV59" s="409">
        <f t="shared" ref="BQ59:BZ63" si="146">IF(ISNA(BV$7),"",IF(OR(AND(BV$7&lt;=$N59,BV$7&gt;$N59-TIME(0,TimeIncr,0)),AND(BV$7&lt;=$P59,BV$7&gt;$P59-TIME(0,TimeIncr,0)),AND(BV$7&lt;=$R59,BV$7&gt;$R59-TIME(0,TimeIncr,0)),AND(BV$7&lt;=$T59,BV$7&gt;$T59-TIME(0,TimeIncr,0)),AND(BV$7&lt;=$V59,BV$7&gt;$V59-TIME(0,TimeIncr,0)),AND(BV$7&lt;=$X59,BV$7&gt;$X59-TIME(0,TimeIncr,0)),AND(BV$7&lt;=$Z59,BV$7&gt;$Z59-TIME(0,TimeIncr,0)),AND(BV$7&lt;=$AB59,BV$7&gt;$AB59-TIME(0,TimeIncr,0)),AND(BV$7&lt;=$AD59,BV$7&gt;$AD59-TIME(0,TimeIncr,0)),AND(BV$7&lt;=$AF59,BV$7&gt;$AF59-TIME(0,TimeIncr,0)),AND(BV$7&lt;=$AH59,BV$7&gt;$AH59-TIME(0,TimeIncr,0)),AND(BV$7&lt;=$AJ59,BV$7&gt;$AJ59-TIME(0,TimeIncr,0))),$E59*$L59,IF(OR(AND(BV$7&gt;=$M59,BV$7&lt;=$N59),AND(BV$7&gt;=$O59,BV$7&lt;=$P59),AND(BV$7&gt;=$Q59,BV$7&lt;=$R59),AND(BV$7&gt;=$S59,BV$7&lt;=$T59),AND(BV$7&gt;=$U59,BV$7&lt;=$V59),AND(BV$7&gt;=$W59,BV$7&lt;=$X59),AND(BV$7&gt;=$Y59,BV$7&lt;=$Z59),AND(BV$7&gt;=$AA59,BV$7&lt;=$AB59),AND(BV$7&gt;=$AC59,BV$7&lt;=$AD59),AND(BV$7&gt;=$AE59,BV$7&lt;=$AF59),AND(BV$7&gt;=$AG59,BV$7&lt;=$AH59),AND(BV$7&gt;=$AI59,BV$7&lt;=$AJ59)),0,IF(OR(AND($M59&gt;$N59,BV$7&lt;=$N59),AND($O59&gt;$P59,BV$7&lt;=$P59),AND($Q59&gt;$R59,BV$7&lt;=$R59),AND($S59&gt;$T59,BV$7&lt;=$T59),AND($U59&gt;$V59,BV$7&lt;=$V59),AND($W59&gt;$X59,BV$7&lt;=$X59),AND($Y59&gt;$Z59,BV$7&lt;=$Z59),AND($AA59&gt;$AB59,BV$7&lt;=$AB59),AND($AC59&gt;$AD59,BV$7&lt;=$AD59),AND($AE59&gt;$AF59,BV$7&lt;=$AF59),AND($AG59&gt;$AH59,BV$7&lt;=$AH59),AND($AI59&gt;$AJ59,BV$7&lt;=$AJ59)),0,IF(OR(AND(BV$7&gt;=$M59,$M59&gt;$N59),AND(BV$7&gt;=$O59,$O59&gt;$P59),AND(BV$7&gt;=$Q59,$Q59&gt;$R59),AND(BV$7&gt;=$S59,$S59&gt;$T59),AND(BV$7&gt;=$U59,$U59&gt;$V59),AND(BV$7&gt;=$W59,$W59&gt;$X59),AND(BV$7&gt;=$Y59,$Y59&gt;$Z59),AND(BV$7&gt;=$AA59,$AA59&gt;$AB59),AND(BV$7&gt;=$AC59,$AC59&gt;$AD59),AND(BV$7&gt;=$AE59,$AE59&gt;$AF59),AND(BV$7&gt;=$AG59,$AG59&gt;$AH59),AND(BV$7&gt;=$AI59,$AI59&gt;$AJ59)),0,$E59)))))</f>
        <v>0</v>
      </c>
      <c r="BW59" s="409">
        <f t="shared" si="146"/>
        <v>0</v>
      </c>
      <c r="BX59" s="409">
        <f t="shared" si="146"/>
        <v>0</v>
      </c>
      <c r="BY59" s="409">
        <f t="shared" si="146"/>
        <v>0</v>
      </c>
      <c r="BZ59" s="409">
        <f t="shared" si="146"/>
        <v>0</v>
      </c>
      <c r="CA59" s="409">
        <f t="shared" si="102"/>
        <v>0</v>
      </c>
      <c r="CB59" s="409">
        <f t="shared" si="102"/>
        <v>0</v>
      </c>
      <c r="CC59" s="409">
        <f t="shared" si="102"/>
        <v>0</v>
      </c>
      <c r="CD59" s="409">
        <f t="shared" si="102"/>
        <v>0</v>
      </c>
      <c r="CE59" s="409">
        <f t="shared" si="102"/>
        <v>0</v>
      </c>
      <c r="CF59" s="409">
        <f t="shared" ref="CA59:CJ63" si="147">IF(ISNA(CF$7),"",IF(OR(AND(CF$7&lt;=$N59,CF$7&gt;$N59-TIME(0,TimeIncr,0)),AND(CF$7&lt;=$P59,CF$7&gt;$P59-TIME(0,TimeIncr,0)),AND(CF$7&lt;=$R59,CF$7&gt;$R59-TIME(0,TimeIncr,0)),AND(CF$7&lt;=$T59,CF$7&gt;$T59-TIME(0,TimeIncr,0)),AND(CF$7&lt;=$V59,CF$7&gt;$V59-TIME(0,TimeIncr,0)),AND(CF$7&lt;=$X59,CF$7&gt;$X59-TIME(0,TimeIncr,0)),AND(CF$7&lt;=$Z59,CF$7&gt;$Z59-TIME(0,TimeIncr,0)),AND(CF$7&lt;=$AB59,CF$7&gt;$AB59-TIME(0,TimeIncr,0)),AND(CF$7&lt;=$AD59,CF$7&gt;$AD59-TIME(0,TimeIncr,0)),AND(CF$7&lt;=$AF59,CF$7&gt;$AF59-TIME(0,TimeIncr,0)),AND(CF$7&lt;=$AH59,CF$7&gt;$AH59-TIME(0,TimeIncr,0)),AND(CF$7&lt;=$AJ59,CF$7&gt;$AJ59-TIME(0,TimeIncr,0))),$E59*$L59,IF(OR(AND(CF$7&gt;=$M59,CF$7&lt;=$N59),AND(CF$7&gt;=$O59,CF$7&lt;=$P59),AND(CF$7&gt;=$Q59,CF$7&lt;=$R59),AND(CF$7&gt;=$S59,CF$7&lt;=$T59),AND(CF$7&gt;=$U59,CF$7&lt;=$V59),AND(CF$7&gt;=$W59,CF$7&lt;=$X59),AND(CF$7&gt;=$Y59,CF$7&lt;=$Z59),AND(CF$7&gt;=$AA59,CF$7&lt;=$AB59),AND(CF$7&gt;=$AC59,CF$7&lt;=$AD59),AND(CF$7&gt;=$AE59,CF$7&lt;=$AF59),AND(CF$7&gt;=$AG59,CF$7&lt;=$AH59),AND(CF$7&gt;=$AI59,CF$7&lt;=$AJ59)),0,IF(OR(AND($M59&gt;$N59,CF$7&lt;=$N59),AND($O59&gt;$P59,CF$7&lt;=$P59),AND($Q59&gt;$R59,CF$7&lt;=$R59),AND($S59&gt;$T59,CF$7&lt;=$T59),AND($U59&gt;$V59,CF$7&lt;=$V59),AND($W59&gt;$X59,CF$7&lt;=$X59),AND($Y59&gt;$Z59,CF$7&lt;=$Z59),AND($AA59&gt;$AB59,CF$7&lt;=$AB59),AND($AC59&gt;$AD59,CF$7&lt;=$AD59),AND($AE59&gt;$AF59,CF$7&lt;=$AF59),AND($AG59&gt;$AH59,CF$7&lt;=$AH59),AND($AI59&gt;$AJ59,CF$7&lt;=$AJ59)),0,IF(OR(AND(CF$7&gt;=$M59,$M59&gt;$N59),AND(CF$7&gt;=$O59,$O59&gt;$P59),AND(CF$7&gt;=$Q59,$Q59&gt;$R59),AND(CF$7&gt;=$S59,$S59&gt;$T59),AND(CF$7&gt;=$U59,$U59&gt;$V59),AND(CF$7&gt;=$W59,$W59&gt;$X59),AND(CF$7&gt;=$Y59,$Y59&gt;$Z59),AND(CF$7&gt;=$AA59,$AA59&gt;$AB59),AND(CF$7&gt;=$AC59,$AC59&gt;$AD59),AND(CF$7&gt;=$AE59,$AE59&gt;$AF59),AND(CF$7&gt;=$AG59,$AG59&gt;$AH59),AND(CF$7&gt;=$AI59,$AI59&gt;$AJ59)),0,$E59)))))</f>
        <v>0</v>
      </c>
      <c r="CG59" s="409">
        <f t="shared" si="147"/>
        <v>0</v>
      </c>
      <c r="CH59" s="409">
        <f t="shared" si="147"/>
        <v>0</v>
      </c>
      <c r="CI59" s="409">
        <f t="shared" si="147"/>
        <v>0</v>
      </c>
      <c r="CJ59" s="409">
        <f t="shared" si="147"/>
        <v>0</v>
      </c>
      <c r="CK59" s="409">
        <f t="shared" si="103"/>
        <v>0</v>
      </c>
      <c r="CL59" s="409">
        <f t="shared" si="103"/>
        <v>0</v>
      </c>
      <c r="CM59" s="409">
        <f t="shared" si="103"/>
        <v>0</v>
      </c>
      <c r="CN59" s="409">
        <f t="shared" si="103"/>
        <v>0</v>
      </c>
      <c r="CO59" s="409">
        <f t="shared" si="103"/>
        <v>0</v>
      </c>
      <c r="CP59" s="409">
        <f t="shared" ref="CK59:CT63" si="148">IF(ISNA(CP$7),"",IF(OR(AND(CP$7&lt;=$N59,CP$7&gt;$N59-TIME(0,TimeIncr,0)),AND(CP$7&lt;=$P59,CP$7&gt;$P59-TIME(0,TimeIncr,0)),AND(CP$7&lt;=$R59,CP$7&gt;$R59-TIME(0,TimeIncr,0)),AND(CP$7&lt;=$T59,CP$7&gt;$T59-TIME(0,TimeIncr,0)),AND(CP$7&lt;=$V59,CP$7&gt;$V59-TIME(0,TimeIncr,0)),AND(CP$7&lt;=$X59,CP$7&gt;$X59-TIME(0,TimeIncr,0)),AND(CP$7&lt;=$Z59,CP$7&gt;$Z59-TIME(0,TimeIncr,0)),AND(CP$7&lt;=$AB59,CP$7&gt;$AB59-TIME(0,TimeIncr,0)),AND(CP$7&lt;=$AD59,CP$7&gt;$AD59-TIME(0,TimeIncr,0)),AND(CP$7&lt;=$AF59,CP$7&gt;$AF59-TIME(0,TimeIncr,0)),AND(CP$7&lt;=$AH59,CP$7&gt;$AH59-TIME(0,TimeIncr,0)),AND(CP$7&lt;=$AJ59,CP$7&gt;$AJ59-TIME(0,TimeIncr,0))),$E59*$L59,IF(OR(AND(CP$7&gt;=$M59,CP$7&lt;=$N59),AND(CP$7&gt;=$O59,CP$7&lt;=$P59),AND(CP$7&gt;=$Q59,CP$7&lt;=$R59),AND(CP$7&gt;=$S59,CP$7&lt;=$T59),AND(CP$7&gt;=$U59,CP$7&lt;=$V59),AND(CP$7&gt;=$W59,CP$7&lt;=$X59),AND(CP$7&gt;=$Y59,CP$7&lt;=$Z59),AND(CP$7&gt;=$AA59,CP$7&lt;=$AB59),AND(CP$7&gt;=$AC59,CP$7&lt;=$AD59),AND(CP$7&gt;=$AE59,CP$7&lt;=$AF59),AND(CP$7&gt;=$AG59,CP$7&lt;=$AH59),AND(CP$7&gt;=$AI59,CP$7&lt;=$AJ59)),0,IF(OR(AND($M59&gt;$N59,CP$7&lt;=$N59),AND($O59&gt;$P59,CP$7&lt;=$P59),AND($Q59&gt;$R59,CP$7&lt;=$R59),AND($S59&gt;$T59,CP$7&lt;=$T59),AND($U59&gt;$V59,CP$7&lt;=$V59),AND($W59&gt;$X59,CP$7&lt;=$X59),AND($Y59&gt;$Z59,CP$7&lt;=$Z59),AND($AA59&gt;$AB59,CP$7&lt;=$AB59),AND($AC59&gt;$AD59,CP$7&lt;=$AD59),AND($AE59&gt;$AF59,CP$7&lt;=$AF59),AND($AG59&gt;$AH59,CP$7&lt;=$AH59),AND($AI59&gt;$AJ59,CP$7&lt;=$AJ59)),0,IF(OR(AND(CP$7&gt;=$M59,$M59&gt;$N59),AND(CP$7&gt;=$O59,$O59&gt;$P59),AND(CP$7&gt;=$Q59,$Q59&gt;$R59),AND(CP$7&gt;=$S59,$S59&gt;$T59),AND(CP$7&gt;=$U59,$U59&gt;$V59),AND(CP$7&gt;=$W59,$W59&gt;$X59),AND(CP$7&gt;=$Y59,$Y59&gt;$Z59),AND(CP$7&gt;=$AA59,$AA59&gt;$AB59),AND(CP$7&gt;=$AC59,$AC59&gt;$AD59),AND(CP$7&gt;=$AE59,$AE59&gt;$AF59),AND(CP$7&gt;=$AG59,$AG59&gt;$AH59),AND(CP$7&gt;=$AI59,$AI59&gt;$AJ59)),0,$E59)))))</f>
        <v>0</v>
      </c>
      <c r="CQ59" s="409">
        <f t="shared" si="148"/>
        <v>0</v>
      </c>
      <c r="CR59" s="409">
        <f t="shared" si="148"/>
        <v>0</v>
      </c>
      <c r="CS59" s="409">
        <f t="shared" si="148"/>
        <v>0</v>
      </c>
      <c r="CT59" s="409">
        <f t="shared" si="148"/>
        <v>0</v>
      </c>
      <c r="CU59" s="409">
        <f t="shared" si="104"/>
        <v>0</v>
      </c>
      <c r="CV59" s="409">
        <f t="shared" si="104"/>
        <v>0</v>
      </c>
      <c r="CW59" s="409">
        <f t="shared" si="104"/>
        <v>0</v>
      </c>
      <c r="CX59" s="409">
        <f t="shared" si="104"/>
        <v>0</v>
      </c>
      <c r="CY59" s="409">
        <f t="shared" si="104"/>
        <v>0</v>
      </c>
      <c r="CZ59" s="409">
        <f t="shared" ref="CU59:DD63" si="149">IF(ISNA(CZ$7),"",IF(OR(AND(CZ$7&lt;=$N59,CZ$7&gt;$N59-TIME(0,TimeIncr,0)),AND(CZ$7&lt;=$P59,CZ$7&gt;$P59-TIME(0,TimeIncr,0)),AND(CZ$7&lt;=$R59,CZ$7&gt;$R59-TIME(0,TimeIncr,0)),AND(CZ$7&lt;=$T59,CZ$7&gt;$T59-TIME(0,TimeIncr,0)),AND(CZ$7&lt;=$V59,CZ$7&gt;$V59-TIME(0,TimeIncr,0)),AND(CZ$7&lt;=$X59,CZ$7&gt;$X59-TIME(0,TimeIncr,0)),AND(CZ$7&lt;=$Z59,CZ$7&gt;$Z59-TIME(0,TimeIncr,0)),AND(CZ$7&lt;=$AB59,CZ$7&gt;$AB59-TIME(0,TimeIncr,0)),AND(CZ$7&lt;=$AD59,CZ$7&gt;$AD59-TIME(0,TimeIncr,0)),AND(CZ$7&lt;=$AF59,CZ$7&gt;$AF59-TIME(0,TimeIncr,0)),AND(CZ$7&lt;=$AH59,CZ$7&gt;$AH59-TIME(0,TimeIncr,0)),AND(CZ$7&lt;=$AJ59,CZ$7&gt;$AJ59-TIME(0,TimeIncr,0))),$E59*$L59,IF(OR(AND(CZ$7&gt;=$M59,CZ$7&lt;=$N59),AND(CZ$7&gt;=$O59,CZ$7&lt;=$P59),AND(CZ$7&gt;=$Q59,CZ$7&lt;=$R59),AND(CZ$7&gt;=$S59,CZ$7&lt;=$T59),AND(CZ$7&gt;=$U59,CZ$7&lt;=$V59),AND(CZ$7&gt;=$W59,CZ$7&lt;=$X59),AND(CZ$7&gt;=$Y59,CZ$7&lt;=$Z59),AND(CZ$7&gt;=$AA59,CZ$7&lt;=$AB59),AND(CZ$7&gt;=$AC59,CZ$7&lt;=$AD59),AND(CZ$7&gt;=$AE59,CZ$7&lt;=$AF59),AND(CZ$7&gt;=$AG59,CZ$7&lt;=$AH59),AND(CZ$7&gt;=$AI59,CZ$7&lt;=$AJ59)),0,IF(OR(AND($M59&gt;$N59,CZ$7&lt;=$N59),AND($O59&gt;$P59,CZ$7&lt;=$P59),AND($Q59&gt;$R59,CZ$7&lt;=$R59),AND($S59&gt;$T59,CZ$7&lt;=$T59),AND($U59&gt;$V59,CZ$7&lt;=$V59),AND($W59&gt;$X59,CZ$7&lt;=$X59),AND($Y59&gt;$Z59,CZ$7&lt;=$Z59),AND($AA59&gt;$AB59,CZ$7&lt;=$AB59),AND($AC59&gt;$AD59,CZ$7&lt;=$AD59),AND($AE59&gt;$AF59,CZ$7&lt;=$AF59),AND($AG59&gt;$AH59,CZ$7&lt;=$AH59),AND($AI59&gt;$AJ59,CZ$7&lt;=$AJ59)),0,IF(OR(AND(CZ$7&gt;=$M59,$M59&gt;$N59),AND(CZ$7&gt;=$O59,$O59&gt;$P59),AND(CZ$7&gt;=$Q59,$Q59&gt;$R59),AND(CZ$7&gt;=$S59,$S59&gt;$T59),AND(CZ$7&gt;=$U59,$U59&gt;$V59),AND(CZ$7&gt;=$W59,$W59&gt;$X59),AND(CZ$7&gt;=$Y59,$Y59&gt;$Z59),AND(CZ$7&gt;=$AA59,$AA59&gt;$AB59),AND(CZ$7&gt;=$AC59,$AC59&gt;$AD59),AND(CZ$7&gt;=$AE59,$AE59&gt;$AF59),AND(CZ$7&gt;=$AG59,$AG59&gt;$AH59),AND(CZ$7&gt;=$AI59,$AI59&gt;$AJ59)),0,$E59)))))</f>
        <v>0</v>
      </c>
      <c r="DA59" s="409">
        <f t="shared" si="149"/>
        <v>0</v>
      </c>
      <c r="DB59" s="409">
        <f t="shared" si="149"/>
        <v>0</v>
      </c>
      <c r="DC59" s="409">
        <f t="shared" si="149"/>
        <v>0</v>
      </c>
      <c r="DD59" s="409">
        <f t="shared" si="149"/>
        <v>0</v>
      </c>
      <c r="DE59" s="409">
        <f t="shared" si="105"/>
        <v>0</v>
      </c>
      <c r="DF59" s="409">
        <f t="shared" si="105"/>
        <v>0</v>
      </c>
      <c r="DG59" s="409">
        <f t="shared" si="105"/>
        <v>0</v>
      </c>
      <c r="DH59" s="409">
        <f t="shared" si="105"/>
        <v>0</v>
      </c>
      <c r="DI59" s="409">
        <f t="shared" si="105"/>
        <v>0</v>
      </c>
      <c r="DJ59" s="409">
        <f t="shared" ref="DE59:DN63" si="150">IF(ISNA(DJ$7),"",IF(OR(AND(DJ$7&lt;=$N59,DJ$7&gt;$N59-TIME(0,TimeIncr,0)),AND(DJ$7&lt;=$P59,DJ$7&gt;$P59-TIME(0,TimeIncr,0)),AND(DJ$7&lt;=$R59,DJ$7&gt;$R59-TIME(0,TimeIncr,0)),AND(DJ$7&lt;=$T59,DJ$7&gt;$T59-TIME(0,TimeIncr,0)),AND(DJ$7&lt;=$V59,DJ$7&gt;$V59-TIME(0,TimeIncr,0)),AND(DJ$7&lt;=$X59,DJ$7&gt;$X59-TIME(0,TimeIncr,0)),AND(DJ$7&lt;=$Z59,DJ$7&gt;$Z59-TIME(0,TimeIncr,0)),AND(DJ$7&lt;=$AB59,DJ$7&gt;$AB59-TIME(0,TimeIncr,0)),AND(DJ$7&lt;=$AD59,DJ$7&gt;$AD59-TIME(0,TimeIncr,0)),AND(DJ$7&lt;=$AF59,DJ$7&gt;$AF59-TIME(0,TimeIncr,0)),AND(DJ$7&lt;=$AH59,DJ$7&gt;$AH59-TIME(0,TimeIncr,0)),AND(DJ$7&lt;=$AJ59,DJ$7&gt;$AJ59-TIME(0,TimeIncr,0))),$E59*$L59,IF(OR(AND(DJ$7&gt;=$M59,DJ$7&lt;=$N59),AND(DJ$7&gt;=$O59,DJ$7&lt;=$P59),AND(DJ$7&gt;=$Q59,DJ$7&lt;=$R59),AND(DJ$7&gt;=$S59,DJ$7&lt;=$T59),AND(DJ$7&gt;=$U59,DJ$7&lt;=$V59),AND(DJ$7&gt;=$W59,DJ$7&lt;=$X59),AND(DJ$7&gt;=$Y59,DJ$7&lt;=$Z59),AND(DJ$7&gt;=$AA59,DJ$7&lt;=$AB59),AND(DJ$7&gt;=$AC59,DJ$7&lt;=$AD59),AND(DJ$7&gt;=$AE59,DJ$7&lt;=$AF59),AND(DJ$7&gt;=$AG59,DJ$7&lt;=$AH59),AND(DJ$7&gt;=$AI59,DJ$7&lt;=$AJ59)),0,IF(OR(AND($M59&gt;$N59,DJ$7&lt;=$N59),AND($O59&gt;$P59,DJ$7&lt;=$P59),AND($Q59&gt;$R59,DJ$7&lt;=$R59),AND($S59&gt;$T59,DJ$7&lt;=$T59),AND($U59&gt;$V59,DJ$7&lt;=$V59),AND($W59&gt;$X59,DJ$7&lt;=$X59),AND($Y59&gt;$Z59,DJ$7&lt;=$Z59),AND($AA59&gt;$AB59,DJ$7&lt;=$AB59),AND($AC59&gt;$AD59,DJ$7&lt;=$AD59),AND($AE59&gt;$AF59,DJ$7&lt;=$AF59),AND($AG59&gt;$AH59,DJ$7&lt;=$AH59),AND($AI59&gt;$AJ59,DJ$7&lt;=$AJ59)),0,IF(OR(AND(DJ$7&gt;=$M59,$M59&gt;$N59),AND(DJ$7&gt;=$O59,$O59&gt;$P59),AND(DJ$7&gt;=$Q59,$Q59&gt;$R59),AND(DJ$7&gt;=$S59,$S59&gt;$T59),AND(DJ$7&gt;=$U59,$U59&gt;$V59),AND(DJ$7&gt;=$W59,$W59&gt;$X59),AND(DJ$7&gt;=$Y59,$Y59&gt;$Z59),AND(DJ$7&gt;=$AA59,$AA59&gt;$AB59),AND(DJ$7&gt;=$AC59,$AC59&gt;$AD59),AND(DJ$7&gt;=$AE59,$AE59&gt;$AF59),AND(DJ$7&gt;=$AG59,$AG59&gt;$AH59),AND(DJ$7&gt;=$AI59,$AI59&gt;$AJ59)),0,$E59)))))</f>
        <v>0</v>
      </c>
      <c r="DK59" s="409">
        <f t="shared" si="150"/>
        <v>0</v>
      </c>
      <c r="DL59" s="409">
        <f t="shared" si="150"/>
        <v>0</v>
      </c>
      <c r="DM59" s="409">
        <f t="shared" si="150"/>
        <v>0</v>
      </c>
      <c r="DN59" s="409">
        <f t="shared" si="150"/>
        <v>0</v>
      </c>
      <c r="DO59" s="409">
        <f t="shared" si="106"/>
        <v>0</v>
      </c>
      <c r="DP59" s="409">
        <f t="shared" si="106"/>
        <v>0</v>
      </c>
      <c r="DQ59" s="409">
        <f t="shared" si="106"/>
        <v>0</v>
      </c>
      <c r="DR59" s="409">
        <f t="shared" si="106"/>
        <v>0</v>
      </c>
      <c r="DS59" s="409">
        <f t="shared" si="106"/>
        <v>0</v>
      </c>
      <c r="DT59" s="409">
        <f t="shared" ref="DO59:DX63" si="151">IF(ISNA(DT$7),"",IF(OR(AND(DT$7&lt;=$N59,DT$7&gt;$N59-TIME(0,TimeIncr,0)),AND(DT$7&lt;=$P59,DT$7&gt;$P59-TIME(0,TimeIncr,0)),AND(DT$7&lt;=$R59,DT$7&gt;$R59-TIME(0,TimeIncr,0)),AND(DT$7&lt;=$T59,DT$7&gt;$T59-TIME(0,TimeIncr,0)),AND(DT$7&lt;=$V59,DT$7&gt;$V59-TIME(0,TimeIncr,0)),AND(DT$7&lt;=$X59,DT$7&gt;$X59-TIME(0,TimeIncr,0)),AND(DT$7&lt;=$Z59,DT$7&gt;$Z59-TIME(0,TimeIncr,0)),AND(DT$7&lt;=$AB59,DT$7&gt;$AB59-TIME(0,TimeIncr,0)),AND(DT$7&lt;=$AD59,DT$7&gt;$AD59-TIME(0,TimeIncr,0)),AND(DT$7&lt;=$AF59,DT$7&gt;$AF59-TIME(0,TimeIncr,0)),AND(DT$7&lt;=$AH59,DT$7&gt;$AH59-TIME(0,TimeIncr,0)),AND(DT$7&lt;=$AJ59,DT$7&gt;$AJ59-TIME(0,TimeIncr,0))),$E59*$L59,IF(OR(AND(DT$7&gt;=$M59,DT$7&lt;=$N59),AND(DT$7&gt;=$O59,DT$7&lt;=$P59),AND(DT$7&gt;=$Q59,DT$7&lt;=$R59),AND(DT$7&gt;=$S59,DT$7&lt;=$T59),AND(DT$7&gt;=$U59,DT$7&lt;=$V59),AND(DT$7&gt;=$W59,DT$7&lt;=$X59),AND(DT$7&gt;=$Y59,DT$7&lt;=$Z59),AND(DT$7&gt;=$AA59,DT$7&lt;=$AB59),AND(DT$7&gt;=$AC59,DT$7&lt;=$AD59),AND(DT$7&gt;=$AE59,DT$7&lt;=$AF59),AND(DT$7&gt;=$AG59,DT$7&lt;=$AH59),AND(DT$7&gt;=$AI59,DT$7&lt;=$AJ59)),0,IF(OR(AND($M59&gt;$N59,DT$7&lt;=$N59),AND($O59&gt;$P59,DT$7&lt;=$P59),AND($Q59&gt;$R59,DT$7&lt;=$R59),AND($S59&gt;$T59,DT$7&lt;=$T59),AND($U59&gt;$V59,DT$7&lt;=$V59),AND($W59&gt;$X59,DT$7&lt;=$X59),AND($Y59&gt;$Z59,DT$7&lt;=$Z59),AND($AA59&gt;$AB59,DT$7&lt;=$AB59),AND($AC59&gt;$AD59,DT$7&lt;=$AD59),AND($AE59&gt;$AF59,DT$7&lt;=$AF59),AND($AG59&gt;$AH59,DT$7&lt;=$AH59),AND($AI59&gt;$AJ59,DT$7&lt;=$AJ59)),0,IF(OR(AND(DT$7&gt;=$M59,$M59&gt;$N59),AND(DT$7&gt;=$O59,$O59&gt;$P59),AND(DT$7&gt;=$Q59,$Q59&gt;$R59),AND(DT$7&gt;=$S59,$S59&gt;$T59),AND(DT$7&gt;=$U59,$U59&gt;$V59),AND(DT$7&gt;=$W59,$W59&gt;$X59),AND(DT$7&gt;=$Y59,$Y59&gt;$Z59),AND(DT$7&gt;=$AA59,$AA59&gt;$AB59),AND(DT$7&gt;=$AC59,$AC59&gt;$AD59),AND(DT$7&gt;=$AE59,$AE59&gt;$AF59),AND(DT$7&gt;=$AG59,$AG59&gt;$AH59),AND(DT$7&gt;=$AI59,$AI59&gt;$AJ59)),0,$E59)))))</f>
        <v>0</v>
      </c>
      <c r="DU59" s="409">
        <f t="shared" si="151"/>
        <v>0</v>
      </c>
      <c r="DV59" s="409">
        <f t="shared" si="151"/>
        <v>0</v>
      </c>
      <c r="DW59" s="409">
        <f t="shared" si="151"/>
        <v>0</v>
      </c>
      <c r="DX59" s="409">
        <f t="shared" si="151"/>
        <v>0</v>
      </c>
      <c r="DY59" s="409">
        <f t="shared" si="107"/>
        <v>0</v>
      </c>
      <c r="DZ59" s="409">
        <f t="shared" si="107"/>
        <v>0</v>
      </c>
      <c r="EA59" s="409">
        <f t="shared" si="107"/>
        <v>0</v>
      </c>
      <c r="EB59" s="409">
        <f t="shared" si="107"/>
        <v>0</v>
      </c>
      <c r="EC59" s="409">
        <f t="shared" si="107"/>
        <v>0</v>
      </c>
      <c r="ED59" s="409">
        <f t="shared" ref="DY59:EH63" si="152">IF(ISNA(ED$7),"",IF(OR(AND(ED$7&lt;=$N59,ED$7&gt;$N59-TIME(0,TimeIncr,0)),AND(ED$7&lt;=$P59,ED$7&gt;$P59-TIME(0,TimeIncr,0)),AND(ED$7&lt;=$R59,ED$7&gt;$R59-TIME(0,TimeIncr,0)),AND(ED$7&lt;=$T59,ED$7&gt;$T59-TIME(0,TimeIncr,0)),AND(ED$7&lt;=$V59,ED$7&gt;$V59-TIME(0,TimeIncr,0)),AND(ED$7&lt;=$X59,ED$7&gt;$X59-TIME(0,TimeIncr,0)),AND(ED$7&lt;=$Z59,ED$7&gt;$Z59-TIME(0,TimeIncr,0)),AND(ED$7&lt;=$AB59,ED$7&gt;$AB59-TIME(0,TimeIncr,0)),AND(ED$7&lt;=$AD59,ED$7&gt;$AD59-TIME(0,TimeIncr,0)),AND(ED$7&lt;=$AF59,ED$7&gt;$AF59-TIME(0,TimeIncr,0)),AND(ED$7&lt;=$AH59,ED$7&gt;$AH59-TIME(0,TimeIncr,0)),AND(ED$7&lt;=$AJ59,ED$7&gt;$AJ59-TIME(0,TimeIncr,0))),$E59*$L59,IF(OR(AND(ED$7&gt;=$M59,ED$7&lt;=$N59),AND(ED$7&gt;=$O59,ED$7&lt;=$P59),AND(ED$7&gt;=$Q59,ED$7&lt;=$R59),AND(ED$7&gt;=$S59,ED$7&lt;=$T59),AND(ED$7&gt;=$U59,ED$7&lt;=$V59),AND(ED$7&gt;=$W59,ED$7&lt;=$X59),AND(ED$7&gt;=$Y59,ED$7&lt;=$Z59),AND(ED$7&gt;=$AA59,ED$7&lt;=$AB59),AND(ED$7&gt;=$AC59,ED$7&lt;=$AD59),AND(ED$7&gt;=$AE59,ED$7&lt;=$AF59),AND(ED$7&gt;=$AG59,ED$7&lt;=$AH59),AND(ED$7&gt;=$AI59,ED$7&lt;=$AJ59)),0,IF(OR(AND($M59&gt;$N59,ED$7&lt;=$N59),AND($O59&gt;$P59,ED$7&lt;=$P59),AND($Q59&gt;$R59,ED$7&lt;=$R59),AND($S59&gt;$T59,ED$7&lt;=$T59),AND($U59&gt;$V59,ED$7&lt;=$V59),AND($W59&gt;$X59,ED$7&lt;=$X59),AND($Y59&gt;$Z59,ED$7&lt;=$Z59),AND($AA59&gt;$AB59,ED$7&lt;=$AB59),AND($AC59&gt;$AD59,ED$7&lt;=$AD59),AND($AE59&gt;$AF59,ED$7&lt;=$AF59),AND($AG59&gt;$AH59,ED$7&lt;=$AH59),AND($AI59&gt;$AJ59,ED$7&lt;=$AJ59)),0,IF(OR(AND(ED$7&gt;=$M59,$M59&gt;$N59),AND(ED$7&gt;=$O59,$O59&gt;$P59),AND(ED$7&gt;=$Q59,$Q59&gt;$R59),AND(ED$7&gt;=$S59,$S59&gt;$T59),AND(ED$7&gt;=$U59,$U59&gt;$V59),AND(ED$7&gt;=$W59,$W59&gt;$X59),AND(ED$7&gt;=$Y59,$Y59&gt;$Z59),AND(ED$7&gt;=$AA59,$AA59&gt;$AB59),AND(ED$7&gt;=$AC59,$AC59&gt;$AD59),AND(ED$7&gt;=$AE59,$AE59&gt;$AF59),AND(ED$7&gt;=$AG59,$AG59&gt;$AH59),AND(ED$7&gt;=$AI59,$AI59&gt;$AJ59)),0,$E59)))))</f>
        <v>0</v>
      </c>
      <c r="EE59" s="409">
        <f t="shared" si="152"/>
        <v>0</v>
      </c>
      <c r="EF59" s="409">
        <f t="shared" si="152"/>
        <v>0</v>
      </c>
      <c r="EG59" s="409">
        <f t="shared" si="152"/>
        <v>0</v>
      </c>
      <c r="EH59" s="409">
        <f t="shared" si="152"/>
        <v>0</v>
      </c>
      <c r="EI59" s="409">
        <f t="shared" si="108"/>
        <v>0</v>
      </c>
      <c r="EJ59" s="409">
        <f t="shared" si="108"/>
        <v>0</v>
      </c>
      <c r="EK59" s="409">
        <f t="shared" si="108"/>
        <v>0</v>
      </c>
      <c r="EL59" s="409">
        <f t="shared" si="108"/>
        <v>0</v>
      </c>
      <c r="EM59" s="409">
        <f t="shared" si="108"/>
        <v>0</v>
      </c>
      <c r="EN59" s="409">
        <f t="shared" ref="EI59:ER63" si="153">IF(ISNA(EN$7),"",IF(OR(AND(EN$7&lt;=$N59,EN$7&gt;$N59-TIME(0,TimeIncr,0)),AND(EN$7&lt;=$P59,EN$7&gt;$P59-TIME(0,TimeIncr,0)),AND(EN$7&lt;=$R59,EN$7&gt;$R59-TIME(0,TimeIncr,0)),AND(EN$7&lt;=$T59,EN$7&gt;$T59-TIME(0,TimeIncr,0)),AND(EN$7&lt;=$V59,EN$7&gt;$V59-TIME(0,TimeIncr,0)),AND(EN$7&lt;=$X59,EN$7&gt;$X59-TIME(0,TimeIncr,0)),AND(EN$7&lt;=$Z59,EN$7&gt;$Z59-TIME(0,TimeIncr,0)),AND(EN$7&lt;=$AB59,EN$7&gt;$AB59-TIME(0,TimeIncr,0)),AND(EN$7&lt;=$AD59,EN$7&gt;$AD59-TIME(0,TimeIncr,0)),AND(EN$7&lt;=$AF59,EN$7&gt;$AF59-TIME(0,TimeIncr,0)),AND(EN$7&lt;=$AH59,EN$7&gt;$AH59-TIME(0,TimeIncr,0)),AND(EN$7&lt;=$AJ59,EN$7&gt;$AJ59-TIME(0,TimeIncr,0))),$E59*$L59,IF(OR(AND(EN$7&gt;=$M59,EN$7&lt;=$N59),AND(EN$7&gt;=$O59,EN$7&lt;=$P59),AND(EN$7&gt;=$Q59,EN$7&lt;=$R59),AND(EN$7&gt;=$S59,EN$7&lt;=$T59),AND(EN$7&gt;=$U59,EN$7&lt;=$V59),AND(EN$7&gt;=$W59,EN$7&lt;=$X59),AND(EN$7&gt;=$Y59,EN$7&lt;=$Z59),AND(EN$7&gt;=$AA59,EN$7&lt;=$AB59),AND(EN$7&gt;=$AC59,EN$7&lt;=$AD59),AND(EN$7&gt;=$AE59,EN$7&lt;=$AF59),AND(EN$7&gt;=$AG59,EN$7&lt;=$AH59),AND(EN$7&gt;=$AI59,EN$7&lt;=$AJ59)),0,IF(OR(AND($M59&gt;$N59,EN$7&lt;=$N59),AND($O59&gt;$P59,EN$7&lt;=$P59),AND($Q59&gt;$R59,EN$7&lt;=$R59),AND($S59&gt;$T59,EN$7&lt;=$T59),AND($U59&gt;$V59,EN$7&lt;=$V59),AND($W59&gt;$X59,EN$7&lt;=$X59),AND($Y59&gt;$Z59,EN$7&lt;=$Z59),AND($AA59&gt;$AB59,EN$7&lt;=$AB59),AND($AC59&gt;$AD59,EN$7&lt;=$AD59),AND($AE59&gt;$AF59,EN$7&lt;=$AF59),AND($AG59&gt;$AH59,EN$7&lt;=$AH59),AND($AI59&gt;$AJ59,EN$7&lt;=$AJ59)),0,IF(OR(AND(EN$7&gt;=$M59,$M59&gt;$N59),AND(EN$7&gt;=$O59,$O59&gt;$P59),AND(EN$7&gt;=$Q59,$Q59&gt;$R59),AND(EN$7&gt;=$S59,$S59&gt;$T59),AND(EN$7&gt;=$U59,$U59&gt;$V59),AND(EN$7&gt;=$W59,$W59&gt;$X59),AND(EN$7&gt;=$Y59,$Y59&gt;$Z59),AND(EN$7&gt;=$AA59,$AA59&gt;$AB59),AND(EN$7&gt;=$AC59,$AC59&gt;$AD59),AND(EN$7&gt;=$AE59,$AE59&gt;$AF59),AND(EN$7&gt;=$AG59,$AG59&gt;$AH59),AND(EN$7&gt;=$AI59,$AI59&gt;$AJ59)),0,$E59)))))</f>
        <v>0</v>
      </c>
      <c r="EO59" s="409">
        <f t="shared" si="153"/>
        <v>0</v>
      </c>
      <c r="EP59" s="409">
        <f t="shared" si="153"/>
        <v>0</v>
      </c>
      <c r="EQ59" s="409">
        <f t="shared" si="153"/>
        <v>0</v>
      </c>
      <c r="ER59" s="409">
        <f t="shared" si="153"/>
        <v>0</v>
      </c>
      <c r="ES59" s="409">
        <f t="shared" si="109"/>
        <v>0</v>
      </c>
      <c r="ET59" s="409">
        <f t="shared" si="109"/>
        <v>0</v>
      </c>
      <c r="EU59" s="409">
        <f t="shared" si="109"/>
        <v>0</v>
      </c>
      <c r="EV59" s="409">
        <f t="shared" si="109"/>
        <v>0</v>
      </c>
      <c r="EW59" s="409">
        <f t="shared" si="109"/>
        <v>0</v>
      </c>
      <c r="EX59" s="409">
        <f t="shared" ref="ES59:FB63" si="154">IF(ISNA(EX$7),"",IF(OR(AND(EX$7&lt;=$N59,EX$7&gt;$N59-TIME(0,TimeIncr,0)),AND(EX$7&lt;=$P59,EX$7&gt;$P59-TIME(0,TimeIncr,0)),AND(EX$7&lt;=$R59,EX$7&gt;$R59-TIME(0,TimeIncr,0)),AND(EX$7&lt;=$T59,EX$7&gt;$T59-TIME(0,TimeIncr,0)),AND(EX$7&lt;=$V59,EX$7&gt;$V59-TIME(0,TimeIncr,0)),AND(EX$7&lt;=$X59,EX$7&gt;$X59-TIME(0,TimeIncr,0)),AND(EX$7&lt;=$Z59,EX$7&gt;$Z59-TIME(0,TimeIncr,0)),AND(EX$7&lt;=$AB59,EX$7&gt;$AB59-TIME(0,TimeIncr,0)),AND(EX$7&lt;=$AD59,EX$7&gt;$AD59-TIME(0,TimeIncr,0)),AND(EX$7&lt;=$AF59,EX$7&gt;$AF59-TIME(0,TimeIncr,0)),AND(EX$7&lt;=$AH59,EX$7&gt;$AH59-TIME(0,TimeIncr,0)),AND(EX$7&lt;=$AJ59,EX$7&gt;$AJ59-TIME(0,TimeIncr,0))),$E59*$L59,IF(OR(AND(EX$7&gt;=$M59,EX$7&lt;=$N59),AND(EX$7&gt;=$O59,EX$7&lt;=$P59),AND(EX$7&gt;=$Q59,EX$7&lt;=$R59),AND(EX$7&gt;=$S59,EX$7&lt;=$T59),AND(EX$7&gt;=$U59,EX$7&lt;=$V59),AND(EX$7&gt;=$W59,EX$7&lt;=$X59),AND(EX$7&gt;=$Y59,EX$7&lt;=$Z59),AND(EX$7&gt;=$AA59,EX$7&lt;=$AB59),AND(EX$7&gt;=$AC59,EX$7&lt;=$AD59),AND(EX$7&gt;=$AE59,EX$7&lt;=$AF59),AND(EX$7&gt;=$AG59,EX$7&lt;=$AH59),AND(EX$7&gt;=$AI59,EX$7&lt;=$AJ59)),0,IF(OR(AND($M59&gt;$N59,EX$7&lt;=$N59),AND($O59&gt;$P59,EX$7&lt;=$P59),AND($Q59&gt;$R59,EX$7&lt;=$R59),AND($S59&gt;$T59,EX$7&lt;=$T59),AND($U59&gt;$V59,EX$7&lt;=$V59),AND($W59&gt;$X59,EX$7&lt;=$X59),AND($Y59&gt;$Z59,EX$7&lt;=$Z59),AND($AA59&gt;$AB59,EX$7&lt;=$AB59),AND($AC59&gt;$AD59,EX$7&lt;=$AD59),AND($AE59&gt;$AF59,EX$7&lt;=$AF59),AND($AG59&gt;$AH59,EX$7&lt;=$AH59),AND($AI59&gt;$AJ59,EX$7&lt;=$AJ59)),0,IF(OR(AND(EX$7&gt;=$M59,$M59&gt;$N59),AND(EX$7&gt;=$O59,$O59&gt;$P59),AND(EX$7&gt;=$Q59,$Q59&gt;$R59),AND(EX$7&gt;=$S59,$S59&gt;$T59),AND(EX$7&gt;=$U59,$U59&gt;$V59),AND(EX$7&gt;=$W59,$W59&gt;$X59),AND(EX$7&gt;=$Y59,$Y59&gt;$Z59),AND(EX$7&gt;=$AA59,$AA59&gt;$AB59),AND(EX$7&gt;=$AC59,$AC59&gt;$AD59),AND(EX$7&gt;=$AE59,$AE59&gt;$AF59),AND(EX$7&gt;=$AG59,$AG59&gt;$AH59),AND(EX$7&gt;=$AI59,$AI59&gt;$AJ59)),0,$E59)))))</f>
        <v>0</v>
      </c>
      <c r="EY59" s="409">
        <f t="shared" si="154"/>
        <v>0</v>
      </c>
      <c r="EZ59" s="409">
        <f t="shared" si="154"/>
        <v>0</v>
      </c>
      <c r="FA59" s="409">
        <f t="shared" si="154"/>
        <v>0</v>
      </c>
      <c r="FB59" s="409">
        <f t="shared" si="154"/>
        <v>0</v>
      </c>
      <c r="FC59" s="409">
        <f t="shared" si="110"/>
        <v>0</v>
      </c>
      <c r="FD59" s="409">
        <f t="shared" si="110"/>
        <v>0</v>
      </c>
      <c r="FE59" s="409">
        <f t="shared" si="110"/>
        <v>0</v>
      </c>
      <c r="FF59" s="409">
        <f t="shared" si="110"/>
        <v>0</v>
      </c>
      <c r="FG59" s="409">
        <f t="shared" si="110"/>
        <v>0</v>
      </c>
      <c r="FH59" s="409">
        <f t="shared" ref="FC59:FL63" si="155">IF(ISNA(FH$7),"",IF(OR(AND(FH$7&lt;=$N59,FH$7&gt;$N59-TIME(0,TimeIncr,0)),AND(FH$7&lt;=$P59,FH$7&gt;$P59-TIME(0,TimeIncr,0)),AND(FH$7&lt;=$R59,FH$7&gt;$R59-TIME(0,TimeIncr,0)),AND(FH$7&lt;=$T59,FH$7&gt;$T59-TIME(0,TimeIncr,0)),AND(FH$7&lt;=$V59,FH$7&gt;$V59-TIME(0,TimeIncr,0)),AND(FH$7&lt;=$X59,FH$7&gt;$X59-TIME(0,TimeIncr,0)),AND(FH$7&lt;=$Z59,FH$7&gt;$Z59-TIME(0,TimeIncr,0)),AND(FH$7&lt;=$AB59,FH$7&gt;$AB59-TIME(0,TimeIncr,0)),AND(FH$7&lt;=$AD59,FH$7&gt;$AD59-TIME(0,TimeIncr,0)),AND(FH$7&lt;=$AF59,FH$7&gt;$AF59-TIME(0,TimeIncr,0)),AND(FH$7&lt;=$AH59,FH$7&gt;$AH59-TIME(0,TimeIncr,0)),AND(FH$7&lt;=$AJ59,FH$7&gt;$AJ59-TIME(0,TimeIncr,0))),$E59*$L59,IF(OR(AND(FH$7&gt;=$M59,FH$7&lt;=$N59),AND(FH$7&gt;=$O59,FH$7&lt;=$P59),AND(FH$7&gt;=$Q59,FH$7&lt;=$R59),AND(FH$7&gt;=$S59,FH$7&lt;=$T59),AND(FH$7&gt;=$U59,FH$7&lt;=$V59),AND(FH$7&gt;=$W59,FH$7&lt;=$X59),AND(FH$7&gt;=$Y59,FH$7&lt;=$Z59),AND(FH$7&gt;=$AA59,FH$7&lt;=$AB59),AND(FH$7&gt;=$AC59,FH$7&lt;=$AD59),AND(FH$7&gt;=$AE59,FH$7&lt;=$AF59),AND(FH$7&gt;=$AG59,FH$7&lt;=$AH59),AND(FH$7&gt;=$AI59,FH$7&lt;=$AJ59)),0,IF(OR(AND($M59&gt;$N59,FH$7&lt;=$N59),AND($O59&gt;$P59,FH$7&lt;=$P59),AND($Q59&gt;$R59,FH$7&lt;=$R59),AND($S59&gt;$T59,FH$7&lt;=$T59),AND($U59&gt;$V59,FH$7&lt;=$V59),AND($W59&gt;$X59,FH$7&lt;=$X59),AND($Y59&gt;$Z59,FH$7&lt;=$Z59),AND($AA59&gt;$AB59,FH$7&lt;=$AB59),AND($AC59&gt;$AD59,FH$7&lt;=$AD59),AND($AE59&gt;$AF59,FH$7&lt;=$AF59),AND($AG59&gt;$AH59,FH$7&lt;=$AH59),AND($AI59&gt;$AJ59,FH$7&lt;=$AJ59)),0,IF(OR(AND(FH$7&gt;=$M59,$M59&gt;$N59),AND(FH$7&gt;=$O59,$O59&gt;$P59),AND(FH$7&gt;=$Q59,$Q59&gt;$R59),AND(FH$7&gt;=$S59,$S59&gt;$T59),AND(FH$7&gt;=$U59,$U59&gt;$V59),AND(FH$7&gt;=$W59,$W59&gt;$X59),AND(FH$7&gt;=$Y59,$Y59&gt;$Z59),AND(FH$7&gt;=$AA59,$AA59&gt;$AB59),AND(FH$7&gt;=$AC59,$AC59&gt;$AD59),AND(FH$7&gt;=$AE59,$AE59&gt;$AF59),AND(FH$7&gt;=$AG59,$AG59&gt;$AH59),AND(FH$7&gt;=$AI59,$AI59&gt;$AJ59)),0,$E59)))))</f>
        <v>0</v>
      </c>
      <c r="FI59" s="409">
        <f t="shared" si="155"/>
        <v>0</v>
      </c>
      <c r="FJ59" s="409">
        <f t="shared" si="155"/>
        <v>0</v>
      </c>
      <c r="FK59" s="409">
        <f t="shared" si="155"/>
        <v>0</v>
      </c>
      <c r="FL59" s="409">
        <f t="shared" si="155"/>
        <v>0</v>
      </c>
      <c r="FM59" s="409">
        <f t="shared" si="111"/>
        <v>0</v>
      </c>
      <c r="FN59" s="409">
        <f t="shared" si="111"/>
        <v>0</v>
      </c>
      <c r="FO59" s="409">
        <f t="shared" si="111"/>
        <v>0</v>
      </c>
      <c r="FP59" s="409">
        <f t="shared" si="111"/>
        <v>0</v>
      </c>
      <c r="FQ59" s="409">
        <f t="shared" si="111"/>
        <v>0</v>
      </c>
      <c r="FR59" s="409">
        <f t="shared" ref="FM59:FV63" si="156">IF(ISNA(FR$7),"",IF(OR(AND(FR$7&lt;=$N59,FR$7&gt;$N59-TIME(0,TimeIncr,0)),AND(FR$7&lt;=$P59,FR$7&gt;$P59-TIME(0,TimeIncr,0)),AND(FR$7&lt;=$R59,FR$7&gt;$R59-TIME(0,TimeIncr,0)),AND(FR$7&lt;=$T59,FR$7&gt;$T59-TIME(0,TimeIncr,0)),AND(FR$7&lt;=$V59,FR$7&gt;$V59-TIME(0,TimeIncr,0)),AND(FR$7&lt;=$X59,FR$7&gt;$X59-TIME(0,TimeIncr,0)),AND(FR$7&lt;=$Z59,FR$7&gt;$Z59-TIME(0,TimeIncr,0)),AND(FR$7&lt;=$AB59,FR$7&gt;$AB59-TIME(0,TimeIncr,0)),AND(FR$7&lt;=$AD59,FR$7&gt;$AD59-TIME(0,TimeIncr,0)),AND(FR$7&lt;=$AF59,FR$7&gt;$AF59-TIME(0,TimeIncr,0)),AND(FR$7&lt;=$AH59,FR$7&gt;$AH59-TIME(0,TimeIncr,0)),AND(FR$7&lt;=$AJ59,FR$7&gt;$AJ59-TIME(0,TimeIncr,0))),$E59*$L59,IF(OR(AND(FR$7&gt;=$M59,FR$7&lt;=$N59),AND(FR$7&gt;=$O59,FR$7&lt;=$P59),AND(FR$7&gt;=$Q59,FR$7&lt;=$R59),AND(FR$7&gt;=$S59,FR$7&lt;=$T59),AND(FR$7&gt;=$U59,FR$7&lt;=$V59),AND(FR$7&gt;=$W59,FR$7&lt;=$X59),AND(FR$7&gt;=$Y59,FR$7&lt;=$Z59),AND(FR$7&gt;=$AA59,FR$7&lt;=$AB59),AND(FR$7&gt;=$AC59,FR$7&lt;=$AD59),AND(FR$7&gt;=$AE59,FR$7&lt;=$AF59),AND(FR$7&gt;=$AG59,FR$7&lt;=$AH59),AND(FR$7&gt;=$AI59,FR$7&lt;=$AJ59)),0,IF(OR(AND($M59&gt;$N59,FR$7&lt;=$N59),AND($O59&gt;$P59,FR$7&lt;=$P59),AND($Q59&gt;$R59,FR$7&lt;=$R59),AND($S59&gt;$T59,FR$7&lt;=$T59),AND($U59&gt;$V59,FR$7&lt;=$V59),AND($W59&gt;$X59,FR$7&lt;=$X59),AND($Y59&gt;$Z59,FR$7&lt;=$Z59),AND($AA59&gt;$AB59,FR$7&lt;=$AB59),AND($AC59&gt;$AD59,FR$7&lt;=$AD59),AND($AE59&gt;$AF59,FR$7&lt;=$AF59),AND($AG59&gt;$AH59,FR$7&lt;=$AH59),AND($AI59&gt;$AJ59,FR$7&lt;=$AJ59)),0,IF(OR(AND(FR$7&gt;=$M59,$M59&gt;$N59),AND(FR$7&gt;=$O59,$O59&gt;$P59),AND(FR$7&gt;=$Q59,$Q59&gt;$R59),AND(FR$7&gt;=$S59,$S59&gt;$T59),AND(FR$7&gt;=$U59,$U59&gt;$V59),AND(FR$7&gt;=$W59,$W59&gt;$X59),AND(FR$7&gt;=$Y59,$Y59&gt;$Z59),AND(FR$7&gt;=$AA59,$AA59&gt;$AB59),AND(FR$7&gt;=$AC59,$AC59&gt;$AD59),AND(FR$7&gt;=$AE59,$AE59&gt;$AF59),AND(FR$7&gt;=$AG59,$AG59&gt;$AH59),AND(FR$7&gt;=$AI59,$AI59&gt;$AJ59)),0,$E59)))))</f>
        <v>0</v>
      </c>
      <c r="FS59" s="409">
        <f t="shared" si="156"/>
        <v>0</v>
      </c>
      <c r="FT59" s="409">
        <f t="shared" si="156"/>
        <v>0</v>
      </c>
      <c r="FU59" s="409">
        <f t="shared" si="156"/>
        <v>0</v>
      </c>
      <c r="FV59" s="409">
        <f t="shared" si="156"/>
        <v>0</v>
      </c>
      <c r="FW59" s="409">
        <f t="shared" si="112"/>
        <v>0</v>
      </c>
      <c r="FX59" s="409">
        <f t="shared" si="112"/>
        <v>0</v>
      </c>
      <c r="FY59" s="409">
        <f t="shared" si="112"/>
        <v>0</v>
      </c>
      <c r="FZ59" s="409">
        <f t="shared" si="112"/>
        <v>0</v>
      </c>
      <c r="GA59" s="409">
        <f t="shared" si="112"/>
        <v>0</v>
      </c>
      <c r="GB59" s="409">
        <f t="shared" ref="FW59:GF63" si="157">IF(ISNA(GB$7),"",IF(OR(AND(GB$7&lt;=$N59,GB$7&gt;$N59-TIME(0,TimeIncr,0)),AND(GB$7&lt;=$P59,GB$7&gt;$P59-TIME(0,TimeIncr,0)),AND(GB$7&lt;=$R59,GB$7&gt;$R59-TIME(0,TimeIncr,0)),AND(GB$7&lt;=$T59,GB$7&gt;$T59-TIME(0,TimeIncr,0)),AND(GB$7&lt;=$V59,GB$7&gt;$V59-TIME(0,TimeIncr,0)),AND(GB$7&lt;=$X59,GB$7&gt;$X59-TIME(0,TimeIncr,0)),AND(GB$7&lt;=$Z59,GB$7&gt;$Z59-TIME(0,TimeIncr,0)),AND(GB$7&lt;=$AB59,GB$7&gt;$AB59-TIME(0,TimeIncr,0)),AND(GB$7&lt;=$AD59,GB$7&gt;$AD59-TIME(0,TimeIncr,0)),AND(GB$7&lt;=$AF59,GB$7&gt;$AF59-TIME(0,TimeIncr,0)),AND(GB$7&lt;=$AH59,GB$7&gt;$AH59-TIME(0,TimeIncr,0)),AND(GB$7&lt;=$AJ59,GB$7&gt;$AJ59-TIME(0,TimeIncr,0))),$E59*$L59,IF(OR(AND(GB$7&gt;=$M59,GB$7&lt;=$N59),AND(GB$7&gt;=$O59,GB$7&lt;=$P59),AND(GB$7&gt;=$Q59,GB$7&lt;=$R59),AND(GB$7&gt;=$S59,GB$7&lt;=$T59),AND(GB$7&gt;=$U59,GB$7&lt;=$V59),AND(GB$7&gt;=$W59,GB$7&lt;=$X59),AND(GB$7&gt;=$Y59,GB$7&lt;=$Z59),AND(GB$7&gt;=$AA59,GB$7&lt;=$AB59),AND(GB$7&gt;=$AC59,GB$7&lt;=$AD59),AND(GB$7&gt;=$AE59,GB$7&lt;=$AF59),AND(GB$7&gt;=$AG59,GB$7&lt;=$AH59),AND(GB$7&gt;=$AI59,GB$7&lt;=$AJ59)),0,IF(OR(AND($M59&gt;$N59,GB$7&lt;=$N59),AND($O59&gt;$P59,GB$7&lt;=$P59),AND($Q59&gt;$R59,GB$7&lt;=$R59),AND($S59&gt;$T59,GB$7&lt;=$T59),AND($U59&gt;$V59,GB$7&lt;=$V59),AND($W59&gt;$X59,GB$7&lt;=$X59),AND($Y59&gt;$Z59,GB$7&lt;=$Z59),AND($AA59&gt;$AB59,GB$7&lt;=$AB59),AND($AC59&gt;$AD59,GB$7&lt;=$AD59),AND($AE59&gt;$AF59,GB$7&lt;=$AF59),AND($AG59&gt;$AH59,GB$7&lt;=$AH59),AND($AI59&gt;$AJ59,GB$7&lt;=$AJ59)),0,IF(OR(AND(GB$7&gt;=$M59,$M59&gt;$N59),AND(GB$7&gt;=$O59,$O59&gt;$P59),AND(GB$7&gt;=$Q59,$Q59&gt;$R59),AND(GB$7&gt;=$S59,$S59&gt;$T59),AND(GB$7&gt;=$U59,$U59&gt;$V59),AND(GB$7&gt;=$W59,$W59&gt;$X59),AND(GB$7&gt;=$Y59,$Y59&gt;$Z59),AND(GB$7&gt;=$AA59,$AA59&gt;$AB59),AND(GB$7&gt;=$AC59,$AC59&gt;$AD59),AND(GB$7&gt;=$AE59,$AE59&gt;$AF59),AND(GB$7&gt;=$AG59,$AG59&gt;$AH59),AND(GB$7&gt;=$AI59,$AI59&gt;$AJ59)),0,$E59)))))</f>
        <v>0</v>
      </c>
      <c r="GC59" s="409">
        <f t="shared" si="157"/>
        <v>0</v>
      </c>
      <c r="GD59" s="409">
        <f t="shared" si="157"/>
        <v>0</v>
      </c>
      <c r="GE59" s="409">
        <f t="shared" si="157"/>
        <v>0</v>
      </c>
      <c r="GF59" s="409">
        <f t="shared" si="157"/>
        <v>0</v>
      </c>
      <c r="GG59" s="409">
        <f t="shared" si="113"/>
        <v>0</v>
      </c>
      <c r="GH59" s="409">
        <f t="shared" si="113"/>
        <v>0</v>
      </c>
      <c r="GI59" s="409">
        <f t="shared" si="113"/>
        <v>0</v>
      </c>
      <c r="GJ59" s="409">
        <f t="shared" si="113"/>
        <v>0</v>
      </c>
      <c r="GK59" s="409">
        <f t="shared" si="113"/>
        <v>0</v>
      </c>
      <c r="GL59" s="409">
        <f t="shared" ref="GG59:GP63" si="158">IF(ISNA(GL$7),"",IF(OR(AND(GL$7&lt;=$N59,GL$7&gt;$N59-TIME(0,TimeIncr,0)),AND(GL$7&lt;=$P59,GL$7&gt;$P59-TIME(0,TimeIncr,0)),AND(GL$7&lt;=$R59,GL$7&gt;$R59-TIME(0,TimeIncr,0)),AND(GL$7&lt;=$T59,GL$7&gt;$T59-TIME(0,TimeIncr,0)),AND(GL$7&lt;=$V59,GL$7&gt;$V59-TIME(0,TimeIncr,0)),AND(GL$7&lt;=$X59,GL$7&gt;$X59-TIME(0,TimeIncr,0)),AND(GL$7&lt;=$Z59,GL$7&gt;$Z59-TIME(0,TimeIncr,0)),AND(GL$7&lt;=$AB59,GL$7&gt;$AB59-TIME(0,TimeIncr,0)),AND(GL$7&lt;=$AD59,GL$7&gt;$AD59-TIME(0,TimeIncr,0)),AND(GL$7&lt;=$AF59,GL$7&gt;$AF59-TIME(0,TimeIncr,0)),AND(GL$7&lt;=$AH59,GL$7&gt;$AH59-TIME(0,TimeIncr,0)),AND(GL$7&lt;=$AJ59,GL$7&gt;$AJ59-TIME(0,TimeIncr,0))),$E59*$L59,IF(OR(AND(GL$7&gt;=$M59,GL$7&lt;=$N59),AND(GL$7&gt;=$O59,GL$7&lt;=$P59),AND(GL$7&gt;=$Q59,GL$7&lt;=$R59),AND(GL$7&gt;=$S59,GL$7&lt;=$T59),AND(GL$7&gt;=$U59,GL$7&lt;=$V59),AND(GL$7&gt;=$W59,GL$7&lt;=$X59),AND(GL$7&gt;=$Y59,GL$7&lt;=$Z59),AND(GL$7&gt;=$AA59,GL$7&lt;=$AB59),AND(GL$7&gt;=$AC59,GL$7&lt;=$AD59),AND(GL$7&gt;=$AE59,GL$7&lt;=$AF59),AND(GL$7&gt;=$AG59,GL$7&lt;=$AH59),AND(GL$7&gt;=$AI59,GL$7&lt;=$AJ59)),0,IF(OR(AND($M59&gt;$N59,GL$7&lt;=$N59),AND($O59&gt;$P59,GL$7&lt;=$P59),AND($Q59&gt;$R59,GL$7&lt;=$R59),AND($S59&gt;$T59,GL$7&lt;=$T59),AND($U59&gt;$V59,GL$7&lt;=$V59),AND($W59&gt;$X59,GL$7&lt;=$X59),AND($Y59&gt;$Z59,GL$7&lt;=$Z59),AND($AA59&gt;$AB59,GL$7&lt;=$AB59),AND($AC59&gt;$AD59,GL$7&lt;=$AD59),AND($AE59&gt;$AF59,GL$7&lt;=$AF59),AND($AG59&gt;$AH59,GL$7&lt;=$AH59),AND($AI59&gt;$AJ59,GL$7&lt;=$AJ59)),0,IF(OR(AND(GL$7&gt;=$M59,$M59&gt;$N59),AND(GL$7&gt;=$O59,$O59&gt;$P59),AND(GL$7&gt;=$Q59,$Q59&gt;$R59),AND(GL$7&gt;=$S59,$S59&gt;$T59),AND(GL$7&gt;=$U59,$U59&gt;$V59),AND(GL$7&gt;=$W59,$W59&gt;$X59),AND(GL$7&gt;=$Y59,$Y59&gt;$Z59),AND(GL$7&gt;=$AA59,$AA59&gt;$AB59),AND(GL$7&gt;=$AC59,$AC59&gt;$AD59),AND(GL$7&gt;=$AE59,$AE59&gt;$AF59),AND(GL$7&gt;=$AG59,$AG59&gt;$AH59),AND(GL$7&gt;=$AI59,$AI59&gt;$AJ59)),0,$E59)))))</f>
        <v>0</v>
      </c>
      <c r="GM59" s="409">
        <f t="shared" si="158"/>
        <v>0</v>
      </c>
      <c r="GN59" s="409">
        <f t="shared" si="158"/>
        <v>0</v>
      </c>
      <c r="GO59" s="409">
        <f t="shared" si="158"/>
        <v>0</v>
      </c>
      <c r="GP59" s="409">
        <f t="shared" si="158"/>
        <v>0</v>
      </c>
      <c r="GQ59" s="409">
        <f t="shared" si="114"/>
        <v>0</v>
      </c>
      <c r="GR59" s="409">
        <f t="shared" si="114"/>
        <v>0</v>
      </c>
      <c r="GS59" s="409">
        <f t="shared" si="114"/>
        <v>0</v>
      </c>
      <c r="GT59" s="409">
        <f t="shared" si="114"/>
        <v>0</v>
      </c>
      <c r="GU59" s="409">
        <f t="shared" si="114"/>
        <v>0</v>
      </c>
      <c r="GV59" s="409">
        <f t="shared" ref="GQ59:GZ63" si="159">IF(ISNA(GV$7),"",IF(OR(AND(GV$7&lt;=$N59,GV$7&gt;$N59-TIME(0,TimeIncr,0)),AND(GV$7&lt;=$P59,GV$7&gt;$P59-TIME(0,TimeIncr,0)),AND(GV$7&lt;=$R59,GV$7&gt;$R59-TIME(0,TimeIncr,0)),AND(GV$7&lt;=$T59,GV$7&gt;$T59-TIME(0,TimeIncr,0)),AND(GV$7&lt;=$V59,GV$7&gt;$V59-TIME(0,TimeIncr,0)),AND(GV$7&lt;=$X59,GV$7&gt;$X59-TIME(0,TimeIncr,0)),AND(GV$7&lt;=$Z59,GV$7&gt;$Z59-TIME(0,TimeIncr,0)),AND(GV$7&lt;=$AB59,GV$7&gt;$AB59-TIME(0,TimeIncr,0)),AND(GV$7&lt;=$AD59,GV$7&gt;$AD59-TIME(0,TimeIncr,0)),AND(GV$7&lt;=$AF59,GV$7&gt;$AF59-TIME(0,TimeIncr,0)),AND(GV$7&lt;=$AH59,GV$7&gt;$AH59-TIME(0,TimeIncr,0)),AND(GV$7&lt;=$AJ59,GV$7&gt;$AJ59-TIME(0,TimeIncr,0))),$E59*$L59,IF(OR(AND(GV$7&gt;=$M59,GV$7&lt;=$N59),AND(GV$7&gt;=$O59,GV$7&lt;=$P59),AND(GV$7&gt;=$Q59,GV$7&lt;=$R59),AND(GV$7&gt;=$S59,GV$7&lt;=$T59),AND(GV$7&gt;=$U59,GV$7&lt;=$V59),AND(GV$7&gt;=$W59,GV$7&lt;=$X59),AND(GV$7&gt;=$Y59,GV$7&lt;=$Z59),AND(GV$7&gt;=$AA59,GV$7&lt;=$AB59),AND(GV$7&gt;=$AC59,GV$7&lt;=$AD59),AND(GV$7&gt;=$AE59,GV$7&lt;=$AF59),AND(GV$7&gt;=$AG59,GV$7&lt;=$AH59),AND(GV$7&gt;=$AI59,GV$7&lt;=$AJ59)),0,IF(OR(AND($M59&gt;$N59,GV$7&lt;=$N59),AND($O59&gt;$P59,GV$7&lt;=$P59),AND($Q59&gt;$R59,GV$7&lt;=$R59),AND($S59&gt;$T59,GV$7&lt;=$T59),AND($U59&gt;$V59,GV$7&lt;=$V59),AND($W59&gt;$X59,GV$7&lt;=$X59),AND($Y59&gt;$Z59,GV$7&lt;=$Z59),AND($AA59&gt;$AB59,GV$7&lt;=$AB59),AND($AC59&gt;$AD59,GV$7&lt;=$AD59),AND($AE59&gt;$AF59,GV$7&lt;=$AF59),AND($AG59&gt;$AH59,GV$7&lt;=$AH59),AND($AI59&gt;$AJ59,GV$7&lt;=$AJ59)),0,IF(OR(AND(GV$7&gt;=$M59,$M59&gt;$N59),AND(GV$7&gt;=$O59,$O59&gt;$P59),AND(GV$7&gt;=$Q59,$Q59&gt;$R59),AND(GV$7&gt;=$S59,$S59&gt;$T59),AND(GV$7&gt;=$U59,$U59&gt;$V59),AND(GV$7&gt;=$W59,$W59&gt;$X59),AND(GV$7&gt;=$Y59,$Y59&gt;$Z59),AND(GV$7&gt;=$AA59,$AA59&gt;$AB59),AND(GV$7&gt;=$AC59,$AC59&gt;$AD59),AND(GV$7&gt;=$AE59,$AE59&gt;$AF59),AND(GV$7&gt;=$AG59,$AG59&gt;$AH59),AND(GV$7&gt;=$AI59,$AI59&gt;$AJ59)),0,$E59)))))</f>
        <v>0</v>
      </c>
      <c r="GW59" s="409">
        <f t="shared" si="159"/>
        <v>0</v>
      </c>
      <c r="GX59" s="409">
        <f t="shared" si="159"/>
        <v>0</v>
      </c>
      <c r="GY59" s="409">
        <f t="shared" si="159"/>
        <v>0</v>
      </c>
      <c r="GZ59" s="409">
        <f t="shared" si="159"/>
        <v>0</v>
      </c>
      <c r="HA59" s="409">
        <f t="shared" si="115"/>
        <v>0</v>
      </c>
      <c r="HB59" s="409">
        <f t="shared" si="115"/>
        <v>0</v>
      </c>
      <c r="HC59" s="409">
        <f t="shared" si="115"/>
        <v>0</v>
      </c>
      <c r="HD59" s="409">
        <f t="shared" si="115"/>
        <v>0</v>
      </c>
      <c r="HE59" s="409">
        <f t="shared" si="115"/>
        <v>0</v>
      </c>
      <c r="HF59" s="409">
        <f t="shared" ref="HA59:HJ63" si="160">IF(ISNA(HF$7),"",IF(OR(AND(HF$7&lt;=$N59,HF$7&gt;$N59-TIME(0,TimeIncr,0)),AND(HF$7&lt;=$P59,HF$7&gt;$P59-TIME(0,TimeIncr,0)),AND(HF$7&lt;=$R59,HF$7&gt;$R59-TIME(0,TimeIncr,0)),AND(HF$7&lt;=$T59,HF$7&gt;$T59-TIME(0,TimeIncr,0)),AND(HF$7&lt;=$V59,HF$7&gt;$V59-TIME(0,TimeIncr,0)),AND(HF$7&lt;=$X59,HF$7&gt;$X59-TIME(0,TimeIncr,0)),AND(HF$7&lt;=$Z59,HF$7&gt;$Z59-TIME(0,TimeIncr,0)),AND(HF$7&lt;=$AB59,HF$7&gt;$AB59-TIME(0,TimeIncr,0)),AND(HF$7&lt;=$AD59,HF$7&gt;$AD59-TIME(0,TimeIncr,0)),AND(HF$7&lt;=$AF59,HF$7&gt;$AF59-TIME(0,TimeIncr,0)),AND(HF$7&lt;=$AH59,HF$7&gt;$AH59-TIME(0,TimeIncr,0)),AND(HF$7&lt;=$AJ59,HF$7&gt;$AJ59-TIME(0,TimeIncr,0))),$E59*$L59,IF(OR(AND(HF$7&gt;=$M59,HF$7&lt;=$N59),AND(HF$7&gt;=$O59,HF$7&lt;=$P59),AND(HF$7&gt;=$Q59,HF$7&lt;=$R59),AND(HF$7&gt;=$S59,HF$7&lt;=$T59),AND(HF$7&gt;=$U59,HF$7&lt;=$V59),AND(HF$7&gt;=$W59,HF$7&lt;=$X59),AND(HF$7&gt;=$Y59,HF$7&lt;=$Z59),AND(HF$7&gt;=$AA59,HF$7&lt;=$AB59),AND(HF$7&gt;=$AC59,HF$7&lt;=$AD59),AND(HF$7&gt;=$AE59,HF$7&lt;=$AF59),AND(HF$7&gt;=$AG59,HF$7&lt;=$AH59),AND(HF$7&gt;=$AI59,HF$7&lt;=$AJ59)),0,IF(OR(AND($M59&gt;$N59,HF$7&lt;=$N59),AND($O59&gt;$P59,HF$7&lt;=$P59),AND($Q59&gt;$R59,HF$7&lt;=$R59),AND($S59&gt;$T59,HF$7&lt;=$T59),AND($U59&gt;$V59,HF$7&lt;=$V59),AND($W59&gt;$X59,HF$7&lt;=$X59),AND($Y59&gt;$Z59,HF$7&lt;=$Z59),AND($AA59&gt;$AB59,HF$7&lt;=$AB59),AND($AC59&gt;$AD59,HF$7&lt;=$AD59),AND($AE59&gt;$AF59,HF$7&lt;=$AF59),AND($AG59&gt;$AH59,HF$7&lt;=$AH59),AND($AI59&gt;$AJ59,HF$7&lt;=$AJ59)),0,IF(OR(AND(HF$7&gt;=$M59,$M59&gt;$N59),AND(HF$7&gt;=$O59,$O59&gt;$P59),AND(HF$7&gt;=$Q59,$Q59&gt;$R59),AND(HF$7&gt;=$S59,$S59&gt;$T59),AND(HF$7&gt;=$U59,$U59&gt;$V59),AND(HF$7&gt;=$W59,$W59&gt;$X59),AND(HF$7&gt;=$Y59,$Y59&gt;$Z59),AND(HF$7&gt;=$AA59,$AA59&gt;$AB59),AND(HF$7&gt;=$AC59,$AC59&gt;$AD59),AND(HF$7&gt;=$AE59,$AE59&gt;$AF59),AND(HF$7&gt;=$AG59,$AG59&gt;$AH59),AND(HF$7&gt;=$AI59,$AI59&gt;$AJ59)),0,$E59)))))</f>
        <v>0</v>
      </c>
      <c r="HG59" s="409">
        <f t="shared" si="160"/>
        <v>0</v>
      </c>
      <c r="HH59" s="409">
        <f t="shared" si="160"/>
        <v>0</v>
      </c>
      <c r="HI59" s="409">
        <f t="shared" si="160"/>
        <v>0</v>
      </c>
      <c r="HJ59" s="409">
        <f t="shared" si="160"/>
        <v>0</v>
      </c>
      <c r="HK59" s="409">
        <f t="shared" si="116"/>
        <v>0</v>
      </c>
      <c r="HL59" s="409">
        <f t="shared" si="116"/>
        <v>0</v>
      </c>
      <c r="HM59" s="409">
        <f t="shared" si="116"/>
        <v>0</v>
      </c>
      <c r="HN59" s="409">
        <f t="shared" si="116"/>
        <v>0</v>
      </c>
      <c r="HO59" s="409">
        <f t="shared" si="116"/>
        <v>0</v>
      </c>
      <c r="HP59" s="409">
        <f t="shared" ref="HK59:HT63" si="161">IF(ISNA(HP$7),"",IF(OR(AND(HP$7&lt;=$N59,HP$7&gt;$N59-TIME(0,TimeIncr,0)),AND(HP$7&lt;=$P59,HP$7&gt;$P59-TIME(0,TimeIncr,0)),AND(HP$7&lt;=$R59,HP$7&gt;$R59-TIME(0,TimeIncr,0)),AND(HP$7&lt;=$T59,HP$7&gt;$T59-TIME(0,TimeIncr,0)),AND(HP$7&lt;=$V59,HP$7&gt;$V59-TIME(0,TimeIncr,0)),AND(HP$7&lt;=$X59,HP$7&gt;$X59-TIME(0,TimeIncr,0)),AND(HP$7&lt;=$Z59,HP$7&gt;$Z59-TIME(0,TimeIncr,0)),AND(HP$7&lt;=$AB59,HP$7&gt;$AB59-TIME(0,TimeIncr,0)),AND(HP$7&lt;=$AD59,HP$7&gt;$AD59-TIME(0,TimeIncr,0)),AND(HP$7&lt;=$AF59,HP$7&gt;$AF59-TIME(0,TimeIncr,0)),AND(HP$7&lt;=$AH59,HP$7&gt;$AH59-TIME(0,TimeIncr,0)),AND(HP$7&lt;=$AJ59,HP$7&gt;$AJ59-TIME(0,TimeIncr,0))),$E59*$L59,IF(OR(AND(HP$7&gt;=$M59,HP$7&lt;=$N59),AND(HP$7&gt;=$O59,HP$7&lt;=$P59),AND(HP$7&gt;=$Q59,HP$7&lt;=$R59),AND(HP$7&gt;=$S59,HP$7&lt;=$T59),AND(HP$7&gt;=$U59,HP$7&lt;=$V59),AND(HP$7&gt;=$W59,HP$7&lt;=$X59),AND(HP$7&gt;=$Y59,HP$7&lt;=$Z59),AND(HP$7&gt;=$AA59,HP$7&lt;=$AB59),AND(HP$7&gt;=$AC59,HP$7&lt;=$AD59),AND(HP$7&gt;=$AE59,HP$7&lt;=$AF59),AND(HP$7&gt;=$AG59,HP$7&lt;=$AH59),AND(HP$7&gt;=$AI59,HP$7&lt;=$AJ59)),0,IF(OR(AND($M59&gt;$N59,HP$7&lt;=$N59),AND($O59&gt;$P59,HP$7&lt;=$P59),AND($Q59&gt;$R59,HP$7&lt;=$R59),AND($S59&gt;$T59,HP$7&lt;=$T59),AND($U59&gt;$V59,HP$7&lt;=$V59),AND($W59&gt;$X59,HP$7&lt;=$X59),AND($Y59&gt;$Z59,HP$7&lt;=$Z59),AND($AA59&gt;$AB59,HP$7&lt;=$AB59),AND($AC59&gt;$AD59,HP$7&lt;=$AD59),AND($AE59&gt;$AF59,HP$7&lt;=$AF59),AND($AG59&gt;$AH59,HP$7&lt;=$AH59),AND($AI59&gt;$AJ59,HP$7&lt;=$AJ59)),0,IF(OR(AND(HP$7&gt;=$M59,$M59&gt;$N59),AND(HP$7&gt;=$O59,$O59&gt;$P59),AND(HP$7&gt;=$Q59,$Q59&gt;$R59),AND(HP$7&gt;=$S59,$S59&gt;$T59),AND(HP$7&gt;=$U59,$U59&gt;$V59),AND(HP$7&gt;=$W59,$W59&gt;$X59),AND(HP$7&gt;=$Y59,$Y59&gt;$Z59),AND(HP$7&gt;=$AA59,$AA59&gt;$AB59),AND(HP$7&gt;=$AC59,$AC59&gt;$AD59),AND(HP$7&gt;=$AE59,$AE59&gt;$AF59),AND(HP$7&gt;=$AG59,$AG59&gt;$AH59),AND(HP$7&gt;=$AI59,$AI59&gt;$AJ59)),0,$E59)))))</f>
        <v>0</v>
      </c>
      <c r="HQ59" s="409">
        <f t="shared" si="161"/>
        <v>0</v>
      </c>
      <c r="HR59" s="409">
        <f t="shared" si="161"/>
        <v>0</v>
      </c>
      <c r="HS59" s="409">
        <f t="shared" si="161"/>
        <v>0</v>
      </c>
      <c r="HT59" s="409">
        <f t="shared" si="161"/>
        <v>0</v>
      </c>
      <c r="HU59" s="409">
        <f t="shared" si="117"/>
        <v>0</v>
      </c>
      <c r="HV59" s="409">
        <f t="shared" si="117"/>
        <v>0</v>
      </c>
      <c r="HW59" s="409">
        <f t="shared" si="117"/>
        <v>0</v>
      </c>
      <c r="HX59" s="409">
        <f t="shared" si="117"/>
        <v>0</v>
      </c>
      <c r="HY59" s="409">
        <f t="shared" si="117"/>
        <v>0</v>
      </c>
      <c r="HZ59" s="409">
        <f t="shared" ref="HU59:ID63" si="162">IF(ISNA(HZ$7),"",IF(OR(AND(HZ$7&lt;=$N59,HZ$7&gt;$N59-TIME(0,TimeIncr,0)),AND(HZ$7&lt;=$P59,HZ$7&gt;$P59-TIME(0,TimeIncr,0)),AND(HZ$7&lt;=$R59,HZ$7&gt;$R59-TIME(0,TimeIncr,0)),AND(HZ$7&lt;=$T59,HZ$7&gt;$T59-TIME(0,TimeIncr,0)),AND(HZ$7&lt;=$V59,HZ$7&gt;$V59-TIME(0,TimeIncr,0)),AND(HZ$7&lt;=$X59,HZ$7&gt;$X59-TIME(0,TimeIncr,0)),AND(HZ$7&lt;=$Z59,HZ$7&gt;$Z59-TIME(0,TimeIncr,0)),AND(HZ$7&lt;=$AB59,HZ$7&gt;$AB59-TIME(0,TimeIncr,0)),AND(HZ$7&lt;=$AD59,HZ$7&gt;$AD59-TIME(0,TimeIncr,0)),AND(HZ$7&lt;=$AF59,HZ$7&gt;$AF59-TIME(0,TimeIncr,0)),AND(HZ$7&lt;=$AH59,HZ$7&gt;$AH59-TIME(0,TimeIncr,0)),AND(HZ$7&lt;=$AJ59,HZ$7&gt;$AJ59-TIME(0,TimeIncr,0))),$E59*$L59,IF(OR(AND(HZ$7&gt;=$M59,HZ$7&lt;=$N59),AND(HZ$7&gt;=$O59,HZ$7&lt;=$P59),AND(HZ$7&gt;=$Q59,HZ$7&lt;=$R59),AND(HZ$7&gt;=$S59,HZ$7&lt;=$T59),AND(HZ$7&gt;=$U59,HZ$7&lt;=$V59),AND(HZ$7&gt;=$W59,HZ$7&lt;=$X59),AND(HZ$7&gt;=$Y59,HZ$7&lt;=$Z59),AND(HZ$7&gt;=$AA59,HZ$7&lt;=$AB59),AND(HZ$7&gt;=$AC59,HZ$7&lt;=$AD59),AND(HZ$7&gt;=$AE59,HZ$7&lt;=$AF59),AND(HZ$7&gt;=$AG59,HZ$7&lt;=$AH59),AND(HZ$7&gt;=$AI59,HZ$7&lt;=$AJ59)),0,IF(OR(AND($M59&gt;$N59,HZ$7&lt;=$N59),AND($O59&gt;$P59,HZ$7&lt;=$P59),AND($Q59&gt;$R59,HZ$7&lt;=$R59),AND($S59&gt;$T59,HZ$7&lt;=$T59),AND($U59&gt;$V59,HZ$7&lt;=$V59),AND($W59&gt;$X59,HZ$7&lt;=$X59),AND($Y59&gt;$Z59,HZ$7&lt;=$Z59),AND($AA59&gt;$AB59,HZ$7&lt;=$AB59),AND($AC59&gt;$AD59,HZ$7&lt;=$AD59),AND($AE59&gt;$AF59,HZ$7&lt;=$AF59),AND($AG59&gt;$AH59,HZ$7&lt;=$AH59),AND($AI59&gt;$AJ59,HZ$7&lt;=$AJ59)),0,IF(OR(AND(HZ$7&gt;=$M59,$M59&gt;$N59),AND(HZ$7&gt;=$O59,$O59&gt;$P59),AND(HZ$7&gt;=$Q59,$Q59&gt;$R59),AND(HZ$7&gt;=$S59,$S59&gt;$T59),AND(HZ$7&gt;=$U59,$U59&gt;$V59),AND(HZ$7&gt;=$W59,$W59&gt;$X59),AND(HZ$7&gt;=$Y59,$Y59&gt;$Z59),AND(HZ$7&gt;=$AA59,$AA59&gt;$AB59),AND(HZ$7&gt;=$AC59,$AC59&gt;$AD59),AND(HZ$7&gt;=$AE59,$AE59&gt;$AF59),AND(HZ$7&gt;=$AG59,$AG59&gt;$AH59),AND(HZ$7&gt;=$AI59,$AI59&gt;$AJ59)),0,$E59)))))</f>
        <v>0</v>
      </c>
      <c r="IA59" s="409">
        <f t="shared" si="162"/>
        <v>0</v>
      </c>
      <c r="IB59" s="409">
        <f t="shared" si="162"/>
        <v>0</v>
      </c>
      <c r="IC59" s="409">
        <f t="shared" si="162"/>
        <v>0</v>
      </c>
      <c r="ID59" s="409">
        <f t="shared" si="162"/>
        <v>0</v>
      </c>
      <c r="IE59" s="409">
        <f t="shared" si="118"/>
        <v>0</v>
      </c>
      <c r="IF59" s="409">
        <f t="shared" si="118"/>
        <v>0</v>
      </c>
      <c r="IG59" s="409">
        <f t="shared" si="118"/>
        <v>0</v>
      </c>
      <c r="IH59" s="409">
        <f t="shared" si="118"/>
        <v>0</v>
      </c>
      <c r="II59" s="409">
        <f t="shared" si="118"/>
        <v>0</v>
      </c>
      <c r="IJ59" s="409">
        <f t="shared" si="118"/>
        <v>0</v>
      </c>
      <c r="IK59" s="378">
        <f t="shared" si="54"/>
        <v>52</v>
      </c>
    </row>
    <row r="60" spans="1:245" hidden="1" x14ac:dyDescent="0.2">
      <c r="A60" s="380" t="str">
        <f t="shared" si="119"/>
        <v>e</v>
      </c>
      <c r="B60" s="712" t="str" cm="1">
        <f t="array" ref="B60">IF(ISERROR(INDEX('Legend(Skid)'!$H$8:$H$9,ROW()-42)),"",INDEX('Legend(Skid)'!$H$8:$H$9,ROW()-42))</f>
        <v/>
      </c>
      <c r="C60" s="712" t="e" cm="1">
        <f t="array" ref="C60">IF(INDEX('Legend(Skid)'!$T$8:$T$9,ROW()-42)=0,"See Legend",INDEX('Legend(Skid)'!$T$8:$T$9,ROW()-42))</f>
        <v>#REF!</v>
      </c>
      <c r="D60" s="712" t="e">
        <f>IF(INDEX('Legend(Skid)'!$R$8:$R$9,(ROW(C60))-42)=0,IF(AND(INDEX('Legend(Skid)'!$D$8:$D$9,(ROW(C60))-41)="CH",INDEX('Legend(Skid)'!$F$8:$F$9,(ROW(C60))-41)="CASE - MANUAL"),INDEX('Legend(Skid)'!$R$8:$R$9,(ROW(C60))-41),IF(INDEX('Legend(Skid)'!$V$8:$V$9,(ROW(C60))-42)&gt;1, "(" &amp; INDEX('Legend(Skid)'!$V$8:$V$9,(ROW(C60))-42) &amp; ") " &amp; INDEX('Legend(Skid)'!$W$8:$W$9,(ROW(C60))-41),INDEX('Legend(Skid)'!$W$8:$W$9,(ROW(C60))-42))),INDEX('Legend(Skid)'!$R$8:$R$9,(ROW(C60))-42))</f>
        <v>#REF!</v>
      </c>
      <c r="E60" s="713" cm="1">
        <f t="array" ref="E60">IF(OR(ISNUMBER(SEARCH("Pump",C60)),ISNUMBER(SEARCH("PH",C60)),ISERROR(INDEX('Legend(Skid)'!$AA$8:$AA$9,ROW()-42))),0,INDEX('Legend(Skid)'!$AA$8:$AA$9,ROW()-42))</f>
        <v>0</v>
      </c>
      <c r="F60" s="714"/>
      <c r="G60" s="714"/>
      <c r="H60" s="714"/>
      <c r="I60" s="714"/>
      <c r="J60" s="714"/>
      <c r="K60" s="890">
        <f t="shared" si="35"/>
        <v>0</v>
      </c>
      <c r="L60" s="718"/>
      <c r="M60" s="719"/>
      <c r="N60" s="972">
        <f t="shared" si="120"/>
        <v>-1</v>
      </c>
      <c r="O60" s="972">
        <f t="shared" si="121"/>
        <v>-1</v>
      </c>
      <c r="P60" s="972">
        <f t="shared" si="122"/>
        <v>-1</v>
      </c>
      <c r="Q60" s="972">
        <f t="shared" si="123"/>
        <v>-1</v>
      </c>
      <c r="R60" s="972">
        <f t="shared" si="124"/>
        <v>-1</v>
      </c>
      <c r="S60" s="972">
        <f t="shared" si="125"/>
        <v>-1</v>
      </c>
      <c r="T60" s="972">
        <f t="shared" si="126"/>
        <v>-1</v>
      </c>
      <c r="U60" s="972">
        <f t="shared" si="127"/>
        <v>-1</v>
      </c>
      <c r="V60" s="972">
        <f t="shared" si="128"/>
        <v>-1</v>
      </c>
      <c r="W60" s="972">
        <f t="shared" si="129"/>
        <v>-1</v>
      </c>
      <c r="X60" s="972">
        <f t="shared" si="130"/>
        <v>-1</v>
      </c>
      <c r="Y60" s="972">
        <f t="shared" si="131"/>
        <v>-1</v>
      </c>
      <c r="Z60" s="972">
        <f t="shared" si="132"/>
        <v>-1</v>
      </c>
      <c r="AA60" s="972">
        <f t="shared" si="133"/>
        <v>-1</v>
      </c>
      <c r="AB60" s="972">
        <f t="shared" si="134"/>
        <v>-1</v>
      </c>
      <c r="AC60" s="972">
        <f t="shared" si="135"/>
        <v>-1</v>
      </c>
      <c r="AD60" s="972">
        <f t="shared" si="136"/>
        <v>-1</v>
      </c>
      <c r="AE60" s="972">
        <f t="shared" si="137"/>
        <v>-1</v>
      </c>
      <c r="AF60" s="972">
        <f t="shared" si="138"/>
        <v>-1</v>
      </c>
      <c r="AG60" s="972">
        <f t="shared" si="139"/>
        <v>-1</v>
      </c>
      <c r="AH60" s="972">
        <f t="shared" si="140"/>
        <v>-1</v>
      </c>
      <c r="AI60" s="972">
        <f t="shared" si="141"/>
        <v>-1</v>
      </c>
      <c r="AJ60" s="972">
        <f t="shared" si="142"/>
        <v>-1</v>
      </c>
      <c r="AK60" s="381" t="str">
        <f>IF(ISERROR(INDEX('Legend(Skid)'!$AI$8:$AI$9,ROW()-42)),"",INDEX('Legend(Skid)'!$AI$8:$AI$9,ROW()-42))</f>
        <v/>
      </c>
      <c r="AL60" s="727" t="str">
        <f t="shared" si="53"/>
        <v/>
      </c>
      <c r="AM60" s="409">
        <f t="shared" si="143"/>
        <v>0</v>
      </c>
      <c r="AN60" s="409">
        <f t="shared" si="143"/>
        <v>0</v>
      </c>
      <c r="AO60" s="409">
        <f t="shared" si="143"/>
        <v>0</v>
      </c>
      <c r="AP60" s="409">
        <f t="shared" si="143"/>
        <v>0</v>
      </c>
      <c r="AQ60" s="409">
        <f t="shared" si="143"/>
        <v>0</v>
      </c>
      <c r="AR60" s="409">
        <f t="shared" si="143"/>
        <v>0</v>
      </c>
      <c r="AS60" s="409">
        <f t="shared" si="143"/>
        <v>0</v>
      </c>
      <c r="AT60" s="409">
        <f t="shared" si="143"/>
        <v>0</v>
      </c>
      <c r="AU60" s="409">
        <f t="shared" si="143"/>
        <v>0</v>
      </c>
      <c r="AV60" s="409">
        <f t="shared" si="143"/>
        <v>0</v>
      </c>
      <c r="AW60" s="409">
        <f t="shared" si="144"/>
        <v>0</v>
      </c>
      <c r="AX60" s="409">
        <f t="shared" si="144"/>
        <v>0</v>
      </c>
      <c r="AY60" s="409">
        <f t="shared" si="144"/>
        <v>0</v>
      </c>
      <c r="AZ60" s="409">
        <f t="shared" si="144"/>
        <v>0</v>
      </c>
      <c r="BA60" s="409">
        <f t="shared" si="144"/>
        <v>0</v>
      </c>
      <c r="BB60" s="409">
        <f t="shared" si="144"/>
        <v>0</v>
      </c>
      <c r="BC60" s="409">
        <f t="shared" si="144"/>
        <v>0</v>
      </c>
      <c r="BD60" s="409">
        <f t="shared" si="144"/>
        <v>0</v>
      </c>
      <c r="BE60" s="409">
        <f t="shared" si="144"/>
        <v>0</v>
      </c>
      <c r="BF60" s="409">
        <f t="shared" si="144"/>
        <v>0</v>
      </c>
      <c r="BG60" s="409">
        <f t="shared" si="145"/>
        <v>0</v>
      </c>
      <c r="BH60" s="409">
        <f t="shared" si="145"/>
        <v>0</v>
      </c>
      <c r="BI60" s="409">
        <f t="shared" si="145"/>
        <v>0</v>
      </c>
      <c r="BJ60" s="409">
        <f t="shared" si="145"/>
        <v>0</v>
      </c>
      <c r="BK60" s="409">
        <f t="shared" si="145"/>
        <v>0</v>
      </c>
      <c r="BL60" s="409">
        <f t="shared" si="145"/>
        <v>0</v>
      </c>
      <c r="BM60" s="409">
        <f t="shared" si="145"/>
        <v>0</v>
      </c>
      <c r="BN60" s="409">
        <f t="shared" si="145"/>
        <v>0</v>
      </c>
      <c r="BO60" s="409">
        <f t="shared" si="145"/>
        <v>0</v>
      </c>
      <c r="BP60" s="409">
        <f t="shared" si="145"/>
        <v>0</v>
      </c>
      <c r="BQ60" s="409">
        <f t="shared" si="146"/>
        <v>0</v>
      </c>
      <c r="BR60" s="409">
        <f t="shared" si="146"/>
        <v>0</v>
      </c>
      <c r="BS60" s="409">
        <f t="shared" si="146"/>
        <v>0</v>
      </c>
      <c r="BT60" s="409">
        <f t="shared" si="146"/>
        <v>0</v>
      </c>
      <c r="BU60" s="409">
        <f t="shared" si="146"/>
        <v>0</v>
      </c>
      <c r="BV60" s="409">
        <f t="shared" si="146"/>
        <v>0</v>
      </c>
      <c r="BW60" s="409">
        <f t="shared" si="146"/>
        <v>0</v>
      </c>
      <c r="BX60" s="409">
        <f t="shared" si="146"/>
        <v>0</v>
      </c>
      <c r="BY60" s="409">
        <f t="shared" si="146"/>
        <v>0</v>
      </c>
      <c r="BZ60" s="409">
        <f t="shared" si="146"/>
        <v>0</v>
      </c>
      <c r="CA60" s="409">
        <f t="shared" si="147"/>
        <v>0</v>
      </c>
      <c r="CB60" s="409">
        <f t="shared" si="147"/>
        <v>0</v>
      </c>
      <c r="CC60" s="409">
        <f t="shared" si="147"/>
        <v>0</v>
      </c>
      <c r="CD60" s="409">
        <f t="shared" si="147"/>
        <v>0</v>
      </c>
      <c r="CE60" s="409">
        <f t="shared" si="147"/>
        <v>0</v>
      </c>
      <c r="CF60" s="409">
        <f t="shared" si="147"/>
        <v>0</v>
      </c>
      <c r="CG60" s="409">
        <f t="shared" si="147"/>
        <v>0</v>
      </c>
      <c r="CH60" s="409">
        <f t="shared" si="147"/>
        <v>0</v>
      </c>
      <c r="CI60" s="409">
        <f t="shared" si="147"/>
        <v>0</v>
      </c>
      <c r="CJ60" s="409">
        <f t="shared" si="147"/>
        <v>0</v>
      </c>
      <c r="CK60" s="409">
        <f t="shared" si="148"/>
        <v>0</v>
      </c>
      <c r="CL60" s="409">
        <f t="shared" si="148"/>
        <v>0</v>
      </c>
      <c r="CM60" s="409">
        <f t="shared" si="148"/>
        <v>0</v>
      </c>
      <c r="CN60" s="409">
        <f t="shared" si="148"/>
        <v>0</v>
      </c>
      <c r="CO60" s="409">
        <f t="shared" si="148"/>
        <v>0</v>
      </c>
      <c r="CP60" s="409">
        <f t="shared" si="148"/>
        <v>0</v>
      </c>
      <c r="CQ60" s="409">
        <f t="shared" si="148"/>
        <v>0</v>
      </c>
      <c r="CR60" s="409">
        <f t="shared" si="148"/>
        <v>0</v>
      </c>
      <c r="CS60" s="409">
        <f t="shared" si="148"/>
        <v>0</v>
      </c>
      <c r="CT60" s="409">
        <f t="shared" si="148"/>
        <v>0</v>
      </c>
      <c r="CU60" s="409">
        <f t="shared" si="149"/>
        <v>0</v>
      </c>
      <c r="CV60" s="409">
        <f t="shared" si="149"/>
        <v>0</v>
      </c>
      <c r="CW60" s="409">
        <f t="shared" si="149"/>
        <v>0</v>
      </c>
      <c r="CX60" s="409">
        <f t="shared" si="149"/>
        <v>0</v>
      </c>
      <c r="CY60" s="409">
        <f t="shared" si="149"/>
        <v>0</v>
      </c>
      <c r="CZ60" s="409">
        <f t="shared" si="149"/>
        <v>0</v>
      </c>
      <c r="DA60" s="409">
        <f t="shared" si="149"/>
        <v>0</v>
      </c>
      <c r="DB60" s="409">
        <f t="shared" si="149"/>
        <v>0</v>
      </c>
      <c r="DC60" s="409">
        <f t="shared" si="149"/>
        <v>0</v>
      </c>
      <c r="DD60" s="409">
        <f t="shared" si="149"/>
        <v>0</v>
      </c>
      <c r="DE60" s="409">
        <f t="shared" si="150"/>
        <v>0</v>
      </c>
      <c r="DF60" s="409">
        <f t="shared" si="150"/>
        <v>0</v>
      </c>
      <c r="DG60" s="409">
        <f t="shared" si="150"/>
        <v>0</v>
      </c>
      <c r="DH60" s="409">
        <f t="shared" si="150"/>
        <v>0</v>
      </c>
      <c r="DI60" s="409">
        <f t="shared" si="150"/>
        <v>0</v>
      </c>
      <c r="DJ60" s="409">
        <f t="shared" si="150"/>
        <v>0</v>
      </c>
      <c r="DK60" s="409">
        <f t="shared" si="150"/>
        <v>0</v>
      </c>
      <c r="DL60" s="409">
        <f t="shared" si="150"/>
        <v>0</v>
      </c>
      <c r="DM60" s="409">
        <f t="shared" si="150"/>
        <v>0</v>
      </c>
      <c r="DN60" s="409">
        <f t="shared" si="150"/>
        <v>0</v>
      </c>
      <c r="DO60" s="409">
        <f t="shared" si="151"/>
        <v>0</v>
      </c>
      <c r="DP60" s="409">
        <f t="shared" si="151"/>
        <v>0</v>
      </c>
      <c r="DQ60" s="409">
        <f t="shared" si="151"/>
        <v>0</v>
      </c>
      <c r="DR60" s="409">
        <f t="shared" si="151"/>
        <v>0</v>
      </c>
      <c r="DS60" s="409">
        <f t="shared" si="151"/>
        <v>0</v>
      </c>
      <c r="DT60" s="409">
        <f t="shared" si="151"/>
        <v>0</v>
      </c>
      <c r="DU60" s="409">
        <f t="shared" si="151"/>
        <v>0</v>
      </c>
      <c r="DV60" s="409">
        <f t="shared" si="151"/>
        <v>0</v>
      </c>
      <c r="DW60" s="409">
        <f t="shared" si="151"/>
        <v>0</v>
      </c>
      <c r="DX60" s="409">
        <f t="shared" si="151"/>
        <v>0</v>
      </c>
      <c r="DY60" s="409">
        <f t="shared" si="152"/>
        <v>0</v>
      </c>
      <c r="DZ60" s="409">
        <f t="shared" si="152"/>
        <v>0</v>
      </c>
      <c r="EA60" s="409">
        <f t="shared" si="152"/>
        <v>0</v>
      </c>
      <c r="EB60" s="409">
        <f t="shared" si="152"/>
        <v>0</v>
      </c>
      <c r="EC60" s="409">
        <f t="shared" si="152"/>
        <v>0</v>
      </c>
      <c r="ED60" s="409">
        <f t="shared" si="152"/>
        <v>0</v>
      </c>
      <c r="EE60" s="409">
        <f t="shared" si="152"/>
        <v>0</v>
      </c>
      <c r="EF60" s="409">
        <f t="shared" si="152"/>
        <v>0</v>
      </c>
      <c r="EG60" s="409">
        <f t="shared" si="152"/>
        <v>0</v>
      </c>
      <c r="EH60" s="409">
        <f t="shared" si="152"/>
        <v>0</v>
      </c>
      <c r="EI60" s="409">
        <f t="shared" si="153"/>
        <v>0</v>
      </c>
      <c r="EJ60" s="409">
        <f t="shared" si="153"/>
        <v>0</v>
      </c>
      <c r="EK60" s="409">
        <f t="shared" si="153"/>
        <v>0</v>
      </c>
      <c r="EL60" s="409">
        <f t="shared" si="153"/>
        <v>0</v>
      </c>
      <c r="EM60" s="409">
        <f t="shared" si="153"/>
        <v>0</v>
      </c>
      <c r="EN60" s="409">
        <f t="shared" si="153"/>
        <v>0</v>
      </c>
      <c r="EO60" s="409">
        <f t="shared" si="153"/>
        <v>0</v>
      </c>
      <c r="EP60" s="409">
        <f t="shared" si="153"/>
        <v>0</v>
      </c>
      <c r="EQ60" s="409">
        <f t="shared" si="153"/>
        <v>0</v>
      </c>
      <c r="ER60" s="409">
        <f t="shared" si="153"/>
        <v>0</v>
      </c>
      <c r="ES60" s="409">
        <f t="shared" si="154"/>
        <v>0</v>
      </c>
      <c r="ET60" s="409">
        <f t="shared" si="154"/>
        <v>0</v>
      </c>
      <c r="EU60" s="409">
        <f t="shared" si="154"/>
        <v>0</v>
      </c>
      <c r="EV60" s="409">
        <f t="shared" si="154"/>
        <v>0</v>
      </c>
      <c r="EW60" s="409">
        <f t="shared" si="154"/>
        <v>0</v>
      </c>
      <c r="EX60" s="409">
        <f t="shared" si="154"/>
        <v>0</v>
      </c>
      <c r="EY60" s="409">
        <f t="shared" si="154"/>
        <v>0</v>
      </c>
      <c r="EZ60" s="409">
        <f t="shared" si="154"/>
        <v>0</v>
      </c>
      <c r="FA60" s="409">
        <f t="shared" si="154"/>
        <v>0</v>
      </c>
      <c r="FB60" s="409">
        <f t="shared" si="154"/>
        <v>0</v>
      </c>
      <c r="FC60" s="409">
        <f t="shared" si="155"/>
        <v>0</v>
      </c>
      <c r="FD60" s="409">
        <f t="shared" si="155"/>
        <v>0</v>
      </c>
      <c r="FE60" s="409">
        <f t="shared" si="155"/>
        <v>0</v>
      </c>
      <c r="FF60" s="409">
        <f t="shared" si="155"/>
        <v>0</v>
      </c>
      <c r="FG60" s="409">
        <f t="shared" si="155"/>
        <v>0</v>
      </c>
      <c r="FH60" s="409">
        <f t="shared" si="155"/>
        <v>0</v>
      </c>
      <c r="FI60" s="409">
        <f t="shared" si="155"/>
        <v>0</v>
      </c>
      <c r="FJ60" s="409">
        <f t="shared" si="155"/>
        <v>0</v>
      </c>
      <c r="FK60" s="409">
        <f t="shared" si="155"/>
        <v>0</v>
      </c>
      <c r="FL60" s="409">
        <f t="shared" si="155"/>
        <v>0</v>
      </c>
      <c r="FM60" s="409">
        <f t="shared" si="156"/>
        <v>0</v>
      </c>
      <c r="FN60" s="409">
        <f t="shared" si="156"/>
        <v>0</v>
      </c>
      <c r="FO60" s="409">
        <f t="shared" si="156"/>
        <v>0</v>
      </c>
      <c r="FP60" s="409">
        <f t="shared" si="156"/>
        <v>0</v>
      </c>
      <c r="FQ60" s="409">
        <f t="shared" si="156"/>
        <v>0</v>
      </c>
      <c r="FR60" s="409">
        <f t="shared" si="156"/>
        <v>0</v>
      </c>
      <c r="FS60" s="409">
        <f t="shared" si="156"/>
        <v>0</v>
      </c>
      <c r="FT60" s="409">
        <f t="shared" si="156"/>
        <v>0</v>
      </c>
      <c r="FU60" s="409">
        <f t="shared" si="156"/>
        <v>0</v>
      </c>
      <c r="FV60" s="409">
        <f t="shared" si="156"/>
        <v>0</v>
      </c>
      <c r="FW60" s="409">
        <f t="shared" si="157"/>
        <v>0</v>
      </c>
      <c r="FX60" s="409">
        <f t="shared" si="157"/>
        <v>0</v>
      </c>
      <c r="FY60" s="409">
        <f t="shared" si="157"/>
        <v>0</v>
      </c>
      <c r="FZ60" s="409">
        <f t="shared" si="157"/>
        <v>0</v>
      </c>
      <c r="GA60" s="409">
        <f t="shared" si="157"/>
        <v>0</v>
      </c>
      <c r="GB60" s="409">
        <f t="shared" si="157"/>
        <v>0</v>
      </c>
      <c r="GC60" s="409">
        <f t="shared" si="157"/>
        <v>0</v>
      </c>
      <c r="GD60" s="409">
        <f t="shared" si="157"/>
        <v>0</v>
      </c>
      <c r="GE60" s="409">
        <f t="shared" si="157"/>
        <v>0</v>
      </c>
      <c r="GF60" s="409">
        <f t="shared" si="157"/>
        <v>0</v>
      </c>
      <c r="GG60" s="409">
        <f t="shared" si="158"/>
        <v>0</v>
      </c>
      <c r="GH60" s="409">
        <f t="shared" si="158"/>
        <v>0</v>
      </c>
      <c r="GI60" s="409">
        <f t="shared" si="158"/>
        <v>0</v>
      </c>
      <c r="GJ60" s="409">
        <f t="shared" si="158"/>
        <v>0</v>
      </c>
      <c r="GK60" s="409">
        <f t="shared" si="158"/>
        <v>0</v>
      </c>
      <c r="GL60" s="409">
        <f t="shared" si="158"/>
        <v>0</v>
      </c>
      <c r="GM60" s="409">
        <f t="shared" si="158"/>
        <v>0</v>
      </c>
      <c r="GN60" s="409">
        <f t="shared" si="158"/>
        <v>0</v>
      </c>
      <c r="GO60" s="409">
        <f t="shared" si="158"/>
        <v>0</v>
      </c>
      <c r="GP60" s="409">
        <f t="shared" si="158"/>
        <v>0</v>
      </c>
      <c r="GQ60" s="409">
        <f t="shared" si="159"/>
        <v>0</v>
      </c>
      <c r="GR60" s="409">
        <f t="shared" si="159"/>
        <v>0</v>
      </c>
      <c r="GS60" s="409">
        <f t="shared" si="159"/>
        <v>0</v>
      </c>
      <c r="GT60" s="409">
        <f t="shared" si="159"/>
        <v>0</v>
      </c>
      <c r="GU60" s="409">
        <f t="shared" si="159"/>
        <v>0</v>
      </c>
      <c r="GV60" s="409">
        <f t="shared" si="159"/>
        <v>0</v>
      </c>
      <c r="GW60" s="409">
        <f t="shared" si="159"/>
        <v>0</v>
      </c>
      <c r="GX60" s="409">
        <f t="shared" si="159"/>
        <v>0</v>
      </c>
      <c r="GY60" s="409">
        <f t="shared" si="159"/>
        <v>0</v>
      </c>
      <c r="GZ60" s="409">
        <f t="shared" si="159"/>
        <v>0</v>
      </c>
      <c r="HA60" s="409">
        <f t="shared" si="160"/>
        <v>0</v>
      </c>
      <c r="HB60" s="409">
        <f t="shared" si="160"/>
        <v>0</v>
      </c>
      <c r="HC60" s="409">
        <f t="shared" si="160"/>
        <v>0</v>
      </c>
      <c r="HD60" s="409">
        <f t="shared" si="160"/>
        <v>0</v>
      </c>
      <c r="HE60" s="409">
        <f t="shared" si="160"/>
        <v>0</v>
      </c>
      <c r="HF60" s="409">
        <f t="shared" si="160"/>
        <v>0</v>
      </c>
      <c r="HG60" s="409">
        <f t="shared" si="160"/>
        <v>0</v>
      </c>
      <c r="HH60" s="409">
        <f t="shared" si="160"/>
        <v>0</v>
      </c>
      <c r="HI60" s="409">
        <f t="shared" si="160"/>
        <v>0</v>
      </c>
      <c r="HJ60" s="409">
        <f t="shared" si="160"/>
        <v>0</v>
      </c>
      <c r="HK60" s="409">
        <f t="shared" si="161"/>
        <v>0</v>
      </c>
      <c r="HL60" s="409">
        <f t="shared" si="161"/>
        <v>0</v>
      </c>
      <c r="HM60" s="409">
        <f t="shared" si="161"/>
        <v>0</v>
      </c>
      <c r="HN60" s="409">
        <f t="shared" si="161"/>
        <v>0</v>
      </c>
      <c r="HO60" s="409">
        <f t="shared" si="161"/>
        <v>0</v>
      </c>
      <c r="HP60" s="409">
        <f t="shared" si="161"/>
        <v>0</v>
      </c>
      <c r="HQ60" s="409">
        <f t="shared" si="161"/>
        <v>0</v>
      </c>
      <c r="HR60" s="409">
        <f t="shared" si="161"/>
        <v>0</v>
      </c>
      <c r="HS60" s="409">
        <f t="shared" si="161"/>
        <v>0</v>
      </c>
      <c r="HT60" s="409">
        <f t="shared" si="161"/>
        <v>0</v>
      </c>
      <c r="HU60" s="409">
        <f t="shared" si="162"/>
        <v>0</v>
      </c>
      <c r="HV60" s="409">
        <f t="shared" si="162"/>
        <v>0</v>
      </c>
      <c r="HW60" s="409">
        <f t="shared" si="162"/>
        <v>0</v>
      </c>
      <c r="HX60" s="409">
        <f t="shared" si="162"/>
        <v>0</v>
      </c>
      <c r="HY60" s="409">
        <f t="shared" si="162"/>
        <v>0</v>
      </c>
      <c r="HZ60" s="409">
        <f t="shared" si="162"/>
        <v>0</v>
      </c>
      <c r="IA60" s="409">
        <f t="shared" si="162"/>
        <v>0</v>
      </c>
      <c r="IB60" s="409">
        <f t="shared" si="162"/>
        <v>0</v>
      </c>
      <c r="IC60" s="409">
        <f t="shared" si="162"/>
        <v>0</v>
      </c>
      <c r="ID60" s="409">
        <f t="shared" si="162"/>
        <v>0</v>
      </c>
      <c r="IE60" s="409">
        <f t="shared" si="118"/>
        <v>0</v>
      </c>
      <c r="IF60" s="409">
        <f t="shared" si="118"/>
        <v>0</v>
      </c>
      <c r="IG60" s="409">
        <f t="shared" si="118"/>
        <v>0</v>
      </c>
      <c r="IH60" s="409">
        <f t="shared" si="118"/>
        <v>0</v>
      </c>
      <c r="II60" s="409">
        <f t="shared" si="118"/>
        <v>0</v>
      </c>
      <c r="IJ60" s="409">
        <f t="shared" si="118"/>
        <v>0</v>
      </c>
      <c r="IK60" s="378">
        <f t="shared" si="54"/>
        <v>53</v>
      </c>
    </row>
    <row r="61" spans="1:245" hidden="1" x14ac:dyDescent="0.2">
      <c r="A61" s="380" t="str">
        <f t="shared" si="119"/>
        <v>e</v>
      </c>
      <c r="B61" s="712" t="str" cm="1">
        <f t="array" ref="B61">IF(ISERROR(INDEX('Legend(Skid)'!$H$8:$H$9,ROW()-42)),"",INDEX('Legend(Skid)'!$H$8:$H$9,ROW()-42))</f>
        <v/>
      </c>
      <c r="C61" s="712" t="e" cm="1">
        <f t="array" ref="C61">IF(INDEX('Legend(Skid)'!$T$8:$T$9,ROW()-42)=0,"See Legend",INDEX('Legend(Skid)'!$T$8:$T$9,ROW()-42))</f>
        <v>#REF!</v>
      </c>
      <c r="D61" s="712" t="e">
        <f>IF(INDEX('Legend(Skid)'!$R$8:$R$9,(ROW(C61))-42)=0,IF(AND(INDEX('Legend(Skid)'!$D$8:$D$9,(ROW(C61))-41)="CH",INDEX('Legend(Skid)'!$F$8:$F$9,(ROW(C61))-41)="CASE - MANUAL"),INDEX('Legend(Skid)'!$R$8:$R$9,(ROW(C61))-41),IF(INDEX('Legend(Skid)'!$V$8:$V$9,(ROW(C61))-42)&gt;1, "(" &amp; INDEX('Legend(Skid)'!$V$8:$V$9,(ROW(C61))-42) &amp; ") " &amp; INDEX('Legend(Skid)'!$W$8:$W$9,(ROW(C61))-41),INDEX('Legend(Skid)'!$W$8:$W$9,(ROW(C61))-42))),INDEX('Legend(Skid)'!$R$8:$R$9,(ROW(C61))-42))</f>
        <v>#REF!</v>
      </c>
      <c r="E61" s="713" cm="1">
        <f t="array" ref="E61">IF(OR(ISNUMBER(SEARCH("Pump",C61)),ISNUMBER(SEARCH("PH",C61)),ISERROR(INDEX('Legend(Skid)'!$AA$8:$AA$9,ROW()-42))),0,INDEX('Legend(Skid)'!$AA$8:$AA$9,ROW()-42))</f>
        <v>0</v>
      </c>
      <c r="F61" s="714"/>
      <c r="G61" s="714"/>
      <c r="H61" s="714"/>
      <c r="I61" s="714"/>
      <c r="J61" s="714"/>
      <c r="K61" s="890">
        <f t="shared" si="35"/>
        <v>0</v>
      </c>
      <c r="L61" s="718"/>
      <c r="M61" s="719"/>
      <c r="N61" s="972">
        <f t="shared" si="120"/>
        <v>-1</v>
      </c>
      <c r="O61" s="972">
        <f t="shared" si="121"/>
        <v>-1</v>
      </c>
      <c r="P61" s="972">
        <f t="shared" si="122"/>
        <v>-1</v>
      </c>
      <c r="Q61" s="972">
        <f t="shared" si="123"/>
        <v>-1</v>
      </c>
      <c r="R61" s="972">
        <f t="shared" si="124"/>
        <v>-1</v>
      </c>
      <c r="S61" s="972">
        <f t="shared" si="125"/>
        <v>-1</v>
      </c>
      <c r="T61" s="972">
        <f t="shared" si="126"/>
        <v>-1</v>
      </c>
      <c r="U61" s="972">
        <f t="shared" si="127"/>
        <v>-1</v>
      </c>
      <c r="V61" s="972">
        <f t="shared" si="128"/>
        <v>-1</v>
      </c>
      <c r="W61" s="972">
        <f t="shared" si="129"/>
        <v>-1</v>
      </c>
      <c r="X61" s="972">
        <f t="shared" si="130"/>
        <v>-1</v>
      </c>
      <c r="Y61" s="972">
        <f t="shared" si="131"/>
        <v>-1</v>
      </c>
      <c r="Z61" s="972">
        <f t="shared" si="132"/>
        <v>-1</v>
      </c>
      <c r="AA61" s="972">
        <f t="shared" si="133"/>
        <v>-1</v>
      </c>
      <c r="AB61" s="972">
        <f t="shared" si="134"/>
        <v>-1</v>
      </c>
      <c r="AC61" s="972">
        <f t="shared" si="135"/>
        <v>-1</v>
      </c>
      <c r="AD61" s="972">
        <f t="shared" si="136"/>
        <v>-1</v>
      </c>
      <c r="AE61" s="972">
        <f t="shared" si="137"/>
        <v>-1</v>
      </c>
      <c r="AF61" s="972">
        <f t="shared" si="138"/>
        <v>-1</v>
      </c>
      <c r="AG61" s="972">
        <f t="shared" si="139"/>
        <v>-1</v>
      </c>
      <c r="AH61" s="972">
        <f t="shared" si="140"/>
        <v>-1</v>
      </c>
      <c r="AI61" s="972">
        <f t="shared" si="141"/>
        <v>-1</v>
      </c>
      <c r="AJ61" s="972">
        <f t="shared" si="142"/>
        <v>-1</v>
      </c>
      <c r="AK61" s="381" t="str">
        <f>IF(ISERROR(INDEX('Legend(Skid)'!$AI$8:$AI$9,ROW()-42)),"",INDEX('Legend(Skid)'!$AI$8:$AI$9,ROW()-42))</f>
        <v/>
      </c>
      <c r="AL61" s="727" t="str">
        <f t="shared" si="53"/>
        <v/>
      </c>
      <c r="AM61" s="409">
        <f t="shared" si="143"/>
        <v>0</v>
      </c>
      <c r="AN61" s="409">
        <f t="shared" si="143"/>
        <v>0</v>
      </c>
      <c r="AO61" s="409">
        <f t="shared" si="143"/>
        <v>0</v>
      </c>
      <c r="AP61" s="409">
        <f t="shared" si="143"/>
        <v>0</v>
      </c>
      <c r="AQ61" s="409">
        <f t="shared" si="143"/>
        <v>0</v>
      </c>
      <c r="AR61" s="409">
        <f t="shared" si="143"/>
        <v>0</v>
      </c>
      <c r="AS61" s="409">
        <f t="shared" si="143"/>
        <v>0</v>
      </c>
      <c r="AT61" s="409">
        <f t="shared" si="143"/>
        <v>0</v>
      </c>
      <c r="AU61" s="409">
        <f t="shared" si="143"/>
        <v>0</v>
      </c>
      <c r="AV61" s="409">
        <f t="shared" si="143"/>
        <v>0</v>
      </c>
      <c r="AW61" s="409">
        <f t="shared" si="144"/>
        <v>0</v>
      </c>
      <c r="AX61" s="409">
        <f t="shared" si="144"/>
        <v>0</v>
      </c>
      <c r="AY61" s="409">
        <f t="shared" si="144"/>
        <v>0</v>
      </c>
      <c r="AZ61" s="409">
        <f t="shared" si="144"/>
        <v>0</v>
      </c>
      <c r="BA61" s="409">
        <f t="shared" si="144"/>
        <v>0</v>
      </c>
      <c r="BB61" s="409">
        <f t="shared" si="144"/>
        <v>0</v>
      </c>
      <c r="BC61" s="409">
        <f t="shared" si="144"/>
        <v>0</v>
      </c>
      <c r="BD61" s="409">
        <f t="shared" si="144"/>
        <v>0</v>
      </c>
      <c r="BE61" s="409">
        <f t="shared" si="144"/>
        <v>0</v>
      </c>
      <c r="BF61" s="409">
        <f t="shared" si="144"/>
        <v>0</v>
      </c>
      <c r="BG61" s="409">
        <f t="shared" si="145"/>
        <v>0</v>
      </c>
      <c r="BH61" s="409">
        <f t="shared" si="145"/>
        <v>0</v>
      </c>
      <c r="BI61" s="409">
        <f t="shared" si="145"/>
        <v>0</v>
      </c>
      <c r="BJ61" s="409">
        <f t="shared" si="145"/>
        <v>0</v>
      </c>
      <c r="BK61" s="409">
        <f t="shared" si="145"/>
        <v>0</v>
      </c>
      <c r="BL61" s="409">
        <f t="shared" si="145"/>
        <v>0</v>
      </c>
      <c r="BM61" s="409">
        <f t="shared" si="145"/>
        <v>0</v>
      </c>
      <c r="BN61" s="409">
        <f t="shared" si="145"/>
        <v>0</v>
      </c>
      <c r="BO61" s="409">
        <f t="shared" si="145"/>
        <v>0</v>
      </c>
      <c r="BP61" s="409">
        <f t="shared" si="145"/>
        <v>0</v>
      </c>
      <c r="BQ61" s="409">
        <f t="shared" si="146"/>
        <v>0</v>
      </c>
      <c r="BR61" s="409">
        <f t="shared" si="146"/>
        <v>0</v>
      </c>
      <c r="BS61" s="409">
        <f t="shared" si="146"/>
        <v>0</v>
      </c>
      <c r="BT61" s="409">
        <f t="shared" si="146"/>
        <v>0</v>
      </c>
      <c r="BU61" s="409">
        <f t="shared" si="146"/>
        <v>0</v>
      </c>
      <c r="BV61" s="409">
        <f t="shared" si="146"/>
        <v>0</v>
      </c>
      <c r="BW61" s="409">
        <f t="shared" si="146"/>
        <v>0</v>
      </c>
      <c r="BX61" s="409">
        <f t="shared" si="146"/>
        <v>0</v>
      </c>
      <c r="BY61" s="409">
        <f t="shared" si="146"/>
        <v>0</v>
      </c>
      <c r="BZ61" s="409">
        <f t="shared" si="146"/>
        <v>0</v>
      </c>
      <c r="CA61" s="409">
        <f t="shared" si="147"/>
        <v>0</v>
      </c>
      <c r="CB61" s="409">
        <f t="shared" si="147"/>
        <v>0</v>
      </c>
      <c r="CC61" s="409">
        <f t="shared" si="147"/>
        <v>0</v>
      </c>
      <c r="CD61" s="409">
        <f t="shared" si="147"/>
        <v>0</v>
      </c>
      <c r="CE61" s="409">
        <f t="shared" si="147"/>
        <v>0</v>
      </c>
      <c r="CF61" s="409">
        <f t="shared" si="147"/>
        <v>0</v>
      </c>
      <c r="CG61" s="409">
        <f t="shared" si="147"/>
        <v>0</v>
      </c>
      <c r="CH61" s="409">
        <f t="shared" si="147"/>
        <v>0</v>
      </c>
      <c r="CI61" s="409">
        <f t="shared" si="147"/>
        <v>0</v>
      </c>
      <c r="CJ61" s="409">
        <f t="shared" si="147"/>
        <v>0</v>
      </c>
      <c r="CK61" s="409">
        <f t="shared" si="148"/>
        <v>0</v>
      </c>
      <c r="CL61" s="409">
        <f t="shared" si="148"/>
        <v>0</v>
      </c>
      <c r="CM61" s="409">
        <f t="shared" si="148"/>
        <v>0</v>
      </c>
      <c r="CN61" s="409">
        <f t="shared" si="148"/>
        <v>0</v>
      </c>
      <c r="CO61" s="409">
        <f t="shared" si="148"/>
        <v>0</v>
      </c>
      <c r="CP61" s="409">
        <f t="shared" si="148"/>
        <v>0</v>
      </c>
      <c r="CQ61" s="409">
        <f t="shared" si="148"/>
        <v>0</v>
      </c>
      <c r="CR61" s="409">
        <f t="shared" si="148"/>
        <v>0</v>
      </c>
      <c r="CS61" s="409">
        <f t="shared" si="148"/>
        <v>0</v>
      </c>
      <c r="CT61" s="409">
        <f t="shared" si="148"/>
        <v>0</v>
      </c>
      <c r="CU61" s="409">
        <f t="shared" si="149"/>
        <v>0</v>
      </c>
      <c r="CV61" s="409">
        <f t="shared" si="149"/>
        <v>0</v>
      </c>
      <c r="CW61" s="409">
        <f t="shared" si="149"/>
        <v>0</v>
      </c>
      <c r="CX61" s="409">
        <f t="shared" si="149"/>
        <v>0</v>
      </c>
      <c r="CY61" s="409">
        <f t="shared" si="149"/>
        <v>0</v>
      </c>
      <c r="CZ61" s="409">
        <f t="shared" si="149"/>
        <v>0</v>
      </c>
      <c r="DA61" s="409">
        <f t="shared" si="149"/>
        <v>0</v>
      </c>
      <c r="DB61" s="409">
        <f t="shared" si="149"/>
        <v>0</v>
      </c>
      <c r="DC61" s="409">
        <f t="shared" si="149"/>
        <v>0</v>
      </c>
      <c r="DD61" s="409">
        <f t="shared" si="149"/>
        <v>0</v>
      </c>
      <c r="DE61" s="409">
        <f t="shared" si="150"/>
        <v>0</v>
      </c>
      <c r="DF61" s="409">
        <f t="shared" si="150"/>
        <v>0</v>
      </c>
      <c r="DG61" s="409">
        <f t="shared" si="150"/>
        <v>0</v>
      </c>
      <c r="DH61" s="409">
        <f t="shared" si="150"/>
        <v>0</v>
      </c>
      <c r="DI61" s="409">
        <f t="shared" si="150"/>
        <v>0</v>
      </c>
      <c r="DJ61" s="409">
        <f t="shared" si="150"/>
        <v>0</v>
      </c>
      <c r="DK61" s="409">
        <f t="shared" si="150"/>
        <v>0</v>
      </c>
      <c r="DL61" s="409">
        <f t="shared" si="150"/>
        <v>0</v>
      </c>
      <c r="DM61" s="409">
        <f t="shared" si="150"/>
        <v>0</v>
      </c>
      <c r="DN61" s="409">
        <f t="shared" si="150"/>
        <v>0</v>
      </c>
      <c r="DO61" s="409">
        <f t="shared" si="151"/>
        <v>0</v>
      </c>
      <c r="DP61" s="409">
        <f t="shared" si="151"/>
        <v>0</v>
      </c>
      <c r="DQ61" s="409">
        <f t="shared" si="151"/>
        <v>0</v>
      </c>
      <c r="DR61" s="409">
        <f t="shared" si="151"/>
        <v>0</v>
      </c>
      <c r="DS61" s="409">
        <f t="shared" si="151"/>
        <v>0</v>
      </c>
      <c r="DT61" s="409">
        <f t="shared" si="151"/>
        <v>0</v>
      </c>
      <c r="DU61" s="409">
        <f t="shared" si="151"/>
        <v>0</v>
      </c>
      <c r="DV61" s="409">
        <f t="shared" si="151"/>
        <v>0</v>
      </c>
      <c r="DW61" s="409">
        <f t="shared" si="151"/>
        <v>0</v>
      </c>
      <c r="DX61" s="409">
        <f t="shared" si="151"/>
        <v>0</v>
      </c>
      <c r="DY61" s="409">
        <f t="shared" si="152"/>
        <v>0</v>
      </c>
      <c r="DZ61" s="409">
        <f t="shared" si="152"/>
        <v>0</v>
      </c>
      <c r="EA61" s="409">
        <f t="shared" si="152"/>
        <v>0</v>
      </c>
      <c r="EB61" s="409">
        <f t="shared" si="152"/>
        <v>0</v>
      </c>
      <c r="EC61" s="409">
        <f t="shared" si="152"/>
        <v>0</v>
      </c>
      <c r="ED61" s="409">
        <f t="shared" si="152"/>
        <v>0</v>
      </c>
      <c r="EE61" s="409">
        <f t="shared" si="152"/>
        <v>0</v>
      </c>
      <c r="EF61" s="409">
        <f t="shared" si="152"/>
        <v>0</v>
      </c>
      <c r="EG61" s="409">
        <f t="shared" si="152"/>
        <v>0</v>
      </c>
      <c r="EH61" s="409">
        <f t="shared" si="152"/>
        <v>0</v>
      </c>
      <c r="EI61" s="409">
        <f t="shared" si="153"/>
        <v>0</v>
      </c>
      <c r="EJ61" s="409">
        <f t="shared" si="153"/>
        <v>0</v>
      </c>
      <c r="EK61" s="409">
        <f t="shared" si="153"/>
        <v>0</v>
      </c>
      <c r="EL61" s="409">
        <f t="shared" si="153"/>
        <v>0</v>
      </c>
      <c r="EM61" s="409">
        <f t="shared" si="153"/>
        <v>0</v>
      </c>
      <c r="EN61" s="409">
        <f t="shared" si="153"/>
        <v>0</v>
      </c>
      <c r="EO61" s="409">
        <f t="shared" si="153"/>
        <v>0</v>
      </c>
      <c r="EP61" s="409">
        <f t="shared" si="153"/>
        <v>0</v>
      </c>
      <c r="EQ61" s="409">
        <f t="shared" si="153"/>
        <v>0</v>
      </c>
      <c r="ER61" s="409">
        <f t="shared" si="153"/>
        <v>0</v>
      </c>
      <c r="ES61" s="409">
        <f t="shared" si="154"/>
        <v>0</v>
      </c>
      <c r="ET61" s="409">
        <f t="shared" si="154"/>
        <v>0</v>
      </c>
      <c r="EU61" s="409">
        <f t="shared" si="154"/>
        <v>0</v>
      </c>
      <c r="EV61" s="409">
        <f t="shared" si="154"/>
        <v>0</v>
      </c>
      <c r="EW61" s="409">
        <f t="shared" si="154"/>
        <v>0</v>
      </c>
      <c r="EX61" s="409">
        <f t="shared" si="154"/>
        <v>0</v>
      </c>
      <c r="EY61" s="409">
        <f t="shared" si="154"/>
        <v>0</v>
      </c>
      <c r="EZ61" s="409">
        <f t="shared" si="154"/>
        <v>0</v>
      </c>
      <c r="FA61" s="409">
        <f t="shared" si="154"/>
        <v>0</v>
      </c>
      <c r="FB61" s="409">
        <f t="shared" si="154"/>
        <v>0</v>
      </c>
      <c r="FC61" s="409">
        <f t="shared" si="155"/>
        <v>0</v>
      </c>
      <c r="FD61" s="409">
        <f t="shared" si="155"/>
        <v>0</v>
      </c>
      <c r="FE61" s="409">
        <f t="shared" si="155"/>
        <v>0</v>
      </c>
      <c r="FF61" s="409">
        <f t="shared" si="155"/>
        <v>0</v>
      </c>
      <c r="FG61" s="409">
        <f t="shared" si="155"/>
        <v>0</v>
      </c>
      <c r="FH61" s="409">
        <f t="shared" si="155"/>
        <v>0</v>
      </c>
      <c r="FI61" s="409">
        <f t="shared" si="155"/>
        <v>0</v>
      </c>
      <c r="FJ61" s="409">
        <f t="shared" si="155"/>
        <v>0</v>
      </c>
      <c r="FK61" s="409">
        <f t="shared" si="155"/>
        <v>0</v>
      </c>
      <c r="FL61" s="409">
        <f t="shared" si="155"/>
        <v>0</v>
      </c>
      <c r="FM61" s="409">
        <f t="shared" si="156"/>
        <v>0</v>
      </c>
      <c r="FN61" s="409">
        <f t="shared" si="156"/>
        <v>0</v>
      </c>
      <c r="FO61" s="409">
        <f t="shared" si="156"/>
        <v>0</v>
      </c>
      <c r="FP61" s="409">
        <f t="shared" si="156"/>
        <v>0</v>
      </c>
      <c r="FQ61" s="409">
        <f t="shared" si="156"/>
        <v>0</v>
      </c>
      <c r="FR61" s="409">
        <f t="shared" si="156"/>
        <v>0</v>
      </c>
      <c r="FS61" s="409">
        <f t="shared" si="156"/>
        <v>0</v>
      </c>
      <c r="FT61" s="409">
        <f t="shared" si="156"/>
        <v>0</v>
      </c>
      <c r="FU61" s="409">
        <f t="shared" si="156"/>
        <v>0</v>
      </c>
      <c r="FV61" s="409">
        <f t="shared" si="156"/>
        <v>0</v>
      </c>
      <c r="FW61" s="409">
        <f t="shared" si="157"/>
        <v>0</v>
      </c>
      <c r="FX61" s="409">
        <f t="shared" si="157"/>
        <v>0</v>
      </c>
      <c r="FY61" s="409">
        <f t="shared" si="157"/>
        <v>0</v>
      </c>
      <c r="FZ61" s="409">
        <f t="shared" si="157"/>
        <v>0</v>
      </c>
      <c r="GA61" s="409">
        <f t="shared" si="157"/>
        <v>0</v>
      </c>
      <c r="GB61" s="409">
        <f t="shared" si="157"/>
        <v>0</v>
      </c>
      <c r="GC61" s="409">
        <f t="shared" si="157"/>
        <v>0</v>
      </c>
      <c r="GD61" s="409">
        <f t="shared" si="157"/>
        <v>0</v>
      </c>
      <c r="GE61" s="409">
        <f t="shared" si="157"/>
        <v>0</v>
      </c>
      <c r="GF61" s="409">
        <f t="shared" si="157"/>
        <v>0</v>
      </c>
      <c r="GG61" s="409">
        <f t="shared" si="158"/>
        <v>0</v>
      </c>
      <c r="GH61" s="409">
        <f t="shared" si="158"/>
        <v>0</v>
      </c>
      <c r="GI61" s="409">
        <f t="shared" si="158"/>
        <v>0</v>
      </c>
      <c r="GJ61" s="409">
        <f t="shared" si="158"/>
        <v>0</v>
      </c>
      <c r="GK61" s="409">
        <f t="shared" si="158"/>
        <v>0</v>
      </c>
      <c r="GL61" s="409">
        <f t="shared" si="158"/>
        <v>0</v>
      </c>
      <c r="GM61" s="409">
        <f t="shared" si="158"/>
        <v>0</v>
      </c>
      <c r="GN61" s="409">
        <f t="shared" si="158"/>
        <v>0</v>
      </c>
      <c r="GO61" s="409">
        <f t="shared" si="158"/>
        <v>0</v>
      </c>
      <c r="GP61" s="409">
        <f t="shared" si="158"/>
        <v>0</v>
      </c>
      <c r="GQ61" s="409">
        <f t="shared" si="159"/>
        <v>0</v>
      </c>
      <c r="GR61" s="409">
        <f t="shared" si="159"/>
        <v>0</v>
      </c>
      <c r="GS61" s="409">
        <f t="shared" si="159"/>
        <v>0</v>
      </c>
      <c r="GT61" s="409">
        <f t="shared" si="159"/>
        <v>0</v>
      </c>
      <c r="GU61" s="409">
        <f t="shared" si="159"/>
        <v>0</v>
      </c>
      <c r="GV61" s="409">
        <f t="shared" si="159"/>
        <v>0</v>
      </c>
      <c r="GW61" s="409">
        <f t="shared" si="159"/>
        <v>0</v>
      </c>
      <c r="GX61" s="409">
        <f t="shared" si="159"/>
        <v>0</v>
      </c>
      <c r="GY61" s="409">
        <f t="shared" si="159"/>
        <v>0</v>
      </c>
      <c r="GZ61" s="409">
        <f t="shared" si="159"/>
        <v>0</v>
      </c>
      <c r="HA61" s="409">
        <f t="shared" si="160"/>
        <v>0</v>
      </c>
      <c r="HB61" s="409">
        <f t="shared" si="160"/>
        <v>0</v>
      </c>
      <c r="HC61" s="409">
        <f t="shared" si="160"/>
        <v>0</v>
      </c>
      <c r="HD61" s="409">
        <f t="shared" si="160"/>
        <v>0</v>
      </c>
      <c r="HE61" s="409">
        <f t="shared" si="160"/>
        <v>0</v>
      </c>
      <c r="HF61" s="409">
        <f t="shared" si="160"/>
        <v>0</v>
      </c>
      <c r="HG61" s="409">
        <f t="shared" si="160"/>
        <v>0</v>
      </c>
      <c r="HH61" s="409">
        <f t="shared" si="160"/>
        <v>0</v>
      </c>
      <c r="HI61" s="409">
        <f t="shared" si="160"/>
        <v>0</v>
      </c>
      <c r="HJ61" s="409">
        <f t="shared" si="160"/>
        <v>0</v>
      </c>
      <c r="HK61" s="409">
        <f t="shared" si="161"/>
        <v>0</v>
      </c>
      <c r="HL61" s="409">
        <f t="shared" si="161"/>
        <v>0</v>
      </c>
      <c r="HM61" s="409">
        <f t="shared" si="161"/>
        <v>0</v>
      </c>
      <c r="HN61" s="409">
        <f t="shared" si="161"/>
        <v>0</v>
      </c>
      <c r="HO61" s="409">
        <f t="shared" si="161"/>
        <v>0</v>
      </c>
      <c r="HP61" s="409">
        <f t="shared" si="161"/>
        <v>0</v>
      </c>
      <c r="HQ61" s="409">
        <f t="shared" si="161"/>
        <v>0</v>
      </c>
      <c r="HR61" s="409">
        <f t="shared" si="161"/>
        <v>0</v>
      </c>
      <c r="HS61" s="409">
        <f t="shared" si="161"/>
        <v>0</v>
      </c>
      <c r="HT61" s="409">
        <f t="shared" si="161"/>
        <v>0</v>
      </c>
      <c r="HU61" s="409">
        <f t="shared" si="162"/>
        <v>0</v>
      </c>
      <c r="HV61" s="409">
        <f t="shared" si="162"/>
        <v>0</v>
      </c>
      <c r="HW61" s="409">
        <f t="shared" si="162"/>
        <v>0</v>
      </c>
      <c r="HX61" s="409">
        <f t="shared" si="162"/>
        <v>0</v>
      </c>
      <c r="HY61" s="409">
        <f t="shared" si="162"/>
        <v>0</v>
      </c>
      <c r="HZ61" s="409">
        <f t="shared" si="162"/>
        <v>0</v>
      </c>
      <c r="IA61" s="409">
        <f t="shared" si="162"/>
        <v>0</v>
      </c>
      <c r="IB61" s="409">
        <f t="shared" si="162"/>
        <v>0</v>
      </c>
      <c r="IC61" s="409">
        <f t="shared" si="162"/>
        <v>0</v>
      </c>
      <c r="ID61" s="409">
        <f t="shared" si="162"/>
        <v>0</v>
      </c>
      <c r="IE61" s="409">
        <f t="shared" si="118"/>
        <v>0</v>
      </c>
      <c r="IF61" s="409">
        <f t="shared" si="118"/>
        <v>0</v>
      </c>
      <c r="IG61" s="409">
        <f t="shared" si="118"/>
        <v>0</v>
      </c>
      <c r="IH61" s="409">
        <f t="shared" si="118"/>
        <v>0</v>
      </c>
      <c r="II61" s="409">
        <f t="shared" si="118"/>
        <v>0</v>
      </c>
      <c r="IJ61" s="409">
        <f t="shared" si="118"/>
        <v>0</v>
      </c>
      <c r="IK61" s="378">
        <f t="shared" si="54"/>
        <v>54</v>
      </c>
    </row>
    <row r="62" spans="1:245" hidden="1" x14ac:dyDescent="0.2">
      <c r="A62" s="380" t="str">
        <f t="shared" si="119"/>
        <v>e</v>
      </c>
      <c r="B62" s="712" t="str" cm="1">
        <f t="array" ref="B62">IF(ISERROR(INDEX('Legend(Skid)'!$H$8:$H$9,ROW()-42)),"",INDEX('Legend(Skid)'!$H$8:$H$9,ROW()-42))</f>
        <v/>
      </c>
      <c r="C62" s="712" t="e" cm="1">
        <f t="array" ref="C62">IF(INDEX('Legend(Skid)'!$T$8:$T$9,ROW()-42)=0,"See Legend",INDEX('Legend(Skid)'!$T$8:$T$9,ROW()-42))</f>
        <v>#REF!</v>
      </c>
      <c r="D62" s="712" t="e">
        <f>IF(INDEX('Legend(Skid)'!$R$8:$R$9,(ROW(C62))-42)=0,IF(AND(INDEX('Legend(Skid)'!$D$8:$D$9,(ROW(C62))-41)="CH",INDEX('Legend(Skid)'!$F$8:$F$9,(ROW(C62))-41)="CASE - MANUAL"),INDEX('Legend(Skid)'!$R$8:$R$9,(ROW(C62))-41),IF(INDEX('Legend(Skid)'!$V$8:$V$9,(ROW(C62))-42)&gt;1, "(" &amp; INDEX('Legend(Skid)'!$V$8:$V$9,(ROW(C62))-42) &amp; ") " &amp; INDEX('Legend(Skid)'!$W$8:$W$9,(ROW(C62))-41),INDEX('Legend(Skid)'!$W$8:$W$9,(ROW(C62))-42))),INDEX('Legend(Skid)'!$R$8:$R$9,(ROW(C62))-42))</f>
        <v>#REF!</v>
      </c>
      <c r="E62" s="713" cm="1">
        <f t="array" ref="E62">IF(OR(ISNUMBER(SEARCH("Pump",C62)),ISNUMBER(SEARCH("PH",C62)),ISERROR(INDEX('Legend(Skid)'!$AA$8:$AA$9,ROW()-42))),0,INDEX('Legend(Skid)'!$AA$8:$AA$9,ROW()-42))</f>
        <v>0</v>
      </c>
      <c r="F62" s="714"/>
      <c r="G62" s="714"/>
      <c r="H62" s="714"/>
      <c r="I62" s="714"/>
      <c r="J62" s="714"/>
      <c r="K62" s="890">
        <f t="shared" si="35"/>
        <v>0</v>
      </c>
      <c r="L62" s="718"/>
      <c r="M62" s="719"/>
      <c r="N62" s="972">
        <f t="shared" si="120"/>
        <v>-1</v>
      </c>
      <c r="O62" s="972">
        <f t="shared" si="121"/>
        <v>-1</v>
      </c>
      <c r="P62" s="972">
        <f t="shared" si="122"/>
        <v>-1</v>
      </c>
      <c r="Q62" s="972">
        <f t="shared" si="123"/>
        <v>-1</v>
      </c>
      <c r="R62" s="972">
        <f t="shared" si="124"/>
        <v>-1</v>
      </c>
      <c r="S62" s="972">
        <f t="shared" si="125"/>
        <v>-1</v>
      </c>
      <c r="T62" s="972">
        <f t="shared" si="126"/>
        <v>-1</v>
      </c>
      <c r="U62" s="972">
        <f t="shared" si="127"/>
        <v>-1</v>
      </c>
      <c r="V62" s="972">
        <f t="shared" si="128"/>
        <v>-1</v>
      </c>
      <c r="W62" s="972">
        <f t="shared" si="129"/>
        <v>-1</v>
      </c>
      <c r="X62" s="972">
        <f t="shared" si="130"/>
        <v>-1</v>
      </c>
      <c r="Y62" s="972">
        <f t="shared" si="131"/>
        <v>-1</v>
      </c>
      <c r="Z62" s="972">
        <f t="shared" si="132"/>
        <v>-1</v>
      </c>
      <c r="AA62" s="972">
        <f t="shared" si="133"/>
        <v>-1</v>
      </c>
      <c r="AB62" s="972">
        <f t="shared" si="134"/>
        <v>-1</v>
      </c>
      <c r="AC62" s="972">
        <f t="shared" si="135"/>
        <v>-1</v>
      </c>
      <c r="AD62" s="972">
        <f t="shared" si="136"/>
        <v>-1</v>
      </c>
      <c r="AE62" s="972">
        <f t="shared" si="137"/>
        <v>-1</v>
      </c>
      <c r="AF62" s="972">
        <f t="shared" si="138"/>
        <v>-1</v>
      </c>
      <c r="AG62" s="972">
        <f t="shared" si="139"/>
        <v>-1</v>
      </c>
      <c r="AH62" s="972">
        <f t="shared" si="140"/>
        <v>-1</v>
      </c>
      <c r="AI62" s="972">
        <f t="shared" si="141"/>
        <v>-1</v>
      </c>
      <c r="AJ62" s="972">
        <f t="shared" si="142"/>
        <v>-1</v>
      </c>
      <c r="AK62" s="381" t="str">
        <f>IF(ISERROR(INDEX('Legend(Skid)'!$AI$8:$AI$9,ROW()-42)),"",INDEX('Legend(Skid)'!$AI$8:$AI$9,ROW()-42))</f>
        <v/>
      </c>
      <c r="AL62" s="727" t="str">
        <f t="shared" si="53"/>
        <v/>
      </c>
      <c r="AM62" s="409">
        <f t="shared" si="143"/>
        <v>0</v>
      </c>
      <c r="AN62" s="409">
        <f t="shared" si="143"/>
        <v>0</v>
      </c>
      <c r="AO62" s="409">
        <f t="shared" si="143"/>
        <v>0</v>
      </c>
      <c r="AP62" s="409">
        <f t="shared" si="143"/>
        <v>0</v>
      </c>
      <c r="AQ62" s="409">
        <f t="shared" si="143"/>
        <v>0</v>
      </c>
      <c r="AR62" s="409">
        <f t="shared" si="143"/>
        <v>0</v>
      </c>
      <c r="AS62" s="409">
        <f t="shared" si="143"/>
        <v>0</v>
      </c>
      <c r="AT62" s="409">
        <f t="shared" si="143"/>
        <v>0</v>
      </c>
      <c r="AU62" s="409">
        <f t="shared" si="143"/>
        <v>0</v>
      </c>
      <c r="AV62" s="409">
        <f t="shared" si="143"/>
        <v>0</v>
      </c>
      <c r="AW62" s="409">
        <f t="shared" si="144"/>
        <v>0</v>
      </c>
      <c r="AX62" s="409">
        <f t="shared" si="144"/>
        <v>0</v>
      </c>
      <c r="AY62" s="409">
        <f t="shared" si="144"/>
        <v>0</v>
      </c>
      <c r="AZ62" s="409">
        <f t="shared" si="144"/>
        <v>0</v>
      </c>
      <c r="BA62" s="409">
        <f t="shared" si="144"/>
        <v>0</v>
      </c>
      <c r="BB62" s="409">
        <f t="shared" si="144"/>
        <v>0</v>
      </c>
      <c r="BC62" s="409">
        <f t="shared" si="144"/>
        <v>0</v>
      </c>
      <c r="BD62" s="409">
        <f t="shared" si="144"/>
        <v>0</v>
      </c>
      <c r="BE62" s="409">
        <f t="shared" si="144"/>
        <v>0</v>
      </c>
      <c r="BF62" s="409">
        <f t="shared" si="144"/>
        <v>0</v>
      </c>
      <c r="BG62" s="409">
        <f t="shared" si="145"/>
        <v>0</v>
      </c>
      <c r="BH62" s="409">
        <f t="shared" si="145"/>
        <v>0</v>
      </c>
      <c r="BI62" s="409">
        <f t="shared" si="145"/>
        <v>0</v>
      </c>
      <c r="BJ62" s="409">
        <f t="shared" si="145"/>
        <v>0</v>
      </c>
      <c r="BK62" s="409">
        <f t="shared" si="145"/>
        <v>0</v>
      </c>
      <c r="BL62" s="409">
        <f t="shared" si="145"/>
        <v>0</v>
      </c>
      <c r="BM62" s="409">
        <f t="shared" si="145"/>
        <v>0</v>
      </c>
      <c r="BN62" s="409">
        <f t="shared" si="145"/>
        <v>0</v>
      </c>
      <c r="BO62" s="409">
        <f t="shared" si="145"/>
        <v>0</v>
      </c>
      <c r="BP62" s="409">
        <f t="shared" si="145"/>
        <v>0</v>
      </c>
      <c r="BQ62" s="409">
        <f t="shared" si="146"/>
        <v>0</v>
      </c>
      <c r="BR62" s="409">
        <f t="shared" si="146"/>
        <v>0</v>
      </c>
      <c r="BS62" s="409">
        <f t="shared" si="146"/>
        <v>0</v>
      </c>
      <c r="BT62" s="409">
        <f t="shared" si="146"/>
        <v>0</v>
      </c>
      <c r="BU62" s="409">
        <f t="shared" si="146"/>
        <v>0</v>
      </c>
      <c r="BV62" s="409">
        <f t="shared" si="146"/>
        <v>0</v>
      </c>
      <c r="BW62" s="409">
        <f t="shared" si="146"/>
        <v>0</v>
      </c>
      <c r="BX62" s="409">
        <f t="shared" si="146"/>
        <v>0</v>
      </c>
      <c r="BY62" s="409">
        <f t="shared" si="146"/>
        <v>0</v>
      </c>
      <c r="BZ62" s="409">
        <f t="shared" si="146"/>
        <v>0</v>
      </c>
      <c r="CA62" s="409">
        <f t="shared" si="147"/>
        <v>0</v>
      </c>
      <c r="CB62" s="409">
        <f t="shared" si="147"/>
        <v>0</v>
      </c>
      <c r="CC62" s="409">
        <f t="shared" si="147"/>
        <v>0</v>
      </c>
      <c r="CD62" s="409">
        <f t="shared" si="147"/>
        <v>0</v>
      </c>
      <c r="CE62" s="409">
        <f t="shared" si="147"/>
        <v>0</v>
      </c>
      <c r="CF62" s="409">
        <f t="shared" si="147"/>
        <v>0</v>
      </c>
      <c r="CG62" s="409">
        <f t="shared" si="147"/>
        <v>0</v>
      </c>
      <c r="CH62" s="409">
        <f t="shared" si="147"/>
        <v>0</v>
      </c>
      <c r="CI62" s="409">
        <f t="shared" si="147"/>
        <v>0</v>
      </c>
      <c r="CJ62" s="409">
        <f t="shared" si="147"/>
        <v>0</v>
      </c>
      <c r="CK62" s="409">
        <f t="shared" si="148"/>
        <v>0</v>
      </c>
      <c r="CL62" s="409">
        <f t="shared" si="148"/>
        <v>0</v>
      </c>
      <c r="CM62" s="409">
        <f t="shared" si="148"/>
        <v>0</v>
      </c>
      <c r="CN62" s="409">
        <f t="shared" si="148"/>
        <v>0</v>
      </c>
      <c r="CO62" s="409">
        <f t="shared" si="148"/>
        <v>0</v>
      </c>
      <c r="CP62" s="409">
        <f t="shared" si="148"/>
        <v>0</v>
      </c>
      <c r="CQ62" s="409">
        <f t="shared" si="148"/>
        <v>0</v>
      </c>
      <c r="CR62" s="409">
        <f t="shared" si="148"/>
        <v>0</v>
      </c>
      <c r="CS62" s="409">
        <f t="shared" si="148"/>
        <v>0</v>
      </c>
      <c r="CT62" s="409">
        <f t="shared" si="148"/>
        <v>0</v>
      </c>
      <c r="CU62" s="409">
        <f t="shared" si="149"/>
        <v>0</v>
      </c>
      <c r="CV62" s="409">
        <f t="shared" si="149"/>
        <v>0</v>
      </c>
      <c r="CW62" s="409">
        <f t="shared" si="149"/>
        <v>0</v>
      </c>
      <c r="CX62" s="409">
        <f t="shared" si="149"/>
        <v>0</v>
      </c>
      <c r="CY62" s="409">
        <f t="shared" si="149"/>
        <v>0</v>
      </c>
      <c r="CZ62" s="409">
        <f t="shared" si="149"/>
        <v>0</v>
      </c>
      <c r="DA62" s="409">
        <f t="shared" si="149"/>
        <v>0</v>
      </c>
      <c r="DB62" s="409">
        <f t="shared" si="149"/>
        <v>0</v>
      </c>
      <c r="DC62" s="409">
        <f t="shared" si="149"/>
        <v>0</v>
      </c>
      <c r="DD62" s="409">
        <f t="shared" si="149"/>
        <v>0</v>
      </c>
      <c r="DE62" s="409">
        <f t="shared" si="150"/>
        <v>0</v>
      </c>
      <c r="DF62" s="409">
        <f t="shared" si="150"/>
        <v>0</v>
      </c>
      <c r="DG62" s="409">
        <f t="shared" si="150"/>
        <v>0</v>
      </c>
      <c r="DH62" s="409">
        <f t="shared" si="150"/>
        <v>0</v>
      </c>
      <c r="DI62" s="409">
        <f t="shared" si="150"/>
        <v>0</v>
      </c>
      <c r="DJ62" s="409">
        <f t="shared" si="150"/>
        <v>0</v>
      </c>
      <c r="DK62" s="409">
        <f t="shared" si="150"/>
        <v>0</v>
      </c>
      <c r="DL62" s="409">
        <f t="shared" si="150"/>
        <v>0</v>
      </c>
      <c r="DM62" s="409">
        <f t="shared" si="150"/>
        <v>0</v>
      </c>
      <c r="DN62" s="409">
        <f t="shared" si="150"/>
        <v>0</v>
      </c>
      <c r="DO62" s="409">
        <f t="shared" si="151"/>
        <v>0</v>
      </c>
      <c r="DP62" s="409">
        <f t="shared" si="151"/>
        <v>0</v>
      </c>
      <c r="DQ62" s="409">
        <f t="shared" si="151"/>
        <v>0</v>
      </c>
      <c r="DR62" s="409">
        <f t="shared" si="151"/>
        <v>0</v>
      </c>
      <c r="DS62" s="409">
        <f t="shared" si="151"/>
        <v>0</v>
      </c>
      <c r="DT62" s="409">
        <f t="shared" si="151"/>
        <v>0</v>
      </c>
      <c r="DU62" s="409">
        <f t="shared" si="151"/>
        <v>0</v>
      </c>
      <c r="DV62" s="409">
        <f t="shared" si="151"/>
        <v>0</v>
      </c>
      <c r="DW62" s="409">
        <f t="shared" si="151"/>
        <v>0</v>
      </c>
      <c r="DX62" s="409">
        <f t="shared" si="151"/>
        <v>0</v>
      </c>
      <c r="DY62" s="409">
        <f t="shared" si="152"/>
        <v>0</v>
      </c>
      <c r="DZ62" s="409">
        <f t="shared" si="152"/>
        <v>0</v>
      </c>
      <c r="EA62" s="409">
        <f t="shared" si="152"/>
        <v>0</v>
      </c>
      <c r="EB62" s="409">
        <f t="shared" si="152"/>
        <v>0</v>
      </c>
      <c r="EC62" s="409">
        <f t="shared" si="152"/>
        <v>0</v>
      </c>
      <c r="ED62" s="409">
        <f t="shared" si="152"/>
        <v>0</v>
      </c>
      <c r="EE62" s="409">
        <f t="shared" si="152"/>
        <v>0</v>
      </c>
      <c r="EF62" s="409">
        <f t="shared" si="152"/>
        <v>0</v>
      </c>
      <c r="EG62" s="409">
        <f t="shared" si="152"/>
        <v>0</v>
      </c>
      <c r="EH62" s="409">
        <f t="shared" si="152"/>
        <v>0</v>
      </c>
      <c r="EI62" s="409">
        <f t="shared" si="153"/>
        <v>0</v>
      </c>
      <c r="EJ62" s="409">
        <f t="shared" si="153"/>
        <v>0</v>
      </c>
      <c r="EK62" s="409">
        <f t="shared" si="153"/>
        <v>0</v>
      </c>
      <c r="EL62" s="409">
        <f t="shared" si="153"/>
        <v>0</v>
      </c>
      <c r="EM62" s="409">
        <f t="shared" si="153"/>
        <v>0</v>
      </c>
      <c r="EN62" s="409">
        <f t="shared" si="153"/>
        <v>0</v>
      </c>
      <c r="EO62" s="409">
        <f t="shared" si="153"/>
        <v>0</v>
      </c>
      <c r="EP62" s="409">
        <f t="shared" si="153"/>
        <v>0</v>
      </c>
      <c r="EQ62" s="409">
        <f t="shared" si="153"/>
        <v>0</v>
      </c>
      <c r="ER62" s="409">
        <f t="shared" si="153"/>
        <v>0</v>
      </c>
      <c r="ES62" s="409">
        <f t="shared" si="154"/>
        <v>0</v>
      </c>
      <c r="ET62" s="409">
        <f t="shared" si="154"/>
        <v>0</v>
      </c>
      <c r="EU62" s="409">
        <f t="shared" si="154"/>
        <v>0</v>
      </c>
      <c r="EV62" s="409">
        <f t="shared" si="154"/>
        <v>0</v>
      </c>
      <c r="EW62" s="409">
        <f t="shared" si="154"/>
        <v>0</v>
      </c>
      <c r="EX62" s="409">
        <f t="shared" si="154"/>
        <v>0</v>
      </c>
      <c r="EY62" s="409">
        <f t="shared" si="154"/>
        <v>0</v>
      </c>
      <c r="EZ62" s="409">
        <f t="shared" si="154"/>
        <v>0</v>
      </c>
      <c r="FA62" s="409">
        <f t="shared" si="154"/>
        <v>0</v>
      </c>
      <c r="FB62" s="409">
        <f t="shared" si="154"/>
        <v>0</v>
      </c>
      <c r="FC62" s="409">
        <f t="shared" si="155"/>
        <v>0</v>
      </c>
      <c r="FD62" s="409">
        <f t="shared" si="155"/>
        <v>0</v>
      </c>
      <c r="FE62" s="409">
        <f t="shared" si="155"/>
        <v>0</v>
      </c>
      <c r="FF62" s="409">
        <f t="shared" si="155"/>
        <v>0</v>
      </c>
      <c r="FG62" s="409">
        <f t="shared" si="155"/>
        <v>0</v>
      </c>
      <c r="FH62" s="409">
        <f t="shared" si="155"/>
        <v>0</v>
      </c>
      <c r="FI62" s="409">
        <f t="shared" si="155"/>
        <v>0</v>
      </c>
      <c r="FJ62" s="409">
        <f t="shared" si="155"/>
        <v>0</v>
      </c>
      <c r="FK62" s="409">
        <f t="shared" si="155"/>
        <v>0</v>
      </c>
      <c r="FL62" s="409">
        <f t="shared" si="155"/>
        <v>0</v>
      </c>
      <c r="FM62" s="409">
        <f t="shared" si="156"/>
        <v>0</v>
      </c>
      <c r="FN62" s="409">
        <f t="shared" si="156"/>
        <v>0</v>
      </c>
      <c r="FO62" s="409">
        <f t="shared" si="156"/>
        <v>0</v>
      </c>
      <c r="FP62" s="409">
        <f t="shared" si="156"/>
        <v>0</v>
      </c>
      <c r="FQ62" s="409">
        <f t="shared" si="156"/>
        <v>0</v>
      </c>
      <c r="FR62" s="409">
        <f t="shared" si="156"/>
        <v>0</v>
      </c>
      <c r="FS62" s="409">
        <f t="shared" si="156"/>
        <v>0</v>
      </c>
      <c r="FT62" s="409">
        <f t="shared" si="156"/>
        <v>0</v>
      </c>
      <c r="FU62" s="409">
        <f t="shared" si="156"/>
        <v>0</v>
      </c>
      <c r="FV62" s="409">
        <f t="shared" si="156"/>
        <v>0</v>
      </c>
      <c r="FW62" s="409">
        <f t="shared" si="157"/>
        <v>0</v>
      </c>
      <c r="FX62" s="409">
        <f t="shared" si="157"/>
        <v>0</v>
      </c>
      <c r="FY62" s="409">
        <f t="shared" si="157"/>
        <v>0</v>
      </c>
      <c r="FZ62" s="409">
        <f t="shared" si="157"/>
        <v>0</v>
      </c>
      <c r="GA62" s="409">
        <f t="shared" si="157"/>
        <v>0</v>
      </c>
      <c r="GB62" s="409">
        <f t="shared" si="157"/>
        <v>0</v>
      </c>
      <c r="GC62" s="409">
        <f t="shared" si="157"/>
        <v>0</v>
      </c>
      <c r="GD62" s="409">
        <f t="shared" si="157"/>
        <v>0</v>
      </c>
      <c r="GE62" s="409">
        <f t="shared" si="157"/>
        <v>0</v>
      </c>
      <c r="GF62" s="409">
        <f t="shared" si="157"/>
        <v>0</v>
      </c>
      <c r="GG62" s="409">
        <f t="shared" si="158"/>
        <v>0</v>
      </c>
      <c r="GH62" s="409">
        <f t="shared" si="158"/>
        <v>0</v>
      </c>
      <c r="GI62" s="409">
        <f t="shared" si="158"/>
        <v>0</v>
      </c>
      <c r="GJ62" s="409">
        <f t="shared" si="158"/>
        <v>0</v>
      </c>
      <c r="GK62" s="409">
        <f t="shared" si="158"/>
        <v>0</v>
      </c>
      <c r="GL62" s="409">
        <f t="shared" si="158"/>
        <v>0</v>
      </c>
      <c r="GM62" s="409">
        <f t="shared" si="158"/>
        <v>0</v>
      </c>
      <c r="GN62" s="409">
        <f t="shared" si="158"/>
        <v>0</v>
      </c>
      <c r="GO62" s="409">
        <f t="shared" si="158"/>
        <v>0</v>
      </c>
      <c r="GP62" s="409">
        <f t="shared" si="158"/>
        <v>0</v>
      </c>
      <c r="GQ62" s="409">
        <f t="shared" si="159"/>
        <v>0</v>
      </c>
      <c r="GR62" s="409">
        <f t="shared" si="159"/>
        <v>0</v>
      </c>
      <c r="GS62" s="409">
        <f t="shared" si="159"/>
        <v>0</v>
      </c>
      <c r="GT62" s="409">
        <f t="shared" si="159"/>
        <v>0</v>
      </c>
      <c r="GU62" s="409">
        <f t="shared" si="159"/>
        <v>0</v>
      </c>
      <c r="GV62" s="409">
        <f t="shared" si="159"/>
        <v>0</v>
      </c>
      <c r="GW62" s="409">
        <f t="shared" si="159"/>
        <v>0</v>
      </c>
      <c r="GX62" s="409">
        <f t="shared" si="159"/>
        <v>0</v>
      </c>
      <c r="GY62" s="409">
        <f t="shared" si="159"/>
        <v>0</v>
      </c>
      <c r="GZ62" s="409">
        <f t="shared" si="159"/>
        <v>0</v>
      </c>
      <c r="HA62" s="409">
        <f t="shared" si="160"/>
        <v>0</v>
      </c>
      <c r="HB62" s="409">
        <f t="shared" si="160"/>
        <v>0</v>
      </c>
      <c r="HC62" s="409">
        <f t="shared" si="160"/>
        <v>0</v>
      </c>
      <c r="HD62" s="409">
        <f t="shared" si="160"/>
        <v>0</v>
      </c>
      <c r="HE62" s="409">
        <f t="shared" si="160"/>
        <v>0</v>
      </c>
      <c r="HF62" s="409">
        <f t="shared" si="160"/>
        <v>0</v>
      </c>
      <c r="HG62" s="409">
        <f t="shared" si="160"/>
        <v>0</v>
      </c>
      <c r="HH62" s="409">
        <f t="shared" si="160"/>
        <v>0</v>
      </c>
      <c r="HI62" s="409">
        <f t="shared" si="160"/>
        <v>0</v>
      </c>
      <c r="HJ62" s="409">
        <f t="shared" si="160"/>
        <v>0</v>
      </c>
      <c r="HK62" s="409">
        <f t="shared" si="161"/>
        <v>0</v>
      </c>
      <c r="HL62" s="409">
        <f t="shared" si="161"/>
        <v>0</v>
      </c>
      <c r="HM62" s="409">
        <f t="shared" si="161"/>
        <v>0</v>
      </c>
      <c r="HN62" s="409">
        <f t="shared" si="161"/>
        <v>0</v>
      </c>
      <c r="HO62" s="409">
        <f t="shared" si="161"/>
        <v>0</v>
      </c>
      <c r="HP62" s="409">
        <f t="shared" si="161"/>
        <v>0</v>
      </c>
      <c r="HQ62" s="409">
        <f t="shared" si="161"/>
        <v>0</v>
      </c>
      <c r="HR62" s="409">
        <f t="shared" si="161"/>
        <v>0</v>
      </c>
      <c r="HS62" s="409">
        <f t="shared" si="161"/>
        <v>0</v>
      </c>
      <c r="HT62" s="409">
        <f t="shared" si="161"/>
        <v>0</v>
      </c>
      <c r="HU62" s="409">
        <f t="shared" si="162"/>
        <v>0</v>
      </c>
      <c r="HV62" s="409">
        <f t="shared" si="162"/>
        <v>0</v>
      </c>
      <c r="HW62" s="409">
        <f t="shared" si="162"/>
        <v>0</v>
      </c>
      <c r="HX62" s="409">
        <f t="shared" si="162"/>
        <v>0</v>
      </c>
      <c r="HY62" s="409">
        <f t="shared" si="162"/>
        <v>0</v>
      </c>
      <c r="HZ62" s="409">
        <f t="shared" si="162"/>
        <v>0</v>
      </c>
      <c r="IA62" s="409">
        <f t="shared" si="162"/>
        <v>0</v>
      </c>
      <c r="IB62" s="409">
        <f t="shared" si="162"/>
        <v>0</v>
      </c>
      <c r="IC62" s="409">
        <f t="shared" si="162"/>
        <v>0</v>
      </c>
      <c r="ID62" s="409">
        <f t="shared" si="162"/>
        <v>0</v>
      </c>
      <c r="IE62" s="409">
        <f t="shared" si="118"/>
        <v>0</v>
      </c>
      <c r="IF62" s="409">
        <f t="shared" si="118"/>
        <v>0</v>
      </c>
      <c r="IG62" s="409">
        <f t="shared" si="118"/>
        <v>0</v>
      </c>
      <c r="IH62" s="409">
        <f t="shared" si="118"/>
        <v>0</v>
      </c>
      <c r="II62" s="409">
        <f t="shared" si="118"/>
        <v>0</v>
      </c>
      <c r="IJ62" s="409">
        <f t="shared" si="118"/>
        <v>0</v>
      </c>
      <c r="IK62" s="378">
        <f t="shared" si="54"/>
        <v>55</v>
      </c>
    </row>
    <row r="63" spans="1:245" hidden="1" x14ac:dyDescent="0.2">
      <c r="A63" s="380" t="str">
        <f t="shared" si="119"/>
        <v>e</v>
      </c>
      <c r="B63" s="712" t="str" cm="1">
        <f t="array" ref="B63">IF(ISERROR(INDEX('Legend(Skid)'!$H$8:$H$9,ROW()-42)),"",INDEX('Legend(Skid)'!$H$8:$H$9,ROW()-42))</f>
        <v/>
      </c>
      <c r="C63" s="712" t="e" cm="1">
        <f t="array" ref="C63">IF(INDEX('Legend(Skid)'!$T$8:$T$9,ROW()-42)=0,"See Legend",INDEX('Legend(Skid)'!$T$8:$T$9,ROW()-42))</f>
        <v>#REF!</v>
      </c>
      <c r="D63" s="712" t="e">
        <f>IF(INDEX('Legend(Skid)'!$R$8:$R$9,(ROW(C63))-42)=0,IF(AND(INDEX('Legend(Skid)'!$D$8:$D$9,(ROW(C63))-41)="CH",INDEX('Legend(Skid)'!$F$8:$F$9,(ROW(C63))-41)="CASE - MANUAL"),INDEX('Legend(Skid)'!$R$8:$R$9,(ROW(C63))-41),IF(INDEX('Legend(Skid)'!$V$8:$V$9,(ROW(C63))-42)&gt;1, "(" &amp; INDEX('Legend(Skid)'!$V$8:$V$9,(ROW(C63))-42) &amp; ") " &amp; INDEX('Legend(Skid)'!$W$8:$W$9,(ROW(C63))-41),INDEX('Legend(Skid)'!$W$8:$W$9,(ROW(C63))-42))),INDEX('Legend(Skid)'!$R$8:$R$9,(ROW(C63))-42))</f>
        <v>#REF!</v>
      </c>
      <c r="E63" s="713" cm="1">
        <f t="array" ref="E63">IF(OR(ISNUMBER(SEARCH("Pump",C63)),ISNUMBER(SEARCH("PH",C63)),ISERROR(INDEX('Legend(Skid)'!$AA$8:$AA$9,ROW()-42))),0,INDEX('Legend(Skid)'!$AA$8:$AA$9,ROW()-42))</f>
        <v>0</v>
      </c>
      <c r="F63" s="714"/>
      <c r="G63" s="714"/>
      <c r="H63" s="714"/>
      <c r="I63" s="714"/>
      <c r="J63" s="714"/>
      <c r="K63" s="890">
        <f t="shared" si="35"/>
        <v>0</v>
      </c>
      <c r="L63" s="718"/>
      <c r="M63" s="719"/>
      <c r="N63" s="972">
        <f t="shared" si="120"/>
        <v>-1</v>
      </c>
      <c r="O63" s="972">
        <f t="shared" si="121"/>
        <v>-1</v>
      </c>
      <c r="P63" s="972">
        <f t="shared" si="122"/>
        <v>-1</v>
      </c>
      <c r="Q63" s="972">
        <f t="shared" si="123"/>
        <v>-1</v>
      </c>
      <c r="R63" s="972">
        <f t="shared" si="124"/>
        <v>-1</v>
      </c>
      <c r="S63" s="972">
        <f t="shared" si="125"/>
        <v>-1</v>
      </c>
      <c r="T63" s="972">
        <f t="shared" si="126"/>
        <v>-1</v>
      </c>
      <c r="U63" s="972">
        <f t="shared" si="127"/>
        <v>-1</v>
      </c>
      <c r="V63" s="972">
        <f t="shared" si="128"/>
        <v>-1</v>
      </c>
      <c r="W63" s="972">
        <f t="shared" si="129"/>
        <v>-1</v>
      </c>
      <c r="X63" s="972">
        <f t="shared" si="130"/>
        <v>-1</v>
      </c>
      <c r="Y63" s="972">
        <f t="shared" si="131"/>
        <v>-1</v>
      </c>
      <c r="Z63" s="972">
        <f t="shared" si="132"/>
        <v>-1</v>
      </c>
      <c r="AA63" s="972">
        <f t="shared" si="133"/>
        <v>-1</v>
      </c>
      <c r="AB63" s="972">
        <f t="shared" si="134"/>
        <v>-1</v>
      </c>
      <c r="AC63" s="972">
        <f t="shared" si="135"/>
        <v>-1</v>
      </c>
      <c r="AD63" s="972">
        <f t="shared" si="136"/>
        <v>-1</v>
      </c>
      <c r="AE63" s="972">
        <f t="shared" si="137"/>
        <v>-1</v>
      </c>
      <c r="AF63" s="972">
        <f t="shared" si="138"/>
        <v>-1</v>
      </c>
      <c r="AG63" s="972">
        <f t="shared" si="139"/>
        <v>-1</v>
      </c>
      <c r="AH63" s="972">
        <f t="shared" si="140"/>
        <v>-1</v>
      </c>
      <c r="AI63" s="972">
        <f t="shared" si="141"/>
        <v>-1</v>
      </c>
      <c r="AJ63" s="972">
        <f t="shared" si="142"/>
        <v>-1</v>
      </c>
      <c r="AK63" s="381" t="str">
        <f>IF(ISERROR(INDEX('Legend(Skid)'!$AI$8:$AI$9,ROW()-42)),"",INDEX('Legend(Skid)'!$AI$8:$AI$9,ROW()-42))</f>
        <v/>
      </c>
      <c r="AL63" s="727" t="str">
        <f t="shared" si="53"/>
        <v/>
      </c>
      <c r="AM63" s="409">
        <f t="shared" si="143"/>
        <v>0</v>
      </c>
      <c r="AN63" s="409">
        <f t="shared" si="143"/>
        <v>0</v>
      </c>
      <c r="AO63" s="409">
        <f t="shared" si="143"/>
        <v>0</v>
      </c>
      <c r="AP63" s="409">
        <f t="shared" si="143"/>
        <v>0</v>
      </c>
      <c r="AQ63" s="409">
        <f t="shared" si="143"/>
        <v>0</v>
      </c>
      <c r="AR63" s="409">
        <f t="shared" si="143"/>
        <v>0</v>
      </c>
      <c r="AS63" s="409">
        <f t="shared" si="143"/>
        <v>0</v>
      </c>
      <c r="AT63" s="409">
        <f t="shared" si="143"/>
        <v>0</v>
      </c>
      <c r="AU63" s="409">
        <f t="shared" si="143"/>
        <v>0</v>
      </c>
      <c r="AV63" s="409">
        <f t="shared" si="143"/>
        <v>0</v>
      </c>
      <c r="AW63" s="409">
        <f t="shared" si="144"/>
        <v>0</v>
      </c>
      <c r="AX63" s="409">
        <f t="shared" si="144"/>
        <v>0</v>
      </c>
      <c r="AY63" s="409">
        <f t="shared" si="144"/>
        <v>0</v>
      </c>
      <c r="AZ63" s="409">
        <f t="shared" si="144"/>
        <v>0</v>
      </c>
      <c r="BA63" s="409">
        <f t="shared" si="144"/>
        <v>0</v>
      </c>
      <c r="BB63" s="409">
        <f t="shared" si="144"/>
        <v>0</v>
      </c>
      <c r="BC63" s="409">
        <f t="shared" si="144"/>
        <v>0</v>
      </c>
      <c r="BD63" s="409">
        <f t="shared" si="144"/>
        <v>0</v>
      </c>
      <c r="BE63" s="409">
        <f t="shared" si="144"/>
        <v>0</v>
      </c>
      <c r="BF63" s="409">
        <f t="shared" si="144"/>
        <v>0</v>
      </c>
      <c r="BG63" s="409">
        <f t="shared" si="145"/>
        <v>0</v>
      </c>
      <c r="BH63" s="409">
        <f t="shared" si="145"/>
        <v>0</v>
      </c>
      <c r="BI63" s="409">
        <f t="shared" si="145"/>
        <v>0</v>
      </c>
      <c r="BJ63" s="409">
        <f t="shared" si="145"/>
        <v>0</v>
      </c>
      <c r="BK63" s="409">
        <f t="shared" si="145"/>
        <v>0</v>
      </c>
      <c r="BL63" s="409">
        <f t="shared" si="145"/>
        <v>0</v>
      </c>
      <c r="BM63" s="409">
        <f t="shared" si="145"/>
        <v>0</v>
      </c>
      <c r="BN63" s="409">
        <f t="shared" si="145"/>
        <v>0</v>
      </c>
      <c r="BO63" s="409">
        <f t="shared" si="145"/>
        <v>0</v>
      </c>
      <c r="BP63" s="409">
        <f t="shared" si="145"/>
        <v>0</v>
      </c>
      <c r="BQ63" s="409">
        <f t="shared" si="146"/>
        <v>0</v>
      </c>
      <c r="BR63" s="409">
        <f t="shared" si="146"/>
        <v>0</v>
      </c>
      <c r="BS63" s="409">
        <f t="shared" si="146"/>
        <v>0</v>
      </c>
      <c r="BT63" s="409">
        <f t="shared" si="146"/>
        <v>0</v>
      </c>
      <c r="BU63" s="409">
        <f t="shared" si="146"/>
        <v>0</v>
      </c>
      <c r="BV63" s="409">
        <f t="shared" si="146"/>
        <v>0</v>
      </c>
      <c r="BW63" s="409">
        <f t="shared" si="146"/>
        <v>0</v>
      </c>
      <c r="BX63" s="409">
        <f t="shared" si="146"/>
        <v>0</v>
      </c>
      <c r="BY63" s="409">
        <f t="shared" si="146"/>
        <v>0</v>
      </c>
      <c r="BZ63" s="409">
        <f t="shared" si="146"/>
        <v>0</v>
      </c>
      <c r="CA63" s="409">
        <f t="shared" si="147"/>
        <v>0</v>
      </c>
      <c r="CB63" s="409">
        <f t="shared" si="147"/>
        <v>0</v>
      </c>
      <c r="CC63" s="409">
        <f t="shared" si="147"/>
        <v>0</v>
      </c>
      <c r="CD63" s="409">
        <f t="shared" si="147"/>
        <v>0</v>
      </c>
      <c r="CE63" s="409">
        <f t="shared" si="147"/>
        <v>0</v>
      </c>
      <c r="CF63" s="409">
        <f t="shared" si="147"/>
        <v>0</v>
      </c>
      <c r="CG63" s="409">
        <f t="shared" si="147"/>
        <v>0</v>
      </c>
      <c r="CH63" s="409">
        <f t="shared" si="147"/>
        <v>0</v>
      </c>
      <c r="CI63" s="409">
        <f t="shared" si="147"/>
        <v>0</v>
      </c>
      <c r="CJ63" s="409">
        <f t="shared" si="147"/>
        <v>0</v>
      </c>
      <c r="CK63" s="409">
        <f t="shared" si="148"/>
        <v>0</v>
      </c>
      <c r="CL63" s="409">
        <f t="shared" si="148"/>
        <v>0</v>
      </c>
      <c r="CM63" s="409">
        <f t="shared" si="148"/>
        <v>0</v>
      </c>
      <c r="CN63" s="409">
        <f t="shared" si="148"/>
        <v>0</v>
      </c>
      <c r="CO63" s="409">
        <f t="shared" si="148"/>
        <v>0</v>
      </c>
      <c r="CP63" s="409">
        <f t="shared" si="148"/>
        <v>0</v>
      </c>
      <c r="CQ63" s="409">
        <f t="shared" si="148"/>
        <v>0</v>
      </c>
      <c r="CR63" s="409">
        <f t="shared" si="148"/>
        <v>0</v>
      </c>
      <c r="CS63" s="409">
        <f t="shared" si="148"/>
        <v>0</v>
      </c>
      <c r="CT63" s="409">
        <f t="shared" si="148"/>
        <v>0</v>
      </c>
      <c r="CU63" s="409">
        <f t="shared" si="149"/>
        <v>0</v>
      </c>
      <c r="CV63" s="409">
        <f t="shared" si="149"/>
        <v>0</v>
      </c>
      <c r="CW63" s="409">
        <f t="shared" si="149"/>
        <v>0</v>
      </c>
      <c r="CX63" s="409">
        <f t="shared" si="149"/>
        <v>0</v>
      </c>
      <c r="CY63" s="409">
        <f t="shared" si="149"/>
        <v>0</v>
      </c>
      <c r="CZ63" s="409">
        <f t="shared" si="149"/>
        <v>0</v>
      </c>
      <c r="DA63" s="409">
        <f t="shared" si="149"/>
        <v>0</v>
      </c>
      <c r="DB63" s="409">
        <f t="shared" si="149"/>
        <v>0</v>
      </c>
      <c r="DC63" s="409">
        <f t="shared" si="149"/>
        <v>0</v>
      </c>
      <c r="DD63" s="409">
        <f t="shared" si="149"/>
        <v>0</v>
      </c>
      <c r="DE63" s="409">
        <f t="shared" si="150"/>
        <v>0</v>
      </c>
      <c r="DF63" s="409">
        <f t="shared" si="150"/>
        <v>0</v>
      </c>
      <c r="DG63" s="409">
        <f t="shared" si="150"/>
        <v>0</v>
      </c>
      <c r="DH63" s="409">
        <f t="shared" si="150"/>
        <v>0</v>
      </c>
      <c r="DI63" s="409">
        <f t="shared" si="150"/>
        <v>0</v>
      </c>
      <c r="DJ63" s="409">
        <f t="shared" si="150"/>
        <v>0</v>
      </c>
      <c r="DK63" s="409">
        <f t="shared" si="150"/>
        <v>0</v>
      </c>
      <c r="DL63" s="409">
        <f t="shared" si="150"/>
        <v>0</v>
      </c>
      <c r="DM63" s="409">
        <f t="shared" si="150"/>
        <v>0</v>
      </c>
      <c r="DN63" s="409">
        <f t="shared" si="150"/>
        <v>0</v>
      </c>
      <c r="DO63" s="409">
        <f t="shared" si="151"/>
        <v>0</v>
      </c>
      <c r="DP63" s="409">
        <f t="shared" si="151"/>
        <v>0</v>
      </c>
      <c r="DQ63" s="409">
        <f t="shared" si="151"/>
        <v>0</v>
      </c>
      <c r="DR63" s="409">
        <f t="shared" si="151"/>
        <v>0</v>
      </c>
      <c r="DS63" s="409">
        <f t="shared" si="151"/>
        <v>0</v>
      </c>
      <c r="DT63" s="409">
        <f t="shared" si="151"/>
        <v>0</v>
      </c>
      <c r="DU63" s="409">
        <f t="shared" si="151"/>
        <v>0</v>
      </c>
      <c r="DV63" s="409">
        <f t="shared" si="151"/>
        <v>0</v>
      </c>
      <c r="DW63" s="409">
        <f t="shared" si="151"/>
        <v>0</v>
      </c>
      <c r="DX63" s="409">
        <f t="shared" si="151"/>
        <v>0</v>
      </c>
      <c r="DY63" s="409">
        <f t="shared" si="152"/>
        <v>0</v>
      </c>
      <c r="DZ63" s="409">
        <f t="shared" si="152"/>
        <v>0</v>
      </c>
      <c r="EA63" s="409">
        <f t="shared" si="152"/>
        <v>0</v>
      </c>
      <c r="EB63" s="409">
        <f t="shared" si="152"/>
        <v>0</v>
      </c>
      <c r="EC63" s="409">
        <f t="shared" si="152"/>
        <v>0</v>
      </c>
      <c r="ED63" s="409">
        <f t="shared" si="152"/>
        <v>0</v>
      </c>
      <c r="EE63" s="409">
        <f t="shared" si="152"/>
        <v>0</v>
      </c>
      <c r="EF63" s="409">
        <f t="shared" si="152"/>
        <v>0</v>
      </c>
      <c r="EG63" s="409">
        <f t="shared" si="152"/>
        <v>0</v>
      </c>
      <c r="EH63" s="409">
        <f t="shared" si="152"/>
        <v>0</v>
      </c>
      <c r="EI63" s="409">
        <f t="shared" si="153"/>
        <v>0</v>
      </c>
      <c r="EJ63" s="409">
        <f t="shared" si="153"/>
        <v>0</v>
      </c>
      <c r="EK63" s="409">
        <f t="shared" si="153"/>
        <v>0</v>
      </c>
      <c r="EL63" s="409">
        <f t="shared" si="153"/>
        <v>0</v>
      </c>
      <c r="EM63" s="409">
        <f t="shared" si="153"/>
        <v>0</v>
      </c>
      <c r="EN63" s="409">
        <f t="shared" si="153"/>
        <v>0</v>
      </c>
      <c r="EO63" s="409">
        <f t="shared" si="153"/>
        <v>0</v>
      </c>
      <c r="EP63" s="409">
        <f t="shared" si="153"/>
        <v>0</v>
      </c>
      <c r="EQ63" s="409">
        <f t="shared" si="153"/>
        <v>0</v>
      </c>
      <c r="ER63" s="409">
        <f t="shared" si="153"/>
        <v>0</v>
      </c>
      <c r="ES63" s="409">
        <f t="shared" si="154"/>
        <v>0</v>
      </c>
      <c r="ET63" s="409">
        <f t="shared" si="154"/>
        <v>0</v>
      </c>
      <c r="EU63" s="409">
        <f t="shared" si="154"/>
        <v>0</v>
      </c>
      <c r="EV63" s="409">
        <f t="shared" si="154"/>
        <v>0</v>
      </c>
      <c r="EW63" s="409">
        <f t="shared" si="154"/>
        <v>0</v>
      </c>
      <c r="EX63" s="409">
        <f t="shared" si="154"/>
        <v>0</v>
      </c>
      <c r="EY63" s="409">
        <f t="shared" si="154"/>
        <v>0</v>
      </c>
      <c r="EZ63" s="409">
        <f t="shared" si="154"/>
        <v>0</v>
      </c>
      <c r="FA63" s="409">
        <f t="shared" si="154"/>
        <v>0</v>
      </c>
      <c r="FB63" s="409">
        <f t="shared" si="154"/>
        <v>0</v>
      </c>
      <c r="FC63" s="409">
        <f t="shared" si="155"/>
        <v>0</v>
      </c>
      <c r="FD63" s="409">
        <f t="shared" si="155"/>
        <v>0</v>
      </c>
      <c r="FE63" s="409">
        <f t="shared" si="155"/>
        <v>0</v>
      </c>
      <c r="FF63" s="409">
        <f t="shared" si="155"/>
        <v>0</v>
      </c>
      <c r="FG63" s="409">
        <f t="shared" si="155"/>
        <v>0</v>
      </c>
      <c r="FH63" s="409">
        <f t="shared" si="155"/>
        <v>0</v>
      </c>
      <c r="FI63" s="409">
        <f t="shared" si="155"/>
        <v>0</v>
      </c>
      <c r="FJ63" s="409">
        <f t="shared" si="155"/>
        <v>0</v>
      </c>
      <c r="FK63" s="409">
        <f t="shared" si="155"/>
        <v>0</v>
      </c>
      <c r="FL63" s="409">
        <f t="shared" si="155"/>
        <v>0</v>
      </c>
      <c r="FM63" s="409">
        <f t="shared" si="156"/>
        <v>0</v>
      </c>
      <c r="FN63" s="409">
        <f t="shared" si="156"/>
        <v>0</v>
      </c>
      <c r="FO63" s="409">
        <f t="shared" si="156"/>
        <v>0</v>
      </c>
      <c r="FP63" s="409">
        <f t="shared" si="156"/>
        <v>0</v>
      </c>
      <c r="FQ63" s="409">
        <f t="shared" si="156"/>
        <v>0</v>
      </c>
      <c r="FR63" s="409">
        <f t="shared" si="156"/>
        <v>0</v>
      </c>
      <c r="FS63" s="409">
        <f t="shared" si="156"/>
        <v>0</v>
      </c>
      <c r="FT63" s="409">
        <f t="shared" si="156"/>
        <v>0</v>
      </c>
      <c r="FU63" s="409">
        <f t="shared" si="156"/>
        <v>0</v>
      </c>
      <c r="FV63" s="409">
        <f t="shared" si="156"/>
        <v>0</v>
      </c>
      <c r="FW63" s="409">
        <f t="shared" si="157"/>
        <v>0</v>
      </c>
      <c r="FX63" s="409">
        <f t="shared" si="157"/>
        <v>0</v>
      </c>
      <c r="FY63" s="409">
        <f t="shared" si="157"/>
        <v>0</v>
      </c>
      <c r="FZ63" s="409">
        <f t="shared" si="157"/>
        <v>0</v>
      </c>
      <c r="GA63" s="409">
        <f t="shared" si="157"/>
        <v>0</v>
      </c>
      <c r="GB63" s="409">
        <f t="shared" si="157"/>
        <v>0</v>
      </c>
      <c r="GC63" s="409">
        <f t="shared" si="157"/>
        <v>0</v>
      </c>
      <c r="GD63" s="409">
        <f t="shared" si="157"/>
        <v>0</v>
      </c>
      <c r="GE63" s="409">
        <f t="shared" si="157"/>
        <v>0</v>
      </c>
      <c r="GF63" s="409">
        <f t="shared" si="157"/>
        <v>0</v>
      </c>
      <c r="GG63" s="409">
        <f t="shared" si="158"/>
        <v>0</v>
      </c>
      <c r="GH63" s="409">
        <f t="shared" si="158"/>
        <v>0</v>
      </c>
      <c r="GI63" s="409">
        <f t="shared" si="158"/>
        <v>0</v>
      </c>
      <c r="GJ63" s="409">
        <f t="shared" si="158"/>
        <v>0</v>
      </c>
      <c r="GK63" s="409">
        <f t="shared" si="158"/>
        <v>0</v>
      </c>
      <c r="GL63" s="409">
        <f t="shared" si="158"/>
        <v>0</v>
      </c>
      <c r="GM63" s="409">
        <f t="shared" si="158"/>
        <v>0</v>
      </c>
      <c r="GN63" s="409">
        <f t="shared" si="158"/>
        <v>0</v>
      </c>
      <c r="GO63" s="409">
        <f t="shared" si="158"/>
        <v>0</v>
      </c>
      <c r="GP63" s="409">
        <f t="shared" si="158"/>
        <v>0</v>
      </c>
      <c r="GQ63" s="409">
        <f t="shared" si="159"/>
        <v>0</v>
      </c>
      <c r="GR63" s="409">
        <f t="shared" si="159"/>
        <v>0</v>
      </c>
      <c r="GS63" s="409">
        <f t="shared" si="159"/>
        <v>0</v>
      </c>
      <c r="GT63" s="409">
        <f t="shared" si="159"/>
        <v>0</v>
      </c>
      <c r="GU63" s="409">
        <f t="shared" si="159"/>
        <v>0</v>
      </c>
      <c r="GV63" s="409">
        <f t="shared" si="159"/>
        <v>0</v>
      </c>
      <c r="GW63" s="409">
        <f t="shared" si="159"/>
        <v>0</v>
      </c>
      <c r="GX63" s="409">
        <f t="shared" si="159"/>
        <v>0</v>
      </c>
      <c r="GY63" s="409">
        <f t="shared" si="159"/>
        <v>0</v>
      </c>
      <c r="GZ63" s="409">
        <f t="shared" si="159"/>
        <v>0</v>
      </c>
      <c r="HA63" s="409">
        <f t="shared" si="160"/>
        <v>0</v>
      </c>
      <c r="HB63" s="409">
        <f t="shared" si="160"/>
        <v>0</v>
      </c>
      <c r="HC63" s="409">
        <f t="shared" si="160"/>
        <v>0</v>
      </c>
      <c r="HD63" s="409">
        <f t="shared" si="160"/>
        <v>0</v>
      </c>
      <c r="HE63" s="409">
        <f t="shared" si="160"/>
        <v>0</v>
      </c>
      <c r="HF63" s="409">
        <f t="shared" si="160"/>
        <v>0</v>
      </c>
      <c r="HG63" s="409">
        <f t="shared" si="160"/>
        <v>0</v>
      </c>
      <c r="HH63" s="409">
        <f t="shared" si="160"/>
        <v>0</v>
      </c>
      <c r="HI63" s="409">
        <f t="shared" si="160"/>
        <v>0</v>
      </c>
      <c r="HJ63" s="409">
        <f t="shared" si="160"/>
        <v>0</v>
      </c>
      <c r="HK63" s="409">
        <f t="shared" si="161"/>
        <v>0</v>
      </c>
      <c r="HL63" s="409">
        <f t="shared" si="161"/>
        <v>0</v>
      </c>
      <c r="HM63" s="409">
        <f t="shared" si="161"/>
        <v>0</v>
      </c>
      <c r="HN63" s="409">
        <f t="shared" si="161"/>
        <v>0</v>
      </c>
      <c r="HO63" s="409">
        <f t="shared" si="161"/>
        <v>0</v>
      </c>
      <c r="HP63" s="409">
        <f t="shared" si="161"/>
        <v>0</v>
      </c>
      <c r="HQ63" s="409">
        <f t="shared" si="161"/>
        <v>0</v>
      </c>
      <c r="HR63" s="409">
        <f t="shared" si="161"/>
        <v>0</v>
      </c>
      <c r="HS63" s="409">
        <f t="shared" si="161"/>
        <v>0</v>
      </c>
      <c r="HT63" s="409">
        <f t="shared" si="161"/>
        <v>0</v>
      </c>
      <c r="HU63" s="409">
        <f t="shared" si="162"/>
        <v>0</v>
      </c>
      <c r="HV63" s="409">
        <f t="shared" si="162"/>
        <v>0</v>
      </c>
      <c r="HW63" s="409">
        <f t="shared" si="162"/>
        <v>0</v>
      </c>
      <c r="HX63" s="409">
        <f t="shared" si="162"/>
        <v>0</v>
      </c>
      <c r="HY63" s="409">
        <f t="shared" si="162"/>
        <v>0</v>
      </c>
      <c r="HZ63" s="409">
        <f t="shared" si="162"/>
        <v>0</v>
      </c>
      <c r="IA63" s="409">
        <f t="shared" si="162"/>
        <v>0</v>
      </c>
      <c r="IB63" s="409">
        <f t="shared" si="162"/>
        <v>0</v>
      </c>
      <c r="IC63" s="409">
        <f t="shared" si="162"/>
        <v>0</v>
      </c>
      <c r="ID63" s="409">
        <f t="shared" si="162"/>
        <v>0</v>
      </c>
      <c r="IE63" s="409">
        <f t="shared" si="118"/>
        <v>0</v>
      </c>
      <c r="IF63" s="409">
        <f t="shared" si="118"/>
        <v>0</v>
      </c>
      <c r="IG63" s="409">
        <f t="shared" si="118"/>
        <v>0</v>
      </c>
      <c r="IH63" s="409">
        <f t="shared" si="118"/>
        <v>0</v>
      </c>
      <c r="II63" s="409">
        <f t="shared" si="118"/>
        <v>0</v>
      </c>
      <c r="IJ63" s="409">
        <f t="shared" si="118"/>
        <v>0</v>
      </c>
      <c r="IK63" s="378">
        <f t="shared" si="54"/>
        <v>56</v>
      </c>
    </row>
    <row r="64" spans="1:245" hidden="1" x14ac:dyDescent="0.2">
      <c r="A64" s="380" t="str">
        <f t="shared" si="119"/>
        <v>e</v>
      </c>
      <c r="B64" s="712" t="str" cm="1">
        <f t="array" ref="B64">IF(ISERROR(INDEX('Legend(Skid)'!$H$8:$H$9,ROW()-42)),"",INDEX('Legend(Skid)'!$H$8:$H$9,ROW()-42))</f>
        <v/>
      </c>
      <c r="C64" s="712" t="e" cm="1">
        <f t="array" ref="C64">IF(INDEX('Legend(Skid)'!$T$8:$T$9,ROW()-42)=0,"See Legend",INDEX('Legend(Skid)'!$T$8:$T$9,ROW()-42))</f>
        <v>#REF!</v>
      </c>
      <c r="D64" s="712" t="e">
        <f>IF(INDEX('Legend(Skid)'!$R$8:$R$9,(ROW(C64))-42)=0,IF(AND(INDEX('Legend(Skid)'!$D$8:$D$9,(ROW(C64))-41)="CH",INDEX('Legend(Skid)'!$F$8:$F$9,(ROW(C64))-41)="CASE - MANUAL"),INDEX('Legend(Skid)'!$R$8:$R$9,(ROW(C64))-41),IF(INDEX('Legend(Skid)'!$V$8:$V$9,(ROW(C64))-42)&gt;1, "(" &amp; INDEX('Legend(Skid)'!$V$8:$V$9,(ROW(C64))-42) &amp; ") " &amp; INDEX('Legend(Skid)'!$W$8:$W$9,(ROW(C64))-41),INDEX('Legend(Skid)'!$W$8:$W$9,(ROW(C64))-42))),INDEX('Legend(Skid)'!$R$8:$R$9,(ROW(C64))-42))</f>
        <v>#REF!</v>
      </c>
      <c r="E64" s="713" cm="1">
        <f t="array" ref="E64">IF(OR(ISNUMBER(SEARCH("Pump",C64)),ISNUMBER(SEARCH("PH",C64)),ISERROR(INDEX('Legend(Skid)'!$AA$8:$AA$9,ROW()-42))),0,INDEX('Legend(Skid)'!$AA$8:$AA$9,ROW()-42))</f>
        <v>0</v>
      </c>
      <c r="F64" s="714"/>
      <c r="G64" s="714"/>
      <c r="H64" s="714"/>
      <c r="I64" s="714"/>
      <c r="J64" s="714"/>
      <c r="K64" s="890">
        <f t="shared" si="35"/>
        <v>0</v>
      </c>
      <c r="L64" s="718"/>
      <c r="M64" s="719"/>
      <c r="N64" s="972">
        <f t="shared" si="120"/>
        <v>-1</v>
      </c>
      <c r="O64" s="972">
        <f t="shared" si="121"/>
        <v>-1</v>
      </c>
      <c r="P64" s="972">
        <f t="shared" si="122"/>
        <v>-1</v>
      </c>
      <c r="Q64" s="972">
        <f t="shared" si="123"/>
        <v>-1</v>
      </c>
      <c r="R64" s="972">
        <f t="shared" si="124"/>
        <v>-1</v>
      </c>
      <c r="S64" s="972">
        <f t="shared" si="125"/>
        <v>-1</v>
      </c>
      <c r="T64" s="972">
        <f t="shared" si="126"/>
        <v>-1</v>
      </c>
      <c r="U64" s="972">
        <f t="shared" si="127"/>
        <v>-1</v>
      </c>
      <c r="V64" s="972">
        <f t="shared" si="128"/>
        <v>-1</v>
      </c>
      <c r="W64" s="972">
        <f t="shared" si="129"/>
        <v>-1</v>
      </c>
      <c r="X64" s="972">
        <f t="shared" si="130"/>
        <v>-1</v>
      </c>
      <c r="Y64" s="972">
        <f t="shared" si="131"/>
        <v>-1</v>
      </c>
      <c r="Z64" s="972">
        <f t="shared" si="132"/>
        <v>-1</v>
      </c>
      <c r="AA64" s="972">
        <f t="shared" si="133"/>
        <v>-1</v>
      </c>
      <c r="AB64" s="972">
        <f t="shared" si="134"/>
        <v>-1</v>
      </c>
      <c r="AC64" s="972">
        <f t="shared" si="135"/>
        <v>-1</v>
      </c>
      <c r="AD64" s="972">
        <f t="shared" si="136"/>
        <v>-1</v>
      </c>
      <c r="AE64" s="972">
        <f t="shared" si="137"/>
        <v>-1</v>
      </c>
      <c r="AF64" s="972">
        <f t="shared" si="138"/>
        <v>-1</v>
      </c>
      <c r="AG64" s="972">
        <f t="shared" si="139"/>
        <v>-1</v>
      </c>
      <c r="AH64" s="972">
        <f t="shared" si="140"/>
        <v>-1</v>
      </c>
      <c r="AI64" s="972">
        <f t="shared" si="141"/>
        <v>-1</v>
      </c>
      <c r="AJ64" s="972">
        <f t="shared" si="142"/>
        <v>-1</v>
      </c>
      <c r="AK64" s="381" t="str">
        <f>IF(ISERROR(INDEX('Legend(Skid)'!$AI$8:$AI$9,ROW()-42)),"",INDEX('Legend(Skid)'!$AI$8:$AI$9,ROW()-42))</f>
        <v/>
      </c>
      <c r="AL64" s="727" t="str">
        <f t="shared" si="53"/>
        <v/>
      </c>
      <c r="AM64" s="409">
        <f t="shared" si="98"/>
        <v>0</v>
      </c>
      <c r="AN64" s="409">
        <f t="shared" si="98"/>
        <v>0</v>
      </c>
      <c r="AO64" s="409">
        <f t="shared" si="98"/>
        <v>0</v>
      </c>
      <c r="AP64" s="409">
        <f t="shared" si="98"/>
        <v>0</v>
      </c>
      <c r="AQ64" s="409">
        <f t="shared" si="98"/>
        <v>0</v>
      </c>
      <c r="AR64" s="409">
        <f t="shared" si="98"/>
        <v>0</v>
      </c>
      <c r="AS64" s="409">
        <f t="shared" si="98"/>
        <v>0</v>
      </c>
      <c r="AT64" s="409">
        <f t="shared" si="98"/>
        <v>0</v>
      </c>
      <c r="AU64" s="409">
        <f t="shared" si="98"/>
        <v>0</v>
      </c>
      <c r="AV64" s="409">
        <f t="shared" si="98"/>
        <v>0</v>
      </c>
      <c r="AW64" s="409">
        <f t="shared" si="99"/>
        <v>0</v>
      </c>
      <c r="AX64" s="409">
        <f t="shared" si="99"/>
        <v>0</v>
      </c>
      <c r="AY64" s="409">
        <f t="shared" si="99"/>
        <v>0</v>
      </c>
      <c r="AZ64" s="409">
        <f t="shared" si="99"/>
        <v>0</v>
      </c>
      <c r="BA64" s="409">
        <f t="shared" si="99"/>
        <v>0</v>
      </c>
      <c r="BB64" s="409">
        <f t="shared" si="99"/>
        <v>0</v>
      </c>
      <c r="BC64" s="409">
        <f t="shared" si="99"/>
        <v>0</v>
      </c>
      <c r="BD64" s="409">
        <f t="shared" si="99"/>
        <v>0</v>
      </c>
      <c r="BE64" s="409">
        <f t="shared" si="99"/>
        <v>0</v>
      </c>
      <c r="BF64" s="409">
        <f t="shared" si="99"/>
        <v>0</v>
      </c>
      <c r="BG64" s="409">
        <f t="shared" si="100"/>
        <v>0</v>
      </c>
      <c r="BH64" s="409">
        <f t="shared" si="100"/>
        <v>0</v>
      </c>
      <c r="BI64" s="409">
        <f t="shared" si="100"/>
        <v>0</v>
      </c>
      <c r="BJ64" s="409">
        <f t="shared" si="100"/>
        <v>0</v>
      </c>
      <c r="BK64" s="409">
        <f t="shared" si="100"/>
        <v>0</v>
      </c>
      <c r="BL64" s="409">
        <f t="shared" si="100"/>
        <v>0</v>
      </c>
      <c r="BM64" s="409">
        <f t="shared" si="100"/>
        <v>0</v>
      </c>
      <c r="BN64" s="409">
        <f t="shared" si="100"/>
        <v>0</v>
      </c>
      <c r="BO64" s="409">
        <f t="shared" si="100"/>
        <v>0</v>
      </c>
      <c r="BP64" s="409">
        <f t="shared" si="100"/>
        <v>0</v>
      </c>
      <c r="BQ64" s="409">
        <f t="shared" si="101"/>
        <v>0</v>
      </c>
      <c r="BR64" s="409">
        <f t="shared" si="101"/>
        <v>0</v>
      </c>
      <c r="BS64" s="409">
        <f t="shared" si="101"/>
        <v>0</v>
      </c>
      <c r="BT64" s="409">
        <f t="shared" si="101"/>
        <v>0</v>
      </c>
      <c r="BU64" s="409">
        <f t="shared" si="101"/>
        <v>0</v>
      </c>
      <c r="BV64" s="409">
        <f t="shared" si="101"/>
        <v>0</v>
      </c>
      <c r="BW64" s="409">
        <f t="shared" si="101"/>
        <v>0</v>
      </c>
      <c r="BX64" s="409">
        <f t="shared" si="101"/>
        <v>0</v>
      </c>
      <c r="BY64" s="409">
        <f t="shared" si="101"/>
        <v>0</v>
      </c>
      <c r="BZ64" s="409">
        <f t="shared" si="101"/>
        <v>0</v>
      </c>
      <c r="CA64" s="409">
        <f t="shared" si="102"/>
        <v>0</v>
      </c>
      <c r="CB64" s="409">
        <f t="shared" si="102"/>
        <v>0</v>
      </c>
      <c r="CC64" s="409">
        <f t="shared" si="102"/>
        <v>0</v>
      </c>
      <c r="CD64" s="409">
        <f t="shared" si="102"/>
        <v>0</v>
      </c>
      <c r="CE64" s="409">
        <f t="shared" si="102"/>
        <v>0</v>
      </c>
      <c r="CF64" s="409">
        <f t="shared" si="102"/>
        <v>0</v>
      </c>
      <c r="CG64" s="409">
        <f t="shared" si="102"/>
        <v>0</v>
      </c>
      <c r="CH64" s="409">
        <f t="shared" si="102"/>
        <v>0</v>
      </c>
      <c r="CI64" s="409">
        <f t="shared" si="102"/>
        <v>0</v>
      </c>
      <c r="CJ64" s="409">
        <f t="shared" si="102"/>
        <v>0</v>
      </c>
      <c r="CK64" s="409">
        <f t="shared" si="103"/>
        <v>0</v>
      </c>
      <c r="CL64" s="409">
        <f t="shared" si="103"/>
        <v>0</v>
      </c>
      <c r="CM64" s="409">
        <f t="shared" si="103"/>
        <v>0</v>
      </c>
      <c r="CN64" s="409">
        <f t="shared" si="103"/>
        <v>0</v>
      </c>
      <c r="CO64" s="409">
        <f t="shared" si="103"/>
        <v>0</v>
      </c>
      <c r="CP64" s="409">
        <f t="shared" si="103"/>
        <v>0</v>
      </c>
      <c r="CQ64" s="409">
        <f t="shared" si="103"/>
        <v>0</v>
      </c>
      <c r="CR64" s="409">
        <f t="shared" si="103"/>
        <v>0</v>
      </c>
      <c r="CS64" s="409">
        <f t="shared" si="103"/>
        <v>0</v>
      </c>
      <c r="CT64" s="409">
        <f t="shared" si="103"/>
        <v>0</v>
      </c>
      <c r="CU64" s="409">
        <f t="shared" si="104"/>
        <v>0</v>
      </c>
      <c r="CV64" s="409">
        <f t="shared" si="104"/>
        <v>0</v>
      </c>
      <c r="CW64" s="409">
        <f t="shared" si="104"/>
        <v>0</v>
      </c>
      <c r="CX64" s="409">
        <f t="shared" si="104"/>
        <v>0</v>
      </c>
      <c r="CY64" s="409">
        <f t="shared" si="104"/>
        <v>0</v>
      </c>
      <c r="CZ64" s="409">
        <f t="shared" si="104"/>
        <v>0</v>
      </c>
      <c r="DA64" s="409">
        <f t="shared" si="104"/>
        <v>0</v>
      </c>
      <c r="DB64" s="409">
        <f t="shared" si="104"/>
        <v>0</v>
      </c>
      <c r="DC64" s="409">
        <f t="shared" si="104"/>
        <v>0</v>
      </c>
      <c r="DD64" s="409">
        <f t="shared" si="104"/>
        <v>0</v>
      </c>
      <c r="DE64" s="409">
        <f t="shared" si="105"/>
        <v>0</v>
      </c>
      <c r="DF64" s="409">
        <f t="shared" si="105"/>
        <v>0</v>
      </c>
      <c r="DG64" s="409">
        <f t="shared" si="105"/>
        <v>0</v>
      </c>
      <c r="DH64" s="409">
        <f t="shared" si="105"/>
        <v>0</v>
      </c>
      <c r="DI64" s="409">
        <f t="shared" si="105"/>
        <v>0</v>
      </c>
      <c r="DJ64" s="409">
        <f t="shared" si="105"/>
        <v>0</v>
      </c>
      <c r="DK64" s="409">
        <f t="shared" si="105"/>
        <v>0</v>
      </c>
      <c r="DL64" s="409">
        <f t="shared" si="105"/>
        <v>0</v>
      </c>
      <c r="DM64" s="409">
        <f t="shared" si="105"/>
        <v>0</v>
      </c>
      <c r="DN64" s="409">
        <f t="shared" si="105"/>
        <v>0</v>
      </c>
      <c r="DO64" s="409">
        <f t="shared" si="106"/>
        <v>0</v>
      </c>
      <c r="DP64" s="409">
        <f t="shared" si="106"/>
        <v>0</v>
      </c>
      <c r="DQ64" s="409">
        <f t="shared" si="106"/>
        <v>0</v>
      </c>
      <c r="DR64" s="409">
        <f t="shared" si="106"/>
        <v>0</v>
      </c>
      <c r="DS64" s="409">
        <f t="shared" si="106"/>
        <v>0</v>
      </c>
      <c r="DT64" s="409">
        <f t="shared" si="106"/>
        <v>0</v>
      </c>
      <c r="DU64" s="409">
        <f t="shared" si="106"/>
        <v>0</v>
      </c>
      <c r="DV64" s="409">
        <f t="shared" si="106"/>
        <v>0</v>
      </c>
      <c r="DW64" s="409">
        <f t="shared" si="106"/>
        <v>0</v>
      </c>
      <c r="DX64" s="409">
        <f t="shared" si="106"/>
        <v>0</v>
      </c>
      <c r="DY64" s="409">
        <f t="shared" si="107"/>
        <v>0</v>
      </c>
      <c r="DZ64" s="409">
        <f t="shared" si="107"/>
        <v>0</v>
      </c>
      <c r="EA64" s="409">
        <f t="shared" si="107"/>
        <v>0</v>
      </c>
      <c r="EB64" s="409">
        <f t="shared" si="107"/>
        <v>0</v>
      </c>
      <c r="EC64" s="409">
        <f t="shared" si="107"/>
        <v>0</v>
      </c>
      <c r="ED64" s="409">
        <f t="shared" si="107"/>
        <v>0</v>
      </c>
      <c r="EE64" s="409">
        <f t="shared" si="107"/>
        <v>0</v>
      </c>
      <c r="EF64" s="409">
        <f t="shared" si="107"/>
        <v>0</v>
      </c>
      <c r="EG64" s="409">
        <f t="shared" si="107"/>
        <v>0</v>
      </c>
      <c r="EH64" s="409">
        <f t="shared" si="107"/>
        <v>0</v>
      </c>
      <c r="EI64" s="409">
        <f t="shared" si="108"/>
        <v>0</v>
      </c>
      <c r="EJ64" s="409">
        <f t="shared" si="108"/>
        <v>0</v>
      </c>
      <c r="EK64" s="409">
        <f t="shared" si="108"/>
        <v>0</v>
      </c>
      <c r="EL64" s="409">
        <f t="shared" si="108"/>
        <v>0</v>
      </c>
      <c r="EM64" s="409">
        <f t="shared" si="108"/>
        <v>0</v>
      </c>
      <c r="EN64" s="409">
        <f t="shared" si="108"/>
        <v>0</v>
      </c>
      <c r="EO64" s="409">
        <f t="shared" si="108"/>
        <v>0</v>
      </c>
      <c r="EP64" s="409">
        <f t="shared" si="108"/>
        <v>0</v>
      </c>
      <c r="EQ64" s="409">
        <f t="shared" si="108"/>
        <v>0</v>
      </c>
      <c r="ER64" s="409">
        <f t="shared" si="108"/>
        <v>0</v>
      </c>
      <c r="ES64" s="409">
        <f t="shared" si="109"/>
        <v>0</v>
      </c>
      <c r="ET64" s="409">
        <f t="shared" si="109"/>
        <v>0</v>
      </c>
      <c r="EU64" s="409">
        <f t="shared" si="109"/>
        <v>0</v>
      </c>
      <c r="EV64" s="409">
        <f t="shared" si="109"/>
        <v>0</v>
      </c>
      <c r="EW64" s="409">
        <f t="shared" si="109"/>
        <v>0</v>
      </c>
      <c r="EX64" s="409">
        <f t="shared" si="109"/>
        <v>0</v>
      </c>
      <c r="EY64" s="409">
        <f t="shared" si="109"/>
        <v>0</v>
      </c>
      <c r="EZ64" s="409">
        <f t="shared" si="109"/>
        <v>0</v>
      </c>
      <c r="FA64" s="409">
        <f t="shared" si="109"/>
        <v>0</v>
      </c>
      <c r="FB64" s="409">
        <f t="shared" si="109"/>
        <v>0</v>
      </c>
      <c r="FC64" s="409">
        <f t="shared" si="110"/>
        <v>0</v>
      </c>
      <c r="FD64" s="409">
        <f t="shared" si="110"/>
        <v>0</v>
      </c>
      <c r="FE64" s="409">
        <f t="shared" si="110"/>
        <v>0</v>
      </c>
      <c r="FF64" s="409">
        <f t="shared" si="110"/>
        <v>0</v>
      </c>
      <c r="FG64" s="409">
        <f t="shared" si="110"/>
        <v>0</v>
      </c>
      <c r="FH64" s="409">
        <f t="shared" si="110"/>
        <v>0</v>
      </c>
      <c r="FI64" s="409">
        <f t="shared" si="110"/>
        <v>0</v>
      </c>
      <c r="FJ64" s="409">
        <f t="shared" si="110"/>
        <v>0</v>
      </c>
      <c r="FK64" s="409">
        <f t="shared" si="110"/>
        <v>0</v>
      </c>
      <c r="FL64" s="409">
        <f t="shared" si="110"/>
        <v>0</v>
      </c>
      <c r="FM64" s="409">
        <f t="shared" si="111"/>
        <v>0</v>
      </c>
      <c r="FN64" s="409">
        <f t="shared" si="111"/>
        <v>0</v>
      </c>
      <c r="FO64" s="409">
        <f t="shared" si="111"/>
        <v>0</v>
      </c>
      <c r="FP64" s="409">
        <f t="shared" si="111"/>
        <v>0</v>
      </c>
      <c r="FQ64" s="409">
        <f t="shared" si="111"/>
        <v>0</v>
      </c>
      <c r="FR64" s="409">
        <f t="shared" si="111"/>
        <v>0</v>
      </c>
      <c r="FS64" s="409">
        <f t="shared" si="111"/>
        <v>0</v>
      </c>
      <c r="FT64" s="409">
        <f t="shared" si="111"/>
        <v>0</v>
      </c>
      <c r="FU64" s="409">
        <f t="shared" si="111"/>
        <v>0</v>
      </c>
      <c r="FV64" s="409">
        <f t="shared" si="111"/>
        <v>0</v>
      </c>
      <c r="FW64" s="409">
        <f t="shared" si="112"/>
        <v>0</v>
      </c>
      <c r="FX64" s="409">
        <f t="shared" si="112"/>
        <v>0</v>
      </c>
      <c r="FY64" s="409">
        <f t="shared" si="112"/>
        <v>0</v>
      </c>
      <c r="FZ64" s="409">
        <f t="shared" si="112"/>
        <v>0</v>
      </c>
      <c r="GA64" s="409">
        <f t="shared" si="112"/>
        <v>0</v>
      </c>
      <c r="GB64" s="409">
        <f t="shared" si="112"/>
        <v>0</v>
      </c>
      <c r="GC64" s="409">
        <f t="shared" si="112"/>
        <v>0</v>
      </c>
      <c r="GD64" s="409">
        <f t="shared" si="112"/>
        <v>0</v>
      </c>
      <c r="GE64" s="409">
        <f t="shared" si="112"/>
        <v>0</v>
      </c>
      <c r="GF64" s="409">
        <f t="shared" si="112"/>
        <v>0</v>
      </c>
      <c r="GG64" s="409">
        <f t="shared" si="113"/>
        <v>0</v>
      </c>
      <c r="GH64" s="409">
        <f t="shared" si="113"/>
        <v>0</v>
      </c>
      <c r="GI64" s="409">
        <f t="shared" si="113"/>
        <v>0</v>
      </c>
      <c r="GJ64" s="409">
        <f t="shared" si="113"/>
        <v>0</v>
      </c>
      <c r="GK64" s="409">
        <f t="shared" si="113"/>
        <v>0</v>
      </c>
      <c r="GL64" s="409">
        <f t="shared" si="113"/>
        <v>0</v>
      </c>
      <c r="GM64" s="409">
        <f t="shared" si="113"/>
        <v>0</v>
      </c>
      <c r="GN64" s="409">
        <f t="shared" si="113"/>
        <v>0</v>
      </c>
      <c r="GO64" s="409">
        <f t="shared" si="113"/>
        <v>0</v>
      </c>
      <c r="GP64" s="409">
        <f t="shared" si="113"/>
        <v>0</v>
      </c>
      <c r="GQ64" s="409">
        <f t="shared" si="114"/>
        <v>0</v>
      </c>
      <c r="GR64" s="409">
        <f t="shared" si="114"/>
        <v>0</v>
      </c>
      <c r="GS64" s="409">
        <f t="shared" si="114"/>
        <v>0</v>
      </c>
      <c r="GT64" s="409">
        <f t="shared" si="114"/>
        <v>0</v>
      </c>
      <c r="GU64" s="409">
        <f t="shared" si="114"/>
        <v>0</v>
      </c>
      <c r="GV64" s="409">
        <f t="shared" si="114"/>
        <v>0</v>
      </c>
      <c r="GW64" s="409">
        <f t="shared" si="114"/>
        <v>0</v>
      </c>
      <c r="GX64" s="409">
        <f t="shared" si="114"/>
        <v>0</v>
      </c>
      <c r="GY64" s="409">
        <f t="shared" si="114"/>
        <v>0</v>
      </c>
      <c r="GZ64" s="409">
        <f t="shared" si="114"/>
        <v>0</v>
      </c>
      <c r="HA64" s="409">
        <f t="shared" si="115"/>
        <v>0</v>
      </c>
      <c r="HB64" s="409">
        <f t="shared" si="115"/>
        <v>0</v>
      </c>
      <c r="HC64" s="409">
        <f t="shared" si="115"/>
        <v>0</v>
      </c>
      <c r="HD64" s="409">
        <f t="shared" si="115"/>
        <v>0</v>
      </c>
      <c r="HE64" s="409">
        <f t="shared" si="115"/>
        <v>0</v>
      </c>
      <c r="HF64" s="409">
        <f t="shared" si="115"/>
        <v>0</v>
      </c>
      <c r="HG64" s="409">
        <f t="shared" si="115"/>
        <v>0</v>
      </c>
      <c r="HH64" s="409">
        <f t="shared" si="115"/>
        <v>0</v>
      </c>
      <c r="HI64" s="409">
        <f t="shared" si="115"/>
        <v>0</v>
      </c>
      <c r="HJ64" s="409">
        <f t="shared" si="115"/>
        <v>0</v>
      </c>
      <c r="HK64" s="409">
        <f t="shared" si="116"/>
        <v>0</v>
      </c>
      <c r="HL64" s="409">
        <f t="shared" si="116"/>
        <v>0</v>
      </c>
      <c r="HM64" s="409">
        <f t="shared" si="116"/>
        <v>0</v>
      </c>
      <c r="HN64" s="409">
        <f t="shared" si="116"/>
        <v>0</v>
      </c>
      <c r="HO64" s="409">
        <f t="shared" si="116"/>
        <v>0</v>
      </c>
      <c r="HP64" s="409">
        <f t="shared" si="116"/>
        <v>0</v>
      </c>
      <c r="HQ64" s="409">
        <f t="shared" si="116"/>
        <v>0</v>
      </c>
      <c r="HR64" s="409">
        <f t="shared" si="116"/>
        <v>0</v>
      </c>
      <c r="HS64" s="409">
        <f t="shared" si="116"/>
        <v>0</v>
      </c>
      <c r="HT64" s="409">
        <f t="shared" si="116"/>
        <v>0</v>
      </c>
      <c r="HU64" s="409">
        <f t="shared" si="117"/>
        <v>0</v>
      </c>
      <c r="HV64" s="409">
        <f t="shared" si="117"/>
        <v>0</v>
      </c>
      <c r="HW64" s="409">
        <f t="shared" si="117"/>
        <v>0</v>
      </c>
      <c r="HX64" s="409">
        <f t="shared" si="117"/>
        <v>0</v>
      </c>
      <c r="HY64" s="409">
        <f t="shared" si="117"/>
        <v>0</v>
      </c>
      <c r="HZ64" s="409">
        <f t="shared" si="117"/>
        <v>0</v>
      </c>
      <c r="IA64" s="409">
        <f t="shared" si="117"/>
        <v>0</v>
      </c>
      <c r="IB64" s="409">
        <f t="shared" si="117"/>
        <v>0</v>
      </c>
      <c r="IC64" s="409">
        <f t="shared" si="117"/>
        <v>0</v>
      </c>
      <c r="ID64" s="409">
        <f t="shared" si="117"/>
        <v>0</v>
      </c>
      <c r="IE64" s="409">
        <f t="shared" si="118"/>
        <v>0</v>
      </c>
      <c r="IF64" s="409">
        <f t="shared" si="118"/>
        <v>0</v>
      </c>
      <c r="IG64" s="409">
        <f t="shared" si="118"/>
        <v>0</v>
      </c>
      <c r="IH64" s="409">
        <f t="shared" si="118"/>
        <v>0</v>
      </c>
      <c r="II64" s="409">
        <f t="shared" si="118"/>
        <v>0</v>
      </c>
      <c r="IJ64" s="409">
        <f t="shared" si="118"/>
        <v>0</v>
      </c>
      <c r="IK64" s="378">
        <f t="shared" si="54"/>
        <v>57</v>
      </c>
    </row>
    <row r="65" spans="1:249" hidden="1" x14ac:dyDescent="0.2">
      <c r="A65" s="380" t="str">
        <f t="shared" si="119"/>
        <v>e</v>
      </c>
      <c r="B65" s="712" t="str" cm="1">
        <f t="array" ref="B65">IF(ISERROR(INDEX('Legend(Skid)'!$H$8:$H$9,ROW()-42)),"",INDEX('Legend(Skid)'!$H$8:$H$9,ROW()-42))</f>
        <v/>
      </c>
      <c r="C65" s="712" t="e" cm="1">
        <f t="array" ref="C65">IF(INDEX('Legend(Skid)'!$T$8:$T$9,ROW()-42)=0,"See Legend",INDEX('Legend(Skid)'!$T$8:$T$9,ROW()-42))</f>
        <v>#REF!</v>
      </c>
      <c r="D65" s="712" t="e">
        <f>IF(INDEX('Legend(Skid)'!$R$8:$R$9,(ROW(C65))-42)=0,IF(AND(INDEX('Legend(Skid)'!$D$8:$D$9,(ROW(C65))-41)="CH",INDEX('Legend(Skid)'!$F$8:$F$9,(ROW(C65))-41)="CASE - MANUAL"),INDEX('Legend(Skid)'!$R$8:$R$9,(ROW(C65))-41),IF(INDEX('Legend(Skid)'!$V$8:$V$9,(ROW(C65))-42)&gt;1, "(" &amp; INDEX('Legend(Skid)'!$V$8:$V$9,(ROW(C65))-42) &amp; ") " &amp; INDEX('Legend(Skid)'!$W$8:$W$9,(ROW(C65))-41),INDEX('Legend(Skid)'!$W$8:$W$9,(ROW(C65))-42))),INDEX('Legend(Skid)'!$R$8:$R$9,(ROW(C65))-42))</f>
        <v>#REF!</v>
      </c>
      <c r="E65" s="713" cm="1">
        <f t="array" ref="E65">IF(OR(ISNUMBER(SEARCH("Pump",C65)),ISNUMBER(SEARCH("PH",C65)),ISERROR(INDEX('Legend(Skid)'!$AA$8:$AA$9,ROW()-42))),0,INDEX('Legend(Skid)'!$AA$8:$AA$9,ROW()-42))</f>
        <v>0</v>
      </c>
      <c r="F65" s="714"/>
      <c r="G65" s="714"/>
      <c r="H65" s="714"/>
      <c r="I65" s="714"/>
      <c r="J65" s="714"/>
      <c r="K65" s="890">
        <f t="shared" si="35"/>
        <v>0</v>
      </c>
      <c r="L65" s="718"/>
      <c r="M65" s="720"/>
      <c r="N65" s="972">
        <f t="shared" si="120"/>
        <v>-1</v>
      </c>
      <c r="O65" s="972">
        <f t="shared" si="121"/>
        <v>-1</v>
      </c>
      <c r="P65" s="972">
        <f t="shared" si="122"/>
        <v>-1</v>
      </c>
      <c r="Q65" s="972">
        <f t="shared" si="123"/>
        <v>-1</v>
      </c>
      <c r="R65" s="972">
        <f t="shared" si="124"/>
        <v>-1</v>
      </c>
      <c r="S65" s="972">
        <f t="shared" si="125"/>
        <v>-1</v>
      </c>
      <c r="T65" s="972">
        <f t="shared" si="126"/>
        <v>-1</v>
      </c>
      <c r="U65" s="972">
        <f t="shared" si="127"/>
        <v>-1</v>
      </c>
      <c r="V65" s="972">
        <f t="shared" si="128"/>
        <v>-1</v>
      </c>
      <c r="W65" s="972">
        <f t="shared" si="129"/>
        <v>-1</v>
      </c>
      <c r="X65" s="972">
        <f t="shared" si="130"/>
        <v>-1</v>
      </c>
      <c r="Y65" s="972">
        <f t="shared" si="131"/>
        <v>-1</v>
      </c>
      <c r="Z65" s="972">
        <f t="shared" si="132"/>
        <v>-1</v>
      </c>
      <c r="AA65" s="972">
        <f t="shared" si="133"/>
        <v>-1</v>
      </c>
      <c r="AB65" s="972">
        <f t="shared" si="134"/>
        <v>-1</v>
      </c>
      <c r="AC65" s="972">
        <f t="shared" si="135"/>
        <v>-1</v>
      </c>
      <c r="AD65" s="972">
        <f t="shared" si="136"/>
        <v>-1</v>
      </c>
      <c r="AE65" s="972">
        <f t="shared" si="137"/>
        <v>-1</v>
      </c>
      <c r="AF65" s="972">
        <f t="shared" si="138"/>
        <v>-1</v>
      </c>
      <c r="AG65" s="972">
        <f t="shared" si="139"/>
        <v>-1</v>
      </c>
      <c r="AH65" s="972">
        <f t="shared" si="140"/>
        <v>-1</v>
      </c>
      <c r="AI65" s="972">
        <f t="shared" si="141"/>
        <v>-1</v>
      </c>
      <c r="AJ65" s="972">
        <f t="shared" si="142"/>
        <v>-1</v>
      </c>
      <c r="AK65" s="381" t="str">
        <f>IF(ISERROR(INDEX('Legend(Skid)'!$AI$8:$AI$9,ROW()-42)),"",INDEX('Legend(Skid)'!$AI$8:$AI$9,ROW()-42))</f>
        <v/>
      </c>
      <c r="AL65" s="727" t="str">
        <f t="shared" si="53"/>
        <v/>
      </c>
      <c r="AM65" s="409">
        <f t="shared" si="98"/>
        <v>0</v>
      </c>
      <c r="AN65" s="409">
        <f t="shared" si="98"/>
        <v>0</v>
      </c>
      <c r="AO65" s="409">
        <f t="shared" si="98"/>
        <v>0</v>
      </c>
      <c r="AP65" s="409">
        <f t="shared" si="98"/>
        <v>0</v>
      </c>
      <c r="AQ65" s="409">
        <f t="shared" si="98"/>
        <v>0</v>
      </c>
      <c r="AR65" s="409">
        <f t="shared" si="98"/>
        <v>0</v>
      </c>
      <c r="AS65" s="409">
        <f t="shared" si="98"/>
        <v>0</v>
      </c>
      <c r="AT65" s="409">
        <f t="shared" si="98"/>
        <v>0</v>
      </c>
      <c r="AU65" s="409">
        <f t="shared" si="98"/>
        <v>0</v>
      </c>
      <c r="AV65" s="409">
        <f t="shared" si="98"/>
        <v>0</v>
      </c>
      <c r="AW65" s="409">
        <f t="shared" si="99"/>
        <v>0</v>
      </c>
      <c r="AX65" s="409">
        <f t="shared" si="99"/>
        <v>0</v>
      </c>
      <c r="AY65" s="409">
        <f t="shared" si="99"/>
        <v>0</v>
      </c>
      <c r="AZ65" s="409">
        <f t="shared" si="99"/>
        <v>0</v>
      </c>
      <c r="BA65" s="409">
        <f t="shared" si="99"/>
        <v>0</v>
      </c>
      <c r="BB65" s="409">
        <f t="shared" si="99"/>
        <v>0</v>
      </c>
      <c r="BC65" s="409">
        <f t="shared" si="99"/>
        <v>0</v>
      </c>
      <c r="BD65" s="409">
        <f t="shared" si="99"/>
        <v>0</v>
      </c>
      <c r="BE65" s="409">
        <f t="shared" si="99"/>
        <v>0</v>
      </c>
      <c r="BF65" s="409">
        <f t="shared" si="99"/>
        <v>0</v>
      </c>
      <c r="BG65" s="409">
        <f t="shared" si="100"/>
        <v>0</v>
      </c>
      <c r="BH65" s="409">
        <f t="shared" si="100"/>
        <v>0</v>
      </c>
      <c r="BI65" s="409">
        <f t="shared" si="100"/>
        <v>0</v>
      </c>
      <c r="BJ65" s="409">
        <f t="shared" si="100"/>
        <v>0</v>
      </c>
      <c r="BK65" s="409">
        <f t="shared" si="100"/>
        <v>0</v>
      </c>
      <c r="BL65" s="409">
        <f t="shared" si="100"/>
        <v>0</v>
      </c>
      <c r="BM65" s="409">
        <f t="shared" si="100"/>
        <v>0</v>
      </c>
      <c r="BN65" s="409">
        <f t="shared" si="100"/>
        <v>0</v>
      </c>
      <c r="BO65" s="409">
        <f t="shared" si="100"/>
        <v>0</v>
      </c>
      <c r="BP65" s="409">
        <f t="shared" si="100"/>
        <v>0</v>
      </c>
      <c r="BQ65" s="409">
        <f t="shared" si="101"/>
        <v>0</v>
      </c>
      <c r="BR65" s="409">
        <f t="shared" si="101"/>
        <v>0</v>
      </c>
      <c r="BS65" s="409">
        <f t="shared" si="101"/>
        <v>0</v>
      </c>
      <c r="BT65" s="409">
        <f t="shared" si="101"/>
        <v>0</v>
      </c>
      <c r="BU65" s="409">
        <f t="shared" si="101"/>
        <v>0</v>
      </c>
      <c r="BV65" s="409">
        <f t="shared" si="101"/>
        <v>0</v>
      </c>
      <c r="BW65" s="409">
        <f t="shared" si="101"/>
        <v>0</v>
      </c>
      <c r="BX65" s="409">
        <f t="shared" si="101"/>
        <v>0</v>
      </c>
      <c r="BY65" s="409">
        <f t="shared" si="101"/>
        <v>0</v>
      </c>
      <c r="BZ65" s="409">
        <f t="shared" si="101"/>
        <v>0</v>
      </c>
      <c r="CA65" s="409">
        <f t="shared" si="102"/>
        <v>0</v>
      </c>
      <c r="CB65" s="409">
        <f t="shared" si="102"/>
        <v>0</v>
      </c>
      <c r="CC65" s="409">
        <f t="shared" si="102"/>
        <v>0</v>
      </c>
      <c r="CD65" s="409">
        <f t="shared" si="102"/>
        <v>0</v>
      </c>
      <c r="CE65" s="409">
        <f t="shared" si="102"/>
        <v>0</v>
      </c>
      <c r="CF65" s="409">
        <f t="shared" si="102"/>
        <v>0</v>
      </c>
      <c r="CG65" s="409">
        <f t="shared" si="102"/>
        <v>0</v>
      </c>
      <c r="CH65" s="409">
        <f t="shared" si="102"/>
        <v>0</v>
      </c>
      <c r="CI65" s="409">
        <f t="shared" si="102"/>
        <v>0</v>
      </c>
      <c r="CJ65" s="409">
        <f t="shared" si="102"/>
        <v>0</v>
      </c>
      <c r="CK65" s="409">
        <f t="shared" si="103"/>
        <v>0</v>
      </c>
      <c r="CL65" s="409">
        <f t="shared" si="103"/>
        <v>0</v>
      </c>
      <c r="CM65" s="409">
        <f t="shared" si="103"/>
        <v>0</v>
      </c>
      <c r="CN65" s="409">
        <f t="shared" si="103"/>
        <v>0</v>
      </c>
      <c r="CO65" s="409">
        <f t="shared" si="103"/>
        <v>0</v>
      </c>
      <c r="CP65" s="409">
        <f t="shared" si="103"/>
        <v>0</v>
      </c>
      <c r="CQ65" s="409">
        <f t="shared" si="103"/>
        <v>0</v>
      </c>
      <c r="CR65" s="409">
        <f t="shared" si="103"/>
        <v>0</v>
      </c>
      <c r="CS65" s="409">
        <f t="shared" si="103"/>
        <v>0</v>
      </c>
      <c r="CT65" s="409">
        <f t="shared" si="103"/>
        <v>0</v>
      </c>
      <c r="CU65" s="409">
        <f t="shared" si="104"/>
        <v>0</v>
      </c>
      <c r="CV65" s="409">
        <f t="shared" si="104"/>
        <v>0</v>
      </c>
      <c r="CW65" s="409">
        <f t="shared" si="104"/>
        <v>0</v>
      </c>
      <c r="CX65" s="409">
        <f t="shared" si="104"/>
        <v>0</v>
      </c>
      <c r="CY65" s="409">
        <f t="shared" si="104"/>
        <v>0</v>
      </c>
      <c r="CZ65" s="409">
        <f t="shared" si="104"/>
        <v>0</v>
      </c>
      <c r="DA65" s="409">
        <f t="shared" si="104"/>
        <v>0</v>
      </c>
      <c r="DB65" s="409">
        <f t="shared" si="104"/>
        <v>0</v>
      </c>
      <c r="DC65" s="409">
        <f t="shared" si="104"/>
        <v>0</v>
      </c>
      <c r="DD65" s="409">
        <f t="shared" si="104"/>
        <v>0</v>
      </c>
      <c r="DE65" s="409">
        <f t="shared" si="105"/>
        <v>0</v>
      </c>
      <c r="DF65" s="409">
        <f t="shared" si="105"/>
        <v>0</v>
      </c>
      <c r="DG65" s="409">
        <f t="shared" si="105"/>
        <v>0</v>
      </c>
      <c r="DH65" s="409">
        <f t="shared" si="105"/>
        <v>0</v>
      </c>
      <c r="DI65" s="409">
        <f t="shared" si="105"/>
        <v>0</v>
      </c>
      <c r="DJ65" s="409">
        <f t="shared" si="105"/>
        <v>0</v>
      </c>
      <c r="DK65" s="409">
        <f t="shared" si="105"/>
        <v>0</v>
      </c>
      <c r="DL65" s="409">
        <f t="shared" si="105"/>
        <v>0</v>
      </c>
      <c r="DM65" s="409">
        <f t="shared" si="105"/>
        <v>0</v>
      </c>
      <c r="DN65" s="409">
        <f t="shared" si="105"/>
        <v>0</v>
      </c>
      <c r="DO65" s="409">
        <f t="shared" si="106"/>
        <v>0</v>
      </c>
      <c r="DP65" s="409">
        <f t="shared" si="106"/>
        <v>0</v>
      </c>
      <c r="DQ65" s="409">
        <f t="shared" si="106"/>
        <v>0</v>
      </c>
      <c r="DR65" s="409">
        <f t="shared" si="106"/>
        <v>0</v>
      </c>
      <c r="DS65" s="409">
        <f t="shared" si="106"/>
        <v>0</v>
      </c>
      <c r="DT65" s="409">
        <f t="shared" si="106"/>
        <v>0</v>
      </c>
      <c r="DU65" s="409">
        <f t="shared" si="106"/>
        <v>0</v>
      </c>
      <c r="DV65" s="409">
        <f t="shared" si="106"/>
        <v>0</v>
      </c>
      <c r="DW65" s="409">
        <f t="shared" si="106"/>
        <v>0</v>
      </c>
      <c r="DX65" s="409">
        <f t="shared" si="106"/>
        <v>0</v>
      </c>
      <c r="DY65" s="409">
        <f t="shared" si="107"/>
        <v>0</v>
      </c>
      <c r="DZ65" s="409">
        <f t="shared" si="107"/>
        <v>0</v>
      </c>
      <c r="EA65" s="409">
        <f t="shared" si="107"/>
        <v>0</v>
      </c>
      <c r="EB65" s="409">
        <f t="shared" si="107"/>
        <v>0</v>
      </c>
      <c r="EC65" s="409">
        <f t="shared" si="107"/>
        <v>0</v>
      </c>
      <c r="ED65" s="409">
        <f t="shared" si="107"/>
        <v>0</v>
      </c>
      <c r="EE65" s="409">
        <f t="shared" si="107"/>
        <v>0</v>
      </c>
      <c r="EF65" s="409">
        <f t="shared" si="107"/>
        <v>0</v>
      </c>
      <c r="EG65" s="409">
        <f t="shared" si="107"/>
        <v>0</v>
      </c>
      <c r="EH65" s="409">
        <f t="shared" si="107"/>
        <v>0</v>
      </c>
      <c r="EI65" s="409">
        <f t="shared" si="108"/>
        <v>0</v>
      </c>
      <c r="EJ65" s="409">
        <f t="shared" si="108"/>
        <v>0</v>
      </c>
      <c r="EK65" s="409">
        <f t="shared" si="108"/>
        <v>0</v>
      </c>
      <c r="EL65" s="409">
        <f t="shared" si="108"/>
        <v>0</v>
      </c>
      <c r="EM65" s="409">
        <f t="shared" si="108"/>
        <v>0</v>
      </c>
      <c r="EN65" s="409">
        <f t="shared" si="108"/>
        <v>0</v>
      </c>
      <c r="EO65" s="409">
        <f t="shared" si="108"/>
        <v>0</v>
      </c>
      <c r="EP65" s="409">
        <f t="shared" si="108"/>
        <v>0</v>
      </c>
      <c r="EQ65" s="409">
        <f t="shared" si="108"/>
        <v>0</v>
      </c>
      <c r="ER65" s="409">
        <f t="shared" si="108"/>
        <v>0</v>
      </c>
      <c r="ES65" s="409">
        <f t="shared" si="109"/>
        <v>0</v>
      </c>
      <c r="ET65" s="409">
        <f t="shared" si="109"/>
        <v>0</v>
      </c>
      <c r="EU65" s="409">
        <f t="shared" si="109"/>
        <v>0</v>
      </c>
      <c r="EV65" s="409">
        <f t="shared" si="109"/>
        <v>0</v>
      </c>
      <c r="EW65" s="409">
        <f t="shared" si="109"/>
        <v>0</v>
      </c>
      <c r="EX65" s="409">
        <f t="shared" si="109"/>
        <v>0</v>
      </c>
      <c r="EY65" s="409">
        <f t="shared" si="109"/>
        <v>0</v>
      </c>
      <c r="EZ65" s="409">
        <f t="shared" si="109"/>
        <v>0</v>
      </c>
      <c r="FA65" s="409">
        <f t="shared" si="109"/>
        <v>0</v>
      </c>
      <c r="FB65" s="409">
        <f t="shared" si="109"/>
        <v>0</v>
      </c>
      <c r="FC65" s="409">
        <f t="shared" si="110"/>
        <v>0</v>
      </c>
      <c r="FD65" s="409">
        <f t="shared" si="110"/>
        <v>0</v>
      </c>
      <c r="FE65" s="409">
        <f t="shared" si="110"/>
        <v>0</v>
      </c>
      <c r="FF65" s="409">
        <f t="shared" si="110"/>
        <v>0</v>
      </c>
      <c r="FG65" s="409">
        <f t="shared" si="110"/>
        <v>0</v>
      </c>
      <c r="FH65" s="409">
        <f t="shared" si="110"/>
        <v>0</v>
      </c>
      <c r="FI65" s="409">
        <f t="shared" si="110"/>
        <v>0</v>
      </c>
      <c r="FJ65" s="409">
        <f t="shared" si="110"/>
        <v>0</v>
      </c>
      <c r="FK65" s="409">
        <f t="shared" si="110"/>
        <v>0</v>
      </c>
      <c r="FL65" s="409">
        <f t="shared" si="110"/>
        <v>0</v>
      </c>
      <c r="FM65" s="409">
        <f t="shared" si="111"/>
        <v>0</v>
      </c>
      <c r="FN65" s="409">
        <f t="shared" si="111"/>
        <v>0</v>
      </c>
      <c r="FO65" s="409">
        <f t="shared" si="111"/>
        <v>0</v>
      </c>
      <c r="FP65" s="409">
        <f t="shared" si="111"/>
        <v>0</v>
      </c>
      <c r="FQ65" s="409">
        <f t="shared" si="111"/>
        <v>0</v>
      </c>
      <c r="FR65" s="409">
        <f t="shared" si="111"/>
        <v>0</v>
      </c>
      <c r="FS65" s="409">
        <f t="shared" si="111"/>
        <v>0</v>
      </c>
      <c r="FT65" s="409">
        <f t="shared" si="111"/>
        <v>0</v>
      </c>
      <c r="FU65" s="409">
        <f t="shared" si="111"/>
        <v>0</v>
      </c>
      <c r="FV65" s="409">
        <f t="shared" si="111"/>
        <v>0</v>
      </c>
      <c r="FW65" s="409">
        <f t="shared" si="112"/>
        <v>0</v>
      </c>
      <c r="FX65" s="409">
        <f t="shared" si="112"/>
        <v>0</v>
      </c>
      <c r="FY65" s="409">
        <f t="shared" si="112"/>
        <v>0</v>
      </c>
      <c r="FZ65" s="409">
        <f t="shared" si="112"/>
        <v>0</v>
      </c>
      <c r="GA65" s="409">
        <f t="shared" si="112"/>
        <v>0</v>
      </c>
      <c r="GB65" s="409">
        <f t="shared" si="112"/>
        <v>0</v>
      </c>
      <c r="GC65" s="409">
        <f t="shared" si="112"/>
        <v>0</v>
      </c>
      <c r="GD65" s="409">
        <f t="shared" si="112"/>
        <v>0</v>
      </c>
      <c r="GE65" s="409">
        <f t="shared" si="112"/>
        <v>0</v>
      </c>
      <c r="GF65" s="409">
        <f t="shared" si="112"/>
        <v>0</v>
      </c>
      <c r="GG65" s="409">
        <f t="shared" si="113"/>
        <v>0</v>
      </c>
      <c r="GH65" s="409">
        <f t="shared" si="113"/>
        <v>0</v>
      </c>
      <c r="GI65" s="409">
        <f t="shared" si="113"/>
        <v>0</v>
      </c>
      <c r="GJ65" s="409">
        <f t="shared" si="113"/>
        <v>0</v>
      </c>
      <c r="GK65" s="409">
        <f t="shared" si="113"/>
        <v>0</v>
      </c>
      <c r="GL65" s="409">
        <f t="shared" si="113"/>
        <v>0</v>
      </c>
      <c r="GM65" s="409">
        <f t="shared" si="113"/>
        <v>0</v>
      </c>
      <c r="GN65" s="409">
        <f t="shared" si="113"/>
        <v>0</v>
      </c>
      <c r="GO65" s="409">
        <f t="shared" si="113"/>
        <v>0</v>
      </c>
      <c r="GP65" s="409">
        <f t="shared" si="113"/>
        <v>0</v>
      </c>
      <c r="GQ65" s="409">
        <f t="shared" si="114"/>
        <v>0</v>
      </c>
      <c r="GR65" s="409">
        <f t="shared" si="114"/>
        <v>0</v>
      </c>
      <c r="GS65" s="409">
        <f t="shared" si="114"/>
        <v>0</v>
      </c>
      <c r="GT65" s="409">
        <f t="shared" si="114"/>
        <v>0</v>
      </c>
      <c r="GU65" s="409">
        <f t="shared" si="114"/>
        <v>0</v>
      </c>
      <c r="GV65" s="409">
        <f t="shared" si="114"/>
        <v>0</v>
      </c>
      <c r="GW65" s="409">
        <f t="shared" si="114"/>
        <v>0</v>
      </c>
      <c r="GX65" s="409">
        <f t="shared" si="114"/>
        <v>0</v>
      </c>
      <c r="GY65" s="409">
        <f t="shared" si="114"/>
        <v>0</v>
      </c>
      <c r="GZ65" s="409">
        <f t="shared" si="114"/>
        <v>0</v>
      </c>
      <c r="HA65" s="409">
        <f t="shared" si="115"/>
        <v>0</v>
      </c>
      <c r="HB65" s="409">
        <f t="shared" si="115"/>
        <v>0</v>
      </c>
      <c r="HC65" s="409">
        <f t="shared" si="115"/>
        <v>0</v>
      </c>
      <c r="HD65" s="409">
        <f t="shared" si="115"/>
        <v>0</v>
      </c>
      <c r="HE65" s="409">
        <f t="shared" si="115"/>
        <v>0</v>
      </c>
      <c r="HF65" s="409">
        <f t="shared" si="115"/>
        <v>0</v>
      </c>
      <c r="HG65" s="409">
        <f t="shared" si="115"/>
        <v>0</v>
      </c>
      <c r="HH65" s="409">
        <f t="shared" si="115"/>
        <v>0</v>
      </c>
      <c r="HI65" s="409">
        <f t="shared" si="115"/>
        <v>0</v>
      </c>
      <c r="HJ65" s="409">
        <f t="shared" si="115"/>
        <v>0</v>
      </c>
      <c r="HK65" s="409">
        <f t="shared" si="116"/>
        <v>0</v>
      </c>
      <c r="HL65" s="409">
        <f t="shared" si="116"/>
        <v>0</v>
      </c>
      <c r="HM65" s="409">
        <f t="shared" si="116"/>
        <v>0</v>
      </c>
      <c r="HN65" s="409">
        <f t="shared" si="116"/>
        <v>0</v>
      </c>
      <c r="HO65" s="409">
        <f t="shared" si="116"/>
        <v>0</v>
      </c>
      <c r="HP65" s="409">
        <f t="shared" si="116"/>
        <v>0</v>
      </c>
      <c r="HQ65" s="409">
        <f t="shared" si="116"/>
        <v>0</v>
      </c>
      <c r="HR65" s="409">
        <f t="shared" si="116"/>
        <v>0</v>
      </c>
      <c r="HS65" s="409">
        <f t="shared" si="116"/>
        <v>0</v>
      </c>
      <c r="HT65" s="409">
        <f t="shared" si="116"/>
        <v>0</v>
      </c>
      <c r="HU65" s="409">
        <f t="shared" si="117"/>
        <v>0</v>
      </c>
      <c r="HV65" s="409">
        <f t="shared" si="117"/>
        <v>0</v>
      </c>
      <c r="HW65" s="409">
        <f t="shared" si="117"/>
        <v>0</v>
      </c>
      <c r="HX65" s="409">
        <f t="shared" si="117"/>
        <v>0</v>
      </c>
      <c r="HY65" s="409">
        <f t="shared" si="117"/>
        <v>0</v>
      </c>
      <c r="HZ65" s="409">
        <f t="shared" si="117"/>
        <v>0</v>
      </c>
      <c r="IA65" s="409">
        <f t="shared" si="117"/>
        <v>0</v>
      </c>
      <c r="IB65" s="409">
        <f t="shared" si="117"/>
        <v>0</v>
      </c>
      <c r="IC65" s="409">
        <f t="shared" si="117"/>
        <v>0</v>
      </c>
      <c r="ID65" s="409">
        <f t="shared" si="117"/>
        <v>0</v>
      </c>
      <c r="IE65" s="409">
        <f t="shared" si="118"/>
        <v>0</v>
      </c>
      <c r="IF65" s="409">
        <f t="shared" si="118"/>
        <v>0</v>
      </c>
      <c r="IG65" s="409">
        <f t="shared" si="118"/>
        <v>0</v>
      </c>
      <c r="IH65" s="409">
        <f t="shared" si="118"/>
        <v>0</v>
      </c>
      <c r="II65" s="409">
        <f t="shared" si="118"/>
        <v>0</v>
      </c>
      <c r="IJ65" s="409">
        <f t="shared" si="118"/>
        <v>0</v>
      </c>
      <c r="IK65" s="378">
        <f t="shared" si="54"/>
        <v>58</v>
      </c>
    </row>
    <row r="66" spans="1:249" hidden="1" x14ac:dyDescent="0.2">
      <c r="A66" s="380" t="str">
        <f t="shared" si="119"/>
        <v>e</v>
      </c>
      <c r="B66" s="712" t="str" cm="1">
        <f t="array" ref="B66">IF(ISERROR(INDEX('Legend(Skid)'!$H$8:$H$9,ROW()-42)),"",INDEX('Legend(Skid)'!$H$8:$H$9,ROW()-42))</f>
        <v/>
      </c>
      <c r="C66" s="712" t="e" cm="1">
        <f t="array" ref="C66">IF(INDEX('Legend(Skid)'!$T$8:$T$9,ROW()-42)=0,"See Legend",INDEX('Legend(Skid)'!$T$8:$T$9,ROW()-42))</f>
        <v>#REF!</v>
      </c>
      <c r="D66" s="712" t="e">
        <f>IF(INDEX('Legend(Skid)'!$R$8:$R$9,(ROW(C66))-42)=0,IF(AND(INDEX('Legend(Skid)'!$D$8:$D$9,(ROW(C66))-41)="CH",INDEX('Legend(Skid)'!$F$8:$F$9,(ROW(C66))-41)="CASE - MANUAL"),INDEX('Legend(Skid)'!$R$8:$R$9,(ROW(C66))-41),IF(INDEX('Legend(Skid)'!$V$8:$V$9,(ROW(C66))-42)&gt;1, "(" &amp; INDEX('Legend(Skid)'!$V$8:$V$9,(ROW(C66))-42) &amp; ") " &amp; INDEX('Legend(Skid)'!$W$8:$W$9,(ROW(C66))-41),INDEX('Legend(Skid)'!$W$8:$W$9,(ROW(C66))-42))),INDEX('Legend(Skid)'!$R$8:$R$9,(ROW(C66))-42))</f>
        <v>#REF!</v>
      </c>
      <c r="E66" s="713" cm="1">
        <f t="array" ref="E66">IF(OR(ISNUMBER(SEARCH("Pump",C66)),ISNUMBER(SEARCH("PH",C66)),ISERROR(INDEX('Legend(Skid)'!$AA$8:$AA$9,ROW()-42))),0,INDEX('Legend(Skid)'!$AA$8:$AA$9,ROW()-42))</f>
        <v>0</v>
      </c>
      <c r="F66" s="714"/>
      <c r="G66" s="714"/>
      <c r="H66" s="714"/>
      <c r="I66" s="714"/>
      <c r="J66" s="714"/>
      <c r="K66" s="890">
        <f t="shared" si="35"/>
        <v>0</v>
      </c>
      <c r="L66" s="718"/>
      <c r="M66" s="720"/>
      <c r="N66" s="972">
        <f t="shared" si="120"/>
        <v>-1</v>
      </c>
      <c r="O66" s="972">
        <f t="shared" si="121"/>
        <v>-1</v>
      </c>
      <c r="P66" s="972">
        <f t="shared" si="122"/>
        <v>-1</v>
      </c>
      <c r="Q66" s="972">
        <f t="shared" si="123"/>
        <v>-1</v>
      </c>
      <c r="R66" s="972">
        <f t="shared" si="124"/>
        <v>-1</v>
      </c>
      <c r="S66" s="972">
        <f t="shared" si="125"/>
        <v>-1</v>
      </c>
      <c r="T66" s="972">
        <f t="shared" si="126"/>
        <v>-1</v>
      </c>
      <c r="U66" s="972">
        <f t="shared" si="127"/>
        <v>-1</v>
      </c>
      <c r="V66" s="972">
        <f t="shared" si="128"/>
        <v>-1</v>
      </c>
      <c r="W66" s="972">
        <f t="shared" si="129"/>
        <v>-1</v>
      </c>
      <c r="X66" s="972">
        <f t="shared" si="130"/>
        <v>-1</v>
      </c>
      <c r="Y66" s="972">
        <f t="shared" si="131"/>
        <v>-1</v>
      </c>
      <c r="Z66" s="972">
        <f t="shared" si="132"/>
        <v>-1</v>
      </c>
      <c r="AA66" s="972">
        <f t="shared" si="133"/>
        <v>-1</v>
      </c>
      <c r="AB66" s="972">
        <f t="shared" si="134"/>
        <v>-1</v>
      </c>
      <c r="AC66" s="972">
        <f t="shared" si="135"/>
        <v>-1</v>
      </c>
      <c r="AD66" s="972">
        <f t="shared" si="136"/>
        <v>-1</v>
      </c>
      <c r="AE66" s="972">
        <f t="shared" si="137"/>
        <v>-1</v>
      </c>
      <c r="AF66" s="972">
        <f t="shared" si="138"/>
        <v>-1</v>
      </c>
      <c r="AG66" s="972">
        <f t="shared" si="139"/>
        <v>-1</v>
      </c>
      <c r="AH66" s="972">
        <f t="shared" si="140"/>
        <v>-1</v>
      </c>
      <c r="AI66" s="972">
        <f t="shared" si="141"/>
        <v>-1</v>
      </c>
      <c r="AJ66" s="972">
        <f t="shared" si="142"/>
        <v>-1</v>
      </c>
      <c r="AK66" s="381" t="str">
        <f>IF(ISERROR(INDEX('Legend(Skid)'!$AI$8:$AI$9,ROW()-42)),"",INDEX('Legend(Skid)'!$AI$8:$AI$9,ROW()-42))</f>
        <v/>
      </c>
      <c r="AL66" s="727" t="str">
        <f t="shared" si="53"/>
        <v/>
      </c>
      <c r="AM66" s="409">
        <f t="shared" si="98"/>
        <v>0</v>
      </c>
      <c r="AN66" s="409">
        <f t="shared" si="98"/>
        <v>0</v>
      </c>
      <c r="AO66" s="409">
        <f t="shared" si="98"/>
        <v>0</v>
      </c>
      <c r="AP66" s="409">
        <f t="shared" si="98"/>
        <v>0</v>
      </c>
      <c r="AQ66" s="409">
        <f t="shared" si="98"/>
        <v>0</v>
      </c>
      <c r="AR66" s="409">
        <f t="shared" si="98"/>
        <v>0</v>
      </c>
      <c r="AS66" s="409">
        <f t="shared" si="98"/>
        <v>0</v>
      </c>
      <c r="AT66" s="409">
        <f t="shared" si="98"/>
        <v>0</v>
      </c>
      <c r="AU66" s="409">
        <f t="shared" si="98"/>
        <v>0</v>
      </c>
      <c r="AV66" s="409">
        <f t="shared" si="98"/>
        <v>0</v>
      </c>
      <c r="AW66" s="409">
        <f t="shared" si="99"/>
        <v>0</v>
      </c>
      <c r="AX66" s="409">
        <f t="shared" si="99"/>
        <v>0</v>
      </c>
      <c r="AY66" s="409">
        <f t="shared" si="99"/>
        <v>0</v>
      </c>
      <c r="AZ66" s="409">
        <f t="shared" si="99"/>
        <v>0</v>
      </c>
      <c r="BA66" s="409">
        <f t="shared" si="99"/>
        <v>0</v>
      </c>
      <c r="BB66" s="409">
        <f t="shared" si="99"/>
        <v>0</v>
      </c>
      <c r="BC66" s="409">
        <f t="shared" si="99"/>
        <v>0</v>
      </c>
      <c r="BD66" s="409">
        <f t="shared" si="99"/>
        <v>0</v>
      </c>
      <c r="BE66" s="409">
        <f t="shared" si="99"/>
        <v>0</v>
      </c>
      <c r="BF66" s="409">
        <f t="shared" si="99"/>
        <v>0</v>
      </c>
      <c r="BG66" s="409">
        <f t="shared" si="100"/>
        <v>0</v>
      </c>
      <c r="BH66" s="409">
        <f t="shared" si="100"/>
        <v>0</v>
      </c>
      <c r="BI66" s="409">
        <f t="shared" si="100"/>
        <v>0</v>
      </c>
      <c r="BJ66" s="409">
        <f t="shared" si="100"/>
        <v>0</v>
      </c>
      <c r="BK66" s="409">
        <f t="shared" si="100"/>
        <v>0</v>
      </c>
      <c r="BL66" s="409">
        <f t="shared" si="100"/>
        <v>0</v>
      </c>
      <c r="BM66" s="409">
        <f t="shared" si="100"/>
        <v>0</v>
      </c>
      <c r="BN66" s="409">
        <f t="shared" si="100"/>
        <v>0</v>
      </c>
      <c r="BO66" s="409">
        <f t="shared" si="100"/>
        <v>0</v>
      </c>
      <c r="BP66" s="409">
        <f t="shared" si="100"/>
        <v>0</v>
      </c>
      <c r="BQ66" s="409">
        <f t="shared" si="101"/>
        <v>0</v>
      </c>
      <c r="BR66" s="409">
        <f t="shared" si="101"/>
        <v>0</v>
      </c>
      <c r="BS66" s="409">
        <f t="shared" si="101"/>
        <v>0</v>
      </c>
      <c r="BT66" s="409">
        <f t="shared" si="101"/>
        <v>0</v>
      </c>
      <c r="BU66" s="409">
        <f t="shared" si="101"/>
        <v>0</v>
      </c>
      <c r="BV66" s="409">
        <f t="shared" si="101"/>
        <v>0</v>
      </c>
      <c r="BW66" s="409">
        <f t="shared" si="101"/>
        <v>0</v>
      </c>
      <c r="BX66" s="409">
        <f t="shared" si="101"/>
        <v>0</v>
      </c>
      <c r="BY66" s="409">
        <f t="shared" si="101"/>
        <v>0</v>
      </c>
      <c r="BZ66" s="409">
        <f t="shared" si="101"/>
        <v>0</v>
      </c>
      <c r="CA66" s="409">
        <f t="shared" si="102"/>
        <v>0</v>
      </c>
      <c r="CB66" s="409">
        <f t="shared" si="102"/>
        <v>0</v>
      </c>
      <c r="CC66" s="409">
        <f t="shared" si="102"/>
        <v>0</v>
      </c>
      <c r="CD66" s="409">
        <f t="shared" si="102"/>
        <v>0</v>
      </c>
      <c r="CE66" s="409">
        <f t="shared" si="102"/>
        <v>0</v>
      </c>
      <c r="CF66" s="409">
        <f t="shared" si="102"/>
        <v>0</v>
      </c>
      <c r="CG66" s="409">
        <f t="shared" si="102"/>
        <v>0</v>
      </c>
      <c r="CH66" s="409">
        <f t="shared" si="102"/>
        <v>0</v>
      </c>
      <c r="CI66" s="409">
        <f t="shared" si="102"/>
        <v>0</v>
      </c>
      <c r="CJ66" s="409">
        <f t="shared" si="102"/>
        <v>0</v>
      </c>
      <c r="CK66" s="409">
        <f t="shared" si="103"/>
        <v>0</v>
      </c>
      <c r="CL66" s="409">
        <f t="shared" si="103"/>
        <v>0</v>
      </c>
      <c r="CM66" s="409">
        <f t="shared" si="103"/>
        <v>0</v>
      </c>
      <c r="CN66" s="409">
        <f t="shared" si="103"/>
        <v>0</v>
      </c>
      <c r="CO66" s="409">
        <f t="shared" si="103"/>
        <v>0</v>
      </c>
      <c r="CP66" s="409">
        <f t="shared" si="103"/>
        <v>0</v>
      </c>
      <c r="CQ66" s="409">
        <f t="shared" si="103"/>
        <v>0</v>
      </c>
      <c r="CR66" s="409">
        <f t="shared" si="103"/>
        <v>0</v>
      </c>
      <c r="CS66" s="409">
        <f t="shared" si="103"/>
        <v>0</v>
      </c>
      <c r="CT66" s="409">
        <f t="shared" si="103"/>
        <v>0</v>
      </c>
      <c r="CU66" s="409">
        <f t="shared" si="104"/>
        <v>0</v>
      </c>
      <c r="CV66" s="409">
        <f t="shared" si="104"/>
        <v>0</v>
      </c>
      <c r="CW66" s="409">
        <f t="shared" si="104"/>
        <v>0</v>
      </c>
      <c r="CX66" s="409">
        <f t="shared" si="104"/>
        <v>0</v>
      </c>
      <c r="CY66" s="409">
        <f t="shared" si="104"/>
        <v>0</v>
      </c>
      <c r="CZ66" s="409">
        <f t="shared" si="104"/>
        <v>0</v>
      </c>
      <c r="DA66" s="409">
        <f t="shared" si="104"/>
        <v>0</v>
      </c>
      <c r="DB66" s="409">
        <f t="shared" si="104"/>
        <v>0</v>
      </c>
      <c r="DC66" s="409">
        <f t="shared" si="104"/>
        <v>0</v>
      </c>
      <c r="DD66" s="409">
        <f t="shared" si="104"/>
        <v>0</v>
      </c>
      <c r="DE66" s="409">
        <f t="shared" si="105"/>
        <v>0</v>
      </c>
      <c r="DF66" s="409">
        <f t="shared" si="105"/>
        <v>0</v>
      </c>
      <c r="DG66" s="409">
        <f t="shared" si="105"/>
        <v>0</v>
      </c>
      <c r="DH66" s="409">
        <f t="shared" si="105"/>
        <v>0</v>
      </c>
      <c r="DI66" s="409">
        <f t="shared" si="105"/>
        <v>0</v>
      </c>
      <c r="DJ66" s="409">
        <f t="shared" si="105"/>
        <v>0</v>
      </c>
      <c r="DK66" s="409">
        <f t="shared" si="105"/>
        <v>0</v>
      </c>
      <c r="DL66" s="409">
        <f t="shared" si="105"/>
        <v>0</v>
      </c>
      <c r="DM66" s="409">
        <f t="shared" si="105"/>
        <v>0</v>
      </c>
      <c r="DN66" s="409">
        <f t="shared" si="105"/>
        <v>0</v>
      </c>
      <c r="DO66" s="409">
        <f t="shared" si="106"/>
        <v>0</v>
      </c>
      <c r="DP66" s="409">
        <f t="shared" si="106"/>
        <v>0</v>
      </c>
      <c r="DQ66" s="409">
        <f t="shared" si="106"/>
        <v>0</v>
      </c>
      <c r="DR66" s="409">
        <f t="shared" si="106"/>
        <v>0</v>
      </c>
      <c r="DS66" s="409">
        <f t="shared" si="106"/>
        <v>0</v>
      </c>
      <c r="DT66" s="409">
        <f t="shared" si="106"/>
        <v>0</v>
      </c>
      <c r="DU66" s="409">
        <f t="shared" si="106"/>
        <v>0</v>
      </c>
      <c r="DV66" s="409">
        <f t="shared" si="106"/>
        <v>0</v>
      </c>
      <c r="DW66" s="409">
        <f t="shared" si="106"/>
        <v>0</v>
      </c>
      <c r="DX66" s="409">
        <f t="shared" si="106"/>
        <v>0</v>
      </c>
      <c r="DY66" s="409">
        <f t="shared" si="107"/>
        <v>0</v>
      </c>
      <c r="DZ66" s="409">
        <f t="shared" si="107"/>
        <v>0</v>
      </c>
      <c r="EA66" s="409">
        <f t="shared" si="107"/>
        <v>0</v>
      </c>
      <c r="EB66" s="409">
        <f t="shared" si="107"/>
        <v>0</v>
      </c>
      <c r="EC66" s="409">
        <f t="shared" si="107"/>
        <v>0</v>
      </c>
      <c r="ED66" s="409">
        <f t="shared" si="107"/>
        <v>0</v>
      </c>
      <c r="EE66" s="409">
        <f t="shared" si="107"/>
        <v>0</v>
      </c>
      <c r="EF66" s="409">
        <f t="shared" si="107"/>
        <v>0</v>
      </c>
      <c r="EG66" s="409">
        <f t="shared" si="107"/>
        <v>0</v>
      </c>
      <c r="EH66" s="409">
        <f t="shared" si="107"/>
        <v>0</v>
      </c>
      <c r="EI66" s="409">
        <f t="shared" si="108"/>
        <v>0</v>
      </c>
      <c r="EJ66" s="409">
        <f t="shared" si="108"/>
        <v>0</v>
      </c>
      <c r="EK66" s="409">
        <f t="shared" si="108"/>
        <v>0</v>
      </c>
      <c r="EL66" s="409">
        <f t="shared" si="108"/>
        <v>0</v>
      </c>
      <c r="EM66" s="409">
        <f t="shared" si="108"/>
        <v>0</v>
      </c>
      <c r="EN66" s="409">
        <f t="shared" si="108"/>
        <v>0</v>
      </c>
      <c r="EO66" s="409">
        <f t="shared" si="108"/>
        <v>0</v>
      </c>
      <c r="EP66" s="409">
        <f t="shared" si="108"/>
        <v>0</v>
      </c>
      <c r="EQ66" s="409">
        <f t="shared" si="108"/>
        <v>0</v>
      </c>
      <c r="ER66" s="409">
        <f t="shared" si="108"/>
        <v>0</v>
      </c>
      <c r="ES66" s="409">
        <f t="shared" si="109"/>
        <v>0</v>
      </c>
      <c r="ET66" s="409">
        <f t="shared" si="109"/>
        <v>0</v>
      </c>
      <c r="EU66" s="409">
        <f t="shared" si="109"/>
        <v>0</v>
      </c>
      <c r="EV66" s="409">
        <f t="shared" si="109"/>
        <v>0</v>
      </c>
      <c r="EW66" s="409">
        <f t="shared" si="109"/>
        <v>0</v>
      </c>
      <c r="EX66" s="409">
        <f t="shared" si="109"/>
        <v>0</v>
      </c>
      <c r="EY66" s="409">
        <f t="shared" si="109"/>
        <v>0</v>
      </c>
      <c r="EZ66" s="409">
        <f t="shared" si="109"/>
        <v>0</v>
      </c>
      <c r="FA66" s="409">
        <f t="shared" si="109"/>
        <v>0</v>
      </c>
      <c r="FB66" s="409">
        <f t="shared" si="109"/>
        <v>0</v>
      </c>
      <c r="FC66" s="409">
        <f t="shared" si="110"/>
        <v>0</v>
      </c>
      <c r="FD66" s="409">
        <f t="shared" si="110"/>
        <v>0</v>
      </c>
      <c r="FE66" s="409">
        <f t="shared" si="110"/>
        <v>0</v>
      </c>
      <c r="FF66" s="409">
        <f t="shared" si="110"/>
        <v>0</v>
      </c>
      <c r="FG66" s="409">
        <f t="shared" si="110"/>
        <v>0</v>
      </c>
      <c r="FH66" s="409">
        <f t="shared" si="110"/>
        <v>0</v>
      </c>
      <c r="FI66" s="409">
        <f t="shared" si="110"/>
        <v>0</v>
      </c>
      <c r="FJ66" s="409">
        <f t="shared" si="110"/>
        <v>0</v>
      </c>
      <c r="FK66" s="409">
        <f t="shared" si="110"/>
        <v>0</v>
      </c>
      <c r="FL66" s="409">
        <f t="shared" si="110"/>
        <v>0</v>
      </c>
      <c r="FM66" s="409">
        <f t="shared" si="111"/>
        <v>0</v>
      </c>
      <c r="FN66" s="409">
        <f t="shared" si="111"/>
        <v>0</v>
      </c>
      <c r="FO66" s="409">
        <f t="shared" si="111"/>
        <v>0</v>
      </c>
      <c r="FP66" s="409">
        <f t="shared" si="111"/>
        <v>0</v>
      </c>
      <c r="FQ66" s="409">
        <f t="shared" si="111"/>
        <v>0</v>
      </c>
      <c r="FR66" s="409">
        <f t="shared" si="111"/>
        <v>0</v>
      </c>
      <c r="FS66" s="409">
        <f t="shared" si="111"/>
        <v>0</v>
      </c>
      <c r="FT66" s="409">
        <f t="shared" si="111"/>
        <v>0</v>
      </c>
      <c r="FU66" s="409">
        <f t="shared" si="111"/>
        <v>0</v>
      </c>
      <c r="FV66" s="409">
        <f t="shared" si="111"/>
        <v>0</v>
      </c>
      <c r="FW66" s="409">
        <f t="shared" si="112"/>
        <v>0</v>
      </c>
      <c r="FX66" s="409">
        <f t="shared" si="112"/>
        <v>0</v>
      </c>
      <c r="FY66" s="409">
        <f t="shared" si="112"/>
        <v>0</v>
      </c>
      <c r="FZ66" s="409">
        <f t="shared" si="112"/>
        <v>0</v>
      </c>
      <c r="GA66" s="409">
        <f t="shared" si="112"/>
        <v>0</v>
      </c>
      <c r="GB66" s="409">
        <f t="shared" si="112"/>
        <v>0</v>
      </c>
      <c r="GC66" s="409">
        <f t="shared" si="112"/>
        <v>0</v>
      </c>
      <c r="GD66" s="409">
        <f t="shared" si="112"/>
        <v>0</v>
      </c>
      <c r="GE66" s="409">
        <f t="shared" si="112"/>
        <v>0</v>
      </c>
      <c r="GF66" s="409">
        <f t="shared" si="112"/>
        <v>0</v>
      </c>
      <c r="GG66" s="409">
        <f t="shared" si="113"/>
        <v>0</v>
      </c>
      <c r="GH66" s="409">
        <f t="shared" si="113"/>
        <v>0</v>
      </c>
      <c r="GI66" s="409">
        <f t="shared" si="113"/>
        <v>0</v>
      </c>
      <c r="GJ66" s="409">
        <f t="shared" si="113"/>
        <v>0</v>
      </c>
      <c r="GK66" s="409">
        <f t="shared" si="113"/>
        <v>0</v>
      </c>
      <c r="GL66" s="409">
        <f t="shared" si="113"/>
        <v>0</v>
      </c>
      <c r="GM66" s="409">
        <f t="shared" si="113"/>
        <v>0</v>
      </c>
      <c r="GN66" s="409">
        <f t="shared" si="113"/>
        <v>0</v>
      </c>
      <c r="GO66" s="409">
        <f t="shared" si="113"/>
        <v>0</v>
      </c>
      <c r="GP66" s="409">
        <f t="shared" si="113"/>
        <v>0</v>
      </c>
      <c r="GQ66" s="409">
        <f t="shared" si="114"/>
        <v>0</v>
      </c>
      <c r="GR66" s="409">
        <f t="shared" si="114"/>
        <v>0</v>
      </c>
      <c r="GS66" s="409">
        <f t="shared" si="114"/>
        <v>0</v>
      </c>
      <c r="GT66" s="409">
        <f t="shared" si="114"/>
        <v>0</v>
      </c>
      <c r="GU66" s="409">
        <f t="shared" si="114"/>
        <v>0</v>
      </c>
      <c r="GV66" s="409">
        <f t="shared" si="114"/>
        <v>0</v>
      </c>
      <c r="GW66" s="409">
        <f t="shared" si="114"/>
        <v>0</v>
      </c>
      <c r="GX66" s="409">
        <f t="shared" si="114"/>
        <v>0</v>
      </c>
      <c r="GY66" s="409">
        <f t="shared" si="114"/>
        <v>0</v>
      </c>
      <c r="GZ66" s="409">
        <f t="shared" si="114"/>
        <v>0</v>
      </c>
      <c r="HA66" s="409">
        <f t="shared" si="115"/>
        <v>0</v>
      </c>
      <c r="HB66" s="409">
        <f t="shared" si="115"/>
        <v>0</v>
      </c>
      <c r="HC66" s="409">
        <f t="shared" si="115"/>
        <v>0</v>
      </c>
      <c r="HD66" s="409">
        <f t="shared" si="115"/>
        <v>0</v>
      </c>
      <c r="HE66" s="409">
        <f t="shared" si="115"/>
        <v>0</v>
      </c>
      <c r="HF66" s="409">
        <f t="shared" si="115"/>
        <v>0</v>
      </c>
      <c r="HG66" s="409">
        <f t="shared" si="115"/>
        <v>0</v>
      </c>
      <c r="HH66" s="409">
        <f t="shared" si="115"/>
        <v>0</v>
      </c>
      <c r="HI66" s="409">
        <f t="shared" si="115"/>
        <v>0</v>
      </c>
      <c r="HJ66" s="409">
        <f t="shared" si="115"/>
        <v>0</v>
      </c>
      <c r="HK66" s="409">
        <f t="shared" si="116"/>
        <v>0</v>
      </c>
      <c r="HL66" s="409">
        <f t="shared" si="116"/>
        <v>0</v>
      </c>
      <c r="HM66" s="409">
        <f t="shared" si="116"/>
        <v>0</v>
      </c>
      <c r="HN66" s="409">
        <f t="shared" si="116"/>
        <v>0</v>
      </c>
      <c r="HO66" s="409">
        <f t="shared" si="116"/>
        <v>0</v>
      </c>
      <c r="HP66" s="409">
        <f t="shared" si="116"/>
        <v>0</v>
      </c>
      <c r="HQ66" s="409">
        <f t="shared" si="116"/>
        <v>0</v>
      </c>
      <c r="HR66" s="409">
        <f t="shared" si="116"/>
        <v>0</v>
      </c>
      <c r="HS66" s="409">
        <f t="shared" si="116"/>
        <v>0</v>
      </c>
      <c r="HT66" s="409">
        <f t="shared" si="116"/>
        <v>0</v>
      </c>
      <c r="HU66" s="409">
        <f t="shared" si="117"/>
        <v>0</v>
      </c>
      <c r="HV66" s="409">
        <f t="shared" si="117"/>
        <v>0</v>
      </c>
      <c r="HW66" s="409">
        <f t="shared" si="117"/>
        <v>0</v>
      </c>
      <c r="HX66" s="409">
        <f t="shared" si="117"/>
        <v>0</v>
      </c>
      <c r="HY66" s="409">
        <f t="shared" si="117"/>
        <v>0</v>
      </c>
      <c r="HZ66" s="409">
        <f t="shared" si="117"/>
        <v>0</v>
      </c>
      <c r="IA66" s="409">
        <f t="shared" si="117"/>
        <v>0</v>
      </c>
      <c r="IB66" s="409">
        <f t="shared" si="117"/>
        <v>0</v>
      </c>
      <c r="IC66" s="409">
        <f t="shared" si="117"/>
        <v>0</v>
      </c>
      <c r="ID66" s="409">
        <f t="shared" si="117"/>
        <v>0</v>
      </c>
      <c r="IE66" s="409">
        <f t="shared" si="118"/>
        <v>0</v>
      </c>
      <c r="IF66" s="409">
        <f t="shared" si="118"/>
        <v>0</v>
      </c>
      <c r="IG66" s="409">
        <f t="shared" si="118"/>
        <v>0</v>
      </c>
      <c r="IH66" s="409">
        <f t="shared" si="118"/>
        <v>0</v>
      </c>
      <c r="II66" s="409">
        <f t="shared" si="118"/>
        <v>0</v>
      </c>
      <c r="IJ66" s="409">
        <f t="shared" si="118"/>
        <v>0</v>
      </c>
      <c r="IK66" s="378">
        <f t="shared" si="54"/>
        <v>59</v>
      </c>
    </row>
    <row r="67" spans="1:249" hidden="1" x14ac:dyDescent="0.2">
      <c r="A67" s="380" t="str">
        <f t="shared" si="119"/>
        <v>e</v>
      </c>
      <c r="B67" s="712" t="str" cm="1">
        <f t="array" ref="B67">IF(ISERROR(INDEX('Legend(Skid)'!$H$8:$H$9,ROW()-42)),"",INDEX('Legend(Skid)'!$H$8:$H$9,ROW()-42))</f>
        <v/>
      </c>
      <c r="C67" s="712" t="e" cm="1">
        <f t="array" ref="C67">IF(INDEX('Legend(Skid)'!$T$8:$T$9,ROW()-42)=0,"See Legend",INDEX('Legend(Skid)'!$T$8:$T$9,ROW()-42))</f>
        <v>#REF!</v>
      </c>
      <c r="D67" s="712" t="e">
        <f>IF(INDEX('Legend(Skid)'!$R$8:$R$9,(ROW(C67))-42)=0,IF(AND(INDEX('Legend(Skid)'!$D$8:$D$9,(ROW(C67))-41)="CH",INDEX('Legend(Skid)'!$F$8:$F$9,(ROW(C67))-41)="CASE - MANUAL"),INDEX('Legend(Skid)'!$R$8:$R$9,(ROW(C67))-41),IF(INDEX('Legend(Skid)'!$V$8:$V$9,(ROW(C67))-42)&gt;1, "(" &amp; INDEX('Legend(Skid)'!$V$8:$V$9,(ROW(C67))-42) &amp; ") " &amp; INDEX('Legend(Skid)'!$W$8:$W$9,(ROW(C67))-41),INDEX('Legend(Skid)'!$W$8:$W$9,(ROW(C67))-42))),INDEX('Legend(Skid)'!$R$8:$R$9,(ROW(C67))-42))</f>
        <v>#REF!</v>
      </c>
      <c r="E67" s="713" cm="1">
        <f t="array" ref="E67">IF(OR(ISNUMBER(SEARCH("Pump",C67)),ISNUMBER(SEARCH("PH",C67)),ISERROR(INDEX('Legend(Skid)'!$AA$8:$AA$9,ROW()-42))),0,INDEX('Legend(Skid)'!$AA$8:$AA$9,ROW()-42))</f>
        <v>0</v>
      </c>
      <c r="F67" s="714"/>
      <c r="G67" s="714"/>
      <c r="H67" s="714"/>
      <c r="I67" s="714"/>
      <c r="J67" s="714"/>
      <c r="K67" s="890">
        <f t="shared" si="35"/>
        <v>0</v>
      </c>
      <c r="L67" s="718"/>
      <c r="M67" s="720"/>
      <c r="N67" s="972">
        <f t="shared" si="120"/>
        <v>-1</v>
      </c>
      <c r="O67" s="972">
        <f t="shared" si="121"/>
        <v>-1</v>
      </c>
      <c r="P67" s="972">
        <f t="shared" si="122"/>
        <v>-1</v>
      </c>
      <c r="Q67" s="972">
        <f t="shared" si="123"/>
        <v>-1</v>
      </c>
      <c r="R67" s="972">
        <f t="shared" si="124"/>
        <v>-1</v>
      </c>
      <c r="S67" s="972">
        <f t="shared" si="125"/>
        <v>-1</v>
      </c>
      <c r="T67" s="972">
        <f t="shared" si="126"/>
        <v>-1</v>
      </c>
      <c r="U67" s="972">
        <f t="shared" si="127"/>
        <v>-1</v>
      </c>
      <c r="V67" s="972">
        <f t="shared" si="128"/>
        <v>-1</v>
      </c>
      <c r="W67" s="972">
        <f t="shared" si="129"/>
        <v>-1</v>
      </c>
      <c r="X67" s="972">
        <f t="shared" si="130"/>
        <v>-1</v>
      </c>
      <c r="Y67" s="972">
        <f t="shared" si="131"/>
        <v>-1</v>
      </c>
      <c r="Z67" s="972">
        <f t="shared" si="132"/>
        <v>-1</v>
      </c>
      <c r="AA67" s="972">
        <f t="shared" si="133"/>
        <v>-1</v>
      </c>
      <c r="AB67" s="972">
        <f t="shared" si="134"/>
        <v>-1</v>
      </c>
      <c r="AC67" s="972">
        <f t="shared" si="135"/>
        <v>-1</v>
      </c>
      <c r="AD67" s="972">
        <f t="shared" si="136"/>
        <v>-1</v>
      </c>
      <c r="AE67" s="972">
        <f t="shared" si="137"/>
        <v>-1</v>
      </c>
      <c r="AF67" s="972">
        <f t="shared" si="138"/>
        <v>-1</v>
      </c>
      <c r="AG67" s="972">
        <f t="shared" si="139"/>
        <v>-1</v>
      </c>
      <c r="AH67" s="972">
        <f t="shared" si="140"/>
        <v>-1</v>
      </c>
      <c r="AI67" s="972">
        <f t="shared" si="141"/>
        <v>-1</v>
      </c>
      <c r="AJ67" s="972">
        <f t="shared" si="142"/>
        <v>-1</v>
      </c>
      <c r="AK67" s="381" t="str">
        <f>IF(ISERROR(INDEX('Legend(Skid)'!$AI$8:$AI$9,ROW()-42)),"",INDEX('Legend(Skid)'!$AI$8:$AI$9,ROW()-42))</f>
        <v/>
      </c>
      <c r="AL67" s="727" t="str">
        <f t="shared" si="53"/>
        <v/>
      </c>
      <c r="AM67" s="409">
        <f t="shared" si="98"/>
        <v>0</v>
      </c>
      <c r="AN67" s="409">
        <f t="shared" si="98"/>
        <v>0</v>
      </c>
      <c r="AO67" s="409">
        <f t="shared" si="98"/>
        <v>0</v>
      </c>
      <c r="AP67" s="409">
        <f t="shared" si="98"/>
        <v>0</v>
      </c>
      <c r="AQ67" s="409">
        <f t="shared" si="98"/>
        <v>0</v>
      </c>
      <c r="AR67" s="409">
        <f t="shared" si="98"/>
        <v>0</v>
      </c>
      <c r="AS67" s="409">
        <f t="shared" si="98"/>
        <v>0</v>
      </c>
      <c r="AT67" s="409">
        <f t="shared" si="98"/>
        <v>0</v>
      </c>
      <c r="AU67" s="409">
        <f t="shared" si="98"/>
        <v>0</v>
      </c>
      <c r="AV67" s="409">
        <f t="shared" si="98"/>
        <v>0</v>
      </c>
      <c r="AW67" s="409">
        <f t="shared" si="99"/>
        <v>0</v>
      </c>
      <c r="AX67" s="409">
        <f t="shared" si="99"/>
        <v>0</v>
      </c>
      <c r="AY67" s="409">
        <f t="shared" si="99"/>
        <v>0</v>
      </c>
      <c r="AZ67" s="409">
        <f t="shared" si="99"/>
        <v>0</v>
      </c>
      <c r="BA67" s="409">
        <f t="shared" si="99"/>
        <v>0</v>
      </c>
      <c r="BB67" s="409">
        <f t="shared" si="99"/>
        <v>0</v>
      </c>
      <c r="BC67" s="409">
        <f t="shared" si="99"/>
        <v>0</v>
      </c>
      <c r="BD67" s="409">
        <f t="shared" si="99"/>
        <v>0</v>
      </c>
      <c r="BE67" s="409">
        <f t="shared" si="99"/>
        <v>0</v>
      </c>
      <c r="BF67" s="409">
        <f t="shared" si="99"/>
        <v>0</v>
      </c>
      <c r="BG67" s="409">
        <f t="shared" si="100"/>
        <v>0</v>
      </c>
      <c r="BH67" s="409">
        <f t="shared" si="100"/>
        <v>0</v>
      </c>
      <c r="BI67" s="409">
        <f t="shared" si="100"/>
        <v>0</v>
      </c>
      <c r="BJ67" s="409">
        <f t="shared" si="100"/>
        <v>0</v>
      </c>
      <c r="BK67" s="409">
        <f t="shared" si="100"/>
        <v>0</v>
      </c>
      <c r="BL67" s="409">
        <f t="shared" si="100"/>
        <v>0</v>
      </c>
      <c r="BM67" s="409">
        <f t="shared" si="100"/>
        <v>0</v>
      </c>
      <c r="BN67" s="409">
        <f t="shared" si="100"/>
        <v>0</v>
      </c>
      <c r="BO67" s="409">
        <f t="shared" si="100"/>
        <v>0</v>
      </c>
      <c r="BP67" s="409">
        <f t="shared" si="100"/>
        <v>0</v>
      </c>
      <c r="BQ67" s="409">
        <f t="shared" si="101"/>
        <v>0</v>
      </c>
      <c r="BR67" s="409">
        <f t="shared" si="101"/>
        <v>0</v>
      </c>
      <c r="BS67" s="409">
        <f t="shared" si="101"/>
        <v>0</v>
      </c>
      <c r="BT67" s="409">
        <f t="shared" si="101"/>
        <v>0</v>
      </c>
      <c r="BU67" s="409">
        <f t="shared" si="101"/>
        <v>0</v>
      </c>
      <c r="BV67" s="409">
        <f t="shared" si="101"/>
        <v>0</v>
      </c>
      <c r="BW67" s="409">
        <f t="shared" si="101"/>
        <v>0</v>
      </c>
      <c r="BX67" s="409">
        <f t="shared" si="101"/>
        <v>0</v>
      </c>
      <c r="BY67" s="409">
        <f t="shared" si="101"/>
        <v>0</v>
      </c>
      <c r="BZ67" s="409">
        <f t="shared" si="101"/>
        <v>0</v>
      </c>
      <c r="CA67" s="409">
        <f t="shared" si="102"/>
        <v>0</v>
      </c>
      <c r="CB67" s="409">
        <f t="shared" si="102"/>
        <v>0</v>
      </c>
      <c r="CC67" s="409">
        <f t="shared" si="102"/>
        <v>0</v>
      </c>
      <c r="CD67" s="409">
        <f t="shared" si="102"/>
        <v>0</v>
      </c>
      <c r="CE67" s="409">
        <f t="shared" si="102"/>
        <v>0</v>
      </c>
      <c r="CF67" s="409">
        <f t="shared" si="102"/>
        <v>0</v>
      </c>
      <c r="CG67" s="409">
        <f t="shared" si="102"/>
        <v>0</v>
      </c>
      <c r="CH67" s="409">
        <f t="shared" si="102"/>
        <v>0</v>
      </c>
      <c r="CI67" s="409">
        <f t="shared" si="102"/>
        <v>0</v>
      </c>
      <c r="CJ67" s="409">
        <f t="shared" si="102"/>
        <v>0</v>
      </c>
      <c r="CK67" s="409">
        <f t="shared" si="103"/>
        <v>0</v>
      </c>
      <c r="CL67" s="409">
        <f t="shared" si="103"/>
        <v>0</v>
      </c>
      <c r="CM67" s="409">
        <f t="shared" si="103"/>
        <v>0</v>
      </c>
      <c r="CN67" s="409">
        <f t="shared" si="103"/>
        <v>0</v>
      </c>
      <c r="CO67" s="409">
        <f t="shared" si="103"/>
        <v>0</v>
      </c>
      <c r="CP67" s="409">
        <f t="shared" si="103"/>
        <v>0</v>
      </c>
      <c r="CQ67" s="409">
        <f t="shared" si="103"/>
        <v>0</v>
      </c>
      <c r="CR67" s="409">
        <f t="shared" si="103"/>
        <v>0</v>
      </c>
      <c r="CS67" s="409">
        <f t="shared" si="103"/>
        <v>0</v>
      </c>
      <c r="CT67" s="409">
        <f t="shared" si="103"/>
        <v>0</v>
      </c>
      <c r="CU67" s="409">
        <f t="shared" si="104"/>
        <v>0</v>
      </c>
      <c r="CV67" s="409">
        <f t="shared" si="104"/>
        <v>0</v>
      </c>
      <c r="CW67" s="409">
        <f t="shared" si="104"/>
        <v>0</v>
      </c>
      <c r="CX67" s="409">
        <f t="shared" si="104"/>
        <v>0</v>
      </c>
      <c r="CY67" s="409">
        <f t="shared" si="104"/>
        <v>0</v>
      </c>
      <c r="CZ67" s="409">
        <f t="shared" si="104"/>
        <v>0</v>
      </c>
      <c r="DA67" s="409">
        <f t="shared" si="104"/>
        <v>0</v>
      </c>
      <c r="DB67" s="409">
        <f t="shared" si="104"/>
        <v>0</v>
      </c>
      <c r="DC67" s="409">
        <f t="shared" si="104"/>
        <v>0</v>
      </c>
      <c r="DD67" s="409">
        <f t="shared" si="104"/>
        <v>0</v>
      </c>
      <c r="DE67" s="409">
        <f t="shared" si="105"/>
        <v>0</v>
      </c>
      <c r="DF67" s="409">
        <f t="shared" si="105"/>
        <v>0</v>
      </c>
      <c r="DG67" s="409">
        <f t="shared" si="105"/>
        <v>0</v>
      </c>
      <c r="DH67" s="409">
        <f t="shared" si="105"/>
        <v>0</v>
      </c>
      <c r="DI67" s="409">
        <f t="shared" si="105"/>
        <v>0</v>
      </c>
      <c r="DJ67" s="409">
        <f t="shared" si="105"/>
        <v>0</v>
      </c>
      <c r="DK67" s="409">
        <f t="shared" si="105"/>
        <v>0</v>
      </c>
      <c r="DL67" s="409">
        <f t="shared" si="105"/>
        <v>0</v>
      </c>
      <c r="DM67" s="409">
        <f t="shared" si="105"/>
        <v>0</v>
      </c>
      <c r="DN67" s="409">
        <f t="shared" si="105"/>
        <v>0</v>
      </c>
      <c r="DO67" s="409">
        <f t="shared" si="106"/>
        <v>0</v>
      </c>
      <c r="DP67" s="409">
        <f t="shared" si="106"/>
        <v>0</v>
      </c>
      <c r="DQ67" s="409">
        <f t="shared" si="106"/>
        <v>0</v>
      </c>
      <c r="DR67" s="409">
        <f t="shared" si="106"/>
        <v>0</v>
      </c>
      <c r="DS67" s="409">
        <f t="shared" si="106"/>
        <v>0</v>
      </c>
      <c r="DT67" s="409">
        <f t="shared" si="106"/>
        <v>0</v>
      </c>
      <c r="DU67" s="409">
        <f t="shared" si="106"/>
        <v>0</v>
      </c>
      <c r="DV67" s="409">
        <f t="shared" si="106"/>
        <v>0</v>
      </c>
      <c r="DW67" s="409">
        <f t="shared" si="106"/>
        <v>0</v>
      </c>
      <c r="DX67" s="409">
        <f t="shared" si="106"/>
        <v>0</v>
      </c>
      <c r="DY67" s="409">
        <f t="shared" si="107"/>
        <v>0</v>
      </c>
      <c r="DZ67" s="409">
        <f t="shared" si="107"/>
        <v>0</v>
      </c>
      <c r="EA67" s="409">
        <f t="shared" si="107"/>
        <v>0</v>
      </c>
      <c r="EB67" s="409">
        <f t="shared" si="107"/>
        <v>0</v>
      </c>
      <c r="EC67" s="409">
        <f t="shared" si="107"/>
        <v>0</v>
      </c>
      <c r="ED67" s="409">
        <f t="shared" si="107"/>
        <v>0</v>
      </c>
      <c r="EE67" s="409">
        <f t="shared" si="107"/>
        <v>0</v>
      </c>
      <c r="EF67" s="409">
        <f t="shared" si="107"/>
        <v>0</v>
      </c>
      <c r="EG67" s="409">
        <f t="shared" si="107"/>
        <v>0</v>
      </c>
      <c r="EH67" s="409">
        <f t="shared" si="107"/>
        <v>0</v>
      </c>
      <c r="EI67" s="409">
        <f t="shared" si="108"/>
        <v>0</v>
      </c>
      <c r="EJ67" s="409">
        <f t="shared" si="108"/>
        <v>0</v>
      </c>
      <c r="EK67" s="409">
        <f t="shared" si="108"/>
        <v>0</v>
      </c>
      <c r="EL67" s="409">
        <f t="shared" si="108"/>
        <v>0</v>
      </c>
      <c r="EM67" s="409">
        <f t="shared" si="108"/>
        <v>0</v>
      </c>
      <c r="EN67" s="409">
        <f t="shared" si="108"/>
        <v>0</v>
      </c>
      <c r="EO67" s="409">
        <f t="shared" si="108"/>
        <v>0</v>
      </c>
      <c r="EP67" s="409">
        <f t="shared" si="108"/>
        <v>0</v>
      </c>
      <c r="EQ67" s="409">
        <f t="shared" si="108"/>
        <v>0</v>
      </c>
      <c r="ER67" s="409">
        <f t="shared" si="108"/>
        <v>0</v>
      </c>
      <c r="ES67" s="409">
        <f t="shared" si="109"/>
        <v>0</v>
      </c>
      <c r="ET67" s="409">
        <f t="shared" si="109"/>
        <v>0</v>
      </c>
      <c r="EU67" s="409">
        <f t="shared" si="109"/>
        <v>0</v>
      </c>
      <c r="EV67" s="409">
        <f t="shared" si="109"/>
        <v>0</v>
      </c>
      <c r="EW67" s="409">
        <f t="shared" si="109"/>
        <v>0</v>
      </c>
      <c r="EX67" s="409">
        <f t="shared" si="109"/>
        <v>0</v>
      </c>
      <c r="EY67" s="409">
        <f t="shared" si="109"/>
        <v>0</v>
      </c>
      <c r="EZ67" s="409">
        <f t="shared" si="109"/>
        <v>0</v>
      </c>
      <c r="FA67" s="409">
        <f t="shared" si="109"/>
        <v>0</v>
      </c>
      <c r="FB67" s="409">
        <f t="shared" si="109"/>
        <v>0</v>
      </c>
      <c r="FC67" s="409">
        <f t="shared" si="110"/>
        <v>0</v>
      </c>
      <c r="FD67" s="409">
        <f t="shared" si="110"/>
        <v>0</v>
      </c>
      <c r="FE67" s="409">
        <f t="shared" si="110"/>
        <v>0</v>
      </c>
      <c r="FF67" s="409">
        <f t="shared" si="110"/>
        <v>0</v>
      </c>
      <c r="FG67" s="409">
        <f t="shared" si="110"/>
        <v>0</v>
      </c>
      <c r="FH67" s="409">
        <f t="shared" si="110"/>
        <v>0</v>
      </c>
      <c r="FI67" s="409">
        <f t="shared" si="110"/>
        <v>0</v>
      </c>
      <c r="FJ67" s="409">
        <f t="shared" si="110"/>
        <v>0</v>
      </c>
      <c r="FK67" s="409">
        <f t="shared" si="110"/>
        <v>0</v>
      </c>
      <c r="FL67" s="409">
        <f t="shared" si="110"/>
        <v>0</v>
      </c>
      <c r="FM67" s="409">
        <f t="shared" si="111"/>
        <v>0</v>
      </c>
      <c r="FN67" s="409">
        <f t="shared" si="111"/>
        <v>0</v>
      </c>
      <c r="FO67" s="409">
        <f t="shared" si="111"/>
        <v>0</v>
      </c>
      <c r="FP67" s="409">
        <f t="shared" si="111"/>
        <v>0</v>
      </c>
      <c r="FQ67" s="409">
        <f t="shared" si="111"/>
        <v>0</v>
      </c>
      <c r="FR67" s="409">
        <f t="shared" si="111"/>
        <v>0</v>
      </c>
      <c r="FS67" s="409">
        <f t="shared" si="111"/>
        <v>0</v>
      </c>
      <c r="FT67" s="409">
        <f t="shared" si="111"/>
        <v>0</v>
      </c>
      <c r="FU67" s="409">
        <f t="shared" si="111"/>
        <v>0</v>
      </c>
      <c r="FV67" s="409">
        <f t="shared" si="111"/>
        <v>0</v>
      </c>
      <c r="FW67" s="409">
        <f t="shared" si="112"/>
        <v>0</v>
      </c>
      <c r="FX67" s="409">
        <f t="shared" si="112"/>
        <v>0</v>
      </c>
      <c r="FY67" s="409">
        <f t="shared" si="112"/>
        <v>0</v>
      </c>
      <c r="FZ67" s="409">
        <f t="shared" si="112"/>
        <v>0</v>
      </c>
      <c r="GA67" s="409">
        <f t="shared" si="112"/>
        <v>0</v>
      </c>
      <c r="GB67" s="409">
        <f t="shared" si="112"/>
        <v>0</v>
      </c>
      <c r="GC67" s="409">
        <f t="shared" si="112"/>
        <v>0</v>
      </c>
      <c r="GD67" s="409">
        <f t="shared" si="112"/>
        <v>0</v>
      </c>
      <c r="GE67" s="409">
        <f t="shared" si="112"/>
        <v>0</v>
      </c>
      <c r="GF67" s="409">
        <f t="shared" si="112"/>
        <v>0</v>
      </c>
      <c r="GG67" s="409">
        <f t="shared" si="113"/>
        <v>0</v>
      </c>
      <c r="GH67" s="409">
        <f t="shared" si="113"/>
        <v>0</v>
      </c>
      <c r="GI67" s="409">
        <f t="shared" si="113"/>
        <v>0</v>
      </c>
      <c r="GJ67" s="409">
        <f t="shared" si="113"/>
        <v>0</v>
      </c>
      <c r="GK67" s="409">
        <f t="shared" si="113"/>
        <v>0</v>
      </c>
      <c r="GL67" s="409">
        <f t="shared" si="113"/>
        <v>0</v>
      </c>
      <c r="GM67" s="409">
        <f t="shared" si="113"/>
        <v>0</v>
      </c>
      <c r="GN67" s="409">
        <f t="shared" si="113"/>
        <v>0</v>
      </c>
      <c r="GO67" s="409">
        <f t="shared" si="113"/>
        <v>0</v>
      </c>
      <c r="GP67" s="409">
        <f t="shared" si="113"/>
        <v>0</v>
      </c>
      <c r="GQ67" s="409">
        <f t="shared" si="114"/>
        <v>0</v>
      </c>
      <c r="GR67" s="409">
        <f t="shared" si="114"/>
        <v>0</v>
      </c>
      <c r="GS67" s="409">
        <f t="shared" si="114"/>
        <v>0</v>
      </c>
      <c r="GT67" s="409">
        <f t="shared" si="114"/>
        <v>0</v>
      </c>
      <c r="GU67" s="409">
        <f t="shared" si="114"/>
        <v>0</v>
      </c>
      <c r="GV67" s="409">
        <f t="shared" si="114"/>
        <v>0</v>
      </c>
      <c r="GW67" s="409">
        <f t="shared" si="114"/>
        <v>0</v>
      </c>
      <c r="GX67" s="409">
        <f t="shared" si="114"/>
        <v>0</v>
      </c>
      <c r="GY67" s="409">
        <f t="shared" si="114"/>
        <v>0</v>
      </c>
      <c r="GZ67" s="409">
        <f t="shared" si="114"/>
        <v>0</v>
      </c>
      <c r="HA67" s="409">
        <f t="shared" si="115"/>
        <v>0</v>
      </c>
      <c r="HB67" s="409">
        <f t="shared" si="115"/>
        <v>0</v>
      </c>
      <c r="HC67" s="409">
        <f t="shared" si="115"/>
        <v>0</v>
      </c>
      <c r="HD67" s="409">
        <f t="shared" si="115"/>
        <v>0</v>
      </c>
      <c r="HE67" s="409">
        <f t="shared" si="115"/>
        <v>0</v>
      </c>
      <c r="HF67" s="409">
        <f t="shared" si="115"/>
        <v>0</v>
      </c>
      <c r="HG67" s="409">
        <f t="shared" si="115"/>
        <v>0</v>
      </c>
      <c r="HH67" s="409">
        <f t="shared" si="115"/>
        <v>0</v>
      </c>
      <c r="HI67" s="409">
        <f t="shared" si="115"/>
        <v>0</v>
      </c>
      <c r="HJ67" s="409">
        <f t="shared" si="115"/>
        <v>0</v>
      </c>
      <c r="HK67" s="409">
        <f t="shared" si="116"/>
        <v>0</v>
      </c>
      <c r="HL67" s="409">
        <f t="shared" si="116"/>
        <v>0</v>
      </c>
      <c r="HM67" s="409">
        <f t="shared" si="116"/>
        <v>0</v>
      </c>
      <c r="HN67" s="409">
        <f t="shared" si="116"/>
        <v>0</v>
      </c>
      <c r="HO67" s="409">
        <f t="shared" si="116"/>
        <v>0</v>
      </c>
      <c r="HP67" s="409">
        <f t="shared" si="116"/>
        <v>0</v>
      </c>
      <c r="HQ67" s="409">
        <f t="shared" si="116"/>
        <v>0</v>
      </c>
      <c r="HR67" s="409">
        <f t="shared" si="116"/>
        <v>0</v>
      </c>
      <c r="HS67" s="409">
        <f t="shared" si="116"/>
        <v>0</v>
      </c>
      <c r="HT67" s="409">
        <f t="shared" si="116"/>
        <v>0</v>
      </c>
      <c r="HU67" s="409">
        <f t="shared" si="117"/>
        <v>0</v>
      </c>
      <c r="HV67" s="409">
        <f t="shared" si="117"/>
        <v>0</v>
      </c>
      <c r="HW67" s="409">
        <f t="shared" si="117"/>
        <v>0</v>
      </c>
      <c r="HX67" s="409">
        <f t="shared" si="117"/>
        <v>0</v>
      </c>
      <c r="HY67" s="409">
        <f t="shared" si="117"/>
        <v>0</v>
      </c>
      <c r="HZ67" s="409">
        <f t="shared" si="117"/>
        <v>0</v>
      </c>
      <c r="IA67" s="409">
        <f t="shared" si="117"/>
        <v>0</v>
      </c>
      <c r="IB67" s="409">
        <f t="shared" si="117"/>
        <v>0</v>
      </c>
      <c r="IC67" s="409">
        <f t="shared" si="117"/>
        <v>0</v>
      </c>
      <c r="ID67" s="409">
        <f t="shared" si="117"/>
        <v>0</v>
      </c>
      <c r="IE67" s="409">
        <f t="shared" si="118"/>
        <v>0</v>
      </c>
      <c r="IF67" s="409">
        <f t="shared" si="118"/>
        <v>0</v>
      </c>
      <c r="IG67" s="409">
        <f t="shared" si="118"/>
        <v>0</v>
      </c>
      <c r="IH67" s="409">
        <f t="shared" si="118"/>
        <v>0</v>
      </c>
      <c r="II67" s="409">
        <f t="shared" si="118"/>
        <v>0</v>
      </c>
      <c r="IJ67" s="409">
        <f t="shared" si="118"/>
        <v>0</v>
      </c>
      <c r="IK67" s="378">
        <f t="shared" si="54"/>
        <v>60</v>
      </c>
    </row>
    <row r="68" spans="1:249" hidden="1" x14ac:dyDescent="0.2">
      <c r="A68" s="380" t="str">
        <f t="shared" si="119"/>
        <v>e</v>
      </c>
      <c r="B68" s="712" t="str" cm="1">
        <f t="array" ref="B68">IF(ISERROR(INDEX('Legend(Skid)'!$H$8:$H$9,ROW()-42)),"",INDEX('Legend(Skid)'!$H$8:$H$9,ROW()-42))</f>
        <v/>
      </c>
      <c r="C68" s="712" t="e" cm="1">
        <f t="array" ref="C68">IF(INDEX('Legend(Skid)'!$T$8:$T$9,ROW()-42)=0,"See Legend",INDEX('Legend(Skid)'!$T$8:$T$9,ROW()-42))</f>
        <v>#REF!</v>
      </c>
      <c r="D68" s="712" t="e">
        <f>IF(INDEX('Legend(Skid)'!$R$8:$R$9,(ROW(C68))-42)=0,IF(AND(INDEX('Legend(Skid)'!$D$8:$D$9,(ROW(C68))-41)="CH",INDEX('Legend(Skid)'!$F$8:$F$9,(ROW(C68))-41)="CASE - MANUAL"),INDEX('Legend(Skid)'!$R$8:$R$9,(ROW(C68))-41),IF(INDEX('Legend(Skid)'!$V$8:$V$9,(ROW(C68))-42)&gt;1, "(" &amp; INDEX('Legend(Skid)'!$V$8:$V$9,(ROW(C68))-42) &amp; ") " &amp; INDEX('Legend(Skid)'!$W$8:$W$9,(ROW(C68))-41),INDEX('Legend(Skid)'!$W$8:$W$9,(ROW(C68))-42))),INDEX('Legend(Skid)'!$R$8:$R$9,(ROW(C68))-42))</f>
        <v>#REF!</v>
      </c>
      <c r="E68" s="713" cm="1">
        <f t="array" ref="E68">IF(OR(ISNUMBER(SEARCH("Pump",C68)),ISNUMBER(SEARCH("PH",C68)),ISERROR(INDEX('Legend(Skid)'!$AA$8:$AA$9,ROW()-42))),0,INDEX('Legend(Skid)'!$AA$8:$AA$9,ROW()-42))</f>
        <v>0</v>
      </c>
      <c r="F68" s="714"/>
      <c r="G68" s="714"/>
      <c r="H68" s="714"/>
      <c r="I68" s="714"/>
      <c r="J68" s="714"/>
      <c r="K68" s="890">
        <f t="shared" si="35"/>
        <v>0</v>
      </c>
      <c r="L68" s="718"/>
      <c r="M68" s="720"/>
      <c r="N68" s="972">
        <f t="shared" si="120"/>
        <v>-1</v>
      </c>
      <c r="O68" s="972">
        <f t="shared" si="121"/>
        <v>-1</v>
      </c>
      <c r="P68" s="972">
        <f t="shared" si="122"/>
        <v>-1</v>
      </c>
      <c r="Q68" s="972">
        <f t="shared" si="123"/>
        <v>-1</v>
      </c>
      <c r="R68" s="972">
        <f t="shared" si="124"/>
        <v>-1</v>
      </c>
      <c r="S68" s="972">
        <f t="shared" si="125"/>
        <v>-1</v>
      </c>
      <c r="T68" s="972">
        <f t="shared" si="126"/>
        <v>-1</v>
      </c>
      <c r="U68" s="972">
        <f t="shared" si="127"/>
        <v>-1</v>
      </c>
      <c r="V68" s="972">
        <f t="shared" si="128"/>
        <v>-1</v>
      </c>
      <c r="W68" s="972">
        <f t="shared" si="129"/>
        <v>-1</v>
      </c>
      <c r="X68" s="972">
        <f t="shared" si="130"/>
        <v>-1</v>
      </c>
      <c r="Y68" s="972">
        <f t="shared" si="131"/>
        <v>-1</v>
      </c>
      <c r="Z68" s="972">
        <f t="shared" si="132"/>
        <v>-1</v>
      </c>
      <c r="AA68" s="972">
        <f t="shared" si="133"/>
        <v>-1</v>
      </c>
      <c r="AB68" s="972">
        <f t="shared" si="134"/>
        <v>-1</v>
      </c>
      <c r="AC68" s="972">
        <f t="shared" si="135"/>
        <v>-1</v>
      </c>
      <c r="AD68" s="972">
        <f t="shared" si="136"/>
        <v>-1</v>
      </c>
      <c r="AE68" s="972">
        <f t="shared" si="137"/>
        <v>-1</v>
      </c>
      <c r="AF68" s="972">
        <f t="shared" si="138"/>
        <v>-1</v>
      </c>
      <c r="AG68" s="972">
        <f t="shared" si="139"/>
        <v>-1</v>
      </c>
      <c r="AH68" s="972">
        <f t="shared" si="140"/>
        <v>-1</v>
      </c>
      <c r="AI68" s="972">
        <f t="shared" si="141"/>
        <v>-1</v>
      </c>
      <c r="AJ68" s="972">
        <f t="shared" si="142"/>
        <v>-1</v>
      </c>
      <c r="AK68" s="381" t="str">
        <f>IF(ISERROR(INDEX('Legend(Skid)'!$AI$8:$AI$9,ROW()-42)),"",INDEX('Legend(Skid)'!$AI$8:$AI$9,ROW()-42))</f>
        <v/>
      </c>
      <c r="AL68" s="727" t="str">
        <f t="shared" si="53"/>
        <v/>
      </c>
      <c r="AM68" s="409">
        <f t="shared" ref="AM68:AV77" si="163">IF(ISNA(AM$7),"",IF(OR(AND(AM$7&lt;=$N68,AM$7&gt;$N68-TIME(0,TimeIncr,0)),AND(AM$7&lt;=$P68,AM$7&gt;$P68-TIME(0,TimeIncr,0)),AND(AM$7&lt;=$R68,AM$7&gt;$R68-TIME(0,TimeIncr,0)),AND(AM$7&lt;=$T68,AM$7&gt;$T68-TIME(0,TimeIncr,0)),AND(AM$7&lt;=$V68,AM$7&gt;$V68-TIME(0,TimeIncr,0)),AND(AM$7&lt;=$X68,AM$7&gt;$X68-TIME(0,TimeIncr,0)),AND(AM$7&lt;=$Z68,AM$7&gt;$Z68-TIME(0,TimeIncr,0)),AND(AM$7&lt;=$AB68,AM$7&gt;$AB68-TIME(0,TimeIncr,0)),AND(AM$7&lt;=$AD68,AM$7&gt;$AD68-TIME(0,TimeIncr,0)),AND(AM$7&lt;=$AF68,AM$7&gt;$AF68-TIME(0,TimeIncr,0)),AND(AM$7&lt;=$AH68,AM$7&gt;$AH68-TIME(0,TimeIncr,0)),AND(AM$7&lt;=$AJ68,AM$7&gt;$AJ68-TIME(0,TimeIncr,0))),$E68*$L68,IF(OR(AND(AM$7&gt;=$M68,AM$7&lt;=$N68),AND(AM$7&gt;=$O68,AM$7&lt;=$P68),AND(AM$7&gt;=$Q68,AM$7&lt;=$R68),AND(AM$7&gt;=$S68,AM$7&lt;=$T68),AND(AM$7&gt;=$U68,AM$7&lt;=$V68),AND(AM$7&gt;=$W68,AM$7&lt;=$X68),AND(AM$7&gt;=$Y68,AM$7&lt;=$Z68),AND(AM$7&gt;=$AA68,AM$7&lt;=$AB68),AND(AM$7&gt;=$AC68,AM$7&lt;=$AD68),AND(AM$7&gt;=$AE68,AM$7&lt;=$AF68),AND(AM$7&gt;=$AG68,AM$7&lt;=$AH68),AND(AM$7&gt;=$AI68,AM$7&lt;=$AJ68)),0,IF(OR(AND($M68&gt;$N68,AM$7&lt;=$N68),AND($O68&gt;$P68,AM$7&lt;=$P68),AND($Q68&gt;$R68,AM$7&lt;=$R68),AND($S68&gt;$T68,AM$7&lt;=$T68),AND($U68&gt;$V68,AM$7&lt;=$V68),AND($W68&gt;$X68,AM$7&lt;=$X68),AND($Y68&gt;$Z68,AM$7&lt;=$Z68),AND($AA68&gt;$AB68,AM$7&lt;=$AB68),AND($AC68&gt;$AD68,AM$7&lt;=$AD68),AND($AE68&gt;$AF68,AM$7&lt;=$AF68),AND($AG68&gt;$AH68,AM$7&lt;=$AH68),AND($AI68&gt;$AJ68,AM$7&lt;=$AJ68)),0,IF(OR(AND(AM$7&gt;=$M68,$M68&gt;$N68),AND(AM$7&gt;=$O68,$O68&gt;$P68),AND(AM$7&gt;=$Q68,$Q68&gt;$R68),AND(AM$7&gt;=$S68,$S68&gt;$T68),AND(AM$7&gt;=$U68,$U68&gt;$V68),AND(AM$7&gt;=$W68,$W68&gt;$X68),AND(AM$7&gt;=$Y68,$Y68&gt;$Z68),AND(AM$7&gt;=$AA68,$AA68&gt;$AB68),AND(AM$7&gt;=$AC68,$AC68&gt;$AD68),AND(AM$7&gt;=$AE68,$AE68&gt;$AF68),AND(AM$7&gt;=$AG68,$AG68&gt;$AH68),AND(AM$7&gt;=$AI68,$AI68&gt;$AJ68)),0,$E68)))))</f>
        <v>0</v>
      </c>
      <c r="AN68" s="409">
        <f t="shared" si="163"/>
        <v>0</v>
      </c>
      <c r="AO68" s="409">
        <f t="shared" si="163"/>
        <v>0</v>
      </c>
      <c r="AP68" s="409">
        <f t="shared" si="163"/>
        <v>0</v>
      </c>
      <c r="AQ68" s="409">
        <f t="shared" si="163"/>
        <v>0</v>
      </c>
      <c r="AR68" s="409">
        <f t="shared" si="163"/>
        <v>0</v>
      </c>
      <c r="AS68" s="409">
        <f t="shared" si="163"/>
        <v>0</v>
      </c>
      <c r="AT68" s="409">
        <f t="shared" si="163"/>
        <v>0</v>
      </c>
      <c r="AU68" s="409">
        <f t="shared" si="163"/>
        <v>0</v>
      </c>
      <c r="AV68" s="409">
        <f t="shared" si="163"/>
        <v>0</v>
      </c>
      <c r="AW68" s="409">
        <f t="shared" ref="AW68:BF77" si="164">IF(ISNA(AW$7),"",IF(OR(AND(AW$7&lt;=$N68,AW$7&gt;$N68-TIME(0,TimeIncr,0)),AND(AW$7&lt;=$P68,AW$7&gt;$P68-TIME(0,TimeIncr,0)),AND(AW$7&lt;=$R68,AW$7&gt;$R68-TIME(0,TimeIncr,0)),AND(AW$7&lt;=$T68,AW$7&gt;$T68-TIME(0,TimeIncr,0)),AND(AW$7&lt;=$V68,AW$7&gt;$V68-TIME(0,TimeIncr,0)),AND(AW$7&lt;=$X68,AW$7&gt;$X68-TIME(0,TimeIncr,0)),AND(AW$7&lt;=$Z68,AW$7&gt;$Z68-TIME(0,TimeIncr,0)),AND(AW$7&lt;=$AB68,AW$7&gt;$AB68-TIME(0,TimeIncr,0)),AND(AW$7&lt;=$AD68,AW$7&gt;$AD68-TIME(0,TimeIncr,0)),AND(AW$7&lt;=$AF68,AW$7&gt;$AF68-TIME(0,TimeIncr,0)),AND(AW$7&lt;=$AH68,AW$7&gt;$AH68-TIME(0,TimeIncr,0)),AND(AW$7&lt;=$AJ68,AW$7&gt;$AJ68-TIME(0,TimeIncr,0))),$E68*$L68,IF(OR(AND(AW$7&gt;=$M68,AW$7&lt;=$N68),AND(AW$7&gt;=$O68,AW$7&lt;=$P68),AND(AW$7&gt;=$Q68,AW$7&lt;=$R68),AND(AW$7&gt;=$S68,AW$7&lt;=$T68),AND(AW$7&gt;=$U68,AW$7&lt;=$V68),AND(AW$7&gt;=$W68,AW$7&lt;=$X68),AND(AW$7&gt;=$Y68,AW$7&lt;=$Z68),AND(AW$7&gt;=$AA68,AW$7&lt;=$AB68),AND(AW$7&gt;=$AC68,AW$7&lt;=$AD68),AND(AW$7&gt;=$AE68,AW$7&lt;=$AF68),AND(AW$7&gt;=$AG68,AW$7&lt;=$AH68),AND(AW$7&gt;=$AI68,AW$7&lt;=$AJ68)),0,IF(OR(AND($M68&gt;$N68,AW$7&lt;=$N68),AND($O68&gt;$P68,AW$7&lt;=$P68),AND($Q68&gt;$R68,AW$7&lt;=$R68),AND($S68&gt;$T68,AW$7&lt;=$T68),AND($U68&gt;$V68,AW$7&lt;=$V68),AND($W68&gt;$X68,AW$7&lt;=$X68),AND($Y68&gt;$Z68,AW$7&lt;=$Z68),AND($AA68&gt;$AB68,AW$7&lt;=$AB68),AND($AC68&gt;$AD68,AW$7&lt;=$AD68),AND($AE68&gt;$AF68,AW$7&lt;=$AF68),AND($AG68&gt;$AH68,AW$7&lt;=$AH68),AND($AI68&gt;$AJ68,AW$7&lt;=$AJ68)),0,IF(OR(AND(AW$7&gt;=$M68,$M68&gt;$N68),AND(AW$7&gt;=$O68,$O68&gt;$P68),AND(AW$7&gt;=$Q68,$Q68&gt;$R68),AND(AW$7&gt;=$S68,$S68&gt;$T68),AND(AW$7&gt;=$U68,$U68&gt;$V68),AND(AW$7&gt;=$W68,$W68&gt;$X68),AND(AW$7&gt;=$Y68,$Y68&gt;$Z68),AND(AW$7&gt;=$AA68,$AA68&gt;$AB68),AND(AW$7&gt;=$AC68,$AC68&gt;$AD68),AND(AW$7&gt;=$AE68,$AE68&gt;$AF68),AND(AW$7&gt;=$AG68,$AG68&gt;$AH68),AND(AW$7&gt;=$AI68,$AI68&gt;$AJ68)),0,$E68)))))</f>
        <v>0</v>
      </c>
      <c r="AX68" s="409">
        <f t="shared" si="164"/>
        <v>0</v>
      </c>
      <c r="AY68" s="409">
        <f t="shared" si="164"/>
        <v>0</v>
      </c>
      <c r="AZ68" s="409">
        <f t="shared" si="164"/>
        <v>0</v>
      </c>
      <c r="BA68" s="409">
        <f t="shared" si="164"/>
        <v>0</v>
      </c>
      <c r="BB68" s="409">
        <f t="shared" si="164"/>
        <v>0</v>
      </c>
      <c r="BC68" s="409">
        <f t="shared" si="164"/>
        <v>0</v>
      </c>
      <c r="BD68" s="409">
        <f t="shared" si="164"/>
        <v>0</v>
      </c>
      <c r="BE68" s="409">
        <f t="shared" si="164"/>
        <v>0</v>
      </c>
      <c r="BF68" s="409">
        <f t="shared" si="164"/>
        <v>0</v>
      </c>
      <c r="BG68" s="409">
        <f t="shared" ref="BG68:BP77" si="165">IF(ISNA(BG$7),"",IF(OR(AND(BG$7&lt;=$N68,BG$7&gt;$N68-TIME(0,TimeIncr,0)),AND(BG$7&lt;=$P68,BG$7&gt;$P68-TIME(0,TimeIncr,0)),AND(BG$7&lt;=$R68,BG$7&gt;$R68-TIME(0,TimeIncr,0)),AND(BG$7&lt;=$T68,BG$7&gt;$T68-TIME(0,TimeIncr,0)),AND(BG$7&lt;=$V68,BG$7&gt;$V68-TIME(0,TimeIncr,0)),AND(BG$7&lt;=$X68,BG$7&gt;$X68-TIME(0,TimeIncr,0)),AND(BG$7&lt;=$Z68,BG$7&gt;$Z68-TIME(0,TimeIncr,0)),AND(BG$7&lt;=$AB68,BG$7&gt;$AB68-TIME(0,TimeIncr,0)),AND(BG$7&lt;=$AD68,BG$7&gt;$AD68-TIME(0,TimeIncr,0)),AND(BG$7&lt;=$AF68,BG$7&gt;$AF68-TIME(0,TimeIncr,0)),AND(BG$7&lt;=$AH68,BG$7&gt;$AH68-TIME(0,TimeIncr,0)),AND(BG$7&lt;=$AJ68,BG$7&gt;$AJ68-TIME(0,TimeIncr,0))),$E68*$L68,IF(OR(AND(BG$7&gt;=$M68,BG$7&lt;=$N68),AND(BG$7&gt;=$O68,BG$7&lt;=$P68),AND(BG$7&gt;=$Q68,BG$7&lt;=$R68),AND(BG$7&gt;=$S68,BG$7&lt;=$T68),AND(BG$7&gt;=$U68,BG$7&lt;=$V68),AND(BG$7&gt;=$W68,BG$7&lt;=$X68),AND(BG$7&gt;=$Y68,BG$7&lt;=$Z68),AND(BG$7&gt;=$AA68,BG$7&lt;=$AB68),AND(BG$7&gt;=$AC68,BG$7&lt;=$AD68),AND(BG$7&gt;=$AE68,BG$7&lt;=$AF68),AND(BG$7&gt;=$AG68,BG$7&lt;=$AH68),AND(BG$7&gt;=$AI68,BG$7&lt;=$AJ68)),0,IF(OR(AND($M68&gt;$N68,BG$7&lt;=$N68),AND($O68&gt;$P68,BG$7&lt;=$P68),AND($Q68&gt;$R68,BG$7&lt;=$R68),AND($S68&gt;$T68,BG$7&lt;=$T68),AND($U68&gt;$V68,BG$7&lt;=$V68),AND($W68&gt;$X68,BG$7&lt;=$X68),AND($Y68&gt;$Z68,BG$7&lt;=$Z68),AND($AA68&gt;$AB68,BG$7&lt;=$AB68),AND($AC68&gt;$AD68,BG$7&lt;=$AD68),AND($AE68&gt;$AF68,BG$7&lt;=$AF68),AND($AG68&gt;$AH68,BG$7&lt;=$AH68),AND($AI68&gt;$AJ68,BG$7&lt;=$AJ68)),0,IF(OR(AND(BG$7&gt;=$M68,$M68&gt;$N68),AND(BG$7&gt;=$O68,$O68&gt;$P68),AND(BG$7&gt;=$Q68,$Q68&gt;$R68),AND(BG$7&gt;=$S68,$S68&gt;$T68),AND(BG$7&gt;=$U68,$U68&gt;$V68),AND(BG$7&gt;=$W68,$W68&gt;$X68),AND(BG$7&gt;=$Y68,$Y68&gt;$Z68),AND(BG$7&gt;=$AA68,$AA68&gt;$AB68),AND(BG$7&gt;=$AC68,$AC68&gt;$AD68),AND(BG$7&gt;=$AE68,$AE68&gt;$AF68),AND(BG$7&gt;=$AG68,$AG68&gt;$AH68),AND(BG$7&gt;=$AI68,$AI68&gt;$AJ68)),0,$E68)))))</f>
        <v>0</v>
      </c>
      <c r="BH68" s="409">
        <f t="shared" si="165"/>
        <v>0</v>
      </c>
      <c r="BI68" s="409">
        <f t="shared" si="165"/>
        <v>0</v>
      </c>
      <c r="BJ68" s="409">
        <f t="shared" si="165"/>
        <v>0</v>
      </c>
      <c r="BK68" s="409">
        <f t="shared" si="165"/>
        <v>0</v>
      </c>
      <c r="BL68" s="409">
        <f t="shared" si="165"/>
        <v>0</v>
      </c>
      <c r="BM68" s="409">
        <f t="shared" si="165"/>
        <v>0</v>
      </c>
      <c r="BN68" s="409">
        <f t="shared" si="165"/>
        <v>0</v>
      </c>
      <c r="BO68" s="409">
        <f t="shared" si="165"/>
        <v>0</v>
      </c>
      <c r="BP68" s="409">
        <f t="shared" si="165"/>
        <v>0</v>
      </c>
      <c r="BQ68" s="409">
        <f t="shared" ref="BQ68:BZ77" si="166">IF(ISNA(BQ$7),"",IF(OR(AND(BQ$7&lt;=$N68,BQ$7&gt;$N68-TIME(0,TimeIncr,0)),AND(BQ$7&lt;=$P68,BQ$7&gt;$P68-TIME(0,TimeIncr,0)),AND(BQ$7&lt;=$R68,BQ$7&gt;$R68-TIME(0,TimeIncr,0)),AND(BQ$7&lt;=$T68,BQ$7&gt;$T68-TIME(0,TimeIncr,0)),AND(BQ$7&lt;=$V68,BQ$7&gt;$V68-TIME(0,TimeIncr,0)),AND(BQ$7&lt;=$X68,BQ$7&gt;$X68-TIME(0,TimeIncr,0)),AND(BQ$7&lt;=$Z68,BQ$7&gt;$Z68-TIME(0,TimeIncr,0)),AND(BQ$7&lt;=$AB68,BQ$7&gt;$AB68-TIME(0,TimeIncr,0)),AND(BQ$7&lt;=$AD68,BQ$7&gt;$AD68-TIME(0,TimeIncr,0)),AND(BQ$7&lt;=$AF68,BQ$7&gt;$AF68-TIME(0,TimeIncr,0)),AND(BQ$7&lt;=$AH68,BQ$7&gt;$AH68-TIME(0,TimeIncr,0)),AND(BQ$7&lt;=$AJ68,BQ$7&gt;$AJ68-TIME(0,TimeIncr,0))),$E68*$L68,IF(OR(AND(BQ$7&gt;=$M68,BQ$7&lt;=$N68),AND(BQ$7&gt;=$O68,BQ$7&lt;=$P68),AND(BQ$7&gt;=$Q68,BQ$7&lt;=$R68),AND(BQ$7&gt;=$S68,BQ$7&lt;=$T68),AND(BQ$7&gt;=$U68,BQ$7&lt;=$V68),AND(BQ$7&gt;=$W68,BQ$7&lt;=$X68),AND(BQ$7&gt;=$Y68,BQ$7&lt;=$Z68),AND(BQ$7&gt;=$AA68,BQ$7&lt;=$AB68),AND(BQ$7&gt;=$AC68,BQ$7&lt;=$AD68),AND(BQ$7&gt;=$AE68,BQ$7&lt;=$AF68),AND(BQ$7&gt;=$AG68,BQ$7&lt;=$AH68),AND(BQ$7&gt;=$AI68,BQ$7&lt;=$AJ68)),0,IF(OR(AND($M68&gt;$N68,BQ$7&lt;=$N68),AND($O68&gt;$P68,BQ$7&lt;=$P68),AND($Q68&gt;$R68,BQ$7&lt;=$R68),AND($S68&gt;$T68,BQ$7&lt;=$T68),AND($U68&gt;$V68,BQ$7&lt;=$V68),AND($W68&gt;$X68,BQ$7&lt;=$X68),AND($Y68&gt;$Z68,BQ$7&lt;=$Z68),AND($AA68&gt;$AB68,BQ$7&lt;=$AB68),AND($AC68&gt;$AD68,BQ$7&lt;=$AD68),AND($AE68&gt;$AF68,BQ$7&lt;=$AF68),AND($AG68&gt;$AH68,BQ$7&lt;=$AH68),AND($AI68&gt;$AJ68,BQ$7&lt;=$AJ68)),0,IF(OR(AND(BQ$7&gt;=$M68,$M68&gt;$N68),AND(BQ$7&gt;=$O68,$O68&gt;$P68),AND(BQ$7&gt;=$Q68,$Q68&gt;$R68),AND(BQ$7&gt;=$S68,$S68&gt;$T68),AND(BQ$7&gt;=$U68,$U68&gt;$V68),AND(BQ$7&gt;=$W68,$W68&gt;$X68),AND(BQ$7&gt;=$Y68,$Y68&gt;$Z68),AND(BQ$7&gt;=$AA68,$AA68&gt;$AB68),AND(BQ$7&gt;=$AC68,$AC68&gt;$AD68),AND(BQ$7&gt;=$AE68,$AE68&gt;$AF68),AND(BQ$7&gt;=$AG68,$AG68&gt;$AH68),AND(BQ$7&gt;=$AI68,$AI68&gt;$AJ68)),0,$E68)))))</f>
        <v>0</v>
      </c>
      <c r="BR68" s="409">
        <f t="shared" si="166"/>
        <v>0</v>
      </c>
      <c r="BS68" s="409">
        <f t="shared" si="166"/>
        <v>0</v>
      </c>
      <c r="BT68" s="409">
        <f t="shared" si="166"/>
        <v>0</v>
      </c>
      <c r="BU68" s="409">
        <f t="shared" si="166"/>
        <v>0</v>
      </c>
      <c r="BV68" s="409">
        <f t="shared" si="166"/>
        <v>0</v>
      </c>
      <c r="BW68" s="409">
        <f t="shared" si="166"/>
        <v>0</v>
      </c>
      <c r="BX68" s="409">
        <f t="shared" si="166"/>
        <v>0</v>
      </c>
      <c r="BY68" s="409">
        <f t="shared" si="166"/>
        <v>0</v>
      </c>
      <c r="BZ68" s="409">
        <f t="shared" si="166"/>
        <v>0</v>
      </c>
      <c r="CA68" s="409">
        <f t="shared" ref="CA68:CJ77" si="167">IF(ISNA(CA$7),"",IF(OR(AND(CA$7&lt;=$N68,CA$7&gt;$N68-TIME(0,TimeIncr,0)),AND(CA$7&lt;=$P68,CA$7&gt;$P68-TIME(0,TimeIncr,0)),AND(CA$7&lt;=$R68,CA$7&gt;$R68-TIME(0,TimeIncr,0)),AND(CA$7&lt;=$T68,CA$7&gt;$T68-TIME(0,TimeIncr,0)),AND(CA$7&lt;=$V68,CA$7&gt;$V68-TIME(0,TimeIncr,0)),AND(CA$7&lt;=$X68,CA$7&gt;$X68-TIME(0,TimeIncr,0)),AND(CA$7&lt;=$Z68,CA$7&gt;$Z68-TIME(0,TimeIncr,0)),AND(CA$7&lt;=$AB68,CA$7&gt;$AB68-TIME(0,TimeIncr,0)),AND(CA$7&lt;=$AD68,CA$7&gt;$AD68-TIME(0,TimeIncr,0)),AND(CA$7&lt;=$AF68,CA$7&gt;$AF68-TIME(0,TimeIncr,0)),AND(CA$7&lt;=$AH68,CA$7&gt;$AH68-TIME(0,TimeIncr,0)),AND(CA$7&lt;=$AJ68,CA$7&gt;$AJ68-TIME(0,TimeIncr,0))),$E68*$L68,IF(OR(AND(CA$7&gt;=$M68,CA$7&lt;=$N68),AND(CA$7&gt;=$O68,CA$7&lt;=$P68),AND(CA$7&gt;=$Q68,CA$7&lt;=$R68),AND(CA$7&gt;=$S68,CA$7&lt;=$T68),AND(CA$7&gt;=$U68,CA$7&lt;=$V68),AND(CA$7&gt;=$W68,CA$7&lt;=$X68),AND(CA$7&gt;=$Y68,CA$7&lt;=$Z68),AND(CA$7&gt;=$AA68,CA$7&lt;=$AB68),AND(CA$7&gt;=$AC68,CA$7&lt;=$AD68),AND(CA$7&gt;=$AE68,CA$7&lt;=$AF68),AND(CA$7&gt;=$AG68,CA$7&lt;=$AH68),AND(CA$7&gt;=$AI68,CA$7&lt;=$AJ68)),0,IF(OR(AND($M68&gt;$N68,CA$7&lt;=$N68),AND($O68&gt;$P68,CA$7&lt;=$P68),AND($Q68&gt;$R68,CA$7&lt;=$R68),AND($S68&gt;$T68,CA$7&lt;=$T68),AND($U68&gt;$V68,CA$7&lt;=$V68),AND($W68&gt;$X68,CA$7&lt;=$X68),AND($Y68&gt;$Z68,CA$7&lt;=$Z68),AND($AA68&gt;$AB68,CA$7&lt;=$AB68),AND($AC68&gt;$AD68,CA$7&lt;=$AD68),AND($AE68&gt;$AF68,CA$7&lt;=$AF68),AND($AG68&gt;$AH68,CA$7&lt;=$AH68),AND($AI68&gt;$AJ68,CA$7&lt;=$AJ68)),0,IF(OR(AND(CA$7&gt;=$M68,$M68&gt;$N68),AND(CA$7&gt;=$O68,$O68&gt;$P68),AND(CA$7&gt;=$Q68,$Q68&gt;$R68),AND(CA$7&gt;=$S68,$S68&gt;$T68),AND(CA$7&gt;=$U68,$U68&gt;$V68),AND(CA$7&gt;=$W68,$W68&gt;$X68),AND(CA$7&gt;=$Y68,$Y68&gt;$Z68),AND(CA$7&gt;=$AA68,$AA68&gt;$AB68),AND(CA$7&gt;=$AC68,$AC68&gt;$AD68),AND(CA$7&gt;=$AE68,$AE68&gt;$AF68),AND(CA$7&gt;=$AG68,$AG68&gt;$AH68),AND(CA$7&gt;=$AI68,$AI68&gt;$AJ68)),0,$E68)))))</f>
        <v>0</v>
      </c>
      <c r="CB68" s="409">
        <f t="shared" si="167"/>
        <v>0</v>
      </c>
      <c r="CC68" s="409">
        <f t="shared" si="167"/>
        <v>0</v>
      </c>
      <c r="CD68" s="409">
        <f t="shared" si="167"/>
        <v>0</v>
      </c>
      <c r="CE68" s="409">
        <f t="shared" si="167"/>
        <v>0</v>
      </c>
      <c r="CF68" s="409">
        <f t="shared" si="167"/>
        <v>0</v>
      </c>
      <c r="CG68" s="409">
        <f t="shared" si="167"/>
        <v>0</v>
      </c>
      <c r="CH68" s="409">
        <f t="shared" si="167"/>
        <v>0</v>
      </c>
      <c r="CI68" s="409">
        <f t="shared" si="167"/>
        <v>0</v>
      </c>
      <c r="CJ68" s="409">
        <f t="shared" si="167"/>
        <v>0</v>
      </c>
      <c r="CK68" s="409">
        <f t="shared" ref="CK68:CT77" si="168">IF(ISNA(CK$7),"",IF(OR(AND(CK$7&lt;=$N68,CK$7&gt;$N68-TIME(0,TimeIncr,0)),AND(CK$7&lt;=$P68,CK$7&gt;$P68-TIME(0,TimeIncr,0)),AND(CK$7&lt;=$R68,CK$7&gt;$R68-TIME(0,TimeIncr,0)),AND(CK$7&lt;=$T68,CK$7&gt;$T68-TIME(0,TimeIncr,0)),AND(CK$7&lt;=$V68,CK$7&gt;$V68-TIME(0,TimeIncr,0)),AND(CK$7&lt;=$X68,CK$7&gt;$X68-TIME(0,TimeIncr,0)),AND(CK$7&lt;=$Z68,CK$7&gt;$Z68-TIME(0,TimeIncr,0)),AND(CK$7&lt;=$AB68,CK$7&gt;$AB68-TIME(0,TimeIncr,0)),AND(CK$7&lt;=$AD68,CK$7&gt;$AD68-TIME(0,TimeIncr,0)),AND(CK$7&lt;=$AF68,CK$7&gt;$AF68-TIME(0,TimeIncr,0)),AND(CK$7&lt;=$AH68,CK$7&gt;$AH68-TIME(0,TimeIncr,0)),AND(CK$7&lt;=$AJ68,CK$7&gt;$AJ68-TIME(0,TimeIncr,0))),$E68*$L68,IF(OR(AND(CK$7&gt;=$M68,CK$7&lt;=$N68),AND(CK$7&gt;=$O68,CK$7&lt;=$P68),AND(CK$7&gt;=$Q68,CK$7&lt;=$R68),AND(CK$7&gt;=$S68,CK$7&lt;=$T68),AND(CK$7&gt;=$U68,CK$7&lt;=$V68),AND(CK$7&gt;=$W68,CK$7&lt;=$X68),AND(CK$7&gt;=$Y68,CK$7&lt;=$Z68),AND(CK$7&gt;=$AA68,CK$7&lt;=$AB68),AND(CK$7&gt;=$AC68,CK$7&lt;=$AD68),AND(CK$7&gt;=$AE68,CK$7&lt;=$AF68),AND(CK$7&gt;=$AG68,CK$7&lt;=$AH68),AND(CK$7&gt;=$AI68,CK$7&lt;=$AJ68)),0,IF(OR(AND($M68&gt;$N68,CK$7&lt;=$N68),AND($O68&gt;$P68,CK$7&lt;=$P68),AND($Q68&gt;$R68,CK$7&lt;=$R68),AND($S68&gt;$T68,CK$7&lt;=$T68),AND($U68&gt;$V68,CK$7&lt;=$V68),AND($W68&gt;$X68,CK$7&lt;=$X68),AND($Y68&gt;$Z68,CK$7&lt;=$Z68),AND($AA68&gt;$AB68,CK$7&lt;=$AB68),AND($AC68&gt;$AD68,CK$7&lt;=$AD68),AND($AE68&gt;$AF68,CK$7&lt;=$AF68),AND($AG68&gt;$AH68,CK$7&lt;=$AH68),AND($AI68&gt;$AJ68,CK$7&lt;=$AJ68)),0,IF(OR(AND(CK$7&gt;=$M68,$M68&gt;$N68),AND(CK$7&gt;=$O68,$O68&gt;$P68),AND(CK$7&gt;=$Q68,$Q68&gt;$R68),AND(CK$7&gt;=$S68,$S68&gt;$T68),AND(CK$7&gt;=$U68,$U68&gt;$V68),AND(CK$7&gt;=$W68,$W68&gt;$X68),AND(CK$7&gt;=$Y68,$Y68&gt;$Z68),AND(CK$7&gt;=$AA68,$AA68&gt;$AB68),AND(CK$7&gt;=$AC68,$AC68&gt;$AD68),AND(CK$7&gt;=$AE68,$AE68&gt;$AF68),AND(CK$7&gt;=$AG68,$AG68&gt;$AH68),AND(CK$7&gt;=$AI68,$AI68&gt;$AJ68)),0,$E68)))))</f>
        <v>0</v>
      </c>
      <c r="CL68" s="409">
        <f t="shared" si="168"/>
        <v>0</v>
      </c>
      <c r="CM68" s="409">
        <f t="shared" si="168"/>
        <v>0</v>
      </c>
      <c r="CN68" s="409">
        <f t="shared" si="168"/>
        <v>0</v>
      </c>
      <c r="CO68" s="409">
        <f t="shared" si="168"/>
        <v>0</v>
      </c>
      <c r="CP68" s="409">
        <f t="shared" si="168"/>
        <v>0</v>
      </c>
      <c r="CQ68" s="409">
        <f t="shared" si="168"/>
        <v>0</v>
      </c>
      <c r="CR68" s="409">
        <f t="shared" si="168"/>
        <v>0</v>
      </c>
      <c r="CS68" s="409">
        <f t="shared" si="168"/>
        <v>0</v>
      </c>
      <c r="CT68" s="409">
        <f t="shared" si="168"/>
        <v>0</v>
      </c>
      <c r="CU68" s="409">
        <f t="shared" ref="CU68:DD77" si="169">IF(ISNA(CU$7),"",IF(OR(AND(CU$7&lt;=$N68,CU$7&gt;$N68-TIME(0,TimeIncr,0)),AND(CU$7&lt;=$P68,CU$7&gt;$P68-TIME(0,TimeIncr,0)),AND(CU$7&lt;=$R68,CU$7&gt;$R68-TIME(0,TimeIncr,0)),AND(CU$7&lt;=$T68,CU$7&gt;$T68-TIME(0,TimeIncr,0)),AND(CU$7&lt;=$V68,CU$7&gt;$V68-TIME(0,TimeIncr,0)),AND(CU$7&lt;=$X68,CU$7&gt;$X68-TIME(0,TimeIncr,0)),AND(CU$7&lt;=$Z68,CU$7&gt;$Z68-TIME(0,TimeIncr,0)),AND(CU$7&lt;=$AB68,CU$7&gt;$AB68-TIME(0,TimeIncr,0)),AND(CU$7&lt;=$AD68,CU$7&gt;$AD68-TIME(0,TimeIncr,0)),AND(CU$7&lt;=$AF68,CU$7&gt;$AF68-TIME(0,TimeIncr,0)),AND(CU$7&lt;=$AH68,CU$7&gt;$AH68-TIME(0,TimeIncr,0)),AND(CU$7&lt;=$AJ68,CU$7&gt;$AJ68-TIME(0,TimeIncr,0))),$E68*$L68,IF(OR(AND(CU$7&gt;=$M68,CU$7&lt;=$N68),AND(CU$7&gt;=$O68,CU$7&lt;=$P68),AND(CU$7&gt;=$Q68,CU$7&lt;=$R68),AND(CU$7&gt;=$S68,CU$7&lt;=$T68),AND(CU$7&gt;=$U68,CU$7&lt;=$V68),AND(CU$7&gt;=$W68,CU$7&lt;=$X68),AND(CU$7&gt;=$Y68,CU$7&lt;=$Z68),AND(CU$7&gt;=$AA68,CU$7&lt;=$AB68),AND(CU$7&gt;=$AC68,CU$7&lt;=$AD68),AND(CU$7&gt;=$AE68,CU$7&lt;=$AF68),AND(CU$7&gt;=$AG68,CU$7&lt;=$AH68),AND(CU$7&gt;=$AI68,CU$7&lt;=$AJ68)),0,IF(OR(AND($M68&gt;$N68,CU$7&lt;=$N68),AND($O68&gt;$P68,CU$7&lt;=$P68),AND($Q68&gt;$R68,CU$7&lt;=$R68),AND($S68&gt;$T68,CU$7&lt;=$T68),AND($U68&gt;$V68,CU$7&lt;=$V68),AND($W68&gt;$X68,CU$7&lt;=$X68),AND($Y68&gt;$Z68,CU$7&lt;=$Z68),AND($AA68&gt;$AB68,CU$7&lt;=$AB68),AND($AC68&gt;$AD68,CU$7&lt;=$AD68),AND($AE68&gt;$AF68,CU$7&lt;=$AF68),AND($AG68&gt;$AH68,CU$7&lt;=$AH68),AND($AI68&gt;$AJ68,CU$7&lt;=$AJ68)),0,IF(OR(AND(CU$7&gt;=$M68,$M68&gt;$N68),AND(CU$7&gt;=$O68,$O68&gt;$P68),AND(CU$7&gt;=$Q68,$Q68&gt;$R68),AND(CU$7&gt;=$S68,$S68&gt;$T68),AND(CU$7&gt;=$U68,$U68&gt;$V68),AND(CU$7&gt;=$W68,$W68&gt;$X68),AND(CU$7&gt;=$Y68,$Y68&gt;$Z68),AND(CU$7&gt;=$AA68,$AA68&gt;$AB68),AND(CU$7&gt;=$AC68,$AC68&gt;$AD68),AND(CU$7&gt;=$AE68,$AE68&gt;$AF68),AND(CU$7&gt;=$AG68,$AG68&gt;$AH68),AND(CU$7&gt;=$AI68,$AI68&gt;$AJ68)),0,$E68)))))</f>
        <v>0</v>
      </c>
      <c r="CV68" s="409">
        <f t="shared" si="169"/>
        <v>0</v>
      </c>
      <c r="CW68" s="409">
        <f t="shared" si="169"/>
        <v>0</v>
      </c>
      <c r="CX68" s="409">
        <f t="shared" si="169"/>
        <v>0</v>
      </c>
      <c r="CY68" s="409">
        <f t="shared" si="169"/>
        <v>0</v>
      </c>
      <c r="CZ68" s="409">
        <f t="shared" si="169"/>
        <v>0</v>
      </c>
      <c r="DA68" s="409">
        <f t="shared" si="169"/>
        <v>0</v>
      </c>
      <c r="DB68" s="409">
        <f t="shared" si="169"/>
        <v>0</v>
      </c>
      <c r="DC68" s="409">
        <f t="shared" si="169"/>
        <v>0</v>
      </c>
      <c r="DD68" s="409">
        <f t="shared" si="169"/>
        <v>0</v>
      </c>
      <c r="DE68" s="409">
        <f t="shared" ref="DE68:DN77" si="170">IF(ISNA(DE$7),"",IF(OR(AND(DE$7&lt;=$N68,DE$7&gt;$N68-TIME(0,TimeIncr,0)),AND(DE$7&lt;=$P68,DE$7&gt;$P68-TIME(0,TimeIncr,0)),AND(DE$7&lt;=$R68,DE$7&gt;$R68-TIME(0,TimeIncr,0)),AND(DE$7&lt;=$T68,DE$7&gt;$T68-TIME(0,TimeIncr,0)),AND(DE$7&lt;=$V68,DE$7&gt;$V68-TIME(0,TimeIncr,0)),AND(DE$7&lt;=$X68,DE$7&gt;$X68-TIME(0,TimeIncr,0)),AND(DE$7&lt;=$Z68,DE$7&gt;$Z68-TIME(0,TimeIncr,0)),AND(DE$7&lt;=$AB68,DE$7&gt;$AB68-TIME(0,TimeIncr,0)),AND(DE$7&lt;=$AD68,DE$7&gt;$AD68-TIME(0,TimeIncr,0)),AND(DE$7&lt;=$AF68,DE$7&gt;$AF68-TIME(0,TimeIncr,0)),AND(DE$7&lt;=$AH68,DE$7&gt;$AH68-TIME(0,TimeIncr,0)),AND(DE$7&lt;=$AJ68,DE$7&gt;$AJ68-TIME(0,TimeIncr,0))),$E68*$L68,IF(OR(AND(DE$7&gt;=$M68,DE$7&lt;=$N68),AND(DE$7&gt;=$O68,DE$7&lt;=$P68),AND(DE$7&gt;=$Q68,DE$7&lt;=$R68),AND(DE$7&gt;=$S68,DE$7&lt;=$T68),AND(DE$7&gt;=$U68,DE$7&lt;=$V68),AND(DE$7&gt;=$W68,DE$7&lt;=$X68),AND(DE$7&gt;=$Y68,DE$7&lt;=$Z68),AND(DE$7&gt;=$AA68,DE$7&lt;=$AB68),AND(DE$7&gt;=$AC68,DE$7&lt;=$AD68),AND(DE$7&gt;=$AE68,DE$7&lt;=$AF68),AND(DE$7&gt;=$AG68,DE$7&lt;=$AH68),AND(DE$7&gt;=$AI68,DE$7&lt;=$AJ68)),0,IF(OR(AND($M68&gt;$N68,DE$7&lt;=$N68),AND($O68&gt;$P68,DE$7&lt;=$P68),AND($Q68&gt;$R68,DE$7&lt;=$R68),AND($S68&gt;$T68,DE$7&lt;=$T68),AND($U68&gt;$V68,DE$7&lt;=$V68),AND($W68&gt;$X68,DE$7&lt;=$X68),AND($Y68&gt;$Z68,DE$7&lt;=$Z68),AND($AA68&gt;$AB68,DE$7&lt;=$AB68),AND($AC68&gt;$AD68,DE$7&lt;=$AD68),AND($AE68&gt;$AF68,DE$7&lt;=$AF68),AND($AG68&gt;$AH68,DE$7&lt;=$AH68),AND($AI68&gt;$AJ68,DE$7&lt;=$AJ68)),0,IF(OR(AND(DE$7&gt;=$M68,$M68&gt;$N68),AND(DE$7&gt;=$O68,$O68&gt;$P68),AND(DE$7&gt;=$Q68,$Q68&gt;$R68),AND(DE$7&gt;=$S68,$S68&gt;$T68),AND(DE$7&gt;=$U68,$U68&gt;$V68),AND(DE$7&gt;=$W68,$W68&gt;$X68),AND(DE$7&gt;=$Y68,$Y68&gt;$Z68),AND(DE$7&gt;=$AA68,$AA68&gt;$AB68),AND(DE$7&gt;=$AC68,$AC68&gt;$AD68),AND(DE$7&gt;=$AE68,$AE68&gt;$AF68),AND(DE$7&gt;=$AG68,$AG68&gt;$AH68),AND(DE$7&gt;=$AI68,$AI68&gt;$AJ68)),0,$E68)))))</f>
        <v>0</v>
      </c>
      <c r="DF68" s="409">
        <f t="shared" si="170"/>
        <v>0</v>
      </c>
      <c r="DG68" s="409">
        <f t="shared" si="170"/>
        <v>0</v>
      </c>
      <c r="DH68" s="409">
        <f t="shared" si="170"/>
        <v>0</v>
      </c>
      <c r="DI68" s="409">
        <f t="shared" si="170"/>
        <v>0</v>
      </c>
      <c r="DJ68" s="409">
        <f t="shared" si="170"/>
        <v>0</v>
      </c>
      <c r="DK68" s="409">
        <f t="shared" si="170"/>
        <v>0</v>
      </c>
      <c r="DL68" s="409">
        <f t="shared" si="170"/>
        <v>0</v>
      </c>
      <c r="DM68" s="409">
        <f t="shared" si="170"/>
        <v>0</v>
      </c>
      <c r="DN68" s="409">
        <f t="shared" si="170"/>
        <v>0</v>
      </c>
      <c r="DO68" s="409">
        <f t="shared" ref="DO68:DX77" si="171">IF(ISNA(DO$7),"",IF(OR(AND(DO$7&lt;=$N68,DO$7&gt;$N68-TIME(0,TimeIncr,0)),AND(DO$7&lt;=$P68,DO$7&gt;$P68-TIME(0,TimeIncr,0)),AND(DO$7&lt;=$R68,DO$7&gt;$R68-TIME(0,TimeIncr,0)),AND(DO$7&lt;=$T68,DO$7&gt;$T68-TIME(0,TimeIncr,0)),AND(DO$7&lt;=$V68,DO$7&gt;$V68-TIME(0,TimeIncr,0)),AND(DO$7&lt;=$X68,DO$7&gt;$X68-TIME(0,TimeIncr,0)),AND(DO$7&lt;=$Z68,DO$7&gt;$Z68-TIME(0,TimeIncr,0)),AND(DO$7&lt;=$AB68,DO$7&gt;$AB68-TIME(0,TimeIncr,0)),AND(DO$7&lt;=$AD68,DO$7&gt;$AD68-TIME(0,TimeIncr,0)),AND(DO$7&lt;=$AF68,DO$7&gt;$AF68-TIME(0,TimeIncr,0)),AND(DO$7&lt;=$AH68,DO$7&gt;$AH68-TIME(0,TimeIncr,0)),AND(DO$7&lt;=$AJ68,DO$7&gt;$AJ68-TIME(0,TimeIncr,0))),$E68*$L68,IF(OR(AND(DO$7&gt;=$M68,DO$7&lt;=$N68),AND(DO$7&gt;=$O68,DO$7&lt;=$P68),AND(DO$7&gt;=$Q68,DO$7&lt;=$R68),AND(DO$7&gt;=$S68,DO$7&lt;=$T68),AND(DO$7&gt;=$U68,DO$7&lt;=$V68),AND(DO$7&gt;=$W68,DO$7&lt;=$X68),AND(DO$7&gt;=$Y68,DO$7&lt;=$Z68),AND(DO$7&gt;=$AA68,DO$7&lt;=$AB68),AND(DO$7&gt;=$AC68,DO$7&lt;=$AD68),AND(DO$7&gt;=$AE68,DO$7&lt;=$AF68),AND(DO$7&gt;=$AG68,DO$7&lt;=$AH68),AND(DO$7&gt;=$AI68,DO$7&lt;=$AJ68)),0,IF(OR(AND($M68&gt;$N68,DO$7&lt;=$N68),AND($O68&gt;$P68,DO$7&lt;=$P68),AND($Q68&gt;$R68,DO$7&lt;=$R68),AND($S68&gt;$T68,DO$7&lt;=$T68),AND($U68&gt;$V68,DO$7&lt;=$V68),AND($W68&gt;$X68,DO$7&lt;=$X68),AND($Y68&gt;$Z68,DO$7&lt;=$Z68),AND($AA68&gt;$AB68,DO$7&lt;=$AB68),AND($AC68&gt;$AD68,DO$7&lt;=$AD68),AND($AE68&gt;$AF68,DO$7&lt;=$AF68),AND($AG68&gt;$AH68,DO$7&lt;=$AH68),AND($AI68&gt;$AJ68,DO$7&lt;=$AJ68)),0,IF(OR(AND(DO$7&gt;=$M68,$M68&gt;$N68),AND(DO$7&gt;=$O68,$O68&gt;$P68),AND(DO$7&gt;=$Q68,$Q68&gt;$R68),AND(DO$7&gt;=$S68,$S68&gt;$T68),AND(DO$7&gt;=$U68,$U68&gt;$V68),AND(DO$7&gt;=$W68,$W68&gt;$X68),AND(DO$7&gt;=$Y68,$Y68&gt;$Z68),AND(DO$7&gt;=$AA68,$AA68&gt;$AB68),AND(DO$7&gt;=$AC68,$AC68&gt;$AD68),AND(DO$7&gt;=$AE68,$AE68&gt;$AF68),AND(DO$7&gt;=$AG68,$AG68&gt;$AH68),AND(DO$7&gt;=$AI68,$AI68&gt;$AJ68)),0,$E68)))))</f>
        <v>0</v>
      </c>
      <c r="DP68" s="409">
        <f t="shared" si="171"/>
        <v>0</v>
      </c>
      <c r="DQ68" s="409">
        <f t="shared" si="171"/>
        <v>0</v>
      </c>
      <c r="DR68" s="409">
        <f t="shared" si="171"/>
        <v>0</v>
      </c>
      <c r="DS68" s="409">
        <f t="shared" si="171"/>
        <v>0</v>
      </c>
      <c r="DT68" s="409">
        <f t="shared" si="171"/>
        <v>0</v>
      </c>
      <c r="DU68" s="409">
        <f t="shared" si="171"/>
        <v>0</v>
      </c>
      <c r="DV68" s="409">
        <f t="shared" si="171"/>
        <v>0</v>
      </c>
      <c r="DW68" s="409">
        <f t="shared" si="171"/>
        <v>0</v>
      </c>
      <c r="DX68" s="409">
        <f t="shared" si="171"/>
        <v>0</v>
      </c>
      <c r="DY68" s="409">
        <f t="shared" ref="DY68:EH77" si="172">IF(ISNA(DY$7),"",IF(OR(AND(DY$7&lt;=$N68,DY$7&gt;$N68-TIME(0,TimeIncr,0)),AND(DY$7&lt;=$P68,DY$7&gt;$P68-TIME(0,TimeIncr,0)),AND(DY$7&lt;=$R68,DY$7&gt;$R68-TIME(0,TimeIncr,0)),AND(DY$7&lt;=$T68,DY$7&gt;$T68-TIME(0,TimeIncr,0)),AND(DY$7&lt;=$V68,DY$7&gt;$V68-TIME(0,TimeIncr,0)),AND(DY$7&lt;=$X68,DY$7&gt;$X68-TIME(0,TimeIncr,0)),AND(DY$7&lt;=$Z68,DY$7&gt;$Z68-TIME(0,TimeIncr,0)),AND(DY$7&lt;=$AB68,DY$7&gt;$AB68-TIME(0,TimeIncr,0)),AND(DY$7&lt;=$AD68,DY$7&gt;$AD68-TIME(0,TimeIncr,0)),AND(DY$7&lt;=$AF68,DY$7&gt;$AF68-TIME(0,TimeIncr,0)),AND(DY$7&lt;=$AH68,DY$7&gt;$AH68-TIME(0,TimeIncr,0)),AND(DY$7&lt;=$AJ68,DY$7&gt;$AJ68-TIME(0,TimeIncr,0))),$E68*$L68,IF(OR(AND(DY$7&gt;=$M68,DY$7&lt;=$N68),AND(DY$7&gt;=$O68,DY$7&lt;=$P68),AND(DY$7&gt;=$Q68,DY$7&lt;=$R68),AND(DY$7&gt;=$S68,DY$7&lt;=$T68),AND(DY$7&gt;=$U68,DY$7&lt;=$V68),AND(DY$7&gt;=$W68,DY$7&lt;=$X68),AND(DY$7&gt;=$Y68,DY$7&lt;=$Z68),AND(DY$7&gt;=$AA68,DY$7&lt;=$AB68),AND(DY$7&gt;=$AC68,DY$7&lt;=$AD68),AND(DY$7&gt;=$AE68,DY$7&lt;=$AF68),AND(DY$7&gt;=$AG68,DY$7&lt;=$AH68),AND(DY$7&gt;=$AI68,DY$7&lt;=$AJ68)),0,IF(OR(AND($M68&gt;$N68,DY$7&lt;=$N68),AND($O68&gt;$P68,DY$7&lt;=$P68),AND($Q68&gt;$R68,DY$7&lt;=$R68),AND($S68&gt;$T68,DY$7&lt;=$T68),AND($U68&gt;$V68,DY$7&lt;=$V68),AND($W68&gt;$X68,DY$7&lt;=$X68),AND($Y68&gt;$Z68,DY$7&lt;=$Z68),AND($AA68&gt;$AB68,DY$7&lt;=$AB68),AND($AC68&gt;$AD68,DY$7&lt;=$AD68),AND($AE68&gt;$AF68,DY$7&lt;=$AF68),AND($AG68&gt;$AH68,DY$7&lt;=$AH68),AND($AI68&gt;$AJ68,DY$7&lt;=$AJ68)),0,IF(OR(AND(DY$7&gt;=$M68,$M68&gt;$N68),AND(DY$7&gt;=$O68,$O68&gt;$P68),AND(DY$7&gt;=$Q68,$Q68&gt;$R68),AND(DY$7&gt;=$S68,$S68&gt;$T68),AND(DY$7&gt;=$U68,$U68&gt;$V68),AND(DY$7&gt;=$W68,$W68&gt;$X68),AND(DY$7&gt;=$Y68,$Y68&gt;$Z68),AND(DY$7&gt;=$AA68,$AA68&gt;$AB68),AND(DY$7&gt;=$AC68,$AC68&gt;$AD68),AND(DY$7&gt;=$AE68,$AE68&gt;$AF68),AND(DY$7&gt;=$AG68,$AG68&gt;$AH68),AND(DY$7&gt;=$AI68,$AI68&gt;$AJ68)),0,$E68)))))</f>
        <v>0</v>
      </c>
      <c r="DZ68" s="409">
        <f t="shared" si="172"/>
        <v>0</v>
      </c>
      <c r="EA68" s="409">
        <f t="shared" si="172"/>
        <v>0</v>
      </c>
      <c r="EB68" s="409">
        <f t="shared" si="172"/>
        <v>0</v>
      </c>
      <c r="EC68" s="409">
        <f t="shared" si="172"/>
        <v>0</v>
      </c>
      <c r="ED68" s="409">
        <f t="shared" si="172"/>
        <v>0</v>
      </c>
      <c r="EE68" s="409">
        <f t="shared" si="172"/>
        <v>0</v>
      </c>
      <c r="EF68" s="409">
        <f t="shared" si="172"/>
        <v>0</v>
      </c>
      <c r="EG68" s="409">
        <f t="shared" si="172"/>
        <v>0</v>
      </c>
      <c r="EH68" s="409">
        <f t="shared" si="172"/>
        <v>0</v>
      </c>
      <c r="EI68" s="409">
        <f t="shared" ref="EI68:ER77" si="173">IF(ISNA(EI$7),"",IF(OR(AND(EI$7&lt;=$N68,EI$7&gt;$N68-TIME(0,TimeIncr,0)),AND(EI$7&lt;=$P68,EI$7&gt;$P68-TIME(0,TimeIncr,0)),AND(EI$7&lt;=$R68,EI$7&gt;$R68-TIME(0,TimeIncr,0)),AND(EI$7&lt;=$T68,EI$7&gt;$T68-TIME(0,TimeIncr,0)),AND(EI$7&lt;=$V68,EI$7&gt;$V68-TIME(0,TimeIncr,0)),AND(EI$7&lt;=$X68,EI$7&gt;$X68-TIME(0,TimeIncr,0)),AND(EI$7&lt;=$Z68,EI$7&gt;$Z68-TIME(0,TimeIncr,0)),AND(EI$7&lt;=$AB68,EI$7&gt;$AB68-TIME(0,TimeIncr,0)),AND(EI$7&lt;=$AD68,EI$7&gt;$AD68-TIME(0,TimeIncr,0)),AND(EI$7&lt;=$AF68,EI$7&gt;$AF68-TIME(0,TimeIncr,0)),AND(EI$7&lt;=$AH68,EI$7&gt;$AH68-TIME(0,TimeIncr,0)),AND(EI$7&lt;=$AJ68,EI$7&gt;$AJ68-TIME(0,TimeIncr,0))),$E68*$L68,IF(OR(AND(EI$7&gt;=$M68,EI$7&lt;=$N68),AND(EI$7&gt;=$O68,EI$7&lt;=$P68),AND(EI$7&gt;=$Q68,EI$7&lt;=$R68),AND(EI$7&gt;=$S68,EI$7&lt;=$T68),AND(EI$7&gt;=$U68,EI$7&lt;=$V68),AND(EI$7&gt;=$W68,EI$7&lt;=$X68),AND(EI$7&gt;=$Y68,EI$7&lt;=$Z68),AND(EI$7&gt;=$AA68,EI$7&lt;=$AB68),AND(EI$7&gt;=$AC68,EI$7&lt;=$AD68),AND(EI$7&gt;=$AE68,EI$7&lt;=$AF68),AND(EI$7&gt;=$AG68,EI$7&lt;=$AH68),AND(EI$7&gt;=$AI68,EI$7&lt;=$AJ68)),0,IF(OR(AND($M68&gt;$N68,EI$7&lt;=$N68),AND($O68&gt;$P68,EI$7&lt;=$P68),AND($Q68&gt;$R68,EI$7&lt;=$R68),AND($S68&gt;$T68,EI$7&lt;=$T68),AND($U68&gt;$V68,EI$7&lt;=$V68),AND($W68&gt;$X68,EI$7&lt;=$X68),AND($Y68&gt;$Z68,EI$7&lt;=$Z68),AND($AA68&gt;$AB68,EI$7&lt;=$AB68),AND($AC68&gt;$AD68,EI$7&lt;=$AD68),AND($AE68&gt;$AF68,EI$7&lt;=$AF68),AND($AG68&gt;$AH68,EI$7&lt;=$AH68),AND($AI68&gt;$AJ68,EI$7&lt;=$AJ68)),0,IF(OR(AND(EI$7&gt;=$M68,$M68&gt;$N68),AND(EI$7&gt;=$O68,$O68&gt;$P68),AND(EI$7&gt;=$Q68,$Q68&gt;$R68),AND(EI$7&gt;=$S68,$S68&gt;$T68),AND(EI$7&gt;=$U68,$U68&gt;$V68),AND(EI$7&gt;=$W68,$W68&gt;$X68),AND(EI$7&gt;=$Y68,$Y68&gt;$Z68),AND(EI$7&gt;=$AA68,$AA68&gt;$AB68),AND(EI$7&gt;=$AC68,$AC68&gt;$AD68),AND(EI$7&gt;=$AE68,$AE68&gt;$AF68),AND(EI$7&gt;=$AG68,$AG68&gt;$AH68),AND(EI$7&gt;=$AI68,$AI68&gt;$AJ68)),0,$E68)))))</f>
        <v>0</v>
      </c>
      <c r="EJ68" s="409">
        <f t="shared" si="173"/>
        <v>0</v>
      </c>
      <c r="EK68" s="409">
        <f t="shared" si="173"/>
        <v>0</v>
      </c>
      <c r="EL68" s="409">
        <f t="shared" si="173"/>
        <v>0</v>
      </c>
      <c r="EM68" s="409">
        <f t="shared" si="173"/>
        <v>0</v>
      </c>
      <c r="EN68" s="409">
        <f t="shared" si="173"/>
        <v>0</v>
      </c>
      <c r="EO68" s="409">
        <f t="shared" si="173"/>
        <v>0</v>
      </c>
      <c r="EP68" s="409">
        <f t="shared" si="173"/>
        <v>0</v>
      </c>
      <c r="EQ68" s="409">
        <f t="shared" si="173"/>
        <v>0</v>
      </c>
      <c r="ER68" s="409">
        <f t="shared" si="173"/>
        <v>0</v>
      </c>
      <c r="ES68" s="409">
        <f t="shared" ref="ES68:FB77" si="174">IF(ISNA(ES$7),"",IF(OR(AND(ES$7&lt;=$N68,ES$7&gt;$N68-TIME(0,TimeIncr,0)),AND(ES$7&lt;=$P68,ES$7&gt;$P68-TIME(0,TimeIncr,0)),AND(ES$7&lt;=$R68,ES$7&gt;$R68-TIME(0,TimeIncr,0)),AND(ES$7&lt;=$T68,ES$7&gt;$T68-TIME(0,TimeIncr,0)),AND(ES$7&lt;=$V68,ES$7&gt;$V68-TIME(0,TimeIncr,0)),AND(ES$7&lt;=$X68,ES$7&gt;$X68-TIME(0,TimeIncr,0)),AND(ES$7&lt;=$Z68,ES$7&gt;$Z68-TIME(0,TimeIncr,0)),AND(ES$7&lt;=$AB68,ES$7&gt;$AB68-TIME(0,TimeIncr,0)),AND(ES$7&lt;=$AD68,ES$7&gt;$AD68-TIME(0,TimeIncr,0)),AND(ES$7&lt;=$AF68,ES$7&gt;$AF68-TIME(0,TimeIncr,0)),AND(ES$7&lt;=$AH68,ES$7&gt;$AH68-TIME(0,TimeIncr,0)),AND(ES$7&lt;=$AJ68,ES$7&gt;$AJ68-TIME(0,TimeIncr,0))),$E68*$L68,IF(OR(AND(ES$7&gt;=$M68,ES$7&lt;=$N68),AND(ES$7&gt;=$O68,ES$7&lt;=$P68),AND(ES$7&gt;=$Q68,ES$7&lt;=$R68),AND(ES$7&gt;=$S68,ES$7&lt;=$T68),AND(ES$7&gt;=$U68,ES$7&lt;=$V68),AND(ES$7&gt;=$W68,ES$7&lt;=$X68),AND(ES$7&gt;=$Y68,ES$7&lt;=$Z68),AND(ES$7&gt;=$AA68,ES$7&lt;=$AB68),AND(ES$7&gt;=$AC68,ES$7&lt;=$AD68),AND(ES$7&gt;=$AE68,ES$7&lt;=$AF68),AND(ES$7&gt;=$AG68,ES$7&lt;=$AH68),AND(ES$7&gt;=$AI68,ES$7&lt;=$AJ68)),0,IF(OR(AND($M68&gt;$N68,ES$7&lt;=$N68),AND($O68&gt;$P68,ES$7&lt;=$P68),AND($Q68&gt;$R68,ES$7&lt;=$R68),AND($S68&gt;$T68,ES$7&lt;=$T68),AND($U68&gt;$V68,ES$7&lt;=$V68),AND($W68&gt;$X68,ES$7&lt;=$X68),AND($Y68&gt;$Z68,ES$7&lt;=$Z68),AND($AA68&gt;$AB68,ES$7&lt;=$AB68),AND($AC68&gt;$AD68,ES$7&lt;=$AD68),AND($AE68&gt;$AF68,ES$7&lt;=$AF68),AND($AG68&gt;$AH68,ES$7&lt;=$AH68),AND($AI68&gt;$AJ68,ES$7&lt;=$AJ68)),0,IF(OR(AND(ES$7&gt;=$M68,$M68&gt;$N68),AND(ES$7&gt;=$O68,$O68&gt;$P68),AND(ES$7&gt;=$Q68,$Q68&gt;$R68),AND(ES$7&gt;=$S68,$S68&gt;$T68),AND(ES$7&gt;=$U68,$U68&gt;$V68),AND(ES$7&gt;=$W68,$W68&gt;$X68),AND(ES$7&gt;=$Y68,$Y68&gt;$Z68),AND(ES$7&gt;=$AA68,$AA68&gt;$AB68),AND(ES$7&gt;=$AC68,$AC68&gt;$AD68),AND(ES$7&gt;=$AE68,$AE68&gt;$AF68),AND(ES$7&gt;=$AG68,$AG68&gt;$AH68),AND(ES$7&gt;=$AI68,$AI68&gt;$AJ68)),0,$E68)))))</f>
        <v>0</v>
      </c>
      <c r="ET68" s="409">
        <f t="shared" si="174"/>
        <v>0</v>
      </c>
      <c r="EU68" s="409">
        <f t="shared" si="174"/>
        <v>0</v>
      </c>
      <c r="EV68" s="409">
        <f t="shared" si="174"/>
        <v>0</v>
      </c>
      <c r="EW68" s="409">
        <f t="shared" si="174"/>
        <v>0</v>
      </c>
      <c r="EX68" s="409">
        <f t="shared" si="174"/>
        <v>0</v>
      </c>
      <c r="EY68" s="409">
        <f t="shared" si="174"/>
        <v>0</v>
      </c>
      <c r="EZ68" s="409">
        <f t="shared" si="174"/>
        <v>0</v>
      </c>
      <c r="FA68" s="409">
        <f t="shared" si="174"/>
        <v>0</v>
      </c>
      <c r="FB68" s="409">
        <f t="shared" si="174"/>
        <v>0</v>
      </c>
      <c r="FC68" s="409">
        <f t="shared" ref="FC68:FL77" si="175">IF(ISNA(FC$7),"",IF(OR(AND(FC$7&lt;=$N68,FC$7&gt;$N68-TIME(0,TimeIncr,0)),AND(FC$7&lt;=$P68,FC$7&gt;$P68-TIME(0,TimeIncr,0)),AND(FC$7&lt;=$R68,FC$7&gt;$R68-TIME(0,TimeIncr,0)),AND(FC$7&lt;=$T68,FC$7&gt;$T68-TIME(0,TimeIncr,0)),AND(FC$7&lt;=$V68,FC$7&gt;$V68-TIME(0,TimeIncr,0)),AND(FC$7&lt;=$X68,FC$7&gt;$X68-TIME(0,TimeIncr,0)),AND(FC$7&lt;=$Z68,FC$7&gt;$Z68-TIME(0,TimeIncr,0)),AND(FC$7&lt;=$AB68,FC$7&gt;$AB68-TIME(0,TimeIncr,0)),AND(FC$7&lt;=$AD68,FC$7&gt;$AD68-TIME(0,TimeIncr,0)),AND(FC$7&lt;=$AF68,FC$7&gt;$AF68-TIME(0,TimeIncr,0)),AND(FC$7&lt;=$AH68,FC$7&gt;$AH68-TIME(0,TimeIncr,0)),AND(FC$7&lt;=$AJ68,FC$7&gt;$AJ68-TIME(0,TimeIncr,0))),$E68*$L68,IF(OR(AND(FC$7&gt;=$M68,FC$7&lt;=$N68),AND(FC$7&gt;=$O68,FC$7&lt;=$P68),AND(FC$7&gt;=$Q68,FC$7&lt;=$R68),AND(FC$7&gt;=$S68,FC$7&lt;=$T68),AND(FC$7&gt;=$U68,FC$7&lt;=$V68),AND(FC$7&gt;=$W68,FC$7&lt;=$X68),AND(FC$7&gt;=$Y68,FC$7&lt;=$Z68),AND(FC$7&gt;=$AA68,FC$7&lt;=$AB68),AND(FC$7&gt;=$AC68,FC$7&lt;=$AD68),AND(FC$7&gt;=$AE68,FC$7&lt;=$AF68),AND(FC$7&gt;=$AG68,FC$7&lt;=$AH68),AND(FC$7&gt;=$AI68,FC$7&lt;=$AJ68)),0,IF(OR(AND($M68&gt;$N68,FC$7&lt;=$N68),AND($O68&gt;$P68,FC$7&lt;=$P68),AND($Q68&gt;$R68,FC$7&lt;=$R68),AND($S68&gt;$T68,FC$7&lt;=$T68),AND($U68&gt;$V68,FC$7&lt;=$V68),AND($W68&gt;$X68,FC$7&lt;=$X68),AND($Y68&gt;$Z68,FC$7&lt;=$Z68),AND($AA68&gt;$AB68,FC$7&lt;=$AB68),AND($AC68&gt;$AD68,FC$7&lt;=$AD68),AND($AE68&gt;$AF68,FC$7&lt;=$AF68),AND($AG68&gt;$AH68,FC$7&lt;=$AH68),AND($AI68&gt;$AJ68,FC$7&lt;=$AJ68)),0,IF(OR(AND(FC$7&gt;=$M68,$M68&gt;$N68),AND(FC$7&gt;=$O68,$O68&gt;$P68),AND(FC$7&gt;=$Q68,$Q68&gt;$R68),AND(FC$7&gt;=$S68,$S68&gt;$T68),AND(FC$7&gt;=$U68,$U68&gt;$V68),AND(FC$7&gt;=$W68,$W68&gt;$X68),AND(FC$7&gt;=$Y68,$Y68&gt;$Z68),AND(FC$7&gt;=$AA68,$AA68&gt;$AB68),AND(FC$7&gt;=$AC68,$AC68&gt;$AD68),AND(FC$7&gt;=$AE68,$AE68&gt;$AF68),AND(FC$7&gt;=$AG68,$AG68&gt;$AH68),AND(FC$7&gt;=$AI68,$AI68&gt;$AJ68)),0,$E68)))))</f>
        <v>0</v>
      </c>
      <c r="FD68" s="409">
        <f t="shared" si="175"/>
        <v>0</v>
      </c>
      <c r="FE68" s="409">
        <f t="shared" si="175"/>
        <v>0</v>
      </c>
      <c r="FF68" s="409">
        <f t="shared" si="175"/>
        <v>0</v>
      </c>
      <c r="FG68" s="409">
        <f t="shared" si="175"/>
        <v>0</v>
      </c>
      <c r="FH68" s="409">
        <f t="shared" si="175"/>
        <v>0</v>
      </c>
      <c r="FI68" s="409">
        <f t="shared" si="175"/>
        <v>0</v>
      </c>
      <c r="FJ68" s="409">
        <f t="shared" si="175"/>
        <v>0</v>
      </c>
      <c r="FK68" s="409">
        <f t="shared" si="175"/>
        <v>0</v>
      </c>
      <c r="FL68" s="409">
        <f t="shared" si="175"/>
        <v>0</v>
      </c>
      <c r="FM68" s="409">
        <f t="shared" ref="FM68:FV77" si="176">IF(ISNA(FM$7),"",IF(OR(AND(FM$7&lt;=$N68,FM$7&gt;$N68-TIME(0,TimeIncr,0)),AND(FM$7&lt;=$P68,FM$7&gt;$P68-TIME(0,TimeIncr,0)),AND(FM$7&lt;=$R68,FM$7&gt;$R68-TIME(0,TimeIncr,0)),AND(FM$7&lt;=$T68,FM$7&gt;$T68-TIME(0,TimeIncr,0)),AND(FM$7&lt;=$V68,FM$7&gt;$V68-TIME(0,TimeIncr,0)),AND(FM$7&lt;=$X68,FM$7&gt;$X68-TIME(0,TimeIncr,0)),AND(FM$7&lt;=$Z68,FM$7&gt;$Z68-TIME(0,TimeIncr,0)),AND(FM$7&lt;=$AB68,FM$7&gt;$AB68-TIME(0,TimeIncr,0)),AND(FM$7&lt;=$AD68,FM$7&gt;$AD68-TIME(0,TimeIncr,0)),AND(FM$7&lt;=$AF68,FM$7&gt;$AF68-TIME(0,TimeIncr,0)),AND(FM$7&lt;=$AH68,FM$7&gt;$AH68-TIME(0,TimeIncr,0)),AND(FM$7&lt;=$AJ68,FM$7&gt;$AJ68-TIME(0,TimeIncr,0))),$E68*$L68,IF(OR(AND(FM$7&gt;=$M68,FM$7&lt;=$N68),AND(FM$7&gt;=$O68,FM$7&lt;=$P68),AND(FM$7&gt;=$Q68,FM$7&lt;=$R68),AND(FM$7&gt;=$S68,FM$7&lt;=$T68),AND(FM$7&gt;=$U68,FM$7&lt;=$V68),AND(FM$7&gt;=$W68,FM$7&lt;=$X68),AND(FM$7&gt;=$Y68,FM$7&lt;=$Z68),AND(FM$7&gt;=$AA68,FM$7&lt;=$AB68),AND(FM$7&gt;=$AC68,FM$7&lt;=$AD68),AND(FM$7&gt;=$AE68,FM$7&lt;=$AF68),AND(FM$7&gt;=$AG68,FM$7&lt;=$AH68),AND(FM$7&gt;=$AI68,FM$7&lt;=$AJ68)),0,IF(OR(AND($M68&gt;$N68,FM$7&lt;=$N68),AND($O68&gt;$P68,FM$7&lt;=$P68),AND($Q68&gt;$R68,FM$7&lt;=$R68),AND($S68&gt;$T68,FM$7&lt;=$T68),AND($U68&gt;$V68,FM$7&lt;=$V68),AND($W68&gt;$X68,FM$7&lt;=$X68),AND($Y68&gt;$Z68,FM$7&lt;=$Z68),AND($AA68&gt;$AB68,FM$7&lt;=$AB68),AND($AC68&gt;$AD68,FM$7&lt;=$AD68),AND($AE68&gt;$AF68,FM$7&lt;=$AF68),AND($AG68&gt;$AH68,FM$7&lt;=$AH68),AND($AI68&gt;$AJ68,FM$7&lt;=$AJ68)),0,IF(OR(AND(FM$7&gt;=$M68,$M68&gt;$N68),AND(FM$7&gt;=$O68,$O68&gt;$P68),AND(FM$7&gt;=$Q68,$Q68&gt;$R68),AND(FM$7&gt;=$S68,$S68&gt;$T68),AND(FM$7&gt;=$U68,$U68&gt;$V68),AND(FM$7&gt;=$W68,$W68&gt;$X68),AND(FM$7&gt;=$Y68,$Y68&gt;$Z68),AND(FM$7&gt;=$AA68,$AA68&gt;$AB68),AND(FM$7&gt;=$AC68,$AC68&gt;$AD68),AND(FM$7&gt;=$AE68,$AE68&gt;$AF68),AND(FM$7&gt;=$AG68,$AG68&gt;$AH68),AND(FM$7&gt;=$AI68,$AI68&gt;$AJ68)),0,$E68)))))</f>
        <v>0</v>
      </c>
      <c r="FN68" s="409">
        <f t="shared" si="176"/>
        <v>0</v>
      </c>
      <c r="FO68" s="409">
        <f t="shared" si="176"/>
        <v>0</v>
      </c>
      <c r="FP68" s="409">
        <f t="shared" si="176"/>
        <v>0</v>
      </c>
      <c r="FQ68" s="409">
        <f t="shared" si="176"/>
        <v>0</v>
      </c>
      <c r="FR68" s="409">
        <f t="shared" si="176"/>
        <v>0</v>
      </c>
      <c r="FS68" s="409">
        <f t="shared" si="176"/>
        <v>0</v>
      </c>
      <c r="FT68" s="409">
        <f t="shared" si="176"/>
        <v>0</v>
      </c>
      <c r="FU68" s="409">
        <f t="shared" si="176"/>
        <v>0</v>
      </c>
      <c r="FV68" s="409">
        <f t="shared" si="176"/>
        <v>0</v>
      </c>
      <c r="FW68" s="409">
        <f t="shared" ref="FW68:GF77" si="177">IF(ISNA(FW$7),"",IF(OR(AND(FW$7&lt;=$N68,FW$7&gt;$N68-TIME(0,TimeIncr,0)),AND(FW$7&lt;=$P68,FW$7&gt;$P68-TIME(0,TimeIncr,0)),AND(FW$7&lt;=$R68,FW$7&gt;$R68-TIME(0,TimeIncr,0)),AND(FW$7&lt;=$T68,FW$7&gt;$T68-TIME(0,TimeIncr,0)),AND(FW$7&lt;=$V68,FW$7&gt;$V68-TIME(0,TimeIncr,0)),AND(FW$7&lt;=$X68,FW$7&gt;$X68-TIME(0,TimeIncr,0)),AND(FW$7&lt;=$Z68,FW$7&gt;$Z68-TIME(0,TimeIncr,0)),AND(FW$7&lt;=$AB68,FW$7&gt;$AB68-TIME(0,TimeIncr,0)),AND(FW$7&lt;=$AD68,FW$7&gt;$AD68-TIME(0,TimeIncr,0)),AND(FW$7&lt;=$AF68,FW$7&gt;$AF68-TIME(0,TimeIncr,0)),AND(FW$7&lt;=$AH68,FW$7&gt;$AH68-TIME(0,TimeIncr,0)),AND(FW$7&lt;=$AJ68,FW$7&gt;$AJ68-TIME(0,TimeIncr,0))),$E68*$L68,IF(OR(AND(FW$7&gt;=$M68,FW$7&lt;=$N68),AND(FW$7&gt;=$O68,FW$7&lt;=$P68),AND(FW$7&gt;=$Q68,FW$7&lt;=$R68),AND(FW$7&gt;=$S68,FW$7&lt;=$T68),AND(FW$7&gt;=$U68,FW$7&lt;=$V68),AND(FW$7&gt;=$W68,FW$7&lt;=$X68),AND(FW$7&gt;=$Y68,FW$7&lt;=$Z68),AND(FW$7&gt;=$AA68,FW$7&lt;=$AB68),AND(FW$7&gt;=$AC68,FW$7&lt;=$AD68),AND(FW$7&gt;=$AE68,FW$7&lt;=$AF68),AND(FW$7&gt;=$AG68,FW$7&lt;=$AH68),AND(FW$7&gt;=$AI68,FW$7&lt;=$AJ68)),0,IF(OR(AND($M68&gt;$N68,FW$7&lt;=$N68),AND($O68&gt;$P68,FW$7&lt;=$P68),AND($Q68&gt;$R68,FW$7&lt;=$R68),AND($S68&gt;$T68,FW$7&lt;=$T68),AND($U68&gt;$V68,FW$7&lt;=$V68),AND($W68&gt;$X68,FW$7&lt;=$X68),AND($Y68&gt;$Z68,FW$7&lt;=$Z68),AND($AA68&gt;$AB68,FW$7&lt;=$AB68),AND($AC68&gt;$AD68,FW$7&lt;=$AD68),AND($AE68&gt;$AF68,FW$7&lt;=$AF68),AND($AG68&gt;$AH68,FW$7&lt;=$AH68),AND($AI68&gt;$AJ68,FW$7&lt;=$AJ68)),0,IF(OR(AND(FW$7&gt;=$M68,$M68&gt;$N68),AND(FW$7&gt;=$O68,$O68&gt;$P68),AND(FW$7&gt;=$Q68,$Q68&gt;$R68),AND(FW$7&gt;=$S68,$S68&gt;$T68),AND(FW$7&gt;=$U68,$U68&gt;$V68),AND(FW$7&gt;=$W68,$W68&gt;$X68),AND(FW$7&gt;=$Y68,$Y68&gt;$Z68),AND(FW$7&gt;=$AA68,$AA68&gt;$AB68),AND(FW$7&gt;=$AC68,$AC68&gt;$AD68),AND(FW$7&gt;=$AE68,$AE68&gt;$AF68),AND(FW$7&gt;=$AG68,$AG68&gt;$AH68),AND(FW$7&gt;=$AI68,$AI68&gt;$AJ68)),0,$E68)))))</f>
        <v>0</v>
      </c>
      <c r="FX68" s="409">
        <f t="shared" si="177"/>
        <v>0</v>
      </c>
      <c r="FY68" s="409">
        <f t="shared" si="177"/>
        <v>0</v>
      </c>
      <c r="FZ68" s="409">
        <f t="shared" si="177"/>
        <v>0</v>
      </c>
      <c r="GA68" s="409">
        <f t="shared" si="177"/>
        <v>0</v>
      </c>
      <c r="GB68" s="409">
        <f t="shared" si="177"/>
        <v>0</v>
      </c>
      <c r="GC68" s="409">
        <f t="shared" si="177"/>
        <v>0</v>
      </c>
      <c r="GD68" s="409">
        <f t="shared" si="177"/>
        <v>0</v>
      </c>
      <c r="GE68" s="409">
        <f t="shared" si="177"/>
        <v>0</v>
      </c>
      <c r="GF68" s="409">
        <f t="shared" si="177"/>
        <v>0</v>
      </c>
      <c r="GG68" s="409">
        <f t="shared" ref="GG68:GP77" si="178">IF(ISNA(GG$7),"",IF(OR(AND(GG$7&lt;=$N68,GG$7&gt;$N68-TIME(0,TimeIncr,0)),AND(GG$7&lt;=$P68,GG$7&gt;$P68-TIME(0,TimeIncr,0)),AND(GG$7&lt;=$R68,GG$7&gt;$R68-TIME(0,TimeIncr,0)),AND(GG$7&lt;=$T68,GG$7&gt;$T68-TIME(0,TimeIncr,0)),AND(GG$7&lt;=$V68,GG$7&gt;$V68-TIME(0,TimeIncr,0)),AND(GG$7&lt;=$X68,GG$7&gt;$X68-TIME(0,TimeIncr,0)),AND(GG$7&lt;=$Z68,GG$7&gt;$Z68-TIME(0,TimeIncr,0)),AND(GG$7&lt;=$AB68,GG$7&gt;$AB68-TIME(0,TimeIncr,0)),AND(GG$7&lt;=$AD68,GG$7&gt;$AD68-TIME(0,TimeIncr,0)),AND(GG$7&lt;=$AF68,GG$7&gt;$AF68-TIME(0,TimeIncr,0)),AND(GG$7&lt;=$AH68,GG$7&gt;$AH68-TIME(0,TimeIncr,0)),AND(GG$7&lt;=$AJ68,GG$7&gt;$AJ68-TIME(0,TimeIncr,0))),$E68*$L68,IF(OR(AND(GG$7&gt;=$M68,GG$7&lt;=$N68),AND(GG$7&gt;=$O68,GG$7&lt;=$P68),AND(GG$7&gt;=$Q68,GG$7&lt;=$R68),AND(GG$7&gt;=$S68,GG$7&lt;=$T68),AND(GG$7&gt;=$U68,GG$7&lt;=$V68),AND(GG$7&gt;=$W68,GG$7&lt;=$X68),AND(GG$7&gt;=$Y68,GG$7&lt;=$Z68),AND(GG$7&gt;=$AA68,GG$7&lt;=$AB68),AND(GG$7&gt;=$AC68,GG$7&lt;=$AD68),AND(GG$7&gt;=$AE68,GG$7&lt;=$AF68),AND(GG$7&gt;=$AG68,GG$7&lt;=$AH68),AND(GG$7&gt;=$AI68,GG$7&lt;=$AJ68)),0,IF(OR(AND($M68&gt;$N68,GG$7&lt;=$N68),AND($O68&gt;$P68,GG$7&lt;=$P68),AND($Q68&gt;$R68,GG$7&lt;=$R68),AND($S68&gt;$T68,GG$7&lt;=$T68),AND($U68&gt;$V68,GG$7&lt;=$V68),AND($W68&gt;$X68,GG$7&lt;=$X68),AND($Y68&gt;$Z68,GG$7&lt;=$Z68),AND($AA68&gt;$AB68,GG$7&lt;=$AB68),AND($AC68&gt;$AD68,GG$7&lt;=$AD68),AND($AE68&gt;$AF68,GG$7&lt;=$AF68),AND($AG68&gt;$AH68,GG$7&lt;=$AH68),AND($AI68&gt;$AJ68,GG$7&lt;=$AJ68)),0,IF(OR(AND(GG$7&gt;=$M68,$M68&gt;$N68),AND(GG$7&gt;=$O68,$O68&gt;$P68),AND(GG$7&gt;=$Q68,$Q68&gt;$R68),AND(GG$7&gt;=$S68,$S68&gt;$T68),AND(GG$7&gt;=$U68,$U68&gt;$V68),AND(GG$7&gt;=$W68,$W68&gt;$X68),AND(GG$7&gt;=$Y68,$Y68&gt;$Z68),AND(GG$7&gt;=$AA68,$AA68&gt;$AB68),AND(GG$7&gt;=$AC68,$AC68&gt;$AD68),AND(GG$7&gt;=$AE68,$AE68&gt;$AF68),AND(GG$7&gt;=$AG68,$AG68&gt;$AH68),AND(GG$7&gt;=$AI68,$AI68&gt;$AJ68)),0,$E68)))))</f>
        <v>0</v>
      </c>
      <c r="GH68" s="409">
        <f t="shared" si="178"/>
        <v>0</v>
      </c>
      <c r="GI68" s="409">
        <f t="shared" si="178"/>
        <v>0</v>
      </c>
      <c r="GJ68" s="409">
        <f t="shared" si="178"/>
        <v>0</v>
      </c>
      <c r="GK68" s="409">
        <f t="shared" si="178"/>
        <v>0</v>
      </c>
      <c r="GL68" s="409">
        <f t="shared" si="178"/>
        <v>0</v>
      </c>
      <c r="GM68" s="409">
        <f t="shared" si="178"/>
        <v>0</v>
      </c>
      <c r="GN68" s="409">
        <f t="shared" si="178"/>
        <v>0</v>
      </c>
      <c r="GO68" s="409">
        <f t="shared" si="178"/>
        <v>0</v>
      </c>
      <c r="GP68" s="409">
        <f t="shared" si="178"/>
        <v>0</v>
      </c>
      <c r="GQ68" s="409">
        <f t="shared" ref="GQ68:GZ77" si="179">IF(ISNA(GQ$7),"",IF(OR(AND(GQ$7&lt;=$N68,GQ$7&gt;$N68-TIME(0,TimeIncr,0)),AND(GQ$7&lt;=$P68,GQ$7&gt;$P68-TIME(0,TimeIncr,0)),AND(GQ$7&lt;=$R68,GQ$7&gt;$R68-TIME(0,TimeIncr,0)),AND(GQ$7&lt;=$T68,GQ$7&gt;$T68-TIME(0,TimeIncr,0)),AND(GQ$7&lt;=$V68,GQ$7&gt;$V68-TIME(0,TimeIncr,0)),AND(GQ$7&lt;=$X68,GQ$7&gt;$X68-TIME(0,TimeIncr,0)),AND(GQ$7&lt;=$Z68,GQ$7&gt;$Z68-TIME(0,TimeIncr,0)),AND(GQ$7&lt;=$AB68,GQ$7&gt;$AB68-TIME(0,TimeIncr,0)),AND(GQ$7&lt;=$AD68,GQ$7&gt;$AD68-TIME(0,TimeIncr,0)),AND(GQ$7&lt;=$AF68,GQ$7&gt;$AF68-TIME(0,TimeIncr,0)),AND(GQ$7&lt;=$AH68,GQ$7&gt;$AH68-TIME(0,TimeIncr,0)),AND(GQ$7&lt;=$AJ68,GQ$7&gt;$AJ68-TIME(0,TimeIncr,0))),$E68*$L68,IF(OR(AND(GQ$7&gt;=$M68,GQ$7&lt;=$N68),AND(GQ$7&gt;=$O68,GQ$7&lt;=$P68),AND(GQ$7&gt;=$Q68,GQ$7&lt;=$R68),AND(GQ$7&gt;=$S68,GQ$7&lt;=$T68),AND(GQ$7&gt;=$U68,GQ$7&lt;=$V68),AND(GQ$7&gt;=$W68,GQ$7&lt;=$X68),AND(GQ$7&gt;=$Y68,GQ$7&lt;=$Z68),AND(GQ$7&gt;=$AA68,GQ$7&lt;=$AB68),AND(GQ$7&gt;=$AC68,GQ$7&lt;=$AD68),AND(GQ$7&gt;=$AE68,GQ$7&lt;=$AF68),AND(GQ$7&gt;=$AG68,GQ$7&lt;=$AH68),AND(GQ$7&gt;=$AI68,GQ$7&lt;=$AJ68)),0,IF(OR(AND($M68&gt;$N68,GQ$7&lt;=$N68),AND($O68&gt;$P68,GQ$7&lt;=$P68),AND($Q68&gt;$R68,GQ$7&lt;=$R68),AND($S68&gt;$T68,GQ$7&lt;=$T68),AND($U68&gt;$V68,GQ$7&lt;=$V68),AND($W68&gt;$X68,GQ$7&lt;=$X68),AND($Y68&gt;$Z68,GQ$7&lt;=$Z68),AND($AA68&gt;$AB68,GQ$7&lt;=$AB68),AND($AC68&gt;$AD68,GQ$7&lt;=$AD68),AND($AE68&gt;$AF68,GQ$7&lt;=$AF68),AND($AG68&gt;$AH68,GQ$7&lt;=$AH68),AND($AI68&gt;$AJ68,GQ$7&lt;=$AJ68)),0,IF(OR(AND(GQ$7&gt;=$M68,$M68&gt;$N68),AND(GQ$7&gt;=$O68,$O68&gt;$P68),AND(GQ$7&gt;=$Q68,$Q68&gt;$R68),AND(GQ$7&gt;=$S68,$S68&gt;$T68),AND(GQ$7&gt;=$U68,$U68&gt;$V68),AND(GQ$7&gt;=$W68,$W68&gt;$X68),AND(GQ$7&gt;=$Y68,$Y68&gt;$Z68),AND(GQ$7&gt;=$AA68,$AA68&gt;$AB68),AND(GQ$7&gt;=$AC68,$AC68&gt;$AD68),AND(GQ$7&gt;=$AE68,$AE68&gt;$AF68),AND(GQ$7&gt;=$AG68,$AG68&gt;$AH68),AND(GQ$7&gt;=$AI68,$AI68&gt;$AJ68)),0,$E68)))))</f>
        <v>0</v>
      </c>
      <c r="GR68" s="409">
        <f t="shared" si="179"/>
        <v>0</v>
      </c>
      <c r="GS68" s="409">
        <f t="shared" si="179"/>
        <v>0</v>
      </c>
      <c r="GT68" s="409">
        <f t="shared" si="179"/>
        <v>0</v>
      </c>
      <c r="GU68" s="409">
        <f t="shared" si="179"/>
        <v>0</v>
      </c>
      <c r="GV68" s="409">
        <f t="shared" si="179"/>
        <v>0</v>
      </c>
      <c r="GW68" s="409">
        <f t="shared" si="179"/>
        <v>0</v>
      </c>
      <c r="GX68" s="409">
        <f t="shared" si="179"/>
        <v>0</v>
      </c>
      <c r="GY68" s="409">
        <f t="shared" si="179"/>
        <v>0</v>
      </c>
      <c r="GZ68" s="409">
        <f t="shared" si="179"/>
        <v>0</v>
      </c>
      <c r="HA68" s="409">
        <f t="shared" ref="HA68:HJ77" si="180">IF(ISNA(HA$7),"",IF(OR(AND(HA$7&lt;=$N68,HA$7&gt;$N68-TIME(0,TimeIncr,0)),AND(HA$7&lt;=$P68,HA$7&gt;$P68-TIME(0,TimeIncr,0)),AND(HA$7&lt;=$R68,HA$7&gt;$R68-TIME(0,TimeIncr,0)),AND(HA$7&lt;=$T68,HA$7&gt;$T68-TIME(0,TimeIncr,0)),AND(HA$7&lt;=$V68,HA$7&gt;$V68-TIME(0,TimeIncr,0)),AND(HA$7&lt;=$X68,HA$7&gt;$X68-TIME(0,TimeIncr,0)),AND(HA$7&lt;=$Z68,HA$7&gt;$Z68-TIME(0,TimeIncr,0)),AND(HA$7&lt;=$AB68,HA$7&gt;$AB68-TIME(0,TimeIncr,0)),AND(HA$7&lt;=$AD68,HA$7&gt;$AD68-TIME(0,TimeIncr,0)),AND(HA$7&lt;=$AF68,HA$7&gt;$AF68-TIME(0,TimeIncr,0)),AND(HA$7&lt;=$AH68,HA$7&gt;$AH68-TIME(0,TimeIncr,0)),AND(HA$7&lt;=$AJ68,HA$7&gt;$AJ68-TIME(0,TimeIncr,0))),$E68*$L68,IF(OR(AND(HA$7&gt;=$M68,HA$7&lt;=$N68),AND(HA$7&gt;=$O68,HA$7&lt;=$P68),AND(HA$7&gt;=$Q68,HA$7&lt;=$R68),AND(HA$7&gt;=$S68,HA$7&lt;=$T68),AND(HA$7&gt;=$U68,HA$7&lt;=$V68),AND(HA$7&gt;=$W68,HA$7&lt;=$X68),AND(HA$7&gt;=$Y68,HA$7&lt;=$Z68),AND(HA$7&gt;=$AA68,HA$7&lt;=$AB68),AND(HA$7&gt;=$AC68,HA$7&lt;=$AD68),AND(HA$7&gt;=$AE68,HA$7&lt;=$AF68),AND(HA$7&gt;=$AG68,HA$7&lt;=$AH68),AND(HA$7&gt;=$AI68,HA$7&lt;=$AJ68)),0,IF(OR(AND($M68&gt;$N68,HA$7&lt;=$N68),AND($O68&gt;$P68,HA$7&lt;=$P68),AND($Q68&gt;$R68,HA$7&lt;=$R68),AND($S68&gt;$T68,HA$7&lt;=$T68),AND($U68&gt;$V68,HA$7&lt;=$V68),AND($W68&gt;$X68,HA$7&lt;=$X68),AND($Y68&gt;$Z68,HA$7&lt;=$Z68),AND($AA68&gt;$AB68,HA$7&lt;=$AB68),AND($AC68&gt;$AD68,HA$7&lt;=$AD68),AND($AE68&gt;$AF68,HA$7&lt;=$AF68),AND($AG68&gt;$AH68,HA$7&lt;=$AH68),AND($AI68&gt;$AJ68,HA$7&lt;=$AJ68)),0,IF(OR(AND(HA$7&gt;=$M68,$M68&gt;$N68),AND(HA$7&gt;=$O68,$O68&gt;$P68),AND(HA$7&gt;=$Q68,$Q68&gt;$R68),AND(HA$7&gt;=$S68,$S68&gt;$T68),AND(HA$7&gt;=$U68,$U68&gt;$V68),AND(HA$7&gt;=$W68,$W68&gt;$X68),AND(HA$7&gt;=$Y68,$Y68&gt;$Z68),AND(HA$7&gt;=$AA68,$AA68&gt;$AB68),AND(HA$7&gt;=$AC68,$AC68&gt;$AD68),AND(HA$7&gt;=$AE68,$AE68&gt;$AF68),AND(HA$7&gt;=$AG68,$AG68&gt;$AH68),AND(HA$7&gt;=$AI68,$AI68&gt;$AJ68)),0,$E68)))))</f>
        <v>0</v>
      </c>
      <c r="HB68" s="409">
        <f t="shared" si="180"/>
        <v>0</v>
      </c>
      <c r="HC68" s="409">
        <f t="shared" si="180"/>
        <v>0</v>
      </c>
      <c r="HD68" s="409">
        <f t="shared" si="180"/>
        <v>0</v>
      </c>
      <c r="HE68" s="409">
        <f t="shared" si="180"/>
        <v>0</v>
      </c>
      <c r="HF68" s="409">
        <f t="shared" si="180"/>
        <v>0</v>
      </c>
      <c r="HG68" s="409">
        <f t="shared" si="180"/>
        <v>0</v>
      </c>
      <c r="HH68" s="409">
        <f t="shared" si="180"/>
        <v>0</v>
      </c>
      <c r="HI68" s="409">
        <f t="shared" si="180"/>
        <v>0</v>
      </c>
      <c r="HJ68" s="409">
        <f t="shared" si="180"/>
        <v>0</v>
      </c>
      <c r="HK68" s="409">
        <f t="shared" ref="HK68:HT77" si="181">IF(ISNA(HK$7),"",IF(OR(AND(HK$7&lt;=$N68,HK$7&gt;$N68-TIME(0,TimeIncr,0)),AND(HK$7&lt;=$P68,HK$7&gt;$P68-TIME(0,TimeIncr,0)),AND(HK$7&lt;=$R68,HK$7&gt;$R68-TIME(0,TimeIncr,0)),AND(HK$7&lt;=$T68,HK$7&gt;$T68-TIME(0,TimeIncr,0)),AND(HK$7&lt;=$V68,HK$7&gt;$V68-TIME(0,TimeIncr,0)),AND(HK$7&lt;=$X68,HK$7&gt;$X68-TIME(0,TimeIncr,0)),AND(HK$7&lt;=$Z68,HK$7&gt;$Z68-TIME(0,TimeIncr,0)),AND(HK$7&lt;=$AB68,HK$7&gt;$AB68-TIME(0,TimeIncr,0)),AND(HK$7&lt;=$AD68,HK$7&gt;$AD68-TIME(0,TimeIncr,0)),AND(HK$7&lt;=$AF68,HK$7&gt;$AF68-TIME(0,TimeIncr,0)),AND(HK$7&lt;=$AH68,HK$7&gt;$AH68-TIME(0,TimeIncr,0)),AND(HK$7&lt;=$AJ68,HK$7&gt;$AJ68-TIME(0,TimeIncr,0))),$E68*$L68,IF(OR(AND(HK$7&gt;=$M68,HK$7&lt;=$N68),AND(HK$7&gt;=$O68,HK$7&lt;=$P68),AND(HK$7&gt;=$Q68,HK$7&lt;=$R68),AND(HK$7&gt;=$S68,HK$7&lt;=$T68),AND(HK$7&gt;=$U68,HK$7&lt;=$V68),AND(HK$7&gt;=$W68,HK$7&lt;=$X68),AND(HK$7&gt;=$Y68,HK$7&lt;=$Z68),AND(HK$7&gt;=$AA68,HK$7&lt;=$AB68),AND(HK$7&gt;=$AC68,HK$7&lt;=$AD68),AND(HK$7&gt;=$AE68,HK$7&lt;=$AF68),AND(HK$7&gt;=$AG68,HK$7&lt;=$AH68),AND(HK$7&gt;=$AI68,HK$7&lt;=$AJ68)),0,IF(OR(AND($M68&gt;$N68,HK$7&lt;=$N68),AND($O68&gt;$P68,HK$7&lt;=$P68),AND($Q68&gt;$R68,HK$7&lt;=$R68),AND($S68&gt;$T68,HK$7&lt;=$T68),AND($U68&gt;$V68,HK$7&lt;=$V68),AND($W68&gt;$X68,HK$7&lt;=$X68),AND($Y68&gt;$Z68,HK$7&lt;=$Z68),AND($AA68&gt;$AB68,HK$7&lt;=$AB68),AND($AC68&gt;$AD68,HK$7&lt;=$AD68),AND($AE68&gt;$AF68,HK$7&lt;=$AF68),AND($AG68&gt;$AH68,HK$7&lt;=$AH68),AND($AI68&gt;$AJ68,HK$7&lt;=$AJ68)),0,IF(OR(AND(HK$7&gt;=$M68,$M68&gt;$N68),AND(HK$7&gt;=$O68,$O68&gt;$P68),AND(HK$7&gt;=$Q68,$Q68&gt;$R68),AND(HK$7&gt;=$S68,$S68&gt;$T68),AND(HK$7&gt;=$U68,$U68&gt;$V68),AND(HK$7&gt;=$W68,$W68&gt;$X68),AND(HK$7&gt;=$Y68,$Y68&gt;$Z68),AND(HK$7&gt;=$AA68,$AA68&gt;$AB68),AND(HK$7&gt;=$AC68,$AC68&gt;$AD68),AND(HK$7&gt;=$AE68,$AE68&gt;$AF68),AND(HK$7&gt;=$AG68,$AG68&gt;$AH68),AND(HK$7&gt;=$AI68,$AI68&gt;$AJ68)),0,$E68)))))</f>
        <v>0</v>
      </c>
      <c r="HL68" s="409">
        <f t="shared" si="181"/>
        <v>0</v>
      </c>
      <c r="HM68" s="409">
        <f t="shared" si="181"/>
        <v>0</v>
      </c>
      <c r="HN68" s="409">
        <f t="shared" si="181"/>
        <v>0</v>
      </c>
      <c r="HO68" s="409">
        <f t="shared" si="181"/>
        <v>0</v>
      </c>
      <c r="HP68" s="409">
        <f t="shared" si="181"/>
        <v>0</v>
      </c>
      <c r="HQ68" s="409">
        <f t="shared" si="181"/>
        <v>0</v>
      </c>
      <c r="HR68" s="409">
        <f t="shared" si="181"/>
        <v>0</v>
      </c>
      <c r="HS68" s="409">
        <f t="shared" si="181"/>
        <v>0</v>
      </c>
      <c r="HT68" s="409">
        <f t="shared" si="181"/>
        <v>0</v>
      </c>
      <c r="HU68" s="409">
        <f t="shared" ref="HU68:ID77" si="182">IF(ISNA(HU$7),"",IF(OR(AND(HU$7&lt;=$N68,HU$7&gt;$N68-TIME(0,TimeIncr,0)),AND(HU$7&lt;=$P68,HU$7&gt;$P68-TIME(0,TimeIncr,0)),AND(HU$7&lt;=$R68,HU$7&gt;$R68-TIME(0,TimeIncr,0)),AND(HU$7&lt;=$T68,HU$7&gt;$T68-TIME(0,TimeIncr,0)),AND(HU$7&lt;=$V68,HU$7&gt;$V68-TIME(0,TimeIncr,0)),AND(HU$7&lt;=$X68,HU$7&gt;$X68-TIME(0,TimeIncr,0)),AND(HU$7&lt;=$Z68,HU$7&gt;$Z68-TIME(0,TimeIncr,0)),AND(HU$7&lt;=$AB68,HU$7&gt;$AB68-TIME(0,TimeIncr,0)),AND(HU$7&lt;=$AD68,HU$7&gt;$AD68-TIME(0,TimeIncr,0)),AND(HU$7&lt;=$AF68,HU$7&gt;$AF68-TIME(0,TimeIncr,0)),AND(HU$7&lt;=$AH68,HU$7&gt;$AH68-TIME(0,TimeIncr,0)),AND(HU$7&lt;=$AJ68,HU$7&gt;$AJ68-TIME(0,TimeIncr,0))),$E68*$L68,IF(OR(AND(HU$7&gt;=$M68,HU$7&lt;=$N68),AND(HU$7&gt;=$O68,HU$7&lt;=$P68),AND(HU$7&gt;=$Q68,HU$7&lt;=$R68),AND(HU$7&gt;=$S68,HU$7&lt;=$T68),AND(HU$7&gt;=$U68,HU$7&lt;=$V68),AND(HU$7&gt;=$W68,HU$7&lt;=$X68),AND(HU$7&gt;=$Y68,HU$7&lt;=$Z68),AND(HU$7&gt;=$AA68,HU$7&lt;=$AB68),AND(HU$7&gt;=$AC68,HU$7&lt;=$AD68),AND(HU$7&gt;=$AE68,HU$7&lt;=$AF68),AND(HU$7&gt;=$AG68,HU$7&lt;=$AH68),AND(HU$7&gt;=$AI68,HU$7&lt;=$AJ68)),0,IF(OR(AND($M68&gt;$N68,HU$7&lt;=$N68),AND($O68&gt;$P68,HU$7&lt;=$P68),AND($Q68&gt;$R68,HU$7&lt;=$R68),AND($S68&gt;$T68,HU$7&lt;=$T68),AND($U68&gt;$V68,HU$7&lt;=$V68),AND($W68&gt;$X68,HU$7&lt;=$X68),AND($Y68&gt;$Z68,HU$7&lt;=$Z68),AND($AA68&gt;$AB68,HU$7&lt;=$AB68),AND($AC68&gt;$AD68,HU$7&lt;=$AD68),AND($AE68&gt;$AF68,HU$7&lt;=$AF68),AND($AG68&gt;$AH68,HU$7&lt;=$AH68),AND($AI68&gt;$AJ68,HU$7&lt;=$AJ68)),0,IF(OR(AND(HU$7&gt;=$M68,$M68&gt;$N68),AND(HU$7&gt;=$O68,$O68&gt;$P68),AND(HU$7&gt;=$Q68,$Q68&gt;$R68),AND(HU$7&gt;=$S68,$S68&gt;$T68),AND(HU$7&gt;=$U68,$U68&gt;$V68),AND(HU$7&gt;=$W68,$W68&gt;$X68),AND(HU$7&gt;=$Y68,$Y68&gt;$Z68),AND(HU$7&gt;=$AA68,$AA68&gt;$AB68),AND(HU$7&gt;=$AC68,$AC68&gt;$AD68),AND(HU$7&gt;=$AE68,$AE68&gt;$AF68),AND(HU$7&gt;=$AG68,$AG68&gt;$AH68),AND(HU$7&gt;=$AI68,$AI68&gt;$AJ68)),0,$E68)))))</f>
        <v>0</v>
      </c>
      <c r="HV68" s="409">
        <f t="shared" si="182"/>
        <v>0</v>
      </c>
      <c r="HW68" s="409">
        <f t="shared" si="182"/>
        <v>0</v>
      </c>
      <c r="HX68" s="409">
        <f t="shared" si="182"/>
        <v>0</v>
      </c>
      <c r="HY68" s="409">
        <f t="shared" si="182"/>
        <v>0</v>
      </c>
      <c r="HZ68" s="409">
        <f t="shared" si="182"/>
        <v>0</v>
      </c>
      <c r="IA68" s="409">
        <f t="shared" si="182"/>
        <v>0</v>
      </c>
      <c r="IB68" s="409">
        <f t="shared" si="182"/>
        <v>0</v>
      </c>
      <c r="IC68" s="409">
        <f t="shared" si="182"/>
        <v>0</v>
      </c>
      <c r="ID68" s="409">
        <f t="shared" si="182"/>
        <v>0</v>
      </c>
      <c r="IE68" s="409">
        <f t="shared" ref="IE68:IJ77" si="183">IF(ISNA(IE$7),"",IF(OR(AND(IE$7&lt;=$N68,IE$7&gt;$N68-TIME(0,TimeIncr,0)),AND(IE$7&lt;=$P68,IE$7&gt;$P68-TIME(0,TimeIncr,0)),AND(IE$7&lt;=$R68,IE$7&gt;$R68-TIME(0,TimeIncr,0)),AND(IE$7&lt;=$T68,IE$7&gt;$T68-TIME(0,TimeIncr,0)),AND(IE$7&lt;=$V68,IE$7&gt;$V68-TIME(0,TimeIncr,0)),AND(IE$7&lt;=$X68,IE$7&gt;$X68-TIME(0,TimeIncr,0)),AND(IE$7&lt;=$Z68,IE$7&gt;$Z68-TIME(0,TimeIncr,0)),AND(IE$7&lt;=$AB68,IE$7&gt;$AB68-TIME(0,TimeIncr,0)),AND(IE$7&lt;=$AD68,IE$7&gt;$AD68-TIME(0,TimeIncr,0)),AND(IE$7&lt;=$AF68,IE$7&gt;$AF68-TIME(0,TimeIncr,0)),AND(IE$7&lt;=$AH68,IE$7&gt;$AH68-TIME(0,TimeIncr,0)),AND(IE$7&lt;=$AJ68,IE$7&gt;$AJ68-TIME(0,TimeIncr,0))),$E68*$L68,IF(OR(AND(IE$7&gt;=$M68,IE$7&lt;=$N68),AND(IE$7&gt;=$O68,IE$7&lt;=$P68),AND(IE$7&gt;=$Q68,IE$7&lt;=$R68),AND(IE$7&gt;=$S68,IE$7&lt;=$T68),AND(IE$7&gt;=$U68,IE$7&lt;=$V68),AND(IE$7&gt;=$W68,IE$7&lt;=$X68),AND(IE$7&gt;=$Y68,IE$7&lt;=$Z68),AND(IE$7&gt;=$AA68,IE$7&lt;=$AB68),AND(IE$7&gt;=$AC68,IE$7&lt;=$AD68),AND(IE$7&gt;=$AE68,IE$7&lt;=$AF68),AND(IE$7&gt;=$AG68,IE$7&lt;=$AH68),AND(IE$7&gt;=$AI68,IE$7&lt;=$AJ68)),0,IF(OR(AND($M68&gt;$N68,IE$7&lt;=$N68),AND($O68&gt;$P68,IE$7&lt;=$P68),AND($Q68&gt;$R68,IE$7&lt;=$R68),AND($S68&gt;$T68,IE$7&lt;=$T68),AND($U68&gt;$V68,IE$7&lt;=$V68),AND($W68&gt;$X68,IE$7&lt;=$X68),AND($Y68&gt;$Z68,IE$7&lt;=$Z68),AND($AA68&gt;$AB68,IE$7&lt;=$AB68),AND($AC68&gt;$AD68,IE$7&lt;=$AD68),AND($AE68&gt;$AF68,IE$7&lt;=$AF68),AND($AG68&gt;$AH68,IE$7&lt;=$AH68),AND($AI68&gt;$AJ68,IE$7&lt;=$AJ68)),0,IF(OR(AND(IE$7&gt;=$M68,$M68&gt;$N68),AND(IE$7&gt;=$O68,$O68&gt;$P68),AND(IE$7&gt;=$Q68,$Q68&gt;$R68),AND(IE$7&gt;=$S68,$S68&gt;$T68),AND(IE$7&gt;=$U68,$U68&gt;$V68),AND(IE$7&gt;=$W68,$W68&gt;$X68),AND(IE$7&gt;=$Y68,$Y68&gt;$Z68),AND(IE$7&gt;=$AA68,$AA68&gt;$AB68),AND(IE$7&gt;=$AC68,$AC68&gt;$AD68),AND(IE$7&gt;=$AE68,$AE68&gt;$AF68),AND(IE$7&gt;=$AG68,$AG68&gt;$AH68),AND(IE$7&gt;=$AI68,$AI68&gt;$AJ68)),0,$E68)))))</f>
        <v>0</v>
      </c>
      <c r="IF68" s="409">
        <f t="shared" si="183"/>
        <v>0</v>
      </c>
      <c r="IG68" s="409">
        <f t="shared" si="183"/>
        <v>0</v>
      </c>
      <c r="IH68" s="409">
        <f t="shared" si="183"/>
        <v>0</v>
      </c>
      <c r="II68" s="409">
        <f t="shared" si="183"/>
        <v>0</v>
      </c>
      <c r="IJ68" s="409">
        <f t="shared" si="183"/>
        <v>0</v>
      </c>
      <c r="IK68" s="378">
        <f t="shared" si="54"/>
        <v>61</v>
      </c>
    </row>
    <row r="69" spans="1:249" hidden="1" x14ac:dyDescent="0.2">
      <c r="A69" s="380" t="str">
        <f t="shared" si="119"/>
        <v>e</v>
      </c>
      <c r="B69" s="712" t="str" cm="1">
        <f t="array" ref="B69">IF(ISERROR(INDEX('Legend(Skid)'!$H$8:$H$9,ROW()-42)),"",INDEX('Legend(Skid)'!$H$8:$H$9,ROW()-42))</f>
        <v/>
      </c>
      <c r="C69" s="712" t="e" cm="1">
        <f t="array" ref="C69">IF(INDEX('Legend(Skid)'!$T$8:$T$9,ROW()-42)=0,"See Legend",INDEX('Legend(Skid)'!$T$8:$T$9,ROW()-42))</f>
        <v>#REF!</v>
      </c>
      <c r="D69" s="712" t="e">
        <f>IF(INDEX('Legend(Skid)'!$R$8:$R$9,(ROW(C69))-42)=0,IF(AND(INDEX('Legend(Skid)'!$D$8:$D$9,(ROW(C69))-41)="CH",INDEX('Legend(Skid)'!$F$8:$F$9,(ROW(C69))-41)="CASE - MANUAL"),INDEX('Legend(Skid)'!$R$8:$R$9,(ROW(C69))-41),IF(INDEX('Legend(Skid)'!$V$8:$V$9,(ROW(C69))-42)&gt;1, "(" &amp; INDEX('Legend(Skid)'!$V$8:$V$9,(ROW(C69))-42) &amp; ") " &amp; INDEX('Legend(Skid)'!$W$8:$W$9,(ROW(C69))-41),INDEX('Legend(Skid)'!$W$8:$W$9,(ROW(C69))-42))),INDEX('Legend(Skid)'!$R$8:$R$9,(ROW(C69))-42))</f>
        <v>#REF!</v>
      </c>
      <c r="E69" s="713" cm="1">
        <f t="array" ref="E69">IF(OR(ISNUMBER(SEARCH("Pump",C69)),ISNUMBER(SEARCH("PH",C69)),ISERROR(INDEX('Legend(Skid)'!$AA$8:$AA$9,ROW()-42))),0,INDEX('Legend(Skid)'!$AA$8:$AA$9,ROW()-42))</f>
        <v>0</v>
      </c>
      <c r="F69" s="714"/>
      <c r="G69" s="714"/>
      <c r="H69" s="714"/>
      <c r="I69" s="714"/>
      <c r="J69" s="714"/>
      <c r="K69" s="890">
        <f t="shared" si="35"/>
        <v>0</v>
      </c>
      <c r="L69" s="718"/>
      <c r="M69" s="720"/>
      <c r="N69" s="972">
        <f t="shared" si="120"/>
        <v>-1</v>
      </c>
      <c r="O69" s="972">
        <f t="shared" si="121"/>
        <v>-1</v>
      </c>
      <c r="P69" s="972">
        <f t="shared" si="122"/>
        <v>-1</v>
      </c>
      <c r="Q69" s="972">
        <f t="shared" si="123"/>
        <v>-1</v>
      </c>
      <c r="R69" s="972">
        <f t="shared" si="124"/>
        <v>-1</v>
      </c>
      <c r="S69" s="972">
        <f t="shared" si="125"/>
        <v>-1</v>
      </c>
      <c r="T69" s="972">
        <f t="shared" si="126"/>
        <v>-1</v>
      </c>
      <c r="U69" s="972">
        <f t="shared" si="127"/>
        <v>-1</v>
      </c>
      <c r="V69" s="972">
        <f t="shared" si="128"/>
        <v>-1</v>
      </c>
      <c r="W69" s="972">
        <f t="shared" si="129"/>
        <v>-1</v>
      </c>
      <c r="X69" s="972">
        <f t="shared" si="130"/>
        <v>-1</v>
      </c>
      <c r="Y69" s="972">
        <f t="shared" si="131"/>
        <v>-1</v>
      </c>
      <c r="Z69" s="972">
        <f t="shared" si="132"/>
        <v>-1</v>
      </c>
      <c r="AA69" s="972">
        <f t="shared" si="133"/>
        <v>-1</v>
      </c>
      <c r="AB69" s="972">
        <f t="shared" si="134"/>
        <v>-1</v>
      </c>
      <c r="AC69" s="972">
        <f t="shared" si="135"/>
        <v>-1</v>
      </c>
      <c r="AD69" s="972">
        <f t="shared" si="136"/>
        <v>-1</v>
      </c>
      <c r="AE69" s="972">
        <f t="shared" si="137"/>
        <v>-1</v>
      </c>
      <c r="AF69" s="972">
        <f t="shared" si="138"/>
        <v>-1</v>
      </c>
      <c r="AG69" s="972">
        <f t="shared" si="139"/>
        <v>-1</v>
      </c>
      <c r="AH69" s="972">
        <f t="shared" si="140"/>
        <v>-1</v>
      </c>
      <c r="AI69" s="972">
        <f t="shared" si="141"/>
        <v>-1</v>
      </c>
      <c r="AJ69" s="972">
        <f t="shared" si="142"/>
        <v>-1</v>
      </c>
      <c r="AK69" s="381" t="str">
        <f>IF(ISERROR(INDEX('Legend(Skid)'!$AI$8:$AI$9,ROW()-42)),"",INDEX('Legend(Skid)'!$AI$8:$AI$9,ROW()-42))</f>
        <v/>
      </c>
      <c r="AL69" s="727" t="str">
        <f t="shared" si="53"/>
        <v/>
      </c>
      <c r="AM69" s="409">
        <f t="shared" si="163"/>
        <v>0</v>
      </c>
      <c r="AN69" s="409">
        <f t="shared" si="163"/>
        <v>0</v>
      </c>
      <c r="AO69" s="409">
        <f t="shared" si="163"/>
        <v>0</v>
      </c>
      <c r="AP69" s="409">
        <f t="shared" si="163"/>
        <v>0</v>
      </c>
      <c r="AQ69" s="409">
        <f t="shared" si="163"/>
        <v>0</v>
      </c>
      <c r="AR69" s="409">
        <f t="shared" si="163"/>
        <v>0</v>
      </c>
      <c r="AS69" s="409">
        <f t="shared" si="163"/>
        <v>0</v>
      </c>
      <c r="AT69" s="409">
        <f t="shared" si="163"/>
        <v>0</v>
      </c>
      <c r="AU69" s="409">
        <f t="shared" si="163"/>
        <v>0</v>
      </c>
      <c r="AV69" s="409">
        <f t="shared" si="163"/>
        <v>0</v>
      </c>
      <c r="AW69" s="409">
        <f t="shared" si="164"/>
        <v>0</v>
      </c>
      <c r="AX69" s="409">
        <f t="shared" si="164"/>
        <v>0</v>
      </c>
      <c r="AY69" s="409">
        <f t="shared" si="164"/>
        <v>0</v>
      </c>
      <c r="AZ69" s="409">
        <f t="shared" si="164"/>
        <v>0</v>
      </c>
      <c r="BA69" s="409">
        <f t="shared" si="164"/>
        <v>0</v>
      </c>
      <c r="BB69" s="409">
        <f t="shared" si="164"/>
        <v>0</v>
      </c>
      <c r="BC69" s="409">
        <f t="shared" si="164"/>
        <v>0</v>
      </c>
      <c r="BD69" s="409">
        <f t="shared" si="164"/>
        <v>0</v>
      </c>
      <c r="BE69" s="409">
        <f t="shared" si="164"/>
        <v>0</v>
      </c>
      <c r="BF69" s="409">
        <f t="shared" si="164"/>
        <v>0</v>
      </c>
      <c r="BG69" s="409">
        <f t="shared" si="165"/>
        <v>0</v>
      </c>
      <c r="BH69" s="409">
        <f t="shared" si="165"/>
        <v>0</v>
      </c>
      <c r="BI69" s="409">
        <f t="shared" si="165"/>
        <v>0</v>
      </c>
      <c r="BJ69" s="409">
        <f t="shared" si="165"/>
        <v>0</v>
      </c>
      <c r="BK69" s="409">
        <f t="shared" si="165"/>
        <v>0</v>
      </c>
      <c r="BL69" s="409">
        <f t="shared" si="165"/>
        <v>0</v>
      </c>
      <c r="BM69" s="409">
        <f t="shared" si="165"/>
        <v>0</v>
      </c>
      <c r="BN69" s="409">
        <f t="shared" si="165"/>
        <v>0</v>
      </c>
      <c r="BO69" s="409">
        <f t="shared" si="165"/>
        <v>0</v>
      </c>
      <c r="BP69" s="409">
        <f t="shared" si="165"/>
        <v>0</v>
      </c>
      <c r="BQ69" s="409">
        <f t="shared" si="166"/>
        <v>0</v>
      </c>
      <c r="BR69" s="409">
        <f t="shared" si="166"/>
        <v>0</v>
      </c>
      <c r="BS69" s="409">
        <f t="shared" si="166"/>
        <v>0</v>
      </c>
      <c r="BT69" s="409">
        <f t="shared" si="166"/>
        <v>0</v>
      </c>
      <c r="BU69" s="409">
        <f t="shared" si="166"/>
        <v>0</v>
      </c>
      <c r="BV69" s="409">
        <f t="shared" si="166"/>
        <v>0</v>
      </c>
      <c r="BW69" s="409">
        <f t="shared" si="166"/>
        <v>0</v>
      </c>
      <c r="BX69" s="409">
        <f t="shared" si="166"/>
        <v>0</v>
      </c>
      <c r="BY69" s="409">
        <f t="shared" si="166"/>
        <v>0</v>
      </c>
      <c r="BZ69" s="409">
        <f t="shared" si="166"/>
        <v>0</v>
      </c>
      <c r="CA69" s="409">
        <f t="shared" si="167"/>
        <v>0</v>
      </c>
      <c r="CB69" s="409">
        <f t="shared" si="167"/>
        <v>0</v>
      </c>
      <c r="CC69" s="409">
        <f t="shared" si="167"/>
        <v>0</v>
      </c>
      <c r="CD69" s="409">
        <f t="shared" si="167"/>
        <v>0</v>
      </c>
      <c r="CE69" s="409">
        <f t="shared" si="167"/>
        <v>0</v>
      </c>
      <c r="CF69" s="409">
        <f t="shared" si="167"/>
        <v>0</v>
      </c>
      <c r="CG69" s="409">
        <f t="shared" si="167"/>
        <v>0</v>
      </c>
      <c r="CH69" s="409">
        <f t="shared" si="167"/>
        <v>0</v>
      </c>
      <c r="CI69" s="409">
        <f t="shared" si="167"/>
        <v>0</v>
      </c>
      <c r="CJ69" s="409">
        <f t="shared" si="167"/>
        <v>0</v>
      </c>
      <c r="CK69" s="409">
        <f t="shared" si="168"/>
        <v>0</v>
      </c>
      <c r="CL69" s="409">
        <f t="shared" si="168"/>
        <v>0</v>
      </c>
      <c r="CM69" s="409">
        <f t="shared" si="168"/>
        <v>0</v>
      </c>
      <c r="CN69" s="409">
        <f t="shared" si="168"/>
        <v>0</v>
      </c>
      <c r="CO69" s="409">
        <f t="shared" si="168"/>
        <v>0</v>
      </c>
      <c r="CP69" s="409">
        <f t="shared" si="168"/>
        <v>0</v>
      </c>
      <c r="CQ69" s="409">
        <f t="shared" si="168"/>
        <v>0</v>
      </c>
      <c r="CR69" s="409">
        <f t="shared" si="168"/>
        <v>0</v>
      </c>
      <c r="CS69" s="409">
        <f t="shared" si="168"/>
        <v>0</v>
      </c>
      <c r="CT69" s="409">
        <f t="shared" si="168"/>
        <v>0</v>
      </c>
      <c r="CU69" s="409">
        <f t="shared" si="169"/>
        <v>0</v>
      </c>
      <c r="CV69" s="409">
        <f t="shared" si="169"/>
        <v>0</v>
      </c>
      <c r="CW69" s="409">
        <f t="shared" si="169"/>
        <v>0</v>
      </c>
      <c r="CX69" s="409">
        <f t="shared" si="169"/>
        <v>0</v>
      </c>
      <c r="CY69" s="409">
        <f t="shared" si="169"/>
        <v>0</v>
      </c>
      <c r="CZ69" s="409">
        <f t="shared" si="169"/>
        <v>0</v>
      </c>
      <c r="DA69" s="409">
        <f t="shared" si="169"/>
        <v>0</v>
      </c>
      <c r="DB69" s="409">
        <f t="shared" si="169"/>
        <v>0</v>
      </c>
      <c r="DC69" s="409">
        <f t="shared" si="169"/>
        <v>0</v>
      </c>
      <c r="DD69" s="409">
        <f t="shared" si="169"/>
        <v>0</v>
      </c>
      <c r="DE69" s="409">
        <f t="shared" si="170"/>
        <v>0</v>
      </c>
      <c r="DF69" s="409">
        <f t="shared" si="170"/>
        <v>0</v>
      </c>
      <c r="DG69" s="409">
        <f t="shared" si="170"/>
        <v>0</v>
      </c>
      <c r="DH69" s="409">
        <f t="shared" si="170"/>
        <v>0</v>
      </c>
      <c r="DI69" s="409">
        <f t="shared" si="170"/>
        <v>0</v>
      </c>
      <c r="DJ69" s="409">
        <f t="shared" si="170"/>
        <v>0</v>
      </c>
      <c r="DK69" s="409">
        <f t="shared" si="170"/>
        <v>0</v>
      </c>
      <c r="DL69" s="409">
        <f t="shared" si="170"/>
        <v>0</v>
      </c>
      <c r="DM69" s="409">
        <f t="shared" si="170"/>
        <v>0</v>
      </c>
      <c r="DN69" s="409">
        <f t="shared" si="170"/>
        <v>0</v>
      </c>
      <c r="DO69" s="409">
        <f t="shared" si="171"/>
        <v>0</v>
      </c>
      <c r="DP69" s="409">
        <f t="shared" si="171"/>
        <v>0</v>
      </c>
      <c r="DQ69" s="409">
        <f t="shared" si="171"/>
        <v>0</v>
      </c>
      <c r="DR69" s="409">
        <f t="shared" si="171"/>
        <v>0</v>
      </c>
      <c r="DS69" s="409">
        <f t="shared" si="171"/>
        <v>0</v>
      </c>
      <c r="DT69" s="409">
        <f t="shared" si="171"/>
        <v>0</v>
      </c>
      <c r="DU69" s="409">
        <f t="shared" si="171"/>
        <v>0</v>
      </c>
      <c r="DV69" s="409">
        <f t="shared" si="171"/>
        <v>0</v>
      </c>
      <c r="DW69" s="409">
        <f t="shared" si="171"/>
        <v>0</v>
      </c>
      <c r="DX69" s="409">
        <f t="shared" si="171"/>
        <v>0</v>
      </c>
      <c r="DY69" s="409">
        <f t="shared" si="172"/>
        <v>0</v>
      </c>
      <c r="DZ69" s="409">
        <f t="shared" si="172"/>
        <v>0</v>
      </c>
      <c r="EA69" s="409">
        <f t="shared" si="172"/>
        <v>0</v>
      </c>
      <c r="EB69" s="409">
        <f t="shared" si="172"/>
        <v>0</v>
      </c>
      <c r="EC69" s="409">
        <f t="shared" si="172"/>
        <v>0</v>
      </c>
      <c r="ED69" s="409">
        <f t="shared" si="172"/>
        <v>0</v>
      </c>
      <c r="EE69" s="409">
        <f t="shared" si="172"/>
        <v>0</v>
      </c>
      <c r="EF69" s="409">
        <f t="shared" si="172"/>
        <v>0</v>
      </c>
      <c r="EG69" s="409">
        <f t="shared" si="172"/>
        <v>0</v>
      </c>
      <c r="EH69" s="409">
        <f t="shared" si="172"/>
        <v>0</v>
      </c>
      <c r="EI69" s="409">
        <f t="shared" si="173"/>
        <v>0</v>
      </c>
      <c r="EJ69" s="409">
        <f t="shared" si="173"/>
        <v>0</v>
      </c>
      <c r="EK69" s="409">
        <f t="shared" si="173"/>
        <v>0</v>
      </c>
      <c r="EL69" s="409">
        <f t="shared" si="173"/>
        <v>0</v>
      </c>
      <c r="EM69" s="409">
        <f t="shared" si="173"/>
        <v>0</v>
      </c>
      <c r="EN69" s="409">
        <f t="shared" si="173"/>
        <v>0</v>
      </c>
      <c r="EO69" s="409">
        <f t="shared" si="173"/>
        <v>0</v>
      </c>
      <c r="EP69" s="409">
        <f t="shared" si="173"/>
        <v>0</v>
      </c>
      <c r="EQ69" s="409">
        <f t="shared" si="173"/>
        <v>0</v>
      </c>
      <c r="ER69" s="409">
        <f t="shared" si="173"/>
        <v>0</v>
      </c>
      <c r="ES69" s="409">
        <f t="shared" si="174"/>
        <v>0</v>
      </c>
      <c r="ET69" s="409">
        <f t="shared" si="174"/>
        <v>0</v>
      </c>
      <c r="EU69" s="409">
        <f t="shared" si="174"/>
        <v>0</v>
      </c>
      <c r="EV69" s="409">
        <f t="shared" si="174"/>
        <v>0</v>
      </c>
      <c r="EW69" s="409">
        <f t="shared" si="174"/>
        <v>0</v>
      </c>
      <c r="EX69" s="409">
        <f t="shared" si="174"/>
        <v>0</v>
      </c>
      <c r="EY69" s="409">
        <f t="shared" si="174"/>
        <v>0</v>
      </c>
      <c r="EZ69" s="409">
        <f t="shared" si="174"/>
        <v>0</v>
      </c>
      <c r="FA69" s="409">
        <f t="shared" si="174"/>
        <v>0</v>
      </c>
      <c r="FB69" s="409">
        <f t="shared" si="174"/>
        <v>0</v>
      </c>
      <c r="FC69" s="409">
        <f t="shared" si="175"/>
        <v>0</v>
      </c>
      <c r="FD69" s="409">
        <f t="shared" si="175"/>
        <v>0</v>
      </c>
      <c r="FE69" s="409">
        <f t="shared" si="175"/>
        <v>0</v>
      </c>
      <c r="FF69" s="409">
        <f t="shared" si="175"/>
        <v>0</v>
      </c>
      <c r="FG69" s="409">
        <f t="shared" si="175"/>
        <v>0</v>
      </c>
      <c r="FH69" s="409">
        <f t="shared" si="175"/>
        <v>0</v>
      </c>
      <c r="FI69" s="409">
        <f t="shared" si="175"/>
        <v>0</v>
      </c>
      <c r="FJ69" s="409">
        <f t="shared" si="175"/>
        <v>0</v>
      </c>
      <c r="FK69" s="409">
        <f t="shared" si="175"/>
        <v>0</v>
      </c>
      <c r="FL69" s="409">
        <f t="shared" si="175"/>
        <v>0</v>
      </c>
      <c r="FM69" s="409">
        <f t="shared" si="176"/>
        <v>0</v>
      </c>
      <c r="FN69" s="409">
        <f t="shared" si="176"/>
        <v>0</v>
      </c>
      <c r="FO69" s="409">
        <f t="shared" si="176"/>
        <v>0</v>
      </c>
      <c r="FP69" s="409">
        <f t="shared" si="176"/>
        <v>0</v>
      </c>
      <c r="FQ69" s="409">
        <f t="shared" si="176"/>
        <v>0</v>
      </c>
      <c r="FR69" s="409">
        <f t="shared" si="176"/>
        <v>0</v>
      </c>
      <c r="FS69" s="409">
        <f t="shared" si="176"/>
        <v>0</v>
      </c>
      <c r="FT69" s="409">
        <f t="shared" si="176"/>
        <v>0</v>
      </c>
      <c r="FU69" s="409">
        <f t="shared" si="176"/>
        <v>0</v>
      </c>
      <c r="FV69" s="409">
        <f t="shared" si="176"/>
        <v>0</v>
      </c>
      <c r="FW69" s="409">
        <f t="shared" si="177"/>
        <v>0</v>
      </c>
      <c r="FX69" s="409">
        <f t="shared" si="177"/>
        <v>0</v>
      </c>
      <c r="FY69" s="409">
        <f t="shared" si="177"/>
        <v>0</v>
      </c>
      <c r="FZ69" s="409">
        <f t="shared" si="177"/>
        <v>0</v>
      </c>
      <c r="GA69" s="409">
        <f t="shared" si="177"/>
        <v>0</v>
      </c>
      <c r="GB69" s="409">
        <f t="shared" si="177"/>
        <v>0</v>
      </c>
      <c r="GC69" s="409">
        <f t="shared" si="177"/>
        <v>0</v>
      </c>
      <c r="GD69" s="409">
        <f t="shared" si="177"/>
        <v>0</v>
      </c>
      <c r="GE69" s="409">
        <f t="shared" si="177"/>
        <v>0</v>
      </c>
      <c r="GF69" s="409">
        <f t="shared" si="177"/>
        <v>0</v>
      </c>
      <c r="GG69" s="409">
        <f t="shared" si="178"/>
        <v>0</v>
      </c>
      <c r="GH69" s="409">
        <f t="shared" si="178"/>
        <v>0</v>
      </c>
      <c r="GI69" s="409">
        <f t="shared" si="178"/>
        <v>0</v>
      </c>
      <c r="GJ69" s="409">
        <f t="shared" si="178"/>
        <v>0</v>
      </c>
      <c r="GK69" s="409">
        <f t="shared" si="178"/>
        <v>0</v>
      </c>
      <c r="GL69" s="409">
        <f t="shared" si="178"/>
        <v>0</v>
      </c>
      <c r="GM69" s="409">
        <f t="shared" si="178"/>
        <v>0</v>
      </c>
      <c r="GN69" s="409">
        <f t="shared" si="178"/>
        <v>0</v>
      </c>
      <c r="GO69" s="409">
        <f t="shared" si="178"/>
        <v>0</v>
      </c>
      <c r="GP69" s="409">
        <f t="shared" si="178"/>
        <v>0</v>
      </c>
      <c r="GQ69" s="409">
        <f t="shared" si="179"/>
        <v>0</v>
      </c>
      <c r="GR69" s="409">
        <f t="shared" si="179"/>
        <v>0</v>
      </c>
      <c r="GS69" s="409">
        <f t="shared" si="179"/>
        <v>0</v>
      </c>
      <c r="GT69" s="409">
        <f t="shared" si="179"/>
        <v>0</v>
      </c>
      <c r="GU69" s="409">
        <f t="shared" si="179"/>
        <v>0</v>
      </c>
      <c r="GV69" s="409">
        <f t="shared" si="179"/>
        <v>0</v>
      </c>
      <c r="GW69" s="409">
        <f t="shared" si="179"/>
        <v>0</v>
      </c>
      <c r="GX69" s="409">
        <f t="shared" si="179"/>
        <v>0</v>
      </c>
      <c r="GY69" s="409">
        <f t="shared" si="179"/>
        <v>0</v>
      </c>
      <c r="GZ69" s="409">
        <f t="shared" si="179"/>
        <v>0</v>
      </c>
      <c r="HA69" s="409">
        <f t="shared" si="180"/>
        <v>0</v>
      </c>
      <c r="HB69" s="409">
        <f t="shared" si="180"/>
        <v>0</v>
      </c>
      <c r="HC69" s="409">
        <f t="shared" si="180"/>
        <v>0</v>
      </c>
      <c r="HD69" s="409">
        <f t="shared" si="180"/>
        <v>0</v>
      </c>
      <c r="HE69" s="409">
        <f t="shared" si="180"/>
        <v>0</v>
      </c>
      <c r="HF69" s="409">
        <f t="shared" si="180"/>
        <v>0</v>
      </c>
      <c r="HG69" s="409">
        <f t="shared" si="180"/>
        <v>0</v>
      </c>
      <c r="HH69" s="409">
        <f t="shared" si="180"/>
        <v>0</v>
      </c>
      <c r="HI69" s="409">
        <f t="shared" si="180"/>
        <v>0</v>
      </c>
      <c r="HJ69" s="409">
        <f t="shared" si="180"/>
        <v>0</v>
      </c>
      <c r="HK69" s="409">
        <f t="shared" si="181"/>
        <v>0</v>
      </c>
      <c r="HL69" s="409">
        <f t="shared" si="181"/>
        <v>0</v>
      </c>
      <c r="HM69" s="409">
        <f t="shared" si="181"/>
        <v>0</v>
      </c>
      <c r="HN69" s="409">
        <f t="shared" si="181"/>
        <v>0</v>
      </c>
      <c r="HO69" s="409">
        <f t="shared" si="181"/>
        <v>0</v>
      </c>
      <c r="HP69" s="409">
        <f t="shared" si="181"/>
        <v>0</v>
      </c>
      <c r="HQ69" s="409">
        <f t="shared" si="181"/>
        <v>0</v>
      </c>
      <c r="HR69" s="409">
        <f t="shared" si="181"/>
        <v>0</v>
      </c>
      <c r="HS69" s="409">
        <f t="shared" si="181"/>
        <v>0</v>
      </c>
      <c r="HT69" s="409">
        <f t="shared" si="181"/>
        <v>0</v>
      </c>
      <c r="HU69" s="409">
        <f t="shared" si="182"/>
        <v>0</v>
      </c>
      <c r="HV69" s="409">
        <f t="shared" si="182"/>
        <v>0</v>
      </c>
      <c r="HW69" s="409">
        <f t="shared" si="182"/>
        <v>0</v>
      </c>
      <c r="HX69" s="409">
        <f t="shared" si="182"/>
        <v>0</v>
      </c>
      <c r="HY69" s="409">
        <f t="shared" si="182"/>
        <v>0</v>
      </c>
      <c r="HZ69" s="409">
        <f t="shared" si="182"/>
        <v>0</v>
      </c>
      <c r="IA69" s="409">
        <f t="shared" si="182"/>
        <v>0</v>
      </c>
      <c r="IB69" s="409">
        <f t="shared" si="182"/>
        <v>0</v>
      </c>
      <c r="IC69" s="409">
        <f t="shared" si="182"/>
        <v>0</v>
      </c>
      <c r="ID69" s="409">
        <f t="shared" si="182"/>
        <v>0</v>
      </c>
      <c r="IE69" s="409">
        <f t="shared" si="183"/>
        <v>0</v>
      </c>
      <c r="IF69" s="409">
        <f t="shared" si="183"/>
        <v>0</v>
      </c>
      <c r="IG69" s="409">
        <f t="shared" si="183"/>
        <v>0</v>
      </c>
      <c r="IH69" s="409">
        <f t="shared" si="183"/>
        <v>0</v>
      </c>
      <c r="II69" s="409">
        <f t="shared" si="183"/>
        <v>0</v>
      </c>
      <c r="IJ69" s="409">
        <f t="shared" si="183"/>
        <v>0</v>
      </c>
      <c r="IK69" s="378">
        <f t="shared" si="54"/>
        <v>62</v>
      </c>
    </row>
    <row r="70" spans="1:249" hidden="1" x14ac:dyDescent="0.2">
      <c r="A70" s="380" t="str">
        <f t="shared" si="119"/>
        <v>e</v>
      </c>
      <c r="B70" s="712" t="str" cm="1">
        <f t="array" ref="B70">IF(ISERROR(INDEX('Legend(Skid)'!$H$8:$H$9,ROW()-42)),"",INDEX('Legend(Skid)'!$H$8:$H$9,ROW()-42))</f>
        <v/>
      </c>
      <c r="C70" s="712" t="e" cm="1">
        <f t="array" ref="C70">IF(INDEX('Legend(Skid)'!$T$8:$T$9,ROW()-42)=0,"See Legend",INDEX('Legend(Skid)'!$T$8:$T$9,ROW()-42))</f>
        <v>#REF!</v>
      </c>
      <c r="D70" s="712" t="e">
        <f>IF(INDEX('Legend(Skid)'!$R$8:$R$9,(ROW(C70))-42)=0,IF(AND(INDEX('Legend(Skid)'!$D$8:$D$9,(ROW(C70))-41)="CH",INDEX('Legend(Skid)'!$F$8:$F$9,(ROW(C70))-41)="CASE - MANUAL"),INDEX('Legend(Skid)'!$R$8:$R$9,(ROW(C70))-41),IF(INDEX('Legend(Skid)'!$V$8:$V$9,(ROW(C70))-42)&gt;1, "(" &amp; INDEX('Legend(Skid)'!$V$8:$V$9,(ROW(C70))-42) &amp; ") " &amp; INDEX('Legend(Skid)'!$W$8:$W$9,(ROW(C70))-41),INDEX('Legend(Skid)'!$W$8:$W$9,(ROW(C70))-42))),INDEX('Legend(Skid)'!$R$8:$R$9,(ROW(C70))-42))</f>
        <v>#REF!</v>
      </c>
      <c r="E70" s="713" cm="1">
        <f t="array" ref="E70">IF(OR(ISNUMBER(SEARCH("Pump",C70)),ISNUMBER(SEARCH("PH",C70)),ISERROR(INDEX('Legend(Skid)'!$AA$8:$AA$9,ROW()-42))),0,INDEX('Legend(Skid)'!$AA$8:$AA$9,ROW()-42))</f>
        <v>0</v>
      </c>
      <c r="F70" s="714"/>
      <c r="G70" s="714"/>
      <c r="H70" s="714"/>
      <c r="I70" s="714"/>
      <c r="J70" s="714"/>
      <c r="K70" s="890">
        <f t="shared" si="35"/>
        <v>0</v>
      </c>
      <c r="L70" s="718"/>
      <c r="M70" s="720"/>
      <c r="N70" s="972">
        <f t="shared" si="120"/>
        <v>-1</v>
      </c>
      <c r="O70" s="972">
        <f t="shared" si="121"/>
        <v>-1</v>
      </c>
      <c r="P70" s="972">
        <f t="shared" si="122"/>
        <v>-1</v>
      </c>
      <c r="Q70" s="972">
        <f t="shared" si="123"/>
        <v>-1</v>
      </c>
      <c r="R70" s="972">
        <f t="shared" si="124"/>
        <v>-1</v>
      </c>
      <c r="S70" s="972">
        <f t="shared" si="125"/>
        <v>-1</v>
      </c>
      <c r="T70" s="972">
        <f t="shared" si="126"/>
        <v>-1</v>
      </c>
      <c r="U70" s="972">
        <f t="shared" si="127"/>
        <v>-1</v>
      </c>
      <c r="V70" s="972">
        <f t="shared" si="128"/>
        <v>-1</v>
      </c>
      <c r="W70" s="972">
        <f t="shared" si="129"/>
        <v>-1</v>
      </c>
      <c r="X70" s="972">
        <f t="shared" si="130"/>
        <v>-1</v>
      </c>
      <c r="Y70" s="972">
        <f t="shared" si="131"/>
        <v>-1</v>
      </c>
      <c r="Z70" s="972">
        <f t="shared" si="132"/>
        <v>-1</v>
      </c>
      <c r="AA70" s="972">
        <f t="shared" si="133"/>
        <v>-1</v>
      </c>
      <c r="AB70" s="972">
        <f t="shared" si="134"/>
        <v>-1</v>
      </c>
      <c r="AC70" s="972">
        <f t="shared" si="135"/>
        <v>-1</v>
      </c>
      <c r="AD70" s="972">
        <f t="shared" si="136"/>
        <v>-1</v>
      </c>
      <c r="AE70" s="972">
        <f t="shared" si="137"/>
        <v>-1</v>
      </c>
      <c r="AF70" s="972">
        <f t="shared" si="138"/>
        <v>-1</v>
      </c>
      <c r="AG70" s="972">
        <f t="shared" si="139"/>
        <v>-1</v>
      </c>
      <c r="AH70" s="972">
        <f t="shared" si="140"/>
        <v>-1</v>
      </c>
      <c r="AI70" s="972">
        <f t="shared" si="141"/>
        <v>-1</v>
      </c>
      <c r="AJ70" s="972">
        <f t="shared" si="142"/>
        <v>-1</v>
      </c>
      <c r="AK70" s="381" t="str">
        <f>IF(ISERROR(INDEX('Legend(Skid)'!$AI$8:$AI$9,ROW()-42)),"",INDEX('Legend(Skid)'!$AI$8:$AI$9,ROW()-42))</f>
        <v/>
      </c>
      <c r="AL70" s="727" t="str">
        <f t="shared" si="53"/>
        <v/>
      </c>
      <c r="AM70" s="409">
        <f t="shared" si="163"/>
        <v>0</v>
      </c>
      <c r="AN70" s="409">
        <f t="shared" si="163"/>
        <v>0</v>
      </c>
      <c r="AO70" s="409">
        <f t="shared" si="163"/>
        <v>0</v>
      </c>
      <c r="AP70" s="409">
        <f t="shared" si="163"/>
        <v>0</v>
      </c>
      <c r="AQ70" s="409">
        <f t="shared" si="163"/>
        <v>0</v>
      </c>
      <c r="AR70" s="409">
        <f t="shared" si="163"/>
        <v>0</v>
      </c>
      <c r="AS70" s="409">
        <f t="shared" si="163"/>
        <v>0</v>
      </c>
      <c r="AT70" s="409">
        <f t="shared" si="163"/>
        <v>0</v>
      </c>
      <c r="AU70" s="409">
        <f t="shared" si="163"/>
        <v>0</v>
      </c>
      <c r="AV70" s="409">
        <f t="shared" si="163"/>
        <v>0</v>
      </c>
      <c r="AW70" s="409">
        <f t="shared" si="164"/>
        <v>0</v>
      </c>
      <c r="AX70" s="409">
        <f t="shared" si="164"/>
        <v>0</v>
      </c>
      <c r="AY70" s="409">
        <f t="shared" si="164"/>
        <v>0</v>
      </c>
      <c r="AZ70" s="409">
        <f t="shared" si="164"/>
        <v>0</v>
      </c>
      <c r="BA70" s="409">
        <f t="shared" si="164"/>
        <v>0</v>
      </c>
      <c r="BB70" s="409">
        <f t="shared" si="164"/>
        <v>0</v>
      </c>
      <c r="BC70" s="409">
        <f t="shared" si="164"/>
        <v>0</v>
      </c>
      <c r="BD70" s="409">
        <f t="shared" si="164"/>
        <v>0</v>
      </c>
      <c r="BE70" s="409">
        <f t="shared" si="164"/>
        <v>0</v>
      </c>
      <c r="BF70" s="409">
        <f t="shared" si="164"/>
        <v>0</v>
      </c>
      <c r="BG70" s="409">
        <f t="shared" si="165"/>
        <v>0</v>
      </c>
      <c r="BH70" s="409">
        <f t="shared" si="165"/>
        <v>0</v>
      </c>
      <c r="BI70" s="409">
        <f t="shared" si="165"/>
        <v>0</v>
      </c>
      <c r="BJ70" s="409">
        <f t="shared" si="165"/>
        <v>0</v>
      </c>
      <c r="BK70" s="409">
        <f t="shared" si="165"/>
        <v>0</v>
      </c>
      <c r="BL70" s="409">
        <f t="shared" si="165"/>
        <v>0</v>
      </c>
      <c r="BM70" s="409">
        <f t="shared" si="165"/>
        <v>0</v>
      </c>
      <c r="BN70" s="409">
        <f t="shared" si="165"/>
        <v>0</v>
      </c>
      <c r="BO70" s="409">
        <f t="shared" si="165"/>
        <v>0</v>
      </c>
      <c r="BP70" s="409">
        <f t="shared" si="165"/>
        <v>0</v>
      </c>
      <c r="BQ70" s="409">
        <f t="shared" si="166"/>
        <v>0</v>
      </c>
      <c r="BR70" s="409">
        <f t="shared" si="166"/>
        <v>0</v>
      </c>
      <c r="BS70" s="409">
        <f t="shared" si="166"/>
        <v>0</v>
      </c>
      <c r="BT70" s="409">
        <f t="shared" si="166"/>
        <v>0</v>
      </c>
      <c r="BU70" s="409">
        <f t="shared" si="166"/>
        <v>0</v>
      </c>
      <c r="BV70" s="409">
        <f t="shared" si="166"/>
        <v>0</v>
      </c>
      <c r="BW70" s="409">
        <f t="shared" si="166"/>
        <v>0</v>
      </c>
      <c r="BX70" s="409">
        <f t="shared" si="166"/>
        <v>0</v>
      </c>
      <c r="BY70" s="409">
        <f t="shared" si="166"/>
        <v>0</v>
      </c>
      <c r="BZ70" s="409">
        <f t="shared" si="166"/>
        <v>0</v>
      </c>
      <c r="CA70" s="409">
        <f t="shared" si="167"/>
        <v>0</v>
      </c>
      <c r="CB70" s="409">
        <f t="shared" si="167"/>
        <v>0</v>
      </c>
      <c r="CC70" s="409">
        <f t="shared" si="167"/>
        <v>0</v>
      </c>
      <c r="CD70" s="409">
        <f t="shared" si="167"/>
        <v>0</v>
      </c>
      <c r="CE70" s="409">
        <f t="shared" si="167"/>
        <v>0</v>
      </c>
      <c r="CF70" s="409">
        <f t="shared" si="167"/>
        <v>0</v>
      </c>
      <c r="CG70" s="409">
        <f t="shared" si="167"/>
        <v>0</v>
      </c>
      <c r="CH70" s="409">
        <f t="shared" si="167"/>
        <v>0</v>
      </c>
      <c r="CI70" s="409">
        <f t="shared" si="167"/>
        <v>0</v>
      </c>
      <c r="CJ70" s="409">
        <f t="shared" si="167"/>
        <v>0</v>
      </c>
      <c r="CK70" s="409">
        <f t="shared" si="168"/>
        <v>0</v>
      </c>
      <c r="CL70" s="409">
        <f t="shared" si="168"/>
        <v>0</v>
      </c>
      <c r="CM70" s="409">
        <f t="shared" si="168"/>
        <v>0</v>
      </c>
      <c r="CN70" s="409">
        <f t="shared" si="168"/>
        <v>0</v>
      </c>
      <c r="CO70" s="409">
        <f t="shared" si="168"/>
        <v>0</v>
      </c>
      <c r="CP70" s="409">
        <f t="shared" si="168"/>
        <v>0</v>
      </c>
      <c r="CQ70" s="409">
        <f t="shared" si="168"/>
        <v>0</v>
      </c>
      <c r="CR70" s="409">
        <f t="shared" si="168"/>
        <v>0</v>
      </c>
      <c r="CS70" s="409">
        <f t="shared" si="168"/>
        <v>0</v>
      </c>
      <c r="CT70" s="409">
        <f t="shared" si="168"/>
        <v>0</v>
      </c>
      <c r="CU70" s="409">
        <f t="shared" si="169"/>
        <v>0</v>
      </c>
      <c r="CV70" s="409">
        <f t="shared" si="169"/>
        <v>0</v>
      </c>
      <c r="CW70" s="409">
        <f t="shared" si="169"/>
        <v>0</v>
      </c>
      <c r="CX70" s="409">
        <f t="shared" si="169"/>
        <v>0</v>
      </c>
      <c r="CY70" s="409">
        <f t="shared" si="169"/>
        <v>0</v>
      </c>
      <c r="CZ70" s="409">
        <f t="shared" si="169"/>
        <v>0</v>
      </c>
      <c r="DA70" s="409">
        <f t="shared" si="169"/>
        <v>0</v>
      </c>
      <c r="DB70" s="409">
        <f t="shared" si="169"/>
        <v>0</v>
      </c>
      <c r="DC70" s="409">
        <f t="shared" si="169"/>
        <v>0</v>
      </c>
      <c r="DD70" s="409">
        <f t="shared" si="169"/>
        <v>0</v>
      </c>
      <c r="DE70" s="409">
        <f t="shared" si="170"/>
        <v>0</v>
      </c>
      <c r="DF70" s="409">
        <f t="shared" si="170"/>
        <v>0</v>
      </c>
      <c r="DG70" s="409">
        <f t="shared" si="170"/>
        <v>0</v>
      </c>
      <c r="DH70" s="409">
        <f t="shared" si="170"/>
        <v>0</v>
      </c>
      <c r="DI70" s="409">
        <f t="shared" si="170"/>
        <v>0</v>
      </c>
      <c r="DJ70" s="409">
        <f t="shared" si="170"/>
        <v>0</v>
      </c>
      <c r="DK70" s="409">
        <f t="shared" si="170"/>
        <v>0</v>
      </c>
      <c r="DL70" s="409">
        <f t="shared" si="170"/>
        <v>0</v>
      </c>
      <c r="DM70" s="409">
        <f t="shared" si="170"/>
        <v>0</v>
      </c>
      <c r="DN70" s="409">
        <f t="shared" si="170"/>
        <v>0</v>
      </c>
      <c r="DO70" s="409">
        <f t="shared" si="171"/>
        <v>0</v>
      </c>
      <c r="DP70" s="409">
        <f t="shared" si="171"/>
        <v>0</v>
      </c>
      <c r="DQ70" s="409">
        <f t="shared" si="171"/>
        <v>0</v>
      </c>
      <c r="DR70" s="409">
        <f t="shared" si="171"/>
        <v>0</v>
      </c>
      <c r="DS70" s="409">
        <f t="shared" si="171"/>
        <v>0</v>
      </c>
      <c r="DT70" s="409">
        <f t="shared" si="171"/>
        <v>0</v>
      </c>
      <c r="DU70" s="409">
        <f t="shared" si="171"/>
        <v>0</v>
      </c>
      <c r="DV70" s="409">
        <f t="shared" si="171"/>
        <v>0</v>
      </c>
      <c r="DW70" s="409">
        <f t="shared" si="171"/>
        <v>0</v>
      </c>
      <c r="DX70" s="409">
        <f t="shared" si="171"/>
        <v>0</v>
      </c>
      <c r="DY70" s="409">
        <f t="shared" si="172"/>
        <v>0</v>
      </c>
      <c r="DZ70" s="409">
        <f t="shared" si="172"/>
        <v>0</v>
      </c>
      <c r="EA70" s="409">
        <f t="shared" si="172"/>
        <v>0</v>
      </c>
      <c r="EB70" s="409">
        <f t="shared" si="172"/>
        <v>0</v>
      </c>
      <c r="EC70" s="409">
        <f t="shared" si="172"/>
        <v>0</v>
      </c>
      <c r="ED70" s="409">
        <f t="shared" si="172"/>
        <v>0</v>
      </c>
      <c r="EE70" s="409">
        <f t="shared" si="172"/>
        <v>0</v>
      </c>
      <c r="EF70" s="409">
        <f t="shared" si="172"/>
        <v>0</v>
      </c>
      <c r="EG70" s="409">
        <f t="shared" si="172"/>
        <v>0</v>
      </c>
      <c r="EH70" s="409">
        <f t="shared" si="172"/>
        <v>0</v>
      </c>
      <c r="EI70" s="409">
        <f t="shared" si="173"/>
        <v>0</v>
      </c>
      <c r="EJ70" s="409">
        <f t="shared" si="173"/>
        <v>0</v>
      </c>
      <c r="EK70" s="409">
        <f t="shared" si="173"/>
        <v>0</v>
      </c>
      <c r="EL70" s="409">
        <f t="shared" si="173"/>
        <v>0</v>
      </c>
      <c r="EM70" s="409">
        <f t="shared" si="173"/>
        <v>0</v>
      </c>
      <c r="EN70" s="409">
        <f t="shared" si="173"/>
        <v>0</v>
      </c>
      <c r="EO70" s="409">
        <f t="shared" si="173"/>
        <v>0</v>
      </c>
      <c r="EP70" s="409">
        <f t="shared" si="173"/>
        <v>0</v>
      </c>
      <c r="EQ70" s="409">
        <f t="shared" si="173"/>
        <v>0</v>
      </c>
      <c r="ER70" s="409">
        <f t="shared" si="173"/>
        <v>0</v>
      </c>
      <c r="ES70" s="409">
        <f t="shared" si="174"/>
        <v>0</v>
      </c>
      <c r="ET70" s="409">
        <f t="shared" si="174"/>
        <v>0</v>
      </c>
      <c r="EU70" s="409">
        <f t="shared" si="174"/>
        <v>0</v>
      </c>
      <c r="EV70" s="409">
        <f t="shared" si="174"/>
        <v>0</v>
      </c>
      <c r="EW70" s="409">
        <f t="shared" si="174"/>
        <v>0</v>
      </c>
      <c r="EX70" s="409">
        <f t="shared" si="174"/>
        <v>0</v>
      </c>
      <c r="EY70" s="409">
        <f t="shared" si="174"/>
        <v>0</v>
      </c>
      <c r="EZ70" s="409">
        <f t="shared" si="174"/>
        <v>0</v>
      </c>
      <c r="FA70" s="409">
        <f t="shared" si="174"/>
        <v>0</v>
      </c>
      <c r="FB70" s="409">
        <f t="shared" si="174"/>
        <v>0</v>
      </c>
      <c r="FC70" s="409">
        <f t="shared" si="175"/>
        <v>0</v>
      </c>
      <c r="FD70" s="409">
        <f t="shared" si="175"/>
        <v>0</v>
      </c>
      <c r="FE70" s="409">
        <f t="shared" si="175"/>
        <v>0</v>
      </c>
      <c r="FF70" s="409">
        <f t="shared" si="175"/>
        <v>0</v>
      </c>
      <c r="FG70" s="409">
        <f t="shared" si="175"/>
        <v>0</v>
      </c>
      <c r="FH70" s="409">
        <f t="shared" si="175"/>
        <v>0</v>
      </c>
      <c r="FI70" s="409">
        <f t="shared" si="175"/>
        <v>0</v>
      </c>
      <c r="FJ70" s="409">
        <f t="shared" si="175"/>
        <v>0</v>
      </c>
      <c r="FK70" s="409">
        <f t="shared" si="175"/>
        <v>0</v>
      </c>
      <c r="FL70" s="409">
        <f t="shared" si="175"/>
        <v>0</v>
      </c>
      <c r="FM70" s="409">
        <f t="shared" si="176"/>
        <v>0</v>
      </c>
      <c r="FN70" s="409">
        <f t="shared" si="176"/>
        <v>0</v>
      </c>
      <c r="FO70" s="409">
        <f t="shared" si="176"/>
        <v>0</v>
      </c>
      <c r="FP70" s="409">
        <f t="shared" si="176"/>
        <v>0</v>
      </c>
      <c r="FQ70" s="409">
        <f t="shared" si="176"/>
        <v>0</v>
      </c>
      <c r="FR70" s="409">
        <f t="shared" si="176"/>
        <v>0</v>
      </c>
      <c r="FS70" s="409">
        <f t="shared" si="176"/>
        <v>0</v>
      </c>
      <c r="FT70" s="409">
        <f t="shared" si="176"/>
        <v>0</v>
      </c>
      <c r="FU70" s="409">
        <f t="shared" si="176"/>
        <v>0</v>
      </c>
      <c r="FV70" s="409">
        <f t="shared" si="176"/>
        <v>0</v>
      </c>
      <c r="FW70" s="409">
        <f t="shared" si="177"/>
        <v>0</v>
      </c>
      <c r="FX70" s="409">
        <f t="shared" si="177"/>
        <v>0</v>
      </c>
      <c r="FY70" s="409">
        <f t="shared" si="177"/>
        <v>0</v>
      </c>
      <c r="FZ70" s="409">
        <f t="shared" si="177"/>
        <v>0</v>
      </c>
      <c r="GA70" s="409">
        <f t="shared" si="177"/>
        <v>0</v>
      </c>
      <c r="GB70" s="409">
        <f t="shared" si="177"/>
        <v>0</v>
      </c>
      <c r="GC70" s="409">
        <f t="shared" si="177"/>
        <v>0</v>
      </c>
      <c r="GD70" s="409">
        <f t="shared" si="177"/>
        <v>0</v>
      </c>
      <c r="GE70" s="409">
        <f t="shared" si="177"/>
        <v>0</v>
      </c>
      <c r="GF70" s="409">
        <f t="shared" si="177"/>
        <v>0</v>
      </c>
      <c r="GG70" s="409">
        <f t="shared" si="178"/>
        <v>0</v>
      </c>
      <c r="GH70" s="409">
        <f t="shared" si="178"/>
        <v>0</v>
      </c>
      <c r="GI70" s="409">
        <f t="shared" si="178"/>
        <v>0</v>
      </c>
      <c r="GJ70" s="409">
        <f t="shared" si="178"/>
        <v>0</v>
      </c>
      <c r="GK70" s="409">
        <f t="shared" si="178"/>
        <v>0</v>
      </c>
      <c r="GL70" s="409">
        <f t="shared" si="178"/>
        <v>0</v>
      </c>
      <c r="GM70" s="409">
        <f t="shared" si="178"/>
        <v>0</v>
      </c>
      <c r="GN70" s="409">
        <f t="shared" si="178"/>
        <v>0</v>
      </c>
      <c r="GO70" s="409">
        <f t="shared" si="178"/>
        <v>0</v>
      </c>
      <c r="GP70" s="409">
        <f t="shared" si="178"/>
        <v>0</v>
      </c>
      <c r="GQ70" s="409">
        <f t="shared" si="179"/>
        <v>0</v>
      </c>
      <c r="GR70" s="409">
        <f t="shared" si="179"/>
        <v>0</v>
      </c>
      <c r="GS70" s="409">
        <f t="shared" si="179"/>
        <v>0</v>
      </c>
      <c r="GT70" s="409">
        <f t="shared" si="179"/>
        <v>0</v>
      </c>
      <c r="GU70" s="409">
        <f t="shared" si="179"/>
        <v>0</v>
      </c>
      <c r="GV70" s="409">
        <f t="shared" si="179"/>
        <v>0</v>
      </c>
      <c r="GW70" s="409">
        <f t="shared" si="179"/>
        <v>0</v>
      </c>
      <c r="GX70" s="409">
        <f t="shared" si="179"/>
        <v>0</v>
      </c>
      <c r="GY70" s="409">
        <f t="shared" si="179"/>
        <v>0</v>
      </c>
      <c r="GZ70" s="409">
        <f t="shared" si="179"/>
        <v>0</v>
      </c>
      <c r="HA70" s="409">
        <f t="shared" si="180"/>
        <v>0</v>
      </c>
      <c r="HB70" s="409">
        <f t="shared" si="180"/>
        <v>0</v>
      </c>
      <c r="HC70" s="409">
        <f t="shared" si="180"/>
        <v>0</v>
      </c>
      <c r="HD70" s="409">
        <f t="shared" si="180"/>
        <v>0</v>
      </c>
      <c r="HE70" s="409">
        <f t="shared" si="180"/>
        <v>0</v>
      </c>
      <c r="HF70" s="409">
        <f t="shared" si="180"/>
        <v>0</v>
      </c>
      <c r="HG70" s="409">
        <f t="shared" si="180"/>
        <v>0</v>
      </c>
      <c r="HH70" s="409">
        <f t="shared" si="180"/>
        <v>0</v>
      </c>
      <c r="HI70" s="409">
        <f t="shared" si="180"/>
        <v>0</v>
      </c>
      <c r="HJ70" s="409">
        <f t="shared" si="180"/>
        <v>0</v>
      </c>
      <c r="HK70" s="409">
        <f t="shared" si="181"/>
        <v>0</v>
      </c>
      <c r="HL70" s="409">
        <f t="shared" si="181"/>
        <v>0</v>
      </c>
      <c r="HM70" s="409">
        <f t="shared" si="181"/>
        <v>0</v>
      </c>
      <c r="HN70" s="409">
        <f t="shared" si="181"/>
        <v>0</v>
      </c>
      <c r="HO70" s="409">
        <f t="shared" si="181"/>
        <v>0</v>
      </c>
      <c r="HP70" s="409">
        <f t="shared" si="181"/>
        <v>0</v>
      </c>
      <c r="HQ70" s="409">
        <f t="shared" si="181"/>
        <v>0</v>
      </c>
      <c r="HR70" s="409">
        <f t="shared" si="181"/>
        <v>0</v>
      </c>
      <c r="HS70" s="409">
        <f t="shared" si="181"/>
        <v>0</v>
      </c>
      <c r="HT70" s="409">
        <f t="shared" si="181"/>
        <v>0</v>
      </c>
      <c r="HU70" s="409">
        <f t="shared" si="182"/>
        <v>0</v>
      </c>
      <c r="HV70" s="409">
        <f t="shared" si="182"/>
        <v>0</v>
      </c>
      <c r="HW70" s="409">
        <f t="shared" si="182"/>
        <v>0</v>
      </c>
      <c r="HX70" s="409">
        <f t="shared" si="182"/>
        <v>0</v>
      </c>
      <c r="HY70" s="409">
        <f t="shared" si="182"/>
        <v>0</v>
      </c>
      <c r="HZ70" s="409">
        <f t="shared" si="182"/>
        <v>0</v>
      </c>
      <c r="IA70" s="409">
        <f t="shared" si="182"/>
        <v>0</v>
      </c>
      <c r="IB70" s="409">
        <f t="shared" si="182"/>
        <v>0</v>
      </c>
      <c r="IC70" s="409">
        <f t="shared" si="182"/>
        <v>0</v>
      </c>
      <c r="ID70" s="409">
        <f t="shared" si="182"/>
        <v>0</v>
      </c>
      <c r="IE70" s="409">
        <f t="shared" si="183"/>
        <v>0</v>
      </c>
      <c r="IF70" s="409">
        <f t="shared" si="183"/>
        <v>0</v>
      </c>
      <c r="IG70" s="409">
        <f t="shared" si="183"/>
        <v>0</v>
      </c>
      <c r="IH70" s="409">
        <f t="shared" si="183"/>
        <v>0</v>
      </c>
      <c r="II70" s="409">
        <f t="shared" si="183"/>
        <v>0</v>
      </c>
      <c r="IJ70" s="409">
        <f t="shared" si="183"/>
        <v>0</v>
      </c>
      <c r="IK70" s="378">
        <f t="shared" si="54"/>
        <v>63</v>
      </c>
    </row>
    <row r="71" spans="1:249" hidden="1" x14ac:dyDescent="0.2">
      <c r="A71" s="380" t="str">
        <f t="shared" si="119"/>
        <v>e</v>
      </c>
      <c r="B71" s="712" t="str" cm="1">
        <f t="array" ref="B71">IF(ISERROR(INDEX('Legend(Skid)'!$H$8:$H$9,ROW()-42)),"",INDEX('Legend(Skid)'!$H$8:$H$9,ROW()-42))</f>
        <v/>
      </c>
      <c r="C71" s="712" t="e" cm="1">
        <f t="array" ref="C71">IF(INDEX('Legend(Skid)'!$T$8:$T$9,ROW()-42)=0,"See Legend",INDEX('Legend(Skid)'!$T$8:$T$9,ROW()-42))</f>
        <v>#REF!</v>
      </c>
      <c r="D71" s="712" t="e">
        <f>IF(INDEX('Legend(Skid)'!$R$8:$R$9,(ROW(C71))-42)=0,IF(AND(INDEX('Legend(Skid)'!$D$8:$D$9,(ROW(C71))-41)="CH",INDEX('Legend(Skid)'!$F$8:$F$9,(ROW(C71))-41)="CASE - MANUAL"),INDEX('Legend(Skid)'!$R$8:$R$9,(ROW(C71))-41),IF(INDEX('Legend(Skid)'!$V$8:$V$9,(ROW(C71))-42)&gt;1, "(" &amp; INDEX('Legend(Skid)'!$V$8:$V$9,(ROW(C71))-42) &amp; ") " &amp; INDEX('Legend(Skid)'!$W$8:$W$9,(ROW(C71))-41),INDEX('Legend(Skid)'!$W$8:$W$9,(ROW(C71))-42))),INDEX('Legend(Skid)'!$R$8:$R$9,(ROW(C71))-42))</f>
        <v>#REF!</v>
      </c>
      <c r="E71" s="713" cm="1">
        <f t="array" ref="E71">IF(OR(ISNUMBER(SEARCH("Pump",C71)),ISNUMBER(SEARCH("PH",C71)),ISERROR(INDEX('Legend(Skid)'!$AA$8:$AA$9,ROW()-42))),0,INDEX('Legend(Skid)'!$AA$8:$AA$9,ROW()-42))</f>
        <v>0</v>
      </c>
      <c r="F71" s="714"/>
      <c r="G71" s="714"/>
      <c r="H71" s="714"/>
      <c r="I71" s="714"/>
      <c r="J71" s="714"/>
      <c r="K71" s="890">
        <f t="shared" si="35"/>
        <v>0</v>
      </c>
      <c r="L71" s="718"/>
      <c r="M71" s="720"/>
      <c r="N71" s="972">
        <f t="shared" si="120"/>
        <v>-1</v>
      </c>
      <c r="O71" s="972">
        <f t="shared" si="121"/>
        <v>-1</v>
      </c>
      <c r="P71" s="972">
        <f t="shared" si="122"/>
        <v>-1</v>
      </c>
      <c r="Q71" s="972">
        <f t="shared" si="123"/>
        <v>-1</v>
      </c>
      <c r="R71" s="972">
        <f t="shared" si="124"/>
        <v>-1</v>
      </c>
      <c r="S71" s="972">
        <f t="shared" si="125"/>
        <v>-1</v>
      </c>
      <c r="T71" s="972">
        <f t="shared" si="126"/>
        <v>-1</v>
      </c>
      <c r="U71" s="972">
        <f t="shared" si="127"/>
        <v>-1</v>
      </c>
      <c r="V71" s="972">
        <f t="shared" si="128"/>
        <v>-1</v>
      </c>
      <c r="W71" s="972">
        <f t="shared" si="129"/>
        <v>-1</v>
      </c>
      <c r="X71" s="972">
        <f t="shared" si="130"/>
        <v>-1</v>
      </c>
      <c r="Y71" s="972">
        <f t="shared" si="131"/>
        <v>-1</v>
      </c>
      <c r="Z71" s="972">
        <f t="shared" si="132"/>
        <v>-1</v>
      </c>
      <c r="AA71" s="972">
        <f t="shared" si="133"/>
        <v>-1</v>
      </c>
      <c r="AB71" s="972">
        <f t="shared" si="134"/>
        <v>-1</v>
      </c>
      <c r="AC71" s="972">
        <f t="shared" si="135"/>
        <v>-1</v>
      </c>
      <c r="AD71" s="972">
        <f t="shared" si="136"/>
        <v>-1</v>
      </c>
      <c r="AE71" s="972">
        <f t="shared" si="137"/>
        <v>-1</v>
      </c>
      <c r="AF71" s="972">
        <f t="shared" si="138"/>
        <v>-1</v>
      </c>
      <c r="AG71" s="972">
        <f t="shared" si="139"/>
        <v>-1</v>
      </c>
      <c r="AH71" s="972">
        <f t="shared" si="140"/>
        <v>-1</v>
      </c>
      <c r="AI71" s="972">
        <f t="shared" si="141"/>
        <v>-1</v>
      </c>
      <c r="AJ71" s="972">
        <f t="shared" si="142"/>
        <v>-1</v>
      </c>
      <c r="AK71" s="381" t="str">
        <f>IF(ISERROR(INDEX('Legend(Skid)'!$AI$8:$AI$9,ROW()-42)),"",INDEX('Legend(Skid)'!$AI$8:$AI$9,ROW()-42))</f>
        <v/>
      </c>
      <c r="AL71" s="727" t="str">
        <f t="shared" si="53"/>
        <v/>
      </c>
      <c r="AM71" s="409">
        <f t="shared" si="163"/>
        <v>0</v>
      </c>
      <c r="AN71" s="409">
        <f t="shared" si="163"/>
        <v>0</v>
      </c>
      <c r="AO71" s="409">
        <f t="shared" si="163"/>
        <v>0</v>
      </c>
      <c r="AP71" s="409">
        <f t="shared" si="163"/>
        <v>0</v>
      </c>
      <c r="AQ71" s="409">
        <f t="shared" si="163"/>
        <v>0</v>
      </c>
      <c r="AR71" s="409">
        <f t="shared" si="163"/>
        <v>0</v>
      </c>
      <c r="AS71" s="409">
        <f t="shared" si="163"/>
        <v>0</v>
      </c>
      <c r="AT71" s="409">
        <f t="shared" si="163"/>
        <v>0</v>
      </c>
      <c r="AU71" s="409">
        <f t="shared" si="163"/>
        <v>0</v>
      </c>
      <c r="AV71" s="409">
        <f t="shared" si="163"/>
        <v>0</v>
      </c>
      <c r="AW71" s="409">
        <f t="shared" si="164"/>
        <v>0</v>
      </c>
      <c r="AX71" s="409">
        <f t="shared" si="164"/>
        <v>0</v>
      </c>
      <c r="AY71" s="409">
        <f t="shared" si="164"/>
        <v>0</v>
      </c>
      <c r="AZ71" s="409">
        <f t="shared" si="164"/>
        <v>0</v>
      </c>
      <c r="BA71" s="409">
        <f t="shared" si="164"/>
        <v>0</v>
      </c>
      <c r="BB71" s="409">
        <f t="shared" si="164"/>
        <v>0</v>
      </c>
      <c r="BC71" s="409">
        <f t="shared" si="164"/>
        <v>0</v>
      </c>
      <c r="BD71" s="409">
        <f t="shared" si="164"/>
        <v>0</v>
      </c>
      <c r="BE71" s="409">
        <f t="shared" si="164"/>
        <v>0</v>
      </c>
      <c r="BF71" s="409">
        <f t="shared" si="164"/>
        <v>0</v>
      </c>
      <c r="BG71" s="409">
        <f t="shared" si="165"/>
        <v>0</v>
      </c>
      <c r="BH71" s="409">
        <f t="shared" si="165"/>
        <v>0</v>
      </c>
      <c r="BI71" s="409">
        <f t="shared" si="165"/>
        <v>0</v>
      </c>
      <c r="BJ71" s="409">
        <f t="shared" si="165"/>
        <v>0</v>
      </c>
      <c r="BK71" s="409">
        <f t="shared" si="165"/>
        <v>0</v>
      </c>
      <c r="BL71" s="409">
        <f t="shared" si="165"/>
        <v>0</v>
      </c>
      <c r="BM71" s="409">
        <f t="shared" si="165"/>
        <v>0</v>
      </c>
      <c r="BN71" s="409">
        <f t="shared" si="165"/>
        <v>0</v>
      </c>
      <c r="BO71" s="409">
        <f t="shared" si="165"/>
        <v>0</v>
      </c>
      <c r="BP71" s="409">
        <f t="shared" si="165"/>
        <v>0</v>
      </c>
      <c r="BQ71" s="409">
        <f t="shared" si="166"/>
        <v>0</v>
      </c>
      <c r="BR71" s="409">
        <f t="shared" si="166"/>
        <v>0</v>
      </c>
      <c r="BS71" s="409">
        <f t="shared" si="166"/>
        <v>0</v>
      </c>
      <c r="BT71" s="409">
        <f t="shared" si="166"/>
        <v>0</v>
      </c>
      <c r="BU71" s="409">
        <f t="shared" si="166"/>
        <v>0</v>
      </c>
      <c r="BV71" s="409">
        <f t="shared" si="166"/>
        <v>0</v>
      </c>
      <c r="BW71" s="409">
        <f t="shared" si="166"/>
        <v>0</v>
      </c>
      <c r="BX71" s="409">
        <f t="shared" si="166"/>
        <v>0</v>
      </c>
      <c r="BY71" s="409">
        <f t="shared" si="166"/>
        <v>0</v>
      </c>
      <c r="BZ71" s="409">
        <f t="shared" si="166"/>
        <v>0</v>
      </c>
      <c r="CA71" s="409">
        <f t="shared" si="167"/>
        <v>0</v>
      </c>
      <c r="CB71" s="409">
        <f t="shared" si="167"/>
        <v>0</v>
      </c>
      <c r="CC71" s="409">
        <f t="shared" si="167"/>
        <v>0</v>
      </c>
      <c r="CD71" s="409">
        <f t="shared" si="167"/>
        <v>0</v>
      </c>
      <c r="CE71" s="409">
        <f t="shared" si="167"/>
        <v>0</v>
      </c>
      <c r="CF71" s="409">
        <f t="shared" si="167"/>
        <v>0</v>
      </c>
      <c r="CG71" s="409">
        <f t="shared" si="167"/>
        <v>0</v>
      </c>
      <c r="CH71" s="409">
        <f t="shared" si="167"/>
        <v>0</v>
      </c>
      <c r="CI71" s="409">
        <f t="shared" si="167"/>
        <v>0</v>
      </c>
      <c r="CJ71" s="409">
        <f t="shared" si="167"/>
        <v>0</v>
      </c>
      <c r="CK71" s="409">
        <f t="shared" si="168"/>
        <v>0</v>
      </c>
      <c r="CL71" s="409">
        <f t="shared" si="168"/>
        <v>0</v>
      </c>
      <c r="CM71" s="409">
        <f t="shared" si="168"/>
        <v>0</v>
      </c>
      <c r="CN71" s="409">
        <f t="shared" si="168"/>
        <v>0</v>
      </c>
      <c r="CO71" s="409">
        <f t="shared" si="168"/>
        <v>0</v>
      </c>
      <c r="CP71" s="409">
        <f t="shared" si="168"/>
        <v>0</v>
      </c>
      <c r="CQ71" s="409">
        <f t="shared" si="168"/>
        <v>0</v>
      </c>
      <c r="CR71" s="409">
        <f t="shared" si="168"/>
        <v>0</v>
      </c>
      <c r="CS71" s="409">
        <f t="shared" si="168"/>
        <v>0</v>
      </c>
      <c r="CT71" s="409">
        <f t="shared" si="168"/>
        <v>0</v>
      </c>
      <c r="CU71" s="409">
        <f t="shared" si="169"/>
        <v>0</v>
      </c>
      <c r="CV71" s="409">
        <f t="shared" si="169"/>
        <v>0</v>
      </c>
      <c r="CW71" s="409">
        <f t="shared" si="169"/>
        <v>0</v>
      </c>
      <c r="CX71" s="409">
        <f t="shared" si="169"/>
        <v>0</v>
      </c>
      <c r="CY71" s="409">
        <f t="shared" si="169"/>
        <v>0</v>
      </c>
      <c r="CZ71" s="409">
        <f t="shared" si="169"/>
        <v>0</v>
      </c>
      <c r="DA71" s="409">
        <f t="shared" si="169"/>
        <v>0</v>
      </c>
      <c r="DB71" s="409">
        <f t="shared" si="169"/>
        <v>0</v>
      </c>
      <c r="DC71" s="409">
        <f t="shared" si="169"/>
        <v>0</v>
      </c>
      <c r="DD71" s="409">
        <f t="shared" si="169"/>
        <v>0</v>
      </c>
      <c r="DE71" s="409">
        <f t="shared" si="170"/>
        <v>0</v>
      </c>
      <c r="DF71" s="409">
        <f t="shared" si="170"/>
        <v>0</v>
      </c>
      <c r="DG71" s="409">
        <f t="shared" si="170"/>
        <v>0</v>
      </c>
      <c r="DH71" s="409">
        <f t="shared" si="170"/>
        <v>0</v>
      </c>
      <c r="DI71" s="409">
        <f t="shared" si="170"/>
        <v>0</v>
      </c>
      <c r="DJ71" s="409">
        <f t="shared" si="170"/>
        <v>0</v>
      </c>
      <c r="DK71" s="409">
        <f t="shared" si="170"/>
        <v>0</v>
      </c>
      <c r="DL71" s="409">
        <f t="shared" si="170"/>
        <v>0</v>
      </c>
      <c r="DM71" s="409">
        <f t="shared" si="170"/>
        <v>0</v>
      </c>
      <c r="DN71" s="409">
        <f t="shared" si="170"/>
        <v>0</v>
      </c>
      <c r="DO71" s="409">
        <f t="shared" si="171"/>
        <v>0</v>
      </c>
      <c r="DP71" s="409">
        <f t="shared" si="171"/>
        <v>0</v>
      </c>
      <c r="DQ71" s="409">
        <f t="shared" si="171"/>
        <v>0</v>
      </c>
      <c r="DR71" s="409">
        <f t="shared" si="171"/>
        <v>0</v>
      </c>
      <c r="DS71" s="409">
        <f t="shared" si="171"/>
        <v>0</v>
      </c>
      <c r="DT71" s="409">
        <f t="shared" si="171"/>
        <v>0</v>
      </c>
      <c r="DU71" s="409">
        <f t="shared" si="171"/>
        <v>0</v>
      </c>
      <c r="DV71" s="409">
        <f t="shared" si="171"/>
        <v>0</v>
      </c>
      <c r="DW71" s="409">
        <f t="shared" si="171"/>
        <v>0</v>
      </c>
      <c r="DX71" s="409">
        <f t="shared" si="171"/>
        <v>0</v>
      </c>
      <c r="DY71" s="409">
        <f t="shared" si="172"/>
        <v>0</v>
      </c>
      <c r="DZ71" s="409">
        <f t="shared" si="172"/>
        <v>0</v>
      </c>
      <c r="EA71" s="409">
        <f t="shared" si="172"/>
        <v>0</v>
      </c>
      <c r="EB71" s="409">
        <f t="shared" si="172"/>
        <v>0</v>
      </c>
      <c r="EC71" s="409">
        <f t="shared" si="172"/>
        <v>0</v>
      </c>
      <c r="ED71" s="409">
        <f t="shared" si="172"/>
        <v>0</v>
      </c>
      <c r="EE71" s="409">
        <f t="shared" si="172"/>
        <v>0</v>
      </c>
      <c r="EF71" s="409">
        <f t="shared" si="172"/>
        <v>0</v>
      </c>
      <c r="EG71" s="409">
        <f t="shared" si="172"/>
        <v>0</v>
      </c>
      <c r="EH71" s="409">
        <f t="shared" si="172"/>
        <v>0</v>
      </c>
      <c r="EI71" s="409">
        <f t="shared" si="173"/>
        <v>0</v>
      </c>
      <c r="EJ71" s="409">
        <f t="shared" si="173"/>
        <v>0</v>
      </c>
      <c r="EK71" s="409">
        <f t="shared" si="173"/>
        <v>0</v>
      </c>
      <c r="EL71" s="409">
        <f t="shared" si="173"/>
        <v>0</v>
      </c>
      <c r="EM71" s="409">
        <f t="shared" si="173"/>
        <v>0</v>
      </c>
      <c r="EN71" s="409">
        <f t="shared" si="173"/>
        <v>0</v>
      </c>
      <c r="EO71" s="409">
        <f t="shared" si="173"/>
        <v>0</v>
      </c>
      <c r="EP71" s="409">
        <f t="shared" si="173"/>
        <v>0</v>
      </c>
      <c r="EQ71" s="409">
        <f t="shared" si="173"/>
        <v>0</v>
      </c>
      <c r="ER71" s="409">
        <f t="shared" si="173"/>
        <v>0</v>
      </c>
      <c r="ES71" s="409">
        <f t="shared" si="174"/>
        <v>0</v>
      </c>
      <c r="ET71" s="409">
        <f t="shared" si="174"/>
        <v>0</v>
      </c>
      <c r="EU71" s="409">
        <f t="shared" si="174"/>
        <v>0</v>
      </c>
      <c r="EV71" s="409">
        <f t="shared" si="174"/>
        <v>0</v>
      </c>
      <c r="EW71" s="409">
        <f t="shared" si="174"/>
        <v>0</v>
      </c>
      <c r="EX71" s="409">
        <f t="shared" si="174"/>
        <v>0</v>
      </c>
      <c r="EY71" s="409">
        <f t="shared" si="174"/>
        <v>0</v>
      </c>
      <c r="EZ71" s="409">
        <f t="shared" si="174"/>
        <v>0</v>
      </c>
      <c r="FA71" s="409">
        <f t="shared" si="174"/>
        <v>0</v>
      </c>
      <c r="FB71" s="409">
        <f t="shared" si="174"/>
        <v>0</v>
      </c>
      <c r="FC71" s="409">
        <f t="shared" si="175"/>
        <v>0</v>
      </c>
      <c r="FD71" s="409">
        <f t="shared" si="175"/>
        <v>0</v>
      </c>
      <c r="FE71" s="409">
        <f t="shared" si="175"/>
        <v>0</v>
      </c>
      <c r="FF71" s="409">
        <f t="shared" si="175"/>
        <v>0</v>
      </c>
      <c r="FG71" s="409">
        <f t="shared" si="175"/>
        <v>0</v>
      </c>
      <c r="FH71" s="409">
        <f t="shared" si="175"/>
        <v>0</v>
      </c>
      <c r="FI71" s="409">
        <f t="shared" si="175"/>
        <v>0</v>
      </c>
      <c r="FJ71" s="409">
        <f t="shared" si="175"/>
        <v>0</v>
      </c>
      <c r="FK71" s="409">
        <f t="shared" si="175"/>
        <v>0</v>
      </c>
      <c r="FL71" s="409">
        <f t="shared" si="175"/>
        <v>0</v>
      </c>
      <c r="FM71" s="409">
        <f t="shared" si="176"/>
        <v>0</v>
      </c>
      <c r="FN71" s="409">
        <f t="shared" si="176"/>
        <v>0</v>
      </c>
      <c r="FO71" s="409">
        <f t="shared" si="176"/>
        <v>0</v>
      </c>
      <c r="FP71" s="409">
        <f t="shared" si="176"/>
        <v>0</v>
      </c>
      <c r="FQ71" s="409">
        <f t="shared" si="176"/>
        <v>0</v>
      </c>
      <c r="FR71" s="409">
        <f t="shared" si="176"/>
        <v>0</v>
      </c>
      <c r="FS71" s="409">
        <f t="shared" si="176"/>
        <v>0</v>
      </c>
      <c r="FT71" s="409">
        <f t="shared" si="176"/>
        <v>0</v>
      </c>
      <c r="FU71" s="409">
        <f t="shared" si="176"/>
        <v>0</v>
      </c>
      <c r="FV71" s="409">
        <f t="shared" si="176"/>
        <v>0</v>
      </c>
      <c r="FW71" s="409">
        <f t="shared" si="177"/>
        <v>0</v>
      </c>
      <c r="FX71" s="409">
        <f t="shared" si="177"/>
        <v>0</v>
      </c>
      <c r="FY71" s="409">
        <f t="shared" si="177"/>
        <v>0</v>
      </c>
      <c r="FZ71" s="409">
        <f t="shared" si="177"/>
        <v>0</v>
      </c>
      <c r="GA71" s="409">
        <f t="shared" si="177"/>
        <v>0</v>
      </c>
      <c r="GB71" s="409">
        <f t="shared" si="177"/>
        <v>0</v>
      </c>
      <c r="GC71" s="409">
        <f t="shared" si="177"/>
        <v>0</v>
      </c>
      <c r="GD71" s="409">
        <f t="shared" si="177"/>
        <v>0</v>
      </c>
      <c r="GE71" s="409">
        <f t="shared" si="177"/>
        <v>0</v>
      </c>
      <c r="GF71" s="409">
        <f t="shared" si="177"/>
        <v>0</v>
      </c>
      <c r="GG71" s="409">
        <f t="shared" si="178"/>
        <v>0</v>
      </c>
      <c r="GH71" s="409">
        <f t="shared" si="178"/>
        <v>0</v>
      </c>
      <c r="GI71" s="409">
        <f t="shared" si="178"/>
        <v>0</v>
      </c>
      <c r="GJ71" s="409">
        <f t="shared" si="178"/>
        <v>0</v>
      </c>
      <c r="GK71" s="409">
        <f t="shared" si="178"/>
        <v>0</v>
      </c>
      <c r="GL71" s="409">
        <f t="shared" si="178"/>
        <v>0</v>
      </c>
      <c r="GM71" s="409">
        <f t="shared" si="178"/>
        <v>0</v>
      </c>
      <c r="GN71" s="409">
        <f t="shared" si="178"/>
        <v>0</v>
      </c>
      <c r="GO71" s="409">
        <f t="shared" si="178"/>
        <v>0</v>
      </c>
      <c r="GP71" s="409">
        <f t="shared" si="178"/>
        <v>0</v>
      </c>
      <c r="GQ71" s="409">
        <f t="shared" si="179"/>
        <v>0</v>
      </c>
      <c r="GR71" s="409">
        <f t="shared" si="179"/>
        <v>0</v>
      </c>
      <c r="GS71" s="409">
        <f t="shared" si="179"/>
        <v>0</v>
      </c>
      <c r="GT71" s="409">
        <f t="shared" si="179"/>
        <v>0</v>
      </c>
      <c r="GU71" s="409">
        <f t="shared" si="179"/>
        <v>0</v>
      </c>
      <c r="GV71" s="409">
        <f t="shared" si="179"/>
        <v>0</v>
      </c>
      <c r="GW71" s="409">
        <f t="shared" si="179"/>
        <v>0</v>
      </c>
      <c r="GX71" s="409">
        <f t="shared" si="179"/>
        <v>0</v>
      </c>
      <c r="GY71" s="409">
        <f t="shared" si="179"/>
        <v>0</v>
      </c>
      <c r="GZ71" s="409">
        <f t="shared" si="179"/>
        <v>0</v>
      </c>
      <c r="HA71" s="409">
        <f t="shared" si="180"/>
        <v>0</v>
      </c>
      <c r="HB71" s="409">
        <f t="shared" si="180"/>
        <v>0</v>
      </c>
      <c r="HC71" s="409">
        <f t="shared" si="180"/>
        <v>0</v>
      </c>
      <c r="HD71" s="409">
        <f t="shared" si="180"/>
        <v>0</v>
      </c>
      <c r="HE71" s="409">
        <f t="shared" si="180"/>
        <v>0</v>
      </c>
      <c r="HF71" s="409">
        <f t="shared" si="180"/>
        <v>0</v>
      </c>
      <c r="HG71" s="409">
        <f t="shared" si="180"/>
        <v>0</v>
      </c>
      <c r="HH71" s="409">
        <f t="shared" si="180"/>
        <v>0</v>
      </c>
      <c r="HI71" s="409">
        <f t="shared" si="180"/>
        <v>0</v>
      </c>
      <c r="HJ71" s="409">
        <f t="shared" si="180"/>
        <v>0</v>
      </c>
      <c r="HK71" s="409">
        <f t="shared" si="181"/>
        <v>0</v>
      </c>
      <c r="HL71" s="409">
        <f t="shared" si="181"/>
        <v>0</v>
      </c>
      <c r="HM71" s="409">
        <f t="shared" si="181"/>
        <v>0</v>
      </c>
      <c r="HN71" s="409">
        <f t="shared" si="181"/>
        <v>0</v>
      </c>
      <c r="HO71" s="409">
        <f t="shared" si="181"/>
        <v>0</v>
      </c>
      <c r="HP71" s="409">
        <f t="shared" si="181"/>
        <v>0</v>
      </c>
      <c r="HQ71" s="409">
        <f t="shared" si="181"/>
        <v>0</v>
      </c>
      <c r="HR71" s="409">
        <f t="shared" si="181"/>
        <v>0</v>
      </c>
      <c r="HS71" s="409">
        <f t="shared" si="181"/>
        <v>0</v>
      </c>
      <c r="HT71" s="409">
        <f t="shared" si="181"/>
        <v>0</v>
      </c>
      <c r="HU71" s="409">
        <f t="shared" si="182"/>
        <v>0</v>
      </c>
      <c r="HV71" s="409">
        <f t="shared" si="182"/>
        <v>0</v>
      </c>
      <c r="HW71" s="409">
        <f t="shared" si="182"/>
        <v>0</v>
      </c>
      <c r="HX71" s="409">
        <f t="shared" si="182"/>
        <v>0</v>
      </c>
      <c r="HY71" s="409">
        <f t="shared" si="182"/>
        <v>0</v>
      </c>
      <c r="HZ71" s="409">
        <f t="shared" si="182"/>
        <v>0</v>
      </c>
      <c r="IA71" s="409">
        <f t="shared" si="182"/>
        <v>0</v>
      </c>
      <c r="IB71" s="409">
        <f t="shared" si="182"/>
        <v>0</v>
      </c>
      <c r="IC71" s="409">
        <f t="shared" si="182"/>
        <v>0</v>
      </c>
      <c r="ID71" s="409">
        <f t="shared" si="182"/>
        <v>0</v>
      </c>
      <c r="IE71" s="409">
        <f t="shared" si="183"/>
        <v>0</v>
      </c>
      <c r="IF71" s="409">
        <f t="shared" si="183"/>
        <v>0</v>
      </c>
      <c r="IG71" s="409">
        <f t="shared" si="183"/>
        <v>0</v>
      </c>
      <c r="IH71" s="409">
        <f t="shared" si="183"/>
        <v>0</v>
      </c>
      <c r="II71" s="409">
        <f t="shared" si="183"/>
        <v>0</v>
      </c>
      <c r="IJ71" s="409">
        <f t="shared" si="183"/>
        <v>0</v>
      </c>
      <c r="IK71" s="378">
        <f t="shared" si="54"/>
        <v>64</v>
      </c>
    </row>
    <row r="72" spans="1:249" hidden="1" x14ac:dyDescent="0.2">
      <c r="A72" s="380" t="str">
        <f t="shared" si="119"/>
        <v>e</v>
      </c>
      <c r="B72" s="712" t="str" cm="1">
        <f t="array" ref="B72">IF(ISERROR(INDEX('Legend(Skid)'!$H$8:$H$9,ROW()-42)),"",INDEX('Legend(Skid)'!$H$8:$H$9,ROW()-42))</f>
        <v/>
      </c>
      <c r="C72" s="712" t="e" cm="1">
        <f t="array" ref="C72">IF(INDEX('Legend(Skid)'!$T$8:$T$9,ROW()-42)=0,"See Legend",INDEX('Legend(Skid)'!$T$8:$T$9,ROW()-42))</f>
        <v>#REF!</v>
      </c>
      <c r="D72" s="712" t="e">
        <f>IF(INDEX('Legend(Skid)'!$R$8:$R$9,(ROW(C72))-42)=0,IF(AND(INDEX('Legend(Skid)'!$D$8:$D$9,(ROW(C72))-41)="CH",INDEX('Legend(Skid)'!$F$8:$F$9,(ROW(C72))-41)="CASE - MANUAL"),INDEX('Legend(Skid)'!$R$8:$R$9,(ROW(C72))-41),IF(INDEX('Legend(Skid)'!$V$8:$V$9,(ROW(C72))-42)&gt;1, "(" &amp; INDEX('Legend(Skid)'!$V$8:$V$9,(ROW(C72))-42) &amp; ") " &amp; INDEX('Legend(Skid)'!$W$8:$W$9,(ROW(C72))-41),INDEX('Legend(Skid)'!$W$8:$W$9,(ROW(C72))-42))),INDEX('Legend(Skid)'!$R$8:$R$9,(ROW(C72))-42))</f>
        <v>#REF!</v>
      </c>
      <c r="E72" s="713" cm="1">
        <f t="array" ref="E72">IF(OR(ISNUMBER(SEARCH("Pump",C72)),ISNUMBER(SEARCH("PH",C72)),ISERROR(INDEX('Legend(Skid)'!$AA$8:$AA$9,ROW()-42))),0,INDEX('Legend(Skid)'!$AA$8:$AA$9,ROW()-42))</f>
        <v>0</v>
      </c>
      <c r="F72" s="714"/>
      <c r="G72" s="714"/>
      <c r="H72" s="714"/>
      <c r="I72" s="714"/>
      <c r="J72" s="714"/>
      <c r="K72" s="890">
        <f t="shared" si="35"/>
        <v>0</v>
      </c>
      <c r="L72" s="718"/>
      <c r="M72" s="720"/>
      <c r="N72" s="972">
        <f t="shared" si="120"/>
        <v>-1</v>
      </c>
      <c r="O72" s="972">
        <f t="shared" si="121"/>
        <v>-1</v>
      </c>
      <c r="P72" s="972">
        <f t="shared" si="122"/>
        <v>-1</v>
      </c>
      <c r="Q72" s="972">
        <f t="shared" si="123"/>
        <v>-1</v>
      </c>
      <c r="R72" s="972">
        <f t="shared" si="124"/>
        <v>-1</v>
      </c>
      <c r="S72" s="972">
        <f t="shared" si="125"/>
        <v>-1</v>
      </c>
      <c r="T72" s="972">
        <f t="shared" si="126"/>
        <v>-1</v>
      </c>
      <c r="U72" s="972">
        <f t="shared" si="127"/>
        <v>-1</v>
      </c>
      <c r="V72" s="972">
        <f t="shared" si="128"/>
        <v>-1</v>
      </c>
      <c r="W72" s="972">
        <f t="shared" si="129"/>
        <v>-1</v>
      </c>
      <c r="X72" s="972">
        <f t="shared" si="130"/>
        <v>-1</v>
      </c>
      <c r="Y72" s="972">
        <f t="shared" si="131"/>
        <v>-1</v>
      </c>
      <c r="Z72" s="972">
        <f t="shared" si="132"/>
        <v>-1</v>
      </c>
      <c r="AA72" s="972">
        <f t="shared" si="133"/>
        <v>-1</v>
      </c>
      <c r="AB72" s="972">
        <f t="shared" si="134"/>
        <v>-1</v>
      </c>
      <c r="AC72" s="972">
        <f t="shared" si="135"/>
        <v>-1</v>
      </c>
      <c r="AD72" s="972">
        <f t="shared" si="136"/>
        <v>-1</v>
      </c>
      <c r="AE72" s="972">
        <f t="shared" si="137"/>
        <v>-1</v>
      </c>
      <c r="AF72" s="972">
        <f t="shared" si="138"/>
        <v>-1</v>
      </c>
      <c r="AG72" s="972">
        <f t="shared" si="139"/>
        <v>-1</v>
      </c>
      <c r="AH72" s="972">
        <f t="shared" si="140"/>
        <v>-1</v>
      </c>
      <c r="AI72" s="972">
        <f t="shared" si="141"/>
        <v>-1</v>
      </c>
      <c r="AJ72" s="972">
        <f t="shared" si="142"/>
        <v>-1</v>
      </c>
      <c r="AK72" s="381" t="str">
        <f>IF(ISERROR(INDEX('Legend(Skid)'!$AI$8:$AI$9,ROW()-42)),"",INDEX('Legend(Skid)'!$AI$8:$AI$9,ROW()-42))</f>
        <v/>
      </c>
      <c r="AL72" s="727" t="str">
        <f t="shared" si="53"/>
        <v/>
      </c>
      <c r="AM72" s="409">
        <f t="shared" si="163"/>
        <v>0</v>
      </c>
      <c r="AN72" s="409">
        <f t="shared" si="163"/>
        <v>0</v>
      </c>
      <c r="AO72" s="409">
        <f t="shared" si="163"/>
        <v>0</v>
      </c>
      <c r="AP72" s="409">
        <f t="shared" si="163"/>
        <v>0</v>
      </c>
      <c r="AQ72" s="409">
        <f t="shared" si="163"/>
        <v>0</v>
      </c>
      <c r="AR72" s="409">
        <f t="shared" si="163"/>
        <v>0</v>
      </c>
      <c r="AS72" s="409">
        <f t="shared" si="163"/>
        <v>0</v>
      </c>
      <c r="AT72" s="409">
        <f t="shared" si="163"/>
        <v>0</v>
      </c>
      <c r="AU72" s="409">
        <f t="shared" si="163"/>
        <v>0</v>
      </c>
      <c r="AV72" s="409">
        <f t="shared" si="163"/>
        <v>0</v>
      </c>
      <c r="AW72" s="409">
        <f t="shared" si="164"/>
        <v>0</v>
      </c>
      <c r="AX72" s="409">
        <f t="shared" si="164"/>
        <v>0</v>
      </c>
      <c r="AY72" s="409">
        <f t="shared" si="164"/>
        <v>0</v>
      </c>
      <c r="AZ72" s="409">
        <f t="shared" si="164"/>
        <v>0</v>
      </c>
      <c r="BA72" s="409">
        <f t="shared" si="164"/>
        <v>0</v>
      </c>
      <c r="BB72" s="409">
        <f t="shared" si="164"/>
        <v>0</v>
      </c>
      <c r="BC72" s="409">
        <f t="shared" si="164"/>
        <v>0</v>
      </c>
      <c r="BD72" s="409">
        <f t="shared" si="164"/>
        <v>0</v>
      </c>
      <c r="BE72" s="409">
        <f t="shared" si="164"/>
        <v>0</v>
      </c>
      <c r="BF72" s="409">
        <f t="shared" si="164"/>
        <v>0</v>
      </c>
      <c r="BG72" s="409">
        <f t="shared" si="165"/>
        <v>0</v>
      </c>
      <c r="BH72" s="409">
        <f t="shared" si="165"/>
        <v>0</v>
      </c>
      <c r="BI72" s="409">
        <f t="shared" si="165"/>
        <v>0</v>
      </c>
      <c r="BJ72" s="409">
        <f t="shared" si="165"/>
        <v>0</v>
      </c>
      <c r="BK72" s="409">
        <f t="shared" si="165"/>
        <v>0</v>
      </c>
      <c r="BL72" s="409">
        <f t="shared" si="165"/>
        <v>0</v>
      </c>
      <c r="BM72" s="409">
        <f t="shared" si="165"/>
        <v>0</v>
      </c>
      <c r="BN72" s="409">
        <f t="shared" si="165"/>
        <v>0</v>
      </c>
      <c r="BO72" s="409">
        <f t="shared" si="165"/>
        <v>0</v>
      </c>
      <c r="BP72" s="409">
        <f t="shared" si="165"/>
        <v>0</v>
      </c>
      <c r="BQ72" s="409">
        <f t="shared" si="166"/>
        <v>0</v>
      </c>
      <c r="BR72" s="409">
        <f t="shared" si="166"/>
        <v>0</v>
      </c>
      <c r="BS72" s="409">
        <f t="shared" si="166"/>
        <v>0</v>
      </c>
      <c r="BT72" s="409">
        <f t="shared" si="166"/>
        <v>0</v>
      </c>
      <c r="BU72" s="409">
        <f t="shared" si="166"/>
        <v>0</v>
      </c>
      <c r="BV72" s="409">
        <f t="shared" si="166"/>
        <v>0</v>
      </c>
      <c r="BW72" s="409">
        <f t="shared" si="166"/>
        <v>0</v>
      </c>
      <c r="BX72" s="409">
        <f t="shared" si="166"/>
        <v>0</v>
      </c>
      <c r="BY72" s="409">
        <f t="shared" si="166"/>
        <v>0</v>
      </c>
      <c r="BZ72" s="409">
        <f t="shared" si="166"/>
        <v>0</v>
      </c>
      <c r="CA72" s="409">
        <f t="shared" si="167"/>
        <v>0</v>
      </c>
      <c r="CB72" s="409">
        <f t="shared" si="167"/>
        <v>0</v>
      </c>
      <c r="CC72" s="409">
        <f t="shared" si="167"/>
        <v>0</v>
      </c>
      <c r="CD72" s="409">
        <f t="shared" si="167"/>
        <v>0</v>
      </c>
      <c r="CE72" s="409">
        <f t="shared" si="167"/>
        <v>0</v>
      </c>
      <c r="CF72" s="409">
        <f t="shared" si="167"/>
        <v>0</v>
      </c>
      <c r="CG72" s="409">
        <f t="shared" si="167"/>
        <v>0</v>
      </c>
      <c r="CH72" s="409">
        <f t="shared" si="167"/>
        <v>0</v>
      </c>
      <c r="CI72" s="409">
        <f t="shared" si="167"/>
        <v>0</v>
      </c>
      <c r="CJ72" s="409">
        <f t="shared" si="167"/>
        <v>0</v>
      </c>
      <c r="CK72" s="409">
        <f t="shared" si="168"/>
        <v>0</v>
      </c>
      <c r="CL72" s="409">
        <f t="shared" si="168"/>
        <v>0</v>
      </c>
      <c r="CM72" s="409">
        <f t="shared" si="168"/>
        <v>0</v>
      </c>
      <c r="CN72" s="409">
        <f t="shared" si="168"/>
        <v>0</v>
      </c>
      <c r="CO72" s="409">
        <f t="shared" si="168"/>
        <v>0</v>
      </c>
      <c r="CP72" s="409">
        <f t="shared" si="168"/>
        <v>0</v>
      </c>
      <c r="CQ72" s="409">
        <f t="shared" si="168"/>
        <v>0</v>
      </c>
      <c r="CR72" s="409">
        <f t="shared" si="168"/>
        <v>0</v>
      </c>
      <c r="CS72" s="409">
        <f t="shared" si="168"/>
        <v>0</v>
      </c>
      <c r="CT72" s="409">
        <f t="shared" si="168"/>
        <v>0</v>
      </c>
      <c r="CU72" s="409">
        <f t="shared" si="169"/>
        <v>0</v>
      </c>
      <c r="CV72" s="409">
        <f t="shared" si="169"/>
        <v>0</v>
      </c>
      <c r="CW72" s="409">
        <f t="shared" si="169"/>
        <v>0</v>
      </c>
      <c r="CX72" s="409">
        <f t="shared" si="169"/>
        <v>0</v>
      </c>
      <c r="CY72" s="409">
        <f t="shared" si="169"/>
        <v>0</v>
      </c>
      <c r="CZ72" s="409">
        <f t="shared" si="169"/>
        <v>0</v>
      </c>
      <c r="DA72" s="409">
        <f t="shared" si="169"/>
        <v>0</v>
      </c>
      <c r="DB72" s="409">
        <f t="shared" si="169"/>
        <v>0</v>
      </c>
      <c r="DC72" s="409">
        <f t="shared" si="169"/>
        <v>0</v>
      </c>
      <c r="DD72" s="409">
        <f t="shared" si="169"/>
        <v>0</v>
      </c>
      <c r="DE72" s="409">
        <f t="shared" si="170"/>
        <v>0</v>
      </c>
      <c r="DF72" s="409">
        <f t="shared" si="170"/>
        <v>0</v>
      </c>
      <c r="DG72" s="409">
        <f t="shared" si="170"/>
        <v>0</v>
      </c>
      <c r="DH72" s="409">
        <f t="shared" si="170"/>
        <v>0</v>
      </c>
      <c r="DI72" s="409">
        <f t="shared" si="170"/>
        <v>0</v>
      </c>
      <c r="DJ72" s="409">
        <f t="shared" si="170"/>
        <v>0</v>
      </c>
      <c r="DK72" s="409">
        <f t="shared" si="170"/>
        <v>0</v>
      </c>
      <c r="DL72" s="409">
        <f t="shared" si="170"/>
        <v>0</v>
      </c>
      <c r="DM72" s="409">
        <f t="shared" si="170"/>
        <v>0</v>
      </c>
      <c r="DN72" s="409">
        <f t="shared" si="170"/>
        <v>0</v>
      </c>
      <c r="DO72" s="409">
        <f t="shared" si="171"/>
        <v>0</v>
      </c>
      <c r="DP72" s="409">
        <f t="shared" si="171"/>
        <v>0</v>
      </c>
      <c r="DQ72" s="409">
        <f t="shared" si="171"/>
        <v>0</v>
      </c>
      <c r="DR72" s="409">
        <f t="shared" si="171"/>
        <v>0</v>
      </c>
      <c r="DS72" s="409">
        <f t="shared" si="171"/>
        <v>0</v>
      </c>
      <c r="DT72" s="409">
        <f t="shared" si="171"/>
        <v>0</v>
      </c>
      <c r="DU72" s="409">
        <f t="shared" si="171"/>
        <v>0</v>
      </c>
      <c r="DV72" s="409">
        <f t="shared" si="171"/>
        <v>0</v>
      </c>
      <c r="DW72" s="409">
        <f t="shared" si="171"/>
        <v>0</v>
      </c>
      <c r="DX72" s="409">
        <f t="shared" si="171"/>
        <v>0</v>
      </c>
      <c r="DY72" s="409">
        <f t="shared" si="172"/>
        <v>0</v>
      </c>
      <c r="DZ72" s="409">
        <f t="shared" si="172"/>
        <v>0</v>
      </c>
      <c r="EA72" s="409">
        <f t="shared" si="172"/>
        <v>0</v>
      </c>
      <c r="EB72" s="409">
        <f t="shared" si="172"/>
        <v>0</v>
      </c>
      <c r="EC72" s="409">
        <f t="shared" si="172"/>
        <v>0</v>
      </c>
      <c r="ED72" s="409">
        <f t="shared" si="172"/>
        <v>0</v>
      </c>
      <c r="EE72" s="409">
        <f t="shared" si="172"/>
        <v>0</v>
      </c>
      <c r="EF72" s="409">
        <f t="shared" si="172"/>
        <v>0</v>
      </c>
      <c r="EG72" s="409">
        <f t="shared" si="172"/>
        <v>0</v>
      </c>
      <c r="EH72" s="409">
        <f t="shared" si="172"/>
        <v>0</v>
      </c>
      <c r="EI72" s="409">
        <f t="shared" si="173"/>
        <v>0</v>
      </c>
      <c r="EJ72" s="409">
        <f t="shared" si="173"/>
        <v>0</v>
      </c>
      <c r="EK72" s="409">
        <f t="shared" si="173"/>
        <v>0</v>
      </c>
      <c r="EL72" s="409">
        <f t="shared" si="173"/>
        <v>0</v>
      </c>
      <c r="EM72" s="409">
        <f t="shared" si="173"/>
        <v>0</v>
      </c>
      <c r="EN72" s="409">
        <f t="shared" si="173"/>
        <v>0</v>
      </c>
      <c r="EO72" s="409">
        <f t="shared" si="173"/>
        <v>0</v>
      </c>
      <c r="EP72" s="409">
        <f t="shared" si="173"/>
        <v>0</v>
      </c>
      <c r="EQ72" s="409">
        <f t="shared" si="173"/>
        <v>0</v>
      </c>
      <c r="ER72" s="409">
        <f t="shared" si="173"/>
        <v>0</v>
      </c>
      <c r="ES72" s="409">
        <f t="shared" si="174"/>
        <v>0</v>
      </c>
      <c r="ET72" s="409">
        <f t="shared" si="174"/>
        <v>0</v>
      </c>
      <c r="EU72" s="409">
        <f t="shared" si="174"/>
        <v>0</v>
      </c>
      <c r="EV72" s="409">
        <f t="shared" si="174"/>
        <v>0</v>
      </c>
      <c r="EW72" s="409">
        <f t="shared" si="174"/>
        <v>0</v>
      </c>
      <c r="EX72" s="409">
        <f t="shared" si="174"/>
        <v>0</v>
      </c>
      <c r="EY72" s="409">
        <f t="shared" si="174"/>
        <v>0</v>
      </c>
      <c r="EZ72" s="409">
        <f t="shared" si="174"/>
        <v>0</v>
      </c>
      <c r="FA72" s="409">
        <f t="shared" si="174"/>
        <v>0</v>
      </c>
      <c r="FB72" s="409">
        <f t="shared" si="174"/>
        <v>0</v>
      </c>
      <c r="FC72" s="409">
        <f t="shared" si="175"/>
        <v>0</v>
      </c>
      <c r="FD72" s="409">
        <f t="shared" si="175"/>
        <v>0</v>
      </c>
      <c r="FE72" s="409">
        <f t="shared" si="175"/>
        <v>0</v>
      </c>
      <c r="FF72" s="409">
        <f t="shared" si="175"/>
        <v>0</v>
      </c>
      <c r="FG72" s="409">
        <f t="shared" si="175"/>
        <v>0</v>
      </c>
      <c r="FH72" s="409">
        <f t="shared" si="175"/>
        <v>0</v>
      </c>
      <c r="FI72" s="409">
        <f t="shared" si="175"/>
        <v>0</v>
      </c>
      <c r="FJ72" s="409">
        <f t="shared" si="175"/>
        <v>0</v>
      </c>
      <c r="FK72" s="409">
        <f t="shared" si="175"/>
        <v>0</v>
      </c>
      <c r="FL72" s="409">
        <f t="shared" si="175"/>
        <v>0</v>
      </c>
      <c r="FM72" s="409">
        <f t="shared" si="176"/>
        <v>0</v>
      </c>
      <c r="FN72" s="409">
        <f t="shared" si="176"/>
        <v>0</v>
      </c>
      <c r="FO72" s="409">
        <f t="shared" si="176"/>
        <v>0</v>
      </c>
      <c r="FP72" s="409">
        <f t="shared" si="176"/>
        <v>0</v>
      </c>
      <c r="FQ72" s="409">
        <f t="shared" si="176"/>
        <v>0</v>
      </c>
      <c r="FR72" s="409">
        <f t="shared" si="176"/>
        <v>0</v>
      </c>
      <c r="FS72" s="409">
        <f t="shared" si="176"/>
        <v>0</v>
      </c>
      <c r="FT72" s="409">
        <f t="shared" si="176"/>
        <v>0</v>
      </c>
      <c r="FU72" s="409">
        <f t="shared" si="176"/>
        <v>0</v>
      </c>
      <c r="FV72" s="409">
        <f t="shared" si="176"/>
        <v>0</v>
      </c>
      <c r="FW72" s="409">
        <f t="shared" si="177"/>
        <v>0</v>
      </c>
      <c r="FX72" s="409">
        <f t="shared" si="177"/>
        <v>0</v>
      </c>
      <c r="FY72" s="409">
        <f t="shared" si="177"/>
        <v>0</v>
      </c>
      <c r="FZ72" s="409">
        <f t="shared" si="177"/>
        <v>0</v>
      </c>
      <c r="GA72" s="409">
        <f t="shared" si="177"/>
        <v>0</v>
      </c>
      <c r="GB72" s="409">
        <f t="shared" si="177"/>
        <v>0</v>
      </c>
      <c r="GC72" s="409">
        <f t="shared" si="177"/>
        <v>0</v>
      </c>
      <c r="GD72" s="409">
        <f t="shared" si="177"/>
        <v>0</v>
      </c>
      <c r="GE72" s="409">
        <f t="shared" si="177"/>
        <v>0</v>
      </c>
      <c r="GF72" s="409">
        <f t="shared" si="177"/>
        <v>0</v>
      </c>
      <c r="GG72" s="409">
        <f t="shared" si="178"/>
        <v>0</v>
      </c>
      <c r="GH72" s="409">
        <f t="shared" si="178"/>
        <v>0</v>
      </c>
      <c r="GI72" s="409">
        <f t="shared" si="178"/>
        <v>0</v>
      </c>
      <c r="GJ72" s="409">
        <f t="shared" si="178"/>
        <v>0</v>
      </c>
      <c r="GK72" s="409">
        <f t="shared" si="178"/>
        <v>0</v>
      </c>
      <c r="GL72" s="409">
        <f t="shared" si="178"/>
        <v>0</v>
      </c>
      <c r="GM72" s="409">
        <f t="shared" si="178"/>
        <v>0</v>
      </c>
      <c r="GN72" s="409">
        <f t="shared" si="178"/>
        <v>0</v>
      </c>
      <c r="GO72" s="409">
        <f t="shared" si="178"/>
        <v>0</v>
      </c>
      <c r="GP72" s="409">
        <f t="shared" si="178"/>
        <v>0</v>
      </c>
      <c r="GQ72" s="409">
        <f t="shared" si="179"/>
        <v>0</v>
      </c>
      <c r="GR72" s="409">
        <f t="shared" si="179"/>
        <v>0</v>
      </c>
      <c r="GS72" s="409">
        <f t="shared" si="179"/>
        <v>0</v>
      </c>
      <c r="GT72" s="409">
        <f t="shared" si="179"/>
        <v>0</v>
      </c>
      <c r="GU72" s="409">
        <f t="shared" si="179"/>
        <v>0</v>
      </c>
      <c r="GV72" s="409">
        <f t="shared" si="179"/>
        <v>0</v>
      </c>
      <c r="GW72" s="409">
        <f t="shared" si="179"/>
        <v>0</v>
      </c>
      <c r="GX72" s="409">
        <f t="shared" si="179"/>
        <v>0</v>
      </c>
      <c r="GY72" s="409">
        <f t="shared" si="179"/>
        <v>0</v>
      </c>
      <c r="GZ72" s="409">
        <f t="shared" si="179"/>
        <v>0</v>
      </c>
      <c r="HA72" s="409">
        <f t="shared" si="180"/>
        <v>0</v>
      </c>
      <c r="HB72" s="409">
        <f t="shared" si="180"/>
        <v>0</v>
      </c>
      <c r="HC72" s="409">
        <f t="shared" si="180"/>
        <v>0</v>
      </c>
      <c r="HD72" s="409">
        <f t="shared" si="180"/>
        <v>0</v>
      </c>
      <c r="HE72" s="409">
        <f t="shared" si="180"/>
        <v>0</v>
      </c>
      <c r="HF72" s="409">
        <f t="shared" si="180"/>
        <v>0</v>
      </c>
      <c r="HG72" s="409">
        <f t="shared" si="180"/>
        <v>0</v>
      </c>
      <c r="HH72" s="409">
        <f t="shared" si="180"/>
        <v>0</v>
      </c>
      <c r="HI72" s="409">
        <f t="shared" si="180"/>
        <v>0</v>
      </c>
      <c r="HJ72" s="409">
        <f t="shared" si="180"/>
        <v>0</v>
      </c>
      <c r="HK72" s="409">
        <f t="shared" si="181"/>
        <v>0</v>
      </c>
      <c r="HL72" s="409">
        <f t="shared" si="181"/>
        <v>0</v>
      </c>
      <c r="HM72" s="409">
        <f t="shared" si="181"/>
        <v>0</v>
      </c>
      <c r="HN72" s="409">
        <f t="shared" si="181"/>
        <v>0</v>
      </c>
      <c r="HO72" s="409">
        <f t="shared" si="181"/>
        <v>0</v>
      </c>
      <c r="HP72" s="409">
        <f t="shared" si="181"/>
        <v>0</v>
      </c>
      <c r="HQ72" s="409">
        <f t="shared" si="181"/>
        <v>0</v>
      </c>
      <c r="HR72" s="409">
        <f t="shared" si="181"/>
        <v>0</v>
      </c>
      <c r="HS72" s="409">
        <f t="shared" si="181"/>
        <v>0</v>
      </c>
      <c r="HT72" s="409">
        <f t="shared" si="181"/>
        <v>0</v>
      </c>
      <c r="HU72" s="409">
        <f t="shared" si="182"/>
        <v>0</v>
      </c>
      <c r="HV72" s="409">
        <f t="shared" si="182"/>
        <v>0</v>
      </c>
      <c r="HW72" s="409">
        <f t="shared" si="182"/>
        <v>0</v>
      </c>
      <c r="HX72" s="409">
        <f t="shared" si="182"/>
        <v>0</v>
      </c>
      <c r="HY72" s="409">
        <f t="shared" si="182"/>
        <v>0</v>
      </c>
      <c r="HZ72" s="409">
        <f t="shared" si="182"/>
        <v>0</v>
      </c>
      <c r="IA72" s="409">
        <f t="shared" si="182"/>
        <v>0</v>
      </c>
      <c r="IB72" s="409">
        <f t="shared" si="182"/>
        <v>0</v>
      </c>
      <c r="IC72" s="409">
        <f t="shared" si="182"/>
        <v>0</v>
      </c>
      <c r="ID72" s="409">
        <f t="shared" si="182"/>
        <v>0</v>
      </c>
      <c r="IE72" s="409">
        <f t="shared" si="183"/>
        <v>0</v>
      </c>
      <c r="IF72" s="409">
        <f t="shared" si="183"/>
        <v>0</v>
      </c>
      <c r="IG72" s="409">
        <f t="shared" si="183"/>
        <v>0</v>
      </c>
      <c r="IH72" s="409">
        <f t="shared" si="183"/>
        <v>0</v>
      </c>
      <c r="II72" s="409">
        <f t="shared" si="183"/>
        <v>0</v>
      </c>
      <c r="IJ72" s="409">
        <f t="shared" si="183"/>
        <v>0</v>
      </c>
      <c r="IK72" s="378">
        <f t="shared" si="54"/>
        <v>65</v>
      </c>
    </row>
    <row r="73" spans="1:249" hidden="1" x14ac:dyDescent="0.2">
      <c r="A73" s="380" t="str">
        <f t="shared" si="119"/>
        <v>e</v>
      </c>
      <c r="B73" s="712" t="str" cm="1">
        <f t="array" ref="B73">IF(ISERROR(INDEX('Legend(Skid)'!$H$8:$H$9,ROW()-42)),"",INDEX('Legend(Skid)'!$H$8:$H$9,ROW()-42))</f>
        <v/>
      </c>
      <c r="C73" s="712" t="e" cm="1">
        <f t="array" ref="C73">IF(INDEX('Legend(Skid)'!$T$8:$T$9,ROW()-42)=0,"See Legend",INDEX('Legend(Skid)'!$T$8:$T$9,ROW()-42))</f>
        <v>#REF!</v>
      </c>
      <c r="D73" s="712" t="e">
        <f>IF(INDEX('Legend(Skid)'!$R$8:$R$9,(ROW(C73))-42)=0,IF(AND(INDEX('Legend(Skid)'!$D$8:$D$9,(ROW(C73))-41)="CH",INDEX('Legend(Skid)'!$F$8:$F$9,(ROW(C73))-41)="CASE - MANUAL"),INDEX('Legend(Skid)'!$R$8:$R$9,(ROW(C73))-41),IF(INDEX('Legend(Skid)'!$V$8:$V$9,(ROW(C73))-42)&gt;1, "(" &amp; INDEX('Legend(Skid)'!$V$8:$V$9,(ROW(C73))-42) &amp; ") " &amp; INDEX('Legend(Skid)'!$W$8:$W$9,(ROW(C73))-41),INDEX('Legend(Skid)'!$W$8:$W$9,(ROW(C73))-42))),INDEX('Legend(Skid)'!$R$8:$R$9,(ROW(C73))-42))</f>
        <v>#REF!</v>
      </c>
      <c r="E73" s="713" cm="1">
        <f t="array" ref="E73">IF(OR(ISNUMBER(SEARCH("Pump",C73)),ISNUMBER(SEARCH("PH",C73)),ISERROR(INDEX('Legend(Skid)'!$AA$8:$AA$9,ROW()-42))),0,INDEX('Legend(Skid)'!$AA$8:$AA$9,ROW()-42))</f>
        <v>0</v>
      </c>
      <c r="F73" s="714"/>
      <c r="G73" s="714"/>
      <c r="H73" s="714"/>
      <c r="I73" s="714"/>
      <c r="J73" s="714"/>
      <c r="K73" s="890">
        <f t="shared" si="35"/>
        <v>0</v>
      </c>
      <c r="L73" s="718"/>
      <c r="M73" s="720"/>
      <c r="N73" s="972">
        <f t="shared" si="120"/>
        <v>-1</v>
      </c>
      <c r="O73" s="972">
        <f t="shared" si="121"/>
        <v>-1</v>
      </c>
      <c r="P73" s="972">
        <f t="shared" si="122"/>
        <v>-1</v>
      </c>
      <c r="Q73" s="972">
        <f t="shared" si="123"/>
        <v>-1</v>
      </c>
      <c r="R73" s="972">
        <f t="shared" si="124"/>
        <v>-1</v>
      </c>
      <c r="S73" s="972">
        <f t="shared" si="125"/>
        <v>-1</v>
      </c>
      <c r="T73" s="972">
        <f t="shared" si="126"/>
        <v>-1</v>
      </c>
      <c r="U73" s="972">
        <f t="shared" si="127"/>
        <v>-1</v>
      </c>
      <c r="V73" s="972">
        <f t="shared" si="128"/>
        <v>-1</v>
      </c>
      <c r="W73" s="972">
        <f t="shared" si="129"/>
        <v>-1</v>
      </c>
      <c r="X73" s="972">
        <f t="shared" si="130"/>
        <v>-1</v>
      </c>
      <c r="Y73" s="972">
        <f t="shared" si="131"/>
        <v>-1</v>
      </c>
      <c r="Z73" s="972">
        <f t="shared" si="132"/>
        <v>-1</v>
      </c>
      <c r="AA73" s="972">
        <f t="shared" si="133"/>
        <v>-1</v>
      </c>
      <c r="AB73" s="972">
        <f t="shared" si="134"/>
        <v>-1</v>
      </c>
      <c r="AC73" s="972">
        <f t="shared" si="135"/>
        <v>-1</v>
      </c>
      <c r="AD73" s="972">
        <f t="shared" si="136"/>
        <v>-1</v>
      </c>
      <c r="AE73" s="972">
        <f t="shared" si="137"/>
        <v>-1</v>
      </c>
      <c r="AF73" s="972">
        <f t="shared" si="138"/>
        <v>-1</v>
      </c>
      <c r="AG73" s="972">
        <f t="shared" si="139"/>
        <v>-1</v>
      </c>
      <c r="AH73" s="972">
        <f t="shared" si="140"/>
        <v>-1</v>
      </c>
      <c r="AI73" s="972">
        <f t="shared" si="141"/>
        <v>-1</v>
      </c>
      <c r="AJ73" s="972">
        <f t="shared" si="142"/>
        <v>-1</v>
      </c>
      <c r="AK73" s="381" t="str">
        <f>IF(ISERROR(INDEX('Legend(Skid)'!$AI$8:$AI$9,ROW()-42)),"",INDEX('Legend(Skid)'!$AI$8:$AI$9,ROW()-42))</f>
        <v/>
      </c>
      <c r="AL73" s="727" t="str">
        <f t="shared" si="53"/>
        <v/>
      </c>
      <c r="AM73" s="409">
        <f t="shared" si="163"/>
        <v>0</v>
      </c>
      <c r="AN73" s="409">
        <f t="shared" si="163"/>
        <v>0</v>
      </c>
      <c r="AO73" s="409">
        <f t="shared" si="163"/>
        <v>0</v>
      </c>
      <c r="AP73" s="409">
        <f t="shared" si="163"/>
        <v>0</v>
      </c>
      <c r="AQ73" s="409">
        <f t="shared" si="163"/>
        <v>0</v>
      </c>
      <c r="AR73" s="409">
        <f t="shared" si="163"/>
        <v>0</v>
      </c>
      <c r="AS73" s="409">
        <f t="shared" si="163"/>
        <v>0</v>
      </c>
      <c r="AT73" s="409">
        <f t="shared" si="163"/>
        <v>0</v>
      </c>
      <c r="AU73" s="409">
        <f t="shared" si="163"/>
        <v>0</v>
      </c>
      <c r="AV73" s="409">
        <f t="shared" si="163"/>
        <v>0</v>
      </c>
      <c r="AW73" s="409">
        <f t="shared" si="164"/>
        <v>0</v>
      </c>
      <c r="AX73" s="409">
        <f t="shared" si="164"/>
        <v>0</v>
      </c>
      <c r="AY73" s="409">
        <f t="shared" si="164"/>
        <v>0</v>
      </c>
      <c r="AZ73" s="409">
        <f t="shared" si="164"/>
        <v>0</v>
      </c>
      <c r="BA73" s="409">
        <f t="shared" si="164"/>
        <v>0</v>
      </c>
      <c r="BB73" s="409">
        <f t="shared" si="164"/>
        <v>0</v>
      </c>
      <c r="BC73" s="409">
        <f t="shared" si="164"/>
        <v>0</v>
      </c>
      <c r="BD73" s="409">
        <f t="shared" si="164"/>
        <v>0</v>
      </c>
      <c r="BE73" s="409">
        <f t="shared" si="164"/>
        <v>0</v>
      </c>
      <c r="BF73" s="409">
        <f t="shared" si="164"/>
        <v>0</v>
      </c>
      <c r="BG73" s="409">
        <f t="shared" si="165"/>
        <v>0</v>
      </c>
      <c r="BH73" s="409">
        <f t="shared" si="165"/>
        <v>0</v>
      </c>
      <c r="BI73" s="409">
        <f t="shared" si="165"/>
        <v>0</v>
      </c>
      <c r="BJ73" s="409">
        <f t="shared" si="165"/>
        <v>0</v>
      </c>
      <c r="BK73" s="409">
        <f t="shared" si="165"/>
        <v>0</v>
      </c>
      <c r="BL73" s="409">
        <f t="shared" si="165"/>
        <v>0</v>
      </c>
      <c r="BM73" s="409">
        <f t="shared" si="165"/>
        <v>0</v>
      </c>
      <c r="BN73" s="409">
        <f t="shared" si="165"/>
        <v>0</v>
      </c>
      <c r="BO73" s="409">
        <f t="shared" si="165"/>
        <v>0</v>
      </c>
      <c r="BP73" s="409">
        <f t="shared" si="165"/>
        <v>0</v>
      </c>
      <c r="BQ73" s="409">
        <f t="shared" si="166"/>
        <v>0</v>
      </c>
      <c r="BR73" s="409">
        <f t="shared" si="166"/>
        <v>0</v>
      </c>
      <c r="BS73" s="409">
        <f t="shared" si="166"/>
        <v>0</v>
      </c>
      <c r="BT73" s="409">
        <f t="shared" si="166"/>
        <v>0</v>
      </c>
      <c r="BU73" s="409">
        <f t="shared" si="166"/>
        <v>0</v>
      </c>
      <c r="BV73" s="409">
        <f t="shared" si="166"/>
        <v>0</v>
      </c>
      <c r="BW73" s="409">
        <f t="shared" si="166"/>
        <v>0</v>
      </c>
      <c r="BX73" s="409">
        <f t="shared" si="166"/>
        <v>0</v>
      </c>
      <c r="BY73" s="409">
        <f t="shared" si="166"/>
        <v>0</v>
      </c>
      <c r="BZ73" s="409">
        <f t="shared" si="166"/>
        <v>0</v>
      </c>
      <c r="CA73" s="409">
        <f t="shared" si="167"/>
        <v>0</v>
      </c>
      <c r="CB73" s="409">
        <f t="shared" si="167"/>
        <v>0</v>
      </c>
      <c r="CC73" s="409">
        <f t="shared" si="167"/>
        <v>0</v>
      </c>
      <c r="CD73" s="409">
        <f t="shared" si="167"/>
        <v>0</v>
      </c>
      <c r="CE73" s="409">
        <f t="shared" si="167"/>
        <v>0</v>
      </c>
      <c r="CF73" s="409">
        <f t="shared" si="167"/>
        <v>0</v>
      </c>
      <c r="CG73" s="409">
        <f t="shared" si="167"/>
        <v>0</v>
      </c>
      <c r="CH73" s="409">
        <f t="shared" si="167"/>
        <v>0</v>
      </c>
      <c r="CI73" s="409">
        <f t="shared" si="167"/>
        <v>0</v>
      </c>
      <c r="CJ73" s="409">
        <f t="shared" si="167"/>
        <v>0</v>
      </c>
      <c r="CK73" s="409">
        <f t="shared" si="168"/>
        <v>0</v>
      </c>
      <c r="CL73" s="409">
        <f t="shared" si="168"/>
        <v>0</v>
      </c>
      <c r="CM73" s="409">
        <f t="shared" si="168"/>
        <v>0</v>
      </c>
      <c r="CN73" s="409">
        <f t="shared" si="168"/>
        <v>0</v>
      </c>
      <c r="CO73" s="409">
        <f t="shared" si="168"/>
        <v>0</v>
      </c>
      <c r="CP73" s="409">
        <f t="shared" si="168"/>
        <v>0</v>
      </c>
      <c r="CQ73" s="409">
        <f t="shared" si="168"/>
        <v>0</v>
      </c>
      <c r="CR73" s="409">
        <f t="shared" si="168"/>
        <v>0</v>
      </c>
      <c r="CS73" s="409">
        <f t="shared" si="168"/>
        <v>0</v>
      </c>
      <c r="CT73" s="409">
        <f t="shared" si="168"/>
        <v>0</v>
      </c>
      <c r="CU73" s="409">
        <f t="shared" si="169"/>
        <v>0</v>
      </c>
      <c r="CV73" s="409">
        <f t="shared" si="169"/>
        <v>0</v>
      </c>
      <c r="CW73" s="409">
        <f t="shared" si="169"/>
        <v>0</v>
      </c>
      <c r="CX73" s="409">
        <f t="shared" si="169"/>
        <v>0</v>
      </c>
      <c r="CY73" s="409">
        <f t="shared" si="169"/>
        <v>0</v>
      </c>
      <c r="CZ73" s="409">
        <f t="shared" si="169"/>
        <v>0</v>
      </c>
      <c r="DA73" s="409">
        <f t="shared" si="169"/>
        <v>0</v>
      </c>
      <c r="DB73" s="409">
        <f t="shared" si="169"/>
        <v>0</v>
      </c>
      <c r="DC73" s="409">
        <f t="shared" si="169"/>
        <v>0</v>
      </c>
      <c r="DD73" s="409">
        <f t="shared" si="169"/>
        <v>0</v>
      </c>
      <c r="DE73" s="409">
        <f t="shared" si="170"/>
        <v>0</v>
      </c>
      <c r="DF73" s="409">
        <f t="shared" si="170"/>
        <v>0</v>
      </c>
      <c r="DG73" s="409">
        <f t="shared" si="170"/>
        <v>0</v>
      </c>
      <c r="DH73" s="409">
        <f t="shared" si="170"/>
        <v>0</v>
      </c>
      <c r="DI73" s="409">
        <f t="shared" si="170"/>
        <v>0</v>
      </c>
      <c r="DJ73" s="409">
        <f t="shared" si="170"/>
        <v>0</v>
      </c>
      <c r="DK73" s="409">
        <f t="shared" si="170"/>
        <v>0</v>
      </c>
      <c r="DL73" s="409">
        <f t="shared" si="170"/>
        <v>0</v>
      </c>
      <c r="DM73" s="409">
        <f t="shared" si="170"/>
        <v>0</v>
      </c>
      <c r="DN73" s="409">
        <f t="shared" si="170"/>
        <v>0</v>
      </c>
      <c r="DO73" s="409">
        <f t="shared" si="171"/>
        <v>0</v>
      </c>
      <c r="DP73" s="409">
        <f t="shared" si="171"/>
        <v>0</v>
      </c>
      <c r="DQ73" s="409">
        <f t="shared" si="171"/>
        <v>0</v>
      </c>
      <c r="DR73" s="409">
        <f t="shared" si="171"/>
        <v>0</v>
      </c>
      <c r="DS73" s="409">
        <f t="shared" si="171"/>
        <v>0</v>
      </c>
      <c r="DT73" s="409">
        <f t="shared" si="171"/>
        <v>0</v>
      </c>
      <c r="DU73" s="409">
        <f t="shared" si="171"/>
        <v>0</v>
      </c>
      <c r="DV73" s="409">
        <f t="shared" si="171"/>
        <v>0</v>
      </c>
      <c r="DW73" s="409">
        <f t="shared" si="171"/>
        <v>0</v>
      </c>
      <c r="DX73" s="409">
        <f t="shared" si="171"/>
        <v>0</v>
      </c>
      <c r="DY73" s="409">
        <f t="shared" si="172"/>
        <v>0</v>
      </c>
      <c r="DZ73" s="409">
        <f t="shared" si="172"/>
        <v>0</v>
      </c>
      <c r="EA73" s="409">
        <f t="shared" si="172"/>
        <v>0</v>
      </c>
      <c r="EB73" s="409">
        <f t="shared" si="172"/>
        <v>0</v>
      </c>
      <c r="EC73" s="409">
        <f t="shared" si="172"/>
        <v>0</v>
      </c>
      <c r="ED73" s="409">
        <f t="shared" si="172"/>
        <v>0</v>
      </c>
      <c r="EE73" s="409">
        <f t="shared" si="172"/>
        <v>0</v>
      </c>
      <c r="EF73" s="409">
        <f t="shared" si="172"/>
        <v>0</v>
      </c>
      <c r="EG73" s="409">
        <f t="shared" si="172"/>
        <v>0</v>
      </c>
      <c r="EH73" s="409">
        <f t="shared" si="172"/>
        <v>0</v>
      </c>
      <c r="EI73" s="409">
        <f t="shared" si="173"/>
        <v>0</v>
      </c>
      <c r="EJ73" s="409">
        <f t="shared" si="173"/>
        <v>0</v>
      </c>
      <c r="EK73" s="409">
        <f t="shared" si="173"/>
        <v>0</v>
      </c>
      <c r="EL73" s="409">
        <f t="shared" si="173"/>
        <v>0</v>
      </c>
      <c r="EM73" s="409">
        <f t="shared" si="173"/>
        <v>0</v>
      </c>
      <c r="EN73" s="409">
        <f t="shared" si="173"/>
        <v>0</v>
      </c>
      <c r="EO73" s="409">
        <f t="shared" si="173"/>
        <v>0</v>
      </c>
      <c r="EP73" s="409">
        <f t="shared" si="173"/>
        <v>0</v>
      </c>
      <c r="EQ73" s="409">
        <f t="shared" si="173"/>
        <v>0</v>
      </c>
      <c r="ER73" s="409">
        <f t="shared" si="173"/>
        <v>0</v>
      </c>
      <c r="ES73" s="409">
        <f t="shared" si="174"/>
        <v>0</v>
      </c>
      <c r="ET73" s="409">
        <f t="shared" si="174"/>
        <v>0</v>
      </c>
      <c r="EU73" s="409">
        <f t="shared" si="174"/>
        <v>0</v>
      </c>
      <c r="EV73" s="409">
        <f t="shared" si="174"/>
        <v>0</v>
      </c>
      <c r="EW73" s="409">
        <f t="shared" si="174"/>
        <v>0</v>
      </c>
      <c r="EX73" s="409">
        <f t="shared" si="174"/>
        <v>0</v>
      </c>
      <c r="EY73" s="409">
        <f t="shared" si="174"/>
        <v>0</v>
      </c>
      <c r="EZ73" s="409">
        <f t="shared" si="174"/>
        <v>0</v>
      </c>
      <c r="FA73" s="409">
        <f t="shared" si="174"/>
        <v>0</v>
      </c>
      <c r="FB73" s="409">
        <f t="shared" si="174"/>
        <v>0</v>
      </c>
      <c r="FC73" s="409">
        <f t="shared" si="175"/>
        <v>0</v>
      </c>
      <c r="FD73" s="409">
        <f t="shared" si="175"/>
        <v>0</v>
      </c>
      <c r="FE73" s="409">
        <f t="shared" si="175"/>
        <v>0</v>
      </c>
      <c r="FF73" s="409">
        <f t="shared" si="175"/>
        <v>0</v>
      </c>
      <c r="FG73" s="409">
        <f t="shared" si="175"/>
        <v>0</v>
      </c>
      <c r="FH73" s="409">
        <f t="shared" si="175"/>
        <v>0</v>
      </c>
      <c r="FI73" s="409">
        <f t="shared" si="175"/>
        <v>0</v>
      </c>
      <c r="FJ73" s="409">
        <f t="shared" si="175"/>
        <v>0</v>
      </c>
      <c r="FK73" s="409">
        <f t="shared" si="175"/>
        <v>0</v>
      </c>
      <c r="FL73" s="409">
        <f t="shared" si="175"/>
        <v>0</v>
      </c>
      <c r="FM73" s="409">
        <f t="shared" si="176"/>
        <v>0</v>
      </c>
      <c r="FN73" s="409">
        <f t="shared" si="176"/>
        <v>0</v>
      </c>
      <c r="FO73" s="409">
        <f t="shared" si="176"/>
        <v>0</v>
      </c>
      <c r="FP73" s="409">
        <f t="shared" si="176"/>
        <v>0</v>
      </c>
      <c r="FQ73" s="409">
        <f t="shared" si="176"/>
        <v>0</v>
      </c>
      <c r="FR73" s="409">
        <f t="shared" si="176"/>
        <v>0</v>
      </c>
      <c r="FS73" s="409">
        <f t="shared" si="176"/>
        <v>0</v>
      </c>
      <c r="FT73" s="409">
        <f t="shared" si="176"/>
        <v>0</v>
      </c>
      <c r="FU73" s="409">
        <f t="shared" si="176"/>
        <v>0</v>
      </c>
      <c r="FV73" s="409">
        <f t="shared" si="176"/>
        <v>0</v>
      </c>
      <c r="FW73" s="409">
        <f t="shared" si="177"/>
        <v>0</v>
      </c>
      <c r="FX73" s="409">
        <f t="shared" si="177"/>
        <v>0</v>
      </c>
      <c r="FY73" s="409">
        <f t="shared" si="177"/>
        <v>0</v>
      </c>
      <c r="FZ73" s="409">
        <f t="shared" si="177"/>
        <v>0</v>
      </c>
      <c r="GA73" s="409">
        <f t="shared" si="177"/>
        <v>0</v>
      </c>
      <c r="GB73" s="409">
        <f t="shared" si="177"/>
        <v>0</v>
      </c>
      <c r="GC73" s="409">
        <f t="shared" si="177"/>
        <v>0</v>
      </c>
      <c r="GD73" s="409">
        <f t="shared" si="177"/>
        <v>0</v>
      </c>
      <c r="GE73" s="409">
        <f t="shared" si="177"/>
        <v>0</v>
      </c>
      <c r="GF73" s="409">
        <f t="shared" si="177"/>
        <v>0</v>
      </c>
      <c r="GG73" s="409">
        <f t="shared" si="178"/>
        <v>0</v>
      </c>
      <c r="GH73" s="409">
        <f t="shared" si="178"/>
        <v>0</v>
      </c>
      <c r="GI73" s="409">
        <f t="shared" si="178"/>
        <v>0</v>
      </c>
      <c r="GJ73" s="409">
        <f t="shared" si="178"/>
        <v>0</v>
      </c>
      <c r="GK73" s="409">
        <f t="shared" si="178"/>
        <v>0</v>
      </c>
      <c r="GL73" s="409">
        <f t="shared" si="178"/>
        <v>0</v>
      </c>
      <c r="GM73" s="409">
        <f t="shared" si="178"/>
        <v>0</v>
      </c>
      <c r="GN73" s="409">
        <f t="shared" si="178"/>
        <v>0</v>
      </c>
      <c r="GO73" s="409">
        <f t="shared" si="178"/>
        <v>0</v>
      </c>
      <c r="GP73" s="409">
        <f t="shared" si="178"/>
        <v>0</v>
      </c>
      <c r="GQ73" s="409">
        <f t="shared" si="179"/>
        <v>0</v>
      </c>
      <c r="GR73" s="409">
        <f t="shared" si="179"/>
        <v>0</v>
      </c>
      <c r="GS73" s="409">
        <f t="shared" si="179"/>
        <v>0</v>
      </c>
      <c r="GT73" s="409">
        <f t="shared" si="179"/>
        <v>0</v>
      </c>
      <c r="GU73" s="409">
        <f t="shared" si="179"/>
        <v>0</v>
      </c>
      <c r="GV73" s="409">
        <f t="shared" si="179"/>
        <v>0</v>
      </c>
      <c r="GW73" s="409">
        <f t="shared" si="179"/>
        <v>0</v>
      </c>
      <c r="GX73" s="409">
        <f t="shared" si="179"/>
        <v>0</v>
      </c>
      <c r="GY73" s="409">
        <f t="shared" si="179"/>
        <v>0</v>
      </c>
      <c r="GZ73" s="409">
        <f t="shared" si="179"/>
        <v>0</v>
      </c>
      <c r="HA73" s="409">
        <f t="shared" si="180"/>
        <v>0</v>
      </c>
      <c r="HB73" s="409">
        <f t="shared" si="180"/>
        <v>0</v>
      </c>
      <c r="HC73" s="409">
        <f t="shared" si="180"/>
        <v>0</v>
      </c>
      <c r="HD73" s="409">
        <f t="shared" si="180"/>
        <v>0</v>
      </c>
      <c r="HE73" s="409">
        <f t="shared" si="180"/>
        <v>0</v>
      </c>
      <c r="HF73" s="409">
        <f t="shared" si="180"/>
        <v>0</v>
      </c>
      <c r="HG73" s="409">
        <f t="shared" si="180"/>
        <v>0</v>
      </c>
      <c r="HH73" s="409">
        <f t="shared" si="180"/>
        <v>0</v>
      </c>
      <c r="HI73" s="409">
        <f t="shared" si="180"/>
        <v>0</v>
      </c>
      <c r="HJ73" s="409">
        <f t="shared" si="180"/>
        <v>0</v>
      </c>
      <c r="HK73" s="409">
        <f t="shared" si="181"/>
        <v>0</v>
      </c>
      <c r="HL73" s="409">
        <f t="shared" si="181"/>
        <v>0</v>
      </c>
      <c r="HM73" s="409">
        <f t="shared" si="181"/>
        <v>0</v>
      </c>
      <c r="HN73" s="409">
        <f t="shared" si="181"/>
        <v>0</v>
      </c>
      <c r="HO73" s="409">
        <f t="shared" si="181"/>
        <v>0</v>
      </c>
      <c r="HP73" s="409">
        <f t="shared" si="181"/>
        <v>0</v>
      </c>
      <c r="HQ73" s="409">
        <f t="shared" si="181"/>
        <v>0</v>
      </c>
      <c r="HR73" s="409">
        <f t="shared" si="181"/>
        <v>0</v>
      </c>
      <c r="HS73" s="409">
        <f t="shared" si="181"/>
        <v>0</v>
      </c>
      <c r="HT73" s="409">
        <f t="shared" si="181"/>
        <v>0</v>
      </c>
      <c r="HU73" s="409">
        <f t="shared" si="182"/>
        <v>0</v>
      </c>
      <c r="HV73" s="409">
        <f t="shared" si="182"/>
        <v>0</v>
      </c>
      <c r="HW73" s="409">
        <f t="shared" si="182"/>
        <v>0</v>
      </c>
      <c r="HX73" s="409">
        <f t="shared" si="182"/>
        <v>0</v>
      </c>
      <c r="HY73" s="409">
        <f t="shared" si="182"/>
        <v>0</v>
      </c>
      <c r="HZ73" s="409">
        <f t="shared" si="182"/>
        <v>0</v>
      </c>
      <c r="IA73" s="409">
        <f t="shared" si="182"/>
        <v>0</v>
      </c>
      <c r="IB73" s="409">
        <f t="shared" si="182"/>
        <v>0</v>
      </c>
      <c r="IC73" s="409">
        <f t="shared" si="182"/>
        <v>0</v>
      </c>
      <c r="ID73" s="409">
        <f t="shared" si="182"/>
        <v>0</v>
      </c>
      <c r="IE73" s="409">
        <f t="shared" si="183"/>
        <v>0</v>
      </c>
      <c r="IF73" s="409">
        <f t="shared" si="183"/>
        <v>0</v>
      </c>
      <c r="IG73" s="409">
        <f t="shared" si="183"/>
        <v>0</v>
      </c>
      <c r="IH73" s="409">
        <f t="shared" si="183"/>
        <v>0</v>
      </c>
      <c r="II73" s="409">
        <f t="shared" si="183"/>
        <v>0</v>
      </c>
      <c r="IJ73" s="409">
        <f t="shared" si="183"/>
        <v>0</v>
      </c>
      <c r="IK73" s="378">
        <f t="shared" si="54"/>
        <v>66</v>
      </c>
    </row>
    <row r="74" spans="1:249" hidden="1" x14ac:dyDescent="0.2">
      <c r="A74" s="380" t="str">
        <f t="shared" si="119"/>
        <v>e</v>
      </c>
      <c r="B74" s="712" t="str" cm="1">
        <f t="array" ref="B74">IF(ISERROR(INDEX('Legend(Skid)'!$H$8:$H$9,ROW()-42)),"",INDEX('Legend(Skid)'!$H$8:$H$9,ROW()-42))</f>
        <v/>
      </c>
      <c r="C74" s="712" t="e" cm="1">
        <f t="array" ref="C74">IF(INDEX('Legend(Skid)'!$T$8:$T$9,ROW()-42)=0,"See Legend",INDEX('Legend(Skid)'!$T$8:$T$9,ROW()-42))</f>
        <v>#REF!</v>
      </c>
      <c r="D74" s="712" t="e">
        <f>IF(INDEX('Legend(Skid)'!$R$8:$R$9,(ROW(C74))-42)=0,IF(AND(INDEX('Legend(Skid)'!$D$8:$D$9,(ROW(C74))-41)="CH",INDEX('Legend(Skid)'!$F$8:$F$9,(ROW(C74))-41)="CASE - MANUAL"),INDEX('Legend(Skid)'!$R$8:$R$9,(ROW(C74))-41),IF(INDEX('Legend(Skid)'!$V$8:$V$9,(ROW(C74))-42)&gt;1, "(" &amp; INDEX('Legend(Skid)'!$V$8:$V$9,(ROW(C74))-42) &amp; ") " &amp; INDEX('Legend(Skid)'!$W$8:$W$9,(ROW(C74))-41),INDEX('Legend(Skid)'!$W$8:$W$9,(ROW(C74))-42))),INDEX('Legend(Skid)'!$R$8:$R$9,(ROW(C74))-42))</f>
        <v>#REF!</v>
      </c>
      <c r="E74" s="713" cm="1">
        <f t="array" ref="E74">IF(OR(ISNUMBER(SEARCH("Pump",C74)),ISNUMBER(SEARCH("PH",C74)),ISERROR(INDEX('Legend(Skid)'!$AA$8:$AA$9,ROW()-42))),0,INDEX('Legend(Skid)'!$AA$8:$AA$9,ROW()-42))</f>
        <v>0</v>
      </c>
      <c r="F74" s="714"/>
      <c r="G74" s="714"/>
      <c r="H74" s="714"/>
      <c r="I74" s="714"/>
      <c r="J74" s="714"/>
      <c r="K74" s="890">
        <f t="shared" si="35"/>
        <v>0</v>
      </c>
      <c r="L74" s="718"/>
      <c r="M74" s="720"/>
      <c r="N74" s="972">
        <f t="shared" si="120"/>
        <v>-1</v>
      </c>
      <c r="O74" s="972">
        <f t="shared" si="121"/>
        <v>-1</v>
      </c>
      <c r="P74" s="972">
        <f t="shared" si="122"/>
        <v>-1</v>
      </c>
      <c r="Q74" s="972">
        <f t="shared" si="123"/>
        <v>-1</v>
      </c>
      <c r="R74" s="972">
        <f t="shared" si="124"/>
        <v>-1</v>
      </c>
      <c r="S74" s="972">
        <f t="shared" si="125"/>
        <v>-1</v>
      </c>
      <c r="T74" s="972">
        <f t="shared" si="126"/>
        <v>-1</v>
      </c>
      <c r="U74" s="972">
        <f t="shared" si="127"/>
        <v>-1</v>
      </c>
      <c r="V74" s="972">
        <f t="shared" si="128"/>
        <v>-1</v>
      </c>
      <c r="W74" s="972">
        <f t="shared" si="129"/>
        <v>-1</v>
      </c>
      <c r="X74" s="972">
        <f t="shared" si="130"/>
        <v>-1</v>
      </c>
      <c r="Y74" s="972">
        <f t="shared" si="131"/>
        <v>-1</v>
      </c>
      <c r="Z74" s="972">
        <f t="shared" si="132"/>
        <v>-1</v>
      </c>
      <c r="AA74" s="972">
        <f t="shared" si="133"/>
        <v>-1</v>
      </c>
      <c r="AB74" s="972">
        <f t="shared" si="134"/>
        <v>-1</v>
      </c>
      <c r="AC74" s="972">
        <f t="shared" si="135"/>
        <v>-1</v>
      </c>
      <c r="AD74" s="972">
        <f t="shared" si="136"/>
        <v>-1</v>
      </c>
      <c r="AE74" s="972">
        <f t="shared" si="137"/>
        <v>-1</v>
      </c>
      <c r="AF74" s="972">
        <f t="shared" si="138"/>
        <v>-1</v>
      </c>
      <c r="AG74" s="972">
        <f t="shared" si="139"/>
        <v>-1</v>
      </c>
      <c r="AH74" s="972">
        <f t="shared" si="140"/>
        <v>-1</v>
      </c>
      <c r="AI74" s="972">
        <f t="shared" si="141"/>
        <v>-1</v>
      </c>
      <c r="AJ74" s="972">
        <f t="shared" si="142"/>
        <v>-1</v>
      </c>
      <c r="AK74" s="381" t="str">
        <f>IF(ISERROR(INDEX('Legend(Skid)'!$AI$8:$AI$9,ROW()-42)),"",INDEX('Legend(Skid)'!$AI$8:$AI$9,ROW()-42))</f>
        <v/>
      </c>
      <c r="AL74" s="727" t="str">
        <f t="shared" si="53"/>
        <v/>
      </c>
      <c r="AM74" s="409">
        <f t="shared" si="163"/>
        <v>0</v>
      </c>
      <c r="AN74" s="409">
        <f t="shared" si="163"/>
        <v>0</v>
      </c>
      <c r="AO74" s="409">
        <f t="shared" si="163"/>
        <v>0</v>
      </c>
      <c r="AP74" s="409">
        <f t="shared" si="163"/>
        <v>0</v>
      </c>
      <c r="AQ74" s="409">
        <f t="shared" si="163"/>
        <v>0</v>
      </c>
      <c r="AR74" s="409">
        <f t="shared" si="163"/>
        <v>0</v>
      </c>
      <c r="AS74" s="409">
        <f t="shared" si="163"/>
        <v>0</v>
      </c>
      <c r="AT74" s="409">
        <f t="shared" si="163"/>
        <v>0</v>
      </c>
      <c r="AU74" s="409">
        <f t="shared" si="163"/>
        <v>0</v>
      </c>
      <c r="AV74" s="409">
        <f t="shared" si="163"/>
        <v>0</v>
      </c>
      <c r="AW74" s="409">
        <f t="shared" si="164"/>
        <v>0</v>
      </c>
      <c r="AX74" s="409">
        <f t="shared" si="164"/>
        <v>0</v>
      </c>
      <c r="AY74" s="409">
        <f t="shared" si="164"/>
        <v>0</v>
      </c>
      <c r="AZ74" s="409">
        <f t="shared" si="164"/>
        <v>0</v>
      </c>
      <c r="BA74" s="409">
        <f t="shared" si="164"/>
        <v>0</v>
      </c>
      <c r="BB74" s="409">
        <f t="shared" si="164"/>
        <v>0</v>
      </c>
      <c r="BC74" s="409">
        <f t="shared" si="164"/>
        <v>0</v>
      </c>
      <c r="BD74" s="409">
        <f t="shared" si="164"/>
        <v>0</v>
      </c>
      <c r="BE74" s="409">
        <f t="shared" si="164"/>
        <v>0</v>
      </c>
      <c r="BF74" s="409">
        <f t="shared" si="164"/>
        <v>0</v>
      </c>
      <c r="BG74" s="409">
        <f t="shared" si="165"/>
        <v>0</v>
      </c>
      <c r="BH74" s="409">
        <f t="shared" si="165"/>
        <v>0</v>
      </c>
      <c r="BI74" s="409">
        <f t="shared" si="165"/>
        <v>0</v>
      </c>
      <c r="BJ74" s="409">
        <f t="shared" si="165"/>
        <v>0</v>
      </c>
      <c r="BK74" s="409">
        <f t="shared" si="165"/>
        <v>0</v>
      </c>
      <c r="BL74" s="409">
        <f t="shared" si="165"/>
        <v>0</v>
      </c>
      <c r="BM74" s="409">
        <f t="shared" si="165"/>
        <v>0</v>
      </c>
      <c r="BN74" s="409">
        <f t="shared" si="165"/>
        <v>0</v>
      </c>
      <c r="BO74" s="409">
        <f t="shared" si="165"/>
        <v>0</v>
      </c>
      <c r="BP74" s="409">
        <f t="shared" si="165"/>
        <v>0</v>
      </c>
      <c r="BQ74" s="409">
        <f t="shared" si="166"/>
        <v>0</v>
      </c>
      <c r="BR74" s="409">
        <f t="shared" si="166"/>
        <v>0</v>
      </c>
      <c r="BS74" s="409">
        <f t="shared" si="166"/>
        <v>0</v>
      </c>
      <c r="BT74" s="409">
        <f t="shared" si="166"/>
        <v>0</v>
      </c>
      <c r="BU74" s="409">
        <f t="shared" si="166"/>
        <v>0</v>
      </c>
      <c r="BV74" s="409">
        <f t="shared" si="166"/>
        <v>0</v>
      </c>
      <c r="BW74" s="409">
        <f t="shared" si="166"/>
        <v>0</v>
      </c>
      <c r="BX74" s="409">
        <f t="shared" si="166"/>
        <v>0</v>
      </c>
      <c r="BY74" s="409">
        <f t="shared" si="166"/>
        <v>0</v>
      </c>
      <c r="BZ74" s="409">
        <f t="shared" si="166"/>
        <v>0</v>
      </c>
      <c r="CA74" s="409">
        <f t="shared" si="167"/>
        <v>0</v>
      </c>
      <c r="CB74" s="409">
        <f t="shared" si="167"/>
        <v>0</v>
      </c>
      <c r="CC74" s="409">
        <f t="shared" si="167"/>
        <v>0</v>
      </c>
      <c r="CD74" s="409">
        <f t="shared" si="167"/>
        <v>0</v>
      </c>
      <c r="CE74" s="409">
        <f t="shared" si="167"/>
        <v>0</v>
      </c>
      <c r="CF74" s="409">
        <f t="shared" si="167"/>
        <v>0</v>
      </c>
      <c r="CG74" s="409">
        <f t="shared" si="167"/>
        <v>0</v>
      </c>
      <c r="CH74" s="409">
        <f t="shared" si="167"/>
        <v>0</v>
      </c>
      <c r="CI74" s="409">
        <f t="shared" si="167"/>
        <v>0</v>
      </c>
      <c r="CJ74" s="409">
        <f t="shared" si="167"/>
        <v>0</v>
      </c>
      <c r="CK74" s="409">
        <f t="shared" si="168"/>
        <v>0</v>
      </c>
      <c r="CL74" s="409">
        <f t="shared" si="168"/>
        <v>0</v>
      </c>
      <c r="CM74" s="409">
        <f t="shared" si="168"/>
        <v>0</v>
      </c>
      <c r="CN74" s="409">
        <f t="shared" si="168"/>
        <v>0</v>
      </c>
      <c r="CO74" s="409">
        <f t="shared" si="168"/>
        <v>0</v>
      </c>
      <c r="CP74" s="409">
        <f t="shared" si="168"/>
        <v>0</v>
      </c>
      <c r="CQ74" s="409">
        <f t="shared" si="168"/>
        <v>0</v>
      </c>
      <c r="CR74" s="409">
        <f t="shared" si="168"/>
        <v>0</v>
      </c>
      <c r="CS74" s="409">
        <f t="shared" si="168"/>
        <v>0</v>
      </c>
      <c r="CT74" s="409">
        <f t="shared" si="168"/>
        <v>0</v>
      </c>
      <c r="CU74" s="409">
        <f t="shared" si="169"/>
        <v>0</v>
      </c>
      <c r="CV74" s="409">
        <f t="shared" si="169"/>
        <v>0</v>
      </c>
      <c r="CW74" s="409">
        <f t="shared" si="169"/>
        <v>0</v>
      </c>
      <c r="CX74" s="409">
        <f t="shared" si="169"/>
        <v>0</v>
      </c>
      <c r="CY74" s="409">
        <f t="shared" si="169"/>
        <v>0</v>
      </c>
      <c r="CZ74" s="409">
        <f t="shared" si="169"/>
        <v>0</v>
      </c>
      <c r="DA74" s="409">
        <f t="shared" si="169"/>
        <v>0</v>
      </c>
      <c r="DB74" s="409">
        <f t="shared" si="169"/>
        <v>0</v>
      </c>
      <c r="DC74" s="409">
        <f t="shared" si="169"/>
        <v>0</v>
      </c>
      <c r="DD74" s="409">
        <f t="shared" si="169"/>
        <v>0</v>
      </c>
      <c r="DE74" s="409">
        <f t="shared" si="170"/>
        <v>0</v>
      </c>
      <c r="DF74" s="409">
        <f t="shared" si="170"/>
        <v>0</v>
      </c>
      <c r="DG74" s="409">
        <f t="shared" si="170"/>
        <v>0</v>
      </c>
      <c r="DH74" s="409">
        <f t="shared" si="170"/>
        <v>0</v>
      </c>
      <c r="DI74" s="409">
        <f t="shared" si="170"/>
        <v>0</v>
      </c>
      <c r="DJ74" s="409">
        <f t="shared" si="170"/>
        <v>0</v>
      </c>
      <c r="DK74" s="409">
        <f t="shared" si="170"/>
        <v>0</v>
      </c>
      <c r="DL74" s="409">
        <f t="shared" si="170"/>
        <v>0</v>
      </c>
      <c r="DM74" s="409">
        <f t="shared" si="170"/>
        <v>0</v>
      </c>
      <c r="DN74" s="409">
        <f t="shared" si="170"/>
        <v>0</v>
      </c>
      <c r="DO74" s="409">
        <f t="shared" si="171"/>
        <v>0</v>
      </c>
      <c r="DP74" s="409">
        <f t="shared" si="171"/>
        <v>0</v>
      </c>
      <c r="DQ74" s="409">
        <f t="shared" si="171"/>
        <v>0</v>
      </c>
      <c r="DR74" s="409">
        <f t="shared" si="171"/>
        <v>0</v>
      </c>
      <c r="DS74" s="409">
        <f t="shared" si="171"/>
        <v>0</v>
      </c>
      <c r="DT74" s="409">
        <f t="shared" si="171"/>
        <v>0</v>
      </c>
      <c r="DU74" s="409">
        <f t="shared" si="171"/>
        <v>0</v>
      </c>
      <c r="DV74" s="409">
        <f t="shared" si="171"/>
        <v>0</v>
      </c>
      <c r="DW74" s="409">
        <f t="shared" si="171"/>
        <v>0</v>
      </c>
      <c r="DX74" s="409">
        <f t="shared" si="171"/>
        <v>0</v>
      </c>
      <c r="DY74" s="409">
        <f t="shared" si="172"/>
        <v>0</v>
      </c>
      <c r="DZ74" s="409">
        <f t="shared" si="172"/>
        <v>0</v>
      </c>
      <c r="EA74" s="409">
        <f t="shared" si="172"/>
        <v>0</v>
      </c>
      <c r="EB74" s="409">
        <f t="shared" si="172"/>
        <v>0</v>
      </c>
      <c r="EC74" s="409">
        <f t="shared" si="172"/>
        <v>0</v>
      </c>
      <c r="ED74" s="409">
        <f t="shared" si="172"/>
        <v>0</v>
      </c>
      <c r="EE74" s="409">
        <f t="shared" si="172"/>
        <v>0</v>
      </c>
      <c r="EF74" s="409">
        <f t="shared" si="172"/>
        <v>0</v>
      </c>
      <c r="EG74" s="409">
        <f t="shared" si="172"/>
        <v>0</v>
      </c>
      <c r="EH74" s="409">
        <f t="shared" si="172"/>
        <v>0</v>
      </c>
      <c r="EI74" s="409">
        <f t="shared" si="173"/>
        <v>0</v>
      </c>
      <c r="EJ74" s="409">
        <f t="shared" si="173"/>
        <v>0</v>
      </c>
      <c r="EK74" s="409">
        <f t="shared" si="173"/>
        <v>0</v>
      </c>
      <c r="EL74" s="409">
        <f t="shared" si="173"/>
        <v>0</v>
      </c>
      <c r="EM74" s="409">
        <f t="shared" si="173"/>
        <v>0</v>
      </c>
      <c r="EN74" s="409">
        <f t="shared" si="173"/>
        <v>0</v>
      </c>
      <c r="EO74" s="409">
        <f t="shared" si="173"/>
        <v>0</v>
      </c>
      <c r="EP74" s="409">
        <f t="shared" si="173"/>
        <v>0</v>
      </c>
      <c r="EQ74" s="409">
        <f t="shared" si="173"/>
        <v>0</v>
      </c>
      <c r="ER74" s="409">
        <f t="shared" si="173"/>
        <v>0</v>
      </c>
      <c r="ES74" s="409">
        <f t="shared" si="174"/>
        <v>0</v>
      </c>
      <c r="ET74" s="409">
        <f t="shared" si="174"/>
        <v>0</v>
      </c>
      <c r="EU74" s="409">
        <f t="shared" si="174"/>
        <v>0</v>
      </c>
      <c r="EV74" s="409">
        <f t="shared" si="174"/>
        <v>0</v>
      </c>
      <c r="EW74" s="409">
        <f t="shared" si="174"/>
        <v>0</v>
      </c>
      <c r="EX74" s="409">
        <f t="shared" si="174"/>
        <v>0</v>
      </c>
      <c r="EY74" s="409">
        <f t="shared" si="174"/>
        <v>0</v>
      </c>
      <c r="EZ74" s="409">
        <f t="shared" si="174"/>
        <v>0</v>
      </c>
      <c r="FA74" s="409">
        <f t="shared" si="174"/>
        <v>0</v>
      </c>
      <c r="FB74" s="409">
        <f t="shared" si="174"/>
        <v>0</v>
      </c>
      <c r="FC74" s="409">
        <f t="shared" si="175"/>
        <v>0</v>
      </c>
      <c r="FD74" s="409">
        <f t="shared" si="175"/>
        <v>0</v>
      </c>
      <c r="FE74" s="409">
        <f t="shared" si="175"/>
        <v>0</v>
      </c>
      <c r="FF74" s="409">
        <f t="shared" si="175"/>
        <v>0</v>
      </c>
      <c r="FG74" s="409">
        <f t="shared" si="175"/>
        <v>0</v>
      </c>
      <c r="FH74" s="409">
        <f t="shared" si="175"/>
        <v>0</v>
      </c>
      <c r="FI74" s="409">
        <f t="shared" si="175"/>
        <v>0</v>
      </c>
      <c r="FJ74" s="409">
        <f t="shared" si="175"/>
        <v>0</v>
      </c>
      <c r="FK74" s="409">
        <f t="shared" si="175"/>
        <v>0</v>
      </c>
      <c r="FL74" s="409">
        <f t="shared" si="175"/>
        <v>0</v>
      </c>
      <c r="FM74" s="409">
        <f t="shared" si="176"/>
        <v>0</v>
      </c>
      <c r="FN74" s="409">
        <f t="shared" si="176"/>
        <v>0</v>
      </c>
      <c r="FO74" s="409">
        <f t="shared" si="176"/>
        <v>0</v>
      </c>
      <c r="FP74" s="409">
        <f t="shared" si="176"/>
        <v>0</v>
      </c>
      <c r="FQ74" s="409">
        <f t="shared" si="176"/>
        <v>0</v>
      </c>
      <c r="FR74" s="409">
        <f t="shared" si="176"/>
        <v>0</v>
      </c>
      <c r="FS74" s="409">
        <f t="shared" si="176"/>
        <v>0</v>
      </c>
      <c r="FT74" s="409">
        <f t="shared" si="176"/>
        <v>0</v>
      </c>
      <c r="FU74" s="409">
        <f t="shared" si="176"/>
        <v>0</v>
      </c>
      <c r="FV74" s="409">
        <f t="shared" si="176"/>
        <v>0</v>
      </c>
      <c r="FW74" s="409">
        <f t="shared" si="177"/>
        <v>0</v>
      </c>
      <c r="FX74" s="409">
        <f t="shared" si="177"/>
        <v>0</v>
      </c>
      <c r="FY74" s="409">
        <f t="shared" si="177"/>
        <v>0</v>
      </c>
      <c r="FZ74" s="409">
        <f t="shared" si="177"/>
        <v>0</v>
      </c>
      <c r="GA74" s="409">
        <f t="shared" si="177"/>
        <v>0</v>
      </c>
      <c r="GB74" s="409">
        <f t="shared" si="177"/>
        <v>0</v>
      </c>
      <c r="GC74" s="409">
        <f t="shared" si="177"/>
        <v>0</v>
      </c>
      <c r="GD74" s="409">
        <f t="shared" si="177"/>
        <v>0</v>
      </c>
      <c r="GE74" s="409">
        <f t="shared" si="177"/>
        <v>0</v>
      </c>
      <c r="GF74" s="409">
        <f t="shared" si="177"/>
        <v>0</v>
      </c>
      <c r="GG74" s="409">
        <f t="shared" si="178"/>
        <v>0</v>
      </c>
      <c r="GH74" s="409">
        <f t="shared" si="178"/>
        <v>0</v>
      </c>
      <c r="GI74" s="409">
        <f t="shared" si="178"/>
        <v>0</v>
      </c>
      <c r="GJ74" s="409">
        <f t="shared" si="178"/>
        <v>0</v>
      </c>
      <c r="GK74" s="409">
        <f t="shared" si="178"/>
        <v>0</v>
      </c>
      <c r="GL74" s="409">
        <f t="shared" si="178"/>
        <v>0</v>
      </c>
      <c r="GM74" s="409">
        <f t="shared" si="178"/>
        <v>0</v>
      </c>
      <c r="GN74" s="409">
        <f t="shared" si="178"/>
        <v>0</v>
      </c>
      <c r="GO74" s="409">
        <f t="shared" si="178"/>
        <v>0</v>
      </c>
      <c r="GP74" s="409">
        <f t="shared" si="178"/>
        <v>0</v>
      </c>
      <c r="GQ74" s="409">
        <f t="shared" si="179"/>
        <v>0</v>
      </c>
      <c r="GR74" s="409">
        <f t="shared" si="179"/>
        <v>0</v>
      </c>
      <c r="GS74" s="409">
        <f t="shared" si="179"/>
        <v>0</v>
      </c>
      <c r="GT74" s="409">
        <f t="shared" si="179"/>
        <v>0</v>
      </c>
      <c r="GU74" s="409">
        <f t="shared" si="179"/>
        <v>0</v>
      </c>
      <c r="GV74" s="409">
        <f t="shared" si="179"/>
        <v>0</v>
      </c>
      <c r="GW74" s="409">
        <f t="shared" si="179"/>
        <v>0</v>
      </c>
      <c r="GX74" s="409">
        <f t="shared" si="179"/>
        <v>0</v>
      </c>
      <c r="GY74" s="409">
        <f t="shared" si="179"/>
        <v>0</v>
      </c>
      <c r="GZ74" s="409">
        <f t="shared" si="179"/>
        <v>0</v>
      </c>
      <c r="HA74" s="409">
        <f t="shared" si="180"/>
        <v>0</v>
      </c>
      <c r="HB74" s="409">
        <f t="shared" si="180"/>
        <v>0</v>
      </c>
      <c r="HC74" s="409">
        <f t="shared" si="180"/>
        <v>0</v>
      </c>
      <c r="HD74" s="409">
        <f t="shared" si="180"/>
        <v>0</v>
      </c>
      <c r="HE74" s="409">
        <f t="shared" si="180"/>
        <v>0</v>
      </c>
      <c r="HF74" s="409">
        <f t="shared" si="180"/>
        <v>0</v>
      </c>
      <c r="HG74" s="409">
        <f t="shared" si="180"/>
        <v>0</v>
      </c>
      <c r="HH74" s="409">
        <f t="shared" si="180"/>
        <v>0</v>
      </c>
      <c r="HI74" s="409">
        <f t="shared" si="180"/>
        <v>0</v>
      </c>
      <c r="HJ74" s="409">
        <f t="shared" si="180"/>
        <v>0</v>
      </c>
      <c r="HK74" s="409">
        <f t="shared" si="181"/>
        <v>0</v>
      </c>
      <c r="HL74" s="409">
        <f t="shared" si="181"/>
        <v>0</v>
      </c>
      <c r="HM74" s="409">
        <f t="shared" si="181"/>
        <v>0</v>
      </c>
      <c r="HN74" s="409">
        <f t="shared" si="181"/>
        <v>0</v>
      </c>
      <c r="HO74" s="409">
        <f t="shared" si="181"/>
        <v>0</v>
      </c>
      <c r="HP74" s="409">
        <f t="shared" si="181"/>
        <v>0</v>
      </c>
      <c r="HQ74" s="409">
        <f t="shared" si="181"/>
        <v>0</v>
      </c>
      <c r="HR74" s="409">
        <f t="shared" si="181"/>
        <v>0</v>
      </c>
      <c r="HS74" s="409">
        <f t="shared" si="181"/>
        <v>0</v>
      </c>
      <c r="HT74" s="409">
        <f t="shared" si="181"/>
        <v>0</v>
      </c>
      <c r="HU74" s="409">
        <f t="shared" si="182"/>
        <v>0</v>
      </c>
      <c r="HV74" s="409">
        <f t="shared" si="182"/>
        <v>0</v>
      </c>
      <c r="HW74" s="409">
        <f t="shared" si="182"/>
        <v>0</v>
      </c>
      <c r="HX74" s="409">
        <f t="shared" si="182"/>
        <v>0</v>
      </c>
      <c r="HY74" s="409">
        <f t="shared" si="182"/>
        <v>0</v>
      </c>
      <c r="HZ74" s="409">
        <f t="shared" si="182"/>
        <v>0</v>
      </c>
      <c r="IA74" s="409">
        <f t="shared" si="182"/>
        <v>0</v>
      </c>
      <c r="IB74" s="409">
        <f t="shared" si="182"/>
        <v>0</v>
      </c>
      <c r="IC74" s="409">
        <f t="shared" si="182"/>
        <v>0</v>
      </c>
      <c r="ID74" s="409">
        <f t="shared" si="182"/>
        <v>0</v>
      </c>
      <c r="IE74" s="409">
        <f t="shared" si="183"/>
        <v>0</v>
      </c>
      <c r="IF74" s="409">
        <f t="shared" si="183"/>
        <v>0</v>
      </c>
      <c r="IG74" s="409">
        <f t="shared" si="183"/>
        <v>0</v>
      </c>
      <c r="IH74" s="409">
        <f t="shared" si="183"/>
        <v>0</v>
      </c>
      <c r="II74" s="409">
        <f t="shared" si="183"/>
        <v>0</v>
      </c>
      <c r="IJ74" s="409">
        <f t="shared" si="183"/>
        <v>0</v>
      </c>
      <c r="IK74" s="378">
        <f t="shared" si="54"/>
        <v>67</v>
      </c>
    </row>
    <row r="75" spans="1:249" hidden="1" x14ac:dyDescent="0.2">
      <c r="A75" s="380" t="str">
        <f t="shared" si="119"/>
        <v>e</v>
      </c>
      <c r="B75" s="712" t="str" cm="1">
        <f t="array" ref="B75">IF(ISERROR(INDEX('Legend(Skid)'!$H$8:$H$9,ROW()-42)),"",INDEX('Legend(Skid)'!$H$8:$H$9,ROW()-42))</f>
        <v/>
      </c>
      <c r="C75" s="712" t="e" cm="1">
        <f t="array" ref="C75">IF(INDEX('Legend(Skid)'!$T$8:$T$9,ROW()-42)=0,"See Legend",INDEX('Legend(Skid)'!$T$8:$T$9,ROW()-42))</f>
        <v>#REF!</v>
      </c>
      <c r="D75" s="712" t="e">
        <f>IF(INDEX('Legend(Skid)'!$R$8:$R$9,(ROW(C75))-42)=0,IF(AND(INDEX('Legend(Skid)'!$D$8:$D$9,(ROW(C75))-41)="CH",INDEX('Legend(Skid)'!$F$8:$F$9,(ROW(C75))-41)="CASE - MANUAL"),INDEX('Legend(Skid)'!$R$8:$R$9,(ROW(C75))-41),IF(INDEX('Legend(Skid)'!$V$8:$V$9,(ROW(C75))-42)&gt;1, "(" &amp; INDEX('Legend(Skid)'!$V$8:$V$9,(ROW(C75))-42) &amp; ") " &amp; INDEX('Legend(Skid)'!$W$8:$W$9,(ROW(C75))-41),INDEX('Legend(Skid)'!$W$8:$W$9,(ROW(C75))-42))),INDEX('Legend(Skid)'!$R$8:$R$9,(ROW(C75))-42))</f>
        <v>#REF!</v>
      </c>
      <c r="E75" s="713" cm="1">
        <f t="array" ref="E75">IF(OR(ISNUMBER(SEARCH("Pump",C75)),ISNUMBER(SEARCH("PH",C75)),ISERROR(INDEX('Legend(Skid)'!$AA$8:$AA$9,ROW()-42))),0,INDEX('Legend(Skid)'!$AA$8:$AA$9,ROW()-42))</f>
        <v>0</v>
      </c>
      <c r="F75" s="714"/>
      <c r="G75" s="714"/>
      <c r="H75" s="714"/>
      <c r="I75" s="714"/>
      <c r="J75" s="714"/>
      <c r="K75" s="890">
        <f t="shared" si="35"/>
        <v>0</v>
      </c>
      <c r="L75" s="718"/>
      <c r="M75" s="720"/>
      <c r="N75" s="972">
        <f t="shared" si="120"/>
        <v>-1</v>
      </c>
      <c r="O75" s="972">
        <f t="shared" si="121"/>
        <v>-1</v>
      </c>
      <c r="P75" s="972">
        <f t="shared" si="122"/>
        <v>-1</v>
      </c>
      <c r="Q75" s="972">
        <f t="shared" si="123"/>
        <v>-1</v>
      </c>
      <c r="R75" s="972">
        <f t="shared" si="124"/>
        <v>-1</v>
      </c>
      <c r="S75" s="972">
        <f t="shared" si="125"/>
        <v>-1</v>
      </c>
      <c r="T75" s="972">
        <f t="shared" si="126"/>
        <v>-1</v>
      </c>
      <c r="U75" s="972">
        <f t="shared" si="127"/>
        <v>-1</v>
      </c>
      <c r="V75" s="972">
        <f t="shared" si="128"/>
        <v>-1</v>
      </c>
      <c r="W75" s="972">
        <f t="shared" si="129"/>
        <v>-1</v>
      </c>
      <c r="X75" s="972">
        <f t="shared" si="130"/>
        <v>-1</v>
      </c>
      <c r="Y75" s="972">
        <f t="shared" si="131"/>
        <v>-1</v>
      </c>
      <c r="Z75" s="972">
        <f t="shared" si="132"/>
        <v>-1</v>
      </c>
      <c r="AA75" s="972">
        <f t="shared" si="133"/>
        <v>-1</v>
      </c>
      <c r="AB75" s="972">
        <f t="shared" si="134"/>
        <v>-1</v>
      </c>
      <c r="AC75" s="972">
        <f t="shared" si="135"/>
        <v>-1</v>
      </c>
      <c r="AD75" s="972">
        <f t="shared" si="136"/>
        <v>-1</v>
      </c>
      <c r="AE75" s="972">
        <f t="shared" si="137"/>
        <v>-1</v>
      </c>
      <c r="AF75" s="972">
        <f t="shared" si="138"/>
        <v>-1</v>
      </c>
      <c r="AG75" s="972">
        <f t="shared" si="139"/>
        <v>-1</v>
      </c>
      <c r="AH75" s="972">
        <f t="shared" si="140"/>
        <v>-1</v>
      </c>
      <c r="AI75" s="972">
        <f t="shared" si="141"/>
        <v>-1</v>
      </c>
      <c r="AJ75" s="972">
        <f t="shared" si="142"/>
        <v>-1</v>
      </c>
      <c r="AK75" s="381" t="str">
        <f>IF(ISERROR(INDEX('Legend(Skid)'!$AI$8:$AI$9,ROW()-42)),"",INDEX('Legend(Skid)'!$AI$8:$AI$9,ROW()-42))</f>
        <v/>
      </c>
      <c r="AL75" s="727" t="str">
        <f t="shared" si="53"/>
        <v/>
      </c>
      <c r="AM75" s="409">
        <f t="shared" si="163"/>
        <v>0</v>
      </c>
      <c r="AN75" s="409">
        <f t="shared" si="163"/>
        <v>0</v>
      </c>
      <c r="AO75" s="409">
        <f t="shared" si="163"/>
        <v>0</v>
      </c>
      <c r="AP75" s="409">
        <f t="shared" si="163"/>
        <v>0</v>
      </c>
      <c r="AQ75" s="409">
        <f t="shared" si="163"/>
        <v>0</v>
      </c>
      <c r="AR75" s="409">
        <f t="shared" si="163"/>
        <v>0</v>
      </c>
      <c r="AS75" s="409">
        <f t="shared" si="163"/>
        <v>0</v>
      </c>
      <c r="AT75" s="409">
        <f t="shared" si="163"/>
        <v>0</v>
      </c>
      <c r="AU75" s="409">
        <f t="shared" si="163"/>
        <v>0</v>
      </c>
      <c r="AV75" s="409">
        <f t="shared" si="163"/>
        <v>0</v>
      </c>
      <c r="AW75" s="409">
        <f t="shared" si="164"/>
        <v>0</v>
      </c>
      <c r="AX75" s="409">
        <f t="shared" si="164"/>
        <v>0</v>
      </c>
      <c r="AY75" s="409">
        <f t="shared" si="164"/>
        <v>0</v>
      </c>
      <c r="AZ75" s="409">
        <f t="shared" si="164"/>
        <v>0</v>
      </c>
      <c r="BA75" s="409">
        <f t="shared" si="164"/>
        <v>0</v>
      </c>
      <c r="BB75" s="409">
        <f t="shared" si="164"/>
        <v>0</v>
      </c>
      <c r="BC75" s="409">
        <f t="shared" si="164"/>
        <v>0</v>
      </c>
      <c r="BD75" s="409">
        <f t="shared" si="164"/>
        <v>0</v>
      </c>
      <c r="BE75" s="409">
        <f t="shared" si="164"/>
        <v>0</v>
      </c>
      <c r="BF75" s="409">
        <f t="shared" si="164"/>
        <v>0</v>
      </c>
      <c r="BG75" s="409">
        <f t="shared" si="165"/>
        <v>0</v>
      </c>
      <c r="BH75" s="409">
        <f t="shared" si="165"/>
        <v>0</v>
      </c>
      <c r="BI75" s="409">
        <f t="shared" si="165"/>
        <v>0</v>
      </c>
      <c r="BJ75" s="409">
        <f t="shared" si="165"/>
        <v>0</v>
      </c>
      <c r="BK75" s="409">
        <f t="shared" si="165"/>
        <v>0</v>
      </c>
      <c r="BL75" s="409">
        <f t="shared" si="165"/>
        <v>0</v>
      </c>
      <c r="BM75" s="409">
        <f t="shared" si="165"/>
        <v>0</v>
      </c>
      <c r="BN75" s="409">
        <f t="shared" si="165"/>
        <v>0</v>
      </c>
      <c r="BO75" s="409">
        <f t="shared" si="165"/>
        <v>0</v>
      </c>
      <c r="BP75" s="409">
        <f t="shared" si="165"/>
        <v>0</v>
      </c>
      <c r="BQ75" s="409">
        <f t="shared" si="166"/>
        <v>0</v>
      </c>
      <c r="BR75" s="409">
        <f t="shared" si="166"/>
        <v>0</v>
      </c>
      <c r="BS75" s="409">
        <f t="shared" si="166"/>
        <v>0</v>
      </c>
      <c r="BT75" s="409">
        <f t="shared" si="166"/>
        <v>0</v>
      </c>
      <c r="BU75" s="409">
        <f t="shared" si="166"/>
        <v>0</v>
      </c>
      <c r="BV75" s="409">
        <f t="shared" si="166"/>
        <v>0</v>
      </c>
      <c r="BW75" s="409">
        <f t="shared" si="166"/>
        <v>0</v>
      </c>
      <c r="BX75" s="409">
        <f t="shared" si="166"/>
        <v>0</v>
      </c>
      <c r="BY75" s="409">
        <f t="shared" si="166"/>
        <v>0</v>
      </c>
      <c r="BZ75" s="409">
        <f t="shared" si="166"/>
        <v>0</v>
      </c>
      <c r="CA75" s="409">
        <f t="shared" si="167"/>
        <v>0</v>
      </c>
      <c r="CB75" s="409">
        <f t="shared" si="167"/>
        <v>0</v>
      </c>
      <c r="CC75" s="409">
        <f t="shared" si="167"/>
        <v>0</v>
      </c>
      <c r="CD75" s="409">
        <f t="shared" si="167"/>
        <v>0</v>
      </c>
      <c r="CE75" s="409">
        <f t="shared" si="167"/>
        <v>0</v>
      </c>
      <c r="CF75" s="409">
        <f t="shared" si="167"/>
        <v>0</v>
      </c>
      <c r="CG75" s="409">
        <f t="shared" si="167"/>
        <v>0</v>
      </c>
      <c r="CH75" s="409">
        <f t="shared" si="167"/>
        <v>0</v>
      </c>
      <c r="CI75" s="409">
        <f t="shared" si="167"/>
        <v>0</v>
      </c>
      <c r="CJ75" s="409">
        <f t="shared" si="167"/>
        <v>0</v>
      </c>
      <c r="CK75" s="409">
        <f t="shared" si="168"/>
        <v>0</v>
      </c>
      <c r="CL75" s="409">
        <f t="shared" si="168"/>
        <v>0</v>
      </c>
      <c r="CM75" s="409">
        <f t="shared" si="168"/>
        <v>0</v>
      </c>
      <c r="CN75" s="409">
        <f t="shared" si="168"/>
        <v>0</v>
      </c>
      <c r="CO75" s="409">
        <f t="shared" si="168"/>
        <v>0</v>
      </c>
      <c r="CP75" s="409">
        <f t="shared" si="168"/>
        <v>0</v>
      </c>
      <c r="CQ75" s="409">
        <f t="shared" si="168"/>
        <v>0</v>
      </c>
      <c r="CR75" s="409">
        <f t="shared" si="168"/>
        <v>0</v>
      </c>
      <c r="CS75" s="409">
        <f t="shared" si="168"/>
        <v>0</v>
      </c>
      <c r="CT75" s="409">
        <f t="shared" si="168"/>
        <v>0</v>
      </c>
      <c r="CU75" s="409">
        <f t="shared" si="169"/>
        <v>0</v>
      </c>
      <c r="CV75" s="409">
        <f t="shared" si="169"/>
        <v>0</v>
      </c>
      <c r="CW75" s="409">
        <f t="shared" si="169"/>
        <v>0</v>
      </c>
      <c r="CX75" s="409">
        <f t="shared" si="169"/>
        <v>0</v>
      </c>
      <c r="CY75" s="409">
        <f t="shared" si="169"/>
        <v>0</v>
      </c>
      <c r="CZ75" s="409">
        <f t="shared" si="169"/>
        <v>0</v>
      </c>
      <c r="DA75" s="409">
        <f t="shared" si="169"/>
        <v>0</v>
      </c>
      <c r="DB75" s="409">
        <f t="shared" si="169"/>
        <v>0</v>
      </c>
      <c r="DC75" s="409">
        <f t="shared" si="169"/>
        <v>0</v>
      </c>
      <c r="DD75" s="409">
        <f t="shared" si="169"/>
        <v>0</v>
      </c>
      <c r="DE75" s="409">
        <f t="shared" si="170"/>
        <v>0</v>
      </c>
      <c r="DF75" s="409">
        <f t="shared" si="170"/>
        <v>0</v>
      </c>
      <c r="DG75" s="409">
        <f t="shared" si="170"/>
        <v>0</v>
      </c>
      <c r="DH75" s="409">
        <f t="shared" si="170"/>
        <v>0</v>
      </c>
      <c r="DI75" s="409">
        <f t="shared" si="170"/>
        <v>0</v>
      </c>
      <c r="DJ75" s="409">
        <f t="shared" si="170"/>
        <v>0</v>
      </c>
      <c r="DK75" s="409">
        <f t="shared" si="170"/>
        <v>0</v>
      </c>
      <c r="DL75" s="409">
        <f t="shared" si="170"/>
        <v>0</v>
      </c>
      <c r="DM75" s="409">
        <f t="shared" si="170"/>
        <v>0</v>
      </c>
      <c r="DN75" s="409">
        <f t="shared" si="170"/>
        <v>0</v>
      </c>
      <c r="DO75" s="409">
        <f t="shared" si="171"/>
        <v>0</v>
      </c>
      <c r="DP75" s="409">
        <f t="shared" si="171"/>
        <v>0</v>
      </c>
      <c r="DQ75" s="409">
        <f t="shared" si="171"/>
        <v>0</v>
      </c>
      <c r="DR75" s="409">
        <f t="shared" si="171"/>
        <v>0</v>
      </c>
      <c r="DS75" s="409">
        <f t="shared" si="171"/>
        <v>0</v>
      </c>
      <c r="DT75" s="409">
        <f t="shared" si="171"/>
        <v>0</v>
      </c>
      <c r="DU75" s="409">
        <f t="shared" si="171"/>
        <v>0</v>
      </c>
      <c r="DV75" s="409">
        <f t="shared" si="171"/>
        <v>0</v>
      </c>
      <c r="DW75" s="409">
        <f t="shared" si="171"/>
        <v>0</v>
      </c>
      <c r="DX75" s="409">
        <f t="shared" si="171"/>
        <v>0</v>
      </c>
      <c r="DY75" s="409">
        <f t="shared" si="172"/>
        <v>0</v>
      </c>
      <c r="DZ75" s="409">
        <f t="shared" si="172"/>
        <v>0</v>
      </c>
      <c r="EA75" s="409">
        <f t="shared" si="172"/>
        <v>0</v>
      </c>
      <c r="EB75" s="409">
        <f t="shared" si="172"/>
        <v>0</v>
      </c>
      <c r="EC75" s="409">
        <f t="shared" si="172"/>
        <v>0</v>
      </c>
      <c r="ED75" s="409">
        <f t="shared" si="172"/>
        <v>0</v>
      </c>
      <c r="EE75" s="409">
        <f t="shared" si="172"/>
        <v>0</v>
      </c>
      <c r="EF75" s="409">
        <f t="shared" si="172"/>
        <v>0</v>
      </c>
      <c r="EG75" s="409">
        <f t="shared" si="172"/>
        <v>0</v>
      </c>
      <c r="EH75" s="409">
        <f t="shared" si="172"/>
        <v>0</v>
      </c>
      <c r="EI75" s="409">
        <f t="shared" si="173"/>
        <v>0</v>
      </c>
      <c r="EJ75" s="409">
        <f t="shared" si="173"/>
        <v>0</v>
      </c>
      <c r="EK75" s="409">
        <f t="shared" si="173"/>
        <v>0</v>
      </c>
      <c r="EL75" s="409">
        <f t="shared" si="173"/>
        <v>0</v>
      </c>
      <c r="EM75" s="409">
        <f t="shared" si="173"/>
        <v>0</v>
      </c>
      <c r="EN75" s="409">
        <f t="shared" si="173"/>
        <v>0</v>
      </c>
      <c r="EO75" s="409">
        <f t="shared" si="173"/>
        <v>0</v>
      </c>
      <c r="EP75" s="409">
        <f t="shared" si="173"/>
        <v>0</v>
      </c>
      <c r="EQ75" s="409">
        <f t="shared" si="173"/>
        <v>0</v>
      </c>
      <c r="ER75" s="409">
        <f t="shared" si="173"/>
        <v>0</v>
      </c>
      <c r="ES75" s="409">
        <f t="shared" si="174"/>
        <v>0</v>
      </c>
      <c r="ET75" s="409">
        <f t="shared" si="174"/>
        <v>0</v>
      </c>
      <c r="EU75" s="409">
        <f t="shared" si="174"/>
        <v>0</v>
      </c>
      <c r="EV75" s="409">
        <f t="shared" si="174"/>
        <v>0</v>
      </c>
      <c r="EW75" s="409">
        <f t="shared" si="174"/>
        <v>0</v>
      </c>
      <c r="EX75" s="409">
        <f t="shared" si="174"/>
        <v>0</v>
      </c>
      <c r="EY75" s="409">
        <f t="shared" si="174"/>
        <v>0</v>
      </c>
      <c r="EZ75" s="409">
        <f t="shared" si="174"/>
        <v>0</v>
      </c>
      <c r="FA75" s="409">
        <f t="shared" si="174"/>
        <v>0</v>
      </c>
      <c r="FB75" s="409">
        <f t="shared" si="174"/>
        <v>0</v>
      </c>
      <c r="FC75" s="409">
        <f t="shared" si="175"/>
        <v>0</v>
      </c>
      <c r="FD75" s="409">
        <f t="shared" si="175"/>
        <v>0</v>
      </c>
      <c r="FE75" s="409">
        <f t="shared" si="175"/>
        <v>0</v>
      </c>
      <c r="FF75" s="409">
        <f t="shared" si="175"/>
        <v>0</v>
      </c>
      <c r="FG75" s="409">
        <f t="shared" si="175"/>
        <v>0</v>
      </c>
      <c r="FH75" s="409">
        <f t="shared" si="175"/>
        <v>0</v>
      </c>
      <c r="FI75" s="409">
        <f t="shared" si="175"/>
        <v>0</v>
      </c>
      <c r="FJ75" s="409">
        <f t="shared" si="175"/>
        <v>0</v>
      </c>
      <c r="FK75" s="409">
        <f t="shared" si="175"/>
        <v>0</v>
      </c>
      <c r="FL75" s="409">
        <f t="shared" si="175"/>
        <v>0</v>
      </c>
      <c r="FM75" s="409">
        <f t="shared" si="176"/>
        <v>0</v>
      </c>
      <c r="FN75" s="409">
        <f t="shared" si="176"/>
        <v>0</v>
      </c>
      <c r="FO75" s="409">
        <f t="shared" si="176"/>
        <v>0</v>
      </c>
      <c r="FP75" s="409">
        <f t="shared" si="176"/>
        <v>0</v>
      </c>
      <c r="FQ75" s="409">
        <f t="shared" si="176"/>
        <v>0</v>
      </c>
      <c r="FR75" s="409">
        <f t="shared" si="176"/>
        <v>0</v>
      </c>
      <c r="FS75" s="409">
        <f t="shared" si="176"/>
        <v>0</v>
      </c>
      <c r="FT75" s="409">
        <f t="shared" si="176"/>
        <v>0</v>
      </c>
      <c r="FU75" s="409">
        <f t="shared" si="176"/>
        <v>0</v>
      </c>
      <c r="FV75" s="409">
        <f t="shared" si="176"/>
        <v>0</v>
      </c>
      <c r="FW75" s="409">
        <f t="shared" si="177"/>
        <v>0</v>
      </c>
      <c r="FX75" s="409">
        <f t="shared" si="177"/>
        <v>0</v>
      </c>
      <c r="FY75" s="409">
        <f t="shared" si="177"/>
        <v>0</v>
      </c>
      <c r="FZ75" s="409">
        <f t="shared" si="177"/>
        <v>0</v>
      </c>
      <c r="GA75" s="409">
        <f t="shared" si="177"/>
        <v>0</v>
      </c>
      <c r="GB75" s="409">
        <f t="shared" si="177"/>
        <v>0</v>
      </c>
      <c r="GC75" s="409">
        <f t="shared" si="177"/>
        <v>0</v>
      </c>
      <c r="GD75" s="409">
        <f t="shared" si="177"/>
        <v>0</v>
      </c>
      <c r="GE75" s="409">
        <f t="shared" si="177"/>
        <v>0</v>
      </c>
      <c r="GF75" s="409">
        <f t="shared" si="177"/>
        <v>0</v>
      </c>
      <c r="GG75" s="409">
        <f t="shared" si="178"/>
        <v>0</v>
      </c>
      <c r="GH75" s="409">
        <f t="shared" si="178"/>
        <v>0</v>
      </c>
      <c r="GI75" s="409">
        <f t="shared" si="178"/>
        <v>0</v>
      </c>
      <c r="GJ75" s="409">
        <f t="shared" si="178"/>
        <v>0</v>
      </c>
      <c r="GK75" s="409">
        <f t="shared" si="178"/>
        <v>0</v>
      </c>
      <c r="GL75" s="409">
        <f t="shared" si="178"/>
        <v>0</v>
      </c>
      <c r="GM75" s="409">
        <f t="shared" si="178"/>
        <v>0</v>
      </c>
      <c r="GN75" s="409">
        <f t="shared" si="178"/>
        <v>0</v>
      </c>
      <c r="GO75" s="409">
        <f t="shared" si="178"/>
        <v>0</v>
      </c>
      <c r="GP75" s="409">
        <f t="shared" si="178"/>
        <v>0</v>
      </c>
      <c r="GQ75" s="409">
        <f t="shared" si="179"/>
        <v>0</v>
      </c>
      <c r="GR75" s="409">
        <f t="shared" si="179"/>
        <v>0</v>
      </c>
      <c r="GS75" s="409">
        <f t="shared" si="179"/>
        <v>0</v>
      </c>
      <c r="GT75" s="409">
        <f t="shared" si="179"/>
        <v>0</v>
      </c>
      <c r="GU75" s="409">
        <f t="shared" si="179"/>
        <v>0</v>
      </c>
      <c r="GV75" s="409">
        <f t="shared" si="179"/>
        <v>0</v>
      </c>
      <c r="GW75" s="409">
        <f t="shared" si="179"/>
        <v>0</v>
      </c>
      <c r="GX75" s="409">
        <f t="shared" si="179"/>
        <v>0</v>
      </c>
      <c r="GY75" s="409">
        <f t="shared" si="179"/>
        <v>0</v>
      </c>
      <c r="GZ75" s="409">
        <f t="shared" si="179"/>
        <v>0</v>
      </c>
      <c r="HA75" s="409">
        <f t="shared" si="180"/>
        <v>0</v>
      </c>
      <c r="HB75" s="409">
        <f t="shared" si="180"/>
        <v>0</v>
      </c>
      <c r="HC75" s="409">
        <f t="shared" si="180"/>
        <v>0</v>
      </c>
      <c r="HD75" s="409">
        <f t="shared" si="180"/>
        <v>0</v>
      </c>
      <c r="HE75" s="409">
        <f t="shared" si="180"/>
        <v>0</v>
      </c>
      <c r="HF75" s="409">
        <f t="shared" si="180"/>
        <v>0</v>
      </c>
      <c r="HG75" s="409">
        <f t="shared" si="180"/>
        <v>0</v>
      </c>
      <c r="HH75" s="409">
        <f t="shared" si="180"/>
        <v>0</v>
      </c>
      <c r="HI75" s="409">
        <f t="shared" si="180"/>
        <v>0</v>
      </c>
      <c r="HJ75" s="409">
        <f t="shared" si="180"/>
        <v>0</v>
      </c>
      <c r="HK75" s="409">
        <f t="shared" si="181"/>
        <v>0</v>
      </c>
      <c r="HL75" s="409">
        <f t="shared" si="181"/>
        <v>0</v>
      </c>
      <c r="HM75" s="409">
        <f t="shared" si="181"/>
        <v>0</v>
      </c>
      <c r="HN75" s="409">
        <f t="shared" si="181"/>
        <v>0</v>
      </c>
      <c r="HO75" s="409">
        <f t="shared" si="181"/>
        <v>0</v>
      </c>
      <c r="HP75" s="409">
        <f t="shared" si="181"/>
        <v>0</v>
      </c>
      <c r="HQ75" s="409">
        <f t="shared" si="181"/>
        <v>0</v>
      </c>
      <c r="HR75" s="409">
        <f t="shared" si="181"/>
        <v>0</v>
      </c>
      <c r="HS75" s="409">
        <f t="shared" si="181"/>
        <v>0</v>
      </c>
      <c r="HT75" s="409">
        <f t="shared" si="181"/>
        <v>0</v>
      </c>
      <c r="HU75" s="409">
        <f t="shared" si="182"/>
        <v>0</v>
      </c>
      <c r="HV75" s="409">
        <f t="shared" si="182"/>
        <v>0</v>
      </c>
      <c r="HW75" s="409">
        <f t="shared" si="182"/>
        <v>0</v>
      </c>
      <c r="HX75" s="409">
        <f t="shared" si="182"/>
        <v>0</v>
      </c>
      <c r="HY75" s="409">
        <f t="shared" si="182"/>
        <v>0</v>
      </c>
      <c r="HZ75" s="409">
        <f t="shared" si="182"/>
        <v>0</v>
      </c>
      <c r="IA75" s="409">
        <f t="shared" si="182"/>
        <v>0</v>
      </c>
      <c r="IB75" s="409">
        <f t="shared" si="182"/>
        <v>0</v>
      </c>
      <c r="IC75" s="409">
        <f t="shared" si="182"/>
        <v>0</v>
      </c>
      <c r="ID75" s="409">
        <f t="shared" si="182"/>
        <v>0</v>
      </c>
      <c r="IE75" s="409">
        <f t="shared" si="183"/>
        <v>0</v>
      </c>
      <c r="IF75" s="409">
        <f t="shared" si="183"/>
        <v>0</v>
      </c>
      <c r="IG75" s="409">
        <f t="shared" si="183"/>
        <v>0</v>
      </c>
      <c r="IH75" s="409">
        <f t="shared" si="183"/>
        <v>0</v>
      </c>
      <c r="II75" s="409">
        <f t="shared" si="183"/>
        <v>0</v>
      </c>
      <c r="IJ75" s="409">
        <f t="shared" si="183"/>
        <v>0</v>
      </c>
      <c r="IK75" s="378">
        <f t="shared" si="54"/>
        <v>68</v>
      </c>
    </row>
    <row r="76" spans="1:249" hidden="1" x14ac:dyDescent="0.2">
      <c r="A76" s="380" t="str">
        <f t="shared" si="119"/>
        <v>e</v>
      </c>
      <c r="B76" s="712" t="str" cm="1">
        <f t="array" ref="B76">IF(ISERROR(INDEX('Legend(Skid)'!$H$8:$H$9,ROW()-42)),"",INDEX('Legend(Skid)'!$H$8:$H$9,ROW()-42))</f>
        <v/>
      </c>
      <c r="C76" s="712" t="e" cm="1">
        <f t="array" ref="C76">IF(INDEX('Legend(Skid)'!$T$8:$T$9,ROW()-42)=0,"See Legend",INDEX('Legend(Skid)'!$T$8:$T$9,ROW()-42))</f>
        <v>#REF!</v>
      </c>
      <c r="D76" s="712" t="e">
        <f>IF(INDEX('Legend(Skid)'!$R$8:$R$9,(ROW(C76))-42)=0,IF(AND(INDEX('Legend(Skid)'!$D$8:$D$9,(ROW(C76))-41)="CH",INDEX('Legend(Skid)'!$F$8:$F$9,(ROW(C76))-41)="CASE - MANUAL"),INDEX('Legend(Skid)'!$R$8:$R$9,(ROW(C76))-41),IF(INDEX('Legend(Skid)'!$V$8:$V$9,(ROW(C76))-42)&gt;1, "(" &amp; INDEX('Legend(Skid)'!$V$8:$V$9,(ROW(C76))-42) &amp; ") " &amp; INDEX('Legend(Skid)'!$W$8:$W$9,(ROW(C76))-41),INDEX('Legend(Skid)'!$W$8:$W$9,(ROW(C76))-42))),INDEX('Legend(Skid)'!$R$8:$R$9,(ROW(C76))-42))</f>
        <v>#REF!</v>
      </c>
      <c r="E76" s="713" cm="1">
        <f t="array" ref="E76">IF(OR(ISNUMBER(SEARCH("Pump",C76)),ISNUMBER(SEARCH("PH",C76)),ISERROR(INDEX('Legend(Skid)'!$AA$8:$AA$9,ROW()-42))),0,INDEX('Legend(Skid)'!$AA$8:$AA$9,ROW()-42))</f>
        <v>0</v>
      </c>
      <c r="F76" s="714"/>
      <c r="G76" s="714"/>
      <c r="H76" s="714"/>
      <c r="I76" s="714"/>
      <c r="J76" s="714"/>
      <c r="K76" s="890">
        <f t="shared" si="35"/>
        <v>0</v>
      </c>
      <c r="L76" s="718"/>
      <c r="M76" s="720"/>
      <c r="N76" s="972">
        <f t="shared" si="120"/>
        <v>-1</v>
      </c>
      <c r="O76" s="972">
        <f t="shared" si="121"/>
        <v>-1</v>
      </c>
      <c r="P76" s="972">
        <f t="shared" si="122"/>
        <v>-1</v>
      </c>
      <c r="Q76" s="972">
        <f t="shared" si="123"/>
        <v>-1</v>
      </c>
      <c r="R76" s="972">
        <f t="shared" si="124"/>
        <v>-1</v>
      </c>
      <c r="S76" s="972">
        <f t="shared" si="125"/>
        <v>-1</v>
      </c>
      <c r="T76" s="972">
        <f t="shared" si="126"/>
        <v>-1</v>
      </c>
      <c r="U76" s="972">
        <f t="shared" si="127"/>
        <v>-1</v>
      </c>
      <c r="V76" s="972">
        <f t="shared" si="128"/>
        <v>-1</v>
      </c>
      <c r="W76" s="972">
        <f t="shared" si="129"/>
        <v>-1</v>
      </c>
      <c r="X76" s="972">
        <f t="shared" si="130"/>
        <v>-1</v>
      </c>
      <c r="Y76" s="972">
        <f t="shared" si="131"/>
        <v>-1</v>
      </c>
      <c r="Z76" s="972">
        <f t="shared" si="132"/>
        <v>-1</v>
      </c>
      <c r="AA76" s="972">
        <f t="shared" si="133"/>
        <v>-1</v>
      </c>
      <c r="AB76" s="972">
        <f t="shared" si="134"/>
        <v>-1</v>
      </c>
      <c r="AC76" s="972">
        <f t="shared" si="135"/>
        <v>-1</v>
      </c>
      <c r="AD76" s="972">
        <f t="shared" si="136"/>
        <v>-1</v>
      </c>
      <c r="AE76" s="972">
        <f t="shared" si="137"/>
        <v>-1</v>
      </c>
      <c r="AF76" s="972">
        <f t="shared" si="138"/>
        <v>-1</v>
      </c>
      <c r="AG76" s="972">
        <f t="shared" si="139"/>
        <v>-1</v>
      </c>
      <c r="AH76" s="972">
        <f t="shared" si="140"/>
        <v>-1</v>
      </c>
      <c r="AI76" s="972">
        <f t="shared" si="141"/>
        <v>-1</v>
      </c>
      <c r="AJ76" s="972">
        <f t="shared" si="142"/>
        <v>-1</v>
      </c>
      <c r="AK76" s="381" t="str">
        <f>IF(ISERROR(INDEX('Legend(Skid)'!$AI$8:$AI$9,ROW()-42)),"",INDEX('Legend(Skid)'!$AI$8:$AI$9,ROW()-42))</f>
        <v/>
      </c>
      <c r="AL76" s="727" t="str">
        <f t="shared" si="53"/>
        <v/>
      </c>
      <c r="AM76" s="409">
        <f t="shared" si="163"/>
        <v>0</v>
      </c>
      <c r="AN76" s="409">
        <f t="shared" si="163"/>
        <v>0</v>
      </c>
      <c r="AO76" s="409">
        <f t="shared" si="163"/>
        <v>0</v>
      </c>
      <c r="AP76" s="409">
        <f t="shared" si="163"/>
        <v>0</v>
      </c>
      <c r="AQ76" s="409">
        <f t="shared" si="163"/>
        <v>0</v>
      </c>
      <c r="AR76" s="409">
        <f t="shared" si="163"/>
        <v>0</v>
      </c>
      <c r="AS76" s="409">
        <f t="shared" si="163"/>
        <v>0</v>
      </c>
      <c r="AT76" s="409">
        <f t="shared" si="163"/>
        <v>0</v>
      </c>
      <c r="AU76" s="409">
        <f t="shared" si="163"/>
        <v>0</v>
      </c>
      <c r="AV76" s="409">
        <f t="shared" si="163"/>
        <v>0</v>
      </c>
      <c r="AW76" s="409">
        <f t="shared" si="164"/>
        <v>0</v>
      </c>
      <c r="AX76" s="409">
        <f t="shared" si="164"/>
        <v>0</v>
      </c>
      <c r="AY76" s="409">
        <f t="shared" si="164"/>
        <v>0</v>
      </c>
      <c r="AZ76" s="409">
        <f t="shared" si="164"/>
        <v>0</v>
      </c>
      <c r="BA76" s="409">
        <f t="shared" si="164"/>
        <v>0</v>
      </c>
      <c r="BB76" s="409">
        <f t="shared" si="164"/>
        <v>0</v>
      </c>
      <c r="BC76" s="409">
        <f t="shared" si="164"/>
        <v>0</v>
      </c>
      <c r="BD76" s="409">
        <f t="shared" si="164"/>
        <v>0</v>
      </c>
      <c r="BE76" s="409">
        <f t="shared" si="164"/>
        <v>0</v>
      </c>
      <c r="BF76" s="409">
        <f t="shared" si="164"/>
        <v>0</v>
      </c>
      <c r="BG76" s="409">
        <f t="shared" si="165"/>
        <v>0</v>
      </c>
      <c r="BH76" s="409">
        <f t="shared" si="165"/>
        <v>0</v>
      </c>
      <c r="BI76" s="409">
        <f t="shared" si="165"/>
        <v>0</v>
      </c>
      <c r="BJ76" s="409">
        <f t="shared" si="165"/>
        <v>0</v>
      </c>
      <c r="BK76" s="409">
        <f t="shared" si="165"/>
        <v>0</v>
      </c>
      <c r="BL76" s="409">
        <f t="shared" si="165"/>
        <v>0</v>
      </c>
      <c r="BM76" s="409">
        <f t="shared" si="165"/>
        <v>0</v>
      </c>
      <c r="BN76" s="409">
        <f t="shared" si="165"/>
        <v>0</v>
      </c>
      <c r="BO76" s="409">
        <f t="shared" si="165"/>
        <v>0</v>
      </c>
      <c r="BP76" s="409">
        <f t="shared" si="165"/>
        <v>0</v>
      </c>
      <c r="BQ76" s="409">
        <f t="shared" si="166"/>
        <v>0</v>
      </c>
      <c r="BR76" s="409">
        <f t="shared" si="166"/>
        <v>0</v>
      </c>
      <c r="BS76" s="409">
        <f t="shared" si="166"/>
        <v>0</v>
      </c>
      <c r="BT76" s="409">
        <f t="shared" si="166"/>
        <v>0</v>
      </c>
      <c r="BU76" s="409">
        <f t="shared" si="166"/>
        <v>0</v>
      </c>
      <c r="BV76" s="409">
        <f t="shared" si="166"/>
        <v>0</v>
      </c>
      <c r="BW76" s="409">
        <f t="shared" si="166"/>
        <v>0</v>
      </c>
      <c r="BX76" s="409">
        <f t="shared" si="166"/>
        <v>0</v>
      </c>
      <c r="BY76" s="409">
        <f t="shared" si="166"/>
        <v>0</v>
      </c>
      <c r="BZ76" s="409">
        <f t="shared" si="166"/>
        <v>0</v>
      </c>
      <c r="CA76" s="409">
        <f t="shared" si="167"/>
        <v>0</v>
      </c>
      <c r="CB76" s="409">
        <f t="shared" si="167"/>
        <v>0</v>
      </c>
      <c r="CC76" s="409">
        <f t="shared" si="167"/>
        <v>0</v>
      </c>
      <c r="CD76" s="409">
        <f t="shared" si="167"/>
        <v>0</v>
      </c>
      <c r="CE76" s="409">
        <f t="shared" si="167"/>
        <v>0</v>
      </c>
      <c r="CF76" s="409">
        <f t="shared" si="167"/>
        <v>0</v>
      </c>
      <c r="CG76" s="409">
        <f t="shared" si="167"/>
        <v>0</v>
      </c>
      <c r="CH76" s="409">
        <f t="shared" si="167"/>
        <v>0</v>
      </c>
      <c r="CI76" s="409">
        <f t="shared" si="167"/>
        <v>0</v>
      </c>
      <c r="CJ76" s="409">
        <f t="shared" si="167"/>
        <v>0</v>
      </c>
      <c r="CK76" s="409">
        <f t="shared" si="168"/>
        <v>0</v>
      </c>
      <c r="CL76" s="409">
        <f t="shared" si="168"/>
        <v>0</v>
      </c>
      <c r="CM76" s="409">
        <f t="shared" si="168"/>
        <v>0</v>
      </c>
      <c r="CN76" s="409">
        <f t="shared" si="168"/>
        <v>0</v>
      </c>
      <c r="CO76" s="409">
        <f t="shared" si="168"/>
        <v>0</v>
      </c>
      <c r="CP76" s="409">
        <f t="shared" si="168"/>
        <v>0</v>
      </c>
      <c r="CQ76" s="409">
        <f t="shared" si="168"/>
        <v>0</v>
      </c>
      <c r="CR76" s="409">
        <f t="shared" si="168"/>
        <v>0</v>
      </c>
      <c r="CS76" s="409">
        <f t="shared" si="168"/>
        <v>0</v>
      </c>
      <c r="CT76" s="409">
        <f t="shared" si="168"/>
        <v>0</v>
      </c>
      <c r="CU76" s="409">
        <f t="shared" si="169"/>
        <v>0</v>
      </c>
      <c r="CV76" s="409">
        <f t="shared" si="169"/>
        <v>0</v>
      </c>
      <c r="CW76" s="409">
        <f t="shared" si="169"/>
        <v>0</v>
      </c>
      <c r="CX76" s="409">
        <f t="shared" si="169"/>
        <v>0</v>
      </c>
      <c r="CY76" s="409">
        <f t="shared" si="169"/>
        <v>0</v>
      </c>
      <c r="CZ76" s="409">
        <f t="shared" si="169"/>
        <v>0</v>
      </c>
      <c r="DA76" s="409">
        <f t="shared" si="169"/>
        <v>0</v>
      </c>
      <c r="DB76" s="409">
        <f t="shared" si="169"/>
        <v>0</v>
      </c>
      <c r="DC76" s="409">
        <f t="shared" si="169"/>
        <v>0</v>
      </c>
      <c r="DD76" s="409">
        <f t="shared" si="169"/>
        <v>0</v>
      </c>
      <c r="DE76" s="409">
        <f t="shared" si="170"/>
        <v>0</v>
      </c>
      <c r="DF76" s="409">
        <f t="shared" si="170"/>
        <v>0</v>
      </c>
      <c r="DG76" s="409">
        <f t="shared" si="170"/>
        <v>0</v>
      </c>
      <c r="DH76" s="409">
        <f t="shared" si="170"/>
        <v>0</v>
      </c>
      <c r="DI76" s="409">
        <f t="shared" si="170"/>
        <v>0</v>
      </c>
      <c r="DJ76" s="409">
        <f t="shared" si="170"/>
        <v>0</v>
      </c>
      <c r="DK76" s="409">
        <f t="shared" si="170"/>
        <v>0</v>
      </c>
      <c r="DL76" s="409">
        <f t="shared" si="170"/>
        <v>0</v>
      </c>
      <c r="DM76" s="409">
        <f t="shared" si="170"/>
        <v>0</v>
      </c>
      <c r="DN76" s="409">
        <f t="shared" si="170"/>
        <v>0</v>
      </c>
      <c r="DO76" s="409">
        <f t="shared" si="171"/>
        <v>0</v>
      </c>
      <c r="DP76" s="409">
        <f t="shared" si="171"/>
        <v>0</v>
      </c>
      <c r="DQ76" s="409">
        <f t="shared" si="171"/>
        <v>0</v>
      </c>
      <c r="DR76" s="409">
        <f t="shared" si="171"/>
        <v>0</v>
      </c>
      <c r="DS76" s="409">
        <f t="shared" si="171"/>
        <v>0</v>
      </c>
      <c r="DT76" s="409">
        <f t="shared" si="171"/>
        <v>0</v>
      </c>
      <c r="DU76" s="409">
        <f t="shared" si="171"/>
        <v>0</v>
      </c>
      <c r="DV76" s="409">
        <f t="shared" si="171"/>
        <v>0</v>
      </c>
      <c r="DW76" s="409">
        <f t="shared" si="171"/>
        <v>0</v>
      </c>
      <c r="DX76" s="409">
        <f t="shared" si="171"/>
        <v>0</v>
      </c>
      <c r="DY76" s="409">
        <f t="shared" si="172"/>
        <v>0</v>
      </c>
      <c r="DZ76" s="409">
        <f t="shared" si="172"/>
        <v>0</v>
      </c>
      <c r="EA76" s="409">
        <f t="shared" si="172"/>
        <v>0</v>
      </c>
      <c r="EB76" s="409">
        <f t="shared" si="172"/>
        <v>0</v>
      </c>
      <c r="EC76" s="409">
        <f t="shared" si="172"/>
        <v>0</v>
      </c>
      <c r="ED76" s="409">
        <f t="shared" si="172"/>
        <v>0</v>
      </c>
      <c r="EE76" s="409">
        <f t="shared" si="172"/>
        <v>0</v>
      </c>
      <c r="EF76" s="409">
        <f t="shared" si="172"/>
        <v>0</v>
      </c>
      <c r="EG76" s="409">
        <f t="shared" si="172"/>
        <v>0</v>
      </c>
      <c r="EH76" s="409">
        <f t="shared" si="172"/>
        <v>0</v>
      </c>
      <c r="EI76" s="409">
        <f t="shared" si="173"/>
        <v>0</v>
      </c>
      <c r="EJ76" s="409">
        <f t="shared" si="173"/>
        <v>0</v>
      </c>
      <c r="EK76" s="409">
        <f t="shared" si="173"/>
        <v>0</v>
      </c>
      <c r="EL76" s="409">
        <f t="shared" si="173"/>
        <v>0</v>
      </c>
      <c r="EM76" s="409">
        <f t="shared" si="173"/>
        <v>0</v>
      </c>
      <c r="EN76" s="409">
        <f t="shared" si="173"/>
        <v>0</v>
      </c>
      <c r="EO76" s="409">
        <f t="shared" si="173"/>
        <v>0</v>
      </c>
      <c r="EP76" s="409">
        <f t="shared" si="173"/>
        <v>0</v>
      </c>
      <c r="EQ76" s="409">
        <f t="shared" si="173"/>
        <v>0</v>
      </c>
      <c r="ER76" s="409">
        <f t="shared" si="173"/>
        <v>0</v>
      </c>
      <c r="ES76" s="409">
        <f t="shared" si="174"/>
        <v>0</v>
      </c>
      <c r="ET76" s="409">
        <f t="shared" si="174"/>
        <v>0</v>
      </c>
      <c r="EU76" s="409">
        <f t="shared" si="174"/>
        <v>0</v>
      </c>
      <c r="EV76" s="409">
        <f t="shared" si="174"/>
        <v>0</v>
      </c>
      <c r="EW76" s="409">
        <f t="shared" si="174"/>
        <v>0</v>
      </c>
      <c r="EX76" s="409">
        <f t="shared" si="174"/>
        <v>0</v>
      </c>
      <c r="EY76" s="409">
        <f t="shared" si="174"/>
        <v>0</v>
      </c>
      <c r="EZ76" s="409">
        <f t="shared" si="174"/>
        <v>0</v>
      </c>
      <c r="FA76" s="409">
        <f t="shared" si="174"/>
        <v>0</v>
      </c>
      <c r="FB76" s="409">
        <f t="shared" si="174"/>
        <v>0</v>
      </c>
      <c r="FC76" s="409">
        <f t="shared" si="175"/>
        <v>0</v>
      </c>
      <c r="FD76" s="409">
        <f t="shared" si="175"/>
        <v>0</v>
      </c>
      <c r="FE76" s="409">
        <f t="shared" si="175"/>
        <v>0</v>
      </c>
      <c r="FF76" s="409">
        <f t="shared" si="175"/>
        <v>0</v>
      </c>
      <c r="FG76" s="409">
        <f t="shared" si="175"/>
        <v>0</v>
      </c>
      <c r="FH76" s="409">
        <f t="shared" si="175"/>
        <v>0</v>
      </c>
      <c r="FI76" s="409">
        <f t="shared" si="175"/>
        <v>0</v>
      </c>
      <c r="FJ76" s="409">
        <f t="shared" si="175"/>
        <v>0</v>
      </c>
      <c r="FK76" s="409">
        <f t="shared" si="175"/>
        <v>0</v>
      </c>
      <c r="FL76" s="409">
        <f t="shared" si="175"/>
        <v>0</v>
      </c>
      <c r="FM76" s="409">
        <f t="shared" si="176"/>
        <v>0</v>
      </c>
      <c r="FN76" s="409">
        <f t="shared" si="176"/>
        <v>0</v>
      </c>
      <c r="FO76" s="409">
        <f t="shared" si="176"/>
        <v>0</v>
      </c>
      <c r="FP76" s="409">
        <f t="shared" si="176"/>
        <v>0</v>
      </c>
      <c r="FQ76" s="409">
        <f t="shared" si="176"/>
        <v>0</v>
      </c>
      <c r="FR76" s="409">
        <f t="shared" si="176"/>
        <v>0</v>
      </c>
      <c r="FS76" s="409">
        <f t="shared" si="176"/>
        <v>0</v>
      </c>
      <c r="FT76" s="409">
        <f t="shared" si="176"/>
        <v>0</v>
      </c>
      <c r="FU76" s="409">
        <f t="shared" si="176"/>
        <v>0</v>
      </c>
      <c r="FV76" s="409">
        <f t="shared" si="176"/>
        <v>0</v>
      </c>
      <c r="FW76" s="409">
        <f t="shared" si="177"/>
        <v>0</v>
      </c>
      <c r="FX76" s="409">
        <f t="shared" si="177"/>
        <v>0</v>
      </c>
      <c r="FY76" s="409">
        <f t="shared" si="177"/>
        <v>0</v>
      </c>
      <c r="FZ76" s="409">
        <f t="shared" si="177"/>
        <v>0</v>
      </c>
      <c r="GA76" s="409">
        <f t="shared" si="177"/>
        <v>0</v>
      </c>
      <c r="GB76" s="409">
        <f t="shared" si="177"/>
        <v>0</v>
      </c>
      <c r="GC76" s="409">
        <f t="shared" si="177"/>
        <v>0</v>
      </c>
      <c r="GD76" s="409">
        <f t="shared" si="177"/>
        <v>0</v>
      </c>
      <c r="GE76" s="409">
        <f t="shared" si="177"/>
        <v>0</v>
      </c>
      <c r="GF76" s="409">
        <f t="shared" si="177"/>
        <v>0</v>
      </c>
      <c r="GG76" s="409">
        <f t="shared" si="178"/>
        <v>0</v>
      </c>
      <c r="GH76" s="409">
        <f t="shared" si="178"/>
        <v>0</v>
      </c>
      <c r="GI76" s="409">
        <f t="shared" si="178"/>
        <v>0</v>
      </c>
      <c r="GJ76" s="409">
        <f t="shared" si="178"/>
        <v>0</v>
      </c>
      <c r="GK76" s="409">
        <f t="shared" si="178"/>
        <v>0</v>
      </c>
      <c r="GL76" s="409">
        <f t="shared" si="178"/>
        <v>0</v>
      </c>
      <c r="GM76" s="409">
        <f t="shared" si="178"/>
        <v>0</v>
      </c>
      <c r="GN76" s="409">
        <f t="shared" si="178"/>
        <v>0</v>
      </c>
      <c r="GO76" s="409">
        <f t="shared" si="178"/>
        <v>0</v>
      </c>
      <c r="GP76" s="409">
        <f t="shared" si="178"/>
        <v>0</v>
      </c>
      <c r="GQ76" s="409">
        <f t="shared" si="179"/>
        <v>0</v>
      </c>
      <c r="GR76" s="409">
        <f t="shared" si="179"/>
        <v>0</v>
      </c>
      <c r="GS76" s="409">
        <f t="shared" si="179"/>
        <v>0</v>
      </c>
      <c r="GT76" s="409">
        <f t="shared" si="179"/>
        <v>0</v>
      </c>
      <c r="GU76" s="409">
        <f t="shared" si="179"/>
        <v>0</v>
      </c>
      <c r="GV76" s="409">
        <f t="shared" si="179"/>
        <v>0</v>
      </c>
      <c r="GW76" s="409">
        <f t="shared" si="179"/>
        <v>0</v>
      </c>
      <c r="GX76" s="409">
        <f t="shared" si="179"/>
        <v>0</v>
      </c>
      <c r="GY76" s="409">
        <f t="shared" si="179"/>
        <v>0</v>
      </c>
      <c r="GZ76" s="409">
        <f t="shared" si="179"/>
        <v>0</v>
      </c>
      <c r="HA76" s="409">
        <f t="shared" si="180"/>
        <v>0</v>
      </c>
      <c r="HB76" s="409">
        <f t="shared" si="180"/>
        <v>0</v>
      </c>
      <c r="HC76" s="409">
        <f t="shared" si="180"/>
        <v>0</v>
      </c>
      <c r="HD76" s="409">
        <f t="shared" si="180"/>
        <v>0</v>
      </c>
      <c r="HE76" s="409">
        <f t="shared" si="180"/>
        <v>0</v>
      </c>
      <c r="HF76" s="409">
        <f t="shared" si="180"/>
        <v>0</v>
      </c>
      <c r="HG76" s="409">
        <f t="shared" si="180"/>
        <v>0</v>
      </c>
      <c r="HH76" s="409">
        <f t="shared" si="180"/>
        <v>0</v>
      </c>
      <c r="HI76" s="409">
        <f t="shared" si="180"/>
        <v>0</v>
      </c>
      <c r="HJ76" s="409">
        <f t="shared" si="180"/>
        <v>0</v>
      </c>
      <c r="HK76" s="409">
        <f t="shared" si="181"/>
        <v>0</v>
      </c>
      <c r="HL76" s="409">
        <f t="shared" si="181"/>
        <v>0</v>
      </c>
      <c r="HM76" s="409">
        <f t="shared" si="181"/>
        <v>0</v>
      </c>
      <c r="HN76" s="409">
        <f t="shared" si="181"/>
        <v>0</v>
      </c>
      <c r="HO76" s="409">
        <f t="shared" si="181"/>
        <v>0</v>
      </c>
      <c r="HP76" s="409">
        <f t="shared" si="181"/>
        <v>0</v>
      </c>
      <c r="HQ76" s="409">
        <f t="shared" si="181"/>
        <v>0</v>
      </c>
      <c r="HR76" s="409">
        <f t="shared" si="181"/>
        <v>0</v>
      </c>
      <c r="HS76" s="409">
        <f t="shared" si="181"/>
        <v>0</v>
      </c>
      <c r="HT76" s="409">
        <f t="shared" si="181"/>
        <v>0</v>
      </c>
      <c r="HU76" s="409">
        <f t="shared" si="182"/>
        <v>0</v>
      </c>
      <c r="HV76" s="409">
        <f t="shared" si="182"/>
        <v>0</v>
      </c>
      <c r="HW76" s="409">
        <f t="shared" si="182"/>
        <v>0</v>
      </c>
      <c r="HX76" s="409">
        <f t="shared" si="182"/>
        <v>0</v>
      </c>
      <c r="HY76" s="409">
        <f t="shared" si="182"/>
        <v>0</v>
      </c>
      <c r="HZ76" s="409">
        <f t="shared" si="182"/>
        <v>0</v>
      </c>
      <c r="IA76" s="409">
        <f t="shared" si="182"/>
        <v>0</v>
      </c>
      <c r="IB76" s="409">
        <f t="shared" si="182"/>
        <v>0</v>
      </c>
      <c r="IC76" s="409">
        <f t="shared" si="182"/>
        <v>0</v>
      </c>
      <c r="ID76" s="409">
        <f t="shared" si="182"/>
        <v>0</v>
      </c>
      <c r="IE76" s="409">
        <f t="shared" si="183"/>
        <v>0</v>
      </c>
      <c r="IF76" s="409">
        <f t="shared" si="183"/>
        <v>0</v>
      </c>
      <c r="IG76" s="409">
        <f t="shared" si="183"/>
        <v>0</v>
      </c>
      <c r="IH76" s="409">
        <f t="shared" si="183"/>
        <v>0</v>
      </c>
      <c r="II76" s="409">
        <f t="shared" si="183"/>
        <v>0</v>
      </c>
      <c r="IJ76" s="409">
        <f t="shared" si="183"/>
        <v>0</v>
      </c>
      <c r="IK76" s="378">
        <f t="shared" si="54"/>
        <v>69</v>
      </c>
    </row>
    <row r="77" spans="1:249" ht="13.5" hidden="1" thickBot="1" x14ac:dyDescent="0.25">
      <c r="A77" s="380" t="str">
        <f t="shared" si="119"/>
        <v>e</v>
      </c>
      <c r="B77" s="712" t="str" cm="1">
        <f t="array" ref="B77">IF(ISERROR(INDEX('Legend(Skid)'!$H$8:$H$9,ROW()-42)),"",INDEX('Legend(Skid)'!$H$8:$H$9,ROW()-42))</f>
        <v/>
      </c>
      <c r="C77" s="712" t="e" cm="1">
        <f t="array" ref="C77">IF(INDEX('Legend(Skid)'!$T$8:$T$9,ROW()-42)=0,"See Legend",INDEX('Legend(Skid)'!$T$8:$T$9,ROW()-42))</f>
        <v>#REF!</v>
      </c>
      <c r="D77" s="712" t="e">
        <f>IF(INDEX('Legend(Skid)'!$R$8:$R$9,(ROW(C77))-42)=0,IF(AND(INDEX('Legend(Skid)'!$D$8:$D$9,(ROW(C77))-41)="CH",INDEX('Legend(Skid)'!$F$8:$F$9,(ROW(C77))-41)="CASE - MANUAL"),INDEX('Legend(Skid)'!$R$8:$R$9,(ROW(C77))-41),IF(INDEX('Legend(Skid)'!$V$8:$V$9,(ROW(C77))-42)&gt;1, "(" &amp; INDEX('Legend(Skid)'!$V$8:$V$9,(ROW(C77))-42) &amp; ") " &amp; INDEX('Legend(Skid)'!$W$8:$W$9,(ROW(C77))-41),INDEX('Legend(Skid)'!$W$8:$W$9,(ROW(C77))-42))),INDEX('Legend(Skid)'!$R$8:$R$9,(ROW(C77))-42))</f>
        <v>#REF!</v>
      </c>
      <c r="E77" s="713" cm="1">
        <f t="array" ref="E77">IF(OR(ISNUMBER(SEARCH("Pump",C77)),ISNUMBER(SEARCH("PH",C77)),ISERROR(INDEX('Legend(Skid)'!$AA$8:$AA$9,ROW()-42))),0,INDEX('Legend(Skid)'!$AA$8:$AA$9,ROW()-42))</f>
        <v>0</v>
      </c>
      <c r="F77" s="714"/>
      <c r="G77" s="714"/>
      <c r="H77" s="714"/>
      <c r="I77" s="714"/>
      <c r="J77" s="714"/>
      <c r="K77" s="890">
        <f t="shared" si="35"/>
        <v>0</v>
      </c>
      <c r="L77" s="721"/>
      <c r="M77" s="722"/>
      <c r="N77" s="972">
        <f t="shared" si="120"/>
        <v>-1</v>
      </c>
      <c r="O77" s="972">
        <f t="shared" si="121"/>
        <v>-1</v>
      </c>
      <c r="P77" s="972">
        <f t="shared" si="122"/>
        <v>-1</v>
      </c>
      <c r="Q77" s="972">
        <f t="shared" si="123"/>
        <v>-1</v>
      </c>
      <c r="R77" s="972">
        <f t="shared" si="124"/>
        <v>-1</v>
      </c>
      <c r="S77" s="972">
        <f t="shared" si="125"/>
        <v>-1</v>
      </c>
      <c r="T77" s="972">
        <f t="shared" si="126"/>
        <v>-1</v>
      </c>
      <c r="U77" s="972">
        <f t="shared" si="127"/>
        <v>-1</v>
      </c>
      <c r="V77" s="972">
        <f t="shared" si="128"/>
        <v>-1</v>
      </c>
      <c r="W77" s="972">
        <f t="shared" si="129"/>
        <v>-1</v>
      </c>
      <c r="X77" s="972">
        <f t="shared" si="130"/>
        <v>-1</v>
      </c>
      <c r="Y77" s="972">
        <f t="shared" si="131"/>
        <v>-1</v>
      </c>
      <c r="Z77" s="972">
        <f t="shared" si="132"/>
        <v>-1</v>
      </c>
      <c r="AA77" s="972">
        <f t="shared" si="133"/>
        <v>-1</v>
      </c>
      <c r="AB77" s="972">
        <f t="shared" si="134"/>
        <v>-1</v>
      </c>
      <c r="AC77" s="972">
        <f t="shared" si="135"/>
        <v>-1</v>
      </c>
      <c r="AD77" s="972">
        <f t="shared" si="136"/>
        <v>-1</v>
      </c>
      <c r="AE77" s="972">
        <f t="shared" si="137"/>
        <v>-1</v>
      </c>
      <c r="AF77" s="972">
        <f t="shared" si="138"/>
        <v>-1</v>
      </c>
      <c r="AG77" s="972">
        <f t="shared" si="139"/>
        <v>-1</v>
      </c>
      <c r="AH77" s="972">
        <f t="shared" si="140"/>
        <v>-1</v>
      </c>
      <c r="AI77" s="972">
        <f t="shared" si="141"/>
        <v>-1</v>
      </c>
      <c r="AJ77" s="972">
        <f t="shared" si="142"/>
        <v>-1</v>
      </c>
      <c r="AK77" s="381" t="str">
        <f>IF(ISERROR(INDEX('Legend(Skid)'!$AI$8:$AI$9,ROW()-42)),"",INDEX('Legend(Skid)'!$AI$8:$AI$9,ROW()-42))</f>
        <v/>
      </c>
      <c r="AL77" s="727" t="str">
        <f t="shared" si="53"/>
        <v/>
      </c>
      <c r="AM77" s="409">
        <f t="shared" si="163"/>
        <v>0</v>
      </c>
      <c r="AN77" s="409">
        <f t="shared" si="163"/>
        <v>0</v>
      </c>
      <c r="AO77" s="409">
        <f t="shared" si="163"/>
        <v>0</v>
      </c>
      <c r="AP77" s="409">
        <f t="shared" si="163"/>
        <v>0</v>
      </c>
      <c r="AQ77" s="409">
        <f t="shared" si="163"/>
        <v>0</v>
      </c>
      <c r="AR77" s="409">
        <f t="shared" si="163"/>
        <v>0</v>
      </c>
      <c r="AS77" s="409">
        <f t="shared" si="163"/>
        <v>0</v>
      </c>
      <c r="AT77" s="409">
        <f t="shared" si="163"/>
        <v>0</v>
      </c>
      <c r="AU77" s="409">
        <f t="shared" si="163"/>
        <v>0</v>
      </c>
      <c r="AV77" s="409">
        <f t="shared" si="163"/>
        <v>0</v>
      </c>
      <c r="AW77" s="409">
        <f t="shared" si="164"/>
        <v>0</v>
      </c>
      <c r="AX77" s="409">
        <f t="shared" si="164"/>
        <v>0</v>
      </c>
      <c r="AY77" s="409">
        <f t="shared" si="164"/>
        <v>0</v>
      </c>
      <c r="AZ77" s="409">
        <f t="shared" si="164"/>
        <v>0</v>
      </c>
      <c r="BA77" s="409">
        <f t="shared" si="164"/>
        <v>0</v>
      </c>
      <c r="BB77" s="409">
        <f t="shared" si="164"/>
        <v>0</v>
      </c>
      <c r="BC77" s="409">
        <f t="shared" si="164"/>
        <v>0</v>
      </c>
      <c r="BD77" s="409">
        <f t="shared" si="164"/>
        <v>0</v>
      </c>
      <c r="BE77" s="409">
        <f t="shared" si="164"/>
        <v>0</v>
      </c>
      <c r="BF77" s="409">
        <f t="shared" si="164"/>
        <v>0</v>
      </c>
      <c r="BG77" s="409">
        <f t="shared" si="165"/>
        <v>0</v>
      </c>
      <c r="BH77" s="409">
        <f t="shared" si="165"/>
        <v>0</v>
      </c>
      <c r="BI77" s="409">
        <f t="shared" si="165"/>
        <v>0</v>
      </c>
      <c r="BJ77" s="409">
        <f t="shared" si="165"/>
        <v>0</v>
      </c>
      <c r="BK77" s="409">
        <f t="shared" si="165"/>
        <v>0</v>
      </c>
      <c r="BL77" s="409">
        <f t="shared" si="165"/>
        <v>0</v>
      </c>
      <c r="BM77" s="409">
        <f t="shared" si="165"/>
        <v>0</v>
      </c>
      <c r="BN77" s="409">
        <f t="shared" si="165"/>
        <v>0</v>
      </c>
      <c r="BO77" s="409">
        <f t="shared" si="165"/>
        <v>0</v>
      </c>
      <c r="BP77" s="409">
        <f t="shared" si="165"/>
        <v>0</v>
      </c>
      <c r="BQ77" s="409">
        <f t="shared" si="166"/>
        <v>0</v>
      </c>
      <c r="BR77" s="409">
        <f t="shared" si="166"/>
        <v>0</v>
      </c>
      <c r="BS77" s="409">
        <f t="shared" si="166"/>
        <v>0</v>
      </c>
      <c r="BT77" s="409">
        <f t="shared" si="166"/>
        <v>0</v>
      </c>
      <c r="BU77" s="409">
        <f t="shared" si="166"/>
        <v>0</v>
      </c>
      <c r="BV77" s="409">
        <f t="shared" si="166"/>
        <v>0</v>
      </c>
      <c r="BW77" s="409">
        <f t="shared" si="166"/>
        <v>0</v>
      </c>
      <c r="BX77" s="409">
        <f t="shared" si="166"/>
        <v>0</v>
      </c>
      <c r="BY77" s="409">
        <f t="shared" si="166"/>
        <v>0</v>
      </c>
      <c r="BZ77" s="409">
        <f t="shared" si="166"/>
        <v>0</v>
      </c>
      <c r="CA77" s="409">
        <f t="shared" si="167"/>
        <v>0</v>
      </c>
      <c r="CB77" s="409">
        <f t="shared" si="167"/>
        <v>0</v>
      </c>
      <c r="CC77" s="409">
        <f t="shared" si="167"/>
        <v>0</v>
      </c>
      <c r="CD77" s="409">
        <f t="shared" si="167"/>
        <v>0</v>
      </c>
      <c r="CE77" s="409">
        <f t="shared" si="167"/>
        <v>0</v>
      </c>
      <c r="CF77" s="409">
        <f t="shared" si="167"/>
        <v>0</v>
      </c>
      <c r="CG77" s="409">
        <f t="shared" si="167"/>
        <v>0</v>
      </c>
      <c r="CH77" s="409">
        <f t="shared" si="167"/>
        <v>0</v>
      </c>
      <c r="CI77" s="409">
        <f t="shared" si="167"/>
        <v>0</v>
      </c>
      <c r="CJ77" s="409">
        <f t="shared" si="167"/>
        <v>0</v>
      </c>
      <c r="CK77" s="409">
        <f t="shared" si="168"/>
        <v>0</v>
      </c>
      <c r="CL77" s="409">
        <f t="shared" si="168"/>
        <v>0</v>
      </c>
      <c r="CM77" s="409">
        <f t="shared" si="168"/>
        <v>0</v>
      </c>
      <c r="CN77" s="409">
        <f t="shared" si="168"/>
        <v>0</v>
      </c>
      <c r="CO77" s="409">
        <f t="shared" si="168"/>
        <v>0</v>
      </c>
      <c r="CP77" s="409">
        <f t="shared" si="168"/>
        <v>0</v>
      </c>
      <c r="CQ77" s="409">
        <f t="shared" si="168"/>
        <v>0</v>
      </c>
      <c r="CR77" s="409">
        <f t="shared" si="168"/>
        <v>0</v>
      </c>
      <c r="CS77" s="409">
        <f t="shared" si="168"/>
        <v>0</v>
      </c>
      <c r="CT77" s="409">
        <f t="shared" si="168"/>
        <v>0</v>
      </c>
      <c r="CU77" s="409">
        <f t="shared" si="169"/>
        <v>0</v>
      </c>
      <c r="CV77" s="409">
        <f t="shared" si="169"/>
        <v>0</v>
      </c>
      <c r="CW77" s="409">
        <f t="shared" si="169"/>
        <v>0</v>
      </c>
      <c r="CX77" s="409">
        <f t="shared" si="169"/>
        <v>0</v>
      </c>
      <c r="CY77" s="409">
        <f t="shared" si="169"/>
        <v>0</v>
      </c>
      <c r="CZ77" s="409">
        <f t="shared" si="169"/>
        <v>0</v>
      </c>
      <c r="DA77" s="409">
        <f t="shared" si="169"/>
        <v>0</v>
      </c>
      <c r="DB77" s="409">
        <f t="shared" si="169"/>
        <v>0</v>
      </c>
      <c r="DC77" s="409">
        <f t="shared" si="169"/>
        <v>0</v>
      </c>
      <c r="DD77" s="409">
        <f t="shared" si="169"/>
        <v>0</v>
      </c>
      <c r="DE77" s="409">
        <f t="shared" si="170"/>
        <v>0</v>
      </c>
      <c r="DF77" s="409">
        <f t="shared" si="170"/>
        <v>0</v>
      </c>
      <c r="DG77" s="409">
        <f t="shared" si="170"/>
        <v>0</v>
      </c>
      <c r="DH77" s="409">
        <f t="shared" si="170"/>
        <v>0</v>
      </c>
      <c r="DI77" s="409">
        <f t="shared" si="170"/>
        <v>0</v>
      </c>
      <c r="DJ77" s="409">
        <f t="shared" si="170"/>
        <v>0</v>
      </c>
      <c r="DK77" s="409">
        <f t="shared" si="170"/>
        <v>0</v>
      </c>
      <c r="DL77" s="409">
        <f t="shared" si="170"/>
        <v>0</v>
      </c>
      <c r="DM77" s="409">
        <f t="shared" si="170"/>
        <v>0</v>
      </c>
      <c r="DN77" s="409">
        <f t="shared" si="170"/>
        <v>0</v>
      </c>
      <c r="DO77" s="409">
        <f t="shared" si="171"/>
        <v>0</v>
      </c>
      <c r="DP77" s="409">
        <f t="shared" si="171"/>
        <v>0</v>
      </c>
      <c r="DQ77" s="409">
        <f t="shared" si="171"/>
        <v>0</v>
      </c>
      <c r="DR77" s="409">
        <f t="shared" si="171"/>
        <v>0</v>
      </c>
      <c r="DS77" s="409">
        <f t="shared" si="171"/>
        <v>0</v>
      </c>
      <c r="DT77" s="409">
        <f t="shared" si="171"/>
        <v>0</v>
      </c>
      <c r="DU77" s="409">
        <f t="shared" si="171"/>
        <v>0</v>
      </c>
      <c r="DV77" s="409">
        <f t="shared" si="171"/>
        <v>0</v>
      </c>
      <c r="DW77" s="409">
        <f t="shared" si="171"/>
        <v>0</v>
      </c>
      <c r="DX77" s="409">
        <f t="shared" si="171"/>
        <v>0</v>
      </c>
      <c r="DY77" s="409">
        <f t="shared" si="172"/>
        <v>0</v>
      </c>
      <c r="DZ77" s="409">
        <f t="shared" si="172"/>
        <v>0</v>
      </c>
      <c r="EA77" s="409">
        <f t="shared" si="172"/>
        <v>0</v>
      </c>
      <c r="EB77" s="409">
        <f t="shared" si="172"/>
        <v>0</v>
      </c>
      <c r="EC77" s="409">
        <f t="shared" si="172"/>
        <v>0</v>
      </c>
      <c r="ED77" s="409">
        <f t="shared" si="172"/>
        <v>0</v>
      </c>
      <c r="EE77" s="409">
        <f t="shared" si="172"/>
        <v>0</v>
      </c>
      <c r="EF77" s="409">
        <f t="shared" si="172"/>
        <v>0</v>
      </c>
      <c r="EG77" s="409">
        <f t="shared" si="172"/>
        <v>0</v>
      </c>
      <c r="EH77" s="409">
        <f t="shared" si="172"/>
        <v>0</v>
      </c>
      <c r="EI77" s="409">
        <f t="shared" si="173"/>
        <v>0</v>
      </c>
      <c r="EJ77" s="409">
        <f t="shared" si="173"/>
        <v>0</v>
      </c>
      <c r="EK77" s="409">
        <f t="shared" si="173"/>
        <v>0</v>
      </c>
      <c r="EL77" s="409">
        <f t="shared" si="173"/>
        <v>0</v>
      </c>
      <c r="EM77" s="409">
        <f t="shared" si="173"/>
        <v>0</v>
      </c>
      <c r="EN77" s="409">
        <f t="shared" si="173"/>
        <v>0</v>
      </c>
      <c r="EO77" s="409">
        <f t="shared" si="173"/>
        <v>0</v>
      </c>
      <c r="EP77" s="409">
        <f t="shared" si="173"/>
        <v>0</v>
      </c>
      <c r="EQ77" s="409">
        <f t="shared" si="173"/>
        <v>0</v>
      </c>
      <c r="ER77" s="409">
        <f t="shared" si="173"/>
        <v>0</v>
      </c>
      <c r="ES77" s="409">
        <f t="shared" si="174"/>
        <v>0</v>
      </c>
      <c r="ET77" s="409">
        <f t="shared" si="174"/>
        <v>0</v>
      </c>
      <c r="EU77" s="409">
        <f t="shared" si="174"/>
        <v>0</v>
      </c>
      <c r="EV77" s="409">
        <f t="shared" si="174"/>
        <v>0</v>
      </c>
      <c r="EW77" s="409">
        <f t="shared" si="174"/>
        <v>0</v>
      </c>
      <c r="EX77" s="409">
        <f t="shared" si="174"/>
        <v>0</v>
      </c>
      <c r="EY77" s="409">
        <f t="shared" si="174"/>
        <v>0</v>
      </c>
      <c r="EZ77" s="409">
        <f t="shared" si="174"/>
        <v>0</v>
      </c>
      <c r="FA77" s="409">
        <f t="shared" si="174"/>
        <v>0</v>
      </c>
      <c r="FB77" s="409">
        <f t="shared" si="174"/>
        <v>0</v>
      </c>
      <c r="FC77" s="409">
        <f t="shared" si="175"/>
        <v>0</v>
      </c>
      <c r="FD77" s="409">
        <f t="shared" si="175"/>
        <v>0</v>
      </c>
      <c r="FE77" s="409">
        <f t="shared" si="175"/>
        <v>0</v>
      </c>
      <c r="FF77" s="409">
        <f t="shared" si="175"/>
        <v>0</v>
      </c>
      <c r="FG77" s="409">
        <f t="shared" si="175"/>
        <v>0</v>
      </c>
      <c r="FH77" s="409">
        <f t="shared" si="175"/>
        <v>0</v>
      </c>
      <c r="FI77" s="409">
        <f t="shared" si="175"/>
        <v>0</v>
      </c>
      <c r="FJ77" s="409">
        <f t="shared" si="175"/>
        <v>0</v>
      </c>
      <c r="FK77" s="409">
        <f t="shared" si="175"/>
        <v>0</v>
      </c>
      <c r="FL77" s="409">
        <f t="shared" si="175"/>
        <v>0</v>
      </c>
      <c r="FM77" s="409">
        <f t="shared" si="176"/>
        <v>0</v>
      </c>
      <c r="FN77" s="409">
        <f t="shared" si="176"/>
        <v>0</v>
      </c>
      <c r="FO77" s="409">
        <f t="shared" si="176"/>
        <v>0</v>
      </c>
      <c r="FP77" s="409">
        <f t="shared" si="176"/>
        <v>0</v>
      </c>
      <c r="FQ77" s="409">
        <f t="shared" si="176"/>
        <v>0</v>
      </c>
      <c r="FR77" s="409">
        <f t="shared" si="176"/>
        <v>0</v>
      </c>
      <c r="FS77" s="409">
        <f t="shared" si="176"/>
        <v>0</v>
      </c>
      <c r="FT77" s="409">
        <f t="shared" si="176"/>
        <v>0</v>
      </c>
      <c r="FU77" s="409">
        <f t="shared" si="176"/>
        <v>0</v>
      </c>
      <c r="FV77" s="409">
        <f t="shared" si="176"/>
        <v>0</v>
      </c>
      <c r="FW77" s="409">
        <f t="shared" si="177"/>
        <v>0</v>
      </c>
      <c r="FX77" s="409">
        <f t="shared" si="177"/>
        <v>0</v>
      </c>
      <c r="FY77" s="409">
        <f t="shared" si="177"/>
        <v>0</v>
      </c>
      <c r="FZ77" s="409">
        <f t="shared" si="177"/>
        <v>0</v>
      </c>
      <c r="GA77" s="409">
        <f t="shared" si="177"/>
        <v>0</v>
      </c>
      <c r="GB77" s="409">
        <f t="shared" si="177"/>
        <v>0</v>
      </c>
      <c r="GC77" s="409">
        <f t="shared" si="177"/>
        <v>0</v>
      </c>
      <c r="GD77" s="409">
        <f t="shared" si="177"/>
        <v>0</v>
      </c>
      <c r="GE77" s="409">
        <f t="shared" si="177"/>
        <v>0</v>
      </c>
      <c r="GF77" s="409">
        <f t="shared" si="177"/>
        <v>0</v>
      </c>
      <c r="GG77" s="409">
        <f t="shared" si="178"/>
        <v>0</v>
      </c>
      <c r="GH77" s="409">
        <f t="shared" si="178"/>
        <v>0</v>
      </c>
      <c r="GI77" s="409">
        <f t="shared" si="178"/>
        <v>0</v>
      </c>
      <c r="GJ77" s="409">
        <f t="shared" si="178"/>
        <v>0</v>
      </c>
      <c r="GK77" s="409">
        <f t="shared" si="178"/>
        <v>0</v>
      </c>
      <c r="GL77" s="409">
        <f t="shared" si="178"/>
        <v>0</v>
      </c>
      <c r="GM77" s="409">
        <f t="shared" si="178"/>
        <v>0</v>
      </c>
      <c r="GN77" s="409">
        <f t="shared" si="178"/>
        <v>0</v>
      </c>
      <c r="GO77" s="409">
        <f t="shared" si="178"/>
        <v>0</v>
      </c>
      <c r="GP77" s="409">
        <f t="shared" si="178"/>
        <v>0</v>
      </c>
      <c r="GQ77" s="409">
        <f t="shared" si="179"/>
        <v>0</v>
      </c>
      <c r="GR77" s="409">
        <f t="shared" si="179"/>
        <v>0</v>
      </c>
      <c r="GS77" s="409">
        <f t="shared" si="179"/>
        <v>0</v>
      </c>
      <c r="GT77" s="409">
        <f t="shared" si="179"/>
        <v>0</v>
      </c>
      <c r="GU77" s="409">
        <f t="shared" si="179"/>
        <v>0</v>
      </c>
      <c r="GV77" s="409">
        <f t="shared" si="179"/>
        <v>0</v>
      </c>
      <c r="GW77" s="409">
        <f t="shared" si="179"/>
        <v>0</v>
      </c>
      <c r="GX77" s="409">
        <f t="shared" si="179"/>
        <v>0</v>
      </c>
      <c r="GY77" s="409">
        <f t="shared" si="179"/>
        <v>0</v>
      </c>
      <c r="GZ77" s="409">
        <f t="shared" si="179"/>
        <v>0</v>
      </c>
      <c r="HA77" s="409">
        <f t="shared" si="180"/>
        <v>0</v>
      </c>
      <c r="HB77" s="409">
        <f t="shared" si="180"/>
        <v>0</v>
      </c>
      <c r="HC77" s="409">
        <f t="shared" si="180"/>
        <v>0</v>
      </c>
      <c r="HD77" s="409">
        <f t="shared" si="180"/>
        <v>0</v>
      </c>
      <c r="HE77" s="409">
        <f t="shared" si="180"/>
        <v>0</v>
      </c>
      <c r="HF77" s="409">
        <f t="shared" si="180"/>
        <v>0</v>
      </c>
      <c r="HG77" s="409">
        <f t="shared" si="180"/>
        <v>0</v>
      </c>
      <c r="HH77" s="409">
        <f t="shared" si="180"/>
        <v>0</v>
      </c>
      <c r="HI77" s="409">
        <f t="shared" si="180"/>
        <v>0</v>
      </c>
      <c r="HJ77" s="409">
        <f t="shared" si="180"/>
        <v>0</v>
      </c>
      <c r="HK77" s="409">
        <f t="shared" si="181"/>
        <v>0</v>
      </c>
      <c r="HL77" s="409">
        <f t="shared" si="181"/>
        <v>0</v>
      </c>
      <c r="HM77" s="409">
        <f t="shared" si="181"/>
        <v>0</v>
      </c>
      <c r="HN77" s="409">
        <f t="shared" si="181"/>
        <v>0</v>
      </c>
      <c r="HO77" s="409">
        <f t="shared" si="181"/>
        <v>0</v>
      </c>
      <c r="HP77" s="409">
        <f t="shared" si="181"/>
        <v>0</v>
      </c>
      <c r="HQ77" s="409">
        <f t="shared" si="181"/>
        <v>0</v>
      </c>
      <c r="HR77" s="409">
        <f t="shared" si="181"/>
        <v>0</v>
      </c>
      <c r="HS77" s="409">
        <f t="shared" si="181"/>
        <v>0</v>
      </c>
      <c r="HT77" s="409">
        <f t="shared" si="181"/>
        <v>0</v>
      </c>
      <c r="HU77" s="409">
        <f t="shared" si="182"/>
        <v>0</v>
      </c>
      <c r="HV77" s="409">
        <f t="shared" si="182"/>
        <v>0</v>
      </c>
      <c r="HW77" s="409">
        <f t="shared" si="182"/>
        <v>0</v>
      </c>
      <c r="HX77" s="409">
        <f t="shared" si="182"/>
        <v>0</v>
      </c>
      <c r="HY77" s="409">
        <f t="shared" si="182"/>
        <v>0</v>
      </c>
      <c r="HZ77" s="409">
        <f t="shared" si="182"/>
        <v>0</v>
      </c>
      <c r="IA77" s="409">
        <f t="shared" si="182"/>
        <v>0</v>
      </c>
      <c r="IB77" s="409">
        <f t="shared" si="182"/>
        <v>0</v>
      </c>
      <c r="IC77" s="409">
        <f t="shared" si="182"/>
        <v>0</v>
      </c>
      <c r="ID77" s="409">
        <f t="shared" si="182"/>
        <v>0</v>
      </c>
      <c r="IE77" s="409">
        <f t="shared" si="183"/>
        <v>0</v>
      </c>
      <c r="IF77" s="409">
        <f t="shared" si="183"/>
        <v>0</v>
      </c>
      <c r="IG77" s="409">
        <f t="shared" si="183"/>
        <v>0</v>
      </c>
      <c r="IH77" s="409">
        <f t="shared" si="183"/>
        <v>0</v>
      </c>
      <c r="II77" s="409">
        <f t="shared" si="183"/>
        <v>0</v>
      </c>
      <c r="IJ77" s="409">
        <f t="shared" si="183"/>
        <v>0</v>
      </c>
      <c r="IK77" s="378">
        <f t="shared" si="54"/>
        <v>70</v>
      </c>
    </row>
    <row r="78" spans="1:249" x14ac:dyDescent="0.2">
      <c r="B78" s="383"/>
      <c r="C78" s="383"/>
      <c r="D78" s="383"/>
      <c r="E78" s="402"/>
      <c r="F78" s="382"/>
      <c r="G78" s="382"/>
      <c r="H78" s="382"/>
      <c r="I78" s="382"/>
      <c r="J78" s="382"/>
      <c r="K78" s="382"/>
      <c r="L78" s="384"/>
      <c r="M78" s="382"/>
      <c r="N78" s="382"/>
      <c r="O78" s="382"/>
      <c r="P78" s="382"/>
      <c r="Q78" s="382"/>
      <c r="R78" s="382"/>
      <c r="S78" s="382"/>
      <c r="T78" s="382"/>
      <c r="U78" s="382"/>
      <c r="V78" s="382"/>
      <c r="W78" s="382"/>
      <c r="X78" s="382"/>
      <c r="AL78" s="729" t="s">
        <v>733</v>
      </c>
      <c r="AM78" s="385">
        <f>IF(ISNA(AM$7),"",IF($E79=0,0,AM79/$E79))</f>
        <v>0</v>
      </c>
      <c r="AN78" s="385">
        <f t="shared" ref="AN78:CY78" si="184">IF(ISNA(AN$7),"",IF($E79=0,0,AN79/$E79))</f>
        <v>0</v>
      </c>
      <c r="AO78" s="385">
        <f t="shared" si="184"/>
        <v>0</v>
      </c>
      <c r="AP78" s="385">
        <f t="shared" si="184"/>
        <v>0</v>
      </c>
      <c r="AQ78" s="385">
        <f t="shared" si="184"/>
        <v>0</v>
      </c>
      <c r="AR78" s="385">
        <f t="shared" si="184"/>
        <v>0</v>
      </c>
      <c r="AS78" s="385">
        <f t="shared" si="184"/>
        <v>0</v>
      </c>
      <c r="AT78" s="385">
        <f t="shared" si="184"/>
        <v>0</v>
      </c>
      <c r="AU78" s="385">
        <f t="shared" si="184"/>
        <v>0</v>
      </c>
      <c r="AV78" s="385">
        <f t="shared" si="184"/>
        <v>0</v>
      </c>
      <c r="AW78" s="385">
        <f t="shared" si="184"/>
        <v>0</v>
      </c>
      <c r="AX78" s="385">
        <f t="shared" si="184"/>
        <v>0</v>
      </c>
      <c r="AY78" s="385">
        <f t="shared" si="184"/>
        <v>0</v>
      </c>
      <c r="AZ78" s="385">
        <f t="shared" si="184"/>
        <v>0</v>
      </c>
      <c r="BA78" s="385">
        <f t="shared" si="184"/>
        <v>0</v>
      </c>
      <c r="BB78" s="385">
        <f t="shared" si="184"/>
        <v>0</v>
      </c>
      <c r="BC78" s="385">
        <f t="shared" si="184"/>
        <v>0</v>
      </c>
      <c r="BD78" s="385">
        <f t="shared" si="184"/>
        <v>0</v>
      </c>
      <c r="BE78" s="385">
        <f t="shared" si="184"/>
        <v>0</v>
      </c>
      <c r="BF78" s="385">
        <f t="shared" si="184"/>
        <v>0</v>
      </c>
      <c r="BG78" s="385">
        <f t="shared" si="184"/>
        <v>0</v>
      </c>
      <c r="BH78" s="385">
        <f t="shared" si="184"/>
        <v>0</v>
      </c>
      <c r="BI78" s="385">
        <f t="shared" si="184"/>
        <v>0</v>
      </c>
      <c r="BJ78" s="385">
        <f t="shared" si="184"/>
        <v>0</v>
      </c>
      <c r="BK78" s="385">
        <f t="shared" si="184"/>
        <v>0</v>
      </c>
      <c r="BL78" s="385">
        <f t="shared" si="184"/>
        <v>0</v>
      </c>
      <c r="BM78" s="385">
        <f t="shared" si="184"/>
        <v>0</v>
      </c>
      <c r="BN78" s="385">
        <f t="shared" si="184"/>
        <v>0</v>
      </c>
      <c r="BO78" s="385">
        <f t="shared" si="184"/>
        <v>0</v>
      </c>
      <c r="BP78" s="385">
        <f t="shared" si="184"/>
        <v>0</v>
      </c>
      <c r="BQ78" s="385">
        <f t="shared" si="184"/>
        <v>0</v>
      </c>
      <c r="BR78" s="385">
        <f t="shared" si="184"/>
        <v>0</v>
      </c>
      <c r="BS78" s="385">
        <f t="shared" si="184"/>
        <v>0</v>
      </c>
      <c r="BT78" s="385">
        <f t="shared" si="184"/>
        <v>0</v>
      </c>
      <c r="BU78" s="385">
        <f t="shared" si="184"/>
        <v>0</v>
      </c>
      <c r="BV78" s="385">
        <f t="shared" si="184"/>
        <v>0</v>
      </c>
      <c r="BW78" s="385">
        <f t="shared" si="184"/>
        <v>0</v>
      </c>
      <c r="BX78" s="385">
        <f t="shared" si="184"/>
        <v>0</v>
      </c>
      <c r="BY78" s="385">
        <f t="shared" si="184"/>
        <v>0</v>
      </c>
      <c r="BZ78" s="385">
        <f t="shared" si="184"/>
        <v>0</v>
      </c>
      <c r="CA78" s="385">
        <f t="shared" si="184"/>
        <v>0</v>
      </c>
      <c r="CB78" s="385">
        <f t="shared" si="184"/>
        <v>0</v>
      </c>
      <c r="CC78" s="385">
        <f t="shared" si="184"/>
        <v>0</v>
      </c>
      <c r="CD78" s="385">
        <f t="shared" si="184"/>
        <v>0</v>
      </c>
      <c r="CE78" s="385">
        <f t="shared" si="184"/>
        <v>0</v>
      </c>
      <c r="CF78" s="385">
        <f t="shared" si="184"/>
        <v>0</v>
      </c>
      <c r="CG78" s="385">
        <f t="shared" si="184"/>
        <v>0</v>
      </c>
      <c r="CH78" s="385">
        <f t="shared" si="184"/>
        <v>0</v>
      </c>
      <c r="CI78" s="385">
        <f t="shared" si="184"/>
        <v>0</v>
      </c>
      <c r="CJ78" s="385">
        <f t="shared" si="184"/>
        <v>0</v>
      </c>
      <c r="CK78" s="385">
        <f t="shared" si="184"/>
        <v>0</v>
      </c>
      <c r="CL78" s="385">
        <f t="shared" si="184"/>
        <v>0</v>
      </c>
      <c r="CM78" s="385">
        <f t="shared" si="184"/>
        <v>0</v>
      </c>
      <c r="CN78" s="385">
        <f t="shared" si="184"/>
        <v>0</v>
      </c>
      <c r="CO78" s="385">
        <f t="shared" si="184"/>
        <v>0</v>
      </c>
      <c r="CP78" s="385">
        <f t="shared" si="184"/>
        <v>0</v>
      </c>
      <c r="CQ78" s="385">
        <f t="shared" si="184"/>
        <v>0</v>
      </c>
      <c r="CR78" s="385">
        <f t="shared" si="184"/>
        <v>0</v>
      </c>
      <c r="CS78" s="385">
        <f t="shared" si="184"/>
        <v>0</v>
      </c>
      <c r="CT78" s="385">
        <f t="shared" si="184"/>
        <v>0</v>
      </c>
      <c r="CU78" s="385">
        <f t="shared" si="184"/>
        <v>0</v>
      </c>
      <c r="CV78" s="385">
        <f t="shared" si="184"/>
        <v>0</v>
      </c>
      <c r="CW78" s="385">
        <f t="shared" si="184"/>
        <v>0</v>
      </c>
      <c r="CX78" s="385">
        <f t="shared" si="184"/>
        <v>0</v>
      </c>
      <c r="CY78" s="385">
        <f t="shared" si="184"/>
        <v>0</v>
      </c>
      <c r="CZ78" s="385">
        <f t="shared" ref="CZ78:FK78" si="185">IF(ISNA(CZ$7),"",IF($E79=0,0,CZ79/$E79))</f>
        <v>0</v>
      </c>
      <c r="DA78" s="385">
        <f t="shared" si="185"/>
        <v>0</v>
      </c>
      <c r="DB78" s="385">
        <f t="shared" si="185"/>
        <v>0</v>
      </c>
      <c r="DC78" s="385">
        <f t="shared" si="185"/>
        <v>0</v>
      </c>
      <c r="DD78" s="385">
        <f t="shared" si="185"/>
        <v>0</v>
      </c>
      <c r="DE78" s="385">
        <f t="shared" si="185"/>
        <v>0</v>
      </c>
      <c r="DF78" s="385">
        <f t="shared" si="185"/>
        <v>0</v>
      </c>
      <c r="DG78" s="385">
        <f t="shared" si="185"/>
        <v>0</v>
      </c>
      <c r="DH78" s="385">
        <f t="shared" si="185"/>
        <v>0</v>
      </c>
      <c r="DI78" s="385">
        <f t="shared" si="185"/>
        <v>0</v>
      </c>
      <c r="DJ78" s="385">
        <f t="shared" si="185"/>
        <v>0</v>
      </c>
      <c r="DK78" s="385">
        <f t="shared" si="185"/>
        <v>0</v>
      </c>
      <c r="DL78" s="385">
        <f t="shared" si="185"/>
        <v>0</v>
      </c>
      <c r="DM78" s="385">
        <f t="shared" si="185"/>
        <v>0</v>
      </c>
      <c r="DN78" s="385">
        <f t="shared" si="185"/>
        <v>0</v>
      </c>
      <c r="DO78" s="385">
        <f t="shared" si="185"/>
        <v>0</v>
      </c>
      <c r="DP78" s="385">
        <f t="shared" si="185"/>
        <v>0</v>
      </c>
      <c r="DQ78" s="385">
        <f t="shared" si="185"/>
        <v>0</v>
      </c>
      <c r="DR78" s="385">
        <f t="shared" si="185"/>
        <v>0</v>
      </c>
      <c r="DS78" s="385">
        <f t="shared" si="185"/>
        <v>0</v>
      </c>
      <c r="DT78" s="385">
        <f t="shared" si="185"/>
        <v>0</v>
      </c>
      <c r="DU78" s="385">
        <f t="shared" si="185"/>
        <v>0</v>
      </c>
      <c r="DV78" s="385">
        <f t="shared" si="185"/>
        <v>0</v>
      </c>
      <c r="DW78" s="385">
        <f t="shared" si="185"/>
        <v>0</v>
      </c>
      <c r="DX78" s="385">
        <f t="shared" si="185"/>
        <v>0</v>
      </c>
      <c r="DY78" s="385">
        <f t="shared" si="185"/>
        <v>0</v>
      </c>
      <c r="DZ78" s="385">
        <f t="shared" si="185"/>
        <v>0</v>
      </c>
      <c r="EA78" s="385">
        <f t="shared" si="185"/>
        <v>0</v>
      </c>
      <c r="EB78" s="385">
        <f t="shared" si="185"/>
        <v>0</v>
      </c>
      <c r="EC78" s="385">
        <f t="shared" si="185"/>
        <v>0</v>
      </c>
      <c r="ED78" s="385">
        <f t="shared" si="185"/>
        <v>0</v>
      </c>
      <c r="EE78" s="385">
        <f t="shared" si="185"/>
        <v>0</v>
      </c>
      <c r="EF78" s="385">
        <f t="shared" si="185"/>
        <v>0</v>
      </c>
      <c r="EG78" s="385">
        <f t="shared" si="185"/>
        <v>0</v>
      </c>
      <c r="EH78" s="385">
        <f t="shared" si="185"/>
        <v>0</v>
      </c>
      <c r="EI78" s="385">
        <f t="shared" si="185"/>
        <v>0</v>
      </c>
      <c r="EJ78" s="385">
        <f t="shared" si="185"/>
        <v>0</v>
      </c>
      <c r="EK78" s="385">
        <f t="shared" si="185"/>
        <v>0</v>
      </c>
      <c r="EL78" s="385">
        <f t="shared" si="185"/>
        <v>0</v>
      </c>
      <c r="EM78" s="385">
        <f t="shared" si="185"/>
        <v>0</v>
      </c>
      <c r="EN78" s="385">
        <f t="shared" si="185"/>
        <v>0</v>
      </c>
      <c r="EO78" s="385">
        <f t="shared" si="185"/>
        <v>0</v>
      </c>
      <c r="EP78" s="385">
        <f t="shared" si="185"/>
        <v>0</v>
      </c>
      <c r="EQ78" s="385">
        <f t="shared" si="185"/>
        <v>0</v>
      </c>
      <c r="ER78" s="385">
        <f t="shared" si="185"/>
        <v>0</v>
      </c>
      <c r="ES78" s="385">
        <f t="shared" si="185"/>
        <v>0</v>
      </c>
      <c r="ET78" s="385">
        <f t="shared" si="185"/>
        <v>0</v>
      </c>
      <c r="EU78" s="385">
        <f t="shared" si="185"/>
        <v>0</v>
      </c>
      <c r="EV78" s="385">
        <f t="shared" si="185"/>
        <v>0</v>
      </c>
      <c r="EW78" s="385">
        <f t="shared" si="185"/>
        <v>0</v>
      </c>
      <c r="EX78" s="385">
        <f t="shared" si="185"/>
        <v>0</v>
      </c>
      <c r="EY78" s="385">
        <f t="shared" si="185"/>
        <v>0</v>
      </c>
      <c r="EZ78" s="385">
        <f t="shared" si="185"/>
        <v>0</v>
      </c>
      <c r="FA78" s="385">
        <f t="shared" si="185"/>
        <v>0</v>
      </c>
      <c r="FB78" s="385">
        <f t="shared" si="185"/>
        <v>0</v>
      </c>
      <c r="FC78" s="385">
        <f t="shared" si="185"/>
        <v>0</v>
      </c>
      <c r="FD78" s="385">
        <f t="shared" si="185"/>
        <v>0</v>
      </c>
      <c r="FE78" s="385">
        <f t="shared" si="185"/>
        <v>0</v>
      </c>
      <c r="FF78" s="385">
        <f t="shared" si="185"/>
        <v>0</v>
      </c>
      <c r="FG78" s="385">
        <f t="shared" si="185"/>
        <v>0</v>
      </c>
      <c r="FH78" s="385">
        <f t="shared" si="185"/>
        <v>0</v>
      </c>
      <c r="FI78" s="385">
        <f t="shared" si="185"/>
        <v>0</v>
      </c>
      <c r="FJ78" s="385">
        <f t="shared" si="185"/>
        <v>0</v>
      </c>
      <c r="FK78" s="385">
        <f t="shared" si="185"/>
        <v>0</v>
      </c>
      <c r="FL78" s="385">
        <f t="shared" ref="FL78:HW78" si="186">IF(ISNA(FL$7),"",IF($E79=0,0,FL79/$E79))</f>
        <v>0</v>
      </c>
      <c r="FM78" s="385">
        <f t="shared" si="186"/>
        <v>0</v>
      </c>
      <c r="FN78" s="385">
        <f t="shared" si="186"/>
        <v>0</v>
      </c>
      <c r="FO78" s="385">
        <f t="shared" si="186"/>
        <v>0</v>
      </c>
      <c r="FP78" s="385">
        <f t="shared" si="186"/>
        <v>0</v>
      </c>
      <c r="FQ78" s="385">
        <f t="shared" si="186"/>
        <v>0</v>
      </c>
      <c r="FR78" s="385">
        <f t="shared" si="186"/>
        <v>0</v>
      </c>
      <c r="FS78" s="385">
        <f t="shared" si="186"/>
        <v>0</v>
      </c>
      <c r="FT78" s="385">
        <f t="shared" si="186"/>
        <v>0</v>
      </c>
      <c r="FU78" s="385">
        <f t="shared" si="186"/>
        <v>0</v>
      </c>
      <c r="FV78" s="385">
        <f t="shared" si="186"/>
        <v>0</v>
      </c>
      <c r="FW78" s="385">
        <f t="shared" si="186"/>
        <v>0</v>
      </c>
      <c r="FX78" s="385">
        <f t="shared" si="186"/>
        <v>0</v>
      </c>
      <c r="FY78" s="385">
        <f t="shared" si="186"/>
        <v>0</v>
      </c>
      <c r="FZ78" s="385">
        <f t="shared" si="186"/>
        <v>0</v>
      </c>
      <c r="GA78" s="385">
        <f t="shared" si="186"/>
        <v>0</v>
      </c>
      <c r="GB78" s="385">
        <f t="shared" si="186"/>
        <v>0</v>
      </c>
      <c r="GC78" s="385">
        <f t="shared" si="186"/>
        <v>0</v>
      </c>
      <c r="GD78" s="385">
        <f t="shared" si="186"/>
        <v>0</v>
      </c>
      <c r="GE78" s="385">
        <f t="shared" si="186"/>
        <v>0</v>
      </c>
      <c r="GF78" s="385">
        <f t="shared" si="186"/>
        <v>0</v>
      </c>
      <c r="GG78" s="385">
        <f t="shared" si="186"/>
        <v>0</v>
      </c>
      <c r="GH78" s="385">
        <f t="shared" si="186"/>
        <v>0</v>
      </c>
      <c r="GI78" s="385">
        <f t="shared" si="186"/>
        <v>0</v>
      </c>
      <c r="GJ78" s="385">
        <f t="shared" si="186"/>
        <v>0</v>
      </c>
      <c r="GK78" s="385">
        <f t="shared" si="186"/>
        <v>0</v>
      </c>
      <c r="GL78" s="385">
        <f t="shared" si="186"/>
        <v>0</v>
      </c>
      <c r="GM78" s="385">
        <f t="shared" si="186"/>
        <v>0</v>
      </c>
      <c r="GN78" s="385">
        <f t="shared" si="186"/>
        <v>0</v>
      </c>
      <c r="GO78" s="385">
        <f t="shared" si="186"/>
        <v>0</v>
      </c>
      <c r="GP78" s="385">
        <f t="shared" si="186"/>
        <v>0</v>
      </c>
      <c r="GQ78" s="385">
        <f t="shared" si="186"/>
        <v>0</v>
      </c>
      <c r="GR78" s="385">
        <f t="shared" si="186"/>
        <v>0</v>
      </c>
      <c r="GS78" s="385">
        <f t="shared" si="186"/>
        <v>0</v>
      </c>
      <c r="GT78" s="385">
        <f t="shared" si="186"/>
        <v>0</v>
      </c>
      <c r="GU78" s="385">
        <f t="shared" si="186"/>
        <v>0</v>
      </c>
      <c r="GV78" s="385">
        <f t="shared" si="186"/>
        <v>0</v>
      </c>
      <c r="GW78" s="385">
        <f t="shared" si="186"/>
        <v>0</v>
      </c>
      <c r="GX78" s="385">
        <f t="shared" si="186"/>
        <v>0</v>
      </c>
      <c r="GY78" s="385">
        <f t="shared" si="186"/>
        <v>0</v>
      </c>
      <c r="GZ78" s="385">
        <f t="shared" si="186"/>
        <v>0</v>
      </c>
      <c r="HA78" s="385">
        <f t="shared" si="186"/>
        <v>0</v>
      </c>
      <c r="HB78" s="385">
        <f t="shared" si="186"/>
        <v>0</v>
      </c>
      <c r="HC78" s="385">
        <f t="shared" si="186"/>
        <v>0</v>
      </c>
      <c r="HD78" s="385">
        <f t="shared" si="186"/>
        <v>0</v>
      </c>
      <c r="HE78" s="385">
        <f t="shared" si="186"/>
        <v>0</v>
      </c>
      <c r="HF78" s="385">
        <f t="shared" si="186"/>
        <v>0</v>
      </c>
      <c r="HG78" s="385">
        <f t="shared" si="186"/>
        <v>0</v>
      </c>
      <c r="HH78" s="385">
        <f t="shared" si="186"/>
        <v>0</v>
      </c>
      <c r="HI78" s="385">
        <f t="shared" si="186"/>
        <v>0</v>
      </c>
      <c r="HJ78" s="385">
        <f t="shared" si="186"/>
        <v>0</v>
      </c>
      <c r="HK78" s="385">
        <f t="shared" si="186"/>
        <v>0</v>
      </c>
      <c r="HL78" s="385">
        <f t="shared" si="186"/>
        <v>0</v>
      </c>
      <c r="HM78" s="385">
        <f t="shared" si="186"/>
        <v>0</v>
      </c>
      <c r="HN78" s="385">
        <f t="shared" si="186"/>
        <v>0</v>
      </c>
      <c r="HO78" s="385">
        <f t="shared" si="186"/>
        <v>0</v>
      </c>
      <c r="HP78" s="385">
        <f t="shared" si="186"/>
        <v>0</v>
      </c>
      <c r="HQ78" s="385">
        <f t="shared" si="186"/>
        <v>0</v>
      </c>
      <c r="HR78" s="385">
        <f t="shared" si="186"/>
        <v>0</v>
      </c>
      <c r="HS78" s="385">
        <f t="shared" si="186"/>
        <v>0</v>
      </c>
      <c r="HT78" s="385">
        <f t="shared" si="186"/>
        <v>0</v>
      </c>
      <c r="HU78" s="385">
        <f t="shared" si="186"/>
        <v>0</v>
      </c>
      <c r="HV78" s="385">
        <f t="shared" si="186"/>
        <v>0</v>
      </c>
      <c r="HW78" s="385">
        <f t="shared" si="186"/>
        <v>0</v>
      </c>
      <c r="HX78" s="385">
        <f t="shared" ref="HX78:IJ78" si="187">IF(ISNA(HX$7),"",IF($E79=0,0,HX79/$E79))</f>
        <v>0</v>
      </c>
      <c r="HY78" s="385">
        <f t="shared" si="187"/>
        <v>0</v>
      </c>
      <c r="HZ78" s="385">
        <f t="shared" si="187"/>
        <v>0</v>
      </c>
      <c r="IA78" s="385">
        <f t="shared" si="187"/>
        <v>0</v>
      </c>
      <c r="IB78" s="385">
        <f t="shared" si="187"/>
        <v>0</v>
      </c>
      <c r="IC78" s="385">
        <f t="shared" si="187"/>
        <v>0</v>
      </c>
      <c r="ID78" s="385">
        <f t="shared" si="187"/>
        <v>0</v>
      </c>
      <c r="IE78" s="385">
        <f t="shared" si="187"/>
        <v>0</v>
      </c>
      <c r="IF78" s="385">
        <f t="shared" si="187"/>
        <v>0</v>
      </c>
      <c r="IG78" s="385">
        <f t="shared" si="187"/>
        <v>0</v>
      </c>
      <c r="IH78" s="385">
        <f t="shared" si="187"/>
        <v>0</v>
      </c>
      <c r="II78" s="385">
        <f t="shared" si="187"/>
        <v>0</v>
      </c>
      <c r="IJ78" s="385">
        <f t="shared" si="187"/>
        <v>0</v>
      </c>
      <c r="IK78" s="378"/>
      <c r="IO78" s="386"/>
    </row>
    <row r="79" spans="1:249" ht="13.5" thickBot="1" x14ac:dyDescent="0.25">
      <c r="E79" s="401">
        <f>SUMIF(E8:E77,"&gt;0")</f>
        <v>0</v>
      </c>
      <c r="AL79" s="728" t="s">
        <v>734</v>
      </c>
      <c r="AM79" s="387">
        <f>IF(ISNA(AM$7),"",SUM(AM8:AM77))</f>
        <v>0</v>
      </c>
      <c r="AN79" s="387">
        <f t="shared" ref="AN79:CY79" si="188">IF(ISNA(AN$7),"",SUM(AN8:AN77))</f>
        <v>0</v>
      </c>
      <c r="AO79" s="387">
        <f t="shared" si="188"/>
        <v>0</v>
      </c>
      <c r="AP79" s="387">
        <f t="shared" si="188"/>
        <v>0</v>
      </c>
      <c r="AQ79" s="387">
        <f t="shared" si="188"/>
        <v>0</v>
      </c>
      <c r="AR79" s="387">
        <f t="shared" si="188"/>
        <v>0</v>
      </c>
      <c r="AS79" s="387">
        <f t="shared" si="188"/>
        <v>0</v>
      </c>
      <c r="AT79" s="387">
        <f t="shared" si="188"/>
        <v>0</v>
      </c>
      <c r="AU79" s="387">
        <f t="shared" si="188"/>
        <v>0</v>
      </c>
      <c r="AV79" s="387">
        <f t="shared" si="188"/>
        <v>0</v>
      </c>
      <c r="AW79" s="387">
        <f t="shared" si="188"/>
        <v>0</v>
      </c>
      <c r="AX79" s="387">
        <f t="shared" si="188"/>
        <v>0</v>
      </c>
      <c r="AY79" s="387">
        <f t="shared" si="188"/>
        <v>0</v>
      </c>
      <c r="AZ79" s="387">
        <f t="shared" si="188"/>
        <v>0</v>
      </c>
      <c r="BA79" s="387">
        <f t="shared" si="188"/>
        <v>0</v>
      </c>
      <c r="BB79" s="387">
        <f t="shared" si="188"/>
        <v>0</v>
      </c>
      <c r="BC79" s="387">
        <f t="shared" si="188"/>
        <v>0</v>
      </c>
      <c r="BD79" s="387">
        <f t="shared" si="188"/>
        <v>0</v>
      </c>
      <c r="BE79" s="387">
        <f t="shared" si="188"/>
        <v>0</v>
      </c>
      <c r="BF79" s="387">
        <f t="shared" si="188"/>
        <v>0</v>
      </c>
      <c r="BG79" s="387">
        <f t="shared" si="188"/>
        <v>0</v>
      </c>
      <c r="BH79" s="387">
        <f t="shared" si="188"/>
        <v>0</v>
      </c>
      <c r="BI79" s="387">
        <f t="shared" si="188"/>
        <v>0</v>
      </c>
      <c r="BJ79" s="387">
        <f t="shared" si="188"/>
        <v>0</v>
      </c>
      <c r="BK79" s="387">
        <f t="shared" si="188"/>
        <v>0</v>
      </c>
      <c r="BL79" s="387">
        <f t="shared" si="188"/>
        <v>0</v>
      </c>
      <c r="BM79" s="387">
        <f t="shared" si="188"/>
        <v>0</v>
      </c>
      <c r="BN79" s="387">
        <f t="shared" si="188"/>
        <v>0</v>
      </c>
      <c r="BO79" s="387">
        <f t="shared" si="188"/>
        <v>0</v>
      </c>
      <c r="BP79" s="387">
        <f t="shared" si="188"/>
        <v>0</v>
      </c>
      <c r="BQ79" s="387">
        <f t="shared" si="188"/>
        <v>0</v>
      </c>
      <c r="BR79" s="387">
        <f t="shared" si="188"/>
        <v>0</v>
      </c>
      <c r="BS79" s="387">
        <f t="shared" si="188"/>
        <v>0</v>
      </c>
      <c r="BT79" s="387">
        <f t="shared" si="188"/>
        <v>0</v>
      </c>
      <c r="BU79" s="387">
        <f t="shared" si="188"/>
        <v>0</v>
      </c>
      <c r="BV79" s="387">
        <f t="shared" si="188"/>
        <v>0</v>
      </c>
      <c r="BW79" s="387">
        <f t="shared" si="188"/>
        <v>0</v>
      </c>
      <c r="BX79" s="387">
        <f t="shared" si="188"/>
        <v>0</v>
      </c>
      <c r="BY79" s="387">
        <f t="shared" si="188"/>
        <v>0</v>
      </c>
      <c r="BZ79" s="387">
        <f t="shared" si="188"/>
        <v>0</v>
      </c>
      <c r="CA79" s="387">
        <f t="shared" si="188"/>
        <v>0</v>
      </c>
      <c r="CB79" s="387">
        <f t="shared" si="188"/>
        <v>0</v>
      </c>
      <c r="CC79" s="387">
        <f t="shared" si="188"/>
        <v>0</v>
      </c>
      <c r="CD79" s="387">
        <f t="shared" si="188"/>
        <v>0</v>
      </c>
      <c r="CE79" s="387">
        <f t="shared" si="188"/>
        <v>0</v>
      </c>
      <c r="CF79" s="387">
        <f t="shared" si="188"/>
        <v>0</v>
      </c>
      <c r="CG79" s="387">
        <f t="shared" si="188"/>
        <v>0</v>
      </c>
      <c r="CH79" s="387">
        <f t="shared" si="188"/>
        <v>0</v>
      </c>
      <c r="CI79" s="387">
        <f t="shared" si="188"/>
        <v>0</v>
      </c>
      <c r="CJ79" s="387">
        <f t="shared" si="188"/>
        <v>0</v>
      </c>
      <c r="CK79" s="387">
        <f t="shared" si="188"/>
        <v>0</v>
      </c>
      <c r="CL79" s="387">
        <f t="shared" si="188"/>
        <v>0</v>
      </c>
      <c r="CM79" s="387">
        <f t="shared" si="188"/>
        <v>0</v>
      </c>
      <c r="CN79" s="387">
        <f t="shared" si="188"/>
        <v>0</v>
      </c>
      <c r="CO79" s="387">
        <f t="shared" si="188"/>
        <v>0</v>
      </c>
      <c r="CP79" s="387">
        <f t="shared" si="188"/>
        <v>0</v>
      </c>
      <c r="CQ79" s="387">
        <f t="shared" si="188"/>
        <v>0</v>
      </c>
      <c r="CR79" s="387">
        <f t="shared" si="188"/>
        <v>0</v>
      </c>
      <c r="CS79" s="387">
        <f t="shared" si="188"/>
        <v>0</v>
      </c>
      <c r="CT79" s="387">
        <f t="shared" si="188"/>
        <v>0</v>
      </c>
      <c r="CU79" s="387">
        <f t="shared" si="188"/>
        <v>0</v>
      </c>
      <c r="CV79" s="387">
        <f t="shared" si="188"/>
        <v>0</v>
      </c>
      <c r="CW79" s="387">
        <f t="shared" si="188"/>
        <v>0</v>
      </c>
      <c r="CX79" s="387">
        <f t="shared" si="188"/>
        <v>0</v>
      </c>
      <c r="CY79" s="387">
        <f t="shared" si="188"/>
        <v>0</v>
      </c>
      <c r="CZ79" s="387">
        <f t="shared" ref="CZ79:FK79" si="189">IF(ISNA(CZ$7),"",SUM(CZ8:CZ77))</f>
        <v>0</v>
      </c>
      <c r="DA79" s="387">
        <f t="shared" si="189"/>
        <v>0</v>
      </c>
      <c r="DB79" s="387">
        <f t="shared" si="189"/>
        <v>0</v>
      </c>
      <c r="DC79" s="387">
        <f t="shared" si="189"/>
        <v>0</v>
      </c>
      <c r="DD79" s="387">
        <f t="shared" si="189"/>
        <v>0</v>
      </c>
      <c r="DE79" s="387">
        <f t="shared" si="189"/>
        <v>0</v>
      </c>
      <c r="DF79" s="387">
        <f t="shared" si="189"/>
        <v>0</v>
      </c>
      <c r="DG79" s="387">
        <f t="shared" si="189"/>
        <v>0</v>
      </c>
      <c r="DH79" s="387">
        <f t="shared" si="189"/>
        <v>0</v>
      </c>
      <c r="DI79" s="387">
        <f t="shared" si="189"/>
        <v>0</v>
      </c>
      <c r="DJ79" s="387">
        <f t="shared" si="189"/>
        <v>0</v>
      </c>
      <c r="DK79" s="387">
        <f t="shared" si="189"/>
        <v>0</v>
      </c>
      <c r="DL79" s="387">
        <f t="shared" si="189"/>
        <v>0</v>
      </c>
      <c r="DM79" s="387">
        <f t="shared" si="189"/>
        <v>0</v>
      </c>
      <c r="DN79" s="387">
        <f t="shared" si="189"/>
        <v>0</v>
      </c>
      <c r="DO79" s="387">
        <f t="shared" si="189"/>
        <v>0</v>
      </c>
      <c r="DP79" s="387">
        <f t="shared" si="189"/>
        <v>0</v>
      </c>
      <c r="DQ79" s="387">
        <f t="shared" si="189"/>
        <v>0</v>
      </c>
      <c r="DR79" s="387">
        <f t="shared" si="189"/>
        <v>0</v>
      </c>
      <c r="DS79" s="387">
        <f t="shared" si="189"/>
        <v>0</v>
      </c>
      <c r="DT79" s="387">
        <f t="shared" si="189"/>
        <v>0</v>
      </c>
      <c r="DU79" s="387">
        <f t="shared" si="189"/>
        <v>0</v>
      </c>
      <c r="DV79" s="387">
        <f t="shared" si="189"/>
        <v>0</v>
      </c>
      <c r="DW79" s="387">
        <f t="shared" si="189"/>
        <v>0</v>
      </c>
      <c r="DX79" s="387">
        <f t="shared" si="189"/>
        <v>0</v>
      </c>
      <c r="DY79" s="387">
        <f t="shared" si="189"/>
        <v>0</v>
      </c>
      <c r="DZ79" s="387">
        <f t="shared" si="189"/>
        <v>0</v>
      </c>
      <c r="EA79" s="387">
        <f t="shared" si="189"/>
        <v>0</v>
      </c>
      <c r="EB79" s="387">
        <f t="shared" si="189"/>
        <v>0</v>
      </c>
      <c r="EC79" s="387">
        <f t="shared" si="189"/>
        <v>0</v>
      </c>
      <c r="ED79" s="387">
        <f t="shared" si="189"/>
        <v>0</v>
      </c>
      <c r="EE79" s="387">
        <f t="shared" si="189"/>
        <v>0</v>
      </c>
      <c r="EF79" s="387">
        <f t="shared" si="189"/>
        <v>0</v>
      </c>
      <c r="EG79" s="387">
        <f t="shared" si="189"/>
        <v>0</v>
      </c>
      <c r="EH79" s="387">
        <f t="shared" si="189"/>
        <v>0</v>
      </c>
      <c r="EI79" s="387">
        <f t="shared" si="189"/>
        <v>0</v>
      </c>
      <c r="EJ79" s="387">
        <f t="shared" si="189"/>
        <v>0</v>
      </c>
      <c r="EK79" s="387">
        <f t="shared" si="189"/>
        <v>0</v>
      </c>
      <c r="EL79" s="387">
        <f t="shared" si="189"/>
        <v>0</v>
      </c>
      <c r="EM79" s="387">
        <f t="shared" si="189"/>
        <v>0</v>
      </c>
      <c r="EN79" s="387">
        <f t="shared" si="189"/>
        <v>0</v>
      </c>
      <c r="EO79" s="387">
        <f t="shared" si="189"/>
        <v>0</v>
      </c>
      <c r="EP79" s="387">
        <f t="shared" si="189"/>
        <v>0</v>
      </c>
      <c r="EQ79" s="387">
        <f t="shared" si="189"/>
        <v>0</v>
      </c>
      <c r="ER79" s="387">
        <f t="shared" si="189"/>
        <v>0</v>
      </c>
      <c r="ES79" s="387">
        <f t="shared" si="189"/>
        <v>0</v>
      </c>
      <c r="ET79" s="387">
        <f t="shared" si="189"/>
        <v>0</v>
      </c>
      <c r="EU79" s="387">
        <f t="shared" si="189"/>
        <v>0</v>
      </c>
      <c r="EV79" s="387">
        <f t="shared" si="189"/>
        <v>0</v>
      </c>
      <c r="EW79" s="387">
        <f t="shared" si="189"/>
        <v>0</v>
      </c>
      <c r="EX79" s="387">
        <f t="shared" si="189"/>
        <v>0</v>
      </c>
      <c r="EY79" s="387">
        <f t="shared" si="189"/>
        <v>0</v>
      </c>
      <c r="EZ79" s="387">
        <f t="shared" si="189"/>
        <v>0</v>
      </c>
      <c r="FA79" s="387">
        <f t="shared" si="189"/>
        <v>0</v>
      </c>
      <c r="FB79" s="387">
        <f t="shared" si="189"/>
        <v>0</v>
      </c>
      <c r="FC79" s="387">
        <f t="shared" si="189"/>
        <v>0</v>
      </c>
      <c r="FD79" s="387">
        <f t="shared" si="189"/>
        <v>0</v>
      </c>
      <c r="FE79" s="387">
        <f t="shared" si="189"/>
        <v>0</v>
      </c>
      <c r="FF79" s="387">
        <f t="shared" si="189"/>
        <v>0</v>
      </c>
      <c r="FG79" s="387">
        <f t="shared" si="189"/>
        <v>0</v>
      </c>
      <c r="FH79" s="387">
        <f t="shared" si="189"/>
        <v>0</v>
      </c>
      <c r="FI79" s="387">
        <f t="shared" si="189"/>
        <v>0</v>
      </c>
      <c r="FJ79" s="387">
        <f t="shared" si="189"/>
        <v>0</v>
      </c>
      <c r="FK79" s="387">
        <f t="shared" si="189"/>
        <v>0</v>
      </c>
      <c r="FL79" s="387">
        <f t="shared" ref="FL79:HW79" si="190">IF(ISNA(FL$7),"",SUM(FL8:FL77))</f>
        <v>0</v>
      </c>
      <c r="FM79" s="387">
        <f t="shared" si="190"/>
        <v>0</v>
      </c>
      <c r="FN79" s="387">
        <f t="shared" si="190"/>
        <v>0</v>
      </c>
      <c r="FO79" s="387">
        <f t="shared" si="190"/>
        <v>0</v>
      </c>
      <c r="FP79" s="387">
        <f t="shared" si="190"/>
        <v>0</v>
      </c>
      <c r="FQ79" s="387">
        <f t="shared" si="190"/>
        <v>0</v>
      </c>
      <c r="FR79" s="387">
        <f t="shared" si="190"/>
        <v>0</v>
      </c>
      <c r="FS79" s="387">
        <f t="shared" si="190"/>
        <v>0</v>
      </c>
      <c r="FT79" s="387">
        <f t="shared" si="190"/>
        <v>0</v>
      </c>
      <c r="FU79" s="387">
        <f t="shared" si="190"/>
        <v>0</v>
      </c>
      <c r="FV79" s="387">
        <f t="shared" si="190"/>
        <v>0</v>
      </c>
      <c r="FW79" s="387">
        <f t="shared" si="190"/>
        <v>0</v>
      </c>
      <c r="FX79" s="387">
        <f t="shared" si="190"/>
        <v>0</v>
      </c>
      <c r="FY79" s="387">
        <f t="shared" si="190"/>
        <v>0</v>
      </c>
      <c r="FZ79" s="387">
        <f t="shared" si="190"/>
        <v>0</v>
      </c>
      <c r="GA79" s="387">
        <f t="shared" si="190"/>
        <v>0</v>
      </c>
      <c r="GB79" s="387">
        <f t="shared" si="190"/>
        <v>0</v>
      </c>
      <c r="GC79" s="387">
        <f t="shared" si="190"/>
        <v>0</v>
      </c>
      <c r="GD79" s="387">
        <f t="shared" si="190"/>
        <v>0</v>
      </c>
      <c r="GE79" s="387">
        <f t="shared" si="190"/>
        <v>0</v>
      </c>
      <c r="GF79" s="387">
        <f t="shared" si="190"/>
        <v>0</v>
      </c>
      <c r="GG79" s="387">
        <f t="shared" si="190"/>
        <v>0</v>
      </c>
      <c r="GH79" s="387">
        <f t="shared" si="190"/>
        <v>0</v>
      </c>
      <c r="GI79" s="387">
        <f t="shared" si="190"/>
        <v>0</v>
      </c>
      <c r="GJ79" s="387">
        <f t="shared" si="190"/>
        <v>0</v>
      </c>
      <c r="GK79" s="387">
        <f t="shared" si="190"/>
        <v>0</v>
      </c>
      <c r="GL79" s="387">
        <f t="shared" si="190"/>
        <v>0</v>
      </c>
      <c r="GM79" s="387">
        <f t="shared" si="190"/>
        <v>0</v>
      </c>
      <c r="GN79" s="387">
        <f t="shared" si="190"/>
        <v>0</v>
      </c>
      <c r="GO79" s="387">
        <f t="shared" si="190"/>
        <v>0</v>
      </c>
      <c r="GP79" s="387">
        <f t="shared" si="190"/>
        <v>0</v>
      </c>
      <c r="GQ79" s="387">
        <f t="shared" si="190"/>
        <v>0</v>
      </c>
      <c r="GR79" s="387">
        <f t="shared" si="190"/>
        <v>0</v>
      </c>
      <c r="GS79" s="387">
        <f t="shared" si="190"/>
        <v>0</v>
      </c>
      <c r="GT79" s="387">
        <f t="shared" si="190"/>
        <v>0</v>
      </c>
      <c r="GU79" s="387">
        <f t="shared" si="190"/>
        <v>0</v>
      </c>
      <c r="GV79" s="387">
        <f t="shared" si="190"/>
        <v>0</v>
      </c>
      <c r="GW79" s="387">
        <f t="shared" si="190"/>
        <v>0</v>
      </c>
      <c r="GX79" s="387">
        <f t="shared" si="190"/>
        <v>0</v>
      </c>
      <c r="GY79" s="387">
        <f t="shared" si="190"/>
        <v>0</v>
      </c>
      <c r="GZ79" s="387">
        <f t="shared" si="190"/>
        <v>0</v>
      </c>
      <c r="HA79" s="387">
        <f t="shared" si="190"/>
        <v>0</v>
      </c>
      <c r="HB79" s="387">
        <f t="shared" si="190"/>
        <v>0</v>
      </c>
      <c r="HC79" s="387">
        <f t="shared" si="190"/>
        <v>0</v>
      </c>
      <c r="HD79" s="387">
        <f t="shared" si="190"/>
        <v>0</v>
      </c>
      <c r="HE79" s="387">
        <f t="shared" si="190"/>
        <v>0</v>
      </c>
      <c r="HF79" s="387">
        <f t="shared" si="190"/>
        <v>0</v>
      </c>
      <c r="HG79" s="387">
        <f t="shared" si="190"/>
        <v>0</v>
      </c>
      <c r="HH79" s="387">
        <f t="shared" si="190"/>
        <v>0</v>
      </c>
      <c r="HI79" s="387">
        <f t="shared" si="190"/>
        <v>0</v>
      </c>
      <c r="HJ79" s="387">
        <f t="shared" si="190"/>
        <v>0</v>
      </c>
      <c r="HK79" s="387">
        <f t="shared" si="190"/>
        <v>0</v>
      </c>
      <c r="HL79" s="387">
        <f t="shared" si="190"/>
        <v>0</v>
      </c>
      <c r="HM79" s="387">
        <f t="shared" si="190"/>
        <v>0</v>
      </c>
      <c r="HN79" s="387">
        <f t="shared" si="190"/>
        <v>0</v>
      </c>
      <c r="HO79" s="387">
        <f t="shared" si="190"/>
        <v>0</v>
      </c>
      <c r="HP79" s="387">
        <f t="shared" si="190"/>
        <v>0</v>
      </c>
      <c r="HQ79" s="387">
        <f t="shared" si="190"/>
        <v>0</v>
      </c>
      <c r="HR79" s="387">
        <f t="shared" si="190"/>
        <v>0</v>
      </c>
      <c r="HS79" s="387">
        <f t="shared" si="190"/>
        <v>0</v>
      </c>
      <c r="HT79" s="387">
        <f t="shared" si="190"/>
        <v>0</v>
      </c>
      <c r="HU79" s="387">
        <f t="shared" si="190"/>
        <v>0</v>
      </c>
      <c r="HV79" s="387">
        <f t="shared" si="190"/>
        <v>0</v>
      </c>
      <c r="HW79" s="387">
        <f t="shared" si="190"/>
        <v>0</v>
      </c>
      <c r="HX79" s="387">
        <f t="shared" ref="HX79:IJ79" si="191">IF(ISNA(HX$7),"",SUM(HX8:HX77))</f>
        <v>0</v>
      </c>
      <c r="HY79" s="387">
        <f t="shared" si="191"/>
        <v>0</v>
      </c>
      <c r="HZ79" s="387">
        <f t="shared" si="191"/>
        <v>0</v>
      </c>
      <c r="IA79" s="387">
        <f t="shared" si="191"/>
        <v>0</v>
      </c>
      <c r="IB79" s="387">
        <f t="shared" si="191"/>
        <v>0</v>
      </c>
      <c r="IC79" s="387">
        <f t="shared" si="191"/>
        <v>0</v>
      </c>
      <c r="ID79" s="387">
        <f t="shared" si="191"/>
        <v>0</v>
      </c>
      <c r="IE79" s="387">
        <f t="shared" si="191"/>
        <v>0</v>
      </c>
      <c r="IF79" s="387">
        <f t="shared" si="191"/>
        <v>0</v>
      </c>
      <c r="IG79" s="387">
        <f t="shared" si="191"/>
        <v>0</v>
      </c>
      <c r="IH79" s="387">
        <f t="shared" si="191"/>
        <v>0</v>
      </c>
      <c r="II79" s="387">
        <f t="shared" si="191"/>
        <v>0</v>
      </c>
      <c r="IJ79" s="387">
        <f t="shared" si="191"/>
        <v>0</v>
      </c>
      <c r="IK79" s="378"/>
      <c r="IO79" s="376"/>
    </row>
    <row r="80" spans="1:249" x14ac:dyDescent="0.2">
      <c r="M80" s="388"/>
      <c r="O80" s="388"/>
    </row>
    <row r="81" spans="15:15" x14ac:dyDescent="0.2">
      <c r="O81" s="389"/>
    </row>
    <row r="82" spans="15:15" x14ac:dyDescent="0.2">
      <c r="O82" s="389"/>
    </row>
    <row r="83" spans="15:15" x14ac:dyDescent="0.2">
      <c r="O83" s="389"/>
    </row>
    <row r="84" spans="15:15" x14ac:dyDescent="0.2">
      <c r="O84" s="389"/>
    </row>
    <row r="85" spans="15:15" x14ac:dyDescent="0.2">
      <c r="O85" s="389"/>
    </row>
    <row r="86" spans="15:15" x14ac:dyDescent="0.2">
      <c r="O86" s="389"/>
    </row>
    <row r="87" spans="15:15" x14ac:dyDescent="0.2">
      <c r="O87" s="389"/>
    </row>
    <row r="88" spans="15:15" x14ac:dyDescent="0.2">
      <c r="O88" s="389"/>
    </row>
    <row r="89" spans="15:15" x14ac:dyDescent="0.2">
      <c r="O89" s="389"/>
    </row>
    <row r="90" spans="15:15" x14ac:dyDescent="0.2">
      <c r="O90" s="389"/>
    </row>
    <row r="91" spans="15:15" x14ac:dyDescent="0.2">
      <c r="O91" s="389"/>
    </row>
    <row r="92" spans="15:15" x14ac:dyDescent="0.2">
      <c r="O92" s="389"/>
    </row>
    <row r="93" spans="15:15" x14ac:dyDescent="0.2">
      <c r="O93" s="389"/>
    </row>
    <row r="94" spans="15:15" x14ac:dyDescent="0.2">
      <c r="O94" s="389"/>
    </row>
    <row r="95" spans="15:15" x14ac:dyDescent="0.2">
      <c r="O95" s="389"/>
    </row>
    <row r="96" spans="15:15" x14ac:dyDescent="0.2">
      <c r="O96" s="389"/>
    </row>
    <row r="97" spans="15:15" x14ac:dyDescent="0.2">
      <c r="O97" s="389"/>
    </row>
    <row r="98" spans="15:15" x14ac:dyDescent="0.2">
      <c r="O98" s="389"/>
    </row>
    <row r="99" spans="15:15" x14ac:dyDescent="0.2">
      <c r="O99" s="389"/>
    </row>
    <row r="100" spans="15:15" x14ac:dyDescent="0.2">
      <c r="O100" s="389"/>
    </row>
    <row r="101" spans="15:15" x14ac:dyDescent="0.2">
      <c r="O101" s="389"/>
    </row>
    <row r="102" spans="15:15" x14ac:dyDescent="0.2">
      <c r="O102" s="389"/>
    </row>
    <row r="103" spans="15:15" x14ac:dyDescent="0.2">
      <c r="O103" s="389"/>
    </row>
    <row r="104" spans="15:15" x14ac:dyDescent="0.2">
      <c r="O104" s="389"/>
    </row>
    <row r="105" spans="15:15" x14ac:dyDescent="0.2">
      <c r="O105" s="389"/>
    </row>
    <row r="106" spans="15:15" x14ac:dyDescent="0.2">
      <c r="O106" s="389"/>
    </row>
    <row r="107" spans="15:15" x14ac:dyDescent="0.2">
      <c r="O107" s="389"/>
    </row>
    <row r="108" spans="15:15" x14ac:dyDescent="0.2">
      <c r="O108" s="389"/>
    </row>
    <row r="109" spans="15:15" x14ac:dyDescent="0.2">
      <c r="O109" s="389"/>
    </row>
    <row r="110" spans="15:15" x14ac:dyDescent="0.2">
      <c r="O110" s="389"/>
    </row>
    <row r="111" spans="15:15" x14ac:dyDescent="0.2">
      <c r="O111" s="389"/>
    </row>
    <row r="112" spans="15:15" x14ac:dyDescent="0.2">
      <c r="O112" s="389"/>
    </row>
    <row r="113" spans="15:15" x14ac:dyDescent="0.2">
      <c r="O113" s="389"/>
    </row>
    <row r="114" spans="15:15" x14ac:dyDescent="0.2">
      <c r="O114" s="389"/>
    </row>
    <row r="115" spans="15:15" x14ac:dyDescent="0.2">
      <c r="O115" s="389"/>
    </row>
    <row r="116" spans="15:15" x14ac:dyDescent="0.2">
      <c r="O116" s="389"/>
    </row>
    <row r="117" spans="15:15" x14ac:dyDescent="0.2">
      <c r="O117" s="389"/>
    </row>
    <row r="118" spans="15:15" x14ac:dyDescent="0.2">
      <c r="O118" s="389"/>
    </row>
    <row r="119" spans="15:15" x14ac:dyDescent="0.2">
      <c r="O119" s="389"/>
    </row>
    <row r="120" spans="15:15" x14ac:dyDescent="0.2">
      <c r="O120" s="389"/>
    </row>
    <row r="121" spans="15:15" x14ac:dyDescent="0.2">
      <c r="O121" s="389"/>
    </row>
    <row r="122" spans="15:15" x14ac:dyDescent="0.2">
      <c r="O122" s="389"/>
    </row>
    <row r="123" spans="15:15" x14ac:dyDescent="0.2">
      <c r="O123" s="389"/>
    </row>
    <row r="124" spans="15:15" x14ac:dyDescent="0.2">
      <c r="O124" s="389"/>
    </row>
    <row r="125" spans="15:15" x14ac:dyDescent="0.2">
      <c r="O125" s="389"/>
    </row>
    <row r="126" spans="15:15" x14ac:dyDescent="0.2">
      <c r="O126" s="389"/>
    </row>
    <row r="127" spans="15:15" x14ac:dyDescent="0.2">
      <c r="O127" s="389"/>
    </row>
    <row r="128" spans="15:15" x14ac:dyDescent="0.2">
      <c r="O128" s="389"/>
    </row>
    <row r="129" spans="15:15" x14ac:dyDescent="0.2">
      <c r="O129" s="389"/>
    </row>
    <row r="130" spans="15:15" x14ac:dyDescent="0.2">
      <c r="O130" s="389"/>
    </row>
    <row r="131" spans="15:15" x14ac:dyDescent="0.2">
      <c r="O131" s="389"/>
    </row>
    <row r="132" spans="15:15" x14ac:dyDescent="0.2">
      <c r="O132" s="389"/>
    </row>
    <row r="133" spans="15:15" x14ac:dyDescent="0.2">
      <c r="O133" s="389"/>
    </row>
    <row r="134" spans="15:15" x14ac:dyDescent="0.2">
      <c r="O134" s="389"/>
    </row>
    <row r="135" spans="15:15" x14ac:dyDescent="0.2">
      <c r="O135" s="389"/>
    </row>
    <row r="136" spans="15:15" x14ac:dyDescent="0.2">
      <c r="O136" s="389"/>
    </row>
    <row r="137" spans="15:15" x14ac:dyDescent="0.2">
      <c r="O137" s="389"/>
    </row>
    <row r="138" spans="15:15" x14ac:dyDescent="0.2">
      <c r="O138" s="389"/>
    </row>
    <row r="139" spans="15:15" x14ac:dyDescent="0.2">
      <c r="O139" s="389"/>
    </row>
    <row r="140" spans="15:15" x14ac:dyDescent="0.2">
      <c r="O140" s="389"/>
    </row>
    <row r="141" spans="15:15" x14ac:dyDescent="0.2">
      <c r="O141" s="389"/>
    </row>
    <row r="142" spans="15:15" x14ac:dyDescent="0.2">
      <c r="O142" s="389"/>
    </row>
    <row r="143" spans="15:15" x14ac:dyDescent="0.2">
      <c r="O143" s="389"/>
    </row>
    <row r="144" spans="15:15" x14ac:dyDescent="0.2">
      <c r="O144" s="389"/>
    </row>
    <row r="145" spans="1:245" x14ac:dyDescent="0.2">
      <c r="O145" s="389"/>
    </row>
    <row r="146" spans="1:245" x14ac:dyDescent="0.2">
      <c r="O146" s="389"/>
    </row>
    <row r="147" spans="1:245" x14ac:dyDescent="0.2">
      <c r="O147" s="389"/>
    </row>
    <row r="148" spans="1:245" ht="5.0999999999999996" customHeight="1" x14ac:dyDescent="0.2">
      <c r="B148" s="405"/>
      <c r="C148" s="391"/>
      <c r="D148" s="391"/>
      <c r="E148" s="403"/>
      <c r="F148" s="390"/>
      <c r="G148" s="390"/>
      <c r="H148" s="390"/>
      <c r="I148" s="390"/>
      <c r="J148" s="390"/>
      <c r="K148" s="390"/>
      <c r="L148" s="392"/>
      <c r="M148" s="390"/>
      <c r="N148" s="390"/>
      <c r="O148" s="390"/>
      <c r="P148" s="390"/>
      <c r="Q148" s="390"/>
      <c r="R148" s="390"/>
      <c r="S148" s="390"/>
      <c r="T148" s="390"/>
      <c r="U148" s="390"/>
      <c r="V148" s="390"/>
      <c r="W148" s="390"/>
      <c r="X148" s="393"/>
    </row>
    <row r="149" spans="1:245" x14ac:dyDescent="0.2">
      <c r="B149" s="406"/>
      <c r="E149" s="404" t="s">
        <v>735</v>
      </c>
      <c r="F149" s="394" t="s">
        <v>629</v>
      </c>
      <c r="G149" s="376"/>
      <c r="J149" s="377"/>
      <c r="K149" s="394" t="s">
        <v>735</v>
      </c>
      <c r="L149" s="394" t="s">
        <v>629</v>
      </c>
      <c r="Q149" s="394" t="s">
        <v>735</v>
      </c>
      <c r="R149" s="394" t="s">
        <v>629</v>
      </c>
      <c r="X149" s="395"/>
    </row>
    <row r="150" spans="1:245" x14ac:dyDescent="0.2">
      <c r="B150" s="406"/>
      <c r="D150" s="396" t="s">
        <v>1149</v>
      </c>
      <c r="E150" s="730">
        <f>IFERROR(MIN(AM78:IJ78),0)</f>
        <v>0</v>
      </c>
      <c r="F150" s="731">
        <f>MIN(AM79:IJ79)</f>
        <v>0</v>
      </c>
      <c r="J150" s="397" t="s">
        <v>1147</v>
      </c>
      <c r="K150" s="730">
        <f>IFERROR(AVERAGE(AM78:IJ78),0)</f>
        <v>0</v>
      </c>
      <c r="L150" s="731">
        <f>AVERAGE(AM79:IJ79)</f>
        <v>0</v>
      </c>
      <c r="P150" s="396" t="s">
        <v>1148</v>
      </c>
      <c r="Q150" s="730">
        <f>IFERROR(MAX(AM78:IJ78),0)</f>
        <v>0</v>
      </c>
      <c r="R150" s="731">
        <f>MAX(AM79:IJ79)</f>
        <v>0</v>
      </c>
      <c r="X150" s="395"/>
    </row>
    <row r="151" spans="1:245" ht="5.0999999999999996" customHeight="1" x14ac:dyDescent="0.2">
      <c r="B151" s="407"/>
      <c r="C151" s="394"/>
      <c r="D151" s="394"/>
      <c r="E151" s="404"/>
      <c r="F151" s="398"/>
      <c r="G151" s="398"/>
      <c r="H151" s="398"/>
      <c r="I151" s="398"/>
      <c r="J151" s="398"/>
      <c r="K151" s="398"/>
      <c r="L151" s="399"/>
      <c r="M151" s="398"/>
      <c r="N151" s="398"/>
      <c r="O151" s="398"/>
      <c r="P151" s="398"/>
      <c r="Q151" s="398"/>
      <c r="R151" s="398"/>
      <c r="S151" s="398"/>
      <c r="T151" s="398"/>
      <c r="U151" s="398"/>
      <c r="V151" s="398"/>
      <c r="W151" s="398"/>
      <c r="X151" s="400"/>
    </row>
    <row r="153" spans="1:245" ht="13.5" thickBot="1" x14ac:dyDescent="0.25"/>
    <row r="154" spans="1:245" ht="17.25" customHeight="1" thickBot="1" x14ac:dyDescent="0.25">
      <c r="B154" s="1887" t="s">
        <v>736</v>
      </c>
      <c r="C154" s="1888"/>
      <c r="D154" s="1888"/>
      <c r="E154" s="1888"/>
      <c r="F154" s="1888"/>
      <c r="G154" s="1888"/>
      <c r="H154" s="1888"/>
      <c r="I154" s="1888"/>
      <c r="J154" s="1888"/>
      <c r="K154" s="1888"/>
      <c r="L154" s="1888"/>
      <c r="M154" s="1888"/>
      <c r="N154" s="1888"/>
      <c r="O154" s="1888"/>
      <c r="P154" s="1888"/>
      <c r="Q154" s="1888"/>
      <c r="R154" s="1888"/>
      <c r="S154" s="1888"/>
      <c r="T154" s="1888"/>
      <c r="U154" s="1888"/>
      <c r="V154" s="1888"/>
      <c r="W154" s="1888"/>
      <c r="X154" s="1889"/>
      <c r="Y154" s="1304"/>
      <c r="Z154" s="1304"/>
      <c r="AA154" s="1304"/>
      <c r="AB154" s="1304"/>
      <c r="AC154" s="1304"/>
      <c r="AD154" s="1304"/>
      <c r="AE154" s="1304"/>
      <c r="AF154" s="1304"/>
      <c r="AG154" s="1304"/>
      <c r="AH154" s="1304"/>
      <c r="AI154" s="1304"/>
      <c r="AJ154" s="1304"/>
    </row>
    <row r="155" spans="1:245" ht="74.25" customHeight="1" thickBot="1" x14ac:dyDescent="0.25">
      <c r="B155" s="1884" t="s">
        <v>714</v>
      </c>
      <c r="C155" s="1864" t="s">
        <v>94</v>
      </c>
      <c r="D155" s="1867" t="s">
        <v>715</v>
      </c>
      <c r="E155" s="1878" t="s">
        <v>716</v>
      </c>
      <c r="F155" s="1867" t="s">
        <v>717</v>
      </c>
      <c r="G155" s="1867" t="s">
        <v>1146</v>
      </c>
      <c r="H155" s="1867" t="s">
        <v>718</v>
      </c>
      <c r="I155" s="1867" t="s">
        <v>813</v>
      </c>
      <c r="J155" s="1867" t="s">
        <v>814</v>
      </c>
      <c r="K155" s="1867" t="s">
        <v>815</v>
      </c>
      <c r="L155" s="1881" t="s">
        <v>719</v>
      </c>
      <c r="M155" s="1867" t="s">
        <v>720</v>
      </c>
      <c r="N155" s="1867" t="s">
        <v>721</v>
      </c>
      <c r="O155" s="1867" t="s">
        <v>722</v>
      </c>
      <c r="P155" s="1867" t="s">
        <v>723</v>
      </c>
      <c r="Q155" s="1867" t="s">
        <v>724</v>
      </c>
      <c r="R155" s="1867" t="s">
        <v>725</v>
      </c>
      <c r="S155" s="1867" t="s">
        <v>726</v>
      </c>
      <c r="T155" s="1867" t="s">
        <v>727</v>
      </c>
      <c r="U155" s="1867" t="s">
        <v>728</v>
      </c>
      <c r="V155" s="1867" t="s">
        <v>729</v>
      </c>
      <c r="W155" s="1867" t="s">
        <v>730</v>
      </c>
      <c r="X155" s="1872" t="s">
        <v>731</v>
      </c>
      <c r="Y155" s="1305"/>
      <c r="Z155" s="1305"/>
      <c r="AA155" s="1305"/>
      <c r="AB155" s="1305"/>
      <c r="AC155" s="1305"/>
      <c r="AD155" s="1305"/>
      <c r="AE155" s="1305"/>
      <c r="AF155" s="1305"/>
      <c r="AG155" s="1305"/>
      <c r="AH155" s="1305"/>
      <c r="AI155" s="1305"/>
      <c r="AJ155" s="1305"/>
    </row>
    <row r="156" spans="1:245" ht="26.25" customHeight="1" x14ac:dyDescent="0.2">
      <c r="B156" s="1885"/>
      <c r="C156" s="1865"/>
      <c r="D156" s="1868"/>
      <c r="E156" s="1879"/>
      <c r="F156" s="1868"/>
      <c r="G156" s="1868"/>
      <c r="H156" s="1868"/>
      <c r="I156" s="1868"/>
      <c r="J156" s="1868"/>
      <c r="K156" s="1868"/>
      <c r="L156" s="1882"/>
      <c r="M156" s="1868"/>
      <c r="N156" s="1868"/>
      <c r="O156" s="1868"/>
      <c r="P156" s="1868"/>
      <c r="Q156" s="1868"/>
      <c r="R156" s="1868"/>
      <c r="S156" s="1868"/>
      <c r="T156" s="1868"/>
      <c r="U156" s="1868"/>
      <c r="V156" s="1868"/>
      <c r="W156" s="1868"/>
      <c r="X156" s="1873"/>
      <c r="Y156" s="1305"/>
      <c r="Z156" s="1305"/>
      <c r="AA156" s="1305"/>
      <c r="AB156" s="1305"/>
      <c r="AC156" s="1305"/>
      <c r="AD156" s="1305"/>
      <c r="AE156" s="1305"/>
      <c r="AF156" s="1305"/>
      <c r="AG156" s="1305"/>
      <c r="AH156" s="1305"/>
      <c r="AI156" s="1305"/>
      <c r="AJ156" s="1305"/>
      <c r="AL156" s="1875" t="s">
        <v>737</v>
      </c>
      <c r="AM156" s="1876"/>
      <c r="AN156" s="1876"/>
      <c r="AO156" s="1876"/>
      <c r="AP156" s="1876"/>
      <c r="AQ156" s="1876"/>
      <c r="AR156" s="1876"/>
      <c r="AS156" s="1876"/>
      <c r="AT156" s="1876"/>
      <c r="AU156" s="1876"/>
      <c r="AV156" s="1876"/>
      <c r="AW156" s="1876"/>
      <c r="AX156" s="1876"/>
      <c r="AY156" s="1876"/>
      <c r="AZ156" s="1876"/>
      <c r="BA156" s="1876"/>
      <c r="BB156" s="1876"/>
      <c r="BC156" s="1876"/>
      <c r="BD156" s="1876"/>
      <c r="BE156" s="1876"/>
      <c r="BF156" s="1876"/>
      <c r="BG156" s="1876"/>
      <c r="BH156" s="1876"/>
      <c r="BI156" s="1876"/>
      <c r="BJ156" s="1876"/>
      <c r="BK156" s="1876"/>
      <c r="BL156" s="1876"/>
      <c r="BM156" s="1876"/>
      <c r="BN156" s="1876"/>
      <c r="BO156" s="1876"/>
      <c r="BP156" s="1876"/>
      <c r="BQ156" s="1876"/>
      <c r="BR156" s="1876"/>
      <c r="BS156" s="1876"/>
      <c r="BT156" s="1876"/>
      <c r="BU156" s="1876"/>
      <c r="BV156" s="1876"/>
      <c r="BW156" s="1876"/>
      <c r="BX156" s="1876"/>
      <c r="BY156" s="1876"/>
      <c r="BZ156" s="1876"/>
      <c r="CA156" s="1876"/>
      <c r="CB156" s="1876"/>
      <c r="CC156" s="1876"/>
      <c r="CD156" s="1876"/>
      <c r="CE156" s="1876"/>
      <c r="CF156" s="1876"/>
      <c r="CG156" s="1876"/>
      <c r="CH156" s="1876"/>
      <c r="CI156" s="1876"/>
      <c r="CJ156" s="1876"/>
      <c r="CK156" s="1876"/>
      <c r="CL156" s="1876"/>
      <c r="CM156" s="1876"/>
      <c r="CN156" s="1876"/>
      <c r="CO156" s="1876"/>
      <c r="CP156" s="1876"/>
      <c r="CQ156" s="1876"/>
      <c r="CR156" s="1876"/>
      <c r="CS156" s="1876"/>
      <c r="CT156" s="1876"/>
      <c r="CU156" s="1876"/>
      <c r="CV156" s="1876"/>
      <c r="CW156" s="1876"/>
      <c r="CX156" s="1876"/>
      <c r="CY156" s="1876"/>
      <c r="CZ156" s="1876"/>
      <c r="DA156" s="1876"/>
      <c r="DB156" s="1876"/>
      <c r="DC156" s="1876"/>
      <c r="DD156" s="1876"/>
      <c r="DE156" s="1876"/>
      <c r="DF156" s="1876"/>
      <c r="DG156" s="1876"/>
      <c r="DH156" s="1876"/>
      <c r="DI156" s="1876"/>
      <c r="DJ156" s="1876"/>
      <c r="DK156" s="1876"/>
      <c r="DL156" s="1876"/>
      <c r="DM156" s="1876"/>
      <c r="DN156" s="1876"/>
      <c r="DO156" s="1876"/>
      <c r="DP156" s="1876"/>
      <c r="DQ156" s="1876"/>
      <c r="DR156" s="1876"/>
      <c r="DS156" s="1876"/>
      <c r="DT156" s="1876"/>
      <c r="DU156" s="1876"/>
      <c r="DV156" s="1876"/>
      <c r="DW156" s="1876"/>
      <c r="DX156" s="1876"/>
      <c r="DY156" s="1876"/>
      <c r="DZ156" s="1876"/>
      <c r="EA156" s="1876"/>
      <c r="EB156" s="1876"/>
      <c r="EC156" s="1876"/>
      <c r="ED156" s="1876"/>
      <c r="EE156" s="1876"/>
      <c r="EF156" s="1876"/>
      <c r="EG156" s="1876"/>
      <c r="EH156" s="1876"/>
      <c r="EI156" s="1876"/>
      <c r="EJ156" s="1876"/>
      <c r="EK156" s="1876"/>
      <c r="EL156" s="1876"/>
      <c r="EM156" s="1876"/>
      <c r="EN156" s="1876"/>
      <c r="EO156" s="1876"/>
      <c r="EP156" s="1876"/>
      <c r="EQ156" s="1876"/>
      <c r="ER156" s="1876"/>
      <c r="ES156" s="1876"/>
      <c r="ET156" s="1876"/>
      <c r="EU156" s="1876"/>
      <c r="EV156" s="1876"/>
      <c r="EW156" s="1876"/>
      <c r="EX156" s="1876"/>
      <c r="EY156" s="1876"/>
      <c r="EZ156" s="1876"/>
      <c r="FA156" s="1876"/>
      <c r="FB156" s="1876"/>
      <c r="FC156" s="1876"/>
      <c r="FD156" s="1876"/>
      <c r="FE156" s="1876"/>
      <c r="FF156" s="1876"/>
      <c r="FG156" s="1876"/>
      <c r="FH156" s="1876"/>
      <c r="FI156" s="1876"/>
      <c r="FJ156" s="1876"/>
      <c r="FK156" s="1876"/>
      <c r="FL156" s="1876"/>
      <c r="FM156" s="1876"/>
      <c r="FN156" s="1876"/>
      <c r="FO156" s="1876"/>
      <c r="FP156" s="1876"/>
      <c r="FQ156" s="1876"/>
      <c r="FR156" s="1876"/>
      <c r="FS156" s="1876"/>
      <c r="FT156" s="1876"/>
      <c r="FU156" s="1876"/>
      <c r="FV156" s="1876"/>
      <c r="FW156" s="1876"/>
      <c r="FX156" s="1876"/>
      <c r="FY156" s="1876"/>
      <c r="FZ156" s="1876"/>
      <c r="GA156" s="1876"/>
      <c r="GB156" s="1876"/>
      <c r="GC156" s="1876"/>
      <c r="GD156" s="1876"/>
      <c r="GE156" s="1876"/>
      <c r="GF156" s="1876"/>
      <c r="GG156" s="1876"/>
      <c r="GH156" s="1876"/>
      <c r="GI156" s="1876"/>
      <c r="GJ156" s="1876"/>
      <c r="GK156" s="1876"/>
      <c r="GL156" s="1876"/>
      <c r="GM156" s="1876"/>
      <c r="GN156" s="1876"/>
      <c r="GO156" s="1876"/>
      <c r="GP156" s="1876"/>
      <c r="GQ156" s="1876"/>
      <c r="GR156" s="1876"/>
      <c r="GS156" s="1876"/>
      <c r="GT156" s="1876"/>
      <c r="GU156" s="1876"/>
      <c r="GV156" s="1876"/>
      <c r="GW156" s="1876"/>
      <c r="GX156" s="1876"/>
      <c r="GY156" s="1876"/>
      <c r="GZ156" s="1876"/>
      <c r="HA156" s="1876"/>
      <c r="HB156" s="1876"/>
      <c r="HC156" s="1876"/>
      <c r="HD156" s="1876"/>
      <c r="HE156" s="1876"/>
      <c r="HF156" s="1876"/>
      <c r="HG156" s="1876"/>
      <c r="HH156" s="1876"/>
      <c r="HI156" s="1876"/>
      <c r="HJ156" s="1876"/>
      <c r="HK156" s="1876"/>
      <c r="HL156" s="1876"/>
      <c r="HM156" s="1876"/>
      <c r="HN156" s="1876"/>
      <c r="HO156" s="1876"/>
      <c r="HP156" s="1876"/>
      <c r="HQ156" s="1876"/>
      <c r="HR156" s="1876"/>
      <c r="HS156" s="1876"/>
      <c r="HT156" s="1876"/>
      <c r="HU156" s="1876"/>
      <c r="HV156" s="1876"/>
      <c r="HW156" s="1876"/>
      <c r="HX156" s="1876"/>
      <c r="HY156" s="1876"/>
      <c r="HZ156" s="1876"/>
      <c r="IA156" s="1876"/>
      <c r="IB156" s="1876"/>
      <c r="IC156" s="1876"/>
      <c r="ID156" s="1876"/>
      <c r="IE156" s="1876"/>
      <c r="IF156" s="1876"/>
      <c r="IG156" s="1876"/>
      <c r="IH156" s="1876"/>
      <c r="II156" s="1876"/>
      <c r="IJ156" s="1877"/>
      <c r="IK156" s="378"/>
    </row>
    <row r="157" spans="1:245" ht="13.5" thickBot="1" x14ac:dyDescent="0.25">
      <c r="B157" s="1886"/>
      <c r="C157" s="1866"/>
      <c r="D157" s="1869"/>
      <c r="E157" s="1880"/>
      <c r="F157" s="1869"/>
      <c r="G157" s="1869"/>
      <c r="H157" s="1869"/>
      <c r="I157" s="1869"/>
      <c r="J157" s="1869"/>
      <c r="K157" s="1869"/>
      <c r="L157" s="1883"/>
      <c r="M157" s="1869"/>
      <c r="N157" s="1869"/>
      <c r="O157" s="1869"/>
      <c r="P157" s="1869"/>
      <c r="Q157" s="1869"/>
      <c r="R157" s="1869"/>
      <c r="S157" s="1869"/>
      <c r="T157" s="1869"/>
      <c r="U157" s="1869"/>
      <c r="V157" s="1869"/>
      <c r="W157" s="1869"/>
      <c r="X157" s="1874"/>
      <c r="Y157" s="1305"/>
      <c r="Z157" s="1305"/>
      <c r="AA157" s="1305"/>
      <c r="AB157" s="1305"/>
      <c r="AC157" s="1305"/>
      <c r="AD157" s="1305"/>
      <c r="AE157" s="1305"/>
      <c r="AF157" s="1305"/>
      <c r="AG157" s="1305"/>
      <c r="AH157" s="1305"/>
      <c r="AI157" s="1305"/>
      <c r="AJ157" s="1305"/>
      <c r="AK157" s="379"/>
      <c r="AL157" s="724"/>
      <c r="AM157" s="725">
        <v>0</v>
      </c>
      <c r="AN157" s="725">
        <f t="shared" ref="AN157:CY157" si="192">IF(AM157+TIME(0,TimeIncr,0)&gt;=0.99999,NA(),MROUND(AM157+TIME(0,TimeIncr,0),"0:01"))</f>
        <v>4.8611111111111112E-3</v>
      </c>
      <c r="AO157" s="725">
        <f t="shared" si="192"/>
        <v>9.7222222222222224E-3</v>
      </c>
      <c r="AP157" s="725">
        <f t="shared" si="192"/>
        <v>1.4583333333333334E-2</v>
      </c>
      <c r="AQ157" s="725">
        <f t="shared" si="192"/>
        <v>1.9444444444444445E-2</v>
      </c>
      <c r="AR157" s="725">
        <f t="shared" si="192"/>
        <v>2.4305555555555556E-2</v>
      </c>
      <c r="AS157" s="725">
        <f t="shared" si="192"/>
        <v>2.9166666666666667E-2</v>
      </c>
      <c r="AT157" s="725">
        <f t="shared" si="192"/>
        <v>3.4027777777777782E-2</v>
      </c>
      <c r="AU157" s="725">
        <f t="shared" si="192"/>
        <v>3.888888888888889E-2</v>
      </c>
      <c r="AV157" s="725">
        <f t="shared" si="192"/>
        <v>4.3750000000000004E-2</v>
      </c>
      <c r="AW157" s="725">
        <f t="shared" si="192"/>
        <v>4.8611111111111112E-2</v>
      </c>
      <c r="AX157" s="725">
        <f t="shared" si="192"/>
        <v>5.3472222222222227E-2</v>
      </c>
      <c r="AY157" s="725">
        <f t="shared" si="192"/>
        <v>5.8333333333333334E-2</v>
      </c>
      <c r="AZ157" s="725">
        <f t="shared" si="192"/>
        <v>6.3194444444444442E-2</v>
      </c>
      <c r="BA157" s="725">
        <f t="shared" si="192"/>
        <v>6.8055555555555564E-2</v>
      </c>
      <c r="BB157" s="725">
        <f t="shared" si="192"/>
        <v>7.2916666666666671E-2</v>
      </c>
      <c r="BC157" s="725">
        <f t="shared" si="192"/>
        <v>7.7777777777777779E-2</v>
      </c>
      <c r="BD157" s="725">
        <f t="shared" si="192"/>
        <v>8.2638888888888887E-2</v>
      </c>
      <c r="BE157" s="725">
        <f t="shared" si="192"/>
        <v>8.7500000000000008E-2</v>
      </c>
      <c r="BF157" s="725">
        <f t="shared" si="192"/>
        <v>9.2361111111111116E-2</v>
      </c>
      <c r="BG157" s="725">
        <f t="shared" si="192"/>
        <v>9.7222222222222224E-2</v>
      </c>
      <c r="BH157" s="725">
        <f t="shared" si="192"/>
        <v>0.10208333333333333</v>
      </c>
      <c r="BI157" s="725">
        <f t="shared" si="192"/>
        <v>0.10694444444444445</v>
      </c>
      <c r="BJ157" s="725">
        <f t="shared" si="192"/>
        <v>0.11180555555555556</v>
      </c>
      <c r="BK157" s="725">
        <f t="shared" si="192"/>
        <v>0.11666666666666667</v>
      </c>
      <c r="BL157" s="725">
        <f t="shared" si="192"/>
        <v>0.12152777777777778</v>
      </c>
      <c r="BM157" s="725">
        <f t="shared" si="192"/>
        <v>0.12638888888888888</v>
      </c>
      <c r="BN157" s="725">
        <f t="shared" si="192"/>
        <v>0.13125000000000001</v>
      </c>
      <c r="BO157" s="725">
        <f t="shared" si="192"/>
        <v>0.13611111111111113</v>
      </c>
      <c r="BP157" s="725">
        <f t="shared" si="192"/>
        <v>0.14097222222222222</v>
      </c>
      <c r="BQ157" s="725">
        <f t="shared" si="192"/>
        <v>0.14583333333333334</v>
      </c>
      <c r="BR157" s="725">
        <f t="shared" si="192"/>
        <v>0.15069444444444444</v>
      </c>
      <c r="BS157" s="725">
        <f t="shared" si="192"/>
        <v>0.15555555555555556</v>
      </c>
      <c r="BT157" s="725">
        <f t="shared" si="192"/>
        <v>0.16041666666666668</v>
      </c>
      <c r="BU157" s="725">
        <f t="shared" si="192"/>
        <v>0.16527777777777777</v>
      </c>
      <c r="BV157" s="725">
        <f t="shared" si="192"/>
        <v>0.1701388888888889</v>
      </c>
      <c r="BW157" s="725">
        <f t="shared" si="192"/>
        <v>0.17500000000000002</v>
      </c>
      <c r="BX157" s="725">
        <f t="shared" si="192"/>
        <v>0.17986111111111111</v>
      </c>
      <c r="BY157" s="725">
        <f t="shared" si="192"/>
        <v>0.18472222222222223</v>
      </c>
      <c r="BZ157" s="725">
        <f t="shared" si="192"/>
        <v>0.18958333333333335</v>
      </c>
      <c r="CA157" s="725">
        <f t="shared" si="192"/>
        <v>0.19444444444444445</v>
      </c>
      <c r="CB157" s="725">
        <f t="shared" si="192"/>
        <v>0.19930555555555557</v>
      </c>
      <c r="CC157" s="725">
        <f t="shared" si="192"/>
        <v>0.20416666666666666</v>
      </c>
      <c r="CD157" s="725">
        <f t="shared" si="192"/>
        <v>0.20902777777777778</v>
      </c>
      <c r="CE157" s="725">
        <f t="shared" si="192"/>
        <v>0.21388888888888891</v>
      </c>
      <c r="CF157" s="725">
        <f t="shared" si="192"/>
        <v>0.21875</v>
      </c>
      <c r="CG157" s="725">
        <f t="shared" si="192"/>
        <v>0.22361111111111112</v>
      </c>
      <c r="CH157" s="725">
        <f t="shared" si="192"/>
        <v>0.22847222222222224</v>
      </c>
      <c r="CI157" s="725">
        <f t="shared" si="192"/>
        <v>0.23333333333333334</v>
      </c>
      <c r="CJ157" s="725">
        <f t="shared" si="192"/>
        <v>0.23819444444444446</v>
      </c>
      <c r="CK157" s="725">
        <f t="shared" si="192"/>
        <v>0.24305555555555555</v>
      </c>
      <c r="CL157" s="725">
        <f t="shared" si="192"/>
        <v>0.24791666666666667</v>
      </c>
      <c r="CM157" s="725">
        <f t="shared" si="192"/>
        <v>0.25277777777777777</v>
      </c>
      <c r="CN157" s="725">
        <f t="shared" si="192"/>
        <v>0.25763888888888892</v>
      </c>
      <c r="CO157" s="725">
        <f t="shared" si="192"/>
        <v>0.26250000000000001</v>
      </c>
      <c r="CP157" s="725">
        <f t="shared" si="192"/>
        <v>0.2673611111111111</v>
      </c>
      <c r="CQ157" s="725">
        <f t="shared" si="192"/>
        <v>0.27222222222222225</v>
      </c>
      <c r="CR157" s="725">
        <f t="shared" si="192"/>
        <v>0.27708333333333335</v>
      </c>
      <c r="CS157" s="725">
        <f t="shared" si="192"/>
        <v>0.28194444444444444</v>
      </c>
      <c r="CT157" s="725">
        <f t="shared" si="192"/>
        <v>0.28680555555555559</v>
      </c>
      <c r="CU157" s="725">
        <f t="shared" si="192"/>
        <v>0.29166666666666669</v>
      </c>
      <c r="CV157" s="725">
        <f t="shared" si="192"/>
        <v>0.29652777777777778</v>
      </c>
      <c r="CW157" s="725">
        <f t="shared" si="192"/>
        <v>0.30138888888888887</v>
      </c>
      <c r="CX157" s="725">
        <f t="shared" si="192"/>
        <v>0.30625000000000002</v>
      </c>
      <c r="CY157" s="725">
        <f t="shared" si="192"/>
        <v>0.31111111111111112</v>
      </c>
      <c r="CZ157" s="725">
        <f t="shared" ref="CZ157:FK157" si="193">IF(CY157+TIME(0,TimeIncr,0)&gt;=0.99999,NA(),MROUND(CY157+TIME(0,TimeIncr,0),"0:01"))</f>
        <v>0.31597222222222221</v>
      </c>
      <c r="DA157" s="725">
        <f t="shared" si="193"/>
        <v>0.32083333333333336</v>
      </c>
      <c r="DB157" s="725">
        <f t="shared" si="193"/>
        <v>0.32569444444444445</v>
      </c>
      <c r="DC157" s="725">
        <f t="shared" si="193"/>
        <v>0.33055555555555555</v>
      </c>
      <c r="DD157" s="725">
        <f t="shared" si="193"/>
        <v>0.3354166666666667</v>
      </c>
      <c r="DE157" s="725">
        <f t="shared" si="193"/>
        <v>0.34027777777777779</v>
      </c>
      <c r="DF157" s="725">
        <f t="shared" si="193"/>
        <v>0.34513888888888888</v>
      </c>
      <c r="DG157" s="725">
        <f t="shared" si="193"/>
        <v>0.35000000000000003</v>
      </c>
      <c r="DH157" s="725">
        <f t="shared" si="193"/>
        <v>0.35486111111111113</v>
      </c>
      <c r="DI157" s="725">
        <f t="shared" si="193"/>
        <v>0.35972222222222222</v>
      </c>
      <c r="DJ157" s="725">
        <f t="shared" si="193"/>
        <v>0.36458333333333337</v>
      </c>
      <c r="DK157" s="725">
        <f t="shared" si="193"/>
        <v>0.36944444444444446</v>
      </c>
      <c r="DL157" s="725">
        <f t="shared" si="193"/>
        <v>0.37430555555555556</v>
      </c>
      <c r="DM157" s="725">
        <f t="shared" si="193"/>
        <v>0.37916666666666671</v>
      </c>
      <c r="DN157" s="725">
        <f t="shared" si="193"/>
        <v>0.3840277777777778</v>
      </c>
      <c r="DO157" s="725">
        <f t="shared" si="193"/>
        <v>0.3888888888888889</v>
      </c>
      <c r="DP157" s="725">
        <f t="shared" si="193"/>
        <v>0.39374999999999999</v>
      </c>
      <c r="DQ157" s="725">
        <f t="shared" si="193"/>
        <v>0.39861111111111114</v>
      </c>
      <c r="DR157" s="725">
        <f t="shared" si="193"/>
        <v>0.40347222222222223</v>
      </c>
      <c r="DS157" s="725">
        <f t="shared" si="193"/>
        <v>0.40833333333333333</v>
      </c>
      <c r="DT157" s="725">
        <f t="shared" si="193"/>
        <v>0.41319444444444448</v>
      </c>
      <c r="DU157" s="725">
        <f t="shared" si="193"/>
        <v>0.41805555555555557</v>
      </c>
      <c r="DV157" s="725">
        <f t="shared" si="193"/>
        <v>0.42291666666666666</v>
      </c>
      <c r="DW157" s="725">
        <f t="shared" si="193"/>
        <v>0.42777777777777781</v>
      </c>
      <c r="DX157" s="725">
        <f t="shared" si="193"/>
        <v>0.43263888888888891</v>
      </c>
      <c r="DY157" s="725">
        <f t="shared" si="193"/>
        <v>0.4375</v>
      </c>
      <c r="DZ157" s="725">
        <f t="shared" si="193"/>
        <v>0.44236111111111115</v>
      </c>
      <c r="EA157" s="725">
        <f t="shared" si="193"/>
        <v>0.44722222222222224</v>
      </c>
      <c r="EB157" s="725">
        <f t="shared" si="193"/>
        <v>0.45208333333333334</v>
      </c>
      <c r="EC157" s="725">
        <f t="shared" si="193"/>
        <v>0.45694444444444449</v>
      </c>
      <c r="ED157" s="725">
        <f t="shared" si="193"/>
        <v>0.46180555555555558</v>
      </c>
      <c r="EE157" s="725">
        <f t="shared" si="193"/>
        <v>0.46666666666666667</v>
      </c>
      <c r="EF157" s="725">
        <f t="shared" si="193"/>
        <v>0.47152777777777782</v>
      </c>
      <c r="EG157" s="725">
        <f t="shared" si="193"/>
        <v>0.47638888888888892</v>
      </c>
      <c r="EH157" s="725">
        <f t="shared" si="193"/>
        <v>0.48125000000000001</v>
      </c>
      <c r="EI157" s="725">
        <f t="shared" si="193"/>
        <v>0.4861111111111111</v>
      </c>
      <c r="EJ157" s="725">
        <f t="shared" si="193"/>
        <v>0.49097222222222225</v>
      </c>
      <c r="EK157" s="725">
        <f t="shared" si="193"/>
        <v>0.49583333333333335</v>
      </c>
      <c r="EL157" s="725">
        <f t="shared" si="193"/>
        <v>0.50069444444444444</v>
      </c>
      <c r="EM157" s="725">
        <f t="shared" si="193"/>
        <v>0.50555555555555554</v>
      </c>
      <c r="EN157" s="725">
        <f t="shared" si="193"/>
        <v>0.51041666666666674</v>
      </c>
      <c r="EO157" s="725">
        <f t="shared" si="193"/>
        <v>0.51527777777777783</v>
      </c>
      <c r="EP157" s="725">
        <f t="shared" si="193"/>
        <v>0.52013888888888893</v>
      </c>
      <c r="EQ157" s="725">
        <f t="shared" si="193"/>
        <v>0.52500000000000002</v>
      </c>
      <c r="ER157" s="725">
        <f t="shared" si="193"/>
        <v>0.52986111111111112</v>
      </c>
      <c r="ES157" s="725">
        <f t="shared" si="193"/>
        <v>0.53472222222222221</v>
      </c>
      <c r="ET157" s="725">
        <f t="shared" si="193"/>
        <v>0.5395833333333333</v>
      </c>
      <c r="EU157" s="725">
        <f t="shared" si="193"/>
        <v>0.54444444444444451</v>
      </c>
      <c r="EV157" s="725">
        <f t="shared" si="193"/>
        <v>0.5493055555555556</v>
      </c>
      <c r="EW157" s="725">
        <f t="shared" si="193"/>
        <v>0.5541666666666667</v>
      </c>
      <c r="EX157" s="725">
        <f t="shared" si="193"/>
        <v>0.55902777777777779</v>
      </c>
      <c r="EY157" s="725">
        <f t="shared" si="193"/>
        <v>0.56388888888888888</v>
      </c>
      <c r="EZ157" s="725">
        <f t="shared" si="193"/>
        <v>0.56874999999999998</v>
      </c>
      <c r="FA157" s="725">
        <f t="shared" si="193"/>
        <v>0.57361111111111118</v>
      </c>
      <c r="FB157" s="725">
        <f t="shared" si="193"/>
        <v>0.57847222222222228</v>
      </c>
      <c r="FC157" s="725">
        <f t="shared" si="193"/>
        <v>0.58333333333333337</v>
      </c>
      <c r="FD157" s="725">
        <f t="shared" si="193"/>
        <v>0.58819444444444446</v>
      </c>
      <c r="FE157" s="725">
        <f t="shared" si="193"/>
        <v>0.59305555555555556</v>
      </c>
      <c r="FF157" s="725">
        <f t="shared" si="193"/>
        <v>0.59791666666666665</v>
      </c>
      <c r="FG157" s="725">
        <f t="shared" si="193"/>
        <v>0.60277777777777775</v>
      </c>
      <c r="FH157" s="725">
        <f t="shared" si="193"/>
        <v>0.60763888888888895</v>
      </c>
      <c r="FI157" s="725">
        <f t="shared" si="193"/>
        <v>0.61250000000000004</v>
      </c>
      <c r="FJ157" s="725">
        <f t="shared" si="193"/>
        <v>0.61736111111111114</v>
      </c>
      <c r="FK157" s="725">
        <f t="shared" si="193"/>
        <v>0.62222222222222223</v>
      </c>
      <c r="FL157" s="725">
        <f t="shared" ref="FL157:HW157" si="194">IF(FK157+TIME(0,TimeIncr,0)&gt;=0.99999,NA(),MROUND(FK157+TIME(0,TimeIncr,0),"0:01"))</f>
        <v>0.62708333333333333</v>
      </c>
      <c r="FM157" s="725">
        <f t="shared" si="194"/>
        <v>0.63194444444444442</v>
      </c>
      <c r="FN157" s="725">
        <f t="shared" si="194"/>
        <v>0.63680555555555562</v>
      </c>
      <c r="FO157" s="725">
        <f t="shared" si="194"/>
        <v>0.64166666666666672</v>
      </c>
      <c r="FP157" s="725">
        <f t="shared" si="194"/>
        <v>0.64652777777777781</v>
      </c>
      <c r="FQ157" s="725">
        <f t="shared" si="194"/>
        <v>0.65138888888888891</v>
      </c>
      <c r="FR157" s="725">
        <f t="shared" si="194"/>
        <v>0.65625</v>
      </c>
      <c r="FS157" s="725">
        <f t="shared" si="194"/>
        <v>0.66111111111111109</v>
      </c>
      <c r="FT157" s="725">
        <f t="shared" si="194"/>
        <v>0.6659722222222223</v>
      </c>
      <c r="FU157" s="725">
        <f t="shared" si="194"/>
        <v>0.67083333333333339</v>
      </c>
      <c r="FV157" s="725">
        <f t="shared" si="194"/>
        <v>0.67569444444444449</v>
      </c>
      <c r="FW157" s="725">
        <f t="shared" si="194"/>
        <v>0.68055555555555558</v>
      </c>
      <c r="FX157" s="725">
        <f t="shared" si="194"/>
        <v>0.68541666666666667</v>
      </c>
      <c r="FY157" s="725">
        <f t="shared" si="194"/>
        <v>0.69027777777777777</v>
      </c>
      <c r="FZ157" s="725">
        <f t="shared" si="194"/>
        <v>0.69513888888888886</v>
      </c>
      <c r="GA157" s="725">
        <f t="shared" si="194"/>
        <v>0.70000000000000007</v>
      </c>
      <c r="GB157" s="725">
        <f t="shared" si="194"/>
        <v>0.70486111111111116</v>
      </c>
      <c r="GC157" s="725">
        <f t="shared" si="194"/>
        <v>0.70972222222222225</v>
      </c>
      <c r="GD157" s="725">
        <f t="shared" si="194"/>
        <v>0.71458333333333335</v>
      </c>
      <c r="GE157" s="725">
        <f t="shared" si="194"/>
        <v>0.71944444444444444</v>
      </c>
      <c r="GF157" s="725">
        <f t="shared" si="194"/>
        <v>0.72430555555555554</v>
      </c>
      <c r="GG157" s="725">
        <f t="shared" si="194"/>
        <v>0.72916666666666674</v>
      </c>
      <c r="GH157" s="725">
        <f t="shared" si="194"/>
        <v>0.73402777777777783</v>
      </c>
      <c r="GI157" s="725">
        <f t="shared" si="194"/>
        <v>0.73888888888888893</v>
      </c>
      <c r="GJ157" s="725">
        <f t="shared" si="194"/>
        <v>0.74375000000000002</v>
      </c>
      <c r="GK157" s="725">
        <f t="shared" si="194"/>
        <v>0.74861111111111112</v>
      </c>
      <c r="GL157" s="725">
        <f t="shared" si="194"/>
        <v>0.75347222222222221</v>
      </c>
      <c r="GM157" s="725">
        <f t="shared" si="194"/>
        <v>0.75833333333333341</v>
      </c>
      <c r="GN157" s="725">
        <f t="shared" si="194"/>
        <v>0.76319444444444451</v>
      </c>
      <c r="GO157" s="725">
        <f t="shared" si="194"/>
        <v>0.7680555555555556</v>
      </c>
      <c r="GP157" s="725">
        <f t="shared" si="194"/>
        <v>0.7729166666666667</v>
      </c>
      <c r="GQ157" s="725">
        <f t="shared" si="194"/>
        <v>0.77777777777777779</v>
      </c>
      <c r="GR157" s="725">
        <f t="shared" si="194"/>
        <v>0.78263888888888888</v>
      </c>
      <c r="GS157" s="725">
        <f t="shared" si="194"/>
        <v>0.78749999999999998</v>
      </c>
      <c r="GT157" s="725">
        <f t="shared" si="194"/>
        <v>0.79236111111111118</v>
      </c>
      <c r="GU157" s="725">
        <f t="shared" si="194"/>
        <v>0.79722222222222228</v>
      </c>
      <c r="GV157" s="725">
        <f t="shared" si="194"/>
        <v>0.80208333333333337</v>
      </c>
      <c r="GW157" s="725">
        <f t="shared" si="194"/>
        <v>0.80694444444444446</v>
      </c>
      <c r="GX157" s="725">
        <f t="shared" si="194"/>
        <v>0.81180555555555556</v>
      </c>
      <c r="GY157" s="725">
        <f t="shared" si="194"/>
        <v>0.81666666666666665</v>
      </c>
      <c r="GZ157" s="725">
        <f t="shared" si="194"/>
        <v>0.82152777777777786</v>
      </c>
      <c r="HA157" s="725">
        <f t="shared" si="194"/>
        <v>0.82638888888888895</v>
      </c>
      <c r="HB157" s="725">
        <f t="shared" si="194"/>
        <v>0.83125000000000004</v>
      </c>
      <c r="HC157" s="725">
        <f t="shared" si="194"/>
        <v>0.83611111111111114</v>
      </c>
      <c r="HD157" s="725">
        <f t="shared" si="194"/>
        <v>0.84097222222222223</v>
      </c>
      <c r="HE157" s="725">
        <f t="shared" si="194"/>
        <v>0.84583333333333333</v>
      </c>
      <c r="HF157" s="725">
        <f t="shared" si="194"/>
        <v>0.85069444444444453</v>
      </c>
      <c r="HG157" s="725">
        <f t="shared" si="194"/>
        <v>0.85555555555555562</v>
      </c>
      <c r="HH157" s="725">
        <f t="shared" si="194"/>
        <v>0.86041666666666672</v>
      </c>
      <c r="HI157" s="725">
        <f t="shared" si="194"/>
        <v>0.86527777777777781</v>
      </c>
      <c r="HJ157" s="725">
        <f t="shared" si="194"/>
        <v>0.87013888888888891</v>
      </c>
      <c r="HK157" s="725">
        <f t="shared" si="194"/>
        <v>0.875</v>
      </c>
      <c r="HL157" s="725">
        <f t="shared" si="194"/>
        <v>0.87986111111111109</v>
      </c>
      <c r="HM157" s="725">
        <f t="shared" si="194"/>
        <v>0.8847222222222223</v>
      </c>
      <c r="HN157" s="725">
        <f t="shared" si="194"/>
        <v>0.88958333333333339</v>
      </c>
      <c r="HO157" s="725">
        <f t="shared" si="194"/>
        <v>0.89444444444444449</v>
      </c>
      <c r="HP157" s="725">
        <f t="shared" si="194"/>
        <v>0.89930555555555558</v>
      </c>
      <c r="HQ157" s="725">
        <f t="shared" si="194"/>
        <v>0.90416666666666667</v>
      </c>
      <c r="HR157" s="725">
        <f t="shared" si="194"/>
        <v>0.90902777777777777</v>
      </c>
      <c r="HS157" s="725">
        <f t="shared" si="194"/>
        <v>0.91388888888888897</v>
      </c>
      <c r="HT157" s="725">
        <f t="shared" si="194"/>
        <v>0.91875000000000007</v>
      </c>
      <c r="HU157" s="725">
        <f t="shared" si="194"/>
        <v>0.92361111111111116</v>
      </c>
      <c r="HV157" s="725">
        <f t="shared" si="194"/>
        <v>0.92847222222222225</v>
      </c>
      <c r="HW157" s="725">
        <f t="shared" si="194"/>
        <v>0.93333333333333335</v>
      </c>
      <c r="HX157" s="725">
        <f t="shared" ref="HX157:IJ157" si="195">IF(HW157+TIME(0,TimeIncr,0)&gt;=0.99999,NA(),MROUND(HW157+TIME(0,TimeIncr,0),"0:01"))</f>
        <v>0.93819444444444444</v>
      </c>
      <c r="HY157" s="725">
        <f t="shared" si="195"/>
        <v>0.94305555555555565</v>
      </c>
      <c r="HZ157" s="725">
        <f t="shared" si="195"/>
        <v>0.94791666666666674</v>
      </c>
      <c r="IA157" s="725">
        <f t="shared" si="195"/>
        <v>0.95277777777777783</v>
      </c>
      <c r="IB157" s="725">
        <f t="shared" si="195"/>
        <v>0.95763888888888893</v>
      </c>
      <c r="IC157" s="725">
        <f t="shared" si="195"/>
        <v>0.96250000000000002</v>
      </c>
      <c r="ID157" s="725">
        <f t="shared" si="195"/>
        <v>0.96736111111111112</v>
      </c>
      <c r="IE157" s="725">
        <f t="shared" si="195"/>
        <v>0.97222222222222221</v>
      </c>
      <c r="IF157" s="725">
        <f t="shared" si="195"/>
        <v>0.97708333333333341</v>
      </c>
      <c r="IG157" s="725">
        <f t="shared" si="195"/>
        <v>0.98194444444444451</v>
      </c>
      <c r="IH157" s="725">
        <f t="shared" si="195"/>
        <v>0.9868055555555556</v>
      </c>
      <c r="II157" s="725">
        <f t="shared" si="195"/>
        <v>0.9916666666666667</v>
      </c>
      <c r="IJ157" s="725">
        <f t="shared" si="195"/>
        <v>0.99652777777777779</v>
      </c>
      <c r="IK157" s="378"/>
    </row>
    <row r="158" spans="1:245" hidden="1" x14ac:dyDescent="0.2">
      <c r="A158" s="380" t="str">
        <f>IF(ISERROR(C158),"e",IF(OR(E158=0,B158=""),"x",""))</f>
        <v>x</v>
      </c>
      <c r="B158" s="712">
        <f>IF(ISERROR(INDEX('Legend(DX)'!$H$11:$H$12,1)),"",INDEX('Legend(DX)'!$H$11:$H$12,1))</f>
        <v>0</v>
      </c>
      <c r="C158" s="712" t="str">
        <f>IF(INDEX('Legend(DX)'!$T$11:$T$12,1)=0,"See Legend",INDEX('Legend(DX)'!$T$11:$T$12,1))</f>
        <v>See Legend</v>
      </c>
      <c r="D158" s="712" t="e">
        <f>IF(INDEX('Legend(DX)'!$R$11:$R$12,(ROW(C158))-137)=0,IF(AND(INDEX('Legend(DX)'!$D$11:$D$12,(ROW(C158))-136)="CH",INDEX('Legend(DX)'!$F$11:$F$12,(ROW(C158))-136)="CASE - MANUAL"),INDEX('Legend(DX)'!$R$11:$R$12,(ROW(C158))-136),IF(INDEX('Legend(DX)'!$V$11:$V$12,(ROW(C158))-137)&gt;1, "(" &amp; INDEX('Legend(DX)'!$V$11:$V$12,(ROW(C158))-137) &amp; ") " &amp; INDEX('Legend(DX)'!$W$11:$W$12,(ROW(C158))-136),INDEX('Legend(DX)'!$W$11:$W$12,(ROW(C158))-137))),INDEX('Legend(DX)'!$R$11:$R$12,(ROW(C158))-137))</f>
        <v>#REF!</v>
      </c>
      <c r="E158" s="713">
        <f>IF(ISERROR(INDEX('Legend(DX)'!$AA$11:$AA$12,1)),"",INDEX('Legend(DX)'!$AA$11:$AA$12,1))</f>
        <v>0</v>
      </c>
      <c r="F158" s="714"/>
      <c r="G158" s="714"/>
      <c r="H158" s="714"/>
      <c r="I158" s="714"/>
      <c r="J158" s="714"/>
      <c r="K158" s="890">
        <f>G158+H158+J158</f>
        <v>0</v>
      </c>
      <c r="L158" s="717"/>
      <c r="M158" s="723"/>
      <c r="N158" s="972">
        <f t="shared" ref="N158:N189" si="196">IF(M158="",-1,IF(M158+TIME(0,$K158,0)&gt;1,M158+TIME(0,$K158,0)-1,M158+TIME(0,$K158,0)))</f>
        <v>-1</v>
      </c>
      <c r="O158" s="972">
        <f>IF($F158&lt;2,-1,IF(M158+TIME((24/$F158),0,0)&gt;1,MROUND(M158-1+TIME((24/$F158),0,0),"0:01"),MROUND(M158+TIME((24/$F158),0,0),"0:01")))</f>
        <v>-1</v>
      </c>
      <c r="P158" s="972">
        <f t="shared" ref="P158:P189" si="197">IF(O158="",-1,IF(O158+TIME(0,$K158,0)&gt;1,O158+TIME(0,$K158,0)-1,O158+TIME(0,$K158,0)))</f>
        <v>-1</v>
      </c>
      <c r="Q158" s="972">
        <f>IF($F158&lt;3,-1,IF(O158+TIME((24/$F158),0,0)&gt;1,MROUND(O158-1+TIME((24/$F158),0,0),"0:01"),MROUND(O158+TIME((24/$F158),0,0),"0:01")))</f>
        <v>-1</v>
      </c>
      <c r="R158" s="972">
        <f t="shared" ref="R158:R189" si="198">IF(Q158="",-1,IF(Q158+TIME(0,$K158,0)&gt;1,Q158+TIME(0,$K158,0)-1,Q158+TIME(0,$K158,0)))</f>
        <v>-1</v>
      </c>
      <c r="S158" s="972">
        <f>IF($F158&lt;4,-1,IF(Q158+TIME((24/$F158),0,0)&gt;1,MROUND(Q158-1+TIME((24/$F158),0,0),"0:01"),MROUND(Q158+TIME((24/$F158),0,0),"0:01")))</f>
        <v>-1</v>
      </c>
      <c r="T158" s="972">
        <f t="shared" ref="T158:T189" si="199">IF(S158="",-1,IF(S158+TIME(0,$K158,0)&gt;1,S158+TIME(0,$K158,0)-1,S158+TIME(0,$K158,0)))</f>
        <v>-1</v>
      </c>
      <c r="U158" s="972">
        <f>IF($F158&lt;5,-1,IF(S158+TIME((24/$F158),0,0)&gt;1,MROUND(S158-1+TIME((24/$F158),0,0),"0:01"),MROUND(S158+TIME((24/$F158),0,0),"0:01")))</f>
        <v>-1</v>
      </c>
      <c r="V158" s="972">
        <f t="shared" ref="V158:V189" si="200">IF(U158="",-1,IF(U158+TIME(0,$K158,0)&gt;1,U158+TIME(0,$K158,0)-1,U158+TIME(0,$K158,0)))</f>
        <v>-1</v>
      </c>
      <c r="W158" s="972">
        <f>IF($F158&lt;6,-1,IF(U158+TIME((24/$F158),0,0)&gt;1,MROUND(U158-1+TIME((24/$F158),0,0),"0:01"),MROUND(U158+TIME((24/$F158),0,0),"0:01")))</f>
        <v>-1</v>
      </c>
      <c r="X158" s="972">
        <f t="shared" ref="X158:X189" si="201">IF(W158="",-1,IF(W158+TIME(0,$K158,0)&gt;1,W158+TIME(0,$K158,0)-1,W158+TIME(0,$K158,0)))</f>
        <v>-1</v>
      </c>
      <c r="Y158" s="972">
        <f>IF($F158&lt;7,-1,IF(W158+TIME((24/$F158),0,0)&gt;1,MROUND(W158-1+TIME((24/$F158),0,0),"0:01"),MROUND(W158+TIME((24/$F158),0,0),"0:01")))</f>
        <v>-1</v>
      </c>
      <c r="Z158" s="972">
        <f>IF(Y158="",-1,IF(Y158+TIME(0,$K158,0)&gt;1,Y158+TIME(0,$K158,0)-1,Y158+TIME(0,$K158,0)))</f>
        <v>-1</v>
      </c>
      <c r="AA158" s="972">
        <f>IF($F158&lt;8,-1,IF(Y158+TIME((24/$F158),0,0)&gt;1,MROUND(Y158-1+TIME((24/$F158),0,0),"0:01"),MROUND(Y158+TIME((24/$F158),0,0),"0:01")))</f>
        <v>-1</v>
      </c>
      <c r="AB158" s="972">
        <f>IF(AA158="",-1,IF(AA158+TIME(0,$K158,0)&gt;1,AA158+TIME(0,$K158,0)-1,AA158+TIME(0,$K158,0)))</f>
        <v>-1</v>
      </c>
      <c r="AC158" s="972">
        <f>IF($F158&lt;9,-1,IF(AA158+TIME((24/$F158),0,0)&gt;1,MROUND(AA158-1+TIME((24/$F158),0,0),"0:01"),MROUND(AA158+TIME((24/$F158),0,0),"0:01")))</f>
        <v>-1</v>
      </c>
      <c r="AD158" s="972">
        <f>IF(AC158="",-1,IF(AC158+TIME(0,$K158,0)&gt;1,AC158+TIME(0,$K158,0)-1,AC158+TIME(0,$K158,0)))</f>
        <v>-1</v>
      </c>
      <c r="AE158" s="972">
        <f>IF($F158&lt;10,-1,IF(AC158+TIME((24/$F158),0,0)&gt;1,MROUND(AC158-1+TIME((24/$F158),0,0),"0:01"),MROUND(AC158+TIME((24/$F158),0,0),"0:01")))</f>
        <v>-1</v>
      </c>
      <c r="AF158" s="972">
        <f>IF(AE158="",-1,IF(AE158+TIME(0,$K158,0)&gt;1,AE158+TIME(0,$K158,0)-1,AE158+TIME(0,$K158,0)))</f>
        <v>-1</v>
      </c>
      <c r="AG158" s="972">
        <f>IF($F158&lt;11,-1,IF(AE158+TIME((24/$F158),0,0)&gt;1,MROUND(AE158-1+TIME((24/$F158),0,0),"0:01"),MROUND(AE158+TIME((24/$F158),0,0),"0:01")))</f>
        <v>-1</v>
      </c>
      <c r="AH158" s="972">
        <f>IF(AG158="",-1,IF(AG158+TIME(0,$K158,0)&gt;1,AG158+TIME(0,$K158,0)-1,AG158+TIME(0,$K158,0)))</f>
        <v>-1</v>
      </c>
      <c r="AI158" s="972">
        <f>IF($F158&lt;12,-1,IF(AG158+TIME((24/$F158),0,0)&gt;1,MROUND(AG158-1+TIME((24/$F158),0,0),"0:01"),MROUND(AG158+TIME((24/$F158),0,0),"0:01")))</f>
        <v>-1</v>
      </c>
      <c r="AJ158" s="972">
        <f>IF(AI158="",-1,IF(AI158+TIME(0,$K158,0)&gt;1,AI158+TIME(0,$K158,0)-1,AI158+TIME(0,$K158,0)))</f>
        <v>-1</v>
      </c>
      <c r="AK158" s="381"/>
      <c r="AL158" s="726">
        <f>B158</f>
        <v>0</v>
      </c>
      <c r="AM158" s="409">
        <f t="shared" ref="AM158:AV187" si="202">IF(ISNA(AM$7),"",IF(OR(AND(AM$7&lt;=$N158,AM$7&gt;$N158-TIME(0,TimeIncr,0)),AND(AM$7&lt;=$P158,AM$7&gt;$P158-TIME(0,TimeIncr,0)),AND(AM$7&lt;=$R158,AM$7&gt;$R158-TIME(0,TimeIncr,0)),AND(AM$7&lt;=$T158,AM$7&gt;$T158-TIME(0,TimeIncr,0)),AND(AM$7&lt;=$V158,AM$7&gt;$V158-TIME(0,TimeIncr,0)),AND(AM$7&lt;=$X158,AM$7&gt;$X158-TIME(0,TimeIncr,0))),$E158*$L158,IF(OR(AND(AM$7&gt;=$M158,AM$7&lt;=$N158),AND(AM$7&gt;=$O158,AM$7&lt;=$P158),AND(AM$7&gt;=$Q158,AM$7&lt;=$R158),AND(AM$7&gt;=$S158,AM$7&lt;=$T158),AND(AM$7&gt;=$U158,AM$7&lt;=$V158),AND(AM$7&gt;=$W158,AM$7&lt;=$X158)),0,IF(OR(AND($M158&gt;$N158,AM$7&lt;=$N158),AND($O158&gt;$P158,AM$7&lt;=$P158),AND($Q158&gt;$R158,AM$7&lt;=$R158),AND($S158&gt;$T158,AM$7&lt;=$T158),AND($U158&gt;$V158,AM$7&lt;=$V158),AND($W158&gt;$X158,AM$7&lt;=$X158)),0,IF(OR(AND(AM$7&gt;=$M158,$M158&gt;$N158),AND(AM$7&gt;=$O158,$O158&gt;$P158),AND(AM$7&gt;=$Q158,$Q158&gt;$R158),AND(AM$7&gt;=$S158,$S158&gt;$T158),AND(AM$7&gt;=$U158,$U158&gt;$V158),AND(AM$7&gt;=$W158,$W158&gt;$X158)),0,$E158)))))</f>
        <v>0</v>
      </c>
      <c r="AN158" s="409">
        <f t="shared" si="202"/>
        <v>0</v>
      </c>
      <c r="AO158" s="409">
        <f t="shared" si="202"/>
        <v>0</v>
      </c>
      <c r="AP158" s="409">
        <f t="shared" si="202"/>
        <v>0</v>
      </c>
      <c r="AQ158" s="409">
        <f t="shared" si="202"/>
        <v>0</v>
      </c>
      <c r="AR158" s="409">
        <f t="shared" si="202"/>
        <v>0</v>
      </c>
      <c r="AS158" s="409">
        <f t="shared" si="202"/>
        <v>0</v>
      </c>
      <c r="AT158" s="409">
        <f t="shared" si="202"/>
        <v>0</v>
      </c>
      <c r="AU158" s="409">
        <f t="shared" si="202"/>
        <v>0</v>
      </c>
      <c r="AV158" s="409">
        <f t="shared" si="202"/>
        <v>0</v>
      </c>
      <c r="AW158" s="409">
        <f t="shared" ref="AW158:BF187" si="203">IF(ISNA(AW$7),"",IF(OR(AND(AW$7&lt;=$N158,AW$7&gt;$N158-TIME(0,TimeIncr,0)),AND(AW$7&lt;=$P158,AW$7&gt;$P158-TIME(0,TimeIncr,0)),AND(AW$7&lt;=$R158,AW$7&gt;$R158-TIME(0,TimeIncr,0)),AND(AW$7&lt;=$T158,AW$7&gt;$T158-TIME(0,TimeIncr,0)),AND(AW$7&lt;=$V158,AW$7&gt;$V158-TIME(0,TimeIncr,0)),AND(AW$7&lt;=$X158,AW$7&gt;$X158-TIME(0,TimeIncr,0))),$E158*$L158,IF(OR(AND(AW$7&gt;=$M158,AW$7&lt;=$N158),AND(AW$7&gt;=$O158,AW$7&lt;=$P158),AND(AW$7&gt;=$Q158,AW$7&lt;=$R158),AND(AW$7&gt;=$S158,AW$7&lt;=$T158),AND(AW$7&gt;=$U158,AW$7&lt;=$V158),AND(AW$7&gt;=$W158,AW$7&lt;=$X158)),0,IF(OR(AND($M158&gt;$N158,AW$7&lt;=$N158),AND($O158&gt;$P158,AW$7&lt;=$P158),AND($Q158&gt;$R158,AW$7&lt;=$R158),AND($S158&gt;$T158,AW$7&lt;=$T158),AND($U158&gt;$V158,AW$7&lt;=$V158),AND($W158&gt;$X158,AW$7&lt;=$X158)),0,IF(OR(AND(AW$7&gt;=$M158,$M158&gt;$N158),AND(AW$7&gt;=$O158,$O158&gt;$P158),AND(AW$7&gt;=$Q158,$Q158&gt;$R158),AND(AW$7&gt;=$S158,$S158&gt;$T158),AND(AW$7&gt;=$U158,$U158&gt;$V158),AND(AW$7&gt;=$W158,$W158&gt;$X158)),0,$E158)))))</f>
        <v>0</v>
      </c>
      <c r="AX158" s="409">
        <f t="shared" si="203"/>
        <v>0</v>
      </c>
      <c r="AY158" s="409">
        <f t="shared" si="203"/>
        <v>0</v>
      </c>
      <c r="AZ158" s="409">
        <f t="shared" si="203"/>
        <v>0</v>
      </c>
      <c r="BA158" s="409">
        <f t="shared" si="203"/>
        <v>0</v>
      </c>
      <c r="BB158" s="409">
        <f t="shared" si="203"/>
        <v>0</v>
      </c>
      <c r="BC158" s="409">
        <f t="shared" si="203"/>
        <v>0</v>
      </c>
      <c r="BD158" s="409">
        <f t="shared" si="203"/>
        <v>0</v>
      </c>
      <c r="BE158" s="409">
        <f t="shared" si="203"/>
        <v>0</v>
      </c>
      <c r="BF158" s="409">
        <f t="shared" si="203"/>
        <v>0</v>
      </c>
      <c r="BG158" s="409">
        <f t="shared" ref="BG158:BP187" si="204">IF(ISNA(BG$7),"",IF(OR(AND(BG$7&lt;=$N158,BG$7&gt;$N158-TIME(0,TimeIncr,0)),AND(BG$7&lt;=$P158,BG$7&gt;$P158-TIME(0,TimeIncr,0)),AND(BG$7&lt;=$R158,BG$7&gt;$R158-TIME(0,TimeIncr,0)),AND(BG$7&lt;=$T158,BG$7&gt;$T158-TIME(0,TimeIncr,0)),AND(BG$7&lt;=$V158,BG$7&gt;$V158-TIME(0,TimeIncr,0)),AND(BG$7&lt;=$X158,BG$7&gt;$X158-TIME(0,TimeIncr,0))),$E158*$L158,IF(OR(AND(BG$7&gt;=$M158,BG$7&lt;=$N158),AND(BG$7&gt;=$O158,BG$7&lt;=$P158),AND(BG$7&gt;=$Q158,BG$7&lt;=$R158),AND(BG$7&gt;=$S158,BG$7&lt;=$T158),AND(BG$7&gt;=$U158,BG$7&lt;=$V158),AND(BG$7&gt;=$W158,BG$7&lt;=$X158)),0,IF(OR(AND($M158&gt;$N158,BG$7&lt;=$N158),AND($O158&gt;$P158,BG$7&lt;=$P158),AND($Q158&gt;$R158,BG$7&lt;=$R158),AND($S158&gt;$T158,BG$7&lt;=$T158),AND($U158&gt;$V158,BG$7&lt;=$V158),AND($W158&gt;$X158,BG$7&lt;=$X158)),0,IF(OR(AND(BG$7&gt;=$M158,$M158&gt;$N158),AND(BG$7&gt;=$O158,$O158&gt;$P158),AND(BG$7&gt;=$Q158,$Q158&gt;$R158),AND(BG$7&gt;=$S158,$S158&gt;$T158),AND(BG$7&gt;=$U158,$U158&gt;$V158),AND(BG$7&gt;=$W158,$W158&gt;$X158)),0,$E158)))))</f>
        <v>0</v>
      </c>
      <c r="BH158" s="409">
        <f t="shared" si="204"/>
        <v>0</v>
      </c>
      <c r="BI158" s="409">
        <f t="shared" si="204"/>
        <v>0</v>
      </c>
      <c r="BJ158" s="409">
        <f t="shared" si="204"/>
        <v>0</v>
      </c>
      <c r="BK158" s="409">
        <f t="shared" si="204"/>
        <v>0</v>
      </c>
      <c r="BL158" s="409">
        <f t="shared" si="204"/>
        <v>0</v>
      </c>
      <c r="BM158" s="409">
        <f t="shared" si="204"/>
        <v>0</v>
      </c>
      <c r="BN158" s="409">
        <f t="shared" si="204"/>
        <v>0</v>
      </c>
      <c r="BO158" s="409">
        <f t="shared" si="204"/>
        <v>0</v>
      </c>
      <c r="BP158" s="409">
        <f t="shared" si="204"/>
        <v>0</v>
      </c>
      <c r="BQ158" s="409">
        <f t="shared" ref="BQ158:BZ187" si="205">IF(ISNA(BQ$7),"",IF(OR(AND(BQ$7&lt;=$N158,BQ$7&gt;$N158-TIME(0,TimeIncr,0)),AND(BQ$7&lt;=$P158,BQ$7&gt;$P158-TIME(0,TimeIncr,0)),AND(BQ$7&lt;=$R158,BQ$7&gt;$R158-TIME(0,TimeIncr,0)),AND(BQ$7&lt;=$T158,BQ$7&gt;$T158-TIME(0,TimeIncr,0)),AND(BQ$7&lt;=$V158,BQ$7&gt;$V158-TIME(0,TimeIncr,0)),AND(BQ$7&lt;=$X158,BQ$7&gt;$X158-TIME(0,TimeIncr,0))),$E158*$L158,IF(OR(AND(BQ$7&gt;=$M158,BQ$7&lt;=$N158),AND(BQ$7&gt;=$O158,BQ$7&lt;=$P158),AND(BQ$7&gt;=$Q158,BQ$7&lt;=$R158),AND(BQ$7&gt;=$S158,BQ$7&lt;=$T158),AND(BQ$7&gt;=$U158,BQ$7&lt;=$V158),AND(BQ$7&gt;=$W158,BQ$7&lt;=$X158)),0,IF(OR(AND($M158&gt;$N158,BQ$7&lt;=$N158),AND($O158&gt;$P158,BQ$7&lt;=$P158),AND($Q158&gt;$R158,BQ$7&lt;=$R158),AND($S158&gt;$T158,BQ$7&lt;=$T158),AND($U158&gt;$V158,BQ$7&lt;=$V158),AND($W158&gt;$X158,BQ$7&lt;=$X158)),0,IF(OR(AND(BQ$7&gt;=$M158,$M158&gt;$N158),AND(BQ$7&gt;=$O158,$O158&gt;$P158),AND(BQ$7&gt;=$Q158,$Q158&gt;$R158),AND(BQ$7&gt;=$S158,$S158&gt;$T158),AND(BQ$7&gt;=$U158,$U158&gt;$V158),AND(BQ$7&gt;=$W158,$W158&gt;$X158)),0,$E158)))))</f>
        <v>0</v>
      </c>
      <c r="BR158" s="409">
        <f t="shared" si="205"/>
        <v>0</v>
      </c>
      <c r="BS158" s="409">
        <f t="shared" si="205"/>
        <v>0</v>
      </c>
      <c r="BT158" s="409">
        <f t="shared" si="205"/>
        <v>0</v>
      </c>
      <c r="BU158" s="409">
        <f t="shared" si="205"/>
        <v>0</v>
      </c>
      <c r="BV158" s="409">
        <f t="shared" si="205"/>
        <v>0</v>
      </c>
      <c r="BW158" s="409">
        <f t="shared" si="205"/>
        <v>0</v>
      </c>
      <c r="BX158" s="409">
        <f t="shared" si="205"/>
        <v>0</v>
      </c>
      <c r="BY158" s="409">
        <f t="shared" si="205"/>
        <v>0</v>
      </c>
      <c r="BZ158" s="409">
        <f t="shared" si="205"/>
        <v>0</v>
      </c>
      <c r="CA158" s="409">
        <f t="shared" ref="CA158:CJ187" si="206">IF(ISNA(CA$7),"",IF(OR(AND(CA$7&lt;=$N158,CA$7&gt;$N158-TIME(0,TimeIncr,0)),AND(CA$7&lt;=$P158,CA$7&gt;$P158-TIME(0,TimeIncr,0)),AND(CA$7&lt;=$R158,CA$7&gt;$R158-TIME(0,TimeIncr,0)),AND(CA$7&lt;=$T158,CA$7&gt;$T158-TIME(0,TimeIncr,0)),AND(CA$7&lt;=$V158,CA$7&gt;$V158-TIME(0,TimeIncr,0)),AND(CA$7&lt;=$X158,CA$7&gt;$X158-TIME(0,TimeIncr,0))),$E158*$L158,IF(OR(AND(CA$7&gt;=$M158,CA$7&lt;=$N158),AND(CA$7&gt;=$O158,CA$7&lt;=$P158),AND(CA$7&gt;=$Q158,CA$7&lt;=$R158),AND(CA$7&gt;=$S158,CA$7&lt;=$T158),AND(CA$7&gt;=$U158,CA$7&lt;=$V158),AND(CA$7&gt;=$W158,CA$7&lt;=$X158)),0,IF(OR(AND($M158&gt;$N158,CA$7&lt;=$N158),AND($O158&gt;$P158,CA$7&lt;=$P158),AND($Q158&gt;$R158,CA$7&lt;=$R158),AND($S158&gt;$T158,CA$7&lt;=$T158),AND($U158&gt;$V158,CA$7&lt;=$V158),AND($W158&gt;$X158,CA$7&lt;=$X158)),0,IF(OR(AND(CA$7&gt;=$M158,$M158&gt;$N158),AND(CA$7&gt;=$O158,$O158&gt;$P158),AND(CA$7&gt;=$Q158,$Q158&gt;$R158),AND(CA$7&gt;=$S158,$S158&gt;$T158),AND(CA$7&gt;=$U158,$U158&gt;$V158),AND(CA$7&gt;=$W158,$W158&gt;$X158)),0,$E158)))))</f>
        <v>0</v>
      </c>
      <c r="CB158" s="409">
        <f t="shared" si="206"/>
        <v>0</v>
      </c>
      <c r="CC158" s="409">
        <f t="shared" si="206"/>
        <v>0</v>
      </c>
      <c r="CD158" s="409">
        <f t="shared" si="206"/>
        <v>0</v>
      </c>
      <c r="CE158" s="409">
        <f t="shared" si="206"/>
        <v>0</v>
      </c>
      <c r="CF158" s="409">
        <f t="shared" si="206"/>
        <v>0</v>
      </c>
      <c r="CG158" s="409">
        <f t="shared" si="206"/>
        <v>0</v>
      </c>
      <c r="CH158" s="409">
        <f t="shared" si="206"/>
        <v>0</v>
      </c>
      <c r="CI158" s="409">
        <f t="shared" si="206"/>
        <v>0</v>
      </c>
      <c r="CJ158" s="409">
        <f t="shared" si="206"/>
        <v>0</v>
      </c>
      <c r="CK158" s="409">
        <f t="shared" ref="CK158:CT187" si="207">IF(ISNA(CK$7),"",IF(OR(AND(CK$7&lt;=$N158,CK$7&gt;$N158-TIME(0,TimeIncr,0)),AND(CK$7&lt;=$P158,CK$7&gt;$P158-TIME(0,TimeIncr,0)),AND(CK$7&lt;=$R158,CK$7&gt;$R158-TIME(0,TimeIncr,0)),AND(CK$7&lt;=$T158,CK$7&gt;$T158-TIME(0,TimeIncr,0)),AND(CK$7&lt;=$V158,CK$7&gt;$V158-TIME(0,TimeIncr,0)),AND(CK$7&lt;=$X158,CK$7&gt;$X158-TIME(0,TimeIncr,0))),$E158*$L158,IF(OR(AND(CK$7&gt;=$M158,CK$7&lt;=$N158),AND(CK$7&gt;=$O158,CK$7&lt;=$P158),AND(CK$7&gt;=$Q158,CK$7&lt;=$R158),AND(CK$7&gt;=$S158,CK$7&lt;=$T158),AND(CK$7&gt;=$U158,CK$7&lt;=$V158),AND(CK$7&gt;=$W158,CK$7&lt;=$X158)),0,IF(OR(AND($M158&gt;$N158,CK$7&lt;=$N158),AND($O158&gt;$P158,CK$7&lt;=$P158),AND($Q158&gt;$R158,CK$7&lt;=$R158),AND($S158&gt;$T158,CK$7&lt;=$T158),AND($U158&gt;$V158,CK$7&lt;=$V158),AND($W158&gt;$X158,CK$7&lt;=$X158)),0,IF(OR(AND(CK$7&gt;=$M158,$M158&gt;$N158),AND(CK$7&gt;=$O158,$O158&gt;$P158),AND(CK$7&gt;=$Q158,$Q158&gt;$R158),AND(CK$7&gt;=$S158,$S158&gt;$T158),AND(CK$7&gt;=$U158,$U158&gt;$V158),AND(CK$7&gt;=$W158,$W158&gt;$X158)),0,$E158)))))</f>
        <v>0</v>
      </c>
      <c r="CL158" s="409">
        <f t="shared" si="207"/>
        <v>0</v>
      </c>
      <c r="CM158" s="409">
        <f t="shared" si="207"/>
        <v>0</v>
      </c>
      <c r="CN158" s="409">
        <f t="shared" si="207"/>
        <v>0</v>
      </c>
      <c r="CO158" s="409">
        <f t="shared" si="207"/>
        <v>0</v>
      </c>
      <c r="CP158" s="409">
        <f t="shared" si="207"/>
        <v>0</v>
      </c>
      <c r="CQ158" s="409">
        <f t="shared" si="207"/>
        <v>0</v>
      </c>
      <c r="CR158" s="409">
        <f t="shared" si="207"/>
        <v>0</v>
      </c>
      <c r="CS158" s="409">
        <f t="shared" si="207"/>
        <v>0</v>
      </c>
      <c r="CT158" s="409">
        <f t="shared" si="207"/>
        <v>0</v>
      </c>
      <c r="CU158" s="409">
        <f t="shared" ref="CU158:DD187" si="208">IF(ISNA(CU$7),"",IF(OR(AND(CU$7&lt;=$N158,CU$7&gt;$N158-TIME(0,TimeIncr,0)),AND(CU$7&lt;=$P158,CU$7&gt;$P158-TIME(0,TimeIncr,0)),AND(CU$7&lt;=$R158,CU$7&gt;$R158-TIME(0,TimeIncr,0)),AND(CU$7&lt;=$T158,CU$7&gt;$T158-TIME(0,TimeIncr,0)),AND(CU$7&lt;=$V158,CU$7&gt;$V158-TIME(0,TimeIncr,0)),AND(CU$7&lt;=$X158,CU$7&gt;$X158-TIME(0,TimeIncr,0))),$E158*$L158,IF(OR(AND(CU$7&gt;=$M158,CU$7&lt;=$N158),AND(CU$7&gt;=$O158,CU$7&lt;=$P158),AND(CU$7&gt;=$Q158,CU$7&lt;=$R158),AND(CU$7&gt;=$S158,CU$7&lt;=$T158),AND(CU$7&gt;=$U158,CU$7&lt;=$V158),AND(CU$7&gt;=$W158,CU$7&lt;=$X158)),0,IF(OR(AND($M158&gt;$N158,CU$7&lt;=$N158),AND($O158&gt;$P158,CU$7&lt;=$P158),AND($Q158&gt;$R158,CU$7&lt;=$R158),AND($S158&gt;$T158,CU$7&lt;=$T158),AND($U158&gt;$V158,CU$7&lt;=$V158),AND($W158&gt;$X158,CU$7&lt;=$X158)),0,IF(OR(AND(CU$7&gt;=$M158,$M158&gt;$N158),AND(CU$7&gt;=$O158,$O158&gt;$P158),AND(CU$7&gt;=$Q158,$Q158&gt;$R158),AND(CU$7&gt;=$S158,$S158&gt;$T158),AND(CU$7&gt;=$U158,$U158&gt;$V158),AND(CU$7&gt;=$W158,$W158&gt;$X158)),0,$E158)))))</f>
        <v>0</v>
      </c>
      <c r="CV158" s="409">
        <f t="shared" si="208"/>
        <v>0</v>
      </c>
      <c r="CW158" s="409">
        <f t="shared" si="208"/>
        <v>0</v>
      </c>
      <c r="CX158" s="409">
        <f t="shared" si="208"/>
        <v>0</v>
      </c>
      <c r="CY158" s="409">
        <f t="shared" si="208"/>
        <v>0</v>
      </c>
      <c r="CZ158" s="409">
        <f t="shared" si="208"/>
        <v>0</v>
      </c>
      <c r="DA158" s="409">
        <f t="shared" si="208"/>
        <v>0</v>
      </c>
      <c r="DB158" s="409">
        <f t="shared" si="208"/>
        <v>0</v>
      </c>
      <c r="DC158" s="409">
        <f t="shared" si="208"/>
        <v>0</v>
      </c>
      <c r="DD158" s="409">
        <f t="shared" si="208"/>
        <v>0</v>
      </c>
      <c r="DE158" s="409">
        <f t="shared" ref="DE158:DN187" si="209">IF(ISNA(DE$7),"",IF(OR(AND(DE$7&lt;=$N158,DE$7&gt;$N158-TIME(0,TimeIncr,0)),AND(DE$7&lt;=$P158,DE$7&gt;$P158-TIME(0,TimeIncr,0)),AND(DE$7&lt;=$R158,DE$7&gt;$R158-TIME(0,TimeIncr,0)),AND(DE$7&lt;=$T158,DE$7&gt;$T158-TIME(0,TimeIncr,0)),AND(DE$7&lt;=$V158,DE$7&gt;$V158-TIME(0,TimeIncr,0)),AND(DE$7&lt;=$X158,DE$7&gt;$X158-TIME(0,TimeIncr,0))),$E158*$L158,IF(OR(AND(DE$7&gt;=$M158,DE$7&lt;=$N158),AND(DE$7&gt;=$O158,DE$7&lt;=$P158),AND(DE$7&gt;=$Q158,DE$7&lt;=$R158),AND(DE$7&gt;=$S158,DE$7&lt;=$T158),AND(DE$7&gt;=$U158,DE$7&lt;=$V158),AND(DE$7&gt;=$W158,DE$7&lt;=$X158)),0,IF(OR(AND($M158&gt;$N158,DE$7&lt;=$N158),AND($O158&gt;$P158,DE$7&lt;=$P158),AND($Q158&gt;$R158,DE$7&lt;=$R158),AND($S158&gt;$T158,DE$7&lt;=$T158),AND($U158&gt;$V158,DE$7&lt;=$V158),AND($W158&gt;$X158,DE$7&lt;=$X158)),0,IF(OR(AND(DE$7&gt;=$M158,$M158&gt;$N158),AND(DE$7&gt;=$O158,$O158&gt;$P158),AND(DE$7&gt;=$Q158,$Q158&gt;$R158),AND(DE$7&gt;=$S158,$S158&gt;$T158),AND(DE$7&gt;=$U158,$U158&gt;$V158),AND(DE$7&gt;=$W158,$W158&gt;$X158)),0,$E158)))))</f>
        <v>0</v>
      </c>
      <c r="DF158" s="409">
        <f t="shared" si="209"/>
        <v>0</v>
      </c>
      <c r="DG158" s="409">
        <f t="shared" si="209"/>
        <v>0</v>
      </c>
      <c r="DH158" s="409">
        <f t="shared" si="209"/>
        <v>0</v>
      </c>
      <c r="DI158" s="409">
        <f t="shared" si="209"/>
        <v>0</v>
      </c>
      <c r="DJ158" s="409">
        <f t="shared" si="209"/>
        <v>0</v>
      </c>
      <c r="DK158" s="409">
        <f t="shared" si="209"/>
        <v>0</v>
      </c>
      <c r="DL158" s="409">
        <f t="shared" si="209"/>
        <v>0</v>
      </c>
      <c r="DM158" s="409">
        <f t="shared" si="209"/>
        <v>0</v>
      </c>
      <c r="DN158" s="409">
        <f t="shared" si="209"/>
        <v>0</v>
      </c>
      <c r="DO158" s="409">
        <f t="shared" ref="DO158:DX187" si="210">IF(ISNA(DO$7),"",IF(OR(AND(DO$7&lt;=$N158,DO$7&gt;$N158-TIME(0,TimeIncr,0)),AND(DO$7&lt;=$P158,DO$7&gt;$P158-TIME(0,TimeIncr,0)),AND(DO$7&lt;=$R158,DO$7&gt;$R158-TIME(0,TimeIncr,0)),AND(DO$7&lt;=$T158,DO$7&gt;$T158-TIME(0,TimeIncr,0)),AND(DO$7&lt;=$V158,DO$7&gt;$V158-TIME(0,TimeIncr,0)),AND(DO$7&lt;=$X158,DO$7&gt;$X158-TIME(0,TimeIncr,0))),$E158*$L158,IF(OR(AND(DO$7&gt;=$M158,DO$7&lt;=$N158),AND(DO$7&gt;=$O158,DO$7&lt;=$P158),AND(DO$7&gt;=$Q158,DO$7&lt;=$R158),AND(DO$7&gt;=$S158,DO$7&lt;=$T158),AND(DO$7&gt;=$U158,DO$7&lt;=$V158),AND(DO$7&gt;=$W158,DO$7&lt;=$X158)),0,IF(OR(AND($M158&gt;$N158,DO$7&lt;=$N158),AND($O158&gt;$P158,DO$7&lt;=$P158),AND($Q158&gt;$R158,DO$7&lt;=$R158),AND($S158&gt;$T158,DO$7&lt;=$T158),AND($U158&gt;$V158,DO$7&lt;=$V158),AND($W158&gt;$X158,DO$7&lt;=$X158)),0,IF(OR(AND(DO$7&gt;=$M158,$M158&gt;$N158),AND(DO$7&gt;=$O158,$O158&gt;$P158),AND(DO$7&gt;=$Q158,$Q158&gt;$R158),AND(DO$7&gt;=$S158,$S158&gt;$T158),AND(DO$7&gt;=$U158,$U158&gt;$V158),AND(DO$7&gt;=$W158,$W158&gt;$X158)),0,$E158)))))</f>
        <v>0</v>
      </c>
      <c r="DP158" s="409">
        <f t="shared" si="210"/>
        <v>0</v>
      </c>
      <c r="DQ158" s="409">
        <f t="shared" si="210"/>
        <v>0</v>
      </c>
      <c r="DR158" s="409">
        <f t="shared" si="210"/>
        <v>0</v>
      </c>
      <c r="DS158" s="409">
        <f t="shared" si="210"/>
        <v>0</v>
      </c>
      <c r="DT158" s="409">
        <f t="shared" si="210"/>
        <v>0</v>
      </c>
      <c r="DU158" s="409">
        <f t="shared" si="210"/>
        <v>0</v>
      </c>
      <c r="DV158" s="409">
        <f t="shared" si="210"/>
        <v>0</v>
      </c>
      <c r="DW158" s="409">
        <f t="shared" si="210"/>
        <v>0</v>
      </c>
      <c r="DX158" s="409">
        <f t="shared" si="210"/>
        <v>0</v>
      </c>
      <c r="DY158" s="409">
        <f t="shared" ref="DY158:EH187" si="211">IF(ISNA(DY$7),"",IF(OR(AND(DY$7&lt;=$N158,DY$7&gt;$N158-TIME(0,TimeIncr,0)),AND(DY$7&lt;=$P158,DY$7&gt;$P158-TIME(0,TimeIncr,0)),AND(DY$7&lt;=$R158,DY$7&gt;$R158-TIME(0,TimeIncr,0)),AND(DY$7&lt;=$T158,DY$7&gt;$T158-TIME(0,TimeIncr,0)),AND(DY$7&lt;=$V158,DY$7&gt;$V158-TIME(0,TimeIncr,0)),AND(DY$7&lt;=$X158,DY$7&gt;$X158-TIME(0,TimeIncr,0))),$E158*$L158,IF(OR(AND(DY$7&gt;=$M158,DY$7&lt;=$N158),AND(DY$7&gt;=$O158,DY$7&lt;=$P158),AND(DY$7&gt;=$Q158,DY$7&lt;=$R158),AND(DY$7&gt;=$S158,DY$7&lt;=$T158),AND(DY$7&gt;=$U158,DY$7&lt;=$V158),AND(DY$7&gt;=$W158,DY$7&lt;=$X158)),0,IF(OR(AND($M158&gt;$N158,DY$7&lt;=$N158),AND($O158&gt;$P158,DY$7&lt;=$P158),AND($Q158&gt;$R158,DY$7&lt;=$R158),AND($S158&gt;$T158,DY$7&lt;=$T158),AND($U158&gt;$V158,DY$7&lt;=$V158),AND($W158&gt;$X158,DY$7&lt;=$X158)),0,IF(OR(AND(DY$7&gt;=$M158,$M158&gt;$N158),AND(DY$7&gt;=$O158,$O158&gt;$P158),AND(DY$7&gt;=$Q158,$Q158&gt;$R158),AND(DY$7&gt;=$S158,$S158&gt;$T158),AND(DY$7&gt;=$U158,$U158&gt;$V158),AND(DY$7&gt;=$W158,$W158&gt;$X158)),0,$E158)))))</f>
        <v>0</v>
      </c>
      <c r="DZ158" s="409">
        <f t="shared" si="211"/>
        <v>0</v>
      </c>
      <c r="EA158" s="409">
        <f t="shared" si="211"/>
        <v>0</v>
      </c>
      <c r="EB158" s="409">
        <f t="shared" si="211"/>
        <v>0</v>
      </c>
      <c r="EC158" s="409">
        <f t="shared" si="211"/>
        <v>0</v>
      </c>
      <c r="ED158" s="409">
        <f t="shared" si="211"/>
        <v>0</v>
      </c>
      <c r="EE158" s="409">
        <f t="shared" si="211"/>
        <v>0</v>
      </c>
      <c r="EF158" s="409">
        <f t="shared" si="211"/>
        <v>0</v>
      </c>
      <c r="EG158" s="409">
        <f t="shared" si="211"/>
        <v>0</v>
      </c>
      <c r="EH158" s="409">
        <f t="shared" si="211"/>
        <v>0</v>
      </c>
      <c r="EI158" s="409">
        <f t="shared" ref="EI158:ER187" si="212">IF(ISNA(EI$7),"",IF(OR(AND(EI$7&lt;=$N158,EI$7&gt;$N158-TIME(0,TimeIncr,0)),AND(EI$7&lt;=$P158,EI$7&gt;$P158-TIME(0,TimeIncr,0)),AND(EI$7&lt;=$R158,EI$7&gt;$R158-TIME(0,TimeIncr,0)),AND(EI$7&lt;=$T158,EI$7&gt;$T158-TIME(0,TimeIncr,0)),AND(EI$7&lt;=$V158,EI$7&gt;$V158-TIME(0,TimeIncr,0)),AND(EI$7&lt;=$X158,EI$7&gt;$X158-TIME(0,TimeIncr,0))),$E158*$L158,IF(OR(AND(EI$7&gt;=$M158,EI$7&lt;=$N158),AND(EI$7&gt;=$O158,EI$7&lt;=$P158),AND(EI$7&gt;=$Q158,EI$7&lt;=$R158),AND(EI$7&gt;=$S158,EI$7&lt;=$T158),AND(EI$7&gt;=$U158,EI$7&lt;=$V158),AND(EI$7&gt;=$W158,EI$7&lt;=$X158)),0,IF(OR(AND($M158&gt;$N158,EI$7&lt;=$N158),AND($O158&gt;$P158,EI$7&lt;=$P158),AND($Q158&gt;$R158,EI$7&lt;=$R158),AND($S158&gt;$T158,EI$7&lt;=$T158),AND($U158&gt;$V158,EI$7&lt;=$V158),AND($W158&gt;$X158,EI$7&lt;=$X158)),0,IF(OR(AND(EI$7&gt;=$M158,$M158&gt;$N158),AND(EI$7&gt;=$O158,$O158&gt;$P158),AND(EI$7&gt;=$Q158,$Q158&gt;$R158),AND(EI$7&gt;=$S158,$S158&gt;$T158),AND(EI$7&gt;=$U158,$U158&gt;$V158),AND(EI$7&gt;=$W158,$W158&gt;$X158)),0,$E158)))))</f>
        <v>0</v>
      </c>
      <c r="EJ158" s="409">
        <f t="shared" si="212"/>
        <v>0</v>
      </c>
      <c r="EK158" s="409">
        <f t="shared" si="212"/>
        <v>0</v>
      </c>
      <c r="EL158" s="409">
        <f t="shared" si="212"/>
        <v>0</v>
      </c>
      <c r="EM158" s="409">
        <f t="shared" si="212"/>
        <v>0</v>
      </c>
      <c r="EN158" s="409">
        <f t="shared" si="212"/>
        <v>0</v>
      </c>
      <c r="EO158" s="409">
        <f t="shared" si="212"/>
        <v>0</v>
      </c>
      <c r="EP158" s="409">
        <f t="shared" si="212"/>
        <v>0</v>
      </c>
      <c r="EQ158" s="409">
        <f t="shared" si="212"/>
        <v>0</v>
      </c>
      <c r="ER158" s="409">
        <f t="shared" si="212"/>
        <v>0</v>
      </c>
      <c r="ES158" s="409">
        <f t="shared" ref="ES158:FB187" si="213">IF(ISNA(ES$7),"",IF(OR(AND(ES$7&lt;=$N158,ES$7&gt;$N158-TIME(0,TimeIncr,0)),AND(ES$7&lt;=$P158,ES$7&gt;$P158-TIME(0,TimeIncr,0)),AND(ES$7&lt;=$R158,ES$7&gt;$R158-TIME(0,TimeIncr,0)),AND(ES$7&lt;=$T158,ES$7&gt;$T158-TIME(0,TimeIncr,0)),AND(ES$7&lt;=$V158,ES$7&gt;$V158-TIME(0,TimeIncr,0)),AND(ES$7&lt;=$X158,ES$7&gt;$X158-TIME(0,TimeIncr,0))),$E158*$L158,IF(OR(AND(ES$7&gt;=$M158,ES$7&lt;=$N158),AND(ES$7&gt;=$O158,ES$7&lt;=$P158),AND(ES$7&gt;=$Q158,ES$7&lt;=$R158),AND(ES$7&gt;=$S158,ES$7&lt;=$T158),AND(ES$7&gt;=$U158,ES$7&lt;=$V158),AND(ES$7&gt;=$W158,ES$7&lt;=$X158)),0,IF(OR(AND($M158&gt;$N158,ES$7&lt;=$N158),AND($O158&gt;$P158,ES$7&lt;=$P158),AND($Q158&gt;$R158,ES$7&lt;=$R158),AND($S158&gt;$T158,ES$7&lt;=$T158),AND($U158&gt;$V158,ES$7&lt;=$V158),AND($W158&gt;$X158,ES$7&lt;=$X158)),0,IF(OR(AND(ES$7&gt;=$M158,$M158&gt;$N158),AND(ES$7&gt;=$O158,$O158&gt;$P158),AND(ES$7&gt;=$Q158,$Q158&gt;$R158),AND(ES$7&gt;=$S158,$S158&gt;$T158),AND(ES$7&gt;=$U158,$U158&gt;$V158),AND(ES$7&gt;=$W158,$W158&gt;$X158)),0,$E158)))))</f>
        <v>0</v>
      </c>
      <c r="ET158" s="409">
        <f t="shared" si="213"/>
        <v>0</v>
      </c>
      <c r="EU158" s="409">
        <f t="shared" si="213"/>
        <v>0</v>
      </c>
      <c r="EV158" s="409">
        <f t="shared" si="213"/>
        <v>0</v>
      </c>
      <c r="EW158" s="409">
        <f t="shared" si="213"/>
        <v>0</v>
      </c>
      <c r="EX158" s="409">
        <f t="shared" si="213"/>
        <v>0</v>
      </c>
      <c r="EY158" s="409">
        <f t="shared" si="213"/>
        <v>0</v>
      </c>
      <c r="EZ158" s="409">
        <f t="shared" si="213"/>
        <v>0</v>
      </c>
      <c r="FA158" s="409">
        <f t="shared" si="213"/>
        <v>0</v>
      </c>
      <c r="FB158" s="409">
        <f t="shared" si="213"/>
        <v>0</v>
      </c>
      <c r="FC158" s="409">
        <f t="shared" ref="FC158:FL187" si="214">IF(ISNA(FC$7),"",IF(OR(AND(FC$7&lt;=$N158,FC$7&gt;$N158-TIME(0,TimeIncr,0)),AND(FC$7&lt;=$P158,FC$7&gt;$P158-TIME(0,TimeIncr,0)),AND(FC$7&lt;=$R158,FC$7&gt;$R158-TIME(0,TimeIncr,0)),AND(FC$7&lt;=$T158,FC$7&gt;$T158-TIME(0,TimeIncr,0)),AND(FC$7&lt;=$V158,FC$7&gt;$V158-TIME(0,TimeIncr,0)),AND(FC$7&lt;=$X158,FC$7&gt;$X158-TIME(0,TimeIncr,0))),$E158*$L158,IF(OR(AND(FC$7&gt;=$M158,FC$7&lt;=$N158),AND(FC$7&gt;=$O158,FC$7&lt;=$P158),AND(FC$7&gt;=$Q158,FC$7&lt;=$R158),AND(FC$7&gt;=$S158,FC$7&lt;=$T158),AND(FC$7&gt;=$U158,FC$7&lt;=$V158),AND(FC$7&gt;=$W158,FC$7&lt;=$X158)),0,IF(OR(AND($M158&gt;$N158,FC$7&lt;=$N158),AND($O158&gt;$P158,FC$7&lt;=$P158),AND($Q158&gt;$R158,FC$7&lt;=$R158),AND($S158&gt;$T158,FC$7&lt;=$T158),AND($U158&gt;$V158,FC$7&lt;=$V158),AND($W158&gt;$X158,FC$7&lt;=$X158)),0,IF(OR(AND(FC$7&gt;=$M158,$M158&gt;$N158),AND(FC$7&gt;=$O158,$O158&gt;$P158),AND(FC$7&gt;=$Q158,$Q158&gt;$R158),AND(FC$7&gt;=$S158,$S158&gt;$T158),AND(FC$7&gt;=$U158,$U158&gt;$V158),AND(FC$7&gt;=$W158,$W158&gt;$X158)),0,$E158)))))</f>
        <v>0</v>
      </c>
      <c r="FD158" s="409">
        <f t="shared" si="214"/>
        <v>0</v>
      </c>
      <c r="FE158" s="409">
        <f t="shared" si="214"/>
        <v>0</v>
      </c>
      <c r="FF158" s="409">
        <f t="shared" si="214"/>
        <v>0</v>
      </c>
      <c r="FG158" s="409">
        <f t="shared" si="214"/>
        <v>0</v>
      </c>
      <c r="FH158" s="409">
        <f t="shared" si="214"/>
        <v>0</v>
      </c>
      <c r="FI158" s="409">
        <f t="shared" si="214"/>
        <v>0</v>
      </c>
      <c r="FJ158" s="409">
        <f t="shared" si="214"/>
        <v>0</v>
      </c>
      <c r="FK158" s="409">
        <f t="shared" si="214"/>
        <v>0</v>
      </c>
      <c r="FL158" s="409">
        <f t="shared" si="214"/>
        <v>0</v>
      </c>
      <c r="FM158" s="409">
        <f t="shared" ref="FM158:FV187" si="215">IF(ISNA(FM$7),"",IF(OR(AND(FM$7&lt;=$N158,FM$7&gt;$N158-TIME(0,TimeIncr,0)),AND(FM$7&lt;=$P158,FM$7&gt;$P158-TIME(0,TimeIncr,0)),AND(FM$7&lt;=$R158,FM$7&gt;$R158-TIME(0,TimeIncr,0)),AND(FM$7&lt;=$T158,FM$7&gt;$T158-TIME(0,TimeIncr,0)),AND(FM$7&lt;=$V158,FM$7&gt;$V158-TIME(0,TimeIncr,0)),AND(FM$7&lt;=$X158,FM$7&gt;$X158-TIME(0,TimeIncr,0))),$E158*$L158,IF(OR(AND(FM$7&gt;=$M158,FM$7&lt;=$N158),AND(FM$7&gt;=$O158,FM$7&lt;=$P158),AND(FM$7&gt;=$Q158,FM$7&lt;=$R158),AND(FM$7&gt;=$S158,FM$7&lt;=$T158),AND(FM$7&gt;=$U158,FM$7&lt;=$V158),AND(FM$7&gt;=$W158,FM$7&lt;=$X158)),0,IF(OR(AND($M158&gt;$N158,FM$7&lt;=$N158),AND($O158&gt;$P158,FM$7&lt;=$P158),AND($Q158&gt;$R158,FM$7&lt;=$R158),AND($S158&gt;$T158,FM$7&lt;=$T158),AND($U158&gt;$V158,FM$7&lt;=$V158),AND($W158&gt;$X158,FM$7&lt;=$X158)),0,IF(OR(AND(FM$7&gt;=$M158,$M158&gt;$N158),AND(FM$7&gt;=$O158,$O158&gt;$P158),AND(FM$7&gt;=$Q158,$Q158&gt;$R158),AND(FM$7&gt;=$S158,$S158&gt;$T158),AND(FM$7&gt;=$U158,$U158&gt;$V158),AND(FM$7&gt;=$W158,$W158&gt;$X158)),0,$E158)))))</f>
        <v>0</v>
      </c>
      <c r="FN158" s="409">
        <f t="shared" si="215"/>
        <v>0</v>
      </c>
      <c r="FO158" s="409">
        <f t="shared" si="215"/>
        <v>0</v>
      </c>
      <c r="FP158" s="409">
        <f t="shared" si="215"/>
        <v>0</v>
      </c>
      <c r="FQ158" s="409">
        <f t="shared" si="215"/>
        <v>0</v>
      </c>
      <c r="FR158" s="409">
        <f t="shared" si="215"/>
        <v>0</v>
      </c>
      <c r="FS158" s="409">
        <f t="shared" si="215"/>
        <v>0</v>
      </c>
      <c r="FT158" s="409">
        <f t="shared" si="215"/>
        <v>0</v>
      </c>
      <c r="FU158" s="409">
        <f t="shared" si="215"/>
        <v>0</v>
      </c>
      <c r="FV158" s="409">
        <f t="shared" si="215"/>
        <v>0</v>
      </c>
      <c r="FW158" s="409">
        <f t="shared" ref="FW158:GF187" si="216">IF(ISNA(FW$7),"",IF(OR(AND(FW$7&lt;=$N158,FW$7&gt;$N158-TIME(0,TimeIncr,0)),AND(FW$7&lt;=$P158,FW$7&gt;$P158-TIME(0,TimeIncr,0)),AND(FW$7&lt;=$R158,FW$7&gt;$R158-TIME(0,TimeIncr,0)),AND(FW$7&lt;=$T158,FW$7&gt;$T158-TIME(0,TimeIncr,0)),AND(FW$7&lt;=$V158,FW$7&gt;$V158-TIME(0,TimeIncr,0)),AND(FW$7&lt;=$X158,FW$7&gt;$X158-TIME(0,TimeIncr,0))),$E158*$L158,IF(OR(AND(FW$7&gt;=$M158,FW$7&lt;=$N158),AND(FW$7&gt;=$O158,FW$7&lt;=$P158),AND(FW$7&gt;=$Q158,FW$7&lt;=$R158),AND(FW$7&gt;=$S158,FW$7&lt;=$T158),AND(FW$7&gt;=$U158,FW$7&lt;=$V158),AND(FW$7&gt;=$W158,FW$7&lt;=$X158)),0,IF(OR(AND($M158&gt;$N158,FW$7&lt;=$N158),AND($O158&gt;$P158,FW$7&lt;=$P158),AND($Q158&gt;$R158,FW$7&lt;=$R158),AND($S158&gt;$T158,FW$7&lt;=$T158),AND($U158&gt;$V158,FW$7&lt;=$V158),AND($W158&gt;$X158,FW$7&lt;=$X158)),0,IF(OR(AND(FW$7&gt;=$M158,$M158&gt;$N158),AND(FW$7&gt;=$O158,$O158&gt;$P158),AND(FW$7&gt;=$Q158,$Q158&gt;$R158),AND(FW$7&gt;=$S158,$S158&gt;$T158),AND(FW$7&gt;=$U158,$U158&gt;$V158),AND(FW$7&gt;=$W158,$W158&gt;$X158)),0,$E158)))))</f>
        <v>0</v>
      </c>
      <c r="FX158" s="409">
        <f t="shared" si="216"/>
        <v>0</v>
      </c>
      <c r="FY158" s="409">
        <f t="shared" si="216"/>
        <v>0</v>
      </c>
      <c r="FZ158" s="409">
        <f t="shared" si="216"/>
        <v>0</v>
      </c>
      <c r="GA158" s="409">
        <f t="shared" si="216"/>
        <v>0</v>
      </c>
      <c r="GB158" s="409">
        <f t="shared" si="216"/>
        <v>0</v>
      </c>
      <c r="GC158" s="409">
        <f t="shared" si="216"/>
        <v>0</v>
      </c>
      <c r="GD158" s="409">
        <f t="shared" si="216"/>
        <v>0</v>
      </c>
      <c r="GE158" s="409">
        <f t="shared" si="216"/>
        <v>0</v>
      </c>
      <c r="GF158" s="409">
        <f t="shared" si="216"/>
        <v>0</v>
      </c>
      <c r="GG158" s="409">
        <f t="shared" ref="GG158:GP187" si="217">IF(ISNA(GG$7),"",IF(OR(AND(GG$7&lt;=$N158,GG$7&gt;$N158-TIME(0,TimeIncr,0)),AND(GG$7&lt;=$P158,GG$7&gt;$P158-TIME(0,TimeIncr,0)),AND(GG$7&lt;=$R158,GG$7&gt;$R158-TIME(0,TimeIncr,0)),AND(GG$7&lt;=$T158,GG$7&gt;$T158-TIME(0,TimeIncr,0)),AND(GG$7&lt;=$V158,GG$7&gt;$V158-TIME(0,TimeIncr,0)),AND(GG$7&lt;=$X158,GG$7&gt;$X158-TIME(0,TimeIncr,0))),$E158*$L158,IF(OR(AND(GG$7&gt;=$M158,GG$7&lt;=$N158),AND(GG$7&gt;=$O158,GG$7&lt;=$P158),AND(GG$7&gt;=$Q158,GG$7&lt;=$R158),AND(GG$7&gt;=$S158,GG$7&lt;=$T158),AND(GG$7&gt;=$U158,GG$7&lt;=$V158),AND(GG$7&gt;=$W158,GG$7&lt;=$X158)),0,IF(OR(AND($M158&gt;$N158,GG$7&lt;=$N158),AND($O158&gt;$P158,GG$7&lt;=$P158),AND($Q158&gt;$R158,GG$7&lt;=$R158),AND($S158&gt;$T158,GG$7&lt;=$T158),AND($U158&gt;$V158,GG$7&lt;=$V158),AND($W158&gt;$X158,GG$7&lt;=$X158)),0,IF(OR(AND(GG$7&gt;=$M158,$M158&gt;$N158),AND(GG$7&gt;=$O158,$O158&gt;$P158),AND(GG$7&gt;=$Q158,$Q158&gt;$R158),AND(GG$7&gt;=$S158,$S158&gt;$T158),AND(GG$7&gt;=$U158,$U158&gt;$V158),AND(GG$7&gt;=$W158,$W158&gt;$X158)),0,$E158)))))</f>
        <v>0</v>
      </c>
      <c r="GH158" s="409">
        <f t="shared" si="217"/>
        <v>0</v>
      </c>
      <c r="GI158" s="409">
        <f t="shared" si="217"/>
        <v>0</v>
      </c>
      <c r="GJ158" s="409">
        <f t="shared" si="217"/>
        <v>0</v>
      </c>
      <c r="GK158" s="409">
        <f t="shared" si="217"/>
        <v>0</v>
      </c>
      <c r="GL158" s="409">
        <f t="shared" si="217"/>
        <v>0</v>
      </c>
      <c r="GM158" s="409">
        <f t="shared" si="217"/>
        <v>0</v>
      </c>
      <c r="GN158" s="409">
        <f t="shared" si="217"/>
        <v>0</v>
      </c>
      <c r="GO158" s="409">
        <f t="shared" si="217"/>
        <v>0</v>
      </c>
      <c r="GP158" s="409">
        <f t="shared" si="217"/>
        <v>0</v>
      </c>
      <c r="GQ158" s="409">
        <f t="shared" ref="GQ158:GZ187" si="218">IF(ISNA(GQ$7),"",IF(OR(AND(GQ$7&lt;=$N158,GQ$7&gt;$N158-TIME(0,TimeIncr,0)),AND(GQ$7&lt;=$P158,GQ$7&gt;$P158-TIME(0,TimeIncr,0)),AND(GQ$7&lt;=$R158,GQ$7&gt;$R158-TIME(0,TimeIncr,0)),AND(GQ$7&lt;=$T158,GQ$7&gt;$T158-TIME(0,TimeIncr,0)),AND(GQ$7&lt;=$V158,GQ$7&gt;$V158-TIME(0,TimeIncr,0)),AND(GQ$7&lt;=$X158,GQ$7&gt;$X158-TIME(0,TimeIncr,0))),$E158*$L158,IF(OR(AND(GQ$7&gt;=$M158,GQ$7&lt;=$N158),AND(GQ$7&gt;=$O158,GQ$7&lt;=$P158),AND(GQ$7&gt;=$Q158,GQ$7&lt;=$R158),AND(GQ$7&gt;=$S158,GQ$7&lt;=$T158),AND(GQ$7&gt;=$U158,GQ$7&lt;=$V158),AND(GQ$7&gt;=$W158,GQ$7&lt;=$X158)),0,IF(OR(AND($M158&gt;$N158,GQ$7&lt;=$N158),AND($O158&gt;$P158,GQ$7&lt;=$P158),AND($Q158&gt;$R158,GQ$7&lt;=$R158),AND($S158&gt;$T158,GQ$7&lt;=$T158),AND($U158&gt;$V158,GQ$7&lt;=$V158),AND($W158&gt;$X158,GQ$7&lt;=$X158)),0,IF(OR(AND(GQ$7&gt;=$M158,$M158&gt;$N158),AND(GQ$7&gt;=$O158,$O158&gt;$P158),AND(GQ$7&gt;=$Q158,$Q158&gt;$R158),AND(GQ$7&gt;=$S158,$S158&gt;$T158),AND(GQ$7&gt;=$U158,$U158&gt;$V158),AND(GQ$7&gt;=$W158,$W158&gt;$X158)),0,$E158)))))</f>
        <v>0</v>
      </c>
      <c r="GR158" s="409">
        <f t="shared" si="218"/>
        <v>0</v>
      </c>
      <c r="GS158" s="409">
        <f t="shared" si="218"/>
        <v>0</v>
      </c>
      <c r="GT158" s="409">
        <f t="shared" si="218"/>
        <v>0</v>
      </c>
      <c r="GU158" s="409">
        <f t="shared" si="218"/>
        <v>0</v>
      </c>
      <c r="GV158" s="409">
        <f t="shared" si="218"/>
        <v>0</v>
      </c>
      <c r="GW158" s="409">
        <f t="shared" si="218"/>
        <v>0</v>
      </c>
      <c r="GX158" s="409">
        <f t="shared" si="218"/>
        <v>0</v>
      </c>
      <c r="GY158" s="409">
        <f t="shared" si="218"/>
        <v>0</v>
      </c>
      <c r="GZ158" s="409">
        <f t="shared" si="218"/>
        <v>0</v>
      </c>
      <c r="HA158" s="409">
        <f t="shared" ref="HA158:HJ187" si="219">IF(ISNA(HA$7),"",IF(OR(AND(HA$7&lt;=$N158,HA$7&gt;$N158-TIME(0,TimeIncr,0)),AND(HA$7&lt;=$P158,HA$7&gt;$P158-TIME(0,TimeIncr,0)),AND(HA$7&lt;=$R158,HA$7&gt;$R158-TIME(0,TimeIncr,0)),AND(HA$7&lt;=$T158,HA$7&gt;$T158-TIME(0,TimeIncr,0)),AND(HA$7&lt;=$V158,HA$7&gt;$V158-TIME(0,TimeIncr,0)),AND(HA$7&lt;=$X158,HA$7&gt;$X158-TIME(0,TimeIncr,0))),$E158*$L158,IF(OR(AND(HA$7&gt;=$M158,HA$7&lt;=$N158),AND(HA$7&gt;=$O158,HA$7&lt;=$P158),AND(HA$7&gt;=$Q158,HA$7&lt;=$R158),AND(HA$7&gt;=$S158,HA$7&lt;=$T158),AND(HA$7&gt;=$U158,HA$7&lt;=$V158),AND(HA$7&gt;=$W158,HA$7&lt;=$X158)),0,IF(OR(AND($M158&gt;$N158,HA$7&lt;=$N158),AND($O158&gt;$P158,HA$7&lt;=$P158),AND($Q158&gt;$R158,HA$7&lt;=$R158),AND($S158&gt;$T158,HA$7&lt;=$T158),AND($U158&gt;$V158,HA$7&lt;=$V158),AND($W158&gt;$X158,HA$7&lt;=$X158)),0,IF(OR(AND(HA$7&gt;=$M158,$M158&gt;$N158),AND(HA$7&gt;=$O158,$O158&gt;$P158),AND(HA$7&gt;=$Q158,$Q158&gt;$R158),AND(HA$7&gt;=$S158,$S158&gt;$T158),AND(HA$7&gt;=$U158,$U158&gt;$V158),AND(HA$7&gt;=$W158,$W158&gt;$X158)),0,$E158)))))</f>
        <v>0</v>
      </c>
      <c r="HB158" s="409">
        <f t="shared" si="219"/>
        <v>0</v>
      </c>
      <c r="HC158" s="409">
        <f t="shared" si="219"/>
        <v>0</v>
      </c>
      <c r="HD158" s="409">
        <f t="shared" si="219"/>
        <v>0</v>
      </c>
      <c r="HE158" s="409">
        <f t="shared" si="219"/>
        <v>0</v>
      </c>
      <c r="HF158" s="409">
        <f t="shared" si="219"/>
        <v>0</v>
      </c>
      <c r="HG158" s="409">
        <f t="shared" si="219"/>
        <v>0</v>
      </c>
      <c r="HH158" s="409">
        <f t="shared" si="219"/>
        <v>0</v>
      </c>
      <c r="HI158" s="409">
        <f t="shared" si="219"/>
        <v>0</v>
      </c>
      <c r="HJ158" s="409">
        <f t="shared" si="219"/>
        <v>0</v>
      </c>
      <c r="HK158" s="409">
        <f t="shared" ref="HK158:HT187" si="220">IF(ISNA(HK$7),"",IF(OR(AND(HK$7&lt;=$N158,HK$7&gt;$N158-TIME(0,TimeIncr,0)),AND(HK$7&lt;=$P158,HK$7&gt;$P158-TIME(0,TimeIncr,0)),AND(HK$7&lt;=$R158,HK$7&gt;$R158-TIME(0,TimeIncr,0)),AND(HK$7&lt;=$T158,HK$7&gt;$T158-TIME(0,TimeIncr,0)),AND(HK$7&lt;=$V158,HK$7&gt;$V158-TIME(0,TimeIncr,0)),AND(HK$7&lt;=$X158,HK$7&gt;$X158-TIME(0,TimeIncr,0))),$E158*$L158,IF(OR(AND(HK$7&gt;=$M158,HK$7&lt;=$N158),AND(HK$7&gt;=$O158,HK$7&lt;=$P158),AND(HK$7&gt;=$Q158,HK$7&lt;=$R158),AND(HK$7&gt;=$S158,HK$7&lt;=$T158),AND(HK$7&gt;=$U158,HK$7&lt;=$V158),AND(HK$7&gt;=$W158,HK$7&lt;=$X158)),0,IF(OR(AND($M158&gt;$N158,HK$7&lt;=$N158),AND($O158&gt;$P158,HK$7&lt;=$P158),AND($Q158&gt;$R158,HK$7&lt;=$R158),AND($S158&gt;$T158,HK$7&lt;=$T158),AND($U158&gt;$V158,HK$7&lt;=$V158),AND($W158&gt;$X158,HK$7&lt;=$X158)),0,IF(OR(AND(HK$7&gt;=$M158,$M158&gt;$N158),AND(HK$7&gt;=$O158,$O158&gt;$P158),AND(HK$7&gt;=$Q158,$Q158&gt;$R158),AND(HK$7&gt;=$S158,$S158&gt;$T158),AND(HK$7&gt;=$U158,$U158&gt;$V158),AND(HK$7&gt;=$W158,$W158&gt;$X158)),0,$E158)))))</f>
        <v>0</v>
      </c>
      <c r="HL158" s="409">
        <f t="shared" si="220"/>
        <v>0</v>
      </c>
      <c r="HM158" s="409">
        <f t="shared" si="220"/>
        <v>0</v>
      </c>
      <c r="HN158" s="409">
        <f t="shared" si="220"/>
        <v>0</v>
      </c>
      <c r="HO158" s="409">
        <f t="shared" si="220"/>
        <v>0</v>
      </c>
      <c r="HP158" s="409">
        <f t="shared" si="220"/>
        <v>0</v>
      </c>
      <c r="HQ158" s="409">
        <f t="shared" si="220"/>
        <v>0</v>
      </c>
      <c r="HR158" s="409">
        <f t="shared" si="220"/>
        <v>0</v>
      </c>
      <c r="HS158" s="409">
        <f t="shared" si="220"/>
        <v>0</v>
      </c>
      <c r="HT158" s="409">
        <f t="shared" si="220"/>
        <v>0</v>
      </c>
      <c r="HU158" s="409">
        <f t="shared" ref="HU158:ID187" si="221">IF(ISNA(HU$7),"",IF(OR(AND(HU$7&lt;=$N158,HU$7&gt;$N158-TIME(0,TimeIncr,0)),AND(HU$7&lt;=$P158,HU$7&gt;$P158-TIME(0,TimeIncr,0)),AND(HU$7&lt;=$R158,HU$7&gt;$R158-TIME(0,TimeIncr,0)),AND(HU$7&lt;=$T158,HU$7&gt;$T158-TIME(0,TimeIncr,0)),AND(HU$7&lt;=$V158,HU$7&gt;$V158-TIME(0,TimeIncr,0)),AND(HU$7&lt;=$X158,HU$7&gt;$X158-TIME(0,TimeIncr,0))),$E158*$L158,IF(OR(AND(HU$7&gt;=$M158,HU$7&lt;=$N158),AND(HU$7&gt;=$O158,HU$7&lt;=$P158),AND(HU$7&gt;=$Q158,HU$7&lt;=$R158),AND(HU$7&gt;=$S158,HU$7&lt;=$T158),AND(HU$7&gt;=$U158,HU$7&lt;=$V158),AND(HU$7&gt;=$W158,HU$7&lt;=$X158)),0,IF(OR(AND($M158&gt;$N158,HU$7&lt;=$N158),AND($O158&gt;$P158,HU$7&lt;=$P158),AND($Q158&gt;$R158,HU$7&lt;=$R158),AND($S158&gt;$T158,HU$7&lt;=$T158),AND($U158&gt;$V158,HU$7&lt;=$V158),AND($W158&gt;$X158,HU$7&lt;=$X158)),0,IF(OR(AND(HU$7&gt;=$M158,$M158&gt;$N158),AND(HU$7&gt;=$O158,$O158&gt;$P158),AND(HU$7&gt;=$Q158,$Q158&gt;$R158),AND(HU$7&gt;=$S158,$S158&gt;$T158),AND(HU$7&gt;=$U158,$U158&gt;$V158),AND(HU$7&gt;=$W158,$W158&gt;$X158)),0,$E158)))))</f>
        <v>0</v>
      </c>
      <c r="HV158" s="409">
        <f t="shared" si="221"/>
        <v>0</v>
      </c>
      <c r="HW158" s="409">
        <f t="shared" si="221"/>
        <v>0</v>
      </c>
      <c r="HX158" s="409">
        <f t="shared" si="221"/>
        <v>0</v>
      </c>
      <c r="HY158" s="409">
        <f t="shared" si="221"/>
        <v>0</v>
      </c>
      <c r="HZ158" s="409">
        <f t="shared" si="221"/>
        <v>0</v>
      </c>
      <c r="IA158" s="409">
        <f t="shared" si="221"/>
        <v>0</v>
      </c>
      <c r="IB158" s="409">
        <f t="shared" si="221"/>
        <v>0</v>
      </c>
      <c r="IC158" s="409">
        <f t="shared" si="221"/>
        <v>0</v>
      </c>
      <c r="ID158" s="409">
        <f t="shared" si="221"/>
        <v>0</v>
      </c>
      <c r="IE158" s="409">
        <f t="shared" ref="IE158:IJ187" si="222">IF(ISNA(IE$7),"",IF(OR(AND(IE$7&lt;=$N158,IE$7&gt;$N158-TIME(0,TimeIncr,0)),AND(IE$7&lt;=$P158,IE$7&gt;$P158-TIME(0,TimeIncr,0)),AND(IE$7&lt;=$R158,IE$7&gt;$R158-TIME(0,TimeIncr,0)),AND(IE$7&lt;=$T158,IE$7&gt;$T158-TIME(0,TimeIncr,0)),AND(IE$7&lt;=$V158,IE$7&gt;$V158-TIME(0,TimeIncr,0)),AND(IE$7&lt;=$X158,IE$7&gt;$X158-TIME(0,TimeIncr,0))),$E158*$L158,IF(OR(AND(IE$7&gt;=$M158,IE$7&lt;=$N158),AND(IE$7&gt;=$O158,IE$7&lt;=$P158),AND(IE$7&gt;=$Q158,IE$7&lt;=$R158),AND(IE$7&gt;=$S158,IE$7&lt;=$T158),AND(IE$7&gt;=$U158,IE$7&lt;=$V158),AND(IE$7&gt;=$W158,IE$7&lt;=$X158)),0,IF(OR(AND($M158&gt;$N158,IE$7&lt;=$N158),AND($O158&gt;$P158,IE$7&lt;=$P158),AND($Q158&gt;$R158,IE$7&lt;=$R158),AND($S158&gt;$T158,IE$7&lt;=$T158),AND($U158&gt;$V158,IE$7&lt;=$V158),AND($W158&gt;$X158,IE$7&lt;=$X158)),0,IF(OR(AND(IE$7&gt;=$M158,$M158&gt;$N158),AND(IE$7&gt;=$O158,$O158&gt;$P158),AND(IE$7&gt;=$Q158,$Q158&gt;$R158),AND(IE$7&gt;=$S158,$S158&gt;$T158),AND(IE$7&gt;=$U158,$U158&gt;$V158),AND(IE$7&gt;=$W158,$W158&gt;$X158)),0,$E158)))))</f>
        <v>0</v>
      </c>
      <c r="IF158" s="409">
        <f t="shared" si="222"/>
        <v>0</v>
      </c>
      <c r="IG158" s="409">
        <f t="shared" si="222"/>
        <v>0</v>
      </c>
      <c r="IH158" s="409">
        <f t="shared" si="222"/>
        <v>0</v>
      </c>
      <c r="II158" s="409">
        <f t="shared" si="222"/>
        <v>0</v>
      </c>
      <c r="IJ158" s="409">
        <f t="shared" si="222"/>
        <v>0</v>
      </c>
      <c r="IK158" s="378"/>
    </row>
    <row r="159" spans="1:245" hidden="1" x14ac:dyDescent="0.2">
      <c r="A159" s="380" t="str">
        <f>IF(ISERROR(C159),"e",IF(OR(E159=0,B159=""),"x",""))</f>
        <v>x</v>
      </c>
      <c r="B159" s="712">
        <f>IF(ISERROR(INDEX('Legend(DX)'!$H$11:$H$12,2)),"",INDEX('Legend(DX)'!$H$11:$H$12,2))</f>
        <v>0</v>
      </c>
      <c r="C159" s="712" t="str">
        <f>IF(INDEX('Legend(DX)'!$T$11:$T$12,2)=0,"See Legend",INDEX('Legend(DX)'!$T$11:$T$12,2))</f>
        <v>See Legend</v>
      </c>
      <c r="D159" s="712" t="e">
        <f>IF(INDEX('Legend(DX)'!$R$11:$R$12,(ROW(C159))-137)=0,IF(AND(INDEX('Legend(DX)'!$D$11:$D$12,(ROW(C159))-136)="CH",INDEX('Legend(DX)'!$F$11:$F$12,(ROW(C159))-136)="CASE - MANUAL"),INDEX('Legend(DX)'!$R$11:$R$12,(ROW(C159))-136),IF(INDEX('Legend(DX)'!$V$11:$V$12,(ROW(C159))-137)&gt;1, "(" &amp; INDEX('Legend(DX)'!$V$11:$V$12,(ROW(C159))-137) &amp; ") " &amp; INDEX('Legend(DX)'!$W$11:$W$12,(ROW(C159))-136),INDEX('Legend(DX)'!$W$11:$W$12,(ROW(C159))-137))),INDEX('Legend(DX)'!$R$11:$R$12,(ROW(C159))-137))</f>
        <v>#REF!</v>
      </c>
      <c r="E159" s="713">
        <f>IF(ISERROR(INDEX('Legend(DX)'!$AA$11:$AA$12,2)),"",INDEX('Legend(DX)'!$AA$11:$AA$12,2))</f>
        <v>0</v>
      </c>
      <c r="F159" s="715"/>
      <c r="G159" s="715"/>
      <c r="H159" s="715"/>
      <c r="I159" s="715"/>
      <c r="J159" s="715"/>
      <c r="K159" s="890">
        <f t="shared" ref="K159:K207" si="223">G159+H159+J159</f>
        <v>0</v>
      </c>
      <c r="L159" s="718"/>
      <c r="M159" s="723"/>
      <c r="N159" s="972">
        <f t="shared" si="196"/>
        <v>-1</v>
      </c>
      <c r="O159" s="972">
        <f t="shared" ref="O159:O207" si="224">IF($F159&lt;2,-1,IF(M159+TIME((24/$F159),0,0)&gt;1,MROUND(M159-1+TIME((24/$F159),0,0),"0:01"),MROUND(M159+TIME((24/$F159),0,0),"0:01")))</f>
        <v>-1</v>
      </c>
      <c r="P159" s="972">
        <f t="shared" si="197"/>
        <v>-1</v>
      </c>
      <c r="Q159" s="972">
        <f t="shared" ref="Q159:Q207" si="225">IF($F159&lt;3,-1,IF(O159+TIME((24/$F159),0,0)&gt;1,MROUND(O159-1+TIME((24/$F159),0,0),"0:01"),MROUND(O159+TIME((24/$F159),0,0),"0:01")))</f>
        <v>-1</v>
      </c>
      <c r="R159" s="972">
        <f t="shared" si="198"/>
        <v>-1</v>
      </c>
      <c r="S159" s="972">
        <f t="shared" ref="S159:S207" si="226">IF($F159&lt;4,-1,IF(Q159+TIME((24/$F159),0,0)&gt;1,MROUND(Q159-1+TIME((24/$F159),0,0),"0:01"),MROUND(Q159+TIME((24/$F159),0,0),"0:01")))</f>
        <v>-1</v>
      </c>
      <c r="T159" s="972">
        <f t="shared" si="199"/>
        <v>-1</v>
      </c>
      <c r="U159" s="972">
        <f t="shared" ref="U159:U207" si="227">IF($F159&lt;5,-1,IF(S159+TIME((24/$F159),0,0)&gt;1,MROUND(S159-1+TIME((24/$F159),0,0),"0:01"),MROUND(S159+TIME((24/$F159),0,0),"0:01")))</f>
        <v>-1</v>
      </c>
      <c r="V159" s="972">
        <f t="shared" si="200"/>
        <v>-1</v>
      </c>
      <c r="W159" s="972">
        <f t="shared" ref="W159:W207" si="228">IF($F159&lt;6,-1,IF(U159+TIME((24/$F159),0,0)&gt;1,MROUND(U159-1+TIME((24/$F159),0,0),"0:01"),MROUND(U159+TIME((24/$F159),0,0),"0:01")))</f>
        <v>-1</v>
      </c>
      <c r="X159" s="972">
        <f t="shared" si="201"/>
        <v>-1</v>
      </c>
      <c r="Y159" s="972">
        <f t="shared" ref="Y159:Y207" si="229">IF($F159&lt;7,-1,IF(W159+TIME((24/$F159),0,0)&gt;1,MROUND(W159-1+TIME((24/$F159),0,0),"0:01"),MROUND(W159+TIME((24/$F159),0,0),"0:01")))</f>
        <v>-1</v>
      </c>
      <c r="Z159" s="972">
        <f t="shared" ref="Z159:Z207" si="230">IF(Y159="",-1,IF(Y159+TIME(0,$K159,0)&gt;1,Y159+TIME(0,$K159,0)-1,Y159+TIME(0,$K159,0)))</f>
        <v>-1</v>
      </c>
      <c r="AA159" s="972">
        <f t="shared" ref="AA159:AA207" si="231">IF($F159&lt;8,-1,IF(Y159+TIME((24/$F159),0,0)&gt;1,MROUND(Y159-1+TIME((24/$F159),0,0),"0:01"),MROUND(Y159+TIME((24/$F159),0,0),"0:01")))</f>
        <v>-1</v>
      </c>
      <c r="AB159" s="972">
        <f t="shared" ref="AB159:AB207" si="232">IF(AA159="",-1,IF(AA159+TIME(0,$K159,0)&gt;1,AA159+TIME(0,$K159,0)-1,AA159+TIME(0,$K159,0)))</f>
        <v>-1</v>
      </c>
      <c r="AC159" s="972">
        <f t="shared" ref="AC159:AC207" si="233">IF($F159&lt;9,-1,IF(AA159+TIME((24/$F159),0,0)&gt;1,MROUND(AA159-1+TIME((24/$F159),0,0),"0:01"),MROUND(AA159+TIME((24/$F159),0,0),"0:01")))</f>
        <v>-1</v>
      </c>
      <c r="AD159" s="972">
        <f t="shared" ref="AD159:AD207" si="234">IF(AC159="",-1,IF(AC159+TIME(0,$K159,0)&gt;1,AC159+TIME(0,$K159,0)-1,AC159+TIME(0,$K159,0)))</f>
        <v>-1</v>
      </c>
      <c r="AE159" s="972">
        <f t="shared" ref="AE159:AE207" si="235">IF($F159&lt;10,-1,IF(AC159+TIME((24/$F159),0,0)&gt;1,MROUND(AC159-1+TIME((24/$F159),0,0),"0:01"),MROUND(AC159+TIME((24/$F159),0,0),"0:01")))</f>
        <v>-1</v>
      </c>
      <c r="AF159" s="972">
        <f t="shared" ref="AF159:AF207" si="236">IF(AE159="",-1,IF(AE159+TIME(0,$K159,0)&gt;1,AE159+TIME(0,$K159,0)-1,AE159+TIME(0,$K159,0)))</f>
        <v>-1</v>
      </c>
      <c r="AG159" s="972">
        <f t="shared" ref="AG159:AG207" si="237">IF($F159&lt;11,-1,IF(AE159+TIME((24/$F159),0,0)&gt;1,MROUND(AE159-1+TIME((24/$F159),0,0),"0:01"),MROUND(AE159+TIME((24/$F159),0,0),"0:01")))</f>
        <v>-1</v>
      </c>
      <c r="AH159" s="972">
        <f t="shared" ref="AH159:AH207" si="238">IF(AG159="",-1,IF(AG159+TIME(0,$K159,0)&gt;1,AG159+TIME(0,$K159,0)-1,AG159+TIME(0,$K159,0)))</f>
        <v>-1</v>
      </c>
      <c r="AI159" s="972">
        <f t="shared" ref="AI159:AI207" si="239">IF($F159&lt;12,-1,IF(AG159+TIME((24/$F159),0,0)&gt;1,MROUND(AG159-1+TIME((24/$F159),0,0),"0:01"),MROUND(AG159+TIME((24/$F159),0,0),"0:01")))</f>
        <v>-1</v>
      </c>
      <c r="AJ159" s="972">
        <f t="shared" ref="AJ159:AJ207" si="240">IF(AI159="",-1,IF(AI159+TIME(0,$K159,0)&gt;1,AI159+TIME(0,$K159,0)-1,AI159+TIME(0,$K159,0)))</f>
        <v>-1</v>
      </c>
      <c r="AK159" s="381"/>
      <c r="AL159" s="727">
        <f t="shared" ref="AL159:AL207" si="241">B159</f>
        <v>0</v>
      </c>
      <c r="AM159" s="409">
        <f t="shared" si="202"/>
        <v>0</v>
      </c>
      <c r="AN159" s="409">
        <f t="shared" si="202"/>
        <v>0</v>
      </c>
      <c r="AO159" s="409">
        <f t="shared" si="202"/>
        <v>0</v>
      </c>
      <c r="AP159" s="409">
        <f t="shared" si="202"/>
        <v>0</v>
      </c>
      <c r="AQ159" s="409">
        <f t="shared" si="202"/>
        <v>0</v>
      </c>
      <c r="AR159" s="409">
        <f t="shared" si="202"/>
        <v>0</v>
      </c>
      <c r="AS159" s="409">
        <f t="shared" si="202"/>
        <v>0</v>
      </c>
      <c r="AT159" s="409">
        <f t="shared" si="202"/>
        <v>0</v>
      </c>
      <c r="AU159" s="409">
        <f t="shared" si="202"/>
        <v>0</v>
      </c>
      <c r="AV159" s="409">
        <f t="shared" si="202"/>
        <v>0</v>
      </c>
      <c r="AW159" s="409">
        <f t="shared" si="203"/>
        <v>0</v>
      </c>
      <c r="AX159" s="409">
        <f t="shared" si="203"/>
        <v>0</v>
      </c>
      <c r="AY159" s="409">
        <f t="shared" si="203"/>
        <v>0</v>
      </c>
      <c r="AZ159" s="409">
        <f t="shared" si="203"/>
        <v>0</v>
      </c>
      <c r="BA159" s="409">
        <f t="shared" si="203"/>
        <v>0</v>
      </c>
      <c r="BB159" s="409">
        <f t="shared" si="203"/>
        <v>0</v>
      </c>
      <c r="BC159" s="409">
        <f t="shared" si="203"/>
        <v>0</v>
      </c>
      <c r="BD159" s="409">
        <f t="shared" si="203"/>
        <v>0</v>
      </c>
      <c r="BE159" s="409">
        <f t="shared" si="203"/>
        <v>0</v>
      </c>
      <c r="BF159" s="409">
        <f t="shared" si="203"/>
        <v>0</v>
      </c>
      <c r="BG159" s="409">
        <f t="shared" si="204"/>
        <v>0</v>
      </c>
      <c r="BH159" s="409">
        <f t="shared" si="204"/>
        <v>0</v>
      </c>
      <c r="BI159" s="409">
        <f t="shared" si="204"/>
        <v>0</v>
      </c>
      <c r="BJ159" s="409">
        <f t="shared" si="204"/>
        <v>0</v>
      </c>
      <c r="BK159" s="409">
        <f t="shared" si="204"/>
        <v>0</v>
      </c>
      <c r="BL159" s="409">
        <f t="shared" si="204"/>
        <v>0</v>
      </c>
      <c r="BM159" s="409">
        <f t="shared" si="204"/>
        <v>0</v>
      </c>
      <c r="BN159" s="409">
        <f t="shared" si="204"/>
        <v>0</v>
      </c>
      <c r="BO159" s="409">
        <f t="shared" si="204"/>
        <v>0</v>
      </c>
      <c r="BP159" s="409">
        <f t="shared" si="204"/>
        <v>0</v>
      </c>
      <c r="BQ159" s="409">
        <f t="shared" si="205"/>
        <v>0</v>
      </c>
      <c r="BR159" s="409">
        <f t="shared" si="205"/>
        <v>0</v>
      </c>
      <c r="BS159" s="409">
        <f t="shared" si="205"/>
        <v>0</v>
      </c>
      <c r="BT159" s="409">
        <f t="shared" si="205"/>
        <v>0</v>
      </c>
      <c r="BU159" s="409">
        <f t="shared" si="205"/>
        <v>0</v>
      </c>
      <c r="BV159" s="409">
        <f t="shared" si="205"/>
        <v>0</v>
      </c>
      <c r="BW159" s="409">
        <f t="shared" si="205"/>
        <v>0</v>
      </c>
      <c r="BX159" s="409">
        <f t="shared" si="205"/>
        <v>0</v>
      </c>
      <c r="BY159" s="409">
        <f t="shared" si="205"/>
        <v>0</v>
      </c>
      <c r="BZ159" s="409">
        <f t="shared" si="205"/>
        <v>0</v>
      </c>
      <c r="CA159" s="409">
        <f t="shared" si="206"/>
        <v>0</v>
      </c>
      <c r="CB159" s="409">
        <f t="shared" si="206"/>
        <v>0</v>
      </c>
      <c r="CC159" s="409">
        <f t="shared" si="206"/>
        <v>0</v>
      </c>
      <c r="CD159" s="409">
        <f t="shared" si="206"/>
        <v>0</v>
      </c>
      <c r="CE159" s="409">
        <f t="shared" si="206"/>
        <v>0</v>
      </c>
      <c r="CF159" s="409">
        <f t="shared" si="206"/>
        <v>0</v>
      </c>
      <c r="CG159" s="409">
        <f t="shared" si="206"/>
        <v>0</v>
      </c>
      <c r="CH159" s="409">
        <f t="shared" si="206"/>
        <v>0</v>
      </c>
      <c r="CI159" s="409">
        <f t="shared" si="206"/>
        <v>0</v>
      </c>
      <c r="CJ159" s="409">
        <f t="shared" si="206"/>
        <v>0</v>
      </c>
      <c r="CK159" s="409">
        <f t="shared" si="207"/>
        <v>0</v>
      </c>
      <c r="CL159" s="409">
        <f t="shared" si="207"/>
        <v>0</v>
      </c>
      <c r="CM159" s="409">
        <f t="shared" si="207"/>
        <v>0</v>
      </c>
      <c r="CN159" s="409">
        <f t="shared" si="207"/>
        <v>0</v>
      </c>
      <c r="CO159" s="409">
        <f t="shared" si="207"/>
        <v>0</v>
      </c>
      <c r="CP159" s="409">
        <f t="shared" si="207"/>
        <v>0</v>
      </c>
      <c r="CQ159" s="409">
        <f t="shared" si="207"/>
        <v>0</v>
      </c>
      <c r="CR159" s="409">
        <f t="shared" si="207"/>
        <v>0</v>
      </c>
      <c r="CS159" s="409">
        <f t="shared" si="207"/>
        <v>0</v>
      </c>
      <c r="CT159" s="409">
        <f t="shared" si="207"/>
        <v>0</v>
      </c>
      <c r="CU159" s="409">
        <f t="shared" si="208"/>
        <v>0</v>
      </c>
      <c r="CV159" s="409">
        <f t="shared" si="208"/>
        <v>0</v>
      </c>
      <c r="CW159" s="409">
        <f t="shared" si="208"/>
        <v>0</v>
      </c>
      <c r="CX159" s="409">
        <f t="shared" si="208"/>
        <v>0</v>
      </c>
      <c r="CY159" s="409">
        <f t="shared" si="208"/>
        <v>0</v>
      </c>
      <c r="CZ159" s="409">
        <f t="shared" si="208"/>
        <v>0</v>
      </c>
      <c r="DA159" s="409">
        <f t="shared" si="208"/>
        <v>0</v>
      </c>
      <c r="DB159" s="409">
        <f t="shared" si="208"/>
        <v>0</v>
      </c>
      <c r="DC159" s="409">
        <f t="shared" si="208"/>
        <v>0</v>
      </c>
      <c r="DD159" s="409">
        <f t="shared" si="208"/>
        <v>0</v>
      </c>
      <c r="DE159" s="409">
        <f t="shared" si="209"/>
        <v>0</v>
      </c>
      <c r="DF159" s="409">
        <f t="shared" si="209"/>
        <v>0</v>
      </c>
      <c r="DG159" s="409">
        <f t="shared" si="209"/>
        <v>0</v>
      </c>
      <c r="DH159" s="409">
        <f t="shared" si="209"/>
        <v>0</v>
      </c>
      <c r="DI159" s="409">
        <f t="shared" si="209"/>
        <v>0</v>
      </c>
      <c r="DJ159" s="409">
        <f t="shared" si="209"/>
        <v>0</v>
      </c>
      <c r="DK159" s="409">
        <f t="shared" si="209"/>
        <v>0</v>
      </c>
      <c r="DL159" s="409">
        <f t="shared" si="209"/>
        <v>0</v>
      </c>
      <c r="DM159" s="409">
        <f t="shared" si="209"/>
        <v>0</v>
      </c>
      <c r="DN159" s="409">
        <f t="shared" si="209"/>
        <v>0</v>
      </c>
      <c r="DO159" s="409">
        <f t="shared" si="210"/>
        <v>0</v>
      </c>
      <c r="DP159" s="409">
        <f t="shared" si="210"/>
        <v>0</v>
      </c>
      <c r="DQ159" s="409">
        <f t="shared" si="210"/>
        <v>0</v>
      </c>
      <c r="DR159" s="409">
        <f t="shared" si="210"/>
        <v>0</v>
      </c>
      <c r="DS159" s="409">
        <f t="shared" si="210"/>
        <v>0</v>
      </c>
      <c r="DT159" s="409">
        <f t="shared" si="210"/>
        <v>0</v>
      </c>
      <c r="DU159" s="409">
        <f t="shared" si="210"/>
        <v>0</v>
      </c>
      <c r="DV159" s="409">
        <f t="shared" si="210"/>
        <v>0</v>
      </c>
      <c r="DW159" s="409">
        <f t="shared" si="210"/>
        <v>0</v>
      </c>
      <c r="DX159" s="409">
        <f t="shared" si="210"/>
        <v>0</v>
      </c>
      <c r="DY159" s="409">
        <f t="shared" si="211"/>
        <v>0</v>
      </c>
      <c r="DZ159" s="409">
        <f t="shared" si="211"/>
        <v>0</v>
      </c>
      <c r="EA159" s="409">
        <f t="shared" si="211"/>
        <v>0</v>
      </c>
      <c r="EB159" s="409">
        <f t="shared" si="211"/>
        <v>0</v>
      </c>
      <c r="EC159" s="409">
        <f t="shared" si="211"/>
        <v>0</v>
      </c>
      <c r="ED159" s="409">
        <f t="shared" si="211"/>
        <v>0</v>
      </c>
      <c r="EE159" s="409">
        <f t="shared" si="211"/>
        <v>0</v>
      </c>
      <c r="EF159" s="409">
        <f t="shared" si="211"/>
        <v>0</v>
      </c>
      <c r="EG159" s="409">
        <f t="shared" si="211"/>
        <v>0</v>
      </c>
      <c r="EH159" s="409">
        <f t="shared" si="211"/>
        <v>0</v>
      </c>
      <c r="EI159" s="409">
        <f t="shared" si="212"/>
        <v>0</v>
      </c>
      <c r="EJ159" s="409">
        <f t="shared" si="212"/>
        <v>0</v>
      </c>
      <c r="EK159" s="409">
        <f t="shared" si="212"/>
        <v>0</v>
      </c>
      <c r="EL159" s="409">
        <f t="shared" si="212"/>
        <v>0</v>
      </c>
      <c r="EM159" s="409">
        <f t="shared" si="212"/>
        <v>0</v>
      </c>
      <c r="EN159" s="409">
        <f t="shared" si="212"/>
        <v>0</v>
      </c>
      <c r="EO159" s="409">
        <f t="shared" si="212"/>
        <v>0</v>
      </c>
      <c r="EP159" s="409">
        <f t="shared" si="212"/>
        <v>0</v>
      </c>
      <c r="EQ159" s="409">
        <f t="shared" si="212"/>
        <v>0</v>
      </c>
      <c r="ER159" s="409">
        <f t="shared" si="212"/>
        <v>0</v>
      </c>
      <c r="ES159" s="409">
        <f t="shared" si="213"/>
        <v>0</v>
      </c>
      <c r="ET159" s="409">
        <f t="shared" si="213"/>
        <v>0</v>
      </c>
      <c r="EU159" s="409">
        <f t="shared" si="213"/>
        <v>0</v>
      </c>
      <c r="EV159" s="409">
        <f t="shared" si="213"/>
        <v>0</v>
      </c>
      <c r="EW159" s="409">
        <f t="shared" si="213"/>
        <v>0</v>
      </c>
      <c r="EX159" s="409">
        <f t="shared" si="213"/>
        <v>0</v>
      </c>
      <c r="EY159" s="409">
        <f t="shared" si="213"/>
        <v>0</v>
      </c>
      <c r="EZ159" s="409">
        <f t="shared" si="213"/>
        <v>0</v>
      </c>
      <c r="FA159" s="409">
        <f t="shared" si="213"/>
        <v>0</v>
      </c>
      <c r="FB159" s="409">
        <f t="shared" si="213"/>
        <v>0</v>
      </c>
      <c r="FC159" s="409">
        <f t="shared" si="214"/>
        <v>0</v>
      </c>
      <c r="FD159" s="409">
        <f t="shared" si="214"/>
        <v>0</v>
      </c>
      <c r="FE159" s="409">
        <f t="shared" si="214"/>
        <v>0</v>
      </c>
      <c r="FF159" s="409">
        <f t="shared" si="214"/>
        <v>0</v>
      </c>
      <c r="FG159" s="409">
        <f t="shared" si="214"/>
        <v>0</v>
      </c>
      <c r="FH159" s="409">
        <f t="shared" si="214"/>
        <v>0</v>
      </c>
      <c r="FI159" s="409">
        <f t="shared" si="214"/>
        <v>0</v>
      </c>
      <c r="FJ159" s="409">
        <f t="shared" si="214"/>
        <v>0</v>
      </c>
      <c r="FK159" s="409">
        <f t="shared" si="214"/>
        <v>0</v>
      </c>
      <c r="FL159" s="409">
        <f t="shared" si="214"/>
        <v>0</v>
      </c>
      <c r="FM159" s="409">
        <f t="shared" si="215"/>
        <v>0</v>
      </c>
      <c r="FN159" s="409">
        <f t="shared" si="215"/>
        <v>0</v>
      </c>
      <c r="FO159" s="409">
        <f t="shared" si="215"/>
        <v>0</v>
      </c>
      <c r="FP159" s="409">
        <f t="shared" si="215"/>
        <v>0</v>
      </c>
      <c r="FQ159" s="409">
        <f t="shared" si="215"/>
        <v>0</v>
      </c>
      <c r="FR159" s="409">
        <f t="shared" si="215"/>
        <v>0</v>
      </c>
      <c r="FS159" s="409">
        <f t="shared" si="215"/>
        <v>0</v>
      </c>
      <c r="FT159" s="409">
        <f t="shared" si="215"/>
        <v>0</v>
      </c>
      <c r="FU159" s="409">
        <f t="shared" si="215"/>
        <v>0</v>
      </c>
      <c r="FV159" s="409">
        <f t="shared" si="215"/>
        <v>0</v>
      </c>
      <c r="FW159" s="409">
        <f t="shared" si="216"/>
        <v>0</v>
      </c>
      <c r="FX159" s="409">
        <f t="shared" si="216"/>
        <v>0</v>
      </c>
      <c r="FY159" s="409">
        <f t="shared" si="216"/>
        <v>0</v>
      </c>
      <c r="FZ159" s="409">
        <f t="shared" si="216"/>
        <v>0</v>
      </c>
      <c r="GA159" s="409">
        <f t="shared" si="216"/>
        <v>0</v>
      </c>
      <c r="GB159" s="409">
        <f t="shared" si="216"/>
        <v>0</v>
      </c>
      <c r="GC159" s="409">
        <f t="shared" si="216"/>
        <v>0</v>
      </c>
      <c r="GD159" s="409">
        <f t="shared" si="216"/>
        <v>0</v>
      </c>
      <c r="GE159" s="409">
        <f t="shared" si="216"/>
        <v>0</v>
      </c>
      <c r="GF159" s="409">
        <f t="shared" si="216"/>
        <v>0</v>
      </c>
      <c r="GG159" s="409">
        <f t="shared" si="217"/>
        <v>0</v>
      </c>
      <c r="GH159" s="409">
        <f t="shared" si="217"/>
        <v>0</v>
      </c>
      <c r="GI159" s="409">
        <f t="shared" si="217"/>
        <v>0</v>
      </c>
      <c r="GJ159" s="409">
        <f t="shared" si="217"/>
        <v>0</v>
      </c>
      <c r="GK159" s="409">
        <f t="shared" si="217"/>
        <v>0</v>
      </c>
      <c r="GL159" s="409">
        <f t="shared" si="217"/>
        <v>0</v>
      </c>
      <c r="GM159" s="409">
        <f t="shared" si="217"/>
        <v>0</v>
      </c>
      <c r="GN159" s="409">
        <f t="shared" si="217"/>
        <v>0</v>
      </c>
      <c r="GO159" s="409">
        <f t="shared" si="217"/>
        <v>0</v>
      </c>
      <c r="GP159" s="409">
        <f t="shared" si="217"/>
        <v>0</v>
      </c>
      <c r="GQ159" s="409">
        <f t="shared" si="218"/>
        <v>0</v>
      </c>
      <c r="GR159" s="409">
        <f t="shared" si="218"/>
        <v>0</v>
      </c>
      <c r="GS159" s="409">
        <f t="shared" si="218"/>
        <v>0</v>
      </c>
      <c r="GT159" s="409">
        <f t="shared" si="218"/>
        <v>0</v>
      </c>
      <c r="GU159" s="409">
        <f t="shared" si="218"/>
        <v>0</v>
      </c>
      <c r="GV159" s="409">
        <f t="shared" si="218"/>
        <v>0</v>
      </c>
      <c r="GW159" s="409">
        <f t="shared" si="218"/>
        <v>0</v>
      </c>
      <c r="GX159" s="409">
        <f t="shared" si="218"/>
        <v>0</v>
      </c>
      <c r="GY159" s="409">
        <f t="shared" si="218"/>
        <v>0</v>
      </c>
      <c r="GZ159" s="409">
        <f t="shared" si="218"/>
        <v>0</v>
      </c>
      <c r="HA159" s="409">
        <f t="shared" si="219"/>
        <v>0</v>
      </c>
      <c r="HB159" s="409">
        <f t="shared" si="219"/>
        <v>0</v>
      </c>
      <c r="HC159" s="409">
        <f t="shared" si="219"/>
        <v>0</v>
      </c>
      <c r="HD159" s="409">
        <f t="shared" si="219"/>
        <v>0</v>
      </c>
      <c r="HE159" s="409">
        <f t="shared" si="219"/>
        <v>0</v>
      </c>
      <c r="HF159" s="409">
        <f t="shared" si="219"/>
        <v>0</v>
      </c>
      <c r="HG159" s="409">
        <f t="shared" si="219"/>
        <v>0</v>
      </c>
      <c r="HH159" s="409">
        <f t="shared" si="219"/>
        <v>0</v>
      </c>
      <c r="HI159" s="409">
        <f t="shared" si="219"/>
        <v>0</v>
      </c>
      <c r="HJ159" s="409">
        <f t="shared" si="219"/>
        <v>0</v>
      </c>
      <c r="HK159" s="409">
        <f t="shared" si="220"/>
        <v>0</v>
      </c>
      <c r="HL159" s="409">
        <f t="shared" si="220"/>
        <v>0</v>
      </c>
      <c r="HM159" s="409">
        <f t="shared" si="220"/>
        <v>0</v>
      </c>
      <c r="HN159" s="409">
        <f t="shared" si="220"/>
        <v>0</v>
      </c>
      <c r="HO159" s="409">
        <f t="shared" si="220"/>
        <v>0</v>
      </c>
      <c r="HP159" s="409">
        <f t="shared" si="220"/>
        <v>0</v>
      </c>
      <c r="HQ159" s="409">
        <f t="shared" si="220"/>
        <v>0</v>
      </c>
      <c r="HR159" s="409">
        <f t="shared" si="220"/>
        <v>0</v>
      </c>
      <c r="HS159" s="409">
        <f t="shared" si="220"/>
        <v>0</v>
      </c>
      <c r="HT159" s="409">
        <f t="shared" si="220"/>
        <v>0</v>
      </c>
      <c r="HU159" s="409">
        <f t="shared" si="221"/>
        <v>0</v>
      </c>
      <c r="HV159" s="409">
        <f t="shared" si="221"/>
        <v>0</v>
      </c>
      <c r="HW159" s="409">
        <f t="shared" si="221"/>
        <v>0</v>
      </c>
      <c r="HX159" s="409">
        <f t="shared" si="221"/>
        <v>0</v>
      </c>
      <c r="HY159" s="409">
        <f t="shared" si="221"/>
        <v>0</v>
      </c>
      <c r="HZ159" s="409">
        <f t="shared" si="221"/>
        <v>0</v>
      </c>
      <c r="IA159" s="409">
        <f t="shared" si="221"/>
        <v>0</v>
      </c>
      <c r="IB159" s="409">
        <f t="shared" si="221"/>
        <v>0</v>
      </c>
      <c r="IC159" s="409">
        <f t="shared" si="221"/>
        <v>0</v>
      </c>
      <c r="ID159" s="409">
        <f t="shared" si="221"/>
        <v>0</v>
      </c>
      <c r="IE159" s="409">
        <f t="shared" si="222"/>
        <v>0</v>
      </c>
      <c r="IF159" s="409">
        <f t="shared" si="222"/>
        <v>0</v>
      </c>
      <c r="IG159" s="409">
        <f t="shared" si="222"/>
        <v>0</v>
      </c>
      <c r="IH159" s="409">
        <f t="shared" si="222"/>
        <v>0</v>
      </c>
      <c r="II159" s="409">
        <f t="shared" si="222"/>
        <v>0</v>
      </c>
      <c r="IJ159" s="409">
        <f t="shared" si="222"/>
        <v>0</v>
      </c>
      <c r="IK159" s="378"/>
    </row>
    <row r="160" spans="1:245" hidden="1" x14ac:dyDescent="0.2">
      <c r="A160" s="380" t="str">
        <f t="shared" ref="A160:A207" si="242">IF(ISERROR(C160),"e",IF(OR(E160=0,B160=""),"x",""))</f>
        <v>e</v>
      </c>
      <c r="B160" s="712" t="str">
        <f>IF(ISERROR(INDEX('Legend(DX)'!$H$11:$H$12,3)),"",INDEX('Legend(DX)'!$H$11:$H$12,3))</f>
        <v/>
      </c>
      <c r="C160" s="712" t="e">
        <f>IF(INDEX('Legend(DX)'!$T$11:$T$12,3)=0,"See Legend",INDEX('Legend(DX)'!$T$11:$T$12,3))</f>
        <v>#REF!</v>
      </c>
      <c r="D160" s="712" t="e">
        <f>IF(INDEX('Legend(DX)'!$R$11:$R$12,(ROW(C160))-137)=0,IF(AND(INDEX('Legend(DX)'!$D$11:$D$12,(ROW(C160))-136)="CH",INDEX('Legend(DX)'!$F$11:$F$12,(ROW(C160))-136)="CASE - MANUAL"),INDEX('Legend(DX)'!$R$11:$R$12,(ROW(C160))-136),IF(INDEX('Legend(DX)'!$V$11:$V$12,(ROW(C160))-137)&gt;1, "(" &amp; INDEX('Legend(DX)'!$V$11:$V$12,(ROW(C160))-137) &amp; ") " &amp; INDEX('Legend(DX)'!$W$11:$W$12,(ROW(C160))-136),INDEX('Legend(DX)'!$W$11:$W$12,(ROW(C160))-137))),INDEX('Legend(DX)'!$R$11:$R$12,(ROW(C160))-137))</f>
        <v>#REF!</v>
      </c>
      <c r="E160" s="713" t="str">
        <f>IF(ISERROR(INDEX('Legend(DX)'!$AA$11:$AA$12,3)),"",INDEX('Legend(DX)'!$AA$11:$AA$12,3))</f>
        <v/>
      </c>
      <c r="F160" s="715"/>
      <c r="G160" s="715"/>
      <c r="H160" s="715"/>
      <c r="I160" s="715"/>
      <c r="J160" s="715"/>
      <c r="K160" s="890">
        <f t="shared" si="223"/>
        <v>0</v>
      </c>
      <c r="L160" s="718"/>
      <c r="M160" s="723"/>
      <c r="N160" s="972">
        <f t="shared" si="196"/>
        <v>-1</v>
      </c>
      <c r="O160" s="972">
        <f t="shared" si="224"/>
        <v>-1</v>
      </c>
      <c r="P160" s="972">
        <f t="shared" si="197"/>
        <v>-1</v>
      </c>
      <c r="Q160" s="972">
        <f t="shared" si="225"/>
        <v>-1</v>
      </c>
      <c r="R160" s="972">
        <f t="shared" si="198"/>
        <v>-1</v>
      </c>
      <c r="S160" s="972">
        <f t="shared" si="226"/>
        <v>-1</v>
      </c>
      <c r="T160" s="972">
        <f t="shared" si="199"/>
        <v>-1</v>
      </c>
      <c r="U160" s="972">
        <f t="shared" si="227"/>
        <v>-1</v>
      </c>
      <c r="V160" s="972">
        <f t="shared" si="200"/>
        <v>-1</v>
      </c>
      <c r="W160" s="972">
        <f t="shared" si="228"/>
        <v>-1</v>
      </c>
      <c r="X160" s="972">
        <f t="shared" si="201"/>
        <v>-1</v>
      </c>
      <c r="Y160" s="972">
        <f t="shared" si="229"/>
        <v>-1</v>
      </c>
      <c r="Z160" s="972">
        <f t="shared" si="230"/>
        <v>-1</v>
      </c>
      <c r="AA160" s="972">
        <f t="shared" si="231"/>
        <v>-1</v>
      </c>
      <c r="AB160" s="972">
        <f t="shared" si="232"/>
        <v>-1</v>
      </c>
      <c r="AC160" s="972">
        <f t="shared" si="233"/>
        <v>-1</v>
      </c>
      <c r="AD160" s="972">
        <f t="shared" si="234"/>
        <v>-1</v>
      </c>
      <c r="AE160" s="972">
        <f t="shared" si="235"/>
        <v>-1</v>
      </c>
      <c r="AF160" s="972">
        <f t="shared" si="236"/>
        <v>-1</v>
      </c>
      <c r="AG160" s="972">
        <f t="shared" si="237"/>
        <v>-1</v>
      </c>
      <c r="AH160" s="972">
        <f t="shared" si="238"/>
        <v>-1</v>
      </c>
      <c r="AI160" s="972">
        <f t="shared" si="239"/>
        <v>-1</v>
      </c>
      <c r="AJ160" s="972">
        <f t="shared" si="240"/>
        <v>-1</v>
      </c>
      <c r="AK160" s="381"/>
      <c r="AL160" s="727" t="str">
        <f t="shared" si="241"/>
        <v/>
      </c>
      <c r="AM160" s="409">
        <f t="shared" si="202"/>
        <v>0</v>
      </c>
      <c r="AN160" s="409">
        <f t="shared" si="202"/>
        <v>0</v>
      </c>
      <c r="AO160" s="409">
        <f t="shared" si="202"/>
        <v>0</v>
      </c>
      <c r="AP160" s="409">
        <f t="shared" si="202"/>
        <v>0</v>
      </c>
      <c r="AQ160" s="409">
        <f t="shared" si="202"/>
        <v>0</v>
      </c>
      <c r="AR160" s="409">
        <f t="shared" si="202"/>
        <v>0</v>
      </c>
      <c r="AS160" s="409">
        <f t="shared" si="202"/>
        <v>0</v>
      </c>
      <c r="AT160" s="409">
        <f t="shared" si="202"/>
        <v>0</v>
      </c>
      <c r="AU160" s="409">
        <f t="shared" si="202"/>
        <v>0</v>
      </c>
      <c r="AV160" s="409">
        <f t="shared" si="202"/>
        <v>0</v>
      </c>
      <c r="AW160" s="409">
        <f t="shared" si="203"/>
        <v>0</v>
      </c>
      <c r="AX160" s="409">
        <f t="shared" si="203"/>
        <v>0</v>
      </c>
      <c r="AY160" s="409">
        <f t="shared" si="203"/>
        <v>0</v>
      </c>
      <c r="AZ160" s="409">
        <f t="shared" si="203"/>
        <v>0</v>
      </c>
      <c r="BA160" s="409">
        <f t="shared" si="203"/>
        <v>0</v>
      </c>
      <c r="BB160" s="409">
        <f t="shared" si="203"/>
        <v>0</v>
      </c>
      <c r="BC160" s="409">
        <f t="shared" si="203"/>
        <v>0</v>
      </c>
      <c r="BD160" s="409">
        <f t="shared" si="203"/>
        <v>0</v>
      </c>
      <c r="BE160" s="409">
        <f t="shared" si="203"/>
        <v>0</v>
      </c>
      <c r="BF160" s="409">
        <f t="shared" si="203"/>
        <v>0</v>
      </c>
      <c r="BG160" s="409">
        <f t="shared" si="204"/>
        <v>0</v>
      </c>
      <c r="BH160" s="409">
        <f t="shared" si="204"/>
        <v>0</v>
      </c>
      <c r="BI160" s="409">
        <f t="shared" si="204"/>
        <v>0</v>
      </c>
      <c r="BJ160" s="409">
        <f t="shared" si="204"/>
        <v>0</v>
      </c>
      <c r="BK160" s="409">
        <f t="shared" si="204"/>
        <v>0</v>
      </c>
      <c r="BL160" s="409">
        <f t="shared" si="204"/>
        <v>0</v>
      </c>
      <c r="BM160" s="409">
        <f t="shared" si="204"/>
        <v>0</v>
      </c>
      <c r="BN160" s="409">
        <f t="shared" si="204"/>
        <v>0</v>
      </c>
      <c r="BO160" s="409">
        <f t="shared" si="204"/>
        <v>0</v>
      </c>
      <c r="BP160" s="409">
        <f t="shared" si="204"/>
        <v>0</v>
      </c>
      <c r="BQ160" s="409">
        <f t="shared" si="205"/>
        <v>0</v>
      </c>
      <c r="BR160" s="409">
        <f t="shared" si="205"/>
        <v>0</v>
      </c>
      <c r="BS160" s="409">
        <f t="shared" si="205"/>
        <v>0</v>
      </c>
      <c r="BT160" s="409">
        <f t="shared" si="205"/>
        <v>0</v>
      </c>
      <c r="BU160" s="409">
        <f t="shared" si="205"/>
        <v>0</v>
      </c>
      <c r="BV160" s="409">
        <f t="shared" si="205"/>
        <v>0</v>
      </c>
      <c r="BW160" s="409">
        <f t="shared" si="205"/>
        <v>0</v>
      </c>
      <c r="BX160" s="409">
        <f t="shared" si="205"/>
        <v>0</v>
      </c>
      <c r="BY160" s="409">
        <f t="shared" si="205"/>
        <v>0</v>
      </c>
      <c r="BZ160" s="409">
        <f t="shared" si="205"/>
        <v>0</v>
      </c>
      <c r="CA160" s="409">
        <f t="shared" si="206"/>
        <v>0</v>
      </c>
      <c r="CB160" s="409">
        <f t="shared" si="206"/>
        <v>0</v>
      </c>
      <c r="CC160" s="409">
        <f t="shared" si="206"/>
        <v>0</v>
      </c>
      <c r="CD160" s="409">
        <f t="shared" si="206"/>
        <v>0</v>
      </c>
      <c r="CE160" s="409">
        <f t="shared" si="206"/>
        <v>0</v>
      </c>
      <c r="CF160" s="409">
        <f t="shared" si="206"/>
        <v>0</v>
      </c>
      <c r="CG160" s="409">
        <f t="shared" si="206"/>
        <v>0</v>
      </c>
      <c r="CH160" s="409">
        <f t="shared" si="206"/>
        <v>0</v>
      </c>
      <c r="CI160" s="409">
        <f t="shared" si="206"/>
        <v>0</v>
      </c>
      <c r="CJ160" s="409">
        <f t="shared" si="206"/>
        <v>0</v>
      </c>
      <c r="CK160" s="409">
        <f t="shared" si="207"/>
        <v>0</v>
      </c>
      <c r="CL160" s="409">
        <f t="shared" si="207"/>
        <v>0</v>
      </c>
      <c r="CM160" s="409">
        <f t="shared" si="207"/>
        <v>0</v>
      </c>
      <c r="CN160" s="409">
        <f t="shared" si="207"/>
        <v>0</v>
      </c>
      <c r="CO160" s="409">
        <f t="shared" si="207"/>
        <v>0</v>
      </c>
      <c r="CP160" s="409">
        <f t="shared" si="207"/>
        <v>0</v>
      </c>
      <c r="CQ160" s="409">
        <f t="shared" si="207"/>
        <v>0</v>
      </c>
      <c r="CR160" s="409">
        <f t="shared" si="207"/>
        <v>0</v>
      </c>
      <c r="CS160" s="409">
        <f t="shared" si="207"/>
        <v>0</v>
      </c>
      <c r="CT160" s="409">
        <f t="shared" si="207"/>
        <v>0</v>
      </c>
      <c r="CU160" s="409">
        <f t="shared" si="208"/>
        <v>0</v>
      </c>
      <c r="CV160" s="409">
        <f t="shared" si="208"/>
        <v>0</v>
      </c>
      <c r="CW160" s="409">
        <f t="shared" si="208"/>
        <v>0</v>
      </c>
      <c r="CX160" s="409">
        <f t="shared" si="208"/>
        <v>0</v>
      </c>
      <c r="CY160" s="409">
        <f t="shared" si="208"/>
        <v>0</v>
      </c>
      <c r="CZ160" s="409">
        <f t="shared" si="208"/>
        <v>0</v>
      </c>
      <c r="DA160" s="409">
        <f t="shared" si="208"/>
        <v>0</v>
      </c>
      <c r="DB160" s="409">
        <f t="shared" si="208"/>
        <v>0</v>
      </c>
      <c r="DC160" s="409">
        <f t="shared" si="208"/>
        <v>0</v>
      </c>
      <c r="DD160" s="409">
        <f t="shared" si="208"/>
        <v>0</v>
      </c>
      <c r="DE160" s="409">
        <f t="shared" si="209"/>
        <v>0</v>
      </c>
      <c r="DF160" s="409">
        <f t="shared" si="209"/>
        <v>0</v>
      </c>
      <c r="DG160" s="409">
        <f t="shared" si="209"/>
        <v>0</v>
      </c>
      <c r="DH160" s="409">
        <f t="shared" si="209"/>
        <v>0</v>
      </c>
      <c r="DI160" s="409">
        <f t="shared" si="209"/>
        <v>0</v>
      </c>
      <c r="DJ160" s="409">
        <f t="shared" si="209"/>
        <v>0</v>
      </c>
      <c r="DK160" s="409">
        <f t="shared" si="209"/>
        <v>0</v>
      </c>
      <c r="DL160" s="409">
        <f t="shared" si="209"/>
        <v>0</v>
      </c>
      <c r="DM160" s="409">
        <f t="shared" si="209"/>
        <v>0</v>
      </c>
      <c r="DN160" s="409">
        <f t="shared" si="209"/>
        <v>0</v>
      </c>
      <c r="DO160" s="409">
        <f t="shared" si="210"/>
        <v>0</v>
      </c>
      <c r="DP160" s="409">
        <f t="shared" si="210"/>
        <v>0</v>
      </c>
      <c r="DQ160" s="409">
        <f t="shared" si="210"/>
        <v>0</v>
      </c>
      <c r="DR160" s="409">
        <f t="shared" si="210"/>
        <v>0</v>
      </c>
      <c r="DS160" s="409">
        <f t="shared" si="210"/>
        <v>0</v>
      </c>
      <c r="DT160" s="409">
        <f t="shared" si="210"/>
        <v>0</v>
      </c>
      <c r="DU160" s="409">
        <f t="shared" si="210"/>
        <v>0</v>
      </c>
      <c r="DV160" s="409">
        <f t="shared" si="210"/>
        <v>0</v>
      </c>
      <c r="DW160" s="409">
        <f t="shared" si="210"/>
        <v>0</v>
      </c>
      <c r="DX160" s="409">
        <f t="shared" si="210"/>
        <v>0</v>
      </c>
      <c r="DY160" s="409">
        <f t="shared" si="211"/>
        <v>0</v>
      </c>
      <c r="DZ160" s="409">
        <f t="shared" si="211"/>
        <v>0</v>
      </c>
      <c r="EA160" s="409">
        <f t="shared" si="211"/>
        <v>0</v>
      </c>
      <c r="EB160" s="409">
        <f t="shared" si="211"/>
        <v>0</v>
      </c>
      <c r="EC160" s="409">
        <f t="shared" si="211"/>
        <v>0</v>
      </c>
      <c r="ED160" s="409">
        <f t="shared" si="211"/>
        <v>0</v>
      </c>
      <c r="EE160" s="409">
        <f t="shared" si="211"/>
        <v>0</v>
      </c>
      <c r="EF160" s="409">
        <f t="shared" si="211"/>
        <v>0</v>
      </c>
      <c r="EG160" s="409">
        <f t="shared" si="211"/>
        <v>0</v>
      </c>
      <c r="EH160" s="409">
        <f t="shared" si="211"/>
        <v>0</v>
      </c>
      <c r="EI160" s="409">
        <f t="shared" si="212"/>
        <v>0</v>
      </c>
      <c r="EJ160" s="409">
        <f t="shared" si="212"/>
        <v>0</v>
      </c>
      <c r="EK160" s="409">
        <f t="shared" si="212"/>
        <v>0</v>
      </c>
      <c r="EL160" s="409">
        <f t="shared" si="212"/>
        <v>0</v>
      </c>
      <c r="EM160" s="409">
        <f t="shared" si="212"/>
        <v>0</v>
      </c>
      <c r="EN160" s="409">
        <f t="shared" si="212"/>
        <v>0</v>
      </c>
      <c r="EO160" s="409">
        <f t="shared" si="212"/>
        <v>0</v>
      </c>
      <c r="EP160" s="409">
        <f t="shared" si="212"/>
        <v>0</v>
      </c>
      <c r="EQ160" s="409">
        <f t="shared" si="212"/>
        <v>0</v>
      </c>
      <c r="ER160" s="409">
        <f t="shared" si="212"/>
        <v>0</v>
      </c>
      <c r="ES160" s="409">
        <f t="shared" si="213"/>
        <v>0</v>
      </c>
      <c r="ET160" s="409">
        <f t="shared" si="213"/>
        <v>0</v>
      </c>
      <c r="EU160" s="409">
        <f t="shared" si="213"/>
        <v>0</v>
      </c>
      <c r="EV160" s="409">
        <f t="shared" si="213"/>
        <v>0</v>
      </c>
      <c r="EW160" s="409">
        <f t="shared" si="213"/>
        <v>0</v>
      </c>
      <c r="EX160" s="409">
        <f t="shared" si="213"/>
        <v>0</v>
      </c>
      <c r="EY160" s="409">
        <f t="shared" si="213"/>
        <v>0</v>
      </c>
      <c r="EZ160" s="409">
        <f t="shared" si="213"/>
        <v>0</v>
      </c>
      <c r="FA160" s="409">
        <f t="shared" si="213"/>
        <v>0</v>
      </c>
      <c r="FB160" s="409">
        <f t="shared" si="213"/>
        <v>0</v>
      </c>
      <c r="FC160" s="409">
        <f t="shared" si="214"/>
        <v>0</v>
      </c>
      <c r="FD160" s="409">
        <f t="shared" si="214"/>
        <v>0</v>
      </c>
      <c r="FE160" s="409">
        <f t="shared" si="214"/>
        <v>0</v>
      </c>
      <c r="FF160" s="409">
        <f t="shared" si="214"/>
        <v>0</v>
      </c>
      <c r="FG160" s="409">
        <f t="shared" si="214"/>
        <v>0</v>
      </c>
      <c r="FH160" s="409">
        <f t="shared" si="214"/>
        <v>0</v>
      </c>
      <c r="FI160" s="409">
        <f t="shared" si="214"/>
        <v>0</v>
      </c>
      <c r="FJ160" s="409">
        <f t="shared" si="214"/>
        <v>0</v>
      </c>
      <c r="FK160" s="409">
        <f t="shared" si="214"/>
        <v>0</v>
      </c>
      <c r="FL160" s="409">
        <f t="shared" si="214"/>
        <v>0</v>
      </c>
      <c r="FM160" s="409">
        <f t="shared" si="215"/>
        <v>0</v>
      </c>
      <c r="FN160" s="409">
        <f t="shared" si="215"/>
        <v>0</v>
      </c>
      <c r="FO160" s="409">
        <f t="shared" si="215"/>
        <v>0</v>
      </c>
      <c r="FP160" s="409">
        <f t="shared" si="215"/>
        <v>0</v>
      </c>
      <c r="FQ160" s="409">
        <f t="shared" si="215"/>
        <v>0</v>
      </c>
      <c r="FR160" s="409">
        <f t="shared" si="215"/>
        <v>0</v>
      </c>
      <c r="FS160" s="409">
        <f t="shared" si="215"/>
        <v>0</v>
      </c>
      <c r="FT160" s="409">
        <f t="shared" si="215"/>
        <v>0</v>
      </c>
      <c r="FU160" s="409">
        <f t="shared" si="215"/>
        <v>0</v>
      </c>
      <c r="FV160" s="409">
        <f t="shared" si="215"/>
        <v>0</v>
      </c>
      <c r="FW160" s="409">
        <f t="shared" si="216"/>
        <v>0</v>
      </c>
      <c r="FX160" s="409">
        <f t="shared" si="216"/>
        <v>0</v>
      </c>
      <c r="FY160" s="409">
        <f t="shared" si="216"/>
        <v>0</v>
      </c>
      <c r="FZ160" s="409">
        <f t="shared" si="216"/>
        <v>0</v>
      </c>
      <c r="GA160" s="409">
        <f t="shared" si="216"/>
        <v>0</v>
      </c>
      <c r="GB160" s="409">
        <f t="shared" si="216"/>
        <v>0</v>
      </c>
      <c r="GC160" s="409">
        <f t="shared" si="216"/>
        <v>0</v>
      </c>
      <c r="GD160" s="409">
        <f t="shared" si="216"/>
        <v>0</v>
      </c>
      <c r="GE160" s="409">
        <f t="shared" si="216"/>
        <v>0</v>
      </c>
      <c r="GF160" s="409">
        <f t="shared" si="216"/>
        <v>0</v>
      </c>
      <c r="GG160" s="409">
        <f t="shared" si="217"/>
        <v>0</v>
      </c>
      <c r="GH160" s="409">
        <f t="shared" si="217"/>
        <v>0</v>
      </c>
      <c r="GI160" s="409">
        <f t="shared" si="217"/>
        <v>0</v>
      </c>
      <c r="GJ160" s="409">
        <f t="shared" si="217"/>
        <v>0</v>
      </c>
      <c r="GK160" s="409">
        <f t="shared" si="217"/>
        <v>0</v>
      </c>
      <c r="GL160" s="409">
        <f t="shared" si="217"/>
        <v>0</v>
      </c>
      <c r="GM160" s="409">
        <f t="shared" si="217"/>
        <v>0</v>
      </c>
      <c r="GN160" s="409">
        <f t="shared" si="217"/>
        <v>0</v>
      </c>
      <c r="GO160" s="409">
        <f t="shared" si="217"/>
        <v>0</v>
      </c>
      <c r="GP160" s="409">
        <f t="shared" si="217"/>
        <v>0</v>
      </c>
      <c r="GQ160" s="409">
        <f t="shared" si="218"/>
        <v>0</v>
      </c>
      <c r="GR160" s="409">
        <f t="shared" si="218"/>
        <v>0</v>
      </c>
      <c r="GS160" s="409">
        <f t="shared" si="218"/>
        <v>0</v>
      </c>
      <c r="GT160" s="409">
        <f t="shared" si="218"/>
        <v>0</v>
      </c>
      <c r="GU160" s="409">
        <f t="shared" si="218"/>
        <v>0</v>
      </c>
      <c r="GV160" s="409">
        <f t="shared" si="218"/>
        <v>0</v>
      </c>
      <c r="GW160" s="409">
        <f t="shared" si="218"/>
        <v>0</v>
      </c>
      <c r="GX160" s="409">
        <f t="shared" si="218"/>
        <v>0</v>
      </c>
      <c r="GY160" s="409">
        <f t="shared" si="218"/>
        <v>0</v>
      </c>
      <c r="GZ160" s="409">
        <f t="shared" si="218"/>
        <v>0</v>
      </c>
      <c r="HA160" s="409">
        <f t="shared" si="219"/>
        <v>0</v>
      </c>
      <c r="HB160" s="409">
        <f t="shared" si="219"/>
        <v>0</v>
      </c>
      <c r="HC160" s="409">
        <f t="shared" si="219"/>
        <v>0</v>
      </c>
      <c r="HD160" s="409">
        <f t="shared" si="219"/>
        <v>0</v>
      </c>
      <c r="HE160" s="409">
        <f t="shared" si="219"/>
        <v>0</v>
      </c>
      <c r="HF160" s="409">
        <f t="shared" si="219"/>
        <v>0</v>
      </c>
      <c r="HG160" s="409">
        <f t="shared" si="219"/>
        <v>0</v>
      </c>
      <c r="HH160" s="409">
        <f t="shared" si="219"/>
        <v>0</v>
      </c>
      <c r="HI160" s="409">
        <f t="shared" si="219"/>
        <v>0</v>
      </c>
      <c r="HJ160" s="409">
        <f t="shared" si="219"/>
        <v>0</v>
      </c>
      <c r="HK160" s="409">
        <f t="shared" si="220"/>
        <v>0</v>
      </c>
      <c r="HL160" s="409">
        <f t="shared" si="220"/>
        <v>0</v>
      </c>
      <c r="HM160" s="409">
        <f t="shared" si="220"/>
        <v>0</v>
      </c>
      <c r="HN160" s="409">
        <f t="shared" si="220"/>
        <v>0</v>
      </c>
      <c r="HO160" s="409">
        <f t="shared" si="220"/>
        <v>0</v>
      </c>
      <c r="HP160" s="409">
        <f t="shared" si="220"/>
        <v>0</v>
      </c>
      <c r="HQ160" s="409">
        <f t="shared" si="220"/>
        <v>0</v>
      </c>
      <c r="HR160" s="409">
        <f t="shared" si="220"/>
        <v>0</v>
      </c>
      <c r="HS160" s="409">
        <f t="shared" si="220"/>
        <v>0</v>
      </c>
      <c r="HT160" s="409">
        <f t="shared" si="220"/>
        <v>0</v>
      </c>
      <c r="HU160" s="409">
        <f t="shared" si="221"/>
        <v>0</v>
      </c>
      <c r="HV160" s="409">
        <f t="shared" si="221"/>
        <v>0</v>
      </c>
      <c r="HW160" s="409">
        <f t="shared" si="221"/>
        <v>0</v>
      </c>
      <c r="HX160" s="409">
        <f t="shared" si="221"/>
        <v>0</v>
      </c>
      <c r="HY160" s="409">
        <f t="shared" si="221"/>
        <v>0</v>
      </c>
      <c r="HZ160" s="409">
        <f t="shared" si="221"/>
        <v>0</v>
      </c>
      <c r="IA160" s="409">
        <f t="shared" si="221"/>
        <v>0</v>
      </c>
      <c r="IB160" s="409">
        <f t="shared" si="221"/>
        <v>0</v>
      </c>
      <c r="IC160" s="409">
        <f t="shared" si="221"/>
        <v>0</v>
      </c>
      <c r="ID160" s="409">
        <f t="shared" si="221"/>
        <v>0</v>
      </c>
      <c r="IE160" s="409">
        <f t="shared" si="222"/>
        <v>0</v>
      </c>
      <c r="IF160" s="409">
        <f t="shared" si="222"/>
        <v>0</v>
      </c>
      <c r="IG160" s="409">
        <f t="shared" si="222"/>
        <v>0</v>
      </c>
      <c r="IH160" s="409">
        <f t="shared" si="222"/>
        <v>0</v>
      </c>
      <c r="II160" s="409">
        <f t="shared" si="222"/>
        <v>0</v>
      </c>
      <c r="IJ160" s="409">
        <f t="shared" si="222"/>
        <v>0</v>
      </c>
      <c r="IK160" s="378"/>
    </row>
    <row r="161" spans="1:245" hidden="1" x14ac:dyDescent="0.2">
      <c r="A161" s="380" t="str">
        <f t="shared" si="242"/>
        <v>e</v>
      </c>
      <c r="B161" s="712" t="str">
        <f>IF(ISERROR(INDEX('Legend(DX)'!$H$11:$H$12,4)),"",INDEX('Legend(DX)'!$H$11:$H$12,4))</f>
        <v/>
      </c>
      <c r="C161" s="712" t="e">
        <f>IF(INDEX('Legend(DX)'!$T$11:$T$12,4)=0,"See Legend",INDEX('Legend(DX)'!$T$11:$T$12,4))</f>
        <v>#REF!</v>
      </c>
      <c r="D161" s="712" t="e">
        <f>IF(INDEX('Legend(DX)'!$R$11:$R$12,(ROW(C161))-137)=0,IF(AND(INDEX('Legend(DX)'!$D$11:$D$12,(ROW(C161))-136)="CH",INDEX('Legend(DX)'!$F$11:$F$12,(ROW(C161))-136)="CASE - MANUAL"),INDEX('Legend(DX)'!$R$11:$R$12,(ROW(C161))-136),IF(INDEX('Legend(DX)'!$V$11:$V$12,(ROW(C161))-137)&gt;1, "(" &amp; INDEX('Legend(DX)'!$V$11:$V$12,(ROW(C161))-137) &amp; ") " &amp; INDEX('Legend(DX)'!$W$11:$W$12,(ROW(C161))-136),INDEX('Legend(DX)'!$W$11:$W$12,(ROW(C161))-137))),INDEX('Legend(DX)'!$R$11:$R$12,(ROW(C161))-137))</f>
        <v>#REF!</v>
      </c>
      <c r="E161" s="713" t="str">
        <f>IF(ISERROR(INDEX('Legend(DX)'!$AA$11:$AA$12,4)),"",INDEX('Legend(DX)'!$AA$11:$AA$12,4))</f>
        <v/>
      </c>
      <c r="F161" s="715"/>
      <c r="G161" s="715"/>
      <c r="H161" s="715"/>
      <c r="I161" s="715"/>
      <c r="J161" s="715"/>
      <c r="K161" s="890">
        <f t="shared" si="223"/>
        <v>0</v>
      </c>
      <c r="L161" s="718"/>
      <c r="M161" s="723"/>
      <c r="N161" s="972">
        <f t="shared" si="196"/>
        <v>-1</v>
      </c>
      <c r="O161" s="972">
        <f t="shared" si="224"/>
        <v>-1</v>
      </c>
      <c r="P161" s="972">
        <f t="shared" si="197"/>
        <v>-1</v>
      </c>
      <c r="Q161" s="972">
        <f t="shared" si="225"/>
        <v>-1</v>
      </c>
      <c r="R161" s="972">
        <f t="shared" si="198"/>
        <v>-1</v>
      </c>
      <c r="S161" s="972">
        <f t="shared" si="226"/>
        <v>-1</v>
      </c>
      <c r="T161" s="972">
        <f t="shared" si="199"/>
        <v>-1</v>
      </c>
      <c r="U161" s="972">
        <f t="shared" si="227"/>
        <v>-1</v>
      </c>
      <c r="V161" s="972">
        <f t="shared" si="200"/>
        <v>-1</v>
      </c>
      <c r="W161" s="972">
        <f t="shared" si="228"/>
        <v>-1</v>
      </c>
      <c r="X161" s="972">
        <f t="shared" si="201"/>
        <v>-1</v>
      </c>
      <c r="Y161" s="972">
        <f t="shared" si="229"/>
        <v>-1</v>
      </c>
      <c r="Z161" s="972">
        <f t="shared" si="230"/>
        <v>-1</v>
      </c>
      <c r="AA161" s="972">
        <f t="shared" si="231"/>
        <v>-1</v>
      </c>
      <c r="AB161" s="972">
        <f t="shared" si="232"/>
        <v>-1</v>
      </c>
      <c r="AC161" s="972">
        <f t="shared" si="233"/>
        <v>-1</v>
      </c>
      <c r="AD161" s="972">
        <f t="shared" si="234"/>
        <v>-1</v>
      </c>
      <c r="AE161" s="972">
        <f t="shared" si="235"/>
        <v>-1</v>
      </c>
      <c r="AF161" s="972">
        <f t="shared" si="236"/>
        <v>-1</v>
      </c>
      <c r="AG161" s="972">
        <f t="shared" si="237"/>
        <v>-1</v>
      </c>
      <c r="AH161" s="972">
        <f t="shared" si="238"/>
        <v>-1</v>
      </c>
      <c r="AI161" s="972">
        <f t="shared" si="239"/>
        <v>-1</v>
      </c>
      <c r="AJ161" s="972">
        <f t="shared" si="240"/>
        <v>-1</v>
      </c>
      <c r="AK161" s="381"/>
      <c r="AL161" s="727" t="str">
        <f t="shared" si="241"/>
        <v/>
      </c>
      <c r="AM161" s="409">
        <f t="shared" si="202"/>
        <v>0</v>
      </c>
      <c r="AN161" s="409">
        <f t="shared" si="202"/>
        <v>0</v>
      </c>
      <c r="AO161" s="409">
        <f t="shared" si="202"/>
        <v>0</v>
      </c>
      <c r="AP161" s="409">
        <f t="shared" si="202"/>
        <v>0</v>
      </c>
      <c r="AQ161" s="409">
        <f t="shared" si="202"/>
        <v>0</v>
      </c>
      <c r="AR161" s="409">
        <f t="shared" si="202"/>
        <v>0</v>
      </c>
      <c r="AS161" s="409">
        <f t="shared" si="202"/>
        <v>0</v>
      </c>
      <c r="AT161" s="409">
        <f t="shared" si="202"/>
        <v>0</v>
      </c>
      <c r="AU161" s="409">
        <f t="shared" si="202"/>
        <v>0</v>
      </c>
      <c r="AV161" s="409">
        <f t="shared" si="202"/>
        <v>0</v>
      </c>
      <c r="AW161" s="409">
        <f t="shared" si="203"/>
        <v>0</v>
      </c>
      <c r="AX161" s="409">
        <f t="shared" si="203"/>
        <v>0</v>
      </c>
      <c r="AY161" s="409">
        <f t="shared" si="203"/>
        <v>0</v>
      </c>
      <c r="AZ161" s="409">
        <f t="shared" si="203"/>
        <v>0</v>
      </c>
      <c r="BA161" s="409">
        <f t="shared" si="203"/>
        <v>0</v>
      </c>
      <c r="BB161" s="409">
        <f t="shared" si="203"/>
        <v>0</v>
      </c>
      <c r="BC161" s="409">
        <f t="shared" si="203"/>
        <v>0</v>
      </c>
      <c r="BD161" s="409">
        <f t="shared" si="203"/>
        <v>0</v>
      </c>
      <c r="BE161" s="409">
        <f t="shared" si="203"/>
        <v>0</v>
      </c>
      <c r="BF161" s="409">
        <f t="shared" si="203"/>
        <v>0</v>
      </c>
      <c r="BG161" s="409">
        <f t="shared" si="204"/>
        <v>0</v>
      </c>
      <c r="BH161" s="409">
        <f t="shared" si="204"/>
        <v>0</v>
      </c>
      <c r="BI161" s="409">
        <f t="shared" si="204"/>
        <v>0</v>
      </c>
      <c r="BJ161" s="409">
        <f t="shared" si="204"/>
        <v>0</v>
      </c>
      <c r="BK161" s="409">
        <f t="shared" si="204"/>
        <v>0</v>
      </c>
      <c r="BL161" s="409">
        <f t="shared" si="204"/>
        <v>0</v>
      </c>
      <c r="BM161" s="409">
        <f t="shared" si="204"/>
        <v>0</v>
      </c>
      <c r="BN161" s="409">
        <f t="shared" si="204"/>
        <v>0</v>
      </c>
      <c r="BO161" s="409">
        <f t="shared" si="204"/>
        <v>0</v>
      </c>
      <c r="BP161" s="409">
        <f t="shared" si="204"/>
        <v>0</v>
      </c>
      <c r="BQ161" s="409">
        <f t="shared" si="205"/>
        <v>0</v>
      </c>
      <c r="BR161" s="409">
        <f t="shared" si="205"/>
        <v>0</v>
      </c>
      <c r="BS161" s="409">
        <f t="shared" si="205"/>
        <v>0</v>
      </c>
      <c r="BT161" s="409">
        <f t="shared" si="205"/>
        <v>0</v>
      </c>
      <c r="BU161" s="409">
        <f t="shared" si="205"/>
        <v>0</v>
      </c>
      <c r="BV161" s="409">
        <f t="shared" si="205"/>
        <v>0</v>
      </c>
      <c r="BW161" s="409">
        <f t="shared" si="205"/>
        <v>0</v>
      </c>
      <c r="BX161" s="409">
        <f t="shared" si="205"/>
        <v>0</v>
      </c>
      <c r="BY161" s="409">
        <f t="shared" si="205"/>
        <v>0</v>
      </c>
      <c r="BZ161" s="409">
        <f t="shared" si="205"/>
        <v>0</v>
      </c>
      <c r="CA161" s="409">
        <f t="shared" si="206"/>
        <v>0</v>
      </c>
      <c r="CB161" s="409">
        <f t="shared" si="206"/>
        <v>0</v>
      </c>
      <c r="CC161" s="409">
        <f t="shared" si="206"/>
        <v>0</v>
      </c>
      <c r="CD161" s="409">
        <f t="shared" si="206"/>
        <v>0</v>
      </c>
      <c r="CE161" s="409">
        <f t="shared" si="206"/>
        <v>0</v>
      </c>
      <c r="CF161" s="409">
        <f t="shared" si="206"/>
        <v>0</v>
      </c>
      <c r="CG161" s="409">
        <f t="shared" si="206"/>
        <v>0</v>
      </c>
      <c r="CH161" s="409">
        <f t="shared" si="206"/>
        <v>0</v>
      </c>
      <c r="CI161" s="409">
        <f t="shared" si="206"/>
        <v>0</v>
      </c>
      <c r="CJ161" s="409">
        <f t="shared" si="206"/>
        <v>0</v>
      </c>
      <c r="CK161" s="409">
        <f t="shared" si="207"/>
        <v>0</v>
      </c>
      <c r="CL161" s="409">
        <f t="shared" si="207"/>
        <v>0</v>
      </c>
      <c r="CM161" s="409">
        <f t="shared" si="207"/>
        <v>0</v>
      </c>
      <c r="CN161" s="409">
        <f t="shared" si="207"/>
        <v>0</v>
      </c>
      <c r="CO161" s="409">
        <f t="shared" si="207"/>
        <v>0</v>
      </c>
      <c r="CP161" s="409">
        <f t="shared" si="207"/>
        <v>0</v>
      </c>
      <c r="CQ161" s="409">
        <f t="shared" si="207"/>
        <v>0</v>
      </c>
      <c r="CR161" s="409">
        <f t="shared" si="207"/>
        <v>0</v>
      </c>
      <c r="CS161" s="409">
        <f t="shared" si="207"/>
        <v>0</v>
      </c>
      <c r="CT161" s="409">
        <f t="shared" si="207"/>
        <v>0</v>
      </c>
      <c r="CU161" s="409">
        <f t="shared" si="208"/>
        <v>0</v>
      </c>
      <c r="CV161" s="409">
        <f t="shared" si="208"/>
        <v>0</v>
      </c>
      <c r="CW161" s="409">
        <f t="shared" si="208"/>
        <v>0</v>
      </c>
      <c r="CX161" s="409">
        <f t="shared" si="208"/>
        <v>0</v>
      </c>
      <c r="CY161" s="409">
        <f t="shared" si="208"/>
        <v>0</v>
      </c>
      <c r="CZ161" s="409">
        <f t="shared" si="208"/>
        <v>0</v>
      </c>
      <c r="DA161" s="409">
        <f t="shared" si="208"/>
        <v>0</v>
      </c>
      <c r="DB161" s="409">
        <f t="shared" si="208"/>
        <v>0</v>
      </c>
      <c r="DC161" s="409">
        <f t="shared" si="208"/>
        <v>0</v>
      </c>
      <c r="DD161" s="409">
        <f t="shared" si="208"/>
        <v>0</v>
      </c>
      <c r="DE161" s="409">
        <f t="shared" si="209"/>
        <v>0</v>
      </c>
      <c r="DF161" s="409">
        <f t="shared" si="209"/>
        <v>0</v>
      </c>
      <c r="DG161" s="409">
        <f t="shared" si="209"/>
        <v>0</v>
      </c>
      <c r="DH161" s="409">
        <f t="shared" si="209"/>
        <v>0</v>
      </c>
      <c r="DI161" s="409">
        <f t="shared" si="209"/>
        <v>0</v>
      </c>
      <c r="DJ161" s="409">
        <f t="shared" si="209"/>
        <v>0</v>
      </c>
      <c r="DK161" s="409">
        <f t="shared" si="209"/>
        <v>0</v>
      </c>
      <c r="DL161" s="409">
        <f t="shared" si="209"/>
        <v>0</v>
      </c>
      <c r="DM161" s="409">
        <f t="shared" si="209"/>
        <v>0</v>
      </c>
      <c r="DN161" s="409">
        <f t="shared" si="209"/>
        <v>0</v>
      </c>
      <c r="DO161" s="409">
        <f t="shared" si="210"/>
        <v>0</v>
      </c>
      <c r="DP161" s="409">
        <f t="shared" si="210"/>
        <v>0</v>
      </c>
      <c r="DQ161" s="409">
        <f t="shared" si="210"/>
        <v>0</v>
      </c>
      <c r="DR161" s="409">
        <f t="shared" si="210"/>
        <v>0</v>
      </c>
      <c r="DS161" s="409">
        <f t="shared" si="210"/>
        <v>0</v>
      </c>
      <c r="DT161" s="409">
        <f t="shared" si="210"/>
        <v>0</v>
      </c>
      <c r="DU161" s="409">
        <f t="shared" si="210"/>
        <v>0</v>
      </c>
      <c r="DV161" s="409">
        <f t="shared" si="210"/>
        <v>0</v>
      </c>
      <c r="DW161" s="409">
        <f t="shared" si="210"/>
        <v>0</v>
      </c>
      <c r="DX161" s="409">
        <f t="shared" si="210"/>
        <v>0</v>
      </c>
      <c r="DY161" s="409">
        <f t="shared" si="211"/>
        <v>0</v>
      </c>
      <c r="DZ161" s="409">
        <f t="shared" si="211"/>
        <v>0</v>
      </c>
      <c r="EA161" s="409">
        <f t="shared" si="211"/>
        <v>0</v>
      </c>
      <c r="EB161" s="409">
        <f t="shared" si="211"/>
        <v>0</v>
      </c>
      <c r="EC161" s="409">
        <f t="shared" si="211"/>
        <v>0</v>
      </c>
      <c r="ED161" s="409">
        <f t="shared" si="211"/>
        <v>0</v>
      </c>
      <c r="EE161" s="409">
        <f t="shared" si="211"/>
        <v>0</v>
      </c>
      <c r="EF161" s="409">
        <f t="shared" si="211"/>
        <v>0</v>
      </c>
      <c r="EG161" s="409">
        <f t="shared" si="211"/>
        <v>0</v>
      </c>
      <c r="EH161" s="409">
        <f t="shared" si="211"/>
        <v>0</v>
      </c>
      <c r="EI161" s="409">
        <f t="shared" si="212"/>
        <v>0</v>
      </c>
      <c r="EJ161" s="409">
        <f t="shared" si="212"/>
        <v>0</v>
      </c>
      <c r="EK161" s="409">
        <f t="shared" si="212"/>
        <v>0</v>
      </c>
      <c r="EL161" s="409">
        <f t="shared" si="212"/>
        <v>0</v>
      </c>
      <c r="EM161" s="409">
        <f t="shared" si="212"/>
        <v>0</v>
      </c>
      <c r="EN161" s="409">
        <f t="shared" si="212"/>
        <v>0</v>
      </c>
      <c r="EO161" s="409">
        <f t="shared" si="212"/>
        <v>0</v>
      </c>
      <c r="EP161" s="409">
        <f t="shared" si="212"/>
        <v>0</v>
      </c>
      <c r="EQ161" s="409">
        <f t="shared" si="212"/>
        <v>0</v>
      </c>
      <c r="ER161" s="409">
        <f t="shared" si="212"/>
        <v>0</v>
      </c>
      <c r="ES161" s="409">
        <f t="shared" si="213"/>
        <v>0</v>
      </c>
      <c r="ET161" s="409">
        <f t="shared" si="213"/>
        <v>0</v>
      </c>
      <c r="EU161" s="409">
        <f t="shared" si="213"/>
        <v>0</v>
      </c>
      <c r="EV161" s="409">
        <f t="shared" si="213"/>
        <v>0</v>
      </c>
      <c r="EW161" s="409">
        <f t="shared" si="213"/>
        <v>0</v>
      </c>
      <c r="EX161" s="409">
        <f t="shared" si="213"/>
        <v>0</v>
      </c>
      <c r="EY161" s="409">
        <f t="shared" si="213"/>
        <v>0</v>
      </c>
      <c r="EZ161" s="409">
        <f t="shared" si="213"/>
        <v>0</v>
      </c>
      <c r="FA161" s="409">
        <f t="shared" si="213"/>
        <v>0</v>
      </c>
      <c r="FB161" s="409">
        <f t="shared" si="213"/>
        <v>0</v>
      </c>
      <c r="FC161" s="409">
        <f t="shared" si="214"/>
        <v>0</v>
      </c>
      <c r="FD161" s="409">
        <f t="shared" si="214"/>
        <v>0</v>
      </c>
      <c r="FE161" s="409">
        <f t="shared" si="214"/>
        <v>0</v>
      </c>
      <c r="FF161" s="409">
        <f t="shared" si="214"/>
        <v>0</v>
      </c>
      <c r="FG161" s="409">
        <f t="shared" si="214"/>
        <v>0</v>
      </c>
      <c r="FH161" s="409">
        <f t="shared" si="214"/>
        <v>0</v>
      </c>
      <c r="FI161" s="409">
        <f t="shared" si="214"/>
        <v>0</v>
      </c>
      <c r="FJ161" s="409">
        <f t="shared" si="214"/>
        <v>0</v>
      </c>
      <c r="FK161" s="409">
        <f t="shared" si="214"/>
        <v>0</v>
      </c>
      <c r="FL161" s="409">
        <f t="shared" si="214"/>
        <v>0</v>
      </c>
      <c r="FM161" s="409">
        <f t="shared" si="215"/>
        <v>0</v>
      </c>
      <c r="FN161" s="409">
        <f t="shared" si="215"/>
        <v>0</v>
      </c>
      <c r="FO161" s="409">
        <f t="shared" si="215"/>
        <v>0</v>
      </c>
      <c r="FP161" s="409">
        <f t="shared" si="215"/>
        <v>0</v>
      </c>
      <c r="FQ161" s="409">
        <f t="shared" si="215"/>
        <v>0</v>
      </c>
      <c r="FR161" s="409">
        <f t="shared" si="215"/>
        <v>0</v>
      </c>
      <c r="FS161" s="409">
        <f t="shared" si="215"/>
        <v>0</v>
      </c>
      <c r="FT161" s="409">
        <f t="shared" si="215"/>
        <v>0</v>
      </c>
      <c r="FU161" s="409">
        <f t="shared" si="215"/>
        <v>0</v>
      </c>
      <c r="FV161" s="409">
        <f t="shared" si="215"/>
        <v>0</v>
      </c>
      <c r="FW161" s="409">
        <f t="shared" si="216"/>
        <v>0</v>
      </c>
      <c r="FX161" s="409">
        <f t="shared" si="216"/>
        <v>0</v>
      </c>
      <c r="FY161" s="409">
        <f t="shared" si="216"/>
        <v>0</v>
      </c>
      <c r="FZ161" s="409">
        <f t="shared" si="216"/>
        <v>0</v>
      </c>
      <c r="GA161" s="409">
        <f t="shared" si="216"/>
        <v>0</v>
      </c>
      <c r="GB161" s="409">
        <f t="shared" si="216"/>
        <v>0</v>
      </c>
      <c r="GC161" s="409">
        <f t="shared" si="216"/>
        <v>0</v>
      </c>
      <c r="GD161" s="409">
        <f t="shared" si="216"/>
        <v>0</v>
      </c>
      <c r="GE161" s="409">
        <f t="shared" si="216"/>
        <v>0</v>
      </c>
      <c r="GF161" s="409">
        <f t="shared" si="216"/>
        <v>0</v>
      </c>
      <c r="GG161" s="409">
        <f t="shared" si="217"/>
        <v>0</v>
      </c>
      <c r="GH161" s="409">
        <f t="shared" si="217"/>
        <v>0</v>
      </c>
      <c r="GI161" s="409">
        <f t="shared" si="217"/>
        <v>0</v>
      </c>
      <c r="GJ161" s="409">
        <f t="shared" si="217"/>
        <v>0</v>
      </c>
      <c r="GK161" s="409">
        <f t="shared" si="217"/>
        <v>0</v>
      </c>
      <c r="GL161" s="409">
        <f t="shared" si="217"/>
        <v>0</v>
      </c>
      <c r="GM161" s="409">
        <f t="shared" si="217"/>
        <v>0</v>
      </c>
      <c r="GN161" s="409">
        <f t="shared" si="217"/>
        <v>0</v>
      </c>
      <c r="GO161" s="409">
        <f t="shared" si="217"/>
        <v>0</v>
      </c>
      <c r="GP161" s="409">
        <f t="shared" si="217"/>
        <v>0</v>
      </c>
      <c r="GQ161" s="409">
        <f t="shared" si="218"/>
        <v>0</v>
      </c>
      <c r="GR161" s="409">
        <f t="shared" si="218"/>
        <v>0</v>
      </c>
      <c r="GS161" s="409">
        <f t="shared" si="218"/>
        <v>0</v>
      </c>
      <c r="GT161" s="409">
        <f t="shared" si="218"/>
        <v>0</v>
      </c>
      <c r="GU161" s="409">
        <f t="shared" si="218"/>
        <v>0</v>
      </c>
      <c r="GV161" s="409">
        <f t="shared" si="218"/>
        <v>0</v>
      </c>
      <c r="GW161" s="409">
        <f t="shared" si="218"/>
        <v>0</v>
      </c>
      <c r="GX161" s="409">
        <f t="shared" si="218"/>
        <v>0</v>
      </c>
      <c r="GY161" s="409">
        <f t="shared" si="218"/>
        <v>0</v>
      </c>
      <c r="GZ161" s="409">
        <f t="shared" si="218"/>
        <v>0</v>
      </c>
      <c r="HA161" s="409">
        <f t="shared" si="219"/>
        <v>0</v>
      </c>
      <c r="HB161" s="409">
        <f t="shared" si="219"/>
        <v>0</v>
      </c>
      <c r="HC161" s="409">
        <f t="shared" si="219"/>
        <v>0</v>
      </c>
      <c r="HD161" s="409">
        <f t="shared" si="219"/>
        <v>0</v>
      </c>
      <c r="HE161" s="409">
        <f t="shared" si="219"/>
        <v>0</v>
      </c>
      <c r="HF161" s="409">
        <f t="shared" si="219"/>
        <v>0</v>
      </c>
      <c r="HG161" s="409">
        <f t="shared" si="219"/>
        <v>0</v>
      </c>
      <c r="HH161" s="409">
        <f t="shared" si="219"/>
        <v>0</v>
      </c>
      <c r="HI161" s="409">
        <f t="shared" si="219"/>
        <v>0</v>
      </c>
      <c r="HJ161" s="409">
        <f t="shared" si="219"/>
        <v>0</v>
      </c>
      <c r="HK161" s="409">
        <f t="shared" si="220"/>
        <v>0</v>
      </c>
      <c r="HL161" s="409">
        <f t="shared" si="220"/>
        <v>0</v>
      </c>
      <c r="HM161" s="409">
        <f t="shared" si="220"/>
        <v>0</v>
      </c>
      <c r="HN161" s="409">
        <f t="shared" si="220"/>
        <v>0</v>
      </c>
      <c r="HO161" s="409">
        <f t="shared" si="220"/>
        <v>0</v>
      </c>
      <c r="HP161" s="409">
        <f t="shared" si="220"/>
        <v>0</v>
      </c>
      <c r="HQ161" s="409">
        <f t="shared" si="220"/>
        <v>0</v>
      </c>
      <c r="HR161" s="409">
        <f t="shared" si="220"/>
        <v>0</v>
      </c>
      <c r="HS161" s="409">
        <f t="shared" si="220"/>
        <v>0</v>
      </c>
      <c r="HT161" s="409">
        <f t="shared" si="220"/>
        <v>0</v>
      </c>
      <c r="HU161" s="409">
        <f t="shared" si="221"/>
        <v>0</v>
      </c>
      <c r="HV161" s="409">
        <f t="shared" si="221"/>
        <v>0</v>
      </c>
      <c r="HW161" s="409">
        <f t="shared" si="221"/>
        <v>0</v>
      </c>
      <c r="HX161" s="409">
        <f t="shared" si="221"/>
        <v>0</v>
      </c>
      <c r="HY161" s="409">
        <f t="shared" si="221"/>
        <v>0</v>
      </c>
      <c r="HZ161" s="409">
        <f t="shared" si="221"/>
        <v>0</v>
      </c>
      <c r="IA161" s="409">
        <f t="shared" si="221"/>
        <v>0</v>
      </c>
      <c r="IB161" s="409">
        <f t="shared" si="221"/>
        <v>0</v>
      </c>
      <c r="IC161" s="409">
        <f t="shared" si="221"/>
        <v>0</v>
      </c>
      <c r="ID161" s="409">
        <f t="shared" si="221"/>
        <v>0</v>
      </c>
      <c r="IE161" s="409">
        <f t="shared" si="222"/>
        <v>0</v>
      </c>
      <c r="IF161" s="409">
        <f t="shared" si="222"/>
        <v>0</v>
      </c>
      <c r="IG161" s="409">
        <f t="shared" si="222"/>
        <v>0</v>
      </c>
      <c r="IH161" s="409">
        <f t="shared" si="222"/>
        <v>0</v>
      </c>
      <c r="II161" s="409">
        <f t="shared" si="222"/>
        <v>0</v>
      </c>
      <c r="IJ161" s="409">
        <f t="shared" si="222"/>
        <v>0</v>
      </c>
      <c r="IK161" s="378"/>
    </row>
    <row r="162" spans="1:245" hidden="1" x14ac:dyDescent="0.2">
      <c r="A162" s="380" t="str">
        <f t="shared" ref="A162:A181" si="243">IF(ISERROR(C162),"e",IF(OR(E162=0,B162=""),"x",""))</f>
        <v>e</v>
      </c>
      <c r="B162" s="712" t="str">
        <f>IF(ISERROR(INDEX('Legend(DX)'!$H$11:$H$12,5)),"",INDEX('Legend(DX)'!$H$11:$H$12,5))</f>
        <v/>
      </c>
      <c r="C162" s="712" t="e">
        <f>IF(INDEX('Legend(DX)'!$T$11:$T$12,5)=0,"See Legend",INDEX('Legend(DX)'!$T$11:$T$12,5))</f>
        <v>#REF!</v>
      </c>
      <c r="D162" s="712" t="e">
        <f>IF(INDEX('Legend(DX)'!$R$11:$R$12,(ROW(C162))-137)=0,IF(AND(INDEX('Legend(DX)'!$D$11:$D$12,(ROW(C162))-136)="CH",INDEX('Legend(DX)'!$F$11:$F$12,(ROW(C162))-136)="CASE - MANUAL"),INDEX('Legend(DX)'!$R$11:$R$12,(ROW(C162))-136),IF(INDEX('Legend(DX)'!$V$11:$V$12,(ROW(C162))-137)&gt;1, "(" &amp; INDEX('Legend(DX)'!$V$11:$V$12,(ROW(C162))-137) &amp; ") " &amp; INDEX('Legend(DX)'!$W$11:$W$12,(ROW(C162))-136),INDEX('Legend(DX)'!$W$11:$W$12,(ROW(C162))-137))),INDEX('Legend(DX)'!$R$11:$R$12,(ROW(C162))-137))</f>
        <v>#REF!</v>
      </c>
      <c r="E162" s="713" t="str">
        <f>IF(ISERROR(INDEX('Legend(DX)'!$AA$11:$AA$12,5)),"",INDEX('Legend(DX)'!$AA$11:$AA$12,5))</f>
        <v/>
      </c>
      <c r="F162" s="715"/>
      <c r="G162" s="715"/>
      <c r="H162" s="715"/>
      <c r="I162" s="715"/>
      <c r="J162" s="715"/>
      <c r="K162" s="890">
        <f t="shared" si="223"/>
        <v>0</v>
      </c>
      <c r="L162" s="718"/>
      <c r="M162" s="723"/>
      <c r="N162" s="972">
        <f t="shared" si="196"/>
        <v>-1</v>
      </c>
      <c r="O162" s="972">
        <f t="shared" ref="O162:O181" si="244">IF($F162&lt;2,-1,IF(M162+TIME((24/$F162),0,0)&gt;1,MROUND(M162-1+TIME((24/$F162),0,0),"0:01"),MROUND(M162+TIME((24/$F162),0,0),"0:01")))</f>
        <v>-1</v>
      </c>
      <c r="P162" s="972">
        <f t="shared" si="197"/>
        <v>-1</v>
      </c>
      <c r="Q162" s="972">
        <f t="shared" ref="Q162:Q181" si="245">IF($F162&lt;3,-1,IF(O162+TIME((24/$F162),0,0)&gt;1,MROUND(O162-1+TIME((24/$F162),0,0),"0:01"),MROUND(O162+TIME((24/$F162),0,0),"0:01")))</f>
        <v>-1</v>
      </c>
      <c r="R162" s="972">
        <f t="shared" si="198"/>
        <v>-1</v>
      </c>
      <c r="S162" s="972">
        <f t="shared" ref="S162:S181" si="246">IF($F162&lt;4,-1,IF(Q162+TIME((24/$F162),0,0)&gt;1,MROUND(Q162-1+TIME((24/$F162),0,0),"0:01"),MROUND(Q162+TIME((24/$F162),0,0),"0:01")))</f>
        <v>-1</v>
      </c>
      <c r="T162" s="972">
        <f t="shared" si="199"/>
        <v>-1</v>
      </c>
      <c r="U162" s="972">
        <f t="shared" ref="U162:U181" si="247">IF($F162&lt;5,-1,IF(S162+TIME((24/$F162),0,0)&gt;1,MROUND(S162-1+TIME((24/$F162),0,0),"0:01"),MROUND(S162+TIME((24/$F162),0,0),"0:01")))</f>
        <v>-1</v>
      </c>
      <c r="V162" s="972">
        <f t="shared" si="200"/>
        <v>-1</v>
      </c>
      <c r="W162" s="972">
        <f t="shared" ref="W162:W181" si="248">IF($F162&lt;6,-1,IF(U162+TIME((24/$F162),0,0)&gt;1,MROUND(U162-1+TIME((24/$F162),0,0),"0:01"),MROUND(U162+TIME((24/$F162),0,0),"0:01")))</f>
        <v>-1</v>
      </c>
      <c r="X162" s="972">
        <f t="shared" si="201"/>
        <v>-1</v>
      </c>
      <c r="Y162" s="972">
        <f t="shared" si="229"/>
        <v>-1</v>
      </c>
      <c r="Z162" s="972">
        <f t="shared" si="230"/>
        <v>-1</v>
      </c>
      <c r="AA162" s="972">
        <f t="shared" si="231"/>
        <v>-1</v>
      </c>
      <c r="AB162" s="972">
        <f t="shared" si="232"/>
        <v>-1</v>
      </c>
      <c r="AC162" s="972">
        <f t="shared" si="233"/>
        <v>-1</v>
      </c>
      <c r="AD162" s="972">
        <f t="shared" si="234"/>
        <v>-1</v>
      </c>
      <c r="AE162" s="972">
        <f t="shared" si="235"/>
        <v>-1</v>
      </c>
      <c r="AF162" s="972">
        <f t="shared" si="236"/>
        <v>-1</v>
      </c>
      <c r="AG162" s="972">
        <f t="shared" si="237"/>
        <v>-1</v>
      </c>
      <c r="AH162" s="972">
        <f t="shared" si="238"/>
        <v>-1</v>
      </c>
      <c r="AI162" s="972">
        <f t="shared" si="239"/>
        <v>-1</v>
      </c>
      <c r="AJ162" s="972">
        <f t="shared" si="240"/>
        <v>-1</v>
      </c>
      <c r="AK162" s="381"/>
      <c r="AL162" s="727" t="str">
        <f t="shared" ref="AL162:AL181" si="249">B162</f>
        <v/>
      </c>
      <c r="AM162" s="409">
        <f t="shared" si="202"/>
        <v>0</v>
      </c>
      <c r="AN162" s="409">
        <f t="shared" si="202"/>
        <v>0</v>
      </c>
      <c r="AO162" s="409">
        <f t="shared" si="202"/>
        <v>0</v>
      </c>
      <c r="AP162" s="409">
        <f t="shared" si="202"/>
        <v>0</v>
      </c>
      <c r="AQ162" s="409">
        <f t="shared" si="202"/>
        <v>0</v>
      </c>
      <c r="AR162" s="409">
        <f t="shared" si="202"/>
        <v>0</v>
      </c>
      <c r="AS162" s="409">
        <f t="shared" si="202"/>
        <v>0</v>
      </c>
      <c r="AT162" s="409">
        <f t="shared" si="202"/>
        <v>0</v>
      </c>
      <c r="AU162" s="409">
        <f t="shared" si="202"/>
        <v>0</v>
      </c>
      <c r="AV162" s="409">
        <f t="shared" si="202"/>
        <v>0</v>
      </c>
      <c r="AW162" s="409">
        <f t="shared" si="203"/>
        <v>0</v>
      </c>
      <c r="AX162" s="409">
        <f t="shared" si="203"/>
        <v>0</v>
      </c>
      <c r="AY162" s="409">
        <f t="shared" si="203"/>
        <v>0</v>
      </c>
      <c r="AZ162" s="409">
        <f t="shared" si="203"/>
        <v>0</v>
      </c>
      <c r="BA162" s="409">
        <f t="shared" si="203"/>
        <v>0</v>
      </c>
      <c r="BB162" s="409">
        <f t="shared" si="203"/>
        <v>0</v>
      </c>
      <c r="BC162" s="409">
        <f t="shared" si="203"/>
        <v>0</v>
      </c>
      <c r="BD162" s="409">
        <f t="shared" si="203"/>
        <v>0</v>
      </c>
      <c r="BE162" s="409">
        <f t="shared" si="203"/>
        <v>0</v>
      </c>
      <c r="BF162" s="409">
        <f t="shared" si="203"/>
        <v>0</v>
      </c>
      <c r="BG162" s="409">
        <f t="shared" si="204"/>
        <v>0</v>
      </c>
      <c r="BH162" s="409">
        <f t="shared" si="204"/>
        <v>0</v>
      </c>
      <c r="BI162" s="409">
        <f t="shared" si="204"/>
        <v>0</v>
      </c>
      <c r="BJ162" s="409">
        <f t="shared" si="204"/>
        <v>0</v>
      </c>
      <c r="BK162" s="409">
        <f t="shared" si="204"/>
        <v>0</v>
      </c>
      <c r="BL162" s="409">
        <f t="shared" si="204"/>
        <v>0</v>
      </c>
      <c r="BM162" s="409">
        <f t="shared" si="204"/>
        <v>0</v>
      </c>
      <c r="BN162" s="409">
        <f t="shared" si="204"/>
        <v>0</v>
      </c>
      <c r="BO162" s="409">
        <f t="shared" si="204"/>
        <v>0</v>
      </c>
      <c r="BP162" s="409">
        <f t="shared" si="204"/>
        <v>0</v>
      </c>
      <c r="BQ162" s="409">
        <f t="shared" si="205"/>
        <v>0</v>
      </c>
      <c r="BR162" s="409">
        <f t="shared" si="205"/>
        <v>0</v>
      </c>
      <c r="BS162" s="409">
        <f t="shared" si="205"/>
        <v>0</v>
      </c>
      <c r="BT162" s="409">
        <f t="shared" si="205"/>
        <v>0</v>
      </c>
      <c r="BU162" s="409">
        <f t="shared" si="205"/>
        <v>0</v>
      </c>
      <c r="BV162" s="409">
        <f t="shared" si="205"/>
        <v>0</v>
      </c>
      <c r="BW162" s="409">
        <f t="shared" si="205"/>
        <v>0</v>
      </c>
      <c r="BX162" s="409">
        <f t="shared" si="205"/>
        <v>0</v>
      </c>
      <c r="BY162" s="409">
        <f t="shared" si="205"/>
        <v>0</v>
      </c>
      <c r="BZ162" s="409">
        <f t="shared" si="205"/>
        <v>0</v>
      </c>
      <c r="CA162" s="409">
        <f t="shared" si="206"/>
        <v>0</v>
      </c>
      <c r="CB162" s="409">
        <f t="shared" si="206"/>
        <v>0</v>
      </c>
      <c r="CC162" s="409">
        <f t="shared" si="206"/>
        <v>0</v>
      </c>
      <c r="CD162" s="409">
        <f t="shared" si="206"/>
        <v>0</v>
      </c>
      <c r="CE162" s="409">
        <f t="shared" si="206"/>
        <v>0</v>
      </c>
      <c r="CF162" s="409">
        <f t="shared" si="206"/>
        <v>0</v>
      </c>
      <c r="CG162" s="409">
        <f t="shared" si="206"/>
        <v>0</v>
      </c>
      <c r="CH162" s="409">
        <f t="shared" si="206"/>
        <v>0</v>
      </c>
      <c r="CI162" s="409">
        <f t="shared" si="206"/>
        <v>0</v>
      </c>
      <c r="CJ162" s="409">
        <f t="shared" si="206"/>
        <v>0</v>
      </c>
      <c r="CK162" s="409">
        <f t="shared" si="207"/>
        <v>0</v>
      </c>
      <c r="CL162" s="409">
        <f t="shared" si="207"/>
        <v>0</v>
      </c>
      <c r="CM162" s="409">
        <f t="shared" si="207"/>
        <v>0</v>
      </c>
      <c r="CN162" s="409">
        <f t="shared" si="207"/>
        <v>0</v>
      </c>
      <c r="CO162" s="409">
        <f t="shared" si="207"/>
        <v>0</v>
      </c>
      <c r="CP162" s="409">
        <f t="shared" si="207"/>
        <v>0</v>
      </c>
      <c r="CQ162" s="409">
        <f t="shared" si="207"/>
        <v>0</v>
      </c>
      <c r="CR162" s="409">
        <f t="shared" si="207"/>
        <v>0</v>
      </c>
      <c r="CS162" s="409">
        <f t="shared" si="207"/>
        <v>0</v>
      </c>
      <c r="CT162" s="409">
        <f t="shared" si="207"/>
        <v>0</v>
      </c>
      <c r="CU162" s="409">
        <f t="shared" si="208"/>
        <v>0</v>
      </c>
      <c r="CV162" s="409">
        <f t="shared" si="208"/>
        <v>0</v>
      </c>
      <c r="CW162" s="409">
        <f t="shared" si="208"/>
        <v>0</v>
      </c>
      <c r="CX162" s="409">
        <f t="shared" si="208"/>
        <v>0</v>
      </c>
      <c r="CY162" s="409">
        <f t="shared" si="208"/>
        <v>0</v>
      </c>
      <c r="CZ162" s="409">
        <f t="shared" si="208"/>
        <v>0</v>
      </c>
      <c r="DA162" s="409">
        <f t="shared" si="208"/>
        <v>0</v>
      </c>
      <c r="DB162" s="409">
        <f t="shared" si="208"/>
        <v>0</v>
      </c>
      <c r="DC162" s="409">
        <f t="shared" si="208"/>
        <v>0</v>
      </c>
      <c r="DD162" s="409">
        <f t="shared" si="208"/>
        <v>0</v>
      </c>
      <c r="DE162" s="409">
        <f t="shared" si="209"/>
        <v>0</v>
      </c>
      <c r="DF162" s="409">
        <f t="shared" si="209"/>
        <v>0</v>
      </c>
      <c r="DG162" s="409">
        <f t="shared" si="209"/>
        <v>0</v>
      </c>
      <c r="DH162" s="409">
        <f t="shared" si="209"/>
        <v>0</v>
      </c>
      <c r="DI162" s="409">
        <f t="shared" si="209"/>
        <v>0</v>
      </c>
      <c r="DJ162" s="409">
        <f t="shared" si="209"/>
        <v>0</v>
      </c>
      <c r="DK162" s="409">
        <f t="shared" si="209"/>
        <v>0</v>
      </c>
      <c r="DL162" s="409">
        <f t="shared" si="209"/>
        <v>0</v>
      </c>
      <c r="DM162" s="409">
        <f t="shared" si="209"/>
        <v>0</v>
      </c>
      <c r="DN162" s="409">
        <f t="shared" si="209"/>
        <v>0</v>
      </c>
      <c r="DO162" s="409">
        <f t="shared" si="210"/>
        <v>0</v>
      </c>
      <c r="DP162" s="409">
        <f t="shared" si="210"/>
        <v>0</v>
      </c>
      <c r="DQ162" s="409">
        <f t="shared" si="210"/>
        <v>0</v>
      </c>
      <c r="DR162" s="409">
        <f t="shared" si="210"/>
        <v>0</v>
      </c>
      <c r="DS162" s="409">
        <f t="shared" si="210"/>
        <v>0</v>
      </c>
      <c r="DT162" s="409">
        <f t="shared" si="210"/>
        <v>0</v>
      </c>
      <c r="DU162" s="409">
        <f t="shared" si="210"/>
        <v>0</v>
      </c>
      <c r="DV162" s="409">
        <f t="shared" si="210"/>
        <v>0</v>
      </c>
      <c r="DW162" s="409">
        <f t="shared" si="210"/>
        <v>0</v>
      </c>
      <c r="DX162" s="409">
        <f t="shared" si="210"/>
        <v>0</v>
      </c>
      <c r="DY162" s="409">
        <f t="shared" si="211"/>
        <v>0</v>
      </c>
      <c r="DZ162" s="409">
        <f t="shared" si="211"/>
        <v>0</v>
      </c>
      <c r="EA162" s="409">
        <f t="shared" si="211"/>
        <v>0</v>
      </c>
      <c r="EB162" s="409">
        <f t="shared" si="211"/>
        <v>0</v>
      </c>
      <c r="EC162" s="409">
        <f t="shared" si="211"/>
        <v>0</v>
      </c>
      <c r="ED162" s="409">
        <f t="shared" si="211"/>
        <v>0</v>
      </c>
      <c r="EE162" s="409">
        <f t="shared" si="211"/>
        <v>0</v>
      </c>
      <c r="EF162" s="409">
        <f t="shared" si="211"/>
        <v>0</v>
      </c>
      <c r="EG162" s="409">
        <f t="shared" si="211"/>
        <v>0</v>
      </c>
      <c r="EH162" s="409">
        <f t="shared" si="211"/>
        <v>0</v>
      </c>
      <c r="EI162" s="409">
        <f t="shared" si="212"/>
        <v>0</v>
      </c>
      <c r="EJ162" s="409">
        <f t="shared" si="212"/>
        <v>0</v>
      </c>
      <c r="EK162" s="409">
        <f t="shared" si="212"/>
        <v>0</v>
      </c>
      <c r="EL162" s="409">
        <f t="shared" si="212"/>
        <v>0</v>
      </c>
      <c r="EM162" s="409">
        <f t="shared" si="212"/>
        <v>0</v>
      </c>
      <c r="EN162" s="409">
        <f t="shared" si="212"/>
        <v>0</v>
      </c>
      <c r="EO162" s="409">
        <f t="shared" si="212"/>
        <v>0</v>
      </c>
      <c r="EP162" s="409">
        <f t="shared" si="212"/>
        <v>0</v>
      </c>
      <c r="EQ162" s="409">
        <f t="shared" si="212"/>
        <v>0</v>
      </c>
      <c r="ER162" s="409">
        <f t="shared" si="212"/>
        <v>0</v>
      </c>
      <c r="ES162" s="409">
        <f t="shared" si="213"/>
        <v>0</v>
      </c>
      <c r="ET162" s="409">
        <f t="shared" si="213"/>
        <v>0</v>
      </c>
      <c r="EU162" s="409">
        <f t="shared" si="213"/>
        <v>0</v>
      </c>
      <c r="EV162" s="409">
        <f t="shared" si="213"/>
        <v>0</v>
      </c>
      <c r="EW162" s="409">
        <f t="shared" si="213"/>
        <v>0</v>
      </c>
      <c r="EX162" s="409">
        <f t="shared" si="213"/>
        <v>0</v>
      </c>
      <c r="EY162" s="409">
        <f t="shared" si="213"/>
        <v>0</v>
      </c>
      <c r="EZ162" s="409">
        <f t="shared" si="213"/>
        <v>0</v>
      </c>
      <c r="FA162" s="409">
        <f t="shared" si="213"/>
        <v>0</v>
      </c>
      <c r="FB162" s="409">
        <f t="shared" si="213"/>
        <v>0</v>
      </c>
      <c r="FC162" s="409">
        <f t="shared" si="214"/>
        <v>0</v>
      </c>
      <c r="FD162" s="409">
        <f t="shared" si="214"/>
        <v>0</v>
      </c>
      <c r="FE162" s="409">
        <f t="shared" si="214"/>
        <v>0</v>
      </c>
      <c r="FF162" s="409">
        <f t="shared" si="214"/>
        <v>0</v>
      </c>
      <c r="FG162" s="409">
        <f t="shared" si="214"/>
        <v>0</v>
      </c>
      <c r="FH162" s="409">
        <f t="shared" si="214"/>
        <v>0</v>
      </c>
      <c r="FI162" s="409">
        <f t="shared" si="214"/>
        <v>0</v>
      </c>
      <c r="FJ162" s="409">
        <f t="shared" si="214"/>
        <v>0</v>
      </c>
      <c r="FK162" s="409">
        <f t="shared" si="214"/>
        <v>0</v>
      </c>
      <c r="FL162" s="409">
        <f t="shared" si="214"/>
        <v>0</v>
      </c>
      <c r="FM162" s="409">
        <f t="shared" si="215"/>
        <v>0</v>
      </c>
      <c r="FN162" s="409">
        <f t="shared" si="215"/>
        <v>0</v>
      </c>
      <c r="FO162" s="409">
        <f t="shared" si="215"/>
        <v>0</v>
      </c>
      <c r="FP162" s="409">
        <f t="shared" si="215"/>
        <v>0</v>
      </c>
      <c r="FQ162" s="409">
        <f t="shared" si="215"/>
        <v>0</v>
      </c>
      <c r="FR162" s="409">
        <f t="shared" si="215"/>
        <v>0</v>
      </c>
      <c r="FS162" s="409">
        <f t="shared" si="215"/>
        <v>0</v>
      </c>
      <c r="FT162" s="409">
        <f t="shared" si="215"/>
        <v>0</v>
      </c>
      <c r="FU162" s="409">
        <f t="shared" si="215"/>
        <v>0</v>
      </c>
      <c r="FV162" s="409">
        <f t="shared" si="215"/>
        <v>0</v>
      </c>
      <c r="FW162" s="409">
        <f t="shared" si="216"/>
        <v>0</v>
      </c>
      <c r="FX162" s="409">
        <f t="shared" si="216"/>
        <v>0</v>
      </c>
      <c r="FY162" s="409">
        <f t="shared" si="216"/>
        <v>0</v>
      </c>
      <c r="FZ162" s="409">
        <f t="shared" si="216"/>
        <v>0</v>
      </c>
      <c r="GA162" s="409">
        <f t="shared" si="216"/>
        <v>0</v>
      </c>
      <c r="GB162" s="409">
        <f t="shared" si="216"/>
        <v>0</v>
      </c>
      <c r="GC162" s="409">
        <f t="shared" si="216"/>
        <v>0</v>
      </c>
      <c r="GD162" s="409">
        <f t="shared" si="216"/>
        <v>0</v>
      </c>
      <c r="GE162" s="409">
        <f t="shared" si="216"/>
        <v>0</v>
      </c>
      <c r="GF162" s="409">
        <f t="shared" si="216"/>
        <v>0</v>
      </c>
      <c r="GG162" s="409">
        <f t="shared" si="217"/>
        <v>0</v>
      </c>
      <c r="GH162" s="409">
        <f t="shared" si="217"/>
        <v>0</v>
      </c>
      <c r="GI162" s="409">
        <f t="shared" si="217"/>
        <v>0</v>
      </c>
      <c r="GJ162" s="409">
        <f t="shared" si="217"/>
        <v>0</v>
      </c>
      <c r="GK162" s="409">
        <f t="shared" si="217"/>
        <v>0</v>
      </c>
      <c r="GL162" s="409">
        <f t="shared" si="217"/>
        <v>0</v>
      </c>
      <c r="GM162" s="409">
        <f t="shared" si="217"/>
        <v>0</v>
      </c>
      <c r="GN162" s="409">
        <f t="shared" si="217"/>
        <v>0</v>
      </c>
      <c r="GO162" s="409">
        <f t="shared" si="217"/>
        <v>0</v>
      </c>
      <c r="GP162" s="409">
        <f t="shared" si="217"/>
        <v>0</v>
      </c>
      <c r="GQ162" s="409">
        <f t="shared" si="218"/>
        <v>0</v>
      </c>
      <c r="GR162" s="409">
        <f t="shared" si="218"/>
        <v>0</v>
      </c>
      <c r="GS162" s="409">
        <f t="shared" si="218"/>
        <v>0</v>
      </c>
      <c r="GT162" s="409">
        <f t="shared" si="218"/>
        <v>0</v>
      </c>
      <c r="GU162" s="409">
        <f t="shared" si="218"/>
        <v>0</v>
      </c>
      <c r="GV162" s="409">
        <f t="shared" si="218"/>
        <v>0</v>
      </c>
      <c r="GW162" s="409">
        <f t="shared" si="218"/>
        <v>0</v>
      </c>
      <c r="GX162" s="409">
        <f t="shared" si="218"/>
        <v>0</v>
      </c>
      <c r="GY162" s="409">
        <f t="shared" si="218"/>
        <v>0</v>
      </c>
      <c r="GZ162" s="409">
        <f t="shared" si="218"/>
        <v>0</v>
      </c>
      <c r="HA162" s="409">
        <f t="shared" si="219"/>
        <v>0</v>
      </c>
      <c r="HB162" s="409">
        <f t="shared" si="219"/>
        <v>0</v>
      </c>
      <c r="HC162" s="409">
        <f t="shared" si="219"/>
        <v>0</v>
      </c>
      <c r="HD162" s="409">
        <f t="shared" si="219"/>
        <v>0</v>
      </c>
      <c r="HE162" s="409">
        <f t="shared" si="219"/>
        <v>0</v>
      </c>
      <c r="HF162" s="409">
        <f t="shared" si="219"/>
        <v>0</v>
      </c>
      <c r="HG162" s="409">
        <f t="shared" si="219"/>
        <v>0</v>
      </c>
      <c r="HH162" s="409">
        <f t="shared" si="219"/>
        <v>0</v>
      </c>
      <c r="HI162" s="409">
        <f t="shared" si="219"/>
        <v>0</v>
      </c>
      <c r="HJ162" s="409">
        <f t="shared" si="219"/>
        <v>0</v>
      </c>
      <c r="HK162" s="409">
        <f t="shared" si="220"/>
        <v>0</v>
      </c>
      <c r="HL162" s="409">
        <f t="shared" si="220"/>
        <v>0</v>
      </c>
      <c r="HM162" s="409">
        <f t="shared" si="220"/>
        <v>0</v>
      </c>
      <c r="HN162" s="409">
        <f t="shared" si="220"/>
        <v>0</v>
      </c>
      <c r="HO162" s="409">
        <f t="shared" si="220"/>
        <v>0</v>
      </c>
      <c r="HP162" s="409">
        <f t="shared" si="220"/>
        <v>0</v>
      </c>
      <c r="HQ162" s="409">
        <f t="shared" si="220"/>
        <v>0</v>
      </c>
      <c r="HR162" s="409">
        <f t="shared" si="220"/>
        <v>0</v>
      </c>
      <c r="HS162" s="409">
        <f t="shared" si="220"/>
        <v>0</v>
      </c>
      <c r="HT162" s="409">
        <f t="shared" si="220"/>
        <v>0</v>
      </c>
      <c r="HU162" s="409">
        <f t="shared" si="221"/>
        <v>0</v>
      </c>
      <c r="HV162" s="409">
        <f t="shared" si="221"/>
        <v>0</v>
      </c>
      <c r="HW162" s="409">
        <f t="shared" si="221"/>
        <v>0</v>
      </c>
      <c r="HX162" s="409">
        <f t="shared" si="221"/>
        <v>0</v>
      </c>
      <c r="HY162" s="409">
        <f t="shared" si="221"/>
        <v>0</v>
      </c>
      <c r="HZ162" s="409">
        <f t="shared" si="221"/>
        <v>0</v>
      </c>
      <c r="IA162" s="409">
        <f t="shared" si="221"/>
        <v>0</v>
      </c>
      <c r="IB162" s="409">
        <f t="shared" si="221"/>
        <v>0</v>
      </c>
      <c r="IC162" s="409">
        <f t="shared" si="221"/>
        <v>0</v>
      </c>
      <c r="ID162" s="409">
        <f t="shared" si="221"/>
        <v>0</v>
      </c>
      <c r="IE162" s="409">
        <f t="shared" si="222"/>
        <v>0</v>
      </c>
      <c r="IF162" s="409">
        <f t="shared" si="222"/>
        <v>0</v>
      </c>
      <c r="IG162" s="409">
        <f t="shared" si="222"/>
        <v>0</v>
      </c>
      <c r="IH162" s="409">
        <f t="shared" si="222"/>
        <v>0</v>
      </c>
      <c r="II162" s="409">
        <f t="shared" si="222"/>
        <v>0</v>
      </c>
      <c r="IJ162" s="409">
        <f t="shared" si="222"/>
        <v>0</v>
      </c>
      <c r="IK162" s="378"/>
    </row>
    <row r="163" spans="1:245" hidden="1" x14ac:dyDescent="0.2">
      <c r="A163" s="380" t="str">
        <f t="shared" si="243"/>
        <v>e</v>
      </c>
      <c r="B163" s="712" t="str">
        <f>IF(ISERROR(INDEX('Legend(DX)'!$H$11:$H$12,6)),"",INDEX('Legend(DX)'!$H$11:$H$12,6))</f>
        <v/>
      </c>
      <c r="C163" s="712" t="e">
        <f>IF(INDEX('Legend(DX)'!$T$11:$T$12,6)=0,"See Legend",INDEX('Legend(DX)'!$T$11:$T$12,6))</f>
        <v>#REF!</v>
      </c>
      <c r="D163" s="712" t="e">
        <f>IF(INDEX('Legend(DX)'!$R$11:$R$12,(ROW(C163))-137)=0,IF(AND(INDEX('Legend(DX)'!$D$11:$D$12,(ROW(C163))-136)="CH",INDEX('Legend(DX)'!$F$11:$F$12,(ROW(C163))-136)="CASE - MANUAL"),INDEX('Legend(DX)'!$R$11:$R$12,(ROW(C163))-136),IF(INDEX('Legend(DX)'!$V$11:$V$12,(ROW(C163))-137)&gt;1, "(" &amp; INDEX('Legend(DX)'!$V$11:$V$12,(ROW(C163))-137) &amp; ") " &amp; INDEX('Legend(DX)'!$W$11:$W$12,(ROW(C163))-136),INDEX('Legend(DX)'!$W$11:$W$12,(ROW(C163))-137))),INDEX('Legend(DX)'!$R$11:$R$12,(ROW(C163))-137))</f>
        <v>#REF!</v>
      </c>
      <c r="E163" s="713" t="str">
        <f>IF(ISERROR(INDEX('Legend(DX)'!$AA$11:$AA$12,6)),"",INDEX('Legend(DX)'!$AA$11:$AA$12,6))</f>
        <v/>
      </c>
      <c r="F163" s="715"/>
      <c r="G163" s="715"/>
      <c r="H163" s="715"/>
      <c r="I163" s="715"/>
      <c r="J163" s="715"/>
      <c r="K163" s="890">
        <f t="shared" si="223"/>
        <v>0</v>
      </c>
      <c r="L163" s="718"/>
      <c r="M163" s="723"/>
      <c r="N163" s="972">
        <f t="shared" si="196"/>
        <v>-1</v>
      </c>
      <c r="O163" s="972">
        <f t="shared" si="244"/>
        <v>-1</v>
      </c>
      <c r="P163" s="972">
        <f t="shared" si="197"/>
        <v>-1</v>
      </c>
      <c r="Q163" s="972">
        <f t="shared" si="245"/>
        <v>-1</v>
      </c>
      <c r="R163" s="972">
        <f t="shared" si="198"/>
        <v>-1</v>
      </c>
      <c r="S163" s="972">
        <f t="shared" si="246"/>
        <v>-1</v>
      </c>
      <c r="T163" s="972">
        <f t="shared" si="199"/>
        <v>-1</v>
      </c>
      <c r="U163" s="972">
        <f t="shared" si="247"/>
        <v>-1</v>
      </c>
      <c r="V163" s="972">
        <f t="shared" si="200"/>
        <v>-1</v>
      </c>
      <c r="W163" s="972">
        <f t="shared" si="248"/>
        <v>-1</v>
      </c>
      <c r="X163" s="972">
        <f t="shared" si="201"/>
        <v>-1</v>
      </c>
      <c r="Y163" s="972">
        <f t="shared" si="229"/>
        <v>-1</v>
      </c>
      <c r="Z163" s="972">
        <f t="shared" si="230"/>
        <v>-1</v>
      </c>
      <c r="AA163" s="972">
        <f t="shared" si="231"/>
        <v>-1</v>
      </c>
      <c r="AB163" s="972">
        <f t="shared" si="232"/>
        <v>-1</v>
      </c>
      <c r="AC163" s="972">
        <f t="shared" si="233"/>
        <v>-1</v>
      </c>
      <c r="AD163" s="972">
        <f t="shared" si="234"/>
        <v>-1</v>
      </c>
      <c r="AE163" s="972">
        <f t="shared" si="235"/>
        <v>-1</v>
      </c>
      <c r="AF163" s="972">
        <f t="shared" si="236"/>
        <v>-1</v>
      </c>
      <c r="AG163" s="972">
        <f t="shared" si="237"/>
        <v>-1</v>
      </c>
      <c r="AH163" s="972">
        <f t="shared" si="238"/>
        <v>-1</v>
      </c>
      <c r="AI163" s="972">
        <f t="shared" si="239"/>
        <v>-1</v>
      </c>
      <c r="AJ163" s="972">
        <f t="shared" si="240"/>
        <v>-1</v>
      </c>
      <c r="AK163" s="381"/>
      <c r="AL163" s="727" t="str">
        <f t="shared" si="249"/>
        <v/>
      </c>
      <c r="AM163" s="409">
        <f t="shared" si="202"/>
        <v>0</v>
      </c>
      <c r="AN163" s="409">
        <f t="shared" si="202"/>
        <v>0</v>
      </c>
      <c r="AO163" s="409">
        <f t="shared" si="202"/>
        <v>0</v>
      </c>
      <c r="AP163" s="409">
        <f t="shared" si="202"/>
        <v>0</v>
      </c>
      <c r="AQ163" s="409">
        <f t="shared" si="202"/>
        <v>0</v>
      </c>
      <c r="AR163" s="409">
        <f t="shared" si="202"/>
        <v>0</v>
      </c>
      <c r="AS163" s="409">
        <f t="shared" si="202"/>
        <v>0</v>
      </c>
      <c r="AT163" s="409">
        <f t="shared" si="202"/>
        <v>0</v>
      </c>
      <c r="AU163" s="409">
        <f t="shared" si="202"/>
        <v>0</v>
      </c>
      <c r="AV163" s="409">
        <f t="shared" si="202"/>
        <v>0</v>
      </c>
      <c r="AW163" s="409">
        <f t="shared" si="203"/>
        <v>0</v>
      </c>
      <c r="AX163" s="409">
        <f t="shared" si="203"/>
        <v>0</v>
      </c>
      <c r="AY163" s="409">
        <f t="shared" si="203"/>
        <v>0</v>
      </c>
      <c r="AZ163" s="409">
        <f t="shared" si="203"/>
        <v>0</v>
      </c>
      <c r="BA163" s="409">
        <f t="shared" si="203"/>
        <v>0</v>
      </c>
      <c r="BB163" s="409">
        <f t="shared" si="203"/>
        <v>0</v>
      </c>
      <c r="BC163" s="409">
        <f t="shared" si="203"/>
        <v>0</v>
      </c>
      <c r="BD163" s="409">
        <f t="shared" si="203"/>
        <v>0</v>
      </c>
      <c r="BE163" s="409">
        <f t="shared" si="203"/>
        <v>0</v>
      </c>
      <c r="BF163" s="409">
        <f t="shared" si="203"/>
        <v>0</v>
      </c>
      <c r="BG163" s="409">
        <f t="shared" si="204"/>
        <v>0</v>
      </c>
      <c r="BH163" s="409">
        <f t="shared" si="204"/>
        <v>0</v>
      </c>
      <c r="BI163" s="409">
        <f t="shared" si="204"/>
        <v>0</v>
      </c>
      <c r="BJ163" s="409">
        <f t="shared" si="204"/>
        <v>0</v>
      </c>
      <c r="BK163" s="409">
        <f t="shared" si="204"/>
        <v>0</v>
      </c>
      <c r="BL163" s="409">
        <f t="shared" si="204"/>
        <v>0</v>
      </c>
      <c r="BM163" s="409">
        <f t="shared" si="204"/>
        <v>0</v>
      </c>
      <c r="BN163" s="409">
        <f t="shared" si="204"/>
        <v>0</v>
      </c>
      <c r="BO163" s="409">
        <f t="shared" si="204"/>
        <v>0</v>
      </c>
      <c r="BP163" s="409">
        <f t="shared" si="204"/>
        <v>0</v>
      </c>
      <c r="BQ163" s="409">
        <f t="shared" si="205"/>
        <v>0</v>
      </c>
      <c r="BR163" s="409">
        <f t="shared" si="205"/>
        <v>0</v>
      </c>
      <c r="BS163" s="409">
        <f t="shared" si="205"/>
        <v>0</v>
      </c>
      <c r="BT163" s="409">
        <f t="shared" si="205"/>
        <v>0</v>
      </c>
      <c r="BU163" s="409">
        <f t="shared" si="205"/>
        <v>0</v>
      </c>
      <c r="BV163" s="409">
        <f t="shared" si="205"/>
        <v>0</v>
      </c>
      <c r="BW163" s="409">
        <f t="shared" si="205"/>
        <v>0</v>
      </c>
      <c r="BX163" s="409">
        <f t="shared" si="205"/>
        <v>0</v>
      </c>
      <c r="BY163" s="409">
        <f t="shared" si="205"/>
        <v>0</v>
      </c>
      <c r="BZ163" s="409">
        <f t="shared" si="205"/>
        <v>0</v>
      </c>
      <c r="CA163" s="409">
        <f t="shared" si="206"/>
        <v>0</v>
      </c>
      <c r="CB163" s="409">
        <f t="shared" si="206"/>
        <v>0</v>
      </c>
      <c r="CC163" s="409">
        <f t="shared" si="206"/>
        <v>0</v>
      </c>
      <c r="CD163" s="409">
        <f t="shared" si="206"/>
        <v>0</v>
      </c>
      <c r="CE163" s="409">
        <f t="shared" si="206"/>
        <v>0</v>
      </c>
      <c r="CF163" s="409">
        <f t="shared" si="206"/>
        <v>0</v>
      </c>
      <c r="CG163" s="409">
        <f t="shared" si="206"/>
        <v>0</v>
      </c>
      <c r="CH163" s="409">
        <f t="shared" si="206"/>
        <v>0</v>
      </c>
      <c r="CI163" s="409">
        <f t="shared" si="206"/>
        <v>0</v>
      </c>
      <c r="CJ163" s="409">
        <f t="shared" si="206"/>
        <v>0</v>
      </c>
      <c r="CK163" s="409">
        <f t="shared" si="207"/>
        <v>0</v>
      </c>
      <c r="CL163" s="409">
        <f t="shared" si="207"/>
        <v>0</v>
      </c>
      <c r="CM163" s="409">
        <f t="shared" si="207"/>
        <v>0</v>
      </c>
      <c r="CN163" s="409">
        <f t="shared" si="207"/>
        <v>0</v>
      </c>
      <c r="CO163" s="409">
        <f t="shared" si="207"/>
        <v>0</v>
      </c>
      <c r="CP163" s="409">
        <f t="shared" si="207"/>
        <v>0</v>
      </c>
      <c r="CQ163" s="409">
        <f t="shared" si="207"/>
        <v>0</v>
      </c>
      <c r="CR163" s="409">
        <f t="shared" si="207"/>
        <v>0</v>
      </c>
      <c r="CS163" s="409">
        <f t="shared" si="207"/>
        <v>0</v>
      </c>
      <c r="CT163" s="409">
        <f t="shared" si="207"/>
        <v>0</v>
      </c>
      <c r="CU163" s="409">
        <f t="shared" si="208"/>
        <v>0</v>
      </c>
      <c r="CV163" s="409">
        <f t="shared" si="208"/>
        <v>0</v>
      </c>
      <c r="CW163" s="409">
        <f t="shared" si="208"/>
        <v>0</v>
      </c>
      <c r="CX163" s="409">
        <f t="shared" si="208"/>
        <v>0</v>
      </c>
      <c r="CY163" s="409">
        <f t="shared" si="208"/>
        <v>0</v>
      </c>
      <c r="CZ163" s="409">
        <f t="shared" si="208"/>
        <v>0</v>
      </c>
      <c r="DA163" s="409">
        <f t="shared" si="208"/>
        <v>0</v>
      </c>
      <c r="DB163" s="409">
        <f t="shared" si="208"/>
        <v>0</v>
      </c>
      <c r="DC163" s="409">
        <f t="shared" si="208"/>
        <v>0</v>
      </c>
      <c r="DD163" s="409">
        <f t="shared" si="208"/>
        <v>0</v>
      </c>
      <c r="DE163" s="409">
        <f t="shared" si="209"/>
        <v>0</v>
      </c>
      <c r="DF163" s="409">
        <f t="shared" si="209"/>
        <v>0</v>
      </c>
      <c r="DG163" s="409">
        <f t="shared" si="209"/>
        <v>0</v>
      </c>
      <c r="DH163" s="409">
        <f t="shared" si="209"/>
        <v>0</v>
      </c>
      <c r="DI163" s="409">
        <f t="shared" si="209"/>
        <v>0</v>
      </c>
      <c r="DJ163" s="409">
        <f t="shared" si="209"/>
        <v>0</v>
      </c>
      <c r="DK163" s="409">
        <f t="shared" si="209"/>
        <v>0</v>
      </c>
      <c r="DL163" s="409">
        <f t="shared" si="209"/>
        <v>0</v>
      </c>
      <c r="DM163" s="409">
        <f t="shared" si="209"/>
        <v>0</v>
      </c>
      <c r="DN163" s="409">
        <f t="shared" si="209"/>
        <v>0</v>
      </c>
      <c r="DO163" s="409">
        <f t="shared" si="210"/>
        <v>0</v>
      </c>
      <c r="DP163" s="409">
        <f t="shared" si="210"/>
        <v>0</v>
      </c>
      <c r="DQ163" s="409">
        <f t="shared" si="210"/>
        <v>0</v>
      </c>
      <c r="DR163" s="409">
        <f t="shared" si="210"/>
        <v>0</v>
      </c>
      <c r="DS163" s="409">
        <f t="shared" si="210"/>
        <v>0</v>
      </c>
      <c r="DT163" s="409">
        <f t="shared" si="210"/>
        <v>0</v>
      </c>
      <c r="DU163" s="409">
        <f t="shared" si="210"/>
        <v>0</v>
      </c>
      <c r="DV163" s="409">
        <f t="shared" si="210"/>
        <v>0</v>
      </c>
      <c r="DW163" s="409">
        <f t="shared" si="210"/>
        <v>0</v>
      </c>
      <c r="DX163" s="409">
        <f t="shared" si="210"/>
        <v>0</v>
      </c>
      <c r="DY163" s="409">
        <f t="shared" si="211"/>
        <v>0</v>
      </c>
      <c r="DZ163" s="409">
        <f t="shared" si="211"/>
        <v>0</v>
      </c>
      <c r="EA163" s="409">
        <f t="shared" si="211"/>
        <v>0</v>
      </c>
      <c r="EB163" s="409">
        <f t="shared" si="211"/>
        <v>0</v>
      </c>
      <c r="EC163" s="409">
        <f t="shared" si="211"/>
        <v>0</v>
      </c>
      <c r="ED163" s="409">
        <f t="shared" si="211"/>
        <v>0</v>
      </c>
      <c r="EE163" s="409">
        <f t="shared" si="211"/>
        <v>0</v>
      </c>
      <c r="EF163" s="409">
        <f t="shared" si="211"/>
        <v>0</v>
      </c>
      <c r="EG163" s="409">
        <f t="shared" si="211"/>
        <v>0</v>
      </c>
      <c r="EH163" s="409">
        <f t="shared" si="211"/>
        <v>0</v>
      </c>
      <c r="EI163" s="409">
        <f t="shared" si="212"/>
        <v>0</v>
      </c>
      <c r="EJ163" s="409">
        <f t="shared" si="212"/>
        <v>0</v>
      </c>
      <c r="EK163" s="409">
        <f t="shared" si="212"/>
        <v>0</v>
      </c>
      <c r="EL163" s="409">
        <f t="shared" si="212"/>
        <v>0</v>
      </c>
      <c r="EM163" s="409">
        <f t="shared" si="212"/>
        <v>0</v>
      </c>
      <c r="EN163" s="409">
        <f t="shared" si="212"/>
        <v>0</v>
      </c>
      <c r="EO163" s="409">
        <f t="shared" si="212"/>
        <v>0</v>
      </c>
      <c r="EP163" s="409">
        <f t="shared" si="212"/>
        <v>0</v>
      </c>
      <c r="EQ163" s="409">
        <f t="shared" si="212"/>
        <v>0</v>
      </c>
      <c r="ER163" s="409">
        <f t="shared" si="212"/>
        <v>0</v>
      </c>
      <c r="ES163" s="409">
        <f t="shared" si="213"/>
        <v>0</v>
      </c>
      <c r="ET163" s="409">
        <f t="shared" si="213"/>
        <v>0</v>
      </c>
      <c r="EU163" s="409">
        <f t="shared" si="213"/>
        <v>0</v>
      </c>
      <c r="EV163" s="409">
        <f t="shared" si="213"/>
        <v>0</v>
      </c>
      <c r="EW163" s="409">
        <f t="shared" si="213"/>
        <v>0</v>
      </c>
      <c r="EX163" s="409">
        <f t="shared" si="213"/>
        <v>0</v>
      </c>
      <c r="EY163" s="409">
        <f t="shared" si="213"/>
        <v>0</v>
      </c>
      <c r="EZ163" s="409">
        <f t="shared" si="213"/>
        <v>0</v>
      </c>
      <c r="FA163" s="409">
        <f t="shared" si="213"/>
        <v>0</v>
      </c>
      <c r="FB163" s="409">
        <f t="shared" si="213"/>
        <v>0</v>
      </c>
      <c r="FC163" s="409">
        <f t="shared" si="214"/>
        <v>0</v>
      </c>
      <c r="FD163" s="409">
        <f t="shared" si="214"/>
        <v>0</v>
      </c>
      <c r="FE163" s="409">
        <f t="shared" si="214"/>
        <v>0</v>
      </c>
      <c r="FF163" s="409">
        <f t="shared" si="214"/>
        <v>0</v>
      </c>
      <c r="FG163" s="409">
        <f t="shared" si="214"/>
        <v>0</v>
      </c>
      <c r="FH163" s="409">
        <f t="shared" si="214"/>
        <v>0</v>
      </c>
      <c r="FI163" s="409">
        <f t="shared" si="214"/>
        <v>0</v>
      </c>
      <c r="FJ163" s="409">
        <f t="shared" si="214"/>
        <v>0</v>
      </c>
      <c r="FK163" s="409">
        <f t="shared" si="214"/>
        <v>0</v>
      </c>
      <c r="FL163" s="409">
        <f t="shared" si="214"/>
        <v>0</v>
      </c>
      <c r="FM163" s="409">
        <f t="shared" si="215"/>
        <v>0</v>
      </c>
      <c r="FN163" s="409">
        <f t="shared" si="215"/>
        <v>0</v>
      </c>
      <c r="FO163" s="409">
        <f t="shared" si="215"/>
        <v>0</v>
      </c>
      <c r="FP163" s="409">
        <f t="shared" si="215"/>
        <v>0</v>
      </c>
      <c r="FQ163" s="409">
        <f t="shared" si="215"/>
        <v>0</v>
      </c>
      <c r="FR163" s="409">
        <f t="shared" si="215"/>
        <v>0</v>
      </c>
      <c r="FS163" s="409">
        <f t="shared" si="215"/>
        <v>0</v>
      </c>
      <c r="FT163" s="409">
        <f t="shared" si="215"/>
        <v>0</v>
      </c>
      <c r="FU163" s="409">
        <f t="shared" si="215"/>
        <v>0</v>
      </c>
      <c r="FV163" s="409">
        <f t="shared" si="215"/>
        <v>0</v>
      </c>
      <c r="FW163" s="409">
        <f t="shared" si="216"/>
        <v>0</v>
      </c>
      <c r="FX163" s="409">
        <f t="shared" si="216"/>
        <v>0</v>
      </c>
      <c r="FY163" s="409">
        <f t="shared" si="216"/>
        <v>0</v>
      </c>
      <c r="FZ163" s="409">
        <f t="shared" si="216"/>
        <v>0</v>
      </c>
      <c r="GA163" s="409">
        <f t="shared" si="216"/>
        <v>0</v>
      </c>
      <c r="GB163" s="409">
        <f t="shared" si="216"/>
        <v>0</v>
      </c>
      <c r="GC163" s="409">
        <f t="shared" si="216"/>
        <v>0</v>
      </c>
      <c r="GD163" s="409">
        <f t="shared" si="216"/>
        <v>0</v>
      </c>
      <c r="GE163" s="409">
        <f t="shared" si="216"/>
        <v>0</v>
      </c>
      <c r="GF163" s="409">
        <f t="shared" si="216"/>
        <v>0</v>
      </c>
      <c r="GG163" s="409">
        <f t="shared" si="217"/>
        <v>0</v>
      </c>
      <c r="GH163" s="409">
        <f t="shared" si="217"/>
        <v>0</v>
      </c>
      <c r="GI163" s="409">
        <f t="shared" si="217"/>
        <v>0</v>
      </c>
      <c r="GJ163" s="409">
        <f t="shared" si="217"/>
        <v>0</v>
      </c>
      <c r="GK163" s="409">
        <f t="shared" si="217"/>
        <v>0</v>
      </c>
      <c r="GL163" s="409">
        <f t="shared" si="217"/>
        <v>0</v>
      </c>
      <c r="GM163" s="409">
        <f t="shared" si="217"/>
        <v>0</v>
      </c>
      <c r="GN163" s="409">
        <f t="shared" si="217"/>
        <v>0</v>
      </c>
      <c r="GO163" s="409">
        <f t="shared" si="217"/>
        <v>0</v>
      </c>
      <c r="GP163" s="409">
        <f t="shared" si="217"/>
        <v>0</v>
      </c>
      <c r="GQ163" s="409">
        <f t="shared" si="218"/>
        <v>0</v>
      </c>
      <c r="GR163" s="409">
        <f t="shared" si="218"/>
        <v>0</v>
      </c>
      <c r="GS163" s="409">
        <f t="shared" si="218"/>
        <v>0</v>
      </c>
      <c r="GT163" s="409">
        <f t="shared" si="218"/>
        <v>0</v>
      </c>
      <c r="GU163" s="409">
        <f t="shared" si="218"/>
        <v>0</v>
      </c>
      <c r="GV163" s="409">
        <f t="shared" si="218"/>
        <v>0</v>
      </c>
      <c r="GW163" s="409">
        <f t="shared" si="218"/>
        <v>0</v>
      </c>
      <c r="GX163" s="409">
        <f t="shared" si="218"/>
        <v>0</v>
      </c>
      <c r="GY163" s="409">
        <f t="shared" si="218"/>
        <v>0</v>
      </c>
      <c r="GZ163" s="409">
        <f t="shared" si="218"/>
        <v>0</v>
      </c>
      <c r="HA163" s="409">
        <f t="shared" si="219"/>
        <v>0</v>
      </c>
      <c r="HB163" s="409">
        <f t="shared" si="219"/>
        <v>0</v>
      </c>
      <c r="HC163" s="409">
        <f t="shared" si="219"/>
        <v>0</v>
      </c>
      <c r="HD163" s="409">
        <f t="shared" si="219"/>
        <v>0</v>
      </c>
      <c r="HE163" s="409">
        <f t="shared" si="219"/>
        <v>0</v>
      </c>
      <c r="HF163" s="409">
        <f t="shared" si="219"/>
        <v>0</v>
      </c>
      <c r="HG163" s="409">
        <f t="shared" si="219"/>
        <v>0</v>
      </c>
      <c r="HH163" s="409">
        <f t="shared" si="219"/>
        <v>0</v>
      </c>
      <c r="HI163" s="409">
        <f t="shared" si="219"/>
        <v>0</v>
      </c>
      <c r="HJ163" s="409">
        <f t="shared" si="219"/>
        <v>0</v>
      </c>
      <c r="HK163" s="409">
        <f t="shared" si="220"/>
        <v>0</v>
      </c>
      <c r="HL163" s="409">
        <f t="shared" si="220"/>
        <v>0</v>
      </c>
      <c r="HM163" s="409">
        <f t="shared" si="220"/>
        <v>0</v>
      </c>
      <c r="HN163" s="409">
        <f t="shared" si="220"/>
        <v>0</v>
      </c>
      <c r="HO163" s="409">
        <f t="shared" si="220"/>
        <v>0</v>
      </c>
      <c r="HP163" s="409">
        <f t="shared" si="220"/>
        <v>0</v>
      </c>
      <c r="HQ163" s="409">
        <f t="shared" si="220"/>
        <v>0</v>
      </c>
      <c r="HR163" s="409">
        <f t="shared" si="220"/>
        <v>0</v>
      </c>
      <c r="HS163" s="409">
        <f t="shared" si="220"/>
        <v>0</v>
      </c>
      <c r="HT163" s="409">
        <f t="shared" si="220"/>
        <v>0</v>
      </c>
      <c r="HU163" s="409">
        <f t="shared" si="221"/>
        <v>0</v>
      </c>
      <c r="HV163" s="409">
        <f t="shared" si="221"/>
        <v>0</v>
      </c>
      <c r="HW163" s="409">
        <f t="shared" si="221"/>
        <v>0</v>
      </c>
      <c r="HX163" s="409">
        <f t="shared" si="221"/>
        <v>0</v>
      </c>
      <c r="HY163" s="409">
        <f t="shared" si="221"/>
        <v>0</v>
      </c>
      <c r="HZ163" s="409">
        <f t="shared" si="221"/>
        <v>0</v>
      </c>
      <c r="IA163" s="409">
        <f t="shared" si="221"/>
        <v>0</v>
      </c>
      <c r="IB163" s="409">
        <f t="shared" si="221"/>
        <v>0</v>
      </c>
      <c r="IC163" s="409">
        <f t="shared" si="221"/>
        <v>0</v>
      </c>
      <c r="ID163" s="409">
        <f t="shared" si="221"/>
        <v>0</v>
      </c>
      <c r="IE163" s="409">
        <f t="shared" si="222"/>
        <v>0</v>
      </c>
      <c r="IF163" s="409">
        <f t="shared" si="222"/>
        <v>0</v>
      </c>
      <c r="IG163" s="409">
        <f t="shared" si="222"/>
        <v>0</v>
      </c>
      <c r="IH163" s="409">
        <f t="shared" si="222"/>
        <v>0</v>
      </c>
      <c r="II163" s="409">
        <f t="shared" si="222"/>
        <v>0</v>
      </c>
      <c r="IJ163" s="409">
        <f t="shared" si="222"/>
        <v>0</v>
      </c>
      <c r="IK163" s="378"/>
    </row>
    <row r="164" spans="1:245" hidden="1" x14ac:dyDescent="0.2">
      <c r="A164" s="380" t="str">
        <f t="shared" si="243"/>
        <v>e</v>
      </c>
      <c r="B164" s="712" t="str">
        <f>IF(ISERROR(INDEX('Legend(DX)'!$H$11:$H$12,7)),"",INDEX('Legend(DX)'!$H$11:$H$12,7))</f>
        <v/>
      </c>
      <c r="C164" s="712" t="e">
        <f>IF(INDEX('Legend(DX)'!$T$11:$T$12,7)=0,"See Legend",INDEX('Legend(DX)'!$T$11:$T$12,7))</f>
        <v>#REF!</v>
      </c>
      <c r="D164" s="712" t="e">
        <f>IF(INDEX('Legend(DX)'!$R$11:$R$12,(ROW(C164))-137)=0,IF(AND(INDEX('Legend(DX)'!$D$11:$D$12,(ROW(C164))-136)="CH",INDEX('Legend(DX)'!$F$11:$F$12,(ROW(C164))-136)="CASE - MANUAL"),INDEX('Legend(DX)'!$R$11:$R$12,(ROW(C164))-136),IF(INDEX('Legend(DX)'!$V$11:$V$12,(ROW(C164))-137)&gt;1, "(" &amp; INDEX('Legend(DX)'!$V$11:$V$12,(ROW(C164))-137) &amp; ") " &amp; INDEX('Legend(DX)'!$W$11:$W$12,(ROW(C164))-136),INDEX('Legend(DX)'!$W$11:$W$12,(ROW(C164))-137))),INDEX('Legend(DX)'!$R$11:$R$12,(ROW(C164))-137))</f>
        <v>#REF!</v>
      </c>
      <c r="E164" s="713" t="str">
        <f>IF(ISERROR(INDEX('Legend(DX)'!$AA$11:$AA$12,7)),"",INDEX('Legend(DX)'!$AA$11:$AA$12,7))</f>
        <v/>
      </c>
      <c r="F164" s="715"/>
      <c r="G164" s="715"/>
      <c r="H164" s="715"/>
      <c r="I164" s="715"/>
      <c r="J164" s="715"/>
      <c r="K164" s="890">
        <f t="shared" si="223"/>
        <v>0</v>
      </c>
      <c r="L164" s="718"/>
      <c r="M164" s="723"/>
      <c r="N164" s="972">
        <f t="shared" si="196"/>
        <v>-1</v>
      </c>
      <c r="O164" s="972">
        <f t="shared" si="244"/>
        <v>-1</v>
      </c>
      <c r="P164" s="972">
        <f t="shared" si="197"/>
        <v>-1</v>
      </c>
      <c r="Q164" s="972">
        <f t="shared" si="245"/>
        <v>-1</v>
      </c>
      <c r="R164" s="972">
        <f t="shared" si="198"/>
        <v>-1</v>
      </c>
      <c r="S164" s="972">
        <f t="shared" si="246"/>
        <v>-1</v>
      </c>
      <c r="T164" s="972">
        <f t="shared" si="199"/>
        <v>-1</v>
      </c>
      <c r="U164" s="972">
        <f t="shared" si="247"/>
        <v>-1</v>
      </c>
      <c r="V164" s="972">
        <f t="shared" si="200"/>
        <v>-1</v>
      </c>
      <c r="W164" s="972">
        <f t="shared" si="248"/>
        <v>-1</v>
      </c>
      <c r="X164" s="972">
        <f t="shared" si="201"/>
        <v>-1</v>
      </c>
      <c r="Y164" s="972">
        <f t="shared" si="229"/>
        <v>-1</v>
      </c>
      <c r="Z164" s="972">
        <f t="shared" si="230"/>
        <v>-1</v>
      </c>
      <c r="AA164" s="972">
        <f t="shared" si="231"/>
        <v>-1</v>
      </c>
      <c r="AB164" s="972">
        <f t="shared" si="232"/>
        <v>-1</v>
      </c>
      <c r="AC164" s="972">
        <f t="shared" si="233"/>
        <v>-1</v>
      </c>
      <c r="AD164" s="972">
        <f t="shared" si="234"/>
        <v>-1</v>
      </c>
      <c r="AE164" s="972">
        <f t="shared" si="235"/>
        <v>-1</v>
      </c>
      <c r="AF164" s="972">
        <f t="shared" si="236"/>
        <v>-1</v>
      </c>
      <c r="AG164" s="972">
        <f t="shared" si="237"/>
        <v>-1</v>
      </c>
      <c r="AH164" s="972">
        <f t="shared" si="238"/>
        <v>-1</v>
      </c>
      <c r="AI164" s="972">
        <f t="shared" si="239"/>
        <v>-1</v>
      </c>
      <c r="AJ164" s="972">
        <f t="shared" si="240"/>
        <v>-1</v>
      </c>
      <c r="AK164" s="381"/>
      <c r="AL164" s="727" t="str">
        <f t="shared" si="249"/>
        <v/>
      </c>
      <c r="AM164" s="409">
        <f t="shared" si="202"/>
        <v>0</v>
      </c>
      <c r="AN164" s="409">
        <f t="shared" si="202"/>
        <v>0</v>
      </c>
      <c r="AO164" s="409">
        <f t="shared" si="202"/>
        <v>0</v>
      </c>
      <c r="AP164" s="409">
        <f t="shared" si="202"/>
        <v>0</v>
      </c>
      <c r="AQ164" s="409">
        <f t="shared" si="202"/>
        <v>0</v>
      </c>
      <c r="AR164" s="409">
        <f t="shared" si="202"/>
        <v>0</v>
      </c>
      <c r="AS164" s="409">
        <f t="shared" si="202"/>
        <v>0</v>
      </c>
      <c r="AT164" s="409">
        <f t="shared" si="202"/>
        <v>0</v>
      </c>
      <c r="AU164" s="409">
        <f t="shared" si="202"/>
        <v>0</v>
      </c>
      <c r="AV164" s="409">
        <f t="shared" si="202"/>
        <v>0</v>
      </c>
      <c r="AW164" s="409">
        <f t="shared" si="203"/>
        <v>0</v>
      </c>
      <c r="AX164" s="409">
        <f t="shared" si="203"/>
        <v>0</v>
      </c>
      <c r="AY164" s="409">
        <f t="shared" si="203"/>
        <v>0</v>
      </c>
      <c r="AZ164" s="409">
        <f t="shared" si="203"/>
        <v>0</v>
      </c>
      <c r="BA164" s="409">
        <f t="shared" si="203"/>
        <v>0</v>
      </c>
      <c r="BB164" s="409">
        <f t="shared" si="203"/>
        <v>0</v>
      </c>
      <c r="BC164" s="409">
        <f t="shared" si="203"/>
        <v>0</v>
      </c>
      <c r="BD164" s="409">
        <f t="shared" si="203"/>
        <v>0</v>
      </c>
      <c r="BE164" s="409">
        <f t="shared" si="203"/>
        <v>0</v>
      </c>
      <c r="BF164" s="409">
        <f t="shared" si="203"/>
        <v>0</v>
      </c>
      <c r="BG164" s="409">
        <f t="shared" si="204"/>
        <v>0</v>
      </c>
      <c r="BH164" s="409">
        <f t="shared" si="204"/>
        <v>0</v>
      </c>
      <c r="BI164" s="409">
        <f t="shared" si="204"/>
        <v>0</v>
      </c>
      <c r="BJ164" s="409">
        <f t="shared" si="204"/>
        <v>0</v>
      </c>
      <c r="BK164" s="409">
        <f t="shared" si="204"/>
        <v>0</v>
      </c>
      <c r="BL164" s="409">
        <f t="shared" si="204"/>
        <v>0</v>
      </c>
      <c r="BM164" s="409">
        <f t="shared" si="204"/>
        <v>0</v>
      </c>
      <c r="BN164" s="409">
        <f t="shared" si="204"/>
        <v>0</v>
      </c>
      <c r="BO164" s="409">
        <f t="shared" si="204"/>
        <v>0</v>
      </c>
      <c r="BP164" s="409">
        <f t="shared" si="204"/>
        <v>0</v>
      </c>
      <c r="BQ164" s="409">
        <f t="shared" si="205"/>
        <v>0</v>
      </c>
      <c r="BR164" s="409">
        <f t="shared" si="205"/>
        <v>0</v>
      </c>
      <c r="BS164" s="409">
        <f t="shared" si="205"/>
        <v>0</v>
      </c>
      <c r="BT164" s="409">
        <f t="shared" si="205"/>
        <v>0</v>
      </c>
      <c r="BU164" s="409">
        <f t="shared" si="205"/>
        <v>0</v>
      </c>
      <c r="BV164" s="409">
        <f t="shared" si="205"/>
        <v>0</v>
      </c>
      <c r="BW164" s="409">
        <f t="shared" si="205"/>
        <v>0</v>
      </c>
      <c r="BX164" s="409">
        <f t="shared" si="205"/>
        <v>0</v>
      </c>
      <c r="BY164" s="409">
        <f t="shared" si="205"/>
        <v>0</v>
      </c>
      <c r="BZ164" s="409">
        <f t="shared" si="205"/>
        <v>0</v>
      </c>
      <c r="CA164" s="409">
        <f t="shared" si="206"/>
        <v>0</v>
      </c>
      <c r="CB164" s="409">
        <f t="shared" si="206"/>
        <v>0</v>
      </c>
      <c r="CC164" s="409">
        <f t="shared" si="206"/>
        <v>0</v>
      </c>
      <c r="CD164" s="409">
        <f t="shared" si="206"/>
        <v>0</v>
      </c>
      <c r="CE164" s="409">
        <f t="shared" si="206"/>
        <v>0</v>
      </c>
      <c r="CF164" s="409">
        <f t="shared" si="206"/>
        <v>0</v>
      </c>
      <c r="CG164" s="409">
        <f t="shared" si="206"/>
        <v>0</v>
      </c>
      <c r="CH164" s="409">
        <f t="shared" si="206"/>
        <v>0</v>
      </c>
      <c r="CI164" s="409">
        <f t="shared" si="206"/>
        <v>0</v>
      </c>
      <c r="CJ164" s="409">
        <f t="shared" si="206"/>
        <v>0</v>
      </c>
      <c r="CK164" s="409">
        <f t="shared" si="207"/>
        <v>0</v>
      </c>
      <c r="CL164" s="409">
        <f t="shared" si="207"/>
        <v>0</v>
      </c>
      <c r="CM164" s="409">
        <f t="shared" si="207"/>
        <v>0</v>
      </c>
      <c r="CN164" s="409">
        <f t="shared" si="207"/>
        <v>0</v>
      </c>
      <c r="CO164" s="409">
        <f t="shared" si="207"/>
        <v>0</v>
      </c>
      <c r="CP164" s="409">
        <f t="shared" si="207"/>
        <v>0</v>
      </c>
      <c r="CQ164" s="409">
        <f t="shared" si="207"/>
        <v>0</v>
      </c>
      <c r="CR164" s="409">
        <f t="shared" si="207"/>
        <v>0</v>
      </c>
      <c r="CS164" s="409">
        <f t="shared" si="207"/>
        <v>0</v>
      </c>
      <c r="CT164" s="409">
        <f t="shared" si="207"/>
        <v>0</v>
      </c>
      <c r="CU164" s="409">
        <f t="shared" si="208"/>
        <v>0</v>
      </c>
      <c r="CV164" s="409">
        <f t="shared" si="208"/>
        <v>0</v>
      </c>
      <c r="CW164" s="409">
        <f t="shared" si="208"/>
        <v>0</v>
      </c>
      <c r="CX164" s="409">
        <f t="shared" si="208"/>
        <v>0</v>
      </c>
      <c r="CY164" s="409">
        <f t="shared" si="208"/>
        <v>0</v>
      </c>
      <c r="CZ164" s="409">
        <f t="shared" si="208"/>
        <v>0</v>
      </c>
      <c r="DA164" s="409">
        <f t="shared" si="208"/>
        <v>0</v>
      </c>
      <c r="DB164" s="409">
        <f t="shared" si="208"/>
        <v>0</v>
      </c>
      <c r="DC164" s="409">
        <f t="shared" si="208"/>
        <v>0</v>
      </c>
      <c r="DD164" s="409">
        <f t="shared" si="208"/>
        <v>0</v>
      </c>
      <c r="DE164" s="409">
        <f t="shared" si="209"/>
        <v>0</v>
      </c>
      <c r="DF164" s="409">
        <f t="shared" si="209"/>
        <v>0</v>
      </c>
      <c r="DG164" s="409">
        <f t="shared" si="209"/>
        <v>0</v>
      </c>
      <c r="DH164" s="409">
        <f t="shared" si="209"/>
        <v>0</v>
      </c>
      <c r="DI164" s="409">
        <f t="shared" si="209"/>
        <v>0</v>
      </c>
      <c r="DJ164" s="409">
        <f t="shared" si="209"/>
        <v>0</v>
      </c>
      <c r="DK164" s="409">
        <f t="shared" si="209"/>
        <v>0</v>
      </c>
      <c r="DL164" s="409">
        <f t="shared" si="209"/>
        <v>0</v>
      </c>
      <c r="DM164" s="409">
        <f t="shared" si="209"/>
        <v>0</v>
      </c>
      <c r="DN164" s="409">
        <f t="shared" si="209"/>
        <v>0</v>
      </c>
      <c r="DO164" s="409">
        <f t="shared" si="210"/>
        <v>0</v>
      </c>
      <c r="DP164" s="409">
        <f t="shared" si="210"/>
        <v>0</v>
      </c>
      <c r="DQ164" s="409">
        <f t="shared" si="210"/>
        <v>0</v>
      </c>
      <c r="DR164" s="409">
        <f t="shared" si="210"/>
        <v>0</v>
      </c>
      <c r="DS164" s="409">
        <f t="shared" si="210"/>
        <v>0</v>
      </c>
      <c r="DT164" s="409">
        <f t="shared" si="210"/>
        <v>0</v>
      </c>
      <c r="DU164" s="409">
        <f t="shared" si="210"/>
        <v>0</v>
      </c>
      <c r="DV164" s="409">
        <f t="shared" si="210"/>
        <v>0</v>
      </c>
      <c r="DW164" s="409">
        <f t="shared" si="210"/>
        <v>0</v>
      </c>
      <c r="DX164" s="409">
        <f t="shared" si="210"/>
        <v>0</v>
      </c>
      <c r="DY164" s="409">
        <f t="shared" si="211"/>
        <v>0</v>
      </c>
      <c r="DZ164" s="409">
        <f t="shared" si="211"/>
        <v>0</v>
      </c>
      <c r="EA164" s="409">
        <f t="shared" si="211"/>
        <v>0</v>
      </c>
      <c r="EB164" s="409">
        <f t="shared" si="211"/>
        <v>0</v>
      </c>
      <c r="EC164" s="409">
        <f t="shared" si="211"/>
        <v>0</v>
      </c>
      <c r="ED164" s="409">
        <f t="shared" si="211"/>
        <v>0</v>
      </c>
      <c r="EE164" s="409">
        <f t="shared" si="211"/>
        <v>0</v>
      </c>
      <c r="EF164" s="409">
        <f t="shared" si="211"/>
        <v>0</v>
      </c>
      <c r="EG164" s="409">
        <f t="shared" si="211"/>
        <v>0</v>
      </c>
      <c r="EH164" s="409">
        <f t="shared" si="211"/>
        <v>0</v>
      </c>
      <c r="EI164" s="409">
        <f t="shared" si="212"/>
        <v>0</v>
      </c>
      <c r="EJ164" s="409">
        <f t="shared" si="212"/>
        <v>0</v>
      </c>
      <c r="EK164" s="409">
        <f t="shared" si="212"/>
        <v>0</v>
      </c>
      <c r="EL164" s="409">
        <f t="shared" si="212"/>
        <v>0</v>
      </c>
      <c r="EM164" s="409">
        <f t="shared" si="212"/>
        <v>0</v>
      </c>
      <c r="EN164" s="409">
        <f t="shared" si="212"/>
        <v>0</v>
      </c>
      <c r="EO164" s="409">
        <f t="shared" si="212"/>
        <v>0</v>
      </c>
      <c r="EP164" s="409">
        <f t="shared" si="212"/>
        <v>0</v>
      </c>
      <c r="EQ164" s="409">
        <f t="shared" si="212"/>
        <v>0</v>
      </c>
      <c r="ER164" s="409">
        <f t="shared" si="212"/>
        <v>0</v>
      </c>
      <c r="ES164" s="409">
        <f t="shared" si="213"/>
        <v>0</v>
      </c>
      <c r="ET164" s="409">
        <f t="shared" si="213"/>
        <v>0</v>
      </c>
      <c r="EU164" s="409">
        <f t="shared" si="213"/>
        <v>0</v>
      </c>
      <c r="EV164" s="409">
        <f t="shared" si="213"/>
        <v>0</v>
      </c>
      <c r="EW164" s="409">
        <f t="shared" si="213"/>
        <v>0</v>
      </c>
      <c r="EX164" s="409">
        <f t="shared" si="213"/>
        <v>0</v>
      </c>
      <c r="EY164" s="409">
        <f t="shared" si="213"/>
        <v>0</v>
      </c>
      <c r="EZ164" s="409">
        <f t="shared" si="213"/>
        <v>0</v>
      </c>
      <c r="FA164" s="409">
        <f t="shared" si="213"/>
        <v>0</v>
      </c>
      <c r="FB164" s="409">
        <f t="shared" si="213"/>
        <v>0</v>
      </c>
      <c r="FC164" s="409">
        <f t="shared" si="214"/>
        <v>0</v>
      </c>
      <c r="FD164" s="409">
        <f t="shared" si="214"/>
        <v>0</v>
      </c>
      <c r="FE164" s="409">
        <f t="shared" si="214"/>
        <v>0</v>
      </c>
      <c r="FF164" s="409">
        <f t="shared" si="214"/>
        <v>0</v>
      </c>
      <c r="FG164" s="409">
        <f t="shared" si="214"/>
        <v>0</v>
      </c>
      <c r="FH164" s="409">
        <f t="shared" si="214"/>
        <v>0</v>
      </c>
      <c r="FI164" s="409">
        <f t="shared" si="214"/>
        <v>0</v>
      </c>
      <c r="FJ164" s="409">
        <f t="shared" si="214"/>
        <v>0</v>
      </c>
      <c r="FK164" s="409">
        <f t="shared" si="214"/>
        <v>0</v>
      </c>
      <c r="FL164" s="409">
        <f t="shared" si="214"/>
        <v>0</v>
      </c>
      <c r="FM164" s="409">
        <f t="shared" si="215"/>
        <v>0</v>
      </c>
      <c r="FN164" s="409">
        <f t="shared" si="215"/>
        <v>0</v>
      </c>
      <c r="FO164" s="409">
        <f t="shared" si="215"/>
        <v>0</v>
      </c>
      <c r="FP164" s="409">
        <f t="shared" si="215"/>
        <v>0</v>
      </c>
      <c r="FQ164" s="409">
        <f t="shared" si="215"/>
        <v>0</v>
      </c>
      <c r="FR164" s="409">
        <f t="shared" si="215"/>
        <v>0</v>
      </c>
      <c r="FS164" s="409">
        <f t="shared" si="215"/>
        <v>0</v>
      </c>
      <c r="FT164" s="409">
        <f t="shared" si="215"/>
        <v>0</v>
      </c>
      <c r="FU164" s="409">
        <f t="shared" si="215"/>
        <v>0</v>
      </c>
      <c r="FV164" s="409">
        <f t="shared" si="215"/>
        <v>0</v>
      </c>
      <c r="FW164" s="409">
        <f t="shared" si="216"/>
        <v>0</v>
      </c>
      <c r="FX164" s="409">
        <f t="shared" si="216"/>
        <v>0</v>
      </c>
      <c r="FY164" s="409">
        <f t="shared" si="216"/>
        <v>0</v>
      </c>
      <c r="FZ164" s="409">
        <f t="shared" si="216"/>
        <v>0</v>
      </c>
      <c r="GA164" s="409">
        <f t="shared" si="216"/>
        <v>0</v>
      </c>
      <c r="GB164" s="409">
        <f t="shared" si="216"/>
        <v>0</v>
      </c>
      <c r="GC164" s="409">
        <f t="shared" si="216"/>
        <v>0</v>
      </c>
      <c r="GD164" s="409">
        <f t="shared" si="216"/>
        <v>0</v>
      </c>
      <c r="GE164" s="409">
        <f t="shared" si="216"/>
        <v>0</v>
      </c>
      <c r="GF164" s="409">
        <f t="shared" si="216"/>
        <v>0</v>
      </c>
      <c r="GG164" s="409">
        <f t="shared" si="217"/>
        <v>0</v>
      </c>
      <c r="GH164" s="409">
        <f t="shared" si="217"/>
        <v>0</v>
      </c>
      <c r="GI164" s="409">
        <f t="shared" si="217"/>
        <v>0</v>
      </c>
      <c r="GJ164" s="409">
        <f t="shared" si="217"/>
        <v>0</v>
      </c>
      <c r="GK164" s="409">
        <f t="shared" si="217"/>
        <v>0</v>
      </c>
      <c r="GL164" s="409">
        <f t="shared" si="217"/>
        <v>0</v>
      </c>
      <c r="GM164" s="409">
        <f t="shared" si="217"/>
        <v>0</v>
      </c>
      <c r="GN164" s="409">
        <f t="shared" si="217"/>
        <v>0</v>
      </c>
      <c r="GO164" s="409">
        <f t="shared" si="217"/>
        <v>0</v>
      </c>
      <c r="GP164" s="409">
        <f t="shared" si="217"/>
        <v>0</v>
      </c>
      <c r="GQ164" s="409">
        <f t="shared" si="218"/>
        <v>0</v>
      </c>
      <c r="GR164" s="409">
        <f t="shared" si="218"/>
        <v>0</v>
      </c>
      <c r="GS164" s="409">
        <f t="shared" si="218"/>
        <v>0</v>
      </c>
      <c r="GT164" s="409">
        <f t="shared" si="218"/>
        <v>0</v>
      </c>
      <c r="GU164" s="409">
        <f t="shared" si="218"/>
        <v>0</v>
      </c>
      <c r="GV164" s="409">
        <f t="shared" si="218"/>
        <v>0</v>
      </c>
      <c r="GW164" s="409">
        <f t="shared" si="218"/>
        <v>0</v>
      </c>
      <c r="GX164" s="409">
        <f t="shared" si="218"/>
        <v>0</v>
      </c>
      <c r="GY164" s="409">
        <f t="shared" si="218"/>
        <v>0</v>
      </c>
      <c r="GZ164" s="409">
        <f t="shared" si="218"/>
        <v>0</v>
      </c>
      <c r="HA164" s="409">
        <f t="shared" si="219"/>
        <v>0</v>
      </c>
      <c r="HB164" s="409">
        <f t="shared" si="219"/>
        <v>0</v>
      </c>
      <c r="HC164" s="409">
        <f t="shared" si="219"/>
        <v>0</v>
      </c>
      <c r="HD164" s="409">
        <f t="shared" si="219"/>
        <v>0</v>
      </c>
      <c r="HE164" s="409">
        <f t="shared" si="219"/>
        <v>0</v>
      </c>
      <c r="HF164" s="409">
        <f t="shared" si="219"/>
        <v>0</v>
      </c>
      <c r="HG164" s="409">
        <f t="shared" si="219"/>
        <v>0</v>
      </c>
      <c r="HH164" s="409">
        <f t="shared" si="219"/>
        <v>0</v>
      </c>
      <c r="HI164" s="409">
        <f t="shared" si="219"/>
        <v>0</v>
      </c>
      <c r="HJ164" s="409">
        <f t="shared" si="219"/>
        <v>0</v>
      </c>
      <c r="HK164" s="409">
        <f t="shared" si="220"/>
        <v>0</v>
      </c>
      <c r="HL164" s="409">
        <f t="shared" si="220"/>
        <v>0</v>
      </c>
      <c r="HM164" s="409">
        <f t="shared" si="220"/>
        <v>0</v>
      </c>
      <c r="HN164" s="409">
        <f t="shared" si="220"/>
        <v>0</v>
      </c>
      <c r="HO164" s="409">
        <f t="shared" si="220"/>
        <v>0</v>
      </c>
      <c r="HP164" s="409">
        <f t="shared" si="220"/>
        <v>0</v>
      </c>
      <c r="HQ164" s="409">
        <f t="shared" si="220"/>
        <v>0</v>
      </c>
      <c r="HR164" s="409">
        <f t="shared" si="220"/>
        <v>0</v>
      </c>
      <c r="HS164" s="409">
        <f t="shared" si="220"/>
        <v>0</v>
      </c>
      <c r="HT164" s="409">
        <f t="shared" si="220"/>
        <v>0</v>
      </c>
      <c r="HU164" s="409">
        <f t="shared" si="221"/>
        <v>0</v>
      </c>
      <c r="HV164" s="409">
        <f t="shared" si="221"/>
        <v>0</v>
      </c>
      <c r="HW164" s="409">
        <f t="shared" si="221"/>
        <v>0</v>
      </c>
      <c r="HX164" s="409">
        <f t="shared" si="221"/>
        <v>0</v>
      </c>
      <c r="HY164" s="409">
        <f t="shared" si="221"/>
        <v>0</v>
      </c>
      <c r="HZ164" s="409">
        <f t="shared" si="221"/>
        <v>0</v>
      </c>
      <c r="IA164" s="409">
        <f t="shared" si="221"/>
        <v>0</v>
      </c>
      <c r="IB164" s="409">
        <f t="shared" si="221"/>
        <v>0</v>
      </c>
      <c r="IC164" s="409">
        <f t="shared" si="221"/>
        <v>0</v>
      </c>
      <c r="ID164" s="409">
        <f t="shared" si="221"/>
        <v>0</v>
      </c>
      <c r="IE164" s="409">
        <f t="shared" si="222"/>
        <v>0</v>
      </c>
      <c r="IF164" s="409">
        <f t="shared" si="222"/>
        <v>0</v>
      </c>
      <c r="IG164" s="409">
        <f t="shared" si="222"/>
        <v>0</v>
      </c>
      <c r="IH164" s="409">
        <f t="shared" si="222"/>
        <v>0</v>
      </c>
      <c r="II164" s="409">
        <f t="shared" si="222"/>
        <v>0</v>
      </c>
      <c r="IJ164" s="409">
        <f t="shared" si="222"/>
        <v>0</v>
      </c>
      <c r="IK164" s="378"/>
    </row>
    <row r="165" spans="1:245" hidden="1" x14ac:dyDescent="0.2">
      <c r="A165" s="380" t="str">
        <f t="shared" si="243"/>
        <v>e</v>
      </c>
      <c r="B165" s="712" t="str">
        <f>IF(ISERROR(INDEX('Legend(DX)'!$H$11:$H$12,8)),"",INDEX('Legend(DX)'!$H$11:$H$12,8))</f>
        <v/>
      </c>
      <c r="C165" s="712" t="e">
        <f>IF(INDEX('Legend(DX)'!$T$11:$T$12,8)=0,"See Legend",INDEX('Legend(DX)'!$T$11:$T$12,8))</f>
        <v>#REF!</v>
      </c>
      <c r="D165" s="712" t="e">
        <f>IF(INDEX('Legend(DX)'!$R$11:$R$12,(ROW(C165))-137)=0,IF(AND(INDEX('Legend(DX)'!$D$11:$D$12,(ROW(C165))-136)="CH",INDEX('Legend(DX)'!$F$11:$F$12,(ROW(C165))-136)="CASE - MANUAL"),INDEX('Legend(DX)'!$R$11:$R$12,(ROW(C165))-136),IF(INDEX('Legend(DX)'!$V$11:$V$12,(ROW(C165))-137)&gt;1, "(" &amp; INDEX('Legend(DX)'!$V$11:$V$12,(ROW(C165))-137) &amp; ") " &amp; INDEX('Legend(DX)'!$W$11:$W$12,(ROW(C165))-136),INDEX('Legend(DX)'!$W$11:$W$12,(ROW(C165))-137))),INDEX('Legend(DX)'!$R$11:$R$12,(ROW(C165))-137))</f>
        <v>#REF!</v>
      </c>
      <c r="E165" s="713" t="str">
        <f>IF(ISERROR(INDEX('Legend(DX)'!$AA$11:$AA$12,8)),"",INDEX('Legend(DX)'!$AA$11:$AA$12,8))</f>
        <v/>
      </c>
      <c r="F165" s="715"/>
      <c r="G165" s="715"/>
      <c r="H165" s="715"/>
      <c r="I165" s="715"/>
      <c r="J165" s="715"/>
      <c r="K165" s="890">
        <f t="shared" si="223"/>
        <v>0</v>
      </c>
      <c r="L165" s="718"/>
      <c r="M165" s="723"/>
      <c r="N165" s="972">
        <f t="shared" si="196"/>
        <v>-1</v>
      </c>
      <c r="O165" s="972">
        <f t="shared" si="244"/>
        <v>-1</v>
      </c>
      <c r="P165" s="972">
        <f t="shared" si="197"/>
        <v>-1</v>
      </c>
      <c r="Q165" s="972">
        <f t="shared" si="245"/>
        <v>-1</v>
      </c>
      <c r="R165" s="972">
        <f t="shared" si="198"/>
        <v>-1</v>
      </c>
      <c r="S165" s="972">
        <f t="shared" si="246"/>
        <v>-1</v>
      </c>
      <c r="T165" s="972">
        <f t="shared" si="199"/>
        <v>-1</v>
      </c>
      <c r="U165" s="972">
        <f t="shared" si="247"/>
        <v>-1</v>
      </c>
      <c r="V165" s="972">
        <f t="shared" si="200"/>
        <v>-1</v>
      </c>
      <c r="W165" s="972">
        <f t="shared" si="248"/>
        <v>-1</v>
      </c>
      <c r="X165" s="972">
        <f t="shared" si="201"/>
        <v>-1</v>
      </c>
      <c r="Y165" s="972">
        <f t="shared" si="229"/>
        <v>-1</v>
      </c>
      <c r="Z165" s="972">
        <f t="shared" si="230"/>
        <v>-1</v>
      </c>
      <c r="AA165" s="972">
        <f t="shared" si="231"/>
        <v>-1</v>
      </c>
      <c r="AB165" s="972">
        <f t="shared" si="232"/>
        <v>-1</v>
      </c>
      <c r="AC165" s="972">
        <f t="shared" si="233"/>
        <v>-1</v>
      </c>
      <c r="AD165" s="972">
        <f t="shared" si="234"/>
        <v>-1</v>
      </c>
      <c r="AE165" s="972">
        <f t="shared" si="235"/>
        <v>-1</v>
      </c>
      <c r="AF165" s="972">
        <f t="shared" si="236"/>
        <v>-1</v>
      </c>
      <c r="AG165" s="972">
        <f t="shared" si="237"/>
        <v>-1</v>
      </c>
      <c r="AH165" s="972">
        <f t="shared" si="238"/>
        <v>-1</v>
      </c>
      <c r="AI165" s="972">
        <f t="shared" si="239"/>
        <v>-1</v>
      </c>
      <c r="AJ165" s="972">
        <f t="shared" si="240"/>
        <v>-1</v>
      </c>
      <c r="AK165" s="381"/>
      <c r="AL165" s="727" t="str">
        <f t="shared" si="249"/>
        <v/>
      </c>
      <c r="AM165" s="409">
        <f t="shared" si="202"/>
        <v>0</v>
      </c>
      <c r="AN165" s="409">
        <f t="shared" si="202"/>
        <v>0</v>
      </c>
      <c r="AO165" s="409">
        <f t="shared" si="202"/>
        <v>0</v>
      </c>
      <c r="AP165" s="409">
        <f t="shared" si="202"/>
        <v>0</v>
      </c>
      <c r="AQ165" s="409">
        <f t="shared" si="202"/>
        <v>0</v>
      </c>
      <c r="AR165" s="409">
        <f t="shared" si="202"/>
        <v>0</v>
      </c>
      <c r="AS165" s="409">
        <f t="shared" si="202"/>
        <v>0</v>
      </c>
      <c r="AT165" s="409">
        <f t="shared" si="202"/>
        <v>0</v>
      </c>
      <c r="AU165" s="409">
        <f t="shared" si="202"/>
        <v>0</v>
      </c>
      <c r="AV165" s="409">
        <f t="shared" si="202"/>
        <v>0</v>
      </c>
      <c r="AW165" s="409">
        <f t="shared" si="203"/>
        <v>0</v>
      </c>
      <c r="AX165" s="409">
        <f t="shared" si="203"/>
        <v>0</v>
      </c>
      <c r="AY165" s="409">
        <f t="shared" si="203"/>
        <v>0</v>
      </c>
      <c r="AZ165" s="409">
        <f t="shared" si="203"/>
        <v>0</v>
      </c>
      <c r="BA165" s="409">
        <f t="shared" si="203"/>
        <v>0</v>
      </c>
      <c r="BB165" s="409">
        <f t="shared" si="203"/>
        <v>0</v>
      </c>
      <c r="BC165" s="409">
        <f t="shared" si="203"/>
        <v>0</v>
      </c>
      <c r="BD165" s="409">
        <f t="shared" si="203"/>
        <v>0</v>
      </c>
      <c r="BE165" s="409">
        <f t="shared" si="203"/>
        <v>0</v>
      </c>
      <c r="BF165" s="409">
        <f t="shared" si="203"/>
        <v>0</v>
      </c>
      <c r="BG165" s="409">
        <f t="shared" si="204"/>
        <v>0</v>
      </c>
      <c r="BH165" s="409">
        <f t="shared" si="204"/>
        <v>0</v>
      </c>
      <c r="BI165" s="409">
        <f t="shared" si="204"/>
        <v>0</v>
      </c>
      <c r="BJ165" s="409">
        <f t="shared" si="204"/>
        <v>0</v>
      </c>
      <c r="BK165" s="409">
        <f t="shared" si="204"/>
        <v>0</v>
      </c>
      <c r="BL165" s="409">
        <f t="shared" si="204"/>
        <v>0</v>
      </c>
      <c r="BM165" s="409">
        <f t="shared" si="204"/>
        <v>0</v>
      </c>
      <c r="BN165" s="409">
        <f t="shared" si="204"/>
        <v>0</v>
      </c>
      <c r="BO165" s="409">
        <f t="shared" si="204"/>
        <v>0</v>
      </c>
      <c r="BP165" s="409">
        <f t="shared" si="204"/>
        <v>0</v>
      </c>
      <c r="BQ165" s="409">
        <f t="shared" si="205"/>
        <v>0</v>
      </c>
      <c r="BR165" s="409">
        <f t="shared" si="205"/>
        <v>0</v>
      </c>
      <c r="BS165" s="409">
        <f t="shared" si="205"/>
        <v>0</v>
      </c>
      <c r="BT165" s="409">
        <f t="shared" si="205"/>
        <v>0</v>
      </c>
      <c r="BU165" s="409">
        <f t="shared" si="205"/>
        <v>0</v>
      </c>
      <c r="BV165" s="409">
        <f t="shared" si="205"/>
        <v>0</v>
      </c>
      <c r="BW165" s="409">
        <f t="shared" si="205"/>
        <v>0</v>
      </c>
      <c r="BX165" s="409">
        <f t="shared" si="205"/>
        <v>0</v>
      </c>
      <c r="BY165" s="409">
        <f t="shared" si="205"/>
        <v>0</v>
      </c>
      <c r="BZ165" s="409">
        <f t="shared" si="205"/>
        <v>0</v>
      </c>
      <c r="CA165" s="409">
        <f t="shared" si="206"/>
        <v>0</v>
      </c>
      <c r="CB165" s="409">
        <f t="shared" si="206"/>
        <v>0</v>
      </c>
      <c r="CC165" s="409">
        <f t="shared" si="206"/>
        <v>0</v>
      </c>
      <c r="CD165" s="409">
        <f t="shared" si="206"/>
        <v>0</v>
      </c>
      <c r="CE165" s="409">
        <f t="shared" si="206"/>
        <v>0</v>
      </c>
      <c r="CF165" s="409">
        <f t="shared" si="206"/>
        <v>0</v>
      </c>
      <c r="CG165" s="409">
        <f t="shared" si="206"/>
        <v>0</v>
      </c>
      <c r="CH165" s="409">
        <f t="shared" si="206"/>
        <v>0</v>
      </c>
      <c r="CI165" s="409">
        <f t="shared" si="206"/>
        <v>0</v>
      </c>
      <c r="CJ165" s="409">
        <f t="shared" si="206"/>
        <v>0</v>
      </c>
      <c r="CK165" s="409">
        <f t="shared" si="207"/>
        <v>0</v>
      </c>
      <c r="CL165" s="409">
        <f t="shared" si="207"/>
        <v>0</v>
      </c>
      <c r="CM165" s="409">
        <f t="shared" si="207"/>
        <v>0</v>
      </c>
      <c r="CN165" s="409">
        <f t="shared" si="207"/>
        <v>0</v>
      </c>
      <c r="CO165" s="409">
        <f t="shared" si="207"/>
        <v>0</v>
      </c>
      <c r="CP165" s="409">
        <f t="shared" si="207"/>
        <v>0</v>
      </c>
      <c r="CQ165" s="409">
        <f t="shared" si="207"/>
        <v>0</v>
      </c>
      <c r="CR165" s="409">
        <f t="shared" si="207"/>
        <v>0</v>
      </c>
      <c r="CS165" s="409">
        <f t="shared" si="207"/>
        <v>0</v>
      </c>
      <c r="CT165" s="409">
        <f t="shared" si="207"/>
        <v>0</v>
      </c>
      <c r="CU165" s="409">
        <f t="shared" si="208"/>
        <v>0</v>
      </c>
      <c r="CV165" s="409">
        <f t="shared" si="208"/>
        <v>0</v>
      </c>
      <c r="CW165" s="409">
        <f t="shared" si="208"/>
        <v>0</v>
      </c>
      <c r="CX165" s="409">
        <f t="shared" si="208"/>
        <v>0</v>
      </c>
      <c r="CY165" s="409">
        <f t="shared" si="208"/>
        <v>0</v>
      </c>
      <c r="CZ165" s="409">
        <f t="shared" si="208"/>
        <v>0</v>
      </c>
      <c r="DA165" s="409">
        <f t="shared" si="208"/>
        <v>0</v>
      </c>
      <c r="DB165" s="409">
        <f t="shared" si="208"/>
        <v>0</v>
      </c>
      <c r="DC165" s="409">
        <f t="shared" si="208"/>
        <v>0</v>
      </c>
      <c r="DD165" s="409">
        <f t="shared" si="208"/>
        <v>0</v>
      </c>
      <c r="DE165" s="409">
        <f t="shared" si="209"/>
        <v>0</v>
      </c>
      <c r="DF165" s="409">
        <f t="shared" si="209"/>
        <v>0</v>
      </c>
      <c r="DG165" s="409">
        <f t="shared" si="209"/>
        <v>0</v>
      </c>
      <c r="DH165" s="409">
        <f t="shared" si="209"/>
        <v>0</v>
      </c>
      <c r="DI165" s="409">
        <f t="shared" si="209"/>
        <v>0</v>
      </c>
      <c r="DJ165" s="409">
        <f t="shared" si="209"/>
        <v>0</v>
      </c>
      <c r="DK165" s="409">
        <f t="shared" si="209"/>
        <v>0</v>
      </c>
      <c r="DL165" s="409">
        <f t="shared" si="209"/>
        <v>0</v>
      </c>
      <c r="DM165" s="409">
        <f t="shared" si="209"/>
        <v>0</v>
      </c>
      <c r="DN165" s="409">
        <f t="shared" si="209"/>
        <v>0</v>
      </c>
      <c r="DO165" s="409">
        <f t="shared" si="210"/>
        <v>0</v>
      </c>
      <c r="DP165" s="409">
        <f t="shared" si="210"/>
        <v>0</v>
      </c>
      <c r="DQ165" s="409">
        <f t="shared" si="210"/>
        <v>0</v>
      </c>
      <c r="DR165" s="409">
        <f t="shared" si="210"/>
        <v>0</v>
      </c>
      <c r="DS165" s="409">
        <f t="shared" si="210"/>
        <v>0</v>
      </c>
      <c r="DT165" s="409">
        <f t="shared" si="210"/>
        <v>0</v>
      </c>
      <c r="DU165" s="409">
        <f t="shared" si="210"/>
        <v>0</v>
      </c>
      <c r="DV165" s="409">
        <f t="shared" si="210"/>
        <v>0</v>
      </c>
      <c r="DW165" s="409">
        <f t="shared" si="210"/>
        <v>0</v>
      </c>
      <c r="DX165" s="409">
        <f t="shared" si="210"/>
        <v>0</v>
      </c>
      <c r="DY165" s="409">
        <f t="shared" si="211"/>
        <v>0</v>
      </c>
      <c r="DZ165" s="409">
        <f t="shared" si="211"/>
        <v>0</v>
      </c>
      <c r="EA165" s="409">
        <f t="shared" si="211"/>
        <v>0</v>
      </c>
      <c r="EB165" s="409">
        <f t="shared" si="211"/>
        <v>0</v>
      </c>
      <c r="EC165" s="409">
        <f t="shared" si="211"/>
        <v>0</v>
      </c>
      <c r="ED165" s="409">
        <f t="shared" si="211"/>
        <v>0</v>
      </c>
      <c r="EE165" s="409">
        <f t="shared" si="211"/>
        <v>0</v>
      </c>
      <c r="EF165" s="409">
        <f t="shared" si="211"/>
        <v>0</v>
      </c>
      <c r="EG165" s="409">
        <f t="shared" si="211"/>
        <v>0</v>
      </c>
      <c r="EH165" s="409">
        <f t="shared" si="211"/>
        <v>0</v>
      </c>
      <c r="EI165" s="409">
        <f t="shared" si="212"/>
        <v>0</v>
      </c>
      <c r="EJ165" s="409">
        <f t="shared" si="212"/>
        <v>0</v>
      </c>
      <c r="EK165" s="409">
        <f t="shared" si="212"/>
        <v>0</v>
      </c>
      <c r="EL165" s="409">
        <f t="shared" si="212"/>
        <v>0</v>
      </c>
      <c r="EM165" s="409">
        <f t="shared" si="212"/>
        <v>0</v>
      </c>
      <c r="EN165" s="409">
        <f t="shared" si="212"/>
        <v>0</v>
      </c>
      <c r="EO165" s="409">
        <f t="shared" si="212"/>
        <v>0</v>
      </c>
      <c r="EP165" s="409">
        <f t="shared" si="212"/>
        <v>0</v>
      </c>
      <c r="EQ165" s="409">
        <f t="shared" si="212"/>
        <v>0</v>
      </c>
      <c r="ER165" s="409">
        <f t="shared" si="212"/>
        <v>0</v>
      </c>
      <c r="ES165" s="409">
        <f t="shared" si="213"/>
        <v>0</v>
      </c>
      <c r="ET165" s="409">
        <f t="shared" si="213"/>
        <v>0</v>
      </c>
      <c r="EU165" s="409">
        <f t="shared" si="213"/>
        <v>0</v>
      </c>
      <c r="EV165" s="409">
        <f t="shared" si="213"/>
        <v>0</v>
      </c>
      <c r="EW165" s="409">
        <f t="shared" si="213"/>
        <v>0</v>
      </c>
      <c r="EX165" s="409">
        <f t="shared" si="213"/>
        <v>0</v>
      </c>
      <c r="EY165" s="409">
        <f t="shared" si="213"/>
        <v>0</v>
      </c>
      <c r="EZ165" s="409">
        <f t="shared" si="213"/>
        <v>0</v>
      </c>
      <c r="FA165" s="409">
        <f t="shared" si="213"/>
        <v>0</v>
      </c>
      <c r="FB165" s="409">
        <f t="shared" si="213"/>
        <v>0</v>
      </c>
      <c r="FC165" s="409">
        <f t="shared" si="214"/>
        <v>0</v>
      </c>
      <c r="FD165" s="409">
        <f t="shared" si="214"/>
        <v>0</v>
      </c>
      <c r="FE165" s="409">
        <f t="shared" si="214"/>
        <v>0</v>
      </c>
      <c r="FF165" s="409">
        <f t="shared" si="214"/>
        <v>0</v>
      </c>
      <c r="FG165" s="409">
        <f t="shared" si="214"/>
        <v>0</v>
      </c>
      <c r="FH165" s="409">
        <f t="shared" si="214"/>
        <v>0</v>
      </c>
      <c r="FI165" s="409">
        <f t="shared" si="214"/>
        <v>0</v>
      </c>
      <c r="FJ165" s="409">
        <f t="shared" si="214"/>
        <v>0</v>
      </c>
      <c r="FK165" s="409">
        <f t="shared" si="214"/>
        <v>0</v>
      </c>
      <c r="FL165" s="409">
        <f t="shared" si="214"/>
        <v>0</v>
      </c>
      <c r="FM165" s="409">
        <f t="shared" si="215"/>
        <v>0</v>
      </c>
      <c r="FN165" s="409">
        <f t="shared" si="215"/>
        <v>0</v>
      </c>
      <c r="FO165" s="409">
        <f t="shared" si="215"/>
        <v>0</v>
      </c>
      <c r="FP165" s="409">
        <f t="shared" si="215"/>
        <v>0</v>
      </c>
      <c r="FQ165" s="409">
        <f t="shared" si="215"/>
        <v>0</v>
      </c>
      <c r="FR165" s="409">
        <f t="shared" si="215"/>
        <v>0</v>
      </c>
      <c r="FS165" s="409">
        <f t="shared" si="215"/>
        <v>0</v>
      </c>
      <c r="FT165" s="409">
        <f t="shared" si="215"/>
        <v>0</v>
      </c>
      <c r="FU165" s="409">
        <f t="shared" si="215"/>
        <v>0</v>
      </c>
      <c r="FV165" s="409">
        <f t="shared" si="215"/>
        <v>0</v>
      </c>
      <c r="FW165" s="409">
        <f t="shared" si="216"/>
        <v>0</v>
      </c>
      <c r="FX165" s="409">
        <f t="shared" si="216"/>
        <v>0</v>
      </c>
      <c r="FY165" s="409">
        <f t="shared" si="216"/>
        <v>0</v>
      </c>
      <c r="FZ165" s="409">
        <f t="shared" si="216"/>
        <v>0</v>
      </c>
      <c r="GA165" s="409">
        <f t="shared" si="216"/>
        <v>0</v>
      </c>
      <c r="GB165" s="409">
        <f t="shared" si="216"/>
        <v>0</v>
      </c>
      <c r="GC165" s="409">
        <f t="shared" si="216"/>
        <v>0</v>
      </c>
      <c r="GD165" s="409">
        <f t="shared" si="216"/>
        <v>0</v>
      </c>
      <c r="GE165" s="409">
        <f t="shared" si="216"/>
        <v>0</v>
      </c>
      <c r="GF165" s="409">
        <f t="shared" si="216"/>
        <v>0</v>
      </c>
      <c r="GG165" s="409">
        <f t="shared" si="217"/>
        <v>0</v>
      </c>
      <c r="GH165" s="409">
        <f t="shared" si="217"/>
        <v>0</v>
      </c>
      <c r="GI165" s="409">
        <f t="shared" si="217"/>
        <v>0</v>
      </c>
      <c r="GJ165" s="409">
        <f t="shared" si="217"/>
        <v>0</v>
      </c>
      <c r="GK165" s="409">
        <f t="shared" si="217"/>
        <v>0</v>
      </c>
      <c r="GL165" s="409">
        <f t="shared" si="217"/>
        <v>0</v>
      </c>
      <c r="GM165" s="409">
        <f t="shared" si="217"/>
        <v>0</v>
      </c>
      <c r="GN165" s="409">
        <f t="shared" si="217"/>
        <v>0</v>
      </c>
      <c r="GO165" s="409">
        <f t="shared" si="217"/>
        <v>0</v>
      </c>
      <c r="GP165" s="409">
        <f t="shared" si="217"/>
        <v>0</v>
      </c>
      <c r="GQ165" s="409">
        <f t="shared" si="218"/>
        <v>0</v>
      </c>
      <c r="GR165" s="409">
        <f t="shared" si="218"/>
        <v>0</v>
      </c>
      <c r="GS165" s="409">
        <f t="shared" si="218"/>
        <v>0</v>
      </c>
      <c r="GT165" s="409">
        <f t="shared" si="218"/>
        <v>0</v>
      </c>
      <c r="GU165" s="409">
        <f t="shared" si="218"/>
        <v>0</v>
      </c>
      <c r="GV165" s="409">
        <f t="shared" si="218"/>
        <v>0</v>
      </c>
      <c r="GW165" s="409">
        <f t="shared" si="218"/>
        <v>0</v>
      </c>
      <c r="GX165" s="409">
        <f t="shared" si="218"/>
        <v>0</v>
      </c>
      <c r="GY165" s="409">
        <f t="shared" si="218"/>
        <v>0</v>
      </c>
      <c r="GZ165" s="409">
        <f t="shared" si="218"/>
        <v>0</v>
      </c>
      <c r="HA165" s="409">
        <f t="shared" si="219"/>
        <v>0</v>
      </c>
      <c r="HB165" s="409">
        <f t="shared" si="219"/>
        <v>0</v>
      </c>
      <c r="HC165" s="409">
        <f t="shared" si="219"/>
        <v>0</v>
      </c>
      <c r="HD165" s="409">
        <f t="shared" si="219"/>
        <v>0</v>
      </c>
      <c r="HE165" s="409">
        <f t="shared" si="219"/>
        <v>0</v>
      </c>
      <c r="HF165" s="409">
        <f t="shared" si="219"/>
        <v>0</v>
      </c>
      <c r="HG165" s="409">
        <f t="shared" si="219"/>
        <v>0</v>
      </c>
      <c r="HH165" s="409">
        <f t="shared" si="219"/>
        <v>0</v>
      </c>
      <c r="HI165" s="409">
        <f t="shared" si="219"/>
        <v>0</v>
      </c>
      <c r="HJ165" s="409">
        <f t="shared" si="219"/>
        <v>0</v>
      </c>
      <c r="HK165" s="409">
        <f t="shared" si="220"/>
        <v>0</v>
      </c>
      <c r="HL165" s="409">
        <f t="shared" si="220"/>
        <v>0</v>
      </c>
      <c r="HM165" s="409">
        <f t="shared" si="220"/>
        <v>0</v>
      </c>
      <c r="HN165" s="409">
        <f t="shared" si="220"/>
        <v>0</v>
      </c>
      <c r="HO165" s="409">
        <f t="shared" si="220"/>
        <v>0</v>
      </c>
      <c r="HP165" s="409">
        <f t="shared" si="220"/>
        <v>0</v>
      </c>
      <c r="HQ165" s="409">
        <f t="shared" si="220"/>
        <v>0</v>
      </c>
      <c r="HR165" s="409">
        <f t="shared" si="220"/>
        <v>0</v>
      </c>
      <c r="HS165" s="409">
        <f t="shared" si="220"/>
        <v>0</v>
      </c>
      <c r="HT165" s="409">
        <f t="shared" si="220"/>
        <v>0</v>
      </c>
      <c r="HU165" s="409">
        <f t="shared" si="221"/>
        <v>0</v>
      </c>
      <c r="HV165" s="409">
        <f t="shared" si="221"/>
        <v>0</v>
      </c>
      <c r="HW165" s="409">
        <f t="shared" si="221"/>
        <v>0</v>
      </c>
      <c r="HX165" s="409">
        <f t="shared" si="221"/>
        <v>0</v>
      </c>
      <c r="HY165" s="409">
        <f t="shared" si="221"/>
        <v>0</v>
      </c>
      <c r="HZ165" s="409">
        <f t="shared" si="221"/>
        <v>0</v>
      </c>
      <c r="IA165" s="409">
        <f t="shared" si="221"/>
        <v>0</v>
      </c>
      <c r="IB165" s="409">
        <f t="shared" si="221"/>
        <v>0</v>
      </c>
      <c r="IC165" s="409">
        <f t="shared" si="221"/>
        <v>0</v>
      </c>
      <c r="ID165" s="409">
        <f t="shared" si="221"/>
        <v>0</v>
      </c>
      <c r="IE165" s="409">
        <f t="shared" si="222"/>
        <v>0</v>
      </c>
      <c r="IF165" s="409">
        <f t="shared" si="222"/>
        <v>0</v>
      </c>
      <c r="IG165" s="409">
        <f t="shared" si="222"/>
        <v>0</v>
      </c>
      <c r="IH165" s="409">
        <f t="shared" si="222"/>
        <v>0</v>
      </c>
      <c r="II165" s="409">
        <f t="shared" si="222"/>
        <v>0</v>
      </c>
      <c r="IJ165" s="409">
        <f t="shared" si="222"/>
        <v>0</v>
      </c>
      <c r="IK165" s="378"/>
    </row>
    <row r="166" spans="1:245" hidden="1" x14ac:dyDescent="0.2">
      <c r="A166" s="380" t="str">
        <f t="shared" si="243"/>
        <v>e</v>
      </c>
      <c r="B166" s="712" t="str">
        <f>IF(ISERROR(INDEX('Legend(DX)'!$H$11:$H$12,9)),"",INDEX('Legend(DX)'!$H$11:$H$12,9))</f>
        <v/>
      </c>
      <c r="C166" s="712" t="e">
        <f>IF(INDEX('Legend(DX)'!$T$11:$T$12,9)=0,"See Legend",INDEX('Legend(DX)'!$T$11:$T$12,9))</f>
        <v>#REF!</v>
      </c>
      <c r="D166" s="712" t="e">
        <f>IF(INDEX('Legend(DX)'!$R$11:$R$12,(ROW(C166))-137)=0,IF(AND(INDEX('Legend(DX)'!$D$11:$D$12,(ROW(C166))-136)="CH",INDEX('Legend(DX)'!$F$11:$F$12,(ROW(C166))-136)="CASE - MANUAL"),INDEX('Legend(DX)'!$R$11:$R$12,(ROW(C166))-136),IF(INDEX('Legend(DX)'!$V$11:$V$12,(ROW(C166))-137)&gt;1, "(" &amp; INDEX('Legend(DX)'!$V$11:$V$12,(ROW(C166))-137) &amp; ") " &amp; INDEX('Legend(DX)'!$W$11:$W$12,(ROW(C166))-136),INDEX('Legend(DX)'!$W$11:$W$12,(ROW(C166))-137))),INDEX('Legend(DX)'!$R$11:$R$12,(ROW(C166))-137))</f>
        <v>#REF!</v>
      </c>
      <c r="E166" s="713" t="str">
        <f>IF(ISERROR(INDEX('Legend(DX)'!$AA$11:$AA$12,9)),"",INDEX('Legend(DX)'!$AA$11:$AA$12,9))</f>
        <v/>
      </c>
      <c r="F166" s="715"/>
      <c r="G166" s="715"/>
      <c r="H166" s="715"/>
      <c r="I166" s="715"/>
      <c r="J166" s="715"/>
      <c r="K166" s="890">
        <f t="shared" si="223"/>
        <v>0</v>
      </c>
      <c r="L166" s="718"/>
      <c r="M166" s="723"/>
      <c r="N166" s="972">
        <f t="shared" si="196"/>
        <v>-1</v>
      </c>
      <c r="O166" s="972">
        <f t="shared" si="244"/>
        <v>-1</v>
      </c>
      <c r="P166" s="972">
        <f t="shared" si="197"/>
        <v>-1</v>
      </c>
      <c r="Q166" s="972">
        <f t="shared" si="245"/>
        <v>-1</v>
      </c>
      <c r="R166" s="972">
        <f t="shared" si="198"/>
        <v>-1</v>
      </c>
      <c r="S166" s="972">
        <f t="shared" si="246"/>
        <v>-1</v>
      </c>
      <c r="T166" s="972">
        <f t="shared" si="199"/>
        <v>-1</v>
      </c>
      <c r="U166" s="972">
        <f t="shared" si="247"/>
        <v>-1</v>
      </c>
      <c r="V166" s="972">
        <f t="shared" si="200"/>
        <v>-1</v>
      </c>
      <c r="W166" s="972">
        <f t="shared" si="248"/>
        <v>-1</v>
      </c>
      <c r="X166" s="972">
        <f t="shared" si="201"/>
        <v>-1</v>
      </c>
      <c r="Y166" s="972">
        <f t="shared" si="229"/>
        <v>-1</v>
      </c>
      <c r="Z166" s="972">
        <f t="shared" si="230"/>
        <v>-1</v>
      </c>
      <c r="AA166" s="972">
        <f t="shared" si="231"/>
        <v>-1</v>
      </c>
      <c r="AB166" s="972">
        <f t="shared" si="232"/>
        <v>-1</v>
      </c>
      <c r="AC166" s="972">
        <f t="shared" si="233"/>
        <v>-1</v>
      </c>
      <c r="AD166" s="972">
        <f t="shared" si="234"/>
        <v>-1</v>
      </c>
      <c r="AE166" s="972">
        <f t="shared" si="235"/>
        <v>-1</v>
      </c>
      <c r="AF166" s="972">
        <f t="shared" si="236"/>
        <v>-1</v>
      </c>
      <c r="AG166" s="972">
        <f t="shared" si="237"/>
        <v>-1</v>
      </c>
      <c r="AH166" s="972">
        <f t="shared" si="238"/>
        <v>-1</v>
      </c>
      <c r="AI166" s="972">
        <f t="shared" si="239"/>
        <v>-1</v>
      </c>
      <c r="AJ166" s="972">
        <f t="shared" si="240"/>
        <v>-1</v>
      </c>
      <c r="AK166" s="381"/>
      <c r="AL166" s="727" t="str">
        <f t="shared" si="249"/>
        <v/>
      </c>
      <c r="AM166" s="409">
        <f t="shared" si="202"/>
        <v>0</v>
      </c>
      <c r="AN166" s="409">
        <f t="shared" si="202"/>
        <v>0</v>
      </c>
      <c r="AO166" s="409">
        <f t="shared" si="202"/>
        <v>0</v>
      </c>
      <c r="AP166" s="409">
        <f t="shared" si="202"/>
        <v>0</v>
      </c>
      <c r="AQ166" s="409">
        <f t="shared" si="202"/>
        <v>0</v>
      </c>
      <c r="AR166" s="409">
        <f t="shared" si="202"/>
        <v>0</v>
      </c>
      <c r="AS166" s="409">
        <f t="shared" si="202"/>
        <v>0</v>
      </c>
      <c r="AT166" s="409">
        <f t="shared" si="202"/>
        <v>0</v>
      </c>
      <c r="AU166" s="409">
        <f t="shared" si="202"/>
        <v>0</v>
      </c>
      <c r="AV166" s="409">
        <f t="shared" si="202"/>
        <v>0</v>
      </c>
      <c r="AW166" s="409">
        <f t="shared" si="203"/>
        <v>0</v>
      </c>
      <c r="AX166" s="409">
        <f t="shared" si="203"/>
        <v>0</v>
      </c>
      <c r="AY166" s="409">
        <f t="shared" si="203"/>
        <v>0</v>
      </c>
      <c r="AZ166" s="409">
        <f t="shared" si="203"/>
        <v>0</v>
      </c>
      <c r="BA166" s="409">
        <f t="shared" si="203"/>
        <v>0</v>
      </c>
      <c r="BB166" s="409">
        <f t="shared" si="203"/>
        <v>0</v>
      </c>
      <c r="BC166" s="409">
        <f t="shared" si="203"/>
        <v>0</v>
      </c>
      <c r="BD166" s="409">
        <f t="shared" si="203"/>
        <v>0</v>
      </c>
      <c r="BE166" s="409">
        <f t="shared" si="203"/>
        <v>0</v>
      </c>
      <c r="BF166" s="409">
        <f t="shared" si="203"/>
        <v>0</v>
      </c>
      <c r="BG166" s="409">
        <f t="shared" si="204"/>
        <v>0</v>
      </c>
      <c r="BH166" s="409">
        <f t="shared" si="204"/>
        <v>0</v>
      </c>
      <c r="BI166" s="409">
        <f t="shared" si="204"/>
        <v>0</v>
      </c>
      <c r="BJ166" s="409">
        <f t="shared" si="204"/>
        <v>0</v>
      </c>
      <c r="BK166" s="409">
        <f t="shared" si="204"/>
        <v>0</v>
      </c>
      <c r="BL166" s="409">
        <f t="shared" si="204"/>
        <v>0</v>
      </c>
      <c r="BM166" s="409">
        <f t="shared" si="204"/>
        <v>0</v>
      </c>
      <c r="BN166" s="409">
        <f t="shared" si="204"/>
        <v>0</v>
      </c>
      <c r="BO166" s="409">
        <f t="shared" si="204"/>
        <v>0</v>
      </c>
      <c r="BP166" s="409">
        <f t="shared" si="204"/>
        <v>0</v>
      </c>
      <c r="BQ166" s="409">
        <f t="shared" si="205"/>
        <v>0</v>
      </c>
      <c r="BR166" s="409">
        <f t="shared" si="205"/>
        <v>0</v>
      </c>
      <c r="BS166" s="409">
        <f t="shared" si="205"/>
        <v>0</v>
      </c>
      <c r="BT166" s="409">
        <f t="shared" si="205"/>
        <v>0</v>
      </c>
      <c r="BU166" s="409">
        <f t="shared" si="205"/>
        <v>0</v>
      </c>
      <c r="BV166" s="409">
        <f t="shared" si="205"/>
        <v>0</v>
      </c>
      <c r="BW166" s="409">
        <f t="shared" si="205"/>
        <v>0</v>
      </c>
      <c r="BX166" s="409">
        <f t="shared" si="205"/>
        <v>0</v>
      </c>
      <c r="BY166" s="409">
        <f t="shared" si="205"/>
        <v>0</v>
      </c>
      <c r="BZ166" s="409">
        <f t="shared" si="205"/>
        <v>0</v>
      </c>
      <c r="CA166" s="409">
        <f t="shared" si="206"/>
        <v>0</v>
      </c>
      <c r="CB166" s="409">
        <f t="shared" si="206"/>
        <v>0</v>
      </c>
      <c r="CC166" s="409">
        <f t="shared" si="206"/>
        <v>0</v>
      </c>
      <c r="CD166" s="409">
        <f t="shared" si="206"/>
        <v>0</v>
      </c>
      <c r="CE166" s="409">
        <f t="shared" si="206"/>
        <v>0</v>
      </c>
      <c r="CF166" s="409">
        <f t="shared" si="206"/>
        <v>0</v>
      </c>
      <c r="CG166" s="409">
        <f t="shared" si="206"/>
        <v>0</v>
      </c>
      <c r="CH166" s="409">
        <f t="shared" si="206"/>
        <v>0</v>
      </c>
      <c r="CI166" s="409">
        <f t="shared" si="206"/>
        <v>0</v>
      </c>
      <c r="CJ166" s="409">
        <f t="shared" si="206"/>
        <v>0</v>
      </c>
      <c r="CK166" s="409">
        <f t="shared" si="207"/>
        <v>0</v>
      </c>
      <c r="CL166" s="409">
        <f t="shared" si="207"/>
        <v>0</v>
      </c>
      <c r="CM166" s="409">
        <f t="shared" si="207"/>
        <v>0</v>
      </c>
      <c r="CN166" s="409">
        <f t="shared" si="207"/>
        <v>0</v>
      </c>
      <c r="CO166" s="409">
        <f t="shared" si="207"/>
        <v>0</v>
      </c>
      <c r="CP166" s="409">
        <f t="shared" si="207"/>
        <v>0</v>
      </c>
      <c r="CQ166" s="409">
        <f t="shared" si="207"/>
        <v>0</v>
      </c>
      <c r="CR166" s="409">
        <f t="shared" si="207"/>
        <v>0</v>
      </c>
      <c r="CS166" s="409">
        <f t="shared" si="207"/>
        <v>0</v>
      </c>
      <c r="CT166" s="409">
        <f t="shared" si="207"/>
        <v>0</v>
      </c>
      <c r="CU166" s="409">
        <f t="shared" si="208"/>
        <v>0</v>
      </c>
      <c r="CV166" s="409">
        <f t="shared" si="208"/>
        <v>0</v>
      </c>
      <c r="CW166" s="409">
        <f t="shared" si="208"/>
        <v>0</v>
      </c>
      <c r="CX166" s="409">
        <f t="shared" si="208"/>
        <v>0</v>
      </c>
      <c r="CY166" s="409">
        <f t="shared" si="208"/>
        <v>0</v>
      </c>
      <c r="CZ166" s="409">
        <f t="shared" si="208"/>
        <v>0</v>
      </c>
      <c r="DA166" s="409">
        <f t="shared" si="208"/>
        <v>0</v>
      </c>
      <c r="DB166" s="409">
        <f t="shared" si="208"/>
        <v>0</v>
      </c>
      <c r="DC166" s="409">
        <f t="shared" si="208"/>
        <v>0</v>
      </c>
      <c r="DD166" s="409">
        <f t="shared" si="208"/>
        <v>0</v>
      </c>
      <c r="DE166" s="409">
        <f t="shared" si="209"/>
        <v>0</v>
      </c>
      <c r="DF166" s="409">
        <f t="shared" si="209"/>
        <v>0</v>
      </c>
      <c r="DG166" s="409">
        <f t="shared" si="209"/>
        <v>0</v>
      </c>
      <c r="DH166" s="409">
        <f t="shared" si="209"/>
        <v>0</v>
      </c>
      <c r="DI166" s="409">
        <f t="shared" si="209"/>
        <v>0</v>
      </c>
      <c r="DJ166" s="409">
        <f t="shared" si="209"/>
        <v>0</v>
      </c>
      <c r="DK166" s="409">
        <f t="shared" si="209"/>
        <v>0</v>
      </c>
      <c r="DL166" s="409">
        <f t="shared" si="209"/>
        <v>0</v>
      </c>
      <c r="DM166" s="409">
        <f t="shared" si="209"/>
        <v>0</v>
      </c>
      <c r="DN166" s="409">
        <f t="shared" si="209"/>
        <v>0</v>
      </c>
      <c r="DO166" s="409">
        <f t="shared" si="210"/>
        <v>0</v>
      </c>
      <c r="DP166" s="409">
        <f t="shared" si="210"/>
        <v>0</v>
      </c>
      <c r="DQ166" s="409">
        <f t="shared" si="210"/>
        <v>0</v>
      </c>
      <c r="DR166" s="409">
        <f t="shared" si="210"/>
        <v>0</v>
      </c>
      <c r="DS166" s="409">
        <f t="shared" si="210"/>
        <v>0</v>
      </c>
      <c r="DT166" s="409">
        <f t="shared" si="210"/>
        <v>0</v>
      </c>
      <c r="DU166" s="409">
        <f t="shared" si="210"/>
        <v>0</v>
      </c>
      <c r="DV166" s="409">
        <f t="shared" si="210"/>
        <v>0</v>
      </c>
      <c r="DW166" s="409">
        <f t="shared" si="210"/>
        <v>0</v>
      </c>
      <c r="DX166" s="409">
        <f t="shared" si="210"/>
        <v>0</v>
      </c>
      <c r="DY166" s="409">
        <f t="shared" si="211"/>
        <v>0</v>
      </c>
      <c r="DZ166" s="409">
        <f t="shared" si="211"/>
        <v>0</v>
      </c>
      <c r="EA166" s="409">
        <f t="shared" si="211"/>
        <v>0</v>
      </c>
      <c r="EB166" s="409">
        <f t="shared" si="211"/>
        <v>0</v>
      </c>
      <c r="EC166" s="409">
        <f t="shared" si="211"/>
        <v>0</v>
      </c>
      <c r="ED166" s="409">
        <f t="shared" si="211"/>
        <v>0</v>
      </c>
      <c r="EE166" s="409">
        <f t="shared" si="211"/>
        <v>0</v>
      </c>
      <c r="EF166" s="409">
        <f t="shared" si="211"/>
        <v>0</v>
      </c>
      <c r="EG166" s="409">
        <f t="shared" si="211"/>
        <v>0</v>
      </c>
      <c r="EH166" s="409">
        <f t="shared" si="211"/>
        <v>0</v>
      </c>
      <c r="EI166" s="409">
        <f t="shared" si="212"/>
        <v>0</v>
      </c>
      <c r="EJ166" s="409">
        <f t="shared" si="212"/>
        <v>0</v>
      </c>
      <c r="EK166" s="409">
        <f t="shared" si="212"/>
        <v>0</v>
      </c>
      <c r="EL166" s="409">
        <f t="shared" si="212"/>
        <v>0</v>
      </c>
      <c r="EM166" s="409">
        <f t="shared" si="212"/>
        <v>0</v>
      </c>
      <c r="EN166" s="409">
        <f t="shared" si="212"/>
        <v>0</v>
      </c>
      <c r="EO166" s="409">
        <f t="shared" si="212"/>
        <v>0</v>
      </c>
      <c r="EP166" s="409">
        <f t="shared" si="212"/>
        <v>0</v>
      </c>
      <c r="EQ166" s="409">
        <f t="shared" si="212"/>
        <v>0</v>
      </c>
      <c r="ER166" s="409">
        <f t="shared" si="212"/>
        <v>0</v>
      </c>
      <c r="ES166" s="409">
        <f t="shared" si="213"/>
        <v>0</v>
      </c>
      <c r="ET166" s="409">
        <f t="shared" si="213"/>
        <v>0</v>
      </c>
      <c r="EU166" s="409">
        <f t="shared" si="213"/>
        <v>0</v>
      </c>
      <c r="EV166" s="409">
        <f t="shared" si="213"/>
        <v>0</v>
      </c>
      <c r="EW166" s="409">
        <f t="shared" si="213"/>
        <v>0</v>
      </c>
      <c r="EX166" s="409">
        <f t="shared" si="213"/>
        <v>0</v>
      </c>
      <c r="EY166" s="409">
        <f t="shared" si="213"/>
        <v>0</v>
      </c>
      <c r="EZ166" s="409">
        <f t="shared" si="213"/>
        <v>0</v>
      </c>
      <c r="FA166" s="409">
        <f t="shared" si="213"/>
        <v>0</v>
      </c>
      <c r="FB166" s="409">
        <f t="shared" si="213"/>
        <v>0</v>
      </c>
      <c r="FC166" s="409">
        <f t="shared" si="214"/>
        <v>0</v>
      </c>
      <c r="FD166" s="409">
        <f t="shared" si="214"/>
        <v>0</v>
      </c>
      <c r="FE166" s="409">
        <f t="shared" si="214"/>
        <v>0</v>
      </c>
      <c r="FF166" s="409">
        <f t="shared" si="214"/>
        <v>0</v>
      </c>
      <c r="FG166" s="409">
        <f t="shared" si="214"/>
        <v>0</v>
      </c>
      <c r="FH166" s="409">
        <f t="shared" si="214"/>
        <v>0</v>
      </c>
      <c r="FI166" s="409">
        <f t="shared" si="214"/>
        <v>0</v>
      </c>
      <c r="FJ166" s="409">
        <f t="shared" si="214"/>
        <v>0</v>
      </c>
      <c r="FK166" s="409">
        <f t="shared" si="214"/>
        <v>0</v>
      </c>
      <c r="FL166" s="409">
        <f t="shared" si="214"/>
        <v>0</v>
      </c>
      <c r="FM166" s="409">
        <f t="shared" si="215"/>
        <v>0</v>
      </c>
      <c r="FN166" s="409">
        <f t="shared" si="215"/>
        <v>0</v>
      </c>
      <c r="FO166" s="409">
        <f t="shared" si="215"/>
        <v>0</v>
      </c>
      <c r="FP166" s="409">
        <f t="shared" si="215"/>
        <v>0</v>
      </c>
      <c r="FQ166" s="409">
        <f t="shared" si="215"/>
        <v>0</v>
      </c>
      <c r="FR166" s="409">
        <f t="shared" si="215"/>
        <v>0</v>
      </c>
      <c r="FS166" s="409">
        <f t="shared" si="215"/>
        <v>0</v>
      </c>
      <c r="FT166" s="409">
        <f t="shared" si="215"/>
        <v>0</v>
      </c>
      <c r="FU166" s="409">
        <f t="shared" si="215"/>
        <v>0</v>
      </c>
      <c r="FV166" s="409">
        <f t="shared" si="215"/>
        <v>0</v>
      </c>
      <c r="FW166" s="409">
        <f t="shared" si="216"/>
        <v>0</v>
      </c>
      <c r="FX166" s="409">
        <f t="shared" si="216"/>
        <v>0</v>
      </c>
      <c r="FY166" s="409">
        <f t="shared" si="216"/>
        <v>0</v>
      </c>
      <c r="FZ166" s="409">
        <f t="shared" si="216"/>
        <v>0</v>
      </c>
      <c r="GA166" s="409">
        <f t="shared" si="216"/>
        <v>0</v>
      </c>
      <c r="GB166" s="409">
        <f t="shared" si="216"/>
        <v>0</v>
      </c>
      <c r="GC166" s="409">
        <f t="shared" si="216"/>
        <v>0</v>
      </c>
      <c r="GD166" s="409">
        <f t="shared" si="216"/>
        <v>0</v>
      </c>
      <c r="GE166" s="409">
        <f t="shared" si="216"/>
        <v>0</v>
      </c>
      <c r="GF166" s="409">
        <f t="shared" si="216"/>
        <v>0</v>
      </c>
      <c r="GG166" s="409">
        <f t="shared" si="217"/>
        <v>0</v>
      </c>
      <c r="GH166" s="409">
        <f t="shared" si="217"/>
        <v>0</v>
      </c>
      <c r="GI166" s="409">
        <f t="shared" si="217"/>
        <v>0</v>
      </c>
      <c r="GJ166" s="409">
        <f t="shared" si="217"/>
        <v>0</v>
      </c>
      <c r="GK166" s="409">
        <f t="shared" si="217"/>
        <v>0</v>
      </c>
      <c r="GL166" s="409">
        <f t="shared" si="217"/>
        <v>0</v>
      </c>
      <c r="GM166" s="409">
        <f t="shared" si="217"/>
        <v>0</v>
      </c>
      <c r="GN166" s="409">
        <f t="shared" si="217"/>
        <v>0</v>
      </c>
      <c r="GO166" s="409">
        <f t="shared" si="217"/>
        <v>0</v>
      </c>
      <c r="GP166" s="409">
        <f t="shared" si="217"/>
        <v>0</v>
      </c>
      <c r="GQ166" s="409">
        <f t="shared" si="218"/>
        <v>0</v>
      </c>
      <c r="GR166" s="409">
        <f t="shared" si="218"/>
        <v>0</v>
      </c>
      <c r="GS166" s="409">
        <f t="shared" si="218"/>
        <v>0</v>
      </c>
      <c r="GT166" s="409">
        <f t="shared" si="218"/>
        <v>0</v>
      </c>
      <c r="GU166" s="409">
        <f t="shared" si="218"/>
        <v>0</v>
      </c>
      <c r="GV166" s="409">
        <f t="shared" si="218"/>
        <v>0</v>
      </c>
      <c r="GW166" s="409">
        <f t="shared" si="218"/>
        <v>0</v>
      </c>
      <c r="GX166" s="409">
        <f t="shared" si="218"/>
        <v>0</v>
      </c>
      <c r="GY166" s="409">
        <f t="shared" si="218"/>
        <v>0</v>
      </c>
      <c r="GZ166" s="409">
        <f t="shared" si="218"/>
        <v>0</v>
      </c>
      <c r="HA166" s="409">
        <f t="shared" si="219"/>
        <v>0</v>
      </c>
      <c r="HB166" s="409">
        <f t="shared" si="219"/>
        <v>0</v>
      </c>
      <c r="HC166" s="409">
        <f t="shared" si="219"/>
        <v>0</v>
      </c>
      <c r="HD166" s="409">
        <f t="shared" si="219"/>
        <v>0</v>
      </c>
      <c r="HE166" s="409">
        <f t="shared" si="219"/>
        <v>0</v>
      </c>
      <c r="HF166" s="409">
        <f t="shared" si="219"/>
        <v>0</v>
      </c>
      <c r="HG166" s="409">
        <f t="shared" si="219"/>
        <v>0</v>
      </c>
      <c r="HH166" s="409">
        <f t="shared" si="219"/>
        <v>0</v>
      </c>
      <c r="HI166" s="409">
        <f t="shared" si="219"/>
        <v>0</v>
      </c>
      <c r="HJ166" s="409">
        <f t="shared" si="219"/>
        <v>0</v>
      </c>
      <c r="HK166" s="409">
        <f t="shared" si="220"/>
        <v>0</v>
      </c>
      <c r="HL166" s="409">
        <f t="shared" si="220"/>
        <v>0</v>
      </c>
      <c r="HM166" s="409">
        <f t="shared" si="220"/>
        <v>0</v>
      </c>
      <c r="HN166" s="409">
        <f t="shared" si="220"/>
        <v>0</v>
      </c>
      <c r="HO166" s="409">
        <f t="shared" si="220"/>
        <v>0</v>
      </c>
      <c r="HP166" s="409">
        <f t="shared" si="220"/>
        <v>0</v>
      </c>
      <c r="HQ166" s="409">
        <f t="shared" si="220"/>
        <v>0</v>
      </c>
      <c r="HR166" s="409">
        <f t="shared" si="220"/>
        <v>0</v>
      </c>
      <c r="HS166" s="409">
        <f t="shared" si="220"/>
        <v>0</v>
      </c>
      <c r="HT166" s="409">
        <f t="shared" si="220"/>
        <v>0</v>
      </c>
      <c r="HU166" s="409">
        <f t="shared" si="221"/>
        <v>0</v>
      </c>
      <c r="HV166" s="409">
        <f t="shared" si="221"/>
        <v>0</v>
      </c>
      <c r="HW166" s="409">
        <f t="shared" si="221"/>
        <v>0</v>
      </c>
      <c r="HX166" s="409">
        <f t="shared" si="221"/>
        <v>0</v>
      </c>
      <c r="HY166" s="409">
        <f t="shared" si="221"/>
        <v>0</v>
      </c>
      <c r="HZ166" s="409">
        <f t="shared" si="221"/>
        <v>0</v>
      </c>
      <c r="IA166" s="409">
        <f t="shared" si="221"/>
        <v>0</v>
      </c>
      <c r="IB166" s="409">
        <f t="shared" si="221"/>
        <v>0</v>
      </c>
      <c r="IC166" s="409">
        <f t="shared" si="221"/>
        <v>0</v>
      </c>
      <c r="ID166" s="409">
        <f t="shared" si="221"/>
        <v>0</v>
      </c>
      <c r="IE166" s="409">
        <f t="shared" si="222"/>
        <v>0</v>
      </c>
      <c r="IF166" s="409">
        <f t="shared" si="222"/>
        <v>0</v>
      </c>
      <c r="IG166" s="409">
        <f t="shared" si="222"/>
        <v>0</v>
      </c>
      <c r="IH166" s="409">
        <f t="shared" si="222"/>
        <v>0</v>
      </c>
      <c r="II166" s="409">
        <f t="shared" si="222"/>
        <v>0</v>
      </c>
      <c r="IJ166" s="409">
        <f t="shared" si="222"/>
        <v>0</v>
      </c>
      <c r="IK166" s="378"/>
    </row>
    <row r="167" spans="1:245" hidden="1" x14ac:dyDescent="0.2">
      <c r="A167" s="380" t="str">
        <f t="shared" si="243"/>
        <v>e</v>
      </c>
      <c r="B167" s="712" t="str">
        <f>IF(ISERROR(INDEX('Legend(DX)'!$H$11:$H$12,10)),"",INDEX('Legend(DX)'!$H$11:$H$12,10))</f>
        <v/>
      </c>
      <c r="C167" s="712" t="e">
        <f>IF(INDEX('Legend(DX)'!$T$11:$T$12,10)=0,"See Legend",INDEX('Legend(DX)'!$T$11:$T$12,10))</f>
        <v>#REF!</v>
      </c>
      <c r="D167" s="712" t="e">
        <f>IF(INDEX('Legend(DX)'!$R$11:$R$12,(ROW(C167))-137)=0,IF(AND(INDEX('Legend(DX)'!$D$11:$D$12,(ROW(C167))-136)="CH",INDEX('Legend(DX)'!$F$11:$F$12,(ROW(C167))-136)="CASE - MANUAL"),INDEX('Legend(DX)'!$R$11:$R$12,(ROW(C167))-136),IF(INDEX('Legend(DX)'!$V$11:$V$12,(ROW(C167))-137)&gt;1, "(" &amp; INDEX('Legend(DX)'!$V$11:$V$12,(ROW(C167))-137) &amp; ") " &amp; INDEX('Legend(DX)'!$W$11:$W$12,(ROW(C167))-136),INDEX('Legend(DX)'!$W$11:$W$12,(ROW(C167))-137))),INDEX('Legend(DX)'!$R$11:$R$12,(ROW(C167))-137))</f>
        <v>#REF!</v>
      </c>
      <c r="E167" s="713" t="str">
        <f>IF(ISERROR(INDEX('Legend(DX)'!$AA$11:$AA$12,10)),"",INDEX('Legend(DX)'!$AA$11:$AA$12,10))</f>
        <v/>
      </c>
      <c r="F167" s="715"/>
      <c r="G167" s="715"/>
      <c r="H167" s="715"/>
      <c r="I167" s="715"/>
      <c r="J167" s="715"/>
      <c r="K167" s="890">
        <f t="shared" si="223"/>
        <v>0</v>
      </c>
      <c r="L167" s="718"/>
      <c r="M167" s="723"/>
      <c r="N167" s="972">
        <f t="shared" si="196"/>
        <v>-1</v>
      </c>
      <c r="O167" s="972">
        <f t="shared" si="244"/>
        <v>-1</v>
      </c>
      <c r="P167" s="972">
        <f t="shared" si="197"/>
        <v>-1</v>
      </c>
      <c r="Q167" s="972">
        <f t="shared" si="245"/>
        <v>-1</v>
      </c>
      <c r="R167" s="972">
        <f t="shared" si="198"/>
        <v>-1</v>
      </c>
      <c r="S167" s="972">
        <f t="shared" si="246"/>
        <v>-1</v>
      </c>
      <c r="T167" s="972">
        <f t="shared" si="199"/>
        <v>-1</v>
      </c>
      <c r="U167" s="972">
        <f t="shared" si="247"/>
        <v>-1</v>
      </c>
      <c r="V167" s="972">
        <f t="shared" si="200"/>
        <v>-1</v>
      </c>
      <c r="W167" s="972">
        <f t="shared" si="248"/>
        <v>-1</v>
      </c>
      <c r="X167" s="972">
        <f t="shared" si="201"/>
        <v>-1</v>
      </c>
      <c r="Y167" s="972">
        <f t="shared" si="229"/>
        <v>-1</v>
      </c>
      <c r="Z167" s="972">
        <f t="shared" si="230"/>
        <v>-1</v>
      </c>
      <c r="AA167" s="972">
        <f t="shared" si="231"/>
        <v>-1</v>
      </c>
      <c r="AB167" s="972">
        <f t="shared" si="232"/>
        <v>-1</v>
      </c>
      <c r="AC167" s="972">
        <f t="shared" si="233"/>
        <v>-1</v>
      </c>
      <c r="AD167" s="972">
        <f t="shared" si="234"/>
        <v>-1</v>
      </c>
      <c r="AE167" s="972">
        <f t="shared" si="235"/>
        <v>-1</v>
      </c>
      <c r="AF167" s="972">
        <f t="shared" si="236"/>
        <v>-1</v>
      </c>
      <c r="AG167" s="972">
        <f t="shared" si="237"/>
        <v>-1</v>
      </c>
      <c r="AH167" s="972">
        <f t="shared" si="238"/>
        <v>-1</v>
      </c>
      <c r="AI167" s="972">
        <f t="shared" si="239"/>
        <v>-1</v>
      </c>
      <c r="AJ167" s="972">
        <f t="shared" si="240"/>
        <v>-1</v>
      </c>
      <c r="AK167" s="381"/>
      <c r="AL167" s="727" t="str">
        <f t="shared" si="249"/>
        <v/>
      </c>
      <c r="AM167" s="409">
        <f t="shared" si="202"/>
        <v>0</v>
      </c>
      <c r="AN167" s="409">
        <f t="shared" si="202"/>
        <v>0</v>
      </c>
      <c r="AO167" s="409">
        <f t="shared" si="202"/>
        <v>0</v>
      </c>
      <c r="AP167" s="409">
        <f t="shared" si="202"/>
        <v>0</v>
      </c>
      <c r="AQ167" s="409">
        <f t="shared" si="202"/>
        <v>0</v>
      </c>
      <c r="AR167" s="409">
        <f t="shared" si="202"/>
        <v>0</v>
      </c>
      <c r="AS167" s="409">
        <f t="shared" si="202"/>
        <v>0</v>
      </c>
      <c r="AT167" s="409">
        <f t="shared" si="202"/>
        <v>0</v>
      </c>
      <c r="AU167" s="409">
        <f t="shared" si="202"/>
        <v>0</v>
      </c>
      <c r="AV167" s="409">
        <f t="shared" si="202"/>
        <v>0</v>
      </c>
      <c r="AW167" s="409">
        <f t="shared" si="203"/>
        <v>0</v>
      </c>
      <c r="AX167" s="409">
        <f t="shared" si="203"/>
        <v>0</v>
      </c>
      <c r="AY167" s="409">
        <f t="shared" si="203"/>
        <v>0</v>
      </c>
      <c r="AZ167" s="409">
        <f t="shared" si="203"/>
        <v>0</v>
      </c>
      <c r="BA167" s="409">
        <f t="shared" si="203"/>
        <v>0</v>
      </c>
      <c r="BB167" s="409">
        <f t="shared" si="203"/>
        <v>0</v>
      </c>
      <c r="BC167" s="409">
        <f t="shared" si="203"/>
        <v>0</v>
      </c>
      <c r="BD167" s="409">
        <f t="shared" si="203"/>
        <v>0</v>
      </c>
      <c r="BE167" s="409">
        <f t="shared" si="203"/>
        <v>0</v>
      </c>
      <c r="BF167" s="409">
        <f t="shared" si="203"/>
        <v>0</v>
      </c>
      <c r="BG167" s="409">
        <f t="shared" si="204"/>
        <v>0</v>
      </c>
      <c r="BH167" s="409">
        <f t="shared" si="204"/>
        <v>0</v>
      </c>
      <c r="BI167" s="409">
        <f t="shared" si="204"/>
        <v>0</v>
      </c>
      <c r="BJ167" s="409">
        <f t="shared" si="204"/>
        <v>0</v>
      </c>
      <c r="BK167" s="409">
        <f t="shared" si="204"/>
        <v>0</v>
      </c>
      <c r="BL167" s="409">
        <f t="shared" si="204"/>
        <v>0</v>
      </c>
      <c r="BM167" s="409">
        <f t="shared" si="204"/>
        <v>0</v>
      </c>
      <c r="BN167" s="409">
        <f t="shared" si="204"/>
        <v>0</v>
      </c>
      <c r="BO167" s="409">
        <f t="shared" si="204"/>
        <v>0</v>
      </c>
      <c r="BP167" s="409">
        <f t="shared" si="204"/>
        <v>0</v>
      </c>
      <c r="BQ167" s="409">
        <f t="shared" si="205"/>
        <v>0</v>
      </c>
      <c r="BR167" s="409">
        <f t="shared" si="205"/>
        <v>0</v>
      </c>
      <c r="BS167" s="409">
        <f t="shared" si="205"/>
        <v>0</v>
      </c>
      <c r="BT167" s="409">
        <f t="shared" si="205"/>
        <v>0</v>
      </c>
      <c r="BU167" s="409">
        <f t="shared" si="205"/>
        <v>0</v>
      </c>
      <c r="BV167" s="409">
        <f t="shared" si="205"/>
        <v>0</v>
      </c>
      <c r="BW167" s="409">
        <f t="shared" si="205"/>
        <v>0</v>
      </c>
      <c r="BX167" s="409">
        <f t="shared" si="205"/>
        <v>0</v>
      </c>
      <c r="BY167" s="409">
        <f t="shared" si="205"/>
        <v>0</v>
      </c>
      <c r="BZ167" s="409">
        <f t="shared" si="205"/>
        <v>0</v>
      </c>
      <c r="CA167" s="409">
        <f t="shared" si="206"/>
        <v>0</v>
      </c>
      <c r="CB167" s="409">
        <f t="shared" si="206"/>
        <v>0</v>
      </c>
      <c r="CC167" s="409">
        <f t="shared" si="206"/>
        <v>0</v>
      </c>
      <c r="CD167" s="409">
        <f t="shared" si="206"/>
        <v>0</v>
      </c>
      <c r="CE167" s="409">
        <f t="shared" si="206"/>
        <v>0</v>
      </c>
      <c r="CF167" s="409">
        <f t="shared" si="206"/>
        <v>0</v>
      </c>
      <c r="CG167" s="409">
        <f t="shared" si="206"/>
        <v>0</v>
      </c>
      <c r="CH167" s="409">
        <f t="shared" si="206"/>
        <v>0</v>
      </c>
      <c r="CI167" s="409">
        <f t="shared" si="206"/>
        <v>0</v>
      </c>
      <c r="CJ167" s="409">
        <f t="shared" si="206"/>
        <v>0</v>
      </c>
      <c r="CK167" s="409">
        <f t="shared" si="207"/>
        <v>0</v>
      </c>
      <c r="CL167" s="409">
        <f t="shared" si="207"/>
        <v>0</v>
      </c>
      <c r="CM167" s="409">
        <f t="shared" si="207"/>
        <v>0</v>
      </c>
      <c r="CN167" s="409">
        <f t="shared" si="207"/>
        <v>0</v>
      </c>
      <c r="CO167" s="409">
        <f t="shared" si="207"/>
        <v>0</v>
      </c>
      <c r="CP167" s="409">
        <f t="shared" si="207"/>
        <v>0</v>
      </c>
      <c r="CQ167" s="409">
        <f t="shared" si="207"/>
        <v>0</v>
      </c>
      <c r="CR167" s="409">
        <f t="shared" si="207"/>
        <v>0</v>
      </c>
      <c r="CS167" s="409">
        <f t="shared" si="207"/>
        <v>0</v>
      </c>
      <c r="CT167" s="409">
        <f t="shared" si="207"/>
        <v>0</v>
      </c>
      <c r="CU167" s="409">
        <f t="shared" si="208"/>
        <v>0</v>
      </c>
      <c r="CV167" s="409">
        <f t="shared" si="208"/>
        <v>0</v>
      </c>
      <c r="CW167" s="409">
        <f t="shared" si="208"/>
        <v>0</v>
      </c>
      <c r="CX167" s="409">
        <f t="shared" si="208"/>
        <v>0</v>
      </c>
      <c r="CY167" s="409">
        <f t="shared" si="208"/>
        <v>0</v>
      </c>
      <c r="CZ167" s="409">
        <f t="shared" si="208"/>
        <v>0</v>
      </c>
      <c r="DA167" s="409">
        <f t="shared" si="208"/>
        <v>0</v>
      </c>
      <c r="DB167" s="409">
        <f t="shared" si="208"/>
        <v>0</v>
      </c>
      <c r="DC167" s="409">
        <f t="shared" si="208"/>
        <v>0</v>
      </c>
      <c r="DD167" s="409">
        <f t="shared" si="208"/>
        <v>0</v>
      </c>
      <c r="DE167" s="409">
        <f t="shared" si="209"/>
        <v>0</v>
      </c>
      <c r="DF167" s="409">
        <f t="shared" si="209"/>
        <v>0</v>
      </c>
      <c r="DG167" s="409">
        <f t="shared" si="209"/>
        <v>0</v>
      </c>
      <c r="DH167" s="409">
        <f t="shared" si="209"/>
        <v>0</v>
      </c>
      <c r="DI167" s="409">
        <f t="shared" si="209"/>
        <v>0</v>
      </c>
      <c r="DJ167" s="409">
        <f t="shared" si="209"/>
        <v>0</v>
      </c>
      <c r="DK167" s="409">
        <f t="shared" si="209"/>
        <v>0</v>
      </c>
      <c r="DL167" s="409">
        <f t="shared" si="209"/>
        <v>0</v>
      </c>
      <c r="DM167" s="409">
        <f t="shared" si="209"/>
        <v>0</v>
      </c>
      <c r="DN167" s="409">
        <f t="shared" si="209"/>
        <v>0</v>
      </c>
      <c r="DO167" s="409">
        <f t="shared" si="210"/>
        <v>0</v>
      </c>
      <c r="DP167" s="409">
        <f t="shared" si="210"/>
        <v>0</v>
      </c>
      <c r="DQ167" s="409">
        <f t="shared" si="210"/>
        <v>0</v>
      </c>
      <c r="DR167" s="409">
        <f t="shared" si="210"/>
        <v>0</v>
      </c>
      <c r="DS167" s="409">
        <f t="shared" si="210"/>
        <v>0</v>
      </c>
      <c r="DT167" s="409">
        <f t="shared" si="210"/>
        <v>0</v>
      </c>
      <c r="DU167" s="409">
        <f t="shared" si="210"/>
        <v>0</v>
      </c>
      <c r="DV167" s="409">
        <f t="shared" si="210"/>
        <v>0</v>
      </c>
      <c r="DW167" s="409">
        <f t="shared" si="210"/>
        <v>0</v>
      </c>
      <c r="DX167" s="409">
        <f t="shared" si="210"/>
        <v>0</v>
      </c>
      <c r="DY167" s="409">
        <f t="shared" si="211"/>
        <v>0</v>
      </c>
      <c r="DZ167" s="409">
        <f t="shared" si="211"/>
        <v>0</v>
      </c>
      <c r="EA167" s="409">
        <f t="shared" si="211"/>
        <v>0</v>
      </c>
      <c r="EB167" s="409">
        <f t="shared" si="211"/>
        <v>0</v>
      </c>
      <c r="EC167" s="409">
        <f t="shared" si="211"/>
        <v>0</v>
      </c>
      <c r="ED167" s="409">
        <f t="shared" si="211"/>
        <v>0</v>
      </c>
      <c r="EE167" s="409">
        <f t="shared" si="211"/>
        <v>0</v>
      </c>
      <c r="EF167" s="409">
        <f t="shared" si="211"/>
        <v>0</v>
      </c>
      <c r="EG167" s="409">
        <f t="shared" si="211"/>
        <v>0</v>
      </c>
      <c r="EH167" s="409">
        <f t="shared" si="211"/>
        <v>0</v>
      </c>
      <c r="EI167" s="409">
        <f t="shared" si="212"/>
        <v>0</v>
      </c>
      <c r="EJ167" s="409">
        <f t="shared" si="212"/>
        <v>0</v>
      </c>
      <c r="EK167" s="409">
        <f t="shared" si="212"/>
        <v>0</v>
      </c>
      <c r="EL167" s="409">
        <f t="shared" si="212"/>
        <v>0</v>
      </c>
      <c r="EM167" s="409">
        <f t="shared" si="212"/>
        <v>0</v>
      </c>
      <c r="EN167" s="409">
        <f t="shared" si="212"/>
        <v>0</v>
      </c>
      <c r="EO167" s="409">
        <f t="shared" si="212"/>
        <v>0</v>
      </c>
      <c r="EP167" s="409">
        <f t="shared" si="212"/>
        <v>0</v>
      </c>
      <c r="EQ167" s="409">
        <f t="shared" si="212"/>
        <v>0</v>
      </c>
      <c r="ER167" s="409">
        <f t="shared" si="212"/>
        <v>0</v>
      </c>
      <c r="ES167" s="409">
        <f t="shared" si="213"/>
        <v>0</v>
      </c>
      <c r="ET167" s="409">
        <f t="shared" si="213"/>
        <v>0</v>
      </c>
      <c r="EU167" s="409">
        <f t="shared" si="213"/>
        <v>0</v>
      </c>
      <c r="EV167" s="409">
        <f t="shared" si="213"/>
        <v>0</v>
      </c>
      <c r="EW167" s="409">
        <f t="shared" si="213"/>
        <v>0</v>
      </c>
      <c r="EX167" s="409">
        <f t="shared" si="213"/>
        <v>0</v>
      </c>
      <c r="EY167" s="409">
        <f t="shared" si="213"/>
        <v>0</v>
      </c>
      <c r="EZ167" s="409">
        <f t="shared" si="213"/>
        <v>0</v>
      </c>
      <c r="FA167" s="409">
        <f t="shared" si="213"/>
        <v>0</v>
      </c>
      <c r="FB167" s="409">
        <f t="shared" si="213"/>
        <v>0</v>
      </c>
      <c r="FC167" s="409">
        <f t="shared" si="214"/>
        <v>0</v>
      </c>
      <c r="FD167" s="409">
        <f t="shared" si="214"/>
        <v>0</v>
      </c>
      <c r="FE167" s="409">
        <f t="shared" si="214"/>
        <v>0</v>
      </c>
      <c r="FF167" s="409">
        <f t="shared" si="214"/>
        <v>0</v>
      </c>
      <c r="FG167" s="409">
        <f t="shared" si="214"/>
        <v>0</v>
      </c>
      <c r="FH167" s="409">
        <f t="shared" si="214"/>
        <v>0</v>
      </c>
      <c r="FI167" s="409">
        <f t="shared" si="214"/>
        <v>0</v>
      </c>
      <c r="FJ167" s="409">
        <f t="shared" si="214"/>
        <v>0</v>
      </c>
      <c r="FK167" s="409">
        <f t="shared" si="214"/>
        <v>0</v>
      </c>
      <c r="FL167" s="409">
        <f t="shared" si="214"/>
        <v>0</v>
      </c>
      <c r="FM167" s="409">
        <f t="shared" si="215"/>
        <v>0</v>
      </c>
      <c r="FN167" s="409">
        <f t="shared" si="215"/>
        <v>0</v>
      </c>
      <c r="FO167" s="409">
        <f t="shared" si="215"/>
        <v>0</v>
      </c>
      <c r="FP167" s="409">
        <f t="shared" si="215"/>
        <v>0</v>
      </c>
      <c r="FQ167" s="409">
        <f t="shared" si="215"/>
        <v>0</v>
      </c>
      <c r="FR167" s="409">
        <f t="shared" si="215"/>
        <v>0</v>
      </c>
      <c r="FS167" s="409">
        <f t="shared" si="215"/>
        <v>0</v>
      </c>
      <c r="FT167" s="409">
        <f t="shared" si="215"/>
        <v>0</v>
      </c>
      <c r="FU167" s="409">
        <f t="shared" si="215"/>
        <v>0</v>
      </c>
      <c r="FV167" s="409">
        <f t="shared" si="215"/>
        <v>0</v>
      </c>
      <c r="FW167" s="409">
        <f t="shared" si="216"/>
        <v>0</v>
      </c>
      <c r="FX167" s="409">
        <f t="shared" si="216"/>
        <v>0</v>
      </c>
      <c r="FY167" s="409">
        <f t="shared" si="216"/>
        <v>0</v>
      </c>
      <c r="FZ167" s="409">
        <f t="shared" si="216"/>
        <v>0</v>
      </c>
      <c r="GA167" s="409">
        <f t="shared" si="216"/>
        <v>0</v>
      </c>
      <c r="GB167" s="409">
        <f t="shared" si="216"/>
        <v>0</v>
      </c>
      <c r="GC167" s="409">
        <f t="shared" si="216"/>
        <v>0</v>
      </c>
      <c r="GD167" s="409">
        <f t="shared" si="216"/>
        <v>0</v>
      </c>
      <c r="GE167" s="409">
        <f t="shared" si="216"/>
        <v>0</v>
      </c>
      <c r="GF167" s="409">
        <f t="shared" si="216"/>
        <v>0</v>
      </c>
      <c r="GG167" s="409">
        <f t="shared" si="217"/>
        <v>0</v>
      </c>
      <c r="GH167" s="409">
        <f t="shared" si="217"/>
        <v>0</v>
      </c>
      <c r="GI167" s="409">
        <f t="shared" si="217"/>
        <v>0</v>
      </c>
      <c r="GJ167" s="409">
        <f t="shared" si="217"/>
        <v>0</v>
      </c>
      <c r="GK167" s="409">
        <f t="shared" si="217"/>
        <v>0</v>
      </c>
      <c r="GL167" s="409">
        <f t="shared" si="217"/>
        <v>0</v>
      </c>
      <c r="GM167" s="409">
        <f t="shared" si="217"/>
        <v>0</v>
      </c>
      <c r="GN167" s="409">
        <f t="shared" si="217"/>
        <v>0</v>
      </c>
      <c r="GO167" s="409">
        <f t="shared" si="217"/>
        <v>0</v>
      </c>
      <c r="GP167" s="409">
        <f t="shared" si="217"/>
        <v>0</v>
      </c>
      <c r="GQ167" s="409">
        <f t="shared" si="218"/>
        <v>0</v>
      </c>
      <c r="GR167" s="409">
        <f t="shared" si="218"/>
        <v>0</v>
      </c>
      <c r="GS167" s="409">
        <f t="shared" si="218"/>
        <v>0</v>
      </c>
      <c r="GT167" s="409">
        <f t="shared" si="218"/>
        <v>0</v>
      </c>
      <c r="GU167" s="409">
        <f t="shared" si="218"/>
        <v>0</v>
      </c>
      <c r="GV167" s="409">
        <f t="shared" si="218"/>
        <v>0</v>
      </c>
      <c r="GW167" s="409">
        <f t="shared" si="218"/>
        <v>0</v>
      </c>
      <c r="GX167" s="409">
        <f t="shared" si="218"/>
        <v>0</v>
      </c>
      <c r="GY167" s="409">
        <f t="shared" si="218"/>
        <v>0</v>
      </c>
      <c r="GZ167" s="409">
        <f t="shared" si="218"/>
        <v>0</v>
      </c>
      <c r="HA167" s="409">
        <f t="shared" si="219"/>
        <v>0</v>
      </c>
      <c r="HB167" s="409">
        <f t="shared" si="219"/>
        <v>0</v>
      </c>
      <c r="HC167" s="409">
        <f t="shared" si="219"/>
        <v>0</v>
      </c>
      <c r="HD167" s="409">
        <f t="shared" si="219"/>
        <v>0</v>
      </c>
      <c r="HE167" s="409">
        <f t="shared" si="219"/>
        <v>0</v>
      </c>
      <c r="HF167" s="409">
        <f t="shared" si="219"/>
        <v>0</v>
      </c>
      <c r="HG167" s="409">
        <f t="shared" si="219"/>
        <v>0</v>
      </c>
      <c r="HH167" s="409">
        <f t="shared" si="219"/>
        <v>0</v>
      </c>
      <c r="HI167" s="409">
        <f t="shared" si="219"/>
        <v>0</v>
      </c>
      <c r="HJ167" s="409">
        <f t="shared" si="219"/>
        <v>0</v>
      </c>
      <c r="HK167" s="409">
        <f t="shared" si="220"/>
        <v>0</v>
      </c>
      <c r="HL167" s="409">
        <f t="shared" si="220"/>
        <v>0</v>
      </c>
      <c r="HM167" s="409">
        <f t="shared" si="220"/>
        <v>0</v>
      </c>
      <c r="HN167" s="409">
        <f t="shared" si="220"/>
        <v>0</v>
      </c>
      <c r="HO167" s="409">
        <f t="shared" si="220"/>
        <v>0</v>
      </c>
      <c r="HP167" s="409">
        <f t="shared" si="220"/>
        <v>0</v>
      </c>
      <c r="HQ167" s="409">
        <f t="shared" si="220"/>
        <v>0</v>
      </c>
      <c r="HR167" s="409">
        <f t="shared" si="220"/>
        <v>0</v>
      </c>
      <c r="HS167" s="409">
        <f t="shared" si="220"/>
        <v>0</v>
      </c>
      <c r="HT167" s="409">
        <f t="shared" si="220"/>
        <v>0</v>
      </c>
      <c r="HU167" s="409">
        <f t="shared" si="221"/>
        <v>0</v>
      </c>
      <c r="HV167" s="409">
        <f t="shared" si="221"/>
        <v>0</v>
      </c>
      <c r="HW167" s="409">
        <f t="shared" si="221"/>
        <v>0</v>
      </c>
      <c r="HX167" s="409">
        <f t="shared" si="221"/>
        <v>0</v>
      </c>
      <c r="HY167" s="409">
        <f t="shared" si="221"/>
        <v>0</v>
      </c>
      <c r="HZ167" s="409">
        <f t="shared" si="221"/>
        <v>0</v>
      </c>
      <c r="IA167" s="409">
        <f t="shared" si="221"/>
        <v>0</v>
      </c>
      <c r="IB167" s="409">
        <f t="shared" si="221"/>
        <v>0</v>
      </c>
      <c r="IC167" s="409">
        <f t="shared" si="221"/>
        <v>0</v>
      </c>
      <c r="ID167" s="409">
        <f t="shared" si="221"/>
        <v>0</v>
      </c>
      <c r="IE167" s="409">
        <f t="shared" si="222"/>
        <v>0</v>
      </c>
      <c r="IF167" s="409">
        <f t="shared" si="222"/>
        <v>0</v>
      </c>
      <c r="IG167" s="409">
        <f t="shared" si="222"/>
        <v>0</v>
      </c>
      <c r="IH167" s="409">
        <f t="shared" si="222"/>
        <v>0</v>
      </c>
      <c r="II167" s="409">
        <f t="shared" si="222"/>
        <v>0</v>
      </c>
      <c r="IJ167" s="409">
        <f t="shared" si="222"/>
        <v>0</v>
      </c>
      <c r="IK167" s="378"/>
    </row>
    <row r="168" spans="1:245" hidden="1" x14ac:dyDescent="0.2">
      <c r="A168" s="380" t="str">
        <f t="shared" si="243"/>
        <v>e</v>
      </c>
      <c r="B168" s="712" t="str">
        <f>IF(ISERROR(INDEX('Legend(DX)'!$H$11:$H$12,11)),"",INDEX('Legend(DX)'!$H$11:$H$12,11))</f>
        <v/>
      </c>
      <c r="C168" s="712" t="e">
        <f>IF(INDEX('Legend(DX)'!$T$11:$T$12,11)=0,"See Legend",INDEX('Legend(DX)'!$T$11:$T$12,11))</f>
        <v>#REF!</v>
      </c>
      <c r="D168" s="712" t="e">
        <f>IF(INDEX('Legend(DX)'!$R$11:$R$12,(ROW(C168))-137)=0,IF(AND(INDEX('Legend(DX)'!$D$11:$D$12,(ROW(C168))-136)="CH",INDEX('Legend(DX)'!$F$11:$F$12,(ROW(C168))-136)="CASE - MANUAL"),INDEX('Legend(DX)'!$R$11:$R$12,(ROW(C168))-136),IF(INDEX('Legend(DX)'!$V$11:$V$12,(ROW(C168))-137)&gt;1, "(" &amp; INDEX('Legend(DX)'!$V$11:$V$12,(ROW(C168))-137) &amp; ") " &amp; INDEX('Legend(DX)'!$W$11:$W$12,(ROW(C168))-136),INDEX('Legend(DX)'!$W$11:$W$12,(ROW(C168))-137))),INDEX('Legend(DX)'!$R$11:$R$12,(ROW(C168))-137))</f>
        <v>#REF!</v>
      </c>
      <c r="E168" s="713" t="str">
        <f>IF(ISERROR(INDEX('Legend(DX)'!$AA$11:$AA$12,11)),"",INDEX('Legend(DX)'!$AA$11:$AA$12,11))</f>
        <v/>
      </c>
      <c r="F168" s="715"/>
      <c r="G168" s="715"/>
      <c r="H168" s="715"/>
      <c r="I168" s="715"/>
      <c r="J168" s="715"/>
      <c r="K168" s="890">
        <f t="shared" si="223"/>
        <v>0</v>
      </c>
      <c r="L168" s="718"/>
      <c r="M168" s="723"/>
      <c r="N168" s="972">
        <f t="shared" si="196"/>
        <v>-1</v>
      </c>
      <c r="O168" s="972">
        <f t="shared" si="244"/>
        <v>-1</v>
      </c>
      <c r="P168" s="972">
        <f t="shared" si="197"/>
        <v>-1</v>
      </c>
      <c r="Q168" s="972">
        <f t="shared" si="245"/>
        <v>-1</v>
      </c>
      <c r="R168" s="972">
        <f t="shared" si="198"/>
        <v>-1</v>
      </c>
      <c r="S168" s="972">
        <f t="shared" si="246"/>
        <v>-1</v>
      </c>
      <c r="T168" s="972">
        <f t="shared" si="199"/>
        <v>-1</v>
      </c>
      <c r="U168" s="972">
        <f t="shared" si="247"/>
        <v>-1</v>
      </c>
      <c r="V168" s="972">
        <f t="shared" si="200"/>
        <v>-1</v>
      </c>
      <c r="W168" s="972">
        <f t="shared" si="248"/>
        <v>-1</v>
      </c>
      <c r="X168" s="972">
        <f t="shared" si="201"/>
        <v>-1</v>
      </c>
      <c r="Y168" s="972">
        <f t="shared" si="229"/>
        <v>-1</v>
      </c>
      <c r="Z168" s="972">
        <f t="shared" si="230"/>
        <v>-1</v>
      </c>
      <c r="AA168" s="972">
        <f t="shared" si="231"/>
        <v>-1</v>
      </c>
      <c r="AB168" s="972">
        <f t="shared" si="232"/>
        <v>-1</v>
      </c>
      <c r="AC168" s="972">
        <f t="shared" si="233"/>
        <v>-1</v>
      </c>
      <c r="AD168" s="972">
        <f t="shared" si="234"/>
        <v>-1</v>
      </c>
      <c r="AE168" s="972">
        <f t="shared" si="235"/>
        <v>-1</v>
      </c>
      <c r="AF168" s="972">
        <f t="shared" si="236"/>
        <v>-1</v>
      </c>
      <c r="AG168" s="972">
        <f t="shared" si="237"/>
        <v>-1</v>
      </c>
      <c r="AH168" s="972">
        <f t="shared" si="238"/>
        <v>-1</v>
      </c>
      <c r="AI168" s="972">
        <f t="shared" si="239"/>
        <v>-1</v>
      </c>
      <c r="AJ168" s="972">
        <f t="shared" si="240"/>
        <v>-1</v>
      </c>
      <c r="AK168" s="381"/>
      <c r="AL168" s="727" t="str">
        <f t="shared" si="249"/>
        <v/>
      </c>
      <c r="AM168" s="409">
        <f t="shared" si="202"/>
        <v>0</v>
      </c>
      <c r="AN168" s="409">
        <f t="shared" si="202"/>
        <v>0</v>
      </c>
      <c r="AO168" s="409">
        <f t="shared" si="202"/>
        <v>0</v>
      </c>
      <c r="AP168" s="409">
        <f t="shared" si="202"/>
        <v>0</v>
      </c>
      <c r="AQ168" s="409">
        <f t="shared" si="202"/>
        <v>0</v>
      </c>
      <c r="AR168" s="409">
        <f t="shared" si="202"/>
        <v>0</v>
      </c>
      <c r="AS168" s="409">
        <f t="shared" si="202"/>
        <v>0</v>
      </c>
      <c r="AT168" s="409">
        <f t="shared" si="202"/>
        <v>0</v>
      </c>
      <c r="AU168" s="409">
        <f t="shared" si="202"/>
        <v>0</v>
      </c>
      <c r="AV168" s="409">
        <f t="shared" si="202"/>
        <v>0</v>
      </c>
      <c r="AW168" s="409">
        <f t="shared" si="203"/>
        <v>0</v>
      </c>
      <c r="AX168" s="409">
        <f t="shared" si="203"/>
        <v>0</v>
      </c>
      <c r="AY168" s="409">
        <f t="shared" si="203"/>
        <v>0</v>
      </c>
      <c r="AZ168" s="409">
        <f t="shared" si="203"/>
        <v>0</v>
      </c>
      <c r="BA168" s="409">
        <f t="shared" si="203"/>
        <v>0</v>
      </c>
      <c r="BB168" s="409">
        <f t="shared" si="203"/>
        <v>0</v>
      </c>
      <c r="BC168" s="409">
        <f t="shared" si="203"/>
        <v>0</v>
      </c>
      <c r="BD168" s="409">
        <f t="shared" si="203"/>
        <v>0</v>
      </c>
      <c r="BE168" s="409">
        <f t="shared" si="203"/>
        <v>0</v>
      </c>
      <c r="BF168" s="409">
        <f t="shared" si="203"/>
        <v>0</v>
      </c>
      <c r="BG168" s="409">
        <f t="shared" si="204"/>
        <v>0</v>
      </c>
      <c r="BH168" s="409">
        <f t="shared" si="204"/>
        <v>0</v>
      </c>
      <c r="BI168" s="409">
        <f t="shared" si="204"/>
        <v>0</v>
      </c>
      <c r="BJ168" s="409">
        <f t="shared" si="204"/>
        <v>0</v>
      </c>
      <c r="BK168" s="409">
        <f t="shared" si="204"/>
        <v>0</v>
      </c>
      <c r="BL168" s="409">
        <f t="shared" si="204"/>
        <v>0</v>
      </c>
      <c r="BM168" s="409">
        <f t="shared" si="204"/>
        <v>0</v>
      </c>
      <c r="BN168" s="409">
        <f t="shared" si="204"/>
        <v>0</v>
      </c>
      <c r="BO168" s="409">
        <f t="shared" si="204"/>
        <v>0</v>
      </c>
      <c r="BP168" s="409">
        <f t="shared" si="204"/>
        <v>0</v>
      </c>
      <c r="BQ168" s="409">
        <f t="shared" si="205"/>
        <v>0</v>
      </c>
      <c r="BR168" s="409">
        <f t="shared" si="205"/>
        <v>0</v>
      </c>
      <c r="BS168" s="409">
        <f t="shared" si="205"/>
        <v>0</v>
      </c>
      <c r="BT168" s="409">
        <f t="shared" si="205"/>
        <v>0</v>
      </c>
      <c r="BU168" s="409">
        <f t="shared" si="205"/>
        <v>0</v>
      </c>
      <c r="BV168" s="409">
        <f t="shared" si="205"/>
        <v>0</v>
      </c>
      <c r="BW168" s="409">
        <f t="shared" si="205"/>
        <v>0</v>
      </c>
      <c r="BX168" s="409">
        <f t="shared" si="205"/>
        <v>0</v>
      </c>
      <c r="BY168" s="409">
        <f t="shared" si="205"/>
        <v>0</v>
      </c>
      <c r="BZ168" s="409">
        <f t="shared" si="205"/>
        <v>0</v>
      </c>
      <c r="CA168" s="409">
        <f t="shared" si="206"/>
        <v>0</v>
      </c>
      <c r="CB168" s="409">
        <f t="shared" si="206"/>
        <v>0</v>
      </c>
      <c r="CC168" s="409">
        <f t="shared" si="206"/>
        <v>0</v>
      </c>
      <c r="CD168" s="409">
        <f t="shared" si="206"/>
        <v>0</v>
      </c>
      <c r="CE168" s="409">
        <f t="shared" si="206"/>
        <v>0</v>
      </c>
      <c r="CF168" s="409">
        <f t="shared" si="206"/>
        <v>0</v>
      </c>
      <c r="CG168" s="409">
        <f t="shared" si="206"/>
        <v>0</v>
      </c>
      <c r="CH168" s="409">
        <f t="shared" si="206"/>
        <v>0</v>
      </c>
      <c r="CI168" s="409">
        <f t="shared" si="206"/>
        <v>0</v>
      </c>
      <c r="CJ168" s="409">
        <f t="shared" si="206"/>
        <v>0</v>
      </c>
      <c r="CK168" s="409">
        <f t="shared" si="207"/>
        <v>0</v>
      </c>
      <c r="CL168" s="409">
        <f t="shared" si="207"/>
        <v>0</v>
      </c>
      <c r="CM168" s="409">
        <f t="shared" si="207"/>
        <v>0</v>
      </c>
      <c r="CN168" s="409">
        <f t="shared" si="207"/>
        <v>0</v>
      </c>
      <c r="CO168" s="409">
        <f t="shared" si="207"/>
        <v>0</v>
      </c>
      <c r="CP168" s="409">
        <f t="shared" si="207"/>
        <v>0</v>
      </c>
      <c r="CQ168" s="409">
        <f t="shared" si="207"/>
        <v>0</v>
      </c>
      <c r="CR168" s="409">
        <f t="shared" si="207"/>
        <v>0</v>
      </c>
      <c r="CS168" s="409">
        <f t="shared" si="207"/>
        <v>0</v>
      </c>
      <c r="CT168" s="409">
        <f t="shared" si="207"/>
        <v>0</v>
      </c>
      <c r="CU168" s="409">
        <f t="shared" si="208"/>
        <v>0</v>
      </c>
      <c r="CV168" s="409">
        <f t="shared" si="208"/>
        <v>0</v>
      </c>
      <c r="CW168" s="409">
        <f t="shared" si="208"/>
        <v>0</v>
      </c>
      <c r="CX168" s="409">
        <f t="shared" si="208"/>
        <v>0</v>
      </c>
      <c r="CY168" s="409">
        <f t="shared" si="208"/>
        <v>0</v>
      </c>
      <c r="CZ168" s="409">
        <f t="shared" si="208"/>
        <v>0</v>
      </c>
      <c r="DA168" s="409">
        <f t="shared" si="208"/>
        <v>0</v>
      </c>
      <c r="DB168" s="409">
        <f t="shared" si="208"/>
        <v>0</v>
      </c>
      <c r="DC168" s="409">
        <f t="shared" si="208"/>
        <v>0</v>
      </c>
      <c r="DD168" s="409">
        <f t="shared" si="208"/>
        <v>0</v>
      </c>
      <c r="DE168" s="409">
        <f t="shared" si="209"/>
        <v>0</v>
      </c>
      <c r="DF168" s="409">
        <f t="shared" si="209"/>
        <v>0</v>
      </c>
      <c r="DG168" s="409">
        <f t="shared" si="209"/>
        <v>0</v>
      </c>
      <c r="DH168" s="409">
        <f t="shared" si="209"/>
        <v>0</v>
      </c>
      <c r="DI168" s="409">
        <f t="shared" si="209"/>
        <v>0</v>
      </c>
      <c r="DJ168" s="409">
        <f t="shared" si="209"/>
        <v>0</v>
      </c>
      <c r="DK168" s="409">
        <f t="shared" si="209"/>
        <v>0</v>
      </c>
      <c r="DL168" s="409">
        <f t="shared" si="209"/>
        <v>0</v>
      </c>
      <c r="DM168" s="409">
        <f t="shared" si="209"/>
        <v>0</v>
      </c>
      <c r="DN168" s="409">
        <f t="shared" si="209"/>
        <v>0</v>
      </c>
      <c r="DO168" s="409">
        <f t="shared" si="210"/>
        <v>0</v>
      </c>
      <c r="DP168" s="409">
        <f t="shared" si="210"/>
        <v>0</v>
      </c>
      <c r="DQ168" s="409">
        <f t="shared" si="210"/>
        <v>0</v>
      </c>
      <c r="DR168" s="409">
        <f t="shared" si="210"/>
        <v>0</v>
      </c>
      <c r="DS168" s="409">
        <f t="shared" si="210"/>
        <v>0</v>
      </c>
      <c r="DT168" s="409">
        <f t="shared" si="210"/>
        <v>0</v>
      </c>
      <c r="DU168" s="409">
        <f t="shared" si="210"/>
        <v>0</v>
      </c>
      <c r="DV168" s="409">
        <f t="shared" si="210"/>
        <v>0</v>
      </c>
      <c r="DW168" s="409">
        <f t="shared" si="210"/>
        <v>0</v>
      </c>
      <c r="DX168" s="409">
        <f t="shared" si="210"/>
        <v>0</v>
      </c>
      <c r="DY168" s="409">
        <f t="shared" si="211"/>
        <v>0</v>
      </c>
      <c r="DZ168" s="409">
        <f t="shared" si="211"/>
        <v>0</v>
      </c>
      <c r="EA168" s="409">
        <f t="shared" si="211"/>
        <v>0</v>
      </c>
      <c r="EB168" s="409">
        <f t="shared" si="211"/>
        <v>0</v>
      </c>
      <c r="EC168" s="409">
        <f t="shared" si="211"/>
        <v>0</v>
      </c>
      <c r="ED168" s="409">
        <f t="shared" si="211"/>
        <v>0</v>
      </c>
      <c r="EE168" s="409">
        <f t="shared" si="211"/>
        <v>0</v>
      </c>
      <c r="EF168" s="409">
        <f t="shared" si="211"/>
        <v>0</v>
      </c>
      <c r="EG168" s="409">
        <f t="shared" si="211"/>
        <v>0</v>
      </c>
      <c r="EH168" s="409">
        <f t="shared" si="211"/>
        <v>0</v>
      </c>
      <c r="EI168" s="409">
        <f t="shared" si="212"/>
        <v>0</v>
      </c>
      <c r="EJ168" s="409">
        <f t="shared" si="212"/>
        <v>0</v>
      </c>
      <c r="EK168" s="409">
        <f t="shared" si="212"/>
        <v>0</v>
      </c>
      <c r="EL168" s="409">
        <f t="shared" si="212"/>
        <v>0</v>
      </c>
      <c r="EM168" s="409">
        <f t="shared" si="212"/>
        <v>0</v>
      </c>
      <c r="EN168" s="409">
        <f t="shared" si="212"/>
        <v>0</v>
      </c>
      <c r="EO168" s="409">
        <f t="shared" si="212"/>
        <v>0</v>
      </c>
      <c r="EP168" s="409">
        <f t="shared" si="212"/>
        <v>0</v>
      </c>
      <c r="EQ168" s="409">
        <f t="shared" si="212"/>
        <v>0</v>
      </c>
      <c r="ER168" s="409">
        <f t="shared" si="212"/>
        <v>0</v>
      </c>
      <c r="ES168" s="409">
        <f t="shared" si="213"/>
        <v>0</v>
      </c>
      <c r="ET168" s="409">
        <f t="shared" si="213"/>
        <v>0</v>
      </c>
      <c r="EU168" s="409">
        <f t="shared" si="213"/>
        <v>0</v>
      </c>
      <c r="EV168" s="409">
        <f t="shared" si="213"/>
        <v>0</v>
      </c>
      <c r="EW168" s="409">
        <f t="shared" si="213"/>
        <v>0</v>
      </c>
      <c r="EX168" s="409">
        <f t="shared" si="213"/>
        <v>0</v>
      </c>
      <c r="EY168" s="409">
        <f t="shared" si="213"/>
        <v>0</v>
      </c>
      <c r="EZ168" s="409">
        <f t="shared" si="213"/>
        <v>0</v>
      </c>
      <c r="FA168" s="409">
        <f t="shared" si="213"/>
        <v>0</v>
      </c>
      <c r="FB168" s="409">
        <f t="shared" si="213"/>
        <v>0</v>
      </c>
      <c r="FC168" s="409">
        <f t="shared" si="214"/>
        <v>0</v>
      </c>
      <c r="FD168" s="409">
        <f t="shared" si="214"/>
        <v>0</v>
      </c>
      <c r="FE168" s="409">
        <f t="shared" si="214"/>
        <v>0</v>
      </c>
      <c r="FF168" s="409">
        <f t="shared" si="214"/>
        <v>0</v>
      </c>
      <c r="FG168" s="409">
        <f t="shared" si="214"/>
        <v>0</v>
      </c>
      <c r="FH168" s="409">
        <f t="shared" si="214"/>
        <v>0</v>
      </c>
      <c r="FI168" s="409">
        <f t="shared" si="214"/>
        <v>0</v>
      </c>
      <c r="FJ168" s="409">
        <f t="shared" si="214"/>
        <v>0</v>
      </c>
      <c r="FK168" s="409">
        <f t="shared" si="214"/>
        <v>0</v>
      </c>
      <c r="FL168" s="409">
        <f t="shared" si="214"/>
        <v>0</v>
      </c>
      <c r="FM168" s="409">
        <f t="shared" si="215"/>
        <v>0</v>
      </c>
      <c r="FN168" s="409">
        <f t="shared" si="215"/>
        <v>0</v>
      </c>
      <c r="FO168" s="409">
        <f t="shared" si="215"/>
        <v>0</v>
      </c>
      <c r="FP168" s="409">
        <f t="shared" si="215"/>
        <v>0</v>
      </c>
      <c r="FQ168" s="409">
        <f t="shared" si="215"/>
        <v>0</v>
      </c>
      <c r="FR168" s="409">
        <f t="shared" si="215"/>
        <v>0</v>
      </c>
      <c r="FS168" s="409">
        <f t="shared" si="215"/>
        <v>0</v>
      </c>
      <c r="FT168" s="409">
        <f t="shared" si="215"/>
        <v>0</v>
      </c>
      <c r="FU168" s="409">
        <f t="shared" si="215"/>
        <v>0</v>
      </c>
      <c r="FV168" s="409">
        <f t="shared" si="215"/>
        <v>0</v>
      </c>
      <c r="FW168" s="409">
        <f t="shared" si="216"/>
        <v>0</v>
      </c>
      <c r="FX168" s="409">
        <f t="shared" si="216"/>
        <v>0</v>
      </c>
      <c r="FY168" s="409">
        <f t="shared" si="216"/>
        <v>0</v>
      </c>
      <c r="FZ168" s="409">
        <f t="shared" si="216"/>
        <v>0</v>
      </c>
      <c r="GA168" s="409">
        <f t="shared" si="216"/>
        <v>0</v>
      </c>
      <c r="GB168" s="409">
        <f t="shared" si="216"/>
        <v>0</v>
      </c>
      <c r="GC168" s="409">
        <f t="shared" si="216"/>
        <v>0</v>
      </c>
      <c r="GD168" s="409">
        <f t="shared" si="216"/>
        <v>0</v>
      </c>
      <c r="GE168" s="409">
        <f t="shared" si="216"/>
        <v>0</v>
      </c>
      <c r="GF168" s="409">
        <f t="shared" si="216"/>
        <v>0</v>
      </c>
      <c r="GG168" s="409">
        <f t="shared" si="217"/>
        <v>0</v>
      </c>
      <c r="GH168" s="409">
        <f t="shared" si="217"/>
        <v>0</v>
      </c>
      <c r="GI168" s="409">
        <f t="shared" si="217"/>
        <v>0</v>
      </c>
      <c r="GJ168" s="409">
        <f t="shared" si="217"/>
        <v>0</v>
      </c>
      <c r="GK168" s="409">
        <f t="shared" si="217"/>
        <v>0</v>
      </c>
      <c r="GL168" s="409">
        <f t="shared" si="217"/>
        <v>0</v>
      </c>
      <c r="GM168" s="409">
        <f t="shared" si="217"/>
        <v>0</v>
      </c>
      <c r="GN168" s="409">
        <f t="shared" si="217"/>
        <v>0</v>
      </c>
      <c r="GO168" s="409">
        <f t="shared" si="217"/>
        <v>0</v>
      </c>
      <c r="GP168" s="409">
        <f t="shared" si="217"/>
        <v>0</v>
      </c>
      <c r="GQ168" s="409">
        <f t="shared" si="218"/>
        <v>0</v>
      </c>
      <c r="GR168" s="409">
        <f t="shared" si="218"/>
        <v>0</v>
      </c>
      <c r="GS168" s="409">
        <f t="shared" si="218"/>
        <v>0</v>
      </c>
      <c r="GT168" s="409">
        <f t="shared" si="218"/>
        <v>0</v>
      </c>
      <c r="GU168" s="409">
        <f t="shared" si="218"/>
        <v>0</v>
      </c>
      <c r="GV168" s="409">
        <f t="shared" si="218"/>
        <v>0</v>
      </c>
      <c r="GW168" s="409">
        <f t="shared" si="218"/>
        <v>0</v>
      </c>
      <c r="GX168" s="409">
        <f t="shared" si="218"/>
        <v>0</v>
      </c>
      <c r="GY168" s="409">
        <f t="shared" si="218"/>
        <v>0</v>
      </c>
      <c r="GZ168" s="409">
        <f t="shared" si="218"/>
        <v>0</v>
      </c>
      <c r="HA168" s="409">
        <f t="shared" si="219"/>
        <v>0</v>
      </c>
      <c r="HB168" s="409">
        <f t="shared" si="219"/>
        <v>0</v>
      </c>
      <c r="HC168" s="409">
        <f t="shared" si="219"/>
        <v>0</v>
      </c>
      <c r="HD168" s="409">
        <f t="shared" si="219"/>
        <v>0</v>
      </c>
      <c r="HE168" s="409">
        <f t="shared" si="219"/>
        <v>0</v>
      </c>
      <c r="HF168" s="409">
        <f t="shared" si="219"/>
        <v>0</v>
      </c>
      <c r="HG168" s="409">
        <f t="shared" si="219"/>
        <v>0</v>
      </c>
      <c r="HH168" s="409">
        <f t="shared" si="219"/>
        <v>0</v>
      </c>
      <c r="HI168" s="409">
        <f t="shared" si="219"/>
        <v>0</v>
      </c>
      <c r="HJ168" s="409">
        <f t="shared" si="219"/>
        <v>0</v>
      </c>
      <c r="HK168" s="409">
        <f t="shared" si="220"/>
        <v>0</v>
      </c>
      <c r="HL168" s="409">
        <f t="shared" si="220"/>
        <v>0</v>
      </c>
      <c r="HM168" s="409">
        <f t="shared" si="220"/>
        <v>0</v>
      </c>
      <c r="HN168" s="409">
        <f t="shared" si="220"/>
        <v>0</v>
      </c>
      <c r="HO168" s="409">
        <f t="shared" si="220"/>
        <v>0</v>
      </c>
      <c r="HP168" s="409">
        <f t="shared" si="220"/>
        <v>0</v>
      </c>
      <c r="HQ168" s="409">
        <f t="shared" si="220"/>
        <v>0</v>
      </c>
      <c r="HR168" s="409">
        <f t="shared" si="220"/>
        <v>0</v>
      </c>
      <c r="HS168" s="409">
        <f t="shared" si="220"/>
        <v>0</v>
      </c>
      <c r="HT168" s="409">
        <f t="shared" si="220"/>
        <v>0</v>
      </c>
      <c r="HU168" s="409">
        <f t="shared" si="221"/>
        <v>0</v>
      </c>
      <c r="HV168" s="409">
        <f t="shared" si="221"/>
        <v>0</v>
      </c>
      <c r="HW168" s="409">
        <f t="shared" si="221"/>
        <v>0</v>
      </c>
      <c r="HX168" s="409">
        <f t="shared" si="221"/>
        <v>0</v>
      </c>
      <c r="HY168" s="409">
        <f t="shared" si="221"/>
        <v>0</v>
      </c>
      <c r="HZ168" s="409">
        <f t="shared" si="221"/>
        <v>0</v>
      </c>
      <c r="IA168" s="409">
        <f t="shared" si="221"/>
        <v>0</v>
      </c>
      <c r="IB168" s="409">
        <f t="shared" si="221"/>
        <v>0</v>
      </c>
      <c r="IC168" s="409">
        <f t="shared" si="221"/>
        <v>0</v>
      </c>
      <c r="ID168" s="409">
        <f t="shared" si="221"/>
        <v>0</v>
      </c>
      <c r="IE168" s="409">
        <f t="shared" si="222"/>
        <v>0</v>
      </c>
      <c r="IF168" s="409">
        <f t="shared" si="222"/>
        <v>0</v>
      </c>
      <c r="IG168" s="409">
        <f t="shared" si="222"/>
        <v>0</v>
      </c>
      <c r="IH168" s="409">
        <f t="shared" si="222"/>
        <v>0</v>
      </c>
      <c r="II168" s="409">
        <f t="shared" si="222"/>
        <v>0</v>
      </c>
      <c r="IJ168" s="409">
        <f t="shared" si="222"/>
        <v>0</v>
      </c>
      <c r="IK168" s="378"/>
    </row>
    <row r="169" spans="1:245" hidden="1" x14ac:dyDescent="0.2">
      <c r="A169" s="380" t="str">
        <f t="shared" si="243"/>
        <v>e</v>
      </c>
      <c r="B169" s="712" t="str">
        <f>IF(ISERROR(INDEX('Legend(DX)'!$H$11:$H$12,12)),"",INDEX('Legend(DX)'!$H$11:$H$12,12))</f>
        <v/>
      </c>
      <c r="C169" s="712" t="e">
        <f>IF(INDEX('Legend(DX)'!$T$11:$T$12,12)=0,"See Legend",INDEX('Legend(DX)'!$T$11:$T$12,12))</f>
        <v>#REF!</v>
      </c>
      <c r="D169" s="712" t="e">
        <f>IF(INDEX('Legend(DX)'!$R$11:$R$12,(ROW(C169))-137)=0,IF(AND(INDEX('Legend(DX)'!$D$11:$D$12,(ROW(C169))-136)="CH",INDEX('Legend(DX)'!$F$11:$F$12,(ROW(C169))-136)="CASE - MANUAL"),INDEX('Legend(DX)'!$R$11:$R$12,(ROW(C169))-136),IF(INDEX('Legend(DX)'!$V$11:$V$12,(ROW(C169))-137)&gt;1, "(" &amp; INDEX('Legend(DX)'!$V$11:$V$12,(ROW(C169))-137) &amp; ") " &amp; INDEX('Legend(DX)'!$W$11:$W$12,(ROW(C169))-136),INDEX('Legend(DX)'!$W$11:$W$12,(ROW(C169))-137))),INDEX('Legend(DX)'!$R$11:$R$12,(ROW(C169))-137))</f>
        <v>#REF!</v>
      </c>
      <c r="E169" s="713" t="str">
        <f>IF(ISERROR(INDEX('Legend(DX)'!$AA$11:$AA$12,12)),"",INDEX('Legend(DX)'!$AA$11:$AA$12,12))</f>
        <v/>
      </c>
      <c r="F169" s="715"/>
      <c r="G169" s="715"/>
      <c r="H169" s="715"/>
      <c r="I169" s="715"/>
      <c r="J169" s="715"/>
      <c r="K169" s="890">
        <f t="shared" si="223"/>
        <v>0</v>
      </c>
      <c r="L169" s="718"/>
      <c r="M169" s="723"/>
      <c r="N169" s="972">
        <f t="shared" si="196"/>
        <v>-1</v>
      </c>
      <c r="O169" s="972">
        <f t="shared" si="244"/>
        <v>-1</v>
      </c>
      <c r="P169" s="972">
        <f t="shared" si="197"/>
        <v>-1</v>
      </c>
      <c r="Q169" s="972">
        <f t="shared" si="245"/>
        <v>-1</v>
      </c>
      <c r="R169" s="972">
        <f t="shared" si="198"/>
        <v>-1</v>
      </c>
      <c r="S169" s="972">
        <f t="shared" si="246"/>
        <v>-1</v>
      </c>
      <c r="T169" s="972">
        <f t="shared" si="199"/>
        <v>-1</v>
      </c>
      <c r="U169" s="972">
        <f t="shared" si="247"/>
        <v>-1</v>
      </c>
      <c r="V169" s="972">
        <f t="shared" si="200"/>
        <v>-1</v>
      </c>
      <c r="W169" s="972">
        <f t="shared" si="248"/>
        <v>-1</v>
      </c>
      <c r="X169" s="972">
        <f t="shared" si="201"/>
        <v>-1</v>
      </c>
      <c r="Y169" s="972">
        <f t="shared" si="229"/>
        <v>-1</v>
      </c>
      <c r="Z169" s="972">
        <f t="shared" si="230"/>
        <v>-1</v>
      </c>
      <c r="AA169" s="972">
        <f t="shared" si="231"/>
        <v>-1</v>
      </c>
      <c r="AB169" s="972">
        <f t="shared" si="232"/>
        <v>-1</v>
      </c>
      <c r="AC169" s="972">
        <f t="shared" si="233"/>
        <v>-1</v>
      </c>
      <c r="AD169" s="972">
        <f t="shared" si="234"/>
        <v>-1</v>
      </c>
      <c r="AE169" s="972">
        <f t="shared" si="235"/>
        <v>-1</v>
      </c>
      <c r="AF169" s="972">
        <f t="shared" si="236"/>
        <v>-1</v>
      </c>
      <c r="AG169" s="972">
        <f t="shared" si="237"/>
        <v>-1</v>
      </c>
      <c r="AH169" s="972">
        <f t="shared" si="238"/>
        <v>-1</v>
      </c>
      <c r="AI169" s="972">
        <f t="shared" si="239"/>
        <v>-1</v>
      </c>
      <c r="AJ169" s="972">
        <f t="shared" si="240"/>
        <v>-1</v>
      </c>
      <c r="AK169" s="381"/>
      <c r="AL169" s="727" t="str">
        <f t="shared" si="249"/>
        <v/>
      </c>
      <c r="AM169" s="409">
        <f t="shared" si="202"/>
        <v>0</v>
      </c>
      <c r="AN169" s="409">
        <f t="shared" si="202"/>
        <v>0</v>
      </c>
      <c r="AO169" s="409">
        <f t="shared" si="202"/>
        <v>0</v>
      </c>
      <c r="AP169" s="409">
        <f t="shared" si="202"/>
        <v>0</v>
      </c>
      <c r="AQ169" s="409">
        <f t="shared" si="202"/>
        <v>0</v>
      </c>
      <c r="AR169" s="409">
        <f t="shared" si="202"/>
        <v>0</v>
      </c>
      <c r="AS169" s="409">
        <f t="shared" si="202"/>
        <v>0</v>
      </c>
      <c r="AT169" s="409">
        <f t="shared" si="202"/>
        <v>0</v>
      </c>
      <c r="AU169" s="409">
        <f t="shared" si="202"/>
        <v>0</v>
      </c>
      <c r="AV169" s="409">
        <f t="shared" si="202"/>
        <v>0</v>
      </c>
      <c r="AW169" s="409">
        <f t="shared" si="203"/>
        <v>0</v>
      </c>
      <c r="AX169" s="409">
        <f t="shared" si="203"/>
        <v>0</v>
      </c>
      <c r="AY169" s="409">
        <f t="shared" si="203"/>
        <v>0</v>
      </c>
      <c r="AZ169" s="409">
        <f t="shared" si="203"/>
        <v>0</v>
      </c>
      <c r="BA169" s="409">
        <f t="shared" si="203"/>
        <v>0</v>
      </c>
      <c r="BB169" s="409">
        <f t="shared" si="203"/>
        <v>0</v>
      </c>
      <c r="BC169" s="409">
        <f t="shared" si="203"/>
        <v>0</v>
      </c>
      <c r="BD169" s="409">
        <f t="shared" si="203"/>
        <v>0</v>
      </c>
      <c r="BE169" s="409">
        <f t="shared" si="203"/>
        <v>0</v>
      </c>
      <c r="BF169" s="409">
        <f t="shared" si="203"/>
        <v>0</v>
      </c>
      <c r="BG169" s="409">
        <f t="shared" si="204"/>
        <v>0</v>
      </c>
      <c r="BH169" s="409">
        <f t="shared" si="204"/>
        <v>0</v>
      </c>
      <c r="BI169" s="409">
        <f t="shared" si="204"/>
        <v>0</v>
      </c>
      <c r="BJ169" s="409">
        <f t="shared" si="204"/>
        <v>0</v>
      </c>
      <c r="BK169" s="409">
        <f t="shared" si="204"/>
        <v>0</v>
      </c>
      <c r="BL169" s="409">
        <f t="shared" si="204"/>
        <v>0</v>
      </c>
      <c r="BM169" s="409">
        <f t="shared" si="204"/>
        <v>0</v>
      </c>
      <c r="BN169" s="409">
        <f t="shared" si="204"/>
        <v>0</v>
      </c>
      <c r="BO169" s="409">
        <f t="shared" si="204"/>
        <v>0</v>
      </c>
      <c r="BP169" s="409">
        <f t="shared" si="204"/>
        <v>0</v>
      </c>
      <c r="BQ169" s="409">
        <f t="shared" si="205"/>
        <v>0</v>
      </c>
      <c r="BR169" s="409">
        <f t="shared" si="205"/>
        <v>0</v>
      </c>
      <c r="BS169" s="409">
        <f t="shared" si="205"/>
        <v>0</v>
      </c>
      <c r="BT169" s="409">
        <f t="shared" si="205"/>
        <v>0</v>
      </c>
      <c r="BU169" s="409">
        <f t="shared" si="205"/>
        <v>0</v>
      </c>
      <c r="BV169" s="409">
        <f t="shared" si="205"/>
        <v>0</v>
      </c>
      <c r="BW169" s="409">
        <f t="shared" si="205"/>
        <v>0</v>
      </c>
      <c r="BX169" s="409">
        <f t="shared" si="205"/>
        <v>0</v>
      </c>
      <c r="BY169" s="409">
        <f t="shared" si="205"/>
        <v>0</v>
      </c>
      <c r="BZ169" s="409">
        <f t="shared" si="205"/>
        <v>0</v>
      </c>
      <c r="CA169" s="409">
        <f t="shared" si="206"/>
        <v>0</v>
      </c>
      <c r="CB169" s="409">
        <f t="shared" si="206"/>
        <v>0</v>
      </c>
      <c r="CC169" s="409">
        <f t="shared" si="206"/>
        <v>0</v>
      </c>
      <c r="CD169" s="409">
        <f t="shared" si="206"/>
        <v>0</v>
      </c>
      <c r="CE169" s="409">
        <f t="shared" si="206"/>
        <v>0</v>
      </c>
      <c r="CF169" s="409">
        <f t="shared" si="206"/>
        <v>0</v>
      </c>
      <c r="CG169" s="409">
        <f t="shared" si="206"/>
        <v>0</v>
      </c>
      <c r="CH169" s="409">
        <f t="shared" si="206"/>
        <v>0</v>
      </c>
      <c r="CI169" s="409">
        <f t="shared" si="206"/>
        <v>0</v>
      </c>
      <c r="CJ169" s="409">
        <f t="shared" si="206"/>
        <v>0</v>
      </c>
      <c r="CK169" s="409">
        <f t="shared" si="207"/>
        <v>0</v>
      </c>
      <c r="CL169" s="409">
        <f t="shared" si="207"/>
        <v>0</v>
      </c>
      <c r="CM169" s="409">
        <f t="shared" si="207"/>
        <v>0</v>
      </c>
      <c r="CN169" s="409">
        <f t="shared" si="207"/>
        <v>0</v>
      </c>
      <c r="CO169" s="409">
        <f t="shared" si="207"/>
        <v>0</v>
      </c>
      <c r="CP169" s="409">
        <f t="shared" si="207"/>
        <v>0</v>
      </c>
      <c r="CQ169" s="409">
        <f t="shared" si="207"/>
        <v>0</v>
      </c>
      <c r="CR169" s="409">
        <f t="shared" si="207"/>
        <v>0</v>
      </c>
      <c r="CS169" s="409">
        <f t="shared" si="207"/>
        <v>0</v>
      </c>
      <c r="CT169" s="409">
        <f t="shared" si="207"/>
        <v>0</v>
      </c>
      <c r="CU169" s="409">
        <f t="shared" si="208"/>
        <v>0</v>
      </c>
      <c r="CV169" s="409">
        <f t="shared" si="208"/>
        <v>0</v>
      </c>
      <c r="CW169" s="409">
        <f t="shared" si="208"/>
        <v>0</v>
      </c>
      <c r="CX169" s="409">
        <f t="shared" si="208"/>
        <v>0</v>
      </c>
      <c r="CY169" s="409">
        <f t="shared" si="208"/>
        <v>0</v>
      </c>
      <c r="CZ169" s="409">
        <f t="shared" si="208"/>
        <v>0</v>
      </c>
      <c r="DA169" s="409">
        <f t="shared" si="208"/>
        <v>0</v>
      </c>
      <c r="DB169" s="409">
        <f t="shared" si="208"/>
        <v>0</v>
      </c>
      <c r="DC169" s="409">
        <f t="shared" si="208"/>
        <v>0</v>
      </c>
      <c r="DD169" s="409">
        <f t="shared" si="208"/>
        <v>0</v>
      </c>
      <c r="DE169" s="409">
        <f t="shared" si="209"/>
        <v>0</v>
      </c>
      <c r="DF169" s="409">
        <f t="shared" si="209"/>
        <v>0</v>
      </c>
      <c r="DG169" s="409">
        <f t="shared" si="209"/>
        <v>0</v>
      </c>
      <c r="DH169" s="409">
        <f t="shared" si="209"/>
        <v>0</v>
      </c>
      <c r="DI169" s="409">
        <f t="shared" si="209"/>
        <v>0</v>
      </c>
      <c r="DJ169" s="409">
        <f t="shared" si="209"/>
        <v>0</v>
      </c>
      <c r="DK169" s="409">
        <f t="shared" si="209"/>
        <v>0</v>
      </c>
      <c r="DL169" s="409">
        <f t="shared" si="209"/>
        <v>0</v>
      </c>
      <c r="DM169" s="409">
        <f t="shared" si="209"/>
        <v>0</v>
      </c>
      <c r="DN169" s="409">
        <f t="shared" si="209"/>
        <v>0</v>
      </c>
      <c r="DO169" s="409">
        <f t="shared" si="210"/>
        <v>0</v>
      </c>
      <c r="DP169" s="409">
        <f t="shared" si="210"/>
        <v>0</v>
      </c>
      <c r="DQ169" s="409">
        <f t="shared" si="210"/>
        <v>0</v>
      </c>
      <c r="DR169" s="409">
        <f t="shared" si="210"/>
        <v>0</v>
      </c>
      <c r="DS169" s="409">
        <f t="shared" si="210"/>
        <v>0</v>
      </c>
      <c r="DT169" s="409">
        <f t="shared" si="210"/>
        <v>0</v>
      </c>
      <c r="DU169" s="409">
        <f t="shared" si="210"/>
        <v>0</v>
      </c>
      <c r="DV169" s="409">
        <f t="shared" si="210"/>
        <v>0</v>
      </c>
      <c r="DW169" s="409">
        <f t="shared" si="210"/>
        <v>0</v>
      </c>
      <c r="DX169" s="409">
        <f t="shared" si="210"/>
        <v>0</v>
      </c>
      <c r="DY169" s="409">
        <f t="shared" si="211"/>
        <v>0</v>
      </c>
      <c r="DZ169" s="409">
        <f t="shared" si="211"/>
        <v>0</v>
      </c>
      <c r="EA169" s="409">
        <f t="shared" si="211"/>
        <v>0</v>
      </c>
      <c r="EB169" s="409">
        <f t="shared" si="211"/>
        <v>0</v>
      </c>
      <c r="EC169" s="409">
        <f t="shared" si="211"/>
        <v>0</v>
      </c>
      <c r="ED169" s="409">
        <f t="shared" si="211"/>
        <v>0</v>
      </c>
      <c r="EE169" s="409">
        <f t="shared" si="211"/>
        <v>0</v>
      </c>
      <c r="EF169" s="409">
        <f t="shared" si="211"/>
        <v>0</v>
      </c>
      <c r="EG169" s="409">
        <f t="shared" si="211"/>
        <v>0</v>
      </c>
      <c r="EH169" s="409">
        <f t="shared" si="211"/>
        <v>0</v>
      </c>
      <c r="EI169" s="409">
        <f t="shared" si="212"/>
        <v>0</v>
      </c>
      <c r="EJ169" s="409">
        <f t="shared" si="212"/>
        <v>0</v>
      </c>
      <c r="EK169" s="409">
        <f t="shared" si="212"/>
        <v>0</v>
      </c>
      <c r="EL169" s="409">
        <f t="shared" si="212"/>
        <v>0</v>
      </c>
      <c r="EM169" s="409">
        <f t="shared" si="212"/>
        <v>0</v>
      </c>
      <c r="EN169" s="409">
        <f t="shared" si="212"/>
        <v>0</v>
      </c>
      <c r="EO169" s="409">
        <f t="shared" si="212"/>
        <v>0</v>
      </c>
      <c r="EP169" s="409">
        <f t="shared" si="212"/>
        <v>0</v>
      </c>
      <c r="EQ169" s="409">
        <f t="shared" si="212"/>
        <v>0</v>
      </c>
      <c r="ER169" s="409">
        <f t="shared" si="212"/>
        <v>0</v>
      </c>
      <c r="ES169" s="409">
        <f t="shared" si="213"/>
        <v>0</v>
      </c>
      <c r="ET169" s="409">
        <f t="shared" si="213"/>
        <v>0</v>
      </c>
      <c r="EU169" s="409">
        <f t="shared" si="213"/>
        <v>0</v>
      </c>
      <c r="EV169" s="409">
        <f t="shared" si="213"/>
        <v>0</v>
      </c>
      <c r="EW169" s="409">
        <f t="shared" si="213"/>
        <v>0</v>
      </c>
      <c r="EX169" s="409">
        <f t="shared" si="213"/>
        <v>0</v>
      </c>
      <c r="EY169" s="409">
        <f t="shared" si="213"/>
        <v>0</v>
      </c>
      <c r="EZ169" s="409">
        <f t="shared" si="213"/>
        <v>0</v>
      </c>
      <c r="FA169" s="409">
        <f t="shared" si="213"/>
        <v>0</v>
      </c>
      <c r="FB169" s="409">
        <f t="shared" si="213"/>
        <v>0</v>
      </c>
      <c r="FC169" s="409">
        <f t="shared" si="214"/>
        <v>0</v>
      </c>
      <c r="FD169" s="409">
        <f t="shared" si="214"/>
        <v>0</v>
      </c>
      <c r="FE169" s="409">
        <f t="shared" si="214"/>
        <v>0</v>
      </c>
      <c r="FF169" s="409">
        <f t="shared" si="214"/>
        <v>0</v>
      </c>
      <c r="FG169" s="409">
        <f t="shared" si="214"/>
        <v>0</v>
      </c>
      <c r="FH169" s="409">
        <f t="shared" si="214"/>
        <v>0</v>
      </c>
      <c r="FI169" s="409">
        <f t="shared" si="214"/>
        <v>0</v>
      </c>
      <c r="FJ169" s="409">
        <f t="shared" si="214"/>
        <v>0</v>
      </c>
      <c r="FK169" s="409">
        <f t="shared" si="214"/>
        <v>0</v>
      </c>
      <c r="FL169" s="409">
        <f t="shared" si="214"/>
        <v>0</v>
      </c>
      <c r="FM169" s="409">
        <f t="shared" si="215"/>
        <v>0</v>
      </c>
      <c r="FN169" s="409">
        <f t="shared" si="215"/>
        <v>0</v>
      </c>
      <c r="FO169" s="409">
        <f t="shared" si="215"/>
        <v>0</v>
      </c>
      <c r="FP169" s="409">
        <f t="shared" si="215"/>
        <v>0</v>
      </c>
      <c r="FQ169" s="409">
        <f t="shared" si="215"/>
        <v>0</v>
      </c>
      <c r="FR169" s="409">
        <f t="shared" si="215"/>
        <v>0</v>
      </c>
      <c r="FS169" s="409">
        <f t="shared" si="215"/>
        <v>0</v>
      </c>
      <c r="FT169" s="409">
        <f t="shared" si="215"/>
        <v>0</v>
      </c>
      <c r="FU169" s="409">
        <f t="shared" si="215"/>
        <v>0</v>
      </c>
      <c r="FV169" s="409">
        <f t="shared" si="215"/>
        <v>0</v>
      </c>
      <c r="FW169" s="409">
        <f t="shared" si="216"/>
        <v>0</v>
      </c>
      <c r="FX169" s="409">
        <f t="shared" si="216"/>
        <v>0</v>
      </c>
      <c r="FY169" s="409">
        <f t="shared" si="216"/>
        <v>0</v>
      </c>
      <c r="FZ169" s="409">
        <f t="shared" si="216"/>
        <v>0</v>
      </c>
      <c r="GA169" s="409">
        <f t="shared" si="216"/>
        <v>0</v>
      </c>
      <c r="GB169" s="409">
        <f t="shared" si="216"/>
        <v>0</v>
      </c>
      <c r="GC169" s="409">
        <f t="shared" si="216"/>
        <v>0</v>
      </c>
      <c r="GD169" s="409">
        <f t="shared" si="216"/>
        <v>0</v>
      </c>
      <c r="GE169" s="409">
        <f t="shared" si="216"/>
        <v>0</v>
      </c>
      <c r="GF169" s="409">
        <f t="shared" si="216"/>
        <v>0</v>
      </c>
      <c r="GG169" s="409">
        <f t="shared" si="217"/>
        <v>0</v>
      </c>
      <c r="GH169" s="409">
        <f t="shared" si="217"/>
        <v>0</v>
      </c>
      <c r="GI169" s="409">
        <f t="shared" si="217"/>
        <v>0</v>
      </c>
      <c r="GJ169" s="409">
        <f t="shared" si="217"/>
        <v>0</v>
      </c>
      <c r="GK169" s="409">
        <f t="shared" si="217"/>
        <v>0</v>
      </c>
      <c r="GL169" s="409">
        <f t="shared" si="217"/>
        <v>0</v>
      </c>
      <c r="GM169" s="409">
        <f t="shared" si="217"/>
        <v>0</v>
      </c>
      <c r="GN169" s="409">
        <f t="shared" si="217"/>
        <v>0</v>
      </c>
      <c r="GO169" s="409">
        <f t="shared" si="217"/>
        <v>0</v>
      </c>
      <c r="GP169" s="409">
        <f t="shared" si="217"/>
        <v>0</v>
      </c>
      <c r="GQ169" s="409">
        <f t="shared" si="218"/>
        <v>0</v>
      </c>
      <c r="GR169" s="409">
        <f t="shared" si="218"/>
        <v>0</v>
      </c>
      <c r="GS169" s="409">
        <f t="shared" si="218"/>
        <v>0</v>
      </c>
      <c r="GT169" s="409">
        <f t="shared" si="218"/>
        <v>0</v>
      </c>
      <c r="GU169" s="409">
        <f t="shared" si="218"/>
        <v>0</v>
      </c>
      <c r="GV169" s="409">
        <f t="shared" si="218"/>
        <v>0</v>
      </c>
      <c r="GW169" s="409">
        <f t="shared" si="218"/>
        <v>0</v>
      </c>
      <c r="GX169" s="409">
        <f t="shared" si="218"/>
        <v>0</v>
      </c>
      <c r="GY169" s="409">
        <f t="shared" si="218"/>
        <v>0</v>
      </c>
      <c r="GZ169" s="409">
        <f t="shared" si="218"/>
        <v>0</v>
      </c>
      <c r="HA169" s="409">
        <f t="shared" si="219"/>
        <v>0</v>
      </c>
      <c r="HB169" s="409">
        <f t="shared" si="219"/>
        <v>0</v>
      </c>
      <c r="HC169" s="409">
        <f t="shared" si="219"/>
        <v>0</v>
      </c>
      <c r="HD169" s="409">
        <f t="shared" si="219"/>
        <v>0</v>
      </c>
      <c r="HE169" s="409">
        <f t="shared" si="219"/>
        <v>0</v>
      </c>
      <c r="HF169" s="409">
        <f t="shared" si="219"/>
        <v>0</v>
      </c>
      <c r="HG169" s="409">
        <f t="shared" si="219"/>
        <v>0</v>
      </c>
      <c r="HH169" s="409">
        <f t="shared" si="219"/>
        <v>0</v>
      </c>
      <c r="HI169" s="409">
        <f t="shared" si="219"/>
        <v>0</v>
      </c>
      <c r="HJ169" s="409">
        <f t="shared" si="219"/>
        <v>0</v>
      </c>
      <c r="HK169" s="409">
        <f t="shared" si="220"/>
        <v>0</v>
      </c>
      <c r="HL169" s="409">
        <f t="shared" si="220"/>
        <v>0</v>
      </c>
      <c r="HM169" s="409">
        <f t="shared" si="220"/>
        <v>0</v>
      </c>
      <c r="HN169" s="409">
        <f t="shared" si="220"/>
        <v>0</v>
      </c>
      <c r="HO169" s="409">
        <f t="shared" si="220"/>
        <v>0</v>
      </c>
      <c r="HP169" s="409">
        <f t="shared" si="220"/>
        <v>0</v>
      </c>
      <c r="HQ169" s="409">
        <f t="shared" si="220"/>
        <v>0</v>
      </c>
      <c r="HR169" s="409">
        <f t="shared" si="220"/>
        <v>0</v>
      </c>
      <c r="HS169" s="409">
        <f t="shared" si="220"/>
        <v>0</v>
      </c>
      <c r="HT169" s="409">
        <f t="shared" si="220"/>
        <v>0</v>
      </c>
      <c r="HU169" s="409">
        <f t="shared" si="221"/>
        <v>0</v>
      </c>
      <c r="HV169" s="409">
        <f t="shared" si="221"/>
        <v>0</v>
      </c>
      <c r="HW169" s="409">
        <f t="shared" si="221"/>
        <v>0</v>
      </c>
      <c r="HX169" s="409">
        <f t="shared" si="221"/>
        <v>0</v>
      </c>
      <c r="HY169" s="409">
        <f t="shared" si="221"/>
        <v>0</v>
      </c>
      <c r="HZ169" s="409">
        <f t="shared" si="221"/>
        <v>0</v>
      </c>
      <c r="IA169" s="409">
        <f t="shared" si="221"/>
        <v>0</v>
      </c>
      <c r="IB169" s="409">
        <f t="shared" si="221"/>
        <v>0</v>
      </c>
      <c r="IC169" s="409">
        <f t="shared" si="221"/>
        <v>0</v>
      </c>
      <c r="ID169" s="409">
        <f t="shared" si="221"/>
        <v>0</v>
      </c>
      <c r="IE169" s="409">
        <f t="shared" si="222"/>
        <v>0</v>
      </c>
      <c r="IF169" s="409">
        <f t="shared" si="222"/>
        <v>0</v>
      </c>
      <c r="IG169" s="409">
        <f t="shared" si="222"/>
        <v>0</v>
      </c>
      <c r="IH169" s="409">
        <f t="shared" si="222"/>
        <v>0</v>
      </c>
      <c r="II169" s="409">
        <f t="shared" si="222"/>
        <v>0</v>
      </c>
      <c r="IJ169" s="409">
        <f t="shared" si="222"/>
        <v>0</v>
      </c>
      <c r="IK169" s="378"/>
    </row>
    <row r="170" spans="1:245" hidden="1" x14ac:dyDescent="0.2">
      <c r="A170" s="380" t="str">
        <f t="shared" si="243"/>
        <v>e</v>
      </c>
      <c r="B170" s="712" t="str">
        <f>IF(ISERROR(INDEX('Legend(DX)'!$H$11:$H$12,13)),"",INDEX('Legend(DX)'!$H$11:$H$12,13))</f>
        <v/>
      </c>
      <c r="C170" s="712" t="e">
        <f>IF(INDEX('Legend(DX)'!$T$11:$T$12,13)=0,"See Legend",INDEX('Legend(DX)'!$T$11:$T$12,13))</f>
        <v>#REF!</v>
      </c>
      <c r="D170" s="712" t="e">
        <f>IF(INDEX('Legend(DX)'!$R$11:$R$12,(ROW(C170))-137)=0,IF(AND(INDEX('Legend(DX)'!$D$11:$D$12,(ROW(C170))-136)="CH",INDEX('Legend(DX)'!$F$11:$F$12,(ROW(C170))-136)="CASE - MANUAL"),INDEX('Legend(DX)'!$R$11:$R$12,(ROW(C170))-136),IF(INDEX('Legend(DX)'!$V$11:$V$12,(ROW(C170))-137)&gt;1, "(" &amp; INDEX('Legend(DX)'!$V$11:$V$12,(ROW(C170))-137) &amp; ") " &amp; INDEX('Legend(DX)'!$W$11:$W$12,(ROW(C170))-136),INDEX('Legend(DX)'!$W$11:$W$12,(ROW(C170))-137))),INDEX('Legend(DX)'!$R$11:$R$12,(ROW(C170))-137))</f>
        <v>#REF!</v>
      </c>
      <c r="E170" s="713" t="str">
        <f>IF(ISERROR(INDEX('Legend(DX)'!$AA$11:$AA$12,13)),"",INDEX('Legend(DX)'!$AA$11:$AA$12,13))</f>
        <v/>
      </c>
      <c r="F170" s="715"/>
      <c r="G170" s="715"/>
      <c r="H170" s="715"/>
      <c r="I170" s="715"/>
      <c r="J170" s="715"/>
      <c r="K170" s="890">
        <f t="shared" si="223"/>
        <v>0</v>
      </c>
      <c r="L170" s="718"/>
      <c r="M170" s="723"/>
      <c r="N170" s="972">
        <f t="shared" si="196"/>
        <v>-1</v>
      </c>
      <c r="O170" s="972">
        <f t="shared" si="244"/>
        <v>-1</v>
      </c>
      <c r="P170" s="972">
        <f t="shared" si="197"/>
        <v>-1</v>
      </c>
      <c r="Q170" s="972">
        <f t="shared" si="245"/>
        <v>-1</v>
      </c>
      <c r="R170" s="972">
        <f t="shared" si="198"/>
        <v>-1</v>
      </c>
      <c r="S170" s="972">
        <f t="shared" si="246"/>
        <v>-1</v>
      </c>
      <c r="T170" s="972">
        <f t="shared" si="199"/>
        <v>-1</v>
      </c>
      <c r="U170" s="972">
        <f t="shared" si="247"/>
        <v>-1</v>
      </c>
      <c r="V170" s="972">
        <f t="shared" si="200"/>
        <v>-1</v>
      </c>
      <c r="W170" s="972">
        <f t="shared" si="248"/>
        <v>-1</v>
      </c>
      <c r="X170" s="972">
        <f t="shared" si="201"/>
        <v>-1</v>
      </c>
      <c r="Y170" s="972">
        <f t="shared" si="229"/>
        <v>-1</v>
      </c>
      <c r="Z170" s="972">
        <f t="shared" si="230"/>
        <v>-1</v>
      </c>
      <c r="AA170" s="972">
        <f t="shared" si="231"/>
        <v>-1</v>
      </c>
      <c r="AB170" s="972">
        <f t="shared" si="232"/>
        <v>-1</v>
      </c>
      <c r="AC170" s="972">
        <f t="shared" si="233"/>
        <v>-1</v>
      </c>
      <c r="AD170" s="972">
        <f t="shared" si="234"/>
        <v>-1</v>
      </c>
      <c r="AE170" s="972">
        <f t="shared" si="235"/>
        <v>-1</v>
      </c>
      <c r="AF170" s="972">
        <f t="shared" si="236"/>
        <v>-1</v>
      </c>
      <c r="AG170" s="972">
        <f t="shared" si="237"/>
        <v>-1</v>
      </c>
      <c r="AH170" s="972">
        <f t="shared" si="238"/>
        <v>-1</v>
      </c>
      <c r="AI170" s="972">
        <f t="shared" si="239"/>
        <v>-1</v>
      </c>
      <c r="AJ170" s="972">
        <f t="shared" si="240"/>
        <v>-1</v>
      </c>
      <c r="AK170" s="381"/>
      <c r="AL170" s="727" t="str">
        <f t="shared" si="249"/>
        <v/>
      </c>
      <c r="AM170" s="409">
        <f t="shared" si="202"/>
        <v>0</v>
      </c>
      <c r="AN170" s="409">
        <f t="shared" si="202"/>
        <v>0</v>
      </c>
      <c r="AO170" s="409">
        <f t="shared" si="202"/>
        <v>0</v>
      </c>
      <c r="AP170" s="409">
        <f t="shared" si="202"/>
        <v>0</v>
      </c>
      <c r="AQ170" s="409">
        <f t="shared" si="202"/>
        <v>0</v>
      </c>
      <c r="AR170" s="409">
        <f t="shared" si="202"/>
        <v>0</v>
      </c>
      <c r="AS170" s="409">
        <f t="shared" si="202"/>
        <v>0</v>
      </c>
      <c r="AT170" s="409">
        <f t="shared" si="202"/>
        <v>0</v>
      </c>
      <c r="AU170" s="409">
        <f t="shared" si="202"/>
        <v>0</v>
      </c>
      <c r="AV170" s="409">
        <f t="shared" si="202"/>
        <v>0</v>
      </c>
      <c r="AW170" s="409">
        <f t="shared" si="203"/>
        <v>0</v>
      </c>
      <c r="AX170" s="409">
        <f t="shared" si="203"/>
        <v>0</v>
      </c>
      <c r="AY170" s="409">
        <f t="shared" si="203"/>
        <v>0</v>
      </c>
      <c r="AZ170" s="409">
        <f t="shared" si="203"/>
        <v>0</v>
      </c>
      <c r="BA170" s="409">
        <f t="shared" si="203"/>
        <v>0</v>
      </c>
      <c r="BB170" s="409">
        <f t="shared" si="203"/>
        <v>0</v>
      </c>
      <c r="BC170" s="409">
        <f t="shared" si="203"/>
        <v>0</v>
      </c>
      <c r="BD170" s="409">
        <f t="shared" si="203"/>
        <v>0</v>
      </c>
      <c r="BE170" s="409">
        <f t="shared" si="203"/>
        <v>0</v>
      </c>
      <c r="BF170" s="409">
        <f t="shared" si="203"/>
        <v>0</v>
      </c>
      <c r="BG170" s="409">
        <f t="shared" si="204"/>
        <v>0</v>
      </c>
      <c r="BH170" s="409">
        <f t="shared" si="204"/>
        <v>0</v>
      </c>
      <c r="BI170" s="409">
        <f t="shared" si="204"/>
        <v>0</v>
      </c>
      <c r="BJ170" s="409">
        <f t="shared" si="204"/>
        <v>0</v>
      </c>
      <c r="BK170" s="409">
        <f t="shared" si="204"/>
        <v>0</v>
      </c>
      <c r="BL170" s="409">
        <f t="shared" si="204"/>
        <v>0</v>
      </c>
      <c r="BM170" s="409">
        <f t="shared" si="204"/>
        <v>0</v>
      </c>
      <c r="BN170" s="409">
        <f t="shared" si="204"/>
        <v>0</v>
      </c>
      <c r="BO170" s="409">
        <f t="shared" si="204"/>
        <v>0</v>
      </c>
      <c r="BP170" s="409">
        <f t="shared" si="204"/>
        <v>0</v>
      </c>
      <c r="BQ170" s="409">
        <f t="shared" si="205"/>
        <v>0</v>
      </c>
      <c r="BR170" s="409">
        <f t="shared" si="205"/>
        <v>0</v>
      </c>
      <c r="BS170" s="409">
        <f t="shared" si="205"/>
        <v>0</v>
      </c>
      <c r="BT170" s="409">
        <f t="shared" si="205"/>
        <v>0</v>
      </c>
      <c r="BU170" s="409">
        <f t="shared" si="205"/>
        <v>0</v>
      </c>
      <c r="BV170" s="409">
        <f t="shared" si="205"/>
        <v>0</v>
      </c>
      <c r="BW170" s="409">
        <f t="shared" si="205"/>
        <v>0</v>
      </c>
      <c r="BX170" s="409">
        <f t="shared" si="205"/>
        <v>0</v>
      </c>
      <c r="BY170" s="409">
        <f t="shared" si="205"/>
        <v>0</v>
      </c>
      <c r="BZ170" s="409">
        <f t="shared" si="205"/>
        <v>0</v>
      </c>
      <c r="CA170" s="409">
        <f t="shared" si="206"/>
        <v>0</v>
      </c>
      <c r="CB170" s="409">
        <f t="shared" si="206"/>
        <v>0</v>
      </c>
      <c r="CC170" s="409">
        <f t="shared" si="206"/>
        <v>0</v>
      </c>
      <c r="CD170" s="409">
        <f t="shared" si="206"/>
        <v>0</v>
      </c>
      <c r="CE170" s="409">
        <f t="shared" si="206"/>
        <v>0</v>
      </c>
      <c r="CF170" s="409">
        <f t="shared" si="206"/>
        <v>0</v>
      </c>
      <c r="CG170" s="409">
        <f t="shared" si="206"/>
        <v>0</v>
      </c>
      <c r="CH170" s="409">
        <f t="shared" si="206"/>
        <v>0</v>
      </c>
      <c r="CI170" s="409">
        <f t="shared" si="206"/>
        <v>0</v>
      </c>
      <c r="CJ170" s="409">
        <f t="shared" si="206"/>
        <v>0</v>
      </c>
      <c r="CK170" s="409">
        <f t="shared" si="207"/>
        <v>0</v>
      </c>
      <c r="CL170" s="409">
        <f t="shared" si="207"/>
        <v>0</v>
      </c>
      <c r="CM170" s="409">
        <f t="shared" si="207"/>
        <v>0</v>
      </c>
      <c r="CN170" s="409">
        <f t="shared" si="207"/>
        <v>0</v>
      </c>
      <c r="CO170" s="409">
        <f t="shared" si="207"/>
        <v>0</v>
      </c>
      <c r="CP170" s="409">
        <f t="shared" si="207"/>
        <v>0</v>
      </c>
      <c r="CQ170" s="409">
        <f t="shared" si="207"/>
        <v>0</v>
      </c>
      <c r="CR170" s="409">
        <f t="shared" si="207"/>
        <v>0</v>
      </c>
      <c r="CS170" s="409">
        <f t="shared" si="207"/>
        <v>0</v>
      </c>
      <c r="CT170" s="409">
        <f t="shared" si="207"/>
        <v>0</v>
      </c>
      <c r="CU170" s="409">
        <f t="shared" si="208"/>
        <v>0</v>
      </c>
      <c r="CV170" s="409">
        <f t="shared" si="208"/>
        <v>0</v>
      </c>
      <c r="CW170" s="409">
        <f t="shared" si="208"/>
        <v>0</v>
      </c>
      <c r="CX170" s="409">
        <f t="shared" si="208"/>
        <v>0</v>
      </c>
      <c r="CY170" s="409">
        <f t="shared" si="208"/>
        <v>0</v>
      </c>
      <c r="CZ170" s="409">
        <f t="shared" si="208"/>
        <v>0</v>
      </c>
      <c r="DA170" s="409">
        <f t="shared" si="208"/>
        <v>0</v>
      </c>
      <c r="DB170" s="409">
        <f t="shared" si="208"/>
        <v>0</v>
      </c>
      <c r="DC170" s="409">
        <f t="shared" si="208"/>
        <v>0</v>
      </c>
      <c r="DD170" s="409">
        <f t="shared" si="208"/>
        <v>0</v>
      </c>
      <c r="DE170" s="409">
        <f t="shared" si="209"/>
        <v>0</v>
      </c>
      <c r="DF170" s="409">
        <f t="shared" si="209"/>
        <v>0</v>
      </c>
      <c r="DG170" s="409">
        <f t="shared" si="209"/>
        <v>0</v>
      </c>
      <c r="DH170" s="409">
        <f t="shared" si="209"/>
        <v>0</v>
      </c>
      <c r="DI170" s="409">
        <f t="shared" si="209"/>
        <v>0</v>
      </c>
      <c r="DJ170" s="409">
        <f t="shared" si="209"/>
        <v>0</v>
      </c>
      <c r="DK170" s="409">
        <f t="shared" si="209"/>
        <v>0</v>
      </c>
      <c r="DL170" s="409">
        <f t="shared" si="209"/>
        <v>0</v>
      </c>
      <c r="DM170" s="409">
        <f t="shared" si="209"/>
        <v>0</v>
      </c>
      <c r="DN170" s="409">
        <f t="shared" si="209"/>
        <v>0</v>
      </c>
      <c r="DO170" s="409">
        <f t="shared" si="210"/>
        <v>0</v>
      </c>
      <c r="DP170" s="409">
        <f t="shared" si="210"/>
        <v>0</v>
      </c>
      <c r="DQ170" s="409">
        <f t="shared" si="210"/>
        <v>0</v>
      </c>
      <c r="DR170" s="409">
        <f t="shared" si="210"/>
        <v>0</v>
      </c>
      <c r="DS170" s="409">
        <f t="shared" si="210"/>
        <v>0</v>
      </c>
      <c r="DT170" s="409">
        <f t="shared" si="210"/>
        <v>0</v>
      </c>
      <c r="DU170" s="409">
        <f t="shared" si="210"/>
        <v>0</v>
      </c>
      <c r="DV170" s="409">
        <f t="shared" si="210"/>
        <v>0</v>
      </c>
      <c r="DW170" s="409">
        <f t="shared" si="210"/>
        <v>0</v>
      </c>
      <c r="DX170" s="409">
        <f t="shared" si="210"/>
        <v>0</v>
      </c>
      <c r="DY170" s="409">
        <f t="shared" si="211"/>
        <v>0</v>
      </c>
      <c r="DZ170" s="409">
        <f t="shared" si="211"/>
        <v>0</v>
      </c>
      <c r="EA170" s="409">
        <f t="shared" si="211"/>
        <v>0</v>
      </c>
      <c r="EB170" s="409">
        <f t="shared" si="211"/>
        <v>0</v>
      </c>
      <c r="EC170" s="409">
        <f t="shared" si="211"/>
        <v>0</v>
      </c>
      <c r="ED170" s="409">
        <f t="shared" si="211"/>
        <v>0</v>
      </c>
      <c r="EE170" s="409">
        <f t="shared" si="211"/>
        <v>0</v>
      </c>
      <c r="EF170" s="409">
        <f t="shared" si="211"/>
        <v>0</v>
      </c>
      <c r="EG170" s="409">
        <f t="shared" si="211"/>
        <v>0</v>
      </c>
      <c r="EH170" s="409">
        <f t="shared" si="211"/>
        <v>0</v>
      </c>
      <c r="EI170" s="409">
        <f t="shared" si="212"/>
        <v>0</v>
      </c>
      <c r="EJ170" s="409">
        <f t="shared" si="212"/>
        <v>0</v>
      </c>
      <c r="EK170" s="409">
        <f t="shared" si="212"/>
        <v>0</v>
      </c>
      <c r="EL170" s="409">
        <f t="shared" si="212"/>
        <v>0</v>
      </c>
      <c r="EM170" s="409">
        <f t="shared" si="212"/>
        <v>0</v>
      </c>
      <c r="EN170" s="409">
        <f t="shared" si="212"/>
        <v>0</v>
      </c>
      <c r="EO170" s="409">
        <f t="shared" si="212"/>
        <v>0</v>
      </c>
      <c r="EP170" s="409">
        <f t="shared" si="212"/>
        <v>0</v>
      </c>
      <c r="EQ170" s="409">
        <f t="shared" si="212"/>
        <v>0</v>
      </c>
      <c r="ER170" s="409">
        <f t="shared" si="212"/>
        <v>0</v>
      </c>
      <c r="ES170" s="409">
        <f t="shared" si="213"/>
        <v>0</v>
      </c>
      <c r="ET170" s="409">
        <f t="shared" si="213"/>
        <v>0</v>
      </c>
      <c r="EU170" s="409">
        <f t="shared" si="213"/>
        <v>0</v>
      </c>
      <c r="EV170" s="409">
        <f t="shared" si="213"/>
        <v>0</v>
      </c>
      <c r="EW170" s="409">
        <f t="shared" si="213"/>
        <v>0</v>
      </c>
      <c r="EX170" s="409">
        <f t="shared" si="213"/>
        <v>0</v>
      </c>
      <c r="EY170" s="409">
        <f t="shared" si="213"/>
        <v>0</v>
      </c>
      <c r="EZ170" s="409">
        <f t="shared" si="213"/>
        <v>0</v>
      </c>
      <c r="FA170" s="409">
        <f t="shared" si="213"/>
        <v>0</v>
      </c>
      <c r="FB170" s="409">
        <f t="shared" si="213"/>
        <v>0</v>
      </c>
      <c r="FC170" s="409">
        <f t="shared" si="214"/>
        <v>0</v>
      </c>
      <c r="FD170" s="409">
        <f t="shared" si="214"/>
        <v>0</v>
      </c>
      <c r="FE170" s="409">
        <f t="shared" si="214"/>
        <v>0</v>
      </c>
      <c r="FF170" s="409">
        <f t="shared" si="214"/>
        <v>0</v>
      </c>
      <c r="FG170" s="409">
        <f t="shared" si="214"/>
        <v>0</v>
      </c>
      <c r="FH170" s="409">
        <f t="shared" si="214"/>
        <v>0</v>
      </c>
      <c r="FI170" s="409">
        <f t="shared" si="214"/>
        <v>0</v>
      </c>
      <c r="FJ170" s="409">
        <f t="shared" si="214"/>
        <v>0</v>
      </c>
      <c r="FK170" s="409">
        <f t="shared" si="214"/>
        <v>0</v>
      </c>
      <c r="FL170" s="409">
        <f t="shared" si="214"/>
        <v>0</v>
      </c>
      <c r="FM170" s="409">
        <f t="shared" si="215"/>
        <v>0</v>
      </c>
      <c r="FN170" s="409">
        <f t="shared" si="215"/>
        <v>0</v>
      </c>
      <c r="FO170" s="409">
        <f t="shared" si="215"/>
        <v>0</v>
      </c>
      <c r="FP170" s="409">
        <f t="shared" si="215"/>
        <v>0</v>
      </c>
      <c r="FQ170" s="409">
        <f t="shared" si="215"/>
        <v>0</v>
      </c>
      <c r="FR170" s="409">
        <f t="shared" si="215"/>
        <v>0</v>
      </c>
      <c r="FS170" s="409">
        <f t="shared" si="215"/>
        <v>0</v>
      </c>
      <c r="FT170" s="409">
        <f t="shared" si="215"/>
        <v>0</v>
      </c>
      <c r="FU170" s="409">
        <f t="shared" si="215"/>
        <v>0</v>
      </c>
      <c r="FV170" s="409">
        <f t="shared" si="215"/>
        <v>0</v>
      </c>
      <c r="FW170" s="409">
        <f t="shared" si="216"/>
        <v>0</v>
      </c>
      <c r="FX170" s="409">
        <f t="shared" si="216"/>
        <v>0</v>
      </c>
      <c r="FY170" s="409">
        <f t="shared" si="216"/>
        <v>0</v>
      </c>
      <c r="FZ170" s="409">
        <f t="shared" si="216"/>
        <v>0</v>
      </c>
      <c r="GA170" s="409">
        <f t="shared" si="216"/>
        <v>0</v>
      </c>
      <c r="GB170" s="409">
        <f t="shared" si="216"/>
        <v>0</v>
      </c>
      <c r="GC170" s="409">
        <f t="shared" si="216"/>
        <v>0</v>
      </c>
      <c r="GD170" s="409">
        <f t="shared" si="216"/>
        <v>0</v>
      </c>
      <c r="GE170" s="409">
        <f t="shared" si="216"/>
        <v>0</v>
      </c>
      <c r="GF170" s="409">
        <f t="shared" si="216"/>
        <v>0</v>
      </c>
      <c r="GG170" s="409">
        <f t="shared" si="217"/>
        <v>0</v>
      </c>
      <c r="GH170" s="409">
        <f t="shared" si="217"/>
        <v>0</v>
      </c>
      <c r="GI170" s="409">
        <f t="shared" si="217"/>
        <v>0</v>
      </c>
      <c r="GJ170" s="409">
        <f t="shared" si="217"/>
        <v>0</v>
      </c>
      <c r="GK170" s="409">
        <f t="shared" si="217"/>
        <v>0</v>
      </c>
      <c r="GL170" s="409">
        <f t="shared" si="217"/>
        <v>0</v>
      </c>
      <c r="GM170" s="409">
        <f t="shared" si="217"/>
        <v>0</v>
      </c>
      <c r="GN170" s="409">
        <f t="shared" si="217"/>
        <v>0</v>
      </c>
      <c r="GO170" s="409">
        <f t="shared" si="217"/>
        <v>0</v>
      </c>
      <c r="GP170" s="409">
        <f t="shared" si="217"/>
        <v>0</v>
      </c>
      <c r="GQ170" s="409">
        <f t="shared" si="218"/>
        <v>0</v>
      </c>
      <c r="GR170" s="409">
        <f t="shared" si="218"/>
        <v>0</v>
      </c>
      <c r="GS170" s="409">
        <f t="shared" si="218"/>
        <v>0</v>
      </c>
      <c r="GT170" s="409">
        <f t="shared" si="218"/>
        <v>0</v>
      </c>
      <c r="GU170" s="409">
        <f t="shared" si="218"/>
        <v>0</v>
      </c>
      <c r="GV170" s="409">
        <f t="shared" si="218"/>
        <v>0</v>
      </c>
      <c r="GW170" s="409">
        <f t="shared" si="218"/>
        <v>0</v>
      </c>
      <c r="GX170" s="409">
        <f t="shared" si="218"/>
        <v>0</v>
      </c>
      <c r="GY170" s="409">
        <f t="shared" si="218"/>
        <v>0</v>
      </c>
      <c r="GZ170" s="409">
        <f t="shared" si="218"/>
        <v>0</v>
      </c>
      <c r="HA170" s="409">
        <f t="shared" si="219"/>
        <v>0</v>
      </c>
      <c r="HB170" s="409">
        <f t="shared" si="219"/>
        <v>0</v>
      </c>
      <c r="HC170" s="409">
        <f t="shared" si="219"/>
        <v>0</v>
      </c>
      <c r="HD170" s="409">
        <f t="shared" si="219"/>
        <v>0</v>
      </c>
      <c r="HE170" s="409">
        <f t="shared" si="219"/>
        <v>0</v>
      </c>
      <c r="HF170" s="409">
        <f t="shared" si="219"/>
        <v>0</v>
      </c>
      <c r="HG170" s="409">
        <f t="shared" si="219"/>
        <v>0</v>
      </c>
      <c r="HH170" s="409">
        <f t="shared" si="219"/>
        <v>0</v>
      </c>
      <c r="HI170" s="409">
        <f t="shared" si="219"/>
        <v>0</v>
      </c>
      <c r="HJ170" s="409">
        <f t="shared" si="219"/>
        <v>0</v>
      </c>
      <c r="HK170" s="409">
        <f t="shared" si="220"/>
        <v>0</v>
      </c>
      <c r="HL170" s="409">
        <f t="shared" si="220"/>
        <v>0</v>
      </c>
      <c r="HM170" s="409">
        <f t="shared" si="220"/>
        <v>0</v>
      </c>
      <c r="HN170" s="409">
        <f t="shared" si="220"/>
        <v>0</v>
      </c>
      <c r="HO170" s="409">
        <f t="shared" si="220"/>
        <v>0</v>
      </c>
      <c r="HP170" s="409">
        <f t="shared" si="220"/>
        <v>0</v>
      </c>
      <c r="HQ170" s="409">
        <f t="shared" si="220"/>
        <v>0</v>
      </c>
      <c r="HR170" s="409">
        <f t="shared" si="220"/>
        <v>0</v>
      </c>
      <c r="HS170" s="409">
        <f t="shared" si="220"/>
        <v>0</v>
      </c>
      <c r="HT170" s="409">
        <f t="shared" si="220"/>
        <v>0</v>
      </c>
      <c r="HU170" s="409">
        <f t="shared" si="221"/>
        <v>0</v>
      </c>
      <c r="HV170" s="409">
        <f t="shared" si="221"/>
        <v>0</v>
      </c>
      <c r="HW170" s="409">
        <f t="shared" si="221"/>
        <v>0</v>
      </c>
      <c r="HX170" s="409">
        <f t="shared" si="221"/>
        <v>0</v>
      </c>
      <c r="HY170" s="409">
        <f t="shared" si="221"/>
        <v>0</v>
      </c>
      <c r="HZ170" s="409">
        <f t="shared" si="221"/>
        <v>0</v>
      </c>
      <c r="IA170" s="409">
        <f t="shared" si="221"/>
        <v>0</v>
      </c>
      <c r="IB170" s="409">
        <f t="shared" si="221"/>
        <v>0</v>
      </c>
      <c r="IC170" s="409">
        <f t="shared" si="221"/>
        <v>0</v>
      </c>
      <c r="ID170" s="409">
        <f t="shared" si="221"/>
        <v>0</v>
      </c>
      <c r="IE170" s="409">
        <f t="shared" si="222"/>
        <v>0</v>
      </c>
      <c r="IF170" s="409">
        <f t="shared" si="222"/>
        <v>0</v>
      </c>
      <c r="IG170" s="409">
        <f t="shared" si="222"/>
        <v>0</v>
      </c>
      <c r="IH170" s="409">
        <f t="shared" si="222"/>
        <v>0</v>
      </c>
      <c r="II170" s="409">
        <f t="shared" si="222"/>
        <v>0</v>
      </c>
      <c r="IJ170" s="409">
        <f t="shared" si="222"/>
        <v>0</v>
      </c>
      <c r="IK170" s="378"/>
    </row>
    <row r="171" spans="1:245" hidden="1" x14ac:dyDescent="0.2">
      <c r="A171" s="380" t="str">
        <f t="shared" si="243"/>
        <v>e</v>
      </c>
      <c r="B171" s="712" t="str">
        <f>IF(ISERROR(INDEX('Legend(DX)'!$H$11:$H$12,14)),"",INDEX('Legend(DX)'!$H$11:$H$12,14))</f>
        <v/>
      </c>
      <c r="C171" s="712" t="e">
        <f>IF(INDEX('Legend(DX)'!$T$11:$T$12,14)=0,"See Legend",INDEX('Legend(DX)'!$T$11:$T$12,14))</f>
        <v>#REF!</v>
      </c>
      <c r="D171" s="712" t="e">
        <f>IF(INDEX('Legend(DX)'!$R$11:$R$12,(ROW(C171))-137)=0,IF(AND(INDEX('Legend(DX)'!$D$11:$D$12,(ROW(C171))-136)="CH",INDEX('Legend(DX)'!$F$11:$F$12,(ROW(C171))-136)="CASE - MANUAL"),INDEX('Legend(DX)'!$R$11:$R$12,(ROW(C171))-136),IF(INDEX('Legend(DX)'!$V$11:$V$12,(ROW(C171))-137)&gt;1, "(" &amp; INDEX('Legend(DX)'!$V$11:$V$12,(ROW(C171))-137) &amp; ") " &amp; INDEX('Legend(DX)'!$W$11:$W$12,(ROW(C171))-136),INDEX('Legend(DX)'!$W$11:$W$12,(ROW(C171))-137))),INDEX('Legend(DX)'!$R$11:$R$12,(ROW(C171))-137))</f>
        <v>#REF!</v>
      </c>
      <c r="E171" s="713" t="str">
        <f>IF(ISERROR(INDEX('Legend(DX)'!$AA$11:$AA$12,14)),"",INDEX('Legend(DX)'!$AA$11:$AA$12,14))</f>
        <v/>
      </c>
      <c r="F171" s="715"/>
      <c r="G171" s="715"/>
      <c r="H171" s="715"/>
      <c r="I171" s="715"/>
      <c r="J171" s="715"/>
      <c r="K171" s="890">
        <f t="shared" si="223"/>
        <v>0</v>
      </c>
      <c r="L171" s="718"/>
      <c r="M171" s="723"/>
      <c r="N171" s="972">
        <f t="shared" si="196"/>
        <v>-1</v>
      </c>
      <c r="O171" s="972">
        <f t="shared" si="244"/>
        <v>-1</v>
      </c>
      <c r="P171" s="972">
        <f t="shared" si="197"/>
        <v>-1</v>
      </c>
      <c r="Q171" s="972">
        <f t="shared" si="245"/>
        <v>-1</v>
      </c>
      <c r="R171" s="972">
        <f t="shared" si="198"/>
        <v>-1</v>
      </c>
      <c r="S171" s="972">
        <f t="shared" si="246"/>
        <v>-1</v>
      </c>
      <c r="T171" s="972">
        <f t="shared" si="199"/>
        <v>-1</v>
      </c>
      <c r="U171" s="972">
        <f t="shared" si="247"/>
        <v>-1</v>
      </c>
      <c r="V171" s="972">
        <f t="shared" si="200"/>
        <v>-1</v>
      </c>
      <c r="W171" s="972">
        <f t="shared" si="248"/>
        <v>-1</v>
      </c>
      <c r="X171" s="972">
        <f t="shared" si="201"/>
        <v>-1</v>
      </c>
      <c r="Y171" s="972">
        <f t="shared" si="229"/>
        <v>-1</v>
      </c>
      <c r="Z171" s="972">
        <f t="shared" si="230"/>
        <v>-1</v>
      </c>
      <c r="AA171" s="972">
        <f t="shared" si="231"/>
        <v>-1</v>
      </c>
      <c r="AB171" s="972">
        <f t="shared" si="232"/>
        <v>-1</v>
      </c>
      <c r="AC171" s="972">
        <f t="shared" si="233"/>
        <v>-1</v>
      </c>
      <c r="AD171" s="972">
        <f t="shared" si="234"/>
        <v>-1</v>
      </c>
      <c r="AE171" s="972">
        <f t="shared" si="235"/>
        <v>-1</v>
      </c>
      <c r="AF171" s="972">
        <f t="shared" si="236"/>
        <v>-1</v>
      </c>
      <c r="AG171" s="972">
        <f t="shared" si="237"/>
        <v>-1</v>
      </c>
      <c r="AH171" s="972">
        <f t="shared" si="238"/>
        <v>-1</v>
      </c>
      <c r="AI171" s="972">
        <f t="shared" si="239"/>
        <v>-1</v>
      </c>
      <c r="AJ171" s="972">
        <f t="shared" si="240"/>
        <v>-1</v>
      </c>
      <c r="AK171" s="381"/>
      <c r="AL171" s="727" t="str">
        <f t="shared" si="249"/>
        <v/>
      </c>
      <c r="AM171" s="409">
        <f t="shared" si="202"/>
        <v>0</v>
      </c>
      <c r="AN171" s="409">
        <f t="shared" si="202"/>
        <v>0</v>
      </c>
      <c r="AO171" s="409">
        <f t="shared" si="202"/>
        <v>0</v>
      </c>
      <c r="AP171" s="409">
        <f t="shared" si="202"/>
        <v>0</v>
      </c>
      <c r="AQ171" s="409">
        <f t="shared" si="202"/>
        <v>0</v>
      </c>
      <c r="AR171" s="409">
        <f t="shared" si="202"/>
        <v>0</v>
      </c>
      <c r="AS171" s="409">
        <f t="shared" si="202"/>
        <v>0</v>
      </c>
      <c r="AT171" s="409">
        <f t="shared" si="202"/>
        <v>0</v>
      </c>
      <c r="AU171" s="409">
        <f t="shared" si="202"/>
        <v>0</v>
      </c>
      <c r="AV171" s="409">
        <f t="shared" si="202"/>
        <v>0</v>
      </c>
      <c r="AW171" s="409">
        <f t="shared" si="203"/>
        <v>0</v>
      </c>
      <c r="AX171" s="409">
        <f t="shared" si="203"/>
        <v>0</v>
      </c>
      <c r="AY171" s="409">
        <f t="shared" si="203"/>
        <v>0</v>
      </c>
      <c r="AZ171" s="409">
        <f t="shared" si="203"/>
        <v>0</v>
      </c>
      <c r="BA171" s="409">
        <f t="shared" si="203"/>
        <v>0</v>
      </c>
      <c r="BB171" s="409">
        <f t="shared" si="203"/>
        <v>0</v>
      </c>
      <c r="BC171" s="409">
        <f t="shared" si="203"/>
        <v>0</v>
      </c>
      <c r="BD171" s="409">
        <f t="shared" si="203"/>
        <v>0</v>
      </c>
      <c r="BE171" s="409">
        <f t="shared" si="203"/>
        <v>0</v>
      </c>
      <c r="BF171" s="409">
        <f t="shared" si="203"/>
        <v>0</v>
      </c>
      <c r="BG171" s="409">
        <f t="shared" si="204"/>
        <v>0</v>
      </c>
      <c r="BH171" s="409">
        <f t="shared" si="204"/>
        <v>0</v>
      </c>
      <c r="BI171" s="409">
        <f t="shared" si="204"/>
        <v>0</v>
      </c>
      <c r="BJ171" s="409">
        <f t="shared" si="204"/>
        <v>0</v>
      </c>
      <c r="BK171" s="409">
        <f t="shared" si="204"/>
        <v>0</v>
      </c>
      <c r="BL171" s="409">
        <f t="shared" si="204"/>
        <v>0</v>
      </c>
      <c r="BM171" s="409">
        <f t="shared" si="204"/>
        <v>0</v>
      </c>
      <c r="BN171" s="409">
        <f t="shared" si="204"/>
        <v>0</v>
      </c>
      <c r="BO171" s="409">
        <f t="shared" si="204"/>
        <v>0</v>
      </c>
      <c r="BP171" s="409">
        <f t="shared" si="204"/>
        <v>0</v>
      </c>
      <c r="BQ171" s="409">
        <f t="shared" si="205"/>
        <v>0</v>
      </c>
      <c r="BR171" s="409">
        <f t="shared" si="205"/>
        <v>0</v>
      </c>
      <c r="BS171" s="409">
        <f t="shared" si="205"/>
        <v>0</v>
      </c>
      <c r="BT171" s="409">
        <f t="shared" si="205"/>
        <v>0</v>
      </c>
      <c r="BU171" s="409">
        <f t="shared" si="205"/>
        <v>0</v>
      </c>
      <c r="BV171" s="409">
        <f t="shared" si="205"/>
        <v>0</v>
      </c>
      <c r="BW171" s="409">
        <f t="shared" si="205"/>
        <v>0</v>
      </c>
      <c r="BX171" s="409">
        <f t="shared" si="205"/>
        <v>0</v>
      </c>
      <c r="BY171" s="409">
        <f t="shared" si="205"/>
        <v>0</v>
      </c>
      <c r="BZ171" s="409">
        <f t="shared" si="205"/>
        <v>0</v>
      </c>
      <c r="CA171" s="409">
        <f t="shared" si="206"/>
        <v>0</v>
      </c>
      <c r="CB171" s="409">
        <f t="shared" si="206"/>
        <v>0</v>
      </c>
      <c r="CC171" s="409">
        <f t="shared" si="206"/>
        <v>0</v>
      </c>
      <c r="CD171" s="409">
        <f t="shared" si="206"/>
        <v>0</v>
      </c>
      <c r="CE171" s="409">
        <f t="shared" si="206"/>
        <v>0</v>
      </c>
      <c r="CF171" s="409">
        <f t="shared" si="206"/>
        <v>0</v>
      </c>
      <c r="CG171" s="409">
        <f t="shared" si="206"/>
        <v>0</v>
      </c>
      <c r="CH171" s="409">
        <f t="shared" si="206"/>
        <v>0</v>
      </c>
      <c r="CI171" s="409">
        <f t="shared" si="206"/>
        <v>0</v>
      </c>
      <c r="CJ171" s="409">
        <f t="shared" si="206"/>
        <v>0</v>
      </c>
      <c r="CK171" s="409">
        <f t="shared" si="207"/>
        <v>0</v>
      </c>
      <c r="CL171" s="409">
        <f t="shared" si="207"/>
        <v>0</v>
      </c>
      <c r="CM171" s="409">
        <f t="shared" si="207"/>
        <v>0</v>
      </c>
      <c r="CN171" s="409">
        <f t="shared" si="207"/>
        <v>0</v>
      </c>
      <c r="CO171" s="409">
        <f t="shared" si="207"/>
        <v>0</v>
      </c>
      <c r="CP171" s="409">
        <f t="shared" si="207"/>
        <v>0</v>
      </c>
      <c r="CQ171" s="409">
        <f t="shared" si="207"/>
        <v>0</v>
      </c>
      <c r="CR171" s="409">
        <f t="shared" si="207"/>
        <v>0</v>
      </c>
      <c r="CS171" s="409">
        <f t="shared" si="207"/>
        <v>0</v>
      </c>
      <c r="CT171" s="409">
        <f t="shared" si="207"/>
        <v>0</v>
      </c>
      <c r="CU171" s="409">
        <f t="shared" si="208"/>
        <v>0</v>
      </c>
      <c r="CV171" s="409">
        <f t="shared" si="208"/>
        <v>0</v>
      </c>
      <c r="CW171" s="409">
        <f t="shared" si="208"/>
        <v>0</v>
      </c>
      <c r="CX171" s="409">
        <f t="shared" si="208"/>
        <v>0</v>
      </c>
      <c r="CY171" s="409">
        <f t="shared" si="208"/>
        <v>0</v>
      </c>
      <c r="CZ171" s="409">
        <f t="shared" si="208"/>
        <v>0</v>
      </c>
      <c r="DA171" s="409">
        <f t="shared" si="208"/>
        <v>0</v>
      </c>
      <c r="DB171" s="409">
        <f t="shared" si="208"/>
        <v>0</v>
      </c>
      <c r="DC171" s="409">
        <f t="shared" si="208"/>
        <v>0</v>
      </c>
      <c r="DD171" s="409">
        <f t="shared" si="208"/>
        <v>0</v>
      </c>
      <c r="DE171" s="409">
        <f t="shared" si="209"/>
        <v>0</v>
      </c>
      <c r="DF171" s="409">
        <f t="shared" si="209"/>
        <v>0</v>
      </c>
      <c r="DG171" s="409">
        <f t="shared" si="209"/>
        <v>0</v>
      </c>
      <c r="DH171" s="409">
        <f t="shared" si="209"/>
        <v>0</v>
      </c>
      <c r="DI171" s="409">
        <f t="shared" si="209"/>
        <v>0</v>
      </c>
      <c r="DJ171" s="409">
        <f t="shared" si="209"/>
        <v>0</v>
      </c>
      <c r="DK171" s="409">
        <f t="shared" si="209"/>
        <v>0</v>
      </c>
      <c r="DL171" s="409">
        <f t="shared" si="209"/>
        <v>0</v>
      </c>
      <c r="DM171" s="409">
        <f t="shared" si="209"/>
        <v>0</v>
      </c>
      <c r="DN171" s="409">
        <f t="shared" si="209"/>
        <v>0</v>
      </c>
      <c r="DO171" s="409">
        <f t="shared" si="210"/>
        <v>0</v>
      </c>
      <c r="DP171" s="409">
        <f t="shared" si="210"/>
        <v>0</v>
      </c>
      <c r="DQ171" s="409">
        <f t="shared" si="210"/>
        <v>0</v>
      </c>
      <c r="DR171" s="409">
        <f t="shared" si="210"/>
        <v>0</v>
      </c>
      <c r="DS171" s="409">
        <f t="shared" si="210"/>
        <v>0</v>
      </c>
      <c r="DT171" s="409">
        <f t="shared" si="210"/>
        <v>0</v>
      </c>
      <c r="DU171" s="409">
        <f t="shared" si="210"/>
        <v>0</v>
      </c>
      <c r="DV171" s="409">
        <f t="shared" si="210"/>
        <v>0</v>
      </c>
      <c r="DW171" s="409">
        <f t="shared" si="210"/>
        <v>0</v>
      </c>
      <c r="DX171" s="409">
        <f t="shared" si="210"/>
        <v>0</v>
      </c>
      <c r="DY171" s="409">
        <f t="shared" si="211"/>
        <v>0</v>
      </c>
      <c r="DZ171" s="409">
        <f t="shared" si="211"/>
        <v>0</v>
      </c>
      <c r="EA171" s="409">
        <f t="shared" si="211"/>
        <v>0</v>
      </c>
      <c r="EB171" s="409">
        <f t="shared" si="211"/>
        <v>0</v>
      </c>
      <c r="EC171" s="409">
        <f t="shared" si="211"/>
        <v>0</v>
      </c>
      <c r="ED171" s="409">
        <f t="shared" si="211"/>
        <v>0</v>
      </c>
      <c r="EE171" s="409">
        <f t="shared" si="211"/>
        <v>0</v>
      </c>
      <c r="EF171" s="409">
        <f t="shared" si="211"/>
        <v>0</v>
      </c>
      <c r="EG171" s="409">
        <f t="shared" si="211"/>
        <v>0</v>
      </c>
      <c r="EH171" s="409">
        <f t="shared" si="211"/>
        <v>0</v>
      </c>
      <c r="EI171" s="409">
        <f t="shared" si="212"/>
        <v>0</v>
      </c>
      <c r="EJ171" s="409">
        <f t="shared" si="212"/>
        <v>0</v>
      </c>
      <c r="EK171" s="409">
        <f t="shared" si="212"/>
        <v>0</v>
      </c>
      <c r="EL171" s="409">
        <f t="shared" si="212"/>
        <v>0</v>
      </c>
      <c r="EM171" s="409">
        <f t="shared" si="212"/>
        <v>0</v>
      </c>
      <c r="EN171" s="409">
        <f t="shared" si="212"/>
        <v>0</v>
      </c>
      <c r="EO171" s="409">
        <f t="shared" si="212"/>
        <v>0</v>
      </c>
      <c r="EP171" s="409">
        <f t="shared" si="212"/>
        <v>0</v>
      </c>
      <c r="EQ171" s="409">
        <f t="shared" si="212"/>
        <v>0</v>
      </c>
      <c r="ER171" s="409">
        <f t="shared" si="212"/>
        <v>0</v>
      </c>
      <c r="ES171" s="409">
        <f t="shared" si="213"/>
        <v>0</v>
      </c>
      <c r="ET171" s="409">
        <f t="shared" si="213"/>
        <v>0</v>
      </c>
      <c r="EU171" s="409">
        <f t="shared" si="213"/>
        <v>0</v>
      </c>
      <c r="EV171" s="409">
        <f t="shared" si="213"/>
        <v>0</v>
      </c>
      <c r="EW171" s="409">
        <f t="shared" si="213"/>
        <v>0</v>
      </c>
      <c r="EX171" s="409">
        <f t="shared" si="213"/>
        <v>0</v>
      </c>
      <c r="EY171" s="409">
        <f t="shared" si="213"/>
        <v>0</v>
      </c>
      <c r="EZ171" s="409">
        <f t="shared" si="213"/>
        <v>0</v>
      </c>
      <c r="FA171" s="409">
        <f t="shared" si="213"/>
        <v>0</v>
      </c>
      <c r="FB171" s="409">
        <f t="shared" si="213"/>
        <v>0</v>
      </c>
      <c r="FC171" s="409">
        <f t="shared" si="214"/>
        <v>0</v>
      </c>
      <c r="FD171" s="409">
        <f t="shared" si="214"/>
        <v>0</v>
      </c>
      <c r="FE171" s="409">
        <f t="shared" si="214"/>
        <v>0</v>
      </c>
      <c r="FF171" s="409">
        <f t="shared" si="214"/>
        <v>0</v>
      </c>
      <c r="FG171" s="409">
        <f t="shared" si="214"/>
        <v>0</v>
      </c>
      <c r="FH171" s="409">
        <f t="shared" si="214"/>
        <v>0</v>
      </c>
      <c r="FI171" s="409">
        <f t="shared" si="214"/>
        <v>0</v>
      </c>
      <c r="FJ171" s="409">
        <f t="shared" si="214"/>
        <v>0</v>
      </c>
      <c r="FK171" s="409">
        <f t="shared" si="214"/>
        <v>0</v>
      </c>
      <c r="FL171" s="409">
        <f t="shared" si="214"/>
        <v>0</v>
      </c>
      <c r="FM171" s="409">
        <f t="shared" si="215"/>
        <v>0</v>
      </c>
      <c r="FN171" s="409">
        <f t="shared" si="215"/>
        <v>0</v>
      </c>
      <c r="FO171" s="409">
        <f t="shared" si="215"/>
        <v>0</v>
      </c>
      <c r="FP171" s="409">
        <f t="shared" si="215"/>
        <v>0</v>
      </c>
      <c r="FQ171" s="409">
        <f t="shared" si="215"/>
        <v>0</v>
      </c>
      <c r="FR171" s="409">
        <f t="shared" si="215"/>
        <v>0</v>
      </c>
      <c r="FS171" s="409">
        <f t="shared" si="215"/>
        <v>0</v>
      </c>
      <c r="FT171" s="409">
        <f t="shared" si="215"/>
        <v>0</v>
      </c>
      <c r="FU171" s="409">
        <f t="shared" si="215"/>
        <v>0</v>
      </c>
      <c r="FV171" s="409">
        <f t="shared" si="215"/>
        <v>0</v>
      </c>
      <c r="FW171" s="409">
        <f t="shared" si="216"/>
        <v>0</v>
      </c>
      <c r="FX171" s="409">
        <f t="shared" si="216"/>
        <v>0</v>
      </c>
      <c r="FY171" s="409">
        <f t="shared" si="216"/>
        <v>0</v>
      </c>
      <c r="FZ171" s="409">
        <f t="shared" si="216"/>
        <v>0</v>
      </c>
      <c r="GA171" s="409">
        <f t="shared" si="216"/>
        <v>0</v>
      </c>
      <c r="GB171" s="409">
        <f t="shared" si="216"/>
        <v>0</v>
      </c>
      <c r="GC171" s="409">
        <f t="shared" si="216"/>
        <v>0</v>
      </c>
      <c r="GD171" s="409">
        <f t="shared" si="216"/>
        <v>0</v>
      </c>
      <c r="GE171" s="409">
        <f t="shared" si="216"/>
        <v>0</v>
      </c>
      <c r="GF171" s="409">
        <f t="shared" si="216"/>
        <v>0</v>
      </c>
      <c r="GG171" s="409">
        <f t="shared" si="217"/>
        <v>0</v>
      </c>
      <c r="GH171" s="409">
        <f t="shared" si="217"/>
        <v>0</v>
      </c>
      <c r="GI171" s="409">
        <f t="shared" si="217"/>
        <v>0</v>
      </c>
      <c r="GJ171" s="409">
        <f t="shared" si="217"/>
        <v>0</v>
      </c>
      <c r="GK171" s="409">
        <f t="shared" si="217"/>
        <v>0</v>
      </c>
      <c r="GL171" s="409">
        <f t="shared" si="217"/>
        <v>0</v>
      </c>
      <c r="GM171" s="409">
        <f t="shared" si="217"/>
        <v>0</v>
      </c>
      <c r="GN171" s="409">
        <f t="shared" si="217"/>
        <v>0</v>
      </c>
      <c r="GO171" s="409">
        <f t="shared" si="217"/>
        <v>0</v>
      </c>
      <c r="GP171" s="409">
        <f t="shared" si="217"/>
        <v>0</v>
      </c>
      <c r="GQ171" s="409">
        <f t="shared" si="218"/>
        <v>0</v>
      </c>
      <c r="GR171" s="409">
        <f t="shared" si="218"/>
        <v>0</v>
      </c>
      <c r="GS171" s="409">
        <f t="shared" si="218"/>
        <v>0</v>
      </c>
      <c r="GT171" s="409">
        <f t="shared" si="218"/>
        <v>0</v>
      </c>
      <c r="GU171" s="409">
        <f t="shared" si="218"/>
        <v>0</v>
      </c>
      <c r="GV171" s="409">
        <f t="shared" si="218"/>
        <v>0</v>
      </c>
      <c r="GW171" s="409">
        <f t="shared" si="218"/>
        <v>0</v>
      </c>
      <c r="GX171" s="409">
        <f t="shared" si="218"/>
        <v>0</v>
      </c>
      <c r="GY171" s="409">
        <f t="shared" si="218"/>
        <v>0</v>
      </c>
      <c r="GZ171" s="409">
        <f t="shared" si="218"/>
        <v>0</v>
      </c>
      <c r="HA171" s="409">
        <f t="shared" si="219"/>
        <v>0</v>
      </c>
      <c r="HB171" s="409">
        <f t="shared" si="219"/>
        <v>0</v>
      </c>
      <c r="HC171" s="409">
        <f t="shared" si="219"/>
        <v>0</v>
      </c>
      <c r="HD171" s="409">
        <f t="shared" si="219"/>
        <v>0</v>
      </c>
      <c r="HE171" s="409">
        <f t="shared" si="219"/>
        <v>0</v>
      </c>
      <c r="HF171" s="409">
        <f t="shared" si="219"/>
        <v>0</v>
      </c>
      <c r="HG171" s="409">
        <f t="shared" si="219"/>
        <v>0</v>
      </c>
      <c r="HH171" s="409">
        <f t="shared" si="219"/>
        <v>0</v>
      </c>
      <c r="HI171" s="409">
        <f t="shared" si="219"/>
        <v>0</v>
      </c>
      <c r="HJ171" s="409">
        <f t="shared" si="219"/>
        <v>0</v>
      </c>
      <c r="HK171" s="409">
        <f t="shared" si="220"/>
        <v>0</v>
      </c>
      <c r="HL171" s="409">
        <f t="shared" si="220"/>
        <v>0</v>
      </c>
      <c r="HM171" s="409">
        <f t="shared" si="220"/>
        <v>0</v>
      </c>
      <c r="HN171" s="409">
        <f t="shared" si="220"/>
        <v>0</v>
      </c>
      <c r="HO171" s="409">
        <f t="shared" si="220"/>
        <v>0</v>
      </c>
      <c r="HP171" s="409">
        <f t="shared" si="220"/>
        <v>0</v>
      </c>
      <c r="HQ171" s="409">
        <f t="shared" si="220"/>
        <v>0</v>
      </c>
      <c r="HR171" s="409">
        <f t="shared" si="220"/>
        <v>0</v>
      </c>
      <c r="HS171" s="409">
        <f t="shared" si="220"/>
        <v>0</v>
      </c>
      <c r="HT171" s="409">
        <f t="shared" si="220"/>
        <v>0</v>
      </c>
      <c r="HU171" s="409">
        <f t="shared" si="221"/>
        <v>0</v>
      </c>
      <c r="HV171" s="409">
        <f t="shared" si="221"/>
        <v>0</v>
      </c>
      <c r="HW171" s="409">
        <f t="shared" si="221"/>
        <v>0</v>
      </c>
      <c r="HX171" s="409">
        <f t="shared" si="221"/>
        <v>0</v>
      </c>
      <c r="HY171" s="409">
        <f t="shared" si="221"/>
        <v>0</v>
      </c>
      <c r="HZ171" s="409">
        <f t="shared" si="221"/>
        <v>0</v>
      </c>
      <c r="IA171" s="409">
        <f t="shared" si="221"/>
        <v>0</v>
      </c>
      <c r="IB171" s="409">
        <f t="shared" si="221"/>
        <v>0</v>
      </c>
      <c r="IC171" s="409">
        <f t="shared" si="221"/>
        <v>0</v>
      </c>
      <c r="ID171" s="409">
        <f t="shared" si="221"/>
        <v>0</v>
      </c>
      <c r="IE171" s="409">
        <f t="shared" si="222"/>
        <v>0</v>
      </c>
      <c r="IF171" s="409">
        <f t="shared" si="222"/>
        <v>0</v>
      </c>
      <c r="IG171" s="409">
        <f t="shared" si="222"/>
        <v>0</v>
      </c>
      <c r="IH171" s="409">
        <f t="shared" si="222"/>
        <v>0</v>
      </c>
      <c r="II171" s="409">
        <f t="shared" si="222"/>
        <v>0</v>
      </c>
      <c r="IJ171" s="409">
        <f t="shared" si="222"/>
        <v>0</v>
      </c>
      <c r="IK171" s="378"/>
    </row>
    <row r="172" spans="1:245" hidden="1" x14ac:dyDescent="0.2">
      <c r="A172" s="380" t="str">
        <f t="shared" si="243"/>
        <v>e</v>
      </c>
      <c r="B172" s="712" t="str">
        <f>IF(ISERROR(INDEX('Legend(DX)'!$H$11:$H$12,15)),"",INDEX('Legend(DX)'!$H$11:$H$12,15))</f>
        <v/>
      </c>
      <c r="C172" s="712" t="e">
        <f>IF(INDEX('Legend(DX)'!$T$11:$T$12,15)=0,"See Legend",INDEX('Legend(DX)'!$T$11:$T$12,15))</f>
        <v>#REF!</v>
      </c>
      <c r="D172" s="712" t="e">
        <f>IF(INDEX('Legend(DX)'!$R$11:$R$12,(ROW(C172))-137)=0,IF(AND(INDEX('Legend(DX)'!$D$11:$D$12,(ROW(C172))-136)="CH",INDEX('Legend(DX)'!$F$11:$F$12,(ROW(C172))-136)="CASE - MANUAL"),INDEX('Legend(DX)'!$R$11:$R$12,(ROW(C172))-136),IF(INDEX('Legend(DX)'!$V$11:$V$12,(ROW(C172))-137)&gt;1, "(" &amp; INDEX('Legend(DX)'!$V$11:$V$12,(ROW(C172))-137) &amp; ") " &amp; INDEX('Legend(DX)'!$W$11:$W$12,(ROW(C172))-136),INDEX('Legend(DX)'!$W$11:$W$12,(ROW(C172))-137))),INDEX('Legend(DX)'!$R$11:$R$12,(ROW(C172))-137))</f>
        <v>#REF!</v>
      </c>
      <c r="E172" s="713" t="str">
        <f>IF(ISERROR(INDEX('Legend(DX)'!$AA$11:$AA$12,15)),"",INDEX('Legend(DX)'!$AA$11:$AA$12,15))</f>
        <v/>
      </c>
      <c r="F172" s="715"/>
      <c r="G172" s="715"/>
      <c r="H172" s="715"/>
      <c r="I172" s="715"/>
      <c r="J172" s="715"/>
      <c r="K172" s="890">
        <f t="shared" si="223"/>
        <v>0</v>
      </c>
      <c r="L172" s="718"/>
      <c r="M172" s="723"/>
      <c r="N172" s="972">
        <f t="shared" si="196"/>
        <v>-1</v>
      </c>
      <c r="O172" s="972">
        <f t="shared" si="244"/>
        <v>-1</v>
      </c>
      <c r="P172" s="972">
        <f t="shared" si="197"/>
        <v>-1</v>
      </c>
      <c r="Q172" s="972">
        <f t="shared" si="245"/>
        <v>-1</v>
      </c>
      <c r="R172" s="972">
        <f t="shared" si="198"/>
        <v>-1</v>
      </c>
      <c r="S172" s="972">
        <f t="shared" si="246"/>
        <v>-1</v>
      </c>
      <c r="T172" s="972">
        <f t="shared" si="199"/>
        <v>-1</v>
      </c>
      <c r="U172" s="972">
        <f t="shared" si="247"/>
        <v>-1</v>
      </c>
      <c r="V172" s="972">
        <f t="shared" si="200"/>
        <v>-1</v>
      </c>
      <c r="W172" s="972">
        <f t="shared" si="248"/>
        <v>-1</v>
      </c>
      <c r="X172" s="972">
        <f t="shared" si="201"/>
        <v>-1</v>
      </c>
      <c r="Y172" s="972">
        <f t="shared" si="229"/>
        <v>-1</v>
      </c>
      <c r="Z172" s="972">
        <f t="shared" si="230"/>
        <v>-1</v>
      </c>
      <c r="AA172" s="972">
        <f t="shared" si="231"/>
        <v>-1</v>
      </c>
      <c r="AB172" s="972">
        <f t="shared" si="232"/>
        <v>-1</v>
      </c>
      <c r="AC172" s="972">
        <f t="shared" si="233"/>
        <v>-1</v>
      </c>
      <c r="AD172" s="972">
        <f t="shared" si="234"/>
        <v>-1</v>
      </c>
      <c r="AE172" s="972">
        <f t="shared" si="235"/>
        <v>-1</v>
      </c>
      <c r="AF172" s="972">
        <f t="shared" si="236"/>
        <v>-1</v>
      </c>
      <c r="AG172" s="972">
        <f t="shared" si="237"/>
        <v>-1</v>
      </c>
      <c r="AH172" s="972">
        <f t="shared" si="238"/>
        <v>-1</v>
      </c>
      <c r="AI172" s="972">
        <f t="shared" si="239"/>
        <v>-1</v>
      </c>
      <c r="AJ172" s="972">
        <f t="shared" si="240"/>
        <v>-1</v>
      </c>
      <c r="AK172" s="381"/>
      <c r="AL172" s="727" t="str">
        <f t="shared" si="249"/>
        <v/>
      </c>
      <c r="AM172" s="409">
        <f t="shared" si="202"/>
        <v>0</v>
      </c>
      <c r="AN172" s="409">
        <f t="shared" si="202"/>
        <v>0</v>
      </c>
      <c r="AO172" s="409">
        <f t="shared" si="202"/>
        <v>0</v>
      </c>
      <c r="AP172" s="409">
        <f t="shared" si="202"/>
        <v>0</v>
      </c>
      <c r="AQ172" s="409">
        <f t="shared" si="202"/>
        <v>0</v>
      </c>
      <c r="AR172" s="409">
        <f t="shared" si="202"/>
        <v>0</v>
      </c>
      <c r="AS172" s="409">
        <f t="shared" si="202"/>
        <v>0</v>
      </c>
      <c r="AT172" s="409">
        <f t="shared" si="202"/>
        <v>0</v>
      </c>
      <c r="AU172" s="409">
        <f t="shared" si="202"/>
        <v>0</v>
      </c>
      <c r="AV172" s="409">
        <f t="shared" si="202"/>
        <v>0</v>
      </c>
      <c r="AW172" s="409">
        <f t="shared" si="203"/>
        <v>0</v>
      </c>
      <c r="AX172" s="409">
        <f t="shared" si="203"/>
        <v>0</v>
      </c>
      <c r="AY172" s="409">
        <f t="shared" si="203"/>
        <v>0</v>
      </c>
      <c r="AZ172" s="409">
        <f t="shared" si="203"/>
        <v>0</v>
      </c>
      <c r="BA172" s="409">
        <f t="shared" si="203"/>
        <v>0</v>
      </c>
      <c r="BB172" s="409">
        <f t="shared" si="203"/>
        <v>0</v>
      </c>
      <c r="BC172" s="409">
        <f t="shared" si="203"/>
        <v>0</v>
      </c>
      <c r="BD172" s="409">
        <f t="shared" si="203"/>
        <v>0</v>
      </c>
      <c r="BE172" s="409">
        <f t="shared" si="203"/>
        <v>0</v>
      </c>
      <c r="BF172" s="409">
        <f t="shared" si="203"/>
        <v>0</v>
      </c>
      <c r="BG172" s="409">
        <f t="shared" si="204"/>
        <v>0</v>
      </c>
      <c r="BH172" s="409">
        <f t="shared" si="204"/>
        <v>0</v>
      </c>
      <c r="BI172" s="409">
        <f t="shared" si="204"/>
        <v>0</v>
      </c>
      <c r="BJ172" s="409">
        <f t="shared" si="204"/>
        <v>0</v>
      </c>
      <c r="BK172" s="409">
        <f t="shared" si="204"/>
        <v>0</v>
      </c>
      <c r="BL172" s="409">
        <f t="shared" si="204"/>
        <v>0</v>
      </c>
      <c r="BM172" s="409">
        <f t="shared" si="204"/>
        <v>0</v>
      </c>
      <c r="BN172" s="409">
        <f t="shared" si="204"/>
        <v>0</v>
      </c>
      <c r="BO172" s="409">
        <f t="shared" si="204"/>
        <v>0</v>
      </c>
      <c r="BP172" s="409">
        <f t="shared" si="204"/>
        <v>0</v>
      </c>
      <c r="BQ172" s="409">
        <f t="shared" si="205"/>
        <v>0</v>
      </c>
      <c r="BR172" s="409">
        <f t="shared" si="205"/>
        <v>0</v>
      </c>
      <c r="BS172" s="409">
        <f t="shared" si="205"/>
        <v>0</v>
      </c>
      <c r="BT172" s="409">
        <f t="shared" si="205"/>
        <v>0</v>
      </c>
      <c r="BU172" s="409">
        <f t="shared" si="205"/>
        <v>0</v>
      </c>
      <c r="BV172" s="409">
        <f t="shared" si="205"/>
        <v>0</v>
      </c>
      <c r="BW172" s="409">
        <f t="shared" si="205"/>
        <v>0</v>
      </c>
      <c r="BX172" s="409">
        <f t="shared" si="205"/>
        <v>0</v>
      </c>
      <c r="BY172" s="409">
        <f t="shared" si="205"/>
        <v>0</v>
      </c>
      <c r="BZ172" s="409">
        <f t="shared" si="205"/>
        <v>0</v>
      </c>
      <c r="CA172" s="409">
        <f t="shared" si="206"/>
        <v>0</v>
      </c>
      <c r="CB172" s="409">
        <f t="shared" si="206"/>
        <v>0</v>
      </c>
      <c r="CC172" s="409">
        <f t="shared" si="206"/>
        <v>0</v>
      </c>
      <c r="CD172" s="409">
        <f t="shared" si="206"/>
        <v>0</v>
      </c>
      <c r="CE172" s="409">
        <f t="shared" si="206"/>
        <v>0</v>
      </c>
      <c r="CF172" s="409">
        <f t="shared" si="206"/>
        <v>0</v>
      </c>
      <c r="CG172" s="409">
        <f t="shared" si="206"/>
        <v>0</v>
      </c>
      <c r="CH172" s="409">
        <f t="shared" si="206"/>
        <v>0</v>
      </c>
      <c r="CI172" s="409">
        <f t="shared" si="206"/>
        <v>0</v>
      </c>
      <c r="CJ172" s="409">
        <f t="shared" si="206"/>
        <v>0</v>
      </c>
      <c r="CK172" s="409">
        <f t="shared" si="207"/>
        <v>0</v>
      </c>
      <c r="CL172" s="409">
        <f t="shared" si="207"/>
        <v>0</v>
      </c>
      <c r="CM172" s="409">
        <f t="shared" si="207"/>
        <v>0</v>
      </c>
      <c r="CN172" s="409">
        <f t="shared" si="207"/>
        <v>0</v>
      </c>
      <c r="CO172" s="409">
        <f t="shared" si="207"/>
        <v>0</v>
      </c>
      <c r="CP172" s="409">
        <f t="shared" si="207"/>
        <v>0</v>
      </c>
      <c r="CQ172" s="409">
        <f t="shared" si="207"/>
        <v>0</v>
      </c>
      <c r="CR172" s="409">
        <f t="shared" si="207"/>
        <v>0</v>
      </c>
      <c r="CS172" s="409">
        <f t="shared" si="207"/>
        <v>0</v>
      </c>
      <c r="CT172" s="409">
        <f t="shared" si="207"/>
        <v>0</v>
      </c>
      <c r="CU172" s="409">
        <f t="shared" si="208"/>
        <v>0</v>
      </c>
      <c r="CV172" s="409">
        <f t="shared" si="208"/>
        <v>0</v>
      </c>
      <c r="CW172" s="409">
        <f t="shared" si="208"/>
        <v>0</v>
      </c>
      <c r="CX172" s="409">
        <f t="shared" si="208"/>
        <v>0</v>
      </c>
      <c r="CY172" s="409">
        <f t="shared" si="208"/>
        <v>0</v>
      </c>
      <c r="CZ172" s="409">
        <f t="shared" si="208"/>
        <v>0</v>
      </c>
      <c r="DA172" s="409">
        <f t="shared" si="208"/>
        <v>0</v>
      </c>
      <c r="DB172" s="409">
        <f t="shared" si="208"/>
        <v>0</v>
      </c>
      <c r="DC172" s="409">
        <f t="shared" si="208"/>
        <v>0</v>
      </c>
      <c r="DD172" s="409">
        <f t="shared" si="208"/>
        <v>0</v>
      </c>
      <c r="DE172" s="409">
        <f t="shared" si="209"/>
        <v>0</v>
      </c>
      <c r="DF172" s="409">
        <f t="shared" si="209"/>
        <v>0</v>
      </c>
      <c r="DG172" s="409">
        <f t="shared" si="209"/>
        <v>0</v>
      </c>
      <c r="DH172" s="409">
        <f t="shared" si="209"/>
        <v>0</v>
      </c>
      <c r="DI172" s="409">
        <f t="shared" si="209"/>
        <v>0</v>
      </c>
      <c r="DJ172" s="409">
        <f t="shared" si="209"/>
        <v>0</v>
      </c>
      <c r="DK172" s="409">
        <f t="shared" si="209"/>
        <v>0</v>
      </c>
      <c r="DL172" s="409">
        <f t="shared" si="209"/>
        <v>0</v>
      </c>
      <c r="DM172" s="409">
        <f t="shared" si="209"/>
        <v>0</v>
      </c>
      <c r="DN172" s="409">
        <f t="shared" si="209"/>
        <v>0</v>
      </c>
      <c r="DO172" s="409">
        <f t="shared" si="210"/>
        <v>0</v>
      </c>
      <c r="DP172" s="409">
        <f t="shared" si="210"/>
        <v>0</v>
      </c>
      <c r="DQ172" s="409">
        <f t="shared" si="210"/>
        <v>0</v>
      </c>
      <c r="DR172" s="409">
        <f t="shared" si="210"/>
        <v>0</v>
      </c>
      <c r="DS172" s="409">
        <f t="shared" si="210"/>
        <v>0</v>
      </c>
      <c r="DT172" s="409">
        <f t="shared" si="210"/>
        <v>0</v>
      </c>
      <c r="DU172" s="409">
        <f t="shared" si="210"/>
        <v>0</v>
      </c>
      <c r="DV172" s="409">
        <f t="shared" si="210"/>
        <v>0</v>
      </c>
      <c r="DW172" s="409">
        <f t="shared" si="210"/>
        <v>0</v>
      </c>
      <c r="DX172" s="409">
        <f t="shared" si="210"/>
        <v>0</v>
      </c>
      <c r="DY172" s="409">
        <f t="shared" si="211"/>
        <v>0</v>
      </c>
      <c r="DZ172" s="409">
        <f t="shared" si="211"/>
        <v>0</v>
      </c>
      <c r="EA172" s="409">
        <f t="shared" si="211"/>
        <v>0</v>
      </c>
      <c r="EB172" s="409">
        <f t="shared" si="211"/>
        <v>0</v>
      </c>
      <c r="EC172" s="409">
        <f t="shared" si="211"/>
        <v>0</v>
      </c>
      <c r="ED172" s="409">
        <f t="shared" si="211"/>
        <v>0</v>
      </c>
      <c r="EE172" s="409">
        <f t="shared" si="211"/>
        <v>0</v>
      </c>
      <c r="EF172" s="409">
        <f t="shared" si="211"/>
        <v>0</v>
      </c>
      <c r="EG172" s="409">
        <f t="shared" si="211"/>
        <v>0</v>
      </c>
      <c r="EH172" s="409">
        <f t="shared" si="211"/>
        <v>0</v>
      </c>
      <c r="EI172" s="409">
        <f t="shared" si="212"/>
        <v>0</v>
      </c>
      <c r="EJ172" s="409">
        <f t="shared" si="212"/>
        <v>0</v>
      </c>
      <c r="EK172" s="409">
        <f t="shared" si="212"/>
        <v>0</v>
      </c>
      <c r="EL172" s="409">
        <f t="shared" si="212"/>
        <v>0</v>
      </c>
      <c r="EM172" s="409">
        <f t="shared" si="212"/>
        <v>0</v>
      </c>
      <c r="EN172" s="409">
        <f t="shared" si="212"/>
        <v>0</v>
      </c>
      <c r="EO172" s="409">
        <f t="shared" si="212"/>
        <v>0</v>
      </c>
      <c r="EP172" s="409">
        <f t="shared" si="212"/>
        <v>0</v>
      </c>
      <c r="EQ172" s="409">
        <f t="shared" si="212"/>
        <v>0</v>
      </c>
      <c r="ER172" s="409">
        <f t="shared" si="212"/>
        <v>0</v>
      </c>
      <c r="ES172" s="409">
        <f t="shared" si="213"/>
        <v>0</v>
      </c>
      <c r="ET172" s="409">
        <f t="shared" si="213"/>
        <v>0</v>
      </c>
      <c r="EU172" s="409">
        <f t="shared" si="213"/>
        <v>0</v>
      </c>
      <c r="EV172" s="409">
        <f t="shared" si="213"/>
        <v>0</v>
      </c>
      <c r="EW172" s="409">
        <f t="shared" si="213"/>
        <v>0</v>
      </c>
      <c r="EX172" s="409">
        <f t="shared" si="213"/>
        <v>0</v>
      </c>
      <c r="EY172" s="409">
        <f t="shared" si="213"/>
        <v>0</v>
      </c>
      <c r="EZ172" s="409">
        <f t="shared" si="213"/>
        <v>0</v>
      </c>
      <c r="FA172" s="409">
        <f t="shared" si="213"/>
        <v>0</v>
      </c>
      <c r="FB172" s="409">
        <f t="shared" si="213"/>
        <v>0</v>
      </c>
      <c r="FC172" s="409">
        <f t="shared" si="214"/>
        <v>0</v>
      </c>
      <c r="FD172" s="409">
        <f t="shared" si="214"/>
        <v>0</v>
      </c>
      <c r="FE172" s="409">
        <f t="shared" si="214"/>
        <v>0</v>
      </c>
      <c r="FF172" s="409">
        <f t="shared" si="214"/>
        <v>0</v>
      </c>
      <c r="FG172" s="409">
        <f t="shared" si="214"/>
        <v>0</v>
      </c>
      <c r="FH172" s="409">
        <f t="shared" si="214"/>
        <v>0</v>
      </c>
      <c r="FI172" s="409">
        <f t="shared" si="214"/>
        <v>0</v>
      </c>
      <c r="FJ172" s="409">
        <f t="shared" si="214"/>
        <v>0</v>
      </c>
      <c r="FK172" s="409">
        <f t="shared" si="214"/>
        <v>0</v>
      </c>
      <c r="FL172" s="409">
        <f t="shared" si="214"/>
        <v>0</v>
      </c>
      <c r="FM172" s="409">
        <f t="shared" si="215"/>
        <v>0</v>
      </c>
      <c r="FN172" s="409">
        <f t="shared" si="215"/>
        <v>0</v>
      </c>
      <c r="FO172" s="409">
        <f t="shared" si="215"/>
        <v>0</v>
      </c>
      <c r="FP172" s="409">
        <f t="shared" si="215"/>
        <v>0</v>
      </c>
      <c r="FQ172" s="409">
        <f t="shared" si="215"/>
        <v>0</v>
      </c>
      <c r="FR172" s="409">
        <f t="shared" si="215"/>
        <v>0</v>
      </c>
      <c r="FS172" s="409">
        <f t="shared" si="215"/>
        <v>0</v>
      </c>
      <c r="FT172" s="409">
        <f t="shared" si="215"/>
        <v>0</v>
      </c>
      <c r="FU172" s="409">
        <f t="shared" si="215"/>
        <v>0</v>
      </c>
      <c r="FV172" s="409">
        <f t="shared" si="215"/>
        <v>0</v>
      </c>
      <c r="FW172" s="409">
        <f t="shared" si="216"/>
        <v>0</v>
      </c>
      <c r="FX172" s="409">
        <f t="shared" si="216"/>
        <v>0</v>
      </c>
      <c r="FY172" s="409">
        <f t="shared" si="216"/>
        <v>0</v>
      </c>
      <c r="FZ172" s="409">
        <f t="shared" si="216"/>
        <v>0</v>
      </c>
      <c r="GA172" s="409">
        <f t="shared" si="216"/>
        <v>0</v>
      </c>
      <c r="GB172" s="409">
        <f t="shared" si="216"/>
        <v>0</v>
      </c>
      <c r="GC172" s="409">
        <f t="shared" si="216"/>
        <v>0</v>
      </c>
      <c r="GD172" s="409">
        <f t="shared" si="216"/>
        <v>0</v>
      </c>
      <c r="GE172" s="409">
        <f t="shared" si="216"/>
        <v>0</v>
      </c>
      <c r="GF172" s="409">
        <f t="shared" si="216"/>
        <v>0</v>
      </c>
      <c r="GG172" s="409">
        <f t="shared" si="217"/>
        <v>0</v>
      </c>
      <c r="GH172" s="409">
        <f t="shared" si="217"/>
        <v>0</v>
      </c>
      <c r="GI172" s="409">
        <f t="shared" si="217"/>
        <v>0</v>
      </c>
      <c r="GJ172" s="409">
        <f t="shared" si="217"/>
        <v>0</v>
      </c>
      <c r="GK172" s="409">
        <f t="shared" si="217"/>
        <v>0</v>
      </c>
      <c r="GL172" s="409">
        <f t="shared" si="217"/>
        <v>0</v>
      </c>
      <c r="GM172" s="409">
        <f t="shared" si="217"/>
        <v>0</v>
      </c>
      <c r="GN172" s="409">
        <f t="shared" si="217"/>
        <v>0</v>
      </c>
      <c r="GO172" s="409">
        <f t="shared" si="217"/>
        <v>0</v>
      </c>
      <c r="GP172" s="409">
        <f t="shared" si="217"/>
        <v>0</v>
      </c>
      <c r="GQ172" s="409">
        <f t="shared" si="218"/>
        <v>0</v>
      </c>
      <c r="GR172" s="409">
        <f t="shared" si="218"/>
        <v>0</v>
      </c>
      <c r="GS172" s="409">
        <f t="shared" si="218"/>
        <v>0</v>
      </c>
      <c r="GT172" s="409">
        <f t="shared" si="218"/>
        <v>0</v>
      </c>
      <c r="GU172" s="409">
        <f t="shared" si="218"/>
        <v>0</v>
      </c>
      <c r="GV172" s="409">
        <f t="shared" si="218"/>
        <v>0</v>
      </c>
      <c r="GW172" s="409">
        <f t="shared" si="218"/>
        <v>0</v>
      </c>
      <c r="GX172" s="409">
        <f t="shared" si="218"/>
        <v>0</v>
      </c>
      <c r="GY172" s="409">
        <f t="shared" si="218"/>
        <v>0</v>
      </c>
      <c r="GZ172" s="409">
        <f t="shared" si="218"/>
        <v>0</v>
      </c>
      <c r="HA172" s="409">
        <f t="shared" si="219"/>
        <v>0</v>
      </c>
      <c r="HB172" s="409">
        <f t="shared" si="219"/>
        <v>0</v>
      </c>
      <c r="HC172" s="409">
        <f t="shared" si="219"/>
        <v>0</v>
      </c>
      <c r="HD172" s="409">
        <f t="shared" si="219"/>
        <v>0</v>
      </c>
      <c r="HE172" s="409">
        <f t="shared" si="219"/>
        <v>0</v>
      </c>
      <c r="HF172" s="409">
        <f t="shared" si="219"/>
        <v>0</v>
      </c>
      <c r="HG172" s="409">
        <f t="shared" si="219"/>
        <v>0</v>
      </c>
      <c r="HH172" s="409">
        <f t="shared" si="219"/>
        <v>0</v>
      </c>
      <c r="HI172" s="409">
        <f t="shared" si="219"/>
        <v>0</v>
      </c>
      <c r="HJ172" s="409">
        <f t="shared" si="219"/>
        <v>0</v>
      </c>
      <c r="HK172" s="409">
        <f t="shared" si="220"/>
        <v>0</v>
      </c>
      <c r="HL172" s="409">
        <f t="shared" si="220"/>
        <v>0</v>
      </c>
      <c r="HM172" s="409">
        <f t="shared" si="220"/>
        <v>0</v>
      </c>
      <c r="HN172" s="409">
        <f t="shared" si="220"/>
        <v>0</v>
      </c>
      <c r="HO172" s="409">
        <f t="shared" si="220"/>
        <v>0</v>
      </c>
      <c r="HP172" s="409">
        <f t="shared" si="220"/>
        <v>0</v>
      </c>
      <c r="HQ172" s="409">
        <f t="shared" si="220"/>
        <v>0</v>
      </c>
      <c r="HR172" s="409">
        <f t="shared" si="220"/>
        <v>0</v>
      </c>
      <c r="HS172" s="409">
        <f t="shared" si="220"/>
        <v>0</v>
      </c>
      <c r="HT172" s="409">
        <f t="shared" si="220"/>
        <v>0</v>
      </c>
      <c r="HU172" s="409">
        <f t="shared" si="221"/>
        <v>0</v>
      </c>
      <c r="HV172" s="409">
        <f t="shared" si="221"/>
        <v>0</v>
      </c>
      <c r="HW172" s="409">
        <f t="shared" si="221"/>
        <v>0</v>
      </c>
      <c r="HX172" s="409">
        <f t="shared" si="221"/>
        <v>0</v>
      </c>
      <c r="HY172" s="409">
        <f t="shared" si="221"/>
        <v>0</v>
      </c>
      <c r="HZ172" s="409">
        <f t="shared" si="221"/>
        <v>0</v>
      </c>
      <c r="IA172" s="409">
        <f t="shared" si="221"/>
        <v>0</v>
      </c>
      <c r="IB172" s="409">
        <f t="shared" si="221"/>
        <v>0</v>
      </c>
      <c r="IC172" s="409">
        <f t="shared" si="221"/>
        <v>0</v>
      </c>
      <c r="ID172" s="409">
        <f t="shared" si="221"/>
        <v>0</v>
      </c>
      <c r="IE172" s="409">
        <f t="shared" si="222"/>
        <v>0</v>
      </c>
      <c r="IF172" s="409">
        <f t="shared" si="222"/>
        <v>0</v>
      </c>
      <c r="IG172" s="409">
        <f t="shared" si="222"/>
        <v>0</v>
      </c>
      <c r="IH172" s="409">
        <f t="shared" si="222"/>
        <v>0</v>
      </c>
      <c r="II172" s="409">
        <f t="shared" si="222"/>
        <v>0</v>
      </c>
      <c r="IJ172" s="409">
        <f t="shared" si="222"/>
        <v>0</v>
      </c>
      <c r="IK172" s="378"/>
    </row>
    <row r="173" spans="1:245" hidden="1" x14ac:dyDescent="0.2">
      <c r="A173" s="380" t="str">
        <f t="shared" si="243"/>
        <v>e</v>
      </c>
      <c r="B173" s="712" t="str">
        <f>IF(ISERROR(INDEX('Legend(DX)'!$H$11:$H$12,16)),"",INDEX('Legend(DX)'!$H$11:$H$12,16))</f>
        <v/>
      </c>
      <c r="C173" s="712" t="e">
        <f>IF(INDEX('Legend(DX)'!$T$11:$T$12,16)=0,"See Legend",INDEX('Legend(DX)'!$T$11:$T$12,16))</f>
        <v>#REF!</v>
      </c>
      <c r="D173" s="712" t="e">
        <f>IF(INDEX('Legend(DX)'!$R$11:$R$12,(ROW(C173))-137)=0,IF(AND(INDEX('Legend(DX)'!$D$11:$D$12,(ROW(C173))-136)="CH",INDEX('Legend(DX)'!$F$11:$F$12,(ROW(C173))-136)="CASE - MANUAL"),INDEX('Legend(DX)'!$R$11:$R$12,(ROW(C173))-136),IF(INDEX('Legend(DX)'!$V$11:$V$12,(ROW(C173))-137)&gt;1, "(" &amp; INDEX('Legend(DX)'!$V$11:$V$12,(ROW(C173))-137) &amp; ") " &amp; INDEX('Legend(DX)'!$W$11:$W$12,(ROW(C173))-136),INDEX('Legend(DX)'!$W$11:$W$12,(ROW(C173))-137))),INDEX('Legend(DX)'!$R$11:$R$12,(ROW(C173))-137))</f>
        <v>#REF!</v>
      </c>
      <c r="E173" s="713" t="str">
        <f>IF(ISERROR(INDEX('Legend(DX)'!$AA$11:$AA$12,16)),"",INDEX('Legend(DX)'!$AA$11:$AA$12,16))</f>
        <v/>
      </c>
      <c r="F173" s="715"/>
      <c r="G173" s="715"/>
      <c r="H173" s="715"/>
      <c r="I173" s="715"/>
      <c r="J173" s="715"/>
      <c r="K173" s="890">
        <f t="shared" si="223"/>
        <v>0</v>
      </c>
      <c r="L173" s="718"/>
      <c r="M173" s="723"/>
      <c r="N173" s="972">
        <f t="shared" si="196"/>
        <v>-1</v>
      </c>
      <c r="O173" s="972">
        <f t="shared" si="244"/>
        <v>-1</v>
      </c>
      <c r="P173" s="972">
        <f t="shared" si="197"/>
        <v>-1</v>
      </c>
      <c r="Q173" s="972">
        <f t="shared" si="245"/>
        <v>-1</v>
      </c>
      <c r="R173" s="972">
        <f t="shared" si="198"/>
        <v>-1</v>
      </c>
      <c r="S173" s="972">
        <f t="shared" si="246"/>
        <v>-1</v>
      </c>
      <c r="T173" s="972">
        <f t="shared" si="199"/>
        <v>-1</v>
      </c>
      <c r="U173" s="972">
        <f t="shared" si="247"/>
        <v>-1</v>
      </c>
      <c r="V173" s="972">
        <f t="shared" si="200"/>
        <v>-1</v>
      </c>
      <c r="W173" s="972">
        <f t="shared" si="248"/>
        <v>-1</v>
      </c>
      <c r="X173" s="972">
        <f t="shared" si="201"/>
        <v>-1</v>
      </c>
      <c r="Y173" s="972">
        <f t="shared" si="229"/>
        <v>-1</v>
      </c>
      <c r="Z173" s="972">
        <f t="shared" si="230"/>
        <v>-1</v>
      </c>
      <c r="AA173" s="972">
        <f t="shared" si="231"/>
        <v>-1</v>
      </c>
      <c r="AB173" s="972">
        <f t="shared" si="232"/>
        <v>-1</v>
      </c>
      <c r="AC173" s="972">
        <f t="shared" si="233"/>
        <v>-1</v>
      </c>
      <c r="AD173" s="972">
        <f t="shared" si="234"/>
        <v>-1</v>
      </c>
      <c r="AE173" s="972">
        <f t="shared" si="235"/>
        <v>-1</v>
      </c>
      <c r="AF173" s="972">
        <f t="shared" si="236"/>
        <v>-1</v>
      </c>
      <c r="AG173" s="972">
        <f t="shared" si="237"/>
        <v>-1</v>
      </c>
      <c r="AH173" s="972">
        <f t="shared" si="238"/>
        <v>-1</v>
      </c>
      <c r="AI173" s="972">
        <f t="shared" si="239"/>
        <v>-1</v>
      </c>
      <c r="AJ173" s="972">
        <f t="shared" si="240"/>
        <v>-1</v>
      </c>
      <c r="AK173" s="381"/>
      <c r="AL173" s="727" t="str">
        <f t="shared" si="249"/>
        <v/>
      </c>
      <c r="AM173" s="409">
        <f t="shared" si="202"/>
        <v>0</v>
      </c>
      <c r="AN173" s="409">
        <f t="shared" si="202"/>
        <v>0</v>
      </c>
      <c r="AO173" s="409">
        <f t="shared" si="202"/>
        <v>0</v>
      </c>
      <c r="AP173" s="409">
        <f t="shared" si="202"/>
        <v>0</v>
      </c>
      <c r="AQ173" s="409">
        <f t="shared" si="202"/>
        <v>0</v>
      </c>
      <c r="AR173" s="409">
        <f t="shared" si="202"/>
        <v>0</v>
      </c>
      <c r="AS173" s="409">
        <f t="shared" si="202"/>
        <v>0</v>
      </c>
      <c r="AT173" s="409">
        <f t="shared" si="202"/>
        <v>0</v>
      </c>
      <c r="AU173" s="409">
        <f t="shared" si="202"/>
        <v>0</v>
      </c>
      <c r="AV173" s="409">
        <f t="shared" si="202"/>
        <v>0</v>
      </c>
      <c r="AW173" s="409">
        <f t="shared" si="203"/>
        <v>0</v>
      </c>
      <c r="AX173" s="409">
        <f t="shared" si="203"/>
        <v>0</v>
      </c>
      <c r="AY173" s="409">
        <f t="shared" si="203"/>
        <v>0</v>
      </c>
      <c r="AZ173" s="409">
        <f t="shared" si="203"/>
        <v>0</v>
      </c>
      <c r="BA173" s="409">
        <f t="shared" si="203"/>
        <v>0</v>
      </c>
      <c r="BB173" s="409">
        <f t="shared" si="203"/>
        <v>0</v>
      </c>
      <c r="BC173" s="409">
        <f t="shared" si="203"/>
        <v>0</v>
      </c>
      <c r="BD173" s="409">
        <f t="shared" si="203"/>
        <v>0</v>
      </c>
      <c r="BE173" s="409">
        <f t="shared" si="203"/>
        <v>0</v>
      </c>
      <c r="BF173" s="409">
        <f t="shared" si="203"/>
        <v>0</v>
      </c>
      <c r="BG173" s="409">
        <f t="shared" si="204"/>
        <v>0</v>
      </c>
      <c r="BH173" s="409">
        <f t="shared" si="204"/>
        <v>0</v>
      </c>
      <c r="BI173" s="409">
        <f t="shared" si="204"/>
        <v>0</v>
      </c>
      <c r="BJ173" s="409">
        <f t="shared" si="204"/>
        <v>0</v>
      </c>
      <c r="BK173" s="409">
        <f t="shared" si="204"/>
        <v>0</v>
      </c>
      <c r="BL173" s="409">
        <f t="shared" si="204"/>
        <v>0</v>
      </c>
      <c r="BM173" s="409">
        <f t="shared" si="204"/>
        <v>0</v>
      </c>
      <c r="BN173" s="409">
        <f t="shared" si="204"/>
        <v>0</v>
      </c>
      <c r="BO173" s="409">
        <f t="shared" si="204"/>
        <v>0</v>
      </c>
      <c r="BP173" s="409">
        <f t="shared" si="204"/>
        <v>0</v>
      </c>
      <c r="BQ173" s="409">
        <f t="shared" si="205"/>
        <v>0</v>
      </c>
      <c r="BR173" s="409">
        <f t="shared" si="205"/>
        <v>0</v>
      </c>
      <c r="BS173" s="409">
        <f t="shared" si="205"/>
        <v>0</v>
      </c>
      <c r="BT173" s="409">
        <f t="shared" si="205"/>
        <v>0</v>
      </c>
      <c r="BU173" s="409">
        <f t="shared" si="205"/>
        <v>0</v>
      </c>
      <c r="BV173" s="409">
        <f t="shared" si="205"/>
        <v>0</v>
      </c>
      <c r="BW173" s="409">
        <f t="shared" si="205"/>
        <v>0</v>
      </c>
      <c r="BX173" s="409">
        <f t="shared" si="205"/>
        <v>0</v>
      </c>
      <c r="BY173" s="409">
        <f t="shared" si="205"/>
        <v>0</v>
      </c>
      <c r="BZ173" s="409">
        <f t="shared" si="205"/>
        <v>0</v>
      </c>
      <c r="CA173" s="409">
        <f t="shared" si="206"/>
        <v>0</v>
      </c>
      <c r="CB173" s="409">
        <f t="shared" si="206"/>
        <v>0</v>
      </c>
      <c r="CC173" s="409">
        <f t="shared" si="206"/>
        <v>0</v>
      </c>
      <c r="CD173" s="409">
        <f t="shared" si="206"/>
        <v>0</v>
      </c>
      <c r="CE173" s="409">
        <f t="shared" si="206"/>
        <v>0</v>
      </c>
      <c r="CF173" s="409">
        <f t="shared" si="206"/>
        <v>0</v>
      </c>
      <c r="CG173" s="409">
        <f t="shared" si="206"/>
        <v>0</v>
      </c>
      <c r="CH173" s="409">
        <f t="shared" si="206"/>
        <v>0</v>
      </c>
      <c r="CI173" s="409">
        <f t="shared" si="206"/>
        <v>0</v>
      </c>
      <c r="CJ173" s="409">
        <f t="shared" si="206"/>
        <v>0</v>
      </c>
      <c r="CK173" s="409">
        <f t="shared" si="207"/>
        <v>0</v>
      </c>
      <c r="CL173" s="409">
        <f t="shared" si="207"/>
        <v>0</v>
      </c>
      <c r="CM173" s="409">
        <f t="shared" si="207"/>
        <v>0</v>
      </c>
      <c r="CN173" s="409">
        <f t="shared" si="207"/>
        <v>0</v>
      </c>
      <c r="CO173" s="409">
        <f t="shared" si="207"/>
        <v>0</v>
      </c>
      <c r="CP173" s="409">
        <f t="shared" si="207"/>
        <v>0</v>
      </c>
      <c r="CQ173" s="409">
        <f t="shared" si="207"/>
        <v>0</v>
      </c>
      <c r="CR173" s="409">
        <f t="shared" si="207"/>
        <v>0</v>
      </c>
      <c r="CS173" s="409">
        <f t="shared" si="207"/>
        <v>0</v>
      </c>
      <c r="CT173" s="409">
        <f t="shared" si="207"/>
        <v>0</v>
      </c>
      <c r="CU173" s="409">
        <f t="shared" si="208"/>
        <v>0</v>
      </c>
      <c r="CV173" s="409">
        <f t="shared" si="208"/>
        <v>0</v>
      </c>
      <c r="CW173" s="409">
        <f t="shared" si="208"/>
        <v>0</v>
      </c>
      <c r="CX173" s="409">
        <f t="shared" si="208"/>
        <v>0</v>
      </c>
      <c r="CY173" s="409">
        <f t="shared" si="208"/>
        <v>0</v>
      </c>
      <c r="CZ173" s="409">
        <f t="shared" si="208"/>
        <v>0</v>
      </c>
      <c r="DA173" s="409">
        <f t="shared" si="208"/>
        <v>0</v>
      </c>
      <c r="DB173" s="409">
        <f t="shared" si="208"/>
        <v>0</v>
      </c>
      <c r="DC173" s="409">
        <f t="shared" si="208"/>
        <v>0</v>
      </c>
      <c r="DD173" s="409">
        <f t="shared" si="208"/>
        <v>0</v>
      </c>
      <c r="DE173" s="409">
        <f t="shared" si="209"/>
        <v>0</v>
      </c>
      <c r="DF173" s="409">
        <f t="shared" si="209"/>
        <v>0</v>
      </c>
      <c r="DG173" s="409">
        <f t="shared" si="209"/>
        <v>0</v>
      </c>
      <c r="DH173" s="409">
        <f t="shared" si="209"/>
        <v>0</v>
      </c>
      <c r="DI173" s="409">
        <f t="shared" si="209"/>
        <v>0</v>
      </c>
      <c r="DJ173" s="409">
        <f t="shared" si="209"/>
        <v>0</v>
      </c>
      <c r="DK173" s="409">
        <f t="shared" si="209"/>
        <v>0</v>
      </c>
      <c r="DL173" s="409">
        <f t="shared" si="209"/>
        <v>0</v>
      </c>
      <c r="DM173" s="409">
        <f t="shared" si="209"/>
        <v>0</v>
      </c>
      <c r="DN173" s="409">
        <f t="shared" si="209"/>
        <v>0</v>
      </c>
      <c r="DO173" s="409">
        <f t="shared" si="210"/>
        <v>0</v>
      </c>
      <c r="DP173" s="409">
        <f t="shared" si="210"/>
        <v>0</v>
      </c>
      <c r="DQ173" s="409">
        <f t="shared" si="210"/>
        <v>0</v>
      </c>
      <c r="DR173" s="409">
        <f t="shared" si="210"/>
        <v>0</v>
      </c>
      <c r="DS173" s="409">
        <f t="shared" si="210"/>
        <v>0</v>
      </c>
      <c r="DT173" s="409">
        <f t="shared" si="210"/>
        <v>0</v>
      </c>
      <c r="DU173" s="409">
        <f t="shared" si="210"/>
        <v>0</v>
      </c>
      <c r="DV173" s="409">
        <f t="shared" si="210"/>
        <v>0</v>
      </c>
      <c r="DW173" s="409">
        <f t="shared" si="210"/>
        <v>0</v>
      </c>
      <c r="DX173" s="409">
        <f t="shared" si="210"/>
        <v>0</v>
      </c>
      <c r="DY173" s="409">
        <f t="shared" si="211"/>
        <v>0</v>
      </c>
      <c r="DZ173" s="409">
        <f t="shared" si="211"/>
        <v>0</v>
      </c>
      <c r="EA173" s="409">
        <f t="shared" si="211"/>
        <v>0</v>
      </c>
      <c r="EB173" s="409">
        <f t="shared" si="211"/>
        <v>0</v>
      </c>
      <c r="EC173" s="409">
        <f t="shared" si="211"/>
        <v>0</v>
      </c>
      <c r="ED173" s="409">
        <f t="shared" si="211"/>
        <v>0</v>
      </c>
      <c r="EE173" s="409">
        <f t="shared" si="211"/>
        <v>0</v>
      </c>
      <c r="EF173" s="409">
        <f t="shared" si="211"/>
        <v>0</v>
      </c>
      <c r="EG173" s="409">
        <f t="shared" si="211"/>
        <v>0</v>
      </c>
      <c r="EH173" s="409">
        <f t="shared" si="211"/>
        <v>0</v>
      </c>
      <c r="EI173" s="409">
        <f t="shared" si="212"/>
        <v>0</v>
      </c>
      <c r="EJ173" s="409">
        <f t="shared" si="212"/>
        <v>0</v>
      </c>
      <c r="EK173" s="409">
        <f t="shared" si="212"/>
        <v>0</v>
      </c>
      <c r="EL173" s="409">
        <f t="shared" si="212"/>
        <v>0</v>
      </c>
      <c r="EM173" s="409">
        <f t="shared" si="212"/>
        <v>0</v>
      </c>
      <c r="EN173" s="409">
        <f t="shared" si="212"/>
        <v>0</v>
      </c>
      <c r="EO173" s="409">
        <f t="shared" si="212"/>
        <v>0</v>
      </c>
      <c r="EP173" s="409">
        <f t="shared" si="212"/>
        <v>0</v>
      </c>
      <c r="EQ173" s="409">
        <f t="shared" si="212"/>
        <v>0</v>
      </c>
      <c r="ER173" s="409">
        <f t="shared" si="212"/>
        <v>0</v>
      </c>
      <c r="ES173" s="409">
        <f t="shared" si="213"/>
        <v>0</v>
      </c>
      <c r="ET173" s="409">
        <f t="shared" si="213"/>
        <v>0</v>
      </c>
      <c r="EU173" s="409">
        <f t="shared" si="213"/>
        <v>0</v>
      </c>
      <c r="EV173" s="409">
        <f t="shared" si="213"/>
        <v>0</v>
      </c>
      <c r="EW173" s="409">
        <f t="shared" si="213"/>
        <v>0</v>
      </c>
      <c r="EX173" s="409">
        <f t="shared" si="213"/>
        <v>0</v>
      </c>
      <c r="EY173" s="409">
        <f t="shared" si="213"/>
        <v>0</v>
      </c>
      <c r="EZ173" s="409">
        <f t="shared" si="213"/>
        <v>0</v>
      </c>
      <c r="FA173" s="409">
        <f t="shared" si="213"/>
        <v>0</v>
      </c>
      <c r="FB173" s="409">
        <f t="shared" si="213"/>
        <v>0</v>
      </c>
      <c r="FC173" s="409">
        <f t="shared" si="214"/>
        <v>0</v>
      </c>
      <c r="FD173" s="409">
        <f t="shared" si="214"/>
        <v>0</v>
      </c>
      <c r="FE173" s="409">
        <f t="shared" si="214"/>
        <v>0</v>
      </c>
      <c r="FF173" s="409">
        <f t="shared" si="214"/>
        <v>0</v>
      </c>
      <c r="FG173" s="409">
        <f t="shared" si="214"/>
        <v>0</v>
      </c>
      <c r="FH173" s="409">
        <f t="shared" si="214"/>
        <v>0</v>
      </c>
      <c r="FI173" s="409">
        <f t="shared" si="214"/>
        <v>0</v>
      </c>
      <c r="FJ173" s="409">
        <f t="shared" si="214"/>
        <v>0</v>
      </c>
      <c r="FK173" s="409">
        <f t="shared" si="214"/>
        <v>0</v>
      </c>
      <c r="FL173" s="409">
        <f t="shared" si="214"/>
        <v>0</v>
      </c>
      <c r="FM173" s="409">
        <f t="shared" si="215"/>
        <v>0</v>
      </c>
      <c r="FN173" s="409">
        <f t="shared" si="215"/>
        <v>0</v>
      </c>
      <c r="FO173" s="409">
        <f t="shared" si="215"/>
        <v>0</v>
      </c>
      <c r="FP173" s="409">
        <f t="shared" si="215"/>
        <v>0</v>
      </c>
      <c r="FQ173" s="409">
        <f t="shared" si="215"/>
        <v>0</v>
      </c>
      <c r="FR173" s="409">
        <f t="shared" si="215"/>
        <v>0</v>
      </c>
      <c r="FS173" s="409">
        <f t="shared" si="215"/>
        <v>0</v>
      </c>
      <c r="FT173" s="409">
        <f t="shared" si="215"/>
        <v>0</v>
      </c>
      <c r="FU173" s="409">
        <f t="shared" si="215"/>
        <v>0</v>
      </c>
      <c r="FV173" s="409">
        <f t="shared" si="215"/>
        <v>0</v>
      </c>
      <c r="FW173" s="409">
        <f t="shared" si="216"/>
        <v>0</v>
      </c>
      <c r="FX173" s="409">
        <f t="shared" si="216"/>
        <v>0</v>
      </c>
      <c r="FY173" s="409">
        <f t="shared" si="216"/>
        <v>0</v>
      </c>
      <c r="FZ173" s="409">
        <f t="shared" si="216"/>
        <v>0</v>
      </c>
      <c r="GA173" s="409">
        <f t="shared" si="216"/>
        <v>0</v>
      </c>
      <c r="GB173" s="409">
        <f t="shared" si="216"/>
        <v>0</v>
      </c>
      <c r="GC173" s="409">
        <f t="shared" si="216"/>
        <v>0</v>
      </c>
      <c r="GD173" s="409">
        <f t="shared" si="216"/>
        <v>0</v>
      </c>
      <c r="GE173" s="409">
        <f t="shared" si="216"/>
        <v>0</v>
      </c>
      <c r="GF173" s="409">
        <f t="shared" si="216"/>
        <v>0</v>
      </c>
      <c r="GG173" s="409">
        <f t="shared" si="217"/>
        <v>0</v>
      </c>
      <c r="GH173" s="409">
        <f t="shared" si="217"/>
        <v>0</v>
      </c>
      <c r="GI173" s="409">
        <f t="shared" si="217"/>
        <v>0</v>
      </c>
      <c r="GJ173" s="409">
        <f t="shared" si="217"/>
        <v>0</v>
      </c>
      <c r="GK173" s="409">
        <f t="shared" si="217"/>
        <v>0</v>
      </c>
      <c r="GL173" s="409">
        <f t="shared" si="217"/>
        <v>0</v>
      </c>
      <c r="GM173" s="409">
        <f t="shared" si="217"/>
        <v>0</v>
      </c>
      <c r="GN173" s="409">
        <f t="shared" si="217"/>
        <v>0</v>
      </c>
      <c r="GO173" s="409">
        <f t="shared" si="217"/>
        <v>0</v>
      </c>
      <c r="GP173" s="409">
        <f t="shared" si="217"/>
        <v>0</v>
      </c>
      <c r="GQ173" s="409">
        <f t="shared" si="218"/>
        <v>0</v>
      </c>
      <c r="GR173" s="409">
        <f t="shared" si="218"/>
        <v>0</v>
      </c>
      <c r="GS173" s="409">
        <f t="shared" si="218"/>
        <v>0</v>
      </c>
      <c r="GT173" s="409">
        <f t="shared" si="218"/>
        <v>0</v>
      </c>
      <c r="GU173" s="409">
        <f t="shared" si="218"/>
        <v>0</v>
      </c>
      <c r="GV173" s="409">
        <f t="shared" si="218"/>
        <v>0</v>
      </c>
      <c r="GW173" s="409">
        <f t="shared" si="218"/>
        <v>0</v>
      </c>
      <c r="GX173" s="409">
        <f t="shared" si="218"/>
        <v>0</v>
      </c>
      <c r="GY173" s="409">
        <f t="shared" si="218"/>
        <v>0</v>
      </c>
      <c r="GZ173" s="409">
        <f t="shared" si="218"/>
        <v>0</v>
      </c>
      <c r="HA173" s="409">
        <f t="shared" si="219"/>
        <v>0</v>
      </c>
      <c r="HB173" s="409">
        <f t="shared" si="219"/>
        <v>0</v>
      </c>
      <c r="HC173" s="409">
        <f t="shared" si="219"/>
        <v>0</v>
      </c>
      <c r="HD173" s="409">
        <f t="shared" si="219"/>
        <v>0</v>
      </c>
      <c r="HE173" s="409">
        <f t="shared" si="219"/>
        <v>0</v>
      </c>
      <c r="HF173" s="409">
        <f t="shared" si="219"/>
        <v>0</v>
      </c>
      <c r="HG173" s="409">
        <f t="shared" si="219"/>
        <v>0</v>
      </c>
      <c r="HH173" s="409">
        <f t="shared" si="219"/>
        <v>0</v>
      </c>
      <c r="HI173" s="409">
        <f t="shared" si="219"/>
        <v>0</v>
      </c>
      <c r="HJ173" s="409">
        <f t="shared" si="219"/>
        <v>0</v>
      </c>
      <c r="HK173" s="409">
        <f t="shared" si="220"/>
        <v>0</v>
      </c>
      <c r="HL173" s="409">
        <f t="shared" si="220"/>
        <v>0</v>
      </c>
      <c r="HM173" s="409">
        <f t="shared" si="220"/>
        <v>0</v>
      </c>
      <c r="HN173" s="409">
        <f t="shared" si="220"/>
        <v>0</v>
      </c>
      <c r="HO173" s="409">
        <f t="shared" si="220"/>
        <v>0</v>
      </c>
      <c r="HP173" s="409">
        <f t="shared" si="220"/>
        <v>0</v>
      </c>
      <c r="HQ173" s="409">
        <f t="shared" si="220"/>
        <v>0</v>
      </c>
      <c r="HR173" s="409">
        <f t="shared" si="220"/>
        <v>0</v>
      </c>
      <c r="HS173" s="409">
        <f t="shared" si="220"/>
        <v>0</v>
      </c>
      <c r="HT173" s="409">
        <f t="shared" si="220"/>
        <v>0</v>
      </c>
      <c r="HU173" s="409">
        <f t="shared" si="221"/>
        <v>0</v>
      </c>
      <c r="HV173" s="409">
        <f t="shared" si="221"/>
        <v>0</v>
      </c>
      <c r="HW173" s="409">
        <f t="shared" si="221"/>
        <v>0</v>
      </c>
      <c r="HX173" s="409">
        <f t="shared" si="221"/>
        <v>0</v>
      </c>
      <c r="HY173" s="409">
        <f t="shared" si="221"/>
        <v>0</v>
      </c>
      <c r="HZ173" s="409">
        <f t="shared" si="221"/>
        <v>0</v>
      </c>
      <c r="IA173" s="409">
        <f t="shared" si="221"/>
        <v>0</v>
      </c>
      <c r="IB173" s="409">
        <f t="shared" si="221"/>
        <v>0</v>
      </c>
      <c r="IC173" s="409">
        <f t="shared" si="221"/>
        <v>0</v>
      </c>
      <c r="ID173" s="409">
        <f t="shared" si="221"/>
        <v>0</v>
      </c>
      <c r="IE173" s="409">
        <f t="shared" si="222"/>
        <v>0</v>
      </c>
      <c r="IF173" s="409">
        <f t="shared" si="222"/>
        <v>0</v>
      </c>
      <c r="IG173" s="409">
        <f t="shared" si="222"/>
        <v>0</v>
      </c>
      <c r="IH173" s="409">
        <f t="shared" si="222"/>
        <v>0</v>
      </c>
      <c r="II173" s="409">
        <f t="shared" si="222"/>
        <v>0</v>
      </c>
      <c r="IJ173" s="409">
        <f t="shared" si="222"/>
        <v>0</v>
      </c>
      <c r="IK173" s="378"/>
    </row>
    <row r="174" spans="1:245" hidden="1" x14ac:dyDescent="0.2">
      <c r="A174" s="380" t="str">
        <f t="shared" si="243"/>
        <v>e</v>
      </c>
      <c r="B174" s="712" t="str">
        <f>IF(ISERROR(INDEX('Legend(DX)'!$H$11:$H$12,17)),"",INDEX('Legend(DX)'!$H$11:$H$12,17))</f>
        <v/>
      </c>
      <c r="C174" s="712" t="e">
        <f>IF(INDEX('Legend(DX)'!$T$11:$T$12,17)=0,"See Legend",INDEX('Legend(DX)'!$T$11:$T$12,17))</f>
        <v>#REF!</v>
      </c>
      <c r="D174" s="712" t="e">
        <f>IF(INDEX('Legend(DX)'!$R$11:$R$12,(ROW(C174))-137)=0,IF(AND(INDEX('Legend(DX)'!$D$11:$D$12,(ROW(C174))-136)="CH",INDEX('Legend(DX)'!$F$11:$F$12,(ROW(C174))-136)="CASE - MANUAL"),INDEX('Legend(DX)'!$R$11:$R$12,(ROW(C174))-136),IF(INDEX('Legend(DX)'!$V$11:$V$12,(ROW(C174))-137)&gt;1, "(" &amp; INDEX('Legend(DX)'!$V$11:$V$12,(ROW(C174))-137) &amp; ") " &amp; INDEX('Legend(DX)'!$W$11:$W$12,(ROW(C174))-136),INDEX('Legend(DX)'!$W$11:$W$12,(ROW(C174))-137))),INDEX('Legend(DX)'!$R$11:$R$12,(ROW(C174))-137))</f>
        <v>#REF!</v>
      </c>
      <c r="E174" s="713" t="str">
        <f>IF(ISERROR(INDEX('Legend(DX)'!$AA$11:$AA$12,17)),"",INDEX('Legend(DX)'!$AA$11:$AA$12,17))</f>
        <v/>
      </c>
      <c r="F174" s="715"/>
      <c r="G174" s="715"/>
      <c r="H174" s="715"/>
      <c r="I174" s="715"/>
      <c r="J174" s="715"/>
      <c r="K174" s="890">
        <f t="shared" si="223"/>
        <v>0</v>
      </c>
      <c r="L174" s="718"/>
      <c r="M174" s="723"/>
      <c r="N174" s="972">
        <f t="shared" si="196"/>
        <v>-1</v>
      </c>
      <c r="O174" s="972">
        <f t="shared" si="244"/>
        <v>-1</v>
      </c>
      <c r="P174" s="972">
        <f t="shared" si="197"/>
        <v>-1</v>
      </c>
      <c r="Q174" s="972">
        <f t="shared" si="245"/>
        <v>-1</v>
      </c>
      <c r="R174" s="972">
        <f t="shared" si="198"/>
        <v>-1</v>
      </c>
      <c r="S174" s="972">
        <f t="shared" si="246"/>
        <v>-1</v>
      </c>
      <c r="T174" s="972">
        <f t="shared" si="199"/>
        <v>-1</v>
      </c>
      <c r="U174" s="972">
        <f t="shared" si="247"/>
        <v>-1</v>
      </c>
      <c r="V174" s="972">
        <f t="shared" si="200"/>
        <v>-1</v>
      </c>
      <c r="W174" s="972">
        <f t="shared" si="248"/>
        <v>-1</v>
      </c>
      <c r="X174" s="972">
        <f t="shared" si="201"/>
        <v>-1</v>
      </c>
      <c r="Y174" s="972">
        <f t="shared" si="229"/>
        <v>-1</v>
      </c>
      <c r="Z174" s="972">
        <f t="shared" si="230"/>
        <v>-1</v>
      </c>
      <c r="AA174" s="972">
        <f t="shared" si="231"/>
        <v>-1</v>
      </c>
      <c r="AB174" s="972">
        <f t="shared" si="232"/>
        <v>-1</v>
      </c>
      <c r="AC174" s="972">
        <f t="shared" si="233"/>
        <v>-1</v>
      </c>
      <c r="AD174" s="972">
        <f t="shared" si="234"/>
        <v>-1</v>
      </c>
      <c r="AE174" s="972">
        <f t="shared" si="235"/>
        <v>-1</v>
      </c>
      <c r="AF174" s="972">
        <f t="shared" si="236"/>
        <v>-1</v>
      </c>
      <c r="AG174" s="972">
        <f t="shared" si="237"/>
        <v>-1</v>
      </c>
      <c r="AH174" s="972">
        <f t="shared" si="238"/>
        <v>-1</v>
      </c>
      <c r="AI174" s="972">
        <f t="shared" si="239"/>
        <v>-1</v>
      </c>
      <c r="AJ174" s="972">
        <f t="shared" si="240"/>
        <v>-1</v>
      </c>
      <c r="AK174" s="381"/>
      <c r="AL174" s="727" t="str">
        <f t="shared" si="249"/>
        <v/>
      </c>
      <c r="AM174" s="409">
        <f t="shared" si="202"/>
        <v>0</v>
      </c>
      <c r="AN174" s="409">
        <f t="shared" si="202"/>
        <v>0</v>
      </c>
      <c r="AO174" s="409">
        <f t="shared" si="202"/>
        <v>0</v>
      </c>
      <c r="AP174" s="409">
        <f t="shared" si="202"/>
        <v>0</v>
      </c>
      <c r="AQ174" s="409">
        <f t="shared" si="202"/>
        <v>0</v>
      </c>
      <c r="AR174" s="409">
        <f t="shared" si="202"/>
        <v>0</v>
      </c>
      <c r="AS174" s="409">
        <f t="shared" si="202"/>
        <v>0</v>
      </c>
      <c r="AT174" s="409">
        <f t="shared" si="202"/>
        <v>0</v>
      </c>
      <c r="AU174" s="409">
        <f t="shared" si="202"/>
        <v>0</v>
      </c>
      <c r="AV174" s="409">
        <f t="shared" si="202"/>
        <v>0</v>
      </c>
      <c r="AW174" s="409">
        <f t="shared" si="203"/>
        <v>0</v>
      </c>
      <c r="AX174" s="409">
        <f t="shared" si="203"/>
        <v>0</v>
      </c>
      <c r="AY174" s="409">
        <f t="shared" si="203"/>
        <v>0</v>
      </c>
      <c r="AZ174" s="409">
        <f t="shared" si="203"/>
        <v>0</v>
      </c>
      <c r="BA174" s="409">
        <f t="shared" si="203"/>
        <v>0</v>
      </c>
      <c r="BB174" s="409">
        <f t="shared" si="203"/>
        <v>0</v>
      </c>
      <c r="BC174" s="409">
        <f t="shared" si="203"/>
        <v>0</v>
      </c>
      <c r="BD174" s="409">
        <f t="shared" si="203"/>
        <v>0</v>
      </c>
      <c r="BE174" s="409">
        <f t="shared" si="203"/>
        <v>0</v>
      </c>
      <c r="BF174" s="409">
        <f t="shared" si="203"/>
        <v>0</v>
      </c>
      <c r="BG174" s="409">
        <f t="shared" si="204"/>
        <v>0</v>
      </c>
      <c r="BH174" s="409">
        <f t="shared" si="204"/>
        <v>0</v>
      </c>
      <c r="BI174" s="409">
        <f t="shared" si="204"/>
        <v>0</v>
      </c>
      <c r="BJ174" s="409">
        <f t="shared" si="204"/>
        <v>0</v>
      </c>
      <c r="BK174" s="409">
        <f t="shared" si="204"/>
        <v>0</v>
      </c>
      <c r="BL174" s="409">
        <f t="shared" si="204"/>
        <v>0</v>
      </c>
      <c r="BM174" s="409">
        <f t="shared" si="204"/>
        <v>0</v>
      </c>
      <c r="BN174" s="409">
        <f t="shared" si="204"/>
        <v>0</v>
      </c>
      <c r="BO174" s="409">
        <f t="shared" si="204"/>
        <v>0</v>
      </c>
      <c r="BP174" s="409">
        <f t="shared" si="204"/>
        <v>0</v>
      </c>
      <c r="BQ174" s="409">
        <f t="shared" si="205"/>
        <v>0</v>
      </c>
      <c r="BR174" s="409">
        <f t="shared" si="205"/>
        <v>0</v>
      </c>
      <c r="BS174" s="409">
        <f t="shared" si="205"/>
        <v>0</v>
      </c>
      <c r="BT174" s="409">
        <f t="shared" si="205"/>
        <v>0</v>
      </c>
      <c r="BU174" s="409">
        <f t="shared" si="205"/>
        <v>0</v>
      </c>
      <c r="BV174" s="409">
        <f t="shared" si="205"/>
        <v>0</v>
      </c>
      <c r="BW174" s="409">
        <f t="shared" si="205"/>
        <v>0</v>
      </c>
      <c r="BX174" s="409">
        <f t="shared" si="205"/>
        <v>0</v>
      </c>
      <c r="BY174" s="409">
        <f t="shared" si="205"/>
        <v>0</v>
      </c>
      <c r="BZ174" s="409">
        <f t="shared" si="205"/>
        <v>0</v>
      </c>
      <c r="CA174" s="409">
        <f t="shared" si="206"/>
        <v>0</v>
      </c>
      <c r="CB174" s="409">
        <f t="shared" si="206"/>
        <v>0</v>
      </c>
      <c r="CC174" s="409">
        <f t="shared" si="206"/>
        <v>0</v>
      </c>
      <c r="CD174" s="409">
        <f t="shared" si="206"/>
        <v>0</v>
      </c>
      <c r="CE174" s="409">
        <f t="shared" si="206"/>
        <v>0</v>
      </c>
      <c r="CF174" s="409">
        <f t="shared" si="206"/>
        <v>0</v>
      </c>
      <c r="CG174" s="409">
        <f t="shared" si="206"/>
        <v>0</v>
      </c>
      <c r="CH174" s="409">
        <f t="shared" si="206"/>
        <v>0</v>
      </c>
      <c r="CI174" s="409">
        <f t="shared" si="206"/>
        <v>0</v>
      </c>
      <c r="CJ174" s="409">
        <f t="shared" si="206"/>
        <v>0</v>
      </c>
      <c r="CK174" s="409">
        <f t="shared" si="207"/>
        <v>0</v>
      </c>
      <c r="CL174" s="409">
        <f t="shared" si="207"/>
        <v>0</v>
      </c>
      <c r="CM174" s="409">
        <f t="shared" si="207"/>
        <v>0</v>
      </c>
      <c r="CN174" s="409">
        <f t="shared" si="207"/>
        <v>0</v>
      </c>
      <c r="CO174" s="409">
        <f t="shared" si="207"/>
        <v>0</v>
      </c>
      <c r="CP174" s="409">
        <f t="shared" si="207"/>
        <v>0</v>
      </c>
      <c r="CQ174" s="409">
        <f t="shared" si="207"/>
        <v>0</v>
      </c>
      <c r="CR174" s="409">
        <f t="shared" si="207"/>
        <v>0</v>
      </c>
      <c r="CS174" s="409">
        <f t="shared" si="207"/>
        <v>0</v>
      </c>
      <c r="CT174" s="409">
        <f t="shared" si="207"/>
        <v>0</v>
      </c>
      <c r="CU174" s="409">
        <f t="shared" si="208"/>
        <v>0</v>
      </c>
      <c r="CV174" s="409">
        <f t="shared" si="208"/>
        <v>0</v>
      </c>
      <c r="CW174" s="409">
        <f t="shared" si="208"/>
        <v>0</v>
      </c>
      <c r="CX174" s="409">
        <f t="shared" si="208"/>
        <v>0</v>
      </c>
      <c r="CY174" s="409">
        <f t="shared" si="208"/>
        <v>0</v>
      </c>
      <c r="CZ174" s="409">
        <f t="shared" si="208"/>
        <v>0</v>
      </c>
      <c r="DA174" s="409">
        <f t="shared" si="208"/>
        <v>0</v>
      </c>
      <c r="DB174" s="409">
        <f t="shared" si="208"/>
        <v>0</v>
      </c>
      <c r="DC174" s="409">
        <f t="shared" si="208"/>
        <v>0</v>
      </c>
      <c r="DD174" s="409">
        <f t="shared" si="208"/>
        <v>0</v>
      </c>
      <c r="DE174" s="409">
        <f t="shared" si="209"/>
        <v>0</v>
      </c>
      <c r="DF174" s="409">
        <f t="shared" si="209"/>
        <v>0</v>
      </c>
      <c r="DG174" s="409">
        <f t="shared" si="209"/>
        <v>0</v>
      </c>
      <c r="DH174" s="409">
        <f t="shared" si="209"/>
        <v>0</v>
      </c>
      <c r="DI174" s="409">
        <f t="shared" si="209"/>
        <v>0</v>
      </c>
      <c r="DJ174" s="409">
        <f t="shared" si="209"/>
        <v>0</v>
      </c>
      <c r="DK174" s="409">
        <f t="shared" si="209"/>
        <v>0</v>
      </c>
      <c r="DL174" s="409">
        <f t="shared" si="209"/>
        <v>0</v>
      </c>
      <c r="DM174" s="409">
        <f t="shared" si="209"/>
        <v>0</v>
      </c>
      <c r="DN174" s="409">
        <f t="shared" si="209"/>
        <v>0</v>
      </c>
      <c r="DO174" s="409">
        <f t="shared" si="210"/>
        <v>0</v>
      </c>
      <c r="DP174" s="409">
        <f t="shared" si="210"/>
        <v>0</v>
      </c>
      <c r="DQ174" s="409">
        <f t="shared" si="210"/>
        <v>0</v>
      </c>
      <c r="DR174" s="409">
        <f t="shared" si="210"/>
        <v>0</v>
      </c>
      <c r="DS174" s="409">
        <f t="shared" si="210"/>
        <v>0</v>
      </c>
      <c r="DT174" s="409">
        <f t="shared" si="210"/>
        <v>0</v>
      </c>
      <c r="DU174" s="409">
        <f t="shared" si="210"/>
        <v>0</v>
      </c>
      <c r="DV174" s="409">
        <f t="shared" si="210"/>
        <v>0</v>
      </c>
      <c r="DW174" s="409">
        <f t="shared" si="210"/>
        <v>0</v>
      </c>
      <c r="DX174" s="409">
        <f t="shared" si="210"/>
        <v>0</v>
      </c>
      <c r="DY174" s="409">
        <f t="shared" si="211"/>
        <v>0</v>
      </c>
      <c r="DZ174" s="409">
        <f t="shared" si="211"/>
        <v>0</v>
      </c>
      <c r="EA174" s="409">
        <f t="shared" si="211"/>
        <v>0</v>
      </c>
      <c r="EB174" s="409">
        <f t="shared" si="211"/>
        <v>0</v>
      </c>
      <c r="EC174" s="409">
        <f t="shared" si="211"/>
        <v>0</v>
      </c>
      <c r="ED174" s="409">
        <f t="shared" si="211"/>
        <v>0</v>
      </c>
      <c r="EE174" s="409">
        <f t="shared" si="211"/>
        <v>0</v>
      </c>
      <c r="EF174" s="409">
        <f t="shared" si="211"/>
        <v>0</v>
      </c>
      <c r="EG174" s="409">
        <f t="shared" si="211"/>
        <v>0</v>
      </c>
      <c r="EH174" s="409">
        <f t="shared" si="211"/>
        <v>0</v>
      </c>
      <c r="EI174" s="409">
        <f t="shared" si="212"/>
        <v>0</v>
      </c>
      <c r="EJ174" s="409">
        <f t="shared" si="212"/>
        <v>0</v>
      </c>
      <c r="EK174" s="409">
        <f t="shared" si="212"/>
        <v>0</v>
      </c>
      <c r="EL174" s="409">
        <f t="shared" si="212"/>
        <v>0</v>
      </c>
      <c r="EM174" s="409">
        <f t="shared" si="212"/>
        <v>0</v>
      </c>
      <c r="EN174" s="409">
        <f t="shared" si="212"/>
        <v>0</v>
      </c>
      <c r="EO174" s="409">
        <f t="shared" si="212"/>
        <v>0</v>
      </c>
      <c r="EP174" s="409">
        <f t="shared" si="212"/>
        <v>0</v>
      </c>
      <c r="EQ174" s="409">
        <f t="shared" si="212"/>
        <v>0</v>
      </c>
      <c r="ER174" s="409">
        <f t="shared" si="212"/>
        <v>0</v>
      </c>
      <c r="ES174" s="409">
        <f t="shared" si="213"/>
        <v>0</v>
      </c>
      <c r="ET174" s="409">
        <f t="shared" si="213"/>
        <v>0</v>
      </c>
      <c r="EU174" s="409">
        <f t="shared" si="213"/>
        <v>0</v>
      </c>
      <c r="EV174" s="409">
        <f t="shared" si="213"/>
        <v>0</v>
      </c>
      <c r="EW174" s="409">
        <f t="shared" si="213"/>
        <v>0</v>
      </c>
      <c r="EX174" s="409">
        <f t="shared" si="213"/>
        <v>0</v>
      </c>
      <c r="EY174" s="409">
        <f t="shared" si="213"/>
        <v>0</v>
      </c>
      <c r="EZ174" s="409">
        <f t="shared" si="213"/>
        <v>0</v>
      </c>
      <c r="FA174" s="409">
        <f t="shared" si="213"/>
        <v>0</v>
      </c>
      <c r="FB174" s="409">
        <f t="shared" si="213"/>
        <v>0</v>
      </c>
      <c r="FC174" s="409">
        <f t="shared" si="214"/>
        <v>0</v>
      </c>
      <c r="FD174" s="409">
        <f t="shared" si="214"/>
        <v>0</v>
      </c>
      <c r="FE174" s="409">
        <f t="shared" si="214"/>
        <v>0</v>
      </c>
      <c r="FF174" s="409">
        <f t="shared" si="214"/>
        <v>0</v>
      </c>
      <c r="FG174" s="409">
        <f t="shared" si="214"/>
        <v>0</v>
      </c>
      <c r="FH174" s="409">
        <f t="shared" si="214"/>
        <v>0</v>
      </c>
      <c r="FI174" s="409">
        <f t="shared" si="214"/>
        <v>0</v>
      </c>
      <c r="FJ174" s="409">
        <f t="shared" si="214"/>
        <v>0</v>
      </c>
      <c r="FK174" s="409">
        <f t="shared" si="214"/>
        <v>0</v>
      </c>
      <c r="FL174" s="409">
        <f t="shared" si="214"/>
        <v>0</v>
      </c>
      <c r="FM174" s="409">
        <f t="shared" si="215"/>
        <v>0</v>
      </c>
      <c r="FN174" s="409">
        <f t="shared" si="215"/>
        <v>0</v>
      </c>
      <c r="FO174" s="409">
        <f t="shared" si="215"/>
        <v>0</v>
      </c>
      <c r="FP174" s="409">
        <f t="shared" si="215"/>
        <v>0</v>
      </c>
      <c r="FQ174" s="409">
        <f t="shared" si="215"/>
        <v>0</v>
      </c>
      <c r="FR174" s="409">
        <f t="shared" si="215"/>
        <v>0</v>
      </c>
      <c r="FS174" s="409">
        <f t="shared" si="215"/>
        <v>0</v>
      </c>
      <c r="FT174" s="409">
        <f t="shared" si="215"/>
        <v>0</v>
      </c>
      <c r="FU174" s="409">
        <f t="shared" si="215"/>
        <v>0</v>
      </c>
      <c r="FV174" s="409">
        <f t="shared" si="215"/>
        <v>0</v>
      </c>
      <c r="FW174" s="409">
        <f t="shared" si="216"/>
        <v>0</v>
      </c>
      <c r="FX174" s="409">
        <f t="shared" si="216"/>
        <v>0</v>
      </c>
      <c r="FY174" s="409">
        <f t="shared" si="216"/>
        <v>0</v>
      </c>
      <c r="FZ174" s="409">
        <f t="shared" si="216"/>
        <v>0</v>
      </c>
      <c r="GA174" s="409">
        <f t="shared" si="216"/>
        <v>0</v>
      </c>
      <c r="GB174" s="409">
        <f t="shared" si="216"/>
        <v>0</v>
      </c>
      <c r="GC174" s="409">
        <f t="shared" si="216"/>
        <v>0</v>
      </c>
      <c r="GD174" s="409">
        <f t="shared" si="216"/>
        <v>0</v>
      </c>
      <c r="GE174" s="409">
        <f t="shared" si="216"/>
        <v>0</v>
      </c>
      <c r="GF174" s="409">
        <f t="shared" si="216"/>
        <v>0</v>
      </c>
      <c r="GG174" s="409">
        <f t="shared" si="217"/>
        <v>0</v>
      </c>
      <c r="GH174" s="409">
        <f t="shared" si="217"/>
        <v>0</v>
      </c>
      <c r="GI174" s="409">
        <f t="shared" si="217"/>
        <v>0</v>
      </c>
      <c r="GJ174" s="409">
        <f t="shared" si="217"/>
        <v>0</v>
      </c>
      <c r="GK174" s="409">
        <f t="shared" si="217"/>
        <v>0</v>
      </c>
      <c r="GL174" s="409">
        <f t="shared" si="217"/>
        <v>0</v>
      </c>
      <c r="GM174" s="409">
        <f t="shared" si="217"/>
        <v>0</v>
      </c>
      <c r="GN174" s="409">
        <f t="shared" si="217"/>
        <v>0</v>
      </c>
      <c r="GO174" s="409">
        <f t="shared" si="217"/>
        <v>0</v>
      </c>
      <c r="GP174" s="409">
        <f t="shared" si="217"/>
        <v>0</v>
      </c>
      <c r="GQ174" s="409">
        <f t="shared" si="218"/>
        <v>0</v>
      </c>
      <c r="GR174" s="409">
        <f t="shared" si="218"/>
        <v>0</v>
      </c>
      <c r="GS174" s="409">
        <f t="shared" si="218"/>
        <v>0</v>
      </c>
      <c r="GT174" s="409">
        <f t="shared" si="218"/>
        <v>0</v>
      </c>
      <c r="GU174" s="409">
        <f t="shared" si="218"/>
        <v>0</v>
      </c>
      <c r="GV174" s="409">
        <f t="shared" si="218"/>
        <v>0</v>
      </c>
      <c r="GW174" s="409">
        <f t="shared" si="218"/>
        <v>0</v>
      </c>
      <c r="GX174" s="409">
        <f t="shared" si="218"/>
        <v>0</v>
      </c>
      <c r="GY174" s="409">
        <f t="shared" si="218"/>
        <v>0</v>
      </c>
      <c r="GZ174" s="409">
        <f t="shared" si="218"/>
        <v>0</v>
      </c>
      <c r="HA174" s="409">
        <f t="shared" si="219"/>
        <v>0</v>
      </c>
      <c r="HB174" s="409">
        <f t="shared" si="219"/>
        <v>0</v>
      </c>
      <c r="HC174" s="409">
        <f t="shared" si="219"/>
        <v>0</v>
      </c>
      <c r="HD174" s="409">
        <f t="shared" si="219"/>
        <v>0</v>
      </c>
      <c r="HE174" s="409">
        <f t="shared" si="219"/>
        <v>0</v>
      </c>
      <c r="HF174" s="409">
        <f t="shared" si="219"/>
        <v>0</v>
      </c>
      <c r="HG174" s="409">
        <f t="shared" si="219"/>
        <v>0</v>
      </c>
      <c r="HH174" s="409">
        <f t="shared" si="219"/>
        <v>0</v>
      </c>
      <c r="HI174" s="409">
        <f t="shared" si="219"/>
        <v>0</v>
      </c>
      <c r="HJ174" s="409">
        <f t="shared" si="219"/>
        <v>0</v>
      </c>
      <c r="HK174" s="409">
        <f t="shared" si="220"/>
        <v>0</v>
      </c>
      <c r="HL174" s="409">
        <f t="shared" si="220"/>
        <v>0</v>
      </c>
      <c r="HM174" s="409">
        <f t="shared" si="220"/>
        <v>0</v>
      </c>
      <c r="HN174" s="409">
        <f t="shared" si="220"/>
        <v>0</v>
      </c>
      <c r="HO174" s="409">
        <f t="shared" si="220"/>
        <v>0</v>
      </c>
      <c r="HP174" s="409">
        <f t="shared" si="220"/>
        <v>0</v>
      </c>
      <c r="HQ174" s="409">
        <f t="shared" si="220"/>
        <v>0</v>
      </c>
      <c r="HR174" s="409">
        <f t="shared" si="220"/>
        <v>0</v>
      </c>
      <c r="HS174" s="409">
        <f t="shared" si="220"/>
        <v>0</v>
      </c>
      <c r="HT174" s="409">
        <f t="shared" si="220"/>
        <v>0</v>
      </c>
      <c r="HU174" s="409">
        <f t="shared" si="221"/>
        <v>0</v>
      </c>
      <c r="HV174" s="409">
        <f t="shared" si="221"/>
        <v>0</v>
      </c>
      <c r="HW174" s="409">
        <f t="shared" si="221"/>
        <v>0</v>
      </c>
      <c r="HX174" s="409">
        <f t="shared" si="221"/>
        <v>0</v>
      </c>
      <c r="HY174" s="409">
        <f t="shared" si="221"/>
        <v>0</v>
      </c>
      <c r="HZ174" s="409">
        <f t="shared" si="221"/>
        <v>0</v>
      </c>
      <c r="IA174" s="409">
        <f t="shared" si="221"/>
        <v>0</v>
      </c>
      <c r="IB174" s="409">
        <f t="shared" si="221"/>
        <v>0</v>
      </c>
      <c r="IC174" s="409">
        <f t="shared" si="221"/>
        <v>0</v>
      </c>
      <c r="ID174" s="409">
        <f t="shared" si="221"/>
        <v>0</v>
      </c>
      <c r="IE174" s="409">
        <f t="shared" si="222"/>
        <v>0</v>
      </c>
      <c r="IF174" s="409">
        <f t="shared" si="222"/>
        <v>0</v>
      </c>
      <c r="IG174" s="409">
        <f t="shared" si="222"/>
        <v>0</v>
      </c>
      <c r="IH174" s="409">
        <f t="shared" si="222"/>
        <v>0</v>
      </c>
      <c r="II174" s="409">
        <f t="shared" si="222"/>
        <v>0</v>
      </c>
      <c r="IJ174" s="409">
        <f t="shared" si="222"/>
        <v>0</v>
      </c>
      <c r="IK174" s="378"/>
    </row>
    <row r="175" spans="1:245" hidden="1" x14ac:dyDescent="0.2">
      <c r="A175" s="380" t="str">
        <f t="shared" si="243"/>
        <v>e</v>
      </c>
      <c r="B175" s="712" t="str">
        <f>IF(ISERROR(INDEX('Legend(DX)'!$H$11:$H$12,18)),"",INDEX('Legend(DX)'!$H$11:$H$12,18))</f>
        <v/>
      </c>
      <c r="C175" s="712" t="e">
        <f>IF(INDEX('Legend(DX)'!$T$11:$T$12,18)=0,"See Legend",INDEX('Legend(DX)'!$T$11:$T$12,18))</f>
        <v>#REF!</v>
      </c>
      <c r="D175" s="712" t="e">
        <f>IF(INDEX('Legend(DX)'!$R$11:$R$12,(ROW(C175))-137)=0,IF(AND(INDEX('Legend(DX)'!$D$11:$D$12,(ROW(C175))-136)="CH",INDEX('Legend(DX)'!$F$11:$F$12,(ROW(C175))-136)="CASE - MANUAL"),INDEX('Legend(DX)'!$R$11:$R$12,(ROW(C175))-136),IF(INDEX('Legend(DX)'!$V$11:$V$12,(ROW(C175))-137)&gt;1, "(" &amp; INDEX('Legend(DX)'!$V$11:$V$12,(ROW(C175))-137) &amp; ") " &amp; INDEX('Legend(DX)'!$W$11:$W$12,(ROW(C175))-136),INDEX('Legend(DX)'!$W$11:$W$12,(ROW(C175))-137))),INDEX('Legend(DX)'!$R$11:$R$12,(ROW(C175))-137))</f>
        <v>#REF!</v>
      </c>
      <c r="E175" s="713" t="str">
        <f>IF(ISERROR(INDEX('Legend(DX)'!$AA$11:$AA$12,18)),"",INDEX('Legend(DX)'!$AA$11:$AA$12,18))</f>
        <v/>
      </c>
      <c r="F175" s="715"/>
      <c r="G175" s="715"/>
      <c r="H175" s="715"/>
      <c r="I175" s="715"/>
      <c r="J175" s="715"/>
      <c r="K175" s="890">
        <f t="shared" si="223"/>
        <v>0</v>
      </c>
      <c r="L175" s="718"/>
      <c r="M175" s="723"/>
      <c r="N175" s="972">
        <f t="shared" si="196"/>
        <v>-1</v>
      </c>
      <c r="O175" s="972">
        <f t="shared" si="244"/>
        <v>-1</v>
      </c>
      <c r="P175" s="972">
        <f t="shared" si="197"/>
        <v>-1</v>
      </c>
      <c r="Q175" s="972">
        <f t="shared" si="245"/>
        <v>-1</v>
      </c>
      <c r="R175" s="972">
        <f t="shared" si="198"/>
        <v>-1</v>
      </c>
      <c r="S175" s="972">
        <f t="shared" si="246"/>
        <v>-1</v>
      </c>
      <c r="T175" s="972">
        <f t="shared" si="199"/>
        <v>-1</v>
      </c>
      <c r="U175" s="972">
        <f t="shared" si="247"/>
        <v>-1</v>
      </c>
      <c r="V175" s="972">
        <f t="shared" si="200"/>
        <v>-1</v>
      </c>
      <c r="W175" s="972">
        <f t="shared" si="248"/>
        <v>-1</v>
      </c>
      <c r="X175" s="972">
        <f t="shared" si="201"/>
        <v>-1</v>
      </c>
      <c r="Y175" s="972">
        <f t="shared" si="229"/>
        <v>-1</v>
      </c>
      <c r="Z175" s="972">
        <f t="shared" si="230"/>
        <v>-1</v>
      </c>
      <c r="AA175" s="972">
        <f t="shared" si="231"/>
        <v>-1</v>
      </c>
      <c r="AB175" s="972">
        <f t="shared" si="232"/>
        <v>-1</v>
      </c>
      <c r="AC175" s="972">
        <f t="shared" si="233"/>
        <v>-1</v>
      </c>
      <c r="AD175" s="972">
        <f t="shared" si="234"/>
        <v>-1</v>
      </c>
      <c r="AE175" s="972">
        <f t="shared" si="235"/>
        <v>-1</v>
      </c>
      <c r="AF175" s="972">
        <f t="shared" si="236"/>
        <v>-1</v>
      </c>
      <c r="AG175" s="972">
        <f t="shared" si="237"/>
        <v>-1</v>
      </c>
      <c r="AH175" s="972">
        <f t="shared" si="238"/>
        <v>-1</v>
      </c>
      <c r="AI175" s="972">
        <f t="shared" si="239"/>
        <v>-1</v>
      </c>
      <c r="AJ175" s="972">
        <f t="shared" si="240"/>
        <v>-1</v>
      </c>
      <c r="AK175" s="381"/>
      <c r="AL175" s="727" t="str">
        <f t="shared" si="249"/>
        <v/>
      </c>
      <c r="AM175" s="409">
        <f t="shared" si="202"/>
        <v>0</v>
      </c>
      <c r="AN175" s="409">
        <f t="shared" si="202"/>
        <v>0</v>
      </c>
      <c r="AO175" s="409">
        <f t="shared" si="202"/>
        <v>0</v>
      </c>
      <c r="AP175" s="409">
        <f t="shared" si="202"/>
        <v>0</v>
      </c>
      <c r="AQ175" s="409">
        <f t="shared" si="202"/>
        <v>0</v>
      </c>
      <c r="AR175" s="409">
        <f t="shared" si="202"/>
        <v>0</v>
      </c>
      <c r="AS175" s="409">
        <f t="shared" si="202"/>
        <v>0</v>
      </c>
      <c r="AT175" s="409">
        <f t="shared" si="202"/>
        <v>0</v>
      </c>
      <c r="AU175" s="409">
        <f t="shared" si="202"/>
        <v>0</v>
      </c>
      <c r="AV175" s="409">
        <f t="shared" si="202"/>
        <v>0</v>
      </c>
      <c r="AW175" s="409">
        <f t="shared" si="203"/>
        <v>0</v>
      </c>
      <c r="AX175" s="409">
        <f t="shared" si="203"/>
        <v>0</v>
      </c>
      <c r="AY175" s="409">
        <f t="shared" si="203"/>
        <v>0</v>
      </c>
      <c r="AZ175" s="409">
        <f t="shared" si="203"/>
        <v>0</v>
      </c>
      <c r="BA175" s="409">
        <f t="shared" si="203"/>
        <v>0</v>
      </c>
      <c r="BB175" s="409">
        <f t="shared" si="203"/>
        <v>0</v>
      </c>
      <c r="BC175" s="409">
        <f t="shared" si="203"/>
        <v>0</v>
      </c>
      <c r="BD175" s="409">
        <f t="shared" si="203"/>
        <v>0</v>
      </c>
      <c r="BE175" s="409">
        <f t="shared" si="203"/>
        <v>0</v>
      </c>
      <c r="BF175" s="409">
        <f t="shared" si="203"/>
        <v>0</v>
      </c>
      <c r="BG175" s="409">
        <f t="shared" si="204"/>
        <v>0</v>
      </c>
      <c r="BH175" s="409">
        <f t="shared" si="204"/>
        <v>0</v>
      </c>
      <c r="BI175" s="409">
        <f t="shared" si="204"/>
        <v>0</v>
      </c>
      <c r="BJ175" s="409">
        <f t="shared" si="204"/>
        <v>0</v>
      </c>
      <c r="BK175" s="409">
        <f t="shared" si="204"/>
        <v>0</v>
      </c>
      <c r="BL175" s="409">
        <f t="shared" si="204"/>
        <v>0</v>
      </c>
      <c r="BM175" s="409">
        <f t="shared" si="204"/>
        <v>0</v>
      </c>
      <c r="BN175" s="409">
        <f t="shared" si="204"/>
        <v>0</v>
      </c>
      <c r="BO175" s="409">
        <f t="shared" si="204"/>
        <v>0</v>
      </c>
      <c r="BP175" s="409">
        <f t="shared" si="204"/>
        <v>0</v>
      </c>
      <c r="BQ175" s="409">
        <f t="shared" si="205"/>
        <v>0</v>
      </c>
      <c r="BR175" s="409">
        <f t="shared" si="205"/>
        <v>0</v>
      </c>
      <c r="BS175" s="409">
        <f t="shared" si="205"/>
        <v>0</v>
      </c>
      <c r="BT175" s="409">
        <f t="shared" si="205"/>
        <v>0</v>
      </c>
      <c r="BU175" s="409">
        <f t="shared" si="205"/>
        <v>0</v>
      </c>
      <c r="BV175" s="409">
        <f t="shared" si="205"/>
        <v>0</v>
      </c>
      <c r="BW175" s="409">
        <f t="shared" si="205"/>
        <v>0</v>
      </c>
      <c r="BX175" s="409">
        <f t="shared" si="205"/>
        <v>0</v>
      </c>
      <c r="BY175" s="409">
        <f t="shared" si="205"/>
        <v>0</v>
      </c>
      <c r="BZ175" s="409">
        <f t="shared" si="205"/>
        <v>0</v>
      </c>
      <c r="CA175" s="409">
        <f t="shared" si="206"/>
        <v>0</v>
      </c>
      <c r="CB175" s="409">
        <f t="shared" si="206"/>
        <v>0</v>
      </c>
      <c r="CC175" s="409">
        <f t="shared" si="206"/>
        <v>0</v>
      </c>
      <c r="CD175" s="409">
        <f t="shared" si="206"/>
        <v>0</v>
      </c>
      <c r="CE175" s="409">
        <f t="shared" si="206"/>
        <v>0</v>
      </c>
      <c r="CF175" s="409">
        <f t="shared" si="206"/>
        <v>0</v>
      </c>
      <c r="CG175" s="409">
        <f t="shared" si="206"/>
        <v>0</v>
      </c>
      <c r="CH175" s="409">
        <f t="shared" si="206"/>
        <v>0</v>
      </c>
      <c r="CI175" s="409">
        <f t="shared" si="206"/>
        <v>0</v>
      </c>
      <c r="CJ175" s="409">
        <f t="shared" si="206"/>
        <v>0</v>
      </c>
      <c r="CK175" s="409">
        <f t="shared" si="207"/>
        <v>0</v>
      </c>
      <c r="CL175" s="409">
        <f t="shared" si="207"/>
        <v>0</v>
      </c>
      <c r="CM175" s="409">
        <f t="shared" si="207"/>
        <v>0</v>
      </c>
      <c r="CN175" s="409">
        <f t="shared" si="207"/>
        <v>0</v>
      </c>
      <c r="CO175" s="409">
        <f t="shared" si="207"/>
        <v>0</v>
      </c>
      <c r="CP175" s="409">
        <f t="shared" si="207"/>
        <v>0</v>
      </c>
      <c r="CQ175" s="409">
        <f t="shared" si="207"/>
        <v>0</v>
      </c>
      <c r="CR175" s="409">
        <f t="shared" si="207"/>
        <v>0</v>
      </c>
      <c r="CS175" s="409">
        <f t="shared" si="207"/>
        <v>0</v>
      </c>
      <c r="CT175" s="409">
        <f t="shared" si="207"/>
        <v>0</v>
      </c>
      <c r="CU175" s="409">
        <f t="shared" si="208"/>
        <v>0</v>
      </c>
      <c r="CV175" s="409">
        <f t="shared" si="208"/>
        <v>0</v>
      </c>
      <c r="CW175" s="409">
        <f t="shared" si="208"/>
        <v>0</v>
      </c>
      <c r="CX175" s="409">
        <f t="shared" si="208"/>
        <v>0</v>
      </c>
      <c r="CY175" s="409">
        <f t="shared" si="208"/>
        <v>0</v>
      </c>
      <c r="CZ175" s="409">
        <f t="shared" si="208"/>
        <v>0</v>
      </c>
      <c r="DA175" s="409">
        <f t="shared" si="208"/>
        <v>0</v>
      </c>
      <c r="DB175" s="409">
        <f t="shared" si="208"/>
        <v>0</v>
      </c>
      <c r="DC175" s="409">
        <f t="shared" si="208"/>
        <v>0</v>
      </c>
      <c r="DD175" s="409">
        <f t="shared" si="208"/>
        <v>0</v>
      </c>
      <c r="DE175" s="409">
        <f t="shared" si="209"/>
        <v>0</v>
      </c>
      <c r="DF175" s="409">
        <f t="shared" si="209"/>
        <v>0</v>
      </c>
      <c r="DG175" s="409">
        <f t="shared" si="209"/>
        <v>0</v>
      </c>
      <c r="DH175" s="409">
        <f t="shared" si="209"/>
        <v>0</v>
      </c>
      <c r="DI175" s="409">
        <f t="shared" si="209"/>
        <v>0</v>
      </c>
      <c r="DJ175" s="409">
        <f t="shared" si="209"/>
        <v>0</v>
      </c>
      <c r="DK175" s="409">
        <f t="shared" si="209"/>
        <v>0</v>
      </c>
      <c r="DL175" s="409">
        <f t="shared" si="209"/>
        <v>0</v>
      </c>
      <c r="DM175" s="409">
        <f t="shared" si="209"/>
        <v>0</v>
      </c>
      <c r="DN175" s="409">
        <f t="shared" si="209"/>
        <v>0</v>
      </c>
      <c r="DO175" s="409">
        <f t="shared" si="210"/>
        <v>0</v>
      </c>
      <c r="DP175" s="409">
        <f t="shared" si="210"/>
        <v>0</v>
      </c>
      <c r="DQ175" s="409">
        <f t="shared" si="210"/>
        <v>0</v>
      </c>
      <c r="DR175" s="409">
        <f t="shared" si="210"/>
        <v>0</v>
      </c>
      <c r="DS175" s="409">
        <f t="shared" si="210"/>
        <v>0</v>
      </c>
      <c r="DT175" s="409">
        <f t="shared" si="210"/>
        <v>0</v>
      </c>
      <c r="DU175" s="409">
        <f t="shared" si="210"/>
        <v>0</v>
      </c>
      <c r="DV175" s="409">
        <f t="shared" si="210"/>
        <v>0</v>
      </c>
      <c r="DW175" s="409">
        <f t="shared" si="210"/>
        <v>0</v>
      </c>
      <c r="DX175" s="409">
        <f t="shared" si="210"/>
        <v>0</v>
      </c>
      <c r="DY175" s="409">
        <f t="shared" si="211"/>
        <v>0</v>
      </c>
      <c r="DZ175" s="409">
        <f t="shared" si="211"/>
        <v>0</v>
      </c>
      <c r="EA175" s="409">
        <f t="shared" si="211"/>
        <v>0</v>
      </c>
      <c r="EB175" s="409">
        <f t="shared" si="211"/>
        <v>0</v>
      </c>
      <c r="EC175" s="409">
        <f t="shared" si="211"/>
        <v>0</v>
      </c>
      <c r="ED175" s="409">
        <f t="shared" si="211"/>
        <v>0</v>
      </c>
      <c r="EE175" s="409">
        <f t="shared" si="211"/>
        <v>0</v>
      </c>
      <c r="EF175" s="409">
        <f t="shared" si="211"/>
        <v>0</v>
      </c>
      <c r="EG175" s="409">
        <f t="shared" si="211"/>
        <v>0</v>
      </c>
      <c r="EH175" s="409">
        <f t="shared" si="211"/>
        <v>0</v>
      </c>
      <c r="EI175" s="409">
        <f t="shared" si="212"/>
        <v>0</v>
      </c>
      <c r="EJ175" s="409">
        <f t="shared" si="212"/>
        <v>0</v>
      </c>
      <c r="EK175" s="409">
        <f t="shared" si="212"/>
        <v>0</v>
      </c>
      <c r="EL175" s="409">
        <f t="shared" si="212"/>
        <v>0</v>
      </c>
      <c r="EM175" s="409">
        <f t="shared" si="212"/>
        <v>0</v>
      </c>
      <c r="EN175" s="409">
        <f t="shared" si="212"/>
        <v>0</v>
      </c>
      <c r="EO175" s="409">
        <f t="shared" si="212"/>
        <v>0</v>
      </c>
      <c r="EP175" s="409">
        <f t="shared" si="212"/>
        <v>0</v>
      </c>
      <c r="EQ175" s="409">
        <f t="shared" si="212"/>
        <v>0</v>
      </c>
      <c r="ER175" s="409">
        <f t="shared" si="212"/>
        <v>0</v>
      </c>
      <c r="ES175" s="409">
        <f t="shared" si="213"/>
        <v>0</v>
      </c>
      <c r="ET175" s="409">
        <f t="shared" si="213"/>
        <v>0</v>
      </c>
      <c r="EU175" s="409">
        <f t="shared" si="213"/>
        <v>0</v>
      </c>
      <c r="EV175" s="409">
        <f t="shared" si="213"/>
        <v>0</v>
      </c>
      <c r="EW175" s="409">
        <f t="shared" si="213"/>
        <v>0</v>
      </c>
      <c r="EX175" s="409">
        <f t="shared" si="213"/>
        <v>0</v>
      </c>
      <c r="EY175" s="409">
        <f t="shared" si="213"/>
        <v>0</v>
      </c>
      <c r="EZ175" s="409">
        <f t="shared" si="213"/>
        <v>0</v>
      </c>
      <c r="FA175" s="409">
        <f t="shared" si="213"/>
        <v>0</v>
      </c>
      <c r="FB175" s="409">
        <f t="shared" si="213"/>
        <v>0</v>
      </c>
      <c r="FC175" s="409">
        <f t="shared" si="214"/>
        <v>0</v>
      </c>
      <c r="FD175" s="409">
        <f t="shared" si="214"/>
        <v>0</v>
      </c>
      <c r="FE175" s="409">
        <f t="shared" si="214"/>
        <v>0</v>
      </c>
      <c r="FF175" s="409">
        <f t="shared" si="214"/>
        <v>0</v>
      </c>
      <c r="FG175" s="409">
        <f t="shared" si="214"/>
        <v>0</v>
      </c>
      <c r="FH175" s="409">
        <f t="shared" si="214"/>
        <v>0</v>
      </c>
      <c r="FI175" s="409">
        <f t="shared" si="214"/>
        <v>0</v>
      </c>
      <c r="FJ175" s="409">
        <f t="shared" si="214"/>
        <v>0</v>
      </c>
      <c r="FK175" s="409">
        <f t="shared" si="214"/>
        <v>0</v>
      </c>
      <c r="FL175" s="409">
        <f t="shared" si="214"/>
        <v>0</v>
      </c>
      <c r="FM175" s="409">
        <f t="shared" si="215"/>
        <v>0</v>
      </c>
      <c r="FN175" s="409">
        <f t="shared" si="215"/>
        <v>0</v>
      </c>
      <c r="FO175" s="409">
        <f t="shared" si="215"/>
        <v>0</v>
      </c>
      <c r="FP175" s="409">
        <f t="shared" si="215"/>
        <v>0</v>
      </c>
      <c r="FQ175" s="409">
        <f t="shared" si="215"/>
        <v>0</v>
      </c>
      <c r="FR175" s="409">
        <f t="shared" si="215"/>
        <v>0</v>
      </c>
      <c r="FS175" s="409">
        <f t="shared" si="215"/>
        <v>0</v>
      </c>
      <c r="FT175" s="409">
        <f t="shared" si="215"/>
        <v>0</v>
      </c>
      <c r="FU175" s="409">
        <f t="shared" si="215"/>
        <v>0</v>
      </c>
      <c r="FV175" s="409">
        <f t="shared" si="215"/>
        <v>0</v>
      </c>
      <c r="FW175" s="409">
        <f t="shared" si="216"/>
        <v>0</v>
      </c>
      <c r="FX175" s="409">
        <f t="shared" si="216"/>
        <v>0</v>
      </c>
      <c r="FY175" s="409">
        <f t="shared" si="216"/>
        <v>0</v>
      </c>
      <c r="FZ175" s="409">
        <f t="shared" si="216"/>
        <v>0</v>
      </c>
      <c r="GA175" s="409">
        <f t="shared" si="216"/>
        <v>0</v>
      </c>
      <c r="GB175" s="409">
        <f t="shared" si="216"/>
        <v>0</v>
      </c>
      <c r="GC175" s="409">
        <f t="shared" si="216"/>
        <v>0</v>
      </c>
      <c r="GD175" s="409">
        <f t="shared" si="216"/>
        <v>0</v>
      </c>
      <c r="GE175" s="409">
        <f t="shared" si="216"/>
        <v>0</v>
      </c>
      <c r="GF175" s="409">
        <f t="shared" si="216"/>
        <v>0</v>
      </c>
      <c r="GG175" s="409">
        <f t="shared" si="217"/>
        <v>0</v>
      </c>
      <c r="GH175" s="409">
        <f t="shared" si="217"/>
        <v>0</v>
      </c>
      <c r="GI175" s="409">
        <f t="shared" si="217"/>
        <v>0</v>
      </c>
      <c r="GJ175" s="409">
        <f t="shared" si="217"/>
        <v>0</v>
      </c>
      <c r="GK175" s="409">
        <f t="shared" si="217"/>
        <v>0</v>
      </c>
      <c r="GL175" s="409">
        <f t="shared" si="217"/>
        <v>0</v>
      </c>
      <c r="GM175" s="409">
        <f t="shared" si="217"/>
        <v>0</v>
      </c>
      <c r="GN175" s="409">
        <f t="shared" si="217"/>
        <v>0</v>
      </c>
      <c r="GO175" s="409">
        <f t="shared" si="217"/>
        <v>0</v>
      </c>
      <c r="GP175" s="409">
        <f t="shared" si="217"/>
        <v>0</v>
      </c>
      <c r="GQ175" s="409">
        <f t="shared" si="218"/>
        <v>0</v>
      </c>
      <c r="GR175" s="409">
        <f t="shared" si="218"/>
        <v>0</v>
      </c>
      <c r="GS175" s="409">
        <f t="shared" si="218"/>
        <v>0</v>
      </c>
      <c r="GT175" s="409">
        <f t="shared" si="218"/>
        <v>0</v>
      </c>
      <c r="GU175" s="409">
        <f t="shared" si="218"/>
        <v>0</v>
      </c>
      <c r="GV175" s="409">
        <f t="shared" si="218"/>
        <v>0</v>
      </c>
      <c r="GW175" s="409">
        <f t="shared" si="218"/>
        <v>0</v>
      </c>
      <c r="GX175" s="409">
        <f t="shared" si="218"/>
        <v>0</v>
      </c>
      <c r="GY175" s="409">
        <f t="shared" si="218"/>
        <v>0</v>
      </c>
      <c r="GZ175" s="409">
        <f t="shared" si="218"/>
        <v>0</v>
      </c>
      <c r="HA175" s="409">
        <f t="shared" si="219"/>
        <v>0</v>
      </c>
      <c r="HB175" s="409">
        <f t="shared" si="219"/>
        <v>0</v>
      </c>
      <c r="HC175" s="409">
        <f t="shared" si="219"/>
        <v>0</v>
      </c>
      <c r="HD175" s="409">
        <f t="shared" si="219"/>
        <v>0</v>
      </c>
      <c r="HE175" s="409">
        <f t="shared" si="219"/>
        <v>0</v>
      </c>
      <c r="HF175" s="409">
        <f t="shared" si="219"/>
        <v>0</v>
      </c>
      <c r="HG175" s="409">
        <f t="shared" si="219"/>
        <v>0</v>
      </c>
      <c r="HH175" s="409">
        <f t="shared" si="219"/>
        <v>0</v>
      </c>
      <c r="HI175" s="409">
        <f t="shared" si="219"/>
        <v>0</v>
      </c>
      <c r="HJ175" s="409">
        <f t="shared" si="219"/>
        <v>0</v>
      </c>
      <c r="HK175" s="409">
        <f t="shared" si="220"/>
        <v>0</v>
      </c>
      <c r="HL175" s="409">
        <f t="shared" si="220"/>
        <v>0</v>
      </c>
      <c r="HM175" s="409">
        <f t="shared" si="220"/>
        <v>0</v>
      </c>
      <c r="HN175" s="409">
        <f t="shared" si="220"/>
        <v>0</v>
      </c>
      <c r="HO175" s="409">
        <f t="shared" si="220"/>
        <v>0</v>
      </c>
      <c r="HP175" s="409">
        <f t="shared" si="220"/>
        <v>0</v>
      </c>
      <c r="HQ175" s="409">
        <f t="shared" si="220"/>
        <v>0</v>
      </c>
      <c r="HR175" s="409">
        <f t="shared" si="220"/>
        <v>0</v>
      </c>
      <c r="HS175" s="409">
        <f t="shared" si="220"/>
        <v>0</v>
      </c>
      <c r="HT175" s="409">
        <f t="shared" si="220"/>
        <v>0</v>
      </c>
      <c r="HU175" s="409">
        <f t="shared" si="221"/>
        <v>0</v>
      </c>
      <c r="HV175" s="409">
        <f t="shared" si="221"/>
        <v>0</v>
      </c>
      <c r="HW175" s="409">
        <f t="shared" si="221"/>
        <v>0</v>
      </c>
      <c r="HX175" s="409">
        <f t="shared" si="221"/>
        <v>0</v>
      </c>
      <c r="HY175" s="409">
        <f t="shared" si="221"/>
        <v>0</v>
      </c>
      <c r="HZ175" s="409">
        <f t="shared" si="221"/>
        <v>0</v>
      </c>
      <c r="IA175" s="409">
        <f t="shared" si="221"/>
        <v>0</v>
      </c>
      <c r="IB175" s="409">
        <f t="shared" si="221"/>
        <v>0</v>
      </c>
      <c r="IC175" s="409">
        <f t="shared" si="221"/>
        <v>0</v>
      </c>
      <c r="ID175" s="409">
        <f t="shared" si="221"/>
        <v>0</v>
      </c>
      <c r="IE175" s="409">
        <f t="shared" si="222"/>
        <v>0</v>
      </c>
      <c r="IF175" s="409">
        <f t="shared" si="222"/>
        <v>0</v>
      </c>
      <c r="IG175" s="409">
        <f t="shared" si="222"/>
        <v>0</v>
      </c>
      <c r="IH175" s="409">
        <f t="shared" si="222"/>
        <v>0</v>
      </c>
      <c r="II175" s="409">
        <f t="shared" si="222"/>
        <v>0</v>
      </c>
      <c r="IJ175" s="409">
        <f t="shared" si="222"/>
        <v>0</v>
      </c>
      <c r="IK175" s="378"/>
    </row>
    <row r="176" spans="1:245" hidden="1" x14ac:dyDescent="0.2">
      <c r="A176" s="380" t="str">
        <f t="shared" si="243"/>
        <v>e</v>
      </c>
      <c r="B176" s="712" t="str">
        <f>IF(ISERROR(INDEX('Legend(DX)'!$H$11:$H$12,19)),"",INDEX('Legend(DX)'!$H$11:$H$12,19))</f>
        <v/>
      </c>
      <c r="C176" s="712" t="e">
        <f>IF(INDEX('Legend(DX)'!$T$11:$T$12,19)=0,"See Legend",INDEX('Legend(DX)'!$T$11:$T$12,19))</f>
        <v>#REF!</v>
      </c>
      <c r="D176" s="712" t="e">
        <f>IF(INDEX('Legend(DX)'!$R$11:$R$12,(ROW(C176))-137)=0,IF(AND(INDEX('Legend(DX)'!$D$11:$D$12,(ROW(C176))-136)="CH",INDEX('Legend(DX)'!$F$11:$F$12,(ROW(C176))-136)="CASE - MANUAL"),INDEX('Legend(DX)'!$R$11:$R$12,(ROW(C176))-136),IF(INDEX('Legend(DX)'!$V$11:$V$12,(ROW(C176))-137)&gt;1, "(" &amp; INDEX('Legend(DX)'!$V$11:$V$12,(ROW(C176))-137) &amp; ") " &amp; INDEX('Legend(DX)'!$W$11:$W$12,(ROW(C176))-136),INDEX('Legend(DX)'!$W$11:$W$12,(ROW(C176))-137))),INDEX('Legend(DX)'!$R$11:$R$12,(ROW(C176))-137))</f>
        <v>#REF!</v>
      </c>
      <c r="E176" s="713" t="str">
        <f>IF(ISERROR(INDEX('Legend(DX)'!$AA$11:$AA$12,19)),"",INDEX('Legend(DX)'!$AA$11:$AA$12,19))</f>
        <v/>
      </c>
      <c r="F176" s="715"/>
      <c r="G176" s="715"/>
      <c r="H176" s="715"/>
      <c r="I176" s="715"/>
      <c r="J176" s="715"/>
      <c r="K176" s="890">
        <f t="shared" si="223"/>
        <v>0</v>
      </c>
      <c r="L176" s="718"/>
      <c r="M176" s="723"/>
      <c r="N176" s="972">
        <f t="shared" si="196"/>
        <v>-1</v>
      </c>
      <c r="O176" s="972">
        <f t="shared" si="244"/>
        <v>-1</v>
      </c>
      <c r="P176" s="972">
        <f t="shared" si="197"/>
        <v>-1</v>
      </c>
      <c r="Q176" s="972">
        <f t="shared" si="245"/>
        <v>-1</v>
      </c>
      <c r="R176" s="972">
        <f t="shared" si="198"/>
        <v>-1</v>
      </c>
      <c r="S176" s="972">
        <f t="shared" si="246"/>
        <v>-1</v>
      </c>
      <c r="T176" s="972">
        <f t="shared" si="199"/>
        <v>-1</v>
      </c>
      <c r="U176" s="972">
        <f t="shared" si="247"/>
        <v>-1</v>
      </c>
      <c r="V176" s="972">
        <f t="shared" si="200"/>
        <v>-1</v>
      </c>
      <c r="W176" s="972">
        <f t="shared" si="248"/>
        <v>-1</v>
      </c>
      <c r="X176" s="972">
        <f t="shared" si="201"/>
        <v>-1</v>
      </c>
      <c r="Y176" s="972">
        <f t="shared" si="229"/>
        <v>-1</v>
      </c>
      <c r="Z176" s="972">
        <f t="shared" si="230"/>
        <v>-1</v>
      </c>
      <c r="AA176" s="972">
        <f t="shared" si="231"/>
        <v>-1</v>
      </c>
      <c r="AB176" s="972">
        <f t="shared" si="232"/>
        <v>-1</v>
      </c>
      <c r="AC176" s="972">
        <f t="shared" si="233"/>
        <v>-1</v>
      </c>
      <c r="AD176" s="972">
        <f t="shared" si="234"/>
        <v>-1</v>
      </c>
      <c r="AE176" s="972">
        <f t="shared" si="235"/>
        <v>-1</v>
      </c>
      <c r="AF176" s="972">
        <f t="shared" si="236"/>
        <v>-1</v>
      </c>
      <c r="AG176" s="972">
        <f t="shared" si="237"/>
        <v>-1</v>
      </c>
      <c r="AH176" s="972">
        <f t="shared" si="238"/>
        <v>-1</v>
      </c>
      <c r="AI176" s="972">
        <f t="shared" si="239"/>
        <v>-1</v>
      </c>
      <c r="AJ176" s="972">
        <f t="shared" si="240"/>
        <v>-1</v>
      </c>
      <c r="AK176" s="381"/>
      <c r="AL176" s="727" t="str">
        <f t="shared" si="249"/>
        <v/>
      </c>
      <c r="AM176" s="409">
        <f t="shared" si="202"/>
        <v>0</v>
      </c>
      <c r="AN176" s="409">
        <f t="shared" si="202"/>
        <v>0</v>
      </c>
      <c r="AO176" s="409">
        <f t="shared" si="202"/>
        <v>0</v>
      </c>
      <c r="AP176" s="409">
        <f t="shared" si="202"/>
        <v>0</v>
      </c>
      <c r="AQ176" s="409">
        <f t="shared" si="202"/>
        <v>0</v>
      </c>
      <c r="AR176" s="409">
        <f t="shared" si="202"/>
        <v>0</v>
      </c>
      <c r="AS176" s="409">
        <f t="shared" si="202"/>
        <v>0</v>
      </c>
      <c r="AT176" s="409">
        <f t="shared" si="202"/>
        <v>0</v>
      </c>
      <c r="AU176" s="409">
        <f t="shared" si="202"/>
        <v>0</v>
      </c>
      <c r="AV176" s="409">
        <f t="shared" si="202"/>
        <v>0</v>
      </c>
      <c r="AW176" s="409">
        <f t="shared" si="203"/>
        <v>0</v>
      </c>
      <c r="AX176" s="409">
        <f t="shared" si="203"/>
        <v>0</v>
      </c>
      <c r="AY176" s="409">
        <f t="shared" si="203"/>
        <v>0</v>
      </c>
      <c r="AZ176" s="409">
        <f t="shared" si="203"/>
        <v>0</v>
      </c>
      <c r="BA176" s="409">
        <f t="shared" si="203"/>
        <v>0</v>
      </c>
      <c r="BB176" s="409">
        <f t="shared" si="203"/>
        <v>0</v>
      </c>
      <c r="BC176" s="409">
        <f t="shared" si="203"/>
        <v>0</v>
      </c>
      <c r="BD176" s="409">
        <f t="shared" si="203"/>
        <v>0</v>
      </c>
      <c r="BE176" s="409">
        <f t="shared" si="203"/>
        <v>0</v>
      </c>
      <c r="BF176" s="409">
        <f t="shared" si="203"/>
        <v>0</v>
      </c>
      <c r="BG176" s="409">
        <f t="shared" si="204"/>
        <v>0</v>
      </c>
      <c r="BH176" s="409">
        <f t="shared" si="204"/>
        <v>0</v>
      </c>
      <c r="BI176" s="409">
        <f t="shared" si="204"/>
        <v>0</v>
      </c>
      <c r="BJ176" s="409">
        <f t="shared" si="204"/>
        <v>0</v>
      </c>
      <c r="BK176" s="409">
        <f t="shared" si="204"/>
        <v>0</v>
      </c>
      <c r="BL176" s="409">
        <f t="shared" si="204"/>
        <v>0</v>
      </c>
      <c r="BM176" s="409">
        <f t="shared" si="204"/>
        <v>0</v>
      </c>
      <c r="BN176" s="409">
        <f t="shared" si="204"/>
        <v>0</v>
      </c>
      <c r="BO176" s="409">
        <f t="shared" si="204"/>
        <v>0</v>
      </c>
      <c r="BP176" s="409">
        <f t="shared" si="204"/>
        <v>0</v>
      </c>
      <c r="BQ176" s="409">
        <f t="shared" si="205"/>
        <v>0</v>
      </c>
      <c r="BR176" s="409">
        <f t="shared" si="205"/>
        <v>0</v>
      </c>
      <c r="BS176" s="409">
        <f t="shared" si="205"/>
        <v>0</v>
      </c>
      <c r="BT176" s="409">
        <f t="shared" si="205"/>
        <v>0</v>
      </c>
      <c r="BU176" s="409">
        <f t="shared" si="205"/>
        <v>0</v>
      </c>
      <c r="BV176" s="409">
        <f t="shared" si="205"/>
        <v>0</v>
      </c>
      <c r="BW176" s="409">
        <f t="shared" si="205"/>
        <v>0</v>
      </c>
      <c r="BX176" s="409">
        <f t="shared" si="205"/>
        <v>0</v>
      </c>
      <c r="BY176" s="409">
        <f t="shared" si="205"/>
        <v>0</v>
      </c>
      <c r="BZ176" s="409">
        <f t="shared" si="205"/>
        <v>0</v>
      </c>
      <c r="CA176" s="409">
        <f t="shared" si="206"/>
        <v>0</v>
      </c>
      <c r="CB176" s="409">
        <f t="shared" si="206"/>
        <v>0</v>
      </c>
      <c r="CC176" s="409">
        <f t="shared" si="206"/>
        <v>0</v>
      </c>
      <c r="CD176" s="409">
        <f t="shared" si="206"/>
        <v>0</v>
      </c>
      <c r="CE176" s="409">
        <f t="shared" si="206"/>
        <v>0</v>
      </c>
      <c r="CF176" s="409">
        <f t="shared" si="206"/>
        <v>0</v>
      </c>
      <c r="CG176" s="409">
        <f t="shared" si="206"/>
        <v>0</v>
      </c>
      <c r="CH176" s="409">
        <f t="shared" si="206"/>
        <v>0</v>
      </c>
      <c r="CI176" s="409">
        <f t="shared" si="206"/>
        <v>0</v>
      </c>
      <c r="CJ176" s="409">
        <f t="shared" si="206"/>
        <v>0</v>
      </c>
      <c r="CK176" s="409">
        <f t="shared" si="207"/>
        <v>0</v>
      </c>
      <c r="CL176" s="409">
        <f t="shared" si="207"/>
        <v>0</v>
      </c>
      <c r="CM176" s="409">
        <f t="shared" si="207"/>
        <v>0</v>
      </c>
      <c r="CN176" s="409">
        <f t="shared" si="207"/>
        <v>0</v>
      </c>
      <c r="CO176" s="409">
        <f t="shared" si="207"/>
        <v>0</v>
      </c>
      <c r="CP176" s="409">
        <f t="shared" si="207"/>
        <v>0</v>
      </c>
      <c r="CQ176" s="409">
        <f t="shared" si="207"/>
        <v>0</v>
      </c>
      <c r="CR176" s="409">
        <f t="shared" si="207"/>
        <v>0</v>
      </c>
      <c r="CS176" s="409">
        <f t="shared" si="207"/>
        <v>0</v>
      </c>
      <c r="CT176" s="409">
        <f t="shared" si="207"/>
        <v>0</v>
      </c>
      <c r="CU176" s="409">
        <f t="shared" si="208"/>
        <v>0</v>
      </c>
      <c r="CV176" s="409">
        <f t="shared" si="208"/>
        <v>0</v>
      </c>
      <c r="CW176" s="409">
        <f t="shared" si="208"/>
        <v>0</v>
      </c>
      <c r="CX176" s="409">
        <f t="shared" si="208"/>
        <v>0</v>
      </c>
      <c r="CY176" s="409">
        <f t="shared" si="208"/>
        <v>0</v>
      </c>
      <c r="CZ176" s="409">
        <f t="shared" si="208"/>
        <v>0</v>
      </c>
      <c r="DA176" s="409">
        <f t="shared" si="208"/>
        <v>0</v>
      </c>
      <c r="DB176" s="409">
        <f t="shared" si="208"/>
        <v>0</v>
      </c>
      <c r="DC176" s="409">
        <f t="shared" si="208"/>
        <v>0</v>
      </c>
      <c r="DD176" s="409">
        <f t="shared" si="208"/>
        <v>0</v>
      </c>
      <c r="DE176" s="409">
        <f t="shared" si="209"/>
        <v>0</v>
      </c>
      <c r="DF176" s="409">
        <f t="shared" si="209"/>
        <v>0</v>
      </c>
      <c r="DG176" s="409">
        <f t="shared" si="209"/>
        <v>0</v>
      </c>
      <c r="DH176" s="409">
        <f t="shared" si="209"/>
        <v>0</v>
      </c>
      <c r="DI176" s="409">
        <f t="shared" si="209"/>
        <v>0</v>
      </c>
      <c r="DJ176" s="409">
        <f t="shared" si="209"/>
        <v>0</v>
      </c>
      <c r="DK176" s="409">
        <f t="shared" si="209"/>
        <v>0</v>
      </c>
      <c r="DL176" s="409">
        <f t="shared" si="209"/>
        <v>0</v>
      </c>
      <c r="DM176" s="409">
        <f t="shared" si="209"/>
        <v>0</v>
      </c>
      <c r="DN176" s="409">
        <f t="shared" si="209"/>
        <v>0</v>
      </c>
      <c r="DO176" s="409">
        <f t="shared" si="210"/>
        <v>0</v>
      </c>
      <c r="DP176" s="409">
        <f t="shared" si="210"/>
        <v>0</v>
      </c>
      <c r="DQ176" s="409">
        <f t="shared" si="210"/>
        <v>0</v>
      </c>
      <c r="DR176" s="409">
        <f t="shared" si="210"/>
        <v>0</v>
      </c>
      <c r="DS176" s="409">
        <f t="shared" si="210"/>
        <v>0</v>
      </c>
      <c r="DT176" s="409">
        <f t="shared" si="210"/>
        <v>0</v>
      </c>
      <c r="DU176" s="409">
        <f t="shared" si="210"/>
        <v>0</v>
      </c>
      <c r="DV176" s="409">
        <f t="shared" si="210"/>
        <v>0</v>
      </c>
      <c r="DW176" s="409">
        <f t="shared" si="210"/>
        <v>0</v>
      </c>
      <c r="DX176" s="409">
        <f t="shared" si="210"/>
        <v>0</v>
      </c>
      <c r="DY176" s="409">
        <f t="shared" si="211"/>
        <v>0</v>
      </c>
      <c r="DZ176" s="409">
        <f t="shared" si="211"/>
        <v>0</v>
      </c>
      <c r="EA176" s="409">
        <f t="shared" si="211"/>
        <v>0</v>
      </c>
      <c r="EB176" s="409">
        <f t="shared" si="211"/>
        <v>0</v>
      </c>
      <c r="EC176" s="409">
        <f t="shared" si="211"/>
        <v>0</v>
      </c>
      <c r="ED176" s="409">
        <f t="shared" si="211"/>
        <v>0</v>
      </c>
      <c r="EE176" s="409">
        <f t="shared" si="211"/>
        <v>0</v>
      </c>
      <c r="EF176" s="409">
        <f t="shared" si="211"/>
        <v>0</v>
      </c>
      <c r="EG176" s="409">
        <f t="shared" si="211"/>
        <v>0</v>
      </c>
      <c r="EH176" s="409">
        <f t="shared" si="211"/>
        <v>0</v>
      </c>
      <c r="EI176" s="409">
        <f t="shared" si="212"/>
        <v>0</v>
      </c>
      <c r="EJ176" s="409">
        <f t="shared" si="212"/>
        <v>0</v>
      </c>
      <c r="EK176" s="409">
        <f t="shared" si="212"/>
        <v>0</v>
      </c>
      <c r="EL176" s="409">
        <f t="shared" si="212"/>
        <v>0</v>
      </c>
      <c r="EM176" s="409">
        <f t="shared" si="212"/>
        <v>0</v>
      </c>
      <c r="EN176" s="409">
        <f t="shared" si="212"/>
        <v>0</v>
      </c>
      <c r="EO176" s="409">
        <f t="shared" si="212"/>
        <v>0</v>
      </c>
      <c r="EP176" s="409">
        <f t="shared" si="212"/>
        <v>0</v>
      </c>
      <c r="EQ176" s="409">
        <f t="shared" si="212"/>
        <v>0</v>
      </c>
      <c r="ER176" s="409">
        <f t="shared" si="212"/>
        <v>0</v>
      </c>
      <c r="ES176" s="409">
        <f t="shared" si="213"/>
        <v>0</v>
      </c>
      <c r="ET176" s="409">
        <f t="shared" si="213"/>
        <v>0</v>
      </c>
      <c r="EU176" s="409">
        <f t="shared" si="213"/>
        <v>0</v>
      </c>
      <c r="EV176" s="409">
        <f t="shared" si="213"/>
        <v>0</v>
      </c>
      <c r="EW176" s="409">
        <f t="shared" si="213"/>
        <v>0</v>
      </c>
      <c r="EX176" s="409">
        <f t="shared" si="213"/>
        <v>0</v>
      </c>
      <c r="EY176" s="409">
        <f t="shared" si="213"/>
        <v>0</v>
      </c>
      <c r="EZ176" s="409">
        <f t="shared" si="213"/>
        <v>0</v>
      </c>
      <c r="FA176" s="409">
        <f t="shared" si="213"/>
        <v>0</v>
      </c>
      <c r="FB176" s="409">
        <f t="shared" si="213"/>
        <v>0</v>
      </c>
      <c r="FC176" s="409">
        <f t="shared" si="214"/>
        <v>0</v>
      </c>
      <c r="FD176" s="409">
        <f t="shared" si="214"/>
        <v>0</v>
      </c>
      <c r="FE176" s="409">
        <f t="shared" si="214"/>
        <v>0</v>
      </c>
      <c r="FF176" s="409">
        <f t="shared" si="214"/>
        <v>0</v>
      </c>
      <c r="FG176" s="409">
        <f t="shared" si="214"/>
        <v>0</v>
      </c>
      <c r="FH176" s="409">
        <f t="shared" si="214"/>
        <v>0</v>
      </c>
      <c r="FI176" s="409">
        <f t="shared" si="214"/>
        <v>0</v>
      </c>
      <c r="FJ176" s="409">
        <f t="shared" si="214"/>
        <v>0</v>
      </c>
      <c r="FK176" s="409">
        <f t="shared" si="214"/>
        <v>0</v>
      </c>
      <c r="FL176" s="409">
        <f t="shared" si="214"/>
        <v>0</v>
      </c>
      <c r="FM176" s="409">
        <f t="shared" si="215"/>
        <v>0</v>
      </c>
      <c r="FN176" s="409">
        <f t="shared" si="215"/>
        <v>0</v>
      </c>
      <c r="FO176" s="409">
        <f t="shared" si="215"/>
        <v>0</v>
      </c>
      <c r="FP176" s="409">
        <f t="shared" si="215"/>
        <v>0</v>
      </c>
      <c r="FQ176" s="409">
        <f t="shared" si="215"/>
        <v>0</v>
      </c>
      <c r="FR176" s="409">
        <f t="shared" si="215"/>
        <v>0</v>
      </c>
      <c r="FS176" s="409">
        <f t="shared" si="215"/>
        <v>0</v>
      </c>
      <c r="FT176" s="409">
        <f t="shared" si="215"/>
        <v>0</v>
      </c>
      <c r="FU176" s="409">
        <f t="shared" si="215"/>
        <v>0</v>
      </c>
      <c r="FV176" s="409">
        <f t="shared" si="215"/>
        <v>0</v>
      </c>
      <c r="FW176" s="409">
        <f t="shared" si="216"/>
        <v>0</v>
      </c>
      <c r="FX176" s="409">
        <f t="shared" si="216"/>
        <v>0</v>
      </c>
      <c r="FY176" s="409">
        <f t="shared" si="216"/>
        <v>0</v>
      </c>
      <c r="FZ176" s="409">
        <f t="shared" si="216"/>
        <v>0</v>
      </c>
      <c r="GA176" s="409">
        <f t="shared" si="216"/>
        <v>0</v>
      </c>
      <c r="GB176" s="409">
        <f t="shared" si="216"/>
        <v>0</v>
      </c>
      <c r="GC176" s="409">
        <f t="shared" si="216"/>
        <v>0</v>
      </c>
      <c r="GD176" s="409">
        <f t="shared" si="216"/>
        <v>0</v>
      </c>
      <c r="GE176" s="409">
        <f t="shared" si="216"/>
        <v>0</v>
      </c>
      <c r="GF176" s="409">
        <f t="shared" si="216"/>
        <v>0</v>
      </c>
      <c r="GG176" s="409">
        <f t="shared" si="217"/>
        <v>0</v>
      </c>
      <c r="GH176" s="409">
        <f t="shared" si="217"/>
        <v>0</v>
      </c>
      <c r="GI176" s="409">
        <f t="shared" si="217"/>
        <v>0</v>
      </c>
      <c r="GJ176" s="409">
        <f t="shared" si="217"/>
        <v>0</v>
      </c>
      <c r="GK176" s="409">
        <f t="shared" si="217"/>
        <v>0</v>
      </c>
      <c r="GL176" s="409">
        <f t="shared" si="217"/>
        <v>0</v>
      </c>
      <c r="GM176" s="409">
        <f t="shared" si="217"/>
        <v>0</v>
      </c>
      <c r="GN176" s="409">
        <f t="shared" si="217"/>
        <v>0</v>
      </c>
      <c r="GO176" s="409">
        <f t="shared" si="217"/>
        <v>0</v>
      </c>
      <c r="GP176" s="409">
        <f t="shared" si="217"/>
        <v>0</v>
      </c>
      <c r="GQ176" s="409">
        <f t="shared" si="218"/>
        <v>0</v>
      </c>
      <c r="GR176" s="409">
        <f t="shared" si="218"/>
        <v>0</v>
      </c>
      <c r="GS176" s="409">
        <f t="shared" si="218"/>
        <v>0</v>
      </c>
      <c r="GT176" s="409">
        <f t="shared" si="218"/>
        <v>0</v>
      </c>
      <c r="GU176" s="409">
        <f t="shared" si="218"/>
        <v>0</v>
      </c>
      <c r="GV176" s="409">
        <f t="shared" si="218"/>
        <v>0</v>
      </c>
      <c r="GW176" s="409">
        <f t="shared" si="218"/>
        <v>0</v>
      </c>
      <c r="GX176" s="409">
        <f t="shared" si="218"/>
        <v>0</v>
      </c>
      <c r="GY176" s="409">
        <f t="shared" si="218"/>
        <v>0</v>
      </c>
      <c r="GZ176" s="409">
        <f t="shared" si="218"/>
        <v>0</v>
      </c>
      <c r="HA176" s="409">
        <f t="shared" si="219"/>
        <v>0</v>
      </c>
      <c r="HB176" s="409">
        <f t="shared" si="219"/>
        <v>0</v>
      </c>
      <c r="HC176" s="409">
        <f t="shared" si="219"/>
        <v>0</v>
      </c>
      <c r="HD176" s="409">
        <f t="shared" si="219"/>
        <v>0</v>
      </c>
      <c r="HE176" s="409">
        <f t="shared" si="219"/>
        <v>0</v>
      </c>
      <c r="HF176" s="409">
        <f t="shared" si="219"/>
        <v>0</v>
      </c>
      <c r="HG176" s="409">
        <f t="shared" si="219"/>
        <v>0</v>
      </c>
      <c r="HH176" s="409">
        <f t="shared" si="219"/>
        <v>0</v>
      </c>
      <c r="HI176" s="409">
        <f t="shared" si="219"/>
        <v>0</v>
      </c>
      <c r="HJ176" s="409">
        <f t="shared" si="219"/>
        <v>0</v>
      </c>
      <c r="HK176" s="409">
        <f t="shared" si="220"/>
        <v>0</v>
      </c>
      <c r="HL176" s="409">
        <f t="shared" si="220"/>
        <v>0</v>
      </c>
      <c r="HM176" s="409">
        <f t="shared" si="220"/>
        <v>0</v>
      </c>
      <c r="HN176" s="409">
        <f t="shared" si="220"/>
        <v>0</v>
      </c>
      <c r="HO176" s="409">
        <f t="shared" si="220"/>
        <v>0</v>
      </c>
      <c r="HP176" s="409">
        <f t="shared" si="220"/>
        <v>0</v>
      </c>
      <c r="HQ176" s="409">
        <f t="shared" si="220"/>
        <v>0</v>
      </c>
      <c r="HR176" s="409">
        <f t="shared" si="220"/>
        <v>0</v>
      </c>
      <c r="HS176" s="409">
        <f t="shared" si="220"/>
        <v>0</v>
      </c>
      <c r="HT176" s="409">
        <f t="shared" si="220"/>
        <v>0</v>
      </c>
      <c r="HU176" s="409">
        <f t="shared" si="221"/>
        <v>0</v>
      </c>
      <c r="HV176" s="409">
        <f t="shared" si="221"/>
        <v>0</v>
      </c>
      <c r="HW176" s="409">
        <f t="shared" si="221"/>
        <v>0</v>
      </c>
      <c r="HX176" s="409">
        <f t="shared" si="221"/>
        <v>0</v>
      </c>
      <c r="HY176" s="409">
        <f t="shared" si="221"/>
        <v>0</v>
      </c>
      <c r="HZ176" s="409">
        <f t="shared" si="221"/>
        <v>0</v>
      </c>
      <c r="IA176" s="409">
        <f t="shared" si="221"/>
        <v>0</v>
      </c>
      <c r="IB176" s="409">
        <f t="shared" si="221"/>
        <v>0</v>
      </c>
      <c r="IC176" s="409">
        <f t="shared" si="221"/>
        <v>0</v>
      </c>
      <c r="ID176" s="409">
        <f t="shared" si="221"/>
        <v>0</v>
      </c>
      <c r="IE176" s="409">
        <f t="shared" si="222"/>
        <v>0</v>
      </c>
      <c r="IF176" s="409">
        <f t="shared" si="222"/>
        <v>0</v>
      </c>
      <c r="IG176" s="409">
        <f t="shared" si="222"/>
        <v>0</v>
      </c>
      <c r="IH176" s="409">
        <f t="shared" si="222"/>
        <v>0</v>
      </c>
      <c r="II176" s="409">
        <f t="shared" si="222"/>
        <v>0</v>
      </c>
      <c r="IJ176" s="409">
        <f t="shared" si="222"/>
        <v>0</v>
      </c>
      <c r="IK176" s="378"/>
    </row>
    <row r="177" spans="1:245" hidden="1" x14ac:dyDescent="0.2">
      <c r="A177" s="380" t="str">
        <f t="shared" si="243"/>
        <v>e</v>
      </c>
      <c r="B177" s="712" t="str">
        <f>IF(ISERROR(INDEX('Legend(DX)'!$H$11:$H$12,20)),"",INDEX('Legend(DX)'!$H$11:$H$12,20))</f>
        <v/>
      </c>
      <c r="C177" s="712" t="e">
        <f>IF(INDEX('Legend(DX)'!$T$11:$T$12,20)=0,"See Legend",INDEX('Legend(DX)'!$T$11:$T$12,20))</f>
        <v>#REF!</v>
      </c>
      <c r="D177" s="712" t="e">
        <f>IF(INDEX('Legend(DX)'!$R$11:$R$12,(ROW(C177))-137)=0,IF(AND(INDEX('Legend(DX)'!$D$11:$D$12,(ROW(C177))-136)="CH",INDEX('Legend(DX)'!$F$11:$F$12,(ROW(C177))-136)="CASE - MANUAL"),INDEX('Legend(DX)'!$R$11:$R$12,(ROW(C177))-136),IF(INDEX('Legend(DX)'!$V$11:$V$12,(ROW(C177))-137)&gt;1, "(" &amp; INDEX('Legend(DX)'!$V$11:$V$12,(ROW(C177))-137) &amp; ") " &amp; INDEX('Legend(DX)'!$W$11:$W$12,(ROW(C177))-136),INDEX('Legend(DX)'!$W$11:$W$12,(ROW(C177))-137))),INDEX('Legend(DX)'!$R$11:$R$12,(ROW(C177))-137))</f>
        <v>#REF!</v>
      </c>
      <c r="E177" s="713" t="str">
        <f>IF(ISERROR(INDEX('Legend(DX)'!$AA$11:$AA$12,20)),"",INDEX('Legend(DX)'!$AA$11:$AA$12,20))</f>
        <v/>
      </c>
      <c r="F177" s="715"/>
      <c r="G177" s="715"/>
      <c r="H177" s="715"/>
      <c r="I177" s="715"/>
      <c r="J177" s="715"/>
      <c r="K177" s="890">
        <f t="shared" si="223"/>
        <v>0</v>
      </c>
      <c r="L177" s="718"/>
      <c r="M177" s="723"/>
      <c r="N177" s="972">
        <f t="shared" si="196"/>
        <v>-1</v>
      </c>
      <c r="O177" s="972">
        <f t="shared" si="244"/>
        <v>-1</v>
      </c>
      <c r="P177" s="972">
        <f t="shared" si="197"/>
        <v>-1</v>
      </c>
      <c r="Q177" s="972">
        <f t="shared" si="245"/>
        <v>-1</v>
      </c>
      <c r="R177" s="972">
        <f t="shared" si="198"/>
        <v>-1</v>
      </c>
      <c r="S177" s="972">
        <f t="shared" si="246"/>
        <v>-1</v>
      </c>
      <c r="T177" s="972">
        <f t="shared" si="199"/>
        <v>-1</v>
      </c>
      <c r="U177" s="972">
        <f t="shared" si="247"/>
        <v>-1</v>
      </c>
      <c r="V177" s="972">
        <f t="shared" si="200"/>
        <v>-1</v>
      </c>
      <c r="W177" s="972">
        <f t="shared" si="248"/>
        <v>-1</v>
      </c>
      <c r="X177" s="972">
        <f t="shared" si="201"/>
        <v>-1</v>
      </c>
      <c r="Y177" s="972">
        <f t="shared" si="229"/>
        <v>-1</v>
      </c>
      <c r="Z177" s="972">
        <f t="shared" si="230"/>
        <v>-1</v>
      </c>
      <c r="AA177" s="972">
        <f t="shared" si="231"/>
        <v>-1</v>
      </c>
      <c r="AB177" s="972">
        <f t="shared" si="232"/>
        <v>-1</v>
      </c>
      <c r="AC177" s="972">
        <f t="shared" si="233"/>
        <v>-1</v>
      </c>
      <c r="AD177" s="972">
        <f t="shared" si="234"/>
        <v>-1</v>
      </c>
      <c r="AE177" s="972">
        <f t="shared" si="235"/>
        <v>-1</v>
      </c>
      <c r="AF177" s="972">
        <f t="shared" si="236"/>
        <v>-1</v>
      </c>
      <c r="AG177" s="972">
        <f t="shared" si="237"/>
        <v>-1</v>
      </c>
      <c r="AH177" s="972">
        <f t="shared" si="238"/>
        <v>-1</v>
      </c>
      <c r="AI177" s="972">
        <f t="shared" si="239"/>
        <v>-1</v>
      </c>
      <c r="AJ177" s="972">
        <f t="shared" si="240"/>
        <v>-1</v>
      </c>
      <c r="AK177" s="381"/>
      <c r="AL177" s="727" t="str">
        <f t="shared" si="249"/>
        <v/>
      </c>
      <c r="AM177" s="409">
        <f t="shared" si="202"/>
        <v>0</v>
      </c>
      <c r="AN177" s="409">
        <f t="shared" si="202"/>
        <v>0</v>
      </c>
      <c r="AO177" s="409">
        <f t="shared" si="202"/>
        <v>0</v>
      </c>
      <c r="AP177" s="409">
        <f t="shared" si="202"/>
        <v>0</v>
      </c>
      <c r="AQ177" s="409">
        <f t="shared" si="202"/>
        <v>0</v>
      </c>
      <c r="AR177" s="409">
        <f t="shared" ref="AM177:AV181" si="250">IF(ISNA(AR$7),"",IF(OR(AND(AR$7&lt;=$N177,AR$7&gt;$N177-TIME(0,TimeIncr,0)),AND(AR$7&lt;=$P177,AR$7&gt;$P177-TIME(0,TimeIncr,0)),AND(AR$7&lt;=$R177,AR$7&gt;$R177-TIME(0,TimeIncr,0)),AND(AR$7&lt;=$T177,AR$7&gt;$T177-TIME(0,TimeIncr,0)),AND(AR$7&lt;=$V177,AR$7&gt;$V177-TIME(0,TimeIncr,0)),AND(AR$7&lt;=$X177,AR$7&gt;$X177-TIME(0,TimeIncr,0))),$E177*$L177,IF(OR(AND(AR$7&gt;=$M177,AR$7&lt;=$N177),AND(AR$7&gt;=$O177,AR$7&lt;=$P177),AND(AR$7&gt;=$Q177,AR$7&lt;=$R177),AND(AR$7&gt;=$S177,AR$7&lt;=$T177),AND(AR$7&gt;=$U177,AR$7&lt;=$V177),AND(AR$7&gt;=$W177,AR$7&lt;=$X177)),0,IF(OR(AND($M177&gt;$N177,AR$7&lt;=$N177),AND($O177&gt;$P177,AR$7&lt;=$P177),AND($Q177&gt;$R177,AR$7&lt;=$R177),AND($S177&gt;$T177,AR$7&lt;=$T177),AND($U177&gt;$V177,AR$7&lt;=$V177),AND($W177&gt;$X177,AR$7&lt;=$X177)),0,IF(OR(AND(AR$7&gt;=$M177,$M177&gt;$N177),AND(AR$7&gt;=$O177,$O177&gt;$P177),AND(AR$7&gt;=$Q177,$Q177&gt;$R177),AND(AR$7&gt;=$S177,$S177&gt;$T177),AND(AR$7&gt;=$U177,$U177&gt;$V177),AND(AR$7&gt;=$W177,$W177&gt;$X177)),0,$E177)))))</f>
        <v>0</v>
      </c>
      <c r="AS177" s="409">
        <f t="shared" si="250"/>
        <v>0</v>
      </c>
      <c r="AT177" s="409">
        <f t="shared" si="250"/>
        <v>0</v>
      </c>
      <c r="AU177" s="409">
        <f t="shared" si="250"/>
        <v>0</v>
      </c>
      <c r="AV177" s="409">
        <f t="shared" si="250"/>
        <v>0</v>
      </c>
      <c r="AW177" s="409">
        <f t="shared" si="203"/>
        <v>0</v>
      </c>
      <c r="AX177" s="409">
        <f t="shared" si="203"/>
        <v>0</v>
      </c>
      <c r="AY177" s="409">
        <f t="shared" si="203"/>
        <v>0</v>
      </c>
      <c r="AZ177" s="409">
        <f t="shared" si="203"/>
        <v>0</v>
      </c>
      <c r="BA177" s="409">
        <f t="shared" si="203"/>
        <v>0</v>
      </c>
      <c r="BB177" s="409">
        <f t="shared" ref="AW177:BF181" si="251">IF(ISNA(BB$7),"",IF(OR(AND(BB$7&lt;=$N177,BB$7&gt;$N177-TIME(0,TimeIncr,0)),AND(BB$7&lt;=$P177,BB$7&gt;$P177-TIME(0,TimeIncr,0)),AND(BB$7&lt;=$R177,BB$7&gt;$R177-TIME(0,TimeIncr,0)),AND(BB$7&lt;=$T177,BB$7&gt;$T177-TIME(0,TimeIncr,0)),AND(BB$7&lt;=$V177,BB$7&gt;$V177-TIME(0,TimeIncr,0)),AND(BB$7&lt;=$X177,BB$7&gt;$X177-TIME(0,TimeIncr,0))),$E177*$L177,IF(OR(AND(BB$7&gt;=$M177,BB$7&lt;=$N177),AND(BB$7&gt;=$O177,BB$7&lt;=$P177),AND(BB$7&gt;=$Q177,BB$7&lt;=$R177),AND(BB$7&gt;=$S177,BB$7&lt;=$T177),AND(BB$7&gt;=$U177,BB$7&lt;=$V177),AND(BB$7&gt;=$W177,BB$7&lt;=$X177)),0,IF(OR(AND($M177&gt;$N177,BB$7&lt;=$N177),AND($O177&gt;$P177,BB$7&lt;=$P177),AND($Q177&gt;$R177,BB$7&lt;=$R177),AND($S177&gt;$T177,BB$7&lt;=$T177),AND($U177&gt;$V177,BB$7&lt;=$V177),AND($W177&gt;$X177,BB$7&lt;=$X177)),0,IF(OR(AND(BB$7&gt;=$M177,$M177&gt;$N177),AND(BB$7&gt;=$O177,$O177&gt;$P177),AND(BB$7&gt;=$Q177,$Q177&gt;$R177),AND(BB$7&gt;=$S177,$S177&gt;$T177),AND(BB$7&gt;=$U177,$U177&gt;$V177),AND(BB$7&gt;=$W177,$W177&gt;$X177)),0,$E177)))))</f>
        <v>0</v>
      </c>
      <c r="BC177" s="409">
        <f t="shared" si="251"/>
        <v>0</v>
      </c>
      <c r="BD177" s="409">
        <f t="shared" si="251"/>
        <v>0</v>
      </c>
      <c r="BE177" s="409">
        <f t="shared" si="251"/>
        <v>0</v>
      </c>
      <c r="BF177" s="409">
        <f t="shared" si="251"/>
        <v>0</v>
      </c>
      <c r="BG177" s="409">
        <f t="shared" si="204"/>
        <v>0</v>
      </c>
      <c r="BH177" s="409">
        <f t="shared" si="204"/>
        <v>0</v>
      </c>
      <c r="BI177" s="409">
        <f t="shared" si="204"/>
        <v>0</v>
      </c>
      <c r="BJ177" s="409">
        <f t="shared" si="204"/>
        <v>0</v>
      </c>
      <c r="BK177" s="409">
        <f t="shared" si="204"/>
        <v>0</v>
      </c>
      <c r="BL177" s="409">
        <f t="shared" ref="BG177:BP181" si="252">IF(ISNA(BL$7),"",IF(OR(AND(BL$7&lt;=$N177,BL$7&gt;$N177-TIME(0,TimeIncr,0)),AND(BL$7&lt;=$P177,BL$7&gt;$P177-TIME(0,TimeIncr,0)),AND(BL$7&lt;=$R177,BL$7&gt;$R177-TIME(0,TimeIncr,0)),AND(BL$7&lt;=$T177,BL$7&gt;$T177-TIME(0,TimeIncr,0)),AND(BL$7&lt;=$V177,BL$7&gt;$V177-TIME(0,TimeIncr,0)),AND(BL$7&lt;=$X177,BL$7&gt;$X177-TIME(0,TimeIncr,0))),$E177*$L177,IF(OR(AND(BL$7&gt;=$M177,BL$7&lt;=$N177),AND(BL$7&gt;=$O177,BL$7&lt;=$P177),AND(BL$7&gt;=$Q177,BL$7&lt;=$R177),AND(BL$7&gt;=$S177,BL$7&lt;=$T177),AND(BL$7&gt;=$U177,BL$7&lt;=$V177),AND(BL$7&gt;=$W177,BL$7&lt;=$X177)),0,IF(OR(AND($M177&gt;$N177,BL$7&lt;=$N177),AND($O177&gt;$P177,BL$7&lt;=$P177),AND($Q177&gt;$R177,BL$7&lt;=$R177),AND($S177&gt;$T177,BL$7&lt;=$T177),AND($U177&gt;$V177,BL$7&lt;=$V177),AND($W177&gt;$X177,BL$7&lt;=$X177)),0,IF(OR(AND(BL$7&gt;=$M177,$M177&gt;$N177),AND(BL$7&gt;=$O177,$O177&gt;$P177),AND(BL$7&gt;=$Q177,$Q177&gt;$R177),AND(BL$7&gt;=$S177,$S177&gt;$T177),AND(BL$7&gt;=$U177,$U177&gt;$V177),AND(BL$7&gt;=$W177,$W177&gt;$X177)),0,$E177)))))</f>
        <v>0</v>
      </c>
      <c r="BM177" s="409">
        <f t="shared" si="252"/>
        <v>0</v>
      </c>
      <c r="BN177" s="409">
        <f t="shared" si="252"/>
        <v>0</v>
      </c>
      <c r="BO177" s="409">
        <f t="shared" si="252"/>
        <v>0</v>
      </c>
      <c r="BP177" s="409">
        <f t="shared" si="252"/>
        <v>0</v>
      </c>
      <c r="BQ177" s="409">
        <f t="shared" si="205"/>
        <v>0</v>
      </c>
      <c r="BR177" s="409">
        <f t="shared" si="205"/>
        <v>0</v>
      </c>
      <c r="BS177" s="409">
        <f t="shared" si="205"/>
        <v>0</v>
      </c>
      <c r="BT177" s="409">
        <f t="shared" si="205"/>
        <v>0</v>
      </c>
      <c r="BU177" s="409">
        <f t="shared" si="205"/>
        <v>0</v>
      </c>
      <c r="BV177" s="409">
        <f t="shared" ref="BQ177:BZ181" si="253">IF(ISNA(BV$7),"",IF(OR(AND(BV$7&lt;=$N177,BV$7&gt;$N177-TIME(0,TimeIncr,0)),AND(BV$7&lt;=$P177,BV$7&gt;$P177-TIME(0,TimeIncr,0)),AND(BV$7&lt;=$R177,BV$7&gt;$R177-TIME(0,TimeIncr,0)),AND(BV$7&lt;=$T177,BV$7&gt;$T177-TIME(0,TimeIncr,0)),AND(BV$7&lt;=$V177,BV$7&gt;$V177-TIME(0,TimeIncr,0)),AND(BV$7&lt;=$X177,BV$7&gt;$X177-TIME(0,TimeIncr,0))),$E177*$L177,IF(OR(AND(BV$7&gt;=$M177,BV$7&lt;=$N177),AND(BV$7&gt;=$O177,BV$7&lt;=$P177),AND(BV$7&gt;=$Q177,BV$7&lt;=$R177),AND(BV$7&gt;=$S177,BV$7&lt;=$T177),AND(BV$7&gt;=$U177,BV$7&lt;=$V177),AND(BV$7&gt;=$W177,BV$7&lt;=$X177)),0,IF(OR(AND($M177&gt;$N177,BV$7&lt;=$N177),AND($O177&gt;$P177,BV$7&lt;=$P177),AND($Q177&gt;$R177,BV$7&lt;=$R177),AND($S177&gt;$T177,BV$7&lt;=$T177),AND($U177&gt;$V177,BV$7&lt;=$V177),AND($W177&gt;$X177,BV$7&lt;=$X177)),0,IF(OR(AND(BV$7&gt;=$M177,$M177&gt;$N177),AND(BV$7&gt;=$O177,$O177&gt;$P177),AND(BV$7&gt;=$Q177,$Q177&gt;$R177),AND(BV$7&gt;=$S177,$S177&gt;$T177),AND(BV$7&gt;=$U177,$U177&gt;$V177),AND(BV$7&gt;=$W177,$W177&gt;$X177)),0,$E177)))))</f>
        <v>0</v>
      </c>
      <c r="BW177" s="409">
        <f t="shared" si="253"/>
        <v>0</v>
      </c>
      <c r="BX177" s="409">
        <f t="shared" si="253"/>
        <v>0</v>
      </c>
      <c r="BY177" s="409">
        <f t="shared" si="253"/>
        <v>0</v>
      </c>
      <c r="BZ177" s="409">
        <f t="shared" si="253"/>
        <v>0</v>
      </c>
      <c r="CA177" s="409">
        <f t="shared" si="206"/>
        <v>0</v>
      </c>
      <c r="CB177" s="409">
        <f t="shared" si="206"/>
        <v>0</v>
      </c>
      <c r="CC177" s="409">
        <f t="shared" si="206"/>
        <v>0</v>
      </c>
      <c r="CD177" s="409">
        <f t="shared" si="206"/>
        <v>0</v>
      </c>
      <c r="CE177" s="409">
        <f t="shared" si="206"/>
        <v>0</v>
      </c>
      <c r="CF177" s="409">
        <f t="shared" ref="CA177:CJ181" si="254">IF(ISNA(CF$7),"",IF(OR(AND(CF$7&lt;=$N177,CF$7&gt;$N177-TIME(0,TimeIncr,0)),AND(CF$7&lt;=$P177,CF$7&gt;$P177-TIME(0,TimeIncr,0)),AND(CF$7&lt;=$R177,CF$7&gt;$R177-TIME(0,TimeIncr,0)),AND(CF$7&lt;=$T177,CF$7&gt;$T177-TIME(0,TimeIncr,0)),AND(CF$7&lt;=$V177,CF$7&gt;$V177-TIME(0,TimeIncr,0)),AND(CF$7&lt;=$X177,CF$7&gt;$X177-TIME(0,TimeIncr,0))),$E177*$L177,IF(OR(AND(CF$7&gt;=$M177,CF$7&lt;=$N177),AND(CF$7&gt;=$O177,CF$7&lt;=$P177),AND(CF$7&gt;=$Q177,CF$7&lt;=$R177),AND(CF$7&gt;=$S177,CF$7&lt;=$T177),AND(CF$7&gt;=$U177,CF$7&lt;=$V177),AND(CF$7&gt;=$W177,CF$7&lt;=$X177)),0,IF(OR(AND($M177&gt;$N177,CF$7&lt;=$N177),AND($O177&gt;$P177,CF$7&lt;=$P177),AND($Q177&gt;$R177,CF$7&lt;=$R177),AND($S177&gt;$T177,CF$7&lt;=$T177),AND($U177&gt;$V177,CF$7&lt;=$V177),AND($W177&gt;$X177,CF$7&lt;=$X177)),0,IF(OR(AND(CF$7&gt;=$M177,$M177&gt;$N177),AND(CF$7&gt;=$O177,$O177&gt;$P177),AND(CF$7&gt;=$Q177,$Q177&gt;$R177),AND(CF$7&gt;=$S177,$S177&gt;$T177),AND(CF$7&gt;=$U177,$U177&gt;$V177),AND(CF$7&gt;=$W177,$W177&gt;$X177)),0,$E177)))))</f>
        <v>0</v>
      </c>
      <c r="CG177" s="409">
        <f t="shared" si="254"/>
        <v>0</v>
      </c>
      <c r="CH177" s="409">
        <f t="shared" si="254"/>
        <v>0</v>
      </c>
      <c r="CI177" s="409">
        <f t="shared" si="254"/>
        <v>0</v>
      </c>
      <c r="CJ177" s="409">
        <f t="shared" si="254"/>
        <v>0</v>
      </c>
      <c r="CK177" s="409">
        <f t="shared" si="207"/>
        <v>0</v>
      </c>
      <c r="CL177" s="409">
        <f t="shared" si="207"/>
        <v>0</v>
      </c>
      <c r="CM177" s="409">
        <f t="shared" si="207"/>
        <v>0</v>
      </c>
      <c r="CN177" s="409">
        <f t="shared" si="207"/>
        <v>0</v>
      </c>
      <c r="CO177" s="409">
        <f t="shared" si="207"/>
        <v>0</v>
      </c>
      <c r="CP177" s="409">
        <f t="shared" ref="CK177:CT181" si="255">IF(ISNA(CP$7),"",IF(OR(AND(CP$7&lt;=$N177,CP$7&gt;$N177-TIME(0,TimeIncr,0)),AND(CP$7&lt;=$P177,CP$7&gt;$P177-TIME(0,TimeIncr,0)),AND(CP$7&lt;=$R177,CP$7&gt;$R177-TIME(0,TimeIncr,0)),AND(CP$7&lt;=$T177,CP$7&gt;$T177-TIME(0,TimeIncr,0)),AND(CP$7&lt;=$V177,CP$7&gt;$V177-TIME(0,TimeIncr,0)),AND(CP$7&lt;=$X177,CP$7&gt;$X177-TIME(0,TimeIncr,0))),$E177*$L177,IF(OR(AND(CP$7&gt;=$M177,CP$7&lt;=$N177),AND(CP$7&gt;=$O177,CP$7&lt;=$P177),AND(CP$7&gt;=$Q177,CP$7&lt;=$R177),AND(CP$7&gt;=$S177,CP$7&lt;=$T177),AND(CP$7&gt;=$U177,CP$7&lt;=$V177),AND(CP$7&gt;=$W177,CP$7&lt;=$X177)),0,IF(OR(AND($M177&gt;$N177,CP$7&lt;=$N177),AND($O177&gt;$P177,CP$7&lt;=$P177),AND($Q177&gt;$R177,CP$7&lt;=$R177),AND($S177&gt;$T177,CP$7&lt;=$T177),AND($U177&gt;$V177,CP$7&lt;=$V177),AND($W177&gt;$X177,CP$7&lt;=$X177)),0,IF(OR(AND(CP$7&gt;=$M177,$M177&gt;$N177),AND(CP$7&gt;=$O177,$O177&gt;$P177),AND(CP$7&gt;=$Q177,$Q177&gt;$R177),AND(CP$7&gt;=$S177,$S177&gt;$T177),AND(CP$7&gt;=$U177,$U177&gt;$V177),AND(CP$7&gt;=$W177,$W177&gt;$X177)),0,$E177)))))</f>
        <v>0</v>
      </c>
      <c r="CQ177" s="409">
        <f t="shared" si="255"/>
        <v>0</v>
      </c>
      <c r="CR177" s="409">
        <f t="shared" si="255"/>
        <v>0</v>
      </c>
      <c r="CS177" s="409">
        <f t="shared" si="255"/>
        <v>0</v>
      </c>
      <c r="CT177" s="409">
        <f t="shared" si="255"/>
        <v>0</v>
      </c>
      <c r="CU177" s="409">
        <f t="shared" si="208"/>
        <v>0</v>
      </c>
      <c r="CV177" s="409">
        <f t="shared" si="208"/>
        <v>0</v>
      </c>
      <c r="CW177" s="409">
        <f t="shared" si="208"/>
        <v>0</v>
      </c>
      <c r="CX177" s="409">
        <f t="shared" si="208"/>
        <v>0</v>
      </c>
      <c r="CY177" s="409">
        <f t="shared" si="208"/>
        <v>0</v>
      </c>
      <c r="CZ177" s="409">
        <f t="shared" ref="CU177:DD181" si="256">IF(ISNA(CZ$7),"",IF(OR(AND(CZ$7&lt;=$N177,CZ$7&gt;$N177-TIME(0,TimeIncr,0)),AND(CZ$7&lt;=$P177,CZ$7&gt;$P177-TIME(0,TimeIncr,0)),AND(CZ$7&lt;=$R177,CZ$7&gt;$R177-TIME(0,TimeIncr,0)),AND(CZ$7&lt;=$T177,CZ$7&gt;$T177-TIME(0,TimeIncr,0)),AND(CZ$7&lt;=$V177,CZ$7&gt;$V177-TIME(0,TimeIncr,0)),AND(CZ$7&lt;=$X177,CZ$7&gt;$X177-TIME(0,TimeIncr,0))),$E177*$L177,IF(OR(AND(CZ$7&gt;=$M177,CZ$7&lt;=$N177),AND(CZ$7&gt;=$O177,CZ$7&lt;=$P177),AND(CZ$7&gt;=$Q177,CZ$7&lt;=$R177),AND(CZ$7&gt;=$S177,CZ$7&lt;=$T177),AND(CZ$7&gt;=$U177,CZ$7&lt;=$V177),AND(CZ$7&gt;=$W177,CZ$7&lt;=$X177)),0,IF(OR(AND($M177&gt;$N177,CZ$7&lt;=$N177),AND($O177&gt;$P177,CZ$7&lt;=$P177),AND($Q177&gt;$R177,CZ$7&lt;=$R177),AND($S177&gt;$T177,CZ$7&lt;=$T177),AND($U177&gt;$V177,CZ$7&lt;=$V177),AND($W177&gt;$X177,CZ$7&lt;=$X177)),0,IF(OR(AND(CZ$7&gt;=$M177,$M177&gt;$N177),AND(CZ$7&gt;=$O177,$O177&gt;$P177),AND(CZ$7&gt;=$Q177,$Q177&gt;$R177),AND(CZ$7&gt;=$S177,$S177&gt;$T177),AND(CZ$7&gt;=$U177,$U177&gt;$V177),AND(CZ$7&gt;=$W177,$W177&gt;$X177)),0,$E177)))))</f>
        <v>0</v>
      </c>
      <c r="DA177" s="409">
        <f t="shared" si="256"/>
        <v>0</v>
      </c>
      <c r="DB177" s="409">
        <f t="shared" si="256"/>
        <v>0</v>
      </c>
      <c r="DC177" s="409">
        <f t="shared" si="256"/>
        <v>0</v>
      </c>
      <c r="DD177" s="409">
        <f t="shared" si="256"/>
        <v>0</v>
      </c>
      <c r="DE177" s="409">
        <f t="shared" si="209"/>
        <v>0</v>
      </c>
      <c r="DF177" s="409">
        <f t="shared" si="209"/>
        <v>0</v>
      </c>
      <c r="DG177" s="409">
        <f t="shared" si="209"/>
        <v>0</v>
      </c>
      <c r="DH177" s="409">
        <f t="shared" si="209"/>
        <v>0</v>
      </c>
      <c r="DI177" s="409">
        <f t="shared" si="209"/>
        <v>0</v>
      </c>
      <c r="DJ177" s="409">
        <f t="shared" ref="DE177:DN181" si="257">IF(ISNA(DJ$7),"",IF(OR(AND(DJ$7&lt;=$N177,DJ$7&gt;$N177-TIME(0,TimeIncr,0)),AND(DJ$7&lt;=$P177,DJ$7&gt;$P177-TIME(0,TimeIncr,0)),AND(DJ$7&lt;=$R177,DJ$7&gt;$R177-TIME(0,TimeIncr,0)),AND(DJ$7&lt;=$T177,DJ$7&gt;$T177-TIME(0,TimeIncr,0)),AND(DJ$7&lt;=$V177,DJ$7&gt;$V177-TIME(0,TimeIncr,0)),AND(DJ$7&lt;=$X177,DJ$7&gt;$X177-TIME(0,TimeIncr,0))),$E177*$L177,IF(OR(AND(DJ$7&gt;=$M177,DJ$7&lt;=$N177),AND(DJ$7&gt;=$O177,DJ$7&lt;=$P177),AND(DJ$7&gt;=$Q177,DJ$7&lt;=$R177),AND(DJ$7&gt;=$S177,DJ$7&lt;=$T177),AND(DJ$7&gt;=$U177,DJ$7&lt;=$V177),AND(DJ$7&gt;=$W177,DJ$7&lt;=$X177)),0,IF(OR(AND($M177&gt;$N177,DJ$7&lt;=$N177),AND($O177&gt;$P177,DJ$7&lt;=$P177),AND($Q177&gt;$R177,DJ$7&lt;=$R177),AND($S177&gt;$T177,DJ$7&lt;=$T177),AND($U177&gt;$V177,DJ$7&lt;=$V177),AND($W177&gt;$X177,DJ$7&lt;=$X177)),0,IF(OR(AND(DJ$7&gt;=$M177,$M177&gt;$N177),AND(DJ$7&gt;=$O177,$O177&gt;$P177),AND(DJ$7&gt;=$Q177,$Q177&gt;$R177),AND(DJ$7&gt;=$S177,$S177&gt;$T177),AND(DJ$7&gt;=$U177,$U177&gt;$V177),AND(DJ$7&gt;=$W177,$W177&gt;$X177)),0,$E177)))))</f>
        <v>0</v>
      </c>
      <c r="DK177" s="409">
        <f t="shared" si="257"/>
        <v>0</v>
      </c>
      <c r="DL177" s="409">
        <f t="shared" si="257"/>
        <v>0</v>
      </c>
      <c r="DM177" s="409">
        <f t="shared" si="257"/>
        <v>0</v>
      </c>
      <c r="DN177" s="409">
        <f t="shared" si="257"/>
        <v>0</v>
      </c>
      <c r="DO177" s="409">
        <f t="shared" si="210"/>
        <v>0</v>
      </c>
      <c r="DP177" s="409">
        <f t="shared" si="210"/>
        <v>0</v>
      </c>
      <c r="DQ177" s="409">
        <f t="shared" si="210"/>
        <v>0</v>
      </c>
      <c r="DR177" s="409">
        <f t="shared" si="210"/>
        <v>0</v>
      </c>
      <c r="DS177" s="409">
        <f t="shared" si="210"/>
        <v>0</v>
      </c>
      <c r="DT177" s="409">
        <f t="shared" ref="DO177:DX181" si="258">IF(ISNA(DT$7),"",IF(OR(AND(DT$7&lt;=$N177,DT$7&gt;$N177-TIME(0,TimeIncr,0)),AND(DT$7&lt;=$P177,DT$7&gt;$P177-TIME(0,TimeIncr,0)),AND(DT$7&lt;=$R177,DT$7&gt;$R177-TIME(0,TimeIncr,0)),AND(DT$7&lt;=$T177,DT$7&gt;$T177-TIME(0,TimeIncr,0)),AND(DT$7&lt;=$V177,DT$7&gt;$V177-TIME(0,TimeIncr,0)),AND(DT$7&lt;=$X177,DT$7&gt;$X177-TIME(0,TimeIncr,0))),$E177*$L177,IF(OR(AND(DT$7&gt;=$M177,DT$7&lt;=$N177),AND(DT$7&gt;=$O177,DT$7&lt;=$P177),AND(DT$7&gt;=$Q177,DT$7&lt;=$R177),AND(DT$7&gt;=$S177,DT$7&lt;=$T177),AND(DT$7&gt;=$U177,DT$7&lt;=$V177),AND(DT$7&gt;=$W177,DT$7&lt;=$X177)),0,IF(OR(AND($M177&gt;$N177,DT$7&lt;=$N177),AND($O177&gt;$P177,DT$7&lt;=$P177),AND($Q177&gt;$R177,DT$7&lt;=$R177),AND($S177&gt;$T177,DT$7&lt;=$T177),AND($U177&gt;$V177,DT$7&lt;=$V177),AND($W177&gt;$X177,DT$7&lt;=$X177)),0,IF(OR(AND(DT$7&gt;=$M177,$M177&gt;$N177),AND(DT$7&gt;=$O177,$O177&gt;$P177),AND(DT$7&gt;=$Q177,$Q177&gt;$R177),AND(DT$7&gt;=$S177,$S177&gt;$T177),AND(DT$7&gt;=$U177,$U177&gt;$V177),AND(DT$7&gt;=$W177,$W177&gt;$X177)),0,$E177)))))</f>
        <v>0</v>
      </c>
      <c r="DU177" s="409">
        <f t="shared" si="258"/>
        <v>0</v>
      </c>
      <c r="DV177" s="409">
        <f t="shared" si="258"/>
        <v>0</v>
      </c>
      <c r="DW177" s="409">
        <f t="shared" si="258"/>
        <v>0</v>
      </c>
      <c r="DX177" s="409">
        <f t="shared" si="258"/>
        <v>0</v>
      </c>
      <c r="DY177" s="409">
        <f t="shared" si="211"/>
        <v>0</v>
      </c>
      <c r="DZ177" s="409">
        <f t="shared" si="211"/>
        <v>0</v>
      </c>
      <c r="EA177" s="409">
        <f t="shared" si="211"/>
        <v>0</v>
      </c>
      <c r="EB177" s="409">
        <f t="shared" si="211"/>
        <v>0</v>
      </c>
      <c r="EC177" s="409">
        <f t="shared" si="211"/>
        <v>0</v>
      </c>
      <c r="ED177" s="409">
        <f t="shared" ref="DY177:EH181" si="259">IF(ISNA(ED$7),"",IF(OR(AND(ED$7&lt;=$N177,ED$7&gt;$N177-TIME(0,TimeIncr,0)),AND(ED$7&lt;=$P177,ED$7&gt;$P177-TIME(0,TimeIncr,0)),AND(ED$7&lt;=$R177,ED$7&gt;$R177-TIME(0,TimeIncr,0)),AND(ED$7&lt;=$T177,ED$7&gt;$T177-TIME(0,TimeIncr,0)),AND(ED$7&lt;=$V177,ED$7&gt;$V177-TIME(0,TimeIncr,0)),AND(ED$7&lt;=$X177,ED$7&gt;$X177-TIME(0,TimeIncr,0))),$E177*$L177,IF(OR(AND(ED$7&gt;=$M177,ED$7&lt;=$N177),AND(ED$7&gt;=$O177,ED$7&lt;=$P177),AND(ED$7&gt;=$Q177,ED$7&lt;=$R177),AND(ED$7&gt;=$S177,ED$7&lt;=$T177),AND(ED$7&gt;=$U177,ED$7&lt;=$V177),AND(ED$7&gt;=$W177,ED$7&lt;=$X177)),0,IF(OR(AND($M177&gt;$N177,ED$7&lt;=$N177),AND($O177&gt;$P177,ED$7&lt;=$P177),AND($Q177&gt;$R177,ED$7&lt;=$R177),AND($S177&gt;$T177,ED$7&lt;=$T177),AND($U177&gt;$V177,ED$7&lt;=$V177),AND($W177&gt;$X177,ED$7&lt;=$X177)),0,IF(OR(AND(ED$7&gt;=$M177,$M177&gt;$N177),AND(ED$7&gt;=$O177,$O177&gt;$P177),AND(ED$7&gt;=$Q177,$Q177&gt;$R177),AND(ED$7&gt;=$S177,$S177&gt;$T177),AND(ED$7&gt;=$U177,$U177&gt;$V177),AND(ED$7&gt;=$W177,$W177&gt;$X177)),0,$E177)))))</f>
        <v>0</v>
      </c>
      <c r="EE177" s="409">
        <f t="shared" si="259"/>
        <v>0</v>
      </c>
      <c r="EF177" s="409">
        <f t="shared" si="259"/>
        <v>0</v>
      </c>
      <c r="EG177" s="409">
        <f t="shared" si="259"/>
        <v>0</v>
      </c>
      <c r="EH177" s="409">
        <f t="shared" si="259"/>
        <v>0</v>
      </c>
      <c r="EI177" s="409">
        <f t="shared" si="212"/>
        <v>0</v>
      </c>
      <c r="EJ177" s="409">
        <f t="shared" si="212"/>
        <v>0</v>
      </c>
      <c r="EK177" s="409">
        <f t="shared" si="212"/>
        <v>0</v>
      </c>
      <c r="EL177" s="409">
        <f t="shared" si="212"/>
        <v>0</v>
      </c>
      <c r="EM177" s="409">
        <f t="shared" si="212"/>
        <v>0</v>
      </c>
      <c r="EN177" s="409">
        <f t="shared" ref="EI177:ER181" si="260">IF(ISNA(EN$7),"",IF(OR(AND(EN$7&lt;=$N177,EN$7&gt;$N177-TIME(0,TimeIncr,0)),AND(EN$7&lt;=$P177,EN$7&gt;$P177-TIME(0,TimeIncr,0)),AND(EN$7&lt;=$R177,EN$7&gt;$R177-TIME(0,TimeIncr,0)),AND(EN$7&lt;=$T177,EN$7&gt;$T177-TIME(0,TimeIncr,0)),AND(EN$7&lt;=$V177,EN$7&gt;$V177-TIME(0,TimeIncr,0)),AND(EN$7&lt;=$X177,EN$7&gt;$X177-TIME(0,TimeIncr,0))),$E177*$L177,IF(OR(AND(EN$7&gt;=$M177,EN$7&lt;=$N177),AND(EN$7&gt;=$O177,EN$7&lt;=$P177),AND(EN$7&gt;=$Q177,EN$7&lt;=$R177),AND(EN$7&gt;=$S177,EN$7&lt;=$T177),AND(EN$7&gt;=$U177,EN$7&lt;=$V177),AND(EN$7&gt;=$W177,EN$7&lt;=$X177)),0,IF(OR(AND($M177&gt;$N177,EN$7&lt;=$N177),AND($O177&gt;$P177,EN$7&lt;=$P177),AND($Q177&gt;$R177,EN$7&lt;=$R177),AND($S177&gt;$T177,EN$7&lt;=$T177),AND($U177&gt;$V177,EN$7&lt;=$V177),AND($W177&gt;$X177,EN$7&lt;=$X177)),0,IF(OR(AND(EN$7&gt;=$M177,$M177&gt;$N177),AND(EN$7&gt;=$O177,$O177&gt;$P177),AND(EN$7&gt;=$Q177,$Q177&gt;$R177),AND(EN$7&gt;=$S177,$S177&gt;$T177),AND(EN$7&gt;=$U177,$U177&gt;$V177),AND(EN$7&gt;=$W177,$W177&gt;$X177)),0,$E177)))))</f>
        <v>0</v>
      </c>
      <c r="EO177" s="409">
        <f t="shared" si="260"/>
        <v>0</v>
      </c>
      <c r="EP177" s="409">
        <f t="shared" si="260"/>
        <v>0</v>
      </c>
      <c r="EQ177" s="409">
        <f t="shared" si="260"/>
        <v>0</v>
      </c>
      <c r="ER177" s="409">
        <f t="shared" si="260"/>
        <v>0</v>
      </c>
      <c r="ES177" s="409">
        <f t="shared" si="213"/>
        <v>0</v>
      </c>
      <c r="ET177" s="409">
        <f t="shared" si="213"/>
        <v>0</v>
      </c>
      <c r="EU177" s="409">
        <f t="shared" si="213"/>
        <v>0</v>
      </c>
      <c r="EV177" s="409">
        <f t="shared" si="213"/>
        <v>0</v>
      </c>
      <c r="EW177" s="409">
        <f t="shared" si="213"/>
        <v>0</v>
      </c>
      <c r="EX177" s="409">
        <f t="shared" ref="ES177:FB181" si="261">IF(ISNA(EX$7),"",IF(OR(AND(EX$7&lt;=$N177,EX$7&gt;$N177-TIME(0,TimeIncr,0)),AND(EX$7&lt;=$P177,EX$7&gt;$P177-TIME(0,TimeIncr,0)),AND(EX$7&lt;=$R177,EX$7&gt;$R177-TIME(0,TimeIncr,0)),AND(EX$7&lt;=$T177,EX$7&gt;$T177-TIME(0,TimeIncr,0)),AND(EX$7&lt;=$V177,EX$7&gt;$V177-TIME(0,TimeIncr,0)),AND(EX$7&lt;=$X177,EX$7&gt;$X177-TIME(0,TimeIncr,0))),$E177*$L177,IF(OR(AND(EX$7&gt;=$M177,EX$7&lt;=$N177),AND(EX$7&gt;=$O177,EX$7&lt;=$P177),AND(EX$7&gt;=$Q177,EX$7&lt;=$R177),AND(EX$7&gt;=$S177,EX$7&lt;=$T177),AND(EX$7&gt;=$U177,EX$7&lt;=$V177),AND(EX$7&gt;=$W177,EX$7&lt;=$X177)),0,IF(OR(AND($M177&gt;$N177,EX$7&lt;=$N177),AND($O177&gt;$P177,EX$7&lt;=$P177),AND($Q177&gt;$R177,EX$7&lt;=$R177),AND($S177&gt;$T177,EX$7&lt;=$T177),AND($U177&gt;$V177,EX$7&lt;=$V177),AND($W177&gt;$X177,EX$7&lt;=$X177)),0,IF(OR(AND(EX$7&gt;=$M177,$M177&gt;$N177),AND(EX$7&gt;=$O177,$O177&gt;$P177),AND(EX$7&gt;=$Q177,$Q177&gt;$R177),AND(EX$7&gt;=$S177,$S177&gt;$T177),AND(EX$7&gt;=$U177,$U177&gt;$V177),AND(EX$7&gt;=$W177,$W177&gt;$X177)),0,$E177)))))</f>
        <v>0</v>
      </c>
      <c r="EY177" s="409">
        <f t="shared" si="261"/>
        <v>0</v>
      </c>
      <c r="EZ177" s="409">
        <f t="shared" si="261"/>
        <v>0</v>
      </c>
      <c r="FA177" s="409">
        <f t="shared" si="261"/>
        <v>0</v>
      </c>
      <c r="FB177" s="409">
        <f t="shared" si="261"/>
        <v>0</v>
      </c>
      <c r="FC177" s="409">
        <f t="shared" si="214"/>
        <v>0</v>
      </c>
      <c r="FD177" s="409">
        <f t="shared" si="214"/>
        <v>0</v>
      </c>
      <c r="FE177" s="409">
        <f t="shared" si="214"/>
        <v>0</v>
      </c>
      <c r="FF177" s="409">
        <f t="shared" si="214"/>
        <v>0</v>
      </c>
      <c r="FG177" s="409">
        <f t="shared" si="214"/>
        <v>0</v>
      </c>
      <c r="FH177" s="409">
        <f t="shared" ref="FC177:FL181" si="262">IF(ISNA(FH$7),"",IF(OR(AND(FH$7&lt;=$N177,FH$7&gt;$N177-TIME(0,TimeIncr,0)),AND(FH$7&lt;=$P177,FH$7&gt;$P177-TIME(0,TimeIncr,0)),AND(FH$7&lt;=$R177,FH$7&gt;$R177-TIME(0,TimeIncr,0)),AND(FH$7&lt;=$T177,FH$7&gt;$T177-TIME(0,TimeIncr,0)),AND(FH$7&lt;=$V177,FH$7&gt;$V177-TIME(0,TimeIncr,0)),AND(FH$7&lt;=$X177,FH$7&gt;$X177-TIME(0,TimeIncr,0))),$E177*$L177,IF(OR(AND(FH$7&gt;=$M177,FH$7&lt;=$N177),AND(FH$7&gt;=$O177,FH$7&lt;=$P177),AND(FH$7&gt;=$Q177,FH$7&lt;=$R177),AND(FH$7&gt;=$S177,FH$7&lt;=$T177),AND(FH$7&gt;=$U177,FH$7&lt;=$V177),AND(FH$7&gt;=$W177,FH$7&lt;=$X177)),0,IF(OR(AND($M177&gt;$N177,FH$7&lt;=$N177),AND($O177&gt;$P177,FH$7&lt;=$P177),AND($Q177&gt;$R177,FH$7&lt;=$R177),AND($S177&gt;$T177,FH$7&lt;=$T177),AND($U177&gt;$V177,FH$7&lt;=$V177),AND($W177&gt;$X177,FH$7&lt;=$X177)),0,IF(OR(AND(FH$7&gt;=$M177,$M177&gt;$N177),AND(FH$7&gt;=$O177,$O177&gt;$P177),AND(FH$7&gt;=$Q177,$Q177&gt;$R177),AND(FH$7&gt;=$S177,$S177&gt;$T177),AND(FH$7&gt;=$U177,$U177&gt;$V177),AND(FH$7&gt;=$W177,$W177&gt;$X177)),0,$E177)))))</f>
        <v>0</v>
      </c>
      <c r="FI177" s="409">
        <f t="shared" si="262"/>
        <v>0</v>
      </c>
      <c r="FJ177" s="409">
        <f t="shared" si="262"/>
        <v>0</v>
      </c>
      <c r="FK177" s="409">
        <f t="shared" si="262"/>
        <v>0</v>
      </c>
      <c r="FL177" s="409">
        <f t="shared" si="262"/>
        <v>0</v>
      </c>
      <c r="FM177" s="409">
        <f t="shared" si="215"/>
        <v>0</v>
      </c>
      <c r="FN177" s="409">
        <f t="shared" si="215"/>
        <v>0</v>
      </c>
      <c r="FO177" s="409">
        <f t="shared" si="215"/>
        <v>0</v>
      </c>
      <c r="FP177" s="409">
        <f t="shared" si="215"/>
        <v>0</v>
      </c>
      <c r="FQ177" s="409">
        <f t="shared" si="215"/>
        <v>0</v>
      </c>
      <c r="FR177" s="409">
        <f t="shared" ref="FM177:FV181" si="263">IF(ISNA(FR$7),"",IF(OR(AND(FR$7&lt;=$N177,FR$7&gt;$N177-TIME(0,TimeIncr,0)),AND(FR$7&lt;=$P177,FR$7&gt;$P177-TIME(0,TimeIncr,0)),AND(FR$7&lt;=$R177,FR$7&gt;$R177-TIME(0,TimeIncr,0)),AND(FR$7&lt;=$T177,FR$7&gt;$T177-TIME(0,TimeIncr,0)),AND(FR$7&lt;=$V177,FR$7&gt;$V177-TIME(0,TimeIncr,0)),AND(FR$7&lt;=$X177,FR$7&gt;$X177-TIME(0,TimeIncr,0))),$E177*$L177,IF(OR(AND(FR$7&gt;=$M177,FR$7&lt;=$N177),AND(FR$7&gt;=$O177,FR$7&lt;=$P177),AND(FR$7&gt;=$Q177,FR$7&lt;=$R177),AND(FR$7&gt;=$S177,FR$7&lt;=$T177),AND(FR$7&gt;=$U177,FR$7&lt;=$V177),AND(FR$7&gt;=$W177,FR$7&lt;=$X177)),0,IF(OR(AND($M177&gt;$N177,FR$7&lt;=$N177),AND($O177&gt;$P177,FR$7&lt;=$P177),AND($Q177&gt;$R177,FR$7&lt;=$R177),AND($S177&gt;$T177,FR$7&lt;=$T177),AND($U177&gt;$V177,FR$7&lt;=$V177),AND($W177&gt;$X177,FR$7&lt;=$X177)),0,IF(OR(AND(FR$7&gt;=$M177,$M177&gt;$N177),AND(FR$7&gt;=$O177,$O177&gt;$P177),AND(FR$7&gt;=$Q177,$Q177&gt;$R177),AND(FR$7&gt;=$S177,$S177&gt;$T177),AND(FR$7&gt;=$U177,$U177&gt;$V177),AND(FR$7&gt;=$W177,$W177&gt;$X177)),0,$E177)))))</f>
        <v>0</v>
      </c>
      <c r="FS177" s="409">
        <f t="shared" si="263"/>
        <v>0</v>
      </c>
      <c r="FT177" s="409">
        <f t="shared" si="263"/>
        <v>0</v>
      </c>
      <c r="FU177" s="409">
        <f t="shared" si="263"/>
        <v>0</v>
      </c>
      <c r="FV177" s="409">
        <f t="shared" si="263"/>
        <v>0</v>
      </c>
      <c r="FW177" s="409">
        <f t="shared" si="216"/>
        <v>0</v>
      </c>
      <c r="FX177" s="409">
        <f t="shared" si="216"/>
        <v>0</v>
      </c>
      <c r="FY177" s="409">
        <f t="shared" si="216"/>
        <v>0</v>
      </c>
      <c r="FZ177" s="409">
        <f t="shared" si="216"/>
        <v>0</v>
      </c>
      <c r="GA177" s="409">
        <f t="shared" si="216"/>
        <v>0</v>
      </c>
      <c r="GB177" s="409">
        <f t="shared" ref="FW177:GF181" si="264">IF(ISNA(GB$7),"",IF(OR(AND(GB$7&lt;=$N177,GB$7&gt;$N177-TIME(0,TimeIncr,0)),AND(GB$7&lt;=$P177,GB$7&gt;$P177-TIME(0,TimeIncr,0)),AND(GB$7&lt;=$R177,GB$7&gt;$R177-TIME(0,TimeIncr,0)),AND(GB$7&lt;=$T177,GB$7&gt;$T177-TIME(0,TimeIncr,0)),AND(GB$7&lt;=$V177,GB$7&gt;$V177-TIME(0,TimeIncr,0)),AND(GB$7&lt;=$X177,GB$7&gt;$X177-TIME(0,TimeIncr,0))),$E177*$L177,IF(OR(AND(GB$7&gt;=$M177,GB$7&lt;=$N177),AND(GB$7&gt;=$O177,GB$7&lt;=$P177),AND(GB$7&gt;=$Q177,GB$7&lt;=$R177),AND(GB$7&gt;=$S177,GB$7&lt;=$T177),AND(GB$7&gt;=$U177,GB$7&lt;=$V177),AND(GB$7&gt;=$W177,GB$7&lt;=$X177)),0,IF(OR(AND($M177&gt;$N177,GB$7&lt;=$N177),AND($O177&gt;$P177,GB$7&lt;=$P177),AND($Q177&gt;$R177,GB$7&lt;=$R177),AND($S177&gt;$T177,GB$7&lt;=$T177),AND($U177&gt;$V177,GB$7&lt;=$V177),AND($W177&gt;$X177,GB$7&lt;=$X177)),0,IF(OR(AND(GB$7&gt;=$M177,$M177&gt;$N177),AND(GB$7&gt;=$O177,$O177&gt;$P177),AND(GB$7&gt;=$Q177,$Q177&gt;$R177),AND(GB$7&gt;=$S177,$S177&gt;$T177),AND(GB$7&gt;=$U177,$U177&gt;$V177),AND(GB$7&gt;=$W177,$W177&gt;$X177)),0,$E177)))))</f>
        <v>0</v>
      </c>
      <c r="GC177" s="409">
        <f t="shared" si="264"/>
        <v>0</v>
      </c>
      <c r="GD177" s="409">
        <f t="shared" si="264"/>
        <v>0</v>
      </c>
      <c r="GE177" s="409">
        <f t="shared" si="264"/>
        <v>0</v>
      </c>
      <c r="GF177" s="409">
        <f t="shared" si="264"/>
        <v>0</v>
      </c>
      <c r="GG177" s="409">
        <f t="shared" si="217"/>
        <v>0</v>
      </c>
      <c r="GH177" s="409">
        <f t="shared" si="217"/>
        <v>0</v>
      </c>
      <c r="GI177" s="409">
        <f t="shared" si="217"/>
        <v>0</v>
      </c>
      <c r="GJ177" s="409">
        <f t="shared" si="217"/>
        <v>0</v>
      </c>
      <c r="GK177" s="409">
        <f t="shared" si="217"/>
        <v>0</v>
      </c>
      <c r="GL177" s="409">
        <f t="shared" ref="GG177:GP181" si="265">IF(ISNA(GL$7),"",IF(OR(AND(GL$7&lt;=$N177,GL$7&gt;$N177-TIME(0,TimeIncr,0)),AND(GL$7&lt;=$P177,GL$7&gt;$P177-TIME(0,TimeIncr,0)),AND(GL$7&lt;=$R177,GL$7&gt;$R177-TIME(0,TimeIncr,0)),AND(GL$7&lt;=$T177,GL$7&gt;$T177-TIME(0,TimeIncr,0)),AND(GL$7&lt;=$V177,GL$7&gt;$V177-TIME(0,TimeIncr,0)),AND(GL$7&lt;=$X177,GL$7&gt;$X177-TIME(0,TimeIncr,0))),$E177*$L177,IF(OR(AND(GL$7&gt;=$M177,GL$7&lt;=$N177),AND(GL$7&gt;=$O177,GL$7&lt;=$P177),AND(GL$7&gt;=$Q177,GL$7&lt;=$R177),AND(GL$7&gt;=$S177,GL$7&lt;=$T177),AND(GL$7&gt;=$U177,GL$7&lt;=$V177),AND(GL$7&gt;=$W177,GL$7&lt;=$X177)),0,IF(OR(AND($M177&gt;$N177,GL$7&lt;=$N177),AND($O177&gt;$P177,GL$7&lt;=$P177),AND($Q177&gt;$R177,GL$7&lt;=$R177),AND($S177&gt;$T177,GL$7&lt;=$T177),AND($U177&gt;$V177,GL$7&lt;=$V177),AND($W177&gt;$X177,GL$7&lt;=$X177)),0,IF(OR(AND(GL$7&gt;=$M177,$M177&gt;$N177),AND(GL$7&gt;=$O177,$O177&gt;$P177),AND(GL$7&gt;=$Q177,$Q177&gt;$R177),AND(GL$7&gt;=$S177,$S177&gt;$T177),AND(GL$7&gt;=$U177,$U177&gt;$V177),AND(GL$7&gt;=$W177,$W177&gt;$X177)),0,$E177)))))</f>
        <v>0</v>
      </c>
      <c r="GM177" s="409">
        <f t="shared" si="265"/>
        <v>0</v>
      </c>
      <c r="GN177" s="409">
        <f t="shared" si="265"/>
        <v>0</v>
      </c>
      <c r="GO177" s="409">
        <f t="shared" si="265"/>
        <v>0</v>
      </c>
      <c r="GP177" s="409">
        <f t="shared" si="265"/>
        <v>0</v>
      </c>
      <c r="GQ177" s="409">
        <f t="shared" si="218"/>
        <v>0</v>
      </c>
      <c r="GR177" s="409">
        <f t="shared" si="218"/>
        <v>0</v>
      </c>
      <c r="GS177" s="409">
        <f t="shared" si="218"/>
        <v>0</v>
      </c>
      <c r="GT177" s="409">
        <f t="shared" si="218"/>
        <v>0</v>
      </c>
      <c r="GU177" s="409">
        <f t="shared" si="218"/>
        <v>0</v>
      </c>
      <c r="GV177" s="409">
        <f t="shared" ref="GQ177:GZ181" si="266">IF(ISNA(GV$7),"",IF(OR(AND(GV$7&lt;=$N177,GV$7&gt;$N177-TIME(0,TimeIncr,0)),AND(GV$7&lt;=$P177,GV$7&gt;$P177-TIME(0,TimeIncr,0)),AND(GV$7&lt;=$R177,GV$7&gt;$R177-TIME(0,TimeIncr,0)),AND(GV$7&lt;=$T177,GV$7&gt;$T177-TIME(0,TimeIncr,0)),AND(GV$7&lt;=$V177,GV$7&gt;$V177-TIME(0,TimeIncr,0)),AND(GV$7&lt;=$X177,GV$7&gt;$X177-TIME(0,TimeIncr,0))),$E177*$L177,IF(OR(AND(GV$7&gt;=$M177,GV$7&lt;=$N177),AND(GV$7&gt;=$O177,GV$7&lt;=$P177),AND(GV$7&gt;=$Q177,GV$7&lt;=$R177),AND(GV$7&gt;=$S177,GV$7&lt;=$T177),AND(GV$7&gt;=$U177,GV$7&lt;=$V177),AND(GV$7&gt;=$W177,GV$7&lt;=$X177)),0,IF(OR(AND($M177&gt;$N177,GV$7&lt;=$N177),AND($O177&gt;$P177,GV$7&lt;=$P177),AND($Q177&gt;$R177,GV$7&lt;=$R177),AND($S177&gt;$T177,GV$7&lt;=$T177),AND($U177&gt;$V177,GV$7&lt;=$V177),AND($W177&gt;$X177,GV$7&lt;=$X177)),0,IF(OR(AND(GV$7&gt;=$M177,$M177&gt;$N177),AND(GV$7&gt;=$O177,$O177&gt;$P177),AND(GV$7&gt;=$Q177,$Q177&gt;$R177),AND(GV$7&gt;=$S177,$S177&gt;$T177),AND(GV$7&gt;=$U177,$U177&gt;$V177),AND(GV$7&gt;=$W177,$W177&gt;$X177)),0,$E177)))))</f>
        <v>0</v>
      </c>
      <c r="GW177" s="409">
        <f t="shared" si="266"/>
        <v>0</v>
      </c>
      <c r="GX177" s="409">
        <f t="shared" si="266"/>
        <v>0</v>
      </c>
      <c r="GY177" s="409">
        <f t="shared" si="266"/>
        <v>0</v>
      </c>
      <c r="GZ177" s="409">
        <f t="shared" si="266"/>
        <v>0</v>
      </c>
      <c r="HA177" s="409">
        <f t="shared" si="219"/>
        <v>0</v>
      </c>
      <c r="HB177" s="409">
        <f t="shared" si="219"/>
        <v>0</v>
      </c>
      <c r="HC177" s="409">
        <f t="shared" si="219"/>
        <v>0</v>
      </c>
      <c r="HD177" s="409">
        <f t="shared" si="219"/>
        <v>0</v>
      </c>
      <c r="HE177" s="409">
        <f t="shared" si="219"/>
        <v>0</v>
      </c>
      <c r="HF177" s="409">
        <f t="shared" ref="HA177:HJ181" si="267">IF(ISNA(HF$7),"",IF(OR(AND(HF$7&lt;=$N177,HF$7&gt;$N177-TIME(0,TimeIncr,0)),AND(HF$7&lt;=$P177,HF$7&gt;$P177-TIME(0,TimeIncr,0)),AND(HF$7&lt;=$R177,HF$7&gt;$R177-TIME(0,TimeIncr,0)),AND(HF$7&lt;=$T177,HF$7&gt;$T177-TIME(0,TimeIncr,0)),AND(HF$7&lt;=$V177,HF$7&gt;$V177-TIME(0,TimeIncr,0)),AND(HF$7&lt;=$X177,HF$7&gt;$X177-TIME(0,TimeIncr,0))),$E177*$L177,IF(OR(AND(HF$7&gt;=$M177,HF$7&lt;=$N177),AND(HF$7&gt;=$O177,HF$7&lt;=$P177),AND(HF$7&gt;=$Q177,HF$7&lt;=$R177),AND(HF$7&gt;=$S177,HF$7&lt;=$T177),AND(HF$7&gt;=$U177,HF$7&lt;=$V177),AND(HF$7&gt;=$W177,HF$7&lt;=$X177)),0,IF(OR(AND($M177&gt;$N177,HF$7&lt;=$N177),AND($O177&gt;$P177,HF$7&lt;=$P177),AND($Q177&gt;$R177,HF$7&lt;=$R177),AND($S177&gt;$T177,HF$7&lt;=$T177),AND($U177&gt;$V177,HF$7&lt;=$V177),AND($W177&gt;$X177,HF$7&lt;=$X177)),0,IF(OR(AND(HF$7&gt;=$M177,$M177&gt;$N177),AND(HF$7&gt;=$O177,$O177&gt;$P177),AND(HF$7&gt;=$Q177,$Q177&gt;$R177),AND(HF$7&gt;=$S177,$S177&gt;$T177),AND(HF$7&gt;=$U177,$U177&gt;$V177),AND(HF$7&gt;=$W177,$W177&gt;$X177)),0,$E177)))))</f>
        <v>0</v>
      </c>
      <c r="HG177" s="409">
        <f t="shared" si="267"/>
        <v>0</v>
      </c>
      <c r="HH177" s="409">
        <f t="shared" si="267"/>
        <v>0</v>
      </c>
      <c r="HI177" s="409">
        <f t="shared" si="267"/>
        <v>0</v>
      </c>
      <c r="HJ177" s="409">
        <f t="shared" si="267"/>
        <v>0</v>
      </c>
      <c r="HK177" s="409">
        <f t="shared" si="220"/>
        <v>0</v>
      </c>
      <c r="HL177" s="409">
        <f t="shared" si="220"/>
        <v>0</v>
      </c>
      <c r="HM177" s="409">
        <f t="shared" si="220"/>
        <v>0</v>
      </c>
      <c r="HN177" s="409">
        <f t="shared" si="220"/>
        <v>0</v>
      </c>
      <c r="HO177" s="409">
        <f t="shared" si="220"/>
        <v>0</v>
      </c>
      <c r="HP177" s="409">
        <f t="shared" ref="HK177:HT181" si="268">IF(ISNA(HP$7),"",IF(OR(AND(HP$7&lt;=$N177,HP$7&gt;$N177-TIME(0,TimeIncr,0)),AND(HP$7&lt;=$P177,HP$7&gt;$P177-TIME(0,TimeIncr,0)),AND(HP$7&lt;=$R177,HP$7&gt;$R177-TIME(0,TimeIncr,0)),AND(HP$7&lt;=$T177,HP$7&gt;$T177-TIME(0,TimeIncr,0)),AND(HP$7&lt;=$V177,HP$7&gt;$V177-TIME(0,TimeIncr,0)),AND(HP$7&lt;=$X177,HP$7&gt;$X177-TIME(0,TimeIncr,0))),$E177*$L177,IF(OR(AND(HP$7&gt;=$M177,HP$7&lt;=$N177),AND(HP$7&gt;=$O177,HP$7&lt;=$P177),AND(HP$7&gt;=$Q177,HP$7&lt;=$R177),AND(HP$7&gt;=$S177,HP$7&lt;=$T177),AND(HP$7&gt;=$U177,HP$7&lt;=$V177),AND(HP$7&gt;=$W177,HP$7&lt;=$X177)),0,IF(OR(AND($M177&gt;$N177,HP$7&lt;=$N177),AND($O177&gt;$P177,HP$7&lt;=$P177),AND($Q177&gt;$R177,HP$7&lt;=$R177),AND($S177&gt;$T177,HP$7&lt;=$T177),AND($U177&gt;$V177,HP$7&lt;=$V177),AND($W177&gt;$X177,HP$7&lt;=$X177)),0,IF(OR(AND(HP$7&gt;=$M177,$M177&gt;$N177),AND(HP$7&gt;=$O177,$O177&gt;$P177),AND(HP$7&gt;=$Q177,$Q177&gt;$R177),AND(HP$7&gt;=$S177,$S177&gt;$T177),AND(HP$7&gt;=$U177,$U177&gt;$V177),AND(HP$7&gt;=$W177,$W177&gt;$X177)),0,$E177)))))</f>
        <v>0</v>
      </c>
      <c r="HQ177" s="409">
        <f t="shared" si="268"/>
        <v>0</v>
      </c>
      <c r="HR177" s="409">
        <f t="shared" si="268"/>
        <v>0</v>
      </c>
      <c r="HS177" s="409">
        <f t="shared" si="268"/>
        <v>0</v>
      </c>
      <c r="HT177" s="409">
        <f t="shared" si="268"/>
        <v>0</v>
      </c>
      <c r="HU177" s="409">
        <f t="shared" si="221"/>
        <v>0</v>
      </c>
      <c r="HV177" s="409">
        <f t="shared" si="221"/>
        <v>0</v>
      </c>
      <c r="HW177" s="409">
        <f t="shared" si="221"/>
        <v>0</v>
      </c>
      <c r="HX177" s="409">
        <f t="shared" si="221"/>
        <v>0</v>
      </c>
      <c r="HY177" s="409">
        <f t="shared" si="221"/>
        <v>0</v>
      </c>
      <c r="HZ177" s="409">
        <f t="shared" ref="HU177:ID181" si="269">IF(ISNA(HZ$7),"",IF(OR(AND(HZ$7&lt;=$N177,HZ$7&gt;$N177-TIME(0,TimeIncr,0)),AND(HZ$7&lt;=$P177,HZ$7&gt;$P177-TIME(0,TimeIncr,0)),AND(HZ$7&lt;=$R177,HZ$7&gt;$R177-TIME(0,TimeIncr,0)),AND(HZ$7&lt;=$T177,HZ$7&gt;$T177-TIME(0,TimeIncr,0)),AND(HZ$7&lt;=$V177,HZ$7&gt;$V177-TIME(0,TimeIncr,0)),AND(HZ$7&lt;=$X177,HZ$7&gt;$X177-TIME(0,TimeIncr,0))),$E177*$L177,IF(OR(AND(HZ$7&gt;=$M177,HZ$7&lt;=$N177),AND(HZ$7&gt;=$O177,HZ$7&lt;=$P177),AND(HZ$7&gt;=$Q177,HZ$7&lt;=$R177),AND(HZ$7&gt;=$S177,HZ$7&lt;=$T177),AND(HZ$7&gt;=$U177,HZ$7&lt;=$V177),AND(HZ$7&gt;=$W177,HZ$7&lt;=$X177)),0,IF(OR(AND($M177&gt;$N177,HZ$7&lt;=$N177),AND($O177&gt;$P177,HZ$7&lt;=$P177),AND($Q177&gt;$R177,HZ$7&lt;=$R177),AND($S177&gt;$T177,HZ$7&lt;=$T177),AND($U177&gt;$V177,HZ$7&lt;=$V177),AND($W177&gt;$X177,HZ$7&lt;=$X177)),0,IF(OR(AND(HZ$7&gt;=$M177,$M177&gt;$N177),AND(HZ$7&gt;=$O177,$O177&gt;$P177),AND(HZ$7&gt;=$Q177,$Q177&gt;$R177),AND(HZ$7&gt;=$S177,$S177&gt;$T177),AND(HZ$7&gt;=$U177,$U177&gt;$V177),AND(HZ$7&gt;=$W177,$W177&gt;$X177)),0,$E177)))))</f>
        <v>0</v>
      </c>
      <c r="IA177" s="409">
        <f t="shared" si="269"/>
        <v>0</v>
      </c>
      <c r="IB177" s="409">
        <f t="shared" si="269"/>
        <v>0</v>
      </c>
      <c r="IC177" s="409">
        <f t="shared" si="269"/>
        <v>0</v>
      </c>
      <c r="ID177" s="409">
        <f t="shared" si="269"/>
        <v>0</v>
      </c>
      <c r="IE177" s="409">
        <f t="shared" si="222"/>
        <v>0</v>
      </c>
      <c r="IF177" s="409">
        <f t="shared" si="222"/>
        <v>0</v>
      </c>
      <c r="IG177" s="409">
        <f t="shared" si="222"/>
        <v>0</v>
      </c>
      <c r="IH177" s="409">
        <f t="shared" si="222"/>
        <v>0</v>
      </c>
      <c r="II177" s="409">
        <f t="shared" si="222"/>
        <v>0</v>
      </c>
      <c r="IJ177" s="409">
        <f t="shared" si="222"/>
        <v>0</v>
      </c>
      <c r="IK177" s="378"/>
    </row>
    <row r="178" spans="1:245" hidden="1" x14ac:dyDescent="0.2">
      <c r="A178" s="380" t="str">
        <f t="shared" si="243"/>
        <v>e</v>
      </c>
      <c r="B178" s="712" t="str">
        <f>IF(ISERROR(INDEX('Legend(DX)'!$H$11:$H$12,21)),"",INDEX('Legend(DX)'!$H$11:$H$12,21))</f>
        <v/>
      </c>
      <c r="C178" s="712" t="e">
        <f>IF(INDEX('Legend(DX)'!$T$11:$T$12,21)=0,"See Legend",INDEX('Legend(DX)'!$T$11:$T$12,21))</f>
        <v>#REF!</v>
      </c>
      <c r="D178" s="712" t="e">
        <f>IF(INDEX('Legend(DX)'!$R$11:$R$12,(ROW(C178))-137)=0,IF(AND(INDEX('Legend(DX)'!$D$11:$D$12,(ROW(C178))-136)="CH",INDEX('Legend(DX)'!$F$11:$F$12,(ROW(C178))-136)="CASE - MANUAL"),INDEX('Legend(DX)'!$R$11:$R$12,(ROW(C178))-136),IF(INDEX('Legend(DX)'!$V$11:$V$12,(ROW(C178))-137)&gt;1, "(" &amp; INDEX('Legend(DX)'!$V$11:$V$12,(ROW(C178))-137) &amp; ") " &amp; INDEX('Legend(DX)'!$W$11:$W$12,(ROW(C178))-136),INDEX('Legend(DX)'!$W$11:$W$12,(ROW(C178))-137))),INDEX('Legend(DX)'!$R$11:$R$12,(ROW(C178))-137))</f>
        <v>#REF!</v>
      </c>
      <c r="E178" s="713" t="str">
        <f>IF(ISERROR(INDEX('Legend(DX)'!$AA$11:$AA$12,21)),"",INDEX('Legend(DX)'!$AA$11:$AA$12,21))</f>
        <v/>
      </c>
      <c r="F178" s="715"/>
      <c r="G178" s="715"/>
      <c r="H178" s="715"/>
      <c r="I178" s="715"/>
      <c r="J178" s="715"/>
      <c r="K178" s="890">
        <f t="shared" si="223"/>
        <v>0</v>
      </c>
      <c r="L178" s="718"/>
      <c r="M178" s="723"/>
      <c r="N178" s="972">
        <f t="shared" si="196"/>
        <v>-1</v>
      </c>
      <c r="O178" s="972">
        <f t="shared" si="244"/>
        <v>-1</v>
      </c>
      <c r="P178" s="972">
        <f t="shared" si="197"/>
        <v>-1</v>
      </c>
      <c r="Q178" s="972">
        <f t="shared" si="245"/>
        <v>-1</v>
      </c>
      <c r="R178" s="972">
        <f t="shared" si="198"/>
        <v>-1</v>
      </c>
      <c r="S178" s="972">
        <f t="shared" si="246"/>
        <v>-1</v>
      </c>
      <c r="T178" s="972">
        <f t="shared" si="199"/>
        <v>-1</v>
      </c>
      <c r="U178" s="972">
        <f t="shared" si="247"/>
        <v>-1</v>
      </c>
      <c r="V178" s="972">
        <f t="shared" si="200"/>
        <v>-1</v>
      </c>
      <c r="W178" s="972">
        <f t="shared" si="248"/>
        <v>-1</v>
      </c>
      <c r="X178" s="972">
        <f t="shared" si="201"/>
        <v>-1</v>
      </c>
      <c r="Y178" s="972">
        <f t="shared" si="229"/>
        <v>-1</v>
      </c>
      <c r="Z178" s="972">
        <f t="shared" si="230"/>
        <v>-1</v>
      </c>
      <c r="AA178" s="972">
        <f t="shared" si="231"/>
        <v>-1</v>
      </c>
      <c r="AB178" s="972">
        <f t="shared" si="232"/>
        <v>-1</v>
      </c>
      <c r="AC178" s="972">
        <f t="shared" si="233"/>
        <v>-1</v>
      </c>
      <c r="AD178" s="972">
        <f t="shared" si="234"/>
        <v>-1</v>
      </c>
      <c r="AE178" s="972">
        <f t="shared" si="235"/>
        <v>-1</v>
      </c>
      <c r="AF178" s="972">
        <f t="shared" si="236"/>
        <v>-1</v>
      </c>
      <c r="AG178" s="972">
        <f t="shared" si="237"/>
        <v>-1</v>
      </c>
      <c r="AH178" s="972">
        <f t="shared" si="238"/>
        <v>-1</v>
      </c>
      <c r="AI178" s="972">
        <f t="shared" si="239"/>
        <v>-1</v>
      </c>
      <c r="AJ178" s="972">
        <f t="shared" si="240"/>
        <v>-1</v>
      </c>
      <c r="AK178" s="381"/>
      <c r="AL178" s="727" t="str">
        <f t="shared" si="249"/>
        <v/>
      </c>
      <c r="AM178" s="409">
        <f t="shared" si="250"/>
        <v>0</v>
      </c>
      <c r="AN178" s="409">
        <f t="shared" si="250"/>
        <v>0</v>
      </c>
      <c r="AO178" s="409">
        <f t="shared" si="250"/>
        <v>0</v>
      </c>
      <c r="AP178" s="409">
        <f t="shared" si="250"/>
        <v>0</v>
      </c>
      <c r="AQ178" s="409">
        <f t="shared" si="250"/>
        <v>0</v>
      </c>
      <c r="AR178" s="409">
        <f t="shared" si="250"/>
        <v>0</v>
      </c>
      <c r="AS178" s="409">
        <f t="shared" si="250"/>
        <v>0</v>
      </c>
      <c r="AT178" s="409">
        <f t="shared" si="250"/>
        <v>0</v>
      </c>
      <c r="AU178" s="409">
        <f t="shared" si="250"/>
        <v>0</v>
      </c>
      <c r="AV178" s="409">
        <f t="shared" si="250"/>
        <v>0</v>
      </c>
      <c r="AW178" s="409">
        <f t="shared" si="251"/>
        <v>0</v>
      </c>
      <c r="AX178" s="409">
        <f t="shared" si="251"/>
        <v>0</v>
      </c>
      <c r="AY178" s="409">
        <f t="shared" si="251"/>
        <v>0</v>
      </c>
      <c r="AZ178" s="409">
        <f t="shared" si="251"/>
        <v>0</v>
      </c>
      <c r="BA178" s="409">
        <f t="shared" si="251"/>
        <v>0</v>
      </c>
      <c r="BB178" s="409">
        <f t="shared" si="251"/>
        <v>0</v>
      </c>
      <c r="BC178" s="409">
        <f t="shared" si="251"/>
        <v>0</v>
      </c>
      <c r="BD178" s="409">
        <f t="shared" si="251"/>
        <v>0</v>
      </c>
      <c r="BE178" s="409">
        <f t="shared" si="251"/>
        <v>0</v>
      </c>
      <c r="BF178" s="409">
        <f t="shared" si="251"/>
        <v>0</v>
      </c>
      <c r="BG178" s="409">
        <f t="shared" si="252"/>
        <v>0</v>
      </c>
      <c r="BH178" s="409">
        <f t="shared" si="252"/>
        <v>0</v>
      </c>
      <c r="BI178" s="409">
        <f t="shared" si="252"/>
        <v>0</v>
      </c>
      <c r="BJ178" s="409">
        <f t="shared" si="252"/>
        <v>0</v>
      </c>
      <c r="BK178" s="409">
        <f t="shared" si="252"/>
        <v>0</v>
      </c>
      <c r="BL178" s="409">
        <f t="shared" si="252"/>
        <v>0</v>
      </c>
      <c r="BM178" s="409">
        <f t="shared" si="252"/>
        <v>0</v>
      </c>
      <c r="BN178" s="409">
        <f t="shared" si="252"/>
        <v>0</v>
      </c>
      <c r="BO178" s="409">
        <f t="shared" si="252"/>
        <v>0</v>
      </c>
      <c r="BP178" s="409">
        <f t="shared" si="252"/>
        <v>0</v>
      </c>
      <c r="BQ178" s="409">
        <f t="shared" si="253"/>
        <v>0</v>
      </c>
      <c r="BR178" s="409">
        <f t="shared" si="253"/>
        <v>0</v>
      </c>
      <c r="BS178" s="409">
        <f t="shared" si="253"/>
        <v>0</v>
      </c>
      <c r="BT178" s="409">
        <f t="shared" si="253"/>
        <v>0</v>
      </c>
      <c r="BU178" s="409">
        <f t="shared" si="253"/>
        <v>0</v>
      </c>
      <c r="BV178" s="409">
        <f t="shared" si="253"/>
        <v>0</v>
      </c>
      <c r="BW178" s="409">
        <f t="shared" si="253"/>
        <v>0</v>
      </c>
      <c r="BX178" s="409">
        <f t="shared" si="253"/>
        <v>0</v>
      </c>
      <c r="BY178" s="409">
        <f t="shared" si="253"/>
        <v>0</v>
      </c>
      <c r="BZ178" s="409">
        <f t="shared" si="253"/>
        <v>0</v>
      </c>
      <c r="CA178" s="409">
        <f t="shared" si="254"/>
        <v>0</v>
      </c>
      <c r="CB178" s="409">
        <f t="shared" si="254"/>
        <v>0</v>
      </c>
      <c r="CC178" s="409">
        <f t="shared" si="254"/>
        <v>0</v>
      </c>
      <c r="CD178" s="409">
        <f t="shared" si="254"/>
        <v>0</v>
      </c>
      <c r="CE178" s="409">
        <f t="shared" si="254"/>
        <v>0</v>
      </c>
      <c r="CF178" s="409">
        <f t="shared" si="254"/>
        <v>0</v>
      </c>
      <c r="CG178" s="409">
        <f t="shared" si="254"/>
        <v>0</v>
      </c>
      <c r="CH178" s="409">
        <f t="shared" si="254"/>
        <v>0</v>
      </c>
      <c r="CI178" s="409">
        <f t="shared" si="254"/>
        <v>0</v>
      </c>
      <c r="CJ178" s="409">
        <f t="shared" si="254"/>
        <v>0</v>
      </c>
      <c r="CK178" s="409">
        <f t="shared" si="255"/>
        <v>0</v>
      </c>
      <c r="CL178" s="409">
        <f t="shared" si="255"/>
        <v>0</v>
      </c>
      <c r="CM178" s="409">
        <f t="shared" si="255"/>
        <v>0</v>
      </c>
      <c r="CN178" s="409">
        <f t="shared" si="255"/>
        <v>0</v>
      </c>
      <c r="CO178" s="409">
        <f t="shared" si="255"/>
        <v>0</v>
      </c>
      <c r="CP178" s="409">
        <f t="shared" si="255"/>
        <v>0</v>
      </c>
      <c r="CQ178" s="409">
        <f t="shared" si="255"/>
        <v>0</v>
      </c>
      <c r="CR178" s="409">
        <f t="shared" si="255"/>
        <v>0</v>
      </c>
      <c r="CS178" s="409">
        <f t="shared" si="255"/>
        <v>0</v>
      </c>
      <c r="CT178" s="409">
        <f t="shared" si="255"/>
        <v>0</v>
      </c>
      <c r="CU178" s="409">
        <f t="shared" si="256"/>
        <v>0</v>
      </c>
      <c r="CV178" s="409">
        <f t="shared" si="256"/>
        <v>0</v>
      </c>
      <c r="CW178" s="409">
        <f t="shared" si="256"/>
        <v>0</v>
      </c>
      <c r="CX178" s="409">
        <f t="shared" si="256"/>
        <v>0</v>
      </c>
      <c r="CY178" s="409">
        <f t="shared" si="256"/>
        <v>0</v>
      </c>
      <c r="CZ178" s="409">
        <f t="shared" si="256"/>
        <v>0</v>
      </c>
      <c r="DA178" s="409">
        <f t="shared" si="256"/>
        <v>0</v>
      </c>
      <c r="DB178" s="409">
        <f t="shared" si="256"/>
        <v>0</v>
      </c>
      <c r="DC178" s="409">
        <f t="shared" si="256"/>
        <v>0</v>
      </c>
      <c r="DD178" s="409">
        <f t="shared" si="256"/>
        <v>0</v>
      </c>
      <c r="DE178" s="409">
        <f t="shared" si="257"/>
        <v>0</v>
      </c>
      <c r="DF178" s="409">
        <f t="shared" si="257"/>
        <v>0</v>
      </c>
      <c r="DG178" s="409">
        <f t="shared" si="257"/>
        <v>0</v>
      </c>
      <c r="DH178" s="409">
        <f t="shared" si="257"/>
        <v>0</v>
      </c>
      <c r="DI178" s="409">
        <f t="shared" si="257"/>
        <v>0</v>
      </c>
      <c r="DJ178" s="409">
        <f t="shared" si="257"/>
        <v>0</v>
      </c>
      <c r="DK178" s="409">
        <f t="shared" si="257"/>
        <v>0</v>
      </c>
      <c r="DL178" s="409">
        <f t="shared" si="257"/>
        <v>0</v>
      </c>
      <c r="DM178" s="409">
        <f t="shared" si="257"/>
        <v>0</v>
      </c>
      <c r="DN178" s="409">
        <f t="shared" si="257"/>
        <v>0</v>
      </c>
      <c r="DO178" s="409">
        <f t="shared" si="258"/>
        <v>0</v>
      </c>
      <c r="DP178" s="409">
        <f t="shared" si="258"/>
        <v>0</v>
      </c>
      <c r="DQ178" s="409">
        <f t="shared" si="258"/>
        <v>0</v>
      </c>
      <c r="DR178" s="409">
        <f t="shared" si="258"/>
        <v>0</v>
      </c>
      <c r="DS178" s="409">
        <f t="shared" si="258"/>
        <v>0</v>
      </c>
      <c r="DT178" s="409">
        <f t="shared" si="258"/>
        <v>0</v>
      </c>
      <c r="DU178" s="409">
        <f t="shared" si="258"/>
        <v>0</v>
      </c>
      <c r="DV178" s="409">
        <f t="shared" si="258"/>
        <v>0</v>
      </c>
      <c r="DW178" s="409">
        <f t="shared" si="258"/>
        <v>0</v>
      </c>
      <c r="DX178" s="409">
        <f t="shared" si="258"/>
        <v>0</v>
      </c>
      <c r="DY178" s="409">
        <f t="shared" si="259"/>
        <v>0</v>
      </c>
      <c r="DZ178" s="409">
        <f t="shared" si="259"/>
        <v>0</v>
      </c>
      <c r="EA178" s="409">
        <f t="shared" si="259"/>
        <v>0</v>
      </c>
      <c r="EB178" s="409">
        <f t="shared" si="259"/>
        <v>0</v>
      </c>
      <c r="EC178" s="409">
        <f t="shared" si="259"/>
        <v>0</v>
      </c>
      <c r="ED178" s="409">
        <f t="shared" si="259"/>
        <v>0</v>
      </c>
      <c r="EE178" s="409">
        <f t="shared" si="259"/>
        <v>0</v>
      </c>
      <c r="EF178" s="409">
        <f t="shared" si="259"/>
        <v>0</v>
      </c>
      <c r="EG178" s="409">
        <f t="shared" si="259"/>
        <v>0</v>
      </c>
      <c r="EH178" s="409">
        <f t="shared" si="259"/>
        <v>0</v>
      </c>
      <c r="EI178" s="409">
        <f t="shared" si="260"/>
        <v>0</v>
      </c>
      <c r="EJ178" s="409">
        <f t="shared" si="260"/>
        <v>0</v>
      </c>
      <c r="EK178" s="409">
        <f t="shared" si="260"/>
        <v>0</v>
      </c>
      <c r="EL178" s="409">
        <f t="shared" si="260"/>
        <v>0</v>
      </c>
      <c r="EM178" s="409">
        <f t="shared" si="260"/>
        <v>0</v>
      </c>
      <c r="EN178" s="409">
        <f t="shared" si="260"/>
        <v>0</v>
      </c>
      <c r="EO178" s="409">
        <f t="shared" si="260"/>
        <v>0</v>
      </c>
      <c r="EP178" s="409">
        <f t="shared" si="260"/>
        <v>0</v>
      </c>
      <c r="EQ178" s="409">
        <f t="shared" si="260"/>
        <v>0</v>
      </c>
      <c r="ER178" s="409">
        <f t="shared" si="260"/>
        <v>0</v>
      </c>
      <c r="ES178" s="409">
        <f t="shared" si="261"/>
        <v>0</v>
      </c>
      <c r="ET178" s="409">
        <f t="shared" si="261"/>
        <v>0</v>
      </c>
      <c r="EU178" s="409">
        <f t="shared" si="261"/>
        <v>0</v>
      </c>
      <c r="EV178" s="409">
        <f t="shared" si="261"/>
        <v>0</v>
      </c>
      <c r="EW178" s="409">
        <f t="shared" si="261"/>
        <v>0</v>
      </c>
      <c r="EX178" s="409">
        <f t="shared" si="261"/>
        <v>0</v>
      </c>
      <c r="EY178" s="409">
        <f t="shared" si="261"/>
        <v>0</v>
      </c>
      <c r="EZ178" s="409">
        <f t="shared" si="261"/>
        <v>0</v>
      </c>
      <c r="FA178" s="409">
        <f t="shared" si="261"/>
        <v>0</v>
      </c>
      <c r="FB178" s="409">
        <f t="shared" si="261"/>
        <v>0</v>
      </c>
      <c r="FC178" s="409">
        <f t="shared" si="262"/>
        <v>0</v>
      </c>
      <c r="FD178" s="409">
        <f t="shared" si="262"/>
        <v>0</v>
      </c>
      <c r="FE178" s="409">
        <f t="shared" si="262"/>
        <v>0</v>
      </c>
      <c r="FF178" s="409">
        <f t="shared" si="262"/>
        <v>0</v>
      </c>
      <c r="FG178" s="409">
        <f t="shared" si="262"/>
        <v>0</v>
      </c>
      <c r="FH178" s="409">
        <f t="shared" si="262"/>
        <v>0</v>
      </c>
      <c r="FI178" s="409">
        <f t="shared" si="262"/>
        <v>0</v>
      </c>
      <c r="FJ178" s="409">
        <f t="shared" si="262"/>
        <v>0</v>
      </c>
      <c r="FK178" s="409">
        <f t="shared" si="262"/>
        <v>0</v>
      </c>
      <c r="FL178" s="409">
        <f t="shared" si="262"/>
        <v>0</v>
      </c>
      <c r="FM178" s="409">
        <f t="shared" si="263"/>
        <v>0</v>
      </c>
      <c r="FN178" s="409">
        <f t="shared" si="263"/>
        <v>0</v>
      </c>
      <c r="FO178" s="409">
        <f t="shared" si="263"/>
        <v>0</v>
      </c>
      <c r="FP178" s="409">
        <f t="shared" si="263"/>
        <v>0</v>
      </c>
      <c r="FQ178" s="409">
        <f t="shared" si="263"/>
        <v>0</v>
      </c>
      <c r="FR178" s="409">
        <f t="shared" si="263"/>
        <v>0</v>
      </c>
      <c r="FS178" s="409">
        <f t="shared" si="263"/>
        <v>0</v>
      </c>
      <c r="FT178" s="409">
        <f t="shared" si="263"/>
        <v>0</v>
      </c>
      <c r="FU178" s="409">
        <f t="shared" si="263"/>
        <v>0</v>
      </c>
      <c r="FV178" s="409">
        <f t="shared" si="263"/>
        <v>0</v>
      </c>
      <c r="FW178" s="409">
        <f t="shared" si="264"/>
        <v>0</v>
      </c>
      <c r="FX178" s="409">
        <f t="shared" si="264"/>
        <v>0</v>
      </c>
      <c r="FY178" s="409">
        <f t="shared" si="264"/>
        <v>0</v>
      </c>
      <c r="FZ178" s="409">
        <f t="shared" si="264"/>
        <v>0</v>
      </c>
      <c r="GA178" s="409">
        <f t="shared" si="264"/>
        <v>0</v>
      </c>
      <c r="GB178" s="409">
        <f t="shared" si="264"/>
        <v>0</v>
      </c>
      <c r="GC178" s="409">
        <f t="shared" si="264"/>
        <v>0</v>
      </c>
      <c r="GD178" s="409">
        <f t="shared" si="264"/>
        <v>0</v>
      </c>
      <c r="GE178" s="409">
        <f t="shared" si="264"/>
        <v>0</v>
      </c>
      <c r="GF178" s="409">
        <f t="shared" si="264"/>
        <v>0</v>
      </c>
      <c r="GG178" s="409">
        <f t="shared" si="265"/>
        <v>0</v>
      </c>
      <c r="GH178" s="409">
        <f t="shared" si="265"/>
        <v>0</v>
      </c>
      <c r="GI178" s="409">
        <f t="shared" si="265"/>
        <v>0</v>
      </c>
      <c r="GJ178" s="409">
        <f t="shared" si="265"/>
        <v>0</v>
      </c>
      <c r="GK178" s="409">
        <f t="shared" si="265"/>
        <v>0</v>
      </c>
      <c r="GL178" s="409">
        <f t="shared" si="265"/>
        <v>0</v>
      </c>
      <c r="GM178" s="409">
        <f t="shared" si="265"/>
        <v>0</v>
      </c>
      <c r="GN178" s="409">
        <f t="shared" si="265"/>
        <v>0</v>
      </c>
      <c r="GO178" s="409">
        <f t="shared" si="265"/>
        <v>0</v>
      </c>
      <c r="GP178" s="409">
        <f t="shared" si="265"/>
        <v>0</v>
      </c>
      <c r="GQ178" s="409">
        <f t="shared" si="266"/>
        <v>0</v>
      </c>
      <c r="GR178" s="409">
        <f t="shared" si="266"/>
        <v>0</v>
      </c>
      <c r="GS178" s="409">
        <f t="shared" si="266"/>
        <v>0</v>
      </c>
      <c r="GT178" s="409">
        <f t="shared" si="266"/>
        <v>0</v>
      </c>
      <c r="GU178" s="409">
        <f t="shared" si="266"/>
        <v>0</v>
      </c>
      <c r="GV178" s="409">
        <f t="shared" si="266"/>
        <v>0</v>
      </c>
      <c r="GW178" s="409">
        <f t="shared" si="266"/>
        <v>0</v>
      </c>
      <c r="GX178" s="409">
        <f t="shared" si="266"/>
        <v>0</v>
      </c>
      <c r="GY178" s="409">
        <f t="shared" si="266"/>
        <v>0</v>
      </c>
      <c r="GZ178" s="409">
        <f t="shared" si="266"/>
        <v>0</v>
      </c>
      <c r="HA178" s="409">
        <f t="shared" si="267"/>
        <v>0</v>
      </c>
      <c r="HB178" s="409">
        <f t="shared" si="267"/>
        <v>0</v>
      </c>
      <c r="HC178" s="409">
        <f t="shared" si="267"/>
        <v>0</v>
      </c>
      <c r="HD178" s="409">
        <f t="shared" si="267"/>
        <v>0</v>
      </c>
      <c r="HE178" s="409">
        <f t="shared" si="267"/>
        <v>0</v>
      </c>
      <c r="HF178" s="409">
        <f t="shared" si="267"/>
        <v>0</v>
      </c>
      <c r="HG178" s="409">
        <f t="shared" si="267"/>
        <v>0</v>
      </c>
      <c r="HH178" s="409">
        <f t="shared" si="267"/>
        <v>0</v>
      </c>
      <c r="HI178" s="409">
        <f t="shared" si="267"/>
        <v>0</v>
      </c>
      <c r="HJ178" s="409">
        <f t="shared" si="267"/>
        <v>0</v>
      </c>
      <c r="HK178" s="409">
        <f t="shared" si="268"/>
        <v>0</v>
      </c>
      <c r="HL178" s="409">
        <f t="shared" si="268"/>
        <v>0</v>
      </c>
      <c r="HM178" s="409">
        <f t="shared" si="268"/>
        <v>0</v>
      </c>
      <c r="HN178" s="409">
        <f t="shared" si="268"/>
        <v>0</v>
      </c>
      <c r="HO178" s="409">
        <f t="shared" si="268"/>
        <v>0</v>
      </c>
      <c r="HP178" s="409">
        <f t="shared" si="268"/>
        <v>0</v>
      </c>
      <c r="HQ178" s="409">
        <f t="shared" si="268"/>
        <v>0</v>
      </c>
      <c r="HR178" s="409">
        <f t="shared" si="268"/>
        <v>0</v>
      </c>
      <c r="HS178" s="409">
        <f t="shared" si="268"/>
        <v>0</v>
      </c>
      <c r="HT178" s="409">
        <f t="shared" si="268"/>
        <v>0</v>
      </c>
      <c r="HU178" s="409">
        <f t="shared" si="269"/>
        <v>0</v>
      </c>
      <c r="HV178" s="409">
        <f t="shared" si="269"/>
        <v>0</v>
      </c>
      <c r="HW178" s="409">
        <f t="shared" si="269"/>
        <v>0</v>
      </c>
      <c r="HX178" s="409">
        <f t="shared" si="269"/>
        <v>0</v>
      </c>
      <c r="HY178" s="409">
        <f t="shared" si="269"/>
        <v>0</v>
      </c>
      <c r="HZ178" s="409">
        <f t="shared" si="269"/>
        <v>0</v>
      </c>
      <c r="IA178" s="409">
        <f t="shared" si="269"/>
        <v>0</v>
      </c>
      <c r="IB178" s="409">
        <f t="shared" si="269"/>
        <v>0</v>
      </c>
      <c r="IC178" s="409">
        <f t="shared" si="269"/>
        <v>0</v>
      </c>
      <c r="ID178" s="409">
        <f t="shared" si="269"/>
        <v>0</v>
      </c>
      <c r="IE178" s="409">
        <f t="shared" si="222"/>
        <v>0</v>
      </c>
      <c r="IF178" s="409">
        <f t="shared" si="222"/>
        <v>0</v>
      </c>
      <c r="IG178" s="409">
        <f t="shared" si="222"/>
        <v>0</v>
      </c>
      <c r="IH178" s="409">
        <f t="shared" si="222"/>
        <v>0</v>
      </c>
      <c r="II178" s="409">
        <f t="shared" si="222"/>
        <v>0</v>
      </c>
      <c r="IJ178" s="409">
        <f t="shared" si="222"/>
        <v>0</v>
      </c>
      <c r="IK178" s="378"/>
    </row>
    <row r="179" spans="1:245" hidden="1" x14ac:dyDescent="0.2">
      <c r="A179" s="380" t="str">
        <f t="shared" si="243"/>
        <v>e</v>
      </c>
      <c r="B179" s="712" t="str">
        <f>IF(ISERROR(INDEX('Legend(DX)'!$H$11:$H$12,22)),"",INDEX('Legend(DX)'!$H$11:$H$12,22))</f>
        <v/>
      </c>
      <c r="C179" s="712" t="e">
        <f>IF(INDEX('Legend(DX)'!$T$11:$T$12,22)=0,"See Legend",INDEX('Legend(DX)'!$T$11:$T$12,22))</f>
        <v>#REF!</v>
      </c>
      <c r="D179" s="712" t="e">
        <f>IF(INDEX('Legend(DX)'!$R$11:$R$12,(ROW(C179))-137)=0,IF(AND(INDEX('Legend(DX)'!$D$11:$D$12,(ROW(C179))-136)="CH",INDEX('Legend(DX)'!$F$11:$F$12,(ROW(C179))-136)="CASE - MANUAL"),INDEX('Legend(DX)'!$R$11:$R$12,(ROW(C179))-136),IF(INDEX('Legend(DX)'!$V$11:$V$12,(ROW(C179))-137)&gt;1, "(" &amp; INDEX('Legend(DX)'!$V$11:$V$12,(ROW(C179))-137) &amp; ") " &amp; INDEX('Legend(DX)'!$W$11:$W$12,(ROW(C179))-136),INDEX('Legend(DX)'!$W$11:$W$12,(ROW(C179))-137))),INDEX('Legend(DX)'!$R$11:$R$12,(ROW(C179))-137))</f>
        <v>#REF!</v>
      </c>
      <c r="E179" s="713" t="str">
        <f>IF(ISERROR(INDEX('Legend(DX)'!$AA$11:$AA$12,22)),"",INDEX('Legend(DX)'!$AA$11:$AA$12,22))</f>
        <v/>
      </c>
      <c r="F179" s="715"/>
      <c r="G179" s="715"/>
      <c r="H179" s="715"/>
      <c r="I179" s="715"/>
      <c r="J179" s="715"/>
      <c r="K179" s="890">
        <f t="shared" si="223"/>
        <v>0</v>
      </c>
      <c r="L179" s="718"/>
      <c r="M179" s="723"/>
      <c r="N179" s="972">
        <f t="shared" si="196"/>
        <v>-1</v>
      </c>
      <c r="O179" s="972">
        <f t="shared" si="244"/>
        <v>-1</v>
      </c>
      <c r="P179" s="972">
        <f t="shared" si="197"/>
        <v>-1</v>
      </c>
      <c r="Q179" s="972">
        <f t="shared" si="245"/>
        <v>-1</v>
      </c>
      <c r="R179" s="972">
        <f t="shared" si="198"/>
        <v>-1</v>
      </c>
      <c r="S179" s="972">
        <f t="shared" si="246"/>
        <v>-1</v>
      </c>
      <c r="T179" s="972">
        <f t="shared" si="199"/>
        <v>-1</v>
      </c>
      <c r="U179" s="972">
        <f t="shared" si="247"/>
        <v>-1</v>
      </c>
      <c r="V179" s="972">
        <f t="shared" si="200"/>
        <v>-1</v>
      </c>
      <c r="W179" s="972">
        <f t="shared" si="248"/>
        <v>-1</v>
      </c>
      <c r="X179" s="972">
        <f t="shared" si="201"/>
        <v>-1</v>
      </c>
      <c r="Y179" s="972">
        <f t="shared" si="229"/>
        <v>-1</v>
      </c>
      <c r="Z179" s="972">
        <f t="shared" si="230"/>
        <v>-1</v>
      </c>
      <c r="AA179" s="972">
        <f t="shared" si="231"/>
        <v>-1</v>
      </c>
      <c r="AB179" s="972">
        <f t="shared" si="232"/>
        <v>-1</v>
      </c>
      <c r="AC179" s="972">
        <f t="shared" si="233"/>
        <v>-1</v>
      </c>
      <c r="AD179" s="972">
        <f t="shared" si="234"/>
        <v>-1</v>
      </c>
      <c r="AE179" s="972">
        <f t="shared" si="235"/>
        <v>-1</v>
      </c>
      <c r="AF179" s="972">
        <f t="shared" si="236"/>
        <v>-1</v>
      </c>
      <c r="AG179" s="972">
        <f t="shared" si="237"/>
        <v>-1</v>
      </c>
      <c r="AH179" s="972">
        <f t="shared" si="238"/>
        <v>-1</v>
      </c>
      <c r="AI179" s="972">
        <f t="shared" si="239"/>
        <v>-1</v>
      </c>
      <c r="AJ179" s="972">
        <f t="shared" si="240"/>
        <v>-1</v>
      </c>
      <c r="AK179" s="381"/>
      <c r="AL179" s="727" t="str">
        <f t="shared" si="249"/>
        <v/>
      </c>
      <c r="AM179" s="409">
        <f t="shared" si="250"/>
        <v>0</v>
      </c>
      <c r="AN179" s="409">
        <f t="shared" si="250"/>
        <v>0</v>
      </c>
      <c r="AO179" s="409">
        <f t="shared" si="250"/>
        <v>0</v>
      </c>
      <c r="AP179" s="409">
        <f t="shared" si="250"/>
        <v>0</v>
      </c>
      <c r="AQ179" s="409">
        <f t="shared" si="250"/>
        <v>0</v>
      </c>
      <c r="AR179" s="409">
        <f t="shared" si="250"/>
        <v>0</v>
      </c>
      <c r="AS179" s="409">
        <f t="shared" si="250"/>
        <v>0</v>
      </c>
      <c r="AT179" s="409">
        <f t="shared" si="250"/>
        <v>0</v>
      </c>
      <c r="AU179" s="409">
        <f t="shared" si="250"/>
        <v>0</v>
      </c>
      <c r="AV179" s="409">
        <f t="shared" si="250"/>
        <v>0</v>
      </c>
      <c r="AW179" s="409">
        <f t="shared" si="251"/>
        <v>0</v>
      </c>
      <c r="AX179" s="409">
        <f t="shared" si="251"/>
        <v>0</v>
      </c>
      <c r="AY179" s="409">
        <f t="shared" si="251"/>
        <v>0</v>
      </c>
      <c r="AZ179" s="409">
        <f t="shared" si="251"/>
        <v>0</v>
      </c>
      <c r="BA179" s="409">
        <f t="shared" si="251"/>
        <v>0</v>
      </c>
      <c r="BB179" s="409">
        <f t="shared" si="251"/>
        <v>0</v>
      </c>
      <c r="BC179" s="409">
        <f t="shared" si="251"/>
        <v>0</v>
      </c>
      <c r="BD179" s="409">
        <f t="shared" si="251"/>
        <v>0</v>
      </c>
      <c r="BE179" s="409">
        <f t="shared" si="251"/>
        <v>0</v>
      </c>
      <c r="BF179" s="409">
        <f t="shared" si="251"/>
        <v>0</v>
      </c>
      <c r="BG179" s="409">
        <f t="shared" si="252"/>
        <v>0</v>
      </c>
      <c r="BH179" s="409">
        <f t="shared" si="252"/>
        <v>0</v>
      </c>
      <c r="BI179" s="409">
        <f t="shared" si="252"/>
        <v>0</v>
      </c>
      <c r="BJ179" s="409">
        <f t="shared" si="252"/>
        <v>0</v>
      </c>
      <c r="BK179" s="409">
        <f t="shared" si="252"/>
        <v>0</v>
      </c>
      <c r="BL179" s="409">
        <f t="shared" si="252"/>
        <v>0</v>
      </c>
      <c r="BM179" s="409">
        <f t="shared" si="252"/>
        <v>0</v>
      </c>
      <c r="BN179" s="409">
        <f t="shared" si="252"/>
        <v>0</v>
      </c>
      <c r="BO179" s="409">
        <f t="shared" si="252"/>
        <v>0</v>
      </c>
      <c r="BP179" s="409">
        <f t="shared" si="252"/>
        <v>0</v>
      </c>
      <c r="BQ179" s="409">
        <f t="shared" si="253"/>
        <v>0</v>
      </c>
      <c r="BR179" s="409">
        <f t="shared" si="253"/>
        <v>0</v>
      </c>
      <c r="BS179" s="409">
        <f t="shared" si="253"/>
        <v>0</v>
      </c>
      <c r="BT179" s="409">
        <f t="shared" si="253"/>
        <v>0</v>
      </c>
      <c r="BU179" s="409">
        <f t="shared" si="253"/>
        <v>0</v>
      </c>
      <c r="BV179" s="409">
        <f t="shared" si="253"/>
        <v>0</v>
      </c>
      <c r="BW179" s="409">
        <f t="shared" si="253"/>
        <v>0</v>
      </c>
      <c r="BX179" s="409">
        <f t="shared" si="253"/>
        <v>0</v>
      </c>
      <c r="BY179" s="409">
        <f t="shared" si="253"/>
        <v>0</v>
      </c>
      <c r="BZ179" s="409">
        <f t="shared" si="253"/>
        <v>0</v>
      </c>
      <c r="CA179" s="409">
        <f t="shared" si="254"/>
        <v>0</v>
      </c>
      <c r="CB179" s="409">
        <f t="shared" si="254"/>
        <v>0</v>
      </c>
      <c r="CC179" s="409">
        <f t="shared" si="254"/>
        <v>0</v>
      </c>
      <c r="CD179" s="409">
        <f t="shared" si="254"/>
        <v>0</v>
      </c>
      <c r="CE179" s="409">
        <f t="shared" si="254"/>
        <v>0</v>
      </c>
      <c r="CF179" s="409">
        <f t="shared" si="254"/>
        <v>0</v>
      </c>
      <c r="CG179" s="409">
        <f t="shared" si="254"/>
        <v>0</v>
      </c>
      <c r="CH179" s="409">
        <f t="shared" si="254"/>
        <v>0</v>
      </c>
      <c r="CI179" s="409">
        <f t="shared" si="254"/>
        <v>0</v>
      </c>
      <c r="CJ179" s="409">
        <f t="shared" si="254"/>
        <v>0</v>
      </c>
      <c r="CK179" s="409">
        <f t="shared" si="255"/>
        <v>0</v>
      </c>
      <c r="CL179" s="409">
        <f t="shared" si="255"/>
        <v>0</v>
      </c>
      <c r="CM179" s="409">
        <f t="shared" si="255"/>
        <v>0</v>
      </c>
      <c r="CN179" s="409">
        <f t="shared" si="255"/>
        <v>0</v>
      </c>
      <c r="CO179" s="409">
        <f t="shared" si="255"/>
        <v>0</v>
      </c>
      <c r="CP179" s="409">
        <f t="shared" si="255"/>
        <v>0</v>
      </c>
      <c r="CQ179" s="409">
        <f t="shared" si="255"/>
        <v>0</v>
      </c>
      <c r="CR179" s="409">
        <f t="shared" si="255"/>
        <v>0</v>
      </c>
      <c r="CS179" s="409">
        <f t="shared" si="255"/>
        <v>0</v>
      </c>
      <c r="CT179" s="409">
        <f t="shared" si="255"/>
        <v>0</v>
      </c>
      <c r="CU179" s="409">
        <f t="shared" si="256"/>
        <v>0</v>
      </c>
      <c r="CV179" s="409">
        <f t="shared" si="256"/>
        <v>0</v>
      </c>
      <c r="CW179" s="409">
        <f t="shared" si="256"/>
        <v>0</v>
      </c>
      <c r="CX179" s="409">
        <f t="shared" si="256"/>
        <v>0</v>
      </c>
      <c r="CY179" s="409">
        <f t="shared" si="256"/>
        <v>0</v>
      </c>
      <c r="CZ179" s="409">
        <f t="shared" si="256"/>
        <v>0</v>
      </c>
      <c r="DA179" s="409">
        <f t="shared" si="256"/>
        <v>0</v>
      </c>
      <c r="DB179" s="409">
        <f t="shared" si="256"/>
        <v>0</v>
      </c>
      <c r="DC179" s="409">
        <f t="shared" si="256"/>
        <v>0</v>
      </c>
      <c r="DD179" s="409">
        <f t="shared" si="256"/>
        <v>0</v>
      </c>
      <c r="DE179" s="409">
        <f t="shared" si="257"/>
        <v>0</v>
      </c>
      <c r="DF179" s="409">
        <f t="shared" si="257"/>
        <v>0</v>
      </c>
      <c r="DG179" s="409">
        <f t="shared" si="257"/>
        <v>0</v>
      </c>
      <c r="DH179" s="409">
        <f t="shared" si="257"/>
        <v>0</v>
      </c>
      <c r="DI179" s="409">
        <f t="shared" si="257"/>
        <v>0</v>
      </c>
      <c r="DJ179" s="409">
        <f t="shared" si="257"/>
        <v>0</v>
      </c>
      <c r="DK179" s="409">
        <f t="shared" si="257"/>
        <v>0</v>
      </c>
      <c r="DL179" s="409">
        <f t="shared" si="257"/>
        <v>0</v>
      </c>
      <c r="DM179" s="409">
        <f t="shared" si="257"/>
        <v>0</v>
      </c>
      <c r="DN179" s="409">
        <f t="shared" si="257"/>
        <v>0</v>
      </c>
      <c r="DO179" s="409">
        <f t="shared" si="258"/>
        <v>0</v>
      </c>
      <c r="DP179" s="409">
        <f t="shared" si="258"/>
        <v>0</v>
      </c>
      <c r="DQ179" s="409">
        <f t="shared" si="258"/>
        <v>0</v>
      </c>
      <c r="DR179" s="409">
        <f t="shared" si="258"/>
        <v>0</v>
      </c>
      <c r="DS179" s="409">
        <f t="shared" si="258"/>
        <v>0</v>
      </c>
      <c r="DT179" s="409">
        <f t="shared" si="258"/>
        <v>0</v>
      </c>
      <c r="DU179" s="409">
        <f t="shared" si="258"/>
        <v>0</v>
      </c>
      <c r="DV179" s="409">
        <f t="shared" si="258"/>
        <v>0</v>
      </c>
      <c r="DW179" s="409">
        <f t="shared" si="258"/>
        <v>0</v>
      </c>
      <c r="DX179" s="409">
        <f t="shared" si="258"/>
        <v>0</v>
      </c>
      <c r="DY179" s="409">
        <f t="shared" si="259"/>
        <v>0</v>
      </c>
      <c r="DZ179" s="409">
        <f t="shared" si="259"/>
        <v>0</v>
      </c>
      <c r="EA179" s="409">
        <f t="shared" si="259"/>
        <v>0</v>
      </c>
      <c r="EB179" s="409">
        <f t="shared" si="259"/>
        <v>0</v>
      </c>
      <c r="EC179" s="409">
        <f t="shared" si="259"/>
        <v>0</v>
      </c>
      <c r="ED179" s="409">
        <f t="shared" si="259"/>
        <v>0</v>
      </c>
      <c r="EE179" s="409">
        <f t="shared" si="259"/>
        <v>0</v>
      </c>
      <c r="EF179" s="409">
        <f t="shared" si="259"/>
        <v>0</v>
      </c>
      <c r="EG179" s="409">
        <f t="shared" si="259"/>
        <v>0</v>
      </c>
      <c r="EH179" s="409">
        <f t="shared" si="259"/>
        <v>0</v>
      </c>
      <c r="EI179" s="409">
        <f t="shared" si="260"/>
        <v>0</v>
      </c>
      <c r="EJ179" s="409">
        <f t="shared" si="260"/>
        <v>0</v>
      </c>
      <c r="EK179" s="409">
        <f t="shared" si="260"/>
        <v>0</v>
      </c>
      <c r="EL179" s="409">
        <f t="shared" si="260"/>
        <v>0</v>
      </c>
      <c r="EM179" s="409">
        <f t="shared" si="260"/>
        <v>0</v>
      </c>
      <c r="EN179" s="409">
        <f t="shared" si="260"/>
        <v>0</v>
      </c>
      <c r="EO179" s="409">
        <f t="shared" si="260"/>
        <v>0</v>
      </c>
      <c r="EP179" s="409">
        <f t="shared" si="260"/>
        <v>0</v>
      </c>
      <c r="EQ179" s="409">
        <f t="shared" si="260"/>
        <v>0</v>
      </c>
      <c r="ER179" s="409">
        <f t="shared" si="260"/>
        <v>0</v>
      </c>
      <c r="ES179" s="409">
        <f t="shared" si="261"/>
        <v>0</v>
      </c>
      <c r="ET179" s="409">
        <f t="shared" si="261"/>
        <v>0</v>
      </c>
      <c r="EU179" s="409">
        <f t="shared" si="261"/>
        <v>0</v>
      </c>
      <c r="EV179" s="409">
        <f t="shared" si="261"/>
        <v>0</v>
      </c>
      <c r="EW179" s="409">
        <f t="shared" si="261"/>
        <v>0</v>
      </c>
      <c r="EX179" s="409">
        <f t="shared" si="261"/>
        <v>0</v>
      </c>
      <c r="EY179" s="409">
        <f t="shared" si="261"/>
        <v>0</v>
      </c>
      <c r="EZ179" s="409">
        <f t="shared" si="261"/>
        <v>0</v>
      </c>
      <c r="FA179" s="409">
        <f t="shared" si="261"/>
        <v>0</v>
      </c>
      <c r="FB179" s="409">
        <f t="shared" si="261"/>
        <v>0</v>
      </c>
      <c r="FC179" s="409">
        <f t="shared" si="262"/>
        <v>0</v>
      </c>
      <c r="FD179" s="409">
        <f t="shared" si="262"/>
        <v>0</v>
      </c>
      <c r="FE179" s="409">
        <f t="shared" si="262"/>
        <v>0</v>
      </c>
      <c r="FF179" s="409">
        <f t="shared" si="262"/>
        <v>0</v>
      </c>
      <c r="FG179" s="409">
        <f t="shared" si="262"/>
        <v>0</v>
      </c>
      <c r="FH179" s="409">
        <f t="shared" si="262"/>
        <v>0</v>
      </c>
      <c r="FI179" s="409">
        <f t="shared" si="262"/>
        <v>0</v>
      </c>
      <c r="FJ179" s="409">
        <f t="shared" si="262"/>
        <v>0</v>
      </c>
      <c r="FK179" s="409">
        <f t="shared" si="262"/>
        <v>0</v>
      </c>
      <c r="FL179" s="409">
        <f t="shared" si="262"/>
        <v>0</v>
      </c>
      <c r="FM179" s="409">
        <f t="shared" si="263"/>
        <v>0</v>
      </c>
      <c r="FN179" s="409">
        <f t="shared" si="263"/>
        <v>0</v>
      </c>
      <c r="FO179" s="409">
        <f t="shared" si="263"/>
        <v>0</v>
      </c>
      <c r="FP179" s="409">
        <f t="shared" si="263"/>
        <v>0</v>
      </c>
      <c r="FQ179" s="409">
        <f t="shared" si="263"/>
        <v>0</v>
      </c>
      <c r="FR179" s="409">
        <f t="shared" si="263"/>
        <v>0</v>
      </c>
      <c r="FS179" s="409">
        <f t="shared" si="263"/>
        <v>0</v>
      </c>
      <c r="FT179" s="409">
        <f t="shared" si="263"/>
        <v>0</v>
      </c>
      <c r="FU179" s="409">
        <f t="shared" si="263"/>
        <v>0</v>
      </c>
      <c r="FV179" s="409">
        <f t="shared" si="263"/>
        <v>0</v>
      </c>
      <c r="FW179" s="409">
        <f t="shared" si="264"/>
        <v>0</v>
      </c>
      <c r="FX179" s="409">
        <f t="shared" si="264"/>
        <v>0</v>
      </c>
      <c r="FY179" s="409">
        <f t="shared" si="264"/>
        <v>0</v>
      </c>
      <c r="FZ179" s="409">
        <f t="shared" si="264"/>
        <v>0</v>
      </c>
      <c r="GA179" s="409">
        <f t="shared" si="264"/>
        <v>0</v>
      </c>
      <c r="GB179" s="409">
        <f t="shared" si="264"/>
        <v>0</v>
      </c>
      <c r="GC179" s="409">
        <f t="shared" si="264"/>
        <v>0</v>
      </c>
      <c r="GD179" s="409">
        <f t="shared" si="264"/>
        <v>0</v>
      </c>
      <c r="GE179" s="409">
        <f t="shared" si="264"/>
        <v>0</v>
      </c>
      <c r="GF179" s="409">
        <f t="shared" si="264"/>
        <v>0</v>
      </c>
      <c r="GG179" s="409">
        <f t="shared" si="265"/>
        <v>0</v>
      </c>
      <c r="GH179" s="409">
        <f t="shared" si="265"/>
        <v>0</v>
      </c>
      <c r="GI179" s="409">
        <f t="shared" si="265"/>
        <v>0</v>
      </c>
      <c r="GJ179" s="409">
        <f t="shared" si="265"/>
        <v>0</v>
      </c>
      <c r="GK179" s="409">
        <f t="shared" si="265"/>
        <v>0</v>
      </c>
      <c r="GL179" s="409">
        <f t="shared" si="265"/>
        <v>0</v>
      </c>
      <c r="GM179" s="409">
        <f t="shared" si="265"/>
        <v>0</v>
      </c>
      <c r="GN179" s="409">
        <f t="shared" si="265"/>
        <v>0</v>
      </c>
      <c r="GO179" s="409">
        <f t="shared" si="265"/>
        <v>0</v>
      </c>
      <c r="GP179" s="409">
        <f t="shared" si="265"/>
        <v>0</v>
      </c>
      <c r="GQ179" s="409">
        <f t="shared" si="266"/>
        <v>0</v>
      </c>
      <c r="GR179" s="409">
        <f t="shared" si="266"/>
        <v>0</v>
      </c>
      <c r="GS179" s="409">
        <f t="shared" si="266"/>
        <v>0</v>
      </c>
      <c r="GT179" s="409">
        <f t="shared" si="266"/>
        <v>0</v>
      </c>
      <c r="GU179" s="409">
        <f t="shared" si="266"/>
        <v>0</v>
      </c>
      <c r="GV179" s="409">
        <f t="shared" si="266"/>
        <v>0</v>
      </c>
      <c r="GW179" s="409">
        <f t="shared" si="266"/>
        <v>0</v>
      </c>
      <c r="GX179" s="409">
        <f t="shared" si="266"/>
        <v>0</v>
      </c>
      <c r="GY179" s="409">
        <f t="shared" si="266"/>
        <v>0</v>
      </c>
      <c r="GZ179" s="409">
        <f t="shared" si="266"/>
        <v>0</v>
      </c>
      <c r="HA179" s="409">
        <f t="shared" si="267"/>
        <v>0</v>
      </c>
      <c r="HB179" s="409">
        <f t="shared" si="267"/>
        <v>0</v>
      </c>
      <c r="HC179" s="409">
        <f t="shared" si="267"/>
        <v>0</v>
      </c>
      <c r="HD179" s="409">
        <f t="shared" si="267"/>
        <v>0</v>
      </c>
      <c r="HE179" s="409">
        <f t="shared" si="267"/>
        <v>0</v>
      </c>
      <c r="HF179" s="409">
        <f t="shared" si="267"/>
        <v>0</v>
      </c>
      <c r="HG179" s="409">
        <f t="shared" si="267"/>
        <v>0</v>
      </c>
      <c r="HH179" s="409">
        <f t="shared" si="267"/>
        <v>0</v>
      </c>
      <c r="HI179" s="409">
        <f t="shared" si="267"/>
        <v>0</v>
      </c>
      <c r="HJ179" s="409">
        <f t="shared" si="267"/>
        <v>0</v>
      </c>
      <c r="HK179" s="409">
        <f t="shared" si="268"/>
        <v>0</v>
      </c>
      <c r="HL179" s="409">
        <f t="shared" si="268"/>
        <v>0</v>
      </c>
      <c r="HM179" s="409">
        <f t="shared" si="268"/>
        <v>0</v>
      </c>
      <c r="HN179" s="409">
        <f t="shared" si="268"/>
        <v>0</v>
      </c>
      <c r="HO179" s="409">
        <f t="shared" si="268"/>
        <v>0</v>
      </c>
      <c r="HP179" s="409">
        <f t="shared" si="268"/>
        <v>0</v>
      </c>
      <c r="HQ179" s="409">
        <f t="shared" si="268"/>
        <v>0</v>
      </c>
      <c r="HR179" s="409">
        <f t="shared" si="268"/>
        <v>0</v>
      </c>
      <c r="HS179" s="409">
        <f t="shared" si="268"/>
        <v>0</v>
      </c>
      <c r="HT179" s="409">
        <f t="shared" si="268"/>
        <v>0</v>
      </c>
      <c r="HU179" s="409">
        <f t="shared" si="269"/>
        <v>0</v>
      </c>
      <c r="HV179" s="409">
        <f t="shared" si="269"/>
        <v>0</v>
      </c>
      <c r="HW179" s="409">
        <f t="shared" si="269"/>
        <v>0</v>
      </c>
      <c r="HX179" s="409">
        <f t="shared" si="269"/>
        <v>0</v>
      </c>
      <c r="HY179" s="409">
        <f t="shared" si="269"/>
        <v>0</v>
      </c>
      <c r="HZ179" s="409">
        <f t="shared" si="269"/>
        <v>0</v>
      </c>
      <c r="IA179" s="409">
        <f t="shared" si="269"/>
        <v>0</v>
      </c>
      <c r="IB179" s="409">
        <f t="shared" si="269"/>
        <v>0</v>
      </c>
      <c r="IC179" s="409">
        <f t="shared" si="269"/>
        <v>0</v>
      </c>
      <c r="ID179" s="409">
        <f t="shared" si="269"/>
        <v>0</v>
      </c>
      <c r="IE179" s="409">
        <f t="shared" si="222"/>
        <v>0</v>
      </c>
      <c r="IF179" s="409">
        <f t="shared" si="222"/>
        <v>0</v>
      </c>
      <c r="IG179" s="409">
        <f t="shared" si="222"/>
        <v>0</v>
      </c>
      <c r="IH179" s="409">
        <f t="shared" si="222"/>
        <v>0</v>
      </c>
      <c r="II179" s="409">
        <f t="shared" si="222"/>
        <v>0</v>
      </c>
      <c r="IJ179" s="409">
        <f t="shared" si="222"/>
        <v>0</v>
      </c>
      <c r="IK179" s="378"/>
    </row>
    <row r="180" spans="1:245" hidden="1" x14ac:dyDescent="0.2">
      <c r="A180" s="380" t="str">
        <f t="shared" si="243"/>
        <v>e</v>
      </c>
      <c r="B180" s="712" t="str">
        <f>IF(ISERROR(INDEX('Legend(DX)'!$H$11:$H$12,23)),"",INDEX('Legend(DX)'!$H$11:$H$12,23))</f>
        <v/>
      </c>
      <c r="C180" s="712" t="e">
        <f>IF(INDEX('Legend(DX)'!$T$11:$T$12,23)=0,"See Legend",INDEX('Legend(DX)'!$T$11:$T$12,23))</f>
        <v>#REF!</v>
      </c>
      <c r="D180" s="712" t="e">
        <f>IF(INDEX('Legend(DX)'!$R$11:$R$12,(ROW(C180))-137)=0,IF(AND(INDEX('Legend(DX)'!$D$11:$D$12,(ROW(C180))-136)="CH",INDEX('Legend(DX)'!$F$11:$F$12,(ROW(C180))-136)="CASE - MANUAL"),INDEX('Legend(DX)'!$R$11:$R$12,(ROW(C180))-136),IF(INDEX('Legend(DX)'!$V$11:$V$12,(ROW(C180))-137)&gt;1, "(" &amp; INDEX('Legend(DX)'!$V$11:$V$12,(ROW(C180))-137) &amp; ") " &amp; INDEX('Legend(DX)'!$W$11:$W$12,(ROW(C180))-136),INDEX('Legend(DX)'!$W$11:$W$12,(ROW(C180))-137))),INDEX('Legend(DX)'!$R$11:$R$12,(ROW(C180))-137))</f>
        <v>#REF!</v>
      </c>
      <c r="E180" s="713" t="str">
        <f>IF(ISERROR(INDEX('Legend(DX)'!$AA$11:$AA$12,23)),"",INDEX('Legend(DX)'!$AA$11:$AA$12,23))</f>
        <v/>
      </c>
      <c r="F180" s="715"/>
      <c r="G180" s="715"/>
      <c r="H180" s="715"/>
      <c r="I180" s="715"/>
      <c r="J180" s="715"/>
      <c r="K180" s="890">
        <f t="shared" si="223"/>
        <v>0</v>
      </c>
      <c r="L180" s="718"/>
      <c r="M180" s="723"/>
      <c r="N180" s="972">
        <f t="shared" si="196"/>
        <v>-1</v>
      </c>
      <c r="O180" s="972">
        <f t="shared" si="244"/>
        <v>-1</v>
      </c>
      <c r="P180" s="972">
        <f t="shared" si="197"/>
        <v>-1</v>
      </c>
      <c r="Q180" s="972">
        <f t="shared" si="245"/>
        <v>-1</v>
      </c>
      <c r="R180" s="972">
        <f t="shared" si="198"/>
        <v>-1</v>
      </c>
      <c r="S180" s="972">
        <f t="shared" si="246"/>
        <v>-1</v>
      </c>
      <c r="T180" s="972">
        <f t="shared" si="199"/>
        <v>-1</v>
      </c>
      <c r="U180" s="972">
        <f t="shared" si="247"/>
        <v>-1</v>
      </c>
      <c r="V180" s="972">
        <f t="shared" si="200"/>
        <v>-1</v>
      </c>
      <c r="W180" s="972">
        <f t="shared" si="248"/>
        <v>-1</v>
      </c>
      <c r="X180" s="972">
        <f t="shared" si="201"/>
        <v>-1</v>
      </c>
      <c r="Y180" s="972">
        <f t="shared" si="229"/>
        <v>-1</v>
      </c>
      <c r="Z180" s="972">
        <f t="shared" si="230"/>
        <v>-1</v>
      </c>
      <c r="AA180" s="972">
        <f t="shared" si="231"/>
        <v>-1</v>
      </c>
      <c r="AB180" s="972">
        <f t="shared" si="232"/>
        <v>-1</v>
      </c>
      <c r="AC180" s="972">
        <f t="shared" si="233"/>
        <v>-1</v>
      </c>
      <c r="AD180" s="972">
        <f t="shared" si="234"/>
        <v>-1</v>
      </c>
      <c r="AE180" s="972">
        <f t="shared" si="235"/>
        <v>-1</v>
      </c>
      <c r="AF180" s="972">
        <f t="shared" si="236"/>
        <v>-1</v>
      </c>
      <c r="AG180" s="972">
        <f t="shared" si="237"/>
        <v>-1</v>
      </c>
      <c r="AH180" s="972">
        <f t="shared" si="238"/>
        <v>-1</v>
      </c>
      <c r="AI180" s="972">
        <f t="shared" si="239"/>
        <v>-1</v>
      </c>
      <c r="AJ180" s="972">
        <f t="shared" si="240"/>
        <v>-1</v>
      </c>
      <c r="AK180" s="381"/>
      <c r="AL180" s="727" t="str">
        <f t="shared" si="249"/>
        <v/>
      </c>
      <c r="AM180" s="409">
        <f t="shared" si="250"/>
        <v>0</v>
      </c>
      <c r="AN180" s="409">
        <f t="shared" si="250"/>
        <v>0</v>
      </c>
      <c r="AO180" s="409">
        <f t="shared" si="250"/>
        <v>0</v>
      </c>
      <c r="AP180" s="409">
        <f t="shared" si="250"/>
        <v>0</v>
      </c>
      <c r="AQ180" s="409">
        <f t="shared" si="250"/>
        <v>0</v>
      </c>
      <c r="AR180" s="409">
        <f t="shared" si="250"/>
        <v>0</v>
      </c>
      <c r="AS180" s="409">
        <f t="shared" si="250"/>
        <v>0</v>
      </c>
      <c r="AT180" s="409">
        <f t="shared" si="250"/>
        <v>0</v>
      </c>
      <c r="AU180" s="409">
        <f t="shared" si="250"/>
        <v>0</v>
      </c>
      <c r="AV180" s="409">
        <f t="shared" si="250"/>
        <v>0</v>
      </c>
      <c r="AW180" s="409">
        <f t="shared" si="251"/>
        <v>0</v>
      </c>
      <c r="AX180" s="409">
        <f t="shared" si="251"/>
        <v>0</v>
      </c>
      <c r="AY180" s="409">
        <f t="shared" si="251"/>
        <v>0</v>
      </c>
      <c r="AZ180" s="409">
        <f t="shared" si="251"/>
        <v>0</v>
      </c>
      <c r="BA180" s="409">
        <f t="shared" si="251"/>
        <v>0</v>
      </c>
      <c r="BB180" s="409">
        <f t="shared" si="251"/>
        <v>0</v>
      </c>
      <c r="BC180" s="409">
        <f t="shared" si="251"/>
        <v>0</v>
      </c>
      <c r="BD180" s="409">
        <f t="shared" si="251"/>
        <v>0</v>
      </c>
      <c r="BE180" s="409">
        <f t="shared" si="251"/>
        <v>0</v>
      </c>
      <c r="BF180" s="409">
        <f t="shared" si="251"/>
        <v>0</v>
      </c>
      <c r="BG180" s="409">
        <f t="shared" si="252"/>
        <v>0</v>
      </c>
      <c r="BH180" s="409">
        <f t="shared" si="252"/>
        <v>0</v>
      </c>
      <c r="BI180" s="409">
        <f t="shared" si="252"/>
        <v>0</v>
      </c>
      <c r="BJ180" s="409">
        <f t="shared" si="252"/>
        <v>0</v>
      </c>
      <c r="BK180" s="409">
        <f t="shared" si="252"/>
        <v>0</v>
      </c>
      <c r="BL180" s="409">
        <f t="shared" si="252"/>
        <v>0</v>
      </c>
      <c r="BM180" s="409">
        <f t="shared" si="252"/>
        <v>0</v>
      </c>
      <c r="BN180" s="409">
        <f t="shared" si="252"/>
        <v>0</v>
      </c>
      <c r="BO180" s="409">
        <f t="shared" si="252"/>
        <v>0</v>
      </c>
      <c r="BP180" s="409">
        <f t="shared" si="252"/>
        <v>0</v>
      </c>
      <c r="BQ180" s="409">
        <f t="shared" si="253"/>
        <v>0</v>
      </c>
      <c r="BR180" s="409">
        <f t="shared" si="253"/>
        <v>0</v>
      </c>
      <c r="BS180" s="409">
        <f t="shared" si="253"/>
        <v>0</v>
      </c>
      <c r="BT180" s="409">
        <f t="shared" si="253"/>
        <v>0</v>
      </c>
      <c r="BU180" s="409">
        <f t="shared" si="253"/>
        <v>0</v>
      </c>
      <c r="BV180" s="409">
        <f t="shared" si="253"/>
        <v>0</v>
      </c>
      <c r="BW180" s="409">
        <f t="shared" si="253"/>
        <v>0</v>
      </c>
      <c r="BX180" s="409">
        <f t="shared" si="253"/>
        <v>0</v>
      </c>
      <c r="BY180" s="409">
        <f t="shared" si="253"/>
        <v>0</v>
      </c>
      <c r="BZ180" s="409">
        <f t="shared" si="253"/>
        <v>0</v>
      </c>
      <c r="CA180" s="409">
        <f t="shared" si="254"/>
        <v>0</v>
      </c>
      <c r="CB180" s="409">
        <f t="shared" si="254"/>
        <v>0</v>
      </c>
      <c r="CC180" s="409">
        <f t="shared" si="254"/>
        <v>0</v>
      </c>
      <c r="CD180" s="409">
        <f t="shared" si="254"/>
        <v>0</v>
      </c>
      <c r="CE180" s="409">
        <f t="shared" si="254"/>
        <v>0</v>
      </c>
      <c r="CF180" s="409">
        <f t="shared" si="254"/>
        <v>0</v>
      </c>
      <c r="CG180" s="409">
        <f t="shared" si="254"/>
        <v>0</v>
      </c>
      <c r="CH180" s="409">
        <f t="shared" si="254"/>
        <v>0</v>
      </c>
      <c r="CI180" s="409">
        <f t="shared" si="254"/>
        <v>0</v>
      </c>
      <c r="CJ180" s="409">
        <f t="shared" si="254"/>
        <v>0</v>
      </c>
      <c r="CK180" s="409">
        <f t="shared" si="255"/>
        <v>0</v>
      </c>
      <c r="CL180" s="409">
        <f t="shared" si="255"/>
        <v>0</v>
      </c>
      <c r="CM180" s="409">
        <f t="shared" si="255"/>
        <v>0</v>
      </c>
      <c r="CN180" s="409">
        <f t="shared" si="255"/>
        <v>0</v>
      </c>
      <c r="CO180" s="409">
        <f t="shared" si="255"/>
        <v>0</v>
      </c>
      <c r="CP180" s="409">
        <f t="shared" si="255"/>
        <v>0</v>
      </c>
      <c r="CQ180" s="409">
        <f t="shared" si="255"/>
        <v>0</v>
      </c>
      <c r="CR180" s="409">
        <f t="shared" si="255"/>
        <v>0</v>
      </c>
      <c r="CS180" s="409">
        <f t="shared" si="255"/>
        <v>0</v>
      </c>
      <c r="CT180" s="409">
        <f t="shared" si="255"/>
        <v>0</v>
      </c>
      <c r="CU180" s="409">
        <f t="shared" si="256"/>
        <v>0</v>
      </c>
      <c r="CV180" s="409">
        <f t="shared" si="256"/>
        <v>0</v>
      </c>
      <c r="CW180" s="409">
        <f t="shared" si="256"/>
        <v>0</v>
      </c>
      <c r="CX180" s="409">
        <f t="shared" si="256"/>
        <v>0</v>
      </c>
      <c r="CY180" s="409">
        <f t="shared" si="256"/>
        <v>0</v>
      </c>
      <c r="CZ180" s="409">
        <f t="shared" si="256"/>
        <v>0</v>
      </c>
      <c r="DA180" s="409">
        <f t="shared" si="256"/>
        <v>0</v>
      </c>
      <c r="DB180" s="409">
        <f t="shared" si="256"/>
        <v>0</v>
      </c>
      <c r="DC180" s="409">
        <f t="shared" si="256"/>
        <v>0</v>
      </c>
      <c r="DD180" s="409">
        <f t="shared" si="256"/>
        <v>0</v>
      </c>
      <c r="DE180" s="409">
        <f t="shared" si="257"/>
        <v>0</v>
      </c>
      <c r="DF180" s="409">
        <f t="shared" si="257"/>
        <v>0</v>
      </c>
      <c r="DG180" s="409">
        <f t="shared" si="257"/>
        <v>0</v>
      </c>
      <c r="DH180" s="409">
        <f t="shared" si="257"/>
        <v>0</v>
      </c>
      <c r="DI180" s="409">
        <f t="shared" si="257"/>
        <v>0</v>
      </c>
      <c r="DJ180" s="409">
        <f t="shared" si="257"/>
        <v>0</v>
      </c>
      <c r="DK180" s="409">
        <f t="shared" si="257"/>
        <v>0</v>
      </c>
      <c r="DL180" s="409">
        <f t="shared" si="257"/>
        <v>0</v>
      </c>
      <c r="DM180" s="409">
        <f t="shared" si="257"/>
        <v>0</v>
      </c>
      <c r="DN180" s="409">
        <f t="shared" si="257"/>
        <v>0</v>
      </c>
      <c r="DO180" s="409">
        <f t="shared" si="258"/>
        <v>0</v>
      </c>
      <c r="DP180" s="409">
        <f t="shared" si="258"/>
        <v>0</v>
      </c>
      <c r="DQ180" s="409">
        <f t="shared" si="258"/>
        <v>0</v>
      </c>
      <c r="DR180" s="409">
        <f t="shared" si="258"/>
        <v>0</v>
      </c>
      <c r="DS180" s="409">
        <f t="shared" si="258"/>
        <v>0</v>
      </c>
      <c r="DT180" s="409">
        <f t="shared" si="258"/>
        <v>0</v>
      </c>
      <c r="DU180" s="409">
        <f t="shared" si="258"/>
        <v>0</v>
      </c>
      <c r="DV180" s="409">
        <f t="shared" si="258"/>
        <v>0</v>
      </c>
      <c r="DW180" s="409">
        <f t="shared" si="258"/>
        <v>0</v>
      </c>
      <c r="DX180" s="409">
        <f t="shared" si="258"/>
        <v>0</v>
      </c>
      <c r="DY180" s="409">
        <f t="shared" si="259"/>
        <v>0</v>
      </c>
      <c r="DZ180" s="409">
        <f t="shared" si="259"/>
        <v>0</v>
      </c>
      <c r="EA180" s="409">
        <f t="shared" si="259"/>
        <v>0</v>
      </c>
      <c r="EB180" s="409">
        <f t="shared" si="259"/>
        <v>0</v>
      </c>
      <c r="EC180" s="409">
        <f t="shared" si="259"/>
        <v>0</v>
      </c>
      <c r="ED180" s="409">
        <f t="shared" si="259"/>
        <v>0</v>
      </c>
      <c r="EE180" s="409">
        <f t="shared" si="259"/>
        <v>0</v>
      </c>
      <c r="EF180" s="409">
        <f t="shared" si="259"/>
        <v>0</v>
      </c>
      <c r="EG180" s="409">
        <f t="shared" si="259"/>
        <v>0</v>
      </c>
      <c r="EH180" s="409">
        <f t="shared" si="259"/>
        <v>0</v>
      </c>
      <c r="EI180" s="409">
        <f t="shared" si="260"/>
        <v>0</v>
      </c>
      <c r="EJ180" s="409">
        <f t="shared" si="260"/>
        <v>0</v>
      </c>
      <c r="EK180" s="409">
        <f t="shared" si="260"/>
        <v>0</v>
      </c>
      <c r="EL180" s="409">
        <f t="shared" si="260"/>
        <v>0</v>
      </c>
      <c r="EM180" s="409">
        <f t="shared" si="260"/>
        <v>0</v>
      </c>
      <c r="EN180" s="409">
        <f t="shared" si="260"/>
        <v>0</v>
      </c>
      <c r="EO180" s="409">
        <f t="shared" si="260"/>
        <v>0</v>
      </c>
      <c r="EP180" s="409">
        <f t="shared" si="260"/>
        <v>0</v>
      </c>
      <c r="EQ180" s="409">
        <f t="shared" si="260"/>
        <v>0</v>
      </c>
      <c r="ER180" s="409">
        <f t="shared" si="260"/>
        <v>0</v>
      </c>
      <c r="ES180" s="409">
        <f t="shared" si="261"/>
        <v>0</v>
      </c>
      <c r="ET180" s="409">
        <f t="shared" si="261"/>
        <v>0</v>
      </c>
      <c r="EU180" s="409">
        <f t="shared" si="261"/>
        <v>0</v>
      </c>
      <c r="EV180" s="409">
        <f t="shared" si="261"/>
        <v>0</v>
      </c>
      <c r="EW180" s="409">
        <f t="shared" si="261"/>
        <v>0</v>
      </c>
      <c r="EX180" s="409">
        <f t="shared" si="261"/>
        <v>0</v>
      </c>
      <c r="EY180" s="409">
        <f t="shared" si="261"/>
        <v>0</v>
      </c>
      <c r="EZ180" s="409">
        <f t="shared" si="261"/>
        <v>0</v>
      </c>
      <c r="FA180" s="409">
        <f t="shared" si="261"/>
        <v>0</v>
      </c>
      <c r="FB180" s="409">
        <f t="shared" si="261"/>
        <v>0</v>
      </c>
      <c r="FC180" s="409">
        <f t="shared" si="262"/>
        <v>0</v>
      </c>
      <c r="FD180" s="409">
        <f t="shared" si="262"/>
        <v>0</v>
      </c>
      <c r="FE180" s="409">
        <f t="shared" si="262"/>
        <v>0</v>
      </c>
      <c r="FF180" s="409">
        <f t="shared" si="262"/>
        <v>0</v>
      </c>
      <c r="FG180" s="409">
        <f t="shared" si="262"/>
        <v>0</v>
      </c>
      <c r="FH180" s="409">
        <f t="shared" si="262"/>
        <v>0</v>
      </c>
      <c r="FI180" s="409">
        <f t="shared" si="262"/>
        <v>0</v>
      </c>
      <c r="FJ180" s="409">
        <f t="shared" si="262"/>
        <v>0</v>
      </c>
      <c r="FK180" s="409">
        <f t="shared" si="262"/>
        <v>0</v>
      </c>
      <c r="FL180" s="409">
        <f t="shared" si="262"/>
        <v>0</v>
      </c>
      <c r="FM180" s="409">
        <f t="shared" si="263"/>
        <v>0</v>
      </c>
      <c r="FN180" s="409">
        <f t="shared" si="263"/>
        <v>0</v>
      </c>
      <c r="FO180" s="409">
        <f t="shared" si="263"/>
        <v>0</v>
      </c>
      <c r="FP180" s="409">
        <f t="shared" si="263"/>
        <v>0</v>
      </c>
      <c r="FQ180" s="409">
        <f t="shared" si="263"/>
        <v>0</v>
      </c>
      <c r="FR180" s="409">
        <f t="shared" si="263"/>
        <v>0</v>
      </c>
      <c r="FS180" s="409">
        <f t="shared" si="263"/>
        <v>0</v>
      </c>
      <c r="FT180" s="409">
        <f t="shared" si="263"/>
        <v>0</v>
      </c>
      <c r="FU180" s="409">
        <f t="shared" si="263"/>
        <v>0</v>
      </c>
      <c r="FV180" s="409">
        <f t="shared" si="263"/>
        <v>0</v>
      </c>
      <c r="FW180" s="409">
        <f t="shared" si="264"/>
        <v>0</v>
      </c>
      <c r="FX180" s="409">
        <f t="shared" si="264"/>
        <v>0</v>
      </c>
      <c r="FY180" s="409">
        <f t="shared" si="264"/>
        <v>0</v>
      </c>
      <c r="FZ180" s="409">
        <f t="shared" si="264"/>
        <v>0</v>
      </c>
      <c r="GA180" s="409">
        <f t="shared" si="264"/>
        <v>0</v>
      </c>
      <c r="GB180" s="409">
        <f t="shared" si="264"/>
        <v>0</v>
      </c>
      <c r="GC180" s="409">
        <f t="shared" si="264"/>
        <v>0</v>
      </c>
      <c r="GD180" s="409">
        <f t="shared" si="264"/>
        <v>0</v>
      </c>
      <c r="GE180" s="409">
        <f t="shared" si="264"/>
        <v>0</v>
      </c>
      <c r="GF180" s="409">
        <f t="shared" si="264"/>
        <v>0</v>
      </c>
      <c r="GG180" s="409">
        <f t="shared" si="265"/>
        <v>0</v>
      </c>
      <c r="GH180" s="409">
        <f t="shared" si="265"/>
        <v>0</v>
      </c>
      <c r="GI180" s="409">
        <f t="shared" si="265"/>
        <v>0</v>
      </c>
      <c r="GJ180" s="409">
        <f t="shared" si="265"/>
        <v>0</v>
      </c>
      <c r="GK180" s="409">
        <f t="shared" si="265"/>
        <v>0</v>
      </c>
      <c r="GL180" s="409">
        <f t="shared" si="265"/>
        <v>0</v>
      </c>
      <c r="GM180" s="409">
        <f t="shared" si="265"/>
        <v>0</v>
      </c>
      <c r="GN180" s="409">
        <f t="shared" si="265"/>
        <v>0</v>
      </c>
      <c r="GO180" s="409">
        <f t="shared" si="265"/>
        <v>0</v>
      </c>
      <c r="GP180" s="409">
        <f t="shared" si="265"/>
        <v>0</v>
      </c>
      <c r="GQ180" s="409">
        <f t="shared" si="266"/>
        <v>0</v>
      </c>
      <c r="GR180" s="409">
        <f t="shared" si="266"/>
        <v>0</v>
      </c>
      <c r="GS180" s="409">
        <f t="shared" si="266"/>
        <v>0</v>
      </c>
      <c r="GT180" s="409">
        <f t="shared" si="266"/>
        <v>0</v>
      </c>
      <c r="GU180" s="409">
        <f t="shared" si="266"/>
        <v>0</v>
      </c>
      <c r="GV180" s="409">
        <f t="shared" si="266"/>
        <v>0</v>
      </c>
      <c r="GW180" s="409">
        <f t="shared" si="266"/>
        <v>0</v>
      </c>
      <c r="GX180" s="409">
        <f t="shared" si="266"/>
        <v>0</v>
      </c>
      <c r="GY180" s="409">
        <f t="shared" si="266"/>
        <v>0</v>
      </c>
      <c r="GZ180" s="409">
        <f t="shared" si="266"/>
        <v>0</v>
      </c>
      <c r="HA180" s="409">
        <f t="shared" si="267"/>
        <v>0</v>
      </c>
      <c r="HB180" s="409">
        <f t="shared" si="267"/>
        <v>0</v>
      </c>
      <c r="HC180" s="409">
        <f t="shared" si="267"/>
        <v>0</v>
      </c>
      <c r="HD180" s="409">
        <f t="shared" si="267"/>
        <v>0</v>
      </c>
      <c r="HE180" s="409">
        <f t="shared" si="267"/>
        <v>0</v>
      </c>
      <c r="HF180" s="409">
        <f t="shared" si="267"/>
        <v>0</v>
      </c>
      <c r="HG180" s="409">
        <f t="shared" si="267"/>
        <v>0</v>
      </c>
      <c r="HH180" s="409">
        <f t="shared" si="267"/>
        <v>0</v>
      </c>
      <c r="HI180" s="409">
        <f t="shared" si="267"/>
        <v>0</v>
      </c>
      <c r="HJ180" s="409">
        <f t="shared" si="267"/>
        <v>0</v>
      </c>
      <c r="HK180" s="409">
        <f t="shared" si="268"/>
        <v>0</v>
      </c>
      <c r="HL180" s="409">
        <f t="shared" si="268"/>
        <v>0</v>
      </c>
      <c r="HM180" s="409">
        <f t="shared" si="268"/>
        <v>0</v>
      </c>
      <c r="HN180" s="409">
        <f t="shared" si="268"/>
        <v>0</v>
      </c>
      <c r="HO180" s="409">
        <f t="shared" si="268"/>
        <v>0</v>
      </c>
      <c r="HP180" s="409">
        <f t="shared" si="268"/>
        <v>0</v>
      </c>
      <c r="HQ180" s="409">
        <f t="shared" si="268"/>
        <v>0</v>
      </c>
      <c r="HR180" s="409">
        <f t="shared" si="268"/>
        <v>0</v>
      </c>
      <c r="HS180" s="409">
        <f t="shared" si="268"/>
        <v>0</v>
      </c>
      <c r="HT180" s="409">
        <f t="shared" si="268"/>
        <v>0</v>
      </c>
      <c r="HU180" s="409">
        <f t="shared" si="269"/>
        <v>0</v>
      </c>
      <c r="HV180" s="409">
        <f t="shared" si="269"/>
        <v>0</v>
      </c>
      <c r="HW180" s="409">
        <f t="shared" si="269"/>
        <v>0</v>
      </c>
      <c r="HX180" s="409">
        <f t="shared" si="269"/>
        <v>0</v>
      </c>
      <c r="HY180" s="409">
        <f t="shared" si="269"/>
        <v>0</v>
      </c>
      <c r="HZ180" s="409">
        <f t="shared" si="269"/>
        <v>0</v>
      </c>
      <c r="IA180" s="409">
        <f t="shared" si="269"/>
        <v>0</v>
      </c>
      <c r="IB180" s="409">
        <f t="shared" si="269"/>
        <v>0</v>
      </c>
      <c r="IC180" s="409">
        <f t="shared" si="269"/>
        <v>0</v>
      </c>
      <c r="ID180" s="409">
        <f t="shared" si="269"/>
        <v>0</v>
      </c>
      <c r="IE180" s="409">
        <f t="shared" si="222"/>
        <v>0</v>
      </c>
      <c r="IF180" s="409">
        <f t="shared" si="222"/>
        <v>0</v>
      </c>
      <c r="IG180" s="409">
        <f t="shared" si="222"/>
        <v>0</v>
      </c>
      <c r="IH180" s="409">
        <f t="shared" si="222"/>
        <v>0</v>
      </c>
      <c r="II180" s="409">
        <f t="shared" si="222"/>
        <v>0</v>
      </c>
      <c r="IJ180" s="409">
        <f t="shared" si="222"/>
        <v>0</v>
      </c>
      <c r="IK180" s="378"/>
    </row>
    <row r="181" spans="1:245" hidden="1" x14ac:dyDescent="0.2">
      <c r="A181" s="380" t="str">
        <f t="shared" si="243"/>
        <v>e</v>
      </c>
      <c r="B181" s="712" t="str">
        <f>IF(ISERROR(INDEX('Legend(DX)'!$H$11:$H$12,24)),"",INDEX('Legend(DX)'!$H$11:$H$12,24))</f>
        <v/>
      </c>
      <c r="C181" s="712" t="e">
        <f>IF(INDEX('Legend(DX)'!$T$11:$T$12,24)=0,"See Legend",INDEX('Legend(DX)'!$T$11:$T$12,24))</f>
        <v>#REF!</v>
      </c>
      <c r="D181" s="712" t="e">
        <f>IF(INDEX('Legend(DX)'!$R$11:$R$12,(ROW(C181))-137)=0,IF(AND(INDEX('Legend(DX)'!$D$11:$D$12,(ROW(C181))-136)="CH",INDEX('Legend(DX)'!$F$11:$F$12,(ROW(C181))-136)="CASE - MANUAL"),INDEX('Legend(DX)'!$R$11:$R$12,(ROW(C181))-136),IF(INDEX('Legend(DX)'!$V$11:$V$12,(ROW(C181))-137)&gt;1, "(" &amp; INDEX('Legend(DX)'!$V$11:$V$12,(ROW(C181))-137) &amp; ") " &amp; INDEX('Legend(DX)'!$W$11:$W$12,(ROW(C181))-136),INDEX('Legend(DX)'!$W$11:$W$12,(ROW(C181))-137))),INDEX('Legend(DX)'!$R$11:$R$12,(ROW(C181))-137))</f>
        <v>#REF!</v>
      </c>
      <c r="E181" s="713" t="str">
        <f>IF(ISERROR(INDEX('Legend(DX)'!$AA$11:$AA$12,24)),"",INDEX('Legend(DX)'!$AA$11:$AA$12,24))</f>
        <v/>
      </c>
      <c r="F181" s="715"/>
      <c r="G181" s="715"/>
      <c r="H181" s="715"/>
      <c r="I181" s="715"/>
      <c r="J181" s="715"/>
      <c r="K181" s="890">
        <f t="shared" si="223"/>
        <v>0</v>
      </c>
      <c r="L181" s="718"/>
      <c r="M181" s="723"/>
      <c r="N181" s="972">
        <f t="shared" si="196"/>
        <v>-1</v>
      </c>
      <c r="O181" s="972">
        <f t="shared" si="244"/>
        <v>-1</v>
      </c>
      <c r="P181" s="972">
        <f t="shared" si="197"/>
        <v>-1</v>
      </c>
      <c r="Q181" s="972">
        <f t="shared" si="245"/>
        <v>-1</v>
      </c>
      <c r="R181" s="972">
        <f t="shared" si="198"/>
        <v>-1</v>
      </c>
      <c r="S181" s="972">
        <f t="shared" si="246"/>
        <v>-1</v>
      </c>
      <c r="T181" s="972">
        <f t="shared" si="199"/>
        <v>-1</v>
      </c>
      <c r="U181" s="972">
        <f t="shared" si="247"/>
        <v>-1</v>
      </c>
      <c r="V181" s="972">
        <f t="shared" si="200"/>
        <v>-1</v>
      </c>
      <c r="W181" s="972">
        <f t="shared" si="248"/>
        <v>-1</v>
      </c>
      <c r="X181" s="972">
        <f t="shared" si="201"/>
        <v>-1</v>
      </c>
      <c r="Y181" s="972">
        <f t="shared" si="229"/>
        <v>-1</v>
      </c>
      <c r="Z181" s="972">
        <f t="shared" si="230"/>
        <v>-1</v>
      </c>
      <c r="AA181" s="972">
        <f t="shared" si="231"/>
        <v>-1</v>
      </c>
      <c r="AB181" s="972">
        <f t="shared" si="232"/>
        <v>-1</v>
      </c>
      <c r="AC181" s="972">
        <f t="shared" si="233"/>
        <v>-1</v>
      </c>
      <c r="AD181" s="972">
        <f t="shared" si="234"/>
        <v>-1</v>
      </c>
      <c r="AE181" s="972">
        <f t="shared" si="235"/>
        <v>-1</v>
      </c>
      <c r="AF181" s="972">
        <f t="shared" si="236"/>
        <v>-1</v>
      </c>
      <c r="AG181" s="972">
        <f t="shared" si="237"/>
        <v>-1</v>
      </c>
      <c r="AH181" s="972">
        <f t="shared" si="238"/>
        <v>-1</v>
      </c>
      <c r="AI181" s="972">
        <f t="shared" si="239"/>
        <v>-1</v>
      </c>
      <c r="AJ181" s="972">
        <f t="shared" si="240"/>
        <v>-1</v>
      </c>
      <c r="AK181" s="381"/>
      <c r="AL181" s="727" t="str">
        <f t="shared" si="249"/>
        <v/>
      </c>
      <c r="AM181" s="409">
        <f t="shared" si="250"/>
        <v>0</v>
      </c>
      <c r="AN181" s="409">
        <f t="shared" si="250"/>
        <v>0</v>
      </c>
      <c r="AO181" s="409">
        <f t="shared" si="250"/>
        <v>0</v>
      </c>
      <c r="AP181" s="409">
        <f t="shared" si="250"/>
        <v>0</v>
      </c>
      <c r="AQ181" s="409">
        <f t="shared" si="250"/>
        <v>0</v>
      </c>
      <c r="AR181" s="409">
        <f t="shared" si="250"/>
        <v>0</v>
      </c>
      <c r="AS181" s="409">
        <f t="shared" si="250"/>
        <v>0</v>
      </c>
      <c r="AT181" s="409">
        <f t="shared" si="250"/>
        <v>0</v>
      </c>
      <c r="AU181" s="409">
        <f t="shared" si="250"/>
        <v>0</v>
      </c>
      <c r="AV181" s="409">
        <f t="shared" si="250"/>
        <v>0</v>
      </c>
      <c r="AW181" s="409">
        <f t="shared" si="251"/>
        <v>0</v>
      </c>
      <c r="AX181" s="409">
        <f t="shared" si="251"/>
        <v>0</v>
      </c>
      <c r="AY181" s="409">
        <f t="shared" si="251"/>
        <v>0</v>
      </c>
      <c r="AZ181" s="409">
        <f t="shared" si="251"/>
        <v>0</v>
      </c>
      <c r="BA181" s="409">
        <f t="shared" si="251"/>
        <v>0</v>
      </c>
      <c r="BB181" s="409">
        <f t="shared" si="251"/>
        <v>0</v>
      </c>
      <c r="BC181" s="409">
        <f t="shared" si="251"/>
        <v>0</v>
      </c>
      <c r="BD181" s="409">
        <f t="shared" si="251"/>
        <v>0</v>
      </c>
      <c r="BE181" s="409">
        <f t="shared" si="251"/>
        <v>0</v>
      </c>
      <c r="BF181" s="409">
        <f t="shared" si="251"/>
        <v>0</v>
      </c>
      <c r="BG181" s="409">
        <f t="shared" si="252"/>
        <v>0</v>
      </c>
      <c r="BH181" s="409">
        <f t="shared" si="252"/>
        <v>0</v>
      </c>
      <c r="BI181" s="409">
        <f t="shared" si="252"/>
        <v>0</v>
      </c>
      <c r="BJ181" s="409">
        <f t="shared" si="252"/>
        <v>0</v>
      </c>
      <c r="BK181" s="409">
        <f t="shared" si="252"/>
        <v>0</v>
      </c>
      <c r="BL181" s="409">
        <f t="shared" si="252"/>
        <v>0</v>
      </c>
      <c r="BM181" s="409">
        <f t="shared" si="252"/>
        <v>0</v>
      </c>
      <c r="BN181" s="409">
        <f t="shared" si="252"/>
        <v>0</v>
      </c>
      <c r="BO181" s="409">
        <f t="shared" si="252"/>
        <v>0</v>
      </c>
      <c r="BP181" s="409">
        <f t="shared" si="252"/>
        <v>0</v>
      </c>
      <c r="BQ181" s="409">
        <f t="shared" si="253"/>
        <v>0</v>
      </c>
      <c r="BR181" s="409">
        <f t="shared" si="253"/>
        <v>0</v>
      </c>
      <c r="BS181" s="409">
        <f t="shared" si="253"/>
        <v>0</v>
      </c>
      <c r="BT181" s="409">
        <f t="shared" si="253"/>
        <v>0</v>
      </c>
      <c r="BU181" s="409">
        <f t="shared" si="253"/>
        <v>0</v>
      </c>
      <c r="BV181" s="409">
        <f t="shared" si="253"/>
        <v>0</v>
      </c>
      <c r="BW181" s="409">
        <f t="shared" si="253"/>
        <v>0</v>
      </c>
      <c r="BX181" s="409">
        <f t="shared" si="253"/>
        <v>0</v>
      </c>
      <c r="BY181" s="409">
        <f t="shared" si="253"/>
        <v>0</v>
      </c>
      <c r="BZ181" s="409">
        <f t="shared" si="253"/>
        <v>0</v>
      </c>
      <c r="CA181" s="409">
        <f t="shared" si="254"/>
        <v>0</v>
      </c>
      <c r="CB181" s="409">
        <f t="shared" si="254"/>
        <v>0</v>
      </c>
      <c r="CC181" s="409">
        <f t="shared" si="254"/>
        <v>0</v>
      </c>
      <c r="CD181" s="409">
        <f t="shared" si="254"/>
        <v>0</v>
      </c>
      <c r="CE181" s="409">
        <f t="shared" si="254"/>
        <v>0</v>
      </c>
      <c r="CF181" s="409">
        <f t="shared" si="254"/>
        <v>0</v>
      </c>
      <c r="CG181" s="409">
        <f t="shared" si="254"/>
        <v>0</v>
      </c>
      <c r="CH181" s="409">
        <f t="shared" si="254"/>
        <v>0</v>
      </c>
      <c r="CI181" s="409">
        <f t="shared" si="254"/>
        <v>0</v>
      </c>
      <c r="CJ181" s="409">
        <f t="shared" si="254"/>
        <v>0</v>
      </c>
      <c r="CK181" s="409">
        <f t="shared" si="255"/>
        <v>0</v>
      </c>
      <c r="CL181" s="409">
        <f t="shared" si="255"/>
        <v>0</v>
      </c>
      <c r="CM181" s="409">
        <f t="shared" si="255"/>
        <v>0</v>
      </c>
      <c r="CN181" s="409">
        <f t="shared" si="255"/>
        <v>0</v>
      </c>
      <c r="CO181" s="409">
        <f t="shared" si="255"/>
        <v>0</v>
      </c>
      <c r="CP181" s="409">
        <f t="shared" si="255"/>
        <v>0</v>
      </c>
      <c r="CQ181" s="409">
        <f t="shared" si="255"/>
        <v>0</v>
      </c>
      <c r="CR181" s="409">
        <f t="shared" si="255"/>
        <v>0</v>
      </c>
      <c r="CS181" s="409">
        <f t="shared" si="255"/>
        <v>0</v>
      </c>
      <c r="CT181" s="409">
        <f t="shared" si="255"/>
        <v>0</v>
      </c>
      <c r="CU181" s="409">
        <f t="shared" si="256"/>
        <v>0</v>
      </c>
      <c r="CV181" s="409">
        <f t="shared" si="256"/>
        <v>0</v>
      </c>
      <c r="CW181" s="409">
        <f t="shared" si="256"/>
        <v>0</v>
      </c>
      <c r="CX181" s="409">
        <f t="shared" si="256"/>
        <v>0</v>
      </c>
      <c r="CY181" s="409">
        <f t="shared" si="256"/>
        <v>0</v>
      </c>
      <c r="CZ181" s="409">
        <f t="shared" si="256"/>
        <v>0</v>
      </c>
      <c r="DA181" s="409">
        <f t="shared" si="256"/>
        <v>0</v>
      </c>
      <c r="DB181" s="409">
        <f t="shared" si="256"/>
        <v>0</v>
      </c>
      <c r="DC181" s="409">
        <f t="shared" si="256"/>
        <v>0</v>
      </c>
      <c r="DD181" s="409">
        <f t="shared" si="256"/>
        <v>0</v>
      </c>
      <c r="DE181" s="409">
        <f t="shared" si="257"/>
        <v>0</v>
      </c>
      <c r="DF181" s="409">
        <f t="shared" si="257"/>
        <v>0</v>
      </c>
      <c r="DG181" s="409">
        <f t="shared" si="257"/>
        <v>0</v>
      </c>
      <c r="DH181" s="409">
        <f t="shared" si="257"/>
        <v>0</v>
      </c>
      <c r="DI181" s="409">
        <f t="shared" si="257"/>
        <v>0</v>
      </c>
      <c r="DJ181" s="409">
        <f t="shared" si="257"/>
        <v>0</v>
      </c>
      <c r="DK181" s="409">
        <f t="shared" si="257"/>
        <v>0</v>
      </c>
      <c r="DL181" s="409">
        <f t="shared" si="257"/>
        <v>0</v>
      </c>
      <c r="DM181" s="409">
        <f t="shared" si="257"/>
        <v>0</v>
      </c>
      <c r="DN181" s="409">
        <f t="shared" si="257"/>
        <v>0</v>
      </c>
      <c r="DO181" s="409">
        <f t="shared" si="258"/>
        <v>0</v>
      </c>
      <c r="DP181" s="409">
        <f t="shared" si="258"/>
        <v>0</v>
      </c>
      <c r="DQ181" s="409">
        <f t="shared" si="258"/>
        <v>0</v>
      </c>
      <c r="DR181" s="409">
        <f t="shared" si="258"/>
        <v>0</v>
      </c>
      <c r="DS181" s="409">
        <f t="shared" si="258"/>
        <v>0</v>
      </c>
      <c r="DT181" s="409">
        <f t="shared" si="258"/>
        <v>0</v>
      </c>
      <c r="DU181" s="409">
        <f t="shared" si="258"/>
        <v>0</v>
      </c>
      <c r="DV181" s="409">
        <f t="shared" si="258"/>
        <v>0</v>
      </c>
      <c r="DW181" s="409">
        <f t="shared" si="258"/>
        <v>0</v>
      </c>
      <c r="DX181" s="409">
        <f t="shared" si="258"/>
        <v>0</v>
      </c>
      <c r="DY181" s="409">
        <f t="shared" si="259"/>
        <v>0</v>
      </c>
      <c r="DZ181" s="409">
        <f t="shared" si="259"/>
        <v>0</v>
      </c>
      <c r="EA181" s="409">
        <f t="shared" si="259"/>
        <v>0</v>
      </c>
      <c r="EB181" s="409">
        <f t="shared" si="259"/>
        <v>0</v>
      </c>
      <c r="EC181" s="409">
        <f t="shared" si="259"/>
        <v>0</v>
      </c>
      <c r="ED181" s="409">
        <f t="shared" si="259"/>
        <v>0</v>
      </c>
      <c r="EE181" s="409">
        <f t="shared" si="259"/>
        <v>0</v>
      </c>
      <c r="EF181" s="409">
        <f t="shared" si="259"/>
        <v>0</v>
      </c>
      <c r="EG181" s="409">
        <f t="shared" si="259"/>
        <v>0</v>
      </c>
      <c r="EH181" s="409">
        <f t="shared" si="259"/>
        <v>0</v>
      </c>
      <c r="EI181" s="409">
        <f t="shared" si="260"/>
        <v>0</v>
      </c>
      <c r="EJ181" s="409">
        <f t="shared" si="260"/>
        <v>0</v>
      </c>
      <c r="EK181" s="409">
        <f t="shared" si="260"/>
        <v>0</v>
      </c>
      <c r="EL181" s="409">
        <f t="shared" si="260"/>
        <v>0</v>
      </c>
      <c r="EM181" s="409">
        <f t="shared" si="260"/>
        <v>0</v>
      </c>
      <c r="EN181" s="409">
        <f t="shared" si="260"/>
        <v>0</v>
      </c>
      <c r="EO181" s="409">
        <f t="shared" si="260"/>
        <v>0</v>
      </c>
      <c r="EP181" s="409">
        <f t="shared" si="260"/>
        <v>0</v>
      </c>
      <c r="EQ181" s="409">
        <f t="shared" si="260"/>
        <v>0</v>
      </c>
      <c r="ER181" s="409">
        <f t="shared" si="260"/>
        <v>0</v>
      </c>
      <c r="ES181" s="409">
        <f t="shared" si="261"/>
        <v>0</v>
      </c>
      <c r="ET181" s="409">
        <f t="shared" si="261"/>
        <v>0</v>
      </c>
      <c r="EU181" s="409">
        <f t="shared" si="261"/>
        <v>0</v>
      </c>
      <c r="EV181" s="409">
        <f t="shared" si="261"/>
        <v>0</v>
      </c>
      <c r="EW181" s="409">
        <f t="shared" si="261"/>
        <v>0</v>
      </c>
      <c r="EX181" s="409">
        <f t="shared" si="261"/>
        <v>0</v>
      </c>
      <c r="EY181" s="409">
        <f t="shared" si="261"/>
        <v>0</v>
      </c>
      <c r="EZ181" s="409">
        <f t="shared" si="261"/>
        <v>0</v>
      </c>
      <c r="FA181" s="409">
        <f t="shared" si="261"/>
        <v>0</v>
      </c>
      <c r="FB181" s="409">
        <f t="shared" si="261"/>
        <v>0</v>
      </c>
      <c r="FC181" s="409">
        <f t="shared" si="262"/>
        <v>0</v>
      </c>
      <c r="FD181" s="409">
        <f t="shared" si="262"/>
        <v>0</v>
      </c>
      <c r="FE181" s="409">
        <f t="shared" si="262"/>
        <v>0</v>
      </c>
      <c r="FF181" s="409">
        <f t="shared" si="262"/>
        <v>0</v>
      </c>
      <c r="FG181" s="409">
        <f t="shared" si="262"/>
        <v>0</v>
      </c>
      <c r="FH181" s="409">
        <f t="shared" si="262"/>
        <v>0</v>
      </c>
      <c r="FI181" s="409">
        <f t="shared" si="262"/>
        <v>0</v>
      </c>
      <c r="FJ181" s="409">
        <f t="shared" si="262"/>
        <v>0</v>
      </c>
      <c r="FK181" s="409">
        <f t="shared" si="262"/>
        <v>0</v>
      </c>
      <c r="FL181" s="409">
        <f t="shared" si="262"/>
        <v>0</v>
      </c>
      <c r="FM181" s="409">
        <f t="shared" si="263"/>
        <v>0</v>
      </c>
      <c r="FN181" s="409">
        <f t="shared" si="263"/>
        <v>0</v>
      </c>
      <c r="FO181" s="409">
        <f t="shared" si="263"/>
        <v>0</v>
      </c>
      <c r="FP181" s="409">
        <f t="shared" si="263"/>
        <v>0</v>
      </c>
      <c r="FQ181" s="409">
        <f t="shared" si="263"/>
        <v>0</v>
      </c>
      <c r="FR181" s="409">
        <f t="shared" si="263"/>
        <v>0</v>
      </c>
      <c r="FS181" s="409">
        <f t="shared" si="263"/>
        <v>0</v>
      </c>
      <c r="FT181" s="409">
        <f t="shared" si="263"/>
        <v>0</v>
      </c>
      <c r="FU181" s="409">
        <f t="shared" si="263"/>
        <v>0</v>
      </c>
      <c r="FV181" s="409">
        <f t="shared" si="263"/>
        <v>0</v>
      </c>
      <c r="FW181" s="409">
        <f t="shared" si="264"/>
        <v>0</v>
      </c>
      <c r="FX181" s="409">
        <f t="shared" si="264"/>
        <v>0</v>
      </c>
      <c r="FY181" s="409">
        <f t="shared" si="264"/>
        <v>0</v>
      </c>
      <c r="FZ181" s="409">
        <f t="shared" si="264"/>
        <v>0</v>
      </c>
      <c r="GA181" s="409">
        <f t="shared" si="264"/>
        <v>0</v>
      </c>
      <c r="GB181" s="409">
        <f t="shared" si="264"/>
        <v>0</v>
      </c>
      <c r="GC181" s="409">
        <f t="shared" si="264"/>
        <v>0</v>
      </c>
      <c r="GD181" s="409">
        <f t="shared" si="264"/>
        <v>0</v>
      </c>
      <c r="GE181" s="409">
        <f t="shared" si="264"/>
        <v>0</v>
      </c>
      <c r="GF181" s="409">
        <f t="shared" si="264"/>
        <v>0</v>
      </c>
      <c r="GG181" s="409">
        <f t="shared" si="265"/>
        <v>0</v>
      </c>
      <c r="GH181" s="409">
        <f t="shared" si="265"/>
        <v>0</v>
      </c>
      <c r="GI181" s="409">
        <f t="shared" si="265"/>
        <v>0</v>
      </c>
      <c r="GJ181" s="409">
        <f t="shared" si="265"/>
        <v>0</v>
      </c>
      <c r="GK181" s="409">
        <f t="shared" si="265"/>
        <v>0</v>
      </c>
      <c r="GL181" s="409">
        <f t="shared" si="265"/>
        <v>0</v>
      </c>
      <c r="GM181" s="409">
        <f t="shared" si="265"/>
        <v>0</v>
      </c>
      <c r="GN181" s="409">
        <f t="shared" si="265"/>
        <v>0</v>
      </c>
      <c r="GO181" s="409">
        <f t="shared" si="265"/>
        <v>0</v>
      </c>
      <c r="GP181" s="409">
        <f t="shared" si="265"/>
        <v>0</v>
      </c>
      <c r="GQ181" s="409">
        <f t="shared" si="266"/>
        <v>0</v>
      </c>
      <c r="GR181" s="409">
        <f t="shared" si="266"/>
        <v>0</v>
      </c>
      <c r="GS181" s="409">
        <f t="shared" si="266"/>
        <v>0</v>
      </c>
      <c r="GT181" s="409">
        <f t="shared" si="266"/>
        <v>0</v>
      </c>
      <c r="GU181" s="409">
        <f t="shared" si="266"/>
        <v>0</v>
      </c>
      <c r="GV181" s="409">
        <f t="shared" si="266"/>
        <v>0</v>
      </c>
      <c r="GW181" s="409">
        <f t="shared" si="266"/>
        <v>0</v>
      </c>
      <c r="GX181" s="409">
        <f t="shared" si="266"/>
        <v>0</v>
      </c>
      <c r="GY181" s="409">
        <f t="shared" si="266"/>
        <v>0</v>
      </c>
      <c r="GZ181" s="409">
        <f t="shared" si="266"/>
        <v>0</v>
      </c>
      <c r="HA181" s="409">
        <f t="shared" si="267"/>
        <v>0</v>
      </c>
      <c r="HB181" s="409">
        <f t="shared" si="267"/>
        <v>0</v>
      </c>
      <c r="HC181" s="409">
        <f t="shared" si="267"/>
        <v>0</v>
      </c>
      <c r="HD181" s="409">
        <f t="shared" si="267"/>
        <v>0</v>
      </c>
      <c r="HE181" s="409">
        <f t="shared" si="267"/>
        <v>0</v>
      </c>
      <c r="HF181" s="409">
        <f t="shared" si="267"/>
        <v>0</v>
      </c>
      <c r="HG181" s="409">
        <f t="shared" si="267"/>
        <v>0</v>
      </c>
      <c r="HH181" s="409">
        <f t="shared" si="267"/>
        <v>0</v>
      </c>
      <c r="HI181" s="409">
        <f t="shared" si="267"/>
        <v>0</v>
      </c>
      <c r="HJ181" s="409">
        <f t="shared" si="267"/>
        <v>0</v>
      </c>
      <c r="HK181" s="409">
        <f t="shared" si="268"/>
        <v>0</v>
      </c>
      <c r="HL181" s="409">
        <f t="shared" si="268"/>
        <v>0</v>
      </c>
      <c r="HM181" s="409">
        <f t="shared" si="268"/>
        <v>0</v>
      </c>
      <c r="HN181" s="409">
        <f t="shared" si="268"/>
        <v>0</v>
      </c>
      <c r="HO181" s="409">
        <f t="shared" si="268"/>
        <v>0</v>
      </c>
      <c r="HP181" s="409">
        <f t="shared" si="268"/>
        <v>0</v>
      </c>
      <c r="HQ181" s="409">
        <f t="shared" si="268"/>
        <v>0</v>
      </c>
      <c r="HR181" s="409">
        <f t="shared" si="268"/>
        <v>0</v>
      </c>
      <c r="HS181" s="409">
        <f t="shared" si="268"/>
        <v>0</v>
      </c>
      <c r="HT181" s="409">
        <f t="shared" si="268"/>
        <v>0</v>
      </c>
      <c r="HU181" s="409">
        <f t="shared" si="269"/>
        <v>0</v>
      </c>
      <c r="HV181" s="409">
        <f t="shared" si="269"/>
        <v>0</v>
      </c>
      <c r="HW181" s="409">
        <f t="shared" si="269"/>
        <v>0</v>
      </c>
      <c r="HX181" s="409">
        <f t="shared" si="269"/>
        <v>0</v>
      </c>
      <c r="HY181" s="409">
        <f t="shared" si="269"/>
        <v>0</v>
      </c>
      <c r="HZ181" s="409">
        <f t="shared" si="269"/>
        <v>0</v>
      </c>
      <c r="IA181" s="409">
        <f t="shared" si="269"/>
        <v>0</v>
      </c>
      <c r="IB181" s="409">
        <f t="shared" si="269"/>
        <v>0</v>
      </c>
      <c r="IC181" s="409">
        <f t="shared" si="269"/>
        <v>0</v>
      </c>
      <c r="ID181" s="409">
        <f t="shared" si="269"/>
        <v>0</v>
      </c>
      <c r="IE181" s="409">
        <f t="shared" si="222"/>
        <v>0</v>
      </c>
      <c r="IF181" s="409">
        <f t="shared" si="222"/>
        <v>0</v>
      </c>
      <c r="IG181" s="409">
        <f t="shared" si="222"/>
        <v>0</v>
      </c>
      <c r="IH181" s="409">
        <f t="shared" si="222"/>
        <v>0</v>
      </c>
      <c r="II181" s="409">
        <f t="shared" si="222"/>
        <v>0</v>
      </c>
      <c r="IJ181" s="409">
        <f t="shared" si="222"/>
        <v>0</v>
      </c>
      <c r="IK181" s="378"/>
    </row>
    <row r="182" spans="1:245" hidden="1" x14ac:dyDescent="0.2">
      <c r="A182" s="380" t="str">
        <f t="shared" si="242"/>
        <v>e</v>
      </c>
      <c r="B182" s="712" t="str">
        <f>IF(ISERROR(INDEX('Legend(DX)'!$H$11:$H$12,25)),"",INDEX('Legend(DX)'!$H$11:$H$12,25))</f>
        <v/>
      </c>
      <c r="C182" s="712" t="e">
        <f>IF(INDEX('Legend(DX)'!$T$11:$T$12,25)=0,"See Legend",INDEX('Legend(DX)'!$T$11:$T$12,25))</f>
        <v>#REF!</v>
      </c>
      <c r="D182" s="712" t="e">
        <f>IF(INDEX('Legend(DX)'!$R$11:$R$12,(ROW(C182))-137)=0,IF(AND(INDEX('Legend(DX)'!$D$11:$D$12,(ROW(C182))-136)="CH",INDEX('Legend(DX)'!$F$11:$F$12,(ROW(C182))-136)="CASE - MANUAL"),INDEX('Legend(DX)'!$R$11:$R$12,(ROW(C182))-136),IF(INDEX('Legend(DX)'!$V$11:$V$12,(ROW(C182))-137)&gt;1, "(" &amp; INDEX('Legend(DX)'!$V$11:$V$12,(ROW(C182))-137) &amp; ") " &amp; INDEX('Legend(DX)'!$W$11:$W$12,(ROW(C182))-136),INDEX('Legend(DX)'!$W$11:$W$12,(ROW(C182))-137))),INDEX('Legend(DX)'!$R$11:$R$12,(ROW(C182))-137))</f>
        <v>#REF!</v>
      </c>
      <c r="E182" s="713" t="str">
        <f>IF(ISERROR(INDEX('Legend(DX)'!$AA$11:$AA$12,25)),"",INDEX('Legend(DX)'!$AA$11:$AA$12,25))</f>
        <v/>
      </c>
      <c r="F182" s="715"/>
      <c r="G182" s="715"/>
      <c r="H182" s="715"/>
      <c r="I182" s="715"/>
      <c r="J182" s="715"/>
      <c r="K182" s="890">
        <f t="shared" si="223"/>
        <v>0</v>
      </c>
      <c r="L182" s="718"/>
      <c r="M182" s="723"/>
      <c r="N182" s="972">
        <f t="shared" si="196"/>
        <v>-1</v>
      </c>
      <c r="O182" s="972">
        <f t="shared" si="224"/>
        <v>-1</v>
      </c>
      <c r="P182" s="972">
        <f t="shared" si="197"/>
        <v>-1</v>
      </c>
      <c r="Q182" s="972">
        <f t="shared" si="225"/>
        <v>-1</v>
      </c>
      <c r="R182" s="972">
        <f t="shared" si="198"/>
        <v>-1</v>
      </c>
      <c r="S182" s="972">
        <f t="shared" si="226"/>
        <v>-1</v>
      </c>
      <c r="T182" s="972">
        <f t="shared" si="199"/>
        <v>-1</v>
      </c>
      <c r="U182" s="972">
        <f t="shared" si="227"/>
        <v>-1</v>
      </c>
      <c r="V182" s="972">
        <f t="shared" si="200"/>
        <v>-1</v>
      </c>
      <c r="W182" s="972">
        <f t="shared" si="228"/>
        <v>-1</v>
      </c>
      <c r="X182" s="972">
        <f t="shared" si="201"/>
        <v>-1</v>
      </c>
      <c r="Y182" s="972">
        <f t="shared" si="229"/>
        <v>-1</v>
      </c>
      <c r="Z182" s="972">
        <f t="shared" si="230"/>
        <v>-1</v>
      </c>
      <c r="AA182" s="972">
        <f t="shared" si="231"/>
        <v>-1</v>
      </c>
      <c r="AB182" s="972">
        <f t="shared" si="232"/>
        <v>-1</v>
      </c>
      <c r="AC182" s="972">
        <f t="shared" si="233"/>
        <v>-1</v>
      </c>
      <c r="AD182" s="972">
        <f t="shared" si="234"/>
        <v>-1</v>
      </c>
      <c r="AE182" s="972">
        <f t="shared" si="235"/>
        <v>-1</v>
      </c>
      <c r="AF182" s="972">
        <f t="shared" si="236"/>
        <v>-1</v>
      </c>
      <c r="AG182" s="972">
        <f t="shared" si="237"/>
        <v>-1</v>
      </c>
      <c r="AH182" s="972">
        <f t="shared" si="238"/>
        <v>-1</v>
      </c>
      <c r="AI182" s="972">
        <f t="shared" si="239"/>
        <v>-1</v>
      </c>
      <c r="AJ182" s="972">
        <f t="shared" si="240"/>
        <v>-1</v>
      </c>
      <c r="AK182" s="381"/>
      <c r="AL182" s="727" t="str">
        <f t="shared" si="241"/>
        <v/>
      </c>
      <c r="AM182" s="409">
        <f t="shared" si="202"/>
        <v>0</v>
      </c>
      <c r="AN182" s="409">
        <f t="shared" si="202"/>
        <v>0</v>
      </c>
      <c r="AO182" s="409">
        <f t="shared" si="202"/>
        <v>0</v>
      </c>
      <c r="AP182" s="409">
        <f t="shared" si="202"/>
        <v>0</v>
      </c>
      <c r="AQ182" s="409">
        <f t="shared" si="202"/>
        <v>0</v>
      </c>
      <c r="AR182" s="409">
        <f t="shared" si="202"/>
        <v>0</v>
      </c>
      <c r="AS182" s="409">
        <f t="shared" si="202"/>
        <v>0</v>
      </c>
      <c r="AT182" s="409">
        <f t="shared" si="202"/>
        <v>0</v>
      </c>
      <c r="AU182" s="409">
        <f t="shared" si="202"/>
        <v>0</v>
      </c>
      <c r="AV182" s="409">
        <f t="shared" si="202"/>
        <v>0</v>
      </c>
      <c r="AW182" s="409">
        <f t="shared" si="203"/>
        <v>0</v>
      </c>
      <c r="AX182" s="409">
        <f t="shared" si="203"/>
        <v>0</v>
      </c>
      <c r="AY182" s="409">
        <f t="shared" si="203"/>
        <v>0</v>
      </c>
      <c r="AZ182" s="409">
        <f t="shared" si="203"/>
        <v>0</v>
      </c>
      <c r="BA182" s="409">
        <f t="shared" si="203"/>
        <v>0</v>
      </c>
      <c r="BB182" s="409">
        <f t="shared" si="203"/>
        <v>0</v>
      </c>
      <c r="BC182" s="409">
        <f t="shared" si="203"/>
        <v>0</v>
      </c>
      <c r="BD182" s="409">
        <f t="shared" si="203"/>
        <v>0</v>
      </c>
      <c r="BE182" s="409">
        <f t="shared" si="203"/>
        <v>0</v>
      </c>
      <c r="BF182" s="409">
        <f t="shared" si="203"/>
        <v>0</v>
      </c>
      <c r="BG182" s="409">
        <f t="shared" si="204"/>
        <v>0</v>
      </c>
      <c r="BH182" s="409">
        <f t="shared" si="204"/>
        <v>0</v>
      </c>
      <c r="BI182" s="409">
        <f t="shared" si="204"/>
        <v>0</v>
      </c>
      <c r="BJ182" s="409">
        <f t="shared" si="204"/>
        <v>0</v>
      </c>
      <c r="BK182" s="409">
        <f t="shared" si="204"/>
        <v>0</v>
      </c>
      <c r="BL182" s="409">
        <f t="shared" si="204"/>
        <v>0</v>
      </c>
      <c r="BM182" s="409">
        <f t="shared" si="204"/>
        <v>0</v>
      </c>
      <c r="BN182" s="409">
        <f t="shared" si="204"/>
        <v>0</v>
      </c>
      <c r="BO182" s="409">
        <f t="shared" si="204"/>
        <v>0</v>
      </c>
      <c r="BP182" s="409">
        <f t="shared" si="204"/>
        <v>0</v>
      </c>
      <c r="BQ182" s="409">
        <f t="shared" si="205"/>
        <v>0</v>
      </c>
      <c r="BR182" s="409">
        <f t="shared" si="205"/>
        <v>0</v>
      </c>
      <c r="BS182" s="409">
        <f t="shared" si="205"/>
        <v>0</v>
      </c>
      <c r="BT182" s="409">
        <f t="shared" si="205"/>
        <v>0</v>
      </c>
      <c r="BU182" s="409">
        <f t="shared" si="205"/>
        <v>0</v>
      </c>
      <c r="BV182" s="409">
        <f t="shared" si="205"/>
        <v>0</v>
      </c>
      <c r="BW182" s="409">
        <f t="shared" si="205"/>
        <v>0</v>
      </c>
      <c r="BX182" s="409">
        <f t="shared" si="205"/>
        <v>0</v>
      </c>
      <c r="BY182" s="409">
        <f t="shared" si="205"/>
        <v>0</v>
      </c>
      <c r="BZ182" s="409">
        <f t="shared" si="205"/>
        <v>0</v>
      </c>
      <c r="CA182" s="409">
        <f t="shared" si="206"/>
        <v>0</v>
      </c>
      <c r="CB182" s="409">
        <f t="shared" si="206"/>
        <v>0</v>
      </c>
      <c r="CC182" s="409">
        <f t="shared" si="206"/>
        <v>0</v>
      </c>
      <c r="CD182" s="409">
        <f t="shared" si="206"/>
        <v>0</v>
      </c>
      <c r="CE182" s="409">
        <f t="shared" si="206"/>
        <v>0</v>
      </c>
      <c r="CF182" s="409">
        <f t="shared" si="206"/>
        <v>0</v>
      </c>
      <c r="CG182" s="409">
        <f t="shared" si="206"/>
        <v>0</v>
      </c>
      <c r="CH182" s="409">
        <f t="shared" si="206"/>
        <v>0</v>
      </c>
      <c r="CI182" s="409">
        <f t="shared" si="206"/>
        <v>0</v>
      </c>
      <c r="CJ182" s="409">
        <f t="shared" si="206"/>
        <v>0</v>
      </c>
      <c r="CK182" s="409">
        <f t="shared" si="207"/>
        <v>0</v>
      </c>
      <c r="CL182" s="409">
        <f t="shared" si="207"/>
        <v>0</v>
      </c>
      <c r="CM182" s="409">
        <f t="shared" si="207"/>
        <v>0</v>
      </c>
      <c r="CN182" s="409">
        <f t="shared" si="207"/>
        <v>0</v>
      </c>
      <c r="CO182" s="409">
        <f t="shared" si="207"/>
        <v>0</v>
      </c>
      <c r="CP182" s="409">
        <f t="shared" si="207"/>
        <v>0</v>
      </c>
      <c r="CQ182" s="409">
        <f t="shared" si="207"/>
        <v>0</v>
      </c>
      <c r="CR182" s="409">
        <f t="shared" si="207"/>
        <v>0</v>
      </c>
      <c r="CS182" s="409">
        <f t="shared" si="207"/>
        <v>0</v>
      </c>
      <c r="CT182" s="409">
        <f t="shared" si="207"/>
        <v>0</v>
      </c>
      <c r="CU182" s="409">
        <f t="shared" si="208"/>
        <v>0</v>
      </c>
      <c r="CV182" s="409">
        <f t="shared" si="208"/>
        <v>0</v>
      </c>
      <c r="CW182" s="409">
        <f t="shared" si="208"/>
        <v>0</v>
      </c>
      <c r="CX182" s="409">
        <f t="shared" si="208"/>
        <v>0</v>
      </c>
      <c r="CY182" s="409">
        <f t="shared" si="208"/>
        <v>0</v>
      </c>
      <c r="CZ182" s="409">
        <f t="shared" si="208"/>
        <v>0</v>
      </c>
      <c r="DA182" s="409">
        <f t="shared" si="208"/>
        <v>0</v>
      </c>
      <c r="DB182" s="409">
        <f t="shared" si="208"/>
        <v>0</v>
      </c>
      <c r="DC182" s="409">
        <f t="shared" si="208"/>
        <v>0</v>
      </c>
      <c r="DD182" s="409">
        <f t="shared" si="208"/>
        <v>0</v>
      </c>
      <c r="DE182" s="409">
        <f t="shared" si="209"/>
        <v>0</v>
      </c>
      <c r="DF182" s="409">
        <f t="shared" si="209"/>
        <v>0</v>
      </c>
      <c r="DG182" s="409">
        <f t="shared" si="209"/>
        <v>0</v>
      </c>
      <c r="DH182" s="409">
        <f t="shared" si="209"/>
        <v>0</v>
      </c>
      <c r="DI182" s="409">
        <f t="shared" si="209"/>
        <v>0</v>
      </c>
      <c r="DJ182" s="409">
        <f t="shared" si="209"/>
        <v>0</v>
      </c>
      <c r="DK182" s="409">
        <f t="shared" si="209"/>
        <v>0</v>
      </c>
      <c r="DL182" s="409">
        <f t="shared" si="209"/>
        <v>0</v>
      </c>
      <c r="DM182" s="409">
        <f t="shared" si="209"/>
        <v>0</v>
      </c>
      <c r="DN182" s="409">
        <f t="shared" si="209"/>
        <v>0</v>
      </c>
      <c r="DO182" s="409">
        <f t="shared" si="210"/>
        <v>0</v>
      </c>
      <c r="DP182" s="409">
        <f t="shared" si="210"/>
        <v>0</v>
      </c>
      <c r="DQ182" s="409">
        <f t="shared" si="210"/>
        <v>0</v>
      </c>
      <c r="DR182" s="409">
        <f t="shared" si="210"/>
        <v>0</v>
      </c>
      <c r="DS182" s="409">
        <f t="shared" si="210"/>
        <v>0</v>
      </c>
      <c r="DT182" s="409">
        <f t="shared" si="210"/>
        <v>0</v>
      </c>
      <c r="DU182" s="409">
        <f t="shared" si="210"/>
        <v>0</v>
      </c>
      <c r="DV182" s="409">
        <f t="shared" si="210"/>
        <v>0</v>
      </c>
      <c r="DW182" s="409">
        <f t="shared" si="210"/>
        <v>0</v>
      </c>
      <c r="DX182" s="409">
        <f t="shared" si="210"/>
        <v>0</v>
      </c>
      <c r="DY182" s="409">
        <f t="shared" si="211"/>
        <v>0</v>
      </c>
      <c r="DZ182" s="409">
        <f t="shared" si="211"/>
        <v>0</v>
      </c>
      <c r="EA182" s="409">
        <f t="shared" si="211"/>
        <v>0</v>
      </c>
      <c r="EB182" s="409">
        <f t="shared" si="211"/>
        <v>0</v>
      </c>
      <c r="EC182" s="409">
        <f t="shared" si="211"/>
        <v>0</v>
      </c>
      <c r="ED182" s="409">
        <f t="shared" si="211"/>
        <v>0</v>
      </c>
      <c r="EE182" s="409">
        <f t="shared" si="211"/>
        <v>0</v>
      </c>
      <c r="EF182" s="409">
        <f t="shared" si="211"/>
        <v>0</v>
      </c>
      <c r="EG182" s="409">
        <f t="shared" si="211"/>
        <v>0</v>
      </c>
      <c r="EH182" s="409">
        <f t="shared" si="211"/>
        <v>0</v>
      </c>
      <c r="EI182" s="409">
        <f t="shared" si="212"/>
        <v>0</v>
      </c>
      <c r="EJ182" s="409">
        <f t="shared" si="212"/>
        <v>0</v>
      </c>
      <c r="EK182" s="409">
        <f t="shared" si="212"/>
        <v>0</v>
      </c>
      <c r="EL182" s="409">
        <f t="shared" si="212"/>
        <v>0</v>
      </c>
      <c r="EM182" s="409">
        <f t="shared" si="212"/>
        <v>0</v>
      </c>
      <c r="EN182" s="409">
        <f t="shared" si="212"/>
        <v>0</v>
      </c>
      <c r="EO182" s="409">
        <f t="shared" si="212"/>
        <v>0</v>
      </c>
      <c r="EP182" s="409">
        <f t="shared" si="212"/>
        <v>0</v>
      </c>
      <c r="EQ182" s="409">
        <f t="shared" si="212"/>
        <v>0</v>
      </c>
      <c r="ER182" s="409">
        <f t="shared" si="212"/>
        <v>0</v>
      </c>
      <c r="ES182" s="409">
        <f t="shared" si="213"/>
        <v>0</v>
      </c>
      <c r="ET182" s="409">
        <f t="shared" si="213"/>
        <v>0</v>
      </c>
      <c r="EU182" s="409">
        <f t="shared" si="213"/>
        <v>0</v>
      </c>
      <c r="EV182" s="409">
        <f t="shared" si="213"/>
        <v>0</v>
      </c>
      <c r="EW182" s="409">
        <f t="shared" si="213"/>
        <v>0</v>
      </c>
      <c r="EX182" s="409">
        <f t="shared" si="213"/>
        <v>0</v>
      </c>
      <c r="EY182" s="409">
        <f t="shared" si="213"/>
        <v>0</v>
      </c>
      <c r="EZ182" s="409">
        <f t="shared" si="213"/>
        <v>0</v>
      </c>
      <c r="FA182" s="409">
        <f t="shared" si="213"/>
        <v>0</v>
      </c>
      <c r="FB182" s="409">
        <f t="shared" si="213"/>
        <v>0</v>
      </c>
      <c r="FC182" s="409">
        <f t="shared" si="214"/>
        <v>0</v>
      </c>
      <c r="FD182" s="409">
        <f t="shared" si="214"/>
        <v>0</v>
      </c>
      <c r="FE182" s="409">
        <f t="shared" si="214"/>
        <v>0</v>
      </c>
      <c r="FF182" s="409">
        <f t="shared" si="214"/>
        <v>0</v>
      </c>
      <c r="FG182" s="409">
        <f t="shared" si="214"/>
        <v>0</v>
      </c>
      <c r="FH182" s="409">
        <f t="shared" si="214"/>
        <v>0</v>
      </c>
      <c r="FI182" s="409">
        <f t="shared" si="214"/>
        <v>0</v>
      </c>
      <c r="FJ182" s="409">
        <f t="shared" si="214"/>
        <v>0</v>
      </c>
      <c r="FK182" s="409">
        <f t="shared" si="214"/>
        <v>0</v>
      </c>
      <c r="FL182" s="409">
        <f t="shared" si="214"/>
        <v>0</v>
      </c>
      <c r="FM182" s="409">
        <f t="shared" si="215"/>
        <v>0</v>
      </c>
      <c r="FN182" s="409">
        <f t="shared" si="215"/>
        <v>0</v>
      </c>
      <c r="FO182" s="409">
        <f t="shared" si="215"/>
        <v>0</v>
      </c>
      <c r="FP182" s="409">
        <f t="shared" si="215"/>
        <v>0</v>
      </c>
      <c r="FQ182" s="409">
        <f t="shared" si="215"/>
        <v>0</v>
      </c>
      <c r="FR182" s="409">
        <f t="shared" si="215"/>
        <v>0</v>
      </c>
      <c r="FS182" s="409">
        <f t="shared" si="215"/>
        <v>0</v>
      </c>
      <c r="FT182" s="409">
        <f t="shared" si="215"/>
        <v>0</v>
      </c>
      <c r="FU182" s="409">
        <f t="shared" si="215"/>
        <v>0</v>
      </c>
      <c r="FV182" s="409">
        <f t="shared" si="215"/>
        <v>0</v>
      </c>
      <c r="FW182" s="409">
        <f t="shared" si="216"/>
        <v>0</v>
      </c>
      <c r="FX182" s="409">
        <f t="shared" si="216"/>
        <v>0</v>
      </c>
      <c r="FY182" s="409">
        <f t="shared" si="216"/>
        <v>0</v>
      </c>
      <c r="FZ182" s="409">
        <f t="shared" si="216"/>
        <v>0</v>
      </c>
      <c r="GA182" s="409">
        <f t="shared" si="216"/>
        <v>0</v>
      </c>
      <c r="GB182" s="409">
        <f t="shared" si="216"/>
        <v>0</v>
      </c>
      <c r="GC182" s="409">
        <f t="shared" si="216"/>
        <v>0</v>
      </c>
      <c r="GD182" s="409">
        <f t="shared" si="216"/>
        <v>0</v>
      </c>
      <c r="GE182" s="409">
        <f t="shared" si="216"/>
        <v>0</v>
      </c>
      <c r="GF182" s="409">
        <f t="shared" si="216"/>
        <v>0</v>
      </c>
      <c r="GG182" s="409">
        <f t="shared" si="217"/>
        <v>0</v>
      </c>
      <c r="GH182" s="409">
        <f t="shared" si="217"/>
        <v>0</v>
      </c>
      <c r="GI182" s="409">
        <f t="shared" si="217"/>
        <v>0</v>
      </c>
      <c r="GJ182" s="409">
        <f t="shared" si="217"/>
        <v>0</v>
      </c>
      <c r="GK182" s="409">
        <f t="shared" si="217"/>
        <v>0</v>
      </c>
      <c r="GL182" s="409">
        <f t="shared" si="217"/>
        <v>0</v>
      </c>
      <c r="GM182" s="409">
        <f t="shared" si="217"/>
        <v>0</v>
      </c>
      <c r="GN182" s="409">
        <f t="shared" si="217"/>
        <v>0</v>
      </c>
      <c r="GO182" s="409">
        <f t="shared" si="217"/>
        <v>0</v>
      </c>
      <c r="GP182" s="409">
        <f t="shared" si="217"/>
        <v>0</v>
      </c>
      <c r="GQ182" s="409">
        <f t="shared" si="218"/>
        <v>0</v>
      </c>
      <c r="GR182" s="409">
        <f t="shared" si="218"/>
        <v>0</v>
      </c>
      <c r="GS182" s="409">
        <f t="shared" si="218"/>
        <v>0</v>
      </c>
      <c r="GT182" s="409">
        <f t="shared" si="218"/>
        <v>0</v>
      </c>
      <c r="GU182" s="409">
        <f t="shared" si="218"/>
        <v>0</v>
      </c>
      <c r="GV182" s="409">
        <f t="shared" si="218"/>
        <v>0</v>
      </c>
      <c r="GW182" s="409">
        <f t="shared" si="218"/>
        <v>0</v>
      </c>
      <c r="GX182" s="409">
        <f t="shared" si="218"/>
        <v>0</v>
      </c>
      <c r="GY182" s="409">
        <f t="shared" si="218"/>
        <v>0</v>
      </c>
      <c r="GZ182" s="409">
        <f t="shared" si="218"/>
        <v>0</v>
      </c>
      <c r="HA182" s="409">
        <f t="shared" si="219"/>
        <v>0</v>
      </c>
      <c r="HB182" s="409">
        <f t="shared" si="219"/>
        <v>0</v>
      </c>
      <c r="HC182" s="409">
        <f t="shared" si="219"/>
        <v>0</v>
      </c>
      <c r="HD182" s="409">
        <f t="shared" si="219"/>
        <v>0</v>
      </c>
      <c r="HE182" s="409">
        <f t="shared" si="219"/>
        <v>0</v>
      </c>
      <c r="HF182" s="409">
        <f t="shared" si="219"/>
        <v>0</v>
      </c>
      <c r="HG182" s="409">
        <f t="shared" si="219"/>
        <v>0</v>
      </c>
      <c r="HH182" s="409">
        <f t="shared" si="219"/>
        <v>0</v>
      </c>
      <c r="HI182" s="409">
        <f t="shared" si="219"/>
        <v>0</v>
      </c>
      <c r="HJ182" s="409">
        <f t="shared" si="219"/>
        <v>0</v>
      </c>
      <c r="HK182" s="409">
        <f t="shared" si="220"/>
        <v>0</v>
      </c>
      <c r="HL182" s="409">
        <f t="shared" si="220"/>
        <v>0</v>
      </c>
      <c r="HM182" s="409">
        <f t="shared" si="220"/>
        <v>0</v>
      </c>
      <c r="HN182" s="409">
        <f t="shared" si="220"/>
        <v>0</v>
      </c>
      <c r="HO182" s="409">
        <f t="shared" si="220"/>
        <v>0</v>
      </c>
      <c r="HP182" s="409">
        <f t="shared" si="220"/>
        <v>0</v>
      </c>
      <c r="HQ182" s="409">
        <f t="shared" si="220"/>
        <v>0</v>
      </c>
      <c r="HR182" s="409">
        <f t="shared" si="220"/>
        <v>0</v>
      </c>
      <c r="HS182" s="409">
        <f t="shared" si="220"/>
        <v>0</v>
      </c>
      <c r="HT182" s="409">
        <f t="shared" si="220"/>
        <v>0</v>
      </c>
      <c r="HU182" s="409">
        <f t="shared" si="221"/>
        <v>0</v>
      </c>
      <c r="HV182" s="409">
        <f t="shared" si="221"/>
        <v>0</v>
      </c>
      <c r="HW182" s="409">
        <f t="shared" si="221"/>
        <v>0</v>
      </c>
      <c r="HX182" s="409">
        <f t="shared" si="221"/>
        <v>0</v>
      </c>
      <c r="HY182" s="409">
        <f t="shared" si="221"/>
        <v>0</v>
      </c>
      <c r="HZ182" s="409">
        <f t="shared" si="221"/>
        <v>0</v>
      </c>
      <c r="IA182" s="409">
        <f t="shared" si="221"/>
        <v>0</v>
      </c>
      <c r="IB182" s="409">
        <f t="shared" si="221"/>
        <v>0</v>
      </c>
      <c r="IC182" s="409">
        <f t="shared" si="221"/>
        <v>0</v>
      </c>
      <c r="ID182" s="409">
        <f t="shared" si="221"/>
        <v>0</v>
      </c>
      <c r="IE182" s="409">
        <f t="shared" si="222"/>
        <v>0</v>
      </c>
      <c r="IF182" s="409">
        <f t="shared" si="222"/>
        <v>0</v>
      </c>
      <c r="IG182" s="409">
        <f t="shared" si="222"/>
        <v>0</v>
      </c>
      <c r="IH182" s="409">
        <f t="shared" si="222"/>
        <v>0</v>
      </c>
      <c r="II182" s="409">
        <f t="shared" si="222"/>
        <v>0</v>
      </c>
      <c r="IJ182" s="409">
        <f t="shared" si="222"/>
        <v>0</v>
      </c>
      <c r="IK182" s="378"/>
    </row>
    <row r="183" spans="1:245" hidden="1" x14ac:dyDescent="0.2">
      <c r="A183" s="380" t="str">
        <f t="shared" si="242"/>
        <v>e</v>
      </c>
      <c r="B183" s="712" t="str">
        <f>IF(ISERROR(INDEX('Legend(DX)'!$H$11:$H$12,26)),"",INDEX('Legend(DX)'!$H$11:$H$12,26))</f>
        <v/>
      </c>
      <c r="C183" s="712" t="e">
        <f>IF(INDEX('Legend(DX)'!$T$11:$T$12,26)=0,"See Legend",INDEX('Legend(DX)'!$T$11:$T$12,26))</f>
        <v>#REF!</v>
      </c>
      <c r="D183" s="712" t="e">
        <f>IF(INDEX('Legend(DX)'!$R$11:$R$12,(ROW(C183))-137)=0,IF(AND(INDEX('Legend(DX)'!$D$11:$D$12,(ROW(C183))-136)="CH",INDEX('Legend(DX)'!$F$11:$F$12,(ROW(C183))-136)="CASE - MANUAL"),INDEX('Legend(DX)'!$R$11:$R$12,(ROW(C183))-136),IF(INDEX('Legend(DX)'!$V$11:$V$12,(ROW(C183))-137)&gt;1, "(" &amp; INDEX('Legend(DX)'!$V$11:$V$12,(ROW(C183))-137) &amp; ") " &amp; INDEX('Legend(DX)'!$W$11:$W$12,(ROW(C183))-136),INDEX('Legend(DX)'!$W$11:$W$12,(ROW(C183))-137))),INDEX('Legend(DX)'!$R$11:$R$12,(ROW(C183))-137))</f>
        <v>#REF!</v>
      </c>
      <c r="E183" s="713" t="str">
        <f>IF(ISERROR(INDEX('Legend(DX)'!$AA$11:$AA$12,26)),"",INDEX('Legend(DX)'!$AA$11:$AA$12,26))</f>
        <v/>
      </c>
      <c r="F183" s="715"/>
      <c r="G183" s="715"/>
      <c r="H183" s="715"/>
      <c r="I183" s="715"/>
      <c r="J183" s="715"/>
      <c r="K183" s="890">
        <f t="shared" si="223"/>
        <v>0</v>
      </c>
      <c r="L183" s="718"/>
      <c r="M183" s="723"/>
      <c r="N183" s="972">
        <f t="shared" si="196"/>
        <v>-1</v>
      </c>
      <c r="O183" s="972">
        <f t="shared" si="224"/>
        <v>-1</v>
      </c>
      <c r="P183" s="972">
        <f t="shared" si="197"/>
        <v>-1</v>
      </c>
      <c r="Q183" s="972">
        <f t="shared" si="225"/>
        <v>-1</v>
      </c>
      <c r="R183" s="972">
        <f t="shared" si="198"/>
        <v>-1</v>
      </c>
      <c r="S183" s="972">
        <f t="shared" si="226"/>
        <v>-1</v>
      </c>
      <c r="T183" s="972">
        <f t="shared" si="199"/>
        <v>-1</v>
      </c>
      <c r="U183" s="972">
        <f t="shared" si="227"/>
        <v>-1</v>
      </c>
      <c r="V183" s="972">
        <f t="shared" si="200"/>
        <v>-1</v>
      </c>
      <c r="W183" s="972">
        <f t="shared" si="228"/>
        <v>-1</v>
      </c>
      <c r="X183" s="972">
        <f t="shared" si="201"/>
        <v>-1</v>
      </c>
      <c r="Y183" s="972">
        <f t="shared" si="229"/>
        <v>-1</v>
      </c>
      <c r="Z183" s="972">
        <f t="shared" si="230"/>
        <v>-1</v>
      </c>
      <c r="AA183" s="972">
        <f t="shared" si="231"/>
        <v>-1</v>
      </c>
      <c r="AB183" s="972">
        <f t="shared" si="232"/>
        <v>-1</v>
      </c>
      <c r="AC183" s="972">
        <f t="shared" si="233"/>
        <v>-1</v>
      </c>
      <c r="AD183" s="972">
        <f t="shared" si="234"/>
        <v>-1</v>
      </c>
      <c r="AE183" s="972">
        <f t="shared" si="235"/>
        <v>-1</v>
      </c>
      <c r="AF183" s="972">
        <f t="shared" si="236"/>
        <v>-1</v>
      </c>
      <c r="AG183" s="972">
        <f t="shared" si="237"/>
        <v>-1</v>
      </c>
      <c r="AH183" s="972">
        <f t="shared" si="238"/>
        <v>-1</v>
      </c>
      <c r="AI183" s="972">
        <f t="shared" si="239"/>
        <v>-1</v>
      </c>
      <c r="AJ183" s="972">
        <f t="shared" si="240"/>
        <v>-1</v>
      </c>
      <c r="AK183" s="381"/>
      <c r="AL183" s="727" t="str">
        <f t="shared" si="241"/>
        <v/>
      </c>
      <c r="AM183" s="409">
        <f t="shared" si="202"/>
        <v>0</v>
      </c>
      <c r="AN183" s="409">
        <f t="shared" si="202"/>
        <v>0</v>
      </c>
      <c r="AO183" s="409">
        <f t="shared" si="202"/>
        <v>0</v>
      </c>
      <c r="AP183" s="409">
        <f t="shared" si="202"/>
        <v>0</v>
      </c>
      <c r="AQ183" s="409">
        <f t="shared" si="202"/>
        <v>0</v>
      </c>
      <c r="AR183" s="409">
        <f t="shared" si="202"/>
        <v>0</v>
      </c>
      <c r="AS183" s="409">
        <f t="shared" si="202"/>
        <v>0</v>
      </c>
      <c r="AT183" s="409">
        <f t="shared" si="202"/>
        <v>0</v>
      </c>
      <c r="AU183" s="409">
        <f t="shared" si="202"/>
        <v>0</v>
      </c>
      <c r="AV183" s="409">
        <f t="shared" si="202"/>
        <v>0</v>
      </c>
      <c r="AW183" s="409">
        <f t="shared" si="203"/>
        <v>0</v>
      </c>
      <c r="AX183" s="409">
        <f t="shared" si="203"/>
        <v>0</v>
      </c>
      <c r="AY183" s="409">
        <f t="shared" si="203"/>
        <v>0</v>
      </c>
      <c r="AZ183" s="409">
        <f t="shared" si="203"/>
        <v>0</v>
      </c>
      <c r="BA183" s="409">
        <f t="shared" si="203"/>
        <v>0</v>
      </c>
      <c r="BB183" s="409">
        <f t="shared" si="203"/>
        <v>0</v>
      </c>
      <c r="BC183" s="409">
        <f t="shared" si="203"/>
        <v>0</v>
      </c>
      <c r="BD183" s="409">
        <f t="shared" si="203"/>
        <v>0</v>
      </c>
      <c r="BE183" s="409">
        <f t="shared" si="203"/>
        <v>0</v>
      </c>
      <c r="BF183" s="409">
        <f t="shared" si="203"/>
        <v>0</v>
      </c>
      <c r="BG183" s="409">
        <f t="shared" si="204"/>
        <v>0</v>
      </c>
      <c r="BH183" s="409">
        <f t="shared" si="204"/>
        <v>0</v>
      </c>
      <c r="BI183" s="409">
        <f t="shared" si="204"/>
        <v>0</v>
      </c>
      <c r="BJ183" s="409">
        <f t="shared" si="204"/>
        <v>0</v>
      </c>
      <c r="BK183" s="409">
        <f t="shared" si="204"/>
        <v>0</v>
      </c>
      <c r="BL183" s="409">
        <f t="shared" si="204"/>
        <v>0</v>
      </c>
      <c r="BM183" s="409">
        <f t="shared" si="204"/>
        <v>0</v>
      </c>
      <c r="BN183" s="409">
        <f t="shared" si="204"/>
        <v>0</v>
      </c>
      <c r="BO183" s="409">
        <f t="shared" si="204"/>
        <v>0</v>
      </c>
      <c r="BP183" s="409">
        <f t="shared" si="204"/>
        <v>0</v>
      </c>
      <c r="BQ183" s="409">
        <f t="shared" si="205"/>
        <v>0</v>
      </c>
      <c r="BR183" s="409">
        <f t="shared" si="205"/>
        <v>0</v>
      </c>
      <c r="BS183" s="409">
        <f t="shared" si="205"/>
        <v>0</v>
      </c>
      <c r="BT183" s="409">
        <f t="shared" si="205"/>
        <v>0</v>
      </c>
      <c r="BU183" s="409">
        <f t="shared" si="205"/>
        <v>0</v>
      </c>
      <c r="BV183" s="409">
        <f t="shared" si="205"/>
        <v>0</v>
      </c>
      <c r="BW183" s="409">
        <f t="shared" si="205"/>
        <v>0</v>
      </c>
      <c r="BX183" s="409">
        <f t="shared" si="205"/>
        <v>0</v>
      </c>
      <c r="BY183" s="409">
        <f t="shared" si="205"/>
        <v>0</v>
      </c>
      <c r="BZ183" s="409">
        <f t="shared" si="205"/>
        <v>0</v>
      </c>
      <c r="CA183" s="409">
        <f t="shared" si="206"/>
        <v>0</v>
      </c>
      <c r="CB183" s="409">
        <f t="shared" si="206"/>
        <v>0</v>
      </c>
      <c r="CC183" s="409">
        <f t="shared" si="206"/>
        <v>0</v>
      </c>
      <c r="CD183" s="409">
        <f t="shared" si="206"/>
        <v>0</v>
      </c>
      <c r="CE183" s="409">
        <f t="shared" si="206"/>
        <v>0</v>
      </c>
      <c r="CF183" s="409">
        <f t="shared" si="206"/>
        <v>0</v>
      </c>
      <c r="CG183" s="409">
        <f t="shared" si="206"/>
        <v>0</v>
      </c>
      <c r="CH183" s="409">
        <f t="shared" si="206"/>
        <v>0</v>
      </c>
      <c r="CI183" s="409">
        <f t="shared" si="206"/>
        <v>0</v>
      </c>
      <c r="CJ183" s="409">
        <f t="shared" si="206"/>
        <v>0</v>
      </c>
      <c r="CK183" s="409">
        <f t="shared" si="207"/>
        <v>0</v>
      </c>
      <c r="CL183" s="409">
        <f t="shared" si="207"/>
        <v>0</v>
      </c>
      <c r="CM183" s="409">
        <f t="shared" si="207"/>
        <v>0</v>
      </c>
      <c r="CN183" s="409">
        <f t="shared" si="207"/>
        <v>0</v>
      </c>
      <c r="CO183" s="409">
        <f t="shared" si="207"/>
        <v>0</v>
      </c>
      <c r="CP183" s="409">
        <f t="shared" si="207"/>
        <v>0</v>
      </c>
      <c r="CQ183" s="409">
        <f t="shared" si="207"/>
        <v>0</v>
      </c>
      <c r="CR183" s="409">
        <f t="shared" si="207"/>
        <v>0</v>
      </c>
      <c r="CS183" s="409">
        <f t="shared" si="207"/>
        <v>0</v>
      </c>
      <c r="CT183" s="409">
        <f t="shared" si="207"/>
        <v>0</v>
      </c>
      <c r="CU183" s="409">
        <f t="shared" si="208"/>
        <v>0</v>
      </c>
      <c r="CV183" s="409">
        <f t="shared" si="208"/>
        <v>0</v>
      </c>
      <c r="CW183" s="409">
        <f t="shared" si="208"/>
        <v>0</v>
      </c>
      <c r="CX183" s="409">
        <f t="shared" si="208"/>
        <v>0</v>
      </c>
      <c r="CY183" s="409">
        <f t="shared" si="208"/>
        <v>0</v>
      </c>
      <c r="CZ183" s="409">
        <f t="shared" si="208"/>
        <v>0</v>
      </c>
      <c r="DA183" s="409">
        <f t="shared" si="208"/>
        <v>0</v>
      </c>
      <c r="DB183" s="409">
        <f t="shared" si="208"/>
        <v>0</v>
      </c>
      <c r="DC183" s="409">
        <f t="shared" si="208"/>
        <v>0</v>
      </c>
      <c r="DD183" s="409">
        <f t="shared" si="208"/>
        <v>0</v>
      </c>
      <c r="DE183" s="409">
        <f t="shared" si="209"/>
        <v>0</v>
      </c>
      <c r="DF183" s="409">
        <f t="shared" si="209"/>
        <v>0</v>
      </c>
      <c r="DG183" s="409">
        <f t="shared" si="209"/>
        <v>0</v>
      </c>
      <c r="DH183" s="409">
        <f t="shared" si="209"/>
        <v>0</v>
      </c>
      <c r="DI183" s="409">
        <f t="shared" si="209"/>
        <v>0</v>
      </c>
      <c r="DJ183" s="409">
        <f t="shared" si="209"/>
        <v>0</v>
      </c>
      <c r="DK183" s="409">
        <f t="shared" si="209"/>
        <v>0</v>
      </c>
      <c r="DL183" s="409">
        <f t="shared" si="209"/>
        <v>0</v>
      </c>
      <c r="DM183" s="409">
        <f t="shared" si="209"/>
        <v>0</v>
      </c>
      <c r="DN183" s="409">
        <f t="shared" si="209"/>
        <v>0</v>
      </c>
      <c r="DO183" s="409">
        <f t="shared" si="210"/>
        <v>0</v>
      </c>
      <c r="DP183" s="409">
        <f t="shared" si="210"/>
        <v>0</v>
      </c>
      <c r="DQ183" s="409">
        <f t="shared" si="210"/>
        <v>0</v>
      </c>
      <c r="DR183" s="409">
        <f t="shared" si="210"/>
        <v>0</v>
      </c>
      <c r="DS183" s="409">
        <f t="shared" si="210"/>
        <v>0</v>
      </c>
      <c r="DT183" s="409">
        <f t="shared" si="210"/>
        <v>0</v>
      </c>
      <c r="DU183" s="409">
        <f t="shared" si="210"/>
        <v>0</v>
      </c>
      <c r="DV183" s="409">
        <f t="shared" si="210"/>
        <v>0</v>
      </c>
      <c r="DW183" s="409">
        <f t="shared" si="210"/>
        <v>0</v>
      </c>
      <c r="DX183" s="409">
        <f t="shared" si="210"/>
        <v>0</v>
      </c>
      <c r="DY183" s="409">
        <f t="shared" si="211"/>
        <v>0</v>
      </c>
      <c r="DZ183" s="409">
        <f t="shared" si="211"/>
        <v>0</v>
      </c>
      <c r="EA183" s="409">
        <f t="shared" si="211"/>
        <v>0</v>
      </c>
      <c r="EB183" s="409">
        <f t="shared" si="211"/>
        <v>0</v>
      </c>
      <c r="EC183" s="409">
        <f t="shared" si="211"/>
        <v>0</v>
      </c>
      <c r="ED183" s="409">
        <f t="shared" si="211"/>
        <v>0</v>
      </c>
      <c r="EE183" s="409">
        <f t="shared" si="211"/>
        <v>0</v>
      </c>
      <c r="EF183" s="409">
        <f t="shared" si="211"/>
        <v>0</v>
      </c>
      <c r="EG183" s="409">
        <f t="shared" si="211"/>
        <v>0</v>
      </c>
      <c r="EH183" s="409">
        <f t="shared" si="211"/>
        <v>0</v>
      </c>
      <c r="EI183" s="409">
        <f t="shared" si="212"/>
        <v>0</v>
      </c>
      <c r="EJ183" s="409">
        <f t="shared" si="212"/>
        <v>0</v>
      </c>
      <c r="EK183" s="409">
        <f t="shared" si="212"/>
        <v>0</v>
      </c>
      <c r="EL183" s="409">
        <f t="shared" si="212"/>
        <v>0</v>
      </c>
      <c r="EM183" s="409">
        <f t="shared" si="212"/>
        <v>0</v>
      </c>
      <c r="EN183" s="409">
        <f t="shared" si="212"/>
        <v>0</v>
      </c>
      <c r="EO183" s="409">
        <f t="shared" si="212"/>
        <v>0</v>
      </c>
      <c r="EP183" s="409">
        <f t="shared" si="212"/>
        <v>0</v>
      </c>
      <c r="EQ183" s="409">
        <f t="shared" si="212"/>
        <v>0</v>
      </c>
      <c r="ER183" s="409">
        <f t="shared" si="212"/>
        <v>0</v>
      </c>
      <c r="ES183" s="409">
        <f t="shared" si="213"/>
        <v>0</v>
      </c>
      <c r="ET183" s="409">
        <f t="shared" si="213"/>
        <v>0</v>
      </c>
      <c r="EU183" s="409">
        <f t="shared" si="213"/>
        <v>0</v>
      </c>
      <c r="EV183" s="409">
        <f t="shared" si="213"/>
        <v>0</v>
      </c>
      <c r="EW183" s="409">
        <f t="shared" si="213"/>
        <v>0</v>
      </c>
      <c r="EX183" s="409">
        <f t="shared" si="213"/>
        <v>0</v>
      </c>
      <c r="EY183" s="409">
        <f t="shared" si="213"/>
        <v>0</v>
      </c>
      <c r="EZ183" s="409">
        <f t="shared" si="213"/>
        <v>0</v>
      </c>
      <c r="FA183" s="409">
        <f t="shared" si="213"/>
        <v>0</v>
      </c>
      <c r="FB183" s="409">
        <f t="shared" si="213"/>
        <v>0</v>
      </c>
      <c r="FC183" s="409">
        <f t="shared" si="214"/>
        <v>0</v>
      </c>
      <c r="FD183" s="409">
        <f t="shared" si="214"/>
        <v>0</v>
      </c>
      <c r="FE183" s="409">
        <f t="shared" si="214"/>
        <v>0</v>
      </c>
      <c r="FF183" s="409">
        <f t="shared" si="214"/>
        <v>0</v>
      </c>
      <c r="FG183" s="409">
        <f t="shared" si="214"/>
        <v>0</v>
      </c>
      <c r="FH183" s="409">
        <f t="shared" si="214"/>
        <v>0</v>
      </c>
      <c r="FI183" s="409">
        <f t="shared" si="214"/>
        <v>0</v>
      </c>
      <c r="FJ183" s="409">
        <f t="shared" si="214"/>
        <v>0</v>
      </c>
      <c r="FK183" s="409">
        <f t="shared" si="214"/>
        <v>0</v>
      </c>
      <c r="FL183" s="409">
        <f t="shared" si="214"/>
        <v>0</v>
      </c>
      <c r="FM183" s="409">
        <f t="shared" si="215"/>
        <v>0</v>
      </c>
      <c r="FN183" s="409">
        <f t="shared" si="215"/>
        <v>0</v>
      </c>
      <c r="FO183" s="409">
        <f t="shared" si="215"/>
        <v>0</v>
      </c>
      <c r="FP183" s="409">
        <f t="shared" si="215"/>
        <v>0</v>
      </c>
      <c r="FQ183" s="409">
        <f t="shared" si="215"/>
        <v>0</v>
      </c>
      <c r="FR183" s="409">
        <f t="shared" si="215"/>
        <v>0</v>
      </c>
      <c r="FS183" s="409">
        <f t="shared" si="215"/>
        <v>0</v>
      </c>
      <c r="FT183" s="409">
        <f t="shared" si="215"/>
        <v>0</v>
      </c>
      <c r="FU183" s="409">
        <f t="shared" si="215"/>
        <v>0</v>
      </c>
      <c r="FV183" s="409">
        <f t="shared" si="215"/>
        <v>0</v>
      </c>
      <c r="FW183" s="409">
        <f t="shared" si="216"/>
        <v>0</v>
      </c>
      <c r="FX183" s="409">
        <f t="shared" si="216"/>
        <v>0</v>
      </c>
      <c r="FY183" s="409">
        <f t="shared" si="216"/>
        <v>0</v>
      </c>
      <c r="FZ183" s="409">
        <f t="shared" si="216"/>
        <v>0</v>
      </c>
      <c r="GA183" s="409">
        <f t="shared" si="216"/>
        <v>0</v>
      </c>
      <c r="GB183" s="409">
        <f t="shared" si="216"/>
        <v>0</v>
      </c>
      <c r="GC183" s="409">
        <f t="shared" si="216"/>
        <v>0</v>
      </c>
      <c r="GD183" s="409">
        <f t="shared" si="216"/>
        <v>0</v>
      </c>
      <c r="GE183" s="409">
        <f t="shared" si="216"/>
        <v>0</v>
      </c>
      <c r="GF183" s="409">
        <f t="shared" si="216"/>
        <v>0</v>
      </c>
      <c r="GG183" s="409">
        <f t="shared" si="217"/>
        <v>0</v>
      </c>
      <c r="GH183" s="409">
        <f t="shared" si="217"/>
        <v>0</v>
      </c>
      <c r="GI183" s="409">
        <f t="shared" si="217"/>
        <v>0</v>
      </c>
      <c r="GJ183" s="409">
        <f t="shared" si="217"/>
        <v>0</v>
      </c>
      <c r="GK183" s="409">
        <f t="shared" si="217"/>
        <v>0</v>
      </c>
      <c r="GL183" s="409">
        <f t="shared" si="217"/>
        <v>0</v>
      </c>
      <c r="GM183" s="409">
        <f t="shared" si="217"/>
        <v>0</v>
      </c>
      <c r="GN183" s="409">
        <f t="shared" si="217"/>
        <v>0</v>
      </c>
      <c r="GO183" s="409">
        <f t="shared" si="217"/>
        <v>0</v>
      </c>
      <c r="GP183" s="409">
        <f t="shared" si="217"/>
        <v>0</v>
      </c>
      <c r="GQ183" s="409">
        <f t="shared" si="218"/>
        <v>0</v>
      </c>
      <c r="GR183" s="409">
        <f t="shared" si="218"/>
        <v>0</v>
      </c>
      <c r="GS183" s="409">
        <f t="shared" si="218"/>
        <v>0</v>
      </c>
      <c r="GT183" s="409">
        <f t="shared" si="218"/>
        <v>0</v>
      </c>
      <c r="GU183" s="409">
        <f t="shared" si="218"/>
        <v>0</v>
      </c>
      <c r="GV183" s="409">
        <f t="shared" si="218"/>
        <v>0</v>
      </c>
      <c r="GW183" s="409">
        <f t="shared" si="218"/>
        <v>0</v>
      </c>
      <c r="GX183" s="409">
        <f t="shared" si="218"/>
        <v>0</v>
      </c>
      <c r="GY183" s="409">
        <f t="shared" si="218"/>
        <v>0</v>
      </c>
      <c r="GZ183" s="409">
        <f t="shared" si="218"/>
        <v>0</v>
      </c>
      <c r="HA183" s="409">
        <f t="shared" si="219"/>
        <v>0</v>
      </c>
      <c r="HB183" s="409">
        <f t="shared" si="219"/>
        <v>0</v>
      </c>
      <c r="HC183" s="409">
        <f t="shared" si="219"/>
        <v>0</v>
      </c>
      <c r="HD183" s="409">
        <f t="shared" si="219"/>
        <v>0</v>
      </c>
      <c r="HE183" s="409">
        <f t="shared" si="219"/>
        <v>0</v>
      </c>
      <c r="HF183" s="409">
        <f t="shared" si="219"/>
        <v>0</v>
      </c>
      <c r="HG183" s="409">
        <f t="shared" si="219"/>
        <v>0</v>
      </c>
      <c r="HH183" s="409">
        <f t="shared" si="219"/>
        <v>0</v>
      </c>
      <c r="HI183" s="409">
        <f t="shared" si="219"/>
        <v>0</v>
      </c>
      <c r="HJ183" s="409">
        <f t="shared" si="219"/>
        <v>0</v>
      </c>
      <c r="HK183" s="409">
        <f t="shared" si="220"/>
        <v>0</v>
      </c>
      <c r="HL183" s="409">
        <f t="shared" si="220"/>
        <v>0</v>
      </c>
      <c r="HM183" s="409">
        <f t="shared" si="220"/>
        <v>0</v>
      </c>
      <c r="HN183" s="409">
        <f t="shared" si="220"/>
        <v>0</v>
      </c>
      <c r="HO183" s="409">
        <f t="shared" si="220"/>
        <v>0</v>
      </c>
      <c r="HP183" s="409">
        <f t="shared" si="220"/>
        <v>0</v>
      </c>
      <c r="HQ183" s="409">
        <f t="shared" si="220"/>
        <v>0</v>
      </c>
      <c r="HR183" s="409">
        <f t="shared" si="220"/>
        <v>0</v>
      </c>
      <c r="HS183" s="409">
        <f t="shared" si="220"/>
        <v>0</v>
      </c>
      <c r="HT183" s="409">
        <f t="shared" si="220"/>
        <v>0</v>
      </c>
      <c r="HU183" s="409">
        <f t="shared" si="221"/>
        <v>0</v>
      </c>
      <c r="HV183" s="409">
        <f t="shared" si="221"/>
        <v>0</v>
      </c>
      <c r="HW183" s="409">
        <f t="shared" si="221"/>
        <v>0</v>
      </c>
      <c r="HX183" s="409">
        <f t="shared" si="221"/>
        <v>0</v>
      </c>
      <c r="HY183" s="409">
        <f t="shared" si="221"/>
        <v>0</v>
      </c>
      <c r="HZ183" s="409">
        <f t="shared" si="221"/>
        <v>0</v>
      </c>
      <c r="IA183" s="409">
        <f t="shared" si="221"/>
        <v>0</v>
      </c>
      <c r="IB183" s="409">
        <f t="shared" si="221"/>
        <v>0</v>
      </c>
      <c r="IC183" s="409">
        <f t="shared" si="221"/>
        <v>0</v>
      </c>
      <c r="ID183" s="409">
        <f t="shared" si="221"/>
        <v>0</v>
      </c>
      <c r="IE183" s="409">
        <f t="shared" si="222"/>
        <v>0</v>
      </c>
      <c r="IF183" s="409">
        <f t="shared" si="222"/>
        <v>0</v>
      </c>
      <c r="IG183" s="409">
        <f t="shared" si="222"/>
        <v>0</v>
      </c>
      <c r="IH183" s="409">
        <f t="shared" si="222"/>
        <v>0</v>
      </c>
      <c r="II183" s="409">
        <f t="shared" si="222"/>
        <v>0</v>
      </c>
      <c r="IJ183" s="409">
        <f t="shared" si="222"/>
        <v>0</v>
      </c>
      <c r="IK183" s="378"/>
    </row>
    <row r="184" spans="1:245" hidden="1" x14ac:dyDescent="0.2">
      <c r="A184" s="380" t="str">
        <f t="shared" si="242"/>
        <v>e</v>
      </c>
      <c r="B184" s="712" t="str">
        <f>IF(ISERROR(INDEX('Legend(DX)'!$H$11:$H$12,27)),"",INDEX('Legend(DX)'!$H$11:$H$12,27))</f>
        <v/>
      </c>
      <c r="C184" s="712" t="e">
        <f>IF(INDEX('Legend(DX)'!$T$11:$T$12,27)=0,"See Legend",INDEX('Legend(DX)'!$T$11:$T$12,27))</f>
        <v>#REF!</v>
      </c>
      <c r="D184" s="712" t="e">
        <f>IF(INDEX('Legend(DX)'!$R$11:$R$12,(ROW(C184))-137)=0,IF(AND(INDEX('Legend(DX)'!$D$11:$D$12,(ROW(C184))-136)="CH",INDEX('Legend(DX)'!$F$11:$F$12,(ROW(C184))-136)="CASE - MANUAL"),INDEX('Legend(DX)'!$R$11:$R$12,(ROW(C184))-136),IF(INDEX('Legend(DX)'!$V$11:$V$12,(ROW(C184))-137)&gt;1, "(" &amp; INDEX('Legend(DX)'!$V$11:$V$12,(ROW(C184))-137) &amp; ") " &amp; INDEX('Legend(DX)'!$W$11:$W$12,(ROW(C184))-136),INDEX('Legend(DX)'!$W$11:$W$12,(ROW(C184))-137))),INDEX('Legend(DX)'!$R$11:$R$12,(ROW(C184))-137))</f>
        <v>#REF!</v>
      </c>
      <c r="E184" s="713" t="str">
        <f>IF(ISERROR(INDEX('Legend(DX)'!$AA$11:$AA$12,27)),"",INDEX('Legend(DX)'!$AA$11:$AA$12,27))</f>
        <v/>
      </c>
      <c r="F184" s="715"/>
      <c r="G184" s="715"/>
      <c r="H184" s="715"/>
      <c r="I184" s="715"/>
      <c r="J184" s="715"/>
      <c r="K184" s="890">
        <f t="shared" si="223"/>
        <v>0</v>
      </c>
      <c r="L184" s="718"/>
      <c r="M184" s="723"/>
      <c r="N184" s="972">
        <f t="shared" si="196"/>
        <v>-1</v>
      </c>
      <c r="O184" s="972">
        <f t="shared" si="224"/>
        <v>-1</v>
      </c>
      <c r="P184" s="972">
        <f t="shared" si="197"/>
        <v>-1</v>
      </c>
      <c r="Q184" s="972">
        <f t="shared" si="225"/>
        <v>-1</v>
      </c>
      <c r="R184" s="972">
        <f t="shared" si="198"/>
        <v>-1</v>
      </c>
      <c r="S184" s="972">
        <f t="shared" si="226"/>
        <v>-1</v>
      </c>
      <c r="T184" s="972">
        <f t="shared" si="199"/>
        <v>-1</v>
      </c>
      <c r="U184" s="972">
        <f t="shared" si="227"/>
        <v>-1</v>
      </c>
      <c r="V184" s="972">
        <f t="shared" si="200"/>
        <v>-1</v>
      </c>
      <c r="W184" s="972">
        <f t="shared" si="228"/>
        <v>-1</v>
      </c>
      <c r="X184" s="972">
        <f t="shared" si="201"/>
        <v>-1</v>
      </c>
      <c r="Y184" s="972">
        <f t="shared" si="229"/>
        <v>-1</v>
      </c>
      <c r="Z184" s="972">
        <f t="shared" si="230"/>
        <v>-1</v>
      </c>
      <c r="AA184" s="972">
        <f t="shared" si="231"/>
        <v>-1</v>
      </c>
      <c r="AB184" s="972">
        <f t="shared" si="232"/>
        <v>-1</v>
      </c>
      <c r="AC184" s="972">
        <f t="shared" si="233"/>
        <v>-1</v>
      </c>
      <c r="AD184" s="972">
        <f t="shared" si="234"/>
        <v>-1</v>
      </c>
      <c r="AE184" s="972">
        <f t="shared" si="235"/>
        <v>-1</v>
      </c>
      <c r="AF184" s="972">
        <f t="shared" si="236"/>
        <v>-1</v>
      </c>
      <c r="AG184" s="972">
        <f t="shared" si="237"/>
        <v>-1</v>
      </c>
      <c r="AH184" s="972">
        <f t="shared" si="238"/>
        <v>-1</v>
      </c>
      <c r="AI184" s="972">
        <f t="shared" si="239"/>
        <v>-1</v>
      </c>
      <c r="AJ184" s="972">
        <f t="shared" si="240"/>
        <v>-1</v>
      </c>
      <c r="AK184" s="381"/>
      <c r="AL184" s="727" t="str">
        <f t="shared" si="241"/>
        <v/>
      </c>
      <c r="AM184" s="409">
        <f t="shared" si="202"/>
        <v>0</v>
      </c>
      <c r="AN184" s="409">
        <f t="shared" si="202"/>
        <v>0</v>
      </c>
      <c r="AO184" s="409">
        <f t="shared" si="202"/>
        <v>0</v>
      </c>
      <c r="AP184" s="409">
        <f t="shared" si="202"/>
        <v>0</v>
      </c>
      <c r="AQ184" s="409">
        <f t="shared" si="202"/>
        <v>0</v>
      </c>
      <c r="AR184" s="409">
        <f t="shared" si="202"/>
        <v>0</v>
      </c>
      <c r="AS184" s="409">
        <f t="shared" si="202"/>
        <v>0</v>
      </c>
      <c r="AT184" s="409">
        <f t="shared" si="202"/>
        <v>0</v>
      </c>
      <c r="AU184" s="409">
        <f t="shared" si="202"/>
        <v>0</v>
      </c>
      <c r="AV184" s="409">
        <f t="shared" si="202"/>
        <v>0</v>
      </c>
      <c r="AW184" s="409">
        <f t="shared" si="203"/>
        <v>0</v>
      </c>
      <c r="AX184" s="409">
        <f t="shared" si="203"/>
        <v>0</v>
      </c>
      <c r="AY184" s="409">
        <f t="shared" si="203"/>
        <v>0</v>
      </c>
      <c r="AZ184" s="409">
        <f t="shared" si="203"/>
        <v>0</v>
      </c>
      <c r="BA184" s="409">
        <f t="shared" si="203"/>
        <v>0</v>
      </c>
      <c r="BB184" s="409">
        <f t="shared" si="203"/>
        <v>0</v>
      </c>
      <c r="BC184" s="409">
        <f t="shared" si="203"/>
        <v>0</v>
      </c>
      <c r="BD184" s="409">
        <f t="shared" si="203"/>
        <v>0</v>
      </c>
      <c r="BE184" s="409">
        <f t="shared" si="203"/>
        <v>0</v>
      </c>
      <c r="BF184" s="409">
        <f t="shared" si="203"/>
        <v>0</v>
      </c>
      <c r="BG184" s="409">
        <f t="shared" si="204"/>
        <v>0</v>
      </c>
      <c r="BH184" s="409">
        <f t="shared" si="204"/>
        <v>0</v>
      </c>
      <c r="BI184" s="409">
        <f t="shared" si="204"/>
        <v>0</v>
      </c>
      <c r="BJ184" s="409">
        <f t="shared" si="204"/>
        <v>0</v>
      </c>
      <c r="BK184" s="409">
        <f t="shared" si="204"/>
        <v>0</v>
      </c>
      <c r="BL184" s="409">
        <f t="shared" si="204"/>
        <v>0</v>
      </c>
      <c r="BM184" s="409">
        <f t="shared" si="204"/>
        <v>0</v>
      </c>
      <c r="BN184" s="409">
        <f t="shared" si="204"/>
        <v>0</v>
      </c>
      <c r="BO184" s="409">
        <f t="shared" si="204"/>
        <v>0</v>
      </c>
      <c r="BP184" s="409">
        <f t="shared" si="204"/>
        <v>0</v>
      </c>
      <c r="BQ184" s="409">
        <f t="shared" si="205"/>
        <v>0</v>
      </c>
      <c r="BR184" s="409">
        <f t="shared" si="205"/>
        <v>0</v>
      </c>
      <c r="BS184" s="409">
        <f t="shared" si="205"/>
        <v>0</v>
      </c>
      <c r="BT184" s="409">
        <f t="shared" si="205"/>
        <v>0</v>
      </c>
      <c r="BU184" s="409">
        <f t="shared" si="205"/>
        <v>0</v>
      </c>
      <c r="BV184" s="409">
        <f t="shared" si="205"/>
        <v>0</v>
      </c>
      <c r="BW184" s="409">
        <f t="shared" si="205"/>
        <v>0</v>
      </c>
      <c r="BX184" s="409">
        <f t="shared" si="205"/>
        <v>0</v>
      </c>
      <c r="BY184" s="409">
        <f t="shared" si="205"/>
        <v>0</v>
      </c>
      <c r="BZ184" s="409">
        <f t="shared" si="205"/>
        <v>0</v>
      </c>
      <c r="CA184" s="409">
        <f t="shared" si="206"/>
        <v>0</v>
      </c>
      <c r="CB184" s="409">
        <f t="shared" si="206"/>
        <v>0</v>
      </c>
      <c r="CC184" s="409">
        <f t="shared" si="206"/>
        <v>0</v>
      </c>
      <c r="CD184" s="409">
        <f t="shared" si="206"/>
        <v>0</v>
      </c>
      <c r="CE184" s="409">
        <f t="shared" si="206"/>
        <v>0</v>
      </c>
      <c r="CF184" s="409">
        <f t="shared" si="206"/>
        <v>0</v>
      </c>
      <c r="CG184" s="409">
        <f t="shared" si="206"/>
        <v>0</v>
      </c>
      <c r="CH184" s="409">
        <f t="shared" si="206"/>
        <v>0</v>
      </c>
      <c r="CI184" s="409">
        <f t="shared" si="206"/>
        <v>0</v>
      </c>
      <c r="CJ184" s="409">
        <f t="shared" si="206"/>
        <v>0</v>
      </c>
      <c r="CK184" s="409">
        <f t="shared" si="207"/>
        <v>0</v>
      </c>
      <c r="CL184" s="409">
        <f t="shared" si="207"/>
        <v>0</v>
      </c>
      <c r="CM184" s="409">
        <f t="shared" si="207"/>
        <v>0</v>
      </c>
      <c r="CN184" s="409">
        <f t="shared" si="207"/>
        <v>0</v>
      </c>
      <c r="CO184" s="409">
        <f t="shared" si="207"/>
        <v>0</v>
      </c>
      <c r="CP184" s="409">
        <f t="shared" si="207"/>
        <v>0</v>
      </c>
      <c r="CQ184" s="409">
        <f t="shared" si="207"/>
        <v>0</v>
      </c>
      <c r="CR184" s="409">
        <f t="shared" si="207"/>
        <v>0</v>
      </c>
      <c r="CS184" s="409">
        <f t="shared" si="207"/>
        <v>0</v>
      </c>
      <c r="CT184" s="409">
        <f t="shared" si="207"/>
        <v>0</v>
      </c>
      <c r="CU184" s="409">
        <f t="shared" si="208"/>
        <v>0</v>
      </c>
      <c r="CV184" s="409">
        <f t="shared" si="208"/>
        <v>0</v>
      </c>
      <c r="CW184" s="409">
        <f t="shared" si="208"/>
        <v>0</v>
      </c>
      <c r="CX184" s="409">
        <f t="shared" si="208"/>
        <v>0</v>
      </c>
      <c r="CY184" s="409">
        <f t="shared" si="208"/>
        <v>0</v>
      </c>
      <c r="CZ184" s="409">
        <f t="shared" si="208"/>
        <v>0</v>
      </c>
      <c r="DA184" s="409">
        <f t="shared" si="208"/>
        <v>0</v>
      </c>
      <c r="DB184" s="409">
        <f t="shared" si="208"/>
        <v>0</v>
      </c>
      <c r="DC184" s="409">
        <f t="shared" si="208"/>
        <v>0</v>
      </c>
      <c r="DD184" s="409">
        <f t="shared" si="208"/>
        <v>0</v>
      </c>
      <c r="DE184" s="409">
        <f t="shared" si="209"/>
        <v>0</v>
      </c>
      <c r="DF184" s="409">
        <f t="shared" si="209"/>
        <v>0</v>
      </c>
      <c r="DG184" s="409">
        <f t="shared" si="209"/>
        <v>0</v>
      </c>
      <c r="DH184" s="409">
        <f t="shared" si="209"/>
        <v>0</v>
      </c>
      <c r="DI184" s="409">
        <f t="shared" si="209"/>
        <v>0</v>
      </c>
      <c r="DJ184" s="409">
        <f t="shared" si="209"/>
        <v>0</v>
      </c>
      <c r="DK184" s="409">
        <f t="shared" si="209"/>
        <v>0</v>
      </c>
      <c r="DL184" s="409">
        <f t="shared" si="209"/>
        <v>0</v>
      </c>
      <c r="DM184" s="409">
        <f t="shared" si="209"/>
        <v>0</v>
      </c>
      <c r="DN184" s="409">
        <f t="shared" si="209"/>
        <v>0</v>
      </c>
      <c r="DO184" s="409">
        <f t="shared" si="210"/>
        <v>0</v>
      </c>
      <c r="DP184" s="409">
        <f t="shared" si="210"/>
        <v>0</v>
      </c>
      <c r="DQ184" s="409">
        <f t="shared" si="210"/>
        <v>0</v>
      </c>
      <c r="DR184" s="409">
        <f t="shared" si="210"/>
        <v>0</v>
      </c>
      <c r="DS184" s="409">
        <f t="shared" si="210"/>
        <v>0</v>
      </c>
      <c r="DT184" s="409">
        <f t="shared" si="210"/>
        <v>0</v>
      </c>
      <c r="DU184" s="409">
        <f t="shared" si="210"/>
        <v>0</v>
      </c>
      <c r="DV184" s="409">
        <f t="shared" si="210"/>
        <v>0</v>
      </c>
      <c r="DW184" s="409">
        <f t="shared" si="210"/>
        <v>0</v>
      </c>
      <c r="DX184" s="409">
        <f t="shared" si="210"/>
        <v>0</v>
      </c>
      <c r="DY184" s="409">
        <f t="shared" si="211"/>
        <v>0</v>
      </c>
      <c r="DZ184" s="409">
        <f t="shared" si="211"/>
        <v>0</v>
      </c>
      <c r="EA184" s="409">
        <f t="shared" si="211"/>
        <v>0</v>
      </c>
      <c r="EB184" s="409">
        <f t="shared" si="211"/>
        <v>0</v>
      </c>
      <c r="EC184" s="409">
        <f t="shared" si="211"/>
        <v>0</v>
      </c>
      <c r="ED184" s="409">
        <f t="shared" si="211"/>
        <v>0</v>
      </c>
      <c r="EE184" s="409">
        <f t="shared" si="211"/>
        <v>0</v>
      </c>
      <c r="EF184" s="409">
        <f t="shared" si="211"/>
        <v>0</v>
      </c>
      <c r="EG184" s="409">
        <f t="shared" si="211"/>
        <v>0</v>
      </c>
      <c r="EH184" s="409">
        <f t="shared" si="211"/>
        <v>0</v>
      </c>
      <c r="EI184" s="409">
        <f t="shared" si="212"/>
        <v>0</v>
      </c>
      <c r="EJ184" s="409">
        <f t="shared" si="212"/>
        <v>0</v>
      </c>
      <c r="EK184" s="409">
        <f t="shared" si="212"/>
        <v>0</v>
      </c>
      <c r="EL184" s="409">
        <f t="shared" si="212"/>
        <v>0</v>
      </c>
      <c r="EM184" s="409">
        <f t="shared" si="212"/>
        <v>0</v>
      </c>
      <c r="EN184" s="409">
        <f t="shared" si="212"/>
        <v>0</v>
      </c>
      <c r="EO184" s="409">
        <f t="shared" si="212"/>
        <v>0</v>
      </c>
      <c r="EP184" s="409">
        <f t="shared" si="212"/>
        <v>0</v>
      </c>
      <c r="EQ184" s="409">
        <f t="shared" si="212"/>
        <v>0</v>
      </c>
      <c r="ER184" s="409">
        <f t="shared" si="212"/>
        <v>0</v>
      </c>
      <c r="ES184" s="409">
        <f t="shared" si="213"/>
        <v>0</v>
      </c>
      <c r="ET184" s="409">
        <f t="shared" si="213"/>
        <v>0</v>
      </c>
      <c r="EU184" s="409">
        <f t="shared" si="213"/>
        <v>0</v>
      </c>
      <c r="EV184" s="409">
        <f t="shared" si="213"/>
        <v>0</v>
      </c>
      <c r="EW184" s="409">
        <f t="shared" si="213"/>
        <v>0</v>
      </c>
      <c r="EX184" s="409">
        <f t="shared" si="213"/>
        <v>0</v>
      </c>
      <c r="EY184" s="409">
        <f t="shared" si="213"/>
        <v>0</v>
      </c>
      <c r="EZ184" s="409">
        <f t="shared" si="213"/>
        <v>0</v>
      </c>
      <c r="FA184" s="409">
        <f t="shared" si="213"/>
        <v>0</v>
      </c>
      <c r="FB184" s="409">
        <f t="shared" si="213"/>
        <v>0</v>
      </c>
      <c r="FC184" s="409">
        <f t="shared" si="214"/>
        <v>0</v>
      </c>
      <c r="FD184" s="409">
        <f t="shared" si="214"/>
        <v>0</v>
      </c>
      <c r="FE184" s="409">
        <f t="shared" si="214"/>
        <v>0</v>
      </c>
      <c r="FF184" s="409">
        <f t="shared" si="214"/>
        <v>0</v>
      </c>
      <c r="FG184" s="409">
        <f t="shared" si="214"/>
        <v>0</v>
      </c>
      <c r="FH184" s="409">
        <f t="shared" si="214"/>
        <v>0</v>
      </c>
      <c r="FI184" s="409">
        <f t="shared" si="214"/>
        <v>0</v>
      </c>
      <c r="FJ184" s="409">
        <f t="shared" si="214"/>
        <v>0</v>
      </c>
      <c r="FK184" s="409">
        <f t="shared" si="214"/>
        <v>0</v>
      </c>
      <c r="FL184" s="409">
        <f t="shared" si="214"/>
        <v>0</v>
      </c>
      <c r="FM184" s="409">
        <f t="shared" si="215"/>
        <v>0</v>
      </c>
      <c r="FN184" s="409">
        <f t="shared" si="215"/>
        <v>0</v>
      </c>
      <c r="FO184" s="409">
        <f t="shared" si="215"/>
        <v>0</v>
      </c>
      <c r="FP184" s="409">
        <f t="shared" si="215"/>
        <v>0</v>
      </c>
      <c r="FQ184" s="409">
        <f t="shared" si="215"/>
        <v>0</v>
      </c>
      <c r="FR184" s="409">
        <f t="shared" si="215"/>
        <v>0</v>
      </c>
      <c r="FS184" s="409">
        <f t="shared" si="215"/>
        <v>0</v>
      </c>
      <c r="FT184" s="409">
        <f t="shared" si="215"/>
        <v>0</v>
      </c>
      <c r="FU184" s="409">
        <f t="shared" si="215"/>
        <v>0</v>
      </c>
      <c r="FV184" s="409">
        <f t="shared" si="215"/>
        <v>0</v>
      </c>
      <c r="FW184" s="409">
        <f t="shared" si="216"/>
        <v>0</v>
      </c>
      <c r="FX184" s="409">
        <f t="shared" si="216"/>
        <v>0</v>
      </c>
      <c r="FY184" s="409">
        <f t="shared" si="216"/>
        <v>0</v>
      </c>
      <c r="FZ184" s="409">
        <f t="shared" si="216"/>
        <v>0</v>
      </c>
      <c r="GA184" s="409">
        <f t="shared" si="216"/>
        <v>0</v>
      </c>
      <c r="GB184" s="409">
        <f t="shared" si="216"/>
        <v>0</v>
      </c>
      <c r="GC184" s="409">
        <f t="shared" si="216"/>
        <v>0</v>
      </c>
      <c r="GD184" s="409">
        <f t="shared" si="216"/>
        <v>0</v>
      </c>
      <c r="GE184" s="409">
        <f t="shared" si="216"/>
        <v>0</v>
      </c>
      <c r="GF184" s="409">
        <f t="shared" si="216"/>
        <v>0</v>
      </c>
      <c r="GG184" s="409">
        <f t="shared" si="217"/>
        <v>0</v>
      </c>
      <c r="GH184" s="409">
        <f t="shared" si="217"/>
        <v>0</v>
      </c>
      <c r="GI184" s="409">
        <f t="shared" si="217"/>
        <v>0</v>
      </c>
      <c r="GJ184" s="409">
        <f t="shared" si="217"/>
        <v>0</v>
      </c>
      <c r="GK184" s="409">
        <f t="shared" si="217"/>
        <v>0</v>
      </c>
      <c r="GL184" s="409">
        <f t="shared" si="217"/>
        <v>0</v>
      </c>
      <c r="GM184" s="409">
        <f t="shared" si="217"/>
        <v>0</v>
      </c>
      <c r="GN184" s="409">
        <f t="shared" si="217"/>
        <v>0</v>
      </c>
      <c r="GO184" s="409">
        <f t="shared" si="217"/>
        <v>0</v>
      </c>
      <c r="GP184" s="409">
        <f t="shared" si="217"/>
        <v>0</v>
      </c>
      <c r="GQ184" s="409">
        <f t="shared" si="218"/>
        <v>0</v>
      </c>
      <c r="GR184" s="409">
        <f t="shared" si="218"/>
        <v>0</v>
      </c>
      <c r="GS184" s="409">
        <f t="shared" si="218"/>
        <v>0</v>
      </c>
      <c r="GT184" s="409">
        <f t="shared" si="218"/>
        <v>0</v>
      </c>
      <c r="GU184" s="409">
        <f t="shared" si="218"/>
        <v>0</v>
      </c>
      <c r="GV184" s="409">
        <f t="shared" si="218"/>
        <v>0</v>
      </c>
      <c r="GW184" s="409">
        <f t="shared" si="218"/>
        <v>0</v>
      </c>
      <c r="GX184" s="409">
        <f t="shared" si="218"/>
        <v>0</v>
      </c>
      <c r="GY184" s="409">
        <f t="shared" si="218"/>
        <v>0</v>
      </c>
      <c r="GZ184" s="409">
        <f t="shared" si="218"/>
        <v>0</v>
      </c>
      <c r="HA184" s="409">
        <f t="shared" si="219"/>
        <v>0</v>
      </c>
      <c r="HB184" s="409">
        <f t="shared" si="219"/>
        <v>0</v>
      </c>
      <c r="HC184" s="409">
        <f t="shared" si="219"/>
        <v>0</v>
      </c>
      <c r="HD184" s="409">
        <f t="shared" si="219"/>
        <v>0</v>
      </c>
      <c r="HE184" s="409">
        <f t="shared" si="219"/>
        <v>0</v>
      </c>
      <c r="HF184" s="409">
        <f t="shared" si="219"/>
        <v>0</v>
      </c>
      <c r="HG184" s="409">
        <f t="shared" si="219"/>
        <v>0</v>
      </c>
      <c r="HH184" s="409">
        <f t="shared" si="219"/>
        <v>0</v>
      </c>
      <c r="HI184" s="409">
        <f t="shared" si="219"/>
        <v>0</v>
      </c>
      <c r="HJ184" s="409">
        <f t="shared" si="219"/>
        <v>0</v>
      </c>
      <c r="HK184" s="409">
        <f t="shared" si="220"/>
        <v>0</v>
      </c>
      <c r="HL184" s="409">
        <f t="shared" si="220"/>
        <v>0</v>
      </c>
      <c r="HM184" s="409">
        <f t="shared" si="220"/>
        <v>0</v>
      </c>
      <c r="HN184" s="409">
        <f t="shared" si="220"/>
        <v>0</v>
      </c>
      <c r="HO184" s="409">
        <f t="shared" si="220"/>
        <v>0</v>
      </c>
      <c r="HP184" s="409">
        <f t="shared" si="220"/>
        <v>0</v>
      </c>
      <c r="HQ184" s="409">
        <f t="shared" si="220"/>
        <v>0</v>
      </c>
      <c r="HR184" s="409">
        <f t="shared" si="220"/>
        <v>0</v>
      </c>
      <c r="HS184" s="409">
        <f t="shared" si="220"/>
        <v>0</v>
      </c>
      <c r="HT184" s="409">
        <f t="shared" si="220"/>
        <v>0</v>
      </c>
      <c r="HU184" s="409">
        <f t="shared" si="221"/>
        <v>0</v>
      </c>
      <c r="HV184" s="409">
        <f t="shared" si="221"/>
        <v>0</v>
      </c>
      <c r="HW184" s="409">
        <f t="shared" si="221"/>
        <v>0</v>
      </c>
      <c r="HX184" s="409">
        <f t="shared" si="221"/>
        <v>0</v>
      </c>
      <c r="HY184" s="409">
        <f t="shared" si="221"/>
        <v>0</v>
      </c>
      <c r="HZ184" s="409">
        <f t="shared" si="221"/>
        <v>0</v>
      </c>
      <c r="IA184" s="409">
        <f t="shared" si="221"/>
        <v>0</v>
      </c>
      <c r="IB184" s="409">
        <f t="shared" si="221"/>
        <v>0</v>
      </c>
      <c r="IC184" s="409">
        <f t="shared" si="221"/>
        <v>0</v>
      </c>
      <c r="ID184" s="409">
        <f t="shared" si="221"/>
        <v>0</v>
      </c>
      <c r="IE184" s="409">
        <f t="shared" si="222"/>
        <v>0</v>
      </c>
      <c r="IF184" s="409">
        <f t="shared" si="222"/>
        <v>0</v>
      </c>
      <c r="IG184" s="409">
        <f t="shared" si="222"/>
        <v>0</v>
      </c>
      <c r="IH184" s="409">
        <f t="shared" si="222"/>
        <v>0</v>
      </c>
      <c r="II184" s="409">
        <f t="shared" si="222"/>
        <v>0</v>
      </c>
      <c r="IJ184" s="409">
        <f t="shared" si="222"/>
        <v>0</v>
      </c>
      <c r="IK184" s="378"/>
    </row>
    <row r="185" spans="1:245" hidden="1" x14ac:dyDescent="0.2">
      <c r="A185" s="380" t="str">
        <f t="shared" si="242"/>
        <v>e</v>
      </c>
      <c r="B185" s="712" t="str">
        <f>IF(ISERROR(INDEX('Legend(DX)'!$H$11:$H$12,28)),"",INDEX('Legend(DX)'!$H$11:$H$12,28))</f>
        <v/>
      </c>
      <c r="C185" s="712" t="e">
        <f>IF(INDEX('Legend(DX)'!$T$11:$T$12,28)=0,"See Legend",INDEX('Legend(DX)'!$T$11:$T$12,28))</f>
        <v>#REF!</v>
      </c>
      <c r="D185" s="712" t="e">
        <f>IF(INDEX('Legend(DX)'!$R$11:$R$12,(ROW(C185))-137)=0,IF(AND(INDEX('Legend(DX)'!$D$11:$D$12,(ROW(C185))-136)="CH",INDEX('Legend(DX)'!$F$11:$F$12,(ROW(C185))-136)="CASE - MANUAL"),INDEX('Legend(DX)'!$R$11:$R$12,(ROW(C185))-136),IF(INDEX('Legend(DX)'!$V$11:$V$12,(ROW(C185))-137)&gt;1, "(" &amp; INDEX('Legend(DX)'!$V$11:$V$12,(ROW(C185))-137) &amp; ") " &amp; INDEX('Legend(DX)'!$W$11:$W$12,(ROW(C185))-136),INDEX('Legend(DX)'!$W$11:$W$12,(ROW(C185))-137))),INDEX('Legend(DX)'!$R$11:$R$12,(ROW(C185))-137))</f>
        <v>#REF!</v>
      </c>
      <c r="E185" s="713" t="str">
        <f>IF(ISERROR(INDEX('Legend(DX)'!$AA$11:$AA$12,28)),"",INDEX('Legend(DX)'!$AA$11:$AA$12,28))</f>
        <v/>
      </c>
      <c r="F185" s="715"/>
      <c r="G185" s="715"/>
      <c r="H185" s="715"/>
      <c r="I185" s="715"/>
      <c r="J185" s="715"/>
      <c r="K185" s="890">
        <f t="shared" si="223"/>
        <v>0</v>
      </c>
      <c r="L185" s="718"/>
      <c r="M185" s="723"/>
      <c r="N185" s="972">
        <f t="shared" si="196"/>
        <v>-1</v>
      </c>
      <c r="O185" s="972">
        <f t="shared" si="224"/>
        <v>-1</v>
      </c>
      <c r="P185" s="972">
        <f t="shared" si="197"/>
        <v>-1</v>
      </c>
      <c r="Q185" s="972">
        <f t="shared" si="225"/>
        <v>-1</v>
      </c>
      <c r="R185" s="972">
        <f t="shared" si="198"/>
        <v>-1</v>
      </c>
      <c r="S185" s="972">
        <f t="shared" si="226"/>
        <v>-1</v>
      </c>
      <c r="T185" s="972">
        <f t="shared" si="199"/>
        <v>-1</v>
      </c>
      <c r="U185" s="972">
        <f t="shared" si="227"/>
        <v>-1</v>
      </c>
      <c r="V185" s="972">
        <f t="shared" si="200"/>
        <v>-1</v>
      </c>
      <c r="W185" s="972">
        <f t="shared" si="228"/>
        <v>-1</v>
      </c>
      <c r="X185" s="972">
        <f t="shared" si="201"/>
        <v>-1</v>
      </c>
      <c r="Y185" s="972">
        <f t="shared" si="229"/>
        <v>-1</v>
      </c>
      <c r="Z185" s="972">
        <f t="shared" si="230"/>
        <v>-1</v>
      </c>
      <c r="AA185" s="972">
        <f t="shared" si="231"/>
        <v>-1</v>
      </c>
      <c r="AB185" s="972">
        <f t="shared" si="232"/>
        <v>-1</v>
      </c>
      <c r="AC185" s="972">
        <f t="shared" si="233"/>
        <v>-1</v>
      </c>
      <c r="AD185" s="972">
        <f t="shared" si="234"/>
        <v>-1</v>
      </c>
      <c r="AE185" s="972">
        <f t="shared" si="235"/>
        <v>-1</v>
      </c>
      <c r="AF185" s="972">
        <f t="shared" si="236"/>
        <v>-1</v>
      </c>
      <c r="AG185" s="972">
        <f t="shared" si="237"/>
        <v>-1</v>
      </c>
      <c r="AH185" s="972">
        <f t="shared" si="238"/>
        <v>-1</v>
      </c>
      <c r="AI185" s="972">
        <f t="shared" si="239"/>
        <v>-1</v>
      </c>
      <c r="AJ185" s="972">
        <f t="shared" si="240"/>
        <v>-1</v>
      </c>
      <c r="AK185" s="381"/>
      <c r="AL185" s="727" t="str">
        <f t="shared" si="241"/>
        <v/>
      </c>
      <c r="AM185" s="409">
        <f t="shared" si="202"/>
        <v>0</v>
      </c>
      <c r="AN185" s="409">
        <f t="shared" si="202"/>
        <v>0</v>
      </c>
      <c r="AO185" s="409">
        <f t="shared" si="202"/>
        <v>0</v>
      </c>
      <c r="AP185" s="409">
        <f t="shared" si="202"/>
        <v>0</v>
      </c>
      <c r="AQ185" s="409">
        <f t="shared" si="202"/>
        <v>0</v>
      </c>
      <c r="AR185" s="409">
        <f t="shared" si="202"/>
        <v>0</v>
      </c>
      <c r="AS185" s="409">
        <f t="shared" si="202"/>
        <v>0</v>
      </c>
      <c r="AT185" s="409">
        <f t="shared" si="202"/>
        <v>0</v>
      </c>
      <c r="AU185" s="409">
        <f t="shared" si="202"/>
        <v>0</v>
      </c>
      <c r="AV185" s="409">
        <f t="shared" si="202"/>
        <v>0</v>
      </c>
      <c r="AW185" s="409">
        <f t="shared" si="203"/>
        <v>0</v>
      </c>
      <c r="AX185" s="409">
        <f t="shared" si="203"/>
        <v>0</v>
      </c>
      <c r="AY185" s="409">
        <f t="shared" si="203"/>
        <v>0</v>
      </c>
      <c r="AZ185" s="409">
        <f t="shared" si="203"/>
        <v>0</v>
      </c>
      <c r="BA185" s="409">
        <f t="shared" si="203"/>
        <v>0</v>
      </c>
      <c r="BB185" s="409">
        <f t="shared" si="203"/>
        <v>0</v>
      </c>
      <c r="BC185" s="409">
        <f t="shared" si="203"/>
        <v>0</v>
      </c>
      <c r="BD185" s="409">
        <f t="shared" si="203"/>
        <v>0</v>
      </c>
      <c r="BE185" s="409">
        <f t="shared" si="203"/>
        <v>0</v>
      </c>
      <c r="BF185" s="409">
        <f t="shared" si="203"/>
        <v>0</v>
      </c>
      <c r="BG185" s="409">
        <f t="shared" si="204"/>
        <v>0</v>
      </c>
      <c r="BH185" s="409">
        <f t="shared" si="204"/>
        <v>0</v>
      </c>
      <c r="BI185" s="409">
        <f t="shared" si="204"/>
        <v>0</v>
      </c>
      <c r="BJ185" s="409">
        <f t="shared" si="204"/>
        <v>0</v>
      </c>
      <c r="BK185" s="409">
        <f t="shared" si="204"/>
        <v>0</v>
      </c>
      <c r="BL185" s="409">
        <f t="shared" si="204"/>
        <v>0</v>
      </c>
      <c r="BM185" s="409">
        <f t="shared" si="204"/>
        <v>0</v>
      </c>
      <c r="BN185" s="409">
        <f t="shared" si="204"/>
        <v>0</v>
      </c>
      <c r="BO185" s="409">
        <f t="shared" si="204"/>
        <v>0</v>
      </c>
      <c r="BP185" s="409">
        <f t="shared" si="204"/>
        <v>0</v>
      </c>
      <c r="BQ185" s="409">
        <f t="shared" si="205"/>
        <v>0</v>
      </c>
      <c r="BR185" s="409">
        <f t="shared" si="205"/>
        <v>0</v>
      </c>
      <c r="BS185" s="409">
        <f t="shared" si="205"/>
        <v>0</v>
      </c>
      <c r="BT185" s="409">
        <f t="shared" si="205"/>
        <v>0</v>
      </c>
      <c r="BU185" s="409">
        <f t="shared" si="205"/>
        <v>0</v>
      </c>
      <c r="BV185" s="409">
        <f t="shared" si="205"/>
        <v>0</v>
      </c>
      <c r="BW185" s="409">
        <f t="shared" si="205"/>
        <v>0</v>
      </c>
      <c r="BX185" s="409">
        <f t="shared" si="205"/>
        <v>0</v>
      </c>
      <c r="BY185" s="409">
        <f t="shared" si="205"/>
        <v>0</v>
      </c>
      <c r="BZ185" s="409">
        <f t="shared" si="205"/>
        <v>0</v>
      </c>
      <c r="CA185" s="409">
        <f t="shared" si="206"/>
        <v>0</v>
      </c>
      <c r="CB185" s="409">
        <f t="shared" si="206"/>
        <v>0</v>
      </c>
      <c r="CC185" s="409">
        <f t="shared" si="206"/>
        <v>0</v>
      </c>
      <c r="CD185" s="409">
        <f t="shared" si="206"/>
        <v>0</v>
      </c>
      <c r="CE185" s="409">
        <f t="shared" si="206"/>
        <v>0</v>
      </c>
      <c r="CF185" s="409">
        <f t="shared" si="206"/>
        <v>0</v>
      </c>
      <c r="CG185" s="409">
        <f t="shared" si="206"/>
        <v>0</v>
      </c>
      <c r="CH185" s="409">
        <f t="shared" si="206"/>
        <v>0</v>
      </c>
      <c r="CI185" s="409">
        <f t="shared" si="206"/>
        <v>0</v>
      </c>
      <c r="CJ185" s="409">
        <f t="shared" si="206"/>
        <v>0</v>
      </c>
      <c r="CK185" s="409">
        <f t="shared" si="207"/>
        <v>0</v>
      </c>
      <c r="CL185" s="409">
        <f t="shared" si="207"/>
        <v>0</v>
      </c>
      <c r="CM185" s="409">
        <f t="shared" si="207"/>
        <v>0</v>
      </c>
      <c r="CN185" s="409">
        <f t="shared" si="207"/>
        <v>0</v>
      </c>
      <c r="CO185" s="409">
        <f t="shared" si="207"/>
        <v>0</v>
      </c>
      <c r="CP185" s="409">
        <f t="shared" si="207"/>
        <v>0</v>
      </c>
      <c r="CQ185" s="409">
        <f t="shared" si="207"/>
        <v>0</v>
      </c>
      <c r="CR185" s="409">
        <f t="shared" si="207"/>
        <v>0</v>
      </c>
      <c r="CS185" s="409">
        <f t="shared" si="207"/>
        <v>0</v>
      </c>
      <c r="CT185" s="409">
        <f t="shared" si="207"/>
        <v>0</v>
      </c>
      <c r="CU185" s="409">
        <f t="shared" si="208"/>
        <v>0</v>
      </c>
      <c r="CV185" s="409">
        <f t="shared" si="208"/>
        <v>0</v>
      </c>
      <c r="CW185" s="409">
        <f t="shared" si="208"/>
        <v>0</v>
      </c>
      <c r="CX185" s="409">
        <f t="shared" si="208"/>
        <v>0</v>
      </c>
      <c r="CY185" s="409">
        <f t="shared" si="208"/>
        <v>0</v>
      </c>
      <c r="CZ185" s="409">
        <f t="shared" si="208"/>
        <v>0</v>
      </c>
      <c r="DA185" s="409">
        <f t="shared" si="208"/>
        <v>0</v>
      </c>
      <c r="DB185" s="409">
        <f t="shared" si="208"/>
        <v>0</v>
      </c>
      <c r="DC185" s="409">
        <f t="shared" si="208"/>
        <v>0</v>
      </c>
      <c r="DD185" s="409">
        <f t="shared" si="208"/>
        <v>0</v>
      </c>
      <c r="DE185" s="409">
        <f t="shared" si="209"/>
        <v>0</v>
      </c>
      <c r="DF185" s="409">
        <f t="shared" si="209"/>
        <v>0</v>
      </c>
      <c r="DG185" s="409">
        <f t="shared" si="209"/>
        <v>0</v>
      </c>
      <c r="DH185" s="409">
        <f t="shared" si="209"/>
        <v>0</v>
      </c>
      <c r="DI185" s="409">
        <f t="shared" si="209"/>
        <v>0</v>
      </c>
      <c r="DJ185" s="409">
        <f t="shared" si="209"/>
        <v>0</v>
      </c>
      <c r="DK185" s="409">
        <f t="shared" si="209"/>
        <v>0</v>
      </c>
      <c r="DL185" s="409">
        <f t="shared" si="209"/>
        <v>0</v>
      </c>
      <c r="DM185" s="409">
        <f t="shared" si="209"/>
        <v>0</v>
      </c>
      <c r="DN185" s="409">
        <f t="shared" si="209"/>
        <v>0</v>
      </c>
      <c r="DO185" s="409">
        <f t="shared" si="210"/>
        <v>0</v>
      </c>
      <c r="DP185" s="409">
        <f t="shared" si="210"/>
        <v>0</v>
      </c>
      <c r="DQ185" s="409">
        <f t="shared" si="210"/>
        <v>0</v>
      </c>
      <c r="DR185" s="409">
        <f t="shared" si="210"/>
        <v>0</v>
      </c>
      <c r="DS185" s="409">
        <f t="shared" si="210"/>
        <v>0</v>
      </c>
      <c r="DT185" s="409">
        <f t="shared" si="210"/>
        <v>0</v>
      </c>
      <c r="DU185" s="409">
        <f t="shared" si="210"/>
        <v>0</v>
      </c>
      <c r="DV185" s="409">
        <f t="shared" si="210"/>
        <v>0</v>
      </c>
      <c r="DW185" s="409">
        <f t="shared" si="210"/>
        <v>0</v>
      </c>
      <c r="DX185" s="409">
        <f t="shared" si="210"/>
        <v>0</v>
      </c>
      <c r="DY185" s="409">
        <f t="shared" si="211"/>
        <v>0</v>
      </c>
      <c r="DZ185" s="409">
        <f t="shared" si="211"/>
        <v>0</v>
      </c>
      <c r="EA185" s="409">
        <f t="shared" si="211"/>
        <v>0</v>
      </c>
      <c r="EB185" s="409">
        <f t="shared" si="211"/>
        <v>0</v>
      </c>
      <c r="EC185" s="409">
        <f t="shared" si="211"/>
        <v>0</v>
      </c>
      <c r="ED185" s="409">
        <f t="shared" si="211"/>
        <v>0</v>
      </c>
      <c r="EE185" s="409">
        <f t="shared" si="211"/>
        <v>0</v>
      </c>
      <c r="EF185" s="409">
        <f t="shared" si="211"/>
        <v>0</v>
      </c>
      <c r="EG185" s="409">
        <f t="shared" si="211"/>
        <v>0</v>
      </c>
      <c r="EH185" s="409">
        <f t="shared" si="211"/>
        <v>0</v>
      </c>
      <c r="EI185" s="409">
        <f t="shared" si="212"/>
        <v>0</v>
      </c>
      <c r="EJ185" s="409">
        <f t="shared" si="212"/>
        <v>0</v>
      </c>
      <c r="EK185" s="409">
        <f t="shared" si="212"/>
        <v>0</v>
      </c>
      <c r="EL185" s="409">
        <f t="shared" si="212"/>
        <v>0</v>
      </c>
      <c r="EM185" s="409">
        <f t="shared" si="212"/>
        <v>0</v>
      </c>
      <c r="EN185" s="409">
        <f t="shared" si="212"/>
        <v>0</v>
      </c>
      <c r="EO185" s="409">
        <f t="shared" si="212"/>
        <v>0</v>
      </c>
      <c r="EP185" s="409">
        <f t="shared" si="212"/>
        <v>0</v>
      </c>
      <c r="EQ185" s="409">
        <f t="shared" si="212"/>
        <v>0</v>
      </c>
      <c r="ER185" s="409">
        <f t="shared" si="212"/>
        <v>0</v>
      </c>
      <c r="ES185" s="409">
        <f t="shared" si="213"/>
        <v>0</v>
      </c>
      <c r="ET185" s="409">
        <f t="shared" si="213"/>
        <v>0</v>
      </c>
      <c r="EU185" s="409">
        <f t="shared" si="213"/>
        <v>0</v>
      </c>
      <c r="EV185" s="409">
        <f t="shared" si="213"/>
        <v>0</v>
      </c>
      <c r="EW185" s="409">
        <f t="shared" si="213"/>
        <v>0</v>
      </c>
      <c r="EX185" s="409">
        <f t="shared" si="213"/>
        <v>0</v>
      </c>
      <c r="EY185" s="409">
        <f t="shared" si="213"/>
        <v>0</v>
      </c>
      <c r="EZ185" s="409">
        <f t="shared" si="213"/>
        <v>0</v>
      </c>
      <c r="FA185" s="409">
        <f t="shared" si="213"/>
        <v>0</v>
      </c>
      <c r="FB185" s="409">
        <f t="shared" si="213"/>
        <v>0</v>
      </c>
      <c r="FC185" s="409">
        <f t="shared" si="214"/>
        <v>0</v>
      </c>
      <c r="FD185" s="409">
        <f t="shared" si="214"/>
        <v>0</v>
      </c>
      <c r="FE185" s="409">
        <f t="shared" si="214"/>
        <v>0</v>
      </c>
      <c r="FF185" s="409">
        <f t="shared" si="214"/>
        <v>0</v>
      </c>
      <c r="FG185" s="409">
        <f t="shared" si="214"/>
        <v>0</v>
      </c>
      <c r="FH185" s="409">
        <f t="shared" si="214"/>
        <v>0</v>
      </c>
      <c r="FI185" s="409">
        <f t="shared" si="214"/>
        <v>0</v>
      </c>
      <c r="FJ185" s="409">
        <f t="shared" si="214"/>
        <v>0</v>
      </c>
      <c r="FK185" s="409">
        <f t="shared" si="214"/>
        <v>0</v>
      </c>
      <c r="FL185" s="409">
        <f t="shared" si="214"/>
        <v>0</v>
      </c>
      <c r="FM185" s="409">
        <f t="shared" si="215"/>
        <v>0</v>
      </c>
      <c r="FN185" s="409">
        <f t="shared" si="215"/>
        <v>0</v>
      </c>
      <c r="FO185" s="409">
        <f t="shared" si="215"/>
        <v>0</v>
      </c>
      <c r="FP185" s="409">
        <f t="shared" si="215"/>
        <v>0</v>
      </c>
      <c r="FQ185" s="409">
        <f t="shared" si="215"/>
        <v>0</v>
      </c>
      <c r="FR185" s="409">
        <f t="shared" si="215"/>
        <v>0</v>
      </c>
      <c r="FS185" s="409">
        <f t="shared" si="215"/>
        <v>0</v>
      </c>
      <c r="FT185" s="409">
        <f t="shared" si="215"/>
        <v>0</v>
      </c>
      <c r="FU185" s="409">
        <f t="shared" si="215"/>
        <v>0</v>
      </c>
      <c r="FV185" s="409">
        <f t="shared" si="215"/>
        <v>0</v>
      </c>
      <c r="FW185" s="409">
        <f t="shared" si="216"/>
        <v>0</v>
      </c>
      <c r="FX185" s="409">
        <f t="shared" si="216"/>
        <v>0</v>
      </c>
      <c r="FY185" s="409">
        <f t="shared" si="216"/>
        <v>0</v>
      </c>
      <c r="FZ185" s="409">
        <f t="shared" si="216"/>
        <v>0</v>
      </c>
      <c r="GA185" s="409">
        <f t="shared" si="216"/>
        <v>0</v>
      </c>
      <c r="GB185" s="409">
        <f t="shared" si="216"/>
        <v>0</v>
      </c>
      <c r="GC185" s="409">
        <f t="shared" si="216"/>
        <v>0</v>
      </c>
      <c r="GD185" s="409">
        <f t="shared" si="216"/>
        <v>0</v>
      </c>
      <c r="GE185" s="409">
        <f t="shared" si="216"/>
        <v>0</v>
      </c>
      <c r="GF185" s="409">
        <f t="shared" si="216"/>
        <v>0</v>
      </c>
      <c r="GG185" s="409">
        <f t="shared" si="217"/>
        <v>0</v>
      </c>
      <c r="GH185" s="409">
        <f t="shared" si="217"/>
        <v>0</v>
      </c>
      <c r="GI185" s="409">
        <f t="shared" si="217"/>
        <v>0</v>
      </c>
      <c r="GJ185" s="409">
        <f t="shared" si="217"/>
        <v>0</v>
      </c>
      <c r="GK185" s="409">
        <f t="shared" si="217"/>
        <v>0</v>
      </c>
      <c r="GL185" s="409">
        <f t="shared" si="217"/>
        <v>0</v>
      </c>
      <c r="GM185" s="409">
        <f t="shared" si="217"/>
        <v>0</v>
      </c>
      <c r="GN185" s="409">
        <f t="shared" si="217"/>
        <v>0</v>
      </c>
      <c r="GO185" s="409">
        <f t="shared" si="217"/>
        <v>0</v>
      </c>
      <c r="GP185" s="409">
        <f t="shared" si="217"/>
        <v>0</v>
      </c>
      <c r="GQ185" s="409">
        <f t="shared" si="218"/>
        <v>0</v>
      </c>
      <c r="GR185" s="409">
        <f t="shared" si="218"/>
        <v>0</v>
      </c>
      <c r="GS185" s="409">
        <f t="shared" si="218"/>
        <v>0</v>
      </c>
      <c r="GT185" s="409">
        <f t="shared" si="218"/>
        <v>0</v>
      </c>
      <c r="GU185" s="409">
        <f t="shared" si="218"/>
        <v>0</v>
      </c>
      <c r="GV185" s="409">
        <f t="shared" si="218"/>
        <v>0</v>
      </c>
      <c r="GW185" s="409">
        <f t="shared" si="218"/>
        <v>0</v>
      </c>
      <c r="GX185" s="409">
        <f t="shared" si="218"/>
        <v>0</v>
      </c>
      <c r="GY185" s="409">
        <f t="shared" si="218"/>
        <v>0</v>
      </c>
      <c r="GZ185" s="409">
        <f t="shared" si="218"/>
        <v>0</v>
      </c>
      <c r="HA185" s="409">
        <f t="shared" si="219"/>
        <v>0</v>
      </c>
      <c r="HB185" s="409">
        <f t="shared" si="219"/>
        <v>0</v>
      </c>
      <c r="HC185" s="409">
        <f t="shared" si="219"/>
        <v>0</v>
      </c>
      <c r="HD185" s="409">
        <f t="shared" si="219"/>
        <v>0</v>
      </c>
      <c r="HE185" s="409">
        <f t="shared" si="219"/>
        <v>0</v>
      </c>
      <c r="HF185" s="409">
        <f t="shared" si="219"/>
        <v>0</v>
      </c>
      <c r="HG185" s="409">
        <f t="shared" si="219"/>
        <v>0</v>
      </c>
      <c r="HH185" s="409">
        <f t="shared" si="219"/>
        <v>0</v>
      </c>
      <c r="HI185" s="409">
        <f t="shared" si="219"/>
        <v>0</v>
      </c>
      <c r="HJ185" s="409">
        <f t="shared" si="219"/>
        <v>0</v>
      </c>
      <c r="HK185" s="409">
        <f t="shared" si="220"/>
        <v>0</v>
      </c>
      <c r="HL185" s="409">
        <f t="shared" si="220"/>
        <v>0</v>
      </c>
      <c r="HM185" s="409">
        <f t="shared" si="220"/>
        <v>0</v>
      </c>
      <c r="HN185" s="409">
        <f t="shared" si="220"/>
        <v>0</v>
      </c>
      <c r="HO185" s="409">
        <f t="shared" si="220"/>
        <v>0</v>
      </c>
      <c r="HP185" s="409">
        <f t="shared" si="220"/>
        <v>0</v>
      </c>
      <c r="HQ185" s="409">
        <f t="shared" si="220"/>
        <v>0</v>
      </c>
      <c r="HR185" s="409">
        <f t="shared" si="220"/>
        <v>0</v>
      </c>
      <c r="HS185" s="409">
        <f t="shared" si="220"/>
        <v>0</v>
      </c>
      <c r="HT185" s="409">
        <f t="shared" si="220"/>
        <v>0</v>
      </c>
      <c r="HU185" s="409">
        <f t="shared" si="221"/>
        <v>0</v>
      </c>
      <c r="HV185" s="409">
        <f t="shared" si="221"/>
        <v>0</v>
      </c>
      <c r="HW185" s="409">
        <f t="shared" si="221"/>
        <v>0</v>
      </c>
      <c r="HX185" s="409">
        <f t="shared" si="221"/>
        <v>0</v>
      </c>
      <c r="HY185" s="409">
        <f t="shared" si="221"/>
        <v>0</v>
      </c>
      <c r="HZ185" s="409">
        <f t="shared" si="221"/>
        <v>0</v>
      </c>
      <c r="IA185" s="409">
        <f t="shared" si="221"/>
        <v>0</v>
      </c>
      <c r="IB185" s="409">
        <f t="shared" si="221"/>
        <v>0</v>
      </c>
      <c r="IC185" s="409">
        <f t="shared" si="221"/>
        <v>0</v>
      </c>
      <c r="ID185" s="409">
        <f t="shared" si="221"/>
        <v>0</v>
      </c>
      <c r="IE185" s="409">
        <f t="shared" si="222"/>
        <v>0</v>
      </c>
      <c r="IF185" s="409">
        <f t="shared" si="222"/>
        <v>0</v>
      </c>
      <c r="IG185" s="409">
        <f t="shared" si="222"/>
        <v>0</v>
      </c>
      <c r="IH185" s="409">
        <f t="shared" si="222"/>
        <v>0</v>
      </c>
      <c r="II185" s="409">
        <f t="shared" si="222"/>
        <v>0</v>
      </c>
      <c r="IJ185" s="409">
        <f t="shared" si="222"/>
        <v>0</v>
      </c>
      <c r="IK185" s="378"/>
    </row>
    <row r="186" spans="1:245" hidden="1" x14ac:dyDescent="0.2">
      <c r="A186" s="380" t="str">
        <f t="shared" si="242"/>
        <v>e</v>
      </c>
      <c r="B186" s="712" t="str">
        <f>IF(ISERROR(INDEX('Legend(DX)'!$H$11:$H$12,29)),"",INDEX('Legend(DX)'!$H$11:$H$12,29))</f>
        <v/>
      </c>
      <c r="C186" s="712" t="e">
        <f>IF(INDEX('Legend(DX)'!$T$11:$T$12,29)=0,"See Legend",INDEX('Legend(DX)'!$T$11:$T$12,29))</f>
        <v>#REF!</v>
      </c>
      <c r="D186" s="712" t="e">
        <f>IF(INDEX('Legend(DX)'!$R$11:$R$12,(ROW(C186))-137)=0,IF(AND(INDEX('Legend(DX)'!$D$11:$D$12,(ROW(C186))-136)="CH",INDEX('Legend(DX)'!$F$11:$F$12,(ROW(C186))-136)="CASE - MANUAL"),INDEX('Legend(DX)'!$R$11:$R$12,(ROW(C186))-136),IF(INDEX('Legend(DX)'!$V$11:$V$12,(ROW(C186))-137)&gt;1, "(" &amp; INDEX('Legend(DX)'!$V$11:$V$12,(ROW(C186))-137) &amp; ") " &amp; INDEX('Legend(DX)'!$W$11:$W$12,(ROW(C186))-136),INDEX('Legend(DX)'!$W$11:$W$12,(ROW(C186))-137))),INDEX('Legend(DX)'!$R$11:$R$12,(ROW(C186))-137))</f>
        <v>#REF!</v>
      </c>
      <c r="E186" s="713" t="str">
        <f>IF(ISERROR(INDEX('Legend(DX)'!$AA$11:$AA$12,29)),"",INDEX('Legend(DX)'!$AA$11:$AA$12,29))</f>
        <v/>
      </c>
      <c r="F186" s="715"/>
      <c r="G186" s="715"/>
      <c r="H186" s="715"/>
      <c r="I186" s="715"/>
      <c r="J186" s="715"/>
      <c r="K186" s="890">
        <f t="shared" si="223"/>
        <v>0</v>
      </c>
      <c r="L186" s="718"/>
      <c r="M186" s="723"/>
      <c r="N186" s="972">
        <f t="shared" si="196"/>
        <v>-1</v>
      </c>
      <c r="O186" s="972">
        <f t="shared" si="224"/>
        <v>-1</v>
      </c>
      <c r="P186" s="972">
        <f t="shared" si="197"/>
        <v>-1</v>
      </c>
      <c r="Q186" s="972">
        <f t="shared" si="225"/>
        <v>-1</v>
      </c>
      <c r="R186" s="972">
        <f t="shared" si="198"/>
        <v>-1</v>
      </c>
      <c r="S186" s="972">
        <f t="shared" si="226"/>
        <v>-1</v>
      </c>
      <c r="T186" s="972">
        <f t="shared" si="199"/>
        <v>-1</v>
      </c>
      <c r="U186" s="972">
        <f t="shared" si="227"/>
        <v>-1</v>
      </c>
      <c r="V186" s="972">
        <f t="shared" si="200"/>
        <v>-1</v>
      </c>
      <c r="W186" s="972">
        <f t="shared" si="228"/>
        <v>-1</v>
      </c>
      <c r="X186" s="972">
        <f t="shared" si="201"/>
        <v>-1</v>
      </c>
      <c r="Y186" s="972">
        <f t="shared" si="229"/>
        <v>-1</v>
      </c>
      <c r="Z186" s="972">
        <f t="shared" si="230"/>
        <v>-1</v>
      </c>
      <c r="AA186" s="972">
        <f t="shared" si="231"/>
        <v>-1</v>
      </c>
      <c r="AB186" s="972">
        <f t="shared" si="232"/>
        <v>-1</v>
      </c>
      <c r="AC186" s="972">
        <f t="shared" si="233"/>
        <v>-1</v>
      </c>
      <c r="AD186" s="972">
        <f t="shared" si="234"/>
        <v>-1</v>
      </c>
      <c r="AE186" s="972">
        <f t="shared" si="235"/>
        <v>-1</v>
      </c>
      <c r="AF186" s="972">
        <f t="shared" si="236"/>
        <v>-1</v>
      </c>
      <c r="AG186" s="972">
        <f t="shared" si="237"/>
        <v>-1</v>
      </c>
      <c r="AH186" s="972">
        <f t="shared" si="238"/>
        <v>-1</v>
      </c>
      <c r="AI186" s="972">
        <f t="shared" si="239"/>
        <v>-1</v>
      </c>
      <c r="AJ186" s="972">
        <f t="shared" si="240"/>
        <v>-1</v>
      </c>
      <c r="AK186" s="381"/>
      <c r="AL186" s="727" t="str">
        <f t="shared" si="241"/>
        <v/>
      </c>
      <c r="AM186" s="409">
        <f t="shared" si="202"/>
        <v>0</v>
      </c>
      <c r="AN186" s="409">
        <f t="shared" si="202"/>
        <v>0</v>
      </c>
      <c r="AO186" s="409">
        <f t="shared" si="202"/>
        <v>0</v>
      </c>
      <c r="AP186" s="409">
        <f t="shared" si="202"/>
        <v>0</v>
      </c>
      <c r="AQ186" s="409">
        <f t="shared" si="202"/>
        <v>0</v>
      </c>
      <c r="AR186" s="409">
        <f t="shared" si="202"/>
        <v>0</v>
      </c>
      <c r="AS186" s="409">
        <f t="shared" si="202"/>
        <v>0</v>
      </c>
      <c r="AT186" s="409">
        <f t="shared" si="202"/>
        <v>0</v>
      </c>
      <c r="AU186" s="409">
        <f t="shared" si="202"/>
        <v>0</v>
      </c>
      <c r="AV186" s="409">
        <f t="shared" si="202"/>
        <v>0</v>
      </c>
      <c r="AW186" s="409">
        <f t="shared" si="203"/>
        <v>0</v>
      </c>
      <c r="AX186" s="409">
        <f t="shared" si="203"/>
        <v>0</v>
      </c>
      <c r="AY186" s="409">
        <f t="shared" si="203"/>
        <v>0</v>
      </c>
      <c r="AZ186" s="409">
        <f t="shared" si="203"/>
        <v>0</v>
      </c>
      <c r="BA186" s="409">
        <f t="shared" si="203"/>
        <v>0</v>
      </c>
      <c r="BB186" s="409">
        <f t="shared" si="203"/>
        <v>0</v>
      </c>
      <c r="BC186" s="409">
        <f t="shared" si="203"/>
        <v>0</v>
      </c>
      <c r="BD186" s="409">
        <f t="shared" si="203"/>
        <v>0</v>
      </c>
      <c r="BE186" s="409">
        <f t="shared" si="203"/>
        <v>0</v>
      </c>
      <c r="BF186" s="409">
        <f t="shared" si="203"/>
        <v>0</v>
      </c>
      <c r="BG186" s="409">
        <f t="shared" si="204"/>
        <v>0</v>
      </c>
      <c r="BH186" s="409">
        <f t="shared" si="204"/>
        <v>0</v>
      </c>
      <c r="BI186" s="409">
        <f t="shared" si="204"/>
        <v>0</v>
      </c>
      <c r="BJ186" s="409">
        <f t="shared" si="204"/>
        <v>0</v>
      </c>
      <c r="BK186" s="409">
        <f t="shared" si="204"/>
        <v>0</v>
      </c>
      <c r="BL186" s="409">
        <f t="shared" si="204"/>
        <v>0</v>
      </c>
      <c r="BM186" s="409">
        <f t="shared" si="204"/>
        <v>0</v>
      </c>
      <c r="BN186" s="409">
        <f t="shared" si="204"/>
        <v>0</v>
      </c>
      <c r="BO186" s="409">
        <f t="shared" si="204"/>
        <v>0</v>
      </c>
      <c r="BP186" s="409">
        <f t="shared" si="204"/>
        <v>0</v>
      </c>
      <c r="BQ186" s="409">
        <f t="shared" si="205"/>
        <v>0</v>
      </c>
      <c r="BR186" s="409">
        <f t="shared" si="205"/>
        <v>0</v>
      </c>
      <c r="BS186" s="409">
        <f t="shared" si="205"/>
        <v>0</v>
      </c>
      <c r="BT186" s="409">
        <f t="shared" si="205"/>
        <v>0</v>
      </c>
      <c r="BU186" s="409">
        <f t="shared" si="205"/>
        <v>0</v>
      </c>
      <c r="BV186" s="409">
        <f t="shared" si="205"/>
        <v>0</v>
      </c>
      <c r="BW186" s="409">
        <f t="shared" si="205"/>
        <v>0</v>
      </c>
      <c r="BX186" s="409">
        <f t="shared" si="205"/>
        <v>0</v>
      </c>
      <c r="BY186" s="409">
        <f t="shared" si="205"/>
        <v>0</v>
      </c>
      <c r="BZ186" s="409">
        <f t="shared" si="205"/>
        <v>0</v>
      </c>
      <c r="CA186" s="409">
        <f t="shared" si="206"/>
        <v>0</v>
      </c>
      <c r="CB186" s="409">
        <f t="shared" si="206"/>
        <v>0</v>
      </c>
      <c r="CC186" s="409">
        <f t="shared" si="206"/>
        <v>0</v>
      </c>
      <c r="CD186" s="409">
        <f t="shared" si="206"/>
        <v>0</v>
      </c>
      <c r="CE186" s="409">
        <f t="shared" si="206"/>
        <v>0</v>
      </c>
      <c r="CF186" s="409">
        <f t="shared" si="206"/>
        <v>0</v>
      </c>
      <c r="CG186" s="409">
        <f t="shared" si="206"/>
        <v>0</v>
      </c>
      <c r="CH186" s="409">
        <f t="shared" si="206"/>
        <v>0</v>
      </c>
      <c r="CI186" s="409">
        <f t="shared" si="206"/>
        <v>0</v>
      </c>
      <c r="CJ186" s="409">
        <f t="shared" si="206"/>
        <v>0</v>
      </c>
      <c r="CK186" s="409">
        <f t="shared" si="207"/>
        <v>0</v>
      </c>
      <c r="CL186" s="409">
        <f t="shared" si="207"/>
        <v>0</v>
      </c>
      <c r="CM186" s="409">
        <f t="shared" si="207"/>
        <v>0</v>
      </c>
      <c r="CN186" s="409">
        <f t="shared" si="207"/>
        <v>0</v>
      </c>
      <c r="CO186" s="409">
        <f t="shared" si="207"/>
        <v>0</v>
      </c>
      <c r="CP186" s="409">
        <f t="shared" si="207"/>
        <v>0</v>
      </c>
      <c r="CQ186" s="409">
        <f t="shared" si="207"/>
        <v>0</v>
      </c>
      <c r="CR186" s="409">
        <f t="shared" si="207"/>
        <v>0</v>
      </c>
      <c r="CS186" s="409">
        <f t="shared" si="207"/>
        <v>0</v>
      </c>
      <c r="CT186" s="409">
        <f t="shared" si="207"/>
        <v>0</v>
      </c>
      <c r="CU186" s="409">
        <f t="shared" si="208"/>
        <v>0</v>
      </c>
      <c r="CV186" s="409">
        <f t="shared" si="208"/>
        <v>0</v>
      </c>
      <c r="CW186" s="409">
        <f t="shared" si="208"/>
        <v>0</v>
      </c>
      <c r="CX186" s="409">
        <f t="shared" si="208"/>
        <v>0</v>
      </c>
      <c r="CY186" s="409">
        <f t="shared" si="208"/>
        <v>0</v>
      </c>
      <c r="CZ186" s="409">
        <f t="shared" si="208"/>
        <v>0</v>
      </c>
      <c r="DA186" s="409">
        <f t="shared" si="208"/>
        <v>0</v>
      </c>
      <c r="DB186" s="409">
        <f t="shared" si="208"/>
        <v>0</v>
      </c>
      <c r="DC186" s="409">
        <f t="shared" si="208"/>
        <v>0</v>
      </c>
      <c r="DD186" s="409">
        <f t="shared" si="208"/>
        <v>0</v>
      </c>
      <c r="DE186" s="409">
        <f t="shared" si="209"/>
        <v>0</v>
      </c>
      <c r="DF186" s="409">
        <f t="shared" si="209"/>
        <v>0</v>
      </c>
      <c r="DG186" s="409">
        <f t="shared" si="209"/>
        <v>0</v>
      </c>
      <c r="DH186" s="409">
        <f t="shared" si="209"/>
        <v>0</v>
      </c>
      <c r="DI186" s="409">
        <f t="shared" si="209"/>
        <v>0</v>
      </c>
      <c r="DJ186" s="409">
        <f t="shared" si="209"/>
        <v>0</v>
      </c>
      <c r="DK186" s="409">
        <f t="shared" si="209"/>
        <v>0</v>
      </c>
      <c r="DL186" s="409">
        <f t="shared" si="209"/>
        <v>0</v>
      </c>
      <c r="DM186" s="409">
        <f t="shared" si="209"/>
        <v>0</v>
      </c>
      <c r="DN186" s="409">
        <f t="shared" si="209"/>
        <v>0</v>
      </c>
      <c r="DO186" s="409">
        <f t="shared" si="210"/>
        <v>0</v>
      </c>
      <c r="DP186" s="409">
        <f t="shared" si="210"/>
        <v>0</v>
      </c>
      <c r="DQ186" s="409">
        <f t="shared" si="210"/>
        <v>0</v>
      </c>
      <c r="DR186" s="409">
        <f t="shared" si="210"/>
        <v>0</v>
      </c>
      <c r="DS186" s="409">
        <f t="shared" si="210"/>
        <v>0</v>
      </c>
      <c r="DT186" s="409">
        <f t="shared" si="210"/>
        <v>0</v>
      </c>
      <c r="DU186" s="409">
        <f t="shared" si="210"/>
        <v>0</v>
      </c>
      <c r="DV186" s="409">
        <f t="shared" si="210"/>
        <v>0</v>
      </c>
      <c r="DW186" s="409">
        <f t="shared" si="210"/>
        <v>0</v>
      </c>
      <c r="DX186" s="409">
        <f t="shared" si="210"/>
        <v>0</v>
      </c>
      <c r="DY186" s="409">
        <f t="shared" si="211"/>
        <v>0</v>
      </c>
      <c r="DZ186" s="409">
        <f t="shared" si="211"/>
        <v>0</v>
      </c>
      <c r="EA186" s="409">
        <f t="shared" si="211"/>
        <v>0</v>
      </c>
      <c r="EB186" s="409">
        <f t="shared" si="211"/>
        <v>0</v>
      </c>
      <c r="EC186" s="409">
        <f t="shared" si="211"/>
        <v>0</v>
      </c>
      <c r="ED186" s="409">
        <f t="shared" si="211"/>
        <v>0</v>
      </c>
      <c r="EE186" s="409">
        <f t="shared" si="211"/>
        <v>0</v>
      </c>
      <c r="EF186" s="409">
        <f t="shared" si="211"/>
        <v>0</v>
      </c>
      <c r="EG186" s="409">
        <f t="shared" si="211"/>
        <v>0</v>
      </c>
      <c r="EH186" s="409">
        <f t="shared" si="211"/>
        <v>0</v>
      </c>
      <c r="EI186" s="409">
        <f t="shared" si="212"/>
        <v>0</v>
      </c>
      <c r="EJ186" s="409">
        <f t="shared" si="212"/>
        <v>0</v>
      </c>
      <c r="EK186" s="409">
        <f t="shared" si="212"/>
        <v>0</v>
      </c>
      <c r="EL186" s="409">
        <f t="shared" si="212"/>
        <v>0</v>
      </c>
      <c r="EM186" s="409">
        <f t="shared" si="212"/>
        <v>0</v>
      </c>
      <c r="EN186" s="409">
        <f t="shared" si="212"/>
        <v>0</v>
      </c>
      <c r="EO186" s="409">
        <f t="shared" si="212"/>
        <v>0</v>
      </c>
      <c r="EP186" s="409">
        <f t="shared" si="212"/>
        <v>0</v>
      </c>
      <c r="EQ186" s="409">
        <f t="shared" si="212"/>
        <v>0</v>
      </c>
      <c r="ER186" s="409">
        <f t="shared" si="212"/>
        <v>0</v>
      </c>
      <c r="ES186" s="409">
        <f t="shared" si="213"/>
        <v>0</v>
      </c>
      <c r="ET186" s="409">
        <f t="shared" si="213"/>
        <v>0</v>
      </c>
      <c r="EU186" s="409">
        <f t="shared" si="213"/>
        <v>0</v>
      </c>
      <c r="EV186" s="409">
        <f t="shared" si="213"/>
        <v>0</v>
      </c>
      <c r="EW186" s="409">
        <f t="shared" si="213"/>
        <v>0</v>
      </c>
      <c r="EX186" s="409">
        <f t="shared" si="213"/>
        <v>0</v>
      </c>
      <c r="EY186" s="409">
        <f t="shared" si="213"/>
        <v>0</v>
      </c>
      <c r="EZ186" s="409">
        <f t="shared" si="213"/>
        <v>0</v>
      </c>
      <c r="FA186" s="409">
        <f t="shared" si="213"/>
        <v>0</v>
      </c>
      <c r="FB186" s="409">
        <f t="shared" si="213"/>
        <v>0</v>
      </c>
      <c r="FC186" s="409">
        <f t="shared" si="214"/>
        <v>0</v>
      </c>
      <c r="FD186" s="409">
        <f t="shared" si="214"/>
        <v>0</v>
      </c>
      <c r="FE186" s="409">
        <f t="shared" si="214"/>
        <v>0</v>
      </c>
      <c r="FF186" s="409">
        <f t="shared" si="214"/>
        <v>0</v>
      </c>
      <c r="FG186" s="409">
        <f t="shared" si="214"/>
        <v>0</v>
      </c>
      <c r="FH186" s="409">
        <f t="shared" si="214"/>
        <v>0</v>
      </c>
      <c r="FI186" s="409">
        <f t="shared" si="214"/>
        <v>0</v>
      </c>
      <c r="FJ186" s="409">
        <f t="shared" si="214"/>
        <v>0</v>
      </c>
      <c r="FK186" s="409">
        <f t="shared" si="214"/>
        <v>0</v>
      </c>
      <c r="FL186" s="409">
        <f t="shared" si="214"/>
        <v>0</v>
      </c>
      <c r="FM186" s="409">
        <f t="shared" si="215"/>
        <v>0</v>
      </c>
      <c r="FN186" s="409">
        <f t="shared" si="215"/>
        <v>0</v>
      </c>
      <c r="FO186" s="409">
        <f t="shared" si="215"/>
        <v>0</v>
      </c>
      <c r="FP186" s="409">
        <f t="shared" si="215"/>
        <v>0</v>
      </c>
      <c r="FQ186" s="409">
        <f t="shared" si="215"/>
        <v>0</v>
      </c>
      <c r="FR186" s="409">
        <f t="shared" si="215"/>
        <v>0</v>
      </c>
      <c r="FS186" s="409">
        <f t="shared" si="215"/>
        <v>0</v>
      </c>
      <c r="FT186" s="409">
        <f t="shared" si="215"/>
        <v>0</v>
      </c>
      <c r="FU186" s="409">
        <f t="shared" si="215"/>
        <v>0</v>
      </c>
      <c r="FV186" s="409">
        <f t="shared" si="215"/>
        <v>0</v>
      </c>
      <c r="FW186" s="409">
        <f t="shared" si="216"/>
        <v>0</v>
      </c>
      <c r="FX186" s="409">
        <f t="shared" si="216"/>
        <v>0</v>
      </c>
      <c r="FY186" s="409">
        <f t="shared" si="216"/>
        <v>0</v>
      </c>
      <c r="FZ186" s="409">
        <f t="shared" si="216"/>
        <v>0</v>
      </c>
      <c r="GA186" s="409">
        <f t="shared" si="216"/>
        <v>0</v>
      </c>
      <c r="GB186" s="409">
        <f t="shared" si="216"/>
        <v>0</v>
      </c>
      <c r="GC186" s="409">
        <f t="shared" si="216"/>
        <v>0</v>
      </c>
      <c r="GD186" s="409">
        <f t="shared" si="216"/>
        <v>0</v>
      </c>
      <c r="GE186" s="409">
        <f t="shared" si="216"/>
        <v>0</v>
      </c>
      <c r="GF186" s="409">
        <f t="shared" si="216"/>
        <v>0</v>
      </c>
      <c r="GG186" s="409">
        <f t="shared" si="217"/>
        <v>0</v>
      </c>
      <c r="GH186" s="409">
        <f t="shared" si="217"/>
        <v>0</v>
      </c>
      <c r="GI186" s="409">
        <f t="shared" si="217"/>
        <v>0</v>
      </c>
      <c r="GJ186" s="409">
        <f t="shared" si="217"/>
        <v>0</v>
      </c>
      <c r="GK186" s="409">
        <f t="shared" si="217"/>
        <v>0</v>
      </c>
      <c r="GL186" s="409">
        <f t="shared" si="217"/>
        <v>0</v>
      </c>
      <c r="GM186" s="409">
        <f t="shared" si="217"/>
        <v>0</v>
      </c>
      <c r="GN186" s="409">
        <f t="shared" si="217"/>
        <v>0</v>
      </c>
      <c r="GO186" s="409">
        <f t="shared" si="217"/>
        <v>0</v>
      </c>
      <c r="GP186" s="409">
        <f t="shared" si="217"/>
        <v>0</v>
      </c>
      <c r="GQ186" s="409">
        <f t="shared" si="218"/>
        <v>0</v>
      </c>
      <c r="GR186" s="409">
        <f t="shared" si="218"/>
        <v>0</v>
      </c>
      <c r="GS186" s="409">
        <f t="shared" si="218"/>
        <v>0</v>
      </c>
      <c r="GT186" s="409">
        <f t="shared" si="218"/>
        <v>0</v>
      </c>
      <c r="GU186" s="409">
        <f t="shared" si="218"/>
        <v>0</v>
      </c>
      <c r="GV186" s="409">
        <f t="shared" si="218"/>
        <v>0</v>
      </c>
      <c r="GW186" s="409">
        <f t="shared" si="218"/>
        <v>0</v>
      </c>
      <c r="GX186" s="409">
        <f t="shared" si="218"/>
        <v>0</v>
      </c>
      <c r="GY186" s="409">
        <f t="shared" si="218"/>
        <v>0</v>
      </c>
      <c r="GZ186" s="409">
        <f t="shared" si="218"/>
        <v>0</v>
      </c>
      <c r="HA186" s="409">
        <f t="shared" si="219"/>
        <v>0</v>
      </c>
      <c r="HB186" s="409">
        <f t="shared" si="219"/>
        <v>0</v>
      </c>
      <c r="HC186" s="409">
        <f t="shared" si="219"/>
        <v>0</v>
      </c>
      <c r="HD186" s="409">
        <f t="shared" si="219"/>
        <v>0</v>
      </c>
      <c r="HE186" s="409">
        <f t="shared" si="219"/>
        <v>0</v>
      </c>
      <c r="HF186" s="409">
        <f t="shared" si="219"/>
        <v>0</v>
      </c>
      <c r="HG186" s="409">
        <f t="shared" si="219"/>
        <v>0</v>
      </c>
      <c r="HH186" s="409">
        <f t="shared" si="219"/>
        <v>0</v>
      </c>
      <c r="HI186" s="409">
        <f t="shared" si="219"/>
        <v>0</v>
      </c>
      <c r="HJ186" s="409">
        <f t="shared" si="219"/>
        <v>0</v>
      </c>
      <c r="HK186" s="409">
        <f t="shared" si="220"/>
        <v>0</v>
      </c>
      <c r="HL186" s="409">
        <f t="shared" si="220"/>
        <v>0</v>
      </c>
      <c r="HM186" s="409">
        <f t="shared" si="220"/>
        <v>0</v>
      </c>
      <c r="HN186" s="409">
        <f t="shared" si="220"/>
        <v>0</v>
      </c>
      <c r="HO186" s="409">
        <f t="shared" si="220"/>
        <v>0</v>
      </c>
      <c r="HP186" s="409">
        <f t="shared" si="220"/>
        <v>0</v>
      </c>
      <c r="HQ186" s="409">
        <f t="shared" si="220"/>
        <v>0</v>
      </c>
      <c r="HR186" s="409">
        <f t="shared" si="220"/>
        <v>0</v>
      </c>
      <c r="HS186" s="409">
        <f t="shared" si="220"/>
        <v>0</v>
      </c>
      <c r="HT186" s="409">
        <f t="shared" si="220"/>
        <v>0</v>
      </c>
      <c r="HU186" s="409">
        <f t="shared" si="221"/>
        <v>0</v>
      </c>
      <c r="HV186" s="409">
        <f t="shared" si="221"/>
        <v>0</v>
      </c>
      <c r="HW186" s="409">
        <f t="shared" si="221"/>
        <v>0</v>
      </c>
      <c r="HX186" s="409">
        <f t="shared" si="221"/>
        <v>0</v>
      </c>
      <c r="HY186" s="409">
        <f t="shared" si="221"/>
        <v>0</v>
      </c>
      <c r="HZ186" s="409">
        <f t="shared" si="221"/>
        <v>0</v>
      </c>
      <c r="IA186" s="409">
        <f t="shared" si="221"/>
        <v>0</v>
      </c>
      <c r="IB186" s="409">
        <f t="shared" si="221"/>
        <v>0</v>
      </c>
      <c r="IC186" s="409">
        <f t="shared" si="221"/>
        <v>0</v>
      </c>
      <c r="ID186" s="409">
        <f t="shared" si="221"/>
        <v>0</v>
      </c>
      <c r="IE186" s="409">
        <f t="shared" si="222"/>
        <v>0</v>
      </c>
      <c r="IF186" s="409">
        <f t="shared" si="222"/>
        <v>0</v>
      </c>
      <c r="IG186" s="409">
        <f t="shared" si="222"/>
        <v>0</v>
      </c>
      <c r="IH186" s="409">
        <f t="shared" si="222"/>
        <v>0</v>
      </c>
      <c r="II186" s="409">
        <f t="shared" si="222"/>
        <v>0</v>
      </c>
      <c r="IJ186" s="409">
        <f t="shared" si="222"/>
        <v>0</v>
      </c>
      <c r="IK186" s="378"/>
    </row>
    <row r="187" spans="1:245" hidden="1" x14ac:dyDescent="0.2">
      <c r="A187" s="380" t="str">
        <f t="shared" si="242"/>
        <v>e</v>
      </c>
      <c r="B187" s="712" t="str">
        <f>IF(ISERROR(INDEX('Legend(DX)'!$H$11:$H$12,30)),"",INDEX('Legend(DX)'!$H$11:$H$12,30))</f>
        <v/>
      </c>
      <c r="C187" s="712" t="e">
        <f>IF(INDEX('Legend(DX)'!$T$11:$T$12,30)=0,"See Legend",INDEX('Legend(DX)'!$T$11:$T$12,30))</f>
        <v>#REF!</v>
      </c>
      <c r="D187" s="712" t="e">
        <f>IF(INDEX('Legend(DX)'!$R$11:$R$12,(ROW(C187))-137)=0,IF(AND(INDEX('Legend(DX)'!$D$11:$D$12,(ROW(C187))-136)="CH",INDEX('Legend(DX)'!$F$11:$F$12,(ROW(C187))-136)="CASE - MANUAL"),INDEX('Legend(DX)'!$R$11:$R$12,(ROW(C187))-136),IF(INDEX('Legend(DX)'!$V$11:$V$12,(ROW(C187))-137)&gt;1, "(" &amp; INDEX('Legend(DX)'!$V$11:$V$12,(ROW(C187))-137) &amp; ") " &amp; INDEX('Legend(DX)'!$W$11:$W$12,(ROW(C187))-136),INDEX('Legend(DX)'!$W$11:$W$12,(ROW(C187))-137))),INDEX('Legend(DX)'!$R$11:$R$12,(ROW(C187))-137))</f>
        <v>#REF!</v>
      </c>
      <c r="E187" s="713" t="str">
        <f>IF(ISERROR(INDEX('Legend(DX)'!$AA$11:$AA$12,30)),"",INDEX('Legend(DX)'!$AA$11:$AA$12,30))</f>
        <v/>
      </c>
      <c r="F187" s="715"/>
      <c r="G187" s="715"/>
      <c r="H187" s="715"/>
      <c r="I187" s="715"/>
      <c r="J187" s="715"/>
      <c r="K187" s="890">
        <f t="shared" si="223"/>
        <v>0</v>
      </c>
      <c r="L187" s="718"/>
      <c r="M187" s="723"/>
      <c r="N187" s="972">
        <f t="shared" si="196"/>
        <v>-1</v>
      </c>
      <c r="O187" s="972">
        <f t="shared" si="224"/>
        <v>-1</v>
      </c>
      <c r="P187" s="972">
        <f t="shared" si="197"/>
        <v>-1</v>
      </c>
      <c r="Q187" s="972">
        <f t="shared" si="225"/>
        <v>-1</v>
      </c>
      <c r="R187" s="972">
        <f t="shared" si="198"/>
        <v>-1</v>
      </c>
      <c r="S187" s="972">
        <f t="shared" si="226"/>
        <v>-1</v>
      </c>
      <c r="T187" s="972">
        <f t="shared" si="199"/>
        <v>-1</v>
      </c>
      <c r="U187" s="972">
        <f t="shared" si="227"/>
        <v>-1</v>
      </c>
      <c r="V187" s="972">
        <f t="shared" si="200"/>
        <v>-1</v>
      </c>
      <c r="W187" s="972">
        <f t="shared" si="228"/>
        <v>-1</v>
      </c>
      <c r="X187" s="972">
        <f t="shared" si="201"/>
        <v>-1</v>
      </c>
      <c r="Y187" s="972">
        <f t="shared" si="229"/>
        <v>-1</v>
      </c>
      <c r="Z187" s="972">
        <f t="shared" si="230"/>
        <v>-1</v>
      </c>
      <c r="AA187" s="972">
        <f t="shared" si="231"/>
        <v>-1</v>
      </c>
      <c r="AB187" s="972">
        <f t="shared" si="232"/>
        <v>-1</v>
      </c>
      <c r="AC187" s="972">
        <f t="shared" si="233"/>
        <v>-1</v>
      </c>
      <c r="AD187" s="972">
        <f t="shared" si="234"/>
        <v>-1</v>
      </c>
      <c r="AE187" s="972">
        <f t="shared" si="235"/>
        <v>-1</v>
      </c>
      <c r="AF187" s="972">
        <f t="shared" si="236"/>
        <v>-1</v>
      </c>
      <c r="AG187" s="972">
        <f t="shared" si="237"/>
        <v>-1</v>
      </c>
      <c r="AH187" s="972">
        <f t="shared" si="238"/>
        <v>-1</v>
      </c>
      <c r="AI187" s="972">
        <f t="shared" si="239"/>
        <v>-1</v>
      </c>
      <c r="AJ187" s="972">
        <f t="shared" si="240"/>
        <v>-1</v>
      </c>
      <c r="AK187" s="381"/>
      <c r="AL187" s="727" t="str">
        <f t="shared" si="241"/>
        <v/>
      </c>
      <c r="AM187" s="409">
        <f t="shared" si="202"/>
        <v>0</v>
      </c>
      <c r="AN187" s="409">
        <f t="shared" si="202"/>
        <v>0</v>
      </c>
      <c r="AO187" s="409">
        <f t="shared" si="202"/>
        <v>0</v>
      </c>
      <c r="AP187" s="409">
        <f t="shared" si="202"/>
        <v>0</v>
      </c>
      <c r="AQ187" s="409">
        <f t="shared" si="202"/>
        <v>0</v>
      </c>
      <c r="AR187" s="409">
        <f t="shared" si="202"/>
        <v>0</v>
      </c>
      <c r="AS187" s="409">
        <f t="shared" si="202"/>
        <v>0</v>
      </c>
      <c r="AT187" s="409">
        <f t="shared" si="202"/>
        <v>0</v>
      </c>
      <c r="AU187" s="409">
        <f t="shared" si="202"/>
        <v>0</v>
      </c>
      <c r="AV187" s="409">
        <f t="shared" si="202"/>
        <v>0</v>
      </c>
      <c r="AW187" s="409">
        <f t="shared" si="203"/>
        <v>0</v>
      </c>
      <c r="AX187" s="409">
        <f t="shared" si="203"/>
        <v>0</v>
      </c>
      <c r="AY187" s="409">
        <f t="shared" si="203"/>
        <v>0</v>
      </c>
      <c r="AZ187" s="409">
        <f t="shared" si="203"/>
        <v>0</v>
      </c>
      <c r="BA187" s="409">
        <f t="shared" si="203"/>
        <v>0</v>
      </c>
      <c r="BB187" s="409">
        <f t="shared" si="203"/>
        <v>0</v>
      </c>
      <c r="BC187" s="409">
        <f t="shared" si="203"/>
        <v>0</v>
      </c>
      <c r="BD187" s="409">
        <f t="shared" si="203"/>
        <v>0</v>
      </c>
      <c r="BE187" s="409">
        <f t="shared" si="203"/>
        <v>0</v>
      </c>
      <c r="BF187" s="409">
        <f t="shared" si="203"/>
        <v>0</v>
      </c>
      <c r="BG187" s="409">
        <f t="shared" si="204"/>
        <v>0</v>
      </c>
      <c r="BH187" s="409">
        <f t="shared" si="204"/>
        <v>0</v>
      </c>
      <c r="BI187" s="409">
        <f t="shared" si="204"/>
        <v>0</v>
      </c>
      <c r="BJ187" s="409">
        <f t="shared" si="204"/>
        <v>0</v>
      </c>
      <c r="BK187" s="409">
        <f t="shared" si="204"/>
        <v>0</v>
      </c>
      <c r="BL187" s="409">
        <f t="shared" si="204"/>
        <v>0</v>
      </c>
      <c r="BM187" s="409">
        <f t="shared" si="204"/>
        <v>0</v>
      </c>
      <c r="BN187" s="409">
        <f t="shared" si="204"/>
        <v>0</v>
      </c>
      <c r="BO187" s="409">
        <f t="shared" si="204"/>
        <v>0</v>
      </c>
      <c r="BP187" s="409">
        <f t="shared" si="204"/>
        <v>0</v>
      </c>
      <c r="BQ187" s="409">
        <f t="shared" si="205"/>
        <v>0</v>
      </c>
      <c r="BR187" s="409">
        <f t="shared" si="205"/>
        <v>0</v>
      </c>
      <c r="BS187" s="409">
        <f t="shared" si="205"/>
        <v>0</v>
      </c>
      <c r="BT187" s="409">
        <f t="shared" si="205"/>
        <v>0</v>
      </c>
      <c r="BU187" s="409">
        <f t="shared" si="205"/>
        <v>0</v>
      </c>
      <c r="BV187" s="409">
        <f t="shared" si="205"/>
        <v>0</v>
      </c>
      <c r="BW187" s="409">
        <f t="shared" si="205"/>
        <v>0</v>
      </c>
      <c r="BX187" s="409">
        <f t="shared" si="205"/>
        <v>0</v>
      </c>
      <c r="BY187" s="409">
        <f t="shared" si="205"/>
        <v>0</v>
      </c>
      <c r="BZ187" s="409">
        <f t="shared" si="205"/>
        <v>0</v>
      </c>
      <c r="CA187" s="409">
        <f t="shared" si="206"/>
        <v>0</v>
      </c>
      <c r="CB187" s="409">
        <f t="shared" si="206"/>
        <v>0</v>
      </c>
      <c r="CC187" s="409">
        <f t="shared" si="206"/>
        <v>0</v>
      </c>
      <c r="CD187" s="409">
        <f t="shared" si="206"/>
        <v>0</v>
      </c>
      <c r="CE187" s="409">
        <f t="shared" si="206"/>
        <v>0</v>
      </c>
      <c r="CF187" s="409">
        <f t="shared" si="206"/>
        <v>0</v>
      </c>
      <c r="CG187" s="409">
        <f t="shared" si="206"/>
        <v>0</v>
      </c>
      <c r="CH187" s="409">
        <f t="shared" si="206"/>
        <v>0</v>
      </c>
      <c r="CI187" s="409">
        <f t="shared" si="206"/>
        <v>0</v>
      </c>
      <c r="CJ187" s="409">
        <f t="shared" si="206"/>
        <v>0</v>
      </c>
      <c r="CK187" s="409">
        <f t="shared" si="207"/>
        <v>0</v>
      </c>
      <c r="CL187" s="409">
        <f t="shared" si="207"/>
        <v>0</v>
      </c>
      <c r="CM187" s="409">
        <f t="shared" si="207"/>
        <v>0</v>
      </c>
      <c r="CN187" s="409">
        <f t="shared" si="207"/>
        <v>0</v>
      </c>
      <c r="CO187" s="409">
        <f t="shared" si="207"/>
        <v>0</v>
      </c>
      <c r="CP187" s="409">
        <f t="shared" si="207"/>
        <v>0</v>
      </c>
      <c r="CQ187" s="409">
        <f t="shared" si="207"/>
        <v>0</v>
      </c>
      <c r="CR187" s="409">
        <f t="shared" si="207"/>
        <v>0</v>
      </c>
      <c r="CS187" s="409">
        <f t="shared" si="207"/>
        <v>0</v>
      </c>
      <c r="CT187" s="409">
        <f t="shared" si="207"/>
        <v>0</v>
      </c>
      <c r="CU187" s="409">
        <f t="shared" si="208"/>
        <v>0</v>
      </c>
      <c r="CV187" s="409">
        <f t="shared" si="208"/>
        <v>0</v>
      </c>
      <c r="CW187" s="409">
        <f t="shared" si="208"/>
        <v>0</v>
      </c>
      <c r="CX187" s="409">
        <f t="shared" si="208"/>
        <v>0</v>
      </c>
      <c r="CY187" s="409">
        <f t="shared" si="208"/>
        <v>0</v>
      </c>
      <c r="CZ187" s="409">
        <f t="shared" si="208"/>
        <v>0</v>
      </c>
      <c r="DA187" s="409">
        <f t="shared" si="208"/>
        <v>0</v>
      </c>
      <c r="DB187" s="409">
        <f t="shared" si="208"/>
        <v>0</v>
      </c>
      <c r="DC187" s="409">
        <f t="shared" si="208"/>
        <v>0</v>
      </c>
      <c r="DD187" s="409">
        <f t="shared" si="208"/>
        <v>0</v>
      </c>
      <c r="DE187" s="409">
        <f t="shared" si="209"/>
        <v>0</v>
      </c>
      <c r="DF187" s="409">
        <f t="shared" si="209"/>
        <v>0</v>
      </c>
      <c r="DG187" s="409">
        <f t="shared" si="209"/>
        <v>0</v>
      </c>
      <c r="DH187" s="409">
        <f t="shared" si="209"/>
        <v>0</v>
      </c>
      <c r="DI187" s="409">
        <f t="shared" si="209"/>
        <v>0</v>
      </c>
      <c r="DJ187" s="409">
        <f t="shared" si="209"/>
        <v>0</v>
      </c>
      <c r="DK187" s="409">
        <f t="shared" si="209"/>
        <v>0</v>
      </c>
      <c r="DL187" s="409">
        <f t="shared" si="209"/>
        <v>0</v>
      </c>
      <c r="DM187" s="409">
        <f t="shared" si="209"/>
        <v>0</v>
      </c>
      <c r="DN187" s="409">
        <f t="shared" si="209"/>
        <v>0</v>
      </c>
      <c r="DO187" s="409">
        <f t="shared" si="210"/>
        <v>0</v>
      </c>
      <c r="DP187" s="409">
        <f t="shared" si="210"/>
        <v>0</v>
      </c>
      <c r="DQ187" s="409">
        <f t="shared" si="210"/>
        <v>0</v>
      </c>
      <c r="DR187" s="409">
        <f t="shared" si="210"/>
        <v>0</v>
      </c>
      <c r="DS187" s="409">
        <f t="shared" si="210"/>
        <v>0</v>
      </c>
      <c r="DT187" s="409">
        <f t="shared" si="210"/>
        <v>0</v>
      </c>
      <c r="DU187" s="409">
        <f t="shared" si="210"/>
        <v>0</v>
      </c>
      <c r="DV187" s="409">
        <f t="shared" si="210"/>
        <v>0</v>
      </c>
      <c r="DW187" s="409">
        <f t="shared" si="210"/>
        <v>0</v>
      </c>
      <c r="DX187" s="409">
        <f t="shared" si="210"/>
        <v>0</v>
      </c>
      <c r="DY187" s="409">
        <f t="shared" si="211"/>
        <v>0</v>
      </c>
      <c r="DZ187" s="409">
        <f t="shared" si="211"/>
        <v>0</v>
      </c>
      <c r="EA187" s="409">
        <f t="shared" si="211"/>
        <v>0</v>
      </c>
      <c r="EB187" s="409">
        <f t="shared" si="211"/>
        <v>0</v>
      </c>
      <c r="EC187" s="409">
        <f t="shared" si="211"/>
        <v>0</v>
      </c>
      <c r="ED187" s="409">
        <f t="shared" si="211"/>
        <v>0</v>
      </c>
      <c r="EE187" s="409">
        <f t="shared" si="211"/>
        <v>0</v>
      </c>
      <c r="EF187" s="409">
        <f t="shared" si="211"/>
        <v>0</v>
      </c>
      <c r="EG187" s="409">
        <f t="shared" si="211"/>
        <v>0</v>
      </c>
      <c r="EH187" s="409">
        <f t="shared" si="211"/>
        <v>0</v>
      </c>
      <c r="EI187" s="409">
        <f t="shared" si="212"/>
        <v>0</v>
      </c>
      <c r="EJ187" s="409">
        <f t="shared" si="212"/>
        <v>0</v>
      </c>
      <c r="EK187" s="409">
        <f t="shared" si="212"/>
        <v>0</v>
      </c>
      <c r="EL187" s="409">
        <f t="shared" si="212"/>
        <v>0</v>
      </c>
      <c r="EM187" s="409">
        <f t="shared" si="212"/>
        <v>0</v>
      </c>
      <c r="EN187" s="409">
        <f t="shared" si="212"/>
        <v>0</v>
      </c>
      <c r="EO187" s="409">
        <f t="shared" si="212"/>
        <v>0</v>
      </c>
      <c r="EP187" s="409">
        <f t="shared" si="212"/>
        <v>0</v>
      </c>
      <c r="EQ187" s="409">
        <f t="shared" si="212"/>
        <v>0</v>
      </c>
      <c r="ER187" s="409">
        <f t="shared" si="212"/>
        <v>0</v>
      </c>
      <c r="ES187" s="409">
        <f t="shared" si="213"/>
        <v>0</v>
      </c>
      <c r="ET187" s="409">
        <f t="shared" si="213"/>
        <v>0</v>
      </c>
      <c r="EU187" s="409">
        <f t="shared" si="213"/>
        <v>0</v>
      </c>
      <c r="EV187" s="409">
        <f t="shared" si="213"/>
        <v>0</v>
      </c>
      <c r="EW187" s="409">
        <f t="shared" si="213"/>
        <v>0</v>
      </c>
      <c r="EX187" s="409">
        <f t="shared" si="213"/>
        <v>0</v>
      </c>
      <c r="EY187" s="409">
        <f t="shared" si="213"/>
        <v>0</v>
      </c>
      <c r="EZ187" s="409">
        <f t="shared" si="213"/>
        <v>0</v>
      </c>
      <c r="FA187" s="409">
        <f t="shared" si="213"/>
        <v>0</v>
      </c>
      <c r="FB187" s="409">
        <f t="shared" si="213"/>
        <v>0</v>
      </c>
      <c r="FC187" s="409">
        <f t="shared" si="214"/>
        <v>0</v>
      </c>
      <c r="FD187" s="409">
        <f t="shared" si="214"/>
        <v>0</v>
      </c>
      <c r="FE187" s="409">
        <f t="shared" si="214"/>
        <v>0</v>
      </c>
      <c r="FF187" s="409">
        <f t="shared" si="214"/>
        <v>0</v>
      </c>
      <c r="FG187" s="409">
        <f t="shared" si="214"/>
        <v>0</v>
      </c>
      <c r="FH187" s="409">
        <f t="shared" si="214"/>
        <v>0</v>
      </c>
      <c r="FI187" s="409">
        <f t="shared" si="214"/>
        <v>0</v>
      </c>
      <c r="FJ187" s="409">
        <f t="shared" si="214"/>
        <v>0</v>
      </c>
      <c r="FK187" s="409">
        <f t="shared" si="214"/>
        <v>0</v>
      </c>
      <c r="FL187" s="409">
        <f t="shared" si="214"/>
        <v>0</v>
      </c>
      <c r="FM187" s="409">
        <f t="shared" si="215"/>
        <v>0</v>
      </c>
      <c r="FN187" s="409">
        <f t="shared" si="215"/>
        <v>0</v>
      </c>
      <c r="FO187" s="409">
        <f t="shared" si="215"/>
        <v>0</v>
      </c>
      <c r="FP187" s="409">
        <f t="shared" si="215"/>
        <v>0</v>
      </c>
      <c r="FQ187" s="409">
        <f t="shared" si="215"/>
        <v>0</v>
      </c>
      <c r="FR187" s="409">
        <f t="shared" si="215"/>
        <v>0</v>
      </c>
      <c r="FS187" s="409">
        <f t="shared" si="215"/>
        <v>0</v>
      </c>
      <c r="FT187" s="409">
        <f t="shared" si="215"/>
        <v>0</v>
      </c>
      <c r="FU187" s="409">
        <f t="shared" si="215"/>
        <v>0</v>
      </c>
      <c r="FV187" s="409">
        <f t="shared" si="215"/>
        <v>0</v>
      </c>
      <c r="FW187" s="409">
        <f t="shared" si="216"/>
        <v>0</v>
      </c>
      <c r="FX187" s="409">
        <f t="shared" si="216"/>
        <v>0</v>
      </c>
      <c r="FY187" s="409">
        <f t="shared" si="216"/>
        <v>0</v>
      </c>
      <c r="FZ187" s="409">
        <f t="shared" si="216"/>
        <v>0</v>
      </c>
      <c r="GA187" s="409">
        <f t="shared" si="216"/>
        <v>0</v>
      </c>
      <c r="GB187" s="409">
        <f t="shared" si="216"/>
        <v>0</v>
      </c>
      <c r="GC187" s="409">
        <f t="shared" si="216"/>
        <v>0</v>
      </c>
      <c r="GD187" s="409">
        <f t="shared" si="216"/>
        <v>0</v>
      </c>
      <c r="GE187" s="409">
        <f t="shared" si="216"/>
        <v>0</v>
      </c>
      <c r="GF187" s="409">
        <f t="shared" si="216"/>
        <v>0</v>
      </c>
      <c r="GG187" s="409">
        <f t="shared" si="217"/>
        <v>0</v>
      </c>
      <c r="GH187" s="409">
        <f t="shared" si="217"/>
        <v>0</v>
      </c>
      <c r="GI187" s="409">
        <f t="shared" si="217"/>
        <v>0</v>
      </c>
      <c r="GJ187" s="409">
        <f t="shared" si="217"/>
        <v>0</v>
      </c>
      <c r="GK187" s="409">
        <f t="shared" si="217"/>
        <v>0</v>
      </c>
      <c r="GL187" s="409">
        <f t="shared" si="217"/>
        <v>0</v>
      </c>
      <c r="GM187" s="409">
        <f t="shared" si="217"/>
        <v>0</v>
      </c>
      <c r="GN187" s="409">
        <f t="shared" si="217"/>
        <v>0</v>
      </c>
      <c r="GO187" s="409">
        <f t="shared" si="217"/>
        <v>0</v>
      </c>
      <c r="GP187" s="409">
        <f t="shared" si="217"/>
        <v>0</v>
      </c>
      <c r="GQ187" s="409">
        <f t="shared" si="218"/>
        <v>0</v>
      </c>
      <c r="GR187" s="409">
        <f t="shared" si="218"/>
        <v>0</v>
      </c>
      <c r="GS187" s="409">
        <f t="shared" si="218"/>
        <v>0</v>
      </c>
      <c r="GT187" s="409">
        <f t="shared" si="218"/>
        <v>0</v>
      </c>
      <c r="GU187" s="409">
        <f t="shared" si="218"/>
        <v>0</v>
      </c>
      <c r="GV187" s="409">
        <f t="shared" si="218"/>
        <v>0</v>
      </c>
      <c r="GW187" s="409">
        <f t="shared" si="218"/>
        <v>0</v>
      </c>
      <c r="GX187" s="409">
        <f t="shared" si="218"/>
        <v>0</v>
      </c>
      <c r="GY187" s="409">
        <f t="shared" si="218"/>
        <v>0</v>
      </c>
      <c r="GZ187" s="409">
        <f t="shared" si="218"/>
        <v>0</v>
      </c>
      <c r="HA187" s="409">
        <f t="shared" si="219"/>
        <v>0</v>
      </c>
      <c r="HB187" s="409">
        <f t="shared" si="219"/>
        <v>0</v>
      </c>
      <c r="HC187" s="409">
        <f t="shared" si="219"/>
        <v>0</v>
      </c>
      <c r="HD187" s="409">
        <f t="shared" si="219"/>
        <v>0</v>
      </c>
      <c r="HE187" s="409">
        <f t="shared" si="219"/>
        <v>0</v>
      </c>
      <c r="HF187" s="409">
        <f t="shared" si="219"/>
        <v>0</v>
      </c>
      <c r="HG187" s="409">
        <f t="shared" si="219"/>
        <v>0</v>
      </c>
      <c r="HH187" s="409">
        <f t="shared" si="219"/>
        <v>0</v>
      </c>
      <c r="HI187" s="409">
        <f t="shared" si="219"/>
        <v>0</v>
      </c>
      <c r="HJ187" s="409">
        <f t="shared" si="219"/>
        <v>0</v>
      </c>
      <c r="HK187" s="409">
        <f t="shared" si="220"/>
        <v>0</v>
      </c>
      <c r="HL187" s="409">
        <f t="shared" si="220"/>
        <v>0</v>
      </c>
      <c r="HM187" s="409">
        <f t="shared" si="220"/>
        <v>0</v>
      </c>
      <c r="HN187" s="409">
        <f t="shared" si="220"/>
        <v>0</v>
      </c>
      <c r="HO187" s="409">
        <f t="shared" si="220"/>
        <v>0</v>
      </c>
      <c r="HP187" s="409">
        <f t="shared" si="220"/>
        <v>0</v>
      </c>
      <c r="HQ187" s="409">
        <f t="shared" si="220"/>
        <v>0</v>
      </c>
      <c r="HR187" s="409">
        <f t="shared" si="220"/>
        <v>0</v>
      </c>
      <c r="HS187" s="409">
        <f t="shared" si="220"/>
        <v>0</v>
      </c>
      <c r="HT187" s="409">
        <f t="shared" si="220"/>
        <v>0</v>
      </c>
      <c r="HU187" s="409">
        <f t="shared" si="221"/>
        <v>0</v>
      </c>
      <c r="HV187" s="409">
        <f t="shared" si="221"/>
        <v>0</v>
      </c>
      <c r="HW187" s="409">
        <f t="shared" si="221"/>
        <v>0</v>
      </c>
      <c r="HX187" s="409">
        <f t="shared" si="221"/>
        <v>0</v>
      </c>
      <c r="HY187" s="409">
        <f t="shared" si="221"/>
        <v>0</v>
      </c>
      <c r="HZ187" s="409">
        <f t="shared" si="221"/>
        <v>0</v>
      </c>
      <c r="IA187" s="409">
        <f t="shared" si="221"/>
        <v>0</v>
      </c>
      <c r="IB187" s="409">
        <f t="shared" si="221"/>
        <v>0</v>
      </c>
      <c r="IC187" s="409">
        <f t="shared" si="221"/>
        <v>0</v>
      </c>
      <c r="ID187" s="409">
        <f t="shared" si="221"/>
        <v>0</v>
      </c>
      <c r="IE187" s="409">
        <f t="shared" si="222"/>
        <v>0</v>
      </c>
      <c r="IF187" s="409">
        <f t="shared" si="222"/>
        <v>0</v>
      </c>
      <c r="IG187" s="409">
        <f t="shared" si="222"/>
        <v>0</v>
      </c>
      <c r="IH187" s="409">
        <f t="shared" si="222"/>
        <v>0</v>
      </c>
      <c r="II187" s="409">
        <f t="shared" si="222"/>
        <v>0</v>
      </c>
      <c r="IJ187" s="409">
        <f t="shared" si="222"/>
        <v>0</v>
      </c>
      <c r="IK187" s="378"/>
    </row>
    <row r="188" spans="1:245" hidden="1" x14ac:dyDescent="0.2">
      <c r="A188" s="380" t="str">
        <f t="shared" si="242"/>
        <v>e</v>
      </c>
      <c r="B188" s="712" t="str">
        <f>IF(ISERROR(INDEX('Legend(DX)'!$H$11:$H$12,31)),"",INDEX('Legend(DX)'!$H$11:$H$12,31))</f>
        <v/>
      </c>
      <c r="C188" s="712" t="e">
        <f>IF(INDEX('Legend(DX)'!$T$11:$T$12,31)=0,"See Legend",INDEX('Legend(DX)'!$T$11:$T$12,31))</f>
        <v>#REF!</v>
      </c>
      <c r="D188" s="712" t="e">
        <f>IF(INDEX('Legend(DX)'!$R$11:$R$12,(ROW(C188))-137)=0,IF(AND(INDEX('Legend(DX)'!$D$11:$D$12,(ROW(C188))-136)="CH",INDEX('Legend(DX)'!$F$11:$F$12,(ROW(C188))-136)="CASE - MANUAL"),INDEX('Legend(DX)'!$R$11:$R$12,(ROW(C188))-136),IF(INDEX('Legend(DX)'!$V$11:$V$12,(ROW(C188))-137)&gt;1, "(" &amp; INDEX('Legend(DX)'!$V$11:$V$12,(ROW(C188))-137) &amp; ") " &amp; INDEX('Legend(DX)'!$W$11:$W$12,(ROW(C188))-136),INDEX('Legend(DX)'!$W$11:$W$12,(ROW(C188))-137))),INDEX('Legend(DX)'!$R$11:$R$12,(ROW(C188))-137))</f>
        <v>#REF!</v>
      </c>
      <c r="E188" s="713" t="str">
        <f>IF(ISERROR(INDEX('Legend(DX)'!$AA$11:$AA$12,31)),"",INDEX('Legend(DX)'!$AA$11:$AA$12,31))</f>
        <v/>
      </c>
      <c r="F188" s="715"/>
      <c r="G188" s="715"/>
      <c r="H188" s="715"/>
      <c r="I188" s="715"/>
      <c r="J188" s="715"/>
      <c r="K188" s="890">
        <f t="shared" si="223"/>
        <v>0</v>
      </c>
      <c r="L188" s="718"/>
      <c r="M188" s="723"/>
      <c r="N188" s="972">
        <f t="shared" si="196"/>
        <v>-1</v>
      </c>
      <c r="O188" s="972">
        <f t="shared" si="224"/>
        <v>-1</v>
      </c>
      <c r="P188" s="972">
        <f t="shared" si="197"/>
        <v>-1</v>
      </c>
      <c r="Q188" s="972">
        <f t="shared" si="225"/>
        <v>-1</v>
      </c>
      <c r="R188" s="972">
        <f t="shared" si="198"/>
        <v>-1</v>
      </c>
      <c r="S188" s="972">
        <f t="shared" si="226"/>
        <v>-1</v>
      </c>
      <c r="T188" s="972">
        <f t="shared" si="199"/>
        <v>-1</v>
      </c>
      <c r="U188" s="972">
        <f t="shared" si="227"/>
        <v>-1</v>
      </c>
      <c r="V188" s="972">
        <f t="shared" si="200"/>
        <v>-1</v>
      </c>
      <c r="W188" s="972">
        <f t="shared" si="228"/>
        <v>-1</v>
      </c>
      <c r="X188" s="972">
        <f t="shared" si="201"/>
        <v>-1</v>
      </c>
      <c r="Y188" s="972">
        <f t="shared" si="229"/>
        <v>-1</v>
      </c>
      <c r="Z188" s="972">
        <f t="shared" si="230"/>
        <v>-1</v>
      </c>
      <c r="AA188" s="972">
        <f t="shared" si="231"/>
        <v>-1</v>
      </c>
      <c r="AB188" s="972">
        <f t="shared" si="232"/>
        <v>-1</v>
      </c>
      <c r="AC188" s="972">
        <f t="shared" si="233"/>
        <v>-1</v>
      </c>
      <c r="AD188" s="972">
        <f t="shared" si="234"/>
        <v>-1</v>
      </c>
      <c r="AE188" s="972">
        <f t="shared" si="235"/>
        <v>-1</v>
      </c>
      <c r="AF188" s="972">
        <f t="shared" si="236"/>
        <v>-1</v>
      </c>
      <c r="AG188" s="972">
        <f t="shared" si="237"/>
        <v>-1</v>
      </c>
      <c r="AH188" s="972">
        <f t="shared" si="238"/>
        <v>-1</v>
      </c>
      <c r="AI188" s="972">
        <f t="shared" si="239"/>
        <v>-1</v>
      </c>
      <c r="AJ188" s="972">
        <f t="shared" si="240"/>
        <v>-1</v>
      </c>
      <c r="AK188" s="381"/>
      <c r="AL188" s="727" t="str">
        <f t="shared" si="241"/>
        <v/>
      </c>
      <c r="AM188" s="409">
        <f t="shared" ref="AM188:AV197" si="270">IF(ISNA(AM$7),"",IF(OR(AND(AM$7&lt;=$N188,AM$7&gt;$N188-TIME(0,TimeIncr,0)),AND(AM$7&lt;=$P188,AM$7&gt;$P188-TIME(0,TimeIncr,0)),AND(AM$7&lt;=$R188,AM$7&gt;$R188-TIME(0,TimeIncr,0)),AND(AM$7&lt;=$T188,AM$7&gt;$T188-TIME(0,TimeIncr,0)),AND(AM$7&lt;=$V188,AM$7&gt;$V188-TIME(0,TimeIncr,0)),AND(AM$7&lt;=$X188,AM$7&gt;$X188-TIME(0,TimeIncr,0))),$E188*$L188,IF(OR(AND(AM$7&gt;=$M188,AM$7&lt;=$N188),AND(AM$7&gt;=$O188,AM$7&lt;=$P188),AND(AM$7&gt;=$Q188,AM$7&lt;=$R188),AND(AM$7&gt;=$S188,AM$7&lt;=$T188),AND(AM$7&gt;=$U188,AM$7&lt;=$V188),AND(AM$7&gt;=$W188,AM$7&lt;=$X188)),0,IF(OR(AND($M188&gt;$N188,AM$7&lt;=$N188),AND($O188&gt;$P188,AM$7&lt;=$P188),AND($Q188&gt;$R188,AM$7&lt;=$R188),AND($S188&gt;$T188,AM$7&lt;=$T188),AND($U188&gt;$V188,AM$7&lt;=$V188),AND($W188&gt;$X188,AM$7&lt;=$X188)),0,IF(OR(AND(AM$7&gt;=$M188,$M188&gt;$N188),AND(AM$7&gt;=$O188,$O188&gt;$P188),AND(AM$7&gt;=$Q188,$Q188&gt;$R188),AND(AM$7&gt;=$S188,$S188&gt;$T188),AND(AM$7&gt;=$U188,$U188&gt;$V188),AND(AM$7&gt;=$W188,$W188&gt;$X188)),0,$E188)))))</f>
        <v>0</v>
      </c>
      <c r="AN188" s="409">
        <f t="shared" si="270"/>
        <v>0</v>
      </c>
      <c r="AO188" s="409">
        <f t="shared" si="270"/>
        <v>0</v>
      </c>
      <c r="AP188" s="409">
        <f t="shared" si="270"/>
        <v>0</v>
      </c>
      <c r="AQ188" s="409">
        <f t="shared" si="270"/>
        <v>0</v>
      </c>
      <c r="AR188" s="409">
        <f t="shared" si="270"/>
        <v>0</v>
      </c>
      <c r="AS188" s="409">
        <f t="shared" si="270"/>
        <v>0</v>
      </c>
      <c r="AT188" s="409">
        <f t="shared" si="270"/>
        <v>0</v>
      </c>
      <c r="AU188" s="409">
        <f t="shared" si="270"/>
        <v>0</v>
      </c>
      <c r="AV188" s="409">
        <f t="shared" si="270"/>
        <v>0</v>
      </c>
      <c r="AW188" s="409">
        <f t="shared" ref="AW188:BF197" si="271">IF(ISNA(AW$7),"",IF(OR(AND(AW$7&lt;=$N188,AW$7&gt;$N188-TIME(0,TimeIncr,0)),AND(AW$7&lt;=$P188,AW$7&gt;$P188-TIME(0,TimeIncr,0)),AND(AW$7&lt;=$R188,AW$7&gt;$R188-TIME(0,TimeIncr,0)),AND(AW$7&lt;=$T188,AW$7&gt;$T188-TIME(0,TimeIncr,0)),AND(AW$7&lt;=$V188,AW$7&gt;$V188-TIME(0,TimeIncr,0)),AND(AW$7&lt;=$X188,AW$7&gt;$X188-TIME(0,TimeIncr,0))),$E188*$L188,IF(OR(AND(AW$7&gt;=$M188,AW$7&lt;=$N188),AND(AW$7&gt;=$O188,AW$7&lt;=$P188),AND(AW$7&gt;=$Q188,AW$7&lt;=$R188),AND(AW$7&gt;=$S188,AW$7&lt;=$T188),AND(AW$7&gt;=$U188,AW$7&lt;=$V188),AND(AW$7&gt;=$W188,AW$7&lt;=$X188)),0,IF(OR(AND($M188&gt;$N188,AW$7&lt;=$N188),AND($O188&gt;$P188,AW$7&lt;=$P188),AND($Q188&gt;$R188,AW$7&lt;=$R188),AND($S188&gt;$T188,AW$7&lt;=$T188),AND($U188&gt;$V188,AW$7&lt;=$V188),AND($W188&gt;$X188,AW$7&lt;=$X188)),0,IF(OR(AND(AW$7&gt;=$M188,$M188&gt;$N188),AND(AW$7&gt;=$O188,$O188&gt;$P188),AND(AW$7&gt;=$Q188,$Q188&gt;$R188),AND(AW$7&gt;=$S188,$S188&gt;$T188),AND(AW$7&gt;=$U188,$U188&gt;$V188),AND(AW$7&gt;=$W188,$W188&gt;$X188)),0,$E188)))))</f>
        <v>0</v>
      </c>
      <c r="AX188" s="409">
        <f t="shared" si="271"/>
        <v>0</v>
      </c>
      <c r="AY188" s="409">
        <f t="shared" si="271"/>
        <v>0</v>
      </c>
      <c r="AZ188" s="409">
        <f t="shared" si="271"/>
        <v>0</v>
      </c>
      <c r="BA188" s="409">
        <f t="shared" si="271"/>
        <v>0</v>
      </c>
      <c r="BB188" s="409">
        <f t="shared" si="271"/>
        <v>0</v>
      </c>
      <c r="BC188" s="409">
        <f t="shared" si="271"/>
        <v>0</v>
      </c>
      <c r="BD188" s="409">
        <f t="shared" si="271"/>
        <v>0</v>
      </c>
      <c r="BE188" s="409">
        <f t="shared" si="271"/>
        <v>0</v>
      </c>
      <c r="BF188" s="409">
        <f t="shared" si="271"/>
        <v>0</v>
      </c>
      <c r="BG188" s="409">
        <f t="shared" ref="BG188:BP197" si="272">IF(ISNA(BG$7),"",IF(OR(AND(BG$7&lt;=$N188,BG$7&gt;$N188-TIME(0,TimeIncr,0)),AND(BG$7&lt;=$P188,BG$7&gt;$P188-TIME(0,TimeIncr,0)),AND(BG$7&lt;=$R188,BG$7&gt;$R188-TIME(0,TimeIncr,0)),AND(BG$7&lt;=$T188,BG$7&gt;$T188-TIME(0,TimeIncr,0)),AND(BG$7&lt;=$V188,BG$7&gt;$V188-TIME(0,TimeIncr,0)),AND(BG$7&lt;=$X188,BG$7&gt;$X188-TIME(0,TimeIncr,0))),$E188*$L188,IF(OR(AND(BG$7&gt;=$M188,BG$7&lt;=$N188),AND(BG$7&gt;=$O188,BG$7&lt;=$P188),AND(BG$7&gt;=$Q188,BG$7&lt;=$R188),AND(BG$7&gt;=$S188,BG$7&lt;=$T188),AND(BG$7&gt;=$U188,BG$7&lt;=$V188),AND(BG$7&gt;=$W188,BG$7&lt;=$X188)),0,IF(OR(AND($M188&gt;$N188,BG$7&lt;=$N188),AND($O188&gt;$P188,BG$7&lt;=$P188),AND($Q188&gt;$R188,BG$7&lt;=$R188),AND($S188&gt;$T188,BG$7&lt;=$T188),AND($U188&gt;$V188,BG$7&lt;=$V188),AND($W188&gt;$X188,BG$7&lt;=$X188)),0,IF(OR(AND(BG$7&gt;=$M188,$M188&gt;$N188),AND(BG$7&gt;=$O188,$O188&gt;$P188),AND(BG$7&gt;=$Q188,$Q188&gt;$R188),AND(BG$7&gt;=$S188,$S188&gt;$T188),AND(BG$7&gt;=$U188,$U188&gt;$V188),AND(BG$7&gt;=$W188,$W188&gt;$X188)),0,$E188)))))</f>
        <v>0</v>
      </c>
      <c r="BH188" s="409">
        <f t="shared" si="272"/>
        <v>0</v>
      </c>
      <c r="BI188" s="409">
        <f t="shared" si="272"/>
        <v>0</v>
      </c>
      <c r="BJ188" s="409">
        <f t="shared" si="272"/>
        <v>0</v>
      </c>
      <c r="BK188" s="409">
        <f t="shared" si="272"/>
        <v>0</v>
      </c>
      <c r="BL188" s="409">
        <f t="shared" si="272"/>
        <v>0</v>
      </c>
      <c r="BM188" s="409">
        <f t="shared" si="272"/>
        <v>0</v>
      </c>
      <c r="BN188" s="409">
        <f t="shared" si="272"/>
        <v>0</v>
      </c>
      <c r="BO188" s="409">
        <f t="shared" si="272"/>
        <v>0</v>
      </c>
      <c r="BP188" s="409">
        <f t="shared" si="272"/>
        <v>0</v>
      </c>
      <c r="BQ188" s="409">
        <f t="shared" ref="BQ188:BZ197" si="273">IF(ISNA(BQ$7),"",IF(OR(AND(BQ$7&lt;=$N188,BQ$7&gt;$N188-TIME(0,TimeIncr,0)),AND(BQ$7&lt;=$P188,BQ$7&gt;$P188-TIME(0,TimeIncr,0)),AND(BQ$7&lt;=$R188,BQ$7&gt;$R188-TIME(0,TimeIncr,0)),AND(BQ$7&lt;=$T188,BQ$7&gt;$T188-TIME(0,TimeIncr,0)),AND(BQ$7&lt;=$V188,BQ$7&gt;$V188-TIME(0,TimeIncr,0)),AND(BQ$7&lt;=$X188,BQ$7&gt;$X188-TIME(0,TimeIncr,0))),$E188*$L188,IF(OR(AND(BQ$7&gt;=$M188,BQ$7&lt;=$N188),AND(BQ$7&gt;=$O188,BQ$7&lt;=$P188),AND(BQ$7&gt;=$Q188,BQ$7&lt;=$R188),AND(BQ$7&gt;=$S188,BQ$7&lt;=$T188),AND(BQ$7&gt;=$U188,BQ$7&lt;=$V188),AND(BQ$7&gt;=$W188,BQ$7&lt;=$X188)),0,IF(OR(AND($M188&gt;$N188,BQ$7&lt;=$N188),AND($O188&gt;$P188,BQ$7&lt;=$P188),AND($Q188&gt;$R188,BQ$7&lt;=$R188),AND($S188&gt;$T188,BQ$7&lt;=$T188),AND($U188&gt;$V188,BQ$7&lt;=$V188),AND($W188&gt;$X188,BQ$7&lt;=$X188)),0,IF(OR(AND(BQ$7&gt;=$M188,$M188&gt;$N188),AND(BQ$7&gt;=$O188,$O188&gt;$P188),AND(BQ$7&gt;=$Q188,$Q188&gt;$R188),AND(BQ$7&gt;=$S188,$S188&gt;$T188),AND(BQ$7&gt;=$U188,$U188&gt;$V188),AND(BQ$7&gt;=$W188,$W188&gt;$X188)),0,$E188)))))</f>
        <v>0</v>
      </c>
      <c r="BR188" s="409">
        <f t="shared" si="273"/>
        <v>0</v>
      </c>
      <c r="BS188" s="409">
        <f t="shared" si="273"/>
        <v>0</v>
      </c>
      <c r="BT188" s="409">
        <f t="shared" si="273"/>
        <v>0</v>
      </c>
      <c r="BU188" s="409">
        <f t="shared" si="273"/>
        <v>0</v>
      </c>
      <c r="BV188" s="409">
        <f t="shared" si="273"/>
        <v>0</v>
      </c>
      <c r="BW188" s="409">
        <f t="shared" si="273"/>
        <v>0</v>
      </c>
      <c r="BX188" s="409">
        <f t="shared" si="273"/>
        <v>0</v>
      </c>
      <c r="BY188" s="409">
        <f t="shared" si="273"/>
        <v>0</v>
      </c>
      <c r="BZ188" s="409">
        <f t="shared" si="273"/>
        <v>0</v>
      </c>
      <c r="CA188" s="409">
        <f t="shared" ref="CA188:CJ197" si="274">IF(ISNA(CA$7),"",IF(OR(AND(CA$7&lt;=$N188,CA$7&gt;$N188-TIME(0,TimeIncr,0)),AND(CA$7&lt;=$P188,CA$7&gt;$P188-TIME(0,TimeIncr,0)),AND(CA$7&lt;=$R188,CA$7&gt;$R188-TIME(0,TimeIncr,0)),AND(CA$7&lt;=$T188,CA$7&gt;$T188-TIME(0,TimeIncr,0)),AND(CA$7&lt;=$V188,CA$7&gt;$V188-TIME(0,TimeIncr,0)),AND(CA$7&lt;=$X188,CA$7&gt;$X188-TIME(0,TimeIncr,0))),$E188*$L188,IF(OR(AND(CA$7&gt;=$M188,CA$7&lt;=$N188),AND(CA$7&gt;=$O188,CA$7&lt;=$P188),AND(CA$7&gt;=$Q188,CA$7&lt;=$R188),AND(CA$7&gt;=$S188,CA$7&lt;=$T188),AND(CA$7&gt;=$U188,CA$7&lt;=$V188),AND(CA$7&gt;=$W188,CA$7&lt;=$X188)),0,IF(OR(AND($M188&gt;$N188,CA$7&lt;=$N188),AND($O188&gt;$P188,CA$7&lt;=$P188),AND($Q188&gt;$R188,CA$7&lt;=$R188),AND($S188&gt;$T188,CA$7&lt;=$T188),AND($U188&gt;$V188,CA$7&lt;=$V188),AND($W188&gt;$X188,CA$7&lt;=$X188)),0,IF(OR(AND(CA$7&gt;=$M188,$M188&gt;$N188),AND(CA$7&gt;=$O188,$O188&gt;$P188),AND(CA$7&gt;=$Q188,$Q188&gt;$R188),AND(CA$7&gt;=$S188,$S188&gt;$T188),AND(CA$7&gt;=$U188,$U188&gt;$V188),AND(CA$7&gt;=$W188,$W188&gt;$X188)),0,$E188)))))</f>
        <v>0</v>
      </c>
      <c r="CB188" s="409">
        <f t="shared" si="274"/>
        <v>0</v>
      </c>
      <c r="CC188" s="409">
        <f t="shared" si="274"/>
        <v>0</v>
      </c>
      <c r="CD188" s="409">
        <f t="shared" si="274"/>
        <v>0</v>
      </c>
      <c r="CE188" s="409">
        <f t="shared" si="274"/>
        <v>0</v>
      </c>
      <c r="CF188" s="409">
        <f t="shared" si="274"/>
        <v>0</v>
      </c>
      <c r="CG188" s="409">
        <f t="shared" si="274"/>
        <v>0</v>
      </c>
      <c r="CH188" s="409">
        <f t="shared" si="274"/>
        <v>0</v>
      </c>
      <c r="CI188" s="409">
        <f t="shared" si="274"/>
        <v>0</v>
      </c>
      <c r="CJ188" s="409">
        <f t="shared" si="274"/>
        <v>0</v>
      </c>
      <c r="CK188" s="409">
        <f t="shared" ref="CK188:CT197" si="275">IF(ISNA(CK$7),"",IF(OR(AND(CK$7&lt;=$N188,CK$7&gt;$N188-TIME(0,TimeIncr,0)),AND(CK$7&lt;=$P188,CK$7&gt;$P188-TIME(0,TimeIncr,0)),AND(CK$7&lt;=$R188,CK$7&gt;$R188-TIME(0,TimeIncr,0)),AND(CK$7&lt;=$T188,CK$7&gt;$T188-TIME(0,TimeIncr,0)),AND(CK$7&lt;=$V188,CK$7&gt;$V188-TIME(0,TimeIncr,0)),AND(CK$7&lt;=$X188,CK$7&gt;$X188-TIME(0,TimeIncr,0))),$E188*$L188,IF(OR(AND(CK$7&gt;=$M188,CK$7&lt;=$N188),AND(CK$7&gt;=$O188,CK$7&lt;=$P188),AND(CK$7&gt;=$Q188,CK$7&lt;=$R188),AND(CK$7&gt;=$S188,CK$7&lt;=$T188),AND(CK$7&gt;=$U188,CK$7&lt;=$V188),AND(CK$7&gt;=$W188,CK$7&lt;=$X188)),0,IF(OR(AND($M188&gt;$N188,CK$7&lt;=$N188),AND($O188&gt;$P188,CK$7&lt;=$P188),AND($Q188&gt;$R188,CK$7&lt;=$R188),AND($S188&gt;$T188,CK$7&lt;=$T188),AND($U188&gt;$V188,CK$7&lt;=$V188),AND($W188&gt;$X188,CK$7&lt;=$X188)),0,IF(OR(AND(CK$7&gt;=$M188,$M188&gt;$N188),AND(CK$7&gt;=$O188,$O188&gt;$P188),AND(CK$7&gt;=$Q188,$Q188&gt;$R188),AND(CK$7&gt;=$S188,$S188&gt;$T188),AND(CK$7&gt;=$U188,$U188&gt;$V188),AND(CK$7&gt;=$W188,$W188&gt;$X188)),0,$E188)))))</f>
        <v>0</v>
      </c>
      <c r="CL188" s="409">
        <f t="shared" si="275"/>
        <v>0</v>
      </c>
      <c r="CM188" s="409">
        <f t="shared" si="275"/>
        <v>0</v>
      </c>
      <c r="CN188" s="409">
        <f t="shared" si="275"/>
        <v>0</v>
      </c>
      <c r="CO188" s="409">
        <f t="shared" si="275"/>
        <v>0</v>
      </c>
      <c r="CP188" s="409">
        <f t="shared" si="275"/>
        <v>0</v>
      </c>
      <c r="CQ188" s="409">
        <f t="shared" si="275"/>
        <v>0</v>
      </c>
      <c r="CR188" s="409">
        <f t="shared" si="275"/>
        <v>0</v>
      </c>
      <c r="CS188" s="409">
        <f t="shared" si="275"/>
        <v>0</v>
      </c>
      <c r="CT188" s="409">
        <f t="shared" si="275"/>
        <v>0</v>
      </c>
      <c r="CU188" s="409">
        <f t="shared" ref="CU188:DD197" si="276">IF(ISNA(CU$7),"",IF(OR(AND(CU$7&lt;=$N188,CU$7&gt;$N188-TIME(0,TimeIncr,0)),AND(CU$7&lt;=$P188,CU$7&gt;$P188-TIME(0,TimeIncr,0)),AND(CU$7&lt;=$R188,CU$7&gt;$R188-TIME(0,TimeIncr,0)),AND(CU$7&lt;=$T188,CU$7&gt;$T188-TIME(0,TimeIncr,0)),AND(CU$7&lt;=$V188,CU$7&gt;$V188-TIME(0,TimeIncr,0)),AND(CU$7&lt;=$X188,CU$7&gt;$X188-TIME(0,TimeIncr,0))),$E188*$L188,IF(OR(AND(CU$7&gt;=$M188,CU$7&lt;=$N188),AND(CU$7&gt;=$O188,CU$7&lt;=$P188),AND(CU$7&gt;=$Q188,CU$7&lt;=$R188),AND(CU$7&gt;=$S188,CU$7&lt;=$T188),AND(CU$7&gt;=$U188,CU$7&lt;=$V188),AND(CU$7&gt;=$W188,CU$7&lt;=$X188)),0,IF(OR(AND($M188&gt;$N188,CU$7&lt;=$N188),AND($O188&gt;$P188,CU$7&lt;=$P188),AND($Q188&gt;$R188,CU$7&lt;=$R188),AND($S188&gt;$T188,CU$7&lt;=$T188),AND($U188&gt;$V188,CU$7&lt;=$V188),AND($W188&gt;$X188,CU$7&lt;=$X188)),0,IF(OR(AND(CU$7&gt;=$M188,$M188&gt;$N188),AND(CU$7&gt;=$O188,$O188&gt;$P188),AND(CU$7&gt;=$Q188,$Q188&gt;$R188),AND(CU$7&gt;=$S188,$S188&gt;$T188),AND(CU$7&gt;=$U188,$U188&gt;$V188),AND(CU$7&gt;=$W188,$W188&gt;$X188)),0,$E188)))))</f>
        <v>0</v>
      </c>
      <c r="CV188" s="409">
        <f t="shared" si="276"/>
        <v>0</v>
      </c>
      <c r="CW188" s="409">
        <f t="shared" si="276"/>
        <v>0</v>
      </c>
      <c r="CX188" s="409">
        <f t="shared" si="276"/>
        <v>0</v>
      </c>
      <c r="CY188" s="409">
        <f t="shared" si="276"/>
        <v>0</v>
      </c>
      <c r="CZ188" s="409">
        <f t="shared" si="276"/>
        <v>0</v>
      </c>
      <c r="DA188" s="409">
        <f t="shared" si="276"/>
        <v>0</v>
      </c>
      <c r="DB188" s="409">
        <f t="shared" si="276"/>
        <v>0</v>
      </c>
      <c r="DC188" s="409">
        <f t="shared" si="276"/>
        <v>0</v>
      </c>
      <c r="DD188" s="409">
        <f t="shared" si="276"/>
        <v>0</v>
      </c>
      <c r="DE188" s="409">
        <f t="shared" ref="DE188:DN197" si="277">IF(ISNA(DE$7),"",IF(OR(AND(DE$7&lt;=$N188,DE$7&gt;$N188-TIME(0,TimeIncr,0)),AND(DE$7&lt;=$P188,DE$7&gt;$P188-TIME(0,TimeIncr,0)),AND(DE$7&lt;=$R188,DE$7&gt;$R188-TIME(0,TimeIncr,0)),AND(DE$7&lt;=$T188,DE$7&gt;$T188-TIME(0,TimeIncr,0)),AND(DE$7&lt;=$V188,DE$7&gt;$V188-TIME(0,TimeIncr,0)),AND(DE$7&lt;=$X188,DE$7&gt;$X188-TIME(0,TimeIncr,0))),$E188*$L188,IF(OR(AND(DE$7&gt;=$M188,DE$7&lt;=$N188),AND(DE$7&gt;=$O188,DE$7&lt;=$P188),AND(DE$7&gt;=$Q188,DE$7&lt;=$R188),AND(DE$7&gt;=$S188,DE$7&lt;=$T188),AND(DE$7&gt;=$U188,DE$7&lt;=$V188),AND(DE$7&gt;=$W188,DE$7&lt;=$X188)),0,IF(OR(AND($M188&gt;$N188,DE$7&lt;=$N188),AND($O188&gt;$P188,DE$7&lt;=$P188),AND($Q188&gt;$R188,DE$7&lt;=$R188),AND($S188&gt;$T188,DE$7&lt;=$T188),AND($U188&gt;$V188,DE$7&lt;=$V188),AND($W188&gt;$X188,DE$7&lt;=$X188)),0,IF(OR(AND(DE$7&gt;=$M188,$M188&gt;$N188),AND(DE$7&gt;=$O188,$O188&gt;$P188),AND(DE$7&gt;=$Q188,$Q188&gt;$R188),AND(DE$7&gt;=$S188,$S188&gt;$T188),AND(DE$7&gt;=$U188,$U188&gt;$V188),AND(DE$7&gt;=$W188,$W188&gt;$X188)),0,$E188)))))</f>
        <v>0</v>
      </c>
      <c r="DF188" s="409">
        <f t="shared" si="277"/>
        <v>0</v>
      </c>
      <c r="DG188" s="409">
        <f t="shared" si="277"/>
        <v>0</v>
      </c>
      <c r="DH188" s="409">
        <f t="shared" si="277"/>
        <v>0</v>
      </c>
      <c r="DI188" s="409">
        <f t="shared" si="277"/>
        <v>0</v>
      </c>
      <c r="DJ188" s="409">
        <f t="shared" si="277"/>
        <v>0</v>
      </c>
      <c r="DK188" s="409">
        <f t="shared" si="277"/>
        <v>0</v>
      </c>
      <c r="DL188" s="409">
        <f t="shared" si="277"/>
        <v>0</v>
      </c>
      <c r="DM188" s="409">
        <f t="shared" si="277"/>
        <v>0</v>
      </c>
      <c r="DN188" s="409">
        <f t="shared" si="277"/>
        <v>0</v>
      </c>
      <c r="DO188" s="409">
        <f t="shared" ref="DO188:DX197" si="278">IF(ISNA(DO$7),"",IF(OR(AND(DO$7&lt;=$N188,DO$7&gt;$N188-TIME(0,TimeIncr,0)),AND(DO$7&lt;=$P188,DO$7&gt;$P188-TIME(0,TimeIncr,0)),AND(DO$7&lt;=$R188,DO$7&gt;$R188-TIME(0,TimeIncr,0)),AND(DO$7&lt;=$T188,DO$7&gt;$T188-TIME(0,TimeIncr,0)),AND(DO$7&lt;=$V188,DO$7&gt;$V188-TIME(0,TimeIncr,0)),AND(DO$7&lt;=$X188,DO$7&gt;$X188-TIME(0,TimeIncr,0))),$E188*$L188,IF(OR(AND(DO$7&gt;=$M188,DO$7&lt;=$N188),AND(DO$7&gt;=$O188,DO$7&lt;=$P188),AND(DO$7&gt;=$Q188,DO$7&lt;=$R188),AND(DO$7&gt;=$S188,DO$7&lt;=$T188),AND(DO$7&gt;=$U188,DO$7&lt;=$V188),AND(DO$7&gt;=$W188,DO$7&lt;=$X188)),0,IF(OR(AND($M188&gt;$N188,DO$7&lt;=$N188),AND($O188&gt;$P188,DO$7&lt;=$P188),AND($Q188&gt;$R188,DO$7&lt;=$R188),AND($S188&gt;$T188,DO$7&lt;=$T188),AND($U188&gt;$V188,DO$7&lt;=$V188),AND($W188&gt;$X188,DO$7&lt;=$X188)),0,IF(OR(AND(DO$7&gt;=$M188,$M188&gt;$N188),AND(DO$7&gt;=$O188,$O188&gt;$P188),AND(DO$7&gt;=$Q188,$Q188&gt;$R188),AND(DO$7&gt;=$S188,$S188&gt;$T188),AND(DO$7&gt;=$U188,$U188&gt;$V188),AND(DO$7&gt;=$W188,$W188&gt;$X188)),0,$E188)))))</f>
        <v>0</v>
      </c>
      <c r="DP188" s="409">
        <f t="shared" si="278"/>
        <v>0</v>
      </c>
      <c r="DQ188" s="409">
        <f t="shared" si="278"/>
        <v>0</v>
      </c>
      <c r="DR188" s="409">
        <f t="shared" si="278"/>
        <v>0</v>
      </c>
      <c r="DS188" s="409">
        <f t="shared" si="278"/>
        <v>0</v>
      </c>
      <c r="DT188" s="409">
        <f t="shared" si="278"/>
        <v>0</v>
      </c>
      <c r="DU188" s="409">
        <f t="shared" si="278"/>
        <v>0</v>
      </c>
      <c r="DV188" s="409">
        <f t="shared" si="278"/>
        <v>0</v>
      </c>
      <c r="DW188" s="409">
        <f t="shared" si="278"/>
        <v>0</v>
      </c>
      <c r="DX188" s="409">
        <f t="shared" si="278"/>
        <v>0</v>
      </c>
      <c r="DY188" s="409">
        <f t="shared" ref="DY188:EH197" si="279">IF(ISNA(DY$7),"",IF(OR(AND(DY$7&lt;=$N188,DY$7&gt;$N188-TIME(0,TimeIncr,0)),AND(DY$7&lt;=$P188,DY$7&gt;$P188-TIME(0,TimeIncr,0)),AND(DY$7&lt;=$R188,DY$7&gt;$R188-TIME(0,TimeIncr,0)),AND(DY$7&lt;=$T188,DY$7&gt;$T188-TIME(0,TimeIncr,0)),AND(DY$7&lt;=$V188,DY$7&gt;$V188-TIME(0,TimeIncr,0)),AND(DY$7&lt;=$X188,DY$7&gt;$X188-TIME(0,TimeIncr,0))),$E188*$L188,IF(OR(AND(DY$7&gt;=$M188,DY$7&lt;=$N188),AND(DY$7&gt;=$O188,DY$7&lt;=$P188),AND(DY$7&gt;=$Q188,DY$7&lt;=$R188),AND(DY$7&gt;=$S188,DY$7&lt;=$T188),AND(DY$7&gt;=$U188,DY$7&lt;=$V188),AND(DY$7&gt;=$W188,DY$7&lt;=$X188)),0,IF(OR(AND($M188&gt;$N188,DY$7&lt;=$N188),AND($O188&gt;$P188,DY$7&lt;=$P188),AND($Q188&gt;$R188,DY$7&lt;=$R188),AND($S188&gt;$T188,DY$7&lt;=$T188),AND($U188&gt;$V188,DY$7&lt;=$V188),AND($W188&gt;$X188,DY$7&lt;=$X188)),0,IF(OR(AND(DY$7&gt;=$M188,$M188&gt;$N188),AND(DY$7&gt;=$O188,$O188&gt;$P188),AND(DY$7&gt;=$Q188,$Q188&gt;$R188),AND(DY$7&gt;=$S188,$S188&gt;$T188),AND(DY$7&gt;=$U188,$U188&gt;$V188),AND(DY$7&gt;=$W188,$W188&gt;$X188)),0,$E188)))))</f>
        <v>0</v>
      </c>
      <c r="DZ188" s="409">
        <f t="shared" si="279"/>
        <v>0</v>
      </c>
      <c r="EA188" s="409">
        <f t="shared" si="279"/>
        <v>0</v>
      </c>
      <c r="EB188" s="409">
        <f t="shared" si="279"/>
        <v>0</v>
      </c>
      <c r="EC188" s="409">
        <f t="shared" si="279"/>
        <v>0</v>
      </c>
      <c r="ED188" s="409">
        <f t="shared" si="279"/>
        <v>0</v>
      </c>
      <c r="EE188" s="409">
        <f t="shared" si="279"/>
        <v>0</v>
      </c>
      <c r="EF188" s="409">
        <f t="shared" si="279"/>
        <v>0</v>
      </c>
      <c r="EG188" s="409">
        <f t="shared" si="279"/>
        <v>0</v>
      </c>
      <c r="EH188" s="409">
        <f t="shared" si="279"/>
        <v>0</v>
      </c>
      <c r="EI188" s="409">
        <f t="shared" ref="EI188:ER197" si="280">IF(ISNA(EI$7),"",IF(OR(AND(EI$7&lt;=$N188,EI$7&gt;$N188-TIME(0,TimeIncr,0)),AND(EI$7&lt;=$P188,EI$7&gt;$P188-TIME(0,TimeIncr,0)),AND(EI$7&lt;=$R188,EI$7&gt;$R188-TIME(0,TimeIncr,0)),AND(EI$7&lt;=$T188,EI$7&gt;$T188-TIME(0,TimeIncr,0)),AND(EI$7&lt;=$V188,EI$7&gt;$V188-TIME(0,TimeIncr,0)),AND(EI$7&lt;=$X188,EI$7&gt;$X188-TIME(0,TimeIncr,0))),$E188*$L188,IF(OR(AND(EI$7&gt;=$M188,EI$7&lt;=$N188),AND(EI$7&gt;=$O188,EI$7&lt;=$P188),AND(EI$7&gt;=$Q188,EI$7&lt;=$R188),AND(EI$7&gt;=$S188,EI$7&lt;=$T188),AND(EI$7&gt;=$U188,EI$7&lt;=$V188),AND(EI$7&gt;=$W188,EI$7&lt;=$X188)),0,IF(OR(AND($M188&gt;$N188,EI$7&lt;=$N188),AND($O188&gt;$P188,EI$7&lt;=$P188),AND($Q188&gt;$R188,EI$7&lt;=$R188),AND($S188&gt;$T188,EI$7&lt;=$T188),AND($U188&gt;$V188,EI$7&lt;=$V188),AND($W188&gt;$X188,EI$7&lt;=$X188)),0,IF(OR(AND(EI$7&gt;=$M188,$M188&gt;$N188),AND(EI$7&gt;=$O188,$O188&gt;$P188),AND(EI$7&gt;=$Q188,$Q188&gt;$R188),AND(EI$7&gt;=$S188,$S188&gt;$T188),AND(EI$7&gt;=$U188,$U188&gt;$V188),AND(EI$7&gt;=$W188,$W188&gt;$X188)),0,$E188)))))</f>
        <v>0</v>
      </c>
      <c r="EJ188" s="409">
        <f t="shared" si="280"/>
        <v>0</v>
      </c>
      <c r="EK188" s="409">
        <f t="shared" si="280"/>
        <v>0</v>
      </c>
      <c r="EL188" s="409">
        <f t="shared" si="280"/>
        <v>0</v>
      </c>
      <c r="EM188" s="409">
        <f t="shared" si="280"/>
        <v>0</v>
      </c>
      <c r="EN188" s="409">
        <f t="shared" si="280"/>
        <v>0</v>
      </c>
      <c r="EO188" s="409">
        <f t="shared" si="280"/>
        <v>0</v>
      </c>
      <c r="EP188" s="409">
        <f t="shared" si="280"/>
        <v>0</v>
      </c>
      <c r="EQ188" s="409">
        <f t="shared" si="280"/>
        <v>0</v>
      </c>
      <c r="ER188" s="409">
        <f t="shared" si="280"/>
        <v>0</v>
      </c>
      <c r="ES188" s="409">
        <f t="shared" ref="ES188:FB197" si="281">IF(ISNA(ES$7),"",IF(OR(AND(ES$7&lt;=$N188,ES$7&gt;$N188-TIME(0,TimeIncr,0)),AND(ES$7&lt;=$P188,ES$7&gt;$P188-TIME(0,TimeIncr,0)),AND(ES$7&lt;=$R188,ES$7&gt;$R188-TIME(0,TimeIncr,0)),AND(ES$7&lt;=$T188,ES$7&gt;$T188-TIME(0,TimeIncr,0)),AND(ES$7&lt;=$V188,ES$7&gt;$V188-TIME(0,TimeIncr,0)),AND(ES$7&lt;=$X188,ES$7&gt;$X188-TIME(0,TimeIncr,0))),$E188*$L188,IF(OR(AND(ES$7&gt;=$M188,ES$7&lt;=$N188),AND(ES$7&gt;=$O188,ES$7&lt;=$P188),AND(ES$7&gt;=$Q188,ES$7&lt;=$R188),AND(ES$7&gt;=$S188,ES$7&lt;=$T188),AND(ES$7&gt;=$U188,ES$7&lt;=$V188),AND(ES$7&gt;=$W188,ES$7&lt;=$X188)),0,IF(OR(AND($M188&gt;$N188,ES$7&lt;=$N188),AND($O188&gt;$P188,ES$7&lt;=$P188),AND($Q188&gt;$R188,ES$7&lt;=$R188),AND($S188&gt;$T188,ES$7&lt;=$T188),AND($U188&gt;$V188,ES$7&lt;=$V188),AND($W188&gt;$X188,ES$7&lt;=$X188)),0,IF(OR(AND(ES$7&gt;=$M188,$M188&gt;$N188),AND(ES$7&gt;=$O188,$O188&gt;$P188),AND(ES$7&gt;=$Q188,$Q188&gt;$R188),AND(ES$7&gt;=$S188,$S188&gt;$T188),AND(ES$7&gt;=$U188,$U188&gt;$V188),AND(ES$7&gt;=$W188,$W188&gt;$X188)),0,$E188)))))</f>
        <v>0</v>
      </c>
      <c r="ET188" s="409">
        <f t="shared" si="281"/>
        <v>0</v>
      </c>
      <c r="EU188" s="409">
        <f t="shared" si="281"/>
        <v>0</v>
      </c>
      <c r="EV188" s="409">
        <f t="shared" si="281"/>
        <v>0</v>
      </c>
      <c r="EW188" s="409">
        <f t="shared" si="281"/>
        <v>0</v>
      </c>
      <c r="EX188" s="409">
        <f t="shared" si="281"/>
        <v>0</v>
      </c>
      <c r="EY188" s="409">
        <f t="shared" si="281"/>
        <v>0</v>
      </c>
      <c r="EZ188" s="409">
        <f t="shared" si="281"/>
        <v>0</v>
      </c>
      <c r="FA188" s="409">
        <f t="shared" si="281"/>
        <v>0</v>
      </c>
      <c r="FB188" s="409">
        <f t="shared" si="281"/>
        <v>0</v>
      </c>
      <c r="FC188" s="409">
        <f t="shared" ref="FC188:FL197" si="282">IF(ISNA(FC$7),"",IF(OR(AND(FC$7&lt;=$N188,FC$7&gt;$N188-TIME(0,TimeIncr,0)),AND(FC$7&lt;=$P188,FC$7&gt;$P188-TIME(0,TimeIncr,0)),AND(FC$7&lt;=$R188,FC$7&gt;$R188-TIME(0,TimeIncr,0)),AND(FC$7&lt;=$T188,FC$7&gt;$T188-TIME(0,TimeIncr,0)),AND(FC$7&lt;=$V188,FC$7&gt;$V188-TIME(0,TimeIncr,0)),AND(FC$7&lt;=$X188,FC$7&gt;$X188-TIME(0,TimeIncr,0))),$E188*$L188,IF(OR(AND(FC$7&gt;=$M188,FC$7&lt;=$N188),AND(FC$7&gt;=$O188,FC$7&lt;=$P188),AND(FC$7&gt;=$Q188,FC$7&lt;=$R188),AND(FC$7&gt;=$S188,FC$7&lt;=$T188),AND(FC$7&gt;=$U188,FC$7&lt;=$V188),AND(FC$7&gt;=$W188,FC$7&lt;=$X188)),0,IF(OR(AND($M188&gt;$N188,FC$7&lt;=$N188),AND($O188&gt;$P188,FC$7&lt;=$P188),AND($Q188&gt;$R188,FC$7&lt;=$R188),AND($S188&gt;$T188,FC$7&lt;=$T188),AND($U188&gt;$V188,FC$7&lt;=$V188),AND($W188&gt;$X188,FC$7&lt;=$X188)),0,IF(OR(AND(FC$7&gt;=$M188,$M188&gt;$N188),AND(FC$7&gt;=$O188,$O188&gt;$P188),AND(FC$7&gt;=$Q188,$Q188&gt;$R188),AND(FC$7&gt;=$S188,$S188&gt;$T188),AND(FC$7&gt;=$U188,$U188&gt;$V188),AND(FC$7&gt;=$W188,$W188&gt;$X188)),0,$E188)))))</f>
        <v>0</v>
      </c>
      <c r="FD188" s="409">
        <f t="shared" si="282"/>
        <v>0</v>
      </c>
      <c r="FE188" s="409">
        <f t="shared" si="282"/>
        <v>0</v>
      </c>
      <c r="FF188" s="409">
        <f t="shared" si="282"/>
        <v>0</v>
      </c>
      <c r="FG188" s="409">
        <f t="shared" si="282"/>
        <v>0</v>
      </c>
      <c r="FH188" s="409">
        <f t="shared" si="282"/>
        <v>0</v>
      </c>
      <c r="FI188" s="409">
        <f t="shared" si="282"/>
        <v>0</v>
      </c>
      <c r="FJ188" s="409">
        <f t="shared" si="282"/>
        <v>0</v>
      </c>
      <c r="FK188" s="409">
        <f t="shared" si="282"/>
        <v>0</v>
      </c>
      <c r="FL188" s="409">
        <f t="shared" si="282"/>
        <v>0</v>
      </c>
      <c r="FM188" s="409">
        <f t="shared" ref="FM188:FV197" si="283">IF(ISNA(FM$7),"",IF(OR(AND(FM$7&lt;=$N188,FM$7&gt;$N188-TIME(0,TimeIncr,0)),AND(FM$7&lt;=$P188,FM$7&gt;$P188-TIME(0,TimeIncr,0)),AND(FM$7&lt;=$R188,FM$7&gt;$R188-TIME(0,TimeIncr,0)),AND(FM$7&lt;=$T188,FM$7&gt;$T188-TIME(0,TimeIncr,0)),AND(FM$7&lt;=$V188,FM$7&gt;$V188-TIME(0,TimeIncr,0)),AND(FM$7&lt;=$X188,FM$7&gt;$X188-TIME(0,TimeIncr,0))),$E188*$L188,IF(OR(AND(FM$7&gt;=$M188,FM$7&lt;=$N188),AND(FM$7&gt;=$O188,FM$7&lt;=$P188),AND(FM$7&gt;=$Q188,FM$7&lt;=$R188),AND(FM$7&gt;=$S188,FM$7&lt;=$T188),AND(FM$7&gt;=$U188,FM$7&lt;=$V188),AND(FM$7&gt;=$W188,FM$7&lt;=$X188)),0,IF(OR(AND($M188&gt;$N188,FM$7&lt;=$N188),AND($O188&gt;$P188,FM$7&lt;=$P188),AND($Q188&gt;$R188,FM$7&lt;=$R188),AND($S188&gt;$T188,FM$7&lt;=$T188),AND($U188&gt;$V188,FM$7&lt;=$V188),AND($W188&gt;$X188,FM$7&lt;=$X188)),0,IF(OR(AND(FM$7&gt;=$M188,$M188&gt;$N188),AND(FM$7&gt;=$O188,$O188&gt;$P188),AND(FM$7&gt;=$Q188,$Q188&gt;$R188),AND(FM$7&gt;=$S188,$S188&gt;$T188),AND(FM$7&gt;=$U188,$U188&gt;$V188),AND(FM$7&gt;=$W188,$W188&gt;$X188)),0,$E188)))))</f>
        <v>0</v>
      </c>
      <c r="FN188" s="409">
        <f t="shared" si="283"/>
        <v>0</v>
      </c>
      <c r="FO188" s="409">
        <f t="shared" si="283"/>
        <v>0</v>
      </c>
      <c r="FP188" s="409">
        <f t="shared" si="283"/>
        <v>0</v>
      </c>
      <c r="FQ188" s="409">
        <f t="shared" si="283"/>
        <v>0</v>
      </c>
      <c r="FR188" s="409">
        <f t="shared" si="283"/>
        <v>0</v>
      </c>
      <c r="FS188" s="409">
        <f t="shared" si="283"/>
        <v>0</v>
      </c>
      <c r="FT188" s="409">
        <f t="shared" si="283"/>
        <v>0</v>
      </c>
      <c r="FU188" s="409">
        <f t="shared" si="283"/>
        <v>0</v>
      </c>
      <c r="FV188" s="409">
        <f t="shared" si="283"/>
        <v>0</v>
      </c>
      <c r="FW188" s="409">
        <f t="shared" ref="FW188:GF197" si="284">IF(ISNA(FW$7),"",IF(OR(AND(FW$7&lt;=$N188,FW$7&gt;$N188-TIME(0,TimeIncr,0)),AND(FW$7&lt;=$P188,FW$7&gt;$P188-TIME(0,TimeIncr,0)),AND(FW$7&lt;=$R188,FW$7&gt;$R188-TIME(0,TimeIncr,0)),AND(FW$7&lt;=$T188,FW$7&gt;$T188-TIME(0,TimeIncr,0)),AND(FW$7&lt;=$V188,FW$7&gt;$V188-TIME(0,TimeIncr,0)),AND(FW$7&lt;=$X188,FW$7&gt;$X188-TIME(0,TimeIncr,0))),$E188*$L188,IF(OR(AND(FW$7&gt;=$M188,FW$7&lt;=$N188),AND(FW$7&gt;=$O188,FW$7&lt;=$P188),AND(FW$7&gt;=$Q188,FW$7&lt;=$R188),AND(FW$7&gt;=$S188,FW$7&lt;=$T188),AND(FW$7&gt;=$U188,FW$7&lt;=$V188),AND(FW$7&gt;=$W188,FW$7&lt;=$X188)),0,IF(OR(AND($M188&gt;$N188,FW$7&lt;=$N188),AND($O188&gt;$P188,FW$7&lt;=$P188),AND($Q188&gt;$R188,FW$7&lt;=$R188),AND($S188&gt;$T188,FW$7&lt;=$T188),AND($U188&gt;$V188,FW$7&lt;=$V188),AND($W188&gt;$X188,FW$7&lt;=$X188)),0,IF(OR(AND(FW$7&gt;=$M188,$M188&gt;$N188),AND(FW$7&gt;=$O188,$O188&gt;$P188),AND(FW$7&gt;=$Q188,$Q188&gt;$R188),AND(FW$7&gt;=$S188,$S188&gt;$T188),AND(FW$7&gt;=$U188,$U188&gt;$V188),AND(FW$7&gt;=$W188,$W188&gt;$X188)),0,$E188)))))</f>
        <v>0</v>
      </c>
      <c r="FX188" s="409">
        <f t="shared" si="284"/>
        <v>0</v>
      </c>
      <c r="FY188" s="409">
        <f t="shared" si="284"/>
        <v>0</v>
      </c>
      <c r="FZ188" s="409">
        <f t="shared" si="284"/>
        <v>0</v>
      </c>
      <c r="GA188" s="409">
        <f t="shared" si="284"/>
        <v>0</v>
      </c>
      <c r="GB188" s="409">
        <f t="shared" si="284"/>
        <v>0</v>
      </c>
      <c r="GC188" s="409">
        <f t="shared" si="284"/>
        <v>0</v>
      </c>
      <c r="GD188" s="409">
        <f t="shared" si="284"/>
        <v>0</v>
      </c>
      <c r="GE188" s="409">
        <f t="shared" si="284"/>
        <v>0</v>
      </c>
      <c r="GF188" s="409">
        <f t="shared" si="284"/>
        <v>0</v>
      </c>
      <c r="GG188" s="409">
        <f t="shared" ref="GG188:GP197" si="285">IF(ISNA(GG$7),"",IF(OR(AND(GG$7&lt;=$N188,GG$7&gt;$N188-TIME(0,TimeIncr,0)),AND(GG$7&lt;=$P188,GG$7&gt;$P188-TIME(0,TimeIncr,0)),AND(GG$7&lt;=$R188,GG$7&gt;$R188-TIME(0,TimeIncr,0)),AND(GG$7&lt;=$T188,GG$7&gt;$T188-TIME(0,TimeIncr,0)),AND(GG$7&lt;=$V188,GG$7&gt;$V188-TIME(0,TimeIncr,0)),AND(GG$7&lt;=$X188,GG$7&gt;$X188-TIME(0,TimeIncr,0))),$E188*$L188,IF(OR(AND(GG$7&gt;=$M188,GG$7&lt;=$N188),AND(GG$7&gt;=$O188,GG$7&lt;=$P188),AND(GG$7&gt;=$Q188,GG$7&lt;=$R188),AND(GG$7&gt;=$S188,GG$7&lt;=$T188),AND(GG$7&gt;=$U188,GG$7&lt;=$V188),AND(GG$7&gt;=$W188,GG$7&lt;=$X188)),0,IF(OR(AND($M188&gt;$N188,GG$7&lt;=$N188),AND($O188&gt;$P188,GG$7&lt;=$P188),AND($Q188&gt;$R188,GG$7&lt;=$R188),AND($S188&gt;$T188,GG$7&lt;=$T188),AND($U188&gt;$V188,GG$7&lt;=$V188),AND($W188&gt;$X188,GG$7&lt;=$X188)),0,IF(OR(AND(GG$7&gt;=$M188,$M188&gt;$N188),AND(GG$7&gt;=$O188,$O188&gt;$P188),AND(GG$7&gt;=$Q188,$Q188&gt;$R188),AND(GG$7&gt;=$S188,$S188&gt;$T188),AND(GG$7&gt;=$U188,$U188&gt;$V188),AND(GG$7&gt;=$W188,$W188&gt;$X188)),0,$E188)))))</f>
        <v>0</v>
      </c>
      <c r="GH188" s="409">
        <f t="shared" si="285"/>
        <v>0</v>
      </c>
      <c r="GI188" s="409">
        <f t="shared" si="285"/>
        <v>0</v>
      </c>
      <c r="GJ188" s="409">
        <f t="shared" si="285"/>
        <v>0</v>
      </c>
      <c r="GK188" s="409">
        <f t="shared" si="285"/>
        <v>0</v>
      </c>
      <c r="GL188" s="409">
        <f t="shared" si="285"/>
        <v>0</v>
      </c>
      <c r="GM188" s="409">
        <f t="shared" si="285"/>
        <v>0</v>
      </c>
      <c r="GN188" s="409">
        <f t="shared" si="285"/>
        <v>0</v>
      </c>
      <c r="GO188" s="409">
        <f t="shared" si="285"/>
        <v>0</v>
      </c>
      <c r="GP188" s="409">
        <f t="shared" si="285"/>
        <v>0</v>
      </c>
      <c r="GQ188" s="409">
        <f t="shared" ref="GQ188:GZ197" si="286">IF(ISNA(GQ$7),"",IF(OR(AND(GQ$7&lt;=$N188,GQ$7&gt;$N188-TIME(0,TimeIncr,0)),AND(GQ$7&lt;=$P188,GQ$7&gt;$P188-TIME(0,TimeIncr,0)),AND(GQ$7&lt;=$R188,GQ$7&gt;$R188-TIME(0,TimeIncr,0)),AND(GQ$7&lt;=$T188,GQ$7&gt;$T188-TIME(0,TimeIncr,0)),AND(GQ$7&lt;=$V188,GQ$7&gt;$V188-TIME(0,TimeIncr,0)),AND(GQ$7&lt;=$X188,GQ$7&gt;$X188-TIME(0,TimeIncr,0))),$E188*$L188,IF(OR(AND(GQ$7&gt;=$M188,GQ$7&lt;=$N188),AND(GQ$7&gt;=$O188,GQ$7&lt;=$P188),AND(GQ$7&gt;=$Q188,GQ$7&lt;=$R188),AND(GQ$7&gt;=$S188,GQ$7&lt;=$T188),AND(GQ$7&gt;=$U188,GQ$7&lt;=$V188),AND(GQ$7&gt;=$W188,GQ$7&lt;=$X188)),0,IF(OR(AND($M188&gt;$N188,GQ$7&lt;=$N188),AND($O188&gt;$P188,GQ$7&lt;=$P188),AND($Q188&gt;$R188,GQ$7&lt;=$R188),AND($S188&gt;$T188,GQ$7&lt;=$T188),AND($U188&gt;$V188,GQ$7&lt;=$V188),AND($W188&gt;$X188,GQ$7&lt;=$X188)),0,IF(OR(AND(GQ$7&gt;=$M188,$M188&gt;$N188),AND(GQ$7&gt;=$O188,$O188&gt;$P188),AND(GQ$7&gt;=$Q188,$Q188&gt;$R188),AND(GQ$7&gt;=$S188,$S188&gt;$T188),AND(GQ$7&gt;=$U188,$U188&gt;$V188),AND(GQ$7&gt;=$W188,$W188&gt;$X188)),0,$E188)))))</f>
        <v>0</v>
      </c>
      <c r="GR188" s="409">
        <f t="shared" si="286"/>
        <v>0</v>
      </c>
      <c r="GS188" s="409">
        <f t="shared" si="286"/>
        <v>0</v>
      </c>
      <c r="GT188" s="409">
        <f t="shared" si="286"/>
        <v>0</v>
      </c>
      <c r="GU188" s="409">
        <f t="shared" si="286"/>
        <v>0</v>
      </c>
      <c r="GV188" s="409">
        <f t="shared" si="286"/>
        <v>0</v>
      </c>
      <c r="GW188" s="409">
        <f t="shared" si="286"/>
        <v>0</v>
      </c>
      <c r="GX188" s="409">
        <f t="shared" si="286"/>
        <v>0</v>
      </c>
      <c r="GY188" s="409">
        <f t="shared" si="286"/>
        <v>0</v>
      </c>
      <c r="GZ188" s="409">
        <f t="shared" si="286"/>
        <v>0</v>
      </c>
      <c r="HA188" s="409">
        <f t="shared" ref="HA188:HJ197" si="287">IF(ISNA(HA$7),"",IF(OR(AND(HA$7&lt;=$N188,HA$7&gt;$N188-TIME(0,TimeIncr,0)),AND(HA$7&lt;=$P188,HA$7&gt;$P188-TIME(0,TimeIncr,0)),AND(HA$7&lt;=$R188,HA$7&gt;$R188-TIME(0,TimeIncr,0)),AND(HA$7&lt;=$T188,HA$7&gt;$T188-TIME(0,TimeIncr,0)),AND(HA$7&lt;=$V188,HA$7&gt;$V188-TIME(0,TimeIncr,0)),AND(HA$7&lt;=$X188,HA$7&gt;$X188-TIME(0,TimeIncr,0))),$E188*$L188,IF(OR(AND(HA$7&gt;=$M188,HA$7&lt;=$N188),AND(HA$7&gt;=$O188,HA$7&lt;=$P188),AND(HA$7&gt;=$Q188,HA$7&lt;=$R188),AND(HA$7&gt;=$S188,HA$7&lt;=$T188),AND(HA$7&gt;=$U188,HA$7&lt;=$V188),AND(HA$7&gt;=$W188,HA$7&lt;=$X188)),0,IF(OR(AND($M188&gt;$N188,HA$7&lt;=$N188),AND($O188&gt;$P188,HA$7&lt;=$P188),AND($Q188&gt;$R188,HA$7&lt;=$R188),AND($S188&gt;$T188,HA$7&lt;=$T188),AND($U188&gt;$V188,HA$7&lt;=$V188),AND($W188&gt;$X188,HA$7&lt;=$X188)),0,IF(OR(AND(HA$7&gt;=$M188,$M188&gt;$N188),AND(HA$7&gt;=$O188,$O188&gt;$P188),AND(HA$7&gt;=$Q188,$Q188&gt;$R188),AND(HA$7&gt;=$S188,$S188&gt;$T188),AND(HA$7&gt;=$U188,$U188&gt;$V188),AND(HA$7&gt;=$W188,$W188&gt;$X188)),0,$E188)))))</f>
        <v>0</v>
      </c>
      <c r="HB188" s="409">
        <f t="shared" si="287"/>
        <v>0</v>
      </c>
      <c r="HC188" s="409">
        <f t="shared" si="287"/>
        <v>0</v>
      </c>
      <c r="HD188" s="409">
        <f t="shared" si="287"/>
        <v>0</v>
      </c>
      <c r="HE188" s="409">
        <f t="shared" si="287"/>
        <v>0</v>
      </c>
      <c r="HF188" s="409">
        <f t="shared" si="287"/>
        <v>0</v>
      </c>
      <c r="HG188" s="409">
        <f t="shared" si="287"/>
        <v>0</v>
      </c>
      <c r="HH188" s="409">
        <f t="shared" si="287"/>
        <v>0</v>
      </c>
      <c r="HI188" s="409">
        <f t="shared" si="287"/>
        <v>0</v>
      </c>
      <c r="HJ188" s="409">
        <f t="shared" si="287"/>
        <v>0</v>
      </c>
      <c r="HK188" s="409">
        <f t="shared" ref="HK188:HT197" si="288">IF(ISNA(HK$7),"",IF(OR(AND(HK$7&lt;=$N188,HK$7&gt;$N188-TIME(0,TimeIncr,0)),AND(HK$7&lt;=$P188,HK$7&gt;$P188-TIME(0,TimeIncr,0)),AND(HK$7&lt;=$R188,HK$7&gt;$R188-TIME(0,TimeIncr,0)),AND(HK$7&lt;=$T188,HK$7&gt;$T188-TIME(0,TimeIncr,0)),AND(HK$7&lt;=$V188,HK$7&gt;$V188-TIME(0,TimeIncr,0)),AND(HK$7&lt;=$X188,HK$7&gt;$X188-TIME(0,TimeIncr,0))),$E188*$L188,IF(OR(AND(HK$7&gt;=$M188,HK$7&lt;=$N188),AND(HK$7&gt;=$O188,HK$7&lt;=$P188),AND(HK$7&gt;=$Q188,HK$7&lt;=$R188),AND(HK$7&gt;=$S188,HK$7&lt;=$T188),AND(HK$7&gt;=$U188,HK$7&lt;=$V188),AND(HK$7&gt;=$W188,HK$7&lt;=$X188)),0,IF(OR(AND($M188&gt;$N188,HK$7&lt;=$N188),AND($O188&gt;$P188,HK$7&lt;=$P188),AND($Q188&gt;$R188,HK$7&lt;=$R188),AND($S188&gt;$T188,HK$7&lt;=$T188),AND($U188&gt;$V188,HK$7&lt;=$V188),AND($W188&gt;$X188,HK$7&lt;=$X188)),0,IF(OR(AND(HK$7&gt;=$M188,$M188&gt;$N188),AND(HK$7&gt;=$O188,$O188&gt;$P188),AND(HK$7&gt;=$Q188,$Q188&gt;$R188),AND(HK$7&gt;=$S188,$S188&gt;$T188),AND(HK$7&gt;=$U188,$U188&gt;$V188),AND(HK$7&gt;=$W188,$W188&gt;$X188)),0,$E188)))))</f>
        <v>0</v>
      </c>
      <c r="HL188" s="409">
        <f t="shared" si="288"/>
        <v>0</v>
      </c>
      <c r="HM188" s="409">
        <f t="shared" si="288"/>
        <v>0</v>
      </c>
      <c r="HN188" s="409">
        <f t="shared" si="288"/>
        <v>0</v>
      </c>
      <c r="HO188" s="409">
        <f t="shared" si="288"/>
        <v>0</v>
      </c>
      <c r="HP188" s="409">
        <f t="shared" si="288"/>
        <v>0</v>
      </c>
      <c r="HQ188" s="409">
        <f t="shared" si="288"/>
        <v>0</v>
      </c>
      <c r="HR188" s="409">
        <f t="shared" si="288"/>
        <v>0</v>
      </c>
      <c r="HS188" s="409">
        <f t="shared" si="288"/>
        <v>0</v>
      </c>
      <c r="HT188" s="409">
        <f t="shared" si="288"/>
        <v>0</v>
      </c>
      <c r="HU188" s="409">
        <f t="shared" ref="HU188:ID197" si="289">IF(ISNA(HU$7),"",IF(OR(AND(HU$7&lt;=$N188,HU$7&gt;$N188-TIME(0,TimeIncr,0)),AND(HU$7&lt;=$P188,HU$7&gt;$P188-TIME(0,TimeIncr,0)),AND(HU$7&lt;=$R188,HU$7&gt;$R188-TIME(0,TimeIncr,0)),AND(HU$7&lt;=$T188,HU$7&gt;$T188-TIME(0,TimeIncr,0)),AND(HU$7&lt;=$V188,HU$7&gt;$V188-TIME(0,TimeIncr,0)),AND(HU$7&lt;=$X188,HU$7&gt;$X188-TIME(0,TimeIncr,0))),$E188*$L188,IF(OR(AND(HU$7&gt;=$M188,HU$7&lt;=$N188),AND(HU$7&gt;=$O188,HU$7&lt;=$P188),AND(HU$7&gt;=$Q188,HU$7&lt;=$R188),AND(HU$7&gt;=$S188,HU$7&lt;=$T188),AND(HU$7&gt;=$U188,HU$7&lt;=$V188),AND(HU$7&gt;=$W188,HU$7&lt;=$X188)),0,IF(OR(AND($M188&gt;$N188,HU$7&lt;=$N188),AND($O188&gt;$P188,HU$7&lt;=$P188),AND($Q188&gt;$R188,HU$7&lt;=$R188),AND($S188&gt;$T188,HU$7&lt;=$T188),AND($U188&gt;$V188,HU$7&lt;=$V188),AND($W188&gt;$X188,HU$7&lt;=$X188)),0,IF(OR(AND(HU$7&gt;=$M188,$M188&gt;$N188),AND(HU$7&gt;=$O188,$O188&gt;$P188),AND(HU$7&gt;=$Q188,$Q188&gt;$R188),AND(HU$7&gt;=$S188,$S188&gt;$T188),AND(HU$7&gt;=$U188,$U188&gt;$V188),AND(HU$7&gt;=$W188,$W188&gt;$X188)),0,$E188)))))</f>
        <v>0</v>
      </c>
      <c r="HV188" s="409">
        <f t="shared" si="289"/>
        <v>0</v>
      </c>
      <c r="HW188" s="409">
        <f t="shared" si="289"/>
        <v>0</v>
      </c>
      <c r="HX188" s="409">
        <f t="shared" si="289"/>
        <v>0</v>
      </c>
      <c r="HY188" s="409">
        <f t="shared" si="289"/>
        <v>0</v>
      </c>
      <c r="HZ188" s="409">
        <f t="shared" si="289"/>
        <v>0</v>
      </c>
      <c r="IA188" s="409">
        <f t="shared" si="289"/>
        <v>0</v>
      </c>
      <c r="IB188" s="409">
        <f t="shared" si="289"/>
        <v>0</v>
      </c>
      <c r="IC188" s="409">
        <f t="shared" si="289"/>
        <v>0</v>
      </c>
      <c r="ID188" s="409">
        <f t="shared" si="289"/>
        <v>0</v>
      </c>
      <c r="IE188" s="409">
        <f t="shared" ref="IE188:IJ197" si="290">IF(ISNA(IE$7),"",IF(OR(AND(IE$7&lt;=$N188,IE$7&gt;$N188-TIME(0,TimeIncr,0)),AND(IE$7&lt;=$P188,IE$7&gt;$P188-TIME(0,TimeIncr,0)),AND(IE$7&lt;=$R188,IE$7&gt;$R188-TIME(0,TimeIncr,0)),AND(IE$7&lt;=$T188,IE$7&gt;$T188-TIME(0,TimeIncr,0)),AND(IE$7&lt;=$V188,IE$7&gt;$V188-TIME(0,TimeIncr,0)),AND(IE$7&lt;=$X188,IE$7&gt;$X188-TIME(0,TimeIncr,0))),$E188*$L188,IF(OR(AND(IE$7&gt;=$M188,IE$7&lt;=$N188),AND(IE$7&gt;=$O188,IE$7&lt;=$P188),AND(IE$7&gt;=$Q188,IE$7&lt;=$R188),AND(IE$7&gt;=$S188,IE$7&lt;=$T188),AND(IE$7&gt;=$U188,IE$7&lt;=$V188),AND(IE$7&gt;=$W188,IE$7&lt;=$X188)),0,IF(OR(AND($M188&gt;$N188,IE$7&lt;=$N188),AND($O188&gt;$P188,IE$7&lt;=$P188),AND($Q188&gt;$R188,IE$7&lt;=$R188),AND($S188&gt;$T188,IE$7&lt;=$T188),AND($U188&gt;$V188,IE$7&lt;=$V188),AND($W188&gt;$X188,IE$7&lt;=$X188)),0,IF(OR(AND(IE$7&gt;=$M188,$M188&gt;$N188),AND(IE$7&gt;=$O188,$O188&gt;$P188),AND(IE$7&gt;=$Q188,$Q188&gt;$R188),AND(IE$7&gt;=$S188,$S188&gt;$T188),AND(IE$7&gt;=$U188,$U188&gt;$V188),AND(IE$7&gt;=$W188,$W188&gt;$X188)),0,$E188)))))</f>
        <v>0</v>
      </c>
      <c r="IF188" s="409">
        <f t="shared" si="290"/>
        <v>0</v>
      </c>
      <c r="IG188" s="409">
        <f t="shared" si="290"/>
        <v>0</v>
      </c>
      <c r="IH188" s="409">
        <f t="shared" si="290"/>
        <v>0</v>
      </c>
      <c r="II188" s="409">
        <f t="shared" si="290"/>
        <v>0</v>
      </c>
      <c r="IJ188" s="409">
        <f t="shared" si="290"/>
        <v>0</v>
      </c>
      <c r="IK188" s="378"/>
    </row>
    <row r="189" spans="1:245" hidden="1" x14ac:dyDescent="0.2">
      <c r="A189" s="380" t="str">
        <f t="shared" si="242"/>
        <v>e</v>
      </c>
      <c r="B189" s="712" t="str">
        <f>IF(ISERROR(INDEX('Legend(DX)'!$H$11:$H$12,32)),"",INDEX('Legend(DX)'!$H$11:$H$12,32))</f>
        <v/>
      </c>
      <c r="C189" s="712" t="e">
        <f>IF(INDEX('Legend(DX)'!$T$11:$T$12,32)=0,"See Legend",INDEX('Legend(DX)'!$T$11:$T$12,32))</f>
        <v>#REF!</v>
      </c>
      <c r="D189" s="712" t="e">
        <f>IF(INDEX('Legend(DX)'!$R$11:$R$12,(ROW(C189))-137)=0,IF(AND(INDEX('Legend(DX)'!$D$11:$D$12,(ROW(C189))-136)="CH",INDEX('Legend(DX)'!$F$11:$F$12,(ROW(C189))-136)="CASE - MANUAL"),INDEX('Legend(DX)'!$R$11:$R$12,(ROW(C189))-136),IF(INDEX('Legend(DX)'!$V$11:$V$12,(ROW(C189))-137)&gt;1, "(" &amp; INDEX('Legend(DX)'!$V$11:$V$12,(ROW(C189))-137) &amp; ") " &amp; INDEX('Legend(DX)'!$W$11:$W$12,(ROW(C189))-136),INDEX('Legend(DX)'!$W$11:$W$12,(ROW(C189))-137))),INDEX('Legend(DX)'!$R$11:$R$12,(ROW(C189))-137))</f>
        <v>#REF!</v>
      </c>
      <c r="E189" s="713" t="str">
        <f>IF(ISERROR(INDEX('Legend(DX)'!$AA$11:$AA$12,32)),"",INDEX('Legend(DX)'!$AA$11:$AA$12,32))</f>
        <v/>
      </c>
      <c r="F189" s="715"/>
      <c r="G189" s="715"/>
      <c r="H189" s="715"/>
      <c r="I189" s="715"/>
      <c r="J189" s="715"/>
      <c r="K189" s="890">
        <f t="shared" si="223"/>
        <v>0</v>
      </c>
      <c r="L189" s="718"/>
      <c r="M189" s="723"/>
      <c r="N189" s="972">
        <f t="shared" si="196"/>
        <v>-1</v>
      </c>
      <c r="O189" s="972">
        <f t="shared" si="224"/>
        <v>-1</v>
      </c>
      <c r="P189" s="972">
        <f t="shared" si="197"/>
        <v>-1</v>
      </c>
      <c r="Q189" s="972">
        <f t="shared" si="225"/>
        <v>-1</v>
      </c>
      <c r="R189" s="972">
        <f t="shared" si="198"/>
        <v>-1</v>
      </c>
      <c r="S189" s="972">
        <f t="shared" si="226"/>
        <v>-1</v>
      </c>
      <c r="T189" s="972">
        <f t="shared" si="199"/>
        <v>-1</v>
      </c>
      <c r="U189" s="972">
        <f t="shared" si="227"/>
        <v>-1</v>
      </c>
      <c r="V189" s="972">
        <f t="shared" si="200"/>
        <v>-1</v>
      </c>
      <c r="W189" s="972">
        <f t="shared" si="228"/>
        <v>-1</v>
      </c>
      <c r="X189" s="972">
        <f t="shared" si="201"/>
        <v>-1</v>
      </c>
      <c r="Y189" s="972">
        <f t="shared" si="229"/>
        <v>-1</v>
      </c>
      <c r="Z189" s="972">
        <f t="shared" si="230"/>
        <v>-1</v>
      </c>
      <c r="AA189" s="972">
        <f t="shared" si="231"/>
        <v>-1</v>
      </c>
      <c r="AB189" s="972">
        <f t="shared" si="232"/>
        <v>-1</v>
      </c>
      <c r="AC189" s="972">
        <f t="shared" si="233"/>
        <v>-1</v>
      </c>
      <c r="AD189" s="972">
        <f t="shared" si="234"/>
        <v>-1</v>
      </c>
      <c r="AE189" s="972">
        <f t="shared" si="235"/>
        <v>-1</v>
      </c>
      <c r="AF189" s="972">
        <f t="shared" si="236"/>
        <v>-1</v>
      </c>
      <c r="AG189" s="972">
        <f t="shared" si="237"/>
        <v>-1</v>
      </c>
      <c r="AH189" s="972">
        <f t="shared" si="238"/>
        <v>-1</v>
      </c>
      <c r="AI189" s="972">
        <f t="shared" si="239"/>
        <v>-1</v>
      </c>
      <c r="AJ189" s="972">
        <f t="shared" si="240"/>
        <v>-1</v>
      </c>
      <c r="AK189" s="381"/>
      <c r="AL189" s="727" t="str">
        <f t="shared" si="241"/>
        <v/>
      </c>
      <c r="AM189" s="409">
        <f t="shared" si="270"/>
        <v>0</v>
      </c>
      <c r="AN189" s="409">
        <f t="shared" si="270"/>
        <v>0</v>
      </c>
      <c r="AO189" s="409">
        <f t="shared" si="270"/>
        <v>0</v>
      </c>
      <c r="AP189" s="409">
        <f t="shared" si="270"/>
        <v>0</v>
      </c>
      <c r="AQ189" s="409">
        <f t="shared" si="270"/>
        <v>0</v>
      </c>
      <c r="AR189" s="409">
        <f t="shared" si="270"/>
        <v>0</v>
      </c>
      <c r="AS189" s="409">
        <f t="shared" si="270"/>
        <v>0</v>
      </c>
      <c r="AT189" s="409">
        <f t="shared" si="270"/>
        <v>0</v>
      </c>
      <c r="AU189" s="409">
        <f t="shared" si="270"/>
        <v>0</v>
      </c>
      <c r="AV189" s="409">
        <f t="shared" si="270"/>
        <v>0</v>
      </c>
      <c r="AW189" s="409">
        <f t="shared" si="271"/>
        <v>0</v>
      </c>
      <c r="AX189" s="409">
        <f t="shared" si="271"/>
        <v>0</v>
      </c>
      <c r="AY189" s="409">
        <f t="shared" si="271"/>
        <v>0</v>
      </c>
      <c r="AZ189" s="409">
        <f t="shared" si="271"/>
        <v>0</v>
      </c>
      <c r="BA189" s="409">
        <f t="shared" si="271"/>
        <v>0</v>
      </c>
      <c r="BB189" s="409">
        <f t="shared" si="271"/>
        <v>0</v>
      </c>
      <c r="BC189" s="409">
        <f t="shared" si="271"/>
        <v>0</v>
      </c>
      <c r="BD189" s="409">
        <f t="shared" si="271"/>
        <v>0</v>
      </c>
      <c r="BE189" s="409">
        <f t="shared" si="271"/>
        <v>0</v>
      </c>
      <c r="BF189" s="409">
        <f t="shared" si="271"/>
        <v>0</v>
      </c>
      <c r="BG189" s="409">
        <f t="shared" si="272"/>
        <v>0</v>
      </c>
      <c r="BH189" s="409">
        <f t="shared" si="272"/>
        <v>0</v>
      </c>
      <c r="BI189" s="409">
        <f t="shared" si="272"/>
        <v>0</v>
      </c>
      <c r="BJ189" s="409">
        <f t="shared" si="272"/>
        <v>0</v>
      </c>
      <c r="BK189" s="409">
        <f t="shared" si="272"/>
        <v>0</v>
      </c>
      <c r="BL189" s="409">
        <f t="shared" si="272"/>
        <v>0</v>
      </c>
      <c r="BM189" s="409">
        <f t="shared" si="272"/>
        <v>0</v>
      </c>
      <c r="BN189" s="409">
        <f t="shared" si="272"/>
        <v>0</v>
      </c>
      <c r="BO189" s="409">
        <f t="shared" si="272"/>
        <v>0</v>
      </c>
      <c r="BP189" s="409">
        <f t="shared" si="272"/>
        <v>0</v>
      </c>
      <c r="BQ189" s="409">
        <f t="shared" si="273"/>
        <v>0</v>
      </c>
      <c r="BR189" s="409">
        <f t="shared" si="273"/>
        <v>0</v>
      </c>
      <c r="BS189" s="409">
        <f t="shared" si="273"/>
        <v>0</v>
      </c>
      <c r="BT189" s="409">
        <f t="shared" si="273"/>
        <v>0</v>
      </c>
      <c r="BU189" s="409">
        <f t="shared" si="273"/>
        <v>0</v>
      </c>
      <c r="BV189" s="409">
        <f t="shared" si="273"/>
        <v>0</v>
      </c>
      <c r="BW189" s="409">
        <f t="shared" si="273"/>
        <v>0</v>
      </c>
      <c r="BX189" s="409">
        <f t="shared" si="273"/>
        <v>0</v>
      </c>
      <c r="BY189" s="409">
        <f t="shared" si="273"/>
        <v>0</v>
      </c>
      <c r="BZ189" s="409">
        <f t="shared" si="273"/>
        <v>0</v>
      </c>
      <c r="CA189" s="409">
        <f t="shared" si="274"/>
        <v>0</v>
      </c>
      <c r="CB189" s="409">
        <f t="shared" si="274"/>
        <v>0</v>
      </c>
      <c r="CC189" s="409">
        <f t="shared" si="274"/>
        <v>0</v>
      </c>
      <c r="CD189" s="409">
        <f t="shared" si="274"/>
        <v>0</v>
      </c>
      <c r="CE189" s="409">
        <f t="shared" si="274"/>
        <v>0</v>
      </c>
      <c r="CF189" s="409">
        <f t="shared" si="274"/>
        <v>0</v>
      </c>
      <c r="CG189" s="409">
        <f t="shared" si="274"/>
        <v>0</v>
      </c>
      <c r="CH189" s="409">
        <f t="shared" si="274"/>
        <v>0</v>
      </c>
      <c r="CI189" s="409">
        <f t="shared" si="274"/>
        <v>0</v>
      </c>
      <c r="CJ189" s="409">
        <f t="shared" si="274"/>
        <v>0</v>
      </c>
      <c r="CK189" s="409">
        <f t="shared" si="275"/>
        <v>0</v>
      </c>
      <c r="CL189" s="409">
        <f t="shared" si="275"/>
        <v>0</v>
      </c>
      <c r="CM189" s="409">
        <f t="shared" si="275"/>
        <v>0</v>
      </c>
      <c r="CN189" s="409">
        <f t="shared" si="275"/>
        <v>0</v>
      </c>
      <c r="CO189" s="409">
        <f t="shared" si="275"/>
        <v>0</v>
      </c>
      <c r="CP189" s="409">
        <f t="shared" si="275"/>
        <v>0</v>
      </c>
      <c r="CQ189" s="409">
        <f t="shared" si="275"/>
        <v>0</v>
      </c>
      <c r="CR189" s="409">
        <f t="shared" si="275"/>
        <v>0</v>
      </c>
      <c r="CS189" s="409">
        <f t="shared" si="275"/>
        <v>0</v>
      </c>
      <c r="CT189" s="409">
        <f t="shared" si="275"/>
        <v>0</v>
      </c>
      <c r="CU189" s="409">
        <f t="shared" si="276"/>
        <v>0</v>
      </c>
      <c r="CV189" s="409">
        <f t="shared" si="276"/>
        <v>0</v>
      </c>
      <c r="CW189" s="409">
        <f t="shared" si="276"/>
        <v>0</v>
      </c>
      <c r="CX189" s="409">
        <f t="shared" si="276"/>
        <v>0</v>
      </c>
      <c r="CY189" s="409">
        <f t="shared" si="276"/>
        <v>0</v>
      </c>
      <c r="CZ189" s="409">
        <f t="shared" si="276"/>
        <v>0</v>
      </c>
      <c r="DA189" s="409">
        <f t="shared" si="276"/>
        <v>0</v>
      </c>
      <c r="DB189" s="409">
        <f t="shared" si="276"/>
        <v>0</v>
      </c>
      <c r="DC189" s="409">
        <f t="shared" si="276"/>
        <v>0</v>
      </c>
      <c r="DD189" s="409">
        <f t="shared" si="276"/>
        <v>0</v>
      </c>
      <c r="DE189" s="409">
        <f t="shared" si="277"/>
        <v>0</v>
      </c>
      <c r="DF189" s="409">
        <f t="shared" si="277"/>
        <v>0</v>
      </c>
      <c r="DG189" s="409">
        <f t="shared" si="277"/>
        <v>0</v>
      </c>
      <c r="DH189" s="409">
        <f t="shared" si="277"/>
        <v>0</v>
      </c>
      <c r="DI189" s="409">
        <f t="shared" si="277"/>
        <v>0</v>
      </c>
      <c r="DJ189" s="409">
        <f t="shared" si="277"/>
        <v>0</v>
      </c>
      <c r="DK189" s="409">
        <f t="shared" si="277"/>
        <v>0</v>
      </c>
      <c r="DL189" s="409">
        <f t="shared" si="277"/>
        <v>0</v>
      </c>
      <c r="DM189" s="409">
        <f t="shared" si="277"/>
        <v>0</v>
      </c>
      <c r="DN189" s="409">
        <f t="shared" si="277"/>
        <v>0</v>
      </c>
      <c r="DO189" s="409">
        <f t="shared" si="278"/>
        <v>0</v>
      </c>
      <c r="DP189" s="409">
        <f t="shared" si="278"/>
        <v>0</v>
      </c>
      <c r="DQ189" s="409">
        <f t="shared" si="278"/>
        <v>0</v>
      </c>
      <c r="DR189" s="409">
        <f t="shared" si="278"/>
        <v>0</v>
      </c>
      <c r="DS189" s="409">
        <f t="shared" si="278"/>
        <v>0</v>
      </c>
      <c r="DT189" s="409">
        <f t="shared" si="278"/>
        <v>0</v>
      </c>
      <c r="DU189" s="409">
        <f t="shared" si="278"/>
        <v>0</v>
      </c>
      <c r="DV189" s="409">
        <f t="shared" si="278"/>
        <v>0</v>
      </c>
      <c r="DW189" s="409">
        <f t="shared" si="278"/>
        <v>0</v>
      </c>
      <c r="DX189" s="409">
        <f t="shared" si="278"/>
        <v>0</v>
      </c>
      <c r="DY189" s="409">
        <f t="shared" si="279"/>
        <v>0</v>
      </c>
      <c r="DZ189" s="409">
        <f t="shared" si="279"/>
        <v>0</v>
      </c>
      <c r="EA189" s="409">
        <f t="shared" si="279"/>
        <v>0</v>
      </c>
      <c r="EB189" s="409">
        <f t="shared" si="279"/>
        <v>0</v>
      </c>
      <c r="EC189" s="409">
        <f t="shared" si="279"/>
        <v>0</v>
      </c>
      <c r="ED189" s="409">
        <f t="shared" si="279"/>
        <v>0</v>
      </c>
      <c r="EE189" s="409">
        <f t="shared" si="279"/>
        <v>0</v>
      </c>
      <c r="EF189" s="409">
        <f t="shared" si="279"/>
        <v>0</v>
      </c>
      <c r="EG189" s="409">
        <f t="shared" si="279"/>
        <v>0</v>
      </c>
      <c r="EH189" s="409">
        <f t="shared" si="279"/>
        <v>0</v>
      </c>
      <c r="EI189" s="409">
        <f t="shared" si="280"/>
        <v>0</v>
      </c>
      <c r="EJ189" s="409">
        <f t="shared" si="280"/>
        <v>0</v>
      </c>
      <c r="EK189" s="409">
        <f t="shared" si="280"/>
        <v>0</v>
      </c>
      <c r="EL189" s="409">
        <f t="shared" si="280"/>
        <v>0</v>
      </c>
      <c r="EM189" s="409">
        <f t="shared" si="280"/>
        <v>0</v>
      </c>
      <c r="EN189" s="409">
        <f t="shared" si="280"/>
        <v>0</v>
      </c>
      <c r="EO189" s="409">
        <f t="shared" si="280"/>
        <v>0</v>
      </c>
      <c r="EP189" s="409">
        <f t="shared" si="280"/>
        <v>0</v>
      </c>
      <c r="EQ189" s="409">
        <f t="shared" si="280"/>
        <v>0</v>
      </c>
      <c r="ER189" s="409">
        <f t="shared" si="280"/>
        <v>0</v>
      </c>
      <c r="ES189" s="409">
        <f t="shared" si="281"/>
        <v>0</v>
      </c>
      <c r="ET189" s="409">
        <f t="shared" si="281"/>
        <v>0</v>
      </c>
      <c r="EU189" s="409">
        <f t="shared" si="281"/>
        <v>0</v>
      </c>
      <c r="EV189" s="409">
        <f t="shared" si="281"/>
        <v>0</v>
      </c>
      <c r="EW189" s="409">
        <f t="shared" si="281"/>
        <v>0</v>
      </c>
      <c r="EX189" s="409">
        <f t="shared" si="281"/>
        <v>0</v>
      </c>
      <c r="EY189" s="409">
        <f t="shared" si="281"/>
        <v>0</v>
      </c>
      <c r="EZ189" s="409">
        <f t="shared" si="281"/>
        <v>0</v>
      </c>
      <c r="FA189" s="409">
        <f t="shared" si="281"/>
        <v>0</v>
      </c>
      <c r="FB189" s="409">
        <f t="shared" si="281"/>
        <v>0</v>
      </c>
      <c r="FC189" s="409">
        <f t="shared" si="282"/>
        <v>0</v>
      </c>
      <c r="FD189" s="409">
        <f t="shared" si="282"/>
        <v>0</v>
      </c>
      <c r="FE189" s="409">
        <f t="shared" si="282"/>
        <v>0</v>
      </c>
      <c r="FF189" s="409">
        <f t="shared" si="282"/>
        <v>0</v>
      </c>
      <c r="FG189" s="409">
        <f t="shared" si="282"/>
        <v>0</v>
      </c>
      <c r="FH189" s="409">
        <f t="shared" si="282"/>
        <v>0</v>
      </c>
      <c r="FI189" s="409">
        <f t="shared" si="282"/>
        <v>0</v>
      </c>
      <c r="FJ189" s="409">
        <f t="shared" si="282"/>
        <v>0</v>
      </c>
      <c r="FK189" s="409">
        <f t="shared" si="282"/>
        <v>0</v>
      </c>
      <c r="FL189" s="409">
        <f t="shared" si="282"/>
        <v>0</v>
      </c>
      <c r="FM189" s="409">
        <f t="shared" si="283"/>
        <v>0</v>
      </c>
      <c r="FN189" s="409">
        <f t="shared" si="283"/>
        <v>0</v>
      </c>
      <c r="FO189" s="409">
        <f t="shared" si="283"/>
        <v>0</v>
      </c>
      <c r="FP189" s="409">
        <f t="shared" si="283"/>
        <v>0</v>
      </c>
      <c r="FQ189" s="409">
        <f t="shared" si="283"/>
        <v>0</v>
      </c>
      <c r="FR189" s="409">
        <f t="shared" si="283"/>
        <v>0</v>
      </c>
      <c r="FS189" s="409">
        <f t="shared" si="283"/>
        <v>0</v>
      </c>
      <c r="FT189" s="409">
        <f t="shared" si="283"/>
        <v>0</v>
      </c>
      <c r="FU189" s="409">
        <f t="shared" si="283"/>
        <v>0</v>
      </c>
      <c r="FV189" s="409">
        <f t="shared" si="283"/>
        <v>0</v>
      </c>
      <c r="FW189" s="409">
        <f t="shared" si="284"/>
        <v>0</v>
      </c>
      <c r="FX189" s="409">
        <f t="shared" si="284"/>
        <v>0</v>
      </c>
      <c r="FY189" s="409">
        <f t="shared" si="284"/>
        <v>0</v>
      </c>
      <c r="FZ189" s="409">
        <f t="shared" si="284"/>
        <v>0</v>
      </c>
      <c r="GA189" s="409">
        <f t="shared" si="284"/>
        <v>0</v>
      </c>
      <c r="GB189" s="409">
        <f t="shared" si="284"/>
        <v>0</v>
      </c>
      <c r="GC189" s="409">
        <f t="shared" si="284"/>
        <v>0</v>
      </c>
      <c r="GD189" s="409">
        <f t="shared" si="284"/>
        <v>0</v>
      </c>
      <c r="GE189" s="409">
        <f t="shared" si="284"/>
        <v>0</v>
      </c>
      <c r="GF189" s="409">
        <f t="shared" si="284"/>
        <v>0</v>
      </c>
      <c r="GG189" s="409">
        <f t="shared" si="285"/>
        <v>0</v>
      </c>
      <c r="GH189" s="409">
        <f t="shared" si="285"/>
        <v>0</v>
      </c>
      <c r="GI189" s="409">
        <f t="shared" si="285"/>
        <v>0</v>
      </c>
      <c r="GJ189" s="409">
        <f t="shared" si="285"/>
        <v>0</v>
      </c>
      <c r="GK189" s="409">
        <f t="shared" si="285"/>
        <v>0</v>
      </c>
      <c r="GL189" s="409">
        <f t="shared" si="285"/>
        <v>0</v>
      </c>
      <c r="GM189" s="409">
        <f t="shared" si="285"/>
        <v>0</v>
      </c>
      <c r="GN189" s="409">
        <f t="shared" si="285"/>
        <v>0</v>
      </c>
      <c r="GO189" s="409">
        <f t="shared" si="285"/>
        <v>0</v>
      </c>
      <c r="GP189" s="409">
        <f t="shared" si="285"/>
        <v>0</v>
      </c>
      <c r="GQ189" s="409">
        <f t="shared" si="286"/>
        <v>0</v>
      </c>
      <c r="GR189" s="409">
        <f t="shared" si="286"/>
        <v>0</v>
      </c>
      <c r="GS189" s="409">
        <f t="shared" si="286"/>
        <v>0</v>
      </c>
      <c r="GT189" s="409">
        <f t="shared" si="286"/>
        <v>0</v>
      </c>
      <c r="GU189" s="409">
        <f t="shared" si="286"/>
        <v>0</v>
      </c>
      <c r="GV189" s="409">
        <f t="shared" si="286"/>
        <v>0</v>
      </c>
      <c r="GW189" s="409">
        <f t="shared" si="286"/>
        <v>0</v>
      </c>
      <c r="GX189" s="409">
        <f t="shared" si="286"/>
        <v>0</v>
      </c>
      <c r="GY189" s="409">
        <f t="shared" si="286"/>
        <v>0</v>
      </c>
      <c r="GZ189" s="409">
        <f t="shared" si="286"/>
        <v>0</v>
      </c>
      <c r="HA189" s="409">
        <f t="shared" si="287"/>
        <v>0</v>
      </c>
      <c r="HB189" s="409">
        <f t="shared" si="287"/>
        <v>0</v>
      </c>
      <c r="HC189" s="409">
        <f t="shared" si="287"/>
        <v>0</v>
      </c>
      <c r="HD189" s="409">
        <f t="shared" si="287"/>
        <v>0</v>
      </c>
      <c r="HE189" s="409">
        <f t="shared" si="287"/>
        <v>0</v>
      </c>
      <c r="HF189" s="409">
        <f t="shared" si="287"/>
        <v>0</v>
      </c>
      <c r="HG189" s="409">
        <f t="shared" si="287"/>
        <v>0</v>
      </c>
      <c r="HH189" s="409">
        <f t="shared" si="287"/>
        <v>0</v>
      </c>
      <c r="HI189" s="409">
        <f t="shared" si="287"/>
        <v>0</v>
      </c>
      <c r="HJ189" s="409">
        <f t="shared" si="287"/>
        <v>0</v>
      </c>
      <c r="HK189" s="409">
        <f t="shared" si="288"/>
        <v>0</v>
      </c>
      <c r="HL189" s="409">
        <f t="shared" si="288"/>
        <v>0</v>
      </c>
      <c r="HM189" s="409">
        <f t="shared" si="288"/>
        <v>0</v>
      </c>
      <c r="HN189" s="409">
        <f t="shared" si="288"/>
        <v>0</v>
      </c>
      <c r="HO189" s="409">
        <f t="shared" si="288"/>
        <v>0</v>
      </c>
      <c r="HP189" s="409">
        <f t="shared" si="288"/>
        <v>0</v>
      </c>
      <c r="HQ189" s="409">
        <f t="shared" si="288"/>
        <v>0</v>
      </c>
      <c r="HR189" s="409">
        <f t="shared" si="288"/>
        <v>0</v>
      </c>
      <c r="HS189" s="409">
        <f t="shared" si="288"/>
        <v>0</v>
      </c>
      <c r="HT189" s="409">
        <f t="shared" si="288"/>
        <v>0</v>
      </c>
      <c r="HU189" s="409">
        <f t="shared" si="289"/>
        <v>0</v>
      </c>
      <c r="HV189" s="409">
        <f t="shared" si="289"/>
        <v>0</v>
      </c>
      <c r="HW189" s="409">
        <f t="shared" si="289"/>
        <v>0</v>
      </c>
      <c r="HX189" s="409">
        <f t="shared" si="289"/>
        <v>0</v>
      </c>
      <c r="HY189" s="409">
        <f t="shared" si="289"/>
        <v>0</v>
      </c>
      <c r="HZ189" s="409">
        <f t="shared" si="289"/>
        <v>0</v>
      </c>
      <c r="IA189" s="409">
        <f t="shared" si="289"/>
        <v>0</v>
      </c>
      <c r="IB189" s="409">
        <f t="shared" si="289"/>
        <v>0</v>
      </c>
      <c r="IC189" s="409">
        <f t="shared" si="289"/>
        <v>0</v>
      </c>
      <c r="ID189" s="409">
        <f t="shared" si="289"/>
        <v>0</v>
      </c>
      <c r="IE189" s="409">
        <f t="shared" si="290"/>
        <v>0</v>
      </c>
      <c r="IF189" s="409">
        <f t="shared" si="290"/>
        <v>0</v>
      </c>
      <c r="IG189" s="409">
        <f t="shared" si="290"/>
        <v>0</v>
      </c>
      <c r="IH189" s="409">
        <f t="shared" si="290"/>
        <v>0</v>
      </c>
      <c r="II189" s="409">
        <f t="shared" si="290"/>
        <v>0</v>
      </c>
      <c r="IJ189" s="409">
        <f t="shared" si="290"/>
        <v>0</v>
      </c>
      <c r="IK189" s="378"/>
    </row>
    <row r="190" spans="1:245" hidden="1" x14ac:dyDescent="0.2">
      <c r="A190" s="380" t="str">
        <f t="shared" si="242"/>
        <v>e</v>
      </c>
      <c r="B190" s="712" t="str">
        <f>IF(ISERROR(INDEX('Legend(DX)'!$H$11:$H$12,33)),"",INDEX('Legend(DX)'!$H$11:$H$12,33))</f>
        <v/>
      </c>
      <c r="C190" s="712" t="e">
        <f>IF(INDEX('Legend(DX)'!$T$11:$T$12,33)=0,"See Legend",INDEX('Legend(DX)'!$T$11:$T$12,33))</f>
        <v>#REF!</v>
      </c>
      <c r="D190" s="712" t="e">
        <f>IF(INDEX('Legend(DX)'!$R$11:$R$12,(ROW(C190))-137)=0,IF(AND(INDEX('Legend(DX)'!$D$11:$D$12,(ROW(C190))-136)="CH",INDEX('Legend(DX)'!$F$11:$F$12,(ROW(C190))-136)="CASE - MANUAL"),INDEX('Legend(DX)'!$R$11:$R$12,(ROW(C190))-136),IF(INDEX('Legend(DX)'!$V$11:$V$12,(ROW(C190))-137)&gt;1, "(" &amp; INDEX('Legend(DX)'!$V$11:$V$12,(ROW(C190))-137) &amp; ") " &amp; INDEX('Legend(DX)'!$W$11:$W$12,(ROW(C190))-136),INDEX('Legend(DX)'!$W$11:$W$12,(ROW(C190))-137))),INDEX('Legend(DX)'!$R$11:$R$12,(ROW(C190))-137))</f>
        <v>#REF!</v>
      </c>
      <c r="E190" s="713" t="str">
        <f>IF(ISERROR(INDEX('Legend(DX)'!$AA$11:$AA$12,33)),"",INDEX('Legend(DX)'!$AA$11:$AA$12,33))</f>
        <v/>
      </c>
      <c r="F190" s="715"/>
      <c r="G190" s="715"/>
      <c r="H190" s="715"/>
      <c r="I190" s="715"/>
      <c r="J190" s="715"/>
      <c r="K190" s="890">
        <f t="shared" si="223"/>
        <v>0</v>
      </c>
      <c r="L190" s="718"/>
      <c r="M190" s="723"/>
      <c r="N190" s="972">
        <f t="shared" ref="N190:N207" si="291">IF(M190="",-1,IF(M190+TIME(0,$K190,0)&gt;1,M190+TIME(0,$K190,0)-1,M190+TIME(0,$K190,0)))</f>
        <v>-1</v>
      </c>
      <c r="O190" s="972">
        <f t="shared" si="224"/>
        <v>-1</v>
      </c>
      <c r="P190" s="972">
        <f t="shared" ref="P190:P207" si="292">IF(O190="",-1,IF(O190+TIME(0,$K190,0)&gt;1,O190+TIME(0,$K190,0)-1,O190+TIME(0,$K190,0)))</f>
        <v>-1</v>
      </c>
      <c r="Q190" s="972">
        <f t="shared" si="225"/>
        <v>-1</v>
      </c>
      <c r="R190" s="972">
        <f t="shared" ref="R190:R207" si="293">IF(Q190="",-1,IF(Q190+TIME(0,$K190,0)&gt;1,Q190+TIME(0,$K190,0)-1,Q190+TIME(0,$K190,0)))</f>
        <v>-1</v>
      </c>
      <c r="S190" s="972">
        <f t="shared" si="226"/>
        <v>-1</v>
      </c>
      <c r="T190" s="972">
        <f t="shared" ref="T190:T207" si="294">IF(S190="",-1,IF(S190+TIME(0,$K190,0)&gt;1,S190+TIME(0,$K190,0)-1,S190+TIME(0,$K190,0)))</f>
        <v>-1</v>
      </c>
      <c r="U190" s="972">
        <f t="shared" si="227"/>
        <v>-1</v>
      </c>
      <c r="V190" s="972">
        <f t="shared" ref="V190:V207" si="295">IF(U190="",-1,IF(U190+TIME(0,$K190,0)&gt;1,U190+TIME(0,$K190,0)-1,U190+TIME(0,$K190,0)))</f>
        <v>-1</v>
      </c>
      <c r="W190" s="972">
        <f t="shared" si="228"/>
        <v>-1</v>
      </c>
      <c r="X190" s="972">
        <f t="shared" ref="X190:X207" si="296">IF(W190="",-1,IF(W190+TIME(0,$K190,0)&gt;1,W190+TIME(0,$K190,0)-1,W190+TIME(0,$K190,0)))</f>
        <v>-1</v>
      </c>
      <c r="Y190" s="972">
        <f t="shared" si="229"/>
        <v>-1</v>
      </c>
      <c r="Z190" s="972">
        <f t="shared" si="230"/>
        <v>-1</v>
      </c>
      <c r="AA190" s="972">
        <f t="shared" si="231"/>
        <v>-1</v>
      </c>
      <c r="AB190" s="972">
        <f t="shared" si="232"/>
        <v>-1</v>
      </c>
      <c r="AC190" s="972">
        <f t="shared" si="233"/>
        <v>-1</v>
      </c>
      <c r="AD190" s="972">
        <f t="shared" si="234"/>
        <v>-1</v>
      </c>
      <c r="AE190" s="972">
        <f t="shared" si="235"/>
        <v>-1</v>
      </c>
      <c r="AF190" s="972">
        <f t="shared" si="236"/>
        <v>-1</v>
      </c>
      <c r="AG190" s="972">
        <f t="shared" si="237"/>
        <v>-1</v>
      </c>
      <c r="AH190" s="972">
        <f t="shared" si="238"/>
        <v>-1</v>
      </c>
      <c r="AI190" s="972">
        <f t="shared" si="239"/>
        <v>-1</v>
      </c>
      <c r="AJ190" s="972">
        <f t="shared" si="240"/>
        <v>-1</v>
      </c>
      <c r="AK190" s="381"/>
      <c r="AL190" s="727" t="str">
        <f t="shared" si="241"/>
        <v/>
      </c>
      <c r="AM190" s="409">
        <f t="shared" si="270"/>
        <v>0</v>
      </c>
      <c r="AN190" s="409">
        <f t="shared" si="270"/>
        <v>0</v>
      </c>
      <c r="AO190" s="409">
        <f t="shared" si="270"/>
        <v>0</v>
      </c>
      <c r="AP190" s="409">
        <f t="shared" si="270"/>
        <v>0</v>
      </c>
      <c r="AQ190" s="409">
        <f t="shared" si="270"/>
        <v>0</v>
      </c>
      <c r="AR190" s="409">
        <f t="shared" si="270"/>
        <v>0</v>
      </c>
      <c r="AS190" s="409">
        <f t="shared" si="270"/>
        <v>0</v>
      </c>
      <c r="AT190" s="409">
        <f t="shared" si="270"/>
        <v>0</v>
      </c>
      <c r="AU190" s="409">
        <f t="shared" si="270"/>
        <v>0</v>
      </c>
      <c r="AV190" s="409">
        <f t="shared" si="270"/>
        <v>0</v>
      </c>
      <c r="AW190" s="409">
        <f t="shared" si="271"/>
        <v>0</v>
      </c>
      <c r="AX190" s="409">
        <f t="shared" si="271"/>
        <v>0</v>
      </c>
      <c r="AY190" s="409">
        <f t="shared" si="271"/>
        <v>0</v>
      </c>
      <c r="AZ190" s="409">
        <f t="shared" si="271"/>
        <v>0</v>
      </c>
      <c r="BA190" s="409">
        <f t="shared" si="271"/>
        <v>0</v>
      </c>
      <c r="BB190" s="409">
        <f t="shared" si="271"/>
        <v>0</v>
      </c>
      <c r="BC190" s="409">
        <f t="shared" si="271"/>
        <v>0</v>
      </c>
      <c r="BD190" s="409">
        <f t="shared" si="271"/>
        <v>0</v>
      </c>
      <c r="BE190" s="409">
        <f t="shared" si="271"/>
        <v>0</v>
      </c>
      <c r="BF190" s="409">
        <f t="shared" si="271"/>
        <v>0</v>
      </c>
      <c r="BG190" s="409">
        <f t="shared" si="272"/>
        <v>0</v>
      </c>
      <c r="BH190" s="409">
        <f t="shared" si="272"/>
        <v>0</v>
      </c>
      <c r="BI190" s="409">
        <f t="shared" si="272"/>
        <v>0</v>
      </c>
      <c r="BJ190" s="409">
        <f t="shared" si="272"/>
        <v>0</v>
      </c>
      <c r="BK190" s="409">
        <f t="shared" si="272"/>
        <v>0</v>
      </c>
      <c r="BL190" s="409">
        <f t="shared" si="272"/>
        <v>0</v>
      </c>
      <c r="BM190" s="409">
        <f t="shared" si="272"/>
        <v>0</v>
      </c>
      <c r="BN190" s="409">
        <f t="shared" si="272"/>
        <v>0</v>
      </c>
      <c r="BO190" s="409">
        <f t="shared" si="272"/>
        <v>0</v>
      </c>
      <c r="BP190" s="409">
        <f t="shared" si="272"/>
        <v>0</v>
      </c>
      <c r="BQ190" s="409">
        <f t="shared" si="273"/>
        <v>0</v>
      </c>
      <c r="BR190" s="409">
        <f t="shared" si="273"/>
        <v>0</v>
      </c>
      <c r="BS190" s="409">
        <f t="shared" si="273"/>
        <v>0</v>
      </c>
      <c r="BT190" s="409">
        <f t="shared" si="273"/>
        <v>0</v>
      </c>
      <c r="BU190" s="409">
        <f t="shared" si="273"/>
        <v>0</v>
      </c>
      <c r="BV190" s="409">
        <f t="shared" si="273"/>
        <v>0</v>
      </c>
      <c r="BW190" s="409">
        <f t="shared" si="273"/>
        <v>0</v>
      </c>
      <c r="BX190" s="409">
        <f t="shared" si="273"/>
        <v>0</v>
      </c>
      <c r="BY190" s="409">
        <f t="shared" si="273"/>
        <v>0</v>
      </c>
      <c r="BZ190" s="409">
        <f t="shared" si="273"/>
        <v>0</v>
      </c>
      <c r="CA190" s="409">
        <f t="shared" si="274"/>
        <v>0</v>
      </c>
      <c r="CB190" s="409">
        <f t="shared" si="274"/>
        <v>0</v>
      </c>
      <c r="CC190" s="409">
        <f t="shared" si="274"/>
        <v>0</v>
      </c>
      <c r="CD190" s="409">
        <f t="shared" si="274"/>
        <v>0</v>
      </c>
      <c r="CE190" s="409">
        <f t="shared" si="274"/>
        <v>0</v>
      </c>
      <c r="CF190" s="409">
        <f t="shared" si="274"/>
        <v>0</v>
      </c>
      <c r="CG190" s="409">
        <f t="shared" si="274"/>
        <v>0</v>
      </c>
      <c r="CH190" s="409">
        <f t="shared" si="274"/>
        <v>0</v>
      </c>
      <c r="CI190" s="409">
        <f t="shared" si="274"/>
        <v>0</v>
      </c>
      <c r="CJ190" s="409">
        <f t="shared" si="274"/>
        <v>0</v>
      </c>
      <c r="CK190" s="409">
        <f t="shared" si="275"/>
        <v>0</v>
      </c>
      <c r="CL190" s="409">
        <f t="shared" si="275"/>
        <v>0</v>
      </c>
      <c r="CM190" s="409">
        <f t="shared" si="275"/>
        <v>0</v>
      </c>
      <c r="CN190" s="409">
        <f t="shared" si="275"/>
        <v>0</v>
      </c>
      <c r="CO190" s="409">
        <f t="shared" si="275"/>
        <v>0</v>
      </c>
      <c r="CP190" s="409">
        <f t="shared" si="275"/>
        <v>0</v>
      </c>
      <c r="CQ190" s="409">
        <f t="shared" si="275"/>
        <v>0</v>
      </c>
      <c r="CR190" s="409">
        <f t="shared" si="275"/>
        <v>0</v>
      </c>
      <c r="CS190" s="409">
        <f t="shared" si="275"/>
        <v>0</v>
      </c>
      <c r="CT190" s="409">
        <f t="shared" si="275"/>
        <v>0</v>
      </c>
      <c r="CU190" s="409">
        <f t="shared" si="276"/>
        <v>0</v>
      </c>
      <c r="CV190" s="409">
        <f t="shared" si="276"/>
        <v>0</v>
      </c>
      <c r="CW190" s="409">
        <f t="shared" si="276"/>
        <v>0</v>
      </c>
      <c r="CX190" s="409">
        <f t="shared" si="276"/>
        <v>0</v>
      </c>
      <c r="CY190" s="409">
        <f t="shared" si="276"/>
        <v>0</v>
      </c>
      <c r="CZ190" s="409">
        <f t="shared" si="276"/>
        <v>0</v>
      </c>
      <c r="DA190" s="409">
        <f t="shared" si="276"/>
        <v>0</v>
      </c>
      <c r="DB190" s="409">
        <f t="shared" si="276"/>
        <v>0</v>
      </c>
      <c r="DC190" s="409">
        <f t="shared" si="276"/>
        <v>0</v>
      </c>
      <c r="DD190" s="409">
        <f t="shared" si="276"/>
        <v>0</v>
      </c>
      <c r="DE190" s="409">
        <f t="shared" si="277"/>
        <v>0</v>
      </c>
      <c r="DF190" s="409">
        <f t="shared" si="277"/>
        <v>0</v>
      </c>
      <c r="DG190" s="409">
        <f t="shared" si="277"/>
        <v>0</v>
      </c>
      <c r="DH190" s="409">
        <f t="shared" si="277"/>
        <v>0</v>
      </c>
      <c r="DI190" s="409">
        <f t="shared" si="277"/>
        <v>0</v>
      </c>
      <c r="DJ190" s="409">
        <f t="shared" si="277"/>
        <v>0</v>
      </c>
      <c r="DK190" s="409">
        <f t="shared" si="277"/>
        <v>0</v>
      </c>
      <c r="DL190" s="409">
        <f t="shared" si="277"/>
        <v>0</v>
      </c>
      <c r="DM190" s="409">
        <f t="shared" si="277"/>
        <v>0</v>
      </c>
      <c r="DN190" s="409">
        <f t="shared" si="277"/>
        <v>0</v>
      </c>
      <c r="DO190" s="409">
        <f t="shared" si="278"/>
        <v>0</v>
      </c>
      <c r="DP190" s="409">
        <f t="shared" si="278"/>
        <v>0</v>
      </c>
      <c r="DQ190" s="409">
        <f t="shared" si="278"/>
        <v>0</v>
      </c>
      <c r="DR190" s="409">
        <f t="shared" si="278"/>
        <v>0</v>
      </c>
      <c r="DS190" s="409">
        <f t="shared" si="278"/>
        <v>0</v>
      </c>
      <c r="DT190" s="409">
        <f t="shared" si="278"/>
        <v>0</v>
      </c>
      <c r="DU190" s="409">
        <f t="shared" si="278"/>
        <v>0</v>
      </c>
      <c r="DV190" s="409">
        <f t="shared" si="278"/>
        <v>0</v>
      </c>
      <c r="DW190" s="409">
        <f t="shared" si="278"/>
        <v>0</v>
      </c>
      <c r="DX190" s="409">
        <f t="shared" si="278"/>
        <v>0</v>
      </c>
      <c r="DY190" s="409">
        <f t="shared" si="279"/>
        <v>0</v>
      </c>
      <c r="DZ190" s="409">
        <f t="shared" si="279"/>
        <v>0</v>
      </c>
      <c r="EA190" s="409">
        <f t="shared" si="279"/>
        <v>0</v>
      </c>
      <c r="EB190" s="409">
        <f t="shared" si="279"/>
        <v>0</v>
      </c>
      <c r="EC190" s="409">
        <f t="shared" si="279"/>
        <v>0</v>
      </c>
      <c r="ED190" s="409">
        <f t="shared" si="279"/>
        <v>0</v>
      </c>
      <c r="EE190" s="409">
        <f t="shared" si="279"/>
        <v>0</v>
      </c>
      <c r="EF190" s="409">
        <f t="shared" si="279"/>
        <v>0</v>
      </c>
      <c r="EG190" s="409">
        <f t="shared" si="279"/>
        <v>0</v>
      </c>
      <c r="EH190" s="409">
        <f t="shared" si="279"/>
        <v>0</v>
      </c>
      <c r="EI190" s="409">
        <f t="shared" si="280"/>
        <v>0</v>
      </c>
      <c r="EJ190" s="409">
        <f t="shared" si="280"/>
        <v>0</v>
      </c>
      <c r="EK190" s="409">
        <f t="shared" si="280"/>
        <v>0</v>
      </c>
      <c r="EL190" s="409">
        <f t="shared" si="280"/>
        <v>0</v>
      </c>
      <c r="EM190" s="409">
        <f t="shared" si="280"/>
        <v>0</v>
      </c>
      <c r="EN190" s="409">
        <f t="shared" si="280"/>
        <v>0</v>
      </c>
      <c r="EO190" s="409">
        <f t="shared" si="280"/>
        <v>0</v>
      </c>
      <c r="EP190" s="409">
        <f t="shared" si="280"/>
        <v>0</v>
      </c>
      <c r="EQ190" s="409">
        <f t="shared" si="280"/>
        <v>0</v>
      </c>
      <c r="ER190" s="409">
        <f t="shared" si="280"/>
        <v>0</v>
      </c>
      <c r="ES190" s="409">
        <f t="shared" si="281"/>
        <v>0</v>
      </c>
      <c r="ET190" s="409">
        <f t="shared" si="281"/>
        <v>0</v>
      </c>
      <c r="EU190" s="409">
        <f t="shared" si="281"/>
        <v>0</v>
      </c>
      <c r="EV190" s="409">
        <f t="shared" si="281"/>
        <v>0</v>
      </c>
      <c r="EW190" s="409">
        <f t="shared" si="281"/>
        <v>0</v>
      </c>
      <c r="EX190" s="409">
        <f t="shared" si="281"/>
        <v>0</v>
      </c>
      <c r="EY190" s="409">
        <f t="shared" si="281"/>
        <v>0</v>
      </c>
      <c r="EZ190" s="409">
        <f t="shared" si="281"/>
        <v>0</v>
      </c>
      <c r="FA190" s="409">
        <f t="shared" si="281"/>
        <v>0</v>
      </c>
      <c r="FB190" s="409">
        <f t="shared" si="281"/>
        <v>0</v>
      </c>
      <c r="FC190" s="409">
        <f t="shared" si="282"/>
        <v>0</v>
      </c>
      <c r="FD190" s="409">
        <f t="shared" si="282"/>
        <v>0</v>
      </c>
      <c r="FE190" s="409">
        <f t="shared" si="282"/>
        <v>0</v>
      </c>
      <c r="FF190" s="409">
        <f t="shared" si="282"/>
        <v>0</v>
      </c>
      <c r="FG190" s="409">
        <f t="shared" si="282"/>
        <v>0</v>
      </c>
      <c r="FH190" s="409">
        <f t="shared" si="282"/>
        <v>0</v>
      </c>
      <c r="FI190" s="409">
        <f t="shared" si="282"/>
        <v>0</v>
      </c>
      <c r="FJ190" s="409">
        <f t="shared" si="282"/>
        <v>0</v>
      </c>
      <c r="FK190" s="409">
        <f t="shared" si="282"/>
        <v>0</v>
      </c>
      <c r="FL190" s="409">
        <f t="shared" si="282"/>
        <v>0</v>
      </c>
      <c r="FM190" s="409">
        <f t="shared" si="283"/>
        <v>0</v>
      </c>
      <c r="FN190" s="409">
        <f t="shared" si="283"/>
        <v>0</v>
      </c>
      <c r="FO190" s="409">
        <f t="shared" si="283"/>
        <v>0</v>
      </c>
      <c r="FP190" s="409">
        <f t="shared" si="283"/>
        <v>0</v>
      </c>
      <c r="FQ190" s="409">
        <f t="shared" si="283"/>
        <v>0</v>
      </c>
      <c r="FR190" s="409">
        <f t="shared" si="283"/>
        <v>0</v>
      </c>
      <c r="FS190" s="409">
        <f t="shared" si="283"/>
        <v>0</v>
      </c>
      <c r="FT190" s="409">
        <f t="shared" si="283"/>
        <v>0</v>
      </c>
      <c r="FU190" s="409">
        <f t="shared" si="283"/>
        <v>0</v>
      </c>
      <c r="FV190" s="409">
        <f t="shared" si="283"/>
        <v>0</v>
      </c>
      <c r="FW190" s="409">
        <f t="shared" si="284"/>
        <v>0</v>
      </c>
      <c r="FX190" s="409">
        <f t="shared" si="284"/>
        <v>0</v>
      </c>
      <c r="FY190" s="409">
        <f t="shared" si="284"/>
        <v>0</v>
      </c>
      <c r="FZ190" s="409">
        <f t="shared" si="284"/>
        <v>0</v>
      </c>
      <c r="GA190" s="409">
        <f t="shared" si="284"/>
        <v>0</v>
      </c>
      <c r="GB190" s="409">
        <f t="shared" si="284"/>
        <v>0</v>
      </c>
      <c r="GC190" s="409">
        <f t="shared" si="284"/>
        <v>0</v>
      </c>
      <c r="GD190" s="409">
        <f t="shared" si="284"/>
        <v>0</v>
      </c>
      <c r="GE190" s="409">
        <f t="shared" si="284"/>
        <v>0</v>
      </c>
      <c r="GF190" s="409">
        <f t="shared" si="284"/>
        <v>0</v>
      </c>
      <c r="GG190" s="409">
        <f t="shared" si="285"/>
        <v>0</v>
      </c>
      <c r="GH190" s="409">
        <f t="shared" si="285"/>
        <v>0</v>
      </c>
      <c r="GI190" s="409">
        <f t="shared" si="285"/>
        <v>0</v>
      </c>
      <c r="GJ190" s="409">
        <f t="shared" si="285"/>
        <v>0</v>
      </c>
      <c r="GK190" s="409">
        <f t="shared" si="285"/>
        <v>0</v>
      </c>
      <c r="GL190" s="409">
        <f t="shared" si="285"/>
        <v>0</v>
      </c>
      <c r="GM190" s="409">
        <f t="shared" si="285"/>
        <v>0</v>
      </c>
      <c r="GN190" s="409">
        <f t="shared" si="285"/>
        <v>0</v>
      </c>
      <c r="GO190" s="409">
        <f t="shared" si="285"/>
        <v>0</v>
      </c>
      <c r="GP190" s="409">
        <f t="shared" si="285"/>
        <v>0</v>
      </c>
      <c r="GQ190" s="409">
        <f t="shared" si="286"/>
        <v>0</v>
      </c>
      <c r="GR190" s="409">
        <f t="shared" si="286"/>
        <v>0</v>
      </c>
      <c r="GS190" s="409">
        <f t="shared" si="286"/>
        <v>0</v>
      </c>
      <c r="GT190" s="409">
        <f t="shared" si="286"/>
        <v>0</v>
      </c>
      <c r="GU190" s="409">
        <f t="shared" si="286"/>
        <v>0</v>
      </c>
      <c r="GV190" s="409">
        <f t="shared" si="286"/>
        <v>0</v>
      </c>
      <c r="GW190" s="409">
        <f t="shared" si="286"/>
        <v>0</v>
      </c>
      <c r="GX190" s="409">
        <f t="shared" si="286"/>
        <v>0</v>
      </c>
      <c r="GY190" s="409">
        <f t="shared" si="286"/>
        <v>0</v>
      </c>
      <c r="GZ190" s="409">
        <f t="shared" si="286"/>
        <v>0</v>
      </c>
      <c r="HA190" s="409">
        <f t="shared" si="287"/>
        <v>0</v>
      </c>
      <c r="HB190" s="409">
        <f t="shared" si="287"/>
        <v>0</v>
      </c>
      <c r="HC190" s="409">
        <f t="shared" si="287"/>
        <v>0</v>
      </c>
      <c r="HD190" s="409">
        <f t="shared" si="287"/>
        <v>0</v>
      </c>
      <c r="HE190" s="409">
        <f t="shared" si="287"/>
        <v>0</v>
      </c>
      <c r="HF190" s="409">
        <f t="shared" si="287"/>
        <v>0</v>
      </c>
      <c r="HG190" s="409">
        <f t="shared" si="287"/>
        <v>0</v>
      </c>
      <c r="HH190" s="409">
        <f t="shared" si="287"/>
        <v>0</v>
      </c>
      <c r="HI190" s="409">
        <f t="shared" si="287"/>
        <v>0</v>
      </c>
      <c r="HJ190" s="409">
        <f t="shared" si="287"/>
        <v>0</v>
      </c>
      <c r="HK190" s="409">
        <f t="shared" si="288"/>
        <v>0</v>
      </c>
      <c r="HL190" s="409">
        <f t="shared" si="288"/>
        <v>0</v>
      </c>
      <c r="HM190" s="409">
        <f t="shared" si="288"/>
        <v>0</v>
      </c>
      <c r="HN190" s="409">
        <f t="shared" si="288"/>
        <v>0</v>
      </c>
      <c r="HO190" s="409">
        <f t="shared" si="288"/>
        <v>0</v>
      </c>
      <c r="HP190" s="409">
        <f t="shared" si="288"/>
        <v>0</v>
      </c>
      <c r="HQ190" s="409">
        <f t="shared" si="288"/>
        <v>0</v>
      </c>
      <c r="HR190" s="409">
        <f t="shared" si="288"/>
        <v>0</v>
      </c>
      <c r="HS190" s="409">
        <f t="shared" si="288"/>
        <v>0</v>
      </c>
      <c r="HT190" s="409">
        <f t="shared" si="288"/>
        <v>0</v>
      </c>
      <c r="HU190" s="409">
        <f t="shared" si="289"/>
        <v>0</v>
      </c>
      <c r="HV190" s="409">
        <f t="shared" si="289"/>
        <v>0</v>
      </c>
      <c r="HW190" s="409">
        <f t="shared" si="289"/>
        <v>0</v>
      </c>
      <c r="HX190" s="409">
        <f t="shared" si="289"/>
        <v>0</v>
      </c>
      <c r="HY190" s="409">
        <f t="shared" si="289"/>
        <v>0</v>
      </c>
      <c r="HZ190" s="409">
        <f t="shared" si="289"/>
        <v>0</v>
      </c>
      <c r="IA190" s="409">
        <f t="shared" si="289"/>
        <v>0</v>
      </c>
      <c r="IB190" s="409">
        <f t="shared" si="289"/>
        <v>0</v>
      </c>
      <c r="IC190" s="409">
        <f t="shared" si="289"/>
        <v>0</v>
      </c>
      <c r="ID190" s="409">
        <f t="shared" si="289"/>
        <v>0</v>
      </c>
      <c r="IE190" s="409">
        <f t="shared" si="290"/>
        <v>0</v>
      </c>
      <c r="IF190" s="409">
        <f t="shared" si="290"/>
        <v>0</v>
      </c>
      <c r="IG190" s="409">
        <f t="shared" si="290"/>
        <v>0</v>
      </c>
      <c r="IH190" s="409">
        <f t="shared" si="290"/>
        <v>0</v>
      </c>
      <c r="II190" s="409">
        <f t="shared" si="290"/>
        <v>0</v>
      </c>
      <c r="IJ190" s="409">
        <f t="shared" si="290"/>
        <v>0</v>
      </c>
      <c r="IK190" s="378"/>
    </row>
    <row r="191" spans="1:245" hidden="1" x14ac:dyDescent="0.2">
      <c r="A191" s="380" t="str">
        <f t="shared" si="242"/>
        <v>e</v>
      </c>
      <c r="B191" s="712" t="str">
        <f>IF(ISERROR(INDEX('Legend(DX)'!$H$11:$H$12,34)),"",INDEX('Legend(DX)'!$H$11:$H$12,34))</f>
        <v/>
      </c>
      <c r="C191" s="712" t="e">
        <f>IF(INDEX('Legend(DX)'!$T$11:$T$12,34)=0,"See Legend",INDEX('Legend(DX)'!$T$11:$T$12,34))</f>
        <v>#REF!</v>
      </c>
      <c r="D191" s="712" t="e">
        <f>IF(INDEX('Legend(DX)'!$R$11:$R$12,(ROW(C191))-137)=0,IF(AND(INDEX('Legend(DX)'!$D$11:$D$12,(ROW(C191))-136)="CH",INDEX('Legend(DX)'!$F$11:$F$12,(ROW(C191))-136)="CASE - MANUAL"),INDEX('Legend(DX)'!$R$11:$R$12,(ROW(C191))-136),IF(INDEX('Legend(DX)'!$V$11:$V$12,(ROW(C191))-137)&gt;1, "(" &amp; INDEX('Legend(DX)'!$V$11:$V$12,(ROW(C191))-137) &amp; ") " &amp; INDEX('Legend(DX)'!$W$11:$W$12,(ROW(C191))-136),INDEX('Legend(DX)'!$W$11:$W$12,(ROW(C191))-137))),INDEX('Legend(DX)'!$R$11:$R$12,(ROW(C191))-137))</f>
        <v>#REF!</v>
      </c>
      <c r="E191" s="713" t="str">
        <f>IF(ISERROR(INDEX('Legend(DX)'!$AA$11:$AA$12,34)),"",INDEX('Legend(DX)'!$AA$11:$AA$12,34))</f>
        <v/>
      </c>
      <c r="F191" s="715"/>
      <c r="G191" s="715"/>
      <c r="H191" s="715"/>
      <c r="I191" s="715"/>
      <c r="J191" s="715"/>
      <c r="K191" s="890">
        <f t="shared" si="223"/>
        <v>0</v>
      </c>
      <c r="L191" s="718"/>
      <c r="M191" s="723"/>
      <c r="N191" s="972">
        <f t="shared" si="291"/>
        <v>-1</v>
      </c>
      <c r="O191" s="972">
        <f t="shared" si="224"/>
        <v>-1</v>
      </c>
      <c r="P191" s="972">
        <f t="shared" si="292"/>
        <v>-1</v>
      </c>
      <c r="Q191" s="972">
        <f t="shared" si="225"/>
        <v>-1</v>
      </c>
      <c r="R191" s="972">
        <f t="shared" si="293"/>
        <v>-1</v>
      </c>
      <c r="S191" s="972">
        <f t="shared" si="226"/>
        <v>-1</v>
      </c>
      <c r="T191" s="972">
        <f t="shared" si="294"/>
        <v>-1</v>
      </c>
      <c r="U191" s="972">
        <f t="shared" si="227"/>
        <v>-1</v>
      </c>
      <c r="V191" s="972">
        <f t="shared" si="295"/>
        <v>-1</v>
      </c>
      <c r="W191" s="972">
        <f t="shared" si="228"/>
        <v>-1</v>
      </c>
      <c r="X191" s="972">
        <f t="shared" si="296"/>
        <v>-1</v>
      </c>
      <c r="Y191" s="972">
        <f t="shared" si="229"/>
        <v>-1</v>
      </c>
      <c r="Z191" s="972">
        <f t="shared" si="230"/>
        <v>-1</v>
      </c>
      <c r="AA191" s="972">
        <f t="shared" si="231"/>
        <v>-1</v>
      </c>
      <c r="AB191" s="972">
        <f t="shared" si="232"/>
        <v>-1</v>
      </c>
      <c r="AC191" s="972">
        <f t="shared" si="233"/>
        <v>-1</v>
      </c>
      <c r="AD191" s="972">
        <f t="shared" si="234"/>
        <v>-1</v>
      </c>
      <c r="AE191" s="972">
        <f t="shared" si="235"/>
        <v>-1</v>
      </c>
      <c r="AF191" s="972">
        <f t="shared" si="236"/>
        <v>-1</v>
      </c>
      <c r="AG191" s="972">
        <f t="shared" si="237"/>
        <v>-1</v>
      </c>
      <c r="AH191" s="972">
        <f t="shared" si="238"/>
        <v>-1</v>
      </c>
      <c r="AI191" s="972">
        <f t="shared" si="239"/>
        <v>-1</v>
      </c>
      <c r="AJ191" s="972">
        <f t="shared" si="240"/>
        <v>-1</v>
      </c>
      <c r="AK191" s="381"/>
      <c r="AL191" s="727" t="str">
        <f t="shared" si="241"/>
        <v/>
      </c>
      <c r="AM191" s="409">
        <f t="shared" si="270"/>
        <v>0</v>
      </c>
      <c r="AN191" s="409">
        <f t="shared" si="270"/>
        <v>0</v>
      </c>
      <c r="AO191" s="409">
        <f t="shared" si="270"/>
        <v>0</v>
      </c>
      <c r="AP191" s="409">
        <f t="shared" si="270"/>
        <v>0</v>
      </c>
      <c r="AQ191" s="409">
        <f t="shared" si="270"/>
        <v>0</v>
      </c>
      <c r="AR191" s="409">
        <f t="shared" si="270"/>
        <v>0</v>
      </c>
      <c r="AS191" s="409">
        <f t="shared" si="270"/>
        <v>0</v>
      </c>
      <c r="AT191" s="409">
        <f t="shared" si="270"/>
        <v>0</v>
      </c>
      <c r="AU191" s="409">
        <f t="shared" si="270"/>
        <v>0</v>
      </c>
      <c r="AV191" s="409">
        <f t="shared" si="270"/>
        <v>0</v>
      </c>
      <c r="AW191" s="409">
        <f t="shared" si="271"/>
        <v>0</v>
      </c>
      <c r="AX191" s="409">
        <f t="shared" si="271"/>
        <v>0</v>
      </c>
      <c r="AY191" s="409">
        <f t="shared" si="271"/>
        <v>0</v>
      </c>
      <c r="AZ191" s="409">
        <f t="shared" si="271"/>
        <v>0</v>
      </c>
      <c r="BA191" s="409">
        <f t="shared" si="271"/>
        <v>0</v>
      </c>
      <c r="BB191" s="409">
        <f t="shared" si="271"/>
        <v>0</v>
      </c>
      <c r="BC191" s="409">
        <f t="shared" si="271"/>
        <v>0</v>
      </c>
      <c r="BD191" s="409">
        <f t="shared" si="271"/>
        <v>0</v>
      </c>
      <c r="BE191" s="409">
        <f t="shared" si="271"/>
        <v>0</v>
      </c>
      <c r="BF191" s="409">
        <f t="shared" si="271"/>
        <v>0</v>
      </c>
      <c r="BG191" s="409">
        <f t="shared" si="272"/>
        <v>0</v>
      </c>
      <c r="BH191" s="409">
        <f t="shared" si="272"/>
        <v>0</v>
      </c>
      <c r="BI191" s="409">
        <f t="shared" si="272"/>
        <v>0</v>
      </c>
      <c r="BJ191" s="409">
        <f t="shared" si="272"/>
        <v>0</v>
      </c>
      <c r="BK191" s="409">
        <f t="shared" si="272"/>
        <v>0</v>
      </c>
      <c r="BL191" s="409">
        <f t="shared" si="272"/>
        <v>0</v>
      </c>
      <c r="BM191" s="409">
        <f t="shared" si="272"/>
        <v>0</v>
      </c>
      <c r="BN191" s="409">
        <f t="shared" si="272"/>
        <v>0</v>
      </c>
      <c r="BO191" s="409">
        <f t="shared" si="272"/>
        <v>0</v>
      </c>
      <c r="BP191" s="409">
        <f t="shared" si="272"/>
        <v>0</v>
      </c>
      <c r="BQ191" s="409">
        <f t="shared" si="273"/>
        <v>0</v>
      </c>
      <c r="BR191" s="409">
        <f t="shared" si="273"/>
        <v>0</v>
      </c>
      <c r="BS191" s="409">
        <f t="shared" si="273"/>
        <v>0</v>
      </c>
      <c r="BT191" s="409">
        <f t="shared" si="273"/>
        <v>0</v>
      </c>
      <c r="BU191" s="409">
        <f t="shared" si="273"/>
        <v>0</v>
      </c>
      <c r="BV191" s="409">
        <f t="shared" si="273"/>
        <v>0</v>
      </c>
      <c r="BW191" s="409">
        <f t="shared" si="273"/>
        <v>0</v>
      </c>
      <c r="BX191" s="409">
        <f t="shared" si="273"/>
        <v>0</v>
      </c>
      <c r="BY191" s="409">
        <f t="shared" si="273"/>
        <v>0</v>
      </c>
      <c r="BZ191" s="409">
        <f t="shared" si="273"/>
        <v>0</v>
      </c>
      <c r="CA191" s="409">
        <f t="shared" si="274"/>
        <v>0</v>
      </c>
      <c r="CB191" s="409">
        <f t="shared" si="274"/>
        <v>0</v>
      </c>
      <c r="CC191" s="409">
        <f t="shared" si="274"/>
        <v>0</v>
      </c>
      <c r="CD191" s="409">
        <f t="shared" si="274"/>
        <v>0</v>
      </c>
      <c r="CE191" s="409">
        <f t="shared" si="274"/>
        <v>0</v>
      </c>
      <c r="CF191" s="409">
        <f t="shared" si="274"/>
        <v>0</v>
      </c>
      <c r="CG191" s="409">
        <f t="shared" si="274"/>
        <v>0</v>
      </c>
      <c r="CH191" s="409">
        <f t="shared" si="274"/>
        <v>0</v>
      </c>
      <c r="CI191" s="409">
        <f t="shared" si="274"/>
        <v>0</v>
      </c>
      <c r="CJ191" s="409">
        <f t="shared" si="274"/>
        <v>0</v>
      </c>
      <c r="CK191" s="409">
        <f t="shared" si="275"/>
        <v>0</v>
      </c>
      <c r="CL191" s="409">
        <f t="shared" si="275"/>
        <v>0</v>
      </c>
      <c r="CM191" s="409">
        <f t="shared" si="275"/>
        <v>0</v>
      </c>
      <c r="CN191" s="409">
        <f t="shared" si="275"/>
        <v>0</v>
      </c>
      <c r="CO191" s="409">
        <f t="shared" si="275"/>
        <v>0</v>
      </c>
      <c r="CP191" s="409">
        <f t="shared" si="275"/>
        <v>0</v>
      </c>
      <c r="CQ191" s="409">
        <f t="shared" si="275"/>
        <v>0</v>
      </c>
      <c r="CR191" s="409">
        <f t="shared" si="275"/>
        <v>0</v>
      </c>
      <c r="CS191" s="409">
        <f t="shared" si="275"/>
        <v>0</v>
      </c>
      <c r="CT191" s="409">
        <f t="shared" si="275"/>
        <v>0</v>
      </c>
      <c r="CU191" s="409">
        <f t="shared" si="276"/>
        <v>0</v>
      </c>
      <c r="CV191" s="409">
        <f t="shared" si="276"/>
        <v>0</v>
      </c>
      <c r="CW191" s="409">
        <f t="shared" si="276"/>
        <v>0</v>
      </c>
      <c r="CX191" s="409">
        <f t="shared" si="276"/>
        <v>0</v>
      </c>
      <c r="CY191" s="409">
        <f t="shared" si="276"/>
        <v>0</v>
      </c>
      <c r="CZ191" s="409">
        <f t="shared" si="276"/>
        <v>0</v>
      </c>
      <c r="DA191" s="409">
        <f t="shared" si="276"/>
        <v>0</v>
      </c>
      <c r="DB191" s="409">
        <f t="shared" si="276"/>
        <v>0</v>
      </c>
      <c r="DC191" s="409">
        <f t="shared" si="276"/>
        <v>0</v>
      </c>
      <c r="DD191" s="409">
        <f t="shared" si="276"/>
        <v>0</v>
      </c>
      <c r="DE191" s="409">
        <f t="shared" si="277"/>
        <v>0</v>
      </c>
      <c r="DF191" s="409">
        <f t="shared" si="277"/>
        <v>0</v>
      </c>
      <c r="DG191" s="409">
        <f t="shared" si="277"/>
        <v>0</v>
      </c>
      <c r="DH191" s="409">
        <f t="shared" si="277"/>
        <v>0</v>
      </c>
      <c r="DI191" s="409">
        <f t="shared" si="277"/>
        <v>0</v>
      </c>
      <c r="DJ191" s="409">
        <f t="shared" si="277"/>
        <v>0</v>
      </c>
      <c r="DK191" s="409">
        <f t="shared" si="277"/>
        <v>0</v>
      </c>
      <c r="DL191" s="409">
        <f t="shared" si="277"/>
        <v>0</v>
      </c>
      <c r="DM191" s="409">
        <f t="shared" si="277"/>
        <v>0</v>
      </c>
      <c r="DN191" s="409">
        <f t="shared" si="277"/>
        <v>0</v>
      </c>
      <c r="DO191" s="409">
        <f t="shared" si="278"/>
        <v>0</v>
      </c>
      <c r="DP191" s="409">
        <f t="shared" si="278"/>
        <v>0</v>
      </c>
      <c r="DQ191" s="409">
        <f t="shared" si="278"/>
        <v>0</v>
      </c>
      <c r="DR191" s="409">
        <f t="shared" si="278"/>
        <v>0</v>
      </c>
      <c r="DS191" s="409">
        <f t="shared" si="278"/>
        <v>0</v>
      </c>
      <c r="DT191" s="409">
        <f t="shared" si="278"/>
        <v>0</v>
      </c>
      <c r="DU191" s="409">
        <f t="shared" si="278"/>
        <v>0</v>
      </c>
      <c r="DV191" s="409">
        <f t="shared" si="278"/>
        <v>0</v>
      </c>
      <c r="DW191" s="409">
        <f t="shared" si="278"/>
        <v>0</v>
      </c>
      <c r="DX191" s="409">
        <f t="shared" si="278"/>
        <v>0</v>
      </c>
      <c r="DY191" s="409">
        <f t="shared" si="279"/>
        <v>0</v>
      </c>
      <c r="DZ191" s="409">
        <f t="shared" si="279"/>
        <v>0</v>
      </c>
      <c r="EA191" s="409">
        <f t="shared" si="279"/>
        <v>0</v>
      </c>
      <c r="EB191" s="409">
        <f t="shared" si="279"/>
        <v>0</v>
      </c>
      <c r="EC191" s="409">
        <f t="shared" si="279"/>
        <v>0</v>
      </c>
      <c r="ED191" s="409">
        <f t="shared" si="279"/>
        <v>0</v>
      </c>
      <c r="EE191" s="409">
        <f t="shared" si="279"/>
        <v>0</v>
      </c>
      <c r="EF191" s="409">
        <f t="shared" si="279"/>
        <v>0</v>
      </c>
      <c r="EG191" s="409">
        <f t="shared" si="279"/>
        <v>0</v>
      </c>
      <c r="EH191" s="409">
        <f t="shared" si="279"/>
        <v>0</v>
      </c>
      <c r="EI191" s="409">
        <f t="shared" si="280"/>
        <v>0</v>
      </c>
      <c r="EJ191" s="409">
        <f t="shared" si="280"/>
        <v>0</v>
      </c>
      <c r="EK191" s="409">
        <f t="shared" si="280"/>
        <v>0</v>
      </c>
      <c r="EL191" s="409">
        <f t="shared" si="280"/>
        <v>0</v>
      </c>
      <c r="EM191" s="409">
        <f t="shared" si="280"/>
        <v>0</v>
      </c>
      <c r="EN191" s="409">
        <f t="shared" si="280"/>
        <v>0</v>
      </c>
      <c r="EO191" s="409">
        <f t="shared" si="280"/>
        <v>0</v>
      </c>
      <c r="EP191" s="409">
        <f t="shared" si="280"/>
        <v>0</v>
      </c>
      <c r="EQ191" s="409">
        <f t="shared" si="280"/>
        <v>0</v>
      </c>
      <c r="ER191" s="409">
        <f t="shared" si="280"/>
        <v>0</v>
      </c>
      <c r="ES191" s="409">
        <f t="shared" si="281"/>
        <v>0</v>
      </c>
      <c r="ET191" s="409">
        <f t="shared" si="281"/>
        <v>0</v>
      </c>
      <c r="EU191" s="409">
        <f t="shared" si="281"/>
        <v>0</v>
      </c>
      <c r="EV191" s="409">
        <f t="shared" si="281"/>
        <v>0</v>
      </c>
      <c r="EW191" s="409">
        <f t="shared" si="281"/>
        <v>0</v>
      </c>
      <c r="EX191" s="409">
        <f t="shared" si="281"/>
        <v>0</v>
      </c>
      <c r="EY191" s="409">
        <f t="shared" si="281"/>
        <v>0</v>
      </c>
      <c r="EZ191" s="409">
        <f t="shared" si="281"/>
        <v>0</v>
      </c>
      <c r="FA191" s="409">
        <f t="shared" si="281"/>
        <v>0</v>
      </c>
      <c r="FB191" s="409">
        <f t="shared" si="281"/>
        <v>0</v>
      </c>
      <c r="FC191" s="409">
        <f t="shared" si="282"/>
        <v>0</v>
      </c>
      <c r="FD191" s="409">
        <f t="shared" si="282"/>
        <v>0</v>
      </c>
      <c r="FE191" s="409">
        <f t="shared" si="282"/>
        <v>0</v>
      </c>
      <c r="FF191" s="409">
        <f t="shared" si="282"/>
        <v>0</v>
      </c>
      <c r="FG191" s="409">
        <f t="shared" si="282"/>
        <v>0</v>
      </c>
      <c r="FH191" s="409">
        <f t="shared" si="282"/>
        <v>0</v>
      </c>
      <c r="FI191" s="409">
        <f t="shared" si="282"/>
        <v>0</v>
      </c>
      <c r="FJ191" s="409">
        <f t="shared" si="282"/>
        <v>0</v>
      </c>
      <c r="FK191" s="409">
        <f t="shared" si="282"/>
        <v>0</v>
      </c>
      <c r="FL191" s="409">
        <f t="shared" si="282"/>
        <v>0</v>
      </c>
      <c r="FM191" s="409">
        <f t="shared" si="283"/>
        <v>0</v>
      </c>
      <c r="FN191" s="409">
        <f t="shared" si="283"/>
        <v>0</v>
      </c>
      <c r="FO191" s="409">
        <f t="shared" si="283"/>
        <v>0</v>
      </c>
      <c r="FP191" s="409">
        <f t="shared" si="283"/>
        <v>0</v>
      </c>
      <c r="FQ191" s="409">
        <f t="shared" si="283"/>
        <v>0</v>
      </c>
      <c r="FR191" s="409">
        <f t="shared" si="283"/>
        <v>0</v>
      </c>
      <c r="FS191" s="409">
        <f t="shared" si="283"/>
        <v>0</v>
      </c>
      <c r="FT191" s="409">
        <f t="shared" si="283"/>
        <v>0</v>
      </c>
      <c r="FU191" s="409">
        <f t="shared" si="283"/>
        <v>0</v>
      </c>
      <c r="FV191" s="409">
        <f t="shared" si="283"/>
        <v>0</v>
      </c>
      <c r="FW191" s="409">
        <f t="shared" si="284"/>
        <v>0</v>
      </c>
      <c r="FX191" s="409">
        <f t="shared" si="284"/>
        <v>0</v>
      </c>
      <c r="FY191" s="409">
        <f t="shared" si="284"/>
        <v>0</v>
      </c>
      <c r="FZ191" s="409">
        <f t="shared" si="284"/>
        <v>0</v>
      </c>
      <c r="GA191" s="409">
        <f t="shared" si="284"/>
        <v>0</v>
      </c>
      <c r="GB191" s="409">
        <f t="shared" si="284"/>
        <v>0</v>
      </c>
      <c r="GC191" s="409">
        <f t="shared" si="284"/>
        <v>0</v>
      </c>
      <c r="GD191" s="409">
        <f t="shared" si="284"/>
        <v>0</v>
      </c>
      <c r="GE191" s="409">
        <f t="shared" si="284"/>
        <v>0</v>
      </c>
      <c r="GF191" s="409">
        <f t="shared" si="284"/>
        <v>0</v>
      </c>
      <c r="GG191" s="409">
        <f t="shared" si="285"/>
        <v>0</v>
      </c>
      <c r="GH191" s="409">
        <f t="shared" si="285"/>
        <v>0</v>
      </c>
      <c r="GI191" s="409">
        <f t="shared" si="285"/>
        <v>0</v>
      </c>
      <c r="GJ191" s="409">
        <f t="shared" si="285"/>
        <v>0</v>
      </c>
      <c r="GK191" s="409">
        <f t="shared" si="285"/>
        <v>0</v>
      </c>
      <c r="GL191" s="409">
        <f t="shared" si="285"/>
        <v>0</v>
      </c>
      <c r="GM191" s="409">
        <f t="shared" si="285"/>
        <v>0</v>
      </c>
      <c r="GN191" s="409">
        <f t="shared" si="285"/>
        <v>0</v>
      </c>
      <c r="GO191" s="409">
        <f t="shared" si="285"/>
        <v>0</v>
      </c>
      <c r="GP191" s="409">
        <f t="shared" si="285"/>
        <v>0</v>
      </c>
      <c r="GQ191" s="409">
        <f t="shared" si="286"/>
        <v>0</v>
      </c>
      <c r="GR191" s="409">
        <f t="shared" si="286"/>
        <v>0</v>
      </c>
      <c r="GS191" s="409">
        <f t="shared" si="286"/>
        <v>0</v>
      </c>
      <c r="GT191" s="409">
        <f t="shared" si="286"/>
        <v>0</v>
      </c>
      <c r="GU191" s="409">
        <f t="shared" si="286"/>
        <v>0</v>
      </c>
      <c r="GV191" s="409">
        <f t="shared" si="286"/>
        <v>0</v>
      </c>
      <c r="GW191" s="409">
        <f t="shared" si="286"/>
        <v>0</v>
      </c>
      <c r="GX191" s="409">
        <f t="shared" si="286"/>
        <v>0</v>
      </c>
      <c r="GY191" s="409">
        <f t="shared" si="286"/>
        <v>0</v>
      </c>
      <c r="GZ191" s="409">
        <f t="shared" si="286"/>
        <v>0</v>
      </c>
      <c r="HA191" s="409">
        <f t="shared" si="287"/>
        <v>0</v>
      </c>
      <c r="HB191" s="409">
        <f t="shared" si="287"/>
        <v>0</v>
      </c>
      <c r="HC191" s="409">
        <f t="shared" si="287"/>
        <v>0</v>
      </c>
      <c r="HD191" s="409">
        <f t="shared" si="287"/>
        <v>0</v>
      </c>
      <c r="HE191" s="409">
        <f t="shared" si="287"/>
        <v>0</v>
      </c>
      <c r="HF191" s="409">
        <f t="shared" si="287"/>
        <v>0</v>
      </c>
      <c r="HG191" s="409">
        <f t="shared" si="287"/>
        <v>0</v>
      </c>
      <c r="HH191" s="409">
        <f t="shared" si="287"/>
        <v>0</v>
      </c>
      <c r="HI191" s="409">
        <f t="shared" si="287"/>
        <v>0</v>
      </c>
      <c r="HJ191" s="409">
        <f t="shared" si="287"/>
        <v>0</v>
      </c>
      <c r="HK191" s="409">
        <f t="shared" si="288"/>
        <v>0</v>
      </c>
      <c r="HL191" s="409">
        <f t="shared" si="288"/>
        <v>0</v>
      </c>
      <c r="HM191" s="409">
        <f t="shared" si="288"/>
        <v>0</v>
      </c>
      <c r="HN191" s="409">
        <f t="shared" si="288"/>
        <v>0</v>
      </c>
      <c r="HO191" s="409">
        <f t="shared" si="288"/>
        <v>0</v>
      </c>
      <c r="HP191" s="409">
        <f t="shared" si="288"/>
        <v>0</v>
      </c>
      <c r="HQ191" s="409">
        <f t="shared" si="288"/>
        <v>0</v>
      </c>
      <c r="HR191" s="409">
        <f t="shared" si="288"/>
        <v>0</v>
      </c>
      <c r="HS191" s="409">
        <f t="shared" si="288"/>
        <v>0</v>
      </c>
      <c r="HT191" s="409">
        <f t="shared" si="288"/>
        <v>0</v>
      </c>
      <c r="HU191" s="409">
        <f t="shared" si="289"/>
        <v>0</v>
      </c>
      <c r="HV191" s="409">
        <f t="shared" si="289"/>
        <v>0</v>
      </c>
      <c r="HW191" s="409">
        <f t="shared" si="289"/>
        <v>0</v>
      </c>
      <c r="HX191" s="409">
        <f t="shared" si="289"/>
        <v>0</v>
      </c>
      <c r="HY191" s="409">
        <f t="shared" si="289"/>
        <v>0</v>
      </c>
      <c r="HZ191" s="409">
        <f t="shared" si="289"/>
        <v>0</v>
      </c>
      <c r="IA191" s="409">
        <f t="shared" si="289"/>
        <v>0</v>
      </c>
      <c r="IB191" s="409">
        <f t="shared" si="289"/>
        <v>0</v>
      </c>
      <c r="IC191" s="409">
        <f t="shared" si="289"/>
        <v>0</v>
      </c>
      <c r="ID191" s="409">
        <f t="shared" si="289"/>
        <v>0</v>
      </c>
      <c r="IE191" s="409">
        <f t="shared" si="290"/>
        <v>0</v>
      </c>
      <c r="IF191" s="409">
        <f t="shared" si="290"/>
        <v>0</v>
      </c>
      <c r="IG191" s="409">
        <f t="shared" si="290"/>
        <v>0</v>
      </c>
      <c r="IH191" s="409">
        <f t="shared" si="290"/>
        <v>0</v>
      </c>
      <c r="II191" s="409">
        <f t="shared" si="290"/>
        <v>0</v>
      </c>
      <c r="IJ191" s="409">
        <f t="shared" si="290"/>
        <v>0</v>
      </c>
      <c r="IK191" s="378"/>
    </row>
    <row r="192" spans="1:245" hidden="1" x14ac:dyDescent="0.2">
      <c r="A192" s="380" t="str">
        <f t="shared" si="242"/>
        <v>e</v>
      </c>
      <c r="B192" s="712" t="str">
        <f>IF(ISERROR(INDEX('Legend(DX)'!$H$11:$H$12,35)),"",INDEX('Legend(DX)'!$H$11:$H$12,35))</f>
        <v/>
      </c>
      <c r="C192" s="712" t="e">
        <f>IF(INDEX('Legend(DX)'!$T$11:$T$12,35)=0,"See Legend",INDEX('Legend(DX)'!$T$11:$T$12,35))</f>
        <v>#REF!</v>
      </c>
      <c r="D192" s="712" t="e">
        <f>IF(INDEX('Legend(DX)'!$R$11:$R$12,(ROW(C192))-137)=0,IF(AND(INDEX('Legend(DX)'!$D$11:$D$12,(ROW(C192))-136)="CH",INDEX('Legend(DX)'!$F$11:$F$12,(ROW(C192))-136)="CASE - MANUAL"),INDEX('Legend(DX)'!$R$11:$R$12,(ROW(C192))-136),IF(INDEX('Legend(DX)'!$V$11:$V$12,(ROW(C192))-137)&gt;1, "(" &amp; INDEX('Legend(DX)'!$V$11:$V$12,(ROW(C192))-137) &amp; ") " &amp; INDEX('Legend(DX)'!$W$11:$W$12,(ROW(C192))-136),INDEX('Legend(DX)'!$W$11:$W$12,(ROW(C192))-137))),INDEX('Legend(DX)'!$R$11:$R$12,(ROW(C192))-137))</f>
        <v>#REF!</v>
      </c>
      <c r="E192" s="713" t="str">
        <f>IF(ISERROR(INDEX('Legend(DX)'!$AA$11:$AA$12,35)),"",INDEX('Legend(DX)'!$AA$11:$AA$12,35))</f>
        <v/>
      </c>
      <c r="F192" s="715"/>
      <c r="G192" s="715"/>
      <c r="H192" s="715"/>
      <c r="I192" s="715"/>
      <c r="J192" s="715"/>
      <c r="K192" s="890">
        <f t="shared" si="223"/>
        <v>0</v>
      </c>
      <c r="L192" s="718"/>
      <c r="M192" s="723"/>
      <c r="N192" s="972">
        <f t="shared" si="291"/>
        <v>-1</v>
      </c>
      <c r="O192" s="972">
        <f t="shared" si="224"/>
        <v>-1</v>
      </c>
      <c r="P192" s="972">
        <f t="shared" si="292"/>
        <v>-1</v>
      </c>
      <c r="Q192" s="972">
        <f t="shared" si="225"/>
        <v>-1</v>
      </c>
      <c r="R192" s="972">
        <f t="shared" si="293"/>
        <v>-1</v>
      </c>
      <c r="S192" s="972">
        <f t="shared" si="226"/>
        <v>-1</v>
      </c>
      <c r="T192" s="972">
        <f t="shared" si="294"/>
        <v>-1</v>
      </c>
      <c r="U192" s="972">
        <f t="shared" si="227"/>
        <v>-1</v>
      </c>
      <c r="V192" s="972">
        <f t="shared" si="295"/>
        <v>-1</v>
      </c>
      <c r="W192" s="972">
        <f t="shared" si="228"/>
        <v>-1</v>
      </c>
      <c r="X192" s="972">
        <f t="shared" si="296"/>
        <v>-1</v>
      </c>
      <c r="Y192" s="972">
        <f t="shared" si="229"/>
        <v>-1</v>
      </c>
      <c r="Z192" s="972">
        <f t="shared" si="230"/>
        <v>-1</v>
      </c>
      <c r="AA192" s="972">
        <f t="shared" si="231"/>
        <v>-1</v>
      </c>
      <c r="AB192" s="972">
        <f t="shared" si="232"/>
        <v>-1</v>
      </c>
      <c r="AC192" s="972">
        <f t="shared" si="233"/>
        <v>-1</v>
      </c>
      <c r="AD192" s="972">
        <f t="shared" si="234"/>
        <v>-1</v>
      </c>
      <c r="AE192" s="972">
        <f t="shared" si="235"/>
        <v>-1</v>
      </c>
      <c r="AF192" s="972">
        <f t="shared" si="236"/>
        <v>-1</v>
      </c>
      <c r="AG192" s="972">
        <f t="shared" si="237"/>
        <v>-1</v>
      </c>
      <c r="AH192" s="972">
        <f t="shared" si="238"/>
        <v>-1</v>
      </c>
      <c r="AI192" s="972">
        <f t="shared" si="239"/>
        <v>-1</v>
      </c>
      <c r="AJ192" s="972">
        <f t="shared" si="240"/>
        <v>-1</v>
      </c>
      <c r="AK192" s="381"/>
      <c r="AL192" s="727" t="str">
        <f t="shared" si="241"/>
        <v/>
      </c>
      <c r="AM192" s="409">
        <f t="shared" si="270"/>
        <v>0</v>
      </c>
      <c r="AN192" s="409">
        <f t="shared" si="270"/>
        <v>0</v>
      </c>
      <c r="AO192" s="409">
        <f t="shared" si="270"/>
        <v>0</v>
      </c>
      <c r="AP192" s="409">
        <f t="shared" si="270"/>
        <v>0</v>
      </c>
      <c r="AQ192" s="409">
        <f t="shared" si="270"/>
        <v>0</v>
      </c>
      <c r="AR192" s="409">
        <f t="shared" si="270"/>
        <v>0</v>
      </c>
      <c r="AS192" s="409">
        <f t="shared" si="270"/>
        <v>0</v>
      </c>
      <c r="AT192" s="409">
        <f t="shared" si="270"/>
        <v>0</v>
      </c>
      <c r="AU192" s="409">
        <f t="shared" si="270"/>
        <v>0</v>
      </c>
      <c r="AV192" s="409">
        <f t="shared" si="270"/>
        <v>0</v>
      </c>
      <c r="AW192" s="409">
        <f t="shared" si="271"/>
        <v>0</v>
      </c>
      <c r="AX192" s="409">
        <f t="shared" si="271"/>
        <v>0</v>
      </c>
      <c r="AY192" s="409">
        <f t="shared" si="271"/>
        <v>0</v>
      </c>
      <c r="AZ192" s="409">
        <f t="shared" si="271"/>
        <v>0</v>
      </c>
      <c r="BA192" s="409">
        <f t="shared" si="271"/>
        <v>0</v>
      </c>
      <c r="BB192" s="409">
        <f t="shared" si="271"/>
        <v>0</v>
      </c>
      <c r="BC192" s="409">
        <f t="shared" si="271"/>
        <v>0</v>
      </c>
      <c r="BD192" s="409">
        <f t="shared" si="271"/>
        <v>0</v>
      </c>
      <c r="BE192" s="409">
        <f t="shared" si="271"/>
        <v>0</v>
      </c>
      <c r="BF192" s="409">
        <f t="shared" si="271"/>
        <v>0</v>
      </c>
      <c r="BG192" s="409">
        <f t="shared" si="272"/>
        <v>0</v>
      </c>
      <c r="BH192" s="409">
        <f t="shared" si="272"/>
        <v>0</v>
      </c>
      <c r="BI192" s="409">
        <f t="shared" si="272"/>
        <v>0</v>
      </c>
      <c r="BJ192" s="409">
        <f t="shared" si="272"/>
        <v>0</v>
      </c>
      <c r="BK192" s="409">
        <f t="shared" si="272"/>
        <v>0</v>
      </c>
      <c r="BL192" s="409">
        <f t="shared" si="272"/>
        <v>0</v>
      </c>
      <c r="BM192" s="409">
        <f t="shared" si="272"/>
        <v>0</v>
      </c>
      <c r="BN192" s="409">
        <f t="shared" si="272"/>
        <v>0</v>
      </c>
      <c r="BO192" s="409">
        <f t="shared" si="272"/>
        <v>0</v>
      </c>
      <c r="BP192" s="409">
        <f t="shared" si="272"/>
        <v>0</v>
      </c>
      <c r="BQ192" s="409">
        <f t="shared" si="273"/>
        <v>0</v>
      </c>
      <c r="BR192" s="409">
        <f t="shared" si="273"/>
        <v>0</v>
      </c>
      <c r="BS192" s="409">
        <f t="shared" si="273"/>
        <v>0</v>
      </c>
      <c r="BT192" s="409">
        <f t="shared" si="273"/>
        <v>0</v>
      </c>
      <c r="BU192" s="409">
        <f t="shared" si="273"/>
        <v>0</v>
      </c>
      <c r="BV192" s="409">
        <f t="shared" si="273"/>
        <v>0</v>
      </c>
      <c r="BW192" s="409">
        <f t="shared" si="273"/>
        <v>0</v>
      </c>
      <c r="BX192" s="409">
        <f t="shared" si="273"/>
        <v>0</v>
      </c>
      <c r="BY192" s="409">
        <f t="shared" si="273"/>
        <v>0</v>
      </c>
      <c r="BZ192" s="409">
        <f t="shared" si="273"/>
        <v>0</v>
      </c>
      <c r="CA192" s="409">
        <f t="shared" si="274"/>
        <v>0</v>
      </c>
      <c r="CB192" s="409">
        <f t="shared" si="274"/>
        <v>0</v>
      </c>
      <c r="CC192" s="409">
        <f t="shared" si="274"/>
        <v>0</v>
      </c>
      <c r="CD192" s="409">
        <f t="shared" si="274"/>
        <v>0</v>
      </c>
      <c r="CE192" s="409">
        <f t="shared" si="274"/>
        <v>0</v>
      </c>
      <c r="CF192" s="409">
        <f t="shared" si="274"/>
        <v>0</v>
      </c>
      <c r="CG192" s="409">
        <f t="shared" si="274"/>
        <v>0</v>
      </c>
      <c r="CH192" s="409">
        <f t="shared" si="274"/>
        <v>0</v>
      </c>
      <c r="CI192" s="409">
        <f t="shared" si="274"/>
        <v>0</v>
      </c>
      <c r="CJ192" s="409">
        <f t="shared" si="274"/>
        <v>0</v>
      </c>
      <c r="CK192" s="409">
        <f t="shared" si="275"/>
        <v>0</v>
      </c>
      <c r="CL192" s="409">
        <f t="shared" si="275"/>
        <v>0</v>
      </c>
      <c r="CM192" s="409">
        <f t="shared" si="275"/>
        <v>0</v>
      </c>
      <c r="CN192" s="409">
        <f t="shared" si="275"/>
        <v>0</v>
      </c>
      <c r="CO192" s="409">
        <f t="shared" si="275"/>
        <v>0</v>
      </c>
      <c r="CP192" s="409">
        <f t="shared" si="275"/>
        <v>0</v>
      </c>
      <c r="CQ192" s="409">
        <f t="shared" si="275"/>
        <v>0</v>
      </c>
      <c r="CR192" s="409">
        <f t="shared" si="275"/>
        <v>0</v>
      </c>
      <c r="CS192" s="409">
        <f t="shared" si="275"/>
        <v>0</v>
      </c>
      <c r="CT192" s="409">
        <f t="shared" si="275"/>
        <v>0</v>
      </c>
      <c r="CU192" s="409">
        <f t="shared" si="276"/>
        <v>0</v>
      </c>
      <c r="CV192" s="409">
        <f t="shared" si="276"/>
        <v>0</v>
      </c>
      <c r="CW192" s="409">
        <f t="shared" si="276"/>
        <v>0</v>
      </c>
      <c r="CX192" s="409">
        <f t="shared" si="276"/>
        <v>0</v>
      </c>
      <c r="CY192" s="409">
        <f t="shared" si="276"/>
        <v>0</v>
      </c>
      <c r="CZ192" s="409">
        <f t="shared" si="276"/>
        <v>0</v>
      </c>
      <c r="DA192" s="409">
        <f t="shared" si="276"/>
        <v>0</v>
      </c>
      <c r="DB192" s="409">
        <f t="shared" si="276"/>
        <v>0</v>
      </c>
      <c r="DC192" s="409">
        <f t="shared" si="276"/>
        <v>0</v>
      </c>
      <c r="DD192" s="409">
        <f t="shared" si="276"/>
        <v>0</v>
      </c>
      <c r="DE192" s="409">
        <f t="shared" si="277"/>
        <v>0</v>
      </c>
      <c r="DF192" s="409">
        <f t="shared" si="277"/>
        <v>0</v>
      </c>
      <c r="DG192" s="409">
        <f t="shared" si="277"/>
        <v>0</v>
      </c>
      <c r="DH192" s="409">
        <f t="shared" si="277"/>
        <v>0</v>
      </c>
      <c r="DI192" s="409">
        <f t="shared" si="277"/>
        <v>0</v>
      </c>
      <c r="DJ192" s="409">
        <f t="shared" si="277"/>
        <v>0</v>
      </c>
      <c r="DK192" s="409">
        <f t="shared" si="277"/>
        <v>0</v>
      </c>
      <c r="DL192" s="409">
        <f t="shared" si="277"/>
        <v>0</v>
      </c>
      <c r="DM192" s="409">
        <f t="shared" si="277"/>
        <v>0</v>
      </c>
      <c r="DN192" s="409">
        <f t="shared" si="277"/>
        <v>0</v>
      </c>
      <c r="DO192" s="409">
        <f t="shared" si="278"/>
        <v>0</v>
      </c>
      <c r="DP192" s="409">
        <f t="shared" si="278"/>
        <v>0</v>
      </c>
      <c r="DQ192" s="409">
        <f t="shared" si="278"/>
        <v>0</v>
      </c>
      <c r="DR192" s="409">
        <f t="shared" si="278"/>
        <v>0</v>
      </c>
      <c r="DS192" s="409">
        <f t="shared" si="278"/>
        <v>0</v>
      </c>
      <c r="DT192" s="409">
        <f t="shared" si="278"/>
        <v>0</v>
      </c>
      <c r="DU192" s="409">
        <f t="shared" si="278"/>
        <v>0</v>
      </c>
      <c r="DV192" s="409">
        <f t="shared" si="278"/>
        <v>0</v>
      </c>
      <c r="DW192" s="409">
        <f t="shared" si="278"/>
        <v>0</v>
      </c>
      <c r="DX192" s="409">
        <f t="shared" si="278"/>
        <v>0</v>
      </c>
      <c r="DY192" s="409">
        <f t="shared" si="279"/>
        <v>0</v>
      </c>
      <c r="DZ192" s="409">
        <f t="shared" si="279"/>
        <v>0</v>
      </c>
      <c r="EA192" s="409">
        <f t="shared" si="279"/>
        <v>0</v>
      </c>
      <c r="EB192" s="409">
        <f t="shared" si="279"/>
        <v>0</v>
      </c>
      <c r="EC192" s="409">
        <f t="shared" si="279"/>
        <v>0</v>
      </c>
      <c r="ED192" s="409">
        <f t="shared" si="279"/>
        <v>0</v>
      </c>
      <c r="EE192" s="409">
        <f t="shared" si="279"/>
        <v>0</v>
      </c>
      <c r="EF192" s="409">
        <f t="shared" si="279"/>
        <v>0</v>
      </c>
      <c r="EG192" s="409">
        <f t="shared" si="279"/>
        <v>0</v>
      </c>
      <c r="EH192" s="409">
        <f t="shared" si="279"/>
        <v>0</v>
      </c>
      <c r="EI192" s="409">
        <f t="shared" si="280"/>
        <v>0</v>
      </c>
      <c r="EJ192" s="409">
        <f t="shared" si="280"/>
        <v>0</v>
      </c>
      <c r="EK192" s="409">
        <f t="shared" si="280"/>
        <v>0</v>
      </c>
      <c r="EL192" s="409">
        <f t="shared" si="280"/>
        <v>0</v>
      </c>
      <c r="EM192" s="409">
        <f t="shared" si="280"/>
        <v>0</v>
      </c>
      <c r="EN192" s="409">
        <f t="shared" si="280"/>
        <v>0</v>
      </c>
      <c r="EO192" s="409">
        <f t="shared" si="280"/>
        <v>0</v>
      </c>
      <c r="EP192" s="409">
        <f t="shared" si="280"/>
        <v>0</v>
      </c>
      <c r="EQ192" s="409">
        <f t="shared" si="280"/>
        <v>0</v>
      </c>
      <c r="ER192" s="409">
        <f t="shared" si="280"/>
        <v>0</v>
      </c>
      <c r="ES192" s="409">
        <f t="shared" si="281"/>
        <v>0</v>
      </c>
      <c r="ET192" s="409">
        <f t="shared" si="281"/>
        <v>0</v>
      </c>
      <c r="EU192" s="409">
        <f t="shared" si="281"/>
        <v>0</v>
      </c>
      <c r="EV192" s="409">
        <f t="shared" si="281"/>
        <v>0</v>
      </c>
      <c r="EW192" s="409">
        <f t="shared" si="281"/>
        <v>0</v>
      </c>
      <c r="EX192" s="409">
        <f t="shared" si="281"/>
        <v>0</v>
      </c>
      <c r="EY192" s="409">
        <f t="shared" si="281"/>
        <v>0</v>
      </c>
      <c r="EZ192" s="409">
        <f t="shared" si="281"/>
        <v>0</v>
      </c>
      <c r="FA192" s="409">
        <f t="shared" si="281"/>
        <v>0</v>
      </c>
      <c r="FB192" s="409">
        <f t="shared" si="281"/>
        <v>0</v>
      </c>
      <c r="FC192" s="409">
        <f t="shared" si="282"/>
        <v>0</v>
      </c>
      <c r="FD192" s="409">
        <f t="shared" si="282"/>
        <v>0</v>
      </c>
      <c r="FE192" s="409">
        <f t="shared" si="282"/>
        <v>0</v>
      </c>
      <c r="FF192" s="409">
        <f t="shared" si="282"/>
        <v>0</v>
      </c>
      <c r="FG192" s="409">
        <f t="shared" si="282"/>
        <v>0</v>
      </c>
      <c r="FH192" s="409">
        <f t="shared" si="282"/>
        <v>0</v>
      </c>
      <c r="FI192" s="409">
        <f t="shared" si="282"/>
        <v>0</v>
      </c>
      <c r="FJ192" s="409">
        <f t="shared" si="282"/>
        <v>0</v>
      </c>
      <c r="FK192" s="409">
        <f t="shared" si="282"/>
        <v>0</v>
      </c>
      <c r="FL192" s="409">
        <f t="shared" si="282"/>
        <v>0</v>
      </c>
      <c r="FM192" s="409">
        <f t="shared" si="283"/>
        <v>0</v>
      </c>
      <c r="FN192" s="409">
        <f t="shared" si="283"/>
        <v>0</v>
      </c>
      <c r="FO192" s="409">
        <f t="shared" si="283"/>
        <v>0</v>
      </c>
      <c r="FP192" s="409">
        <f t="shared" si="283"/>
        <v>0</v>
      </c>
      <c r="FQ192" s="409">
        <f t="shared" si="283"/>
        <v>0</v>
      </c>
      <c r="FR192" s="409">
        <f t="shared" si="283"/>
        <v>0</v>
      </c>
      <c r="FS192" s="409">
        <f t="shared" si="283"/>
        <v>0</v>
      </c>
      <c r="FT192" s="409">
        <f t="shared" si="283"/>
        <v>0</v>
      </c>
      <c r="FU192" s="409">
        <f t="shared" si="283"/>
        <v>0</v>
      </c>
      <c r="FV192" s="409">
        <f t="shared" si="283"/>
        <v>0</v>
      </c>
      <c r="FW192" s="409">
        <f t="shared" si="284"/>
        <v>0</v>
      </c>
      <c r="FX192" s="409">
        <f t="shared" si="284"/>
        <v>0</v>
      </c>
      <c r="FY192" s="409">
        <f t="shared" si="284"/>
        <v>0</v>
      </c>
      <c r="FZ192" s="409">
        <f t="shared" si="284"/>
        <v>0</v>
      </c>
      <c r="GA192" s="409">
        <f t="shared" si="284"/>
        <v>0</v>
      </c>
      <c r="GB192" s="409">
        <f t="shared" si="284"/>
        <v>0</v>
      </c>
      <c r="GC192" s="409">
        <f t="shared" si="284"/>
        <v>0</v>
      </c>
      <c r="GD192" s="409">
        <f t="shared" si="284"/>
        <v>0</v>
      </c>
      <c r="GE192" s="409">
        <f t="shared" si="284"/>
        <v>0</v>
      </c>
      <c r="GF192" s="409">
        <f t="shared" si="284"/>
        <v>0</v>
      </c>
      <c r="GG192" s="409">
        <f t="shared" si="285"/>
        <v>0</v>
      </c>
      <c r="GH192" s="409">
        <f t="shared" si="285"/>
        <v>0</v>
      </c>
      <c r="GI192" s="409">
        <f t="shared" si="285"/>
        <v>0</v>
      </c>
      <c r="GJ192" s="409">
        <f t="shared" si="285"/>
        <v>0</v>
      </c>
      <c r="GK192" s="409">
        <f t="shared" si="285"/>
        <v>0</v>
      </c>
      <c r="GL192" s="409">
        <f t="shared" si="285"/>
        <v>0</v>
      </c>
      <c r="GM192" s="409">
        <f t="shared" si="285"/>
        <v>0</v>
      </c>
      <c r="GN192" s="409">
        <f t="shared" si="285"/>
        <v>0</v>
      </c>
      <c r="GO192" s="409">
        <f t="shared" si="285"/>
        <v>0</v>
      </c>
      <c r="GP192" s="409">
        <f t="shared" si="285"/>
        <v>0</v>
      </c>
      <c r="GQ192" s="409">
        <f t="shared" si="286"/>
        <v>0</v>
      </c>
      <c r="GR192" s="409">
        <f t="shared" si="286"/>
        <v>0</v>
      </c>
      <c r="GS192" s="409">
        <f t="shared" si="286"/>
        <v>0</v>
      </c>
      <c r="GT192" s="409">
        <f t="shared" si="286"/>
        <v>0</v>
      </c>
      <c r="GU192" s="409">
        <f t="shared" si="286"/>
        <v>0</v>
      </c>
      <c r="GV192" s="409">
        <f t="shared" si="286"/>
        <v>0</v>
      </c>
      <c r="GW192" s="409">
        <f t="shared" si="286"/>
        <v>0</v>
      </c>
      <c r="GX192" s="409">
        <f t="shared" si="286"/>
        <v>0</v>
      </c>
      <c r="GY192" s="409">
        <f t="shared" si="286"/>
        <v>0</v>
      </c>
      <c r="GZ192" s="409">
        <f t="shared" si="286"/>
        <v>0</v>
      </c>
      <c r="HA192" s="409">
        <f t="shared" si="287"/>
        <v>0</v>
      </c>
      <c r="HB192" s="409">
        <f t="shared" si="287"/>
        <v>0</v>
      </c>
      <c r="HC192" s="409">
        <f t="shared" si="287"/>
        <v>0</v>
      </c>
      <c r="HD192" s="409">
        <f t="shared" si="287"/>
        <v>0</v>
      </c>
      <c r="HE192" s="409">
        <f t="shared" si="287"/>
        <v>0</v>
      </c>
      <c r="HF192" s="409">
        <f t="shared" si="287"/>
        <v>0</v>
      </c>
      <c r="HG192" s="409">
        <f t="shared" si="287"/>
        <v>0</v>
      </c>
      <c r="HH192" s="409">
        <f t="shared" si="287"/>
        <v>0</v>
      </c>
      <c r="HI192" s="409">
        <f t="shared" si="287"/>
        <v>0</v>
      </c>
      <c r="HJ192" s="409">
        <f t="shared" si="287"/>
        <v>0</v>
      </c>
      <c r="HK192" s="409">
        <f t="shared" si="288"/>
        <v>0</v>
      </c>
      <c r="HL192" s="409">
        <f t="shared" si="288"/>
        <v>0</v>
      </c>
      <c r="HM192" s="409">
        <f t="shared" si="288"/>
        <v>0</v>
      </c>
      <c r="HN192" s="409">
        <f t="shared" si="288"/>
        <v>0</v>
      </c>
      <c r="HO192" s="409">
        <f t="shared" si="288"/>
        <v>0</v>
      </c>
      <c r="HP192" s="409">
        <f t="shared" si="288"/>
        <v>0</v>
      </c>
      <c r="HQ192" s="409">
        <f t="shared" si="288"/>
        <v>0</v>
      </c>
      <c r="HR192" s="409">
        <f t="shared" si="288"/>
        <v>0</v>
      </c>
      <c r="HS192" s="409">
        <f t="shared" si="288"/>
        <v>0</v>
      </c>
      <c r="HT192" s="409">
        <f t="shared" si="288"/>
        <v>0</v>
      </c>
      <c r="HU192" s="409">
        <f t="shared" si="289"/>
        <v>0</v>
      </c>
      <c r="HV192" s="409">
        <f t="shared" si="289"/>
        <v>0</v>
      </c>
      <c r="HW192" s="409">
        <f t="shared" si="289"/>
        <v>0</v>
      </c>
      <c r="HX192" s="409">
        <f t="shared" si="289"/>
        <v>0</v>
      </c>
      <c r="HY192" s="409">
        <f t="shared" si="289"/>
        <v>0</v>
      </c>
      <c r="HZ192" s="409">
        <f t="shared" si="289"/>
        <v>0</v>
      </c>
      <c r="IA192" s="409">
        <f t="shared" si="289"/>
        <v>0</v>
      </c>
      <c r="IB192" s="409">
        <f t="shared" si="289"/>
        <v>0</v>
      </c>
      <c r="IC192" s="409">
        <f t="shared" si="289"/>
        <v>0</v>
      </c>
      <c r="ID192" s="409">
        <f t="shared" si="289"/>
        <v>0</v>
      </c>
      <c r="IE192" s="409">
        <f t="shared" si="290"/>
        <v>0</v>
      </c>
      <c r="IF192" s="409">
        <f t="shared" si="290"/>
        <v>0</v>
      </c>
      <c r="IG192" s="409">
        <f t="shared" si="290"/>
        <v>0</v>
      </c>
      <c r="IH192" s="409">
        <f t="shared" si="290"/>
        <v>0</v>
      </c>
      <c r="II192" s="409">
        <f t="shared" si="290"/>
        <v>0</v>
      </c>
      <c r="IJ192" s="409">
        <f t="shared" si="290"/>
        <v>0</v>
      </c>
      <c r="IK192" s="378"/>
    </row>
    <row r="193" spans="1:249" hidden="1" x14ac:dyDescent="0.2">
      <c r="A193" s="380" t="str">
        <f t="shared" si="242"/>
        <v>e</v>
      </c>
      <c r="B193" s="712" t="str">
        <f>IF(ISERROR(INDEX('Legend(DX)'!$H$11:$H$12,36)),"",INDEX('Legend(DX)'!$H$11:$H$12,36))</f>
        <v/>
      </c>
      <c r="C193" s="712" t="e">
        <f>IF(INDEX('Legend(DX)'!$T$11:$T$12,36)=0,"See Legend",INDEX('Legend(DX)'!$T$11:$T$12,36))</f>
        <v>#REF!</v>
      </c>
      <c r="D193" s="712" t="e">
        <f>IF(INDEX('Legend(DX)'!$R$11:$R$12,(ROW(C193))-137)=0,IF(AND(INDEX('Legend(DX)'!$D$11:$D$12,(ROW(C193))-136)="CH",INDEX('Legend(DX)'!$F$11:$F$12,(ROW(C193))-136)="CASE - MANUAL"),INDEX('Legend(DX)'!$R$11:$R$12,(ROW(C193))-136),IF(INDEX('Legend(DX)'!$V$11:$V$12,(ROW(C193))-137)&gt;1, "(" &amp; INDEX('Legend(DX)'!$V$11:$V$12,(ROW(C193))-137) &amp; ") " &amp; INDEX('Legend(DX)'!$W$11:$W$12,(ROW(C193))-136),INDEX('Legend(DX)'!$W$11:$W$12,(ROW(C193))-137))),INDEX('Legend(DX)'!$R$11:$R$12,(ROW(C193))-137))</f>
        <v>#REF!</v>
      </c>
      <c r="E193" s="713" t="str">
        <f>IF(ISERROR(INDEX('Legend(DX)'!$AA$11:$AA$12,36)),"",INDEX('Legend(DX)'!$AA$11:$AA$12,36))</f>
        <v/>
      </c>
      <c r="F193" s="715"/>
      <c r="G193" s="715"/>
      <c r="H193" s="715"/>
      <c r="I193" s="715"/>
      <c r="J193" s="715"/>
      <c r="K193" s="890">
        <f t="shared" si="223"/>
        <v>0</v>
      </c>
      <c r="L193" s="718"/>
      <c r="M193" s="723"/>
      <c r="N193" s="972">
        <f t="shared" si="291"/>
        <v>-1</v>
      </c>
      <c r="O193" s="972">
        <f t="shared" si="224"/>
        <v>-1</v>
      </c>
      <c r="P193" s="972">
        <f t="shared" si="292"/>
        <v>-1</v>
      </c>
      <c r="Q193" s="972">
        <f t="shared" si="225"/>
        <v>-1</v>
      </c>
      <c r="R193" s="972">
        <f t="shared" si="293"/>
        <v>-1</v>
      </c>
      <c r="S193" s="972">
        <f t="shared" si="226"/>
        <v>-1</v>
      </c>
      <c r="T193" s="972">
        <f t="shared" si="294"/>
        <v>-1</v>
      </c>
      <c r="U193" s="972">
        <f t="shared" si="227"/>
        <v>-1</v>
      </c>
      <c r="V193" s="972">
        <f t="shared" si="295"/>
        <v>-1</v>
      </c>
      <c r="W193" s="972">
        <f t="shared" si="228"/>
        <v>-1</v>
      </c>
      <c r="X193" s="972">
        <f t="shared" si="296"/>
        <v>-1</v>
      </c>
      <c r="Y193" s="972">
        <f t="shared" si="229"/>
        <v>-1</v>
      </c>
      <c r="Z193" s="972">
        <f t="shared" si="230"/>
        <v>-1</v>
      </c>
      <c r="AA193" s="972">
        <f t="shared" si="231"/>
        <v>-1</v>
      </c>
      <c r="AB193" s="972">
        <f t="shared" si="232"/>
        <v>-1</v>
      </c>
      <c r="AC193" s="972">
        <f t="shared" si="233"/>
        <v>-1</v>
      </c>
      <c r="AD193" s="972">
        <f t="shared" si="234"/>
        <v>-1</v>
      </c>
      <c r="AE193" s="972">
        <f t="shared" si="235"/>
        <v>-1</v>
      </c>
      <c r="AF193" s="972">
        <f t="shared" si="236"/>
        <v>-1</v>
      </c>
      <c r="AG193" s="972">
        <f t="shared" si="237"/>
        <v>-1</v>
      </c>
      <c r="AH193" s="972">
        <f t="shared" si="238"/>
        <v>-1</v>
      </c>
      <c r="AI193" s="972">
        <f t="shared" si="239"/>
        <v>-1</v>
      </c>
      <c r="AJ193" s="972">
        <f t="shared" si="240"/>
        <v>-1</v>
      </c>
      <c r="AK193" s="381"/>
      <c r="AL193" s="727" t="str">
        <f t="shared" si="241"/>
        <v/>
      </c>
      <c r="AM193" s="409">
        <f t="shared" si="270"/>
        <v>0</v>
      </c>
      <c r="AN193" s="409">
        <f t="shared" si="270"/>
        <v>0</v>
      </c>
      <c r="AO193" s="409">
        <f t="shared" si="270"/>
        <v>0</v>
      </c>
      <c r="AP193" s="409">
        <f t="shared" si="270"/>
        <v>0</v>
      </c>
      <c r="AQ193" s="409">
        <f t="shared" si="270"/>
        <v>0</v>
      </c>
      <c r="AR193" s="409">
        <f t="shared" si="270"/>
        <v>0</v>
      </c>
      <c r="AS193" s="409">
        <f t="shared" si="270"/>
        <v>0</v>
      </c>
      <c r="AT193" s="409">
        <f t="shared" si="270"/>
        <v>0</v>
      </c>
      <c r="AU193" s="409">
        <f t="shared" si="270"/>
        <v>0</v>
      </c>
      <c r="AV193" s="409">
        <f t="shared" si="270"/>
        <v>0</v>
      </c>
      <c r="AW193" s="409">
        <f t="shared" si="271"/>
        <v>0</v>
      </c>
      <c r="AX193" s="409">
        <f t="shared" si="271"/>
        <v>0</v>
      </c>
      <c r="AY193" s="409">
        <f t="shared" si="271"/>
        <v>0</v>
      </c>
      <c r="AZ193" s="409">
        <f t="shared" si="271"/>
        <v>0</v>
      </c>
      <c r="BA193" s="409">
        <f t="shared" si="271"/>
        <v>0</v>
      </c>
      <c r="BB193" s="409">
        <f t="shared" si="271"/>
        <v>0</v>
      </c>
      <c r="BC193" s="409">
        <f t="shared" si="271"/>
        <v>0</v>
      </c>
      <c r="BD193" s="409">
        <f t="shared" si="271"/>
        <v>0</v>
      </c>
      <c r="BE193" s="409">
        <f t="shared" si="271"/>
        <v>0</v>
      </c>
      <c r="BF193" s="409">
        <f t="shared" si="271"/>
        <v>0</v>
      </c>
      <c r="BG193" s="409">
        <f t="shared" si="272"/>
        <v>0</v>
      </c>
      <c r="BH193" s="409">
        <f t="shared" si="272"/>
        <v>0</v>
      </c>
      <c r="BI193" s="409">
        <f t="shared" si="272"/>
        <v>0</v>
      </c>
      <c r="BJ193" s="409">
        <f t="shared" si="272"/>
        <v>0</v>
      </c>
      <c r="BK193" s="409">
        <f t="shared" si="272"/>
        <v>0</v>
      </c>
      <c r="BL193" s="409">
        <f t="shared" si="272"/>
        <v>0</v>
      </c>
      <c r="BM193" s="409">
        <f t="shared" si="272"/>
        <v>0</v>
      </c>
      <c r="BN193" s="409">
        <f t="shared" si="272"/>
        <v>0</v>
      </c>
      <c r="BO193" s="409">
        <f t="shared" si="272"/>
        <v>0</v>
      </c>
      <c r="BP193" s="409">
        <f t="shared" si="272"/>
        <v>0</v>
      </c>
      <c r="BQ193" s="409">
        <f t="shared" si="273"/>
        <v>0</v>
      </c>
      <c r="BR193" s="409">
        <f t="shared" si="273"/>
        <v>0</v>
      </c>
      <c r="BS193" s="409">
        <f t="shared" si="273"/>
        <v>0</v>
      </c>
      <c r="BT193" s="409">
        <f t="shared" si="273"/>
        <v>0</v>
      </c>
      <c r="BU193" s="409">
        <f t="shared" si="273"/>
        <v>0</v>
      </c>
      <c r="BV193" s="409">
        <f t="shared" si="273"/>
        <v>0</v>
      </c>
      <c r="BW193" s="409">
        <f t="shared" si="273"/>
        <v>0</v>
      </c>
      <c r="BX193" s="409">
        <f t="shared" si="273"/>
        <v>0</v>
      </c>
      <c r="BY193" s="409">
        <f t="shared" si="273"/>
        <v>0</v>
      </c>
      <c r="BZ193" s="409">
        <f t="shared" si="273"/>
        <v>0</v>
      </c>
      <c r="CA193" s="409">
        <f t="shared" si="274"/>
        <v>0</v>
      </c>
      <c r="CB193" s="409">
        <f t="shared" si="274"/>
        <v>0</v>
      </c>
      <c r="CC193" s="409">
        <f t="shared" si="274"/>
        <v>0</v>
      </c>
      <c r="CD193" s="409">
        <f t="shared" si="274"/>
        <v>0</v>
      </c>
      <c r="CE193" s="409">
        <f t="shared" si="274"/>
        <v>0</v>
      </c>
      <c r="CF193" s="409">
        <f t="shared" si="274"/>
        <v>0</v>
      </c>
      <c r="CG193" s="409">
        <f t="shared" si="274"/>
        <v>0</v>
      </c>
      <c r="CH193" s="409">
        <f t="shared" si="274"/>
        <v>0</v>
      </c>
      <c r="CI193" s="409">
        <f t="shared" si="274"/>
        <v>0</v>
      </c>
      <c r="CJ193" s="409">
        <f t="shared" si="274"/>
        <v>0</v>
      </c>
      <c r="CK193" s="409">
        <f t="shared" si="275"/>
        <v>0</v>
      </c>
      <c r="CL193" s="409">
        <f t="shared" si="275"/>
        <v>0</v>
      </c>
      <c r="CM193" s="409">
        <f t="shared" si="275"/>
        <v>0</v>
      </c>
      <c r="CN193" s="409">
        <f t="shared" si="275"/>
        <v>0</v>
      </c>
      <c r="CO193" s="409">
        <f t="shared" si="275"/>
        <v>0</v>
      </c>
      <c r="CP193" s="409">
        <f t="shared" si="275"/>
        <v>0</v>
      </c>
      <c r="CQ193" s="409">
        <f t="shared" si="275"/>
        <v>0</v>
      </c>
      <c r="CR193" s="409">
        <f t="shared" si="275"/>
        <v>0</v>
      </c>
      <c r="CS193" s="409">
        <f t="shared" si="275"/>
        <v>0</v>
      </c>
      <c r="CT193" s="409">
        <f t="shared" si="275"/>
        <v>0</v>
      </c>
      <c r="CU193" s="409">
        <f t="shared" si="276"/>
        <v>0</v>
      </c>
      <c r="CV193" s="409">
        <f t="shared" si="276"/>
        <v>0</v>
      </c>
      <c r="CW193" s="409">
        <f t="shared" si="276"/>
        <v>0</v>
      </c>
      <c r="CX193" s="409">
        <f t="shared" si="276"/>
        <v>0</v>
      </c>
      <c r="CY193" s="409">
        <f t="shared" si="276"/>
        <v>0</v>
      </c>
      <c r="CZ193" s="409">
        <f t="shared" si="276"/>
        <v>0</v>
      </c>
      <c r="DA193" s="409">
        <f t="shared" si="276"/>
        <v>0</v>
      </c>
      <c r="DB193" s="409">
        <f t="shared" si="276"/>
        <v>0</v>
      </c>
      <c r="DC193" s="409">
        <f t="shared" si="276"/>
        <v>0</v>
      </c>
      <c r="DD193" s="409">
        <f t="shared" si="276"/>
        <v>0</v>
      </c>
      <c r="DE193" s="409">
        <f t="shared" si="277"/>
        <v>0</v>
      </c>
      <c r="DF193" s="409">
        <f t="shared" si="277"/>
        <v>0</v>
      </c>
      <c r="DG193" s="409">
        <f t="shared" si="277"/>
        <v>0</v>
      </c>
      <c r="DH193" s="409">
        <f t="shared" si="277"/>
        <v>0</v>
      </c>
      <c r="DI193" s="409">
        <f t="shared" si="277"/>
        <v>0</v>
      </c>
      <c r="DJ193" s="409">
        <f t="shared" si="277"/>
        <v>0</v>
      </c>
      <c r="DK193" s="409">
        <f t="shared" si="277"/>
        <v>0</v>
      </c>
      <c r="DL193" s="409">
        <f t="shared" si="277"/>
        <v>0</v>
      </c>
      <c r="DM193" s="409">
        <f t="shared" si="277"/>
        <v>0</v>
      </c>
      <c r="DN193" s="409">
        <f t="shared" si="277"/>
        <v>0</v>
      </c>
      <c r="DO193" s="409">
        <f t="shared" si="278"/>
        <v>0</v>
      </c>
      <c r="DP193" s="409">
        <f t="shared" si="278"/>
        <v>0</v>
      </c>
      <c r="DQ193" s="409">
        <f t="shared" si="278"/>
        <v>0</v>
      </c>
      <c r="DR193" s="409">
        <f t="shared" si="278"/>
        <v>0</v>
      </c>
      <c r="DS193" s="409">
        <f t="shared" si="278"/>
        <v>0</v>
      </c>
      <c r="DT193" s="409">
        <f t="shared" si="278"/>
        <v>0</v>
      </c>
      <c r="DU193" s="409">
        <f t="shared" si="278"/>
        <v>0</v>
      </c>
      <c r="DV193" s="409">
        <f t="shared" si="278"/>
        <v>0</v>
      </c>
      <c r="DW193" s="409">
        <f t="shared" si="278"/>
        <v>0</v>
      </c>
      <c r="DX193" s="409">
        <f t="shared" si="278"/>
        <v>0</v>
      </c>
      <c r="DY193" s="409">
        <f t="shared" si="279"/>
        <v>0</v>
      </c>
      <c r="DZ193" s="409">
        <f t="shared" si="279"/>
        <v>0</v>
      </c>
      <c r="EA193" s="409">
        <f t="shared" si="279"/>
        <v>0</v>
      </c>
      <c r="EB193" s="409">
        <f t="shared" si="279"/>
        <v>0</v>
      </c>
      <c r="EC193" s="409">
        <f t="shared" si="279"/>
        <v>0</v>
      </c>
      <c r="ED193" s="409">
        <f t="shared" si="279"/>
        <v>0</v>
      </c>
      <c r="EE193" s="409">
        <f t="shared" si="279"/>
        <v>0</v>
      </c>
      <c r="EF193" s="409">
        <f t="shared" si="279"/>
        <v>0</v>
      </c>
      <c r="EG193" s="409">
        <f t="shared" si="279"/>
        <v>0</v>
      </c>
      <c r="EH193" s="409">
        <f t="shared" si="279"/>
        <v>0</v>
      </c>
      <c r="EI193" s="409">
        <f t="shared" si="280"/>
        <v>0</v>
      </c>
      <c r="EJ193" s="409">
        <f t="shared" si="280"/>
        <v>0</v>
      </c>
      <c r="EK193" s="409">
        <f t="shared" si="280"/>
        <v>0</v>
      </c>
      <c r="EL193" s="409">
        <f t="shared" si="280"/>
        <v>0</v>
      </c>
      <c r="EM193" s="409">
        <f t="shared" si="280"/>
        <v>0</v>
      </c>
      <c r="EN193" s="409">
        <f t="shared" si="280"/>
        <v>0</v>
      </c>
      <c r="EO193" s="409">
        <f t="shared" si="280"/>
        <v>0</v>
      </c>
      <c r="EP193" s="409">
        <f t="shared" si="280"/>
        <v>0</v>
      </c>
      <c r="EQ193" s="409">
        <f t="shared" si="280"/>
        <v>0</v>
      </c>
      <c r="ER193" s="409">
        <f t="shared" si="280"/>
        <v>0</v>
      </c>
      <c r="ES193" s="409">
        <f t="shared" si="281"/>
        <v>0</v>
      </c>
      <c r="ET193" s="409">
        <f t="shared" si="281"/>
        <v>0</v>
      </c>
      <c r="EU193" s="409">
        <f t="shared" si="281"/>
        <v>0</v>
      </c>
      <c r="EV193" s="409">
        <f t="shared" si="281"/>
        <v>0</v>
      </c>
      <c r="EW193" s="409">
        <f t="shared" si="281"/>
        <v>0</v>
      </c>
      <c r="EX193" s="409">
        <f t="shared" si="281"/>
        <v>0</v>
      </c>
      <c r="EY193" s="409">
        <f t="shared" si="281"/>
        <v>0</v>
      </c>
      <c r="EZ193" s="409">
        <f t="shared" si="281"/>
        <v>0</v>
      </c>
      <c r="FA193" s="409">
        <f t="shared" si="281"/>
        <v>0</v>
      </c>
      <c r="FB193" s="409">
        <f t="shared" si="281"/>
        <v>0</v>
      </c>
      <c r="FC193" s="409">
        <f t="shared" si="282"/>
        <v>0</v>
      </c>
      <c r="FD193" s="409">
        <f t="shared" si="282"/>
        <v>0</v>
      </c>
      <c r="FE193" s="409">
        <f t="shared" si="282"/>
        <v>0</v>
      </c>
      <c r="FF193" s="409">
        <f t="shared" si="282"/>
        <v>0</v>
      </c>
      <c r="FG193" s="409">
        <f t="shared" si="282"/>
        <v>0</v>
      </c>
      <c r="FH193" s="409">
        <f t="shared" si="282"/>
        <v>0</v>
      </c>
      <c r="FI193" s="409">
        <f t="shared" si="282"/>
        <v>0</v>
      </c>
      <c r="FJ193" s="409">
        <f t="shared" si="282"/>
        <v>0</v>
      </c>
      <c r="FK193" s="409">
        <f t="shared" si="282"/>
        <v>0</v>
      </c>
      <c r="FL193" s="409">
        <f t="shared" si="282"/>
        <v>0</v>
      </c>
      <c r="FM193" s="409">
        <f t="shared" si="283"/>
        <v>0</v>
      </c>
      <c r="FN193" s="409">
        <f t="shared" si="283"/>
        <v>0</v>
      </c>
      <c r="FO193" s="409">
        <f t="shared" si="283"/>
        <v>0</v>
      </c>
      <c r="FP193" s="409">
        <f t="shared" si="283"/>
        <v>0</v>
      </c>
      <c r="FQ193" s="409">
        <f t="shared" si="283"/>
        <v>0</v>
      </c>
      <c r="FR193" s="409">
        <f t="shared" si="283"/>
        <v>0</v>
      </c>
      <c r="FS193" s="409">
        <f t="shared" si="283"/>
        <v>0</v>
      </c>
      <c r="FT193" s="409">
        <f t="shared" si="283"/>
        <v>0</v>
      </c>
      <c r="FU193" s="409">
        <f t="shared" si="283"/>
        <v>0</v>
      </c>
      <c r="FV193" s="409">
        <f t="shared" si="283"/>
        <v>0</v>
      </c>
      <c r="FW193" s="409">
        <f t="shared" si="284"/>
        <v>0</v>
      </c>
      <c r="FX193" s="409">
        <f t="shared" si="284"/>
        <v>0</v>
      </c>
      <c r="FY193" s="409">
        <f t="shared" si="284"/>
        <v>0</v>
      </c>
      <c r="FZ193" s="409">
        <f t="shared" si="284"/>
        <v>0</v>
      </c>
      <c r="GA193" s="409">
        <f t="shared" si="284"/>
        <v>0</v>
      </c>
      <c r="GB193" s="409">
        <f t="shared" si="284"/>
        <v>0</v>
      </c>
      <c r="GC193" s="409">
        <f t="shared" si="284"/>
        <v>0</v>
      </c>
      <c r="GD193" s="409">
        <f t="shared" si="284"/>
        <v>0</v>
      </c>
      <c r="GE193" s="409">
        <f t="shared" si="284"/>
        <v>0</v>
      </c>
      <c r="GF193" s="409">
        <f t="shared" si="284"/>
        <v>0</v>
      </c>
      <c r="GG193" s="409">
        <f t="shared" si="285"/>
        <v>0</v>
      </c>
      <c r="GH193" s="409">
        <f t="shared" si="285"/>
        <v>0</v>
      </c>
      <c r="GI193" s="409">
        <f t="shared" si="285"/>
        <v>0</v>
      </c>
      <c r="GJ193" s="409">
        <f t="shared" si="285"/>
        <v>0</v>
      </c>
      <c r="GK193" s="409">
        <f t="shared" si="285"/>
        <v>0</v>
      </c>
      <c r="GL193" s="409">
        <f t="shared" si="285"/>
        <v>0</v>
      </c>
      <c r="GM193" s="409">
        <f t="shared" si="285"/>
        <v>0</v>
      </c>
      <c r="GN193" s="409">
        <f t="shared" si="285"/>
        <v>0</v>
      </c>
      <c r="GO193" s="409">
        <f t="shared" si="285"/>
        <v>0</v>
      </c>
      <c r="GP193" s="409">
        <f t="shared" si="285"/>
        <v>0</v>
      </c>
      <c r="GQ193" s="409">
        <f t="shared" si="286"/>
        <v>0</v>
      </c>
      <c r="GR193" s="409">
        <f t="shared" si="286"/>
        <v>0</v>
      </c>
      <c r="GS193" s="409">
        <f t="shared" si="286"/>
        <v>0</v>
      </c>
      <c r="GT193" s="409">
        <f t="shared" si="286"/>
        <v>0</v>
      </c>
      <c r="GU193" s="409">
        <f t="shared" si="286"/>
        <v>0</v>
      </c>
      <c r="GV193" s="409">
        <f t="shared" si="286"/>
        <v>0</v>
      </c>
      <c r="GW193" s="409">
        <f t="shared" si="286"/>
        <v>0</v>
      </c>
      <c r="GX193" s="409">
        <f t="shared" si="286"/>
        <v>0</v>
      </c>
      <c r="GY193" s="409">
        <f t="shared" si="286"/>
        <v>0</v>
      </c>
      <c r="GZ193" s="409">
        <f t="shared" si="286"/>
        <v>0</v>
      </c>
      <c r="HA193" s="409">
        <f t="shared" si="287"/>
        <v>0</v>
      </c>
      <c r="HB193" s="409">
        <f t="shared" si="287"/>
        <v>0</v>
      </c>
      <c r="HC193" s="409">
        <f t="shared" si="287"/>
        <v>0</v>
      </c>
      <c r="HD193" s="409">
        <f t="shared" si="287"/>
        <v>0</v>
      </c>
      <c r="HE193" s="409">
        <f t="shared" si="287"/>
        <v>0</v>
      </c>
      <c r="HF193" s="409">
        <f t="shared" si="287"/>
        <v>0</v>
      </c>
      <c r="HG193" s="409">
        <f t="shared" si="287"/>
        <v>0</v>
      </c>
      <c r="HH193" s="409">
        <f t="shared" si="287"/>
        <v>0</v>
      </c>
      <c r="HI193" s="409">
        <f t="shared" si="287"/>
        <v>0</v>
      </c>
      <c r="HJ193" s="409">
        <f t="shared" si="287"/>
        <v>0</v>
      </c>
      <c r="HK193" s="409">
        <f t="shared" si="288"/>
        <v>0</v>
      </c>
      <c r="HL193" s="409">
        <f t="shared" si="288"/>
        <v>0</v>
      </c>
      <c r="HM193" s="409">
        <f t="shared" si="288"/>
        <v>0</v>
      </c>
      <c r="HN193" s="409">
        <f t="shared" si="288"/>
        <v>0</v>
      </c>
      <c r="HO193" s="409">
        <f t="shared" si="288"/>
        <v>0</v>
      </c>
      <c r="HP193" s="409">
        <f t="shared" si="288"/>
        <v>0</v>
      </c>
      <c r="HQ193" s="409">
        <f t="shared" si="288"/>
        <v>0</v>
      </c>
      <c r="HR193" s="409">
        <f t="shared" si="288"/>
        <v>0</v>
      </c>
      <c r="HS193" s="409">
        <f t="shared" si="288"/>
        <v>0</v>
      </c>
      <c r="HT193" s="409">
        <f t="shared" si="288"/>
        <v>0</v>
      </c>
      <c r="HU193" s="409">
        <f t="shared" si="289"/>
        <v>0</v>
      </c>
      <c r="HV193" s="409">
        <f t="shared" si="289"/>
        <v>0</v>
      </c>
      <c r="HW193" s="409">
        <f t="shared" si="289"/>
        <v>0</v>
      </c>
      <c r="HX193" s="409">
        <f t="shared" si="289"/>
        <v>0</v>
      </c>
      <c r="HY193" s="409">
        <f t="shared" si="289"/>
        <v>0</v>
      </c>
      <c r="HZ193" s="409">
        <f t="shared" si="289"/>
        <v>0</v>
      </c>
      <c r="IA193" s="409">
        <f t="shared" si="289"/>
        <v>0</v>
      </c>
      <c r="IB193" s="409">
        <f t="shared" si="289"/>
        <v>0</v>
      </c>
      <c r="IC193" s="409">
        <f t="shared" si="289"/>
        <v>0</v>
      </c>
      <c r="ID193" s="409">
        <f t="shared" si="289"/>
        <v>0</v>
      </c>
      <c r="IE193" s="409">
        <f t="shared" si="290"/>
        <v>0</v>
      </c>
      <c r="IF193" s="409">
        <f t="shared" si="290"/>
        <v>0</v>
      </c>
      <c r="IG193" s="409">
        <f t="shared" si="290"/>
        <v>0</v>
      </c>
      <c r="IH193" s="409">
        <f t="shared" si="290"/>
        <v>0</v>
      </c>
      <c r="II193" s="409">
        <f t="shared" si="290"/>
        <v>0</v>
      </c>
      <c r="IJ193" s="409">
        <f t="shared" si="290"/>
        <v>0</v>
      </c>
      <c r="IK193" s="378"/>
    </row>
    <row r="194" spans="1:249" hidden="1" x14ac:dyDescent="0.2">
      <c r="A194" s="380" t="str">
        <f t="shared" si="242"/>
        <v>e</v>
      </c>
      <c r="B194" s="712" t="str">
        <f>IF(ISERROR(INDEX('Legend(DX)'!$H$11:$H$12,37)),"",INDEX('Legend(DX)'!$H$11:$H$12,37))</f>
        <v/>
      </c>
      <c r="C194" s="712" t="e">
        <f>IF(INDEX('Legend(DX)'!$T$11:$T$12,37)=0,"See Legend",INDEX('Legend(DX)'!$T$11:$T$12,37))</f>
        <v>#REF!</v>
      </c>
      <c r="D194" s="712" t="e">
        <f>IF(INDEX('Legend(DX)'!$R$11:$R$12,(ROW(C194))-137)=0,IF(AND(INDEX('Legend(DX)'!$D$11:$D$12,(ROW(C194))-136)="CH",INDEX('Legend(DX)'!$F$11:$F$12,(ROW(C194))-136)="CASE - MANUAL"),INDEX('Legend(DX)'!$R$11:$R$12,(ROW(C194))-136),IF(INDEX('Legend(DX)'!$V$11:$V$12,(ROW(C194))-137)&gt;1, "(" &amp; INDEX('Legend(DX)'!$V$11:$V$12,(ROW(C194))-137) &amp; ") " &amp; INDEX('Legend(DX)'!$W$11:$W$12,(ROW(C194))-136),INDEX('Legend(DX)'!$W$11:$W$12,(ROW(C194))-137))),INDEX('Legend(DX)'!$R$11:$R$12,(ROW(C194))-137))</f>
        <v>#REF!</v>
      </c>
      <c r="E194" s="713" t="str">
        <f>IF(ISERROR(INDEX('Legend(DX)'!$AA$11:$AA$12,37)),"",INDEX('Legend(DX)'!$AA$11:$AA$12,37))</f>
        <v/>
      </c>
      <c r="F194" s="715"/>
      <c r="G194" s="715"/>
      <c r="H194" s="715"/>
      <c r="I194" s="715"/>
      <c r="J194" s="715"/>
      <c r="K194" s="890">
        <f t="shared" si="223"/>
        <v>0</v>
      </c>
      <c r="L194" s="718"/>
      <c r="M194" s="723"/>
      <c r="N194" s="972">
        <f t="shared" si="291"/>
        <v>-1</v>
      </c>
      <c r="O194" s="972">
        <f t="shared" si="224"/>
        <v>-1</v>
      </c>
      <c r="P194" s="972">
        <f t="shared" si="292"/>
        <v>-1</v>
      </c>
      <c r="Q194" s="972">
        <f t="shared" si="225"/>
        <v>-1</v>
      </c>
      <c r="R194" s="972">
        <f t="shared" si="293"/>
        <v>-1</v>
      </c>
      <c r="S194" s="972">
        <f t="shared" si="226"/>
        <v>-1</v>
      </c>
      <c r="T194" s="972">
        <f t="shared" si="294"/>
        <v>-1</v>
      </c>
      <c r="U194" s="972">
        <f t="shared" si="227"/>
        <v>-1</v>
      </c>
      <c r="V194" s="972">
        <f t="shared" si="295"/>
        <v>-1</v>
      </c>
      <c r="W194" s="972">
        <f t="shared" si="228"/>
        <v>-1</v>
      </c>
      <c r="X194" s="972">
        <f t="shared" si="296"/>
        <v>-1</v>
      </c>
      <c r="Y194" s="972">
        <f t="shared" si="229"/>
        <v>-1</v>
      </c>
      <c r="Z194" s="972">
        <f t="shared" si="230"/>
        <v>-1</v>
      </c>
      <c r="AA194" s="972">
        <f t="shared" si="231"/>
        <v>-1</v>
      </c>
      <c r="AB194" s="972">
        <f t="shared" si="232"/>
        <v>-1</v>
      </c>
      <c r="AC194" s="972">
        <f t="shared" si="233"/>
        <v>-1</v>
      </c>
      <c r="AD194" s="972">
        <f t="shared" si="234"/>
        <v>-1</v>
      </c>
      <c r="AE194" s="972">
        <f t="shared" si="235"/>
        <v>-1</v>
      </c>
      <c r="AF194" s="972">
        <f t="shared" si="236"/>
        <v>-1</v>
      </c>
      <c r="AG194" s="972">
        <f t="shared" si="237"/>
        <v>-1</v>
      </c>
      <c r="AH194" s="972">
        <f t="shared" si="238"/>
        <v>-1</v>
      </c>
      <c r="AI194" s="972">
        <f t="shared" si="239"/>
        <v>-1</v>
      </c>
      <c r="AJ194" s="972">
        <f t="shared" si="240"/>
        <v>-1</v>
      </c>
      <c r="AK194" s="381"/>
      <c r="AL194" s="727" t="str">
        <f t="shared" si="241"/>
        <v/>
      </c>
      <c r="AM194" s="409">
        <f t="shared" si="270"/>
        <v>0</v>
      </c>
      <c r="AN194" s="409">
        <f t="shared" si="270"/>
        <v>0</v>
      </c>
      <c r="AO194" s="409">
        <f t="shared" si="270"/>
        <v>0</v>
      </c>
      <c r="AP194" s="409">
        <f t="shared" si="270"/>
        <v>0</v>
      </c>
      <c r="AQ194" s="409">
        <f t="shared" si="270"/>
        <v>0</v>
      </c>
      <c r="AR194" s="409">
        <f t="shared" si="270"/>
        <v>0</v>
      </c>
      <c r="AS194" s="409">
        <f t="shared" si="270"/>
        <v>0</v>
      </c>
      <c r="AT194" s="409">
        <f t="shared" si="270"/>
        <v>0</v>
      </c>
      <c r="AU194" s="409">
        <f t="shared" si="270"/>
        <v>0</v>
      </c>
      <c r="AV194" s="409">
        <f t="shared" si="270"/>
        <v>0</v>
      </c>
      <c r="AW194" s="409">
        <f t="shared" si="271"/>
        <v>0</v>
      </c>
      <c r="AX194" s="409">
        <f t="shared" si="271"/>
        <v>0</v>
      </c>
      <c r="AY194" s="409">
        <f t="shared" si="271"/>
        <v>0</v>
      </c>
      <c r="AZ194" s="409">
        <f t="shared" si="271"/>
        <v>0</v>
      </c>
      <c r="BA194" s="409">
        <f t="shared" si="271"/>
        <v>0</v>
      </c>
      <c r="BB194" s="409">
        <f t="shared" si="271"/>
        <v>0</v>
      </c>
      <c r="BC194" s="409">
        <f t="shared" si="271"/>
        <v>0</v>
      </c>
      <c r="BD194" s="409">
        <f t="shared" si="271"/>
        <v>0</v>
      </c>
      <c r="BE194" s="409">
        <f t="shared" si="271"/>
        <v>0</v>
      </c>
      <c r="BF194" s="409">
        <f t="shared" si="271"/>
        <v>0</v>
      </c>
      <c r="BG194" s="409">
        <f t="shared" si="272"/>
        <v>0</v>
      </c>
      <c r="BH194" s="409">
        <f t="shared" si="272"/>
        <v>0</v>
      </c>
      <c r="BI194" s="409">
        <f t="shared" si="272"/>
        <v>0</v>
      </c>
      <c r="BJ194" s="409">
        <f t="shared" si="272"/>
        <v>0</v>
      </c>
      <c r="BK194" s="409">
        <f t="shared" si="272"/>
        <v>0</v>
      </c>
      <c r="BL194" s="409">
        <f t="shared" si="272"/>
        <v>0</v>
      </c>
      <c r="BM194" s="409">
        <f t="shared" si="272"/>
        <v>0</v>
      </c>
      <c r="BN194" s="409">
        <f t="shared" si="272"/>
        <v>0</v>
      </c>
      <c r="BO194" s="409">
        <f t="shared" si="272"/>
        <v>0</v>
      </c>
      <c r="BP194" s="409">
        <f t="shared" si="272"/>
        <v>0</v>
      </c>
      <c r="BQ194" s="409">
        <f t="shared" si="273"/>
        <v>0</v>
      </c>
      <c r="BR194" s="409">
        <f t="shared" si="273"/>
        <v>0</v>
      </c>
      <c r="BS194" s="409">
        <f t="shared" si="273"/>
        <v>0</v>
      </c>
      <c r="BT194" s="409">
        <f t="shared" si="273"/>
        <v>0</v>
      </c>
      <c r="BU194" s="409">
        <f t="shared" si="273"/>
        <v>0</v>
      </c>
      <c r="BV194" s="409">
        <f t="shared" si="273"/>
        <v>0</v>
      </c>
      <c r="BW194" s="409">
        <f t="shared" si="273"/>
        <v>0</v>
      </c>
      <c r="BX194" s="409">
        <f t="shared" si="273"/>
        <v>0</v>
      </c>
      <c r="BY194" s="409">
        <f t="shared" si="273"/>
        <v>0</v>
      </c>
      <c r="BZ194" s="409">
        <f t="shared" si="273"/>
        <v>0</v>
      </c>
      <c r="CA194" s="409">
        <f t="shared" si="274"/>
        <v>0</v>
      </c>
      <c r="CB194" s="409">
        <f t="shared" si="274"/>
        <v>0</v>
      </c>
      <c r="CC194" s="409">
        <f t="shared" si="274"/>
        <v>0</v>
      </c>
      <c r="CD194" s="409">
        <f t="shared" si="274"/>
        <v>0</v>
      </c>
      <c r="CE194" s="409">
        <f t="shared" si="274"/>
        <v>0</v>
      </c>
      <c r="CF194" s="409">
        <f t="shared" si="274"/>
        <v>0</v>
      </c>
      <c r="CG194" s="409">
        <f t="shared" si="274"/>
        <v>0</v>
      </c>
      <c r="CH194" s="409">
        <f t="shared" si="274"/>
        <v>0</v>
      </c>
      <c r="CI194" s="409">
        <f t="shared" si="274"/>
        <v>0</v>
      </c>
      <c r="CJ194" s="409">
        <f t="shared" si="274"/>
        <v>0</v>
      </c>
      <c r="CK194" s="409">
        <f t="shared" si="275"/>
        <v>0</v>
      </c>
      <c r="CL194" s="409">
        <f t="shared" si="275"/>
        <v>0</v>
      </c>
      <c r="CM194" s="409">
        <f t="shared" si="275"/>
        <v>0</v>
      </c>
      <c r="CN194" s="409">
        <f t="shared" si="275"/>
        <v>0</v>
      </c>
      <c r="CO194" s="409">
        <f t="shared" si="275"/>
        <v>0</v>
      </c>
      <c r="CP194" s="409">
        <f t="shared" si="275"/>
        <v>0</v>
      </c>
      <c r="CQ194" s="409">
        <f t="shared" si="275"/>
        <v>0</v>
      </c>
      <c r="CR194" s="409">
        <f t="shared" si="275"/>
        <v>0</v>
      </c>
      <c r="CS194" s="409">
        <f t="shared" si="275"/>
        <v>0</v>
      </c>
      <c r="CT194" s="409">
        <f t="shared" si="275"/>
        <v>0</v>
      </c>
      <c r="CU194" s="409">
        <f t="shared" si="276"/>
        <v>0</v>
      </c>
      <c r="CV194" s="409">
        <f t="shared" si="276"/>
        <v>0</v>
      </c>
      <c r="CW194" s="409">
        <f t="shared" si="276"/>
        <v>0</v>
      </c>
      <c r="CX194" s="409">
        <f t="shared" si="276"/>
        <v>0</v>
      </c>
      <c r="CY194" s="409">
        <f t="shared" si="276"/>
        <v>0</v>
      </c>
      <c r="CZ194" s="409">
        <f t="shared" si="276"/>
        <v>0</v>
      </c>
      <c r="DA194" s="409">
        <f t="shared" si="276"/>
        <v>0</v>
      </c>
      <c r="DB194" s="409">
        <f t="shared" si="276"/>
        <v>0</v>
      </c>
      <c r="DC194" s="409">
        <f t="shared" si="276"/>
        <v>0</v>
      </c>
      <c r="DD194" s="409">
        <f t="shared" si="276"/>
        <v>0</v>
      </c>
      <c r="DE194" s="409">
        <f t="shared" si="277"/>
        <v>0</v>
      </c>
      <c r="DF194" s="409">
        <f t="shared" si="277"/>
        <v>0</v>
      </c>
      <c r="DG194" s="409">
        <f t="shared" si="277"/>
        <v>0</v>
      </c>
      <c r="DH194" s="409">
        <f t="shared" si="277"/>
        <v>0</v>
      </c>
      <c r="DI194" s="409">
        <f t="shared" si="277"/>
        <v>0</v>
      </c>
      <c r="DJ194" s="409">
        <f t="shared" si="277"/>
        <v>0</v>
      </c>
      <c r="DK194" s="409">
        <f t="shared" si="277"/>
        <v>0</v>
      </c>
      <c r="DL194" s="409">
        <f t="shared" si="277"/>
        <v>0</v>
      </c>
      <c r="DM194" s="409">
        <f t="shared" si="277"/>
        <v>0</v>
      </c>
      <c r="DN194" s="409">
        <f t="shared" si="277"/>
        <v>0</v>
      </c>
      <c r="DO194" s="409">
        <f t="shared" si="278"/>
        <v>0</v>
      </c>
      <c r="DP194" s="409">
        <f t="shared" si="278"/>
        <v>0</v>
      </c>
      <c r="DQ194" s="409">
        <f t="shared" si="278"/>
        <v>0</v>
      </c>
      <c r="DR194" s="409">
        <f t="shared" si="278"/>
        <v>0</v>
      </c>
      <c r="DS194" s="409">
        <f t="shared" si="278"/>
        <v>0</v>
      </c>
      <c r="DT194" s="409">
        <f t="shared" si="278"/>
        <v>0</v>
      </c>
      <c r="DU194" s="409">
        <f t="shared" si="278"/>
        <v>0</v>
      </c>
      <c r="DV194" s="409">
        <f t="shared" si="278"/>
        <v>0</v>
      </c>
      <c r="DW194" s="409">
        <f t="shared" si="278"/>
        <v>0</v>
      </c>
      <c r="DX194" s="409">
        <f t="shared" si="278"/>
        <v>0</v>
      </c>
      <c r="DY194" s="409">
        <f t="shared" si="279"/>
        <v>0</v>
      </c>
      <c r="DZ194" s="409">
        <f t="shared" si="279"/>
        <v>0</v>
      </c>
      <c r="EA194" s="409">
        <f t="shared" si="279"/>
        <v>0</v>
      </c>
      <c r="EB194" s="409">
        <f t="shared" si="279"/>
        <v>0</v>
      </c>
      <c r="EC194" s="409">
        <f t="shared" si="279"/>
        <v>0</v>
      </c>
      <c r="ED194" s="409">
        <f t="shared" si="279"/>
        <v>0</v>
      </c>
      <c r="EE194" s="409">
        <f t="shared" si="279"/>
        <v>0</v>
      </c>
      <c r="EF194" s="409">
        <f t="shared" si="279"/>
        <v>0</v>
      </c>
      <c r="EG194" s="409">
        <f t="shared" si="279"/>
        <v>0</v>
      </c>
      <c r="EH194" s="409">
        <f t="shared" si="279"/>
        <v>0</v>
      </c>
      <c r="EI194" s="409">
        <f t="shared" si="280"/>
        <v>0</v>
      </c>
      <c r="EJ194" s="409">
        <f t="shared" si="280"/>
        <v>0</v>
      </c>
      <c r="EK194" s="409">
        <f t="shared" si="280"/>
        <v>0</v>
      </c>
      <c r="EL194" s="409">
        <f t="shared" si="280"/>
        <v>0</v>
      </c>
      <c r="EM194" s="409">
        <f t="shared" si="280"/>
        <v>0</v>
      </c>
      <c r="EN194" s="409">
        <f t="shared" si="280"/>
        <v>0</v>
      </c>
      <c r="EO194" s="409">
        <f t="shared" si="280"/>
        <v>0</v>
      </c>
      <c r="EP194" s="409">
        <f t="shared" si="280"/>
        <v>0</v>
      </c>
      <c r="EQ194" s="409">
        <f t="shared" si="280"/>
        <v>0</v>
      </c>
      <c r="ER194" s="409">
        <f t="shared" si="280"/>
        <v>0</v>
      </c>
      <c r="ES194" s="409">
        <f t="shared" si="281"/>
        <v>0</v>
      </c>
      <c r="ET194" s="409">
        <f t="shared" si="281"/>
        <v>0</v>
      </c>
      <c r="EU194" s="409">
        <f t="shared" si="281"/>
        <v>0</v>
      </c>
      <c r="EV194" s="409">
        <f t="shared" si="281"/>
        <v>0</v>
      </c>
      <c r="EW194" s="409">
        <f t="shared" si="281"/>
        <v>0</v>
      </c>
      <c r="EX194" s="409">
        <f t="shared" si="281"/>
        <v>0</v>
      </c>
      <c r="EY194" s="409">
        <f t="shared" si="281"/>
        <v>0</v>
      </c>
      <c r="EZ194" s="409">
        <f t="shared" si="281"/>
        <v>0</v>
      </c>
      <c r="FA194" s="409">
        <f t="shared" si="281"/>
        <v>0</v>
      </c>
      <c r="FB194" s="409">
        <f t="shared" si="281"/>
        <v>0</v>
      </c>
      <c r="FC194" s="409">
        <f t="shared" si="282"/>
        <v>0</v>
      </c>
      <c r="FD194" s="409">
        <f t="shared" si="282"/>
        <v>0</v>
      </c>
      <c r="FE194" s="409">
        <f t="shared" si="282"/>
        <v>0</v>
      </c>
      <c r="FF194" s="409">
        <f t="shared" si="282"/>
        <v>0</v>
      </c>
      <c r="FG194" s="409">
        <f t="shared" si="282"/>
        <v>0</v>
      </c>
      <c r="FH194" s="409">
        <f t="shared" si="282"/>
        <v>0</v>
      </c>
      <c r="FI194" s="409">
        <f t="shared" si="282"/>
        <v>0</v>
      </c>
      <c r="FJ194" s="409">
        <f t="shared" si="282"/>
        <v>0</v>
      </c>
      <c r="FK194" s="409">
        <f t="shared" si="282"/>
        <v>0</v>
      </c>
      <c r="FL194" s="409">
        <f t="shared" si="282"/>
        <v>0</v>
      </c>
      <c r="FM194" s="409">
        <f t="shared" si="283"/>
        <v>0</v>
      </c>
      <c r="FN194" s="409">
        <f t="shared" si="283"/>
        <v>0</v>
      </c>
      <c r="FO194" s="409">
        <f t="shared" si="283"/>
        <v>0</v>
      </c>
      <c r="FP194" s="409">
        <f t="shared" si="283"/>
        <v>0</v>
      </c>
      <c r="FQ194" s="409">
        <f t="shared" si="283"/>
        <v>0</v>
      </c>
      <c r="FR194" s="409">
        <f t="shared" si="283"/>
        <v>0</v>
      </c>
      <c r="FS194" s="409">
        <f t="shared" si="283"/>
        <v>0</v>
      </c>
      <c r="FT194" s="409">
        <f t="shared" si="283"/>
        <v>0</v>
      </c>
      <c r="FU194" s="409">
        <f t="shared" si="283"/>
        <v>0</v>
      </c>
      <c r="FV194" s="409">
        <f t="shared" si="283"/>
        <v>0</v>
      </c>
      <c r="FW194" s="409">
        <f t="shared" si="284"/>
        <v>0</v>
      </c>
      <c r="FX194" s="409">
        <f t="shared" si="284"/>
        <v>0</v>
      </c>
      <c r="FY194" s="409">
        <f t="shared" si="284"/>
        <v>0</v>
      </c>
      <c r="FZ194" s="409">
        <f t="shared" si="284"/>
        <v>0</v>
      </c>
      <c r="GA194" s="409">
        <f t="shared" si="284"/>
        <v>0</v>
      </c>
      <c r="GB194" s="409">
        <f t="shared" si="284"/>
        <v>0</v>
      </c>
      <c r="GC194" s="409">
        <f t="shared" si="284"/>
        <v>0</v>
      </c>
      <c r="GD194" s="409">
        <f t="shared" si="284"/>
        <v>0</v>
      </c>
      <c r="GE194" s="409">
        <f t="shared" si="284"/>
        <v>0</v>
      </c>
      <c r="GF194" s="409">
        <f t="shared" si="284"/>
        <v>0</v>
      </c>
      <c r="GG194" s="409">
        <f t="shared" si="285"/>
        <v>0</v>
      </c>
      <c r="GH194" s="409">
        <f t="shared" si="285"/>
        <v>0</v>
      </c>
      <c r="GI194" s="409">
        <f t="shared" si="285"/>
        <v>0</v>
      </c>
      <c r="GJ194" s="409">
        <f t="shared" si="285"/>
        <v>0</v>
      </c>
      <c r="GK194" s="409">
        <f t="shared" si="285"/>
        <v>0</v>
      </c>
      <c r="GL194" s="409">
        <f t="shared" si="285"/>
        <v>0</v>
      </c>
      <c r="GM194" s="409">
        <f t="shared" si="285"/>
        <v>0</v>
      </c>
      <c r="GN194" s="409">
        <f t="shared" si="285"/>
        <v>0</v>
      </c>
      <c r="GO194" s="409">
        <f t="shared" si="285"/>
        <v>0</v>
      </c>
      <c r="GP194" s="409">
        <f t="shared" si="285"/>
        <v>0</v>
      </c>
      <c r="GQ194" s="409">
        <f t="shared" si="286"/>
        <v>0</v>
      </c>
      <c r="GR194" s="409">
        <f t="shared" si="286"/>
        <v>0</v>
      </c>
      <c r="GS194" s="409">
        <f t="shared" si="286"/>
        <v>0</v>
      </c>
      <c r="GT194" s="409">
        <f t="shared" si="286"/>
        <v>0</v>
      </c>
      <c r="GU194" s="409">
        <f t="shared" si="286"/>
        <v>0</v>
      </c>
      <c r="GV194" s="409">
        <f t="shared" si="286"/>
        <v>0</v>
      </c>
      <c r="GW194" s="409">
        <f t="shared" si="286"/>
        <v>0</v>
      </c>
      <c r="GX194" s="409">
        <f t="shared" si="286"/>
        <v>0</v>
      </c>
      <c r="GY194" s="409">
        <f t="shared" si="286"/>
        <v>0</v>
      </c>
      <c r="GZ194" s="409">
        <f t="shared" si="286"/>
        <v>0</v>
      </c>
      <c r="HA194" s="409">
        <f t="shared" si="287"/>
        <v>0</v>
      </c>
      <c r="HB194" s="409">
        <f t="shared" si="287"/>
        <v>0</v>
      </c>
      <c r="HC194" s="409">
        <f t="shared" si="287"/>
        <v>0</v>
      </c>
      <c r="HD194" s="409">
        <f t="shared" si="287"/>
        <v>0</v>
      </c>
      <c r="HE194" s="409">
        <f t="shared" si="287"/>
        <v>0</v>
      </c>
      <c r="HF194" s="409">
        <f t="shared" si="287"/>
        <v>0</v>
      </c>
      <c r="HG194" s="409">
        <f t="shared" si="287"/>
        <v>0</v>
      </c>
      <c r="HH194" s="409">
        <f t="shared" si="287"/>
        <v>0</v>
      </c>
      <c r="HI194" s="409">
        <f t="shared" si="287"/>
        <v>0</v>
      </c>
      <c r="HJ194" s="409">
        <f t="shared" si="287"/>
        <v>0</v>
      </c>
      <c r="HK194" s="409">
        <f t="shared" si="288"/>
        <v>0</v>
      </c>
      <c r="HL194" s="409">
        <f t="shared" si="288"/>
        <v>0</v>
      </c>
      <c r="HM194" s="409">
        <f t="shared" si="288"/>
        <v>0</v>
      </c>
      <c r="HN194" s="409">
        <f t="shared" si="288"/>
        <v>0</v>
      </c>
      <c r="HO194" s="409">
        <f t="shared" si="288"/>
        <v>0</v>
      </c>
      <c r="HP194" s="409">
        <f t="shared" si="288"/>
        <v>0</v>
      </c>
      <c r="HQ194" s="409">
        <f t="shared" si="288"/>
        <v>0</v>
      </c>
      <c r="HR194" s="409">
        <f t="shared" si="288"/>
        <v>0</v>
      </c>
      <c r="HS194" s="409">
        <f t="shared" si="288"/>
        <v>0</v>
      </c>
      <c r="HT194" s="409">
        <f t="shared" si="288"/>
        <v>0</v>
      </c>
      <c r="HU194" s="409">
        <f t="shared" si="289"/>
        <v>0</v>
      </c>
      <c r="HV194" s="409">
        <f t="shared" si="289"/>
        <v>0</v>
      </c>
      <c r="HW194" s="409">
        <f t="shared" si="289"/>
        <v>0</v>
      </c>
      <c r="HX194" s="409">
        <f t="shared" si="289"/>
        <v>0</v>
      </c>
      <c r="HY194" s="409">
        <f t="shared" si="289"/>
        <v>0</v>
      </c>
      <c r="HZ194" s="409">
        <f t="shared" si="289"/>
        <v>0</v>
      </c>
      <c r="IA194" s="409">
        <f t="shared" si="289"/>
        <v>0</v>
      </c>
      <c r="IB194" s="409">
        <f t="shared" si="289"/>
        <v>0</v>
      </c>
      <c r="IC194" s="409">
        <f t="shared" si="289"/>
        <v>0</v>
      </c>
      <c r="ID194" s="409">
        <f t="shared" si="289"/>
        <v>0</v>
      </c>
      <c r="IE194" s="409">
        <f t="shared" si="290"/>
        <v>0</v>
      </c>
      <c r="IF194" s="409">
        <f t="shared" si="290"/>
        <v>0</v>
      </c>
      <c r="IG194" s="409">
        <f t="shared" si="290"/>
        <v>0</v>
      </c>
      <c r="IH194" s="409">
        <f t="shared" si="290"/>
        <v>0</v>
      </c>
      <c r="II194" s="409">
        <f t="shared" si="290"/>
        <v>0</v>
      </c>
      <c r="IJ194" s="409">
        <f t="shared" si="290"/>
        <v>0</v>
      </c>
      <c r="IK194" s="378"/>
    </row>
    <row r="195" spans="1:249" hidden="1" x14ac:dyDescent="0.2">
      <c r="A195" s="380" t="str">
        <f t="shared" si="242"/>
        <v>e</v>
      </c>
      <c r="B195" s="712" t="str">
        <f>IF(ISERROR(INDEX('Legend(DX)'!$H$11:$H$12,38)),"",INDEX('Legend(DX)'!$H$11:$H$12,38))</f>
        <v/>
      </c>
      <c r="C195" s="712" t="e">
        <f>IF(INDEX('Legend(DX)'!$T$11:$T$12,38)=0,"See Legend",INDEX('Legend(DX)'!$T$11:$T$12,38))</f>
        <v>#REF!</v>
      </c>
      <c r="D195" s="712" t="e">
        <f>IF(INDEX('Legend(DX)'!$R$11:$R$12,(ROW(C195))-137)=0,IF(AND(INDEX('Legend(DX)'!$D$11:$D$12,(ROW(C195))-136)="CH",INDEX('Legend(DX)'!$F$11:$F$12,(ROW(C195))-136)="CASE - MANUAL"),INDEX('Legend(DX)'!$R$11:$R$12,(ROW(C195))-136),IF(INDEX('Legend(DX)'!$V$11:$V$12,(ROW(C195))-137)&gt;1, "(" &amp; INDEX('Legend(DX)'!$V$11:$V$12,(ROW(C195))-137) &amp; ") " &amp; INDEX('Legend(DX)'!$W$11:$W$12,(ROW(C195))-136),INDEX('Legend(DX)'!$W$11:$W$12,(ROW(C195))-137))),INDEX('Legend(DX)'!$R$11:$R$12,(ROW(C195))-137))</f>
        <v>#REF!</v>
      </c>
      <c r="E195" s="713" t="str">
        <f>IF(ISERROR(INDEX('Legend(DX)'!$AA$11:$AA$12,38)),"",INDEX('Legend(DX)'!$AA$11:$AA$12,38))</f>
        <v/>
      </c>
      <c r="F195" s="715"/>
      <c r="G195" s="715"/>
      <c r="H195" s="715"/>
      <c r="I195" s="715"/>
      <c r="J195" s="715"/>
      <c r="K195" s="890">
        <f t="shared" si="223"/>
        <v>0</v>
      </c>
      <c r="L195" s="718"/>
      <c r="M195" s="723"/>
      <c r="N195" s="972">
        <f t="shared" si="291"/>
        <v>-1</v>
      </c>
      <c r="O195" s="972">
        <f t="shared" si="224"/>
        <v>-1</v>
      </c>
      <c r="P195" s="972">
        <f t="shared" si="292"/>
        <v>-1</v>
      </c>
      <c r="Q195" s="972">
        <f t="shared" si="225"/>
        <v>-1</v>
      </c>
      <c r="R195" s="972">
        <f t="shared" si="293"/>
        <v>-1</v>
      </c>
      <c r="S195" s="972">
        <f t="shared" si="226"/>
        <v>-1</v>
      </c>
      <c r="T195" s="972">
        <f t="shared" si="294"/>
        <v>-1</v>
      </c>
      <c r="U195" s="972">
        <f t="shared" si="227"/>
        <v>-1</v>
      </c>
      <c r="V195" s="972">
        <f t="shared" si="295"/>
        <v>-1</v>
      </c>
      <c r="W195" s="972">
        <f t="shared" si="228"/>
        <v>-1</v>
      </c>
      <c r="X195" s="972">
        <f t="shared" si="296"/>
        <v>-1</v>
      </c>
      <c r="Y195" s="972">
        <f t="shared" si="229"/>
        <v>-1</v>
      </c>
      <c r="Z195" s="972">
        <f t="shared" si="230"/>
        <v>-1</v>
      </c>
      <c r="AA195" s="972">
        <f t="shared" si="231"/>
        <v>-1</v>
      </c>
      <c r="AB195" s="972">
        <f t="shared" si="232"/>
        <v>-1</v>
      </c>
      <c r="AC195" s="972">
        <f t="shared" si="233"/>
        <v>-1</v>
      </c>
      <c r="AD195" s="972">
        <f t="shared" si="234"/>
        <v>-1</v>
      </c>
      <c r="AE195" s="972">
        <f t="shared" si="235"/>
        <v>-1</v>
      </c>
      <c r="AF195" s="972">
        <f t="shared" si="236"/>
        <v>-1</v>
      </c>
      <c r="AG195" s="972">
        <f t="shared" si="237"/>
        <v>-1</v>
      </c>
      <c r="AH195" s="972">
        <f t="shared" si="238"/>
        <v>-1</v>
      </c>
      <c r="AI195" s="972">
        <f t="shared" si="239"/>
        <v>-1</v>
      </c>
      <c r="AJ195" s="972">
        <f t="shared" si="240"/>
        <v>-1</v>
      </c>
      <c r="AK195" s="381"/>
      <c r="AL195" s="727" t="str">
        <f t="shared" si="241"/>
        <v/>
      </c>
      <c r="AM195" s="409">
        <f t="shared" si="270"/>
        <v>0</v>
      </c>
      <c r="AN195" s="409">
        <f t="shared" si="270"/>
        <v>0</v>
      </c>
      <c r="AO195" s="409">
        <f t="shared" si="270"/>
        <v>0</v>
      </c>
      <c r="AP195" s="409">
        <f t="shared" si="270"/>
        <v>0</v>
      </c>
      <c r="AQ195" s="409">
        <f t="shared" si="270"/>
        <v>0</v>
      </c>
      <c r="AR195" s="409">
        <f t="shared" si="270"/>
        <v>0</v>
      </c>
      <c r="AS195" s="409">
        <f t="shared" si="270"/>
        <v>0</v>
      </c>
      <c r="AT195" s="409">
        <f t="shared" si="270"/>
        <v>0</v>
      </c>
      <c r="AU195" s="409">
        <f t="shared" si="270"/>
        <v>0</v>
      </c>
      <c r="AV195" s="409">
        <f t="shared" si="270"/>
        <v>0</v>
      </c>
      <c r="AW195" s="409">
        <f t="shared" si="271"/>
        <v>0</v>
      </c>
      <c r="AX195" s="409">
        <f t="shared" si="271"/>
        <v>0</v>
      </c>
      <c r="AY195" s="409">
        <f t="shared" si="271"/>
        <v>0</v>
      </c>
      <c r="AZ195" s="409">
        <f t="shared" si="271"/>
        <v>0</v>
      </c>
      <c r="BA195" s="409">
        <f t="shared" si="271"/>
        <v>0</v>
      </c>
      <c r="BB195" s="409">
        <f t="shared" si="271"/>
        <v>0</v>
      </c>
      <c r="BC195" s="409">
        <f t="shared" si="271"/>
        <v>0</v>
      </c>
      <c r="BD195" s="409">
        <f t="shared" si="271"/>
        <v>0</v>
      </c>
      <c r="BE195" s="409">
        <f t="shared" si="271"/>
        <v>0</v>
      </c>
      <c r="BF195" s="409">
        <f t="shared" si="271"/>
        <v>0</v>
      </c>
      <c r="BG195" s="409">
        <f t="shared" si="272"/>
        <v>0</v>
      </c>
      <c r="BH195" s="409">
        <f t="shared" si="272"/>
        <v>0</v>
      </c>
      <c r="BI195" s="409">
        <f t="shared" si="272"/>
        <v>0</v>
      </c>
      <c r="BJ195" s="409">
        <f t="shared" si="272"/>
        <v>0</v>
      </c>
      <c r="BK195" s="409">
        <f t="shared" si="272"/>
        <v>0</v>
      </c>
      <c r="BL195" s="409">
        <f t="shared" si="272"/>
        <v>0</v>
      </c>
      <c r="BM195" s="409">
        <f t="shared" si="272"/>
        <v>0</v>
      </c>
      <c r="BN195" s="409">
        <f t="shared" si="272"/>
        <v>0</v>
      </c>
      <c r="BO195" s="409">
        <f t="shared" si="272"/>
        <v>0</v>
      </c>
      <c r="BP195" s="409">
        <f t="shared" si="272"/>
        <v>0</v>
      </c>
      <c r="BQ195" s="409">
        <f t="shared" si="273"/>
        <v>0</v>
      </c>
      <c r="BR195" s="409">
        <f t="shared" si="273"/>
        <v>0</v>
      </c>
      <c r="BS195" s="409">
        <f t="shared" si="273"/>
        <v>0</v>
      </c>
      <c r="BT195" s="409">
        <f t="shared" si="273"/>
        <v>0</v>
      </c>
      <c r="BU195" s="409">
        <f t="shared" si="273"/>
        <v>0</v>
      </c>
      <c r="BV195" s="409">
        <f t="shared" si="273"/>
        <v>0</v>
      </c>
      <c r="BW195" s="409">
        <f t="shared" si="273"/>
        <v>0</v>
      </c>
      <c r="BX195" s="409">
        <f t="shared" si="273"/>
        <v>0</v>
      </c>
      <c r="BY195" s="409">
        <f t="shared" si="273"/>
        <v>0</v>
      </c>
      <c r="BZ195" s="409">
        <f t="shared" si="273"/>
        <v>0</v>
      </c>
      <c r="CA195" s="409">
        <f t="shared" si="274"/>
        <v>0</v>
      </c>
      <c r="CB195" s="409">
        <f t="shared" si="274"/>
        <v>0</v>
      </c>
      <c r="CC195" s="409">
        <f t="shared" si="274"/>
        <v>0</v>
      </c>
      <c r="CD195" s="409">
        <f t="shared" si="274"/>
        <v>0</v>
      </c>
      <c r="CE195" s="409">
        <f t="shared" si="274"/>
        <v>0</v>
      </c>
      <c r="CF195" s="409">
        <f t="shared" si="274"/>
        <v>0</v>
      </c>
      <c r="CG195" s="409">
        <f t="shared" si="274"/>
        <v>0</v>
      </c>
      <c r="CH195" s="409">
        <f t="shared" si="274"/>
        <v>0</v>
      </c>
      <c r="CI195" s="409">
        <f t="shared" si="274"/>
        <v>0</v>
      </c>
      <c r="CJ195" s="409">
        <f t="shared" si="274"/>
        <v>0</v>
      </c>
      <c r="CK195" s="409">
        <f t="shared" si="275"/>
        <v>0</v>
      </c>
      <c r="CL195" s="409">
        <f t="shared" si="275"/>
        <v>0</v>
      </c>
      <c r="CM195" s="409">
        <f t="shared" si="275"/>
        <v>0</v>
      </c>
      <c r="CN195" s="409">
        <f t="shared" si="275"/>
        <v>0</v>
      </c>
      <c r="CO195" s="409">
        <f t="shared" si="275"/>
        <v>0</v>
      </c>
      <c r="CP195" s="409">
        <f t="shared" si="275"/>
        <v>0</v>
      </c>
      <c r="CQ195" s="409">
        <f t="shared" si="275"/>
        <v>0</v>
      </c>
      <c r="CR195" s="409">
        <f t="shared" si="275"/>
        <v>0</v>
      </c>
      <c r="CS195" s="409">
        <f t="shared" si="275"/>
        <v>0</v>
      </c>
      <c r="CT195" s="409">
        <f t="shared" si="275"/>
        <v>0</v>
      </c>
      <c r="CU195" s="409">
        <f t="shared" si="276"/>
        <v>0</v>
      </c>
      <c r="CV195" s="409">
        <f t="shared" si="276"/>
        <v>0</v>
      </c>
      <c r="CW195" s="409">
        <f t="shared" si="276"/>
        <v>0</v>
      </c>
      <c r="CX195" s="409">
        <f t="shared" si="276"/>
        <v>0</v>
      </c>
      <c r="CY195" s="409">
        <f t="shared" si="276"/>
        <v>0</v>
      </c>
      <c r="CZ195" s="409">
        <f t="shared" si="276"/>
        <v>0</v>
      </c>
      <c r="DA195" s="409">
        <f t="shared" si="276"/>
        <v>0</v>
      </c>
      <c r="DB195" s="409">
        <f t="shared" si="276"/>
        <v>0</v>
      </c>
      <c r="DC195" s="409">
        <f t="shared" si="276"/>
        <v>0</v>
      </c>
      <c r="DD195" s="409">
        <f t="shared" si="276"/>
        <v>0</v>
      </c>
      <c r="DE195" s="409">
        <f t="shared" si="277"/>
        <v>0</v>
      </c>
      <c r="DF195" s="409">
        <f t="shared" si="277"/>
        <v>0</v>
      </c>
      <c r="DG195" s="409">
        <f t="shared" si="277"/>
        <v>0</v>
      </c>
      <c r="DH195" s="409">
        <f t="shared" si="277"/>
        <v>0</v>
      </c>
      <c r="DI195" s="409">
        <f t="shared" si="277"/>
        <v>0</v>
      </c>
      <c r="DJ195" s="409">
        <f t="shared" si="277"/>
        <v>0</v>
      </c>
      <c r="DK195" s="409">
        <f t="shared" si="277"/>
        <v>0</v>
      </c>
      <c r="DL195" s="409">
        <f t="shared" si="277"/>
        <v>0</v>
      </c>
      <c r="DM195" s="409">
        <f t="shared" si="277"/>
        <v>0</v>
      </c>
      <c r="DN195" s="409">
        <f t="shared" si="277"/>
        <v>0</v>
      </c>
      <c r="DO195" s="409">
        <f t="shared" si="278"/>
        <v>0</v>
      </c>
      <c r="DP195" s="409">
        <f t="shared" si="278"/>
        <v>0</v>
      </c>
      <c r="DQ195" s="409">
        <f t="shared" si="278"/>
        <v>0</v>
      </c>
      <c r="DR195" s="409">
        <f t="shared" si="278"/>
        <v>0</v>
      </c>
      <c r="DS195" s="409">
        <f t="shared" si="278"/>
        <v>0</v>
      </c>
      <c r="DT195" s="409">
        <f t="shared" si="278"/>
        <v>0</v>
      </c>
      <c r="DU195" s="409">
        <f t="shared" si="278"/>
        <v>0</v>
      </c>
      <c r="DV195" s="409">
        <f t="shared" si="278"/>
        <v>0</v>
      </c>
      <c r="DW195" s="409">
        <f t="shared" si="278"/>
        <v>0</v>
      </c>
      <c r="DX195" s="409">
        <f t="shared" si="278"/>
        <v>0</v>
      </c>
      <c r="DY195" s="409">
        <f t="shared" si="279"/>
        <v>0</v>
      </c>
      <c r="DZ195" s="409">
        <f t="shared" si="279"/>
        <v>0</v>
      </c>
      <c r="EA195" s="409">
        <f t="shared" si="279"/>
        <v>0</v>
      </c>
      <c r="EB195" s="409">
        <f t="shared" si="279"/>
        <v>0</v>
      </c>
      <c r="EC195" s="409">
        <f t="shared" si="279"/>
        <v>0</v>
      </c>
      <c r="ED195" s="409">
        <f t="shared" si="279"/>
        <v>0</v>
      </c>
      <c r="EE195" s="409">
        <f t="shared" si="279"/>
        <v>0</v>
      </c>
      <c r="EF195" s="409">
        <f t="shared" si="279"/>
        <v>0</v>
      </c>
      <c r="EG195" s="409">
        <f t="shared" si="279"/>
        <v>0</v>
      </c>
      <c r="EH195" s="409">
        <f t="shared" si="279"/>
        <v>0</v>
      </c>
      <c r="EI195" s="409">
        <f t="shared" si="280"/>
        <v>0</v>
      </c>
      <c r="EJ195" s="409">
        <f t="shared" si="280"/>
        <v>0</v>
      </c>
      <c r="EK195" s="409">
        <f t="shared" si="280"/>
        <v>0</v>
      </c>
      <c r="EL195" s="409">
        <f t="shared" si="280"/>
        <v>0</v>
      </c>
      <c r="EM195" s="409">
        <f t="shared" si="280"/>
        <v>0</v>
      </c>
      <c r="EN195" s="409">
        <f t="shared" si="280"/>
        <v>0</v>
      </c>
      <c r="EO195" s="409">
        <f t="shared" si="280"/>
        <v>0</v>
      </c>
      <c r="EP195" s="409">
        <f t="shared" si="280"/>
        <v>0</v>
      </c>
      <c r="EQ195" s="409">
        <f t="shared" si="280"/>
        <v>0</v>
      </c>
      <c r="ER195" s="409">
        <f t="shared" si="280"/>
        <v>0</v>
      </c>
      <c r="ES195" s="409">
        <f t="shared" si="281"/>
        <v>0</v>
      </c>
      <c r="ET195" s="409">
        <f t="shared" si="281"/>
        <v>0</v>
      </c>
      <c r="EU195" s="409">
        <f t="shared" si="281"/>
        <v>0</v>
      </c>
      <c r="EV195" s="409">
        <f t="shared" si="281"/>
        <v>0</v>
      </c>
      <c r="EW195" s="409">
        <f t="shared" si="281"/>
        <v>0</v>
      </c>
      <c r="EX195" s="409">
        <f t="shared" si="281"/>
        <v>0</v>
      </c>
      <c r="EY195" s="409">
        <f t="shared" si="281"/>
        <v>0</v>
      </c>
      <c r="EZ195" s="409">
        <f t="shared" si="281"/>
        <v>0</v>
      </c>
      <c r="FA195" s="409">
        <f t="shared" si="281"/>
        <v>0</v>
      </c>
      <c r="FB195" s="409">
        <f t="shared" si="281"/>
        <v>0</v>
      </c>
      <c r="FC195" s="409">
        <f t="shared" si="282"/>
        <v>0</v>
      </c>
      <c r="FD195" s="409">
        <f t="shared" si="282"/>
        <v>0</v>
      </c>
      <c r="FE195" s="409">
        <f t="shared" si="282"/>
        <v>0</v>
      </c>
      <c r="FF195" s="409">
        <f t="shared" si="282"/>
        <v>0</v>
      </c>
      <c r="FG195" s="409">
        <f t="shared" si="282"/>
        <v>0</v>
      </c>
      <c r="FH195" s="409">
        <f t="shared" si="282"/>
        <v>0</v>
      </c>
      <c r="FI195" s="409">
        <f t="shared" si="282"/>
        <v>0</v>
      </c>
      <c r="FJ195" s="409">
        <f t="shared" si="282"/>
        <v>0</v>
      </c>
      <c r="FK195" s="409">
        <f t="shared" si="282"/>
        <v>0</v>
      </c>
      <c r="FL195" s="409">
        <f t="shared" si="282"/>
        <v>0</v>
      </c>
      <c r="FM195" s="409">
        <f t="shared" si="283"/>
        <v>0</v>
      </c>
      <c r="FN195" s="409">
        <f t="shared" si="283"/>
        <v>0</v>
      </c>
      <c r="FO195" s="409">
        <f t="shared" si="283"/>
        <v>0</v>
      </c>
      <c r="FP195" s="409">
        <f t="shared" si="283"/>
        <v>0</v>
      </c>
      <c r="FQ195" s="409">
        <f t="shared" si="283"/>
        <v>0</v>
      </c>
      <c r="FR195" s="409">
        <f t="shared" si="283"/>
        <v>0</v>
      </c>
      <c r="FS195" s="409">
        <f t="shared" si="283"/>
        <v>0</v>
      </c>
      <c r="FT195" s="409">
        <f t="shared" si="283"/>
        <v>0</v>
      </c>
      <c r="FU195" s="409">
        <f t="shared" si="283"/>
        <v>0</v>
      </c>
      <c r="FV195" s="409">
        <f t="shared" si="283"/>
        <v>0</v>
      </c>
      <c r="FW195" s="409">
        <f t="shared" si="284"/>
        <v>0</v>
      </c>
      <c r="FX195" s="409">
        <f t="shared" si="284"/>
        <v>0</v>
      </c>
      <c r="FY195" s="409">
        <f t="shared" si="284"/>
        <v>0</v>
      </c>
      <c r="FZ195" s="409">
        <f t="shared" si="284"/>
        <v>0</v>
      </c>
      <c r="GA195" s="409">
        <f t="shared" si="284"/>
        <v>0</v>
      </c>
      <c r="GB195" s="409">
        <f t="shared" si="284"/>
        <v>0</v>
      </c>
      <c r="GC195" s="409">
        <f t="shared" si="284"/>
        <v>0</v>
      </c>
      <c r="GD195" s="409">
        <f t="shared" si="284"/>
        <v>0</v>
      </c>
      <c r="GE195" s="409">
        <f t="shared" si="284"/>
        <v>0</v>
      </c>
      <c r="GF195" s="409">
        <f t="shared" si="284"/>
        <v>0</v>
      </c>
      <c r="GG195" s="409">
        <f t="shared" si="285"/>
        <v>0</v>
      </c>
      <c r="GH195" s="409">
        <f t="shared" si="285"/>
        <v>0</v>
      </c>
      <c r="GI195" s="409">
        <f t="shared" si="285"/>
        <v>0</v>
      </c>
      <c r="GJ195" s="409">
        <f t="shared" si="285"/>
        <v>0</v>
      </c>
      <c r="GK195" s="409">
        <f t="shared" si="285"/>
        <v>0</v>
      </c>
      <c r="GL195" s="409">
        <f t="shared" si="285"/>
        <v>0</v>
      </c>
      <c r="GM195" s="409">
        <f t="shared" si="285"/>
        <v>0</v>
      </c>
      <c r="GN195" s="409">
        <f t="shared" si="285"/>
        <v>0</v>
      </c>
      <c r="GO195" s="409">
        <f t="shared" si="285"/>
        <v>0</v>
      </c>
      <c r="GP195" s="409">
        <f t="shared" si="285"/>
        <v>0</v>
      </c>
      <c r="GQ195" s="409">
        <f t="shared" si="286"/>
        <v>0</v>
      </c>
      <c r="GR195" s="409">
        <f t="shared" si="286"/>
        <v>0</v>
      </c>
      <c r="GS195" s="409">
        <f t="shared" si="286"/>
        <v>0</v>
      </c>
      <c r="GT195" s="409">
        <f t="shared" si="286"/>
        <v>0</v>
      </c>
      <c r="GU195" s="409">
        <f t="shared" si="286"/>
        <v>0</v>
      </c>
      <c r="GV195" s="409">
        <f t="shared" si="286"/>
        <v>0</v>
      </c>
      <c r="GW195" s="409">
        <f t="shared" si="286"/>
        <v>0</v>
      </c>
      <c r="GX195" s="409">
        <f t="shared" si="286"/>
        <v>0</v>
      </c>
      <c r="GY195" s="409">
        <f t="shared" si="286"/>
        <v>0</v>
      </c>
      <c r="GZ195" s="409">
        <f t="shared" si="286"/>
        <v>0</v>
      </c>
      <c r="HA195" s="409">
        <f t="shared" si="287"/>
        <v>0</v>
      </c>
      <c r="HB195" s="409">
        <f t="shared" si="287"/>
        <v>0</v>
      </c>
      <c r="HC195" s="409">
        <f t="shared" si="287"/>
        <v>0</v>
      </c>
      <c r="HD195" s="409">
        <f t="shared" si="287"/>
        <v>0</v>
      </c>
      <c r="HE195" s="409">
        <f t="shared" si="287"/>
        <v>0</v>
      </c>
      <c r="HF195" s="409">
        <f t="shared" si="287"/>
        <v>0</v>
      </c>
      <c r="HG195" s="409">
        <f t="shared" si="287"/>
        <v>0</v>
      </c>
      <c r="HH195" s="409">
        <f t="shared" si="287"/>
        <v>0</v>
      </c>
      <c r="HI195" s="409">
        <f t="shared" si="287"/>
        <v>0</v>
      </c>
      <c r="HJ195" s="409">
        <f t="shared" si="287"/>
        <v>0</v>
      </c>
      <c r="HK195" s="409">
        <f t="shared" si="288"/>
        <v>0</v>
      </c>
      <c r="HL195" s="409">
        <f t="shared" si="288"/>
        <v>0</v>
      </c>
      <c r="HM195" s="409">
        <f t="shared" si="288"/>
        <v>0</v>
      </c>
      <c r="HN195" s="409">
        <f t="shared" si="288"/>
        <v>0</v>
      </c>
      <c r="HO195" s="409">
        <f t="shared" si="288"/>
        <v>0</v>
      </c>
      <c r="HP195" s="409">
        <f t="shared" si="288"/>
        <v>0</v>
      </c>
      <c r="HQ195" s="409">
        <f t="shared" si="288"/>
        <v>0</v>
      </c>
      <c r="HR195" s="409">
        <f t="shared" si="288"/>
        <v>0</v>
      </c>
      <c r="HS195" s="409">
        <f t="shared" si="288"/>
        <v>0</v>
      </c>
      <c r="HT195" s="409">
        <f t="shared" si="288"/>
        <v>0</v>
      </c>
      <c r="HU195" s="409">
        <f t="shared" si="289"/>
        <v>0</v>
      </c>
      <c r="HV195" s="409">
        <f t="shared" si="289"/>
        <v>0</v>
      </c>
      <c r="HW195" s="409">
        <f t="shared" si="289"/>
        <v>0</v>
      </c>
      <c r="HX195" s="409">
        <f t="shared" si="289"/>
        <v>0</v>
      </c>
      <c r="HY195" s="409">
        <f t="shared" si="289"/>
        <v>0</v>
      </c>
      <c r="HZ195" s="409">
        <f t="shared" si="289"/>
        <v>0</v>
      </c>
      <c r="IA195" s="409">
        <f t="shared" si="289"/>
        <v>0</v>
      </c>
      <c r="IB195" s="409">
        <f t="shared" si="289"/>
        <v>0</v>
      </c>
      <c r="IC195" s="409">
        <f t="shared" si="289"/>
        <v>0</v>
      </c>
      <c r="ID195" s="409">
        <f t="shared" si="289"/>
        <v>0</v>
      </c>
      <c r="IE195" s="409">
        <f t="shared" si="290"/>
        <v>0</v>
      </c>
      <c r="IF195" s="409">
        <f t="shared" si="290"/>
        <v>0</v>
      </c>
      <c r="IG195" s="409">
        <f t="shared" si="290"/>
        <v>0</v>
      </c>
      <c r="IH195" s="409">
        <f t="shared" si="290"/>
        <v>0</v>
      </c>
      <c r="II195" s="409">
        <f t="shared" si="290"/>
        <v>0</v>
      </c>
      <c r="IJ195" s="409">
        <f t="shared" si="290"/>
        <v>0</v>
      </c>
      <c r="IK195" s="378"/>
    </row>
    <row r="196" spans="1:249" hidden="1" x14ac:dyDescent="0.2">
      <c r="A196" s="380" t="str">
        <f t="shared" si="242"/>
        <v>e</v>
      </c>
      <c r="B196" s="712" t="str">
        <f>IF(ISERROR(INDEX('Legend(DX)'!$H$11:$H$12,39)),"",INDEX('Legend(DX)'!$H$11:$H$12,39))</f>
        <v/>
      </c>
      <c r="C196" s="712" t="e">
        <f>IF(INDEX('Legend(DX)'!$T$11:$T$12,39)=0,"See Legend",INDEX('Legend(DX)'!$T$11:$T$12,39))</f>
        <v>#REF!</v>
      </c>
      <c r="D196" s="712" t="e">
        <f>IF(INDEX('Legend(DX)'!$R$11:$R$12,(ROW(C196))-137)=0,IF(AND(INDEX('Legend(DX)'!$D$11:$D$12,(ROW(C196))-136)="CH",INDEX('Legend(DX)'!$F$11:$F$12,(ROW(C196))-136)="CASE - MANUAL"),INDEX('Legend(DX)'!$R$11:$R$12,(ROW(C196))-136),IF(INDEX('Legend(DX)'!$V$11:$V$12,(ROW(C196))-137)&gt;1, "(" &amp; INDEX('Legend(DX)'!$V$11:$V$12,(ROW(C196))-137) &amp; ") " &amp; INDEX('Legend(DX)'!$W$11:$W$12,(ROW(C196))-136),INDEX('Legend(DX)'!$W$11:$W$12,(ROW(C196))-137))),INDEX('Legend(DX)'!$R$11:$R$12,(ROW(C196))-137))</f>
        <v>#REF!</v>
      </c>
      <c r="E196" s="713" t="str">
        <f>IF(ISERROR(INDEX('Legend(DX)'!$AA$11:$AA$12,39)),"",INDEX('Legend(DX)'!$AA$11:$AA$12,39))</f>
        <v/>
      </c>
      <c r="F196" s="715"/>
      <c r="G196" s="715"/>
      <c r="H196" s="715"/>
      <c r="I196" s="715"/>
      <c r="J196" s="715"/>
      <c r="K196" s="890">
        <f t="shared" si="223"/>
        <v>0</v>
      </c>
      <c r="L196" s="718"/>
      <c r="M196" s="723"/>
      <c r="N196" s="972">
        <f t="shared" si="291"/>
        <v>-1</v>
      </c>
      <c r="O196" s="972">
        <f t="shared" si="224"/>
        <v>-1</v>
      </c>
      <c r="P196" s="972">
        <f t="shared" si="292"/>
        <v>-1</v>
      </c>
      <c r="Q196" s="972">
        <f t="shared" si="225"/>
        <v>-1</v>
      </c>
      <c r="R196" s="972">
        <f t="shared" si="293"/>
        <v>-1</v>
      </c>
      <c r="S196" s="972">
        <f t="shared" si="226"/>
        <v>-1</v>
      </c>
      <c r="T196" s="972">
        <f t="shared" si="294"/>
        <v>-1</v>
      </c>
      <c r="U196" s="972">
        <f t="shared" si="227"/>
        <v>-1</v>
      </c>
      <c r="V196" s="972">
        <f t="shared" si="295"/>
        <v>-1</v>
      </c>
      <c r="W196" s="972">
        <f t="shared" si="228"/>
        <v>-1</v>
      </c>
      <c r="X196" s="972">
        <f t="shared" si="296"/>
        <v>-1</v>
      </c>
      <c r="Y196" s="972">
        <f t="shared" si="229"/>
        <v>-1</v>
      </c>
      <c r="Z196" s="972">
        <f t="shared" si="230"/>
        <v>-1</v>
      </c>
      <c r="AA196" s="972">
        <f t="shared" si="231"/>
        <v>-1</v>
      </c>
      <c r="AB196" s="972">
        <f t="shared" si="232"/>
        <v>-1</v>
      </c>
      <c r="AC196" s="972">
        <f t="shared" si="233"/>
        <v>-1</v>
      </c>
      <c r="AD196" s="972">
        <f t="shared" si="234"/>
        <v>-1</v>
      </c>
      <c r="AE196" s="972">
        <f t="shared" si="235"/>
        <v>-1</v>
      </c>
      <c r="AF196" s="972">
        <f t="shared" si="236"/>
        <v>-1</v>
      </c>
      <c r="AG196" s="972">
        <f t="shared" si="237"/>
        <v>-1</v>
      </c>
      <c r="AH196" s="972">
        <f t="shared" si="238"/>
        <v>-1</v>
      </c>
      <c r="AI196" s="972">
        <f t="shared" si="239"/>
        <v>-1</v>
      </c>
      <c r="AJ196" s="972">
        <f t="shared" si="240"/>
        <v>-1</v>
      </c>
      <c r="AK196" s="381"/>
      <c r="AL196" s="727" t="str">
        <f t="shared" si="241"/>
        <v/>
      </c>
      <c r="AM196" s="409">
        <f t="shared" si="270"/>
        <v>0</v>
      </c>
      <c r="AN196" s="409">
        <f t="shared" si="270"/>
        <v>0</v>
      </c>
      <c r="AO196" s="409">
        <f t="shared" si="270"/>
        <v>0</v>
      </c>
      <c r="AP196" s="409">
        <f t="shared" si="270"/>
        <v>0</v>
      </c>
      <c r="AQ196" s="409">
        <f t="shared" si="270"/>
        <v>0</v>
      </c>
      <c r="AR196" s="409">
        <f t="shared" si="270"/>
        <v>0</v>
      </c>
      <c r="AS196" s="409">
        <f t="shared" si="270"/>
        <v>0</v>
      </c>
      <c r="AT196" s="409">
        <f t="shared" si="270"/>
        <v>0</v>
      </c>
      <c r="AU196" s="409">
        <f t="shared" si="270"/>
        <v>0</v>
      </c>
      <c r="AV196" s="409">
        <f t="shared" si="270"/>
        <v>0</v>
      </c>
      <c r="AW196" s="409">
        <f t="shared" si="271"/>
        <v>0</v>
      </c>
      <c r="AX196" s="409">
        <f t="shared" si="271"/>
        <v>0</v>
      </c>
      <c r="AY196" s="409">
        <f t="shared" si="271"/>
        <v>0</v>
      </c>
      <c r="AZ196" s="409">
        <f t="shared" si="271"/>
        <v>0</v>
      </c>
      <c r="BA196" s="409">
        <f t="shared" si="271"/>
        <v>0</v>
      </c>
      <c r="BB196" s="409">
        <f t="shared" si="271"/>
        <v>0</v>
      </c>
      <c r="BC196" s="409">
        <f t="shared" si="271"/>
        <v>0</v>
      </c>
      <c r="BD196" s="409">
        <f t="shared" si="271"/>
        <v>0</v>
      </c>
      <c r="BE196" s="409">
        <f t="shared" si="271"/>
        <v>0</v>
      </c>
      <c r="BF196" s="409">
        <f t="shared" si="271"/>
        <v>0</v>
      </c>
      <c r="BG196" s="409">
        <f t="shared" si="272"/>
        <v>0</v>
      </c>
      <c r="BH196" s="409">
        <f t="shared" si="272"/>
        <v>0</v>
      </c>
      <c r="BI196" s="409">
        <f t="shared" si="272"/>
        <v>0</v>
      </c>
      <c r="BJ196" s="409">
        <f t="shared" si="272"/>
        <v>0</v>
      </c>
      <c r="BK196" s="409">
        <f t="shared" si="272"/>
        <v>0</v>
      </c>
      <c r="BL196" s="409">
        <f t="shared" si="272"/>
        <v>0</v>
      </c>
      <c r="BM196" s="409">
        <f t="shared" si="272"/>
        <v>0</v>
      </c>
      <c r="BN196" s="409">
        <f t="shared" si="272"/>
        <v>0</v>
      </c>
      <c r="BO196" s="409">
        <f t="shared" si="272"/>
        <v>0</v>
      </c>
      <c r="BP196" s="409">
        <f t="shared" si="272"/>
        <v>0</v>
      </c>
      <c r="BQ196" s="409">
        <f t="shared" si="273"/>
        <v>0</v>
      </c>
      <c r="BR196" s="409">
        <f t="shared" si="273"/>
        <v>0</v>
      </c>
      <c r="BS196" s="409">
        <f t="shared" si="273"/>
        <v>0</v>
      </c>
      <c r="BT196" s="409">
        <f t="shared" si="273"/>
        <v>0</v>
      </c>
      <c r="BU196" s="409">
        <f t="shared" si="273"/>
        <v>0</v>
      </c>
      <c r="BV196" s="409">
        <f t="shared" si="273"/>
        <v>0</v>
      </c>
      <c r="BW196" s="409">
        <f t="shared" si="273"/>
        <v>0</v>
      </c>
      <c r="BX196" s="409">
        <f t="shared" si="273"/>
        <v>0</v>
      </c>
      <c r="BY196" s="409">
        <f t="shared" si="273"/>
        <v>0</v>
      </c>
      <c r="BZ196" s="409">
        <f t="shared" si="273"/>
        <v>0</v>
      </c>
      <c r="CA196" s="409">
        <f t="shared" si="274"/>
        <v>0</v>
      </c>
      <c r="CB196" s="409">
        <f t="shared" si="274"/>
        <v>0</v>
      </c>
      <c r="CC196" s="409">
        <f t="shared" si="274"/>
        <v>0</v>
      </c>
      <c r="CD196" s="409">
        <f t="shared" si="274"/>
        <v>0</v>
      </c>
      <c r="CE196" s="409">
        <f t="shared" si="274"/>
        <v>0</v>
      </c>
      <c r="CF196" s="409">
        <f t="shared" si="274"/>
        <v>0</v>
      </c>
      <c r="CG196" s="409">
        <f t="shared" si="274"/>
        <v>0</v>
      </c>
      <c r="CH196" s="409">
        <f t="shared" si="274"/>
        <v>0</v>
      </c>
      <c r="CI196" s="409">
        <f t="shared" si="274"/>
        <v>0</v>
      </c>
      <c r="CJ196" s="409">
        <f t="shared" si="274"/>
        <v>0</v>
      </c>
      <c r="CK196" s="409">
        <f t="shared" si="275"/>
        <v>0</v>
      </c>
      <c r="CL196" s="409">
        <f t="shared" si="275"/>
        <v>0</v>
      </c>
      <c r="CM196" s="409">
        <f t="shared" si="275"/>
        <v>0</v>
      </c>
      <c r="CN196" s="409">
        <f t="shared" si="275"/>
        <v>0</v>
      </c>
      <c r="CO196" s="409">
        <f t="shared" si="275"/>
        <v>0</v>
      </c>
      <c r="CP196" s="409">
        <f t="shared" si="275"/>
        <v>0</v>
      </c>
      <c r="CQ196" s="409">
        <f t="shared" si="275"/>
        <v>0</v>
      </c>
      <c r="CR196" s="409">
        <f t="shared" si="275"/>
        <v>0</v>
      </c>
      <c r="CS196" s="409">
        <f t="shared" si="275"/>
        <v>0</v>
      </c>
      <c r="CT196" s="409">
        <f t="shared" si="275"/>
        <v>0</v>
      </c>
      <c r="CU196" s="409">
        <f t="shared" si="276"/>
        <v>0</v>
      </c>
      <c r="CV196" s="409">
        <f t="shared" si="276"/>
        <v>0</v>
      </c>
      <c r="CW196" s="409">
        <f t="shared" si="276"/>
        <v>0</v>
      </c>
      <c r="CX196" s="409">
        <f t="shared" si="276"/>
        <v>0</v>
      </c>
      <c r="CY196" s="409">
        <f t="shared" si="276"/>
        <v>0</v>
      </c>
      <c r="CZ196" s="409">
        <f t="shared" si="276"/>
        <v>0</v>
      </c>
      <c r="DA196" s="409">
        <f t="shared" si="276"/>
        <v>0</v>
      </c>
      <c r="DB196" s="409">
        <f t="shared" si="276"/>
        <v>0</v>
      </c>
      <c r="DC196" s="409">
        <f t="shared" si="276"/>
        <v>0</v>
      </c>
      <c r="DD196" s="409">
        <f t="shared" si="276"/>
        <v>0</v>
      </c>
      <c r="DE196" s="409">
        <f t="shared" si="277"/>
        <v>0</v>
      </c>
      <c r="DF196" s="409">
        <f t="shared" si="277"/>
        <v>0</v>
      </c>
      <c r="DG196" s="409">
        <f t="shared" si="277"/>
        <v>0</v>
      </c>
      <c r="DH196" s="409">
        <f t="shared" si="277"/>
        <v>0</v>
      </c>
      <c r="DI196" s="409">
        <f t="shared" si="277"/>
        <v>0</v>
      </c>
      <c r="DJ196" s="409">
        <f t="shared" si="277"/>
        <v>0</v>
      </c>
      <c r="DK196" s="409">
        <f t="shared" si="277"/>
        <v>0</v>
      </c>
      <c r="DL196" s="409">
        <f t="shared" si="277"/>
        <v>0</v>
      </c>
      <c r="DM196" s="409">
        <f t="shared" si="277"/>
        <v>0</v>
      </c>
      <c r="DN196" s="409">
        <f t="shared" si="277"/>
        <v>0</v>
      </c>
      <c r="DO196" s="409">
        <f t="shared" si="278"/>
        <v>0</v>
      </c>
      <c r="DP196" s="409">
        <f t="shared" si="278"/>
        <v>0</v>
      </c>
      <c r="DQ196" s="409">
        <f t="shared" si="278"/>
        <v>0</v>
      </c>
      <c r="DR196" s="409">
        <f t="shared" si="278"/>
        <v>0</v>
      </c>
      <c r="DS196" s="409">
        <f t="shared" si="278"/>
        <v>0</v>
      </c>
      <c r="DT196" s="409">
        <f t="shared" si="278"/>
        <v>0</v>
      </c>
      <c r="DU196" s="409">
        <f t="shared" si="278"/>
        <v>0</v>
      </c>
      <c r="DV196" s="409">
        <f t="shared" si="278"/>
        <v>0</v>
      </c>
      <c r="DW196" s="409">
        <f t="shared" si="278"/>
        <v>0</v>
      </c>
      <c r="DX196" s="409">
        <f t="shared" si="278"/>
        <v>0</v>
      </c>
      <c r="DY196" s="409">
        <f t="shared" si="279"/>
        <v>0</v>
      </c>
      <c r="DZ196" s="409">
        <f t="shared" si="279"/>
        <v>0</v>
      </c>
      <c r="EA196" s="409">
        <f t="shared" si="279"/>
        <v>0</v>
      </c>
      <c r="EB196" s="409">
        <f t="shared" si="279"/>
        <v>0</v>
      </c>
      <c r="EC196" s="409">
        <f t="shared" si="279"/>
        <v>0</v>
      </c>
      <c r="ED196" s="409">
        <f t="shared" si="279"/>
        <v>0</v>
      </c>
      <c r="EE196" s="409">
        <f t="shared" si="279"/>
        <v>0</v>
      </c>
      <c r="EF196" s="409">
        <f t="shared" si="279"/>
        <v>0</v>
      </c>
      <c r="EG196" s="409">
        <f t="shared" si="279"/>
        <v>0</v>
      </c>
      <c r="EH196" s="409">
        <f t="shared" si="279"/>
        <v>0</v>
      </c>
      <c r="EI196" s="409">
        <f t="shared" si="280"/>
        <v>0</v>
      </c>
      <c r="EJ196" s="409">
        <f t="shared" si="280"/>
        <v>0</v>
      </c>
      <c r="EK196" s="409">
        <f t="shared" si="280"/>
        <v>0</v>
      </c>
      <c r="EL196" s="409">
        <f t="shared" si="280"/>
        <v>0</v>
      </c>
      <c r="EM196" s="409">
        <f t="shared" si="280"/>
        <v>0</v>
      </c>
      <c r="EN196" s="409">
        <f t="shared" si="280"/>
        <v>0</v>
      </c>
      <c r="EO196" s="409">
        <f t="shared" si="280"/>
        <v>0</v>
      </c>
      <c r="EP196" s="409">
        <f t="shared" si="280"/>
        <v>0</v>
      </c>
      <c r="EQ196" s="409">
        <f t="shared" si="280"/>
        <v>0</v>
      </c>
      <c r="ER196" s="409">
        <f t="shared" si="280"/>
        <v>0</v>
      </c>
      <c r="ES196" s="409">
        <f t="shared" si="281"/>
        <v>0</v>
      </c>
      <c r="ET196" s="409">
        <f t="shared" si="281"/>
        <v>0</v>
      </c>
      <c r="EU196" s="409">
        <f t="shared" si="281"/>
        <v>0</v>
      </c>
      <c r="EV196" s="409">
        <f t="shared" si="281"/>
        <v>0</v>
      </c>
      <c r="EW196" s="409">
        <f t="shared" si="281"/>
        <v>0</v>
      </c>
      <c r="EX196" s="409">
        <f t="shared" si="281"/>
        <v>0</v>
      </c>
      <c r="EY196" s="409">
        <f t="shared" si="281"/>
        <v>0</v>
      </c>
      <c r="EZ196" s="409">
        <f t="shared" si="281"/>
        <v>0</v>
      </c>
      <c r="FA196" s="409">
        <f t="shared" si="281"/>
        <v>0</v>
      </c>
      <c r="FB196" s="409">
        <f t="shared" si="281"/>
        <v>0</v>
      </c>
      <c r="FC196" s="409">
        <f t="shared" si="282"/>
        <v>0</v>
      </c>
      <c r="FD196" s="409">
        <f t="shared" si="282"/>
        <v>0</v>
      </c>
      <c r="FE196" s="409">
        <f t="shared" si="282"/>
        <v>0</v>
      </c>
      <c r="FF196" s="409">
        <f t="shared" si="282"/>
        <v>0</v>
      </c>
      <c r="FG196" s="409">
        <f t="shared" si="282"/>
        <v>0</v>
      </c>
      <c r="FH196" s="409">
        <f t="shared" si="282"/>
        <v>0</v>
      </c>
      <c r="FI196" s="409">
        <f t="shared" si="282"/>
        <v>0</v>
      </c>
      <c r="FJ196" s="409">
        <f t="shared" si="282"/>
        <v>0</v>
      </c>
      <c r="FK196" s="409">
        <f t="shared" si="282"/>
        <v>0</v>
      </c>
      <c r="FL196" s="409">
        <f t="shared" si="282"/>
        <v>0</v>
      </c>
      <c r="FM196" s="409">
        <f t="shared" si="283"/>
        <v>0</v>
      </c>
      <c r="FN196" s="409">
        <f t="shared" si="283"/>
        <v>0</v>
      </c>
      <c r="FO196" s="409">
        <f t="shared" si="283"/>
        <v>0</v>
      </c>
      <c r="FP196" s="409">
        <f t="shared" si="283"/>
        <v>0</v>
      </c>
      <c r="FQ196" s="409">
        <f t="shared" si="283"/>
        <v>0</v>
      </c>
      <c r="FR196" s="409">
        <f t="shared" si="283"/>
        <v>0</v>
      </c>
      <c r="FS196" s="409">
        <f t="shared" si="283"/>
        <v>0</v>
      </c>
      <c r="FT196" s="409">
        <f t="shared" si="283"/>
        <v>0</v>
      </c>
      <c r="FU196" s="409">
        <f t="shared" si="283"/>
        <v>0</v>
      </c>
      <c r="FV196" s="409">
        <f t="shared" si="283"/>
        <v>0</v>
      </c>
      <c r="FW196" s="409">
        <f t="shared" si="284"/>
        <v>0</v>
      </c>
      <c r="FX196" s="409">
        <f t="shared" si="284"/>
        <v>0</v>
      </c>
      <c r="FY196" s="409">
        <f t="shared" si="284"/>
        <v>0</v>
      </c>
      <c r="FZ196" s="409">
        <f t="shared" si="284"/>
        <v>0</v>
      </c>
      <c r="GA196" s="409">
        <f t="shared" si="284"/>
        <v>0</v>
      </c>
      <c r="GB196" s="409">
        <f t="shared" si="284"/>
        <v>0</v>
      </c>
      <c r="GC196" s="409">
        <f t="shared" si="284"/>
        <v>0</v>
      </c>
      <c r="GD196" s="409">
        <f t="shared" si="284"/>
        <v>0</v>
      </c>
      <c r="GE196" s="409">
        <f t="shared" si="284"/>
        <v>0</v>
      </c>
      <c r="GF196" s="409">
        <f t="shared" si="284"/>
        <v>0</v>
      </c>
      <c r="GG196" s="409">
        <f t="shared" si="285"/>
        <v>0</v>
      </c>
      <c r="GH196" s="409">
        <f t="shared" si="285"/>
        <v>0</v>
      </c>
      <c r="GI196" s="409">
        <f t="shared" si="285"/>
        <v>0</v>
      </c>
      <c r="GJ196" s="409">
        <f t="shared" si="285"/>
        <v>0</v>
      </c>
      <c r="GK196" s="409">
        <f t="shared" si="285"/>
        <v>0</v>
      </c>
      <c r="GL196" s="409">
        <f t="shared" si="285"/>
        <v>0</v>
      </c>
      <c r="GM196" s="409">
        <f t="shared" si="285"/>
        <v>0</v>
      </c>
      <c r="GN196" s="409">
        <f t="shared" si="285"/>
        <v>0</v>
      </c>
      <c r="GO196" s="409">
        <f t="shared" si="285"/>
        <v>0</v>
      </c>
      <c r="GP196" s="409">
        <f t="shared" si="285"/>
        <v>0</v>
      </c>
      <c r="GQ196" s="409">
        <f t="shared" si="286"/>
        <v>0</v>
      </c>
      <c r="GR196" s="409">
        <f t="shared" si="286"/>
        <v>0</v>
      </c>
      <c r="GS196" s="409">
        <f t="shared" si="286"/>
        <v>0</v>
      </c>
      <c r="GT196" s="409">
        <f t="shared" si="286"/>
        <v>0</v>
      </c>
      <c r="GU196" s="409">
        <f t="shared" si="286"/>
        <v>0</v>
      </c>
      <c r="GV196" s="409">
        <f t="shared" si="286"/>
        <v>0</v>
      </c>
      <c r="GW196" s="409">
        <f t="shared" si="286"/>
        <v>0</v>
      </c>
      <c r="GX196" s="409">
        <f t="shared" si="286"/>
        <v>0</v>
      </c>
      <c r="GY196" s="409">
        <f t="shared" si="286"/>
        <v>0</v>
      </c>
      <c r="GZ196" s="409">
        <f t="shared" si="286"/>
        <v>0</v>
      </c>
      <c r="HA196" s="409">
        <f t="shared" si="287"/>
        <v>0</v>
      </c>
      <c r="HB196" s="409">
        <f t="shared" si="287"/>
        <v>0</v>
      </c>
      <c r="HC196" s="409">
        <f t="shared" si="287"/>
        <v>0</v>
      </c>
      <c r="HD196" s="409">
        <f t="shared" si="287"/>
        <v>0</v>
      </c>
      <c r="HE196" s="409">
        <f t="shared" si="287"/>
        <v>0</v>
      </c>
      <c r="HF196" s="409">
        <f t="shared" si="287"/>
        <v>0</v>
      </c>
      <c r="HG196" s="409">
        <f t="shared" si="287"/>
        <v>0</v>
      </c>
      <c r="HH196" s="409">
        <f t="shared" si="287"/>
        <v>0</v>
      </c>
      <c r="HI196" s="409">
        <f t="shared" si="287"/>
        <v>0</v>
      </c>
      <c r="HJ196" s="409">
        <f t="shared" si="287"/>
        <v>0</v>
      </c>
      <c r="HK196" s="409">
        <f t="shared" si="288"/>
        <v>0</v>
      </c>
      <c r="HL196" s="409">
        <f t="shared" si="288"/>
        <v>0</v>
      </c>
      <c r="HM196" s="409">
        <f t="shared" si="288"/>
        <v>0</v>
      </c>
      <c r="HN196" s="409">
        <f t="shared" si="288"/>
        <v>0</v>
      </c>
      <c r="HO196" s="409">
        <f t="shared" si="288"/>
        <v>0</v>
      </c>
      <c r="HP196" s="409">
        <f t="shared" si="288"/>
        <v>0</v>
      </c>
      <c r="HQ196" s="409">
        <f t="shared" si="288"/>
        <v>0</v>
      </c>
      <c r="HR196" s="409">
        <f t="shared" si="288"/>
        <v>0</v>
      </c>
      <c r="HS196" s="409">
        <f t="shared" si="288"/>
        <v>0</v>
      </c>
      <c r="HT196" s="409">
        <f t="shared" si="288"/>
        <v>0</v>
      </c>
      <c r="HU196" s="409">
        <f t="shared" si="289"/>
        <v>0</v>
      </c>
      <c r="HV196" s="409">
        <f t="shared" si="289"/>
        <v>0</v>
      </c>
      <c r="HW196" s="409">
        <f t="shared" si="289"/>
        <v>0</v>
      </c>
      <c r="HX196" s="409">
        <f t="shared" si="289"/>
        <v>0</v>
      </c>
      <c r="HY196" s="409">
        <f t="shared" si="289"/>
        <v>0</v>
      </c>
      <c r="HZ196" s="409">
        <f t="shared" si="289"/>
        <v>0</v>
      </c>
      <c r="IA196" s="409">
        <f t="shared" si="289"/>
        <v>0</v>
      </c>
      <c r="IB196" s="409">
        <f t="shared" si="289"/>
        <v>0</v>
      </c>
      <c r="IC196" s="409">
        <f t="shared" si="289"/>
        <v>0</v>
      </c>
      <c r="ID196" s="409">
        <f t="shared" si="289"/>
        <v>0</v>
      </c>
      <c r="IE196" s="409">
        <f t="shared" si="290"/>
        <v>0</v>
      </c>
      <c r="IF196" s="409">
        <f t="shared" si="290"/>
        <v>0</v>
      </c>
      <c r="IG196" s="409">
        <f t="shared" si="290"/>
        <v>0</v>
      </c>
      <c r="IH196" s="409">
        <f t="shared" si="290"/>
        <v>0</v>
      </c>
      <c r="II196" s="409">
        <f t="shared" si="290"/>
        <v>0</v>
      </c>
      <c r="IJ196" s="409">
        <f t="shared" si="290"/>
        <v>0</v>
      </c>
      <c r="IK196" s="378"/>
    </row>
    <row r="197" spans="1:249" hidden="1" x14ac:dyDescent="0.2">
      <c r="A197" s="380" t="str">
        <f t="shared" si="242"/>
        <v>e</v>
      </c>
      <c r="B197" s="712" t="str">
        <f>IF(ISERROR(INDEX('Legend(DX)'!$H$11:$H$12,40)),"",INDEX('Legend(DX)'!$H$11:$H$12,40))</f>
        <v/>
      </c>
      <c r="C197" s="712" t="e">
        <f>IF(INDEX('Legend(DX)'!$T$11:$T$12,40)=0,"See Legend",INDEX('Legend(DX)'!$T$11:$T$12,40))</f>
        <v>#REF!</v>
      </c>
      <c r="D197" s="712" t="e">
        <f>IF(INDEX('Legend(DX)'!$R$11:$R$12,(ROW(C197))-137)=0,IF(AND(INDEX('Legend(DX)'!$D$11:$D$12,(ROW(C197))-136)="CH",INDEX('Legend(DX)'!$F$11:$F$12,(ROW(C197))-136)="CASE - MANUAL"),INDEX('Legend(DX)'!$R$11:$R$12,(ROW(C197))-136),IF(INDEX('Legend(DX)'!$V$11:$V$12,(ROW(C197))-137)&gt;1, "(" &amp; INDEX('Legend(DX)'!$V$11:$V$12,(ROW(C197))-137) &amp; ") " &amp; INDEX('Legend(DX)'!$W$11:$W$12,(ROW(C197))-136),INDEX('Legend(DX)'!$W$11:$W$12,(ROW(C197))-137))),INDEX('Legend(DX)'!$R$11:$R$12,(ROW(C197))-137))</f>
        <v>#REF!</v>
      </c>
      <c r="E197" s="713" t="str">
        <f>IF(ISERROR(INDEX('Legend(DX)'!$AA$11:$AA$12,40)),"",INDEX('Legend(DX)'!$AA$11:$AA$12,40))</f>
        <v/>
      </c>
      <c r="F197" s="715"/>
      <c r="G197" s="715"/>
      <c r="H197" s="715"/>
      <c r="I197" s="715"/>
      <c r="J197" s="715"/>
      <c r="K197" s="890">
        <f t="shared" si="223"/>
        <v>0</v>
      </c>
      <c r="L197" s="718"/>
      <c r="M197" s="723"/>
      <c r="N197" s="972">
        <f t="shared" si="291"/>
        <v>-1</v>
      </c>
      <c r="O197" s="972">
        <f t="shared" si="224"/>
        <v>-1</v>
      </c>
      <c r="P197" s="972">
        <f t="shared" si="292"/>
        <v>-1</v>
      </c>
      <c r="Q197" s="972">
        <f t="shared" si="225"/>
        <v>-1</v>
      </c>
      <c r="R197" s="972">
        <f t="shared" si="293"/>
        <v>-1</v>
      </c>
      <c r="S197" s="972">
        <f t="shared" si="226"/>
        <v>-1</v>
      </c>
      <c r="T197" s="972">
        <f t="shared" si="294"/>
        <v>-1</v>
      </c>
      <c r="U197" s="972">
        <f t="shared" si="227"/>
        <v>-1</v>
      </c>
      <c r="V197" s="972">
        <f t="shared" si="295"/>
        <v>-1</v>
      </c>
      <c r="W197" s="972">
        <f t="shared" si="228"/>
        <v>-1</v>
      </c>
      <c r="X197" s="972">
        <f t="shared" si="296"/>
        <v>-1</v>
      </c>
      <c r="Y197" s="972">
        <f t="shared" si="229"/>
        <v>-1</v>
      </c>
      <c r="Z197" s="972">
        <f t="shared" si="230"/>
        <v>-1</v>
      </c>
      <c r="AA197" s="972">
        <f t="shared" si="231"/>
        <v>-1</v>
      </c>
      <c r="AB197" s="972">
        <f t="shared" si="232"/>
        <v>-1</v>
      </c>
      <c r="AC197" s="972">
        <f t="shared" si="233"/>
        <v>-1</v>
      </c>
      <c r="AD197" s="972">
        <f t="shared" si="234"/>
        <v>-1</v>
      </c>
      <c r="AE197" s="972">
        <f t="shared" si="235"/>
        <v>-1</v>
      </c>
      <c r="AF197" s="972">
        <f t="shared" si="236"/>
        <v>-1</v>
      </c>
      <c r="AG197" s="972">
        <f t="shared" si="237"/>
        <v>-1</v>
      </c>
      <c r="AH197" s="972">
        <f t="shared" si="238"/>
        <v>-1</v>
      </c>
      <c r="AI197" s="972">
        <f t="shared" si="239"/>
        <v>-1</v>
      </c>
      <c r="AJ197" s="972">
        <f t="shared" si="240"/>
        <v>-1</v>
      </c>
      <c r="AK197" s="381"/>
      <c r="AL197" s="727" t="str">
        <f t="shared" si="241"/>
        <v/>
      </c>
      <c r="AM197" s="409">
        <f t="shared" si="270"/>
        <v>0</v>
      </c>
      <c r="AN197" s="409">
        <f t="shared" si="270"/>
        <v>0</v>
      </c>
      <c r="AO197" s="409">
        <f t="shared" si="270"/>
        <v>0</v>
      </c>
      <c r="AP197" s="409">
        <f t="shared" si="270"/>
        <v>0</v>
      </c>
      <c r="AQ197" s="409">
        <f t="shared" si="270"/>
        <v>0</v>
      </c>
      <c r="AR197" s="409">
        <f t="shared" si="270"/>
        <v>0</v>
      </c>
      <c r="AS197" s="409">
        <f t="shared" si="270"/>
        <v>0</v>
      </c>
      <c r="AT197" s="409">
        <f t="shared" si="270"/>
        <v>0</v>
      </c>
      <c r="AU197" s="409">
        <f t="shared" si="270"/>
        <v>0</v>
      </c>
      <c r="AV197" s="409">
        <f t="shared" si="270"/>
        <v>0</v>
      </c>
      <c r="AW197" s="409">
        <f t="shared" si="271"/>
        <v>0</v>
      </c>
      <c r="AX197" s="409">
        <f t="shared" si="271"/>
        <v>0</v>
      </c>
      <c r="AY197" s="409">
        <f t="shared" si="271"/>
        <v>0</v>
      </c>
      <c r="AZ197" s="409">
        <f t="shared" si="271"/>
        <v>0</v>
      </c>
      <c r="BA197" s="409">
        <f t="shared" si="271"/>
        <v>0</v>
      </c>
      <c r="BB197" s="409">
        <f t="shared" si="271"/>
        <v>0</v>
      </c>
      <c r="BC197" s="409">
        <f t="shared" si="271"/>
        <v>0</v>
      </c>
      <c r="BD197" s="409">
        <f t="shared" si="271"/>
        <v>0</v>
      </c>
      <c r="BE197" s="409">
        <f t="shared" si="271"/>
        <v>0</v>
      </c>
      <c r="BF197" s="409">
        <f t="shared" si="271"/>
        <v>0</v>
      </c>
      <c r="BG197" s="409">
        <f t="shared" si="272"/>
        <v>0</v>
      </c>
      <c r="BH197" s="409">
        <f t="shared" si="272"/>
        <v>0</v>
      </c>
      <c r="BI197" s="409">
        <f t="shared" si="272"/>
        <v>0</v>
      </c>
      <c r="BJ197" s="409">
        <f t="shared" si="272"/>
        <v>0</v>
      </c>
      <c r="BK197" s="409">
        <f t="shared" si="272"/>
        <v>0</v>
      </c>
      <c r="BL197" s="409">
        <f t="shared" si="272"/>
        <v>0</v>
      </c>
      <c r="BM197" s="409">
        <f t="shared" si="272"/>
        <v>0</v>
      </c>
      <c r="BN197" s="409">
        <f t="shared" si="272"/>
        <v>0</v>
      </c>
      <c r="BO197" s="409">
        <f t="shared" si="272"/>
        <v>0</v>
      </c>
      <c r="BP197" s="409">
        <f t="shared" si="272"/>
        <v>0</v>
      </c>
      <c r="BQ197" s="409">
        <f t="shared" si="273"/>
        <v>0</v>
      </c>
      <c r="BR197" s="409">
        <f t="shared" si="273"/>
        <v>0</v>
      </c>
      <c r="BS197" s="409">
        <f t="shared" si="273"/>
        <v>0</v>
      </c>
      <c r="BT197" s="409">
        <f t="shared" si="273"/>
        <v>0</v>
      </c>
      <c r="BU197" s="409">
        <f t="shared" si="273"/>
        <v>0</v>
      </c>
      <c r="BV197" s="409">
        <f t="shared" si="273"/>
        <v>0</v>
      </c>
      <c r="BW197" s="409">
        <f t="shared" si="273"/>
        <v>0</v>
      </c>
      <c r="BX197" s="409">
        <f t="shared" si="273"/>
        <v>0</v>
      </c>
      <c r="BY197" s="409">
        <f t="shared" si="273"/>
        <v>0</v>
      </c>
      <c r="BZ197" s="409">
        <f t="shared" si="273"/>
        <v>0</v>
      </c>
      <c r="CA197" s="409">
        <f t="shared" si="274"/>
        <v>0</v>
      </c>
      <c r="CB197" s="409">
        <f t="shared" si="274"/>
        <v>0</v>
      </c>
      <c r="CC197" s="409">
        <f t="shared" si="274"/>
        <v>0</v>
      </c>
      <c r="CD197" s="409">
        <f t="shared" si="274"/>
        <v>0</v>
      </c>
      <c r="CE197" s="409">
        <f t="shared" si="274"/>
        <v>0</v>
      </c>
      <c r="CF197" s="409">
        <f t="shared" si="274"/>
        <v>0</v>
      </c>
      <c r="CG197" s="409">
        <f t="shared" si="274"/>
        <v>0</v>
      </c>
      <c r="CH197" s="409">
        <f t="shared" si="274"/>
        <v>0</v>
      </c>
      <c r="CI197" s="409">
        <f t="shared" si="274"/>
        <v>0</v>
      </c>
      <c r="CJ197" s="409">
        <f t="shared" si="274"/>
        <v>0</v>
      </c>
      <c r="CK197" s="409">
        <f t="shared" si="275"/>
        <v>0</v>
      </c>
      <c r="CL197" s="409">
        <f t="shared" si="275"/>
        <v>0</v>
      </c>
      <c r="CM197" s="409">
        <f t="shared" si="275"/>
        <v>0</v>
      </c>
      <c r="CN197" s="409">
        <f t="shared" si="275"/>
        <v>0</v>
      </c>
      <c r="CO197" s="409">
        <f t="shared" si="275"/>
        <v>0</v>
      </c>
      <c r="CP197" s="409">
        <f t="shared" si="275"/>
        <v>0</v>
      </c>
      <c r="CQ197" s="409">
        <f t="shared" si="275"/>
        <v>0</v>
      </c>
      <c r="CR197" s="409">
        <f t="shared" si="275"/>
        <v>0</v>
      </c>
      <c r="CS197" s="409">
        <f t="shared" si="275"/>
        <v>0</v>
      </c>
      <c r="CT197" s="409">
        <f t="shared" si="275"/>
        <v>0</v>
      </c>
      <c r="CU197" s="409">
        <f t="shared" si="276"/>
        <v>0</v>
      </c>
      <c r="CV197" s="409">
        <f t="shared" si="276"/>
        <v>0</v>
      </c>
      <c r="CW197" s="409">
        <f t="shared" si="276"/>
        <v>0</v>
      </c>
      <c r="CX197" s="409">
        <f t="shared" si="276"/>
        <v>0</v>
      </c>
      <c r="CY197" s="409">
        <f t="shared" si="276"/>
        <v>0</v>
      </c>
      <c r="CZ197" s="409">
        <f t="shared" si="276"/>
        <v>0</v>
      </c>
      <c r="DA197" s="409">
        <f t="shared" si="276"/>
        <v>0</v>
      </c>
      <c r="DB197" s="409">
        <f t="shared" si="276"/>
        <v>0</v>
      </c>
      <c r="DC197" s="409">
        <f t="shared" si="276"/>
        <v>0</v>
      </c>
      <c r="DD197" s="409">
        <f t="shared" si="276"/>
        <v>0</v>
      </c>
      <c r="DE197" s="409">
        <f t="shared" si="277"/>
        <v>0</v>
      </c>
      <c r="DF197" s="409">
        <f t="shared" si="277"/>
        <v>0</v>
      </c>
      <c r="DG197" s="409">
        <f t="shared" si="277"/>
        <v>0</v>
      </c>
      <c r="DH197" s="409">
        <f t="shared" si="277"/>
        <v>0</v>
      </c>
      <c r="DI197" s="409">
        <f t="shared" si="277"/>
        <v>0</v>
      </c>
      <c r="DJ197" s="409">
        <f t="shared" si="277"/>
        <v>0</v>
      </c>
      <c r="DK197" s="409">
        <f t="shared" si="277"/>
        <v>0</v>
      </c>
      <c r="DL197" s="409">
        <f t="shared" si="277"/>
        <v>0</v>
      </c>
      <c r="DM197" s="409">
        <f t="shared" si="277"/>
        <v>0</v>
      </c>
      <c r="DN197" s="409">
        <f t="shared" si="277"/>
        <v>0</v>
      </c>
      <c r="DO197" s="409">
        <f t="shared" si="278"/>
        <v>0</v>
      </c>
      <c r="DP197" s="409">
        <f t="shared" si="278"/>
        <v>0</v>
      </c>
      <c r="DQ197" s="409">
        <f t="shared" si="278"/>
        <v>0</v>
      </c>
      <c r="DR197" s="409">
        <f t="shared" si="278"/>
        <v>0</v>
      </c>
      <c r="DS197" s="409">
        <f t="shared" si="278"/>
        <v>0</v>
      </c>
      <c r="DT197" s="409">
        <f t="shared" si="278"/>
        <v>0</v>
      </c>
      <c r="DU197" s="409">
        <f t="shared" si="278"/>
        <v>0</v>
      </c>
      <c r="DV197" s="409">
        <f t="shared" si="278"/>
        <v>0</v>
      </c>
      <c r="DW197" s="409">
        <f t="shared" si="278"/>
        <v>0</v>
      </c>
      <c r="DX197" s="409">
        <f t="shared" si="278"/>
        <v>0</v>
      </c>
      <c r="DY197" s="409">
        <f t="shared" si="279"/>
        <v>0</v>
      </c>
      <c r="DZ197" s="409">
        <f t="shared" si="279"/>
        <v>0</v>
      </c>
      <c r="EA197" s="409">
        <f t="shared" si="279"/>
        <v>0</v>
      </c>
      <c r="EB197" s="409">
        <f t="shared" si="279"/>
        <v>0</v>
      </c>
      <c r="EC197" s="409">
        <f t="shared" si="279"/>
        <v>0</v>
      </c>
      <c r="ED197" s="409">
        <f t="shared" si="279"/>
        <v>0</v>
      </c>
      <c r="EE197" s="409">
        <f t="shared" si="279"/>
        <v>0</v>
      </c>
      <c r="EF197" s="409">
        <f t="shared" si="279"/>
        <v>0</v>
      </c>
      <c r="EG197" s="409">
        <f t="shared" si="279"/>
        <v>0</v>
      </c>
      <c r="EH197" s="409">
        <f t="shared" si="279"/>
        <v>0</v>
      </c>
      <c r="EI197" s="409">
        <f t="shared" si="280"/>
        <v>0</v>
      </c>
      <c r="EJ197" s="409">
        <f t="shared" si="280"/>
        <v>0</v>
      </c>
      <c r="EK197" s="409">
        <f t="shared" si="280"/>
        <v>0</v>
      </c>
      <c r="EL197" s="409">
        <f t="shared" si="280"/>
        <v>0</v>
      </c>
      <c r="EM197" s="409">
        <f t="shared" si="280"/>
        <v>0</v>
      </c>
      <c r="EN197" s="409">
        <f t="shared" si="280"/>
        <v>0</v>
      </c>
      <c r="EO197" s="409">
        <f t="shared" si="280"/>
        <v>0</v>
      </c>
      <c r="EP197" s="409">
        <f t="shared" si="280"/>
        <v>0</v>
      </c>
      <c r="EQ197" s="409">
        <f t="shared" si="280"/>
        <v>0</v>
      </c>
      <c r="ER197" s="409">
        <f t="shared" si="280"/>
        <v>0</v>
      </c>
      <c r="ES197" s="409">
        <f t="shared" si="281"/>
        <v>0</v>
      </c>
      <c r="ET197" s="409">
        <f t="shared" si="281"/>
        <v>0</v>
      </c>
      <c r="EU197" s="409">
        <f t="shared" si="281"/>
        <v>0</v>
      </c>
      <c r="EV197" s="409">
        <f t="shared" si="281"/>
        <v>0</v>
      </c>
      <c r="EW197" s="409">
        <f t="shared" si="281"/>
        <v>0</v>
      </c>
      <c r="EX197" s="409">
        <f t="shared" si="281"/>
        <v>0</v>
      </c>
      <c r="EY197" s="409">
        <f t="shared" si="281"/>
        <v>0</v>
      </c>
      <c r="EZ197" s="409">
        <f t="shared" si="281"/>
        <v>0</v>
      </c>
      <c r="FA197" s="409">
        <f t="shared" si="281"/>
        <v>0</v>
      </c>
      <c r="FB197" s="409">
        <f t="shared" si="281"/>
        <v>0</v>
      </c>
      <c r="FC197" s="409">
        <f t="shared" si="282"/>
        <v>0</v>
      </c>
      <c r="FD197" s="409">
        <f t="shared" si="282"/>
        <v>0</v>
      </c>
      <c r="FE197" s="409">
        <f t="shared" si="282"/>
        <v>0</v>
      </c>
      <c r="FF197" s="409">
        <f t="shared" si="282"/>
        <v>0</v>
      </c>
      <c r="FG197" s="409">
        <f t="shared" si="282"/>
        <v>0</v>
      </c>
      <c r="FH197" s="409">
        <f t="shared" si="282"/>
        <v>0</v>
      </c>
      <c r="FI197" s="409">
        <f t="shared" si="282"/>
        <v>0</v>
      </c>
      <c r="FJ197" s="409">
        <f t="shared" si="282"/>
        <v>0</v>
      </c>
      <c r="FK197" s="409">
        <f t="shared" si="282"/>
        <v>0</v>
      </c>
      <c r="FL197" s="409">
        <f t="shared" si="282"/>
        <v>0</v>
      </c>
      <c r="FM197" s="409">
        <f t="shared" si="283"/>
        <v>0</v>
      </c>
      <c r="FN197" s="409">
        <f t="shared" si="283"/>
        <v>0</v>
      </c>
      <c r="FO197" s="409">
        <f t="shared" si="283"/>
        <v>0</v>
      </c>
      <c r="FP197" s="409">
        <f t="shared" si="283"/>
        <v>0</v>
      </c>
      <c r="FQ197" s="409">
        <f t="shared" si="283"/>
        <v>0</v>
      </c>
      <c r="FR197" s="409">
        <f t="shared" si="283"/>
        <v>0</v>
      </c>
      <c r="FS197" s="409">
        <f t="shared" si="283"/>
        <v>0</v>
      </c>
      <c r="FT197" s="409">
        <f t="shared" si="283"/>
        <v>0</v>
      </c>
      <c r="FU197" s="409">
        <f t="shared" si="283"/>
        <v>0</v>
      </c>
      <c r="FV197" s="409">
        <f t="shared" si="283"/>
        <v>0</v>
      </c>
      <c r="FW197" s="409">
        <f t="shared" si="284"/>
        <v>0</v>
      </c>
      <c r="FX197" s="409">
        <f t="shared" si="284"/>
        <v>0</v>
      </c>
      <c r="FY197" s="409">
        <f t="shared" si="284"/>
        <v>0</v>
      </c>
      <c r="FZ197" s="409">
        <f t="shared" si="284"/>
        <v>0</v>
      </c>
      <c r="GA197" s="409">
        <f t="shared" si="284"/>
        <v>0</v>
      </c>
      <c r="GB197" s="409">
        <f t="shared" si="284"/>
        <v>0</v>
      </c>
      <c r="GC197" s="409">
        <f t="shared" si="284"/>
        <v>0</v>
      </c>
      <c r="GD197" s="409">
        <f t="shared" si="284"/>
        <v>0</v>
      </c>
      <c r="GE197" s="409">
        <f t="shared" si="284"/>
        <v>0</v>
      </c>
      <c r="GF197" s="409">
        <f t="shared" si="284"/>
        <v>0</v>
      </c>
      <c r="GG197" s="409">
        <f t="shared" si="285"/>
        <v>0</v>
      </c>
      <c r="GH197" s="409">
        <f t="shared" si="285"/>
        <v>0</v>
      </c>
      <c r="GI197" s="409">
        <f t="shared" si="285"/>
        <v>0</v>
      </c>
      <c r="GJ197" s="409">
        <f t="shared" si="285"/>
        <v>0</v>
      </c>
      <c r="GK197" s="409">
        <f t="shared" si="285"/>
        <v>0</v>
      </c>
      <c r="GL197" s="409">
        <f t="shared" si="285"/>
        <v>0</v>
      </c>
      <c r="GM197" s="409">
        <f t="shared" si="285"/>
        <v>0</v>
      </c>
      <c r="GN197" s="409">
        <f t="shared" si="285"/>
        <v>0</v>
      </c>
      <c r="GO197" s="409">
        <f t="shared" si="285"/>
        <v>0</v>
      </c>
      <c r="GP197" s="409">
        <f t="shared" si="285"/>
        <v>0</v>
      </c>
      <c r="GQ197" s="409">
        <f t="shared" si="286"/>
        <v>0</v>
      </c>
      <c r="GR197" s="409">
        <f t="shared" si="286"/>
        <v>0</v>
      </c>
      <c r="GS197" s="409">
        <f t="shared" si="286"/>
        <v>0</v>
      </c>
      <c r="GT197" s="409">
        <f t="shared" si="286"/>
        <v>0</v>
      </c>
      <c r="GU197" s="409">
        <f t="shared" si="286"/>
        <v>0</v>
      </c>
      <c r="GV197" s="409">
        <f t="shared" si="286"/>
        <v>0</v>
      </c>
      <c r="GW197" s="409">
        <f t="shared" si="286"/>
        <v>0</v>
      </c>
      <c r="GX197" s="409">
        <f t="shared" si="286"/>
        <v>0</v>
      </c>
      <c r="GY197" s="409">
        <f t="shared" si="286"/>
        <v>0</v>
      </c>
      <c r="GZ197" s="409">
        <f t="shared" si="286"/>
        <v>0</v>
      </c>
      <c r="HA197" s="409">
        <f t="shared" si="287"/>
        <v>0</v>
      </c>
      <c r="HB197" s="409">
        <f t="shared" si="287"/>
        <v>0</v>
      </c>
      <c r="HC197" s="409">
        <f t="shared" si="287"/>
        <v>0</v>
      </c>
      <c r="HD197" s="409">
        <f t="shared" si="287"/>
        <v>0</v>
      </c>
      <c r="HE197" s="409">
        <f t="shared" si="287"/>
        <v>0</v>
      </c>
      <c r="HF197" s="409">
        <f t="shared" si="287"/>
        <v>0</v>
      </c>
      <c r="HG197" s="409">
        <f t="shared" si="287"/>
        <v>0</v>
      </c>
      <c r="HH197" s="409">
        <f t="shared" si="287"/>
        <v>0</v>
      </c>
      <c r="HI197" s="409">
        <f t="shared" si="287"/>
        <v>0</v>
      </c>
      <c r="HJ197" s="409">
        <f t="shared" si="287"/>
        <v>0</v>
      </c>
      <c r="HK197" s="409">
        <f t="shared" si="288"/>
        <v>0</v>
      </c>
      <c r="HL197" s="409">
        <f t="shared" si="288"/>
        <v>0</v>
      </c>
      <c r="HM197" s="409">
        <f t="shared" si="288"/>
        <v>0</v>
      </c>
      <c r="HN197" s="409">
        <f t="shared" si="288"/>
        <v>0</v>
      </c>
      <c r="HO197" s="409">
        <f t="shared" si="288"/>
        <v>0</v>
      </c>
      <c r="HP197" s="409">
        <f t="shared" si="288"/>
        <v>0</v>
      </c>
      <c r="HQ197" s="409">
        <f t="shared" si="288"/>
        <v>0</v>
      </c>
      <c r="HR197" s="409">
        <f t="shared" si="288"/>
        <v>0</v>
      </c>
      <c r="HS197" s="409">
        <f t="shared" si="288"/>
        <v>0</v>
      </c>
      <c r="HT197" s="409">
        <f t="shared" si="288"/>
        <v>0</v>
      </c>
      <c r="HU197" s="409">
        <f t="shared" si="289"/>
        <v>0</v>
      </c>
      <c r="HV197" s="409">
        <f t="shared" si="289"/>
        <v>0</v>
      </c>
      <c r="HW197" s="409">
        <f t="shared" si="289"/>
        <v>0</v>
      </c>
      <c r="HX197" s="409">
        <f t="shared" si="289"/>
        <v>0</v>
      </c>
      <c r="HY197" s="409">
        <f t="shared" si="289"/>
        <v>0</v>
      </c>
      <c r="HZ197" s="409">
        <f t="shared" si="289"/>
        <v>0</v>
      </c>
      <c r="IA197" s="409">
        <f t="shared" si="289"/>
        <v>0</v>
      </c>
      <c r="IB197" s="409">
        <f t="shared" si="289"/>
        <v>0</v>
      </c>
      <c r="IC197" s="409">
        <f t="shared" si="289"/>
        <v>0</v>
      </c>
      <c r="ID197" s="409">
        <f t="shared" si="289"/>
        <v>0</v>
      </c>
      <c r="IE197" s="409">
        <f t="shared" si="290"/>
        <v>0</v>
      </c>
      <c r="IF197" s="409">
        <f t="shared" si="290"/>
        <v>0</v>
      </c>
      <c r="IG197" s="409">
        <f t="shared" si="290"/>
        <v>0</v>
      </c>
      <c r="IH197" s="409">
        <f t="shared" si="290"/>
        <v>0</v>
      </c>
      <c r="II197" s="409">
        <f t="shared" si="290"/>
        <v>0</v>
      </c>
      <c r="IJ197" s="409">
        <f t="shared" si="290"/>
        <v>0</v>
      </c>
      <c r="IK197" s="378"/>
    </row>
    <row r="198" spans="1:249" hidden="1" x14ac:dyDescent="0.2">
      <c r="A198" s="380" t="str">
        <f t="shared" si="242"/>
        <v>e</v>
      </c>
      <c r="B198" s="712" t="str">
        <f>IF(ISERROR(INDEX('Legend(DX)'!$H$11:$H$12,41)),"",INDEX('Legend(DX)'!$H$11:$H$12,41))</f>
        <v/>
      </c>
      <c r="C198" s="712" t="e">
        <f>IF(INDEX('Legend(DX)'!$T$11:$T$12,41)=0,"See Legend",INDEX('Legend(DX)'!$T$11:$T$12,41))</f>
        <v>#REF!</v>
      </c>
      <c r="D198" s="712" t="e">
        <f>IF(INDEX('Legend(DX)'!$R$11:$R$12,(ROW(C198))-137)=0,IF(AND(INDEX('Legend(DX)'!$D$11:$D$12,(ROW(C198))-136)="CH",INDEX('Legend(DX)'!$F$11:$F$12,(ROW(C198))-136)="CASE - MANUAL"),INDEX('Legend(DX)'!$R$11:$R$12,(ROW(C198))-136),IF(INDEX('Legend(DX)'!$V$11:$V$12,(ROW(C198))-137)&gt;1, "(" &amp; INDEX('Legend(DX)'!$V$11:$V$12,(ROW(C198))-137) &amp; ") " &amp; INDEX('Legend(DX)'!$W$11:$W$12,(ROW(C198))-136),INDEX('Legend(DX)'!$W$11:$W$12,(ROW(C198))-137))),INDEX('Legend(DX)'!$R$11:$R$12,(ROW(C198))-137))</f>
        <v>#REF!</v>
      </c>
      <c r="E198" s="713" t="str">
        <f>IF(ISERROR(INDEX('Legend(DX)'!$AA$11:$AA$12,41)),"",INDEX('Legend(DX)'!$AA$11:$AA$12,41))</f>
        <v/>
      </c>
      <c r="F198" s="715"/>
      <c r="G198" s="715"/>
      <c r="H198" s="715"/>
      <c r="I198" s="715"/>
      <c r="J198" s="715"/>
      <c r="K198" s="890">
        <f t="shared" si="223"/>
        <v>0</v>
      </c>
      <c r="L198" s="718"/>
      <c r="M198" s="723"/>
      <c r="N198" s="972">
        <f t="shared" si="291"/>
        <v>-1</v>
      </c>
      <c r="O198" s="972">
        <f t="shared" si="224"/>
        <v>-1</v>
      </c>
      <c r="P198" s="972">
        <f t="shared" si="292"/>
        <v>-1</v>
      </c>
      <c r="Q198" s="972">
        <f t="shared" si="225"/>
        <v>-1</v>
      </c>
      <c r="R198" s="972">
        <f t="shared" si="293"/>
        <v>-1</v>
      </c>
      <c r="S198" s="972">
        <f t="shared" si="226"/>
        <v>-1</v>
      </c>
      <c r="T198" s="972">
        <f t="shared" si="294"/>
        <v>-1</v>
      </c>
      <c r="U198" s="972">
        <f t="shared" si="227"/>
        <v>-1</v>
      </c>
      <c r="V198" s="972">
        <f t="shared" si="295"/>
        <v>-1</v>
      </c>
      <c r="W198" s="972">
        <f t="shared" si="228"/>
        <v>-1</v>
      </c>
      <c r="X198" s="972">
        <f t="shared" si="296"/>
        <v>-1</v>
      </c>
      <c r="Y198" s="972">
        <f t="shared" si="229"/>
        <v>-1</v>
      </c>
      <c r="Z198" s="972">
        <f t="shared" si="230"/>
        <v>-1</v>
      </c>
      <c r="AA198" s="972">
        <f t="shared" si="231"/>
        <v>-1</v>
      </c>
      <c r="AB198" s="972">
        <f t="shared" si="232"/>
        <v>-1</v>
      </c>
      <c r="AC198" s="972">
        <f t="shared" si="233"/>
        <v>-1</v>
      </c>
      <c r="AD198" s="972">
        <f t="shared" si="234"/>
        <v>-1</v>
      </c>
      <c r="AE198" s="972">
        <f t="shared" si="235"/>
        <v>-1</v>
      </c>
      <c r="AF198" s="972">
        <f t="shared" si="236"/>
        <v>-1</v>
      </c>
      <c r="AG198" s="972">
        <f t="shared" si="237"/>
        <v>-1</v>
      </c>
      <c r="AH198" s="972">
        <f t="shared" si="238"/>
        <v>-1</v>
      </c>
      <c r="AI198" s="972">
        <f t="shared" si="239"/>
        <v>-1</v>
      </c>
      <c r="AJ198" s="972">
        <f t="shared" si="240"/>
        <v>-1</v>
      </c>
      <c r="AK198" s="381"/>
      <c r="AL198" s="727" t="str">
        <f t="shared" si="241"/>
        <v/>
      </c>
      <c r="AM198" s="409">
        <f t="shared" ref="AM198:AV207" si="297">IF(ISNA(AM$7),"",IF(OR(AND(AM$7&lt;=$N198,AM$7&gt;$N198-TIME(0,TimeIncr,0)),AND(AM$7&lt;=$P198,AM$7&gt;$P198-TIME(0,TimeIncr,0)),AND(AM$7&lt;=$R198,AM$7&gt;$R198-TIME(0,TimeIncr,0)),AND(AM$7&lt;=$T198,AM$7&gt;$T198-TIME(0,TimeIncr,0)),AND(AM$7&lt;=$V198,AM$7&gt;$V198-TIME(0,TimeIncr,0)),AND(AM$7&lt;=$X198,AM$7&gt;$X198-TIME(0,TimeIncr,0))),$E198*$L198,IF(OR(AND(AM$7&gt;=$M198,AM$7&lt;=$N198),AND(AM$7&gt;=$O198,AM$7&lt;=$P198),AND(AM$7&gt;=$Q198,AM$7&lt;=$R198),AND(AM$7&gt;=$S198,AM$7&lt;=$T198),AND(AM$7&gt;=$U198,AM$7&lt;=$V198),AND(AM$7&gt;=$W198,AM$7&lt;=$X198)),0,IF(OR(AND($M198&gt;$N198,AM$7&lt;=$N198),AND($O198&gt;$P198,AM$7&lt;=$P198),AND($Q198&gt;$R198,AM$7&lt;=$R198),AND($S198&gt;$T198,AM$7&lt;=$T198),AND($U198&gt;$V198,AM$7&lt;=$V198),AND($W198&gt;$X198,AM$7&lt;=$X198)),0,IF(OR(AND(AM$7&gt;=$M198,$M198&gt;$N198),AND(AM$7&gt;=$O198,$O198&gt;$P198),AND(AM$7&gt;=$Q198,$Q198&gt;$R198),AND(AM$7&gt;=$S198,$S198&gt;$T198),AND(AM$7&gt;=$U198,$U198&gt;$V198),AND(AM$7&gt;=$W198,$W198&gt;$X198)),0,$E198)))))</f>
        <v>0</v>
      </c>
      <c r="AN198" s="409">
        <f t="shared" si="297"/>
        <v>0</v>
      </c>
      <c r="AO198" s="409">
        <f t="shared" si="297"/>
        <v>0</v>
      </c>
      <c r="AP198" s="409">
        <f t="shared" si="297"/>
        <v>0</v>
      </c>
      <c r="AQ198" s="409">
        <f t="shared" si="297"/>
        <v>0</v>
      </c>
      <c r="AR198" s="409">
        <f t="shared" si="297"/>
        <v>0</v>
      </c>
      <c r="AS198" s="409">
        <f t="shared" si="297"/>
        <v>0</v>
      </c>
      <c r="AT198" s="409">
        <f t="shared" si="297"/>
        <v>0</v>
      </c>
      <c r="AU198" s="409">
        <f t="shared" si="297"/>
        <v>0</v>
      </c>
      <c r="AV198" s="409">
        <f t="shared" si="297"/>
        <v>0</v>
      </c>
      <c r="AW198" s="409">
        <f t="shared" ref="AW198:BF207" si="298">IF(ISNA(AW$7),"",IF(OR(AND(AW$7&lt;=$N198,AW$7&gt;$N198-TIME(0,TimeIncr,0)),AND(AW$7&lt;=$P198,AW$7&gt;$P198-TIME(0,TimeIncr,0)),AND(AW$7&lt;=$R198,AW$7&gt;$R198-TIME(0,TimeIncr,0)),AND(AW$7&lt;=$T198,AW$7&gt;$T198-TIME(0,TimeIncr,0)),AND(AW$7&lt;=$V198,AW$7&gt;$V198-TIME(0,TimeIncr,0)),AND(AW$7&lt;=$X198,AW$7&gt;$X198-TIME(0,TimeIncr,0))),$E198*$L198,IF(OR(AND(AW$7&gt;=$M198,AW$7&lt;=$N198),AND(AW$7&gt;=$O198,AW$7&lt;=$P198),AND(AW$7&gt;=$Q198,AW$7&lt;=$R198),AND(AW$7&gt;=$S198,AW$7&lt;=$T198),AND(AW$7&gt;=$U198,AW$7&lt;=$V198),AND(AW$7&gt;=$W198,AW$7&lt;=$X198)),0,IF(OR(AND($M198&gt;$N198,AW$7&lt;=$N198),AND($O198&gt;$P198,AW$7&lt;=$P198),AND($Q198&gt;$R198,AW$7&lt;=$R198),AND($S198&gt;$T198,AW$7&lt;=$T198),AND($U198&gt;$V198,AW$7&lt;=$V198),AND($W198&gt;$X198,AW$7&lt;=$X198)),0,IF(OR(AND(AW$7&gt;=$M198,$M198&gt;$N198),AND(AW$7&gt;=$O198,$O198&gt;$P198),AND(AW$7&gt;=$Q198,$Q198&gt;$R198),AND(AW$7&gt;=$S198,$S198&gt;$T198),AND(AW$7&gt;=$U198,$U198&gt;$V198),AND(AW$7&gt;=$W198,$W198&gt;$X198)),0,$E198)))))</f>
        <v>0</v>
      </c>
      <c r="AX198" s="409">
        <f t="shared" si="298"/>
        <v>0</v>
      </c>
      <c r="AY198" s="409">
        <f t="shared" si="298"/>
        <v>0</v>
      </c>
      <c r="AZ198" s="409">
        <f t="shared" si="298"/>
        <v>0</v>
      </c>
      <c r="BA198" s="409">
        <f t="shared" si="298"/>
        <v>0</v>
      </c>
      <c r="BB198" s="409">
        <f t="shared" si="298"/>
        <v>0</v>
      </c>
      <c r="BC198" s="409">
        <f t="shared" si="298"/>
        <v>0</v>
      </c>
      <c r="BD198" s="409">
        <f t="shared" si="298"/>
        <v>0</v>
      </c>
      <c r="BE198" s="409">
        <f t="shared" si="298"/>
        <v>0</v>
      </c>
      <c r="BF198" s="409">
        <f t="shared" si="298"/>
        <v>0</v>
      </c>
      <c r="BG198" s="409">
        <f t="shared" ref="BG198:BP207" si="299">IF(ISNA(BG$7),"",IF(OR(AND(BG$7&lt;=$N198,BG$7&gt;$N198-TIME(0,TimeIncr,0)),AND(BG$7&lt;=$P198,BG$7&gt;$P198-TIME(0,TimeIncr,0)),AND(BG$7&lt;=$R198,BG$7&gt;$R198-TIME(0,TimeIncr,0)),AND(BG$7&lt;=$T198,BG$7&gt;$T198-TIME(0,TimeIncr,0)),AND(BG$7&lt;=$V198,BG$7&gt;$V198-TIME(0,TimeIncr,0)),AND(BG$7&lt;=$X198,BG$7&gt;$X198-TIME(0,TimeIncr,0))),$E198*$L198,IF(OR(AND(BG$7&gt;=$M198,BG$7&lt;=$N198),AND(BG$7&gt;=$O198,BG$7&lt;=$P198),AND(BG$7&gt;=$Q198,BG$7&lt;=$R198),AND(BG$7&gt;=$S198,BG$7&lt;=$T198),AND(BG$7&gt;=$U198,BG$7&lt;=$V198),AND(BG$7&gt;=$W198,BG$7&lt;=$X198)),0,IF(OR(AND($M198&gt;$N198,BG$7&lt;=$N198),AND($O198&gt;$P198,BG$7&lt;=$P198),AND($Q198&gt;$R198,BG$7&lt;=$R198),AND($S198&gt;$T198,BG$7&lt;=$T198),AND($U198&gt;$V198,BG$7&lt;=$V198),AND($W198&gt;$X198,BG$7&lt;=$X198)),0,IF(OR(AND(BG$7&gt;=$M198,$M198&gt;$N198),AND(BG$7&gt;=$O198,$O198&gt;$P198),AND(BG$7&gt;=$Q198,$Q198&gt;$R198),AND(BG$7&gt;=$S198,$S198&gt;$T198),AND(BG$7&gt;=$U198,$U198&gt;$V198),AND(BG$7&gt;=$W198,$W198&gt;$X198)),0,$E198)))))</f>
        <v>0</v>
      </c>
      <c r="BH198" s="409">
        <f t="shared" si="299"/>
        <v>0</v>
      </c>
      <c r="BI198" s="409">
        <f t="shared" si="299"/>
        <v>0</v>
      </c>
      <c r="BJ198" s="409">
        <f t="shared" si="299"/>
        <v>0</v>
      </c>
      <c r="BK198" s="409">
        <f t="shared" si="299"/>
        <v>0</v>
      </c>
      <c r="BL198" s="409">
        <f t="shared" si="299"/>
        <v>0</v>
      </c>
      <c r="BM198" s="409">
        <f t="shared" si="299"/>
        <v>0</v>
      </c>
      <c r="BN198" s="409">
        <f t="shared" si="299"/>
        <v>0</v>
      </c>
      <c r="BO198" s="409">
        <f t="shared" si="299"/>
        <v>0</v>
      </c>
      <c r="BP198" s="409">
        <f t="shared" si="299"/>
        <v>0</v>
      </c>
      <c r="BQ198" s="409">
        <f t="shared" ref="BQ198:BZ207" si="300">IF(ISNA(BQ$7),"",IF(OR(AND(BQ$7&lt;=$N198,BQ$7&gt;$N198-TIME(0,TimeIncr,0)),AND(BQ$7&lt;=$P198,BQ$7&gt;$P198-TIME(0,TimeIncr,0)),AND(BQ$7&lt;=$R198,BQ$7&gt;$R198-TIME(0,TimeIncr,0)),AND(BQ$7&lt;=$T198,BQ$7&gt;$T198-TIME(0,TimeIncr,0)),AND(BQ$7&lt;=$V198,BQ$7&gt;$V198-TIME(0,TimeIncr,0)),AND(BQ$7&lt;=$X198,BQ$7&gt;$X198-TIME(0,TimeIncr,0))),$E198*$L198,IF(OR(AND(BQ$7&gt;=$M198,BQ$7&lt;=$N198),AND(BQ$7&gt;=$O198,BQ$7&lt;=$P198),AND(BQ$7&gt;=$Q198,BQ$7&lt;=$R198),AND(BQ$7&gt;=$S198,BQ$7&lt;=$T198),AND(BQ$7&gt;=$U198,BQ$7&lt;=$V198),AND(BQ$7&gt;=$W198,BQ$7&lt;=$X198)),0,IF(OR(AND($M198&gt;$N198,BQ$7&lt;=$N198),AND($O198&gt;$P198,BQ$7&lt;=$P198),AND($Q198&gt;$R198,BQ$7&lt;=$R198),AND($S198&gt;$T198,BQ$7&lt;=$T198),AND($U198&gt;$V198,BQ$7&lt;=$V198),AND($W198&gt;$X198,BQ$7&lt;=$X198)),0,IF(OR(AND(BQ$7&gt;=$M198,$M198&gt;$N198),AND(BQ$7&gt;=$O198,$O198&gt;$P198),AND(BQ$7&gt;=$Q198,$Q198&gt;$R198),AND(BQ$7&gt;=$S198,$S198&gt;$T198),AND(BQ$7&gt;=$U198,$U198&gt;$V198),AND(BQ$7&gt;=$W198,$W198&gt;$X198)),0,$E198)))))</f>
        <v>0</v>
      </c>
      <c r="BR198" s="409">
        <f t="shared" si="300"/>
        <v>0</v>
      </c>
      <c r="BS198" s="409">
        <f t="shared" si="300"/>
        <v>0</v>
      </c>
      <c r="BT198" s="409">
        <f t="shared" si="300"/>
        <v>0</v>
      </c>
      <c r="BU198" s="409">
        <f t="shared" si="300"/>
        <v>0</v>
      </c>
      <c r="BV198" s="409">
        <f t="shared" si="300"/>
        <v>0</v>
      </c>
      <c r="BW198" s="409">
        <f t="shared" si="300"/>
        <v>0</v>
      </c>
      <c r="BX198" s="409">
        <f t="shared" si="300"/>
        <v>0</v>
      </c>
      <c r="BY198" s="409">
        <f t="shared" si="300"/>
        <v>0</v>
      </c>
      <c r="BZ198" s="409">
        <f t="shared" si="300"/>
        <v>0</v>
      </c>
      <c r="CA198" s="409">
        <f t="shared" ref="CA198:CJ207" si="301">IF(ISNA(CA$7),"",IF(OR(AND(CA$7&lt;=$N198,CA$7&gt;$N198-TIME(0,TimeIncr,0)),AND(CA$7&lt;=$P198,CA$7&gt;$P198-TIME(0,TimeIncr,0)),AND(CA$7&lt;=$R198,CA$7&gt;$R198-TIME(0,TimeIncr,0)),AND(CA$7&lt;=$T198,CA$7&gt;$T198-TIME(0,TimeIncr,0)),AND(CA$7&lt;=$V198,CA$7&gt;$V198-TIME(0,TimeIncr,0)),AND(CA$7&lt;=$X198,CA$7&gt;$X198-TIME(0,TimeIncr,0))),$E198*$L198,IF(OR(AND(CA$7&gt;=$M198,CA$7&lt;=$N198),AND(CA$7&gt;=$O198,CA$7&lt;=$P198),AND(CA$7&gt;=$Q198,CA$7&lt;=$R198),AND(CA$7&gt;=$S198,CA$7&lt;=$T198),AND(CA$7&gt;=$U198,CA$7&lt;=$V198),AND(CA$7&gt;=$W198,CA$7&lt;=$X198)),0,IF(OR(AND($M198&gt;$N198,CA$7&lt;=$N198),AND($O198&gt;$P198,CA$7&lt;=$P198),AND($Q198&gt;$R198,CA$7&lt;=$R198),AND($S198&gt;$T198,CA$7&lt;=$T198),AND($U198&gt;$V198,CA$7&lt;=$V198),AND($W198&gt;$X198,CA$7&lt;=$X198)),0,IF(OR(AND(CA$7&gt;=$M198,$M198&gt;$N198),AND(CA$7&gt;=$O198,$O198&gt;$P198),AND(CA$7&gt;=$Q198,$Q198&gt;$R198),AND(CA$7&gt;=$S198,$S198&gt;$T198),AND(CA$7&gt;=$U198,$U198&gt;$V198),AND(CA$7&gt;=$W198,$W198&gt;$X198)),0,$E198)))))</f>
        <v>0</v>
      </c>
      <c r="CB198" s="409">
        <f t="shared" si="301"/>
        <v>0</v>
      </c>
      <c r="CC198" s="409">
        <f t="shared" si="301"/>
        <v>0</v>
      </c>
      <c r="CD198" s="409">
        <f t="shared" si="301"/>
        <v>0</v>
      </c>
      <c r="CE198" s="409">
        <f t="shared" si="301"/>
        <v>0</v>
      </c>
      <c r="CF198" s="409">
        <f t="shared" si="301"/>
        <v>0</v>
      </c>
      <c r="CG198" s="409">
        <f t="shared" si="301"/>
        <v>0</v>
      </c>
      <c r="CH198" s="409">
        <f t="shared" si="301"/>
        <v>0</v>
      </c>
      <c r="CI198" s="409">
        <f t="shared" si="301"/>
        <v>0</v>
      </c>
      <c r="CJ198" s="409">
        <f t="shared" si="301"/>
        <v>0</v>
      </c>
      <c r="CK198" s="409">
        <f t="shared" ref="CK198:CT207" si="302">IF(ISNA(CK$7),"",IF(OR(AND(CK$7&lt;=$N198,CK$7&gt;$N198-TIME(0,TimeIncr,0)),AND(CK$7&lt;=$P198,CK$7&gt;$P198-TIME(0,TimeIncr,0)),AND(CK$7&lt;=$R198,CK$7&gt;$R198-TIME(0,TimeIncr,0)),AND(CK$7&lt;=$T198,CK$7&gt;$T198-TIME(0,TimeIncr,0)),AND(CK$7&lt;=$V198,CK$7&gt;$V198-TIME(0,TimeIncr,0)),AND(CK$7&lt;=$X198,CK$7&gt;$X198-TIME(0,TimeIncr,0))),$E198*$L198,IF(OR(AND(CK$7&gt;=$M198,CK$7&lt;=$N198),AND(CK$7&gt;=$O198,CK$7&lt;=$P198),AND(CK$7&gt;=$Q198,CK$7&lt;=$R198),AND(CK$7&gt;=$S198,CK$7&lt;=$T198),AND(CK$7&gt;=$U198,CK$7&lt;=$V198),AND(CK$7&gt;=$W198,CK$7&lt;=$X198)),0,IF(OR(AND($M198&gt;$N198,CK$7&lt;=$N198),AND($O198&gt;$P198,CK$7&lt;=$P198),AND($Q198&gt;$R198,CK$7&lt;=$R198),AND($S198&gt;$T198,CK$7&lt;=$T198),AND($U198&gt;$V198,CK$7&lt;=$V198),AND($W198&gt;$X198,CK$7&lt;=$X198)),0,IF(OR(AND(CK$7&gt;=$M198,$M198&gt;$N198),AND(CK$7&gt;=$O198,$O198&gt;$P198),AND(CK$7&gt;=$Q198,$Q198&gt;$R198),AND(CK$7&gt;=$S198,$S198&gt;$T198),AND(CK$7&gt;=$U198,$U198&gt;$V198),AND(CK$7&gt;=$W198,$W198&gt;$X198)),0,$E198)))))</f>
        <v>0</v>
      </c>
      <c r="CL198" s="409">
        <f t="shared" si="302"/>
        <v>0</v>
      </c>
      <c r="CM198" s="409">
        <f t="shared" si="302"/>
        <v>0</v>
      </c>
      <c r="CN198" s="409">
        <f t="shared" si="302"/>
        <v>0</v>
      </c>
      <c r="CO198" s="409">
        <f t="shared" si="302"/>
        <v>0</v>
      </c>
      <c r="CP198" s="409">
        <f t="shared" si="302"/>
        <v>0</v>
      </c>
      <c r="CQ198" s="409">
        <f t="shared" si="302"/>
        <v>0</v>
      </c>
      <c r="CR198" s="409">
        <f t="shared" si="302"/>
        <v>0</v>
      </c>
      <c r="CS198" s="409">
        <f t="shared" si="302"/>
        <v>0</v>
      </c>
      <c r="CT198" s="409">
        <f t="shared" si="302"/>
        <v>0</v>
      </c>
      <c r="CU198" s="409">
        <f t="shared" ref="CU198:DD207" si="303">IF(ISNA(CU$7),"",IF(OR(AND(CU$7&lt;=$N198,CU$7&gt;$N198-TIME(0,TimeIncr,0)),AND(CU$7&lt;=$P198,CU$7&gt;$P198-TIME(0,TimeIncr,0)),AND(CU$7&lt;=$R198,CU$7&gt;$R198-TIME(0,TimeIncr,0)),AND(CU$7&lt;=$T198,CU$7&gt;$T198-TIME(0,TimeIncr,0)),AND(CU$7&lt;=$V198,CU$7&gt;$V198-TIME(0,TimeIncr,0)),AND(CU$7&lt;=$X198,CU$7&gt;$X198-TIME(0,TimeIncr,0))),$E198*$L198,IF(OR(AND(CU$7&gt;=$M198,CU$7&lt;=$N198),AND(CU$7&gt;=$O198,CU$7&lt;=$P198),AND(CU$7&gt;=$Q198,CU$7&lt;=$R198),AND(CU$7&gt;=$S198,CU$7&lt;=$T198),AND(CU$7&gt;=$U198,CU$7&lt;=$V198),AND(CU$7&gt;=$W198,CU$7&lt;=$X198)),0,IF(OR(AND($M198&gt;$N198,CU$7&lt;=$N198),AND($O198&gt;$P198,CU$7&lt;=$P198),AND($Q198&gt;$R198,CU$7&lt;=$R198),AND($S198&gt;$T198,CU$7&lt;=$T198),AND($U198&gt;$V198,CU$7&lt;=$V198),AND($W198&gt;$X198,CU$7&lt;=$X198)),0,IF(OR(AND(CU$7&gt;=$M198,$M198&gt;$N198),AND(CU$7&gt;=$O198,$O198&gt;$P198),AND(CU$7&gt;=$Q198,$Q198&gt;$R198),AND(CU$7&gt;=$S198,$S198&gt;$T198),AND(CU$7&gt;=$U198,$U198&gt;$V198),AND(CU$7&gt;=$W198,$W198&gt;$X198)),0,$E198)))))</f>
        <v>0</v>
      </c>
      <c r="CV198" s="409">
        <f t="shared" si="303"/>
        <v>0</v>
      </c>
      <c r="CW198" s="409">
        <f t="shared" si="303"/>
        <v>0</v>
      </c>
      <c r="CX198" s="409">
        <f t="shared" si="303"/>
        <v>0</v>
      </c>
      <c r="CY198" s="409">
        <f t="shared" si="303"/>
        <v>0</v>
      </c>
      <c r="CZ198" s="409">
        <f t="shared" si="303"/>
        <v>0</v>
      </c>
      <c r="DA198" s="409">
        <f t="shared" si="303"/>
        <v>0</v>
      </c>
      <c r="DB198" s="409">
        <f t="shared" si="303"/>
        <v>0</v>
      </c>
      <c r="DC198" s="409">
        <f t="shared" si="303"/>
        <v>0</v>
      </c>
      <c r="DD198" s="409">
        <f t="shared" si="303"/>
        <v>0</v>
      </c>
      <c r="DE198" s="409">
        <f t="shared" ref="DE198:DN207" si="304">IF(ISNA(DE$7),"",IF(OR(AND(DE$7&lt;=$N198,DE$7&gt;$N198-TIME(0,TimeIncr,0)),AND(DE$7&lt;=$P198,DE$7&gt;$P198-TIME(0,TimeIncr,0)),AND(DE$7&lt;=$R198,DE$7&gt;$R198-TIME(0,TimeIncr,0)),AND(DE$7&lt;=$T198,DE$7&gt;$T198-TIME(0,TimeIncr,0)),AND(DE$7&lt;=$V198,DE$7&gt;$V198-TIME(0,TimeIncr,0)),AND(DE$7&lt;=$X198,DE$7&gt;$X198-TIME(0,TimeIncr,0))),$E198*$L198,IF(OR(AND(DE$7&gt;=$M198,DE$7&lt;=$N198),AND(DE$7&gt;=$O198,DE$7&lt;=$P198),AND(DE$7&gt;=$Q198,DE$7&lt;=$R198),AND(DE$7&gt;=$S198,DE$7&lt;=$T198),AND(DE$7&gt;=$U198,DE$7&lt;=$V198),AND(DE$7&gt;=$W198,DE$7&lt;=$X198)),0,IF(OR(AND($M198&gt;$N198,DE$7&lt;=$N198),AND($O198&gt;$P198,DE$7&lt;=$P198),AND($Q198&gt;$R198,DE$7&lt;=$R198),AND($S198&gt;$T198,DE$7&lt;=$T198),AND($U198&gt;$V198,DE$7&lt;=$V198),AND($W198&gt;$X198,DE$7&lt;=$X198)),0,IF(OR(AND(DE$7&gt;=$M198,$M198&gt;$N198),AND(DE$7&gt;=$O198,$O198&gt;$P198),AND(DE$7&gt;=$Q198,$Q198&gt;$R198),AND(DE$7&gt;=$S198,$S198&gt;$T198),AND(DE$7&gt;=$U198,$U198&gt;$V198),AND(DE$7&gt;=$W198,$W198&gt;$X198)),0,$E198)))))</f>
        <v>0</v>
      </c>
      <c r="DF198" s="409">
        <f t="shared" si="304"/>
        <v>0</v>
      </c>
      <c r="DG198" s="409">
        <f t="shared" si="304"/>
        <v>0</v>
      </c>
      <c r="DH198" s="409">
        <f t="shared" si="304"/>
        <v>0</v>
      </c>
      <c r="DI198" s="409">
        <f t="shared" si="304"/>
        <v>0</v>
      </c>
      <c r="DJ198" s="409">
        <f t="shared" si="304"/>
        <v>0</v>
      </c>
      <c r="DK198" s="409">
        <f t="shared" si="304"/>
        <v>0</v>
      </c>
      <c r="DL198" s="409">
        <f t="shared" si="304"/>
        <v>0</v>
      </c>
      <c r="DM198" s="409">
        <f t="shared" si="304"/>
        <v>0</v>
      </c>
      <c r="DN198" s="409">
        <f t="shared" si="304"/>
        <v>0</v>
      </c>
      <c r="DO198" s="409">
        <f t="shared" ref="DO198:DX207" si="305">IF(ISNA(DO$7),"",IF(OR(AND(DO$7&lt;=$N198,DO$7&gt;$N198-TIME(0,TimeIncr,0)),AND(DO$7&lt;=$P198,DO$7&gt;$P198-TIME(0,TimeIncr,0)),AND(DO$7&lt;=$R198,DO$7&gt;$R198-TIME(0,TimeIncr,0)),AND(DO$7&lt;=$T198,DO$7&gt;$T198-TIME(0,TimeIncr,0)),AND(DO$7&lt;=$V198,DO$7&gt;$V198-TIME(0,TimeIncr,0)),AND(DO$7&lt;=$X198,DO$7&gt;$X198-TIME(0,TimeIncr,0))),$E198*$L198,IF(OR(AND(DO$7&gt;=$M198,DO$7&lt;=$N198),AND(DO$7&gt;=$O198,DO$7&lt;=$P198),AND(DO$7&gt;=$Q198,DO$7&lt;=$R198),AND(DO$7&gt;=$S198,DO$7&lt;=$T198),AND(DO$7&gt;=$U198,DO$7&lt;=$V198),AND(DO$7&gt;=$W198,DO$7&lt;=$X198)),0,IF(OR(AND($M198&gt;$N198,DO$7&lt;=$N198),AND($O198&gt;$P198,DO$7&lt;=$P198),AND($Q198&gt;$R198,DO$7&lt;=$R198),AND($S198&gt;$T198,DO$7&lt;=$T198),AND($U198&gt;$V198,DO$7&lt;=$V198),AND($W198&gt;$X198,DO$7&lt;=$X198)),0,IF(OR(AND(DO$7&gt;=$M198,$M198&gt;$N198),AND(DO$7&gt;=$O198,$O198&gt;$P198),AND(DO$7&gt;=$Q198,$Q198&gt;$R198),AND(DO$7&gt;=$S198,$S198&gt;$T198),AND(DO$7&gt;=$U198,$U198&gt;$V198),AND(DO$7&gt;=$W198,$W198&gt;$X198)),0,$E198)))))</f>
        <v>0</v>
      </c>
      <c r="DP198" s="409">
        <f t="shared" si="305"/>
        <v>0</v>
      </c>
      <c r="DQ198" s="409">
        <f t="shared" si="305"/>
        <v>0</v>
      </c>
      <c r="DR198" s="409">
        <f t="shared" si="305"/>
        <v>0</v>
      </c>
      <c r="DS198" s="409">
        <f t="shared" si="305"/>
        <v>0</v>
      </c>
      <c r="DT198" s="409">
        <f t="shared" si="305"/>
        <v>0</v>
      </c>
      <c r="DU198" s="409">
        <f t="shared" si="305"/>
        <v>0</v>
      </c>
      <c r="DV198" s="409">
        <f t="shared" si="305"/>
        <v>0</v>
      </c>
      <c r="DW198" s="409">
        <f t="shared" si="305"/>
        <v>0</v>
      </c>
      <c r="DX198" s="409">
        <f t="shared" si="305"/>
        <v>0</v>
      </c>
      <c r="DY198" s="409">
        <f t="shared" ref="DY198:EH207" si="306">IF(ISNA(DY$7),"",IF(OR(AND(DY$7&lt;=$N198,DY$7&gt;$N198-TIME(0,TimeIncr,0)),AND(DY$7&lt;=$P198,DY$7&gt;$P198-TIME(0,TimeIncr,0)),AND(DY$7&lt;=$R198,DY$7&gt;$R198-TIME(0,TimeIncr,0)),AND(DY$7&lt;=$T198,DY$7&gt;$T198-TIME(0,TimeIncr,0)),AND(DY$7&lt;=$V198,DY$7&gt;$V198-TIME(0,TimeIncr,0)),AND(DY$7&lt;=$X198,DY$7&gt;$X198-TIME(0,TimeIncr,0))),$E198*$L198,IF(OR(AND(DY$7&gt;=$M198,DY$7&lt;=$N198),AND(DY$7&gt;=$O198,DY$7&lt;=$P198),AND(DY$7&gt;=$Q198,DY$7&lt;=$R198),AND(DY$7&gt;=$S198,DY$7&lt;=$T198),AND(DY$7&gt;=$U198,DY$7&lt;=$V198),AND(DY$7&gt;=$W198,DY$7&lt;=$X198)),0,IF(OR(AND($M198&gt;$N198,DY$7&lt;=$N198),AND($O198&gt;$P198,DY$7&lt;=$P198),AND($Q198&gt;$R198,DY$7&lt;=$R198),AND($S198&gt;$T198,DY$7&lt;=$T198),AND($U198&gt;$V198,DY$7&lt;=$V198),AND($W198&gt;$X198,DY$7&lt;=$X198)),0,IF(OR(AND(DY$7&gt;=$M198,$M198&gt;$N198),AND(DY$7&gt;=$O198,$O198&gt;$P198),AND(DY$7&gt;=$Q198,$Q198&gt;$R198),AND(DY$7&gt;=$S198,$S198&gt;$T198),AND(DY$7&gt;=$U198,$U198&gt;$V198),AND(DY$7&gt;=$W198,$W198&gt;$X198)),0,$E198)))))</f>
        <v>0</v>
      </c>
      <c r="DZ198" s="409">
        <f t="shared" si="306"/>
        <v>0</v>
      </c>
      <c r="EA198" s="409">
        <f t="shared" si="306"/>
        <v>0</v>
      </c>
      <c r="EB198" s="409">
        <f t="shared" si="306"/>
        <v>0</v>
      </c>
      <c r="EC198" s="409">
        <f t="shared" si="306"/>
        <v>0</v>
      </c>
      <c r="ED198" s="409">
        <f t="shared" si="306"/>
        <v>0</v>
      </c>
      <c r="EE198" s="409">
        <f t="shared" si="306"/>
        <v>0</v>
      </c>
      <c r="EF198" s="409">
        <f t="shared" si="306"/>
        <v>0</v>
      </c>
      <c r="EG198" s="409">
        <f t="shared" si="306"/>
        <v>0</v>
      </c>
      <c r="EH198" s="409">
        <f t="shared" si="306"/>
        <v>0</v>
      </c>
      <c r="EI198" s="409">
        <f t="shared" ref="EI198:ER207" si="307">IF(ISNA(EI$7),"",IF(OR(AND(EI$7&lt;=$N198,EI$7&gt;$N198-TIME(0,TimeIncr,0)),AND(EI$7&lt;=$P198,EI$7&gt;$P198-TIME(0,TimeIncr,0)),AND(EI$7&lt;=$R198,EI$7&gt;$R198-TIME(0,TimeIncr,0)),AND(EI$7&lt;=$T198,EI$7&gt;$T198-TIME(0,TimeIncr,0)),AND(EI$7&lt;=$V198,EI$7&gt;$V198-TIME(0,TimeIncr,0)),AND(EI$7&lt;=$X198,EI$7&gt;$X198-TIME(0,TimeIncr,0))),$E198*$L198,IF(OR(AND(EI$7&gt;=$M198,EI$7&lt;=$N198),AND(EI$7&gt;=$O198,EI$7&lt;=$P198),AND(EI$7&gt;=$Q198,EI$7&lt;=$R198),AND(EI$7&gt;=$S198,EI$7&lt;=$T198),AND(EI$7&gt;=$U198,EI$7&lt;=$V198),AND(EI$7&gt;=$W198,EI$7&lt;=$X198)),0,IF(OR(AND($M198&gt;$N198,EI$7&lt;=$N198),AND($O198&gt;$P198,EI$7&lt;=$P198),AND($Q198&gt;$R198,EI$7&lt;=$R198),AND($S198&gt;$T198,EI$7&lt;=$T198),AND($U198&gt;$V198,EI$7&lt;=$V198),AND($W198&gt;$X198,EI$7&lt;=$X198)),0,IF(OR(AND(EI$7&gt;=$M198,$M198&gt;$N198),AND(EI$7&gt;=$O198,$O198&gt;$P198),AND(EI$7&gt;=$Q198,$Q198&gt;$R198),AND(EI$7&gt;=$S198,$S198&gt;$T198),AND(EI$7&gt;=$U198,$U198&gt;$V198),AND(EI$7&gt;=$W198,$W198&gt;$X198)),0,$E198)))))</f>
        <v>0</v>
      </c>
      <c r="EJ198" s="409">
        <f t="shared" si="307"/>
        <v>0</v>
      </c>
      <c r="EK198" s="409">
        <f t="shared" si="307"/>
        <v>0</v>
      </c>
      <c r="EL198" s="409">
        <f t="shared" si="307"/>
        <v>0</v>
      </c>
      <c r="EM198" s="409">
        <f t="shared" si="307"/>
        <v>0</v>
      </c>
      <c r="EN198" s="409">
        <f t="shared" si="307"/>
        <v>0</v>
      </c>
      <c r="EO198" s="409">
        <f t="shared" si="307"/>
        <v>0</v>
      </c>
      <c r="EP198" s="409">
        <f t="shared" si="307"/>
        <v>0</v>
      </c>
      <c r="EQ198" s="409">
        <f t="shared" si="307"/>
        <v>0</v>
      </c>
      <c r="ER198" s="409">
        <f t="shared" si="307"/>
        <v>0</v>
      </c>
      <c r="ES198" s="409">
        <f t="shared" ref="ES198:FB207" si="308">IF(ISNA(ES$7),"",IF(OR(AND(ES$7&lt;=$N198,ES$7&gt;$N198-TIME(0,TimeIncr,0)),AND(ES$7&lt;=$P198,ES$7&gt;$P198-TIME(0,TimeIncr,0)),AND(ES$7&lt;=$R198,ES$7&gt;$R198-TIME(0,TimeIncr,0)),AND(ES$7&lt;=$T198,ES$7&gt;$T198-TIME(0,TimeIncr,0)),AND(ES$7&lt;=$V198,ES$7&gt;$V198-TIME(0,TimeIncr,0)),AND(ES$7&lt;=$X198,ES$7&gt;$X198-TIME(0,TimeIncr,0))),$E198*$L198,IF(OR(AND(ES$7&gt;=$M198,ES$7&lt;=$N198),AND(ES$7&gt;=$O198,ES$7&lt;=$P198),AND(ES$7&gt;=$Q198,ES$7&lt;=$R198),AND(ES$7&gt;=$S198,ES$7&lt;=$T198),AND(ES$7&gt;=$U198,ES$7&lt;=$V198),AND(ES$7&gt;=$W198,ES$7&lt;=$X198)),0,IF(OR(AND($M198&gt;$N198,ES$7&lt;=$N198),AND($O198&gt;$P198,ES$7&lt;=$P198),AND($Q198&gt;$R198,ES$7&lt;=$R198),AND($S198&gt;$T198,ES$7&lt;=$T198),AND($U198&gt;$V198,ES$7&lt;=$V198),AND($W198&gt;$X198,ES$7&lt;=$X198)),0,IF(OR(AND(ES$7&gt;=$M198,$M198&gt;$N198),AND(ES$7&gt;=$O198,$O198&gt;$P198),AND(ES$7&gt;=$Q198,$Q198&gt;$R198),AND(ES$7&gt;=$S198,$S198&gt;$T198),AND(ES$7&gt;=$U198,$U198&gt;$V198),AND(ES$7&gt;=$W198,$W198&gt;$X198)),0,$E198)))))</f>
        <v>0</v>
      </c>
      <c r="ET198" s="409">
        <f t="shared" si="308"/>
        <v>0</v>
      </c>
      <c r="EU198" s="409">
        <f t="shared" si="308"/>
        <v>0</v>
      </c>
      <c r="EV198" s="409">
        <f t="shared" si="308"/>
        <v>0</v>
      </c>
      <c r="EW198" s="409">
        <f t="shared" si="308"/>
        <v>0</v>
      </c>
      <c r="EX198" s="409">
        <f t="shared" si="308"/>
        <v>0</v>
      </c>
      <c r="EY198" s="409">
        <f t="shared" si="308"/>
        <v>0</v>
      </c>
      <c r="EZ198" s="409">
        <f t="shared" si="308"/>
        <v>0</v>
      </c>
      <c r="FA198" s="409">
        <f t="shared" si="308"/>
        <v>0</v>
      </c>
      <c r="FB198" s="409">
        <f t="shared" si="308"/>
        <v>0</v>
      </c>
      <c r="FC198" s="409">
        <f t="shared" ref="FC198:FL207" si="309">IF(ISNA(FC$7),"",IF(OR(AND(FC$7&lt;=$N198,FC$7&gt;$N198-TIME(0,TimeIncr,0)),AND(FC$7&lt;=$P198,FC$7&gt;$P198-TIME(0,TimeIncr,0)),AND(FC$7&lt;=$R198,FC$7&gt;$R198-TIME(0,TimeIncr,0)),AND(FC$7&lt;=$T198,FC$7&gt;$T198-TIME(0,TimeIncr,0)),AND(FC$7&lt;=$V198,FC$7&gt;$V198-TIME(0,TimeIncr,0)),AND(FC$7&lt;=$X198,FC$7&gt;$X198-TIME(0,TimeIncr,0))),$E198*$L198,IF(OR(AND(FC$7&gt;=$M198,FC$7&lt;=$N198),AND(FC$7&gt;=$O198,FC$7&lt;=$P198),AND(FC$7&gt;=$Q198,FC$7&lt;=$R198),AND(FC$7&gt;=$S198,FC$7&lt;=$T198),AND(FC$7&gt;=$U198,FC$7&lt;=$V198),AND(FC$7&gt;=$W198,FC$7&lt;=$X198)),0,IF(OR(AND($M198&gt;$N198,FC$7&lt;=$N198),AND($O198&gt;$P198,FC$7&lt;=$P198),AND($Q198&gt;$R198,FC$7&lt;=$R198),AND($S198&gt;$T198,FC$7&lt;=$T198),AND($U198&gt;$V198,FC$7&lt;=$V198),AND($W198&gt;$X198,FC$7&lt;=$X198)),0,IF(OR(AND(FC$7&gt;=$M198,$M198&gt;$N198),AND(FC$7&gt;=$O198,$O198&gt;$P198),AND(FC$7&gt;=$Q198,$Q198&gt;$R198),AND(FC$7&gt;=$S198,$S198&gt;$T198),AND(FC$7&gt;=$U198,$U198&gt;$V198),AND(FC$7&gt;=$W198,$W198&gt;$X198)),0,$E198)))))</f>
        <v>0</v>
      </c>
      <c r="FD198" s="409">
        <f t="shared" si="309"/>
        <v>0</v>
      </c>
      <c r="FE198" s="409">
        <f t="shared" si="309"/>
        <v>0</v>
      </c>
      <c r="FF198" s="409">
        <f t="shared" si="309"/>
        <v>0</v>
      </c>
      <c r="FG198" s="409">
        <f t="shared" si="309"/>
        <v>0</v>
      </c>
      <c r="FH198" s="409">
        <f t="shared" si="309"/>
        <v>0</v>
      </c>
      <c r="FI198" s="409">
        <f t="shared" si="309"/>
        <v>0</v>
      </c>
      <c r="FJ198" s="409">
        <f t="shared" si="309"/>
        <v>0</v>
      </c>
      <c r="FK198" s="409">
        <f t="shared" si="309"/>
        <v>0</v>
      </c>
      <c r="FL198" s="409">
        <f t="shared" si="309"/>
        <v>0</v>
      </c>
      <c r="FM198" s="409">
        <f t="shared" ref="FM198:FV207" si="310">IF(ISNA(FM$7),"",IF(OR(AND(FM$7&lt;=$N198,FM$7&gt;$N198-TIME(0,TimeIncr,0)),AND(FM$7&lt;=$P198,FM$7&gt;$P198-TIME(0,TimeIncr,0)),AND(FM$7&lt;=$R198,FM$7&gt;$R198-TIME(0,TimeIncr,0)),AND(FM$7&lt;=$T198,FM$7&gt;$T198-TIME(0,TimeIncr,0)),AND(FM$7&lt;=$V198,FM$7&gt;$V198-TIME(0,TimeIncr,0)),AND(FM$7&lt;=$X198,FM$7&gt;$X198-TIME(0,TimeIncr,0))),$E198*$L198,IF(OR(AND(FM$7&gt;=$M198,FM$7&lt;=$N198),AND(FM$7&gt;=$O198,FM$7&lt;=$P198),AND(FM$7&gt;=$Q198,FM$7&lt;=$R198),AND(FM$7&gt;=$S198,FM$7&lt;=$T198),AND(FM$7&gt;=$U198,FM$7&lt;=$V198),AND(FM$7&gt;=$W198,FM$7&lt;=$X198)),0,IF(OR(AND($M198&gt;$N198,FM$7&lt;=$N198),AND($O198&gt;$P198,FM$7&lt;=$P198),AND($Q198&gt;$R198,FM$7&lt;=$R198),AND($S198&gt;$T198,FM$7&lt;=$T198),AND($U198&gt;$V198,FM$7&lt;=$V198),AND($W198&gt;$X198,FM$7&lt;=$X198)),0,IF(OR(AND(FM$7&gt;=$M198,$M198&gt;$N198),AND(FM$7&gt;=$O198,$O198&gt;$P198),AND(FM$7&gt;=$Q198,$Q198&gt;$R198),AND(FM$7&gt;=$S198,$S198&gt;$T198),AND(FM$7&gt;=$U198,$U198&gt;$V198),AND(FM$7&gt;=$W198,$W198&gt;$X198)),0,$E198)))))</f>
        <v>0</v>
      </c>
      <c r="FN198" s="409">
        <f t="shared" si="310"/>
        <v>0</v>
      </c>
      <c r="FO198" s="409">
        <f t="shared" si="310"/>
        <v>0</v>
      </c>
      <c r="FP198" s="409">
        <f t="shared" si="310"/>
        <v>0</v>
      </c>
      <c r="FQ198" s="409">
        <f t="shared" si="310"/>
        <v>0</v>
      </c>
      <c r="FR198" s="409">
        <f t="shared" si="310"/>
        <v>0</v>
      </c>
      <c r="FS198" s="409">
        <f t="shared" si="310"/>
        <v>0</v>
      </c>
      <c r="FT198" s="409">
        <f t="shared" si="310"/>
        <v>0</v>
      </c>
      <c r="FU198" s="409">
        <f t="shared" si="310"/>
        <v>0</v>
      </c>
      <c r="FV198" s="409">
        <f t="shared" si="310"/>
        <v>0</v>
      </c>
      <c r="FW198" s="409">
        <f t="shared" ref="FW198:GF207" si="311">IF(ISNA(FW$7),"",IF(OR(AND(FW$7&lt;=$N198,FW$7&gt;$N198-TIME(0,TimeIncr,0)),AND(FW$7&lt;=$P198,FW$7&gt;$P198-TIME(0,TimeIncr,0)),AND(FW$7&lt;=$R198,FW$7&gt;$R198-TIME(0,TimeIncr,0)),AND(FW$7&lt;=$T198,FW$7&gt;$T198-TIME(0,TimeIncr,0)),AND(FW$7&lt;=$V198,FW$7&gt;$V198-TIME(0,TimeIncr,0)),AND(FW$7&lt;=$X198,FW$7&gt;$X198-TIME(0,TimeIncr,0))),$E198*$L198,IF(OR(AND(FW$7&gt;=$M198,FW$7&lt;=$N198),AND(FW$7&gt;=$O198,FW$7&lt;=$P198),AND(FW$7&gt;=$Q198,FW$7&lt;=$R198),AND(FW$7&gt;=$S198,FW$7&lt;=$T198),AND(FW$7&gt;=$U198,FW$7&lt;=$V198),AND(FW$7&gt;=$W198,FW$7&lt;=$X198)),0,IF(OR(AND($M198&gt;$N198,FW$7&lt;=$N198),AND($O198&gt;$P198,FW$7&lt;=$P198),AND($Q198&gt;$R198,FW$7&lt;=$R198),AND($S198&gt;$T198,FW$7&lt;=$T198),AND($U198&gt;$V198,FW$7&lt;=$V198),AND($W198&gt;$X198,FW$7&lt;=$X198)),0,IF(OR(AND(FW$7&gt;=$M198,$M198&gt;$N198),AND(FW$7&gt;=$O198,$O198&gt;$P198),AND(FW$7&gt;=$Q198,$Q198&gt;$R198),AND(FW$7&gt;=$S198,$S198&gt;$T198),AND(FW$7&gt;=$U198,$U198&gt;$V198),AND(FW$7&gt;=$W198,$W198&gt;$X198)),0,$E198)))))</f>
        <v>0</v>
      </c>
      <c r="FX198" s="409">
        <f t="shared" si="311"/>
        <v>0</v>
      </c>
      <c r="FY198" s="409">
        <f t="shared" si="311"/>
        <v>0</v>
      </c>
      <c r="FZ198" s="409">
        <f t="shared" si="311"/>
        <v>0</v>
      </c>
      <c r="GA198" s="409">
        <f t="shared" si="311"/>
        <v>0</v>
      </c>
      <c r="GB198" s="409">
        <f t="shared" si="311"/>
        <v>0</v>
      </c>
      <c r="GC198" s="409">
        <f t="shared" si="311"/>
        <v>0</v>
      </c>
      <c r="GD198" s="409">
        <f t="shared" si="311"/>
        <v>0</v>
      </c>
      <c r="GE198" s="409">
        <f t="shared" si="311"/>
        <v>0</v>
      </c>
      <c r="GF198" s="409">
        <f t="shared" si="311"/>
        <v>0</v>
      </c>
      <c r="GG198" s="409">
        <f t="shared" ref="GG198:GP207" si="312">IF(ISNA(GG$7),"",IF(OR(AND(GG$7&lt;=$N198,GG$7&gt;$N198-TIME(0,TimeIncr,0)),AND(GG$7&lt;=$P198,GG$7&gt;$P198-TIME(0,TimeIncr,0)),AND(GG$7&lt;=$R198,GG$7&gt;$R198-TIME(0,TimeIncr,0)),AND(GG$7&lt;=$T198,GG$7&gt;$T198-TIME(0,TimeIncr,0)),AND(GG$7&lt;=$V198,GG$7&gt;$V198-TIME(0,TimeIncr,0)),AND(GG$7&lt;=$X198,GG$7&gt;$X198-TIME(0,TimeIncr,0))),$E198*$L198,IF(OR(AND(GG$7&gt;=$M198,GG$7&lt;=$N198),AND(GG$7&gt;=$O198,GG$7&lt;=$P198),AND(GG$7&gt;=$Q198,GG$7&lt;=$R198),AND(GG$7&gt;=$S198,GG$7&lt;=$T198),AND(GG$7&gt;=$U198,GG$7&lt;=$V198),AND(GG$7&gt;=$W198,GG$7&lt;=$X198)),0,IF(OR(AND($M198&gt;$N198,GG$7&lt;=$N198),AND($O198&gt;$P198,GG$7&lt;=$P198),AND($Q198&gt;$R198,GG$7&lt;=$R198),AND($S198&gt;$T198,GG$7&lt;=$T198),AND($U198&gt;$V198,GG$7&lt;=$V198),AND($W198&gt;$X198,GG$7&lt;=$X198)),0,IF(OR(AND(GG$7&gt;=$M198,$M198&gt;$N198),AND(GG$7&gt;=$O198,$O198&gt;$P198),AND(GG$7&gt;=$Q198,$Q198&gt;$R198),AND(GG$7&gt;=$S198,$S198&gt;$T198),AND(GG$7&gt;=$U198,$U198&gt;$V198),AND(GG$7&gt;=$W198,$W198&gt;$X198)),0,$E198)))))</f>
        <v>0</v>
      </c>
      <c r="GH198" s="409">
        <f t="shared" si="312"/>
        <v>0</v>
      </c>
      <c r="GI198" s="409">
        <f t="shared" si="312"/>
        <v>0</v>
      </c>
      <c r="GJ198" s="409">
        <f t="shared" si="312"/>
        <v>0</v>
      </c>
      <c r="GK198" s="409">
        <f t="shared" si="312"/>
        <v>0</v>
      </c>
      <c r="GL198" s="409">
        <f t="shared" si="312"/>
        <v>0</v>
      </c>
      <c r="GM198" s="409">
        <f t="shared" si="312"/>
        <v>0</v>
      </c>
      <c r="GN198" s="409">
        <f t="shared" si="312"/>
        <v>0</v>
      </c>
      <c r="GO198" s="409">
        <f t="shared" si="312"/>
        <v>0</v>
      </c>
      <c r="GP198" s="409">
        <f t="shared" si="312"/>
        <v>0</v>
      </c>
      <c r="GQ198" s="409">
        <f t="shared" ref="GQ198:GZ207" si="313">IF(ISNA(GQ$7),"",IF(OR(AND(GQ$7&lt;=$N198,GQ$7&gt;$N198-TIME(0,TimeIncr,0)),AND(GQ$7&lt;=$P198,GQ$7&gt;$P198-TIME(0,TimeIncr,0)),AND(GQ$7&lt;=$R198,GQ$7&gt;$R198-TIME(0,TimeIncr,0)),AND(GQ$7&lt;=$T198,GQ$7&gt;$T198-TIME(0,TimeIncr,0)),AND(GQ$7&lt;=$V198,GQ$7&gt;$V198-TIME(0,TimeIncr,0)),AND(GQ$7&lt;=$X198,GQ$7&gt;$X198-TIME(0,TimeIncr,0))),$E198*$L198,IF(OR(AND(GQ$7&gt;=$M198,GQ$7&lt;=$N198),AND(GQ$7&gt;=$O198,GQ$7&lt;=$P198),AND(GQ$7&gt;=$Q198,GQ$7&lt;=$R198),AND(GQ$7&gt;=$S198,GQ$7&lt;=$T198),AND(GQ$7&gt;=$U198,GQ$7&lt;=$V198),AND(GQ$7&gt;=$W198,GQ$7&lt;=$X198)),0,IF(OR(AND($M198&gt;$N198,GQ$7&lt;=$N198),AND($O198&gt;$P198,GQ$7&lt;=$P198),AND($Q198&gt;$R198,GQ$7&lt;=$R198),AND($S198&gt;$T198,GQ$7&lt;=$T198),AND($U198&gt;$V198,GQ$7&lt;=$V198),AND($W198&gt;$X198,GQ$7&lt;=$X198)),0,IF(OR(AND(GQ$7&gt;=$M198,$M198&gt;$N198),AND(GQ$7&gt;=$O198,$O198&gt;$P198),AND(GQ$7&gt;=$Q198,$Q198&gt;$R198),AND(GQ$7&gt;=$S198,$S198&gt;$T198),AND(GQ$7&gt;=$U198,$U198&gt;$V198),AND(GQ$7&gt;=$W198,$W198&gt;$X198)),0,$E198)))))</f>
        <v>0</v>
      </c>
      <c r="GR198" s="409">
        <f t="shared" si="313"/>
        <v>0</v>
      </c>
      <c r="GS198" s="409">
        <f t="shared" si="313"/>
        <v>0</v>
      </c>
      <c r="GT198" s="409">
        <f t="shared" si="313"/>
        <v>0</v>
      </c>
      <c r="GU198" s="409">
        <f t="shared" si="313"/>
        <v>0</v>
      </c>
      <c r="GV198" s="409">
        <f t="shared" si="313"/>
        <v>0</v>
      </c>
      <c r="GW198" s="409">
        <f t="shared" si="313"/>
        <v>0</v>
      </c>
      <c r="GX198" s="409">
        <f t="shared" si="313"/>
        <v>0</v>
      </c>
      <c r="GY198" s="409">
        <f t="shared" si="313"/>
        <v>0</v>
      </c>
      <c r="GZ198" s="409">
        <f t="shared" si="313"/>
        <v>0</v>
      </c>
      <c r="HA198" s="409">
        <f t="shared" ref="HA198:HJ207" si="314">IF(ISNA(HA$7),"",IF(OR(AND(HA$7&lt;=$N198,HA$7&gt;$N198-TIME(0,TimeIncr,0)),AND(HA$7&lt;=$P198,HA$7&gt;$P198-TIME(0,TimeIncr,0)),AND(HA$7&lt;=$R198,HA$7&gt;$R198-TIME(0,TimeIncr,0)),AND(HA$7&lt;=$T198,HA$7&gt;$T198-TIME(0,TimeIncr,0)),AND(HA$7&lt;=$V198,HA$7&gt;$V198-TIME(0,TimeIncr,0)),AND(HA$7&lt;=$X198,HA$7&gt;$X198-TIME(0,TimeIncr,0))),$E198*$L198,IF(OR(AND(HA$7&gt;=$M198,HA$7&lt;=$N198),AND(HA$7&gt;=$O198,HA$7&lt;=$P198),AND(HA$7&gt;=$Q198,HA$7&lt;=$R198),AND(HA$7&gt;=$S198,HA$7&lt;=$T198),AND(HA$7&gt;=$U198,HA$7&lt;=$V198),AND(HA$7&gt;=$W198,HA$7&lt;=$X198)),0,IF(OR(AND($M198&gt;$N198,HA$7&lt;=$N198),AND($O198&gt;$P198,HA$7&lt;=$P198),AND($Q198&gt;$R198,HA$7&lt;=$R198),AND($S198&gt;$T198,HA$7&lt;=$T198),AND($U198&gt;$V198,HA$7&lt;=$V198),AND($W198&gt;$X198,HA$7&lt;=$X198)),0,IF(OR(AND(HA$7&gt;=$M198,$M198&gt;$N198),AND(HA$7&gt;=$O198,$O198&gt;$P198),AND(HA$7&gt;=$Q198,$Q198&gt;$R198),AND(HA$7&gt;=$S198,$S198&gt;$T198),AND(HA$7&gt;=$U198,$U198&gt;$V198),AND(HA$7&gt;=$W198,$W198&gt;$X198)),0,$E198)))))</f>
        <v>0</v>
      </c>
      <c r="HB198" s="409">
        <f t="shared" si="314"/>
        <v>0</v>
      </c>
      <c r="HC198" s="409">
        <f t="shared" si="314"/>
        <v>0</v>
      </c>
      <c r="HD198" s="409">
        <f t="shared" si="314"/>
        <v>0</v>
      </c>
      <c r="HE198" s="409">
        <f t="shared" si="314"/>
        <v>0</v>
      </c>
      <c r="HF198" s="409">
        <f t="shared" si="314"/>
        <v>0</v>
      </c>
      <c r="HG198" s="409">
        <f t="shared" si="314"/>
        <v>0</v>
      </c>
      <c r="HH198" s="409">
        <f t="shared" si="314"/>
        <v>0</v>
      </c>
      <c r="HI198" s="409">
        <f t="shared" si="314"/>
        <v>0</v>
      </c>
      <c r="HJ198" s="409">
        <f t="shared" si="314"/>
        <v>0</v>
      </c>
      <c r="HK198" s="409">
        <f t="shared" ref="HK198:HT207" si="315">IF(ISNA(HK$7),"",IF(OR(AND(HK$7&lt;=$N198,HK$7&gt;$N198-TIME(0,TimeIncr,0)),AND(HK$7&lt;=$P198,HK$7&gt;$P198-TIME(0,TimeIncr,0)),AND(HK$7&lt;=$R198,HK$7&gt;$R198-TIME(0,TimeIncr,0)),AND(HK$7&lt;=$T198,HK$7&gt;$T198-TIME(0,TimeIncr,0)),AND(HK$7&lt;=$V198,HK$7&gt;$V198-TIME(0,TimeIncr,0)),AND(HK$7&lt;=$X198,HK$7&gt;$X198-TIME(0,TimeIncr,0))),$E198*$L198,IF(OR(AND(HK$7&gt;=$M198,HK$7&lt;=$N198),AND(HK$7&gt;=$O198,HK$7&lt;=$P198),AND(HK$7&gt;=$Q198,HK$7&lt;=$R198),AND(HK$7&gt;=$S198,HK$7&lt;=$T198),AND(HK$7&gt;=$U198,HK$7&lt;=$V198),AND(HK$7&gt;=$W198,HK$7&lt;=$X198)),0,IF(OR(AND($M198&gt;$N198,HK$7&lt;=$N198),AND($O198&gt;$P198,HK$7&lt;=$P198),AND($Q198&gt;$R198,HK$7&lt;=$R198),AND($S198&gt;$T198,HK$7&lt;=$T198),AND($U198&gt;$V198,HK$7&lt;=$V198),AND($W198&gt;$X198,HK$7&lt;=$X198)),0,IF(OR(AND(HK$7&gt;=$M198,$M198&gt;$N198),AND(HK$7&gt;=$O198,$O198&gt;$P198),AND(HK$7&gt;=$Q198,$Q198&gt;$R198),AND(HK$7&gt;=$S198,$S198&gt;$T198),AND(HK$7&gt;=$U198,$U198&gt;$V198),AND(HK$7&gt;=$W198,$W198&gt;$X198)),0,$E198)))))</f>
        <v>0</v>
      </c>
      <c r="HL198" s="409">
        <f t="shared" si="315"/>
        <v>0</v>
      </c>
      <c r="HM198" s="409">
        <f t="shared" si="315"/>
        <v>0</v>
      </c>
      <c r="HN198" s="409">
        <f t="shared" si="315"/>
        <v>0</v>
      </c>
      <c r="HO198" s="409">
        <f t="shared" si="315"/>
        <v>0</v>
      </c>
      <c r="HP198" s="409">
        <f t="shared" si="315"/>
        <v>0</v>
      </c>
      <c r="HQ198" s="409">
        <f t="shared" si="315"/>
        <v>0</v>
      </c>
      <c r="HR198" s="409">
        <f t="shared" si="315"/>
        <v>0</v>
      </c>
      <c r="HS198" s="409">
        <f t="shared" si="315"/>
        <v>0</v>
      </c>
      <c r="HT198" s="409">
        <f t="shared" si="315"/>
        <v>0</v>
      </c>
      <c r="HU198" s="409">
        <f t="shared" ref="HU198:ID207" si="316">IF(ISNA(HU$7),"",IF(OR(AND(HU$7&lt;=$N198,HU$7&gt;$N198-TIME(0,TimeIncr,0)),AND(HU$7&lt;=$P198,HU$7&gt;$P198-TIME(0,TimeIncr,0)),AND(HU$7&lt;=$R198,HU$7&gt;$R198-TIME(0,TimeIncr,0)),AND(HU$7&lt;=$T198,HU$7&gt;$T198-TIME(0,TimeIncr,0)),AND(HU$7&lt;=$V198,HU$7&gt;$V198-TIME(0,TimeIncr,0)),AND(HU$7&lt;=$X198,HU$7&gt;$X198-TIME(0,TimeIncr,0))),$E198*$L198,IF(OR(AND(HU$7&gt;=$M198,HU$7&lt;=$N198),AND(HU$7&gt;=$O198,HU$7&lt;=$P198),AND(HU$7&gt;=$Q198,HU$7&lt;=$R198),AND(HU$7&gt;=$S198,HU$7&lt;=$T198),AND(HU$7&gt;=$U198,HU$7&lt;=$V198),AND(HU$7&gt;=$W198,HU$7&lt;=$X198)),0,IF(OR(AND($M198&gt;$N198,HU$7&lt;=$N198),AND($O198&gt;$P198,HU$7&lt;=$P198),AND($Q198&gt;$R198,HU$7&lt;=$R198),AND($S198&gt;$T198,HU$7&lt;=$T198),AND($U198&gt;$V198,HU$7&lt;=$V198),AND($W198&gt;$X198,HU$7&lt;=$X198)),0,IF(OR(AND(HU$7&gt;=$M198,$M198&gt;$N198),AND(HU$7&gt;=$O198,$O198&gt;$P198),AND(HU$7&gt;=$Q198,$Q198&gt;$R198),AND(HU$7&gt;=$S198,$S198&gt;$T198),AND(HU$7&gt;=$U198,$U198&gt;$V198),AND(HU$7&gt;=$W198,$W198&gt;$X198)),0,$E198)))))</f>
        <v>0</v>
      </c>
      <c r="HV198" s="409">
        <f t="shared" si="316"/>
        <v>0</v>
      </c>
      <c r="HW198" s="409">
        <f t="shared" si="316"/>
        <v>0</v>
      </c>
      <c r="HX198" s="409">
        <f t="shared" si="316"/>
        <v>0</v>
      </c>
      <c r="HY198" s="409">
        <f t="shared" si="316"/>
        <v>0</v>
      </c>
      <c r="HZ198" s="409">
        <f t="shared" si="316"/>
        <v>0</v>
      </c>
      <c r="IA198" s="409">
        <f t="shared" si="316"/>
        <v>0</v>
      </c>
      <c r="IB198" s="409">
        <f t="shared" si="316"/>
        <v>0</v>
      </c>
      <c r="IC198" s="409">
        <f t="shared" si="316"/>
        <v>0</v>
      </c>
      <c r="ID198" s="409">
        <f t="shared" si="316"/>
        <v>0</v>
      </c>
      <c r="IE198" s="409">
        <f t="shared" ref="IE198:IJ207" si="317">IF(ISNA(IE$7),"",IF(OR(AND(IE$7&lt;=$N198,IE$7&gt;$N198-TIME(0,TimeIncr,0)),AND(IE$7&lt;=$P198,IE$7&gt;$P198-TIME(0,TimeIncr,0)),AND(IE$7&lt;=$R198,IE$7&gt;$R198-TIME(0,TimeIncr,0)),AND(IE$7&lt;=$T198,IE$7&gt;$T198-TIME(0,TimeIncr,0)),AND(IE$7&lt;=$V198,IE$7&gt;$V198-TIME(0,TimeIncr,0)),AND(IE$7&lt;=$X198,IE$7&gt;$X198-TIME(0,TimeIncr,0))),$E198*$L198,IF(OR(AND(IE$7&gt;=$M198,IE$7&lt;=$N198),AND(IE$7&gt;=$O198,IE$7&lt;=$P198),AND(IE$7&gt;=$Q198,IE$7&lt;=$R198),AND(IE$7&gt;=$S198,IE$7&lt;=$T198),AND(IE$7&gt;=$U198,IE$7&lt;=$V198),AND(IE$7&gt;=$W198,IE$7&lt;=$X198)),0,IF(OR(AND($M198&gt;$N198,IE$7&lt;=$N198),AND($O198&gt;$P198,IE$7&lt;=$P198),AND($Q198&gt;$R198,IE$7&lt;=$R198),AND($S198&gt;$T198,IE$7&lt;=$T198),AND($U198&gt;$V198,IE$7&lt;=$V198),AND($W198&gt;$X198,IE$7&lt;=$X198)),0,IF(OR(AND(IE$7&gt;=$M198,$M198&gt;$N198),AND(IE$7&gt;=$O198,$O198&gt;$P198),AND(IE$7&gt;=$Q198,$Q198&gt;$R198),AND(IE$7&gt;=$S198,$S198&gt;$T198),AND(IE$7&gt;=$U198,$U198&gt;$V198),AND(IE$7&gt;=$W198,$W198&gt;$X198)),0,$E198)))))</f>
        <v>0</v>
      </c>
      <c r="IF198" s="409">
        <f t="shared" si="317"/>
        <v>0</v>
      </c>
      <c r="IG198" s="409">
        <f t="shared" si="317"/>
        <v>0</v>
      </c>
      <c r="IH198" s="409">
        <f t="shared" si="317"/>
        <v>0</v>
      </c>
      <c r="II198" s="409">
        <f t="shared" si="317"/>
        <v>0</v>
      </c>
      <c r="IJ198" s="409">
        <f t="shared" si="317"/>
        <v>0</v>
      </c>
      <c r="IK198" s="378"/>
    </row>
    <row r="199" spans="1:249" hidden="1" x14ac:dyDescent="0.2">
      <c r="A199" s="380" t="str">
        <f t="shared" si="242"/>
        <v>e</v>
      </c>
      <c r="B199" s="712" t="str">
        <f>IF(ISERROR(INDEX('Legend(DX)'!$H$11:$H$12,42)),"",INDEX('Legend(DX)'!$H$11:$H$12,42))</f>
        <v/>
      </c>
      <c r="C199" s="712" t="e">
        <f>IF(INDEX('Legend(DX)'!$T$11:$T$12,42)=0,"See Legend",INDEX('Legend(DX)'!$T$11:$T$12,42))</f>
        <v>#REF!</v>
      </c>
      <c r="D199" s="712" t="e">
        <f>IF(INDEX('Legend(DX)'!$R$11:$R$12,(ROW(C199))-137)=0,IF(AND(INDEX('Legend(DX)'!$D$11:$D$12,(ROW(C199))-136)="CH",INDEX('Legend(DX)'!$F$11:$F$12,(ROW(C199))-136)="CASE - MANUAL"),INDEX('Legend(DX)'!$R$11:$R$12,(ROW(C199))-136),IF(INDEX('Legend(DX)'!$V$11:$V$12,(ROW(C199))-137)&gt;1, "(" &amp; INDEX('Legend(DX)'!$V$11:$V$12,(ROW(C199))-137) &amp; ") " &amp; INDEX('Legend(DX)'!$W$11:$W$12,(ROW(C199))-136),INDEX('Legend(DX)'!$W$11:$W$12,(ROW(C199))-137))),INDEX('Legend(DX)'!$R$11:$R$12,(ROW(C199))-137))</f>
        <v>#REF!</v>
      </c>
      <c r="E199" s="713" t="str">
        <f>IF(ISERROR(INDEX('Legend(DX)'!$AA$11:$AA$12,42)),"",INDEX('Legend(DX)'!$AA$11:$AA$12,42))</f>
        <v/>
      </c>
      <c r="F199" s="715"/>
      <c r="G199" s="715"/>
      <c r="H199" s="715"/>
      <c r="I199" s="715"/>
      <c r="J199" s="715"/>
      <c r="K199" s="890">
        <f t="shared" si="223"/>
        <v>0</v>
      </c>
      <c r="L199" s="718"/>
      <c r="M199" s="723"/>
      <c r="N199" s="972">
        <f t="shared" si="291"/>
        <v>-1</v>
      </c>
      <c r="O199" s="972">
        <f t="shared" si="224"/>
        <v>-1</v>
      </c>
      <c r="P199" s="972">
        <f t="shared" si="292"/>
        <v>-1</v>
      </c>
      <c r="Q199" s="972">
        <f t="shared" si="225"/>
        <v>-1</v>
      </c>
      <c r="R199" s="972">
        <f t="shared" si="293"/>
        <v>-1</v>
      </c>
      <c r="S199" s="972">
        <f t="shared" si="226"/>
        <v>-1</v>
      </c>
      <c r="T199" s="972">
        <f t="shared" si="294"/>
        <v>-1</v>
      </c>
      <c r="U199" s="972">
        <f t="shared" si="227"/>
        <v>-1</v>
      </c>
      <c r="V199" s="972">
        <f t="shared" si="295"/>
        <v>-1</v>
      </c>
      <c r="W199" s="972">
        <f t="shared" si="228"/>
        <v>-1</v>
      </c>
      <c r="X199" s="972">
        <f t="shared" si="296"/>
        <v>-1</v>
      </c>
      <c r="Y199" s="972">
        <f t="shared" si="229"/>
        <v>-1</v>
      </c>
      <c r="Z199" s="972">
        <f t="shared" si="230"/>
        <v>-1</v>
      </c>
      <c r="AA199" s="972">
        <f t="shared" si="231"/>
        <v>-1</v>
      </c>
      <c r="AB199" s="972">
        <f t="shared" si="232"/>
        <v>-1</v>
      </c>
      <c r="AC199" s="972">
        <f t="shared" si="233"/>
        <v>-1</v>
      </c>
      <c r="AD199" s="972">
        <f t="shared" si="234"/>
        <v>-1</v>
      </c>
      <c r="AE199" s="972">
        <f t="shared" si="235"/>
        <v>-1</v>
      </c>
      <c r="AF199" s="972">
        <f t="shared" si="236"/>
        <v>-1</v>
      </c>
      <c r="AG199" s="972">
        <f t="shared" si="237"/>
        <v>-1</v>
      </c>
      <c r="AH199" s="972">
        <f t="shared" si="238"/>
        <v>-1</v>
      </c>
      <c r="AI199" s="972">
        <f t="shared" si="239"/>
        <v>-1</v>
      </c>
      <c r="AJ199" s="972">
        <f t="shared" si="240"/>
        <v>-1</v>
      </c>
      <c r="AK199" s="381"/>
      <c r="AL199" s="727" t="str">
        <f t="shared" si="241"/>
        <v/>
      </c>
      <c r="AM199" s="409">
        <f t="shared" si="297"/>
        <v>0</v>
      </c>
      <c r="AN199" s="409">
        <f t="shared" si="297"/>
        <v>0</v>
      </c>
      <c r="AO199" s="409">
        <f t="shared" si="297"/>
        <v>0</v>
      </c>
      <c r="AP199" s="409">
        <f t="shared" si="297"/>
        <v>0</v>
      </c>
      <c r="AQ199" s="409">
        <f t="shared" si="297"/>
        <v>0</v>
      </c>
      <c r="AR199" s="409">
        <f t="shared" si="297"/>
        <v>0</v>
      </c>
      <c r="AS199" s="409">
        <f t="shared" si="297"/>
        <v>0</v>
      </c>
      <c r="AT199" s="409">
        <f t="shared" si="297"/>
        <v>0</v>
      </c>
      <c r="AU199" s="409">
        <f t="shared" si="297"/>
        <v>0</v>
      </c>
      <c r="AV199" s="409">
        <f t="shared" si="297"/>
        <v>0</v>
      </c>
      <c r="AW199" s="409">
        <f t="shared" si="298"/>
        <v>0</v>
      </c>
      <c r="AX199" s="409">
        <f t="shared" si="298"/>
        <v>0</v>
      </c>
      <c r="AY199" s="409">
        <f t="shared" si="298"/>
        <v>0</v>
      </c>
      <c r="AZ199" s="409">
        <f t="shared" si="298"/>
        <v>0</v>
      </c>
      <c r="BA199" s="409">
        <f t="shared" si="298"/>
        <v>0</v>
      </c>
      <c r="BB199" s="409">
        <f t="shared" si="298"/>
        <v>0</v>
      </c>
      <c r="BC199" s="409">
        <f t="shared" si="298"/>
        <v>0</v>
      </c>
      <c r="BD199" s="409">
        <f t="shared" si="298"/>
        <v>0</v>
      </c>
      <c r="BE199" s="409">
        <f t="shared" si="298"/>
        <v>0</v>
      </c>
      <c r="BF199" s="409">
        <f t="shared" si="298"/>
        <v>0</v>
      </c>
      <c r="BG199" s="409">
        <f t="shared" si="299"/>
        <v>0</v>
      </c>
      <c r="BH199" s="409">
        <f t="shared" si="299"/>
        <v>0</v>
      </c>
      <c r="BI199" s="409">
        <f t="shared" si="299"/>
        <v>0</v>
      </c>
      <c r="BJ199" s="409">
        <f t="shared" si="299"/>
        <v>0</v>
      </c>
      <c r="BK199" s="409">
        <f t="shared" si="299"/>
        <v>0</v>
      </c>
      <c r="BL199" s="409">
        <f t="shared" si="299"/>
        <v>0</v>
      </c>
      <c r="BM199" s="409">
        <f t="shared" si="299"/>
        <v>0</v>
      </c>
      <c r="BN199" s="409">
        <f t="shared" si="299"/>
        <v>0</v>
      </c>
      <c r="BO199" s="409">
        <f t="shared" si="299"/>
        <v>0</v>
      </c>
      <c r="BP199" s="409">
        <f t="shared" si="299"/>
        <v>0</v>
      </c>
      <c r="BQ199" s="409">
        <f t="shared" si="300"/>
        <v>0</v>
      </c>
      <c r="BR199" s="409">
        <f t="shared" si="300"/>
        <v>0</v>
      </c>
      <c r="BS199" s="409">
        <f t="shared" si="300"/>
        <v>0</v>
      </c>
      <c r="BT199" s="409">
        <f t="shared" si="300"/>
        <v>0</v>
      </c>
      <c r="BU199" s="409">
        <f t="shared" si="300"/>
        <v>0</v>
      </c>
      <c r="BV199" s="409">
        <f t="shared" si="300"/>
        <v>0</v>
      </c>
      <c r="BW199" s="409">
        <f t="shared" si="300"/>
        <v>0</v>
      </c>
      <c r="BX199" s="409">
        <f t="shared" si="300"/>
        <v>0</v>
      </c>
      <c r="BY199" s="409">
        <f t="shared" si="300"/>
        <v>0</v>
      </c>
      <c r="BZ199" s="409">
        <f t="shared" si="300"/>
        <v>0</v>
      </c>
      <c r="CA199" s="409">
        <f t="shared" si="301"/>
        <v>0</v>
      </c>
      <c r="CB199" s="409">
        <f t="shared" si="301"/>
        <v>0</v>
      </c>
      <c r="CC199" s="409">
        <f t="shared" si="301"/>
        <v>0</v>
      </c>
      <c r="CD199" s="409">
        <f t="shared" si="301"/>
        <v>0</v>
      </c>
      <c r="CE199" s="409">
        <f t="shared" si="301"/>
        <v>0</v>
      </c>
      <c r="CF199" s="409">
        <f t="shared" si="301"/>
        <v>0</v>
      </c>
      <c r="CG199" s="409">
        <f t="shared" si="301"/>
        <v>0</v>
      </c>
      <c r="CH199" s="409">
        <f t="shared" si="301"/>
        <v>0</v>
      </c>
      <c r="CI199" s="409">
        <f t="shared" si="301"/>
        <v>0</v>
      </c>
      <c r="CJ199" s="409">
        <f t="shared" si="301"/>
        <v>0</v>
      </c>
      <c r="CK199" s="409">
        <f t="shared" si="302"/>
        <v>0</v>
      </c>
      <c r="CL199" s="409">
        <f t="shared" si="302"/>
        <v>0</v>
      </c>
      <c r="CM199" s="409">
        <f t="shared" si="302"/>
        <v>0</v>
      </c>
      <c r="CN199" s="409">
        <f t="shared" si="302"/>
        <v>0</v>
      </c>
      <c r="CO199" s="409">
        <f t="shared" si="302"/>
        <v>0</v>
      </c>
      <c r="CP199" s="409">
        <f t="shared" si="302"/>
        <v>0</v>
      </c>
      <c r="CQ199" s="409">
        <f t="shared" si="302"/>
        <v>0</v>
      </c>
      <c r="CR199" s="409">
        <f t="shared" si="302"/>
        <v>0</v>
      </c>
      <c r="CS199" s="409">
        <f t="shared" si="302"/>
        <v>0</v>
      </c>
      <c r="CT199" s="409">
        <f t="shared" si="302"/>
        <v>0</v>
      </c>
      <c r="CU199" s="409">
        <f t="shared" si="303"/>
        <v>0</v>
      </c>
      <c r="CV199" s="409">
        <f t="shared" si="303"/>
        <v>0</v>
      </c>
      <c r="CW199" s="409">
        <f t="shared" si="303"/>
        <v>0</v>
      </c>
      <c r="CX199" s="409">
        <f t="shared" si="303"/>
        <v>0</v>
      </c>
      <c r="CY199" s="409">
        <f t="shared" si="303"/>
        <v>0</v>
      </c>
      <c r="CZ199" s="409">
        <f t="shared" si="303"/>
        <v>0</v>
      </c>
      <c r="DA199" s="409">
        <f t="shared" si="303"/>
        <v>0</v>
      </c>
      <c r="DB199" s="409">
        <f t="shared" si="303"/>
        <v>0</v>
      </c>
      <c r="DC199" s="409">
        <f t="shared" si="303"/>
        <v>0</v>
      </c>
      <c r="DD199" s="409">
        <f t="shared" si="303"/>
        <v>0</v>
      </c>
      <c r="DE199" s="409">
        <f t="shared" si="304"/>
        <v>0</v>
      </c>
      <c r="DF199" s="409">
        <f t="shared" si="304"/>
        <v>0</v>
      </c>
      <c r="DG199" s="409">
        <f t="shared" si="304"/>
        <v>0</v>
      </c>
      <c r="DH199" s="409">
        <f t="shared" si="304"/>
        <v>0</v>
      </c>
      <c r="DI199" s="409">
        <f t="shared" si="304"/>
        <v>0</v>
      </c>
      <c r="DJ199" s="409">
        <f t="shared" si="304"/>
        <v>0</v>
      </c>
      <c r="DK199" s="409">
        <f t="shared" si="304"/>
        <v>0</v>
      </c>
      <c r="DL199" s="409">
        <f t="shared" si="304"/>
        <v>0</v>
      </c>
      <c r="DM199" s="409">
        <f t="shared" si="304"/>
        <v>0</v>
      </c>
      <c r="DN199" s="409">
        <f t="shared" si="304"/>
        <v>0</v>
      </c>
      <c r="DO199" s="409">
        <f t="shared" si="305"/>
        <v>0</v>
      </c>
      <c r="DP199" s="409">
        <f t="shared" si="305"/>
        <v>0</v>
      </c>
      <c r="DQ199" s="409">
        <f t="shared" si="305"/>
        <v>0</v>
      </c>
      <c r="DR199" s="409">
        <f t="shared" si="305"/>
        <v>0</v>
      </c>
      <c r="DS199" s="409">
        <f t="shared" si="305"/>
        <v>0</v>
      </c>
      <c r="DT199" s="409">
        <f t="shared" si="305"/>
        <v>0</v>
      </c>
      <c r="DU199" s="409">
        <f t="shared" si="305"/>
        <v>0</v>
      </c>
      <c r="DV199" s="409">
        <f t="shared" si="305"/>
        <v>0</v>
      </c>
      <c r="DW199" s="409">
        <f t="shared" si="305"/>
        <v>0</v>
      </c>
      <c r="DX199" s="409">
        <f t="shared" si="305"/>
        <v>0</v>
      </c>
      <c r="DY199" s="409">
        <f t="shared" si="306"/>
        <v>0</v>
      </c>
      <c r="DZ199" s="409">
        <f t="shared" si="306"/>
        <v>0</v>
      </c>
      <c r="EA199" s="409">
        <f t="shared" si="306"/>
        <v>0</v>
      </c>
      <c r="EB199" s="409">
        <f t="shared" si="306"/>
        <v>0</v>
      </c>
      <c r="EC199" s="409">
        <f t="shared" si="306"/>
        <v>0</v>
      </c>
      <c r="ED199" s="409">
        <f t="shared" si="306"/>
        <v>0</v>
      </c>
      <c r="EE199" s="409">
        <f t="shared" si="306"/>
        <v>0</v>
      </c>
      <c r="EF199" s="409">
        <f t="shared" si="306"/>
        <v>0</v>
      </c>
      <c r="EG199" s="409">
        <f t="shared" si="306"/>
        <v>0</v>
      </c>
      <c r="EH199" s="409">
        <f t="shared" si="306"/>
        <v>0</v>
      </c>
      <c r="EI199" s="409">
        <f t="shared" si="307"/>
        <v>0</v>
      </c>
      <c r="EJ199" s="409">
        <f t="shared" si="307"/>
        <v>0</v>
      </c>
      <c r="EK199" s="409">
        <f t="shared" si="307"/>
        <v>0</v>
      </c>
      <c r="EL199" s="409">
        <f t="shared" si="307"/>
        <v>0</v>
      </c>
      <c r="EM199" s="409">
        <f t="shared" si="307"/>
        <v>0</v>
      </c>
      <c r="EN199" s="409">
        <f t="shared" si="307"/>
        <v>0</v>
      </c>
      <c r="EO199" s="409">
        <f t="shared" si="307"/>
        <v>0</v>
      </c>
      <c r="EP199" s="409">
        <f t="shared" si="307"/>
        <v>0</v>
      </c>
      <c r="EQ199" s="409">
        <f t="shared" si="307"/>
        <v>0</v>
      </c>
      <c r="ER199" s="409">
        <f t="shared" si="307"/>
        <v>0</v>
      </c>
      <c r="ES199" s="409">
        <f t="shared" si="308"/>
        <v>0</v>
      </c>
      <c r="ET199" s="409">
        <f t="shared" si="308"/>
        <v>0</v>
      </c>
      <c r="EU199" s="409">
        <f t="shared" si="308"/>
        <v>0</v>
      </c>
      <c r="EV199" s="409">
        <f t="shared" si="308"/>
        <v>0</v>
      </c>
      <c r="EW199" s="409">
        <f t="shared" si="308"/>
        <v>0</v>
      </c>
      <c r="EX199" s="409">
        <f t="shared" si="308"/>
        <v>0</v>
      </c>
      <c r="EY199" s="409">
        <f t="shared" si="308"/>
        <v>0</v>
      </c>
      <c r="EZ199" s="409">
        <f t="shared" si="308"/>
        <v>0</v>
      </c>
      <c r="FA199" s="409">
        <f t="shared" si="308"/>
        <v>0</v>
      </c>
      <c r="FB199" s="409">
        <f t="shared" si="308"/>
        <v>0</v>
      </c>
      <c r="FC199" s="409">
        <f t="shared" si="309"/>
        <v>0</v>
      </c>
      <c r="FD199" s="409">
        <f t="shared" si="309"/>
        <v>0</v>
      </c>
      <c r="FE199" s="409">
        <f t="shared" si="309"/>
        <v>0</v>
      </c>
      <c r="FF199" s="409">
        <f t="shared" si="309"/>
        <v>0</v>
      </c>
      <c r="FG199" s="409">
        <f t="shared" si="309"/>
        <v>0</v>
      </c>
      <c r="FH199" s="409">
        <f t="shared" si="309"/>
        <v>0</v>
      </c>
      <c r="FI199" s="409">
        <f t="shared" si="309"/>
        <v>0</v>
      </c>
      <c r="FJ199" s="409">
        <f t="shared" si="309"/>
        <v>0</v>
      </c>
      <c r="FK199" s="409">
        <f t="shared" si="309"/>
        <v>0</v>
      </c>
      <c r="FL199" s="409">
        <f t="shared" si="309"/>
        <v>0</v>
      </c>
      <c r="FM199" s="409">
        <f t="shared" si="310"/>
        <v>0</v>
      </c>
      <c r="FN199" s="409">
        <f t="shared" si="310"/>
        <v>0</v>
      </c>
      <c r="FO199" s="409">
        <f t="shared" si="310"/>
        <v>0</v>
      </c>
      <c r="FP199" s="409">
        <f t="shared" si="310"/>
        <v>0</v>
      </c>
      <c r="FQ199" s="409">
        <f t="shared" si="310"/>
        <v>0</v>
      </c>
      <c r="FR199" s="409">
        <f t="shared" si="310"/>
        <v>0</v>
      </c>
      <c r="FS199" s="409">
        <f t="shared" si="310"/>
        <v>0</v>
      </c>
      <c r="FT199" s="409">
        <f t="shared" si="310"/>
        <v>0</v>
      </c>
      <c r="FU199" s="409">
        <f t="shared" si="310"/>
        <v>0</v>
      </c>
      <c r="FV199" s="409">
        <f t="shared" si="310"/>
        <v>0</v>
      </c>
      <c r="FW199" s="409">
        <f t="shared" si="311"/>
        <v>0</v>
      </c>
      <c r="FX199" s="409">
        <f t="shared" si="311"/>
        <v>0</v>
      </c>
      <c r="FY199" s="409">
        <f t="shared" si="311"/>
        <v>0</v>
      </c>
      <c r="FZ199" s="409">
        <f t="shared" si="311"/>
        <v>0</v>
      </c>
      <c r="GA199" s="409">
        <f t="shared" si="311"/>
        <v>0</v>
      </c>
      <c r="GB199" s="409">
        <f t="shared" si="311"/>
        <v>0</v>
      </c>
      <c r="GC199" s="409">
        <f t="shared" si="311"/>
        <v>0</v>
      </c>
      <c r="GD199" s="409">
        <f t="shared" si="311"/>
        <v>0</v>
      </c>
      <c r="GE199" s="409">
        <f t="shared" si="311"/>
        <v>0</v>
      </c>
      <c r="GF199" s="409">
        <f t="shared" si="311"/>
        <v>0</v>
      </c>
      <c r="GG199" s="409">
        <f t="shared" si="312"/>
        <v>0</v>
      </c>
      <c r="GH199" s="409">
        <f t="shared" si="312"/>
        <v>0</v>
      </c>
      <c r="GI199" s="409">
        <f t="shared" si="312"/>
        <v>0</v>
      </c>
      <c r="GJ199" s="409">
        <f t="shared" si="312"/>
        <v>0</v>
      </c>
      <c r="GK199" s="409">
        <f t="shared" si="312"/>
        <v>0</v>
      </c>
      <c r="GL199" s="409">
        <f t="shared" si="312"/>
        <v>0</v>
      </c>
      <c r="GM199" s="409">
        <f t="shared" si="312"/>
        <v>0</v>
      </c>
      <c r="GN199" s="409">
        <f t="shared" si="312"/>
        <v>0</v>
      </c>
      <c r="GO199" s="409">
        <f t="shared" si="312"/>
        <v>0</v>
      </c>
      <c r="GP199" s="409">
        <f t="shared" si="312"/>
        <v>0</v>
      </c>
      <c r="GQ199" s="409">
        <f t="shared" si="313"/>
        <v>0</v>
      </c>
      <c r="GR199" s="409">
        <f t="shared" si="313"/>
        <v>0</v>
      </c>
      <c r="GS199" s="409">
        <f t="shared" si="313"/>
        <v>0</v>
      </c>
      <c r="GT199" s="409">
        <f t="shared" si="313"/>
        <v>0</v>
      </c>
      <c r="GU199" s="409">
        <f t="shared" si="313"/>
        <v>0</v>
      </c>
      <c r="GV199" s="409">
        <f t="shared" si="313"/>
        <v>0</v>
      </c>
      <c r="GW199" s="409">
        <f t="shared" si="313"/>
        <v>0</v>
      </c>
      <c r="GX199" s="409">
        <f t="shared" si="313"/>
        <v>0</v>
      </c>
      <c r="GY199" s="409">
        <f t="shared" si="313"/>
        <v>0</v>
      </c>
      <c r="GZ199" s="409">
        <f t="shared" si="313"/>
        <v>0</v>
      </c>
      <c r="HA199" s="409">
        <f t="shared" si="314"/>
        <v>0</v>
      </c>
      <c r="HB199" s="409">
        <f t="shared" si="314"/>
        <v>0</v>
      </c>
      <c r="HC199" s="409">
        <f t="shared" si="314"/>
        <v>0</v>
      </c>
      <c r="HD199" s="409">
        <f t="shared" si="314"/>
        <v>0</v>
      </c>
      <c r="HE199" s="409">
        <f t="shared" si="314"/>
        <v>0</v>
      </c>
      <c r="HF199" s="409">
        <f t="shared" si="314"/>
        <v>0</v>
      </c>
      <c r="HG199" s="409">
        <f t="shared" si="314"/>
        <v>0</v>
      </c>
      <c r="HH199" s="409">
        <f t="shared" si="314"/>
        <v>0</v>
      </c>
      <c r="HI199" s="409">
        <f t="shared" si="314"/>
        <v>0</v>
      </c>
      <c r="HJ199" s="409">
        <f t="shared" si="314"/>
        <v>0</v>
      </c>
      <c r="HK199" s="409">
        <f t="shared" si="315"/>
        <v>0</v>
      </c>
      <c r="HL199" s="409">
        <f t="shared" si="315"/>
        <v>0</v>
      </c>
      <c r="HM199" s="409">
        <f t="shared" si="315"/>
        <v>0</v>
      </c>
      <c r="HN199" s="409">
        <f t="shared" si="315"/>
        <v>0</v>
      </c>
      <c r="HO199" s="409">
        <f t="shared" si="315"/>
        <v>0</v>
      </c>
      <c r="HP199" s="409">
        <f t="shared" si="315"/>
        <v>0</v>
      </c>
      <c r="HQ199" s="409">
        <f t="shared" si="315"/>
        <v>0</v>
      </c>
      <c r="HR199" s="409">
        <f t="shared" si="315"/>
        <v>0</v>
      </c>
      <c r="HS199" s="409">
        <f t="shared" si="315"/>
        <v>0</v>
      </c>
      <c r="HT199" s="409">
        <f t="shared" si="315"/>
        <v>0</v>
      </c>
      <c r="HU199" s="409">
        <f t="shared" si="316"/>
        <v>0</v>
      </c>
      <c r="HV199" s="409">
        <f t="shared" si="316"/>
        <v>0</v>
      </c>
      <c r="HW199" s="409">
        <f t="shared" si="316"/>
        <v>0</v>
      </c>
      <c r="HX199" s="409">
        <f t="shared" si="316"/>
        <v>0</v>
      </c>
      <c r="HY199" s="409">
        <f t="shared" si="316"/>
        <v>0</v>
      </c>
      <c r="HZ199" s="409">
        <f t="shared" si="316"/>
        <v>0</v>
      </c>
      <c r="IA199" s="409">
        <f t="shared" si="316"/>
        <v>0</v>
      </c>
      <c r="IB199" s="409">
        <f t="shared" si="316"/>
        <v>0</v>
      </c>
      <c r="IC199" s="409">
        <f t="shared" si="316"/>
        <v>0</v>
      </c>
      <c r="ID199" s="409">
        <f t="shared" si="316"/>
        <v>0</v>
      </c>
      <c r="IE199" s="409">
        <f t="shared" si="317"/>
        <v>0</v>
      </c>
      <c r="IF199" s="409">
        <f t="shared" si="317"/>
        <v>0</v>
      </c>
      <c r="IG199" s="409">
        <f t="shared" si="317"/>
        <v>0</v>
      </c>
      <c r="IH199" s="409">
        <f t="shared" si="317"/>
        <v>0</v>
      </c>
      <c r="II199" s="409">
        <f t="shared" si="317"/>
        <v>0</v>
      </c>
      <c r="IJ199" s="409">
        <f t="shared" si="317"/>
        <v>0</v>
      </c>
      <c r="IK199" s="378"/>
    </row>
    <row r="200" spans="1:249" hidden="1" x14ac:dyDescent="0.2">
      <c r="A200" s="380" t="str">
        <f t="shared" si="242"/>
        <v>e</v>
      </c>
      <c r="B200" s="712" t="str">
        <f>IF(ISERROR(INDEX('Legend(DX)'!$H$11:$H$12,43)),"",INDEX('Legend(DX)'!$H$11:$H$12,43))</f>
        <v/>
      </c>
      <c r="C200" s="712" t="e">
        <f>IF(INDEX('Legend(DX)'!$T$11:$T$12,43)=0,"See Legend",INDEX('Legend(DX)'!$T$11:$T$12,43))</f>
        <v>#REF!</v>
      </c>
      <c r="D200" s="712" t="e">
        <f>IF(INDEX('Legend(DX)'!$R$11:$R$12,(ROW(C200))-137)=0,IF(AND(INDEX('Legend(DX)'!$D$11:$D$12,(ROW(C200))-136)="CH",INDEX('Legend(DX)'!$F$11:$F$12,(ROW(C200))-136)="CASE - MANUAL"),INDEX('Legend(DX)'!$R$11:$R$12,(ROW(C200))-136),IF(INDEX('Legend(DX)'!$V$11:$V$12,(ROW(C200))-137)&gt;1, "(" &amp; INDEX('Legend(DX)'!$V$11:$V$12,(ROW(C200))-137) &amp; ") " &amp; INDEX('Legend(DX)'!$W$11:$W$12,(ROW(C200))-136),INDEX('Legend(DX)'!$W$11:$W$12,(ROW(C200))-137))),INDEX('Legend(DX)'!$R$11:$R$12,(ROW(C200))-137))</f>
        <v>#REF!</v>
      </c>
      <c r="E200" s="713" t="str">
        <f>IF(ISERROR(INDEX('Legend(DX)'!$AA$11:$AA$12,43)),"",INDEX('Legend(DX)'!$AA$11:$AA$12,43))</f>
        <v/>
      </c>
      <c r="F200" s="715"/>
      <c r="G200" s="715"/>
      <c r="H200" s="715"/>
      <c r="I200" s="715"/>
      <c r="J200" s="715"/>
      <c r="K200" s="890">
        <f t="shared" si="223"/>
        <v>0</v>
      </c>
      <c r="L200" s="718"/>
      <c r="M200" s="723"/>
      <c r="N200" s="972">
        <f t="shared" si="291"/>
        <v>-1</v>
      </c>
      <c r="O200" s="972">
        <f t="shared" si="224"/>
        <v>-1</v>
      </c>
      <c r="P200" s="972">
        <f t="shared" si="292"/>
        <v>-1</v>
      </c>
      <c r="Q200" s="972">
        <f t="shared" si="225"/>
        <v>-1</v>
      </c>
      <c r="R200" s="972">
        <f t="shared" si="293"/>
        <v>-1</v>
      </c>
      <c r="S200" s="972">
        <f t="shared" si="226"/>
        <v>-1</v>
      </c>
      <c r="T200" s="972">
        <f t="shared" si="294"/>
        <v>-1</v>
      </c>
      <c r="U200" s="972">
        <f t="shared" si="227"/>
        <v>-1</v>
      </c>
      <c r="V200" s="972">
        <f t="shared" si="295"/>
        <v>-1</v>
      </c>
      <c r="W200" s="972">
        <f t="shared" si="228"/>
        <v>-1</v>
      </c>
      <c r="X200" s="972">
        <f t="shared" si="296"/>
        <v>-1</v>
      </c>
      <c r="Y200" s="972">
        <f t="shared" si="229"/>
        <v>-1</v>
      </c>
      <c r="Z200" s="972">
        <f t="shared" si="230"/>
        <v>-1</v>
      </c>
      <c r="AA200" s="972">
        <f t="shared" si="231"/>
        <v>-1</v>
      </c>
      <c r="AB200" s="972">
        <f t="shared" si="232"/>
        <v>-1</v>
      </c>
      <c r="AC200" s="972">
        <f t="shared" si="233"/>
        <v>-1</v>
      </c>
      <c r="AD200" s="972">
        <f t="shared" si="234"/>
        <v>-1</v>
      </c>
      <c r="AE200" s="972">
        <f t="shared" si="235"/>
        <v>-1</v>
      </c>
      <c r="AF200" s="972">
        <f t="shared" si="236"/>
        <v>-1</v>
      </c>
      <c r="AG200" s="972">
        <f t="shared" si="237"/>
        <v>-1</v>
      </c>
      <c r="AH200" s="972">
        <f t="shared" si="238"/>
        <v>-1</v>
      </c>
      <c r="AI200" s="972">
        <f t="shared" si="239"/>
        <v>-1</v>
      </c>
      <c r="AJ200" s="972">
        <f t="shared" si="240"/>
        <v>-1</v>
      </c>
      <c r="AK200" s="381"/>
      <c r="AL200" s="727" t="str">
        <f t="shared" si="241"/>
        <v/>
      </c>
      <c r="AM200" s="409">
        <f t="shared" si="297"/>
        <v>0</v>
      </c>
      <c r="AN200" s="409">
        <f t="shared" si="297"/>
        <v>0</v>
      </c>
      <c r="AO200" s="409">
        <f t="shared" si="297"/>
        <v>0</v>
      </c>
      <c r="AP200" s="409">
        <f t="shared" si="297"/>
        <v>0</v>
      </c>
      <c r="AQ200" s="409">
        <f t="shared" si="297"/>
        <v>0</v>
      </c>
      <c r="AR200" s="409">
        <f t="shared" si="297"/>
        <v>0</v>
      </c>
      <c r="AS200" s="409">
        <f t="shared" si="297"/>
        <v>0</v>
      </c>
      <c r="AT200" s="409">
        <f t="shared" si="297"/>
        <v>0</v>
      </c>
      <c r="AU200" s="409">
        <f t="shared" si="297"/>
        <v>0</v>
      </c>
      <c r="AV200" s="409">
        <f t="shared" si="297"/>
        <v>0</v>
      </c>
      <c r="AW200" s="409">
        <f t="shared" si="298"/>
        <v>0</v>
      </c>
      <c r="AX200" s="409">
        <f t="shared" si="298"/>
        <v>0</v>
      </c>
      <c r="AY200" s="409">
        <f t="shared" si="298"/>
        <v>0</v>
      </c>
      <c r="AZ200" s="409">
        <f t="shared" si="298"/>
        <v>0</v>
      </c>
      <c r="BA200" s="409">
        <f t="shared" si="298"/>
        <v>0</v>
      </c>
      <c r="BB200" s="409">
        <f t="shared" si="298"/>
        <v>0</v>
      </c>
      <c r="BC200" s="409">
        <f t="shared" si="298"/>
        <v>0</v>
      </c>
      <c r="BD200" s="409">
        <f t="shared" si="298"/>
        <v>0</v>
      </c>
      <c r="BE200" s="409">
        <f t="shared" si="298"/>
        <v>0</v>
      </c>
      <c r="BF200" s="409">
        <f t="shared" si="298"/>
        <v>0</v>
      </c>
      <c r="BG200" s="409">
        <f t="shared" si="299"/>
        <v>0</v>
      </c>
      <c r="BH200" s="409">
        <f t="shared" si="299"/>
        <v>0</v>
      </c>
      <c r="BI200" s="409">
        <f t="shared" si="299"/>
        <v>0</v>
      </c>
      <c r="BJ200" s="409">
        <f t="shared" si="299"/>
        <v>0</v>
      </c>
      <c r="BK200" s="409">
        <f t="shared" si="299"/>
        <v>0</v>
      </c>
      <c r="BL200" s="409">
        <f t="shared" si="299"/>
        <v>0</v>
      </c>
      <c r="BM200" s="409">
        <f t="shared" si="299"/>
        <v>0</v>
      </c>
      <c r="BN200" s="409">
        <f t="shared" si="299"/>
        <v>0</v>
      </c>
      <c r="BO200" s="409">
        <f t="shared" si="299"/>
        <v>0</v>
      </c>
      <c r="BP200" s="409">
        <f t="shared" si="299"/>
        <v>0</v>
      </c>
      <c r="BQ200" s="409">
        <f t="shared" si="300"/>
        <v>0</v>
      </c>
      <c r="BR200" s="409">
        <f t="shared" si="300"/>
        <v>0</v>
      </c>
      <c r="BS200" s="409">
        <f t="shared" si="300"/>
        <v>0</v>
      </c>
      <c r="BT200" s="409">
        <f t="shared" si="300"/>
        <v>0</v>
      </c>
      <c r="BU200" s="409">
        <f t="shared" si="300"/>
        <v>0</v>
      </c>
      <c r="BV200" s="409">
        <f t="shared" si="300"/>
        <v>0</v>
      </c>
      <c r="BW200" s="409">
        <f t="shared" si="300"/>
        <v>0</v>
      </c>
      <c r="BX200" s="409">
        <f t="shared" si="300"/>
        <v>0</v>
      </c>
      <c r="BY200" s="409">
        <f t="shared" si="300"/>
        <v>0</v>
      </c>
      <c r="BZ200" s="409">
        <f t="shared" si="300"/>
        <v>0</v>
      </c>
      <c r="CA200" s="409">
        <f t="shared" si="301"/>
        <v>0</v>
      </c>
      <c r="CB200" s="409">
        <f t="shared" si="301"/>
        <v>0</v>
      </c>
      <c r="CC200" s="409">
        <f t="shared" si="301"/>
        <v>0</v>
      </c>
      <c r="CD200" s="409">
        <f t="shared" si="301"/>
        <v>0</v>
      </c>
      <c r="CE200" s="409">
        <f t="shared" si="301"/>
        <v>0</v>
      </c>
      <c r="CF200" s="409">
        <f t="shared" si="301"/>
        <v>0</v>
      </c>
      <c r="CG200" s="409">
        <f t="shared" si="301"/>
        <v>0</v>
      </c>
      <c r="CH200" s="409">
        <f t="shared" si="301"/>
        <v>0</v>
      </c>
      <c r="CI200" s="409">
        <f t="shared" si="301"/>
        <v>0</v>
      </c>
      <c r="CJ200" s="409">
        <f t="shared" si="301"/>
        <v>0</v>
      </c>
      <c r="CK200" s="409">
        <f t="shared" si="302"/>
        <v>0</v>
      </c>
      <c r="CL200" s="409">
        <f t="shared" si="302"/>
        <v>0</v>
      </c>
      <c r="CM200" s="409">
        <f t="shared" si="302"/>
        <v>0</v>
      </c>
      <c r="CN200" s="409">
        <f t="shared" si="302"/>
        <v>0</v>
      </c>
      <c r="CO200" s="409">
        <f t="shared" si="302"/>
        <v>0</v>
      </c>
      <c r="CP200" s="409">
        <f t="shared" si="302"/>
        <v>0</v>
      </c>
      <c r="CQ200" s="409">
        <f t="shared" si="302"/>
        <v>0</v>
      </c>
      <c r="CR200" s="409">
        <f t="shared" si="302"/>
        <v>0</v>
      </c>
      <c r="CS200" s="409">
        <f t="shared" si="302"/>
        <v>0</v>
      </c>
      <c r="CT200" s="409">
        <f t="shared" si="302"/>
        <v>0</v>
      </c>
      <c r="CU200" s="409">
        <f t="shared" si="303"/>
        <v>0</v>
      </c>
      <c r="CV200" s="409">
        <f t="shared" si="303"/>
        <v>0</v>
      </c>
      <c r="CW200" s="409">
        <f t="shared" si="303"/>
        <v>0</v>
      </c>
      <c r="CX200" s="409">
        <f t="shared" si="303"/>
        <v>0</v>
      </c>
      <c r="CY200" s="409">
        <f t="shared" si="303"/>
        <v>0</v>
      </c>
      <c r="CZ200" s="409">
        <f t="shared" si="303"/>
        <v>0</v>
      </c>
      <c r="DA200" s="409">
        <f t="shared" si="303"/>
        <v>0</v>
      </c>
      <c r="DB200" s="409">
        <f t="shared" si="303"/>
        <v>0</v>
      </c>
      <c r="DC200" s="409">
        <f t="shared" si="303"/>
        <v>0</v>
      </c>
      <c r="DD200" s="409">
        <f t="shared" si="303"/>
        <v>0</v>
      </c>
      <c r="DE200" s="409">
        <f t="shared" si="304"/>
        <v>0</v>
      </c>
      <c r="DF200" s="409">
        <f t="shared" si="304"/>
        <v>0</v>
      </c>
      <c r="DG200" s="409">
        <f t="shared" si="304"/>
        <v>0</v>
      </c>
      <c r="DH200" s="409">
        <f t="shared" si="304"/>
        <v>0</v>
      </c>
      <c r="DI200" s="409">
        <f t="shared" si="304"/>
        <v>0</v>
      </c>
      <c r="DJ200" s="409">
        <f t="shared" si="304"/>
        <v>0</v>
      </c>
      <c r="DK200" s="409">
        <f t="shared" si="304"/>
        <v>0</v>
      </c>
      <c r="DL200" s="409">
        <f t="shared" si="304"/>
        <v>0</v>
      </c>
      <c r="DM200" s="409">
        <f t="shared" si="304"/>
        <v>0</v>
      </c>
      <c r="DN200" s="409">
        <f t="shared" si="304"/>
        <v>0</v>
      </c>
      <c r="DO200" s="409">
        <f t="shared" si="305"/>
        <v>0</v>
      </c>
      <c r="DP200" s="409">
        <f t="shared" si="305"/>
        <v>0</v>
      </c>
      <c r="DQ200" s="409">
        <f t="shared" si="305"/>
        <v>0</v>
      </c>
      <c r="DR200" s="409">
        <f t="shared" si="305"/>
        <v>0</v>
      </c>
      <c r="DS200" s="409">
        <f t="shared" si="305"/>
        <v>0</v>
      </c>
      <c r="DT200" s="409">
        <f t="shared" si="305"/>
        <v>0</v>
      </c>
      <c r="DU200" s="409">
        <f t="shared" si="305"/>
        <v>0</v>
      </c>
      <c r="DV200" s="409">
        <f t="shared" si="305"/>
        <v>0</v>
      </c>
      <c r="DW200" s="409">
        <f t="shared" si="305"/>
        <v>0</v>
      </c>
      <c r="DX200" s="409">
        <f t="shared" si="305"/>
        <v>0</v>
      </c>
      <c r="DY200" s="409">
        <f t="shared" si="306"/>
        <v>0</v>
      </c>
      <c r="DZ200" s="409">
        <f t="shared" si="306"/>
        <v>0</v>
      </c>
      <c r="EA200" s="409">
        <f t="shared" si="306"/>
        <v>0</v>
      </c>
      <c r="EB200" s="409">
        <f t="shared" si="306"/>
        <v>0</v>
      </c>
      <c r="EC200" s="409">
        <f t="shared" si="306"/>
        <v>0</v>
      </c>
      <c r="ED200" s="409">
        <f t="shared" si="306"/>
        <v>0</v>
      </c>
      <c r="EE200" s="409">
        <f t="shared" si="306"/>
        <v>0</v>
      </c>
      <c r="EF200" s="409">
        <f t="shared" si="306"/>
        <v>0</v>
      </c>
      <c r="EG200" s="409">
        <f t="shared" si="306"/>
        <v>0</v>
      </c>
      <c r="EH200" s="409">
        <f t="shared" si="306"/>
        <v>0</v>
      </c>
      <c r="EI200" s="409">
        <f t="shared" si="307"/>
        <v>0</v>
      </c>
      <c r="EJ200" s="409">
        <f t="shared" si="307"/>
        <v>0</v>
      </c>
      <c r="EK200" s="409">
        <f t="shared" si="307"/>
        <v>0</v>
      </c>
      <c r="EL200" s="409">
        <f t="shared" si="307"/>
        <v>0</v>
      </c>
      <c r="EM200" s="409">
        <f t="shared" si="307"/>
        <v>0</v>
      </c>
      <c r="EN200" s="409">
        <f t="shared" si="307"/>
        <v>0</v>
      </c>
      <c r="EO200" s="409">
        <f t="shared" si="307"/>
        <v>0</v>
      </c>
      <c r="EP200" s="409">
        <f t="shared" si="307"/>
        <v>0</v>
      </c>
      <c r="EQ200" s="409">
        <f t="shared" si="307"/>
        <v>0</v>
      </c>
      <c r="ER200" s="409">
        <f t="shared" si="307"/>
        <v>0</v>
      </c>
      <c r="ES200" s="409">
        <f t="shared" si="308"/>
        <v>0</v>
      </c>
      <c r="ET200" s="409">
        <f t="shared" si="308"/>
        <v>0</v>
      </c>
      <c r="EU200" s="409">
        <f t="shared" si="308"/>
        <v>0</v>
      </c>
      <c r="EV200" s="409">
        <f t="shared" si="308"/>
        <v>0</v>
      </c>
      <c r="EW200" s="409">
        <f t="shared" si="308"/>
        <v>0</v>
      </c>
      <c r="EX200" s="409">
        <f t="shared" si="308"/>
        <v>0</v>
      </c>
      <c r="EY200" s="409">
        <f t="shared" si="308"/>
        <v>0</v>
      </c>
      <c r="EZ200" s="409">
        <f t="shared" si="308"/>
        <v>0</v>
      </c>
      <c r="FA200" s="409">
        <f t="shared" si="308"/>
        <v>0</v>
      </c>
      <c r="FB200" s="409">
        <f t="shared" si="308"/>
        <v>0</v>
      </c>
      <c r="FC200" s="409">
        <f t="shared" si="309"/>
        <v>0</v>
      </c>
      <c r="FD200" s="409">
        <f t="shared" si="309"/>
        <v>0</v>
      </c>
      <c r="FE200" s="409">
        <f t="shared" si="309"/>
        <v>0</v>
      </c>
      <c r="FF200" s="409">
        <f t="shared" si="309"/>
        <v>0</v>
      </c>
      <c r="FG200" s="409">
        <f t="shared" si="309"/>
        <v>0</v>
      </c>
      <c r="FH200" s="409">
        <f t="shared" si="309"/>
        <v>0</v>
      </c>
      <c r="FI200" s="409">
        <f t="shared" si="309"/>
        <v>0</v>
      </c>
      <c r="FJ200" s="409">
        <f t="shared" si="309"/>
        <v>0</v>
      </c>
      <c r="FK200" s="409">
        <f t="shared" si="309"/>
        <v>0</v>
      </c>
      <c r="FL200" s="409">
        <f t="shared" si="309"/>
        <v>0</v>
      </c>
      <c r="FM200" s="409">
        <f t="shared" si="310"/>
        <v>0</v>
      </c>
      <c r="FN200" s="409">
        <f t="shared" si="310"/>
        <v>0</v>
      </c>
      <c r="FO200" s="409">
        <f t="shared" si="310"/>
        <v>0</v>
      </c>
      <c r="FP200" s="409">
        <f t="shared" si="310"/>
        <v>0</v>
      </c>
      <c r="FQ200" s="409">
        <f t="shared" si="310"/>
        <v>0</v>
      </c>
      <c r="FR200" s="409">
        <f t="shared" si="310"/>
        <v>0</v>
      </c>
      <c r="FS200" s="409">
        <f t="shared" si="310"/>
        <v>0</v>
      </c>
      <c r="FT200" s="409">
        <f t="shared" si="310"/>
        <v>0</v>
      </c>
      <c r="FU200" s="409">
        <f t="shared" si="310"/>
        <v>0</v>
      </c>
      <c r="FV200" s="409">
        <f t="shared" si="310"/>
        <v>0</v>
      </c>
      <c r="FW200" s="409">
        <f t="shared" si="311"/>
        <v>0</v>
      </c>
      <c r="FX200" s="409">
        <f t="shared" si="311"/>
        <v>0</v>
      </c>
      <c r="FY200" s="409">
        <f t="shared" si="311"/>
        <v>0</v>
      </c>
      <c r="FZ200" s="409">
        <f t="shared" si="311"/>
        <v>0</v>
      </c>
      <c r="GA200" s="409">
        <f t="shared" si="311"/>
        <v>0</v>
      </c>
      <c r="GB200" s="409">
        <f t="shared" si="311"/>
        <v>0</v>
      </c>
      <c r="GC200" s="409">
        <f t="shared" si="311"/>
        <v>0</v>
      </c>
      <c r="GD200" s="409">
        <f t="shared" si="311"/>
        <v>0</v>
      </c>
      <c r="GE200" s="409">
        <f t="shared" si="311"/>
        <v>0</v>
      </c>
      <c r="GF200" s="409">
        <f t="shared" si="311"/>
        <v>0</v>
      </c>
      <c r="GG200" s="409">
        <f t="shared" si="312"/>
        <v>0</v>
      </c>
      <c r="GH200" s="409">
        <f t="shared" si="312"/>
        <v>0</v>
      </c>
      <c r="GI200" s="409">
        <f t="shared" si="312"/>
        <v>0</v>
      </c>
      <c r="GJ200" s="409">
        <f t="shared" si="312"/>
        <v>0</v>
      </c>
      <c r="GK200" s="409">
        <f t="shared" si="312"/>
        <v>0</v>
      </c>
      <c r="GL200" s="409">
        <f t="shared" si="312"/>
        <v>0</v>
      </c>
      <c r="GM200" s="409">
        <f t="shared" si="312"/>
        <v>0</v>
      </c>
      <c r="GN200" s="409">
        <f t="shared" si="312"/>
        <v>0</v>
      </c>
      <c r="GO200" s="409">
        <f t="shared" si="312"/>
        <v>0</v>
      </c>
      <c r="GP200" s="409">
        <f t="shared" si="312"/>
        <v>0</v>
      </c>
      <c r="GQ200" s="409">
        <f t="shared" si="313"/>
        <v>0</v>
      </c>
      <c r="GR200" s="409">
        <f t="shared" si="313"/>
        <v>0</v>
      </c>
      <c r="GS200" s="409">
        <f t="shared" si="313"/>
        <v>0</v>
      </c>
      <c r="GT200" s="409">
        <f t="shared" si="313"/>
        <v>0</v>
      </c>
      <c r="GU200" s="409">
        <f t="shared" si="313"/>
        <v>0</v>
      </c>
      <c r="GV200" s="409">
        <f t="shared" si="313"/>
        <v>0</v>
      </c>
      <c r="GW200" s="409">
        <f t="shared" si="313"/>
        <v>0</v>
      </c>
      <c r="GX200" s="409">
        <f t="shared" si="313"/>
        <v>0</v>
      </c>
      <c r="GY200" s="409">
        <f t="shared" si="313"/>
        <v>0</v>
      </c>
      <c r="GZ200" s="409">
        <f t="shared" si="313"/>
        <v>0</v>
      </c>
      <c r="HA200" s="409">
        <f t="shared" si="314"/>
        <v>0</v>
      </c>
      <c r="HB200" s="409">
        <f t="shared" si="314"/>
        <v>0</v>
      </c>
      <c r="HC200" s="409">
        <f t="shared" si="314"/>
        <v>0</v>
      </c>
      <c r="HD200" s="409">
        <f t="shared" si="314"/>
        <v>0</v>
      </c>
      <c r="HE200" s="409">
        <f t="shared" si="314"/>
        <v>0</v>
      </c>
      <c r="HF200" s="409">
        <f t="shared" si="314"/>
        <v>0</v>
      </c>
      <c r="HG200" s="409">
        <f t="shared" si="314"/>
        <v>0</v>
      </c>
      <c r="HH200" s="409">
        <f t="shared" si="314"/>
        <v>0</v>
      </c>
      <c r="HI200" s="409">
        <f t="shared" si="314"/>
        <v>0</v>
      </c>
      <c r="HJ200" s="409">
        <f t="shared" si="314"/>
        <v>0</v>
      </c>
      <c r="HK200" s="409">
        <f t="shared" si="315"/>
        <v>0</v>
      </c>
      <c r="HL200" s="409">
        <f t="shared" si="315"/>
        <v>0</v>
      </c>
      <c r="HM200" s="409">
        <f t="shared" si="315"/>
        <v>0</v>
      </c>
      <c r="HN200" s="409">
        <f t="shared" si="315"/>
        <v>0</v>
      </c>
      <c r="HO200" s="409">
        <f t="shared" si="315"/>
        <v>0</v>
      </c>
      <c r="HP200" s="409">
        <f t="shared" si="315"/>
        <v>0</v>
      </c>
      <c r="HQ200" s="409">
        <f t="shared" si="315"/>
        <v>0</v>
      </c>
      <c r="HR200" s="409">
        <f t="shared" si="315"/>
        <v>0</v>
      </c>
      <c r="HS200" s="409">
        <f t="shared" si="315"/>
        <v>0</v>
      </c>
      <c r="HT200" s="409">
        <f t="shared" si="315"/>
        <v>0</v>
      </c>
      <c r="HU200" s="409">
        <f t="shared" si="316"/>
        <v>0</v>
      </c>
      <c r="HV200" s="409">
        <f t="shared" si="316"/>
        <v>0</v>
      </c>
      <c r="HW200" s="409">
        <f t="shared" si="316"/>
        <v>0</v>
      </c>
      <c r="HX200" s="409">
        <f t="shared" si="316"/>
        <v>0</v>
      </c>
      <c r="HY200" s="409">
        <f t="shared" si="316"/>
        <v>0</v>
      </c>
      <c r="HZ200" s="409">
        <f t="shared" si="316"/>
        <v>0</v>
      </c>
      <c r="IA200" s="409">
        <f t="shared" si="316"/>
        <v>0</v>
      </c>
      <c r="IB200" s="409">
        <f t="shared" si="316"/>
        <v>0</v>
      </c>
      <c r="IC200" s="409">
        <f t="shared" si="316"/>
        <v>0</v>
      </c>
      <c r="ID200" s="409">
        <f t="shared" si="316"/>
        <v>0</v>
      </c>
      <c r="IE200" s="409">
        <f t="shared" si="317"/>
        <v>0</v>
      </c>
      <c r="IF200" s="409">
        <f t="shared" si="317"/>
        <v>0</v>
      </c>
      <c r="IG200" s="409">
        <f t="shared" si="317"/>
        <v>0</v>
      </c>
      <c r="IH200" s="409">
        <f t="shared" si="317"/>
        <v>0</v>
      </c>
      <c r="II200" s="409">
        <f t="shared" si="317"/>
        <v>0</v>
      </c>
      <c r="IJ200" s="409">
        <f t="shared" si="317"/>
        <v>0</v>
      </c>
      <c r="IK200" s="378"/>
    </row>
    <row r="201" spans="1:249" hidden="1" x14ac:dyDescent="0.2">
      <c r="A201" s="380" t="str">
        <f t="shared" si="242"/>
        <v>e</v>
      </c>
      <c r="B201" s="712" t="str">
        <f>IF(ISERROR(INDEX('Legend(DX)'!$H$11:$H$12,44)),"",INDEX('Legend(DX)'!$H$11:$H$12,44))</f>
        <v/>
      </c>
      <c r="C201" s="712" t="e">
        <f>IF(INDEX('Legend(DX)'!$T$11:$T$12,44)=0,"See Legend",INDEX('Legend(DX)'!$T$11:$T$12,44))</f>
        <v>#REF!</v>
      </c>
      <c r="D201" s="712" t="e">
        <f>IF(INDEX('Legend(DX)'!$R$11:$R$12,(ROW(C201))-137)=0,IF(AND(INDEX('Legend(DX)'!$D$11:$D$12,(ROW(C201))-136)="CH",INDEX('Legend(DX)'!$F$11:$F$12,(ROW(C201))-136)="CASE - MANUAL"),INDEX('Legend(DX)'!$R$11:$R$12,(ROW(C201))-136),IF(INDEX('Legend(DX)'!$V$11:$V$12,(ROW(C201))-137)&gt;1, "(" &amp; INDEX('Legend(DX)'!$V$11:$V$12,(ROW(C201))-137) &amp; ") " &amp; INDEX('Legend(DX)'!$W$11:$W$12,(ROW(C201))-136),INDEX('Legend(DX)'!$W$11:$W$12,(ROW(C201))-137))),INDEX('Legend(DX)'!$R$11:$R$12,(ROW(C201))-137))</f>
        <v>#REF!</v>
      </c>
      <c r="E201" s="713" t="str">
        <f>IF(ISERROR(INDEX('Legend(DX)'!$AA$11:$AA$12,44)),"",INDEX('Legend(DX)'!$AA$11:$AA$12,44))</f>
        <v/>
      </c>
      <c r="F201" s="715"/>
      <c r="G201" s="715"/>
      <c r="H201" s="715"/>
      <c r="I201" s="715"/>
      <c r="J201" s="715"/>
      <c r="K201" s="890">
        <f t="shared" si="223"/>
        <v>0</v>
      </c>
      <c r="L201" s="718"/>
      <c r="M201" s="723"/>
      <c r="N201" s="972">
        <f t="shared" si="291"/>
        <v>-1</v>
      </c>
      <c r="O201" s="972">
        <f t="shared" si="224"/>
        <v>-1</v>
      </c>
      <c r="P201" s="972">
        <f t="shared" si="292"/>
        <v>-1</v>
      </c>
      <c r="Q201" s="972">
        <f t="shared" si="225"/>
        <v>-1</v>
      </c>
      <c r="R201" s="972">
        <f t="shared" si="293"/>
        <v>-1</v>
      </c>
      <c r="S201" s="972">
        <f t="shared" si="226"/>
        <v>-1</v>
      </c>
      <c r="T201" s="972">
        <f t="shared" si="294"/>
        <v>-1</v>
      </c>
      <c r="U201" s="972">
        <f t="shared" si="227"/>
        <v>-1</v>
      </c>
      <c r="V201" s="972">
        <f t="shared" si="295"/>
        <v>-1</v>
      </c>
      <c r="W201" s="972">
        <f t="shared" si="228"/>
        <v>-1</v>
      </c>
      <c r="X201" s="972">
        <f t="shared" si="296"/>
        <v>-1</v>
      </c>
      <c r="Y201" s="972">
        <f t="shared" si="229"/>
        <v>-1</v>
      </c>
      <c r="Z201" s="972">
        <f t="shared" si="230"/>
        <v>-1</v>
      </c>
      <c r="AA201" s="972">
        <f t="shared" si="231"/>
        <v>-1</v>
      </c>
      <c r="AB201" s="972">
        <f t="shared" si="232"/>
        <v>-1</v>
      </c>
      <c r="AC201" s="972">
        <f t="shared" si="233"/>
        <v>-1</v>
      </c>
      <c r="AD201" s="972">
        <f t="shared" si="234"/>
        <v>-1</v>
      </c>
      <c r="AE201" s="972">
        <f t="shared" si="235"/>
        <v>-1</v>
      </c>
      <c r="AF201" s="972">
        <f t="shared" si="236"/>
        <v>-1</v>
      </c>
      <c r="AG201" s="972">
        <f t="shared" si="237"/>
        <v>-1</v>
      </c>
      <c r="AH201" s="972">
        <f t="shared" si="238"/>
        <v>-1</v>
      </c>
      <c r="AI201" s="972">
        <f t="shared" si="239"/>
        <v>-1</v>
      </c>
      <c r="AJ201" s="972">
        <f t="shared" si="240"/>
        <v>-1</v>
      </c>
      <c r="AK201" s="381"/>
      <c r="AL201" s="727" t="str">
        <f t="shared" si="241"/>
        <v/>
      </c>
      <c r="AM201" s="409">
        <f t="shared" si="297"/>
        <v>0</v>
      </c>
      <c r="AN201" s="409">
        <f t="shared" si="297"/>
        <v>0</v>
      </c>
      <c r="AO201" s="409">
        <f t="shared" si="297"/>
        <v>0</v>
      </c>
      <c r="AP201" s="409">
        <f t="shared" si="297"/>
        <v>0</v>
      </c>
      <c r="AQ201" s="409">
        <f t="shared" si="297"/>
        <v>0</v>
      </c>
      <c r="AR201" s="409">
        <f t="shared" si="297"/>
        <v>0</v>
      </c>
      <c r="AS201" s="409">
        <f t="shared" si="297"/>
        <v>0</v>
      </c>
      <c r="AT201" s="409">
        <f t="shared" si="297"/>
        <v>0</v>
      </c>
      <c r="AU201" s="409">
        <f t="shared" si="297"/>
        <v>0</v>
      </c>
      <c r="AV201" s="409">
        <f t="shared" si="297"/>
        <v>0</v>
      </c>
      <c r="AW201" s="409">
        <f t="shared" si="298"/>
        <v>0</v>
      </c>
      <c r="AX201" s="409">
        <f t="shared" si="298"/>
        <v>0</v>
      </c>
      <c r="AY201" s="409">
        <f t="shared" si="298"/>
        <v>0</v>
      </c>
      <c r="AZ201" s="409">
        <f t="shared" si="298"/>
        <v>0</v>
      </c>
      <c r="BA201" s="409">
        <f t="shared" si="298"/>
        <v>0</v>
      </c>
      <c r="BB201" s="409">
        <f t="shared" si="298"/>
        <v>0</v>
      </c>
      <c r="BC201" s="409">
        <f t="shared" si="298"/>
        <v>0</v>
      </c>
      <c r="BD201" s="409">
        <f t="shared" si="298"/>
        <v>0</v>
      </c>
      <c r="BE201" s="409">
        <f t="shared" si="298"/>
        <v>0</v>
      </c>
      <c r="BF201" s="409">
        <f t="shared" si="298"/>
        <v>0</v>
      </c>
      <c r="BG201" s="409">
        <f t="shared" si="299"/>
        <v>0</v>
      </c>
      <c r="BH201" s="409">
        <f t="shared" si="299"/>
        <v>0</v>
      </c>
      <c r="BI201" s="409">
        <f t="shared" si="299"/>
        <v>0</v>
      </c>
      <c r="BJ201" s="409">
        <f t="shared" si="299"/>
        <v>0</v>
      </c>
      <c r="BK201" s="409">
        <f t="shared" si="299"/>
        <v>0</v>
      </c>
      <c r="BL201" s="409">
        <f t="shared" si="299"/>
        <v>0</v>
      </c>
      <c r="BM201" s="409">
        <f t="shared" si="299"/>
        <v>0</v>
      </c>
      <c r="BN201" s="409">
        <f t="shared" si="299"/>
        <v>0</v>
      </c>
      <c r="BO201" s="409">
        <f t="shared" si="299"/>
        <v>0</v>
      </c>
      <c r="BP201" s="409">
        <f t="shared" si="299"/>
        <v>0</v>
      </c>
      <c r="BQ201" s="409">
        <f t="shared" si="300"/>
        <v>0</v>
      </c>
      <c r="BR201" s="409">
        <f t="shared" si="300"/>
        <v>0</v>
      </c>
      <c r="BS201" s="409">
        <f t="shared" si="300"/>
        <v>0</v>
      </c>
      <c r="BT201" s="409">
        <f t="shared" si="300"/>
        <v>0</v>
      </c>
      <c r="BU201" s="409">
        <f t="shared" si="300"/>
        <v>0</v>
      </c>
      <c r="BV201" s="409">
        <f t="shared" si="300"/>
        <v>0</v>
      </c>
      <c r="BW201" s="409">
        <f t="shared" si="300"/>
        <v>0</v>
      </c>
      <c r="BX201" s="409">
        <f t="shared" si="300"/>
        <v>0</v>
      </c>
      <c r="BY201" s="409">
        <f t="shared" si="300"/>
        <v>0</v>
      </c>
      <c r="BZ201" s="409">
        <f t="shared" si="300"/>
        <v>0</v>
      </c>
      <c r="CA201" s="409">
        <f t="shared" si="301"/>
        <v>0</v>
      </c>
      <c r="CB201" s="409">
        <f t="shared" si="301"/>
        <v>0</v>
      </c>
      <c r="CC201" s="409">
        <f t="shared" si="301"/>
        <v>0</v>
      </c>
      <c r="CD201" s="409">
        <f t="shared" si="301"/>
        <v>0</v>
      </c>
      <c r="CE201" s="409">
        <f t="shared" si="301"/>
        <v>0</v>
      </c>
      <c r="CF201" s="409">
        <f t="shared" si="301"/>
        <v>0</v>
      </c>
      <c r="CG201" s="409">
        <f t="shared" si="301"/>
        <v>0</v>
      </c>
      <c r="CH201" s="409">
        <f t="shared" si="301"/>
        <v>0</v>
      </c>
      <c r="CI201" s="409">
        <f t="shared" si="301"/>
        <v>0</v>
      </c>
      <c r="CJ201" s="409">
        <f t="shared" si="301"/>
        <v>0</v>
      </c>
      <c r="CK201" s="409">
        <f t="shared" si="302"/>
        <v>0</v>
      </c>
      <c r="CL201" s="409">
        <f t="shared" si="302"/>
        <v>0</v>
      </c>
      <c r="CM201" s="409">
        <f t="shared" si="302"/>
        <v>0</v>
      </c>
      <c r="CN201" s="409">
        <f t="shared" si="302"/>
        <v>0</v>
      </c>
      <c r="CO201" s="409">
        <f t="shared" si="302"/>
        <v>0</v>
      </c>
      <c r="CP201" s="409">
        <f t="shared" si="302"/>
        <v>0</v>
      </c>
      <c r="CQ201" s="409">
        <f t="shared" si="302"/>
        <v>0</v>
      </c>
      <c r="CR201" s="409">
        <f t="shared" si="302"/>
        <v>0</v>
      </c>
      <c r="CS201" s="409">
        <f t="shared" si="302"/>
        <v>0</v>
      </c>
      <c r="CT201" s="409">
        <f t="shared" si="302"/>
        <v>0</v>
      </c>
      <c r="CU201" s="409">
        <f t="shared" si="303"/>
        <v>0</v>
      </c>
      <c r="CV201" s="409">
        <f t="shared" si="303"/>
        <v>0</v>
      </c>
      <c r="CW201" s="409">
        <f t="shared" si="303"/>
        <v>0</v>
      </c>
      <c r="CX201" s="409">
        <f t="shared" si="303"/>
        <v>0</v>
      </c>
      <c r="CY201" s="409">
        <f t="shared" si="303"/>
        <v>0</v>
      </c>
      <c r="CZ201" s="409">
        <f t="shared" si="303"/>
        <v>0</v>
      </c>
      <c r="DA201" s="409">
        <f t="shared" si="303"/>
        <v>0</v>
      </c>
      <c r="DB201" s="409">
        <f t="shared" si="303"/>
        <v>0</v>
      </c>
      <c r="DC201" s="409">
        <f t="shared" si="303"/>
        <v>0</v>
      </c>
      <c r="DD201" s="409">
        <f t="shared" si="303"/>
        <v>0</v>
      </c>
      <c r="DE201" s="409">
        <f t="shared" si="304"/>
        <v>0</v>
      </c>
      <c r="DF201" s="409">
        <f t="shared" si="304"/>
        <v>0</v>
      </c>
      <c r="DG201" s="409">
        <f t="shared" si="304"/>
        <v>0</v>
      </c>
      <c r="DH201" s="409">
        <f t="shared" si="304"/>
        <v>0</v>
      </c>
      <c r="DI201" s="409">
        <f t="shared" si="304"/>
        <v>0</v>
      </c>
      <c r="DJ201" s="409">
        <f t="shared" si="304"/>
        <v>0</v>
      </c>
      <c r="DK201" s="409">
        <f t="shared" si="304"/>
        <v>0</v>
      </c>
      <c r="DL201" s="409">
        <f t="shared" si="304"/>
        <v>0</v>
      </c>
      <c r="DM201" s="409">
        <f t="shared" si="304"/>
        <v>0</v>
      </c>
      <c r="DN201" s="409">
        <f t="shared" si="304"/>
        <v>0</v>
      </c>
      <c r="DO201" s="409">
        <f t="shared" si="305"/>
        <v>0</v>
      </c>
      <c r="DP201" s="409">
        <f t="shared" si="305"/>
        <v>0</v>
      </c>
      <c r="DQ201" s="409">
        <f t="shared" si="305"/>
        <v>0</v>
      </c>
      <c r="DR201" s="409">
        <f t="shared" si="305"/>
        <v>0</v>
      </c>
      <c r="DS201" s="409">
        <f t="shared" si="305"/>
        <v>0</v>
      </c>
      <c r="DT201" s="409">
        <f t="shared" si="305"/>
        <v>0</v>
      </c>
      <c r="DU201" s="409">
        <f t="shared" si="305"/>
        <v>0</v>
      </c>
      <c r="DV201" s="409">
        <f t="shared" si="305"/>
        <v>0</v>
      </c>
      <c r="DW201" s="409">
        <f t="shared" si="305"/>
        <v>0</v>
      </c>
      <c r="DX201" s="409">
        <f t="shared" si="305"/>
        <v>0</v>
      </c>
      <c r="DY201" s="409">
        <f t="shared" si="306"/>
        <v>0</v>
      </c>
      <c r="DZ201" s="409">
        <f t="shared" si="306"/>
        <v>0</v>
      </c>
      <c r="EA201" s="409">
        <f t="shared" si="306"/>
        <v>0</v>
      </c>
      <c r="EB201" s="409">
        <f t="shared" si="306"/>
        <v>0</v>
      </c>
      <c r="EC201" s="409">
        <f t="shared" si="306"/>
        <v>0</v>
      </c>
      <c r="ED201" s="409">
        <f t="shared" si="306"/>
        <v>0</v>
      </c>
      <c r="EE201" s="409">
        <f t="shared" si="306"/>
        <v>0</v>
      </c>
      <c r="EF201" s="409">
        <f t="shared" si="306"/>
        <v>0</v>
      </c>
      <c r="EG201" s="409">
        <f t="shared" si="306"/>
        <v>0</v>
      </c>
      <c r="EH201" s="409">
        <f t="shared" si="306"/>
        <v>0</v>
      </c>
      <c r="EI201" s="409">
        <f t="shared" si="307"/>
        <v>0</v>
      </c>
      <c r="EJ201" s="409">
        <f t="shared" si="307"/>
        <v>0</v>
      </c>
      <c r="EK201" s="409">
        <f t="shared" si="307"/>
        <v>0</v>
      </c>
      <c r="EL201" s="409">
        <f t="shared" si="307"/>
        <v>0</v>
      </c>
      <c r="EM201" s="409">
        <f t="shared" si="307"/>
        <v>0</v>
      </c>
      <c r="EN201" s="409">
        <f t="shared" si="307"/>
        <v>0</v>
      </c>
      <c r="EO201" s="409">
        <f t="shared" si="307"/>
        <v>0</v>
      </c>
      <c r="EP201" s="409">
        <f t="shared" si="307"/>
        <v>0</v>
      </c>
      <c r="EQ201" s="409">
        <f t="shared" si="307"/>
        <v>0</v>
      </c>
      <c r="ER201" s="409">
        <f t="shared" si="307"/>
        <v>0</v>
      </c>
      <c r="ES201" s="409">
        <f t="shared" si="308"/>
        <v>0</v>
      </c>
      <c r="ET201" s="409">
        <f t="shared" si="308"/>
        <v>0</v>
      </c>
      <c r="EU201" s="409">
        <f t="shared" si="308"/>
        <v>0</v>
      </c>
      <c r="EV201" s="409">
        <f t="shared" si="308"/>
        <v>0</v>
      </c>
      <c r="EW201" s="409">
        <f t="shared" si="308"/>
        <v>0</v>
      </c>
      <c r="EX201" s="409">
        <f t="shared" si="308"/>
        <v>0</v>
      </c>
      <c r="EY201" s="409">
        <f t="shared" si="308"/>
        <v>0</v>
      </c>
      <c r="EZ201" s="409">
        <f t="shared" si="308"/>
        <v>0</v>
      </c>
      <c r="FA201" s="409">
        <f t="shared" si="308"/>
        <v>0</v>
      </c>
      <c r="FB201" s="409">
        <f t="shared" si="308"/>
        <v>0</v>
      </c>
      <c r="FC201" s="409">
        <f t="shared" si="309"/>
        <v>0</v>
      </c>
      <c r="FD201" s="409">
        <f t="shared" si="309"/>
        <v>0</v>
      </c>
      <c r="FE201" s="409">
        <f t="shared" si="309"/>
        <v>0</v>
      </c>
      <c r="FF201" s="409">
        <f t="shared" si="309"/>
        <v>0</v>
      </c>
      <c r="FG201" s="409">
        <f t="shared" si="309"/>
        <v>0</v>
      </c>
      <c r="FH201" s="409">
        <f t="shared" si="309"/>
        <v>0</v>
      </c>
      <c r="FI201" s="409">
        <f t="shared" si="309"/>
        <v>0</v>
      </c>
      <c r="FJ201" s="409">
        <f t="shared" si="309"/>
        <v>0</v>
      </c>
      <c r="FK201" s="409">
        <f t="shared" si="309"/>
        <v>0</v>
      </c>
      <c r="FL201" s="409">
        <f t="shared" si="309"/>
        <v>0</v>
      </c>
      <c r="FM201" s="409">
        <f t="shared" si="310"/>
        <v>0</v>
      </c>
      <c r="FN201" s="409">
        <f t="shared" si="310"/>
        <v>0</v>
      </c>
      <c r="FO201" s="409">
        <f t="shared" si="310"/>
        <v>0</v>
      </c>
      <c r="FP201" s="409">
        <f t="shared" si="310"/>
        <v>0</v>
      </c>
      <c r="FQ201" s="409">
        <f t="shared" si="310"/>
        <v>0</v>
      </c>
      <c r="FR201" s="409">
        <f t="shared" si="310"/>
        <v>0</v>
      </c>
      <c r="FS201" s="409">
        <f t="shared" si="310"/>
        <v>0</v>
      </c>
      <c r="FT201" s="409">
        <f t="shared" si="310"/>
        <v>0</v>
      </c>
      <c r="FU201" s="409">
        <f t="shared" si="310"/>
        <v>0</v>
      </c>
      <c r="FV201" s="409">
        <f t="shared" si="310"/>
        <v>0</v>
      </c>
      <c r="FW201" s="409">
        <f t="shared" si="311"/>
        <v>0</v>
      </c>
      <c r="FX201" s="409">
        <f t="shared" si="311"/>
        <v>0</v>
      </c>
      <c r="FY201" s="409">
        <f t="shared" si="311"/>
        <v>0</v>
      </c>
      <c r="FZ201" s="409">
        <f t="shared" si="311"/>
        <v>0</v>
      </c>
      <c r="GA201" s="409">
        <f t="shared" si="311"/>
        <v>0</v>
      </c>
      <c r="GB201" s="409">
        <f t="shared" si="311"/>
        <v>0</v>
      </c>
      <c r="GC201" s="409">
        <f t="shared" si="311"/>
        <v>0</v>
      </c>
      <c r="GD201" s="409">
        <f t="shared" si="311"/>
        <v>0</v>
      </c>
      <c r="GE201" s="409">
        <f t="shared" si="311"/>
        <v>0</v>
      </c>
      <c r="GF201" s="409">
        <f t="shared" si="311"/>
        <v>0</v>
      </c>
      <c r="GG201" s="409">
        <f t="shared" si="312"/>
        <v>0</v>
      </c>
      <c r="GH201" s="409">
        <f t="shared" si="312"/>
        <v>0</v>
      </c>
      <c r="GI201" s="409">
        <f t="shared" si="312"/>
        <v>0</v>
      </c>
      <c r="GJ201" s="409">
        <f t="shared" si="312"/>
        <v>0</v>
      </c>
      <c r="GK201" s="409">
        <f t="shared" si="312"/>
        <v>0</v>
      </c>
      <c r="GL201" s="409">
        <f t="shared" si="312"/>
        <v>0</v>
      </c>
      <c r="GM201" s="409">
        <f t="shared" si="312"/>
        <v>0</v>
      </c>
      <c r="GN201" s="409">
        <f t="shared" si="312"/>
        <v>0</v>
      </c>
      <c r="GO201" s="409">
        <f t="shared" si="312"/>
        <v>0</v>
      </c>
      <c r="GP201" s="409">
        <f t="shared" si="312"/>
        <v>0</v>
      </c>
      <c r="GQ201" s="409">
        <f t="shared" si="313"/>
        <v>0</v>
      </c>
      <c r="GR201" s="409">
        <f t="shared" si="313"/>
        <v>0</v>
      </c>
      <c r="GS201" s="409">
        <f t="shared" si="313"/>
        <v>0</v>
      </c>
      <c r="GT201" s="409">
        <f t="shared" si="313"/>
        <v>0</v>
      </c>
      <c r="GU201" s="409">
        <f t="shared" si="313"/>
        <v>0</v>
      </c>
      <c r="GV201" s="409">
        <f t="shared" si="313"/>
        <v>0</v>
      </c>
      <c r="GW201" s="409">
        <f t="shared" si="313"/>
        <v>0</v>
      </c>
      <c r="GX201" s="409">
        <f t="shared" si="313"/>
        <v>0</v>
      </c>
      <c r="GY201" s="409">
        <f t="shared" si="313"/>
        <v>0</v>
      </c>
      <c r="GZ201" s="409">
        <f t="shared" si="313"/>
        <v>0</v>
      </c>
      <c r="HA201" s="409">
        <f t="shared" si="314"/>
        <v>0</v>
      </c>
      <c r="HB201" s="409">
        <f t="shared" si="314"/>
        <v>0</v>
      </c>
      <c r="HC201" s="409">
        <f t="shared" si="314"/>
        <v>0</v>
      </c>
      <c r="HD201" s="409">
        <f t="shared" si="314"/>
        <v>0</v>
      </c>
      <c r="HE201" s="409">
        <f t="shared" si="314"/>
        <v>0</v>
      </c>
      <c r="HF201" s="409">
        <f t="shared" si="314"/>
        <v>0</v>
      </c>
      <c r="HG201" s="409">
        <f t="shared" si="314"/>
        <v>0</v>
      </c>
      <c r="HH201" s="409">
        <f t="shared" si="314"/>
        <v>0</v>
      </c>
      <c r="HI201" s="409">
        <f t="shared" si="314"/>
        <v>0</v>
      </c>
      <c r="HJ201" s="409">
        <f t="shared" si="314"/>
        <v>0</v>
      </c>
      <c r="HK201" s="409">
        <f t="shared" si="315"/>
        <v>0</v>
      </c>
      <c r="HL201" s="409">
        <f t="shared" si="315"/>
        <v>0</v>
      </c>
      <c r="HM201" s="409">
        <f t="shared" si="315"/>
        <v>0</v>
      </c>
      <c r="HN201" s="409">
        <f t="shared" si="315"/>
        <v>0</v>
      </c>
      <c r="HO201" s="409">
        <f t="shared" si="315"/>
        <v>0</v>
      </c>
      <c r="HP201" s="409">
        <f t="shared" si="315"/>
        <v>0</v>
      </c>
      <c r="HQ201" s="409">
        <f t="shared" si="315"/>
        <v>0</v>
      </c>
      <c r="HR201" s="409">
        <f t="shared" si="315"/>
        <v>0</v>
      </c>
      <c r="HS201" s="409">
        <f t="shared" si="315"/>
        <v>0</v>
      </c>
      <c r="HT201" s="409">
        <f t="shared" si="315"/>
        <v>0</v>
      </c>
      <c r="HU201" s="409">
        <f t="shared" si="316"/>
        <v>0</v>
      </c>
      <c r="HV201" s="409">
        <f t="shared" si="316"/>
        <v>0</v>
      </c>
      <c r="HW201" s="409">
        <f t="shared" si="316"/>
        <v>0</v>
      </c>
      <c r="HX201" s="409">
        <f t="shared" si="316"/>
        <v>0</v>
      </c>
      <c r="HY201" s="409">
        <f t="shared" si="316"/>
        <v>0</v>
      </c>
      <c r="HZ201" s="409">
        <f t="shared" si="316"/>
        <v>0</v>
      </c>
      <c r="IA201" s="409">
        <f t="shared" si="316"/>
        <v>0</v>
      </c>
      <c r="IB201" s="409">
        <f t="shared" si="316"/>
        <v>0</v>
      </c>
      <c r="IC201" s="409">
        <f t="shared" si="316"/>
        <v>0</v>
      </c>
      <c r="ID201" s="409">
        <f t="shared" si="316"/>
        <v>0</v>
      </c>
      <c r="IE201" s="409">
        <f t="shared" si="317"/>
        <v>0</v>
      </c>
      <c r="IF201" s="409">
        <f t="shared" si="317"/>
        <v>0</v>
      </c>
      <c r="IG201" s="409">
        <f t="shared" si="317"/>
        <v>0</v>
      </c>
      <c r="IH201" s="409">
        <f t="shared" si="317"/>
        <v>0</v>
      </c>
      <c r="II201" s="409">
        <f t="shared" si="317"/>
        <v>0</v>
      </c>
      <c r="IJ201" s="409">
        <f t="shared" si="317"/>
        <v>0</v>
      </c>
      <c r="IK201" s="378"/>
    </row>
    <row r="202" spans="1:249" hidden="1" x14ac:dyDescent="0.2">
      <c r="A202" s="380" t="str">
        <f t="shared" si="242"/>
        <v>e</v>
      </c>
      <c r="B202" s="712" t="str">
        <f>IF(ISERROR(INDEX('Legend(DX)'!$H$11:$H$12,45)),"",INDEX('Legend(DX)'!$H$11:$H$12,45))</f>
        <v/>
      </c>
      <c r="C202" s="712" t="e">
        <f>IF(INDEX('Legend(DX)'!$T$11:$T$12,45)=0,"See Legend",INDEX('Legend(DX)'!$T$11:$T$12,45))</f>
        <v>#REF!</v>
      </c>
      <c r="D202" s="712" t="e">
        <f>IF(INDEX('Legend(DX)'!$R$11:$R$12,(ROW(C202))-137)=0,IF(AND(INDEX('Legend(DX)'!$D$11:$D$12,(ROW(C202))-136)="CH",INDEX('Legend(DX)'!$F$11:$F$12,(ROW(C202))-136)="CASE - MANUAL"),INDEX('Legend(DX)'!$R$11:$R$12,(ROW(C202))-136),IF(INDEX('Legend(DX)'!$V$11:$V$12,(ROW(C202))-137)&gt;1, "(" &amp; INDEX('Legend(DX)'!$V$11:$V$12,(ROW(C202))-137) &amp; ") " &amp; INDEX('Legend(DX)'!$W$11:$W$12,(ROW(C202))-136),INDEX('Legend(DX)'!$W$11:$W$12,(ROW(C202))-137))),INDEX('Legend(DX)'!$R$11:$R$12,(ROW(C202))-137))</f>
        <v>#REF!</v>
      </c>
      <c r="E202" s="713" t="str">
        <f>IF(ISERROR(INDEX('Legend(DX)'!$AA$11:$AA$12,45)),"",INDEX('Legend(DX)'!$AA$11:$AA$12,45))</f>
        <v/>
      </c>
      <c r="F202" s="715"/>
      <c r="G202" s="715"/>
      <c r="H202" s="715"/>
      <c r="I202" s="715"/>
      <c r="J202" s="715"/>
      <c r="K202" s="890">
        <f t="shared" si="223"/>
        <v>0</v>
      </c>
      <c r="L202" s="718"/>
      <c r="M202" s="723"/>
      <c r="N202" s="972">
        <f t="shared" si="291"/>
        <v>-1</v>
      </c>
      <c r="O202" s="972">
        <f t="shared" si="224"/>
        <v>-1</v>
      </c>
      <c r="P202" s="972">
        <f t="shared" si="292"/>
        <v>-1</v>
      </c>
      <c r="Q202" s="972">
        <f t="shared" si="225"/>
        <v>-1</v>
      </c>
      <c r="R202" s="972">
        <f t="shared" si="293"/>
        <v>-1</v>
      </c>
      <c r="S202" s="972">
        <f t="shared" si="226"/>
        <v>-1</v>
      </c>
      <c r="T202" s="972">
        <f t="shared" si="294"/>
        <v>-1</v>
      </c>
      <c r="U202" s="972">
        <f t="shared" si="227"/>
        <v>-1</v>
      </c>
      <c r="V202" s="972">
        <f t="shared" si="295"/>
        <v>-1</v>
      </c>
      <c r="W202" s="972">
        <f t="shared" si="228"/>
        <v>-1</v>
      </c>
      <c r="X202" s="972">
        <f t="shared" si="296"/>
        <v>-1</v>
      </c>
      <c r="Y202" s="972">
        <f t="shared" si="229"/>
        <v>-1</v>
      </c>
      <c r="Z202" s="972">
        <f t="shared" si="230"/>
        <v>-1</v>
      </c>
      <c r="AA202" s="972">
        <f t="shared" si="231"/>
        <v>-1</v>
      </c>
      <c r="AB202" s="972">
        <f t="shared" si="232"/>
        <v>-1</v>
      </c>
      <c r="AC202" s="972">
        <f t="shared" si="233"/>
        <v>-1</v>
      </c>
      <c r="AD202" s="972">
        <f t="shared" si="234"/>
        <v>-1</v>
      </c>
      <c r="AE202" s="972">
        <f t="shared" si="235"/>
        <v>-1</v>
      </c>
      <c r="AF202" s="972">
        <f t="shared" si="236"/>
        <v>-1</v>
      </c>
      <c r="AG202" s="972">
        <f t="shared" si="237"/>
        <v>-1</v>
      </c>
      <c r="AH202" s="972">
        <f t="shared" si="238"/>
        <v>-1</v>
      </c>
      <c r="AI202" s="972">
        <f t="shared" si="239"/>
        <v>-1</v>
      </c>
      <c r="AJ202" s="972">
        <f t="shared" si="240"/>
        <v>-1</v>
      </c>
      <c r="AK202" s="381"/>
      <c r="AL202" s="727" t="str">
        <f t="shared" si="241"/>
        <v/>
      </c>
      <c r="AM202" s="409">
        <f t="shared" si="297"/>
        <v>0</v>
      </c>
      <c r="AN202" s="409">
        <f t="shared" si="297"/>
        <v>0</v>
      </c>
      <c r="AO202" s="409">
        <f t="shared" si="297"/>
        <v>0</v>
      </c>
      <c r="AP202" s="409">
        <f t="shared" si="297"/>
        <v>0</v>
      </c>
      <c r="AQ202" s="409">
        <f t="shared" si="297"/>
        <v>0</v>
      </c>
      <c r="AR202" s="409">
        <f t="shared" si="297"/>
        <v>0</v>
      </c>
      <c r="AS202" s="409">
        <f t="shared" si="297"/>
        <v>0</v>
      </c>
      <c r="AT202" s="409">
        <f t="shared" si="297"/>
        <v>0</v>
      </c>
      <c r="AU202" s="409">
        <f t="shared" si="297"/>
        <v>0</v>
      </c>
      <c r="AV202" s="409">
        <f t="shared" si="297"/>
        <v>0</v>
      </c>
      <c r="AW202" s="409">
        <f t="shared" si="298"/>
        <v>0</v>
      </c>
      <c r="AX202" s="409">
        <f t="shared" si="298"/>
        <v>0</v>
      </c>
      <c r="AY202" s="409">
        <f t="shared" si="298"/>
        <v>0</v>
      </c>
      <c r="AZ202" s="409">
        <f t="shared" si="298"/>
        <v>0</v>
      </c>
      <c r="BA202" s="409">
        <f t="shared" si="298"/>
        <v>0</v>
      </c>
      <c r="BB202" s="409">
        <f t="shared" si="298"/>
        <v>0</v>
      </c>
      <c r="BC202" s="409">
        <f t="shared" si="298"/>
        <v>0</v>
      </c>
      <c r="BD202" s="409">
        <f t="shared" si="298"/>
        <v>0</v>
      </c>
      <c r="BE202" s="409">
        <f t="shared" si="298"/>
        <v>0</v>
      </c>
      <c r="BF202" s="409">
        <f t="shared" si="298"/>
        <v>0</v>
      </c>
      <c r="BG202" s="409">
        <f t="shared" si="299"/>
        <v>0</v>
      </c>
      <c r="BH202" s="409">
        <f t="shared" si="299"/>
        <v>0</v>
      </c>
      <c r="BI202" s="409">
        <f t="shared" si="299"/>
        <v>0</v>
      </c>
      <c r="BJ202" s="409">
        <f t="shared" si="299"/>
        <v>0</v>
      </c>
      <c r="BK202" s="409">
        <f t="shared" si="299"/>
        <v>0</v>
      </c>
      <c r="BL202" s="409">
        <f t="shared" si="299"/>
        <v>0</v>
      </c>
      <c r="BM202" s="409">
        <f t="shared" si="299"/>
        <v>0</v>
      </c>
      <c r="BN202" s="409">
        <f t="shared" si="299"/>
        <v>0</v>
      </c>
      <c r="BO202" s="409">
        <f t="shared" si="299"/>
        <v>0</v>
      </c>
      <c r="BP202" s="409">
        <f t="shared" si="299"/>
        <v>0</v>
      </c>
      <c r="BQ202" s="409">
        <f t="shared" si="300"/>
        <v>0</v>
      </c>
      <c r="BR202" s="409">
        <f t="shared" si="300"/>
        <v>0</v>
      </c>
      <c r="BS202" s="409">
        <f t="shared" si="300"/>
        <v>0</v>
      </c>
      <c r="BT202" s="409">
        <f t="shared" si="300"/>
        <v>0</v>
      </c>
      <c r="BU202" s="409">
        <f t="shared" si="300"/>
        <v>0</v>
      </c>
      <c r="BV202" s="409">
        <f t="shared" si="300"/>
        <v>0</v>
      </c>
      <c r="BW202" s="409">
        <f t="shared" si="300"/>
        <v>0</v>
      </c>
      <c r="BX202" s="409">
        <f t="shared" si="300"/>
        <v>0</v>
      </c>
      <c r="BY202" s="409">
        <f t="shared" si="300"/>
        <v>0</v>
      </c>
      <c r="BZ202" s="409">
        <f t="shared" si="300"/>
        <v>0</v>
      </c>
      <c r="CA202" s="409">
        <f t="shared" si="301"/>
        <v>0</v>
      </c>
      <c r="CB202" s="409">
        <f t="shared" si="301"/>
        <v>0</v>
      </c>
      <c r="CC202" s="409">
        <f t="shared" si="301"/>
        <v>0</v>
      </c>
      <c r="CD202" s="409">
        <f t="shared" si="301"/>
        <v>0</v>
      </c>
      <c r="CE202" s="409">
        <f t="shared" si="301"/>
        <v>0</v>
      </c>
      <c r="CF202" s="409">
        <f t="shared" si="301"/>
        <v>0</v>
      </c>
      <c r="CG202" s="409">
        <f t="shared" si="301"/>
        <v>0</v>
      </c>
      <c r="CH202" s="409">
        <f t="shared" si="301"/>
        <v>0</v>
      </c>
      <c r="CI202" s="409">
        <f t="shared" si="301"/>
        <v>0</v>
      </c>
      <c r="CJ202" s="409">
        <f t="shared" si="301"/>
        <v>0</v>
      </c>
      <c r="CK202" s="409">
        <f t="shared" si="302"/>
        <v>0</v>
      </c>
      <c r="CL202" s="409">
        <f t="shared" si="302"/>
        <v>0</v>
      </c>
      <c r="CM202" s="409">
        <f t="shared" si="302"/>
        <v>0</v>
      </c>
      <c r="CN202" s="409">
        <f t="shared" si="302"/>
        <v>0</v>
      </c>
      <c r="CO202" s="409">
        <f t="shared" si="302"/>
        <v>0</v>
      </c>
      <c r="CP202" s="409">
        <f t="shared" si="302"/>
        <v>0</v>
      </c>
      <c r="CQ202" s="409">
        <f t="shared" si="302"/>
        <v>0</v>
      </c>
      <c r="CR202" s="409">
        <f t="shared" si="302"/>
        <v>0</v>
      </c>
      <c r="CS202" s="409">
        <f t="shared" si="302"/>
        <v>0</v>
      </c>
      <c r="CT202" s="409">
        <f t="shared" si="302"/>
        <v>0</v>
      </c>
      <c r="CU202" s="409">
        <f t="shared" si="303"/>
        <v>0</v>
      </c>
      <c r="CV202" s="409">
        <f t="shared" si="303"/>
        <v>0</v>
      </c>
      <c r="CW202" s="409">
        <f t="shared" si="303"/>
        <v>0</v>
      </c>
      <c r="CX202" s="409">
        <f t="shared" si="303"/>
        <v>0</v>
      </c>
      <c r="CY202" s="409">
        <f t="shared" si="303"/>
        <v>0</v>
      </c>
      <c r="CZ202" s="409">
        <f t="shared" si="303"/>
        <v>0</v>
      </c>
      <c r="DA202" s="409">
        <f t="shared" si="303"/>
        <v>0</v>
      </c>
      <c r="DB202" s="409">
        <f t="shared" si="303"/>
        <v>0</v>
      </c>
      <c r="DC202" s="409">
        <f t="shared" si="303"/>
        <v>0</v>
      </c>
      <c r="DD202" s="409">
        <f t="shared" si="303"/>
        <v>0</v>
      </c>
      <c r="DE202" s="409">
        <f t="shared" si="304"/>
        <v>0</v>
      </c>
      <c r="DF202" s="409">
        <f t="shared" si="304"/>
        <v>0</v>
      </c>
      <c r="DG202" s="409">
        <f t="shared" si="304"/>
        <v>0</v>
      </c>
      <c r="DH202" s="409">
        <f t="shared" si="304"/>
        <v>0</v>
      </c>
      <c r="DI202" s="409">
        <f t="shared" si="304"/>
        <v>0</v>
      </c>
      <c r="DJ202" s="409">
        <f t="shared" si="304"/>
        <v>0</v>
      </c>
      <c r="DK202" s="409">
        <f t="shared" si="304"/>
        <v>0</v>
      </c>
      <c r="DL202" s="409">
        <f t="shared" si="304"/>
        <v>0</v>
      </c>
      <c r="DM202" s="409">
        <f t="shared" si="304"/>
        <v>0</v>
      </c>
      <c r="DN202" s="409">
        <f t="shared" si="304"/>
        <v>0</v>
      </c>
      <c r="DO202" s="409">
        <f t="shared" si="305"/>
        <v>0</v>
      </c>
      <c r="DP202" s="409">
        <f t="shared" si="305"/>
        <v>0</v>
      </c>
      <c r="DQ202" s="409">
        <f t="shared" si="305"/>
        <v>0</v>
      </c>
      <c r="DR202" s="409">
        <f t="shared" si="305"/>
        <v>0</v>
      </c>
      <c r="DS202" s="409">
        <f t="shared" si="305"/>
        <v>0</v>
      </c>
      <c r="DT202" s="409">
        <f t="shared" si="305"/>
        <v>0</v>
      </c>
      <c r="DU202" s="409">
        <f t="shared" si="305"/>
        <v>0</v>
      </c>
      <c r="DV202" s="409">
        <f t="shared" si="305"/>
        <v>0</v>
      </c>
      <c r="DW202" s="409">
        <f t="shared" si="305"/>
        <v>0</v>
      </c>
      <c r="DX202" s="409">
        <f t="shared" si="305"/>
        <v>0</v>
      </c>
      <c r="DY202" s="409">
        <f t="shared" si="306"/>
        <v>0</v>
      </c>
      <c r="DZ202" s="409">
        <f t="shared" si="306"/>
        <v>0</v>
      </c>
      <c r="EA202" s="409">
        <f t="shared" si="306"/>
        <v>0</v>
      </c>
      <c r="EB202" s="409">
        <f t="shared" si="306"/>
        <v>0</v>
      </c>
      <c r="EC202" s="409">
        <f t="shared" si="306"/>
        <v>0</v>
      </c>
      <c r="ED202" s="409">
        <f t="shared" si="306"/>
        <v>0</v>
      </c>
      <c r="EE202" s="409">
        <f t="shared" si="306"/>
        <v>0</v>
      </c>
      <c r="EF202" s="409">
        <f t="shared" si="306"/>
        <v>0</v>
      </c>
      <c r="EG202" s="409">
        <f t="shared" si="306"/>
        <v>0</v>
      </c>
      <c r="EH202" s="409">
        <f t="shared" si="306"/>
        <v>0</v>
      </c>
      <c r="EI202" s="409">
        <f t="shared" si="307"/>
        <v>0</v>
      </c>
      <c r="EJ202" s="409">
        <f t="shared" si="307"/>
        <v>0</v>
      </c>
      <c r="EK202" s="409">
        <f t="shared" si="307"/>
        <v>0</v>
      </c>
      <c r="EL202" s="409">
        <f t="shared" si="307"/>
        <v>0</v>
      </c>
      <c r="EM202" s="409">
        <f t="shared" si="307"/>
        <v>0</v>
      </c>
      <c r="EN202" s="409">
        <f t="shared" si="307"/>
        <v>0</v>
      </c>
      <c r="EO202" s="409">
        <f t="shared" si="307"/>
        <v>0</v>
      </c>
      <c r="EP202" s="409">
        <f t="shared" si="307"/>
        <v>0</v>
      </c>
      <c r="EQ202" s="409">
        <f t="shared" si="307"/>
        <v>0</v>
      </c>
      <c r="ER202" s="409">
        <f t="shared" si="307"/>
        <v>0</v>
      </c>
      <c r="ES202" s="409">
        <f t="shared" si="308"/>
        <v>0</v>
      </c>
      <c r="ET202" s="409">
        <f t="shared" si="308"/>
        <v>0</v>
      </c>
      <c r="EU202" s="409">
        <f t="shared" si="308"/>
        <v>0</v>
      </c>
      <c r="EV202" s="409">
        <f t="shared" si="308"/>
        <v>0</v>
      </c>
      <c r="EW202" s="409">
        <f t="shared" si="308"/>
        <v>0</v>
      </c>
      <c r="EX202" s="409">
        <f t="shared" si="308"/>
        <v>0</v>
      </c>
      <c r="EY202" s="409">
        <f t="shared" si="308"/>
        <v>0</v>
      </c>
      <c r="EZ202" s="409">
        <f t="shared" si="308"/>
        <v>0</v>
      </c>
      <c r="FA202" s="409">
        <f t="shared" si="308"/>
        <v>0</v>
      </c>
      <c r="FB202" s="409">
        <f t="shared" si="308"/>
        <v>0</v>
      </c>
      <c r="FC202" s="409">
        <f t="shared" si="309"/>
        <v>0</v>
      </c>
      <c r="FD202" s="409">
        <f t="shared" si="309"/>
        <v>0</v>
      </c>
      <c r="FE202" s="409">
        <f t="shared" si="309"/>
        <v>0</v>
      </c>
      <c r="FF202" s="409">
        <f t="shared" si="309"/>
        <v>0</v>
      </c>
      <c r="FG202" s="409">
        <f t="shared" si="309"/>
        <v>0</v>
      </c>
      <c r="FH202" s="409">
        <f t="shared" si="309"/>
        <v>0</v>
      </c>
      <c r="FI202" s="409">
        <f t="shared" si="309"/>
        <v>0</v>
      </c>
      <c r="FJ202" s="409">
        <f t="shared" si="309"/>
        <v>0</v>
      </c>
      <c r="FK202" s="409">
        <f t="shared" si="309"/>
        <v>0</v>
      </c>
      <c r="FL202" s="409">
        <f t="shared" si="309"/>
        <v>0</v>
      </c>
      <c r="FM202" s="409">
        <f t="shared" si="310"/>
        <v>0</v>
      </c>
      <c r="FN202" s="409">
        <f t="shared" si="310"/>
        <v>0</v>
      </c>
      <c r="FO202" s="409">
        <f t="shared" si="310"/>
        <v>0</v>
      </c>
      <c r="FP202" s="409">
        <f t="shared" si="310"/>
        <v>0</v>
      </c>
      <c r="FQ202" s="409">
        <f t="shared" si="310"/>
        <v>0</v>
      </c>
      <c r="FR202" s="409">
        <f t="shared" si="310"/>
        <v>0</v>
      </c>
      <c r="FS202" s="409">
        <f t="shared" si="310"/>
        <v>0</v>
      </c>
      <c r="FT202" s="409">
        <f t="shared" si="310"/>
        <v>0</v>
      </c>
      <c r="FU202" s="409">
        <f t="shared" si="310"/>
        <v>0</v>
      </c>
      <c r="FV202" s="409">
        <f t="shared" si="310"/>
        <v>0</v>
      </c>
      <c r="FW202" s="409">
        <f t="shared" si="311"/>
        <v>0</v>
      </c>
      <c r="FX202" s="409">
        <f t="shared" si="311"/>
        <v>0</v>
      </c>
      <c r="FY202" s="409">
        <f t="shared" si="311"/>
        <v>0</v>
      </c>
      <c r="FZ202" s="409">
        <f t="shared" si="311"/>
        <v>0</v>
      </c>
      <c r="GA202" s="409">
        <f t="shared" si="311"/>
        <v>0</v>
      </c>
      <c r="GB202" s="409">
        <f t="shared" si="311"/>
        <v>0</v>
      </c>
      <c r="GC202" s="409">
        <f t="shared" si="311"/>
        <v>0</v>
      </c>
      <c r="GD202" s="409">
        <f t="shared" si="311"/>
        <v>0</v>
      </c>
      <c r="GE202" s="409">
        <f t="shared" si="311"/>
        <v>0</v>
      </c>
      <c r="GF202" s="409">
        <f t="shared" si="311"/>
        <v>0</v>
      </c>
      <c r="GG202" s="409">
        <f t="shared" si="312"/>
        <v>0</v>
      </c>
      <c r="GH202" s="409">
        <f t="shared" si="312"/>
        <v>0</v>
      </c>
      <c r="GI202" s="409">
        <f t="shared" si="312"/>
        <v>0</v>
      </c>
      <c r="GJ202" s="409">
        <f t="shared" si="312"/>
        <v>0</v>
      </c>
      <c r="GK202" s="409">
        <f t="shared" si="312"/>
        <v>0</v>
      </c>
      <c r="GL202" s="409">
        <f t="shared" si="312"/>
        <v>0</v>
      </c>
      <c r="GM202" s="409">
        <f t="shared" si="312"/>
        <v>0</v>
      </c>
      <c r="GN202" s="409">
        <f t="shared" si="312"/>
        <v>0</v>
      </c>
      <c r="GO202" s="409">
        <f t="shared" si="312"/>
        <v>0</v>
      </c>
      <c r="GP202" s="409">
        <f t="shared" si="312"/>
        <v>0</v>
      </c>
      <c r="GQ202" s="409">
        <f t="shared" si="313"/>
        <v>0</v>
      </c>
      <c r="GR202" s="409">
        <f t="shared" si="313"/>
        <v>0</v>
      </c>
      <c r="GS202" s="409">
        <f t="shared" si="313"/>
        <v>0</v>
      </c>
      <c r="GT202" s="409">
        <f t="shared" si="313"/>
        <v>0</v>
      </c>
      <c r="GU202" s="409">
        <f t="shared" si="313"/>
        <v>0</v>
      </c>
      <c r="GV202" s="409">
        <f t="shared" si="313"/>
        <v>0</v>
      </c>
      <c r="GW202" s="409">
        <f t="shared" si="313"/>
        <v>0</v>
      </c>
      <c r="GX202" s="409">
        <f t="shared" si="313"/>
        <v>0</v>
      </c>
      <c r="GY202" s="409">
        <f t="shared" si="313"/>
        <v>0</v>
      </c>
      <c r="GZ202" s="409">
        <f t="shared" si="313"/>
        <v>0</v>
      </c>
      <c r="HA202" s="409">
        <f t="shared" si="314"/>
        <v>0</v>
      </c>
      <c r="HB202" s="409">
        <f t="shared" si="314"/>
        <v>0</v>
      </c>
      <c r="HC202" s="409">
        <f t="shared" si="314"/>
        <v>0</v>
      </c>
      <c r="HD202" s="409">
        <f t="shared" si="314"/>
        <v>0</v>
      </c>
      <c r="HE202" s="409">
        <f t="shared" si="314"/>
        <v>0</v>
      </c>
      <c r="HF202" s="409">
        <f t="shared" si="314"/>
        <v>0</v>
      </c>
      <c r="HG202" s="409">
        <f t="shared" si="314"/>
        <v>0</v>
      </c>
      <c r="HH202" s="409">
        <f t="shared" si="314"/>
        <v>0</v>
      </c>
      <c r="HI202" s="409">
        <f t="shared" si="314"/>
        <v>0</v>
      </c>
      <c r="HJ202" s="409">
        <f t="shared" si="314"/>
        <v>0</v>
      </c>
      <c r="HK202" s="409">
        <f t="shared" si="315"/>
        <v>0</v>
      </c>
      <c r="HL202" s="409">
        <f t="shared" si="315"/>
        <v>0</v>
      </c>
      <c r="HM202" s="409">
        <f t="shared" si="315"/>
        <v>0</v>
      </c>
      <c r="HN202" s="409">
        <f t="shared" si="315"/>
        <v>0</v>
      </c>
      <c r="HO202" s="409">
        <f t="shared" si="315"/>
        <v>0</v>
      </c>
      <c r="HP202" s="409">
        <f t="shared" si="315"/>
        <v>0</v>
      </c>
      <c r="HQ202" s="409">
        <f t="shared" si="315"/>
        <v>0</v>
      </c>
      <c r="HR202" s="409">
        <f t="shared" si="315"/>
        <v>0</v>
      </c>
      <c r="HS202" s="409">
        <f t="shared" si="315"/>
        <v>0</v>
      </c>
      <c r="HT202" s="409">
        <f t="shared" si="315"/>
        <v>0</v>
      </c>
      <c r="HU202" s="409">
        <f t="shared" si="316"/>
        <v>0</v>
      </c>
      <c r="HV202" s="409">
        <f t="shared" si="316"/>
        <v>0</v>
      </c>
      <c r="HW202" s="409">
        <f t="shared" si="316"/>
        <v>0</v>
      </c>
      <c r="HX202" s="409">
        <f t="shared" si="316"/>
        <v>0</v>
      </c>
      <c r="HY202" s="409">
        <f t="shared" si="316"/>
        <v>0</v>
      </c>
      <c r="HZ202" s="409">
        <f t="shared" si="316"/>
        <v>0</v>
      </c>
      <c r="IA202" s="409">
        <f t="shared" si="316"/>
        <v>0</v>
      </c>
      <c r="IB202" s="409">
        <f t="shared" si="316"/>
        <v>0</v>
      </c>
      <c r="IC202" s="409">
        <f t="shared" si="316"/>
        <v>0</v>
      </c>
      <c r="ID202" s="409">
        <f t="shared" si="316"/>
        <v>0</v>
      </c>
      <c r="IE202" s="409">
        <f t="shared" si="317"/>
        <v>0</v>
      </c>
      <c r="IF202" s="409">
        <f t="shared" si="317"/>
        <v>0</v>
      </c>
      <c r="IG202" s="409">
        <f t="shared" si="317"/>
        <v>0</v>
      </c>
      <c r="IH202" s="409">
        <f t="shared" si="317"/>
        <v>0</v>
      </c>
      <c r="II202" s="409">
        <f t="shared" si="317"/>
        <v>0</v>
      </c>
      <c r="IJ202" s="409">
        <f t="shared" si="317"/>
        <v>0</v>
      </c>
      <c r="IK202" s="378"/>
    </row>
    <row r="203" spans="1:249" hidden="1" x14ac:dyDescent="0.2">
      <c r="A203" s="380" t="str">
        <f t="shared" si="242"/>
        <v>e</v>
      </c>
      <c r="B203" s="712" t="str">
        <f>IF(ISERROR(INDEX('Legend(DX)'!$H$11:$H$12,46)),"",INDEX('Legend(DX)'!$H$11:$H$12,46))</f>
        <v/>
      </c>
      <c r="C203" s="712" t="e">
        <f>IF(INDEX('Legend(DX)'!$T$11:$T$12,46)=0,"See Legend",INDEX('Legend(DX)'!$T$11:$T$12,46))</f>
        <v>#REF!</v>
      </c>
      <c r="D203" s="712" t="e">
        <f>IF(INDEX('Legend(DX)'!$R$11:$R$12,(ROW(C203))-137)=0,IF(AND(INDEX('Legend(DX)'!$D$11:$D$12,(ROW(C203))-136)="CH",INDEX('Legend(DX)'!$F$11:$F$12,(ROW(C203))-136)="CASE - MANUAL"),INDEX('Legend(DX)'!$R$11:$R$12,(ROW(C203))-136),IF(INDEX('Legend(DX)'!$V$11:$V$12,(ROW(C203))-137)&gt;1, "(" &amp; INDEX('Legend(DX)'!$V$11:$V$12,(ROW(C203))-137) &amp; ") " &amp; INDEX('Legend(DX)'!$W$11:$W$12,(ROW(C203))-136),INDEX('Legend(DX)'!$W$11:$W$12,(ROW(C203))-137))),INDEX('Legend(DX)'!$R$11:$R$12,(ROW(C203))-137))</f>
        <v>#REF!</v>
      </c>
      <c r="E203" s="713" t="str">
        <f>IF(ISERROR(INDEX('Legend(DX)'!$AA$11:$AA$12,46)),"",INDEX('Legend(DX)'!$AA$11:$AA$12,46))</f>
        <v/>
      </c>
      <c r="F203" s="715"/>
      <c r="G203" s="715"/>
      <c r="H203" s="715"/>
      <c r="I203" s="715"/>
      <c r="J203" s="715"/>
      <c r="K203" s="890">
        <f t="shared" si="223"/>
        <v>0</v>
      </c>
      <c r="L203" s="718"/>
      <c r="M203" s="723"/>
      <c r="N203" s="972">
        <f t="shared" si="291"/>
        <v>-1</v>
      </c>
      <c r="O203" s="972">
        <f t="shared" si="224"/>
        <v>-1</v>
      </c>
      <c r="P203" s="972">
        <f t="shared" si="292"/>
        <v>-1</v>
      </c>
      <c r="Q203" s="972">
        <f t="shared" si="225"/>
        <v>-1</v>
      </c>
      <c r="R203" s="972">
        <f t="shared" si="293"/>
        <v>-1</v>
      </c>
      <c r="S203" s="972">
        <f t="shared" si="226"/>
        <v>-1</v>
      </c>
      <c r="T203" s="972">
        <f t="shared" si="294"/>
        <v>-1</v>
      </c>
      <c r="U203" s="972">
        <f t="shared" si="227"/>
        <v>-1</v>
      </c>
      <c r="V203" s="972">
        <f t="shared" si="295"/>
        <v>-1</v>
      </c>
      <c r="W203" s="972">
        <f t="shared" si="228"/>
        <v>-1</v>
      </c>
      <c r="X203" s="972">
        <f t="shared" si="296"/>
        <v>-1</v>
      </c>
      <c r="Y203" s="972">
        <f t="shared" si="229"/>
        <v>-1</v>
      </c>
      <c r="Z203" s="972">
        <f t="shared" si="230"/>
        <v>-1</v>
      </c>
      <c r="AA203" s="972">
        <f t="shared" si="231"/>
        <v>-1</v>
      </c>
      <c r="AB203" s="972">
        <f t="shared" si="232"/>
        <v>-1</v>
      </c>
      <c r="AC203" s="972">
        <f t="shared" si="233"/>
        <v>-1</v>
      </c>
      <c r="AD203" s="972">
        <f t="shared" si="234"/>
        <v>-1</v>
      </c>
      <c r="AE203" s="972">
        <f t="shared" si="235"/>
        <v>-1</v>
      </c>
      <c r="AF203" s="972">
        <f t="shared" si="236"/>
        <v>-1</v>
      </c>
      <c r="AG203" s="972">
        <f t="shared" si="237"/>
        <v>-1</v>
      </c>
      <c r="AH203" s="972">
        <f t="shared" si="238"/>
        <v>-1</v>
      </c>
      <c r="AI203" s="972">
        <f t="shared" si="239"/>
        <v>-1</v>
      </c>
      <c r="AJ203" s="972">
        <f t="shared" si="240"/>
        <v>-1</v>
      </c>
      <c r="AK203" s="381"/>
      <c r="AL203" s="727" t="str">
        <f t="shared" si="241"/>
        <v/>
      </c>
      <c r="AM203" s="409">
        <f t="shared" si="297"/>
        <v>0</v>
      </c>
      <c r="AN203" s="409">
        <f t="shared" si="297"/>
        <v>0</v>
      </c>
      <c r="AO203" s="409">
        <f t="shared" si="297"/>
        <v>0</v>
      </c>
      <c r="AP203" s="409">
        <f t="shared" si="297"/>
        <v>0</v>
      </c>
      <c r="AQ203" s="409">
        <f t="shared" si="297"/>
        <v>0</v>
      </c>
      <c r="AR203" s="409">
        <f t="shared" si="297"/>
        <v>0</v>
      </c>
      <c r="AS203" s="409">
        <f t="shared" si="297"/>
        <v>0</v>
      </c>
      <c r="AT203" s="409">
        <f t="shared" si="297"/>
        <v>0</v>
      </c>
      <c r="AU203" s="409">
        <f t="shared" si="297"/>
        <v>0</v>
      </c>
      <c r="AV203" s="409">
        <f t="shared" si="297"/>
        <v>0</v>
      </c>
      <c r="AW203" s="409">
        <f t="shared" si="298"/>
        <v>0</v>
      </c>
      <c r="AX203" s="409">
        <f t="shared" si="298"/>
        <v>0</v>
      </c>
      <c r="AY203" s="409">
        <f t="shared" si="298"/>
        <v>0</v>
      </c>
      <c r="AZ203" s="409">
        <f t="shared" si="298"/>
        <v>0</v>
      </c>
      <c r="BA203" s="409">
        <f t="shared" si="298"/>
        <v>0</v>
      </c>
      <c r="BB203" s="409">
        <f t="shared" si="298"/>
        <v>0</v>
      </c>
      <c r="BC203" s="409">
        <f t="shared" si="298"/>
        <v>0</v>
      </c>
      <c r="BD203" s="409">
        <f t="shared" si="298"/>
        <v>0</v>
      </c>
      <c r="BE203" s="409">
        <f t="shared" si="298"/>
        <v>0</v>
      </c>
      <c r="BF203" s="409">
        <f t="shared" si="298"/>
        <v>0</v>
      </c>
      <c r="BG203" s="409">
        <f t="shared" si="299"/>
        <v>0</v>
      </c>
      <c r="BH203" s="409">
        <f t="shared" si="299"/>
        <v>0</v>
      </c>
      <c r="BI203" s="409">
        <f t="shared" si="299"/>
        <v>0</v>
      </c>
      <c r="BJ203" s="409">
        <f t="shared" si="299"/>
        <v>0</v>
      </c>
      <c r="BK203" s="409">
        <f t="shared" si="299"/>
        <v>0</v>
      </c>
      <c r="BL203" s="409">
        <f t="shared" si="299"/>
        <v>0</v>
      </c>
      <c r="BM203" s="409">
        <f t="shared" si="299"/>
        <v>0</v>
      </c>
      <c r="BN203" s="409">
        <f t="shared" si="299"/>
        <v>0</v>
      </c>
      <c r="BO203" s="409">
        <f t="shared" si="299"/>
        <v>0</v>
      </c>
      <c r="BP203" s="409">
        <f t="shared" si="299"/>
        <v>0</v>
      </c>
      <c r="BQ203" s="409">
        <f t="shared" si="300"/>
        <v>0</v>
      </c>
      <c r="BR203" s="409">
        <f t="shared" si="300"/>
        <v>0</v>
      </c>
      <c r="BS203" s="409">
        <f t="shared" si="300"/>
        <v>0</v>
      </c>
      <c r="BT203" s="409">
        <f t="shared" si="300"/>
        <v>0</v>
      </c>
      <c r="BU203" s="409">
        <f t="shared" si="300"/>
        <v>0</v>
      </c>
      <c r="BV203" s="409">
        <f t="shared" si="300"/>
        <v>0</v>
      </c>
      <c r="BW203" s="409">
        <f t="shared" si="300"/>
        <v>0</v>
      </c>
      <c r="BX203" s="409">
        <f t="shared" si="300"/>
        <v>0</v>
      </c>
      <c r="BY203" s="409">
        <f t="shared" si="300"/>
        <v>0</v>
      </c>
      <c r="BZ203" s="409">
        <f t="shared" si="300"/>
        <v>0</v>
      </c>
      <c r="CA203" s="409">
        <f t="shared" si="301"/>
        <v>0</v>
      </c>
      <c r="CB203" s="409">
        <f t="shared" si="301"/>
        <v>0</v>
      </c>
      <c r="CC203" s="409">
        <f t="shared" si="301"/>
        <v>0</v>
      </c>
      <c r="CD203" s="409">
        <f t="shared" si="301"/>
        <v>0</v>
      </c>
      <c r="CE203" s="409">
        <f t="shared" si="301"/>
        <v>0</v>
      </c>
      <c r="CF203" s="409">
        <f t="shared" si="301"/>
        <v>0</v>
      </c>
      <c r="CG203" s="409">
        <f t="shared" si="301"/>
        <v>0</v>
      </c>
      <c r="CH203" s="409">
        <f t="shared" si="301"/>
        <v>0</v>
      </c>
      <c r="CI203" s="409">
        <f t="shared" si="301"/>
        <v>0</v>
      </c>
      <c r="CJ203" s="409">
        <f t="shared" si="301"/>
        <v>0</v>
      </c>
      <c r="CK203" s="409">
        <f t="shared" si="302"/>
        <v>0</v>
      </c>
      <c r="CL203" s="409">
        <f t="shared" si="302"/>
        <v>0</v>
      </c>
      <c r="CM203" s="409">
        <f t="shared" si="302"/>
        <v>0</v>
      </c>
      <c r="CN203" s="409">
        <f t="shared" si="302"/>
        <v>0</v>
      </c>
      <c r="CO203" s="409">
        <f t="shared" si="302"/>
        <v>0</v>
      </c>
      <c r="CP203" s="409">
        <f t="shared" si="302"/>
        <v>0</v>
      </c>
      <c r="CQ203" s="409">
        <f t="shared" si="302"/>
        <v>0</v>
      </c>
      <c r="CR203" s="409">
        <f t="shared" si="302"/>
        <v>0</v>
      </c>
      <c r="CS203" s="409">
        <f t="shared" si="302"/>
        <v>0</v>
      </c>
      <c r="CT203" s="409">
        <f t="shared" si="302"/>
        <v>0</v>
      </c>
      <c r="CU203" s="409">
        <f t="shared" si="303"/>
        <v>0</v>
      </c>
      <c r="CV203" s="409">
        <f t="shared" si="303"/>
        <v>0</v>
      </c>
      <c r="CW203" s="409">
        <f t="shared" si="303"/>
        <v>0</v>
      </c>
      <c r="CX203" s="409">
        <f t="shared" si="303"/>
        <v>0</v>
      </c>
      <c r="CY203" s="409">
        <f t="shared" si="303"/>
        <v>0</v>
      </c>
      <c r="CZ203" s="409">
        <f t="shared" si="303"/>
        <v>0</v>
      </c>
      <c r="DA203" s="409">
        <f t="shared" si="303"/>
        <v>0</v>
      </c>
      <c r="DB203" s="409">
        <f t="shared" si="303"/>
        <v>0</v>
      </c>
      <c r="DC203" s="409">
        <f t="shared" si="303"/>
        <v>0</v>
      </c>
      <c r="DD203" s="409">
        <f t="shared" si="303"/>
        <v>0</v>
      </c>
      <c r="DE203" s="409">
        <f t="shared" si="304"/>
        <v>0</v>
      </c>
      <c r="DF203" s="409">
        <f t="shared" si="304"/>
        <v>0</v>
      </c>
      <c r="DG203" s="409">
        <f t="shared" si="304"/>
        <v>0</v>
      </c>
      <c r="DH203" s="409">
        <f t="shared" si="304"/>
        <v>0</v>
      </c>
      <c r="DI203" s="409">
        <f t="shared" si="304"/>
        <v>0</v>
      </c>
      <c r="DJ203" s="409">
        <f t="shared" si="304"/>
        <v>0</v>
      </c>
      <c r="DK203" s="409">
        <f t="shared" si="304"/>
        <v>0</v>
      </c>
      <c r="DL203" s="409">
        <f t="shared" si="304"/>
        <v>0</v>
      </c>
      <c r="DM203" s="409">
        <f t="shared" si="304"/>
        <v>0</v>
      </c>
      <c r="DN203" s="409">
        <f t="shared" si="304"/>
        <v>0</v>
      </c>
      <c r="DO203" s="409">
        <f t="shared" si="305"/>
        <v>0</v>
      </c>
      <c r="DP203" s="409">
        <f t="shared" si="305"/>
        <v>0</v>
      </c>
      <c r="DQ203" s="409">
        <f t="shared" si="305"/>
        <v>0</v>
      </c>
      <c r="DR203" s="409">
        <f t="shared" si="305"/>
        <v>0</v>
      </c>
      <c r="DS203" s="409">
        <f t="shared" si="305"/>
        <v>0</v>
      </c>
      <c r="DT203" s="409">
        <f t="shared" si="305"/>
        <v>0</v>
      </c>
      <c r="DU203" s="409">
        <f t="shared" si="305"/>
        <v>0</v>
      </c>
      <c r="DV203" s="409">
        <f t="shared" si="305"/>
        <v>0</v>
      </c>
      <c r="DW203" s="409">
        <f t="shared" si="305"/>
        <v>0</v>
      </c>
      <c r="DX203" s="409">
        <f t="shared" si="305"/>
        <v>0</v>
      </c>
      <c r="DY203" s="409">
        <f t="shared" si="306"/>
        <v>0</v>
      </c>
      <c r="DZ203" s="409">
        <f t="shared" si="306"/>
        <v>0</v>
      </c>
      <c r="EA203" s="409">
        <f t="shared" si="306"/>
        <v>0</v>
      </c>
      <c r="EB203" s="409">
        <f t="shared" si="306"/>
        <v>0</v>
      </c>
      <c r="EC203" s="409">
        <f t="shared" si="306"/>
        <v>0</v>
      </c>
      <c r="ED203" s="409">
        <f t="shared" si="306"/>
        <v>0</v>
      </c>
      <c r="EE203" s="409">
        <f t="shared" si="306"/>
        <v>0</v>
      </c>
      <c r="EF203" s="409">
        <f t="shared" si="306"/>
        <v>0</v>
      </c>
      <c r="EG203" s="409">
        <f t="shared" si="306"/>
        <v>0</v>
      </c>
      <c r="EH203" s="409">
        <f t="shared" si="306"/>
        <v>0</v>
      </c>
      <c r="EI203" s="409">
        <f t="shared" si="307"/>
        <v>0</v>
      </c>
      <c r="EJ203" s="409">
        <f t="shared" si="307"/>
        <v>0</v>
      </c>
      <c r="EK203" s="409">
        <f t="shared" si="307"/>
        <v>0</v>
      </c>
      <c r="EL203" s="409">
        <f t="shared" si="307"/>
        <v>0</v>
      </c>
      <c r="EM203" s="409">
        <f t="shared" si="307"/>
        <v>0</v>
      </c>
      <c r="EN203" s="409">
        <f t="shared" si="307"/>
        <v>0</v>
      </c>
      <c r="EO203" s="409">
        <f t="shared" si="307"/>
        <v>0</v>
      </c>
      <c r="EP203" s="409">
        <f t="shared" si="307"/>
        <v>0</v>
      </c>
      <c r="EQ203" s="409">
        <f t="shared" si="307"/>
        <v>0</v>
      </c>
      <c r="ER203" s="409">
        <f t="shared" si="307"/>
        <v>0</v>
      </c>
      <c r="ES203" s="409">
        <f t="shared" si="308"/>
        <v>0</v>
      </c>
      <c r="ET203" s="409">
        <f t="shared" si="308"/>
        <v>0</v>
      </c>
      <c r="EU203" s="409">
        <f t="shared" si="308"/>
        <v>0</v>
      </c>
      <c r="EV203" s="409">
        <f t="shared" si="308"/>
        <v>0</v>
      </c>
      <c r="EW203" s="409">
        <f t="shared" si="308"/>
        <v>0</v>
      </c>
      <c r="EX203" s="409">
        <f t="shared" si="308"/>
        <v>0</v>
      </c>
      <c r="EY203" s="409">
        <f t="shared" si="308"/>
        <v>0</v>
      </c>
      <c r="EZ203" s="409">
        <f t="shared" si="308"/>
        <v>0</v>
      </c>
      <c r="FA203" s="409">
        <f t="shared" si="308"/>
        <v>0</v>
      </c>
      <c r="FB203" s="409">
        <f t="shared" si="308"/>
        <v>0</v>
      </c>
      <c r="FC203" s="409">
        <f t="shared" si="309"/>
        <v>0</v>
      </c>
      <c r="FD203" s="409">
        <f t="shared" si="309"/>
        <v>0</v>
      </c>
      <c r="FE203" s="409">
        <f t="shared" si="309"/>
        <v>0</v>
      </c>
      <c r="FF203" s="409">
        <f t="shared" si="309"/>
        <v>0</v>
      </c>
      <c r="FG203" s="409">
        <f t="shared" si="309"/>
        <v>0</v>
      </c>
      <c r="FH203" s="409">
        <f t="shared" si="309"/>
        <v>0</v>
      </c>
      <c r="FI203" s="409">
        <f t="shared" si="309"/>
        <v>0</v>
      </c>
      <c r="FJ203" s="409">
        <f t="shared" si="309"/>
        <v>0</v>
      </c>
      <c r="FK203" s="409">
        <f t="shared" si="309"/>
        <v>0</v>
      </c>
      <c r="FL203" s="409">
        <f t="shared" si="309"/>
        <v>0</v>
      </c>
      <c r="FM203" s="409">
        <f t="shared" si="310"/>
        <v>0</v>
      </c>
      <c r="FN203" s="409">
        <f t="shared" si="310"/>
        <v>0</v>
      </c>
      <c r="FO203" s="409">
        <f t="shared" si="310"/>
        <v>0</v>
      </c>
      <c r="FP203" s="409">
        <f t="shared" si="310"/>
        <v>0</v>
      </c>
      <c r="FQ203" s="409">
        <f t="shared" si="310"/>
        <v>0</v>
      </c>
      <c r="FR203" s="409">
        <f t="shared" si="310"/>
        <v>0</v>
      </c>
      <c r="FS203" s="409">
        <f t="shared" si="310"/>
        <v>0</v>
      </c>
      <c r="FT203" s="409">
        <f t="shared" si="310"/>
        <v>0</v>
      </c>
      <c r="FU203" s="409">
        <f t="shared" si="310"/>
        <v>0</v>
      </c>
      <c r="FV203" s="409">
        <f t="shared" si="310"/>
        <v>0</v>
      </c>
      <c r="FW203" s="409">
        <f t="shared" si="311"/>
        <v>0</v>
      </c>
      <c r="FX203" s="409">
        <f t="shared" si="311"/>
        <v>0</v>
      </c>
      <c r="FY203" s="409">
        <f t="shared" si="311"/>
        <v>0</v>
      </c>
      <c r="FZ203" s="409">
        <f t="shared" si="311"/>
        <v>0</v>
      </c>
      <c r="GA203" s="409">
        <f t="shared" si="311"/>
        <v>0</v>
      </c>
      <c r="GB203" s="409">
        <f t="shared" si="311"/>
        <v>0</v>
      </c>
      <c r="GC203" s="409">
        <f t="shared" si="311"/>
        <v>0</v>
      </c>
      <c r="GD203" s="409">
        <f t="shared" si="311"/>
        <v>0</v>
      </c>
      <c r="GE203" s="409">
        <f t="shared" si="311"/>
        <v>0</v>
      </c>
      <c r="GF203" s="409">
        <f t="shared" si="311"/>
        <v>0</v>
      </c>
      <c r="GG203" s="409">
        <f t="shared" si="312"/>
        <v>0</v>
      </c>
      <c r="GH203" s="409">
        <f t="shared" si="312"/>
        <v>0</v>
      </c>
      <c r="GI203" s="409">
        <f t="shared" si="312"/>
        <v>0</v>
      </c>
      <c r="GJ203" s="409">
        <f t="shared" si="312"/>
        <v>0</v>
      </c>
      <c r="GK203" s="409">
        <f t="shared" si="312"/>
        <v>0</v>
      </c>
      <c r="GL203" s="409">
        <f t="shared" si="312"/>
        <v>0</v>
      </c>
      <c r="GM203" s="409">
        <f t="shared" si="312"/>
        <v>0</v>
      </c>
      <c r="GN203" s="409">
        <f t="shared" si="312"/>
        <v>0</v>
      </c>
      <c r="GO203" s="409">
        <f t="shared" si="312"/>
        <v>0</v>
      </c>
      <c r="GP203" s="409">
        <f t="shared" si="312"/>
        <v>0</v>
      </c>
      <c r="GQ203" s="409">
        <f t="shared" si="313"/>
        <v>0</v>
      </c>
      <c r="GR203" s="409">
        <f t="shared" si="313"/>
        <v>0</v>
      </c>
      <c r="GS203" s="409">
        <f t="shared" si="313"/>
        <v>0</v>
      </c>
      <c r="GT203" s="409">
        <f t="shared" si="313"/>
        <v>0</v>
      </c>
      <c r="GU203" s="409">
        <f t="shared" si="313"/>
        <v>0</v>
      </c>
      <c r="GV203" s="409">
        <f t="shared" si="313"/>
        <v>0</v>
      </c>
      <c r="GW203" s="409">
        <f t="shared" si="313"/>
        <v>0</v>
      </c>
      <c r="GX203" s="409">
        <f t="shared" si="313"/>
        <v>0</v>
      </c>
      <c r="GY203" s="409">
        <f t="shared" si="313"/>
        <v>0</v>
      </c>
      <c r="GZ203" s="409">
        <f t="shared" si="313"/>
        <v>0</v>
      </c>
      <c r="HA203" s="409">
        <f t="shared" si="314"/>
        <v>0</v>
      </c>
      <c r="HB203" s="409">
        <f t="shared" si="314"/>
        <v>0</v>
      </c>
      <c r="HC203" s="409">
        <f t="shared" si="314"/>
        <v>0</v>
      </c>
      <c r="HD203" s="409">
        <f t="shared" si="314"/>
        <v>0</v>
      </c>
      <c r="HE203" s="409">
        <f t="shared" si="314"/>
        <v>0</v>
      </c>
      <c r="HF203" s="409">
        <f t="shared" si="314"/>
        <v>0</v>
      </c>
      <c r="HG203" s="409">
        <f t="shared" si="314"/>
        <v>0</v>
      </c>
      <c r="HH203" s="409">
        <f t="shared" si="314"/>
        <v>0</v>
      </c>
      <c r="HI203" s="409">
        <f t="shared" si="314"/>
        <v>0</v>
      </c>
      <c r="HJ203" s="409">
        <f t="shared" si="314"/>
        <v>0</v>
      </c>
      <c r="HK203" s="409">
        <f t="shared" si="315"/>
        <v>0</v>
      </c>
      <c r="HL203" s="409">
        <f t="shared" si="315"/>
        <v>0</v>
      </c>
      <c r="HM203" s="409">
        <f t="shared" si="315"/>
        <v>0</v>
      </c>
      <c r="HN203" s="409">
        <f t="shared" si="315"/>
        <v>0</v>
      </c>
      <c r="HO203" s="409">
        <f t="shared" si="315"/>
        <v>0</v>
      </c>
      <c r="HP203" s="409">
        <f t="shared" si="315"/>
        <v>0</v>
      </c>
      <c r="HQ203" s="409">
        <f t="shared" si="315"/>
        <v>0</v>
      </c>
      <c r="HR203" s="409">
        <f t="shared" si="315"/>
        <v>0</v>
      </c>
      <c r="HS203" s="409">
        <f t="shared" si="315"/>
        <v>0</v>
      </c>
      <c r="HT203" s="409">
        <f t="shared" si="315"/>
        <v>0</v>
      </c>
      <c r="HU203" s="409">
        <f t="shared" si="316"/>
        <v>0</v>
      </c>
      <c r="HV203" s="409">
        <f t="shared" si="316"/>
        <v>0</v>
      </c>
      <c r="HW203" s="409">
        <f t="shared" si="316"/>
        <v>0</v>
      </c>
      <c r="HX203" s="409">
        <f t="shared" si="316"/>
        <v>0</v>
      </c>
      <c r="HY203" s="409">
        <f t="shared" si="316"/>
        <v>0</v>
      </c>
      <c r="HZ203" s="409">
        <f t="shared" si="316"/>
        <v>0</v>
      </c>
      <c r="IA203" s="409">
        <f t="shared" si="316"/>
        <v>0</v>
      </c>
      <c r="IB203" s="409">
        <f t="shared" si="316"/>
        <v>0</v>
      </c>
      <c r="IC203" s="409">
        <f t="shared" si="316"/>
        <v>0</v>
      </c>
      <c r="ID203" s="409">
        <f t="shared" si="316"/>
        <v>0</v>
      </c>
      <c r="IE203" s="409">
        <f t="shared" si="317"/>
        <v>0</v>
      </c>
      <c r="IF203" s="409">
        <f t="shared" si="317"/>
        <v>0</v>
      </c>
      <c r="IG203" s="409">
        <f t="shared" si="317"/>
        <v>0</v>
      </c>
      <c r="IH203" s="409">
        <f t="shared" si="317"/>
        <v>0</v>
      </c>
      <c r="II203" s="409">
        <f t="shared" si="317"/>
        <v>0</v>
      </c>
      <c r="IJ203" s="409">
        <f t="shared" si="317"/>
        <v>0</v>
      </c>
      <c r="IK203" s="378"/>
    </row>
    <row r="204" spans="1:249" hidden="1" x14ac:dyDescent="0.2">
      <c r="A204" s="380" t="str">
        <f t="shared" si="242"/>
        <v>e</v>
      </c>
      <c r="B204" s="712" t="str">
        <f>IF(ISERROR(INDEX('Legend(DX)'!$H$11:$H$12,47)),"",INDEX('Legend(DX)'!$H$11:$H$12,47))</f>
        <v/>
      </c>
      <c r="C204" s="712" t="e">
        <f>IF(INDEX('Legend(DX)'!$T$11:$T$12,47)=0,"See Legend",INDEX('Legend(DX)'!$T$11:$T$12,47))</f>
        <v>#REF!</v>
      </c>
      <c r="D204" s="712" t="e">
        <f>IF(INDEX('Legend(DX)'!$R$11:$R$12,(ROW(C204))-137)=0,IF(AND(INDEX('Legend(DX)'!$D$11:$D$12,(ROW(C204))-136)="CH",INDEX('Legend(DX)'!$F$11:$F$12,(ROW(C204))-136)="CASE - MANUAL"),INDEX('Legend(DX)'!$R$11:$R$12,(ROW(C204))-136),IF(INDEX('Legend(DX)'!$V$11:$V$12,(ROW(C204))-137)&gt;1, "(" &amp; INDEX('Legend(DX)'!$V$11:$V$12,(ROW(C204))-137) &amp; ") " &amp; INDEX('Legend(DX)'!$W$11:$W$12,(ROW(C204))-136),INDEX('Legend(DX)'!$W$11:$W$12,(ROW(C204))-137))),INDEX('Legend(DX)'!$R$11:$R$12,(ROW(C204))-137))</f>
        <v>#REF!</v>
      </c>
      <c r="E204" s="713" t="str">
        <f>IF(ISERROR(INDEX('Legend(DX)'!$AA$11:$AA$12,47)),"",INDEX('Legend(DX)'!$AA$11:$AA$12,47))</f>
        <v/>
      </c>
      <c r="F204" s="715"/>
      <c r="G204" s="715"/>
      <c r="H204" s="715"/>
      <c r="I204" s="715"/>
      <c r="J204" s="715"/>
      <c r="K204" s="890">
        <f t="shared" si="223"/>
        <v>0</v>
      </c>
      <c r="L204" s="718"/>
      <c r="M204" s="723"/>
      <c r="N204" s="972">
        <f t="shared" si="291"/>
        <v>-1</v>
      </c>
      <c r="O204" s="972">
        <f t="shared" si="224"/>
        <v>-1</v>
      </c>
      <c r="P204" s="972">
        <f t="shared" si="292"/>
        <v>-1</v>
      </c>
      <c r="Q204" s="972">
        <f t="shared" si="225"/>
        <v>-1</v>
      </c>
      <c r="R204" s="972">
        <f t="shared" si="293"/>
        <v>-1</v>
      </c>
      <c r="S204" s="972">
        <f t="shared" si="226"/>
        <v>-1</v>
      </c>
      <c r="T204" s="972">
        <f t="shared" si="294"/>
        <v>-1</v>
      </c>
      <c r="U204" s="972">
        <f t="shared" si="227"/>
        <v>-1</v>
      </c>
      <c r="V204" s="972">
        <f t="shared" si="295"/>
        <v>-1</v>
      </c>
      <c r="W204" s="972">
        <f t="shared" si="228"/>
        <v>-1</v>
      </c>
      <c r="X204" s="972">
        <f t="shared" si="296"/>
        <v>-1</v>
      </c>
      <c r="Y204" s="972">
        <f t="shared" si="229"/>
        <v>-1</v>
      </c>
      <c r="Z204" s="972">
        <f t="shared" si="230"/>
        <v>-1</v>
      </c>
      <c r="AA204" s="972">
        <f t="shared" si="231"/>
        <v>-1</v>
      </c>
      <c r="AB204" s="972">
        <f t="shared" si="232"/>
        <v>-1</v>
      </c>
      <c r="AC204" s="972">
        <f t="shared" si="233"/>
        <v>-1</v>
      </c>
      <c r="AD204" s="972">
        <f t="shared" si="234"/>
        <v>-1</v>
      </c>
      <c r="AE204" s="972">
        <f t="shared" si="235"/>
        <v>-1</v>
      </c>
      <c r="AF204" s="972">
        <f t="shared" si="236"/>
        <v>-1</v>
      </c>
      <c r="AG204" s="972">
        <f t="shared" si="237"/>
        <v>-1</v>
      </c>
      <c r="AH204" s="972">
        <f t="shared" si="238"/>
        <v>-1</v>
      </c>
      <c r="AI204" s="972">
        <f t="shared" si="239"/>
        <v>-1</v>
      </c>
      <c r="AJ204" s="972">
        <f t="shared" si="240"/>
        <v>-1</v>
      </c>
      <c r="AK204" s="381"/>
      <c r="AL204" s="727" t="str">
        <f t="shared" si="241"/>
        <v/>
      </c>
      <c r="AM204" s="409">
        <f t="shared" si="297"/>
        <v>0</v>
      </c>
      <c r="AN204" s="409">
        <f t="shared" si="297"/>
        <v>0</v>
      </c>
      <c r="AO204" s="409">
        <f t="shared" si="297"/>
        <v>0</v>
      </c>
      <c r="AP204" s="409">
        <f t="shared" si="297"/>
        <v>0</v>
      </c>
      <c r="AQ204" s="409">
        <f t="shared" si="297"/>
        <v>0</v>
      </c>
      <c r="AR204" s="409">
        <f t="shared" si="297"/>
        <v>0</v>
      </c>
      <c r="AS204" s="409">
        <f t="shared" si="297"/>
        <v>0</v>
      </c>
      <c r="AT204" s="409">
        <f t="shared" si="297"/>
        <v>0</v>
      </c>
      <c r="AU204" s="409">
        <f t="shared" si="297"/>
        <v>0</v>
      </c>
      <c r="AV204" s="409">
        <f t="shared" si="297"/>
        <v>0</v>
      </c>
      <c r="AW204" s="409">
        <f t="shared" si="298"/>
        <v>0</v>
      </c>
      <c r="AX204" s="409">
        <f t="shared" si="298"/>
        <v>0</v>
      </c>
      <c r="AY204" s="409">
        <f t="shared" si="298"/>
        <v>0</v>
      </c>
      <c r="AZ204" s="409">
        <f t="shared" si="298"/>
        <v>0</v>
      </c>
      <c r="BA204" s="409">
        <f t="shared" si="298"/>
        <v>0</v>
      </c>
      <c r="BB204" s="409">
        <f t="shared" si="298"/>
        <v>0</v>
      </c>
      <c r="BC204" s="409">
        <f t="shared" si="298"/>
        <v>0</v>
      </c>
      <c r="BD204" s="409">
        <f t="shared" si="298"/>
        <v>0</v>
      </c>
      <c r="BE204" s="409">
        <f t="shared" si="298"/>
        <v>0</v>
      </c>
      <c r="BF204" s="409">
        <f t="shared" si="298"/>
        <v>0</v>
      </c>
      <c r="BG204" s="409">
        <f t="shared" si="299"/>
        <v>0</v>
      </c>
      <c r="BH204" s="409">
        <f t="shared" si="299"/>
        <v>0</v>
      </c>
      <c r="BI204" s="409">
        <f t="shared" si="299"/>
        <v>0</v>
      </c>
      <c r="BJ204" s="409">
        <f t="shared" si="299"/>
        <v>0</v>
      </c>
      <c r="BK204" s="409">
        <f t="shared" si="299"/>
        <v>0</v>
      </c>
      <c r="BL204" s="409">
        <f t="shared" si="299"/>
        <v>0</v>
      </c>
      <c r="BM204" s="409">
        <f t="shared" si="299"/>
        <v>0</v>
      </c>
      <c r="BN204" s="409">
        <f t="shared" si="299"/>
        <v>0</v>
      </c>
      <c r="BO204" s="409">
        <f t="shared" si="299"/>
        <v>0</v>
      </c>
      <c r="BP204" s="409">
        <f t="shared" si="299"/>
        <v>0</v>
      </c>
      <c r="BQ204" s="409">
        <f t="shared" si="300"/>
        <v>0</v>
      </c>
      <c r="BR204" s="409">
        <f t="shared" si="300"/>
        <v>0</v>
      </c>
      <c r="BS204" s="409">
        <f t="shared" si="300"/>
        <v>0</v>
      </c>
      <c r="BT204" s="409">
        <f t="shared" si="300"/>
        <v>0</v>
      </c>
      <c r="BU204" s="409">
        <f t="shared" si="300"/>
        <v>0</v>
      </c>
      <c r="BV204" s="409">
        <f t="shared" si="300"/>
        <v>0</v>
      </c>
      <c r="BW204" s="409">
        <f t="shared" si="300"/>
        <v>0</v>
      </c>
      <c r="BX204" s="409">
        <f t="shared" si="300"/>
        <v>0</v>
      </c>
      <c r="BY204" s="409">
        <f t="shared" si="300"/>
        <v>0</v>
      </c>
      <c r="BZ204" s="409">
        <f t="shared" si="300"/>
        <v>0</v>
      </c>
      <c r="CA204" s="409">
        <f t="shared" si="301"/>
        <v>0</v>
      </c>
      <c r="CB204" s="409">
        <f t="shared" si="301"/>
        <v>0</v>
      </c>
      <c r="CC204" s="409">
        <f t="shared" si="301"/>
        <v>0</v>
      </c>
      <c r="CD204" s="409">
        <f t="shared" si="301"/>
        <v>0</v>
      </c>
      <c r="CE204" s="409">
        <f t="shared" si="301"/>
        <v>0</v>
      </c>
      <c r="CF204" s="409">
        <f t="shared" si="301"/>
        <v>0</v>
      </c>
      <c r="CG204" s="409">
        <f t="shared" si="301"/>
        <v>0</v>
      </c>
      <c r="CH204" s="409">
        <f t="shared" si="301"/>
        <v>0</v>
      </c>
      <c r="CI204" s="409">
        <f t="shared" si="301"/>
        <v>0</v>
      </c>
      <c r="CJ204" s="409">
        <f t="shared" si="301"/>
        <v>0</v>
      </c>
      <c r="CK204" s="409">
        <f t="shared" si="302"/>
        <v>0</v>
      </c>
      <c r="CL204" s="409">
        <f t="shared" si="302"/>
        <v>0</v>
      </c>
      <c r="CM204" s="409">
        <f t="shared" si="302"/>
        <v>0</v>
      </c>
      <c r="CN204" s="409">
        <f t="shared" si="302"/>
        <v>0</v>
      </c>
      <c r="CO204" s="409">
        <f t="shared" si="302"/>
        <v>0</v>
      </c>
      <c r="CP204" s="409">
        <f t="shared" si="302"/>
        <v>0</v>
      </c>
      <c r="CQ204" s="409">
        <f t="shared" si="302"/>
        <v>0</v>
      </c>
      <c r="CR204" s="409">
        <f t="shared" si="302"/>
        <v>0</v>
      </c>
      <c r="CS204" s="409">
        <f t="shared" si="302"/>
        <v>0</v>
      </c>
      <c r="CT204" s="409">
        <f t="shared" si="302"/>
        <v>0</v>
      </c>
      <c r="CU204" s="409">
        <f t="shared" si="303"/>
        <v>0</v>
      </c>
      <c r="CV204" s="409">
        <f t="shared" si="303"/>
        <v>0</v>
      </c>
      <c r="CW204" s="409">
        <f t="shared" si="303"/>
        <v>0</v>
      </c>
      <c r="CX204" s="409">
        <f t="shared" si="303"/>
        <v>0</v>
      </c>
      <c r="CY204" s="409">
        <f t="shared" si="303"/>
        <v>0</v>
      </c>
      <c r="CZ204" s="409">
        <f t="shared" si="303"/>
        <v>0</v>
      </c>
      <c r="DA204" s="409">
        <f t="shared" si="303"/>
        <v>0</v>
      </c>
      <c r="DB204" s="409">
        <f t="shared" si="303"/>
        <v>0</v>
      </c>
      <c r="DC204" s="409">
        <f t="shared" si="303"/>
        <v>0</v>
      </c>
      <c r="DD204" s="409">
        <f t="shared" si="303"/>
        <v>0</v>
      </c>
      <c r="DE204" s="409">
        <f t="shared" si="304"/>
        <v>0</v>
      </c>
      <c r="DF204" s="409">
        <f t="shared" si="304"/>
        <v>0</v>
      </c>
      <c r="DG204" s="409">
        <f t="shared" si="304"/>
        <v>0</v>
      </c>
      <c r="DH204" s="409">
        <f t="shared" si="304"/>
        <v>0</v>
      </c>
      <c r="DI204" s="409">
        <f t="shared" si="304"/>
        <v>0</v>
      </c>
      <c r="DJ204" s="409">
        <f t="shared" si="304"/>
        <v>0</v>
      </c>
      <c r="DK204" s="409">
        <f t="shared" si="304"/>
        <v>0</v>
      </c>
      <c r="DL204" s="409">
        <f t="shared" si="304"/>
        <v>0</v>
      </c>
      <c r="DM204" s="409">
        <f t="shared" si="304"/>
        <v>0</v>
      </c>
      <c r="DN204" s="409">
        <f t="shared" si="304"/>
        <v>0</v>
      </c>
      <c r="DO204" s="409">
        <f t="shared" si="305"/>
        <v>0</v>
      </c>
      <c r="DP204" s="409">
        <f t="shared" si="305"/>
        <v>0</v>
      </c>
      <c r="DQ204" s="409">
        <f t="shared" si="305"/>
        <v>0</v>
      </c>
      <c r="DR204" s="409">
        <f t="shared" si="305"/>
        <v>0</v>
      </c>
      <c r="DS204" s="409">
        <f t="shared" si="305"/>
        <v>0</v>
      </c>
      <c r="DT204" s="409">
        <f t="shared" si="305"/>
        <v>0</v>
      </c>
      <c r="DU204" s="409">
        <f t="shared" si="305"/>
        <v>0</v>
      </c>
      <c r="DV204" s="409">
        <f t="shared" si="305"/>
        <v>0</v>
      </c>
      <c r="DW204" s="409">
        <f t="shared" si="305"/>
        <v>0</v>
      </c>
      <c r="DX204" s="409">
        <f t="shared" si="305"/>
        <v>0</v>
      </c>
      <c r="DY204" s="409">
        <f t="shared" si="306"/>
        <v>0</v>
      </c>
      <c r="DZ204" s="409">
        <f t="shared" si="306"/>
        <v>0</v>
      </c>
      <c r="EA204" s="409">
        <f t="shared" si="306"/>
        <v>0</v>
      </c>
      <c r="EB204" s="409">
        <f t="shared" si="306"/>
        <v>0</v>
      </c>
      <c r="EC204" s="409">
        <f t="shared" si="306"/>
        <v>0</v>
      </c>
      <c r="ED204" s="409">
        <f t="shared" si="306"/>
        <v>0</v>
      </c>
      <c r="EE204" s="409">
        <f t="shared" si="306"/>
        <v>0</v>
      </c>
      <c r="EF204" s="409">
        <f t="shared" si="306"/>
        <v>0</v>
      </c>
      <c r="EG204" s="409">
        <f t="shared" si="306"/>
        <v>0</v>
      </c>
      <c r="EH204" s="409">
        <f t="shared" si="306"/>
        <v>0</v>
      </c>
      <c r="EI204" s="409">
        <f t="shared" si="307"/>
        <v>0</v>
      </c>
      <c r="EJ204" s="409">
        <f t="shared" si="307"/>
        <v>0</v>
      </c>
      <c r="EK204" s="409">
        <f t="shared" si="307"/>
        <v>0</v>
      </c>
      <c r="EL204" s="409">
        <f t="shared" si="307"/>
        <v>0</v>
      </c>
      <c r="EM204" s="409">
        <f t="shared" si="307"/>
        <v>0</v>
      </c>
      <c r="EN204" s="409">
        <f t="shared" si="307"/>
        <v>0</v>
      </c>
      <c r="EO204" s="409">
        <f t="shared" si="307"/>
        <v>0</v>
      </c>
      <c r="EP204" s="409">
        <f t="shared" si="307"/>
        <v>0</v>
      </c>
      <c r="EQ204" s="409">
        <f t="shared" si="307"/>
        <v>0</v>
      </c>
      <c r="ER204" s="409">
        <f t="shared" si="307"/>
        <v>0</v>
      </c>
      <c r="ES204" s="409">
        <f t="shared" si="308"/>
        <v>0</v>
      </c>
      <c r="ET204" s="409">
        <f t="shared" si="308"/>
        <v>0</v>
      </c>
      <c r="EU204" s="409">
        <f t="shared" si="308"/>
        <v>0</v>
      </c>
      <c r="EV204" s="409">
        <f t="shared" si="308"/>
        <v>0</v>
      </c>
      <c r="EW204" s="409">
        <f t="shared" si="308"/>
        <v>0</v>
      </c>
      <c r="EX204" s="409">
        <f t="shared" si="308"/>
        <v>0</v>
      </c>
      <c r="EY204" s="409">
        <f t="shared" si="308"/>
        <v>0</v>
      </c>
      <c r="EZ204" s="409">
        <f t="shared" si="308"/>
        <v>0</v>
      </c>
      <c r="FA204" s="409">
        <f t="shared" si="308"/>
        <v>0</v>
      </c>
      <c r="FB204" s="409">
        <f t="shared" si="308"/>
        <v>0</v>
      </c>
      <c r="FC204" s="409">
        <f t="shared" si="309"/>
        <v>0</v>
      </c>
      <c r="FD204" s="409">
        <f t="shared" si="309"/>
        <v>0</v>
      </c>
      <c r="FE204" s="409">
        <f t="shared" si="309"/>
        <v>0</v>
      </c>
      <c r="FF204" s="409">
        <f t="shared" si="309"/>
        <v>0</v>
      </c>
      <c r="FG204" s="409">
        <f t="shared" si="309"/>
        <v>0</v>
      </c>
      <c r="FH204" s="409">
        <f t="shared" si="309"/>
        <v>0</v>
      </c>
      <c r="FI204" s="409">
        <f t="shared" si="309"/>
        <v>0</v>
      </c>
      <c r="FJ204" s="409">
        <f t="shared" si="309"/>
        <v>0</v>
      </c>
      <c r="FK204" s="409">
        <f t="shared" si="309"/>
        <v>0</v>
      </c>
      <c r="FL204" s="409">
        <f t="shared" si="309"/>
        <v>0</v>
      </c>
      <c r="FM204" s="409">
        <f t="shared" si="310"/>
        <v>0</v>
      </c>
      <c r="FN204" s="409">
        <f t="shared" si="310"/>
        <v>0</v>
      </c>
      <c r="FO204" s="409">
        <f t="shared" si="310"/>
        <v>0</v>
      </c>
      <c r="FP204" s="409">
        <f t="shared" si="310"/>
        <v>0</v>
      </c>
      <c r="FQ204" s="409">
        <f t="shared" si="310"/>
        <v>0</v>
      </c>
      <c r="FR204" s="409">
        <f t="shared" si="310"/>
        <v>0</v>
      </c>
      <c r="FS204" s="409">
        <f t="shared" si="310"/>
        <v>0</v>
      </c>
      <c r="FT204" s="409">
        <f t="shared" si="310"/>
        <v>0</v>
      </c>
      <c r="FU204" s="409">
        <f t="shared" si="310"/>
        <v>0</v>
      </c>
      <c r="FV204" s="409">
        <f t="shared" si="310"/>
        <v>0</v>
      </c>
      <c r="FW204" s="409">
        <f t="shared" si="311"/>
        <v>0</v>
      </c>
      <c r="FX204" s="409">
        <f t="shared" si="311"/>
        <v>0</v>
      </c>
      <c r="FY204" s="409">
        <f t="shared" si="311"/>
        <v>0</v>
      </c>
      <c r="FZ204" s="409">
        <f t="shared" si="311"/>
        <v>0</v>
      </c>
      <c r="GA204" s="409">
        <f t="shared" si="311"/>
        <v>0</v>
      </c>
      <c r="GB204" s="409">
        <f t="shared" si="311"/>
        <v>0</v>
      </c>
      <c r="GC204" s="409">
        <f t="shared" si="311"/>
        <v>0</v>
      </c>
      <c r="GD204" s="409">
        <f t="shared" si="311"/>
        <v>0</v>
      </c>
      <c r="GE204" s="409">
        <f t="shared" si="311"/>
        <v>0</v>
      </c>
      <c r="GF204" s="409">
        <f t="shared" si="311"/>
        <v>0</v>
      </c>
      <c r="GG204" s="409">
        <f t="shared" si="312"/>
        <v>0</v>
      </c>
      <c r="GH204" s="409">
        <f t="shared" si="312"/>
        <v>0</v>
      </c>
      <c r="GI204" s="409">
        <f t="shared" si="312"/>
        <v>0</v>
      </c>
      <c r="GJ204" s="409">
        <f t="shared" si="312"/>
        <v>0</v>
      </c>
      <c r="GK204" s="409">
        <f t="shared" si="312"/>
        <v>0</v>
      </c>
      <c r="GL204" s="409">
        <f t="shared" si="312"/>
        <v>0</v>
      </c>
      <c r="GM204" s="409">
        <f t="shared" si="312"/>
        <v>0</v>
      </c>
      <c r="GN204" s="409">
        <f t="shared" si="312"/>
        <v>0</v>
      </c>
      <c r="GO204" s="409">
        <f t="shared" si="312"/>
        <v>0</v>
      </c>
      <c r="GP204" s="409">
        <f t="shared" si="312"/>
        <v>0</v>
      </c>
      <c r="GQ204" s="409">
        <f t="shared" si="313"/>
        <v>0</v>
      </c>
      <c r="GR204" s="409">
        <f t="shared" si="313"/>
        <v>0</v>
      </c>
      <c r="GS204" s="409">
        <f t="shared" si="313"/>
        <v>0</v>
      </c>
      <c r="GT204" s="409">
        <f t="shared" si="313"/>
        <v>0</v>
      </c>
      <c r="GU204" s="409">
        <f t="shared" si="313"/>
        <v>0</v>
      </c>
      <c r="GV204" s="409">
        <f t="shared" si="313"/>
        <v>0</v>
      </c>
      <c r="GW204" s="409">
        <f t="shared" si="313"/>
        <v>0</v>
      </c>
      <c r="GX204" s="409">
        <f t="shared" si="313"/>
        <v>0</v>
      </c>
      <c r="GY204" s="409">
        <f t="shared" si="313"/>
        <v>0</v>
      </c>
      <c r="GZ204" s="409">
        <f t="shared" si="313"/>
        <v>0</v>
      </c>
      <c r="HA204" s="409">
        <f t="shared" si="314"/>
        <v>0</v>
      </c>
      <c r="HB204" s="409">
        <f t="shared" si="314"/>
        <v>0</v>
      </c>
      <c r="HC204" s="409">
        <f t="shared" si="314"/>
        <v>0</v>
      </c>
      <c r="HD204" s="409">
        <f t="shared" si="314"/>
        <v>0</v>
      </c>
      <c r="HE204" s="409">
        <f t="shared" si="314"/>
        <v>0</v>
      </c>
      <c r="HF204" s="409">
        <f t="shared" si="314"/>
        <v>0</v>
      </c>
      <c r="HG204" s="409">
        <f t="shared" si="314"/>
        <v>0</v>
      </c>
      <c r="HH204" s="409">
        <f t="shared" si="314"/>
        <v>0</v>
      </c>
      <c r="HI204" s="409">
        <f t="shared" si="314"/>
        <v>0</v>
      </c>
      <c r="HJ204" s="409">
        <f t="shared" si="314"/>
        <v>0</v>
      </c>
      <c r="HK204" s="409">
        <f t="shared" si="315"/>
        <v>0</v>
      </c>
      <c r="HL204" s="409">
        <f t="shared" si="315"/>
        <v>0</v>
      </c>
      <c r="HM204" s="409">
        <f t="shared" si="315"/>
        <v>0</v>
      </c>
      <c r="HN204" s="409">
        <f t="shared" si="315"/>
        <v>0</v>
      </c>
      <c r="HO204" s="409">
        <f t="shared" si="315"/>
        <v>0</v>
      </c>
      <c r="HP204" s="409">
        <f t="shared" si="315"/>
        <v>0</v>
      </c>
      <c r="HQ204" s="409">
        <f t="shared" si="315"/>
        <v>0</v>
      </c>
      <c r="HR204" s="409">
        <f t="shared" si="315"/>
        <v>0</v>
      </c>
      <c r="HS204" s="409">
        <f t="shared" si="315"/>
        <v>0</v>
      </c>
      <c r="HT204" s="409">
        <f t="shared" si="315"/>
        <v>0</v>
      </c>
      <c r="HU204" s="409">
        <f t="shared" si="316"/>
        <v>0</v>
      </c>
      <c r="HV204" s="409">
        <f t="shared" si="316"/>
        <v>0</v>
      </c>
      <c r="HW204" s="409">
        <f t="shared" si="316"/>
        <v>0</v>
      </c>
      <c r="HX204" s="409">
        <f t="shared" si="316"/>
        <v>0</v>
      </c>
      <c r="HY204" s="409">
        <f t="shared" si="316"/>
        <v>0</v>
      </c>
      <c r="HZ204" s="409">
        <f t="shared" si="316"/>
        <v>0</v>
      </c>
      <c r="IA204" s="409">
        <f t="shared" si="316"/>
        <v>0</v>
      </c>
      <c r="IB204" s="409">
        <f t="shared" si="316"/>
        <v>0</v>
      </c>
      <c r="IC204" s="409">
        <f t="shared" si="316"/>
        <v>0</v>
      </c>
      <c r="ID204" s="409">
        <f t="shared" si="316"/>
        <v>0</v>
      </c>
      <c r="IE204" s="409">
        <f t="shared" si="317"/>
        <v>0</v>
      </c>
      <c r="IF204" s="409">
        <f t="shared" si="317"/>
        <v>0</v>
      </c>
      <c r="IG204" s="409">
        <f t="shared" si="317"/>
        <v>0</v>
      </c>
      <c r="IH204" s="409">
        <f t="shared" si="317"/>
        <v>0</v>
      </c>
      <c r="II204" s="409">
        <f t="shared" si="317"/>
        <v>0</v>
      </c>
      <c r="IJ204" s="409">
        <f t="shared" si="317"/>
        <v>0</v>
      </c>
      <c r="IK204" s="378"/>
    </row>
    <row r="205" spans="1:249" hidden="1" x14ac:dyDescent="0.2">
      <c r="A205" s="380" t="str">
        <f t="shared" si="242"/>
        <v>e</v>
      </c>
      <c r="B205" s="712" t="str">
        <f>IF(ISERROR(INDEX('Legend(DX)'!$H$11:$H$12,48)),"",INDEX('Legend(DX)'!$H$11:$H$12,48))</f>
        <v/>
      </c>
      <c r="C205" s="712" t="e">
        <f>IF(INDEX('Legend(DX)'!$T$11:$T$12,48)=0,"See Legend",INDEX('Legend(DX)'!$T$11:$T$12,48))</f>
        <v>#REF!</v>
      </c>
      <c r="D205" s="712" t="e">
        <f>IF(INDEX('Legend(DX)'!$R$11:$R$12,(ROW(C205))-137)=0,IF(AND(INDEX('Legend(DX)'!$D$11:$D$12,(ROW(C205))-136)="CH",INDEX('Legend(DX)'!$F$11:$F$12,(ROW(C205))-136)="CASE - MANUAL"),INDEX('Legend(DX)'!$R$11:$R$12,(ROW(C205))-136),IF(INDEX('Legend(DX)'!$V$11:$V$12,(ROW(C205))-137)&gt;1, "(" &amp; INDEX('Legend(DX)'!$V$11:$V$12,(ROW(C205))-137) &amp; ") " &amp; INDEX('Legend(DX)'!$W$11:$W$12,(ROW(C205))-136),INDEX('Legend(DX)'!$W$11:$W$12,(ROW(C205))-137))),INDEX('Legend(DX)'!$R$11:$R$12,(ROW(C205))-137))</f>
        <v>#REF!</v>
      </c>
      <c r="E205" s="713" t="str">
        <f>IF(ISERROR(INDEX('Legend(DX)'!$AA$11:$AA$12,48)),"",INDEX('Legend(DX)'!$AA$11:$AA$12,48))</f>
        <v/>
      </c>
      <c r="F205" s="715"/>
      <c r="G205" s="715"/>
      <c r="H205" s="715"/>
      <c r="I205" s="715"/>
      <c r="J205" s="715"/>
      <c r="K205" s="890">
        <f t="shared" si="223"/>
        <v>0</v>
      </c>
      <c r="L205" s="718"/>
      <c r="M205" s="723"/>
      <c r="N205" s="972">
        <f t="shared" si="291"/>
        <v>-1</v>
      </c>
      <c r="O205" s="972">
        <f t="shared" si="224"/>
        <v>-1</v>
      </c>
      <c r="P205" s="972">
        <f t="shared" si="292"/>
        <v>-1</v>
      </c>
      <c r="Q205" s="972">
        <f t="shared" si="225"/>
        <v>-1</v>
      </c>
      <c r="R205" s="972">
        <f t="shared" si="293"/>
        <v>-1</v>
      </c>
      <c r="S205" s="972">
        <f t="shared" si="226"/>
        <v>-1</v>
      </c>
      <c r="T205" s="972">
        <f t="shared" si="294"/>
        <v>-1</v>
      </c>
      <c r="U205" s="972">
        <f t="shared" si="227"/>
        <v>-1</v>
      </c>
      <c r="V205" s="972">
        <f t="shared" si="295"/>
        <v>-1</v>
      </c>
      <c r="W205" s="972">
        <f t="shared" si="228"/>
        <v>-1</v>
      </c>
      <c r="X205" s="972">
        <f t="shared" si="296"/>
        <v>-1</v>
      </c>
      <c r="Y205" s="972">
        <f t="shared" si="229"/>
        <v>-1</v>
      </c>
      <c r="Z205" s="972">
        <f t="shared" si="230"/>
        <v>-1</v>
      </c>
      <c r="AA205" s="972">
        <f t="shared" si="231"/>
        <v>-1</v>
      </c>
      <c r="AB205" s="972">
        <f t="shared" si="232"/>
        <v>-1</v>
      </c>
      <c r="AC205" s="972">
        <f t="shared" si="233"/>
        <v>-1</v>
      </c>
      <c r="AD205" s="972">
        <f t="shared" si="234"/>
        <v>-1</v>
      </c>
      <c r="AE205" s="972">
        <f t="shared" si="235"/>
        <v>-1</v>
      </c>
      <c r="AF205" s="972">
        <f t="shared" si="236"/>
        <v>-1</v>
      </c>
      <c r="AG205" s="972">
        <f t="shared" si="237"/>
        <v>-1</v>
      </c>
      <c r="AH205" s="972">
        <f t="shared" si="238"/>
        <v>-1</v>
      </c>
      <c r="AI205" s="972">
        <f t="shared" si="239"/>
        <v>-1</v>
      </c>
      <c r="AJ205" s="972">
        <f t="shared" si="240"/>
        <v>-1</v>
      </c>
      <c r="AK205" s="381"/>
      <c r="AL205" s="727" t="str">
        <f t="shared" si="241"/>
        <v/>
      </c>
      <c r="AM205" s="409">
        <f t="shared" si="297"/>
        <v>0</v>
      </c>
      <c r="AN205" s="409">
        <f t="shared" si="297"/>
        <v>0</v>
      </c>
      <c r="AO205" s="409">
        <f t="shared" si="297"/>
        <v>0</v>
      </c>
      <c r="AP205" s="409">
        <f t="shared" si="297"/>
        <v>0</v>
      </c>
      <c r="AQ205" s="409">
        <f t="shared" si="297"/>
        <v>0</v>
      </c>
      <c r="AR205" s="409">
        <f t="shared" si="297"/>
        <v>0</v>
      </c>
      <c r="AS205" s="409">
        <f t="shared" si="297"/>
        <v>0</v>
      </c>
      <c r="AT205" s="409">
        <f t="shared" si="297"/>
        <v>0</v>
      </c>
      <c r="AU205" s="409">
        <f t="shared" si="297"/>
        <v>0</v>
      </c>
      <c r="AV205" s="409">
        <f t="shared" si="297"/>
        <v>0</v>
      </c>
      <c r="AW205" s="409">
        <f t="shared" si="298"/>
        <v>0</v>
      </c>
      <c r="AX205" s="409">
        <f t="shared" si="298"/>
        <v>0</v>
      </c>
      <c r="AY205" s="409">
        <f t="shared" si="298"/>
        <v>0</v>
      </c>
      <c r="AZ205" s="409">
        <f t="shared" si="298"/>
        <v>0</v>
      </c>
      <c r="BA205" s="409">
        <f t="shared" si="298"/>
        <v>0</v>
      </c>
      <c r="BB205" s="409">
        <f t="shared" si="298"/>
        <v>0</v>
      </c>
      <c r="BC205" s="409">
        <f t="shared" si="298"/>
        <v>0</v>
      </c>
      <c r="BD205" s="409">
        <f t="shared" si="298"/>
        <v>0</v>
      </c>
      <c r="BE205" s="409">
        <f t="shared" si="298"/>
        <v>0</v>
      </c>
      <c r="BF205" s="409">
        <f t="shared" si="298"/>
        <v>0</v>
      </c>
      <c r="BG205" s="409">
        <f t="shared" si="299"/>
        <v>0</v>
      </c>
      <c r="BH205" s="409">
        <f t="shared" si="299"/>
        <v>0</v>
      </c>
      <c r="BI205" s="409">
        <f t="shared" si="299"/>
        <v>0</v>
      </c>
      <c r="BJ205" s="409">
        <f t="shared" si="299"/>
        <v>0</v>
      </c>
      <c r="BK205" s="409">
        <f t="shared" si="299"/>
        <v>0</v>
      </c>
      <c r="BL205" s="409">
        <f t="shared" si="299"/>
        <v>0</v>
      </c>
      <c r="BM205" s="409">
        <f t="shared" si="299"/>
        <v>0</v>
      </c>
      <c r="BN205" s="409">
        <f t="shared" si="299"/>
        <v>0</v>
      </c>
      <c r="BO205" s="409">
        <f t="shared" si="299"/>
        <v>0</v>
      </c>
      <c r="BP205" s="409">
        <f t="shared" si="299"/>
        <v>0</v>
      </c>
      <c r="BQ205" s="409">
        <f t="shared" si="300"/>
        <v>0</v>
      </c>
      <c r="BR205" s="409">
        <f t="shared" si="300"/>
        <v>0</v>
      </c>
      <c r="BS205" s="409">
        <f t="shared" si="300"/>
        <v>0</v>
      </c>
      <c r="BT205" s="409">
        <f t="shared" si="300"/>
        <v>0</v>
      </c>
      <c r="BU205" s="409">
        <f t="shared" si="300"/>
        <v>0</v>
      </c>
      <c r="BV205" s="409">
        <f t="shared" si="300"/>
        <v>0</v>
      </c>
      <c r="BW205" s="409">
        <f t="shared" si="300"/>
        <v>0</v>
      </c>
      <c r="BX205" s="409">
        <f t="shared" si="300"/>
        <v>0</v>
      </c>
      <c r="BY205" s="409">
        <f t="shared" si="300"/>
        <v>0</v>
      </c>
      <c r="BZ205" s="409">
        <f t="shared" si="300"/>
        <v>0</v>
      </c>
      <c r="CA205" s="409">
        <f t="shared" si="301"/>
        <v>0</v>
      </c>
      <c r="CB205" s="409">
        <f t="shared" si="301"/>
        <v>0</v>
      </c>
      <c r="CC205" s="409">
        <f t="shared" si="301"/>
        <v>0</v>
      </c>
      <c r="CD205" s="409">
        <f t="shared" si="301"/>
        <v>0</v>
      </c>
      <c r="CE205" s="409">
        <f t="shared" si="301"/>
        <v>0</v>
      </c>
      <c r="CF205" s="409">
        <f t="shared" si="301"/>
        <v>0</v>
      </c>
      <c r="CG205" s="409">
        <f t="shared" si="301"/>
        <v>0</v>
      </c>
      <c r="CH205" s="409">
        <f t="shared" si="301"/>
        <v>0</v>
      </c>
      <c r="CI205" s="409">
        <f t="shared" si="301"/>
        <v>0</v>
      </c>
      <c r="CJ205" s="409">
        <f t="shared" si="301"/>
        <v>0</v>
      </c>
      <c r="CK205" s="409">
        <f t="shared" si="302"/>
        <v>0</v>
      </c>
      <c r="CL205" s="409">
        <f t="shared" si="302"/>
        <v>0</v>
      </c>
      <c r="CM205" s="409">
        <f t="shared" si="302"/>
        <v>0</v>
      </c>
      <c r="CN205" s="409">
        <f t="shared" si="302"/>
        <v>0</v>
      </c>
      <c r="CO205" s="409">
        <f t="shared" si="302"/>
        <v>0</v>
      </c>
      <c r="CP205" s="409">
        <f t="shared" si="302"/>
        <v>0</v>
      </c>
      <c r="CQ205" s="409">
        <f t="shared" si="302"/>
        <v>0</v>
      </c>
      <c r="CR205" s="409">
        <f t="shared" si="302"/>
        <v>0</v>
      </c>
      <c r="CS205" s="409">
        <f t="shared" si="302"/>
        <v>0</v>
      </c>
      <c r="CT205" s="409">
        <f t="shared" si="302"/>
        <v>0</v>
      </c>
      <c r="CU205" s="409">
        <f t="shared" si="303"/>
        <v>0</v>
      </c>
      <c r="CV205" s="409">
        <f t="shared" si="303"/>
        <v>0</v>
      </c>
      <c r="CW205" s="409">
        <f t="shared" si="303"/>
        <v>0</v>
      </c>
      <c r="CX205" s="409">
        <f t="shared" si="303"/>
        <v>0</v>
      </c>
      <c r="CY205" s="409">
        <f t="shared" si="303"/>
        <v>0</v>
      </c>
      <c r="CZ205" s="409">
        <f t="shared" si="303"/>
        <v>0</v>
      </c>
      <c r="DA205" s="409">
        <f t="shared" si="303"/>
        <v>0</v>
      </c>
      <c r="DB205" s="409">
        <f t="shared" si="303"/>
        <v>0</v>
      </c>
      <c r="DC205" s="409">
        <f t="shared" si="303"/>
        <v>0</v>
      </c>
      <c r="DD205" s="409">
        <f t="shared" si="303"/>
        <v>0</v>
      </c>
      <c r="DE205" s="409">
        <f t="shared" si="304"/>
        <v>0</v>
      </c>
      <c r="DF205" s="409">
        <f t="shared" si="304"/>
        <v>0</v>
      </c>
      <c r="DG205" s="409">
        <f t="shared" si="304"/>
        <v>0</v>
      </c>
      <c r="DH205" s="409">
        <f t="shared" si="304"/>
        <v>0</v>
      </c>
      <c r="DI205" s="409">
        <f t="shared" si="304"/>
        <v>0</v>
      </c>
      <c r="DJ205" s="409">
        <f t="shared" si="304"/>
        <v>0</v>
      </c>
      <c r="DK205" s="409">
        <f t="shared" si="304"/>
        <v>0</v>
      </c>
      <c r="DL205" s="409">
        <f t="shared" si="304"/>
        <v>0</v>
      </c>
      <c r="DM205" s="409">
        <f t="shared" si="304"/>
        <v>0</v>
      </c>
      <c r="DN205" s="409">
        <f t="shared" si="304"/>
        <v>0</v>
      </c>
      <c r="DO205" s="409">
        <f t="shared" si="305"/>
        <v>0</v>
      </c>
      <c r="DP205" s="409">
        <f t="shared" si="305"/>
        <v>0</v>
      </c>
      <c r="DQ205" s="409">
        <f t="shared" si="305"/>
        <v>0</v>
      </c>
      <c r="DR205" s="409">
        <f t="shared" si="305"/>
        <v>0</v>
      </c>
      <c r="DS205" s="409">
        <f t="shared" si="305"/>
        <v>0</v>
      </c>
      <c r="DT205" s="409">
        <f t="shared" si="305"/>
        <v>0</v>
      </c>
      <c r="DU205" s="409">
        <f t="shared" si="305"/>
        <v>0</v>
      </c>
      <c r="DV205" s="409">
        <f t="shared" si="305"/>
        <v>0</v>
      </c>
      <c r="DW205" s="409">
        <f t="shared" si="305"/>
        <v>0</v>
      </c>
      <c r="DX205" s="409">
        <f t="shared" si="305"/>
        <v>0</v>
      </c>
      <c r="DY205" s="409">
        <f t="shared" si="306"/>
        <v>0</v>
      </c>
      <c r="DZ205" s="409">
        <f t="shared" si="306"/>
        <v>0</v>
      </c>
      <c r="EA205" s="409">
        <f t="shared" si="306"/>
        <v>0</v>
      </c>
      <c r="EB205" s="409">
        <f t="shared" si="306"/>
        <v>0</v>
      </c>
      <c r="EC205" s="409">
        <f t="shared" si="306"/>
        <v>0</v>
      </c>
      <c r="ED205" s="409">
        <f t="shared" si="306"/>
        <v>0</v>
      </c>
      <c r="EE205" s="409">
        <f t="shared" si="306"/>
        <v>0</v>
      </c>
      <c r="EF205" s="409">
        <f t="shared" si="306"/>
        <v>0</v>
      </c>
      <c r="EG205" s="409">
        <f t="shared" si="306"/>
        <v>0</v>
      </c>
      <c r="EH205" s="409">
        <f t="shared" si="306"/>
        <v>0</v>
      </c>
      <c r="EI205" s="409">
        <f t="shared" si="307"/>
        <v>0</v>
      </c>
      <c r="EJ205" s="409">
        <f t="shared" si="307"/>
        <v>0</v>
      </c>
      <c r="EK205" s="409">
        <f t="shared" si="307"/>
        <v>0</v>
      </c>
      <c r="EL205" s="409">
        <f t="shared" si="307"/>
        <v>0</v>
      </c>
      <c r="EM205" s="409">
        <f t="shared" si="307"/>
        <v>0</v>
      </c>
      <c r="EN205" s="409">
        <f t="shared" si="307"/>
        <v>0</v>
      </c>
      <c r="EO205" s="409">
        <f t="shared" si="307"/>
        <v>0</v>
      </c>
      <c r="EP205" s="409">
        <f t="shared" si="307"/>
        <v>0</v>
      </c>
      <c r="EQ205" s="409">
        <f t="shared" si="307"/>
        <v>0</v>
      </c>
      <c r="ER205" s="409">
        <f t="shared" si="307"/>
        <v>0</v>
      </c>
      <c r="ES205" s="409">
        <f t="shared" si="308"/>
        <v>0</v>
      </c>
      <c r="ET205" s="409">
        <f t="shared" si="308"/>
        <v>0</v>
      </c>
      <c r="EU205" s="409">
        <f t="shared" si="308"/>
        <v>0</v>
      </c>
      <c r="EV205" s="409">
        <f t="shared" si="308"/>
        <v>0</v>
      </c>
      <c r="EW205" s="409">
        <f t="shared" si="308"/>
        <v>0</v>
      </c>
      <c r="EX205" s="409">
        <f t="shared" si="308"/>
        <v>0</v>
      </c>
      <c r="EY205" s="409">
        <f t="shared" si="308"/>
        <v>0</v>
      </c>
      <c r="EZ205" s="409">
        <f t="shared" si="308"/>
        <v>0</v>
      </c>
      <c r="FA205" s="409">
        <f t="shared" si="308"/>
        <v>0</v>
      </c>
      <c r="FB205" s="409">
        <f t="shared" si="308"/>
        <v>0</v>
      </c>
      <c r="FC205" s="409">
        <f t="shared" si="309"/>
        <v>0</v>
      </c>
      <c r="FD205" s="409">
        <f t="shared" si="309"/>
        <v>0</v>
      </c>
      <c r="FE205" s="409">
        <f t="shared" si="309"/>
        <v>0</v>
      </c>
      <c r="FF205" s="409">
        <f t="shared" si="309"/>
        <v>0</v>
      </c>
      <c r="FG205" s="409">
        <f t="shared" si="309"/>
        <v>0</v>
      </c>
      <c r="FH205" s="409">
        <f t="shared" si="309"/>
        <v>0</v>
      </c>
      <c r="FI205" s="409">
        <f t="shared" si="309"/>
        <v>0</v>
      </c>
      <c r="FJ205" s="409">
        <f t="shared" si="309"/>
        <v>0</v>
      </c>
      <c r="FK205" s="409">
        <f t="shared" si="309"/>
        <v>0</v>
      </c>
      <c r="FL205" s="409">
        <f t="shared" si="309"/>
        <v>0</v>
      </c>
      <c r="FM205" s="409">
        <f t="shared" si="310"/>
        <v>0</v>
      </c>
      <c r="FN205" s="409">
        <f t="shared" si="310"/>
        <v>0</v>
      </c>
      <c r="FO205" s="409">
        <f t="shared" si="310"/>
        <v>0</v>
      </c>
      <c r="FP205" s="409">
        <f t="shared" si="310"/>
        <v>0</v>
      </c>
      <c r="FQ205" s="409">
        <f t="shared" si="310"/>
        <v>0</v>
      </c>
      <c r="FR205" s="409">
        <f t="shared" si="310"/>
        <v>0</v>
      </c>
      <c r="FS205" s="409">
        <f t="shared" si="310"/>
        <v>0</v>
      </c>
      <c r="FT205" s="409">
        <f t="shared" si="310"/>
        <v>0</v>
      </c>
      <c r="FU205" s="409">
        <f t="shared" si="310"/>
        <v>0</v>
      </c>
      <c r="FV205" s="409">
        <f t="shared" si="310"/>
        <v>0</v>
      </c>
      <c r="FW205" s="409">
        <f t="shared" si="311"/>
        <v>0</v>
      </c>
      <c r="FX205" s="409">
        <f t="shared" si="311"/>
        <v>0</v>
      </c>
      <c r="FY205" s="409">
        <f t="shared" si="311"/>
        <v>0</v>
      </c>
      <c r="FZ205" s="409">
        <f t="shared" si="311"/>
        <v>0</v>
      </c>
      <c r="GA205" s="409">
        <f t="shared" si="311"/>
        <v>0</v>
      </c>
      <c r="GB205" s="409">
        <f t="shared" si="311"/>
        <v>0</v>
      </c>
      <c r="GC205" s="409">
        <f t="shared" si="311"/>
        <v>0</v>
      </c>
      <c r="GD205" s="409">
        <f t="shared" si="311"/>
        <v>0</v>
      </c>
      <c r="GE205" s="409">
        <f t="shared" si="311"/>
        <v>0</v>
      </c>
      <c r="GF205" s="409">
        <f t="shared" si="311"/>
        <v>0</v>
      </c>
      <c r="GG205" s="409">
        <f t="shared" si="312"/>
        <v>0</v>
      </c>
      <c r="GH205" s="409">
        <f t="shared" si="312"/>
        <v>0</v>
      </c>
      <c r="GI205" s="409">
        <f t="shared" si="312"/>
        <v>0</v>
      </c>
      <c r="GJ205" s="409">
        <f t="shared" si="312"/>
        <v>0</v>
      </c>
      <c r="GK205" s="409">
        <f t="shared" si="312"/>
        <v>0</v>
      </c>
      <c r="GL205" s="409">
        <f t="shared" si="312"/>
        <v>0</v>
      </c>
      <c r="GM205" s="409">
        <f t="shared" si="312"/>
        <v>0</v>
      </c>
      <c r="GN205" s="409">
        <f t="shared" si="312"/>
        <v>0</v>
      </c>
      <c r="GO205" s="409">
        <f t="shared" si="312"/>
        <v>0</v>
      </c>
      <c r="GP205" s="409">
        <f t="shared" si="312"/>
        <v>0</v>
      </c>
      <c r="GQ205" s="409">
        <f t="shared" si="313"/>
        <v>0</v>
      </c>
      <c r="GR205" s="409">
        <f t="shared" si="313"/>
        <v>0</v>
      </c>
      <c r="GS205" s="409">
        <f t="shared" si="313"/>
        <v>0</v>
      </c>
      <c r="GT205" s="409">
        <f t="shared" si="313"/>
        <v>0</v>
      </c>
      <c r="GU205" s="409">
        <f t="shared" si="313"/>
        <v>0</v>
      </c>
      <c r="GV205" s="409">
        <f t="shared" si="313"/>
        <v>0</v>
      </c>
      <c r="GW205" s="409">
        <f t="shared" si="313"/>
        <v>0</v>
      </c>
      <c r="GX205" s="409">
        <f t="shared" si="313"/>
        <v>0</v>
      </c>
      <c r="GY205" s="409">
        <f t="shared" si="313"/>
        <v>0</v>
      </c>
      <c r="GZ205" s="409">
        <f t="shared" si="313"/>
        <v>0</v>
      </c>
      <c r="HA205" s="409">
        <f t="shared" si="314"/>
        <v>0</v>
      </c>
      <c r="HB205" s="409">
        <f t="shared" si="314"/>
        <v>0</v>
      </c>
      <c r="HC205" s="409">
        <f t="shared" si="314"/>
        <v>0</v>
      </c>
      <c r="HD205" s="409">
        <f t="shared" si="314"/>
        <v>0</v>
      </c>
      <c r="HE205" s="409">
        <f t="shared" si="314"/>
        <v>0</v>
      </c>
      <c r="HF205" s="409">
        <f t="shared" si="314"/>
        <v>0</v>
      </c>
      <c r="HG205" s="409">
        <f t="shared" si="314"/>
        <v>0</v>
      </c>
      <c r="HH205" s="409">
        <f t="shared" si="314"/>
        <v>0</v>
      </c>
      <c r="HI205" s="409">
        <f t="shared" si="314"/>
        <v>0</v>
      </c>
      <c r="HJ205" s="409">
        <f t="shared" si="314"/>
        <v>0</v>
      </c>
      <c r="HK205" s="409">
        <f t="shared" si="315"/>
        <v>0</v>
      </c>
      <c r="HL205" s="409">
        <f t="shared" si="315"/>
        <v>0</v>
      </c>
      <c r="HM205" s="409">
        <f t="shared" si="315"/>
        <v>0</v>
      </c>
      <c r="HN205" s="409">
        <f t="shared" si="315"/>
        <v>0</v>
      </c>
      <c r="HO205" s="409">
        <f t="shared" si="315"/>
        <v>0</v>
      </c>
      <c r="HP205" s="409">
        <f t="shared" si="315"/>
        <v>0</v>
      </c>
      <c r="HQ205" s="409">
        <f t="shared" si="315"/>
        <v>0</v>
      </c>
      <c r="HR205" s="409">
        <f t="shared" si="315"/>
        <v>0</v>
      </c>
      <c r="HS205" s="409">
        <f t="shared" si="315"/>
        <v>0</v>
      </c>
      <c r="HT205" s="409">
        <f t="shared" si="315"/>
        <v>0</v>
      </c>
      <c r="HU205" s="409">
        <f t="shared" si="316"/>
        <v>0</v>
      </c>
      <c r="HV205" s="409">
        <f t="shared" si="316"/>
        <v>0</v>
      </c>
      <c r="HW205" s="409">
        <f t="shared" si="316"/>
        <v>0</v>
      </c>
      <c r="HX205" s="409">
        <f t="shared" si="316"/>
        <v>0</v>
      </c>
      <c r="HY205" s="409">
        <f t="shared" si="316"/>
        <v>0</v>
      </c>
      <c r="HZ205" s="409">
        <f t="shared" si="316"/>
        <v>0</v>
      </c>
      <c r="IA205" s="409">
        <f t="shared" si="316"/>
        <v>0</v>
      </c>
      <c r="IB205" s="409">
        <f t="shared" si="316"/>
        <v>0</v>
      </c>
      <c r="IC205" s="409">
        <f t="shared" si="316"/>
        <v>0</v>
      </c>
      <c r="ID205" s="409">
        <f t="shared" si="316"/>
        <v>0</v>
      </c>
      <c r="IE205" s="409">
        <f t="shared" si="317"/>
        <v>0</v>
      </c>
      <c r="IF205" s="409">
        <f t="shared" si="317"/>
        <v>0</v>
      </c>
      <c r="IG205" s="409">
        <f t="shared" si="317"/>
        <v>0</v>
      </c>
      <c r="IH205" s="409">
        <f t="shared" si="317"/>
        <v>0</v>
      </c>
      <c r="II205" s="409">
        <f t="shared" si="317"/>
        <v>0</v>
      </c>
      <c r="IJ205" s="409">
        <f t="shared" si="317"/>
        <v>0</v>
      </c>
      <c r="IK205" s="378"/>
    </row>
    <row r="206" spans="1:249" hidden="1" x14ac:dyDescent="0.2">
      <c r="A206" s="380" t="str">
        <f t="shared" si="242"/>
        <v>e</v>
      </c>
      <c r="B206" s="712" t="str">
        <f>IF(ISERROR(INDEX('Legend(DX)'!$H$11:$H$12,49)),"",INDEX('Legend(DX)'!$H$11:$H$12,49))</f>
        <v/>
      </c>
      <c r="C206" s="712" t="e">
        <f>IF(INDEX('Legend(DX)'!$T$11:$T$12,49)=0,"See Legend",INDEX('Legend(DX)'!$T$11:$T$12,49))</f>
        <v>#REF!</v>
      </c>
      <c r="D206" s="712" t="e">
        <f>IF(INDEX('Legend(DX)'!$R$11:$R$12,(ROW(C206))-137)=0,IF(AND(INDEX('Legend(DX)'!$D$11:$D$12,(ROW(C206))-136)="CH",INDEX('Legend(DX)'!$F$11:$F$12,(ROW(C206))-136)="CASE - MANUAL"),INDEX('Legend(DX)'!$R$11:$R$12,(ROW(C206))-136),IF(INDEX('Legend(DX)'!$V$11:$V$12,(ROW(C206))-137)&gt;1, "(" &amp; INDEX('Legend(DX)'!$V$11:$V$12,(ROW(C206))-137) &amp; ") " &amp; INDEX('Legend(DX)'!$W$11:$W$12,(ROW(C206))-136),INDEX('Legend(DX)'!$W$11:$W$12,(ROW(C206))-137))),INDEX('Legend(DX)'!$R$11:$R$12,(ROW(C206))-137))</f>
        <v>#REF!</v>
      </c>
      <c r="E206" s="713" t="str">
        <f>IF(ISERROR(INDEX('Legend(DX)'!$AA$11:$AA$12,49)),"",INDEX('Legend(DX)'!$AA$11:$AA$12,49))</f>
        <v/>
      </c>
      <c r="F206" s="715"/>
      <c r="G206" s="715"/>
      <c r="H206" s="715"/>
      <c r="I206" s="715"/>
      <c r="J206" s="715"/>
      <c r="K206" s="890">
        <f t="shared" si="223"/>
        <v>0</v>
      </c>
      <c r="L206" s="718"/>
      <c r="M206" s="723"/>
      <c r="N206" s="972">
        <f t="shared" si="291"/>
        <v>-1</v>
      </c>
      <c r="O206" s="972">
        <f t="shared" si="224"/>
        <v>-1</v>
      </c>
      <c r="P206" s="972">
        <f t="shared" si="292"/>
        <v>-1</v>
      </c>
      <c r="Q206" s="972">
        <f t="shared" si="225"/>
        <v>-1</v>
      </c>
      <c r="R206" s="972">
        <f t="shared" si="293"/>
        <v>-1</v>
      </c>
      <c r="S206" s="972">
        <f t="shared" si="226"/>
        <v>-1</v>
      </c>
      <c r="T206" s="972">
        <f t="shared" si="294"/>
        <v>-1</v>
      </c>
      <c r="U206" s="972">
        <f t="shared" si="227"/>
        <v>-1</v>
      </c>
      <c r="V206" s="972">
        <f t="shared" si="295"/>
        <v>-1</v>
      </c>
      <c r="W206" s="972">
        <f t="shared" si="228"/>
        <v>-1</v>
      </c>
      <c r="X206" s="972">
        <f t="shared" si="296"/>
        <v>-1</v>
      </c>
      <c r="Y206" s="972">
        <f t="shared" si="229"/>
        <v>-1</v>
      </c>
      <c r="Z206" s="972">
        <f t="shared" si="230"/>
        <v>-1</v>
      </c>
      <c r="AA206" s="972">
        <f t="shared" si="231"/>
        <v>-1</v>
      </c>
      <c r="AB206" s="972">
        <f t="shared" si="232"/>
        <v>-1</v>
      </c>
      <c r="AC206" s="972">
        <f t="shared" si="233"/>
        <v>-1</v>
      </c>
      <c r="AD206" s="972">
        <f t="shared" si="234"/>
        <v>-1</v>
      </c>
      <c r="AE206" s="972">
        <f t="shared" si="235"/>
        <v>-1</v>
      </c>
      <c r="AF206" s="972">
        <f t="shared" si="236"/>
        <v>-1</v>
      </c>
      <c r="AG206" s="972">
        <f t="shared" si="237"/>
        <v>-1</v>
      </c>
      <c r="AH206" s="972">
        <f t="shared" si="238"/>
        <v>-1</v>
      </c>
      <c r="AI206" s="972">
        <f t="shared" si="239"/>
        <v>-1</v>
      </c>
      <c r="AJ206" s="972">
        <f t="shared" si="240"/>
        <v>-1</v>
      </c>
      <c r="AK206" s="381"/>
      <c r="AL206" s="727" t="str">
        <f t="shared" si="241"/>
        <v/>
      </c>
      <c r="AM206" s="409">
        <f t="shared" si="297"/>
        <v>0</v>
      </c>
      <c r="AN206" s="409">
        <f t="shared" si="297"/>
        <v>0</v>
      </c>
      <c r="AO206" s="409">
        <f t="shared" si="297"/>
        <v>0</v>
      </c>
      <c r="AP206" s="409">
        <f t="shared" si="297"/>
        <v>0</v>
      </c>
      <c r="AQ206" s="409">
        <f t="shared" si="297"/>
        <v>0</v>
      </c>
      <c r="AR206" s="409">
        <f t="shared" si="297"/>
        <v>0</v>
      </c>
      <c r="AS206" s="409">
        <f t="shared" si="297"/>
        <v>0</v>
      </c>
      <c r="AT206" s="409">
        <f t="shared" si="297"/>
        <v>0</v>
      </c>
      <c r="AU206" s="409">
        <f t="shared" si="297"/>
        <v>0</v>
      </c>
      <c r="AV206" s="409">
        <f t="shared" si="297"/>
        <v>0</v>
      </c>
      <c r="AW206" s="409">
        <f t="shared" si="298"/>
        <v>0</v>
      </c>
      <c r="AX206" s="409">
        <f t="shared" si="298"/>
        <v>0</v>
      </c>
      <c r="AY206" s="409">
        <f t="shared" si="298"/>
        <v>0</v>
      </c>
      <c r="AZ206" s="409">
        <f t="shared" si="298"/>
        <v>0</v>
      </c>
      <c r="BA206" s="409">
        <f t="shared" si="298"/>
        <v>0</v>
      </c>
      <c r="BB206" s="409">
        <f t="shared" si="298"/>
        <v>0</v>
      </c>
      <c r="BC206" s="409">
        <f t="shared" si="298"/>
        <v>0</v>
      </c>
      <c r="BD206" s="409">
        <f t="shared" si="298"/>
        <v>0</v>
      </c>
      <c r="BE206" s="409">
        <f t="shared" si="298"/>
        <v>0</v>
      </c>
      <c r="BF206" s="409">
        <f t="shared" si="298"/>
        <v>0</v>
      </c>
      <c r="BG206" s="409">
        <f t="shared" si="299"/>
        <v>0</v>
      </c>
      <c r="BH206" s="409">
        <f t="shared" si="299"/>
        <v>0</v>
      </c>
      <c r="BI206" s="409">
        <f t="shared" si="299"/>
        <v>0</v>
      </c>
      <c r="BJ206" s="409">
        <f t="shared" si="299"/>
        <v>0</v>
      </c>
      <c r="BK206" s="409">
        <f t="shared" si="299"/>
        <v>0</v>
      </c>
      <c r="BL206" s="409">
        <f t="shared" si="299"/>
        <v>0</v>
      </c>
      <c r="BM206" s="409">
        <f t="shared" si="299"/>
        <v>0</v>
      </c>
      <c r="BN206" s="409">
        <f t="shared" si="299"/>
        <v>0</v>
      </c>
      <c r="BO206" s="409">
        <f t="shared" si="299"/>
        <v>0</v>
      </c>
      <c r="BP206" s="409">
        <f t="shared" si="299"/>
        <v>0</v>
      </c>
      <c r="BQ206" s="409">
        <f t="shared" si="300"/>
        <v>0</v>
      </c>
      <c r="BR206" s="409">
        <f t="shared" si="300"/>
        <v>0</v>
      </c>
      <c r="BS206" s="409">
        <f t="shared" si="300"/>
        <v>0</v>
      </c>
      <c r="BT206" s="409">
        <f t="shared" si="300"/>
        <v>0</v>
      </c>
      <c r="BU206" s="409">
        <f t="shared" si="300"/>
        <v>0</v>
      </c>
      <c r="BV206" s="409">
        <f t="shared" si="300"/>
        <v>0</v>
      </c>
      <c r="BW206" s="409">
        <f t="shared" si="300"/>
        <v>0</v>
      </c>
      <c r="BX206" s="409">
        <f t="shared" si="300"/>
        <v>0</v>
      </c>
      <c r="BY206" s="409">
        <f t="shared" si="300"/>
        <v>0</v>
      </c>
      <c r="BZ206" s="409">
        <f t="shared" si="300"/>
        <v>0</v>
      </c>
      <c r="CA206" s="409">
        <f t="shared" si="301"/>
        <v>0</v>
      </c>
      <c r="CB206" s="409">
        <f t="shared" si="301"/>
        <v>0</v>
      </c>
      <c r="CC206" s="409">
        <f t="shared" si="301"/>
        <v>0</v>
      </c>
      <c r="CD206" s="409">
        <f t="shared" si="301"/>
        <v>0</v>
      </c>
      <c r="CE206" s="409">
        <f t="shared" si="301"/>
        <v>0</v>
      </c>
      <c r="CF206" s="409">
        <f t="shared" si="301"/>
        <v>0</v>
      </c>
      <c r="CG206" s="409">
        <f t="shared" si="301"/>
        <v>0</v>
      </c>
      <c r="CH206" s="409">
        <f t="shared" si="301"/>
        <v>0</v>
      </c>
      <c r="CI206" s="409">
        <f t="shared" si="301"/>
        <v>0</v>
      </c>
      <c r="CJ206" s="409">
        <f t="shared" si="301"/>
        <v>0</v>
      </c>
      <c r="CK206" s="409">
        <f t="shared" si="302"/>
        <v>0</v>
      </c>
      <c r="CL206" s="409">
        <f t="shared" si="302"/>
        <v>0</v>
      </c>
      <c r="CM206" s="409">
        <f t="shared" si="302"/>
        <v>0</v>
      </c>
      <c r="CN206" s="409">
        <f t="shared" si="302"/>
        <v>0</v>
      </c>
      <c r="CO206" s="409">
        <f t="shared" si="302"/>
        <v>0</v>
      </c>
      <c r="CP206" s="409">
        <f t="shared" si="302"/>
        <v>0</v>
      </c>
      <c r="CQ206" s="409">
        <f t="shared" si="302"/>
        <v>0</v>
      </c>
      <c r="CR206" s="409">
        <f t="shared" si="302"/>
        <v>0</v>
      </c>
      <c r="CS206" s="409">
        <f t="shared" si="302"/>
        <v>0</v>
      </c>
      <c r="CT206" s="409">
        <f t="shared" si="302"/>
        <v>0</v>
      </c>
      <c r="CU206" s="409">
        <f t="shared" si="303"/>
        <v>0</v>
      </c>
      <c r="CV206" s="409">
        <f t="shared" si="303"/>
        <v>0</v>
      </c>
      <c r="CW206" s="409">
        <f t="shared" si="303"/>
        <v>0</v>
      </c>
      <c r="CX206" s="409">
        <f t="shared" si="303"/>
        <v>0</v>
      </c>
      <c r="CY206" s="409">
        <f t="shared" si="303"/>
        <v>0</v>
      </c>
      <c r="CZ206" s="409">
        <f t="shared" si="303"/>
        <v>0</v>
      </c>
      <c r="DA206" s="409">
        <f t="shared" si="303"/>
        <v>0</v>
      </c>
      <c r="DB206" s="409">
        <f t="shared" si="303"/>
        <v>0</v>
      </c>
      <c r="DC206" s="409">
        <f t="shared" si="303"/>
        <v>0</v>
      </c>
      <c r="DD206" s="409">
        <f t="shared" si="303"/>
        <v>0</v>
      </c>
      <c r="DE206" s="409">
        <f t="shared" si="304"/>
        <v>0</v>
      </c>
      <c r="DF206" s="409">
        <f t="shared" si="304"/>
        <v>0</v>
      </c>
      <c r="DG206" s="409">
        <f t="shared" si="304"/>
        <v>0</v>
      </c>
      <c r="DH206" s="409">
        <f t="shared" si="304"/>
        <v>0</v>
      </c>
      <c r="DI206" s="409">
        <f t="shared" si="304"/>
        <v>0</v>
      </c>
      <c r="DJ206" s="409">
        <f t="shared" si="304"/>
        <v>0</v>
      </c>
      <c r="DK206" s="409">
        <f t="shared" si="304"/>
        <v>0</v>
      </c>
      <c r="DL206" s="409">
        <f t="shared" si="304"/>
        <v>0</v>
      </c>
      <c r="DM206" s="409">
        <f t="shared" si="304"/>
        <v>0</v>
      </c>
      <c r="DN206" s="409">
        <f t="shared" si="304"/>
        <v>0</v>
      </c>
      <c r="DO206" s="409">
        <f t="shared" si="305"/>
        <v>0</v>
      </c>
      <c r="DP206" s="409">
        <f t="shared" si="305"/>
        <v>0</v>
      </c>
      <c r="DQ206" s="409">
        <f t="shared" si="305"/>
        <v>0</v>
      </c>
      <c r="DR206" s="409">
        <f t="shared" si="305"/>
        <v>0</v>
      </c>
      <c r="DS206" s="409">
        <f t="shared" si="305"/>
        <v>0</v>
      </c>
      <c r="DT206" s="409">
        <f t="shared" si="305"/>
        <v>0</v>
      </c>
      <c r="DU206" s="409">
        <f t="shared" si="305"/>
        <v>0</v>
      </c>
      <c r="DV206" s="409">
        <f t="shared" si="305"/>
        <v>0</v>
      </c>
      <c r="DW206" s="409">
        <f t="shared" si="305"/>
        <v>0</v>
      </c>
      <c r="DX206" s="409">
        <f t="shared" si="305"/>
        <v>0</v>
      </c>
      <c r="DY206" s="409">
        <f t="shared" si="306"/>
        <v>0</v>
      </c>
      <c r="DZ206" s="409">
        <f t="shared" si="306"/>
        <v>0</v>
      </c>
      <c r="EA206" s="409">
        <f t="shared" si="306"/>
        <v>0</v>
      </c>
      <c r="EB206" s="409">
        <f t="shared" si="306"/>
        <v>0</v>
      </c>
      <c r="EC206" s="409">
        <f t="shared" si="306"/>
        <v>0</v>
      </c>
      <c r="ED206" s="409">
        <f t="shared" si="306"/>
        <v>0</v>
      </c>
      <c r="EE206" s="409">
        <f t="shared" si="306"/>
        <v>0</v>
      </c>
      <c r="EF206" s="409">
        <f t="shared" si="306"/>
        <v>0</v>
      </c>
      <c r="EG206" s="409">
        <f t="shared" si="306"/>
        <v>0</v>
      </c>
      <c r="EH206" s="409">
        <f t="shared" si="306"/>
        <v>0</v>
      </c>
      <c r="EI206" s="409">
        <f t="shared" si="307"/>
        <v>0</v>
      </c>
      <c r="EJ206" s="409">
        <f t="shared" si="307"/>
        <v>0</v>
      </c>
      <c r="EK206" s="409">
        <f t="shared" si="307"/>
        <v>0</v>
      </c>
      <c r="EL206" s="409">
        <f t="shared" si="307"/>
        <v>0</v>
      </c>
      <c r="EM206" s="409">
        <f t="shared" si="307"/>
        <v>0</v>
      </c>
      <c r="EN206" s="409">
        <f t="shared" si="307"/>
        <v>0</v>
      </c>
      <c r="EO206" s="409">
        <f t="shared" si="307"/>
        <v>0</v>
      </c>
      <c r="EP206" s="409">
        <f t="shared" si="307"/>
        <v>0</v>
      </c>
      <c r="EQ206" s="409">
        <f t="shared" si="307"/>
        <v>0</v>
      </c>
      <c r="ER206" s="409">
        <f t="shared" si="307"/>
        <v>0</v>
      </c>
      <c r="ES206" s="409">
        <f t="shared" si="308"/>
        <v>0</v>
      </c>
      <c r="ET206" s="409">
        <f t="shared" si="308"/>
        <v>0</v>
      </c>
      <c r="EU206" s="409">
        <f t="shared" si="308"/>
        <v>0</v>
      </c>
      <c r="EV206" s="409">
        <f t="shared" si="308"/>
        <v>0</v>
      </c>
      <c r="EW206" s="409">
        <f t="shared" si="308"/>
        <v>0</v>
      </c>
      <c r="EX206" s="409">
        <f t="shared" si="308"/>
        <v>0</v>
      </c>
      <c r="EY206" s="409">
        <f t="shared" si="308"/>
        <v>0</v>
      </c>
      <c r="EZ206" s="409">
        <f t="shared" si="308"/>
        <v>0</v>
      </c>
      <c r="FA206" s="409">
        <f t="shared" si="308"/>
        <v>0</v>
      </c>
      <c r="FB206" s="409">
        <f t="shared" si="308"/>
        <v>0</v>
      </c>
      <c r="FC206" s="409">
        <f t="shared" si="309"/>
        <v>0</v>
      </c>
      <c r="FD206" s="409">
        <f t="shared" si="309"/>
        <v>0</v>
      </c>
      <c r="FE206" s="409">
        <f t="shared" si="309"/>
        <v>0</v>
      </c>
      <c r="FF206" s="409">
        <f t="shared" si="309"/>
        <v>0</v>
      </c>
      <c r="FG206" s="409">
        <f t="shared" si="309"/>
        <v>0</v>
      </c>
      <c r="FH206" s="409">
        <f t="shared" si="309"/>
        <v>0</v>
      </c>
      <c r="FI206" s="409">
        <f t="shared" si="309"/>
        <v>0</v>
      </c>
      <c r="FJ206" s="409">
        <f t="shared" si="309"/>
        <v>0</v>
      </c>
      <c r="FK206" s="409">
        <f t="shared" si="309"/>
        <v>0</v>
      </c>
      <c r="FL206" s="409">
        <f t="shared" si="309"/>
        <v>0</v>
      </c>
      <c r="FM206" s="409">
        <f t="shared" si="310"/>
        <v>0</v>
      </c>
      <c r="FN206" s="409">
        <f t="shared" si="310"/>
        <v>0</v>
      </c>
      <c r="FO206" s="409">
        <f t="shared" si="310"/>
        <v>0</v>
      </c>
      <c r="FP206" s="409">
        <f t="shared" si="310"/>
        <v>0</v>
      </c>
      <c r="FQ206" s="409">
        <f t="shared" si="310"/>
        <v>0</v>
      </c>
      <c r="FR206" s="409">
        <f t="shared" si="310"/>
        <v>0</v>
      </c>
      <c r="FS206" s="409">
        <f t="shared" si="310"/>
        <v>0</v>
      </c>
      <c r="FT206" s="409">
        <f t="shared" si="310"/>
        <v>0</v>
      </c>
      <c r="FU206" s="409">
        <f t="shared" si="310"/>
        <v>0</v>
      </c>
      <c r="FV206" s="409">
        <f t="shared" si="310"/>
        <v>0</v>
      </c>
      <c r="FW206" s="409">
        <f t="shared" si="311"/>
        <v>0</v>
      </c>
      <c r="FX206" s="409">
        <f t="shared" si="311"/>
        <v>0</v>
      </c>
      <c r="FY206" s="409">
        <f t="shared" si="311"/>
        <v>0</v>
      </c>
      <c r="FZ206" s="409">
        <f t="shared" si="311"/>
        <v>0</v>
      </c>
      <c r="GA206" s="409">
        <f t="shared" si="311"/>
        <v>0</v>
      </c>
      <c r="GB206" s="409">
        <f t="shared" si="311"/>
        <v>0</v>
      </c>
      <c r="GC206" s="409">
        <f t="shared" si="311"/>
        <v>0</v>
      </c>
      <c r="GD206" s="409">
        <f t="shared" si="311"/>
        <v>0</v>
      </c>
      <c r="GE206" s="409">
        <f t="shared" si="311"/>
        <v>0</v>
      </c>
      <c r="GF206" s="409">
        <f t="shared" si="311"/>
        <v>0</v>
      </c>
      <c r="GG206" s="409">
        <f t="shared" si="312"/>
        <v>0</v>
      </c>
      <c r="GH206" s="409">
        <f t="shared" si="312"/>
        <v>0</v>
      </c>
      <c r="GI206" s="409">
        <f t="shared" si="312"/>
        <v>0</v>
      </c>
      <c r="GJ206" s="409">
        <f t="shared" si="312"/>
        <v>0</v>
      </c>
      <c r="GK206" s="409">
        <f t="shared" si="312"/>
        <v>0</v>
      </c>
      <c r="GL206" s="409">
        <f t="shared" si="312"/>
        <v>0</v>
      </c>
      <c r="GM206" s="409">
        <f t="shared" si="312"/>
        <v>0</v>
      </c>
      <c r="GN206" s="409">
        <f t="shared" si="312"/>
        <v>0</v>
      </c>
      <c r="GO206" s="409">
        <f t="shared" si="312"/>
        <v>0</v>
      </c>
      <c r="GP206" s="409">
        <f t="shared" si="312"/>
        <v>0</v>
      </c>
      <c r="GQ206" s="409">
        <f t="shared" si="313"/>
        <v>0</v>
      </c>
      <c r="GR206" s="409">
        <f t="shared" si="313"/>
        <v>0</v>
      </c>
      <c r="GS206" s="409">
        <f t="shared" si="313"/>
        <v>0</v>
      </c>
      <c r="GT206" s="409">
        <f t="shared" si="313"/>
        <v>0</v>
      </c>
      <c r="GU206" s="409">
        <f t="shared" si="313"/>
        <v>0</v>
      </c>
      <c r="GV206" s="409">
        <f t="shared" si="313"/>
        <v>0</v>
      </c>
      <c r="GW206" s="409">
        <f t="shared" si="313"/>
        <v>0</v>
      </c>
      <c r="GX206" s="409">
        <f t="shared" si="313"/>
        <v>0</v>
      </c>
      <c r="GY206" s="409">
        <f t="shared" si="313"/>
        <v>0</v>
      </c>
      <c r="GZ206" s="409">
        <f t="shared" si="313"/>
        <v>0</v>
      </c>
      <c r="HA206" s="409">
        <f t="shared" si="314"/>
        <v>0</v>
      </c>
      <c r="HB206" s="409">
        <f t="shared" si="314"/>
        <v>0</v>
      </c>
      <c r="HC206" s="409">
        <f t="shared" si="314"/>
        <v>0</v>
      </c>
      <c r="HD206" s="409">
        <f t="shared" si="314"/>
        <v>0</v>
      </c>
      <c r="HE206" s="409">
        <f t="shared" si="314"/>
        <v>0</v>
      </c>
      <c r="HF206" s="409">
        <f t="shared" si="314"/>
        <v>0</v>
      </c>
      <c r="HG206" s="409">
        <f t="shared" si="314"/>
        <v>0</v>
      </c>
      <c r="HH206" s="409">
        <f t="shared" si="314"/>
        <v>0</v>
      </c>
      <c r="HI206" s="409">
        <f t="shared" si="314"/>
        <v>0</v>
      </c>
      <c r="HJ206" s="409">
        <f t="shared" si="314"/>
        <v>0</v>
      </c>
      <c r="HK206" s="409">
        <f t="shared" si="315"/>
        <v>0</v>
      </c>
      <c r="HL206" s="409">
        <f t="shared" si="315"/>
        <v>0</v>
      </c>
      <c r="HM206" s="409">
        <f t="shared" si="315"/>
        <v>0</v>
      </c>
      <c r="HN206" s="409">
        <f t="shared" si="315"/>
        <v>0</v>
      </c>
      <c r="HO206" s="409">
        <f t="shared" si="315"/>
        <v>0</v>
      </c>
      <c r="HP206" s="409">
        <f t="shared" si="315"/>
        <v>0</v>
      </c>
      <c r="HQ206" s="409">
        <f t="shared" si="315"/>
        <v>0</v>
      </c>
      <c r="HR206" s="409">
        <f t="shared" si="315"/>
        <v>0</v>
      </c>
      <c r="HS206" s="409">
        <f t="shared" si="315"/>
        <v>0</v>
      </c>
      <c r="HT206" s="409">
        <f t="shared" si="315"/>
        <v>0</v>
      </c>
      <c r="HU206" s="409">
        <f t="shared" si="316"/>
        <v>0</v>
      </c>
      <c r="HV206" s="409">
        <f t="shared" si="316"/>
        <v>0</v>
      </c>
      <c r="HW206" s="409">
        <f t="shared" si="316"/>
        <v>0</v>
      </c>
      <c r="HX206" s="409">
        <f t="shared" si="316"/>
        <v>0</v>
      </c>
      <c r="HY206" s="409">
        <f t="shared" si="316"/>
        <v>0</v>
      </c>
      <c r="HZ206" s="409">
        <f t="shared" si="316"/>
        <v>0</v>
      </c>
      <c r="IA206" s="409">
        <f t="shared" si="316"/>
        <v>0</v>
      </c>
      <c r="IB206" s="409">
        <f t="shared" si="316"/>
        <v>0</v>
      </c>
      <c r="IC206" s="409">
        <f t="shared" si="316"/>
        <v>0</v>
      </c>
      <c r="ID206" s="409">
        <f t="shared" si="316"/>
        <v>0</v>
      </c>
      <c r="IE206" s="409">
        <f t="shared" si="317"/>
        <v>0</v>
      </c>
      <c r="IF206" s="409">
        <f t="shared" si="317"/>
        <v>0</v>
      </c>
      <c r="IG206" s="409">
        <f t="shared" si="317"/>
        <v>0</v>
      </c>
      <c r="IH206" s="409">
        <f t="shared" si="317"/>
        <v>0</v>
      </c>
      <c r="II206" s="409">
        <f t="shared" si="317"/>
        <v>0</v>
      </c>
      <c r="IJ206" s="409">
        <f t="shared" si="317"/>
        <v>0</v>
      </c>
      <c r="IK206" s="378"/>
    </row>
    <row r="207" spans="1:249" ht="13.5" hidden="1" thickBot="1" x14ac:dyDescent="0.25">
      <c r="A207" s="380" t="str">
        <f t="shared" si="242"/>
        <v>e</v>
      </c>
      <c r="B207" s="712" t="str">
        <f>IF(ISERROR(INDEX('Legend(DX)'!$H$11:$H$12,50)),"",INDEX('Legend(DX)'!$H$11:$H$12,50))</f>
        <v/>
      </c>
      <c r="C207" s="712" t="e">
        <f>IF(INDEX('Legend(DX)'!$T$11:$T$12,50)=0,"See Legend",INDEX('Legend(DX)'!$T$11:$T$12,50))</f>
        <v>#REF!</v>
      </c>
      <c r="D207" s="712" t="e">
        <f>IF(INDEX('Legend(DX)'!$R$11:$R$12,(ROW(C207))-137)=0,IF(AND(INDEX('Legend(DX)'!$D$11:$D$12,(ROW(C207))-136)="CH",INDEX('Legend(DX)'!$F$11:$F$12,(ROW(C207))-136)="CASE - MANUAL"),INDEX('Legend(DX)'!$R$11:$R$12,(ROW(C207))-136),IF(INDEX('Legend(DX)'!$V$11:$V$12,(ROW(C207))-137)&gt;1, "(" &amp; INDEX('Legend(DX)'!$V$11:$V$12,(ROW(C207))-137) &amp; ") " &amp; INDEX('Legend(DX)'!$W$11:$W$12,(ROW(C207))-136),INDEX('Legend(DX)'!$W$11:$W$12,(ROW(C207))-137))),INDEX('Legend(DX)'!$R$11:$R$12,(ROW(C207))-137))</f>
        <v>#REF!</v>
      </c>
      <c r="E207" s="713" t="str">
        <f>IF(ISERROR(INDEX('Legend(DX)'!$AA$11:$AA$12,50)),"",INDEX('Legend(DX)'!$AA$11:$AA$12,50))</f>
        <v/>
      </c>
      <c r="F207" s="716"/>
      <c r="G207" s="716"/>
      <c r="H207" s="716"/>
      <c r="I207" s="716"/>
      <c r="J207" s="716"/>
      <c r="K207" s="890">
        <f t="shared" si="223"/>
        <v>0</v>
      </c>
      <c r="L207" s="721"/>
      <c r="M207" s="723"/>
      <c r="N207" s="972">
        <f t="shared" si="291"/>
        <v>-1</v>
      </c>
      <c r="O207" s="972">
        <f t="shared" si="224"/>
        <v>-1</v>
      </c>
      <c r="P207" s="972">
        <f t="shared" si="292"/>
        <v>-1</v>
      </c>
      <c r="Q207" s="972">
        <f t="shared" si="225"/>
        <v>-1</v>
      </c>
      <c r="R207" s="972">
        <f t="shared" si="293"/>
        <v>-1</v>
      </c>
      <c r="S207" s="972">
        <f t="shared" si="226"/>
        <v>-1</v>
      </c>
      <c r="T207" s="972">
        <f t="shared" si="294"/>
        <v>-1</v>
      </c>
      <c r="U207" s="972">
        <f t="shared" si="227"/>
        <v>-1</v>
      </c>
      <c r="V207" s="972">
        <f t="shared" si="295"/>
        <v>-1</v>
      </c>
      <c r="W207" s="972">
        <f t="shared" si="228"/>
        <v>-1</v>
      </c>
      <c r="X207" s="972">
        <f t="shared" si="296"/>
        <v>-1</v>
      </c>
      <c r="Y207" s="972">
        <f t="shared" si="229"/>
        <v>-1</v>
      </c>
      <c r="Z207" s="972">
        <f t="shared" si="230"/>
        <v>-1</v>
      </c>
      <c r="AA207" s="972">
        <f t="shared" si="231"/>
        <v>-1</v>
      </c>
      <c r="AB207" s="972">
        <f t="shared" si="232"/>
        <v>-1</v>
      </c>
      <c r="AC207" s="972">
        <f t="shared" si="233"/>
        <v>-1</v>
      </c>
      <c r="AD207" s="972">
        <f t="shared" si="234"/>
        <v>-1</v>
      </c>
      <c r="AE207" s="972">
        <f t="shared" si="235"/>
        <v>-1</v>
      </c>
      <c r="AF207" s="972">
        <f t="shared" si="236"/>
        <v>-1</v>
      </c>
      <c r="AG207" s="972">
        <f t="shared" si="237"/>
        <v>-1</v>
      </c>
      <c r="AH207" s="972">
        <f t="shared" si="238"/>
        <v>-1</v>
      </c>
      <c r="AI207" s="972">
        <f t="shared" si="239"/>
        <v>-1</v>
      </c>
      <c r="AJ207" s="972">
        <f t="shared" si="240"/>
        <v>-1</v>
      </c>
      <c r="AK207" s="381"/>
      <c r="AL207" s="728" t="str">
        <f t="shared" si="241"/>
        <v/>
      </c>
      <c r="AM207" s="409">
        <f t="shared" si="297"/>
        <v>0</v>
      </c>
      <c r="AN207" s="409">
        <f t="shared" si="297"/>
        <v>0</v>
      </c>
      <c r="AO207" s="409">
        <f t="shared" si="297"/>
        <v>0</v>
      </c>
      <c r="AP207" s="409">
        <f t="shared" si="297"/>
        <v>0</v>
      </c>
      <c r="AQ207" s="409">
        <f t="shared" si="297"/>
        <v>0</v>
      </c>
      <c r="AR207" s="409">
        <f t="shared" si="297"/>
        <v>0</v>
      </c>
      <c r="AS207" s="409">
        <f t="shared" si="297"/>
        <v>0</v>
      </c>
      <c r="AT207" s="409">
        <f t="shared" si="297"/>
        <v>0</v>
      </c>
      <c r="AU207" s="409">
        <f t="shared" si="297"/>
        <v>0</v>
      </c>
      <c r="AV207" s="409">
        <f t="shared" si="297"/>
        <v>0</v>
      </c>
      <c r="AW207" s="409">
        <f t="shared" si="298"/>
        <v>0</v>
      </c>
      <c r="AX207" s="409">
        <f t="shared" si="298"/>
        <v>0</v>
      </c>
      <c r="AY207" s="409">
        <f t="shared" si="298"/>
        <v>0</v>
      </c>
      <c r="AZ207" s="409">
        <f t="shared" si="298"/>
        <v>0</v>
      </c>
      <c r="BA207" s="409">
        <f t="shared" si="298"/>
        <v>0</v>
      </c>
      <c r="BB207" s="409">
        <f t="shared" si="298"/>
        <v>0</v>
      </c>
      <c r="BC207" s="409">
        <f t="shared" si="298"/>
        <v>0</v>
      </c>
      <c r="BD207" s="409">
        <f t="shared" si="298"/>
        <v>0</v>
      </c>
      <c r="BE207" s="409">
        <f t="shared" si="298"/>
        <v>0</v>
      </c>
      <c r="BF207" s="409">
        <f t="shared" si="298"/>
        <v>0</v>
      </c>
      <c r="BG207" s="409">
        <f t="shared" si="299"/>
        <v>0</v>
      </c>
      <c r="BH207" s="409">
        <f t="shared" si="299"/>
        <v>0</v>
      </c>
      <c r="BI207" s="409">
        <f t="shared" si="299"/>
        <v>0</v>
      </c>
      <c r="BJ207" s="409">
        <f t="shared" si="299"/>
        <v>0</v>
      </c>
      <c r="BK207" s="409">
        <f t="shared" si="299"/>
        <v>0</v>
      </c>
      <c r="BL207" s="409">
        <f t="shared" si="299"/>
        <v>0</v>
      </c>
      <c r="BM207" s="409">
        <f t="shared" si="299"/>
        <v>0</v>
      </c>
      <c r="BN207" s="409">
        <f t="shared" si="299"/>
        <v>0</v>
      </c>
      <c r="BO207" s="409">
        <f t="shared" si="299"/>
        <v>0</v>
      </c>
      <c r="BP207" s="409">
        <f t="shared" si="299"/>
        <v>0</v>
      </c>
      <c r="BQ207" s="409">
        <f t="shared" si="300"/>
        <v>0</v>
      </c>
      <c r="BR207" s="409">
        <f t="shared" si="300"/>
        <v>0</v>
      </c>
      <c r="BS207" s="409">
        <f t="shared" si="300"/>
        <v>0</v>
      </c>
      <c r="BT207" s="409">
        <f t="shared" si="300"/>
        <v>0</v>
      </c>
      <c r="BU207" s="409">
        <f t="shared" si="300"/>
        <v>0</v>
      </c>
      <c r="BV207" s="409">
        <f t="shared" si="300"/>
        <v>0</v>
      </c>
      <c r="BW207" s="409">
        <f t="shared" si="300"/>
        <v>0</v>
      </c>
      <c r="BX207" s="409">
        <f t="shared" si="300"/>
        <v>0</v>
      </c>
      <c r="BY207" s="409">
        <f t="shared" si="300"/>
        <v>0</v>
      </c>
      <c r="BZ207" s="409">
        <f t="shared" si="300"/>
        <v>0</v>
      </c>
      <c r="CA207" s="409">
        <f t="shared" si="301"/>
        <v>0</v>
      </c>
      <c r="CB207" s="409">
        <f t="shared" si="301"/>
        <v>0</v>
      </c>
      <c r="CC207" s="409">
        <f t="shared" si="301"/>
        <v>0</v>
      </c>
      <c r="CD207" s="409">
        <f t="shared" si="301"/>
        <v>0</v>
      </c>
      <c r="CE207" s="409">
        <f t="shared" si="301"/>
        <v>0</v>
      </c>
      <c r="CF207" s="409">
        <f t="shared" si="301"/>
        <v>0</v>
      </c>
      <c r="CG207" s="409">
        <f t="shared" si="301"/>
        <v>0</v>
      </c>
      <c r="CH207" s="409">
        <f t="shared" si="301"/>
        <v>0</v>
      </c>
      <c r="CI207" s="409">
        <f t="shared" si="301"/>
        <v>0</v>
      </c>
      <c r="CJ207" s="409">
        <f t="shared" si="301"/>
        <v>0</v>
      </c>
      <c r="CK207" s="409">
        <f t="shared" si="302"/>
        <v>0</v>
      </c>
      <c r="CL207" s="409">
        <f t="shared" si="302"/>
        <v>0</v>
      </c>
      <c r="CM207" s="409">
        <f t="shared" si="302"/>
        <v>0</v>
      </c>
      <c r="CN207" s="409">
        <f t="shared" si="302"/>
        <v>0</v>
      </c>
      <c r="CO207" s="409">
        <f t="shared" si="302"/>
        <v>0</v>
      </c>
      <c r="CP207" s="409">
        <f t="shared" si="302"/>
        <v>0</v>
      </c>
      <c r="CQ207" s="409">
        <f t="shared" si="302"/>
        <v>0</v>
      </c>
      <c r="CR207" s="409">
        <f t="shared" si="302"/>
        <v>0</v>
      </c>
      <c r="CS207" s="409">
        <f t="shared" si="302"/>
        <v>0</v>
      </c>
      <c r="CT207" s="409">
        <f t="shared" si="302"/>
        <v>0</v>
      </c>
      <c r="CU207" s="409">
        <f t="shared" si="303"/>
        <v>0</v>
      </c>
      <c r="CV207" s="409">
        <f t="shared" si="303"/>
        <v>0</v>
      </c>
      <c r="CW207" s="409">
        <f t="shared" si="303"/>
        <v>0</v>
      </c>
      <c r="CX207" s="409">
        <f t="shared" si="303"/>
        <v>0</v>
      </c>
      <c r="CY207" s="409">
        <f t="shared" si="303"/>
        <v>0</v>
      </c>
      <c r="CZ207" s="409">
        <f t="shared" si="303"/>
        <v>0</v>
      </c>
      <c r="DA207" s="409">
        <f t="shared" si="303"/>
        <v>0</v>
      </c>
      <c r="DB207" s="409">
        <f t="shared" si="303"/>
        <v>0</v>
      </c>
      <c r="DC207" s="409">
        <f t="shared" si="303"/>
        <v>0</v>
      </c>
      <c r="DD207" s="409">
        <f t="shared" si="303"/>
        <v>0</v>
      </c>
      <c r="DE207" s="409">
        <f t="shared" si="304"/>
        <v>0</v>
      </c>
      <c r="DF207" s="409">
        <f t="shared" si="304"/>
        <v>0</v>
      </c>
      <c r="DG207" s="409">
        <f t="shared" si="304"/>
        <v>0</v>
      </c>
      <c r="DH207" s="409">
        <f t="shared" si="304"/>
        <v>0</v>
      </c>
      <c r="DI207" s="409">
        <f t="shared" si="304"/>
        <v>0</v>
      </c>
      <c r="DJ207" s="409">
        <f t="shared" si="304"/>
        <v>0</v>
      </c>
      <c r="DK207" s="409">
        <f t="shared" si="304"/>
        <v>0</v>
      </c>
      <c r="DL207" s="409">
        <f t="shared" si="304"/>
        <v>0</v>
      </c>
      <c r="DM207" s="409">
        <f t="shared" si="304"/>
        <v>0</v>
      </c>
      <c r="DN207" s="409">
        <f t="shared" si="304"/>
        <v>0</v>
      </c>
      <c r="DO207" s="409">
        <f t="shared" si="305"/>
        <v>0</v>
      </c>
      <c r="DP207" s="409">
        <f t="shared" si="305"/>
        <v>0</v>
      </c>
      <c r="DQ207" s="409">
        <f t="shared" si="305"/>
        <v>0</v>
      </c>
      <c r="DR207" s="409">
        <f t="shared" si="305"/>
        <v>0</v>
      </c>
      <c r="DS207" s="409">
        <f t="shared" si="305"/>
        <v>0</v>
      </c>
      <c r="DT207" s="409">
        <f t="shared" si="305"/>
        <v>0</v>
      </c>
      <c r="DU207" s="409">
        <f t="shared" si="305"/>
        <v>0</v>
      </c>
      <c r="DV207" s="409">
        <f t="shared" si="305"/>
        <v>0</v>
      </c>
      <c r="DW207" s="409">
        <f t="shared" si="305"/>
        <v>0</v>
      </c>
      <c r="DX207" s="409">
        <f t="shared" si="305"/>
        <v>0</v>
      </c>
      <c r="DY207" s="409">
        <f t="shared" si="306"/>
        <v>0</v>
      </c>
      <c r="DZ207" s="409">
        <f t="shared" si="306"/>
        <v>0</v>
      </c>
      <c r="EA207" s="409">
        <f t="shared" si="306"/>
        <v>0</v>
      </c>
      <c r="EB207" s="409">
        <f t="shared" si="306"/>
        <v>0</v>
      </c>
      <c r="EC207" s="409">
        <f t="shared" si="306"/>
        <v>0</v>
      </c>
      <c r="ED207" s="409">
        <f t="shared" si="306"/>
        <v>0</v>
      </c>
      <c r="EE207" s="409">
        <f t="shared" si="306"/>
        <v>0</v>
      </c>
      <c r="EF207" s="409">
        <f t="shared" si="306"/>
        <v>0</v>
      </c>
      <c r="EG207" s="409">
        <f t="shared" si="306"/>
        <v>0</v>
      </c>
      <c r="EH207" s="409">
        <f t="shared" si="306"/>
        <v>0</v>
      </c>
      <c r="EI207" s="409">
        <f t="shared" si="307"/>
        <v>0</v>
      </c>
      <c r="EJ207" s="409">
        <f t="shared" si="307"/>
        <v>0</v>
      </c>
      <c r="EK207" s="409">
        <f t="shared" si="307"/>
        <v>0</v>
      </c>
      <c r="EL207" s="409">
        <f t="shared" si="307"/>
        <v>0</v>
      </c>
      <c r="EM207" s="409">
        <f t="shared" si="307"/>
        <v>0</v>
      </c>
      <c r="EN207" s="409">
        <f t="shared" si="307"/>
        <v>0</v>
      </c>
      <c r="EO207" s="409">
        <f t="shared" si="307"/>
        <v>0</v>
      </c>
      <c r="EP207" s="409">
        <f t="shared" si="307"/>
        <v>0</v>
      </c>
      <c r="EQ207" s="409">
        <f t="shared" si="307"/>
        <v>0</v>
      </c>
      <c r="ER207" s="409">
        <f t="shared" si="307"/>
        <v>0</v>
      </c>
      <c r="ES207" s="409">
        <f t="shared" si="308"/>
        <v>0</v>
      </c>
      <c r="ET207" s="409">
        <f t="shared" si="308"/>
        <v>0</v>
      </c>
      <c r="EU207" s="409">
        <f t="shared" si="308"/>
        <v>0</v>
      </c>
      <c r="EV207" s="409">
        <f t="shared" si="308"/>
        <v>0</v>
      </c>
      <c r="EW207" s="409">
        <f t="shared" si="308"/>
        <v>0</v>
      </c>
      <c r="EX207" s="409">
        <f t="shared" si="308"/>
        <v>0</v>
      </c>
      <c r="EY207" s="409">
        <f t="shared" si="308"/>
        <v>0</v>
      </c>
      <c r="EZ207" s="409">
        <f t="shared" si="308"/>
        <v>0</v>
      </c>
      <c r="FA207" s="409">
        <f t="shared" si="308"/>
        <v>0</v>
      </c>
      <c r="FB207" s="409">
        <f t="shared" si="308"/>
        <v>0</v>
      </c>
      <c r="FC207" s="409">
        <f t="shared" si="309"/>
        <v>0</v>
      </c>
      <c r="FD207" s="409">
        <f t="shared" si="309"/>
        <v>0</v>
      </c>
      <c r="FE207" s="409">
        <f t="shared" si="309"/>
        <v>0</v>
      </c>
      <c r="FF207" s="409">
        <f t="shared" si="309"/>
        <v>0</v>
      </c>
      <c r="FG207" s="409">
        <f t="shared" si="309"/>
        <v>0</v>
      </c>
      <c r="FH207" s="409">
        <f t="shared" si="309"/>
        <v>0</v>
      </c>
      <c r="FI207" s="409">
        <f t="shared" si="309"/>
        <v>0</v>
      </c>
      <c r="FJ207" s="409">
        <f t="shared" si="309"/>
        <v>0</v>
      </c>
      <c r="FK207" s="409">
        <f t="shared" si="309"/>
        <v>0</v>
      </c>
      <c r="FL207" s="409">
        <f t="shared" si="309"/>
        <v>0</v>
      </c>
      <c r="FM207" s="409">
        <f t="shared" si="310"/>
        <v>0</v>
      </c>
      <c r="FN207" s="409">
        <f t="shared" si="310"/>
        <v>0</v>
      </c>
      <c r="FO207" s="409">
        <f t="shared" si="310"/>
        <v>0</v>
      </c>
      <c r="FP207" s="409">
        <f t="shared" si="310"/>
        <v>0</v>
      </c>
      <c r="FQ207" s="409">
        <f t="shared" si="310"/>
        <v>0</v>
      </c>
      <c r="FR207" s="409">
        <f t="shared" si="310"/>
        <v>0</v>
      </c>
      <c r="FS207" s="409">
        <f t="shared" si="310"/>
        <v>0</v>
      </c>
      <c r="FT207" s="409">
        <f t="shared" si="310"/>
        <v>0</v>
      </c>
      <c r="FU207" s="409">
        <f t="shared" si="310"/>
        <v>0</v>
      </c>
      <c r="FV207" s="409">
        <f t="shared" si="310"/>
        <v>0</v>
      </c>
      <c r="FW207" s="409">
        <f t="shared" si="311"/>
        <v>0</v>
      </c>
      <c r="FX207" s="409">
        <f t="shared" si="311"/>
        <v>0</v>
      </c>
      <c r="FY207" s="409">
        <f t="shared" si="311"/>
        <v>0</v>
      </c>
      <c r="FZ207" s="409">
        <f t="shared" si="311"/>
        <v>0</v>
      </c>
      <c r="GA207" s="409">
        <f t="shared" si="311"/>
        <v>0</v>
      </c>
      <c r="GB207" s="409">
        <f t="shared" si="311"/>
        <v>0</v>
      </c>
      <c r="GC207" s="409">
        <f t="shared" si="311"/>
        <v>0</v>
      </c>
      <c r="GD207" s="409">
        <f t="shared" si="311"/>
        <v>0</v>
      </c>
      <c r="GE207" s="409">
        <f t="shared" si="311"/>
        <v>0</v>
      </c>
      <c r="GF207" s="409">
        <f t="shared" si="311"/>
        <v>0</v>
      </c>
      <c r="GG207" s="409">
        <f t="shared" si="312"/>
        <v>0</v>
      </c>
      <c r="GH207" s="409">
        <f t="shared" si="312"/>
        <v>0</v>
      </c>
      <c r="GI207" s="409">
        <f t="shared" si="312"/>
        <v>0</v>
      </c>
      <c r="GJ207" s="409">
        <f t="shared" si="312"/>
        <v>0</v>
      </c>
      <c r="GK207" s="409">
        <f t="shared" si="312"/>
        <v>0</v>
      </c>
      <c r="GL207" s="409">
        <f t="shared" si="312"/>
        <v>0</v>
      </c>
      <c r="GM207" s="409">
        <f t="shared" si="312"/>
        <v>0</v>
      </c>
      <c r="GN207" s="409">
        <f t="shared" si="312"/>
        <v>0</v>
      </c>
      <c r="GO207" s="409">
        <f t="shared" si="312"/>
        <v>0</v>
      </c>
      <c r="GP207" s="409">
        <f t="shared" si="312"/>
        <v>0</v>
      </c>
      <c r="GQ207" s="409">
        <f t="shared" si="313"/>
        <v>0</v>
      </c>
      <c r="GR207" s="409">
        <f t="shared" si="313"/>
        <v>0</v>
      </c>
      <c r="GS207" s="409">
        <f t="shared" si="313"/>
        <v>0</v>
      </c>
      <c r="GT207" s="409">
        <f t="shared" si="313"/>
        <v>0</v>
      </c>
      <c r="GU207" s="409">
        <f t="shared" si="313"/>
        <v>0</v>
      </c>
      <c r="GV207" s="409">
        <f t="shared" si="313"/>
        <v>0</v>
      </c>
      <c r="GW207" s="409">
        <f t="shared" si="313"/>
        <v>0</v>
      </c>
      <c r="GX207" s="409">
        <f t="shared" si="313"/>
        <v>0</v>
      </c>
      <c r="GY207" s="409">
        <f t="shared" si="313"/>
        <v>0</v>
      </c>
      <c r="GZ207" s="409">
        <f t="shared" si="313"/>
        <v>0</v>
      </c>
      <c r="HA207" s="409">
        <f t="shared" si="314"/>
        <v>0</v>
      </c>
      <c r="HB207" s="409">
        <f t="shared" si="314"/>
        <v>0</v>
      </c>
      <c r="HC207" s="409">
        <f t="shared" si="314"/>
        <v>0</v>
      </c>
      <c r="HD207" s="409">
        <f t="shared" si="314"/>
        <v>0</v>
      </c>
      <c r="HE207" s="409">
        <f t="shared" si="314"/>
        <v>0</v>
      </c>
      <c r="HF207" s="409">
        <f t="shared" si="314"/>
        <v>0</v>
      </c>
      <c r="HG207" s="409">
        <f t="shared" si="314"/>
        <v>0</v>
      </c>
      <c r="HH207" s="409">
        <f t="shared" si="314"/>
        <v>0</v>
      </c>
      <c r="HI207" s="409">
        <f t="shared" si="314"/>
        <v>0</v>
      </c>
      <c r="HJ207" s="409">
        <f t="shared" si="314"/>
        <v>0</v>
      </c>
      <c r="HK207" s="409">
        <f t="shared" si="315"/>
        <v>0</v>
      </c>
      <c r="HL207" s="409">
        <f t="shared" si="315"/>
        <v>0</v>
      </c>
      <c r="HM207" s="409">
        <f t="shared" si="315"/>
        <v>0</v>
      </c>
      <c r="HN207" s="409">
        <f t="shared" si="315"/>
        <v>0</v>
      </c>
      <c r="HO207" s="409">
        <f t="shared" si="315"/>
        <v>0</v>
      </c>
      <c r="HP207" s="409">
        <f t="shared" si="315"/>
        <v>0</v>
      </c>
      <c r="HQ207" s="409">
        <f t="shared" si="315"/>
        <v>0</v>
      </c>
      <c r="HR207" s="409">
        <f t="shared" si="315"/>
        <v>0</v>
      </c>
      <c r="HS207" s="409">
        <f t="shared" si="315"/>
        <v>0</v>
      </c>
      <c r="HT207" s="409">
        <f t="shared" si="315"/>
        <v>0</v>
      </c>
      <c r="HU207" s="409">
        <f t="shared" si="316"/>
        <v>0</v>
      </c>
      <c r="HV207" s="409">
        <f t="shared" si="316"/>
        <v>0</v>
      </c>
      <c r="HW207" s="409">
        <f t="shared" si="316"/>
        <v>0</v>
      </c>
      <c r="HX207" s="409">
        <f t="shared" si="316"/>
        <v>0</v>
      </c>
      <c r="HY207" s="409">
        <f t="shared" si="316"/>
        <v>0</v>
      </c>
      <c r="HZ207" s="409">
        <f t="shared" si="316"/>
        <v>0</v>
      </c>
      <c r="IA207" s="409">
        <f t="shared" si="316"/>
        <v>0</v>
      </c>
      <c r="IB207" s="409">
        <f t="shared" si="316"/>
        <v>0</v>
      </c>
      <c r="IC207" s="409">
        <f t="shared" si="316"/>
        <v>0</v>
      </c>
      <c r="ID207" s="409">
        <f t="shared" si="316"/>
        <v>0</v>
      </c>
      <c r="IE207" s="409">
        <f t="shared" si="317"/>
        <v>0</v>
      </c>
      <c r="IF207" s="409">
        <f t="shared" si="317"/>
        <v>0</v>
      </c>
      <c r="IG207" s="409">
        <f t="shared" si="317"/>
        <v>0</v>
      </c>
      <c r="IH207" s="409">
        <f t="shared" si="317"/>
        <v>0</v>
      </c>
      <c r="II207" s="409">
        <f t="shared" si="317"/>
        <v>0</v>
      </c>
      <c r="IJ207" s="409">
        <f t="shared" si="317"/>
        <v>0</v>
      </c>
      <c r="IK207" s="378"/>
    </row>
    <row r="208" spans="1:249" x14ac:dyDescent="0.2">
      <c r="B208" s="383"/>
      <c r="C208" s="383"/>
      <c r="D208" s="383"/>
      <c r="E208" s="402"/>
      <c r="F208" s="382"/>
      <c r="G208" s="382"/>
      <c r="H208" s="382"/>
      <c r="I208" s="382"/>
      <c r="J208" s="382"/>
      <c r="K208" s="382"/>
      <c r="L208" s="384"/>
      <c r="M208" s="382"/>
      <c r="N208" s="382"/>
      <c r="O208" s="382"/>
      <c r="P208" s="382"/>
      <c r="Q208" s="382"/>
      <c r="R208" s="382"/>
      <c r="S208" s="382"/>
      <c r="T208" s="382"/>
      <c r="U208" s="382"/>
      <c r="V208" s="382"/>
      <c r="W208" s="382"/>
      <c r="X208" s="382"/>
      <c r="AL208" s="729" t="s">
        <v>733</v>
      </c>
      <c r="AM208" s="385">
        <f>IF(ISNA(AM$157),"",IF($E209=0,0,AM209/$E209))</f>
        <v>0</v>
      </c>
      <c r="AN208" s="385">
        <f t="shared" ref="AN208:CY208" si="318">IF(ISNA(AN$157),"",IF($E209=0,0,AN209/$E209))</f>
        <v>0</v>
      </c>
      <c r="AO208" s="385">
        <f t="shared" si="318"/>
        <v>0</v>
      </c>
      <c r="AP208" s="385">
        <f t="shared" si="318"/>
        <v>0</v>
      </c>
      <c r="AQ208" s="385">
        <f t="shared" si="318"/>
        <v>0</v>
      </c>
      <c r="AR208" s="385">
        <f t="shared" si="318"/>
        <v>0</v>
      </c>
      <c r="AS208" s="385">
        <f t="shared" si="318"/>
        <v>0</v>
      </c>
      <c r="AT208" s="385">
        <f t="shared" si="318"/>
        <v>0</v>
      </c>
      <c r="AU208" s="385">
        <f t="shared" si="318"/>
        <v>0</v>
      </c>
      <c r="AV208" s="385">
        <f t="shared" si="318"/>
        <v>0</v>
      </c>
      <c r="AW208" s="385">
        <f t="shared" si="318"/>
        <v>0</v>
      </c>
      <c r="AX208" s="385">
        <f t="shared" si="318"/>
        <v>0</v>
      </c>
      <c r="AY208" s="385">
        <f t="shared" si="318"/>
        <v>0</v>
      </c>
      <c r="AZ208" s="385">
        <f t="shared" si="318"/>
        <v>0</v>
      </c>
      <c r="BA208" s="385">
        <f t="shared" si="318"/>
        <v>0</v>
      </c>
      <c r="BB208" s="385">
        <f t="shared" si="318"/>
        <v>0</v>
      </c>
      <c r="BC208" s="385">
        <f t="shared" si="318"/>
        <v>0</v>
      </c>
      <c r="BD208" s="385">
        <f t="shared" si="318"/>
        <v>0</v>
      </c>
      <c r="BE208" s="385">
        <f t="shared" si="318"/>
        <v>0</v>
      </c>
      <c r="BF208" s="385">
        <f t="shared" si="318"/>
        <v>0</v>
      </c>
      <c r="BG208" s="385">
        <f t="shared" si="318"/>
        <v>0</v>
      </c>
      <c r="BH208" s="385">
        <f t="shared" si="318"/>
        <v>0</v>
      </c>
      <c r="BI208" s="385">
        <f t="shared" si="318"/>
        <v>0</v>
      </c>
      <c r="BJ208" s="385">
        <f t="shared" si="318"/>
        <v>0</v>
      </c>
      <c r="BK208" s="385">
        <f t="shared" si="318"/>
        <v>0</v>
      </c>
      <c r="BL208" s="385">
        <f t="shared" si="318"/>
        <v>0</v>
      </c>
      <c r="BM208" s="385">
        <f t="shared" si="318"/>
        <v>0</v>
      </c>
      <c r="BN208" s="385">
        <f t="shared" si="318"/>
        <v>0</v>
      </c>
      <c r="BO208" s="385">
        <f t="shared" si="318"/>
        <v>0</v>
      </c>
      <c r="BP208" s="385">
        <f t="shared" si="318"/>
        <v>0</v>
      </c>
      <c r="BQ208" s="385">
        <f t="shared" si="318"/>
        <v>0</v>
      </c>
      <c r="BR208" s="385">
        <f t="shared" si="318"/>
        <v>0</v>
      </c>
      <c r="BS208" s="385">
        <f t="shared" si="318"/>
        <v>0</v>
      </c>
      <c r="BT208" s="385">
        <f t="shared" si="318"/>
        <v>0</v>
      </c>
      <c r="BU208" s="385">
        <f t="shared" si="318"/>
        <v>0</v>
      </c>
      <c r="BV208" s="385">
        <f t="shared" si="318"/>
        <v>0</v>
      </c>
      <c r="BW208" s="385">
        <f t="shared" si="318"/>
        <v>0</v>
      </c>
      <c r="BX208" s="385">
        <f t="shared" si="318"/>
        <v>0</v>
      </c>
      <c r="BY208" s="385">
        <f t="shared" si="318"/>
        <v>0</v>
      </c>
      <c r="BZ208" s="385">
        <f t="shared" si="318"/>
        <v>0</v>
      </c>
      <c r="CA208" s="385">
        <f t="shared" si="318"/>
        <v>0</v>
      </c>
      <c r="CB208" s="385">
        <f t="shared" si="318"/>
        <v>0</v>
      </c>
      <c r="CC208" s="385">
        <f t="shared" si="318"/>
        <v>0</v>
      </c>
      <c r="CD208" s="385">
        <f t="shared" si="318"/>
        <v>0</v>
      </c>
      <c r="CE208" s="385">
        <f t="shared" si="318"/>
        <v>0</v>
      </c>
      <c r="CF208" s="385">
        <f t="shared" si="318"/>
        <v>0</v>
      </c>
      <c r="CG208" s="385">
        <f t="shared" si="318"/>
        <v>0</v>
      </c>
      <c r="CH208" s="385">
        <f t="shared" si="318"/>
        <v>0</v>
      </c>
      <c r="CI208" s="385">
        <f t="shared" si="318"/>
        <v>0</v>
      </c>
      <c r="CJ208" s="385">
        <f t="shared" si="318"/>
        <v>0</v>
      </c>
      <c r="CK208" s="385">
        <f t="shared" si="318"/>
        <v>0</v>
      </c>
      <c r="CL208" s="385">
        <f t="shared" si="318"/>
        <v>0</v>
      </c>
      <c r="CM208" s="385">
        <f t="shared" si="318"/>
        <v>0</v>
      </c>
      <c r="CN208" s="385">
        <f t="shared" si="318"/>
        <v>0</v>
      </c>
      <c r="CO208" s="385">
        <f t="shared" si="318"/>
        <v>0</v>
      </c>
      <c r="CP208" s="385">
        <f t="shared" si="318"/>
        <v>0</v>
      </c>
      <c r="CQ208" s="385">
        <f t="shared" si="318"/>
        <v>0</v>
      </c>
      <c r="CR208" s="385">
        <f t="shared" si="318"/>
        <v>0</v>
      </c>
      <c r="CS208" s="385">
        <f t="shared" si="318"/>
        <v>0</v>
      </c>
      <c r="CT208" s="385">
        <f t="shared" si="318"/>
        <v>0</v>
      </c>
      <c r="CU208" s="385">
        <f t="shared" si="318"/>
        <v>0</v>
      </c>
      <c r="CV208" s="385">
        <f t="shared" si="318"/>
        <v>0</v>
      </c>
      <c r="CW208" s="385">
        <f t="shared" si="318"/>
        <v>0</v>
      </c>
      <c r="CX208" s="385">
        <f t="shared" si="318"/>
        <v>0</v>
      </c>
      <c r="CY208" s="385">
        <f t="shared" si="318"/>
        <v>0</v>
      </c>
      <c r="CZ208" s="385">
        <f t="shared" ref="CZ208:FK208" si="319">IF(ISNA(CZ$157),"",IF($E209=0,0,CZ209/$E209))</f>
        <v>0</v>
      </c>
      <c r="DA208" s="385">
        <f t="shared" si="319"/>
        <v>0</v>
      </c>
      <c r="DB208" s="385">
        <f t="shared" si="319"/>
        <v>0</v>
      </c>
      <c r="DC208" s="385">
        <f t="shared" si="319"/>
        <v>0</v>
      </c>
      <c r="DD208" s="385">
        <f t="shared" si="319"/>
        <v>0</v>
      </c>
      <c r="DE208" s="385">
        <f t="shared" si="319"/>
        <v>0</v>
      </c>
      <c r="DF208" s="385">
        <f t="shared" si="319"/>
        <v>0</v>
      </c>
      <c r="DG208" s="385">
        <f t="shared" si="319"/>
        <v>0</v>
      </c>
      <c r="DH208" s="385">
        <f t="shared" si="319"/>
        <v>0</v>
      </c>
      <c r="DI208" s="385">
        <f t="shared" si="319"/>
        <v>0</v>
      </c>
      <c r="DJ208" s="385">
        <f t="shared" si="319"/>
        <v>0</v>
      </c>
      <c r="DK208" s="385">
        <f t="shared" si="319"/>
        <v>0</v>
      </c>
      <c r="DL208" s="385">
        <f t="shared" si="319"/>
        <v>0</v>
      </c>
      <c r="DM208" s="385">
        <f t="shared" si="319"/>
        <v>0</v>
      </c>
      <c r="DN208" s="385">
        <f t="shared" si="319"/>
        <v>0</v>
      </c>
      <c r="DO208" s="385">
        <f t="shared" si="319"/>
        <v>0</v>
      </c>
      <c r="DP208" s="385">
        <f t="shared" si="319"/>
        <v>0</v>
      </c>
      <c r="DQ208" s="385">
        <f t="shared" si="319"/>
        <v>0</v>
      </c>
      <c r="DR208" s="385">
        <f t="shared" si="319"/>
        <v>0</v>
      </c>
      <c r="DS208" s="385">
        <f t="shared" si="319"/>
        <v>0</v>
      </c>
      <c r="DT208" s="385">
        <f t="shared" si="319"/>
        <v>0</v>
      </c>
      <c r="DU208" s="385">
        <f t="shared" si="319"/>
        <v>0</v>
      </c>
      <c r="DV208" s="385">
        <f t="shared" si="319"/>
        <v>0</v>
      </c>
      <c r="DW208" s="385">
        <f t="shared" si="319"/>
        <v>0</v>
      </c>
      <c r="DX208" s="385">
        <f t="shared" si="319"/>
        <v>0</v>
      </c>
      <c r="DY208" s="385">
        <f t="shared" si="319"/>
        <v>0</v>
      </c>
      <c r="DZ208" s="385">
        <f t="shared" si="319"/>
        <v>0</v>
      </c>
      <c r="EA208" s="385">
        <f t="shared" si="319"/>
        <v>0</v>
      </c>
      <c r="EB208" s="385">
        <f t="shared" si="319"/>
        <v>0</v>
      </c>
      <c r="EC208" s="385">
        <f t="shared" si="319"/>
        <v>0</v>
      </c>
      <c r="ED208" s="385">
        <f t="shared" si="319"/>
        <v>0</v>
      </c>
      <c r="EE208" s="385">
        <f t="shared" si="319"/>
        <v>0</v>
      </c>
      <c r="EF208" s="385">
        <f t="shared" si="319"/>
        <v>0</v>
      </c>
      <c r="EG208" s="385">
        <f t="shared" si="319"/>
        <v>0</v>
      </c>
      <c r="EH208" s="385">
        <f t="shared" si="319"/>
        <v>0</v>
      </c>
      <c r="EI208" s="385">
        <f t="shared" si="319"/>
        <v>0</v>
      </c>
      <c r="EJ208" s="385">
        <f t="shared" si="319"/>
        <v>0</v>
      </c>
      <c r="EK208" s="385">
        <f t="shared" si="319"/>
        <v>0</v>
      </c>
      <c r="EL208" s="385">
        <f t="shared" si="319"/>
        <v>0</v>
      </c>
      <c r="EM208" s="385">
        <f t="shared" si="319"/>
        <v>0</v>
      </c>
      <c r="EN208" s="385">
        <f t="shared" si="319"/>
        <v>0</v>
      </c>
      <c r="EO208" s="385">
        <f t="shared" si="319"/>
        <v>0</v>
      </c>
      <c r="EP208" s="385">
        <f t="shared" si="319"/>
        <v>0</v>
      </c>
      <c r="EQ208" s="385">
        <f t="shared" si="319"/>
        <v>0</v>
      </c>
      <c r="ER208" s="385">
        <f t="shared" si="319"/>
        <v>0</v>
      </c>
      <c r="ES208" s="385">
        <f t="shared" si="319"/>
        <v>0</v>
      </c>
      <c r="ET208" s="385">
        <f t="shared" si="319"/>
        <v>0</v>
      </c>
      <c r="EU208" s="385">
        <f t="shared" si="319"/>
        <v>0</v>
      </c>
      <c r="EV208" s="385">
        <f t="shared" si="319"/>
        <v>0</v>
      </c>
      <c r="EW208" s="385">
        <f t="shared" si="319"/>
        <v>0</v>
      </c>
      <c r="EX208" s="385">
        <f t="shared" si="319"/>
        <v>0</v>
      </c>
      <c r="EY208" s="385">
        <f t="shared" si="319"/>
        <v>0</v>
      </c>
      <c r="EZ208" s="385">
        <f t="shared" si="319"/>
        <v>0</v>
      </c>
      <c r="FA208" s="385">
        <f t="shared" si="319"/>
        <v>0</v>
      </c>
      <c r="FB208" s="385">
        <f t="shared" si="319"/>
        <v>0</v>
      </c>
      <c r="FC208" s="385">
        <f t="shared" si="319"/>
        <v>0</v>
      </c>
      <c r="FD208" s="385">
        <f t="shared" si="319"/>
        <v>0</v>
      </c>
      <c r="FE208" s="385">
        <f t="shared" si="319"/>
        <v>0</v>
      </c>
      <c r="FF208" s="385">
        <f t="shared" si="319"/>
        <v>0</v>
      </c>
      <c r="FG208" s="385">
        <f t="shared" si="319"/>
        <v>0</v>
      </c>
      <c r="FH208" s="385">
        <f t="shared" si="319"/>
        <v>0</v>
      </c>
      <c r="FI208" s="385">
        <f t="shared" si="319"/>
        <v>0</v>
      </c>
      <c r="FJ208" s="385">
        <f t="shared" si="319"/>
        <v>0</v>
      </c>
      <c r="FK208" s="385">
        <f t="shared" si="319"/>
        <v>0</v>
      </c>
      <c r="FL208" s="385">
        <f t="shared" ref="FL208:HW208" si="320">IF(ISNA(FL$157),"",IF($E209=0,0,FL209/$E209))</f>
        <v>0</v>
      </c>
      <c r="FM208" s="385">
        <f t="shared" si="320"/>
        <v>0</v>
      </c>
      <c r="FN208" s="385">
        <f t="shared" si="320"/>
        <v>0</v>
      </c>
      <c r="FO208" s="385">
        <f t="shared" si="320"/>
        <v>0</v>
      </c>
      <c r="FP208" s="385">
        <f t="shared" si="320"/>
        <v>0</v>
      </c>
      <c r="FQ208" s="385">
        <f t="shared" si="320"/>
        <v>0</v>
      </c>
      <c r="FR208" s="385">
        <f t="shared" si="320"/>
        <v>0</v>
      </c>
      <c r="FS208" s="385">
        <f t="shared" si="320"/>
        <v>0</v>
      </c>
      <c r="FT208" s="385">
        <f t="shared" si="320"/>
        <v>0</v>
      </c>
      <c r="FU208" s="385">
        <f t="shared" si="320"/>
        <v>0</v>
      </c>
      <c r="FV208" s="385">
        <f t="shared" si="320"/>
        <v>0</v>
      </c>
      <c r="FW208" s="385">
        <f t="shared" si="320"/>
        <v>0</v>
      </c>
      <c r="FX208" s="385">
        <f t="shared" si="320"/>
        <v>0</v>
      </c>
      <c r="FY208" s="385">
        <f t="shared" si="320"/>
        <v>0</v>
      </c>
      <c r="FZ208" s="385">
        <f t="shared" si="320"/>
        <v>0</v>
      </c>
      <c r="GA208" s="385">
        <f t="shared" si="320"/>
        <v>0</v>
      </c>
      <c r="GB208" s="385">
        <f t="shared" si="320"/>
        <v>0</v>
      </c>
      <c r="GC208" s="385">
        <f t="shared" si="320"/>
        <v>0</v>
      </c>
      <c r="GD208" s="385">
        <f t="shared" si="320"/>
        <v>0</v>
      </c>
      <c r="GE208" s="385">
        <f t="shared" si="320"/>
        <v>0</v>
      </c>
      <c r="GF208" s="385">
        <f t="shared" si="320"/>
        <v>0</v>
      </c>
      <c r="GG208" s="385">
        <f t="shared" si="320"/>
        <v>0</v>
      </c>
      <c r="GH208" s="385">
        <f t="shared" si="320"/>
        <v>0</v>
      </c>
      <c r="GI208" s="385">
        <f t="shared" si="320"/>
        <v>0</v>
      </c>
      <c r="GJ208" s="385">
        <f t="shared" si="320"/>
        <v>0</v>
      </c>
      <c r="GK208" s="385">
        <f t="shared" si="320"/>
        <v>0</v>
      </c>
      <c r="GL208" s="385">
        <f t="shared" si="320"/>
        <v>0</v>
      </c>
      <c r="GM208" s="385">
        <f t="shared" si="320"/>
        <v>0</v>
      </c>
      <c r="GN208" s="385">
        <f t="shared" si="320"/>
        <v>0</v>
      </c>
      <c r="GO208" s="385">
        <f t="shared" si="320"/>
        <v>0</v>
      </c>
      <c r="GP208" s="385">
        <f t="shared" si="320"/>
        <v>0</v>
      </c>
      <c r="GQ208" s="385">
        <f t="shared" si="320"/>
        <v>0</v>
      </c>
      <c r="GR208" s="385">
        <f t="shared" si="320"/>
        <v>0</v>
      </c>
      <c r="GS208" s="385">
        <f t="shared" si="320"/>
        <v>0</v>
      </c>
      <c r="GT208" s="385">
        <f t="shared" si="320"/>
        <v>0</v>
      </c>
      <c r="GU208" s="385">
        <f t="shared" si="320"/>
        <v>0</v>
      </c>
      <c r="GV208" s="385">
        <f t="shared" si="320"/>
        <v>0</v>
      </c>
      <c r="GW208" s="385">
        <f t="shared" si="320"/>
        <v>0</v>
      </c>
      <c r="GX208" s="385">
        <f t="shared" si="320"/>
        <v>0</v>
      </c>
      <c r="GY208" s="385">
        <f t="shared" si="320"/>
        <v>0</v>
      </c>
      <c r="GZ208" s="385">
        <f t="shared" si="320"/>
        <v>0</v>
      </c>
      <c r="HA208" s="385">
        <f t="shared" si="320"/>
        <v>0</v>
      </c>
      <c r="HB208" s="385">
        <f t="shared" si="320"/>
        <v>0</v>
      </c>
      <c r="HC208" s="385">
        <f t="shared" si="320"/>
        <v>0</v>
      </c>
      <c r="HD208" s="385">
        <f t="shared" si="320"/>
        <v>0</v>
      </c>
      <c r="HE208" s="385">
        <f t="shared" si="320"/>
        <v>0</v>
      </c>
      <c r="HF208" s="385">
        <f t="shared" si="320"/>
        <v>0</v>
      </c>
      <c r="HG208" s="385">
        <f t="shared" si="320"/>
        <v>0</v>
      </c>
      <c r="HH208" s="385">
        <f t="shared" si="320"/>
        <v>0</v>
      </c>
      <c r="HI208" s="385">
        <f t="shared" si="320"/>
        <v>0</v>
      </c>
      <c r="HJ208" s="385">
        <f t="shared" si="320"/>
        <v>0</v>
      </c>
      <c r="HK208" s="385">
        <f t="shared" si="320"/>
        <v>0</v>
      </c>
      <c r="HL208" s="385">
        <f t="shared" si="320"/>
        <v>0</v>
      </c>
      <c r="HM208" s="385">
        <f t="shared" si="320"/>
        <v>0</v>
      </c>
      <c r="HN208" s="385">
        <f t="shared" si="320"/>
        <v>0</v>
      </c>
      <c r="HO208" s="385">
        <f t="shared" si="320"/>
        <v>0</v>
      </c>
      <c r="HP208" s="385">
        <f t="shared" si="320"/>
        <v>0</v>
      </c>
      <c r="HQ208" s="385">
        <f t="shared" si="320"/>
        <v>0</v>
      </c>
      <c r="HR208" s="385">
        <f t="shared" si="320"/>
        <v>0</v>
      </c>
      <c r="HS208" s="385">
        <f t="shared" si="320"/>
        <v>0</v>
      </c>
      <c r="HT208" s="385">
        <f t="shared" si="320"/>
        <v>0</v>
      </c>
      <c r="HU208" s="385">
        <f t="shared" si="320"/>
        <v>0</v>
      </c>
      <c r="HV208" s="385">
        <f t="shared" si="320"/>
        <v>0</v>
      </c>
      <c r="HW208" s="385">
        <f t="shared" si="320"/>
        <v>0</v>
      </c>
      <c r="HX208" s="385">
        <f t="shared" ref="HX208:IJ208" si="321">IF(ISNA(HX$157),"",IF($E209=0,0,HX209/$E209))</f>
        <v>0</v>
      </c>
      <c r="HY208" s="385">
        <f t="shared" si="321"/>
        <v>0</v>
      </c>
      <c r="HZ208" s="385">
        <f t="shared" si="321"/>
        <v>0</v>
      </c>
      <c r="IA208" s="385">
        <f t="shared" si="321"/>
        <v>0</v>
      </c>
      <c r="IB208" s="385">
        <f t="shared" si="321"/>
        <v>0</v>
      </c>
      <c r="IC208" s="385">
        <f t="shared" si="321"/>
        <v>0</v>
      </c>
      <c r="ID208" s="385">
        <f t="shared" si="321"/>
        <v>0</v>
      </c>
      <c r="IE208" s="385">
        <f t="shared" si="321"/>
        <v>0</v>
      </c>
      <c r="IF208" s="385">
        <f t="shared" si="321"/>
        <v>0</v>
      </c>
      <c r="IG208" s="385">
        <f t="shared" si="321"/>
        <v>0</v>
      </c>
      <c r="IH208" s="385">
        <f t="shared" si="321"/>
        <v>0</v>
      </c>
      <c r="II208" s="385">
        <f t="shared" si="321"/>
        <v>0</v>
      </c>
      <c r="IJ208" s="385">
        <f t="shared" si="321"/>
        <v>0</v>
      </c>
      <c r="IK208" s="378"/>
      <c r="IO208" s="386"/>
    </row>
    <row r="209" spans="5:249" ht="13.5" thickBot="1" x14ac:dyDescent="0.25">
      <c r="E209" s="401">
        <f>SUMIF(E158:E207,"&gt;0")</f>
        <v>0</v>
      </c>
      <c r="AL209" s="728" t="s">
        <v>734</v>
      </c>
      <c r="AM209" s="387">
        <f>IF(ISNA(AM$7),"",SUM(AM158:AM207))</f>
        <v>0</v>
      </c>
      <c r="AN209" s="387">
        <f t="shared" ref="AN209:CY209" si="322">IF(ISNA(AN$7),"",SUM(AN158:AN207))</f>
        <v>0</v>
      </c>
      <c r="AO209" s="387">
        <f t="shared" si="322"/>
        <v>0</v>
      </c>
      <c r="AP209" s="387">
        <f t="shared" si="322"/>
        <v>0</v>
      </c>
      <c r="AQ209" s="387">
        <f t="shared" si="322"/>
        <v>0</v>
      </c>
      <c r="AR209" s="387">
        <f t="shared" si="322"/>
        <v>0</v>
      </c>
      <c r="AS209" s="387">
        <f t="shared" si="322"/>
        <v>0</v>
      </c>
      <c r="AT209" s="387">
        <f t="shared" si="322"/>
        <v>0</v>
      </c>
      <c r="AU209" s="387">
        <f t="shared" si="322"/>
        <v>0</v>
      </c>
      <c r="AV209" s="387">
        <f t="shared" si="322"/>
        <v>0</v>
      </c>
      <c r="AW209" s="387">
        <f t="shared" si="322"/>
        <v>0</v>
      </c>
      <c r="AX209" s="387">
        <f t="shared" si="322"/>
        <v>0</v>
      </c>
      <c r="AY209" s="387">
        <f t="shared" si="322"/>
        <v>0</v>
      </c>
      <c r="AZ209" s="387">
        <f t="shared" si="322"/>
        <v>0</v>
      </c>
      <c r="BA209" s="387">
        <f t="shared" si="322"/>
        <v>0</v>
      </c>
      <c r="BB209" s="387">
        <f t="shared" si="322"/>
        <v>0</v>
      </c>
      <c r="BC209" s="387">
        <f t="shared" si="322"/>
        <v>0</v>
      </c>
      <c r="BD209" s="387">
        <f t="shared" si="322"/>
        <v>0</v>
      </c>
      <c r="BE209" s="387">
        <f t="shared" si="322"/>
        <v>0</v>
      </c>
      <c r="BF209" s="387">
        <f t="shared" si="322"/>
        <v>0</v>
      </c>
      <c r="BG209" s="387">
        <f t="shared" si="322"/>
        <v>0</v>
      </c>
      <c r="BH209" s="387">
        <f t="shared" si="322"/>
        <v>0</v>
      </c>
      <c r="BI209" s="387">
        <f t="shared" si="322"/>
        <v>0</v>
      </c>
      <c r="BJ209" s="387">
        <f t="shared" si="322"/>
        <v>0</v>
      </c>
      <c r="BK209" s="387">
        <f t="shared" si="322"/>
        <v>0</v>
      </c>
      <c r="BL209" s="387">
        <f t="shared" si="322"/>
        <v>0</v>
      </c>
      <c r="BM209" s="387">
        <f t="shared" si="322"/>
        <v>0</v>
      </c>
      <c r="BN209" s="387">
        <f t="shared" si="322"/>
        <v>0</v>
      </c>
      <c r="BO209" s="387">
        <f t="shared" si="322"/>
        <v>0</v>
      </c>
      <c r="BP209" s="387">
        <f t="shared" si="322"/>
        <v>0</v>
      </c>
      <c r="BQ209" s="387">
        <f t="shared" si="322"/>
        <v>0</v>
      </c>
      <c r="BR209" s="387">
        <f t="shared" si="322"/>
        <v>0</v>
      </c>
      <c r="BS209" s="387">
        <f t="shared" si="322"/>
        <v>0</v>
      </c>
      <c r="BT209" s="387">
        <f t="shared" si="322"/>
        <v>0</v>
      </c>
      <c r="BU209" s="387">
        <f t="shared" si="322"/>
        <v>0</v>
      </c>
      <c r="BV209" s="387">
        <f t="shared" si="322"/>
        <v>0</v>
      </c>
      <c r="BW209" s="387">
        <f t="shared" si="322"/>
        <v>0</v>
      </c>
      <c r="BX209" s="387">
        <f t="shared" si="322"/>
        <v>0</v>
      </c>
      <c r="BY209" s="387">
        <f t="shared" si="322"/>
        <v>0</v>
      </c>
      <c r="BZ209" s="387">
        <f t="shared" si="322"/>
        <v>0</v>
      </c>
      <c r="CA209" s="387">
        <f t="shared" si="322"/>
        <v>0</v>
      </c>
      <c r="CB209" s="387">
        <f t="shared" si="322"/>
        <v>0</v>
      </c>
      <c r="CC209" s="387">
        <f t="shared" si="322"/>
        <v>0</v>
      </c>
      <c r="CD209" s="387">
        <f t="shared" si="322"/>
        <v>0</v>
      </c>
      <c r="CE209" s="387">
        <f t="shared" si="322"/>
        <v>0</v>
      </c>
      <c r="CF209" s="387">
        <f t="shared" si="322"/>
        <v>0</v>
      </c>
      <c r="CG209" s="387">
        <f t="shared" si="322"/>
        <v>0</v>
      </c>
      <c r="CH209" s="387">
        <f t="shared" si="322"/>
        <v>0</v>
      </c>
      <c r="CI209" s="387">
        <f t="shared" si="322"/>
        <v>0</v>
      </c>
      <c r="CJ209" s="387">
        <f t="shared" si="322"/>
        <v>0</v>
      </c>
      <c r="CK209" s="387">
        <f t="shared" si="322"/>
        <v>0</v>
      </c>
      <c r="CL209" s="387">
        <f t="shared" si="322"/>
        <v>0</v>
      </c>
      <c r="CM209" s="387">
        <f t="shared" si="322"/>
        <v>0</v>
      </c>
      <c r="CN209" s="387">
        <f t="shared" si="322"/>
        <v>0</v>
      </c>
      <c r="CO209" s="387">
        <f t="shared" si="322"/>
        <v>0</v>
      </c>
      <c r="CP209" s="387">
        <f t="shared" si="322"/>
        <v>0</v>
      </c>
      <c r="CQ209" s="387">
        <f t="shared" si="322"/>
        <v>0</v>
      </c>
      <c r="CR209" s="387">
        <f t="shared" si="322"/>
        <v>0</v>
      </c>
      <c r="CS209" s="387">
        <f t="shared" si="322"/>
        <v>0</v>
      </c>
      <c r="CT209" s="387">
        <f t="shared" si="322"/>
        <v>0</v>
      </c>
      <c r="CU209" s="387">
        <f t="shared" si="322"/>
        <v>0</v>
      </c>
      <c r="CV209" s="387">
        <f t="shared" si="322"/>
        <v>0</v>
      </c>
      <c r="CW209" s="387">
        <f t="shared" si="322"/>
        <v>0</v>
      </c>
      <c r="CX209" s="387">
        <f t="shared" si="322"/>
        <v>0</v>
      </c>
      <c r="CY209" s="387">
        <f t="shared" si="322"/>
        <v>0</v>
      </c>
      <c r="CZ209" s="387">
        <f t="shared" ref="CZ209:FK209" si="323">IF(ISNA(CZ$7),"",SUM(CZ158:CZ207))</f>
        <v>0</v>
      </c>
      <c r="DA209" s="387">
        <f t="shared" si="323"/>
        <v>0</v>
      </c>
      <c r="DB209" s="387">
        <f t="shared" si="323"/>
        <v>0</v>
      </c>
      <c r="DC209" s="387">
        <f t="shared" si="323"/>
        <v>0</v>
      </c>
      <c r="DD209" s="387">
        <f t="shared" si="323"/>
        <v>0</v>
      </c>
      <c r="DE209" s="387">
        <f t="shared" si="323"/>
        <v>0</v>
      </c>
      <c r="DF209" s="387">
        <f t="shared" si="323"/>
        <v>0</v>
      </c>
      <c r="DG209" s="387">
        <f t="shared" si="323"/>
        <v>0</v>
      </c>
      <c r="DH209" s="387">
        <f t="shared" si="323"/>
        <v>0</v>
      </c>
      <c r="DI209" s="387">
        <f t="shared" si="323"/>
        <v>0</v>
      </c>
      <c r="DJ209" s="387">
        <f t="shared" si="323"/>
        <v>0</v>
      </c>
      <c r="DK209" s="387">
        <f t="shared" si="323"/>
        <v>0</v>
      </c>
      <c r="DL209" s="387">
        <f t="shared" si="323"/>
        <v>0</v>
      </c>
      <c r="DM209" s="387">
        <f t="shared" si="323"/>
        <v>0</v>
      </c>
      <c r="DN209" s="387">
        <f t="shared" si="323"/>
        <v>0</v>
      </c>
      <c r="DO209" s="387">
        <f t="shared" si="323"/>
        <v>0</v>
      </c>
      <c r="DP209" s="387">
        <f t="shared" si="323"/>
        <v>0</v>
      </c>
      <c r="DQ209" s="387">
        <f t="shared" si="323"/>
        <v>0</v>
      </c>
      <c r="DR209" s="387">
        <f t="shared" si="323"/>
        <v>0</v>
      </c>
      <c r="DS209" s="387">
        <f t="shared" si="323"/>
        <v>0</v>
      </c>
      <c r="DT209" s="387">
        <f t="shared" si="323"/>
        <v>0</v>
      </c>
      <c r="DU209" s="387">
        <f t="shared" si="323"/>
        <v>0</v>
      </c>
      <c r="DV209" s="387">
        <f t="shared" si="323"/>
        <v>0</v>
      </c>
      <c r="DW209" s="387">
        <f t="shared" si="323"/>
        <v>0</v>
      </c>
      <c r="DX209" s="387">
        <f t="shared" si="323"/>
        <v>0</v>
      </c>
      <c r="DY209" s="387">
        <f t="shared" si="323"/>
        <v>0</v>
      </c>
      <c r="DZ209" s="387">
        <f t="shared" si="323"/>
        <v>0</v>
      </c>
      <c r="EA209" s="387">
        <f t="shared" si="323"/>
        <v>0</v>
      </c>
      <c r="EB209" s="387">
        <f t="shared" si="323"/>
        <v>0</v>
      </c>
      <c r="EC209" s="387">
        <f t="shared" si="323"/>
        <v>0</v>
      </c>
      <c r="ED209" s="387">
        <f t="shared" si="323"/>
        <v>0</v>
      </c>
      <c r="EE209" s="387">
        <f t="shared" si="323"/>
        <v>0</v>
      </c>
      <c r="EF209" s="387">
        <f t="shared" si="323"/>
        <v>0</v>
      </c>
      <c r="EG209" s="387">
        <f t="shared" si="323"/>
        <v>0</v>
      </c>
      <c r="EH209" s="387">
        <f t="shared" si="323"/>
        <v>0</v>
      </c>
      <c r="EI209" s="387">
        <f t="shared" si="323"/>
        <v>0</v>
      </c>
      <c r="EJ209" s="387">
        <f t="shared" si="323"/>
        <v>0</v>
      </c>
      <c r="EK209" s="387">
        <f t="shared" si="323"/>
        <v>0</v>
      </c>
      <c r="EL209" s="387">
        <f t="shared" si="323"/>
        <v>0</v>
      </c>
      <c r="EM209" s="387">
        <f t="shared" si="323"/>
        <v>0</v>
      </c>
      <c r="EN209" s="387">
        <f t="shared" si="323"/>
        <v>0</v>
      </c>
      <c r="EO209" s="387">
        <f t="shared" si="323"/>
        <v>0</v>
      </c>
      <c r="EP209" s="387">
        <f t="shared" si="323"/>
        <v>0</v>
      </c>
      <c r="EQ209" s="387">
        <f t="shared" si="323"/>
        <v>0</v>
      </c>
      <c r="ER209" s="387">
        <f t="shared" si="323"/>
        <v>0</v>
      </c>
      <c r="ES209" s="387">
        <f t="shared" si="323"/>
        <v>0</v>
      </c>
      <c r="ET209" s="387">
        <f t="shared" si="323"/>
        <v>0</v>
      </c>
      <c r="EU209" s="387">
        <f t="shared" si="323"/>
        <v>0</v>
      </c>
      <c r="EV209" s="387">
        <f t="shared" si="323"/>
        <v>0</v>
      </c>
      <c r="EW209" s="387">
        <f t="shared" si="323"/>
        <v>0</v>
      </c>
      <c r="EX209" s="387">
        <f t="shared" si="323"/>
        <v>0</v>
      </c>
      <c r="EY209" s="387">
        <f t="shared" si="323"/>
        <v>0</v>
      </c>
      <c r="EZ209" s="387">
        <f t="shared" si="323"/>
        <v>0</v>
      </c>
      <c r="FA209" s="387">
        <f t="shared" si="323"/>
        <v>0</v>
      </c>
      <c r="FB209" s="387">
        <f t="shared" si="323"/>
        <v>0</v>
      </c>
      <c r="FC209" s="387">
        <f t="shared" si="323"/>
        <v>0</v>
      </c>
      <c r="FD209" s="387">
        <f t="shared" si="323"/>
        <v>0</v>
      </c>
      <c r="FE209" s="387">
        <f t="shared" si="323"/>
        <v>0</v>
      </c>
      <c r="FF209" s="387">
        <f t="shared" si="323"/>
        <v>0</v>
      </c>
      <c r="FG209" s="387">
        <f t="shared" si="323"/>
        <v>0</v>
      </c>
      <c r="FH209" s="387">
        <f t="shared" si="323"/>
        <v>0</v>
      </c>
      <c r="FI209" s="387">
        <f t="shared" si="323"/>
        <v>0</v>
      </c>
      <c r="FJ209" s="387">
        <f t="shared" si="323"/>
        <v>0</v>
      </c>
      <c r="FK209" s="387">
        <f t="shared" si="323"/>
        <v>0</v>
      </c>
      <c r="FL209" s="387">
        <f t="shared" ref="FL209:HW209" si="324">IF(ISNA(FL$7),"",SUM(FL158:FL207))</f>
        <v>0</v>
      </c>
      <c r="FM209" s="387">
        <f t="shared" si="324"/>
        <v>0</v>
      </c>
      <c r="FN209" s="387">
        <f t="shared" si="324"/>
        <v>0</v>
      </c>
      <c r="FO209" s="387">
        <f t="shared" si="324"/>
        <v>0</v>
      </c>
      <c r="FP209" s="387">
        <f t="shared" si="324"/>
        <v>0</v>
      </c>
      <c r="FQ209" s="387">
        <f t="shared" si="324"/>
        <v>0</v>
      </c>
      <c r="FR209" s="387">
        <f t="shared" si="324"/>
        <v>0</v>
      </c>
      <c r="FS209" s="387">
        <f t="shared" si="324"/>
        <v>0</v>
      </c>
      <c r="FT209" s="387">
        <f t="shared" si="324"/>
        <v>0</v>
      </c>
      <c r="FU209" s="387">
        <f t="shared" si="324"/>
        <v>0</v>
      </c>
      <c r="FV209" s="387">
        <f t="shared" si="324"/>
        <v>0</v>
      </c>
      <c r="FW209" s="387">
        <f t="shared" si="324"/>
        <v>0</v>
      </c>
      <c r="FX209" s="387">
        <f t="shared" si="324"/>
        <v>0</v>
      </c>
      <c r="FY209" s="387">
        <f t="shared" si="324"/>
        <v>0</v>
      </c>
      <c r="FZ209" s="387">
        <f t="shared" si="324"/>
        <v>0</v>
      </c>
      <c r="GA209" s="387">
        <f t="shared" si="324"/>
        <v>0</v>
      </c>
      <c r="GB209" s="387">
        <f t="shared" si="324"/>
        <v>0</v>
      </c>
      <c r="GC209" s="387">
        <f t="shared" si="324"/>
        <v>0</v>
      </c>
      <c r="GD209" s="387">
        <f t="shared" si="324"/>
        <v>0</v>
      </c>
      <c r="GE209" s="387">
        <f t="shared" si="324"/>
        <v>0</v>
      </c>
      <c r="GF209" s="387">
        <f t="shared" si="324"/>
        <v>0</v>
      </c>
      <c r="GG209" s="387">
        <f t="shared" si="324"/>
        <v>0</v>
      </c>
      <c r="GH209" s="387">
        <f t="shared" si="324"/>
        <v>0</v>
      </c>
      <c r="GI209" s="387">
        <f t="shared" si="324"/>
        <v>0</v>
      </c>
      <c r="GJ209" s="387">
        <f t="shared" si="324"/>
        <v>0</v>
      </c>
      <c r="GK209" s="387">
        <f t="shared" si="324"/>
        <v>0</v>
      </c>
      <c r="GL209" s="387">
        <f t="shared" si="324"/>
        <v>0</v>
      </c>
      <c r="GM209" s="387">
        <f t="shared" si="324"/>
        <v>0</v>
      </c>
      <c r="GN209" s="387">
        <f t="shared" si="324"/>
        <v>0</v>
      </c>
      <c r="GO209" s="387">
        <f t="shared" si="324"/>
        <v>0</v>
      </c>
      <c r="GP209" s="387">
        <f t="shared" si="324"/>
        <v>0</v>
      </c>
      <c r="GQ209" s="387">
        <f t="shared" si="324"/>
        <v>0</v>
      </c>
      <c r="GR209" s="387">
        <f t="shared" si="324"/>
        <v>0</v>
      </c>
      <c r="GS209" s="387">
        <f t="shared" si="324"/>
        <v>0</v>
      </c>
      <c r="GT209" s="387">
        <f t="shared" si="324"/>
        <v>0</v>
      </c>
      <c r="GU209" s="387">
        <f t="shared" si="324"/>
        <v>0</v>
      </c>
      <c r="GV209" s="387">
        <f t="shared" si="324"/>
        <v>0</v>
      </c>
      <c r="GW209" s="387">
        <f t="shared" si="324"/>
        <v>0</v>
      </c>
      <c r="GX209" s="387">
        <f t="shared" si="324"/>
        <v>0</v>
      </c>
      <c r="GY209" s="387">
        <f t="shared" si="324"/>
        <v>0</v>
      </c>
      <c r="GZ209" s="387">
        <f t="shared" si="324"/>
        <v>0</v>
      </c>
      <c r="HA209" s="387">
        <f t="shared" si="324"/>
        <v>0</v>
      </c>
      <c r="HB209" s="387">
        <f t="shared" si="324"/>
        <v>0</v>
      </c>
      <c r="HC209" s="387">
        <f t="shared" si="324"/>
        <v>0</v>
      </c>
      <c r="HD209" s="387">
        <f t="shared" si="324"/>
        <v>0</v>
      </c>
      <c r="HE209" s="387">
        <f t="shared" si="324"/>
        <v>0</v>
      </c>
      <c r="HF209" s="387">
        <f t="shared" si="324"/>
        <v>0</v>
      </c>
      <c r="HG209" s="387">
        <f t="shared" si="324"/>
        <v>0</v>
      </c>
      <c r="HH209" s="387">
        <f t="shared" si="324"/>
        <v>0</v>
      </c>
      <c r="HI209" s="387">
        <f t="shared" si="324"/>
        <v>0</v>
      </c>
      <c r="HJ209" s="387">
        <f t="shared" si="324"/>
        <v>0</v>
      </c>
      <c r="HK209" s="387">
        <f t="shared" si="324"/>
        <v>0</v>
      </c>
      <c r="HL209" s="387">
        <f t="shared" si="324"/>
        <v>0</v>
      </c>
      <c r="HM209" s="387">
        <f t="shared" si="324"/>
        <v>0</v>
      </c>
      <c r="HN209" s="387">
        <f t="shared" si="324"/>
        <v>0</v>
      </c>
      <c r="HO209" s="387">
        <f t="shared" si="324"/>
        <v>0</v>
      </c>
      <c r="HP209" s="387">
        <f t="shared" si="324"/>
        <v>0</v>
      </c>
      <c r="HQ209" s="387">
        <f t="shared" si="324"/>
        <v>0</v>
      </c>
      <c r="HR209" s="387">
        <f t="shared" si="324"/>
        <v>0</v>
      </c>
      <c r="HS209" s="387">
        <f t="shared" si="324"/>
        <v>0</v>
      </c>
      <c r="HT209" s="387">
        <f t="shared" si="324"/>
        <v>0</v>
      </c>
      <c r="HU209" s="387">
        <f t="shared" si="324"/>
        <v>0</v>
      </c>
      <c r="HV209" s="387">
        <f t="shared" si="324"/>
        <v>0</v>
      </c>
      <c r="HW209" s="387">
        <f t="shared" si="324"/>
        <v>0</v>
      </c>
      <c r="HX209" s="387">
        <f t="shared" ref="HX209:IJ209" si="325">IF(ISNA(HX$7),"",SUM(HX158:HX207))</f>
        <v>0</v>
      </c>
      <c r="HY209" s="387">
        <f t="shared" si="325"/>
        <v>0</v>
      </c>
      <c r="HZ209" s="387">
        <f t="shared" si="325"/>
        <v>0</v>
      </c>
      <c r="IA209" s="387">
        <f t="shared" si="325"/>
        <v>0</v>
      </c>
      <c r="IB209" s="387">
        <f t="shared" si="325"/>
        <v>0</v>
      </c>
      <c r="IC209" s="387">
        <f t="shared" si="325"/>
        <v>0</v>
      </c>
      <c r="ID209" s="387">
        <f t="shared" si="325"/>
        <v>0</v>
      </c>
      <c r="IE209" s="387">
        <f t="shared" si="325"/>
        <v>0</v>
      </c>
      <c r="IF209" s="387">
        <f t="shared" si="325"/>
        <v>0</v>
      </c>
      <c r="IG209" s="387">
        <f t="shared" si="325"/>
        <v>0</v>
      </c>
      <c r="IH209" s="387">
        <f t="shared" si="325"/>
        <v>0</v>
      </c>
      <c r="II209" s="387">
        <f t="shared" si="325"/>
        <v>0</v>
      </c>
      <c r="IJ209" s="387">
        <f t="shared" si="325"/>
        <v>0</v>
      </c>
      <c r="IK209" s="378"/>
      <c r="IO209" s="376"/>
    </row>
    <row r="210" spans="5:249" x14ac:dyDescent="0.2">
      <c r="M210" s="388"/>
      <c r="O210" s="388"/>
    </row>
    <row r="211" spans="5:249" x14ac:dyDescent="0.2">
      <c r="O211" s="389"/>
    </row>
    <row r="212" spans="5:249" x14ac:dyDescent="0.2">
      <c r="O212" s="389"/>
    </row>
    <row r="213" spans="5:249" hidden="1" x14ac:dyDescent="0.2">
      <c r="O213" s="389"/>
    </row>
    <row r="214" spans="5:249" hidden="1" x14ac:dyDescent="0.2">
      <c r="O214" s="389"/>
    </row>
    <row r="215" spans="5:249" hidden="1" x14ac:dyDescent="0.2">
      <c r="O215" s="389"/>
    </row>
    <row r="216" spans="5:249" hidden="1" x14ac:dyDescent="0.2">
      <c r="O216" s="389"/>
    </row>
    <row r="217" spans="5:249" hidden="1" x14ac:dyDescent="0.2">
      <c r="O217" s="389"/>
    </row>
    <row r="218" spans="5:249" hidden="1" x14ac:dyDescent="0.2">
      <c r="O218" s="389"/>
    </row>
    <row r="219" spans="5:249" hidden="1" x14ac:dyDescent="0.2">
      <c r="O219" s="389"/>
    </row>
    <row r="220" spans="5:249" hidden="1" x14ac:dyDescent="0.2">
      <c r="O220" s="389"/>
    </row>
    <row r="221" spans="5:249" hidden="1" x14ac:dyDescent="0.2">
      <c r="O221" s="389"/>
    </row>
    <row r="222" spans="5:249" hidden="1" x14ac:dyDescent="0.2">
      <c r="O222" s="389"/>
    </row>
    <row r="223" spans="5:249" hidden="1" x14ac:dyDescent="0.2">
      <c r="O223" s="389"/>
    </row>
    <row r="224" spans="5:249" hidden="1" x14ac:dyDescent="0.2">
      <c r="O224" s="389"/>
    </row>
    <row r="225" spans="15:15" hidden="1" x14ac:dyDescent="0.2">
      <c r="O225" s="389"/>
    </row>
    <row r="226" spans="15:15" hidden="1" x14ac:dyDescent="0.2">
      <c r="O226" s="389"/>
    </row>
    <row r="227" spans="15:15" hidden="1" x14ac:dyDescent="0.2">
      <c r="O227" s="389"/>
    </row>
    <row r="228" spans="15:15" hidden="1" x14ac:dyDescent="0.2">
      <c r="O228" s="389"/>
    </row>
    <row r="229" spans="15:15" hidden="1" x14ac:dyDescent="0.2">
      <c r="O229" s="389"/>
    </row>
    <row r="230" spans="15:15" hidden="1" x14ac:dyDescent="0.2">
      <c r="O230" s="389"/>
    </row>
    <row r="231" spans="15:15" hidden="1" x14ac:dyDescent="0.2">
      <c r="O231" s="389"/>
    </row>
    <row r="232" spans="15:15" hidden="1" x14ac:dyDescent="0.2">
      <c r="O232" s="389"/>
    </row>
    <row r="233" spans="15:15" hidden="1" x14ac:dyDescent="0.2">
      <c r="O233" s="389"/>
    </row>
    <row r="234" spans="15:15" hidden="1" x14ac:dyDescent="0.2">
      <c r="O234" s="389"/>
    </row>
    <row r="235" spans="15:15" hidden="1" x14ac:dyDescent="0.2">
      <c r="O235" s="389"/>
    </row>
    <row r="236" spans="15:15" hidden="1" x14ac:dyDescent="0.2">
      <c r="O236" s="389"/>
    </row>
    <row r="237" spans="15:15" hidden="1" x14ac:dyDescent="0.2">
      <c r="O237" s="389"/>
    </row>
    <row r="238" spans="15:15" hidden="1" x14ac:dyDescent="0.2">
      <c r="O238" s="389"/>
    </row>
    <row r="239" spans="15:15" hidden="1" x14ac:dyDescent="0.2">
      <c r="O239" s="389"/>
    </row>
    <row r="240" spans="15:15" hidden="1" x14ac:dyDescent="0.2">
      <c r="O240" s="389"/>
    </row>
    <row r="241" spans="15:15" hidden="1" x14ac:dyDescent="0.2">
      <c r="O241" s="389"/>
    </row>
    <row r="242" spans="15:15" hidden="1" x14ac:dyDescent="0.2">
      <c r="O242" s="389"/>
    </row>
    <row r="243" spans="15:15" hidden="1" x14ac:dyDescent="0.2">
      <c r="O243" s="389"/>
    </row>
    <row r="244" spans="15:15" hidden="1" x14ac:dyDescent="0.2">
      <c r="O244" s="389"/>
    </row>
    <row r="245" spans="15:15" hidden="1" x14ac:dyDescent="0.2">
      <c r="O245" s="389"/>
    </row>
    <row r="246" spans="15:15" hidden="1" x14ac:dyDescent="0.2">
      <c r="O246" s="389"/>
    </row>
    <row r="247" spans="15:15" hidden="1" x14ac:dyDescent="0.2">
      <c r="O247" s="389"/>
    </row>
    <row r="248" spans="15:15" hidden="1" x14ac:dyDescent="0.2">
      <c r="O248" s="389"/>
    </row>
    <row r="249" spans="15:15" hidden="1" x14ac:dyDescent="0.2">
      <c r="O249" s="389"/>
    </row>
    <row r="250" spans="15:15" hidden="1" x14ac:dyDescent="0.2">
      <c r="O250" s="389"/>
    </row>
    <row r="251" spans="15:15" hidden="1" x14ac:dyDescent="0.2">
      <c r="O251" s="389"/>
    </row>
    <row r="252" spans="15:15" hidden="1" x14ac:dyDescent="0.2">
      <c r="O252" s="389"/>
    </row>
    <row r="253" spans="15:15" hidden="1" x14ac:dyDescent="0.2">
      <c r="O253" s="389"/>
    </row>
    <row r="254" spans="15:15" hidden="1" x14ac:dyDescent="0.2">
      <c r="O254" s="389"/>
    </row>
    <row r="255" spans="15:15" hidden="1" x14ac:dyDescent="0.2">
      <c r="O255" s="389"/>
    </row>
    <row r="256" spans="15:15" hidden="1" x14ac:dyDescent="0.2">
      <c r="O256" s="389"/>
    </row>
    <row r="257" spans="15:15" hidden="1" x14ac:dyDescent="0.2">
      <c r="O257" s="389"/>
    </row>
    <row r="258" spans="15:15" hidden="1" x14ac:dyDescent="0.2">
      <c r="O258" s="389"/>
    </row>
    <row r="259" spans="15:15" hidden="1" x14ac:dyDescent="0.2">
      <c r="O259" s="389"/>
    </row>
    <row r="260" spans="15:15" hidden="1" x14ac:dyDescent="0.2">
      <c r="O260" s="389"/>
    </row>
    <row r="261" spans="15:15" hidden="1" x14ac:dyDescent="0.2">
      <c r="O261" s="389"/>
    </row>
    <row r="262" spans="15:15" hidden="1" x14ac:dyDescent="0.2">
      <c r="O262" s="389"/>
    </row>
    <row r="263" spans="15:15" x14ac:dyDescent="0.2">
      <c r="O263" s="389"/>
    </row>
    <row r="264" spans="15:15" x14ac:dyDescent="0.2">
      <c r="O264" s="389"/>
    </row>
    <row r="265" spans="15:15" x14ac:dyDescent="0.2">
      <c r="O265" s="389"/>
    </row>
    <row r="266" spans="15:15" x14ac:dyDescent="0.2">
      <c r="O266" s="389"/>
    </row>
    <row r="267" spans="15:15" x14ac:dyDescent="0.2">
      <c r="O267" s="389"/>
    </row>
    <row r="268" spans="15:15" x14ac:dyDescent="0.2">
      <c r="O268" s="389"/>
    </row>
    <row r="269" spans="15:15" x14ac:dyDescent="0.2">
      <c r="O269" s="389"/>
    </row>
    <row r="270" spans="15:15" x14ac:dyDescent="0.2">
      <c r="O270" s="389"/>
    </row>
    <row r="271" spans="15:15" x14ac:dyDescent="0.2">
      <c r="O271" s="389"/>
    </row>
    <row r="272" spans="15:15" x14ac:dyDescent="0.2">
      <c r="O272" s="389"/>
    </row>
    <row r="273" spans="1:245" x14ac:dyDescent="0.2">
      <c r="O273" s="389"/>
    </row>
    <row r="274" spans="1:245" x14ac:dyDescent="0.2">
      <c r="O274" s="389"/>
    </row>
    <row r="275" spans="1:245" x14ac:dyDescent="0.2">
      <c r="O275" s="389"/>
    </row>
    <row r="276" spans="1:245" x14ac:dyDescent="0.2">
      <c r="O276" s="389"/>
    </row>
    <row r="277" spans="1:245" x14ac:dyDescent="0.2">
      <c r="O277" s="389"/>
    </row>
    <row r="278" spans="1:245" ht="5.0999999999999996" customHeight="1" x14ac:dyDescent="0.2">
      <c r="B278" s="405"/>
      <c r="C278" s="391"/>
      <c r="D278" s="391"/>
      <c r="E278" s="403"/>
      <c r="F278" s="390"/>
      <c r="G278" s="390"/>
      <c r="H278" s="390"/>
      <c r="I278" s="390"/>
      <c r="J278" s="390"/>
      <c r="K278" s="390"/>
      <c r="L278" s="392"/>
      <c r="M278" s="390"/>
      <c r="N278" s="390"/>
      <c r="O278" s="390"/>
      <c r="P278" s="390"/>
      <c r="Q278" s="390"/>
      <c r="R278" s="390"/>
      <c r="S278" s="390"/>
      <c r="T278" s="390"/>
      <c r="U278" s="390"/>
      <c r="V278" s="390"/>
      <c r="W278" s="390"/>
      <c r="X278" s="393"/>
    </row>
    <row r="279" spans="1:245" x14ac:dyDescent="0.2">
      <c r="B279" s="406"/>
      <c r="E279" s="404" t="s">
        <v>735</v>
      </c>
      <c r="F279" s="394" t="s">
        <v>629</v>
      </c>
      <c r="G279" s="376"/>
      <c r="J279" s="377"/>
      <c r="K279" s="394" t="s">
        <v>735</v>
      </c>
      <c r="L279" s="394" t="s">
        <v>629</v>
      </c>
      <c r="Q279" s="394" t="s">
        <v>735</v>
      </c>
      <c r="R279" s="394" t="s">
        <v>629</v>
      </c>
      <c r="X279" s="395"/>
    </row>
    <row r="280" spans="1:245" x14ac:dyDescent="0.2">
      <c r="B280" s="406"/>
      <c r="D280" s="396" t="s">
        <v>1149</v>
      </c>
      <c r="E280" s="730">
        <f>IFERROR(MIN(AM208:IJ208),0)</f>
        <v>0</v>
      </c>
      <c r="F280" s="731">
        <f>MIN(AM209:IJ209)</f>
        <v>0</v>
      </c>
      <c r="J280" s="397" t="s">
        <v>1147</v>
      </c>
      <c r="K280" s="730">
        <f>IFERROR(AVERAGE(AM208:IJ208),0)</f>
        <v>0</v>
      </c>
      <c r="L280" s="731">
        <f>AVERAGE(AM209:IJ209)</f>
        <v>0</v>
      </c>
      <c r="P280" s="396" t="s">
        <v>1148</v>
      </c>
      <c r="Q280" s="730">
        <f>IFERROR(MAX(AM208:IJ208),0)</f>
        <v>0</v>
      </c>
      <c r="R280" s="731">
        <f>MAX(AM209:IJ209)</f>
        <v>0</v>
      </c>
      <c r="X280" s="395"/>
    </row>
    <row r="281" spans="1:245" ht="5.0999999999999996" customHeight="1" x14ac:dyDescent="0.2">
      <c r="B281" s="407"/>
      <c r="C281" s="394"/>
      <c r="D281" s="394"/>
      <c r="E281" s="404"/>
      <c r="F281" s="398"/>
      <c r="G281" s="398"/>
      <c r="H281" s="398"/>
      <c r="I281" s="398"/>
      <c r="J281" s="398"/>
      <c r="K281" s="398"/>
      <c r="L281" s="399"/>
      <c r="M281" s="398"/>
      <c r="N281" s="398"/>
      <c r="O281" s="398"/>
      <c r="P281" s="398"/>
      <c r="Q281" s="398"/>
      <c r="R281" s="398"/>
      <c r="S281" s="398"/>
      <c r="T281" s="398"/>
      <c r="U281" s="398"/>
      <c r="V281" s="398"/>
      <c r="W281" s="398"/>
      <c r="X281" s="400"/>
    </row>
    <row r="283" spans="1:245" ht="13.5" thickBot="1" x14ac:dyDescent="0.25"/>
    <row r="284" spans="1:245" ht="17.25" customHeight="1" thickBot="1" x14ac:dyDescent="0.25">
      <c r="B284" s="1887" t="s">
        <v>738</v>
      </c>
      <c r="C284" s="1888"/>
      <c r="D284" s="1888"/>
      <c r="E284" s="1888"/>
      <c r="F284" s="1888"/>
      <c r="G284" s="1888"/>
      <c r="H284" s="1888"/>
      <c r="I284" s="1888"/>
      <c r="J284" s="1888"/>
      <c r="K284" s="1888"/>
      <c r="L284" s="1888"/>
      <c r="M284" s="1888"/>
      <c r="N284" s="1888"/>
      <c r="O284" s="1888"/>
      <c r="P284" s="1888"/>
      <c r="Q284" s="1888"/>
      <c r="R284" s="1888"/>
      <c r="S284" s="1888"/>
      <c r="T284" s="1888"/>
      <c r="U284" s="1888"/>
      <c r="V284" s="1888"/>
      <c r="W284" s="1888"/>
      <c r="X284" s="1889"/>
      <c r="Y284" s="1304"/>
      <c r="Z284" s="1304"/>
      <c r="AA284" s="1304"/>
      <c r="AB284" s="1304"/>
      <c r="AC284" s="1304"/>
      <c r="AD284" s="1304"/>
      <c r="AE284" s="1304"/>
      <c r="AF284" s="1304"/>
      <c r="AG284" s="1304"/>
      <c r="AH284" s="1304"/>
      <c r="AI284" s="1304"/>
      <c r="AJ284" s="1304"/>
    </row>
    <row r="285" spans="1:245" ht="74.25" customHeight="1" thickBot="1" x14ac:dyDescent="0.25">
      <c r="B285" s="1884" t="s">
        <v>714</v>
      </c>
      <c r="C285" s="1864" t="s">
        <v>94</v>
      </c>
      <c r="D285" s="1867" t="s">
        <v>715</v>
      </c>
      <c r="E285" s="1878" t="s">
        <v>716</v>
      </c>
      <c r="F285" s="1867" t="s">
        <v>717</v>
      </c>
      <c r="G285" s="1867" t="s">
        <v>1146</v>
      </c>
      <c r="H285" s="1867" t="s">
        <v>718</v>
      </c>
      <c r="I285" s="1867" t="s">
        <v>813</v>
      </c>
      <c r="J285" s="1867" t="s">
        <v>814</v>
      </c>
      <c r="K285" s="1867" t="s">
        <v>815</v>
      </c>
      <c r="L285" s="1881" t="s">
        <v>719</v>
      </c>
      <c r="M285" s="1867" t="s">
        <v>720</v>
      </c>
      <c r="N285" s="1867" t="s">
        <v>721</v>
      </c>
      <c r="O285" s="1867" t="s">
        <v>722</v>
      </c>
      <c r="P285" s="1867" t="s">
        <v>723</v>
      </c>
      <c r="Q285" s="1867" t="s">
        <v>724</v>
      </c>
      <c r="R285" s="1867" t="s">
        <v>725</v>
      </c>
      <c r="S285" s="1867" t="s">
        <v>726</v>
      </c>
      <c r="T285" s="1867" t="s">
        <v>727</v>
      </c>
      <c r="U285" s="1867" t="s">
        <v>728</v>
      </c>
      <c r="V285" s="1867" t="s">
        <v>729</v>
      </c>
      <c r="W285" s="1867" t="s">
        <v>730</v>
      </c>
      <c r="X285" s="1872" t="s">
        <v>731</v>
      </c>
      <c r="Y285" s="1305"/>
      <c r="Z285" s="1305"/>
      <c r="AA285" s="1305"/>
      <c r="AB285" s="1305"/>
      <c r="AC285" s="1305"/>
      <c r="AD285" s="1305"/>
      <c r="AE285" s="1305"/>
      <c r="AF285" s="1305"/>
      <c r="AG285" s="1305"/>
      <c r="AH285" s="1305"/>
      <c r="AI285" s="1305"/>
      <c r="AJ285" s="1305"/>
    </row>
    <row r="286" spans="1:245" ht="26.25" customHeight="1" x14ac:dyDescent="0.2">
      <c r="B286" s="1885"/>
      <c r="C286" s="1865"/>
      <c r="D286" s="1868"/>
      <c r="E286" s="1879"/>
      <c r="F286" s="1868"/>
      <c r="G286" s="1868"/>
      <c r="H286" s="1868"/>
      <c r="I286" s="1868"/>
      <c r="J286" s="1868"/>
      <c r="K286" s="1868"/>
      <c r="L286" s="1882"/>
      <c r="M286" s="1868"/>
      <c r="N286" s="1868"/>
      <c r="O286" s="1868"/>
      <c r="P286" s="1868"/>
      <c r="Q286" s="1868"/>
      <c r="R286" s="1868"/>
      <c r="S286" s="1868"/>
      <c r="T286" s="1868"/>
      <c r="U286" s="1868"/>
      <c r="V286" s="1868"/>
      <c r="W286" s="1868"/>
      <c r="X286" s="1873"/>
      <c r="Y286" s="1305"/>
      <c r="Z286" s="1305"/>
      <c r="AA286" s="1305"/>
      <c r="AB286" s="1305"/>
      <c r="AC286" s="1305"/>
      <c r="AD286" s="1305"/>
      <c r="AE286" s="1305"/>
      <c r="AF286" s="1305"/>
      <c r="AG286" s="1305"/>
      <c r="AH286" s="1305"/>
      <c r="AI286" s="1305"/>
      <c r="AJ286" s="1305"/>
      <c r="AL286" s="1875" t="s">
        <v>739</v>
      </c>
      <c r="AM286" s="1876"/>
      <c r="AN286" s="1876"/>
      <c r="AO286" s="1876"/>
      <c r="AP286" s="1876"/>
      <c r="AQ286" s="1876"/>
      <c r="AR286" s="1876"/>
      <c r="AS286" s="1876"/>
      <c r="AT286" s="1876"/>
      <c r="AU286" s="1876"/>
      <c r="AV286" s="1876"/>
      <c r="AW286" s="1876"/>
      <c r="AX286" s="1876"/>
      <c r="AY286" s="1876"/>
      <c r="AZ286" s="1876"/>
      <c r="BA286" s="1876"/>
      <c r="BB286" s="1876"/>
      <c r="BC286" s="1876"/>
      <c r="BD286" s="1876"/>
      <c r="BE286" s="1876"/>
      <c r="BF286" s="1876"/>
      <c r="BG286" s="1876"/>
      <c r="BH286" s="1876"/>
      <c r="BI286" s="1876"/>
      <c r="BJ286" s="1876"/>
      <c r="BK286" s="1876"/>
      <c r="BL286" s="1876"/>
      <c r="BM286" s="1876"/>
      <c r="BN286" s="1876"/>
      <c r="BO286" s="1876"/>
      <c r="BP286" s="1876"/>
      <c r="BQ286" s="1876"/>
      <c r="BR286" s="1876"/>
      <c r="BS286" s="1876"/>
      <c r="BT286" s="1876"/>
      <c r="BU286" s="1876"/>
      <c r="BV286" s="1876"/>
      <c r="BW286" s="1876"/>
      <c r="BX286" s="1876"/>
      <c r="BY286" s="1876"/>
      <c r="BZ286" s="1876"/>
      <c r="CA286" s="1876"/>
      <c r="CB286" s="1876"/>
      <c r="CC286" s="1876"/>
      <c r="CD286" s="1876"/>
      <c r="CE286" s="1876"/>
      <c r="CF286" s="1876"/>
      <c r="CG286" s="1876"/>
      <c r="CH286" s="1876"/>
      <c r="CI286" s="1876"/>
      <c r="CJ286" s="1876"/>
      <c r="CK286" s="1876"/>
      <c r="CL286" s="1876"/>
      <c r="CM286" s="1876"/>
      <c r="CN286" s="1876"/>
      <c r="CO286" s="1876"/>
      <c r="CP286" s="1876"/>
      <c r="CQ286" s="1876"/>
      <c r="CR286" s="1876"/>
      <c r="CS286" s="1876"/>
      <c r="CT286" s="1876"/>
      <c r="CU286" s="1876"/>
      <c r="CV286" s="1876"/>
      <c r="CW286" s="1876"/>
      <c r="CX286" s="1876"/>
      <c r="CY286" s="1876"/>
      <c r="CZ286" s="1876"/>
      <c r="DA286" s="1876"/>
      <c r="DB286" s="1876"/>
      <c r="DC286" s="1876"/>
      <c r="DD286" s="1876"/>
      <c r="DE286" s="1876"/>
      <c r="DF286" s="1876"/>
      <c r="DG286" s="1876"/>
      <c r="DH286" s="1876"/>
      <c r="DI286" s="1876"/>
      <c r="DJ286" s="1876"/>
      <c r="DK286" s="1876"/>
      <c r="DL286" s="1876"/>
      <c r="DM286" s="1876"/>
      <c r="DN286" s="1876"/>
      <c r="DO286" s="1876"/>
      <c r="DP286" s="1876"/>
      <c r="DQ286" s="1876"/>
      <c r="DR286" s="1876"/>
      <c r="DS286" s="1876"/>
      <c r="DT286" s="1876"/>
      <c r="DU286" s="1876"/>
      <c r="DV286" s="1876"/>
      <c r="DW286" s="1876"/>
      <c r="DX286" s="1876"/>
      <c r="DY286" s="1876"/>
      <c r="DZ286" s="1876"/>
      <c r="EA286" s="1876"/>
      <c r="EB286" s="1876"/>
      <c r="EC286" s="1876"/>
      <c r="ED286" s="1876"/>
      <c r="EE286" s="1876"/>
      <c r="EF286" s="1876"/>
      <c r="EG286" s="1876"/>
      <c r="EH286" s="1876"/>
      <c r="EI286" s="1876"/>
      <c r="EJ286" s="1876"/>
      <c r="EK286" s="1876"/>
      <c r="EL286" s="1876"/>
      <c r="EM286" s="1876"/>
      <c r="EN286" s="1876"/>
      <c r="EO286" s="1876"/>
      <c r="EP286" s="1876"/>
      <c r="EQ286" s="1876"/>
      <c r="ER286" s="1876"/>
      <c r="ES286" s="1876"/>
      <c r="ET286" s="1876"/>
      <c r="EU286" s="1876"/>
      <c r="EV286" s="1876"/>
      <c r="EW286" s="1876"/>
      <c r="EX286" s="1876"/>
      <c r="EY286" s="1876"/>
      <c r="EZ286" s="1876"/>
      <c r="FA286" s="1876"/>
      <c r="FB286" s="1876"/>
      <c r="FC286" s="1876"/>
      <c r="FD286" s="1876"/>
      <c r="FE286" s="1876"/>
      <c r="FF286" s="1876"/>
      <c r="FG286" s="1876"/>
      <c r="FH286" s="1876"/>
      <c r="FI286" s="1876"/>
      <c r="FJ286" s="1876"/>
      <c r="FK286" s="1876"/>
      <c r="FL286" s="1876"/>
      <c r="FM286" s="1876"/>
      <c r="FN286" s="1876"/>
      <c r="FO286" s="1876"/>
      <c r="FP286" s="1876"/>
      <c r="FQ286" s="1876"/>
      <c r="FR286" s="1876"/>
      <c r="FS286" s="1876"/>
      <c r="FT286" s="1876"/>
      <c r="FU286" s="1876"/>
      <c r="FV286" s="1876"/>
      <c r="FW286" s="1876"/>
      <c r="FX286" s="1876"/>
      <c r="FY286" s="1876"/>
      <c r="FZ286" s="1876"/>
      <c r="GA286" s="1876"/>
      <c r="GB286" s="1876"/>
      <c r="GC286" s="1876"/>
      <c r="GD286" s="1876"/>
      <c r="GE286" s="1876"/>
      <c r="GF286" s="1876"/>
      <c r="GG286" s="1876"/>
      <c r="GH286" s="1876"/>
      <c r="GI286" s="1876"/>
      <c r="GJ286" s="1876"/>
      <c r="GK286" s="1876"/>
      <c r="GL286" s="1876"/>
      <c r="GM286" s="1876"/>
      <c r="GN286" s="1876"/>
      <c r="GO286" s="1876"/>
      <c r="GP286" s="1876"/>
      <c r="GQ286" s="1876"/>
      <c r="GR286" s="1876"/>
      <c r="GS286" s="1876"/>
      <c r="GT286" s="1876"/>
      <c r="GU286" s="1876"/>
      <c r="GV286" s="1876"/>
      <c r="GW286" s="1876"/>
      <c r="GX286" s="1876"/>
      <c r="GY286" s="1876"/>
      <c r="GZ286" s="1876"/>
      <c r="HA286" s="1876"/>
      <c r="HB286" s="1876"/>
      <c r="HC286" s="1876"/>
      <c r="HD286" s="1876"/>
      <c r="HE286" s="1876"/>
      <c r="HF286" s="1876"/>
      <c r="HG286" s="1876"/>
      <c r="HH286" s="1876"/>
      <c r="HI286" s="1876"/>
      <c r="HJ286" s="1876"/>
      <c r="HK286" s="1876"/>
      <c r="HL286" s="1876"/>
      <c r="HM286" s="1876"/>
      <c r="HN286" s="1876"/>
      <c r="HO286" s="1876"/>
      <c r="HP286" s="1876"/>
      <c r="HQ286" s="1876"/>
      <c r="HR286" s="1876"/>
      <c r="HS286" s="1876"/>
      <c r="HT286" s="1876"/>
      <c r="HU286" s="1876"/>
      <c r="HV286" s="1876"/>
      <c r="HW286" s="1876"/>
      <c r="HX286" s="1876"/>
      <c r="HY286" s="1876"/>
      <c r="HZ286" s="1876"/>
      <c r="IA286" s="1876"/>
      <c r="IB286" s="1876"/>
      <c r="IC286" s="1876"/>
      <c r="ID286" s="1876"/>
      <c r="IE286" s="1876"/>
      <c r="IF286" s="1876"/>
      <c r="IG286" s="1876"/>
      <c r="IH286" s="1876"/>
      <c r="II286" s="1876"/>
      <c r="IJ286" s="1877"/>
      <c r="IK286" s="378"/>
    </row>
    <row r="287" spans="1:245" ht="13.5" thickBot="1" x14ac:dyDescent="0.25">
      <c r="B287" s="1886"/>
      <c r="C287" s="1866"/>
      <c r="D287" s="1869"/>
      <c r="E287" s="1880"/>
      <c r="F287" s="1869"/>
      <c r="G287" s="1869"/>
      <c r="H287" s="1869"/>
      <c r="I287" s="1869"/>
      <c r="J287" s="1869"/>
      <c r="K287" s="1869"/>
      <c r="L287" s="1883"/>
      <c r="M287" s="1869"/>
      <c r="N287" s="1869"/>
      <c r="O287" s="1869"/>
      <c r="P287" s="1869"/>
      <c r="Q287" s="1869"/>
      <c r="R287" s="1869"/>
      <c r="S287" s="1869"/>
      <c r="T287" s="1869"/>
      <c r="U287" s="1869"/>
      <c r="V287" s="1869"/>
      <c r="W287" s="1869"/>
      <c r="X287" s="1874"/>
      <c r="Y287" s="1305"/>
      <c r="Z287" s="1305"/>
      <c r="AA287" s="1305"/>
      <c r="AB287" s="1305"/>
      <c r="AC287" s="1305"/>
      <c r="AD287" s="1305"/>
      <c r="AE287" s="1305"/>
      <c r="AF287" s="1305"/>
      <c r="AG287" s="1305"/>
      <c r="AH287" s="1305"/>
      <c r="AI287" s="1305"/>
      <c r="AJ287" s="1305"/>
      <c r="AK287" s="379"/>
      <c r="AL287" s="724"/>
      <c r="AM287" s="725">
        <v>0</v>
      </c>
      <c r="AN287" s="725">
        <f t="shared" ref="AN287:CY287" si="326">IF(AM287+TIME(0,TimeIncr,0)&gt;=0.99999,NA(),MROUND(AM287+TIME(0,TimeIncr,0),"0:01"))</f>
        <v>4.8611111111111112E-3</v>
      </c>
      <c r="AO287" s="725">
        <f t="shared" si="326"/>
        <v>9.7222222222222224E-3</v>
      </c>
      <c r="AP287" s="725">
        <f t="shared" si="326"/>
        <v>1.4583333333333334E-2</v>
      </c>
      <c r="AQ287" s="725">
        <f t="shared" si="326"/>
        <v>1.9444444444444445E-2</v>
      </c>
      <c r="AR287" s="725">
        <f t="shared" si="326"/>
        <v>2.4305555555555556E-2</v>
      </c>
      <c r="AS287" s="725">
        <f t="shared" si="326"/>
        <v>2.9166666666666667E-2</v>
      </c>
      <c r="AT287" s="725">
        <f t="shared" si="326"/>
        <v>3.4027777777777782E-2</v>
      </c>
      <c r="AU287" s="725">
        <f t="shared" si="326"/>
        <v>3.888888888888889E-2</v>
      </c>
      <c r="AV287" s="725">
        <f t="shared" si="326"/>
        <v>4.3750000000000004E-2</v>
      </c>
      <c r="AW287" s="725">
        <f t="shared" si="326"/>
        <v>4.8611111111111112E-2</v>
      </c>
      <c r="AX287" s="725">
        <f t="shared" si="326"/>
        <v>5.3472222222222227E-2</v>
      </c>
      <c r="AY287" s="725">
        <f t="shared" si="326"/>
        <v>5.8333333333333334E-2</v>
      </c>
      <c r="AZ287" s="725">
        <f t="shared" si="326"/>
        <v>6.3194444444444442E-2</v>
      </c>
      <c r="BA287" s="725">
        <f t="shared" si="326"/>
        <v>6.8055555555555564E-2</v>
      </c>
      <c r="BB287" s="725">
        <f t="shared" si="326"/>
        <v>7.2916666666666671E-2</v>
      </c>
      <c r="BC287" s="725">
        <f t="shared" si="326"/>
        <v>7.7777777777777779E-2</v>
      </c>
      <c r="BD287" s="725">
        <f t="shared" si="326"/>
        <v>8.2638888888888887E-2</v>
      </c>
      <c r="BE287" s="725">
        <f t="shared" si="326"/>
        <v>8.7500000000000008E-2</v>
      </c>
      <c r="BF287" s="725">
        <f t="shared" si="326"/>
        <v>9.2361111111111116E-2</v>
      </c>
      <c r="BG287" s="725">
        <f t="shared" si="326"/>
        <v>9.7222222222222224E-2</v>
      </c>
      <c r="BH287" s="725">
        <f t="shared" si="326"/>
        <v>0.10208333333333333</v>
      </c>
      <c r="BI287" s="725">
        <f t="shared" si="326"/>
        <v>0.10694444444444445</v>
      </c>
      <c r="BJ287" s="725">
        <f t="shared" si="326"/>
        <v>0.11180555555555556</v>
      </c>
      <c r="BK287" s="725">
        <f t="shared" si="326"/>
        <v>0.11666666666666667</v>
      </c>
      <c r="BL287" s="725">
        <f t="shared" si="326"/>
        <v>0.12152777777777778</v>
      </c>
      <c r="BM287" s="725">
        <f t="shared" si="326"/>
        <v>0.12638888888888888</v>
      </c>
      <c r="BN287" s="725">
        <f t="shared" si="326"/>
        <v>0.13125000000000001</v>
      </c>
      <c r="BO287" s="725">
        <f t="shared" si="326"/>
        <v>0.13611111111111113</v>
      </c>
      <c r="BP287" s="725">
        <f t="shared" si="326"/>
        <v>0.14097222222222222</v>
      </c>
      <c r="BQ287" s="725">
        <f t="shared" si="326"/>
        <v>0.14583333333333334</v>
      </c>
      <c r="BR287" s="725">
        <f t="shared" si="326"/>
        <v>0.15069444444444444</v>
      </c>
      <c r="BS287" s="725">
        <f t="shared" si="326"/>
        <v>0.15555555555555556</v>
      </c>
      <c r="BT287" s="725">
        <f t="shared" si="326"/>
        <v>0.16041666666666668</v>
      </c>
      <c r="BU287" s="725">
        <f t="shared" si="326"/>
        <v>0.16527777777777777</v>
      </c>
      <c r="BV287" s="725">
        <f t="shared" si="326"/>
        <v>0.1701388888888889</v>
      </c>
      <c r="BW287" s="725">
        <f t="shared" si="326"/>
        <v>0.17500000000000002</v>
      </c>
      <c r="BX287" s="725">
        <f t="shared" si="326"/>
        <v>0.17986111111111111</v>
      </c>
      <c r="BY287" s="725">
        <f t="shared" si="326"/>
        <v>0.18472222222222223</v>
      </c>
      <c r="BZ287" s="725">
        <f t="shared" si="326"/>
        <v>0.18958333333333335</v>
      </c>
      <c r="CA287" s="725">
        <f t="shared" si="326"/>
        <v>0.19444444444444445</v>
      </c>
      <c r="CB287" s="725">
        <f t="shared" si="326"/>
        <v>0.19930555555555557</v>
      </c>
      <c r="CC287" s="725">
        <f t="shared" si="326"/>
        <v>0.20416666666666666</v>
      </c>
      <c r="CD287" s="725">
        <f t="shared" si="326"/>
        <v>0.20902777777777778</v>
      </c>
      <c r="CE287" s="725">
        <f t="shared" si="326"/>
        <v>0.21388888888888891</v>
      </c>
      <c r="CF287" s="725">
        <f t="shared" si="326"/>
        <v>0.21875</v>
      </c>
      <c r="CG287" s="725">
        <f t="shared" si="326"/>
        <v>0.22361111111111112</v>
      </c>
      <c r="CH287" s="725">
        <f t="shared" si="326"/>
        <v>0.22847222222222224</v>
      </c>
      <c r="CI287" s="725">
        <f t="shared" si="326"/>
        <v>0.23333333333333334</v>
      </c>
      <c r="CJ287" s="725">
        <f t="shared" si="326"/>
        <v>0.23819444444444446</v>
      </c>
      <c r="CK287" s="725">
        <f t="shared" si="326"/>
        <v>0.24305555555555555</v>
      </c>
      <c r="CL287" s="725">
        <f t="shared" si="326"/>
        <v>0.24791666666666667</v>
      </c>
      <c r="CM287" s="725">
        <f t="shared" si="326"/>
        <v>0.25277777777777777</v>
      </c>
      <c r="CN287" s="725">
        <f t="shared" si="326"/>
        <v>0.25763888888888892</v>
      </c>
      <c r="CO287" s="725">
        <f t="shared" si="326"/>
        <v>0.26250000000000001</v>
      </c>
      <c r="CP287" s="725">
        <f t="shared" si="326"/>
        <v>0.2673611111111111</v>
      </c>
      <c r="CQ287" s="725">
        <f t="shared" si="326"/>
        <v>0.27222222222222225</v>
      </c>
      <c r="CR287" s="725">
        <f t="shared" si="326"/>
        <v>0.27708333333333335</v>
      </c>
      <c r="CS287" s="725">
        <f t="shared" si="326"/>
        <v>0.28194444444444444</v>
      </c>
      <c r="CT287" s="725">
        <f t="shared" si="326"/>
        <v>0.28680555555555559</v>
      </c>
      <c r="CU287" s="725">
        <f t="shared" si="326"/>
        <v>0.29166666666666669</v>
      </c>
      <c r="CV287" s="725">
        <f t="shared" si="326"/>
        <v>0.29652777777777778</v>
      </c>
      <c r="CW287" s="725">
        <f t="shared" si="326"/>
        <v>0.30138888888888887</v>
      </c>
      <c r="CX287" s="725">
        <f t="shared" si="326"/>
        <v>0.30625000000000002</v>
      </c>
      <c r="CY287" s="725">
        <f t="shared" si="326"/>
        <v>0.31111111111111112</v>
      </c>
      <c r="CZ287" s="725">
        <f t="shared" ref="CZ287:FK287" si="327">IF(CY287+TIME(0,TimeIncr,0)&gt;=0.99999,NA(),MROUND(CY287+TIME(0,TimeIncr,0),"0:01"))</f>
        <v>0.31597222222222221</v>
      </c>
      <c r="DA287" s="725">
        <f t="shared" si="327"/>
        <v>0.32083333333333336</v>
      </c>
      <c r="DB287" s="725">
        <f t="shared" si="327"/>
        <v>0.32569444444444445</v>
      </c>
      <c r="DC287" s="725">
        <f t="shared" si="327"/>
        <v>0.33055555555555555</v>
      </c>
      <c r="DD287" s="725">
        <f t="shared" si="327"/>
        <v>0.3354166666666667</v>
      </c>
      <c r="DE287" s="725">
        <f t="shared" si="327"/>
        <v>0.34027777777777779</v>
      </c>
      <c r="DF287" s="725">
        <f t="shared" si="327"/>
        <v>0.34513888888888888</v>
      </c>
      <c r="DG287" s="725">
        <f t="shared" si="327"/>
        <v>0.35000000000000003</v>
      </c>
      <c r="DH287" s="725">
        <f t="shared" si="327"/>
        <v>0.35486111111111113</v>
      </c>
      <c r="DI287" s="725">
        <f t="shared" si="327"/>
        <v>0.35972222222222222</v>
      </c>
      <c r="DJ287" s="725">
        <f t="shared" si="327"/>
        <v>0.36458333333333337</v>
      </c>
      <c r="DK287" s="725">
        <f t="shared" si="327"/>
        <v>0.36944444444444446</v>
      </c>
      <c r="DL287" s="725">
        <f t="shared" si="327"/>
        <v>0.37430555555555556</v>
      </c>
      <c r="DM287" s="725">
        <f t="shared" si="327"/>
        <v>0.37916666666666671</v>
      </c>
      <c r="DN287" s="725">
        <f t="shared" si="327"/>
        <v>0.3840277777777778</v>
      </c>
      <c r="DO287" s="725">
        <f t="shared" si="327"/>
        <v>0.3888888888888889</v>
      </c>
      <c r="DP287" s="725">
        <f t="shared" si="327"/>
        <v>0.39374999999999999</v>
      </c>
      <c r="DQ287" s="725">
        <f t="shared" si="327"/>
        <v>0.39861111111111114</v>
      </c>
      <c r="DR287" s="725">
        <f t="shared" si="327"/>
        <v>0.40347222222222223</v>
      </c>
      <c r="DS287" s="725">
        <f t="shared" si="327"/>
        <v>0.40833333333333333</v>
      </c>
      <c r="DT287" s="725">
        <f t="shared" si="327"/>
        <v>0.41319444444444448</v>
      </c>
      <c r="DU287" s="725">
        <f t="shared" si="327"/>
        <v>0.41805555555555557</v>
      </c>
      <c r="DV287" s="725">
        <f t="shared" si="327"/>
        <v>0.42291666666666666</v>
      </c>
      <c r="DW287" s="725">
        <f t="shared" si="327"/>
        <v>0.42777777777777781</v>
      </c>
      <c r="DX287" s="725">
        <f t="shared" si="327"/>
        <v>0.43263888888888891</v>
      </c>
      <c r="DY287" s="725">
        <f t="shared" si="327"/>
        <v>0.4375</v>
      </c>
      <c r="DZ287" s="725">
        <f t="shared" si="327"/>
        <v>0.44236111111111115</v>
      </c>
      <c r="EA287" s="725">
        <f t="shared" si="327"/>
        <v>0.44722222222222224</v>
      </c>
      <c r="EB287" s="725">
        <f t="shared" si="327"/>
        <v>0.45208333333333334</v>
      </c>
      <c r="EC287" s="725">
        <f t="shared" si="327"/>
        <v>0.45694444444444449</v>
      </c>
      <c r="ED287" s="725">
        <f t="shared" si="327"/>
        <v>0.46180555555555558</v>
      </c>
      <c r="EE287" s="725">
        <f t="shared" si="327"/>
        <v>0.46666666666666667</v>
      </c>
      <c r="EF287" s="725">
        <f t="shared" si="327"/>
        <v>0.47152777777777782</v>
      </c>
      <c r="EG287" s="725">
        <f t="shared" si="327"/>
        <v>0.47638888888888892</v>
      </c>
      <c r="EH287" s="725">
        <f t="shared" si="327"/>
        <v>0.48125000000000001</v>
      </c>
      <c r="EI287" s="725">
        <f t="shared" si="327"/>
        <v>0.4861111111111111</v>
      </c>
      <c r="EJ287" s="725">
        <f t="shared" si="327"/>
        <v>0.49097222222222225</v>
      </c>
      <c r="EK287" s="725">
        <f t="shared" si="327"/>
        <v>0.49583333333333335</v>
      </c>
      <c r="EL287" s="725">
        <f t="shared" si="327"/>
        <v>0.50069444444444444</v>
      </c>
      <c r="EM287" s="725">
        <f t="shared" si="327"/>
        <v>0.50555555555555554</v>
      </c>
      <c r="EN287" s="725">
        <f t="shared" si="327"/>
        <v>0.51041666666666674</v>
      </c>
      <c r="EO287" s="725">
        <f t="shared" si="327"/>
        <v>0.51527777777777783</v>
      </c>
      <c r="EP287" s="725">
        <f t="shared" si="327"/>
        <v>0.52013888888888893</v>
      </c>
      <c r="EQ287" s="725">
        <f t="shared" si="327"/>
        <v>0.52500000000000002</v>
      </c>
      <c r="ER287" s="725">
        <f t="shared" si="327"/>
        <v>0.52986111111111112</v>
      </c>
      <c r="ES287" s="725">
        <f t="shared" si="327"/>
        <v>0.53472222222222221</v>
      </c>
      <c r="ET287" s="725">
        <f t="shared" si="327"/>
        <v>0.5395833333333333</v>
      </c>
      <c r="EU287" s="725">
        <f t="shared" si="327"/>
        <v>0.54444444444444451</v>
      </c>
      <c r="EV287" s="725">
        <f t="shared" si="327"/>
        <v>0.5493055555555556</v>
      </c>
      <c r="EW287" s="725">
        <f t="shared" si="327"/>
        <v>0.5541666666666667</v>
      </c>
      <c r="EX287" s="725">
        <f t="shared" si="327"/>
        <v>0.55902777777777779</v>
      </c>
      <c r="EY287" s="725">
        <f t="shared" si="327"/>
        <v>0.56388888888888888</v>
      </c>
      <c r="EZ287" s="725">
        <f t="shared" si="327"/>
        <v>0.56874999999999998</v>
      </c>
      <c r="FA287" s="725">
        <f t="shared" si="327"/>
        <v>0.57361111111111118</v>
      </c>
      <c r="FB287" s="725">
        <f t="shared" si="327"/>
        <v>0.57847222222222228</v>
      </c>
      <c r="FC287" s="725">
        <f t="shared" si="327"/>
        <v>0.58333333333333337</v>
      </c>
      <c r="FD287" s="725">
        <f t="shared" si="327"/>
        <v>0.58819444444444446</v>
      </c>
      <c r="FE287" s="725">
        <f t="shared" si="327"/>
        <v>0.59305555555555556</v>
      </c>
      <c r="FF287" s="725">
        <f t="shared" si="327"/>
        <v>0.59791666666666665</v>
      </c>
      <c r="FG287" s="725">
        <f t="shared" si="327"/>
        <v>0.60277777777777775</v>
      </c>
      <c r="FH287" s="725">
        <f t="shared" si="327"/>
        <v>0.60763888888888895</v>
      </c>
      <c r="FI287" s="725">
        <f t="shared" si="327"/>
        <v>0.61250000000000004</v>
      </c>
      <c r="FJ287" s="725">
        <f t="shared" si="327"/>
        <v>0.61736111111111114</v>
      </c>
      <c r="FK287" s="725">
        <f t="shared" si="327"/>
        <v>0.62222222222222223</v>
      </c>
      <c r="FL287" s="725">
        <f t="shared" ref="FL287:HW287" si="328">IF(FK287+TIME(0,TimeIncr,0)&gt;=0.99999,NA(),MROUND(FK287+TIME(0,TimeIncr,0),"0:01"))</f>
        <v>0.62708333333333333</v>
      </c>
      <c r="FM287" s="725">
        <f t="shared" si="328"/>
        <v>0.63194444444444442</v>
      </c>
      <c r="FN287" s="725">
        <f t="shared" si="328"/>
        <v>0.63680555555555562</v>
      </c>
      <c r="FO287" s="725">
        <f t="shared" si="328"/>
        <v>0.64166666666666672</v>
      </c>
      <c r="FP287" s="725">
        <f t="shared" si="328"/>
        <v>0.64652777777777781</v>
      </c>
      <c r="FQ287" s="725">
        <f t="shared" si="328"/>
        <v>0.65138888888888891</v>
      </c>
      <c r="FR287" s="725">
        <f t="shared" si="328"/>
        <v>0.65625</v>
      </c>
      <c r="FS287" s="725">
        <f t="shared" si="328"/>
        <v>0.66111111111111109</v>
      </c>
      <c r="FT287" s="725">
        <f t="shared" si="328"/>
        <v>0.6659722222222223</v>
      </c>
      <c r="FU287" s="725">
        <f t="shared" si="328"/>
        <v>0.67083333333333339</v>
      </c>
      <c r="FV287" s="725">
        <f t="shared" si="328"/>
        <v>0.67569444444444449</v>
      </c>
      <c r="FW287" s="725">
        <f t="shared" si="328"/>
        <v>0.68055555555555558</v>
      </c>
      <c r="FX287" s="725">
        <f t="shared" si="328"/>
        <v>0.68541666666666667</v>
      </c>
      <c r="FY287" s="725">
        <f t="shared" si="328"/>
        <v>0.69027777777777777</v>
      </c>
      <c r="FZ287" s="725">
        <f t="shared" si="328"/>
        <v>0.69513888888888886</v>
      </c>
      <c r="GA287" s="725">
        <f t="shared" si="328"/>
        <v>0.70000000000000007</v>
      </c>
      <c r="GB287" s="725">
        <f t="shared" si="328"/>
        <v>0.70486111111111116</v>
      </c>
      <c r="GC287" s="725">
        <f t="shared" si="328"/>
        <v>0.70972222222222225</v>
      </c>
      <c r="GD287" s="725">
        <f t="shared" si="328"/>
        <v>0.71458333333333335</v>
      </c>
      <c r="GE287" s="725">
        <f t="shared" si="328"/>
        <v>0.71944444444444444</v>
      </c>
      <c r="GF287" s="725">
        <f t="shared" si="328"/>
        <v>0.72430555555555554</v>
      </c>
      <c r="GG287" s="725">
        <f t="shared" si="328"/>
        <v>0.72916666666666674</v>
      </c>
      <c r="GH287" s="725">
        <f t="shared" si="328"/>
        <v>0.73402777777777783</v>
      </c>
      <c r="GI287" s="725">
        <f t="shared" si="328"/>
        <v>0.73888888888888893</v>
      </c>
      <c r="GJ287" s="725">
        <f t="shared" si="328"/>
        <v>0.74375000000000002</v>
      </c>
      <c r="GK287" s="725">
        <f t="shared" si="328"/>
        <v>0.74861111111111112</v>
      </c>
      <c r="GL287" s="725">
        <f t="shared" si="328"/>
        <v>0.75347222222222221</v>
      </c>
      <c r="GM287" s="725">
        <f t="shared" si="328"/>
        <v>0.75833333333333341</v>
      </c>
      <c r="GN287" s="725">
        <f t="shared" si="328"/>
        <v>0.76319444444444451</v>
      </c>
      <c r="GO287" s="725">
        <f t="shared" si="328"/>
        <v>0.7680555555555556</v>
      </c>
      <c r="GP287" s="725">
        <f t="shared" si="328"/>
        <v>0.7729166666666667</v>
      </c>
      <c r="GQ287" s="725">
        <f t="shared" si="328"/>
        <v>0.77777777777777779</v>
      </c>
      <c r="GR287" s="725">
        <f t="shared" si="328"/>
        <v>0.78263888888888888</v>
      </c>
      <c r="GS287" s="725">
        <f t="shared" si="328"/>
        <v>0.78749999999999998</v>
      </c>
      <c r="GT287" s="725">
        <f t="shared" si="328"/>
        <v>0.79236111111111118</v>
      </c>
      <c r="GU287" s="725">
        <f t="shared" si="328"/>
        <v>0.79722222222222228</v>
      </c>
      <c r="GV287" s="725">
        <f t="shared" si="328"/>
        <v>0.80208333333333337</v>
      </c>
      <c r="GW287" s="725">
        <f t="shared" si="328"/>
        <v>0.80694444444444446</v>
      </c>
      <c r="GX287" s="725">
        <f t="shared" si="328"/>
        <v>0.81180555555555556</v>
      </c>
      <c r="GY287" s="725">
        <f t="shared" si="328"/>
        <v>0.81666666666666665</v>
      </c>
      <c r="GZ287" s="725">
        <f t="shared" si="328"/>
        <v>0.82152777777777786</v>
      </c>
      <c r="HA287" s="725">
        <f t="shared" si="328"/>
        <v>0.82638888888888895</v>
      </c>
      <c r="HB287" s="725">
        <f t="shared" si="328"/>
        <v>0.83125000000000004</v>
      </c>
      <c r="HC287" s="725">
        <f t="shared" si="328"/>
        <v>0.83611111111111114</v>
      </c>
      <c r="HD287" s="725">
        <f t="shared" si="328"/>
        <v>0.84097222222222223</v>
      </c>
      <c r="HE287" s="725">
        <f t="shared" si="328"/>
        <v>0.84583333333333333</v>
      </c>
      <c r="HF287" s="725">
        <f t="shared" si="328"/>
        <v>0.85069444444444453</v>
      </c>
      <c r="HG287" s="725">
        <f t="shared" si="328"/>
        <v>0.85555555555555562</v>
      </c>
      <c r="HH287" s="725">
        <f t="shared" si="328"/>
        <v>0.86041666666666672</v>
      </c>
      <c r="HI287" s="725">
        <f t="shared" si="328"/>
        <v>0.86527777777777781</v>
      </c>
      <c r="HJ287" s="725">
        <f t="shared" si="328"/>
        <v>0.87013888888888891</v>
      </c>
      <c r="HK287" s="725">
        <f t="shared" si="328"/>
        <v>0.875</v>
      </c>
      <c r="HL287" s="725">
        <f t="shared" si="328"/>
        <v>0.87986111111111109</v>
      </c>
      <c r="HM287" s="725">
        <f t="shared" si="328"/>
        <v>0.8847222222222223</v>
      </c>
      <c r="HN287" s="725">
        <f t="shared" si="328"/>
        <v>0.88958333333333339</v>
      </c>
      <c r="HO287" s="725">
        <f t="shared" si="328"/>
        <v>0.89444444444444449</v>
      </c>
      <c r="HP287" s="725">
        <f t="shared" si="328"/>
        <v>0.89930555555555558</v>
      </c>
      <c r="HQ287" s="725">
        <f t="shared" si="328"/>
        <v>0.90416666666666667</v>
      </c>
      <c r="HR287" s="725">
        <f t="shared" si="328"/>
        <v>0.90902777777777777</v>
      </c>
      <c r="HS287" s="725">
        <f t="shared" si="328"/>
        <v>0.91388888888888897</v>
      </c>
      <c r="HT287" s="725">
        <f t="shared" si="328"/>
        <v>0.91875000000000007</v>
      </c>
      <c r="HU287" s="725">
        <f t="shared" si="328"/>
        <v>0.92361111111111116</v>
      </c>
      <c r="HV287" s="725">
        <f t="shared" si="328"/>
        <v>0.92847222222222225</v>
      </c>
      <c r="HW287" s="725">
        <f t="shared" si="328"/>
        <v>0.93333333333333335</v>
      </c>
      <c r="HX287" s="725">
        <f t="shared" ref="HX287:IJ287" si="329">IF(HW287+TIME(0,TimeIncr,0)&gt;=0.99999,NA(),MROUND(HW287+TIME(0,TimeIncr,0),"0:01"))</f>
        <v>0.93819444444444444</v>
      </c>
      <c r="HY287" s="725">
        <f t="shared" si="329"/>
        <v>0.94305555555555565</v>
      </c>
      <c r="HZ287" s="725">
        <f t="shared" si="329"/>
        <v>0.94791666666666674</v>
      </c>
      <c r="IA287" s="725">
        <f t="shared" si="329"/>
        <v>0.95277777777777783</v>
      </c>
      <c r="IB287" s="725">
        <f t="shared" si="329"/>
        <v>0.95763888888888893</v>
      </c>
      <c r="IC287" s="725">
        <f t="shared" si="329"/>
        <v>0.96250000000000002</v>
      </c>
      <c r="ID287" s="725">
        <f t="shared" si="329"/>
        <v>0.96736111111111112</v>
      </c>
      <c r="IE287" s="725">
        <f t="shared" si="329"/>
        <v>0.97222222222222221</v>
      </c>
      <c r="IF287" s="725">
        <f t="shared" si="329"/>
        <v>0.97708333333333341</v>
      </c>
      <c r="IG287" s="725">
        <f t="shared" si="329"/>
        <v>0.98194444444444451</v>
      </c>
      <c r="IH287" s="725">
        <f t="shared" si="329"/>
        <v>0.9868055555555556</v>
      </c>
      <c r="II287" s="725">
        <f t="shared" si="329"/>
        <v>0.9916666666666667</v>
      </c>
      <c r="IJ287" s="725">
        <f t="shared" si="329"/>
        <v>0.99652777777777779</v>
      </c>
      <c r="IK287" s="378"/>
    </row>
    <row r="288" spans="1:245" hidden="1" x14ac:dyDescent="0.2">
      <c r="A288" s="380" t="str">
        <f>IF(ISERROR(C288),"e",IF(OR(E288=0,B288=""),"x",""))</f>
        <v>x</v>
      </c>
      <c r="B288" s="712">
        <f>IF(ISERROR(INDEX('Legend(DX)'!$H$14:$H$15,1)),"",INDEX('Legend(DX)'!$H$14:$H$15,1))</f>
        <v>0</v>
      </c>
      <c r="C288" s="712" t="str">
        <f>IF(INDEX('Legend(DX)'!$T$14:$T$15,1)=0,"See Legend",INDEX('Legend(DX)'!$T$14:$T$15,1))</f>
        <v>See Legend</v>
      </c>
      <c r="D288" s="712" t="str">
        <f>IF(INDEX('Legend(DX)'!$R$14:$R$15,1)=0,"---",INDEX('Legend(DX)'!$R$14:$R$15,1))</f>
        <v>---</v>
      </c>
      <c r="E288" s="713">
        <f>IF(ISERROR(INDEX('Legend(DX)'!$AA$14:$AA$15,1)),"",INDEX('Legend(DX)'!$AA$14:$AA$15,1))</f>
        <v>0</v>
      </c>
      <c r="F288" s="714"/>
      <c r="G288" s="714"/>
      <c r="H288" s="714"/>
      <c r="I288" s="714"/>
      <c r="J288" s="714"/>
      <c r="K288" s="890">
        <f>G288+H288+J288</f>
        <v>0</v>
      </c>
      <c r="L288" s="717"/>
      <c r="M288" s="723"/>
      <c r="N288" s="972">
        <f t="shared" ref="N288:N319" si="330">IF(M288="",-1,IF(M288+TIME(0,$K288,0)&gt;1,M288+TIME(0,$K288,0)-1,M288+TIME(0,$K288,0)))</f>
        <v>-1</v>
      </c>
      <c r="O288" s="972">
        <f>IF($F288&lt;2,-1,IF(M288+TIME((24/$F288),0,0)&gt;1,MROUND(M288-1+TIME((24/$F288),0,0),"0:01"),MROUND(M288+TIME((24/$F288),0,0),"0:01")))</f>
        <v>-1</v>
      </c>
      <c r="P288" s="972">
        <f t="shared" ref="P288:P319" si="331">IF(O288="",-1,IF(O288+TIME(0,$K288,0)&gt;1,O288+TIME(0,$K288,0)-1,O288+TIME(0,$K288,0)))</f>
        <v>-1</v>
      </c>
      <c r="Q288" s="972">
        <f>IF($F288&lt;3,-1,IF(O288+TIME((24/$F288),0,0)&gt;1,MROUND(O288-1+TIME((24/$F288),0,0),"0:01"),MROUND(O288+TIME((24/$F288),0,0),"0:01")))</f>
        <v>-1</v>
      </c>
      <c r="R288" s="972">
        <f t="shared" ref="R288:R319" si="332">IF(Q288="",-1,IF(Q288+TIME(0,$K288,0)&gt;1,Q288+TIME(0,$K288,0)-1,Q288+TIME(0,$K288,0)))</f>
        <v>-1</v>
      </c>
      <c r="S288" s="972">
        <f>IF($F288&lt;4,-1,IF(Q288+TIME((24/$F288),0,0)&gt;1,MROUND(Q288-1+TIME((24/$F288),0,0),"0:01"),MROUND(Q288+TIME((24/$F288),0,0),"0:01")))</f>
        <v>-1</v>
      </c>
      <c r="T288" s="972">
        <f t="shared" ref="T288:T319" si="333">IF(S288="",-1,IF(S288+TIME(0,$K288,0)&gt;1,S288+TIME(0,$K288,0)-1,S288+TIME(0,$K288,0)))</f>
        <v>-1</v>
      </c>
      <c r="U288" s="972">
        <f>IF($F288&lt;5,-1,IF(S288+TIME((24/$F288),0,0)&gt;1,MROUND(S288-1+TIME((24/$F288),0,0),"0:01"),MROUND(S288+TIME((24/$F288),0,0),"0:01")))</f>
        <v>-1</v>
      </c>
      <c r="V288" s="972">
        <f t="shared" ref="V288:V319" si="334">IF(U288="",-1,IF(U288+TIME(0,$K288,0)&gt;1,U288+TIME(0,$K288,0)-1,U288+TIME(0,$K288,0)))</f>
        <v>-1</v>
      </c>
      <c r="W288" s="972">
        <f>IF($F288&lt;6,-1,IF(U288+TIME((24/$F288),0,0)&gt;1,MROUND(U288-1+TIME((24/$F288),0,0),"0:01"),MROUND(U288+TIME((24/$F288),0,0),"0:01")))</f>
        <v>-1</v>
      </c>
      <c r="X288" s="972">
        <f t="shared" ref="X288:X319" si="335">IF(W288="",-1,IF(W288+TIME(0,$K288,0)&gt;1,W288+TIME(0,$K288,0)-1,W288+TIME(0,$K288,0)))</f>
        <v>-1</v>
      </c>
      <c r="Y288" s="972">
        <f>IF($F288&lt;7,-1,IF(W288+TIME((24/$F288),0,0)&gt;1,MROUND(W288-1+TIME((24/$F288),0,0),"0:01"),MROUND(W288+TIME((24/$F288),0,0),"0:01")))</f>
        <v>-1</v>
      </c>
      <c r="Z288" s="972">
        <f>IF(Y288="",-1,IF(Y288+TIME(0,$K288,0)&gt;1,Y288+TIME(0,$K288,0)-1,Y288+TIME(0,$K288,0)))</f>
        <v>-1</v>
      </c>
      <c r="AA288" s="972">
        <f>IF($F288&lt;8,-1,IF(Y288+TIME((24/$F288),0,0)&gt;1,MROUND(Y288-1+TIME((24/$F288),0,0),"0:01"),MROUND(Y288+TIME((24/$F288),0,0),"0:01")))</f>
        <v>-1</v>
      </c>
      <c r="AB288" s="972">
        <f>IF(AA288="",-1,IF(AA288+TIME(0,$K288,0)&gt;1,AA288+TIME(0,$K288,0)-1,AA288+TIME(0,$K288,0)))</f>
        <v>-1</v>
      </c>
      <c r="AC288" s="972">
        <f>IF($F288&lt;9,-1,IF(AA288+TIME((24/$F288),0,0)&gt;1,MROUND(AA288-1+TIME((24/$F288),0,0),"0:01"),MROUND(AA288+TIME((24/$F288),0,0),"0:01")))</f>
        <v>-1</v>
      </c>
      <c r="AD288" s="972">
        <f>IF(AC288="",-1,IF(AC288+TIME(0,$K288,0)&gt;1,AC288+TIME(0,$K288,0)-1,AC288+TIME(0,$K288,0)))</f>
        <v>-1</v>
      </c>
      <c r="AE288" s="972">
        <f>IF($F288&lt;10,-1,IF(AC288+TIME((24/$F288),0,0)&gt;1,MROUND(AC288-1+TIME((24/$F288),0,0),"0:01"),MROUND(AC288+TIME((24/$F288),0,0),"0:01")))</f>
        <v>-1</v>
      </c>
      <c r="AF288" s="972">
        <f>IF(AE288="",-1,IF(AE288+TIME(0,$K288,0)&gt;1,AE288+TIME(0,$K288,0)-1,AE288+TIME(0,$K288,0)))</f>
        <v>-1</v>
      </c>
      <c r="AG288" s="972">
        <f>IF($F288&lt;11,-1,IF(AE288+TIME((24/$F288),0,0)&gt;1,MROUND(AE288-1+TIME((24/$F288),0,0),"0:01"),MROUND(AE288+TIME((24/$F288),0,0),"0:01")))</f>
        <v>-1</v>
      </c>
      <c r="AH288" s="972">
        <f>IF(AG288="",-1,IF(AG288+TIME(0,$K288,0)&gt;1,AG288+TIME(0,$K288,0)-1,AG288+TIME(0,$K288,0)))</f>
        <v>-1</v>
      </c>
      <c r="AI288" s="972">
        <f>IF($F288&lt;12,-1,IF(AG288+TIME((24/$F288),0,0)&gt;1,MROUND(AG288-1+TIME((24/$F288),0,0),"0:01"),MROUND(AG288+TIME((24/$F288),0,0),"0:01")))</f>
        <v>-1</v>
      </c>
      <c r="AJ288" s="972">
        <f>IF(AI288="",-1,IF(AI288+TIME(0,$K288,0)&gt;1,AI288+TIME(0,$K288,0)-1,AI288+TIME(0,$K288,0)))</f>
        <v>-1</v>
      </c>
      <c r="AK288" s="381"/>
      <c r="AL288" s="726">
        <f>B288</f>
        <v>0</v>
      </c>
      <c r="AM288" s="409">
        <f t="shared" ref="AM288:AV317" si="336">IF(ISNA(AM$7),"",IF(OR(AND(AM$7&lt;=$N288,AM$7&gt;$N288-TIME(0,TimeIncr,0)),AND(AM$7&lt;=$P288,AM$7&gt;$P288-TIME(0,TimeIncr,0)),AND(AM$7&lt;=$R288,AM$7&gt;$R288-TIME(0,TimeIncr,0)),AND(AM$7&lt;=$T288,AM$7&gt;$T288-TIME(0,TimeIncr,0)),AND(AM$7&lt;=$V288,AM$7&gt;$V288-TIME(0,TimeIncr,0)),AND(AM$7&lt;=$X288,AM$7&gt;$X288-TIME(0,TimeIncr,0))),$E288*$L288,IF(OR(AND(AM$7&gt;=$M288,AM$7&lt;=$N288),AND(AM$7&gt;=$O288,AM$7&lt;=$P288),AND(AM$7&gt;=$Q288,AM$7&lt;=$R288),AND(AM$7&gt;=$S288,AM$7&lt;=$T288),AND(AM$7&gt;=$U288,AM$7&lt;=$V288),AND(AM$7&gt;=$W288,AM$7&lt;=$X288)),0,IF(OR(AND($M288&gt;$N288,AM$7&lt;=$N288),AND($O288&gt;$P288,AM$7&lt;=$P288),AND($Q288&gt;$R288,AM$7&lt;=$R288),AND($S288&gt;$T288,AM$7&lt;=$T288),AND($U288&gt;$V288,AM$7&lt;=$V288),AND($W288&gt;$X288,AM$7&lt;=$X288)),0,IF(OR(AND(AM$7&gt;=$M288,$M288&gt;$N288),AND(AM$7&gt;=$O288,$O288&gt;$P288),AND(AM$7&gt;=$Q288,$Q288&gt;$R288),AND(AM$7&gt;=$S288,$S288&gt;$T288),AND(AM$7&gt;=$U288,$U288&gt;$V288),AND(AM$7&gt;=$W288,$W288&gt;$X288)),0,$E288)))))</f>
        <v>0</v>
      </c>
      <c r="AN288" s="409">
        <f t="shared" si="336"/>
        <v>0</v>
      </c>
      <c r="AO288" s="409">
        <f t="shared" si="336"/>
        <v>0</v>
      </c>
      <c r="AP288" s="409">
        <f t="shared" si="336"/>
        <v>0</v>
      </c>
      <c r="AQ288" s="409">
        <f t="shared" si="336"/>
        <v>0</v>
      </c>
      <c r="AR288" s="409">
        <f t="shared" si="336"/>
        <v>0</v>
      </c>
      <c r="AS288" s="409">
        <f t="shared" si="336"/>
        <v>0</v>
      </c>
      <c r="AT288" s="409">
        <f t="shared" si="336"/>
        <v>0</v>
      </c>
      <c r="AU288" s="409">
        <f t="shared" si="336"/>
        <v>0</v>
      </c>
      <c r="AV288" s="409">
        <f t="shared" si="336"/>
        <v>0</v>
      </c>
      <c r="AW288" s="409">
        <f t="shared" ref="AW288:BF317" si="337">IF(ISNA(AW$7),"",IF(OR(AND(AW$7&lt;=$N288,AW$7&gt;$N288-TIME(0,TimeIncr,0)),AND(AW$7&lt;=$P288,AW$7&gt;$P288-TIME(0,TimeIncr,0)),AND(AW$7&lt;=$R288,AW$7&gt;$R288-TIME(0,TimeIncr,0)),AND(AW$7&lt;=$T288,AW$7&gt;$T288-TIME(0,TimeIncr,0)),AND(AW$7&lt;=$V288,AW$7&gt;$V288-TIME(0,TimeIncr,0)),AND(AW$7&lt;=$X288,AW$7&gt;$X288-TIME(0,TimeIncr,0))),$E288*$L288,IF(OR(AND(AW$7&gt;=$M288,AW$7&lt;=$N288),AND(AW$7&gt;=$O288,AW$7&lt;=$P288),AND(AW$7&gt;=$Q288,AW$7&lt;=$R288),AND(AW$7&gt;=$S288,AW$7&lt;=$T288),AND(AW$7&gt;=$U288,AW$7&lt;=$V288),AND(AW$7&gt;=$W288,AW$7&lt;=$X288)),0,IF(OR(AND($M288&gt;$N288,AW$7&lt;=$N288),AND($O288&gt;$P288,AW$7&lt;=$P288),AND($Q288&gt;$R288,AW$7&lt;=$R288),AND($S288&gt;$T288,AW$7&lt;=$T288),AND($U288&gt;$V288,AW$7&lt;=$V288),AND($W288&gt;$X288,AW$7&lt;=$X288)),0,IF(OR(AND(AW$7&gt;=$M288,$M288&gt;$N288),AND(AW$7&gt;=$O288,$O288&gt;$P288),AND(AW$7&gt;=$Q288,$Q288&gt;$R288),AND(AW$7&gt;=$S288,$S288&gt;$T288),AND(AW$7&gt;=$U288,$U288&gt;$V288),AND(AW$7&gt;=$W288,$W288&gt;$X288)),0,$E288)))))</f>
        <v>0</v>
      </c>
      <c r="AX288" s="409">
        <f t="shared" si="337"/>
        <v>0</v>
      </c>
      <c r="AY288" s="409">
        <f t="shared" si="337"/>
        <v>0</v>
      </c>
      <c r="AZ288" s="409">
        <f t="shared" si="337"/>
        <v>0</v>
      </c>
      <c r="BA288" s="409">
        <f t="shared" si="337"/>
        <v>0</v>
      </c>
      <c r="BB288" s="409">
        <f t="shared" si="337"/>
        <v>0</v>
      </c>
      <c r="BC288" s="409">
        <f t="shared" si="337"/>
        <v>0</v>
      </c>
      <c r="BD288" s="409">
        <f t="shared" si="337"/>
        <v>0</v>
      </c>
      <c r="BE288" s="409">
        <f t="shared" si="337"/>
        <v>0</v>
      </c>
      <c r="BF288" s="409">
        <f t="shared" si="337"/>
        <v>0</v>
      </c>
      <c r="BG288" s="409">
        <f t="shared" ref="BG288:BP317" si="338">IF(ISNA(BG$7),"",IF(OR(AND(BG$7&lt;=$N288,BG$7&gt;$N288-TIME(0,TimeIncr,0)),AND(BG$7&lt;=$P288,BG$7&gt;$P288-TIME(0,TimeIncr,0)),AND(BG$7&lt;=$R288,BG$7&gt;$R288-TIME(0,TimeIncr,0)),AND(BG$7&lt;=$T288,BG$7&gt;$T288-TIME(0,TimeIncr,0)),AND(BG$7&lt;=$V288,BG$7&gt;$V288-TIME(0,TimeIncr,0)),AND(BG$7&lt;=$X288,BG$7&gt;$X288-TIME(0,TimeIncr,0))),$E288*$L288,IF(OR(AND(BG$7&gt;=$M288,BG$7&lt;=$N288),AND(BG$7&gt;=$O288,BG$7&lt;=$P288),AND(BG$7&gt;=$Q288,BG$7&lt;=$R288),AND(BG$7&gt;=$S288,BG$7&lt;=$T288),AND(BG$7&gt;=$U288,BG$7&lt;=$V288),AND(BG$7&gt;=$W288,BG$7&lt;=$X288)),0,IF(OR(AND($M288&gt;$N288,BG$7&lt;=$N288),AND($O288&gt;$P288,BG$7&lt;=$P288),AND($Q288&gt;$R288,BG$7&lt;=$R288),AND($S288&gt;$T288,BG$7&lt;=$T288),AND($U288&gt;$V288,BG$7&lt;=$V288),AND($W288&gt;$X288,BG$7&lt;=$X288)),0,IF(OR(AND(BG$7&gt;=$M288,$M288&gt;$N288),AND(BG$7&gt;=$O288,$O288&gt;$P288),AND(BG$7&gt;=$Q288,$Q288&gt;$R288),AND(BG$7&gt;=$S288,$S288&gt;$T288),AND(BG$7&gt;=$U288,$U288&gt;$V288),AND(BG$7&gt;=$W288,$W288&gt;$X288)),0,$E288)))))</f>
        <v>0</v>
      </c>
      <c r="BH288" s="409">
        <f t="shared" si="338"/>
        <v>0</v>
      </c>
      <c r="BI288" s="409">
        <f t="shared" si="338"/>
        <v>0</v>
      </c>
      <c r="BJ288" s="409">
        <f t="shared" si="338"/>
        <v>0</v>
      </c>
      <c r="BK288" s="409">
        <f t="shared" si="338"/>
        <v>0</v>
      </c>
      <c r="BL288" s="409">
        <f t="shared" si="338"/>
        <v>0</v>
      </c>
      <c r="BM288" s="409">
        <f t="shared" si="338"/>
        <v>0</v>
      </c>
      <c r="BN288" s="409">
        <f t="shared" si="338"/>
        <v>0</v>
      </c>
      <c r="BO288" s="409">
        <f t="shared" si="338"/>
        <v>0</v>
      </c>
      <c r="BP288" s="409">
        <f t="shared" si="338"/>
        <v>0</v>
      </c>
      <c r="BQ288" s="409">
        <f t="shared" ref="BQ288:BZ317" si="339">IF(ISNA(BQ$7),"",IF(OR(AND(BQ$7&lt;=$N288,BQ$7&gt;$N288-TIME(0,TimeIncr,0)),AND(BQ$7&lt;=$P288,BQ$7&gt;$P288-TIME(0,TimeIncr,0)),AND(BQ$7&lt;=$R288,BQ$7&gt;$R288-TIME(0,TimeIncr,0)),AND(BQ$7&lt;=$T288,BQ$7&gt;$T288-TIME(0,TimeIncr,0)),AND(BQ$7&lt;=$V288,BQ$7&gt;$V288-TIME(0,TimeIncr,0)),AND(BQ$7&lt;=$X288,BQ$7&gt;$X288-TIME(0,TimeIncr,0))),$E288*$L288,IF(OR(AND(BQ$7&gt;=$M288,BQ$7&lt;=$N288),AND(BQ$7&gt;=$O288,BQ$7&lt;=$P288),AND(BQ$7&gt;=$Q288,BQ$7&lt;=$R288),AND(BQ$7&gt;=$S288,BQ$7&lt;=$T288),AND(BQ$7&gt;=$U288,BQ$7&lt;=$V288),AND(BQ$7&gt;=$W288,BQ$7&lt;=$X288)),0,IF(OR(AND($M288&gt;$N288,BQ$7&lt;=$N288),AND($O288&gt;$P288,BQ$7&lt;=$P288),AND($Q288&gt;$R288,BQ$7&lt;=$R288),AND($S288&gt;$T288,BQ$7&lt;=$T288),AND($U288&gt;$V288,BQ$7&lt;=$V288),AND($W288&gt;$X288,BQ$7&lt;=$X288)),0,IF(OR(AND(BQ$7&gt;=$M288,$M288&gt;$N288),AND(BQ$7&gt;=$O288,$O288&gt;$P288),AND(BQ$7&gt;=$Q288,$Q288&gt;$R288),AND(BQ$7&gt;=$S288,$S288&gt;$T288),AND(BQ$7&gt;=$U288,$U288&gt;$V288),AND(BQ$7&gt;=$W288,$W288&gt;$X288)),0,$E288)))))</f>
        <v>0</v>
      </c>
      <c r="BR288" s="409">
        <f t="shared" si="339"/>
        <v>0</v>
      </c>
      <c r="BS288" s="409">
        <f t="shared" si="339"/>
        <v>0</v>
      </c>
      <c r="BT288" s="409">
        <f t="shared" si="339"/>
        <v>0</v>
      </c>
      <c r="BU288" s="409">
        <f t="shared" si="339"/>
        <v>0</v>
      </c>
      <c r="BV288" s="409">
        <f t="shared" si="339"/>
        <v>0</v>
      </c>
      <c r="BW288" s="409">
        <f t="shared" si="339"/>
        <v>0</v>
      </c>
      <c r="BX288" s="409">
        <f t="shared" si="339"/>
        <v>0</v>
      </c>
      <c r="BY288" s="409">
        <f t="shared" si="339"/>
        <v>0</v>
      </c>
      <c r="BZ288" s="409">
        <f t="shared" si="339"/>
        <v>0</v>
      </c>
      <c r="CA288" s="409">
        <f t="shared" ref="CA288:CJ317" si="340">IF(ISNA(CA$7),"",IF(OR(AND(CA$7&lt;=$N288,CA$7&gt;$N288-TIME(0,TimeIncr,0)),AND(CA$7&lt;=$P288,CA$7&gt;$P288-TIME(0,TimeIncr,0)),AND(CA$7&lt;=$R288,CA$7&gt;$R288-TIME(0,TimeIncr,0)),AND(CA$7&lt;=$T288,CA$7&gt;$T288-TIME(0,TimeIncr,0)),AND(CA$7&lt;=$V288,CA$7&gt;$V288-TIME(0,TimeIncr,0)),AND(CA$7&lt;=$X288,CA$7&gt;$X288-TIME(0,TimeIncr,0))),$E288*$L288,IF(OR(AND(CA$7&gt;=$M288,CA$7&lt;=$N288),AND(CA$7&gt;=$O288,CA$7&lt;=$P288),AND(CA$7&gt;=$Q288,CA$7&lt;=$R288),AND(CA$7&gt;=$S288,CA$7&lt;=$T288),AND(CA$7&gt;=$U288,CA$7&lt;=$V288),AND(CA$7&gt;=$W288,CA$7&lt;=$X288)),0,IF(OR(AND($M288&gt;$N288,CA$7&lt;=$N288),AND($O288&gt;$P288,CA$7&lt;=$P288),AND($Q288&gt;$R288,CA$7&lt;=$R288),AND($S288&gt;$T288,CA$7&lt;=$T288),AND($U288&gt;$V288,CA$7&lt;=$V288),AND($W288&gt;$X288,CA$7&lt;=$X288)),0,IF(OR(AND(CA$7&gt;=$M288,$M288&gt;$N288),AND(CA$7&gt;=$O288,$O288&gt;$P288),AND(CA$7&gt;=$Q288,$Q288&gt;$R288),AND(CA$7&gt;=$S288,$S288&gt;$T288),AND(CA$7&gt;=$U288,$U288&gt;$V288),AND(CA$7&gt;=$W288,$W288&gt;$X288)),0,$E288)))))</f>
        <v>0</v>
      </c>
      <c r="CB288" s="409">
        <f t="shared" si="340"/>
        <v>0</v>
      </c>
      <c r="CC288" s="409">
        <f t="shared" si="340"/>
        <v>0</v>
      </c>
      <c r="CD288" s="409">
        <f t="shared" si="340"/>
        <v>0</v>
      </c>
      <c r="CE288" s="409">
        <f t="shared" si="340"/>
        <v>0</v>
      </c>
      <c r="CF288" s="409">
        <f t="shared" si="340"/>
        <v>0</v>
      </c>
      <c r="CG288" s="409">
        <f t="shared" si="340"/>
        <v>0</v>
      </c>
      <c r="CH288" s="409">
        <f t="shared" si="340"/>
        <v>0</v>
      </c>
      <c r="CI288" s="409">
        <f t="shared" si="340"/>
        <v>0</v>
      </c>
      <c r="CJ288" s="409">
        <f t="shared" si="340"/>
        <v>0</v>
      </c>
      <c r="CK288" s="409">
        <f t="shared" ref="CK288:CT317" si="341">IF(ISNA(CK$7),"",IF(OR(AND(CK$7&lt;=$N288,CK$7&gt;$N288-TIME(0,TimeIncr,0)),AND(CK$7&lt;=$P288,CK$7&gt;$P288-TIME(0,TimeIncr,0)),AND(CK$7&lt;=$R288,CK$7&gt;$R288-TIME(0,TimeIncr,0)),AND(CK$7&lt;=$T288,CK$7&gt;$T288-TIME(0,TimeIncr,0)),AND(CK$7&lt;=$V288,CK$7&gt;$V288-TIME(0,TimeIncr,0)),AND(CK$7&lt;=$X288,CK$7&gt;$X288-TIME(0,TimeIncr,0))),$E288*$L288,IF(OR(AND(CK$7&gt;=$M288,CK$7&lt;=$N288),AND(CK$7&gt;=$O288,CK$7&lt;=$P288),AND(CK$7&gt;=$Q288,CK$7&lt;=$R288),AND(CK$7&gt;=$S288,CK$7&lt;=$T288),AND(CK$7&gt;=$U288,CK$7&lt;=$V288),AND(CK$7&gt;=$W288,CK$7&lt;=$X288)),0,IF(OR(AND($M288&gt;$N288,CK$7&lt;=$N288),AND($O288&gt;$P288,CK$7&lt;=$P288),AND($Q288&gt;$R288,CK$7&lt;=$R288),AND($S288&gt;$T288,CK$7&lt;=$T288),AND($U288&gt;$V288,CK$7&lt;=$V288),AND($W288&gt;$X288,CK$7&lt;=$X288)),0,IF(OR(AND(CK$7&gt;=$M288,$M288&gt;$N288),AND(CK$7&gt;=$O288,$O288&gt;$P288),AND(CK$7&gt;=$Q288,$Q288&gt;$R288),AND(CK$7&gt;=$S288,$S288&gt;$T288),AND(CK$7&gt;=$U288,$U288&gt;$V288),AND(CK$7&gt;=$W288,$W288&gt;$X288)),0,$E288)))))</f>
        <v>0</v>
      </c>
      <c r="CL288" s="409">
        <f t="shared" si="341"/>
        <v>0</v>
      </c>
      <c r="CM288" s="409">
        <f t="shared" si="341"/>
        <v>0</v>
      </c>
      <c r="CN288" s="409">
        <f t="shared" si="341"/>
        <v>0</v>
      </c>
      <c r="CO288" s="409">
        <f t="shared" si="341"/>
        <v>0</v>
      </c>
      <c r="CP288" s="409">
        <f t="shared" si="341"/>
        <v>0</v>
      </c>
      <c r="CQ288" s="409">
        <f t="shared" si="341"/>
        <v>0</v>
      </c>
      <c r="CR288" s="409">
        <f t="shared" si="341"/>
        <v>0</v>
      </c>
      <c r="CS288" s="409">
        <f t="shared" si="341"/>
        <v>0</v>
      </c>
      <c r="CT288" s="409">
        <f t="shared" si="341"/>
        <v>0</v>
      </c>
      <c r="CU288" s="409">
        <f t="shared" ref="CU288:DD317" si="342">IF(ISNA(CU$7),"",IF(OR(AND(CU$7&lt;=$N288,CU$7&gt;$N288-TIME(0,TimeIncr,0)),AND(CU$7&lt;=$P288,CU$7&gt;$P288-TIME(0,TimeIncr,0)),AND(CU$7&lt;=$R288,CU$7&gt;$R288-TIME(0,TimeIncr,0)),AND(CU$7&lt;=$T288,CU$7&gt;$T288-TIME(0,TimeIncr,0)),AND(CU$7&lt;=$V288,CU$7&gt;$V288-TIME(0,TimeIncr,0)),AND(CU$7&lt;=$X288,CU$7&gt;$X288-TIME(0,TimeIncr,0))),$E288*$L288,IF(OR(AND(CU$7&gt;=$M288,CU$7&lt;=$N288),AND(CU$7&gt;=$O288,CU$7&lt;=$P288),AND(CU$7&gt;=$Q288,CU$7&lt;=$R288),AND(CU$7&gt;=$S288,CU$7&lt;=$T288),AND(CU$7&gt;=$U288,CU$7&lt;=$V288),AND(CU$7&gt;=$W288,CU$7&lt;=$X288)),0,IF(OR(AND($M288&gt;$N288,CU$7&lt;=$N288),AND($O288&gt;$P288,CU$7&lt;=$P288),AND($Q288&gt;$R288,CU$7&lt;=$R288),AND($S288&gt;$T288,CU$7&lt;=$T288),AND($U288&gt;$V288,CU$7&lt;=$V288),AND($W288&gt;$X288,CU$7&lt;=$X288)),0,IF(OR(AND(CU$7&gt;=$M288,$M288&gt;$N288),AND(CU$7&gt;=$O288,$O288&gt;$P288),AND(CU$7&gt;=$Q288,$Q288&gt;$R288),AND(CU$7&gt;=$S288,$S288&gt;$T288),AND(CU$7&gt;=$U288,$U288&gt;$V288),AND(CU$7&gt;=$W288,$W288&gt;$X288)),0,$E288)))))</f>
        <v>0</v>
      </c>
      <c r="CV288" s="409">
        <f t="shared" si="342"/>
        <v>0</v>
      </c>
      <c r="CW288" s="409">
        <f t="shared" si="342"/>
        <v>0</v>
      </c>
      <c r="CX288" s="409">
        <f t="shared" si="342"/>
        <v>0</v>
      </c>
      <c r="CY288" s="409">
        <f t="shared" si="342"/>
        <v>0</v>
      </c>
      <c r="CZ288" s="409">
        <f t="shared" si="342"/>
        <v>0</v>
      </c>
      <c r="DA288" s="409">
        <f t="shared" si="342"/>
        <v>0</v>
      </c>
      <c r="DB288" s="409">
        <f t="shared" si="342"/>
        <v>0</v>
      </c>
      <c r="DC288" s="409">
        <f t="shared" si="342"/>
        <v>0</v>
      </c>
      <c r="DD288" s="409">
        <f t="shared" si="342"/>
        <v>0</v>
      </c>
      <c r="DE288" s="409">
        <f t="shared" ref="DE288:DN317" si="343">IF(ISNA(DE$7),"",IF(OR(AND(DE$7&lt;=$N288,DE$7&gt;$N288-TIME(0,TimeIncr,0)),AND(DE$7&lt;=$P288,DE$7&gt;$P288-TIME(0,TimeIncr,0)),AND(DE$7&lt;=$R288,DE$7&gt;$R288-TIME(0,TimeIncr,0)),AND(DE$7&lt;=$T288,DE$7&gt;$T288-TIME(0,TimeIncr,0)),AND(DE$7&lt;=$V288,DE$7&gt;$V288-TIME(0,TimeIncr,0)),AND(DE$7&lt;=$X288,DE$7&gt;$X288-TIME(0,TimeIncr,0))),$E288*$L288,IF(OR(AND(DE$7&gt;=$M288,DE$7&lt;=$N288),AND(DE$7&gt;=$O288,DE$7&lt;=$P288),AND(DE$7&gt;=$Q288,DE$7&lt;=$R288),AND(DE$7&gt;=$S288,DE$7&lt;=$T288),AND(DE$7&gt;=$U288,DE$7&lt;=$V288),AND(DE$7&gt;=$W288,DE$7&lt;=$X288)),0,IF(OR(AND($M288&gt;$N288,DE$7&lt;=$N288),AND($O288&gt;$P288,DE$7&lt;=$P288),AND($Q288&gt;$R288,DE$7&lt;=$R288),AND($S288&gt;$T288,DE$7&lt;=$T288),AND($U288&gt;$V288,DE$7&lt;=$V288),AND($W288&gt;$X288,DE$7&lt;=$X288)),0,IF(OR(AND(DE$7&gt;=$M288,$M288&gt;$N288),AND(DE$7&gt;=$O288,$O288&gt;$P288),AND(DE$7&gt;=$Q288,$Q288&gt;$R288),AND(DE$7&gt;=$S288,$S288&gt;$T288),AND(DE$7&gt;=$U288,$U288&gt;$V288),AND(DE$7&gt;=$W288,$W288&gt;$X288)),0,$E288)))))</f>
        <v>0</v>
      </c>
      <c r="DF288" s="409">
        <f t="shared" si="343"/>
        <v>0</v>
      </c>
      <c r="DG288" s="409">
        <f t="shared" si="343"/>
        <v>0</v>
      </c>
      <c r="DH288" s="409">
        <f t="shared" si="343"/>
        <v>0</v>
      </c>
      <c r="DI288" s="409">
        <f t="shared" si="343"/>
        <v>0</v>
      </c>
      <c r="DJ288" s="409">
        <f t="shared" si="343"/>
        <v>0</v>
      </c>
      <c r="DK288" s="409">
        <f t="shared" si="343"/>
        <v>0</v>
      </c>
      <c r="DL288" s="409">
        <f t="shared" si="343"/>
        <v>0</v>
      </c>
      <c r="DM288" s="409">
        <f t="shared" si="343"/>
        <v>0</v>
      </c>
      <c r="DN288" s="409">
        <f t="shared" si="343"/>
        <v>0</v>
      </c>
      <c r="DO288" s="409">
        <f t="shared" ref="DO288:DX317" si="344">IF(ISNA(DO$7),"",IF(OR(AND(DO$7&lt;=$N288,DO$7&gt;$N288-TIME(0,TimeIncr,0)),AND(DO$7&lt;=$P288,DO$7&gt;$P288-TIME(0,TimeIncr,0)),AND(DO$7&lt;=$R288,DO$7&gt;$R288-TIME(0,TimeIncr,0)),AND(DO$7&lt;=$T288,DO$7&gt;$T288-TIME(0,TimeIncr,0)),AND(DO$7&lt;=$V288,DO$7&gt;$V288-TIME(0,TimeIncr,0)),AND(DO$7&lt;=$X288,DO$7&gt;$X288-TIME(0,TimeIncr,0))),$E288*$L288,IF(OR(AND(DO$7&gt;=$M288,DO$7&lt;=$N288),AND(DO$7&gt;=$O288,DO$7&lt;=$P288),AND(DO$7&gt;=$Q288,DO$7&lt;=$R288),AND(DO$7&gt;=$S288,DO$7&lt;=$T288),AND(DO$7&gt;=$U288,DO$7&lt;=$V288),AND(DO$7&gt;=$W288,DO$7&lt;=$X288)),0,IF(OR(AND($M288&gt;$N288,DO$7&lt;=$N288),AND($O288&gt;$P288,DO$7&lt;=$P288),AND($Q288&gt;$R288,DO$7&lt;=$R288),AND($S288&gt;$T288,DO$7&lt;=$T288),AND($U288&gt;$V288,DO$7&lt;=$V288),AND($W288&gt;$X288,DO$7&lt;=$X288)),0,IF(OR(AND(DO$7&gt;=$M288,$M288&gt;$N288),AND(DO$7&gt;=$O288,$O288&gt;$P288),AND(DO$7&gt;=$Q288,$Q288&gt;$R288),AND(DO$7&gt;=$S288,$S288&gt;$T288),AND(DO$7&gt;=$U288,$U288&gt;$V288),AND(DO$7&gt;=$W288,$W288&gt;$X288)),0,$E288)))))</f>
        <v>0</v>
      </c>
      <c r="DP288" s="409">
        <f t="shared" si="344"/>
        <v>0</v>
      </c>
      <c r="DQ288" s="409">
        <f t="shared" si="344"/>
        <v>0</v>
      </c>
      <c r="DR288" s="409">
        <f t="shared" si="344"/>
        <v>0</v>
      </c>
      <c r="DS288" s="409">
        <f t="shared" si="344"/>
        <v>0</v>
      </c>
      <c r="DT288" s="409">
        <f t="shared" si="344"/>
        <v>0</v>
      </c>
      <c r="DU288" s="409">
        <f t="shared" si="344"/>
        <v>0</v>
      </c>
      <c r="DV288" s="409">
        <f t="shared" si="344"/>
        <v>0</v>
      </c>
      <c r="DW288" s="409">
        <f t="shared" si="344"/>
        <v>0</v>
      </c>
      <c r="DX288" s="409">
        <f t="shared" si="344"/>
        <v>0</v>
      </c>
      <c r="DY288" s="409">
        <f t="shared" ref="DY288:EH317" si="345">IF(ISNA(DY$7),"",IF(OR(AND(DY$7&lt;=$N288,DY$7&gt;$N288-TIME(0,TimeIncr,0)),AND(DY$7&lt;=$P288,DY$7&gt;$P288-TIME(0,TimeIncr,0)),AND(DY$7&lt;=$R288,DY$7&gt;$R288-TIME(0,TimeIncr,0)),AND(DY$7&lt;=$T288,DY$7&gt;$T288-TIME(0,TimeIncr,0)),AND(DY$7&lt;=$V288,DY$7&gt;$V288-TIME(0,TimeIncr,0)),AND(DY$7&lt;=$X288,DY$7&gt;$X288-TIME(0,TimeIncr,0))),$E288*$L288,IF(OR(AND(DY$7&gt;=$M288,DY$7&lt;=$N288),AND(DY$7&gt;=$O288,DY$7&lt;=$P288),AND(DY$7&gt;=$Q288,DY$7&lt;=$R288),AND(DY$7&gt;=$S288,DY$7&lt;=$T288),AND(DY$7&gt;=$U288,DY$7&lt;=$V288),AND(DY$7&gt;=$W288,DY$7&lt;=$X288)),0,IF(OR(AND($M288&gt;$N288,DY$7&lt;=$N288),AND($O288&gt;$P288,DY$7&lt;=$P288),AND($Q288&gt;$R288,DY$7&lt;=$R288),AND($S288&gt;$T288,DY$7&lt;=$T288),AND($U288&gt;$V288,DY$7&lt;=$V288),AND($W288&gt;$X288,DY$7&lt;=$X288)),0,IF(OR(AND(DY$7&gt;=$M288,$M288&gt;$N288),AND(DY$7&gt;=$O288,$O288&gt;$P288),AND(DY$7&gt;=$Q288,$Q288&gt;$R288),AND(DY$7&gt;=$S288,$S288&gt;$T288),AND(DY$7&gt;=$U288,$U288&gt;$V288),AND(DY$7&gt;=$W288,$W288&gt;$X288)),0,$E288)))))</f>
        <v>0</v>
      </c>
      <c r="DZ288" s="409">
        <f t="shared" si="345"/>
        <v>0</v>
      </c>
      <c r="EA288" s="409">
        <f t="shared" si="345"/>
        <v>0</v>
      </c>
      <c r="EB288" s="409">
        <f t="shared" si="345"/>
        <v>0</v>
      </c>
      <c r="EC288" s="409">
        <f t="shared" si="345"/>
        <v>0</v>
      </c>
      <c r="ED288" s="409">
        <f t="shared" si="345"/>
        <v>0</v>
      </c>
      <c r="EE288" s="409">
        <f t="shared" si="345"/>
        <v>0</v>
      </c>
      <c r="EF288" s="409">
        <f t="shared" si="345"/>
        <v>0</v>
      </c>
      <c r="EG288" s="409">
        <f t="shared" si="345"/>
        <v>0</v>
      </c>
      <c r="EH288" s="409">
        <f t="shared" si="345"/>
        <v>0</v>
      </c>
      <c r="EI288" s="409">
        <f t="shared" ref="EI288:ER317" si="346">IF(ISNA(EI$7),"",IF(OR(AND(EI$7&lt;=$N288,EI$7&gt;$N288-TIME(0,TimeIncr,0)),AND(EI$7&lt;=$P288,EI$7&gt;$P288-TIME(0,TimeIncr,0)),AND(EI$7&lt;=$R288,EI$7&gt;$R288-TIME(0,TimeIncr,0)),AND(EI$7&lt;=$T288,EI$7&gt;$T288-TIME(0,TimeIncr,0)),AND(EI$7&lt;=$V288,EI$7&gt;$V288-TIME(0,TimeIncr,0)),AND(EI$7&lt;=$X288,EI$7&gt;$X288-TIME(0,TimeIncr,0))),$E288*$L288,IF(OR(AND(EI$7&gt;=$M288,EI$7&lt;=$N288),AND(EI$7&gt;=$O288,EI$7&lt;=$P288),AND(EI$7&gt;=$Q288,EI$7&lt;=$R288),AND(EI$7&gt;=$S288,EI$7&lt;=$T288),AND(EI$7&gt;=$U288,EI$7&lt;=$V288),AND(EI$7&gt;=$W288,EI$7&lt;=$X288)),0,IF(OR(AND($M288&gt;$N288,EI$7&lt;=$N288),AND($O288&gt;$P288,EI$7&lt;=$P288),AND($Q288&gt;$R288,EI$7&lt;=$R288),AND($S288&gt;$T288,EI$7&lt;=$T288),AND($U288&gt;$V288,EI$7&lt;=$V288),AND($W288&gt;$X288,EI$7&lt;=$X288)),0,IF(OR(AND(EI$7&gt;=$M288,$M288&gt;$N288),AND(EI$7&gt;=$O288,$O288&gt;$P288),AND(EI$7&gt;=$Q288,$Q288&gt;$R288),AND(EI$7&gt;=$S288,$S288&gt;$T288),AND(EI$7&gt;=$U288,$U288&gt;$V288),AND(EI$7&gt;=$W288,$W288&gt;$X288)),0,$E288)))))</f>
        <v>0</v>
      </c>
      <c r="EJ288" s="409">
        <f t="shared" si="346"/>
        <v>0</v>
      </c>
      <c r="EK288" s="409">
        <f t="shared" si="346"/>
        <v>0</v>
      </c>
      <c r="EL288" s="409">
        <f t="shared" si="346"/>
        <v>0</v>
      </c>
      <c r="EM288" s="409">
        <f t="shared" si="346"/>
        <v>0</v>
      </c>
      <c r="EN288" s="409">
        <f t="shared" si="346"/>
        <v>0</v>
      </c>
      <c r="EO288" s="409">
        <f t="shared" si="346"/>
        <v>0</v>
      </c>
      <c r="EP288" s="409">
        <f t="shared" si="346"/>
        <v>0</v>
      </c>
      <c r="EQ288" s="409">
        <f t="shared" si="346"/>
        <v>0</v>
      </c>
      <c r="ER288" s="409">
        <f t="shared" si="346"/>
        <v>0</v>
      </c>
      <c r="ES288" s="409">
        <f t="shared" ref="ES288:FB317" si="347">IF(ISNA(ES$7),"",IF(OR(AND(ES$7&lt;=$N288,ES$7&gt;$N288-TIME(0,TimeIncr,0)),AND(ES$7&lt;=$P288,ES$7&gt;$P288-TIME(0,TimeIncr,0)),AND(ES$7&lt;=$R288,ES$7&gt;$R288-TIME(0,TimeIncr,0)),AND(ES$7&lt;=$T288,ES$7&gt;$T288-TIME(0,TimeIncr,0)),AND(ES$7&lt;=$V288,ES$7&gt;$V288-TIME(0,TimeIncr,0)),AND(ES$7&lt;=$X288,ES$7&gt;$X288-TIME(0,TimeIncr,0))),$E288*$L288,IF(OR(AND(ES$7&gt;=$M288,ES$7&lt;=$N288),AND(ES$7&gt;=$O288,ES$7&lt;=$P288),AND(ES$7&gt;=$Q288,ES$7&lt;=$R288),AND(ES$7&gt;=$S288,ES$7&lt;=$T288),AND(ES$7&gt;=$U288,ES$7&lt;=$V288),AND(ES$7&gt;=$W288,ES$7&lt;=$X288)),0,IF(OR(AND($M288&gt;$N288,ES$7&lt;=$N288),AND($O288&gt;$P288,ES$7&lt;=$P288),AND($Q288&gt;$R288,ES$7&lt;=$R288),AND($S288&gt;$T288,ES$7&lt;=$T288),AND($U288&gt;$V288,ES$7&lt;=$V288),AND($W288&gt;$X288,ES$7&lt;=$X288)),0,IF(OR(AND(ES$7&gt;=$M288,$M288&gt;$N288),AND(ES$7&gt;=$O288,$O288&gt;$P288),AND(ES$7&gt;=$Q288,$Q288&gt;$R288),AND(ES$7&gt;=$S288,$S288&gt;$T288),AND(ES$7&gt;=$U288,$U288&gt;$V288),AND(ES$7&gt;=$W288,$W288&gt;$X288)),0,$E288)))))</f>
        <v>0</v>
      </c>
      <c r="ET288" s="409">
        <f t="shared" si="347"/>
        <v>0</v>
      </c>
      <c r="EU288" s="409">
        <f t="shared" si="347"/>
        <v>0</v>
      </c>
      <c r="EV288" s="409">
        <f t="shared" si="347"/>
        <v>0</v>
      </c>
      <c r="EW288" s="409">
        <f t="shared" si="347"/>
        <v>0</v>
      </c>
      <c r="EX288" s="409">
        <f t="shared" si="347"/>
        <v>0</v>
      </c>
      <c r="EY288" s="409">
        <f t="shared" si="347"/>
        <v>0</v>
      </c>
      <c r="EZ288" s="409">
        <f t="shared" si="347"/>
        <v>0</v>
      </c>
      <c r="FA288" s="409">
        <f t="shared" si="347"/>
        <v>0</v>
      </c>
      <c r="FB288" s="409">
        <f t="shared" si="347"/>
        <v>0</v>
      </c>
      <c r="FC288" s="409">
        <f t="shared" ref="FC288:FL317" si="348">IF(ISNA(FC$7),"",IF(OR(AND(FC$7&lt;=$N288,FC$7&gt;$N288-TIME(0,TimeIncr,0)),AND(FC$7&lt;=$P288,FC$7&gt;$P288-TIME(0,TimeIncr,0)),AND(FC$7&lt;=$R288,FC$7&gt;$R288-TIME(0,TimeIncr,0)),AND(FC$7&lt;=$T288,FC$7&gt;$T288-TIME(0,TimeIncr,0)),AND(FC$7&lt;=$V288,FC$7&gt;$V288-TIME(0,TimeIncr,0)),AND(FC$7&lt;=$X288,FC$7&gt;$X288-TIME(0,TimeIncr,0))),$E288*$L288,IF(OR(AND(FC$7&gt;=$M288,FC$7&lt;=$N288),AND(FC$7&gt;=$O288,FC$7&lt;=$P288),AND(FC$7&gt;=$Q288,FC$7&lt;=$R288),AND(FC$7&gt;=$S288,FC$7&lt;=$T288),AND(FC$7&gt;=$U288,FC$7&lt;=$V288),AND(FC$7&gt;=$W288,FC$7&lt;=$X288)),0,IF(OR(AND($M288&gt;$N288,FC$7&lt;=$N288),AND($O288&gt;$P288,FC$7&lt;=$P288),AND($Q288&gt;$R288,FC$7&lt;=$R288),AND($S288&gt;$T288,FC$7&lt;=$T288),AND($U288&gt;$V288,FC$7&lt;=$V288),AND($W288&gt;$X288,FC$7&lt;=$X288)),0,IF(OR(AND(FC$7&gt;=$M288,$M288&gt;$N288),AND(FC$7&gt;=$O288,$O288&gt;$P288),AND(FC$7&gt;=$Q288,$Q288&gt;$R288),AND(FC$7&gt;=$S288,$S288&gt;$T288),AND(FC$7&gt;=$U288,$U288&gt;$V288),AND(FC$7&gt;=$W288,$W288&gt;$X288)),0,$E288)))))</f>
        <v>0</v>
      </c>
      <c r="FD288" s="409">
        <f t="shared" si="348"/>
        <v>0</v>
      </c>
      <c r="FE288" s="409">
        <f t="shared" si="348"/>
        <v>0</v>
      </c>
      <c r="FF288" s="409">
        <f t="shared" si="348"/>
        <v>0</v>
      </c>
      <c r="FG288" s="409">
        <f t="shared" si="348"/>
        <v>0</v>
      </c>
      <c r="FH288" s="409">
        <f t="shared" si="348"/>
        <v>0</v>
      </c>
      <c r="FI288" s="409">
        <f t="shared" si="348"/>
        <v>0</v>
      </c>
      <c r="FJ288" s="409">
        <f t="shared" si="348"/>
        <v>0</v>
      </c>
      <c r="FK288" s="409">
        <f t="shared" si="348"/>
        <v>0</v>
      </c>
      <c r="FL288" s="409">
        <f t="shared" si="348"/>
        <v>0</v>
      </c>
      <c r="FM288" s="409">
        <f t="shared" ref="FM288:FV317" si="349">IF(ISNA(FM$7),"",IF(OR(AND(FM$7&lt;=$N288,FM$7&gt;$N288-TIME(0,TimeIncr,0)),AND(FM$7&lt;=$P288,FM$7&gt;$P288-TIME(0,TimeIncr,0)),AND(FM$7&lt;=$R288,FM$7&gt;$R288-TIME(0,TimeIncr,0)),AND(FM$7&lt;=$T288,FM$7&gt;$T288-TIME(0,TimeIncr,0)),AND(FM$7&lt;=$V288,FM$7&gt;$V288-TIME(0,TimeIncr,0)),AND(FM$7&lt;=$X288,FM$7&gt;$X288-TIME(0,TimeIncr,0))),$E288*$L288,IF(OR(AND(FM$7&gt;=$M288,FM$7&lt;=$N288),AND(FM$7&gt;=$O288,FM$7&lt;=$P288),AND(FM$7&gt;=$Q288,FM$7&lt;=$R288),AND(FM$7&gt;=$S288,FM$7&lt;=$T288),AND(FM$7&gt;=$U288,FM$7&lt;=$V288),AND(FM$7&gt;=$W288,FM$7&lt;=$X288)),0,IF(OR(AND($M288&gt;$N288,FM$7&lt;=$N288),AND($O288&gt;$P288,FM$7&lt;=$P288),AND($Q288&gt;$R288,FM$7&lt;=$R288),AND($S288&gt;$T288,FM$7&lt;=$T288),AND($U288&gt;$V288,FM$7&lt;=$V288),AND($W288&gt;$X288,FM$7&lt;=$X288)),0,IF(OR(AND(FM$7&gt;=$M288,$M288&gt;$N288),AND(FM$7&gt;=$O288,$O288&gt;$P288),AND(FM$7&gt;=$Q288,$Q288&gt;$R288),AND(FM$7&gt;=$S288,$S288&gt;$T288),AND(FM$7&gt;=$U288,$U288&gt;$V288),AND(FM$7&gt;=$W288,$W288&gt;$X288)),0,$E288)))))</f>
        <v>0</v>
      </c>
      <c r="FN288" s="409">
        <f t="shared" si="349"/>
        <v>0</v>
      </c>
      <c r="FO288" s="409">
        <f t="shared" si="349"/>
        <v>0</v>
      </c>
      <c r="FP288" s="409">
        <f t="shared" si="349"/>
        <v>0</v>
      </c>
      <c r="FQ288" s="409">
        <f t="shared" si="349"/>
        <v>0</v>
      </c>
      <c r="FR288" s="409">
        <f t="shared" si="349"/>
        <v>0</v>
      </c>
      <c r="FS288" s="409">
        <f t="shared" si="349"/>
        <v>0</v>
      </c>
      <c r="FT288" s="409">
        <f t="shared" si="349"/>
        <v>0</v>
      </c>
      <c r="FU288" s="409">
        <f t="shared" si="349"/>
        <v>0</v>
      </c>
      <c r="FV288" s="409">
        <f t="shared" si="349"/>
        <v>0</v>
      </c>
      <c r="FW288" s="409">
        <f t="shared" ref="FW288:GF317" si="350">IF(ISNA(FW$7),"",IF(OR(AND(FW$7&lt;=$N288,FW$7&gt;$N288-TIME(0,TimeIncr,0)),AND(FW$7&lt;=$P288,FW$7&gt;$P288-TIME(0,TimeIncr,0)),AND(FW$7&lt;=$R288,FW$7&gt;$R288-TIME(0,TimeIncr,0)),AND(FW$7&lt;=$T288,FW$7&gt;$T288-TIME(0,TimeIncr,0)),AND(FW$7&lt;=$V288,FW$7&gt;$V288-TIME(0,TimeIncr,0)),AND(FW$7&lt;=$X288,FW$7&gt;$X288-TIME(0,TimeIncr,0))),$E288*$L288,IF(OR(AND(FW$7&gt;=$M288,FW$7&lt;=$N288),AND(FW$7&gt;=$O288,FW$7&lt;=$P288),AND(FW$7&gt;=$Q288,FW$7&lt;=$R288),AND(FW$7&gt;=$S288,FW$7&lt;=$T288),AND(FW$7&gt;=$U288,FW$7&lt;=$V288),AND(FW$7&gt;=$W288,FW$7&lt;=$X288)),0,IF(OR(AND($M288&gt;$N288,FW$7&lt;=$N288),AND($O288&gt;$P288,FW$7&lt;=$P288),AND($Q288&gt;$R288,FW$7&lt;=$R288),AND($S288&gt;$T288,FW$7&lt;=$T288),AND($U288&gt;$V288,FW$7&lt;=$V288),AND($W288&gt;$X288,FW$7&lt;=$X288)),0,IF(OR(AND(FW$7&gt;=$M288,$M288&gt;$N288),AND(FW$7&gt;=$O288,$O288&gt;$P288),AND(FW$7&gt;=$Q288,$Q288&gt;$R288),AND(FW$7&gt;=$S288,$S288&gt;$T288),AND(FW$7&gt;=$U288,$U288&gt;$V288),AND(FW$7&gt;=$W288,$W288&gt;$X288)),0,$E288)))))</f>
        <v>0</v>
      </c>
      <c r="FX288" s="409">
        <f t="shared" si="350"/>
        <v>0</v>
      </c>
      <c r="FY288" s="409">
        <f t="shared" si="350"/>
        <v>0</v>
      </c>
      <c r="FZ288" s="409">
        <f t="shared" si="350"/>
        <v>0</v>
      </c>
      <c r="GA288" s="409">
        <f t="shared" si="350"/>
        <v>0</v>
      </c>
      <c r="GB288" s="409">
        <f t="shared" si="350"/>
        <v>0</v>
      </c>
      <c r="GC288" s="409">
        <f t="shared" si="350"/>
        <v>0</v>
      </c>
      <c r="GD288" s="409">
        <f t="shared" si="350"/>
        <v>0</v>
      </c>
      <c r="GE288" s="409">
        <f t="shared" si="350"/>
        <v>0</v>
      </c>
      <c r="GF288" s="409">
        <f t="shared" si="350"/>
        <v>0</v>
      </c>
      <c r="GG288" s="409">
        <f t="shared" ref="GG288:GP317" si="351">IF(ISNA(GG$7),"",IF(OR(AND(GG$7&lt;=$N288,GG$7&gt;$N288-TIME(0,TimeIncr,0)),AND(GG$7&lt;=$P288,GG$7&gt;$P288-TIME(0,TimeIncr,0)),AND(GG$7&lt;=$R288,GG$7&gt;$R288-TIME(0,TimeIncr,0)),AND(GG$7&lt;=$T288,GG$7&gt;$T288-TIME(0,TimeIncr,0)),AND(GG$7&lt;=$V288,GG$7&gt;$V288-TIME(0,TimeIncr,0)),AND(GG$7&lt;=$X288,GG$7&gt;$X288-TIME(0,TimeIncr,0))),$E288*$L288,IF(OR(AND(GG$7&gt;=$M288,GG$7&lt;=$N288),AND(GG$7&gt;=$O288,GG$7&lt;=$P288),AND(GG$7&gt;=$Q288,GG$7&lt;=$R288),AND(GG$7&gt;=$S288,GG$7&lt;=$T288),AND(GG$7&gt;=$U288,GG$7&lt;=$V288),AND(GG$7&gt;=$W288,GG$7&lt;=$X288)),0,IF(OR(AND($M288&gt;$N288,GG$7&lt;=$N288),AND($O288&gt;$P288,GG$7&lt;=$P288),AND($Q288&gt;$R288,GG$7&lt;=$R288),AND($S288&gt;$T288,GG$7&lt;=$T288),AND($U288&gt;$V288,GG$7&lt;=$V288),AND($W288&gt;$X288,GG$7&lt;=$X288)),0,IF(OR(AND(GG$7&gt;=$M288,$M288&gt;$N288),AND(GG$7&gt;=$O288,$O288&gt;$P288),AND(GG$7&gt;=$Q288,$Q288&gt;$R288),AND(GG$7&gt;=$S288,$S288&gt;$T288),AND(GG$7&gt;=$U288,$U288&gt;$V288),AND(GG$7&gt;=$W288,$W288&gt;$X288)),0,$E288)))))</f>
        <v>0</v>
      </c>
      <c r="GH288" s="409">
        <f t="shared" si="351"/>
        <v>0</v>
      </c>
      <c r="GI288" s="409">
        <f t="shared" si="351"/>
        <v>0</v>
      </c>
      <c r="GJ288" s="409">
        <f t="shared" si="351"/>
        <v>0</v>
      </c>
      <c r="GK288" s="409">
        <f t="shared" si="351"/>
        <v>0</v>
      </c>
      <c r="GL288" s="409">
        <f t="shared" si="351"/>
        <v>0</v>
      </c>
      <c r="GM288" s="409">
        <f t="shared" si="351"/>
        <v>0</v>
      </c>
      <c r="GN288" s="409">
        <f t="shared" si="351"/>
        <v>0</v>
      </c>
      <c r="GO288" s="409">
        <f t="shared" si="351"/>
        <v>0</v>
      </c>
      <c r="GP288" s="409">
        <f t="shared" si="351"/>
        <v>0</v>
      </c>
      <c r="GQ288" s="409">
        <f t="shared" ref="GQ288:GZ317" si="352">IF(ISNA(GQ$7),"",IF(OR(AND(GQ$7&lt;=$N288,GQ$7&gt;$N288-TIME(0,TimeIncr,0)),AND(GQ$7&lt;=$P288,GQ$7&gt;$P288-TIME(0,TimeIncr,0)),AND(GQ$7&lt;=$R288,GQ$7&gt;$R288-TIME(0,TimeIncr,0)),AND(GQ$7&lt;=$T288,GQ$7&gt;$T288-TIME(0,TimeIncr,0)),AND(GQ$7&lt;=$V288,GQ$7&gt;$V288-TIME(0,TimeIncr,0)),AND(GQ$7&lt;=$X288,GQ$7&gt;$X288-TIME(0,TimeIncr,0))),$E288*$L288,IF(OR(AND(GQ$7&gt;=$M288,GQ$7&lt;=$N288),AND(GQ$7&gt;=$O288,GQ$7&lt;=$P288),AND(GQ$7&gt;=$Q288,GQ$7&lt;=$R288),AND(GQ$7&gt;=$S288,GQ$7&lt;=$T288),AND(GQ$7&gt;=$U288,GQ$7&lt;=$V288),AND(GQ$7&gt;=$W288,GQ$7&lt;=$X288)),0,IF(OR(AND($M288&gt;$N288,GQ$7&lt;=$N288),AND($O288&gt;$P288,GQ$7&lt;=$P288),AND($Q288&gt;$R288,GQ$7&lt;=$R288),AND($S288&gt;$T288,GQ$7&lt;=$T288),AND($U288&gt;$V288,GQ$7&lt;=$V288),AND($W288&gt;$X288,GQ$7&lt;=$X288)),0,IF(OR(AND(GQ$7&gt;=$M288,$M288&gt;$N288),AND(GQ$7&gt;=$O288,$O288&gt;$P288),AND(GQ$7&gt;=$Q288,$Q288&gt;$R288),AND(GQ$7&gt;=$S288,$S288&gt;$T288),AND(GQ$7&gt;=$U288,$U288&gt;$V288),AND(GQ$7&gt;=$W288,$W288&gt;$X288)),0,$E288)))))</f>
        <v>0</v>
      </c>
      <c r="GR288" s="409">
        <f t="shared" si="352"/>
        <v>0</v>
      </c>
      <c r="GS288" s="409">
        <f t="shared" si="352"/>
        <v>0</v>
      </c>
      <c r="GT288" s="409">
        <f t="shared" si="352"/>
        <v>0</v>
      </c>
      <c r="GU288" s="409">
        <f t="shared" si="352"/>
        <v>0</v>
      </c>
      <c r="GV288" s="409">
        <f t="shared" si="352"/>
        <v>0</v>
      </c>
      <c r="GW288" s="409">
        <f t="shared" si="352"/>
        <v>0</v>
      </c>
      <c r="GX288" s="409">
        <f t="shared" si="352"/>
        <v>0</v>
      </c>
      <c r="GY288" s="409">
        <f t="shared" si="352"/>
        <v>0</v>
      </c>
      <c r="GZ288" s="409">
        <f t="shared" si="352"/>
        <v>0</v>
      </c>
      <c r="HA288" s="409">
        <f t="shared" ref="HA288:HJ317" si="353">IF(ISNA(HA$7),"",IF(OR(AND(HA$7&lt;=$N288,HA$7&gt;$N288-TIME(0,TimeIncr,0)),AND(HA$7&lt;=$P288,HA$7&gt;$P288-TIME(0,TimeIncr,0)),AND(HA$7&lt;=$R288,HA$7&gt;$R288-TIME(0,TimeIncr,0)),AND(HA$7&lt;=$T288,HA$7&gt;$T288-TIME(0,TimeIncr,0)),AND(HA$7&lt;=$V288,HA$7&gt;$V288-TIME(0,TimeIncr,0)),AND(HA$7&lt;=$X288,HA$7&gt;$X288-TIME(0,TimeIncr,0))),$E288*$L288,IF(OR(AND(HA$7&gt;=$M288,HA$7&lt;=$N288),AND(HA$7&gt;=$O288,HA$7&lt;=$P288),AND(HA$7&gt;=$Q288,HA$7&lt;=$R288),AND(HA$7&gt;=$S288,HA$7&lt;=$T288),AND(HA$7&gt;=$U288,HA$7&lt;=$V288),AND(HA$7&gt;=$W288,HA$7&lt;=$X288)),0,IF(OR(AND($M288&gt;$N288,HA$7&lt;=$N288),AND($O288&gt;$P288,HA$7&lt;=$P288),AND($Q288&gt;$R288,HA$7&lt;=$R288),AND($S288&gt;$T288,HA$7&lt;=$T288),AND($U288&gt;$V288,HA$7&lt;=$V288),AND($W288&gt;$X288,HA$7&lt;=$X288)),0,IF(OR(AND(HA$7&gt;=$M288,$M288&gt;$N288),AND(HA$7&gt;=$O288,$O288&gt;$P288),AND(HA$7&gt;=$Q288,$Q288&gt;$R288),AND(HA$7&gt;=$S288,$S288&gt;$T288),AND(HA$7&gt;=$U288,$U288&gt;$V288),AND(HA$7&gt;=$W288,$W288&gt;$X288)),0,$E288)))))</f>
        <v>0</v>
      </c>
      <c r="HB288" s="409">
        <f t="shared" si="353"/>
        <v>0</v>
      </c>
      <c r="HC288" s="409">
        <f t="shared" si="353"/>
        <v>0</v>
      </c>
      <c r="HD288" s="409">
        <f t="shared" si="353"/>
        <v>0</v>
      </c>
      <c r="HE288" s="409">
        <f t="shared" si="353"/>
        <v>0</v>
      </c>
      <c r="HF288" s="409">
        <f t="shared" si="353"/>
        <v>0</v>
      </c>
      <c r="HG288" s="409">
        <f t="shared" si="353"/>
        <v>0</v>
      </c>
      <c r="HH288" s="409">
        <f t="shared" si="353"/>
        <v>0</v>
      </c>
      <c r="HI288" s="409">
        <f t="shared" si="353"/>
        <v>0</v>
      </c>
      <c r="HJ288" s="409">
        <f t="shared" si="353"/>
        <v>0</v>
      </c>
      <c r="HK288" s="409">
        <f t="shared" ref="HK288:HT317" si="354">IF(ISNA(HK$7),"",IF(OR(AND(HK$7&lt;=$N288,HK$7&gt;$N288-TIME(0,TimeIncr,0)),AND(HK$7&lt;=$P288,HK$7&gt;$P288-TIME(0,TimeIncr,0)),AND(HK$7&lt;=$R288,HK$7&gt;$R288-TIME(0,TimeIncr,0)),AND(HK$7&lt;=$T288,HK$7&gt;$T288-TIME(0,TimeIncr,0)),AND(HK$7&lt;=$V288,HK$7&gt;$V288-TIME(0,TimeIncr,0)),AND(HK$7&lt;=$X288,HK$7&gt;$X288-TIME(0,TimeIncr,0))),$E288*$L288,IF(OR(AND(HK$7&gt;=$M288,HK$7&lt;=$N288),AND(HK$7&gt;=$O288,HK$7&lt;=$P288),AND(HK$7&gt;=$Q288,HK$7&lt;=$R288),AND(HK$7&gt;=$S288,HK$7&lt;=$T288),AND(HK$7&gt;=$U288,HK$7&lt;=$V288),AND(HK$7&gt;=$W288,HK$7&lt;=$X288)),0,IF(OR(AND($M288&gt;$N288,HK$7&lt;=$N288),AND($O288&gt;$P288,HK$7&lt;=$P288),AND($Q288&gt;$R288,HK$7&lt;=$R288),AND($S288&gt;$T288,HK$7&lt;=$T288),AND($U288&gt;$V288,HK$7&lt;=$V288),AND($W288&gt;$X288,HK$7&lt;=$X288)),0,IF(OR(AND(HK$7&gt;=$M288,$M288&gt;$N288),AND(HK$7&gt;=$O288,$O288&gt;$P288),AND(HK$7&gt;=$Q288,$Q288&gt;$R288),AND(HK$7&gt;=$S288,$S288&gt;$T288),AND(HK$7&gt;=$U288,$U288&gt;$V288),AND(HK$7&gt;=$W288,$W288&gt;$X288)),0,$E288)))))</f>
        <v>0</v>
      </c>
      <c r="HL288" s="409">
        <f t="shared" si="354"/>
        <v>0</v>
      </c>
      <c r="HM288" s="409">
        <f t="shared" si="354"/>
        <v>0</v>
      </c>
      <c r="HN288" s="409">
        <f t="shared" si="354"/>
        <v>0</v>
      </c>
      <c r="HO288" s="409">
        <f t="shared" si="354"/>
        <v>0</v>
      </c>
      <c r="HP288" s="409">
        <f t="shared" si="354"/>
        <v>0</v>
      </c>
      <c r="HQ288" s="409">
        <f t="shared" si="354"/>
        <v>0</v>
      </c>
      <c r="HR288" s="409">
        <f t="shared" si="354"/>
        <v>0</v>
      </c>
      <c r="HS288" s="409">
        <f t="shared" si="354"/>
        <v>0</v>
      </c>
      <c r="HT288" s="409">
        <f t="shared" si="354"/>
        <v>0</v>
      </c>
      <c r="HU288" s="409">
        <f t="shared" ref="HU288:ID317" si="355">IF(ISNA(HU$7),"",IF(OR(AND(HU$7&lt;=$N288,HU$7&gt;$N288-TIME(0,TimeIncr,0)),AND(HU$7&lt;=$P288,HU$7&gt;$P288-TIME(0,TimeIncr,0)),AND(HU$7&lt;=$R288,HU$7&gt;$R288-TIME(0,TimeIncr,0)),AND(HU$7&lt;=$T288,HU$7&gt;$T288-TIME(0,TimeIncr,0)),AND(HU$7&lt;=$V288,HU$7&gt;$V288-TIME(0,TimeIncr,0)),AND(HU$7&lt;=$X288,HU$7&gt;$X288-TIME(0,TimeIncr,0))),$E288*$L288,IF(OR(AND(HU$7&gt;=$M288,HU$7&lt;=$N288),AND(HU$7&gt;=$O288,HU$7&lt;=$P288),AND(HU$7&gt;=$Q288,HU$7&lt;=$R288),AND(HU$7&gt;=$S288,HU$7&lt;=$T288),AND(HU$7&gt;=$U288,HU$7&lt;=$V288),AND(HU$7&gt;=$W288,HU$7&lt;=$X288)),0,IF(OR(AND($M288&gt;$N288,HU$7&lt;=$N288),AND($O288&gt;$P288,HU$7&lt;=$P288),AND($Q288&gt;$R288,HU$7&lt;=$R288),AND($S288&gt;$T288,HU$7&lt;=$T288),AND($U288&gt;$V288,HU$7&lt;=$V288),AND($W288&gt;$X288,HU$7&lt;=$X288)),0,IF(OR(AND(HU$7&gt;=$M288,$M288&gt;$N288),AND(HU$7&gt;=$O288,$O288&gt;$P288),AND(HU$7&gt;=$Q288,$Q288&gt;$R288),AND(HU$7&gt;=$S288,$S288&gt;$T288),AND(HU$7&gt;=$U288,$U288&gt;$V288),AND(HU$7&gt;=$W288,$W288&gt;$X288)),0,$E288)))))</f>
        <v>0</v>
      </c>
      <c r="HV288" s="409">
        <f t="shared" si="355"/>
        <v>0</v>
      </c>
      <c r="HW288" s="409">
        <f t="shared" si="355"/>
        <v>0</v>
      </c>
      <c r="HX288" s="409">
        <f t="shared" si="355"/>
        <v>0</v>
      </c>
      <c r="HY288" s="409">
        <f t="shared" si="355"/>
        <v>0</v>
      </c>
      <c r="HZ288" s="409">
        <f t="shared" si="355"/>
        <v>0</v>
      </c>
      <c r="IA288" s="409">
        <f t="shared" si="355"/>
        <v>0</v>
      </c>
      <c r="IB288" s="409">
        <f t="shared" si="355"/>
        <v>0</v>
      </c>
      <c r="IC288" s="409">
        <f t="shared" si="355"/>
        <v>0</v>
      </c>
      <c r="ID288" s="409">
        <f t="shared" si="355"/>
        <v>0</v>
      </c>
      <c r="IE288" s="409">
        <f t="shared" ref="IE288:IJ317" si="356">IF(ISNA(IE$7),"",IF(OR(AND(IE$7&lt;=$N288,IE$7&gt;$N288-TIME(0,TimeIncr,0)),AND(IE$7&lt;=$P288,IE$7&gt;$P288-TIME(0,TimeIncr,0)),AND(IE$7&lt;=$R288,IE$7&gt;$R288-TIME(0,TimeIncr,0)),AND(IE$7&lt;=$T288,IE$7&gt;$T288-TIME(0,TimeIncr,0)),AND(IE$7&lt;=$V288,IE$7&gt;$V288-TIME(0,TimeIncr,0)),AND(IE$7&lt;=$X288,IE$7&gt;$X288-TIME(0,TimeIncr,0))),$E288*$L288,IF(OR(AND(IE$7&gt;=$M288,IE$7&lt;=$N288),AND(IE$7&gt;=$O288,IE$7&lt;=$P288),AND(IE$7&gt;=$Q288,IE$7&lt;=$R288),AND(IE$7&gt;=$S288,IE$7&lt;=$T288),AND(IE$7&gt;=$U288,IE$7&lt;=$V288),AND(IE$7&gt;=$W288,IE$7&lt;=$X288)),0,IF(OR(AND($M288&gt;$N288,IE$7&lt;=$N288),AND($O288&gt;$P288,IE$7&lt;=$P288),AND($Q288&gt;$R288,IE$7&lt;=$R288),AND($S288&gt;$T288,IE$7&lt;=$T288),AND($U288&gt;$V288,IE$7&lt;=$V288),AND($W288&gt;$X288,IE$7&lt;=$X288)),0,IF(OR(AND(IE$7&gt;=$M288,$M288&gt;$N288),AND(IE$7&gt;=$O288,$O288&gt;$P288),AND(IE$7&gt;=$Q288,$Q288&gt;$R288),AND(IE$7&gt;=$S288,$S288&gt;$T288),AND(IE$7&gt;=$U288,$U288&gt;$V288),AND(IE$7&gt;=$W288,$W288&gt;$X288)),0,$E288)))))</f>
        <v>0</v>
      </c>
      <c r="IF288" s="409">
        <f t="shared" si="356"/>
        <v>0</v>
      </c>
      <c r="IG288" s="409">
        <f t="shared" si="356"/>
        <v>0</v>
      </c>
      <c r="IH288" s="409">
        <f t="shared" si="356"/>
        <v>0</v>
      </c>
      <c r="II288" s="409">
        <f t="shared" si="356"/>
        <v>0</v>
      </c>
      <c r="IJ288" s="409">
        <f t="shared" si="356"/>
        <v>0</v>
      </c>
      <c r="IK288" s="378"/>
    </row>
    <row r="289" spans="1:245" hidden="1" x14ac:dyDescent="0.2">
      <c r="A289" s="380" t="str">
        <f t="shared" ref="A289:A337" si="357">IF(ISERROR(C289),"e",IF(OR(E289=0,B289=""),"x",""))</f>
        <v>x</v>
      </c>
      <c r="B289" s="712">
        <f>IF(ISERROR(INDEX('Legend(DX)'!$H$14:$H$15,2)),"",INDEX('Legend(DX)'!$H$14:$H$15,2))</f>
        <v>0</v>
      </c>
      <c r="C289" s="712" t="str">
        <f>IF(INDEX('Legend(DX)'!$T$14:$T$15,2)=0,"See Legend",INDEX('Legend(DX)'!$T$14:$T$15,2))</f>
        <v>See Legend</v>
      </c>
      <c r="D289" s="712" t="str">
        <f>IF(INDEX('Legend(DX)'!$R$14:$R$15,2)=0,"---",INDEX('Legend(DX)'!$R$14:$R$15,2))</f>
        <v>---</v>
      </c>
      <c r="E289" s="713">
        <f>IF(ISERROR(INDEX('Legend(DX)'!$AA$14:$AA$15,2)),"",INDEX('Legend(DX)'!$AA$14:$AA$15,2))</f>
        <v>0</v>
      </c>
      <c r="F289" s="715"/>
      <c r="G289" s="715"/>
      <c r="H289" s="715"/>
      <c r="I289" s="715"/>
      <c r="J289" s="715"/>
      <c r="K289" s="890">
        <f t="shared" ref="K289:K337" si="358">G289+H289+J289</f>
        <v>0</v>
      </c>
      <c r="L289" s="718"/>
      <c r="M289" s="720"/>
      <c r="N289" s="972">
        <f t="shared" si="330"/>
        <v>-1</v>
      </c>
      <c r="O289" s="972">
        <f t="shared" ref="O289:O337" si="359">IF($F289&lt;2,-1,IF(M289+TIME((24/$F289),0,0)&gt;1,MROUND(M289-1+TIME((24/$F289),0,0),"0:01"),MROUND(M289+TIME((24/$F289),0,0),"0:01")))</f>
        <v>-1</v>
      </c>
      <c r="P289" s="972">
        <f t="shared" si="331"/>
        <v>-1</v>
      </c>
      <c r="Q289" s="972">
        <f t="shared" ref="Q289:Q337" si="360">IF($F289&lt;3,-1,IF(O289+TIME((24/$F289),0,0)&gt;1,MROUND(O289-1+TIME((24/$F289),0,0),"0:01"),MROUND(O289+TIME((24/$F289),0,0),"0:01")))</f>
        <v>-1</v>
      </c>
      <c r="R289" s="972">
        <f t="shared" si="332"/>
        <v>-1</v>
      </c>
      <c r="S289" s="972">
        <f t="shared" ref="S289:S337" si="361">IF($F289&lt;4,-1,IF(Q289+TIME((24/$F289),0,0)&gt;1,MROUND(Q289-1+TIME((24/$F289),0,0),"0:01"),MROUND(Q289+TIME((24/$F289),0,0),"0:01")))</f>
        <v>-1</v>
      </c>
      <c r="T289" s="972">
        <f t="shared" si="333"/>
        <v>-1</v>
      </c>
      <c r="U289" s="972">
        <f t="shared" ref="U289:U337" si="362">IF($F289&lt;5,-1,IF(S289+TIME((24/$F289),0,0)&gt;1,MROUND(S289-1+TIME((24/$F289),0,0),"0:01"),MROUND(S289+TIME((24/$F289),0,0),"0:01")))</f>
        <v>-1</v>
      </c>
      <c r="V289" s="972">
        <f t="shared" si="334"/>
        <v>-1</v>
      </c>
      <c r="W289" s="972">
        <f t="shared" ref="W289:W337" si="363">IF($F289&lt;6,-1,IF(U289+TIME((24/$F289),0,0)&gt;1,MROUND(U289-1+TIME((24/$F289),0,0),"0:01"),MROUND(U289+TIME((24/$F289),0,0),"0:01")))</f>
        <v>-1</v>
      </c>
      <c r="X289" s="972">
        <f t="shared" si="335"/>
        <v>-1</v>
      </c>
      <c r="Y289" s="972">
        <f t="shared" ref="Y289:Y337" si="364">IF($F289&lt;7,-1,IF(W289+TIME((24/$F289),0,0)&gt;1,MROUND(W289-1+TIME((24/$F289),0,0),"0:01"),MROUND(W289+TIME((24/$F289),0,0),"0:01")))</f>
        <v>-1</v>
      </c>
      <c r="Z289" s="972">
        <f t="shared" ref="Z289:Z337" si="365">IF(Y289="",-1,IF(Y289+TIME(0,$K289,0)&gt;1,Y289+TIME(0,$K289,0)-1,Y289+TIME(0,$K289,0)))</f>
        <v>-1</v>
      </c>
      <c r="AA289" s="972">
        <f t="shared" ref="AA289:AA337" si="366">IF($F289&lt;8,-1,IF(Y289+TIME((24/$F289),0,0)&gt;1,MROUND(Y289-1+TIME((24/$F289),0,0),"0:01"),MROUND(Y289+TIME((24/$F289),0,0),"0:01")))</f>
        <v>-1</v>
      </c>
      <c r="AB289" s="972">
        <f t="shared" ref="AB289:AB337" si="367">IF(AA289="",-1,IF(AA289+TIME(0,$K289,0)&gt;1,AA289+TIME(0,$K289,0)-1,AA289+TIME(0,$K289,0)))</f>
        <v>-1</v>
      </c>
      <c r="AC289" s="972">
        <f t="shared" ref="AC289:AC337" si="368">IF($F289&lt;9,-1,IF(AA289+TIME((24/$F289),0,0)&gt;1,MROUND(AA289-1+TIME((24/$F289),0,0),"0:01"),MROUND(AA289+TIME((24/$F289),0,0),"0:01")))</f>
        <v>-1</v>
      </c>
      <c r="AD289" s="972">
        <f t="shared" ref="AD289:AD337" si="369">IF(AC289="",-1,IF(AC289+TIME(0,$K289,0)&gt;1,AC289+TIME(0,$K289,0)-1,AC289+TIME(0,$K289,0)))</f>
        <v>-1</v>
      </c>
      <c r="AE289" s="972">
        <f t="shared" ref="AE289:AE337" si="370">IF($F289&lt;10,-1,IF(AC289+TIME((24/$F289),0,0)&gt;1,MROUND(AC289-1+TIME((24/$F289),0,0),"0:01"),MROUND(AC289+TIME((24/$F289),0,0),"0:01")))</f>
        <v>-1</v>
      </c>
      <c r="AF289" s="972">
        <f t="shared" ref="AF289:AF337" si="371">IF(AE289="",-1,IF(AE289+TIME(0,$K289,0)&gt;1,AE289+TIME(0,$K289,0)-1,AE289+TIME(0,$K289,0)))</f>
        <v>-1</v>
      </c>
      <c r="AG289" s="972">
        <f t="shared" ref="AG289:AG337" si="372">IF($F289&lt;11,-1,IF(AE289+TIME((24/$F289),0,0)&gt;1,MROUND(AE289-1+TIME((24/$F289),0,0),"0:01"),MROUND(AE289+TIME((24/$F289),0,0),"0:01")))</f>
        <v>-1</v>
      </c>
      <c r="AH289" s="972">
        <f t="shared" ref="AH289:AH337" si="373">IF(AG289="",-1,IF(AG289+TIME(0,$K289,0)&gt;1,AG289+TIME(0,$K289,0)-1,AG289+TIME(0,$K289,0)))</f>
        <v>-1</v>
      </c>
      <c r="AI289" s="972">
        <f t="shared" ref="AI289:AI337" si="374">IF($F289&lt;12,-1,IF(AG289+TIME((24/$F289),0,0)&gt;1,MROUND(AG289-1+TIME((24/$F289),0,0),"0:01"),MROUND(AG289+TIME((24/$F289),0,0),"0:01")))</f>
        <v>-1</v>
      </c>
      <c r="AJ289" s="972">
        <f t="shared" ref="AJ289:AJ337" si="375">IF(AI289="",-1,IF(AI289+TIME(0,$K289,0)&gt;1,AI289+TIME(0,$K289,0)-1,AI289+TIME(0,$K289,0)))</f>
        <v>-1</v>
      </c>
      <c r="AK289" s="381"/>
      <c r="AL289" s="727">
        <f t="shared" ref="AL289:AL337" si="376">B289</f>
        <v>0</v>
      </c>
      <c r="AM289" s="409">
        <f t="shared" si="336"/>
        <v>0</v>
      </c>
      <c r="AN289" s="409">
        <f t="shared" si="336"/>
        <v>0</v>
      </c>
      <c r="AO289" s="409">
        <f t="shared" si="336"/>
        <v>0</v>
      </c>
      <c r="AP289" s="409">
        <f t="shared" si="336"/>
        <v>0</v>
      </c>
      <c r="AQ289" s="409">
        <f t="shared" si="336"/>
        <v>0</v>
      </c>
      <c r="AR289" s="409">
        <f t="shared" si="336"/>
        <v>0</v>
      </c>
      <c r="AS289" s="409">
        <f t="shared" si="336"/>
        <v>0</v>
      </c>
      <c r="AT289" s="409">
        <f t="shared" si="336"/>
        <v>0</v>
      </c>
      <c r="AU289" s="409">
        <f t="shared" si="336"/>
        <v>0</v>
      </c>
      <c r="AV289" s="409">
        <f t="shared" si="336"/>
        <v>0</v>
      </c>
      <c r="AW289" s="409">
        <f t="shared" si="337"/>
        <v>0</v>
      </c>
      <c r="AX289" s="409">
        <f t="shared" si="337"/>
        <v>0</v>
      </c>
      <c r="AY289" s="409">
        <f t="shared" si="337"/>
        <v>0</v>
      </c>
      <c r="AZ289" s="409">
        <f t="shared" si="337"/>
        <v>0</v>
      </c>
      <c r="BA289" s="409">
        <f t="shared" si="337"/>
        <v>0</v>
      </c>
      <c r="BB289" s="409">
        <f t="shared" si="337"/>
        <v>0</v>
      </c>
      <c r="BC289" s="409">
        <f t="shared" si="337"/>
        <v>0</v>
      </c>
      <c r="BD289" s="409">
        <f t="shared" si="337"/>
        <v>0</v>
      </c>
      <c r="BE289" s="409">
        <f t="shared" si="337"/>
        <v>0</v>
      </c>
      <c r="BF289" s="409">
        <f t="shared" si="337"/>
        <v>0</v>
      </c>
      <c r="BG289" s="409">
        <f t="shared" si="338"/>
        <v>0</v>
      </c>
      <c r="BH289" s="409">
        <f t="shared" si="338"/>
        <v>0</v>
      </c>
      <c r="BI289" s="409">
        <f t="shared" si="338"/>
        <v>0</v>
      </c>
      <c r="BJ289" s="409">
        <f t="shared" si="338"/>
        <v>0</v>
      </c>
      <c r="BK289" s="409">
        <f t="shared" si="338"/>
        <v>0</v>
      </c>
      <c r="BL289" s="409">
        <f t="shared" si="338"/>
        <v>0</v>
      </c>
      <c r="BM289" s="409">
        <f t="shared" si="338"/>
        <v>0</v>
      </c>
      <c r="BN289" s="409">
        <f t="shared" si="338"/>
        <v>0</v>
      </c>
      <c r="BO289" s="409">
        <f t="shared" si="338"/>
        <v>0</v>
      </c>
      <c r="BP289" s="409">
        <f t="shared" si="338"/>
        <v>0</v>
      </c>
      <c r="BQ289" s="409">
        <f t="shared" si="339"/>
        <v>0</v>
      </c>
      <c r="BR289" s="409">
        <f t="shared" si="339"/>
        <v>0</v>
      </c>
      <c r="BS289" s="409">
        <f t="shared" si="339"/>
        <v>0</v>
      </c>
      <c r="BT289" s="409">
        <f t="shared" si="339"/>
        <v>0</v>
      </c>
      <c r="BU289" s="409">
        <f t="shared" si="339"/>
        <v>0</v>
      </c>
      <c r="BV289" s="409">
        <f t="shared" si="339"/>
        <v>0</v>
      </c>
      <c r="BW289" s="409">
        <f t="shared" si="339"/>
        <v>0</v>
      </c>
      <c r="BX289" s="409">
        <f t="shared" si="339"/>
        <v>0</v>
      </c>
      <c r="BY289" s="409">
        <f t="shared" si="339"/>
        <v>0</v>
      </c>
      <c r="BZ289" s="409">
        <f t="shared" si="339"/>
        <v>0</v>
      </c>
      <c r="CA289" s="409">
        <f t="shared" si="340"/>
        <v>0</v>
      </c>
      <c r="CB289" s="409">
        <f t="shared" si="340"/>
        <v>0</v>
      </c>
      <c r="CC289" s="409">
        <f t="shared" si="340"/>
        <v>0</v>
      </c>
      <c r="CD289" s="409">
        <f t="shared" si="340"/>
        <v>0</v>
      </c>
      <c r="CE289" s="409">
        <f t="shared" si="340"/>
        <v>0</v>
      </c>
      <c r="CF289" s="409">
        <f t="shared" si="340"/>
        <v>0</v>
      </c>
      <c r="CG289" s="409">
        <f t="shared" si="340"/>
        <v>0</v>
      </c>
      <c r="CH289" s="409">
        <f t="shared" si="340"/>
        <v>0</v>
      </c>
      <c r="CI289" s="409">
        <f t="shared" si="340"/>
        <v>0</v>
      </c>
      <c r="CJ289" s="409">
        <f t="shared" si="340"/>
        <v>0</v>
      </c>
      <c r="CK289" s="409">
        <f t="shared" si="341"/>
        <v>0</v>
      </c>
      <c r="CL289" s="409">
        <f t="shared" si="341"/>
        <v>0</v>
      </c>
      <c r="CM289" s="409">
        <f t="shared" si="341"/>
        <v>0</v>
      </c>
      <c r="CN289" s="409">
        <f t="shared" si="341"/>
        <v>0</v>
      </c>
      <c r="CO289" s="409">
        <f t="shared" si="341"/>
        <v>0</v>
      </c>
      <c r="CP289" s="409">
        <f t="shared" si="341"/>
        <v>0</v>
      </c>
      <c r="CQ289" s="409">
        <f t="shared" si="341"/>
        <v>0</v>
      </c>
      <c r="CR289" s="409">
        <f t="shared" si="341"/>
        <v>0</v>
      </c>
      <c r="CS289" s="409">
        <f t="shared" si="341"/>
        <v>0</v>
      </c>
      <c r="CT289" s="409">
        <f t="shared" si="341"/>
        <v>0</v>
      </c>
      <c r="CU289" s="409">
        <f t="shared" si="342"/>
        <v>0</v>
      </c>
      <c r="CV289" s="409">
        <f t="shared" si="342"/>
        <v>0</v>
      </c>
      <c r="CW289" s="409">
        <f t="shared" si="342"/>
        <v>0</v>
      </c>
      <c r="CX289" s="409">
        <f t="shared" si="342"/>
        <v>0</v>
      </c>
      <c r="CY289" s="409">
        <f t="shared" si="342"/>
        <v>0</v>
      </c>
      <c r="CZ289" s="409">
        <f t="shared" si="342"/>
        <v>0</v>
      </c>
      <c r="DA289" s="409">
        <f t="shared" si="342"/>
        <v>0</v>
      </c>
      <c r="DB289" s="409">
        <f t="shared" si="342"/>
        <v>0</v>
      </c>
      <c r="DC289" s="409">
        <f t="shared" si="342"/>
        <v>0</v>
      </c>
      <c r="DD289" s="409">
        <f t="shared" si="342"/>
        <v>0</v>
      </c>
      <c r="DE289" s="409">
        <f t="shared" si="343"/>
        <v>0</v>
      </c>
      <c r="DF289" s="409">
        <f t="shared" si="343"/>
        <v>0</v>
      </c>
      <c r="DG289" s="409">
        <f t="shared" si="343"/>
        <v>0</v>
      </c>
      <c r="DH289" s="409">
        <f t="shared" si="343"/>
        <v>0</v>
      </c>
      <c r="DI289" s="409">
        <f t="shared" si="343"/>
        <v>0</v>
      </c>
      <c r="DJ289" s="409">
        <f t="shared" si="343"/>
        <v>0</v>
      </c>
      <c r="DK289" s="409">
        <f t="shared" si="343"/>
        <v>0</v>
      </c>
      <c r="DL289" s="409">
        <f t="shared" si="343"/>
        <v>0</v>
      </c>
      <c r="DM289" s="409">
        <f t="shared" si="343"/>
        <v>0</v>
      </c>
      <c r="DN289" s="409">
        <f t="shared" si="343"/>
        <v>0</v>
      </c>
      <c r="DO289" s="409">
        <f t="shared" si="344"/>
        <v>0</v>
      </c>
      <c r="DP289" s="409">
        <f t="shared" si="344"/>
        <v>0</v>
      </c>
      <c r="DQ289" s="409">
        <f t="shared" si="344"/>
        <v>0</v>
      </c>
      <c r="DR289" s="409">
        <f t="shared" si="344"/>
        <v>0</v>
      </c>
      <c r="DS289" s="409">
        <f t="shared" si="344"/>
        <v>0</v>
      </c>
      <c r="DT289" s="409">
        <f t="shared" si="344"/>
        <v>0</v>
      </c>
      <c r="DU289" s="409">
        <f t="shared" si="344"/>
        <v>0</v>
      </c>
      <c r="DV289" s="409">
        <f t="shared" si="344"/>
        <v>0</v>
      </c>
      <c r="DW289" s="409">
        <f t="shared" si="344"/>
        <v>0</v>
      </c>
      <c r="DX289" s="409">
        <f t="shared" si="344"/>
        <v>0</v>
      </c>
      <c r="DY289" s="409">
        <f t="shared" si="345"/>
        <v>0</v>
      </c>
      <c r="DZ289" s="409">
        <f t="shared" si="345"/>
        <v>0</v>
      </c>
      <c r="EA289" s="409">
        <f t="shared" si="345"/>
        <v>0</v>
      </c>
      <c r="EB289" s="409">
        <f t="shared" si="345"/>
        <v>0</v>
      </c>
      <c r="EC289" s="409">
        <f t="shared" si="345"/>
        <v>0</v>
      </c>
      <c r="ED289" s="409">
        <f t="shared" si="345"/>
        <v>0</v>
      </c>
      <c r="EE289" s="409">
        <f t="shared" si="345"/>
        <v>0</v>
      </c>
      <c r="EF289" s="409">
        <f t="shared" si="345"/>
        <v>0</v>
      </c>
      <c r="EG289" s="409">
        <f t="shared" si="345"/>
        <v>0</v>
      </c>
      <c r="EH289" s="409">
        <f t="shared" si="345"/>
        <v>0</v>
      </c>
      <c r="EI289" s="409">
        <f t="shared" si="346"/>
        <v>0</v>
      </c>
      <c r="EJ289" s="409">
        <f t="shared" si="346"/>
        <v>0</v>
      </c>
      <c r="EK289" s="409">
        <f t="shared" si="346"/>
        <v>0</v>
      </c>
      <c r="EL289" s="409">
        <f t="shared" si="346"/>
        <v>0</v>
      </c>
      <c r="EM289" s="409">
        <f t="shared" si="346"/>
        <v>0</v>
      </c>
      <c r="EN289" s="409">
        <f t="shared" si="346"/>
        <v>0</v>
      </c>
      <c r="EO289" s="409">
        <f t="shared" si="346"/>
        <v>0</v>
      </c>
      <c r="EP289" s="409">
        <f t="shared" si="346"/>
        <v>0</v>
      </c>
      <c r="EQ289" s="409">
        <f t="shared" si="346"/>
        <v>0</v>
      </c>
      <c r="ER289" s="409">
        <f t="shared" si="346"/>
        <v>0</v>
      </c>
      <c r="ES289" s="409">
        <f t="shared" si="347"/>
        <v>0</v>
      </c>
      <c r="ET289" s="409">
        <f t="shared" si="347"/>
        <v>0</v>
      </c>
      <c r="EU289" s="409">
        <f t="shared" si="347"/>
        <v>0</v>
      </c>
      <c r="EV289" s="409">
        <f t="shared" si="347"/>
        <v>0</v>
      </c>
      <c r="EW289" s="409">
        <f t="shared" si="347"/>
        <v>0</v>
      </c>
      <c r="EX289" s="409">
        <f t="shared" si="347"/>
        <v>0</v>
      </c>
      <c r="EY289" s="409">
        <f t="shared" si="347"/>
        <v>0</v>
      </c>
      <c r="EZ289" s="409">
        <f t="shared" si="347"/>
        <v>0</v>
      </c>
      <c r="FA289" s="409">
        <f t="shared" si="347"/>
        <v>0</v>
      </c>
      <c r="FB289" s="409">
        <f t="shared" si="347"/>
        <v>0</v>
      </c>
      <c r="FC289" s="409">
        <f t="shared" si="348"/>
        <v>0</v>
      </c>
      <c r="FD289" s="409">
        <f t="shared" si="348"/>
        <v>0</v>
      </c>
      <c r="FE289" s="409">
        <f t="shared" si="348"/>
        <v>0</v>
      </c>
      <c r="FF289" s="409">
        <f t="shared" si="348"/>
        <v>0</v>
      </c>
      <c r="FG289" s="409">
        <f t="shared" si="348"/>
        <v>0</v>
      </c>
      <c r="FH289" s="409">
        <f t="shared" si="348"/>
        <v>0</v>
      </c>
      <c r="FI289" s="409">
        <f t="shared" si="348"/>
        <v>0</v>
      </c>
      <c r="FJ289" s="409">
        <f t="shared" si="348"/>
        <v>0</v>
      </c>
      <c r="FK289" s="409">
        <f t="shared" si="348"/>
        <v>0</v>
      </c>
      <c r="FL289" s="409">
        <f t="shared" si="348"/>
        <v>0</v>
      </c>
      <c r="FM289" s="409">
        <f t="shared" si="349"/>
        <v>0</v>
      </c>
      <c r="FN289" s="409">
        <f t="shared" si="349"/>
        <v>0</v>
      </c>
      <c r="FO289" s="409">
        <f t="shared" si="349"/>
        <v>0</v>
      </c>
      <c r="FP289" s="409">
        <f t="shared" si="349"/>
        <v>0</v>
      </c>
      <c r="FQ289" s="409">
        <f t="shared" si="349"/>
        <v>0</v>
      </c>
      <c r="FR289" s="409">
        <f t="shared" si="349"/>
        <v>0</v>
      </c>
      <c r="FS289" s="409">
        <f t="shared" si="349"/>
        <v>0</v>
      </c>
      <c r="FT289" s="409">
        <f t="shared" si="349"/>
        <v>0</v>
      </c>
      <c r="FU289" s="409">
        <f t="shared" si="349"/>
        <v>0</v>
      </c>
      <c r="FV289" s="409">
        <f t="shared" si="349"/>
        <v>0</v>
      </c>
      <c r="FW289" s="409">
        <f t="shared" si="350"/>
        <v>0</v>
      </c>
      <c r="FX289" s="409">
        <f t="shared" si="350"/>
        <v>0</v>
      </c>
      <c r="FY289" s="409">
        <f t="shared" si="350"/>
        <v>0</v>
      </c>
      <c r="FZ289" s="409">
        <f t="shared" si="350"/>
        <v>0</v>
      </c>
      <c r="GA289" s="409">
        <f t="shared" si="350"/>
        <v>0</v>
      </c>
      <c r="GB289" s="409">
        <f t="shared" si="350"/>
        <v>0</v>
      </c>
      <c r="GC289" s="409">
        <f t="shared" si="350"/>
        <v>0</v>
      </c>
      <c r="GD289" s="409">
        <f t="shared" si="350"/>
        <v>0</v>
      </c>
      <c r="GE289" s="409">
        <f t="shared" si="350"/>
        <v>0</v>
      </c>
      <c r="GF289" s="409">
        <f t="shared" si="350"/>
        <v>0</v>
      </c>
      <c r="GG289" s="409">
        <f t="shared" si="351"/>
        <v>0</v>
      </c>
      <c r="GH289" s="409">
        <f t="shared" si="351"/>
        <v>0</v>
      </c>
      <c r="GI289" s="409">
        <f t="shared" si="351"/>
        <v>0</v>
      </c>
      <c r="GJ289" s="409">
        <f t="shared" si="351"/>
        <v>0</v>
      </c>
      <c r="GK289" s="409">
        <f t="shared" si="351"/>
        <v>0</v>
      </c>
      <c r="GL289" s="409">
        <f t="shared" si="351"/>
        <v>0</v>
      </c>
      <c r="GM289" s="409">
        <f t="shared" si="351"/>
        <v>0</v>
      </c>
      <c r="GN289" s="409">
        <f t="shared" si="351"/>
        <v>0</v>
      </c>
      <c r="GO289" s="409">
        <f t="shared" si="351"/>
        <v>0</v>
      </c>
      <c r="GP289" s="409">
        <f t="shared" si="351"/>
        <v>0</v>
      </c>
      <c r="GQ289" s="409">
        <f t="shared" si="352"/>
        <v>0</v>
      </c>
      <c r="GR289" s="409">
        <f t="shared" si="352"/>
        <v>0</v>
      </c>
      <c r="GS289" s="409">
        <f t="shared" si="352"/>
        <v>0</v>
      </c>
      <c r="GT289" s="409">
        <f t="shared" si="352"/>
        <v>0</v>
      </c>
      <c r="GU289" s="409">
        <f t="shared" si="352"/>
        <v>0</v>
      </c>
      <c r="GV289" s="409">
        <f t="shared" si="352"/>
        <v>0</v>
      </c>
      <c r="GW289" s="409">
        <f t="shared" si="352"/>
        <v>0</v>
      </c>
      <c r="GX289" s="409">
        <f t="shared" si="352"/>
        <v>0</v>
      </c>
      <c r="GY289" s="409">
        <f t="shared" si="352"/>
        <v>0</v>
      </c>
      <c r="GZ289" s="409">
        <f t="shared" si="352"/>
        <v>0</v>
      </c>
      <c r="HA289" s="409">
        <f t="shared" si="353"/>
        <v>0</v>
      </c>
      <c r="HB289" s="409">
        <f t="shared" si="353"/>
        <v>0</v>
      </c>
      <c r="HC289" s="409">
        <f t="shared" si="353"/>
        <v>0</v>
      </c>
      <c r="HD289" s="409">
        <f t="shared" si="353"/>
        <v>0</v>
      </c>
      <c r="HE289" s="409">
        <f t="shared" si="353"/>
        <v>0</v>
      </c>
      <c r="HF289" s="409">
        <f t="shared" si="353"/>
        <v>0</v>
      </c>
      <c r="HG289" s="409">
        <f t="shared" si="353"/>
        <v>0</v>
      </c>
      <c r="HH289" s="409">
        <f t="shared" si="353"/>
        <v>0</v>
      </c>
      <c r="HI289" s="409">
        <f t="shared" si="353"/>
        <v>0</v>
      </c>
      <c r="HJ289" s="409">
        <f t="shared" si="353"/>
        <v>0</v>
      </c>
      <c r="HK289" s="409">
        <f t="shared" si="354"/>
        <v>0</v>
      </c>
      <c r="HL289" s="409">
        <f t="shared" si="354"/>
        <v>0</v>
      </c>
      <c r="HM289" s="409">
        <f t="shared" si="354"/>
        <v>0</v>
      </c>
      <c r="HN289" s="409">
        <f t="shared" si="354"/>
        <v>0</v>
      </c>
      <c r="HO289" s="409">
        <f t="shared" si="354"/>
        <v>0</v>
      </c>
      <c r="HP289" s="409">
        <f t="shared" si="354"/>
        <v>0</v>
      </c>
      <c r="HQ289" s="409">
        <f t="shared" si="354"/>
        <v>0</v>
      </c>
      <c r="HR289" s="409">
        <f t="shared" si="354"/>
        <v>0</v>
      </c>
      <c r="HS289" s="409">
        <f t="shared" si="354"/>
        <v>0</v>
      </c>
      <c r="HT289" s="409">
        <f t="shared" si="354"/>
        <v>0</v>
      </c>
      <c r="HU289" s="409">
        <f t="shared" si="355"/>
        <v>0</v>
      </c>
      <c r="HV289" s="409">
        <f t="shared" si="355"/>
        <v>0</v>
      </c>
      <c r="HW289" s="409">
        <f t="shared" si="355"/>
        <v>0</v>
      </c>
      <c r="HX289" s="409">
        <f t="shared" si="355"/>
        <v>0</v>
      </c>
      <c r="HY289" s="409">
        <f t="shared" si="355"/>
        <v>0</v>
      </c>
      <c r="HZ289" s="409">
        <f t="shared" si="355"/>
        <v>0</v>
      </c>
      <c r="IA289" s="409">
        <f t="shared" si="355"/>
        <v>0</v>
      </c>
      <c r="IB289" s="409">
        <f t="shared" si="355"/>
        <v>0</v>
      </c>
      <c r="IC289" s="409">
        <f t="shared" si="355"/>
        <v>0</v>
      </c>
      <c r="ID289" s="409">
        <f t="shared" si="355"/>
        <v>0</v>
      </c>
      <c r="IE289" s="409">
        <f t="shared" si="356"/>
        <v>0</v>
      </c>
      <c r="IF289" s="409">
        <f t="shared" si="356"/>
        <v>0</v>
      </c>
      <c r="IG289" s="409">
        <f t="shared" si="356"/>
        <v>0</v>
      </c>
      <c r="IH289" s="409">
        <f t="shared" si="356"/>
        <v>0</v>
      </c>
      <c r="II289" s="409">
        <f t="shared" si="356"/>
        <v>0</v>
      </c>
      <c r="IJ289" s="409">
        <f t="shared" si="356"/>
        <v>0</v>
      </c>
      <c r="IK289" s="378"/>
    </row>
    <row r="290" spans="1:245" hidden="1" x14ac:dyDescent="0.2">
      <c r="A290" s="380" t="str">
        <f t="shared" si="357"/>
        <v>e</v>
      </c>
      <c r="B290" s="712" t="str">
        <f>IF(ISERROR(INDEX('Legend(DX)'!$H$14:$H$15,3)),"",INDEX('Legend(DX)'!$H$14:$H$15,3))</f>
        <v/>
      </c>
      <c r="C290" s="712" t="e">
        <f>IF(INDEX('Legend(DX)'!$T$14:$T$15,3)=0,"See Legend",INDEX('Legend(DX)'!$T$14:$T$15,3))</f>
        <v>#REF!</v>
      </c>
      <c r="D290" s="712" t="e">
        <f>IF(INDEX('Legend(DX)'!$R$14:$R$15,3)=0,"---",INDEX('Legend(DX)'!$R$14:$R$15,3))</f>
        <v>#REF!</v>
      </c>
      <c r="E290" s="713" t="str">
        <f>IF(ISERROR(INDEX('Legend(DX)'!$AA$14:$AA$15,3)),"",INDEX('Legend(DX)'!$AA$14:$AA$15,3))</f>
        <v/>
      </c>
      <c r="F290" s="715"/>
      <c r="G290" s="715"/>
      <c r="H290" s="715"/>
      <c r="I290" s="715"/>
      <c r="J290" s="715"/>
      <c r="K290" s="890">
        <f t="shared" si="358"/>
        <v>0</v>
      </c>
      <c r="L290" s="718"/>
      <c r="M290" s="720"/>
      <c r="N290" s="972">
        <f t="shared" si="330"/>
        <v>-1</v>
      </c>
      <c r="O290" s="972">
        <f t="shared" si="359"/>
        <v>-1</v>
      </c>
      <c r="P290" s="972">
        <f t="shared" si="331"/>
        <v>-1</v>
      </c>
      <c r="Q290" s="972">
        <f t="shared" si="360"/>
        <v>-1</v>
      </c>
      <c r="R290" s="972">
        <f t="shared" si="332"/>
        <v>-1</v>
      </c>
      <c r="S290" s="972">
        <f t="shared" si="361"/>
        <v>-1</v>
      </c>
      <c r="T290" s="972">
        <f t="shared" si="333"/>
        <v>-1</v>
      </c>
      <c r="U290" s="972">
        <f t="shared" si="362"/>
        <v>-1</v>
      </c>
      <c r="V290" s="972">
        <f t="shared" si="334"/>
        <v>-1</v>
      </c>
      <c r="W290" s="972">
        <f t="shared" si="363"/>
        <v>-1</v>
      </c>
      <c r="X290" s="972">
        <f t="shared" si="335"/>
        <v>-1</v>
      </c>
      <c r="Y290" s="972">
        <f t="shared" si="364"/>
        <v>-1</v>
      </c>
      <c r="Z290" s="972">
        <f t="shared" si="365"/>
        <v>-1</v>
      </c>
      <c r="AA290" s="972">
        <f t="shared" si="366"/>
        <v>-1</v>
      </c>
      <c r="AB290" s="972">
        <f t="shared" si="367"/>
        <v>-1</v>
      </c>
      <c r="AC290" s="972">
        <f t="shared" si="368"/>
        <v>-1</v>
      </c>
      <c r="AD290" s="972">
        <f t="shared" si="369"/>
        <v>-1</v>
      </c>
      <c r="AE290" s="972">
        <f t="shared" si="370"/>
        <v>-1</v>
      </c>
      <c r="AF290" s="972">
        <f t="shared" si="371"/>
        <v>-1</v>
      </c>
      <c r="AG290" s="972">
        <f t="shared" si="372"/>
        <v>-1</v>
      </c>
      <c r="AH290" s="972">
        <f t="shared" si="373"/>
        <v>-1</v>
      </c>
      <c r="AI290" s="972">
        <f t="shared" si="374"/>
        <v>-1</v>
      </c>
      <c r="AJ290" s="972">
        <f t="shared" si="375"/>
        <v>-1</v>
      </c>
      <c r="AK290" s="381"/>
      <c r="AL290" s="727" t="str">
        <f t="shared" si="376"/>
        <v/>
      </c>
      <c r="AM290" s="409">
        <f t="shared" si="336"/>
        <v>0</v>
      </c>
      <c r="AN290" s="409">
        <f t="shared" si="336"/>
        <v>0</v>
      </c>
      <c r="AO290" s="409">
        <f t="shared" si="336"/>
        <v>0</v>
      </c>
      <c r="AP290" s="409">
        <f t="shared" si="336"/>
        <v>0</v>
      </c>
      <c r="AQ290" s="409">
        <f t="shared" si="336"/>
        <v>0</v>
      </c>
      <c r="AR290" s="409">
        <f t="shared" si="336"/>
        <v>0</v>
      </c>
      <c r="AS290" s="409">
        <f t="shared" si="336"/>
        <v>0</v>
      </c>
      <c r="AT290" s="409">
        <f t="shared" si="336"/>
        <v>0</v>
      </c>
      <c r="AU290" s="409">
        <f t="shared" si="336"/>
        <v>0</v>
      </c>
      <c r="AV290" s="409">
        <f t="shared" si="336"/>
        <v>0</v>
      </c>
      <c r="AW290" s="409">
        <f t="shared" si="337"/>
        <v>0</v>
      </c>
      <c r="AX290" s="409">
        <f t="shared" si="337"/>
        <v>0</v>
      </c>
      <c r="AY290" s="409">
        <f t="shared" si="337"/>
        <v>0</v>
      </c>
      <c r="AZ290" s="409">
        <f t="shared" si="337"/>
        <v>0</v>
      </c>
      <c r="BA290" s="409">
        <f t="shared" si="337"/>
        <v>0</v>
      </c>
      <c r="BB290" s="409">
        <f t="shared" si="337"/>
        <v>0</v>
      </c>
      <c r="BC290" s="409">
        <f t="shared" si="337"/>
        <v>0</v>
      </c>
      <c r="BD290" s="409">
        <f t="shared" si="337"/>
        <v>0</v>
      </c>
      <c r="BE290" s="409">
        <f t="shared" si="337"/>
        <v>0</v>
      </c>
      <c r="BF290" s="409">
        <f t="shared" si="337"/>
        <v>0</v>
      </c>
      <c r="BG290" s="409">
        <f t="shared" si="338"/>
        <v>0</v>
      </c>
      <c r="BH290" s="409">
        <f t="shared" si="338"/>
        <v>0</v>
      </c>
      <c r="BI290" s="409">
        <f t="shared" si="338"/>
        <v>0</v>
      </c>
      <c r="BJ290" s="409">
        <f t="shared" si="338"/>
        <v>0</v>
      </c>
      <c r="BK290" s="409">
        <f t="shared" si="338"/>
        <v>0</v>
      </c>
      <c r="BL290" s="409">
        <f t="shared" si="338"/>
        <v>0</v>
      </c>
      <c r="BM290" s="409">
        <f t="shared" si="338"/>
        <v>0</v>
      </c>
      <c r="BN290" s="409">
        <f t="shared" si="338"/>
        <v>0</v>
      </c>
      <c r="BO290" s="409">
        <f t="shared" si="338"/>
        <v>0</v>
      </c>
      <c r="BP290" s="409">
        <f t="shared" si="338"/>
        <v>0</v>
      </c>
      <c r="BQ290" s="409">
        <f t="shared" si="339"/>
        <v>0</v>
      </c>
      <c r="BR290" s="409">
        <f t="shared" si="339"/>
        <v>0</v>
      </c>
      <c r="BS290" s="409">
        <f t="shared" si="339"/>
        <v>0</v>
      </c>
      <c r="BT290" s="409">
        <f t="shared" si="339"/>
        <v>0</v>
      </c>
      <c r="BU290" s="409">
        <f t="shared" si="339"/>
        <v>0</v>
      </c>
      <c r="BV290" s="409">
        <f t="shared" si="339"/>
        <v>0</v>
      </c>
      <c r="BW290" s="409">
        <f t="shared" si="339"/>
        <v>0</v>
      </c>
      <c r="BX290" s="409">
        <f t="shared" si="339"/>
        <v>0</v>
      </c>
      <c r="BY290" s="409">
        <f t="shared" si="339"/>
        <v>0</v>
      </c>
      <c r="BZ290" s="409">
        <f t="shared" si="339"/>
        <v>0</v>
      </c>
      <c r="CA290" s="409">
        <f t="shared" si="340"/>
        <v>0</v>
      </c>
      <c r="CB290" s="409">
        <f t="shared" si="340"/>
        <v>0</v>
      </c>
      <c r="CC290" s="409">
        <f t="shared" si="340"/>
        <v>0</v>
      </c>
      <c r="CD290" s="409">
        <f t="shared" si="340"/>
        <v>0</v>
      </c>
      <c r="CE290" s="409">
        <f t="shared" si="340"/>
        <v>0</v>
      </c>
      <c r="CF290" s="409">
        <f t="shared" si="340"/>
        <v>0</v>
      </c>
      <c r="CG290" s="409">
        <f t="shared" si="340"/>
        <v>0</v>
      </c>
      <c r="CH290" s="409">
        <f t="shared" si="340"/>
        <v>0</v>
      </c>
      <c r="CI290" s="409">
        <f t="shared" si="340"/>
        <v>0</v>
      </c>
      <c r="CJ290" s="409">
        <f t="shared" si="340"/>
        <v>0</v>
      </c>
      <c r="CK290" s="409">
        <f t="shared" si="341"/>
        <v>0</v>
      </c>
      <c r="CL290" s="409">
        <f t="shared" si="341"/>
        <v>0</v>
      </c>
      <c r="CM290" s="409">
        <f t="shared" si="341"/>
        <v>0</v>
      </c>
      <c r="CN290" s="409">
        <f t="shared" si="341"/>
        <v>0</v>
      </c>
      <c r="CO290" s="409">
        <f t="shared" si="341"/>
        <v>0</v>
      </c>
      <c r="CP290" s="409">
        <f t="shared" si="341"/>
        <v>0</v>
      </c>
      <c r="CQ290" s="409">
        <f t="shared" si="341"/>
        <v>0</v>
      </c>
      <c r="CR290" s="409">
        <f t="shared" si="341"/>
        <v>0</v>
      </c>
      <c r="CS290" s="409">
        <f t="shared" si="341"/>
        <v>0</v>
      </c>
      <c r="CT290" s="409">
        <f t="shared" si="341"/>
        <v>0</v>
      </c>
      <c r="CU290" s="409">
        <f t="shared" si="342"/>
        <v>0</v>
      </c>
      <c r="CV290" s="409">
        <f t="shared" si="342"/>
        <v>0</v>
      </c>
      <c r="CW290" s="409">
        <f t="shared" si="342"/>
        <v>0</v>
      </c>
      <c r="CX290" s="409">
        <f t="shared" si="342"/>
        <v>0</v>
      </c>
      <c r="CY290" s="409">
        <f t="shared" si="342"/>
        <v>0</v>
      </c>
      <c r="CZ290" s="409">
        <f t="shared" si="342"/>
        <v>0</v>
      </c>
      <c r="DA290" s="409">
        <f t="shared" si="342"/>
        <v>0</v>
      </c>
      <c r="DB290" s="409">
        <f t="shared" si="342"/>
        <v>0</v>
      </c>
      <c r="DC290" s="409">
        <f t="shared" si="342"/>
        <v>0</v>
      </c>
      <c r="DD290" s="409">
        <f t="shared" si="342"/>
        <v>0</v>
      </c>
      <c r="DE290" s="409">
        <f t="shared" si="343"/>
        <v>0</v>
      </c>
      <c r="DF290" s="409">
        <f t="shared" si="343"/>
        <v>0</v>
      </c>
      <c r="DG290" s="409">
        <f t="shared" si="343"/>
        <v>0</v>
      </c>
      <c r="DH290" s="409">
        <f t="shared" si="343"/>
        <v>0</v>
      </c>
      <c r="DI290" s="409">
        <f t="shared" si="343"/>
        <v>0</v>
      </c>
      <c r="DJ290" s="409">
        <f t="shared" si="343"/>
        <v>0</v>
      </c>
      <c r="DK290" s="409">
        <f t="shared" si="343"/>
        <v>0</v>
      </c>
      <c r="DL290" s="409">
        <f t="shared" si="343"/>
        <v>0</v>
      </c>
      <c r="DM290" s="409">
        <f t="shared" si="343"/>
        <v>0</v>
      </c>
      <c r="DN290" s="409">
        <f t="shared" si="343"/>
        <v>0</v>
      </c>
      <c r="DO290" s="409">
        <f t="shared" si="344"/>
        <v>0</v>
      </c>
      <c r="DP290" s="409">
        <f t="shared" si="344"/>
        <v>0</v>
      </c>
      <c r="DQ290" s="409">
        <f t="shared" si="344"/>
        <v>0</v>
      </c>
      <c r="DR290" s="409">
        <f t="shared" si="344"/>
        <v>0</v>
      </c>
      <c r="DS290" s="409">
        <f t="shared" si="344"/>
        <v>0</v>
      </c>
      <c r="DT290" s="409">
        <f t="shared" si="344"/>
        <v>0</v>
      </c>
      <c r="DU290" s="409">
        <f t="shared" si="344"/>
        <v>0</v>
      </c>
      <c r="DV290" s="409">
        <f t="shared" si="344"/>
        <v>0</v>
      </c>
      <c r="DW290" s="409">
        <f t="shared" si="344"/>
        <v>0</v>
      </c>
      <c r="DX290" s="409">
        <f t="shared" si="344"/>
        <v>0</v>
      </c>
      <c r="DY290" s="409">
        <f t="shared" si="345"/>
        <v>0</v>
      </c>
      <c r="DZ290" s="409">
        <f t="shared" si="345"/>
        <v>0</v>
      </c>
      <c r="EA290" s="409">
        <f t="shared" si="345"/>
        <v>0</v>
      </c>
      <c r="EB290" s="409">
        <f t="shared" si="345"/>
        <v>0</v>
      </c>
      <c r="EC290" s="409">
        <f t="shared" si="345"/>
        <v>0</v>
      </c>
      <c r="ED290" s="409">
        <f t="shared" si="345"/>
        <v>0</v>
      </c>
      <c r="EE290" s="409">
        <f t="shared" si="345"/>
        <v>0</v>
      </c>
      <c r="EF290" s="409">
        <f t="shared" si="345"/>
        <v>0</v>
      </c>
      <c r="EG290" s="409">
        <f t="shared" si="345"/>
        <v>0</v>
      </c>
      <c r="EH290" s="409">
        <f t="shared" si="345"/>
        <v>0</v>
      </c>
      <c r="EI290" s="409">
        <f t="shared" si="346"/>
        <v>0</v>
      </c>
      <c r="EJ290" s="409">
        <f t="shared" si="346"/>
        <v>0</v>
      </c>
      <c r="EK290" s="409">
        <f t="shared" si="346"/>
        <v>0</v>
      </c>
      <c r="EL290" s="409">
        <f t="shared" si="346"/>
        <v>0</v>
      </c>
      <c r="EM290" s="409">
        <f t="shared" si="346"/>
        <v>0</v>
      </c>
      <c r="EN290" s="409">
        <f t="shared" si="346"/>
        <v>0</v>
      </c>
      <c r="EO290" s="409">
        <f t="shared" si="346"/>
        <v>0</v>
      </c>
      <c r="EP290" s="409">
        <f t="shared" si="346"/>
        <v>0</v>
      </c>
      <c r="EQ290" s="409">
        <f t="shared" si="346"/>
        <v>0</v>
      </c>
      <c r="ER290" s="409">
        <f t="shared" si="346"/>
        <v>0</v>
      </c>
      <c r="ES290" s="409">
        <f t="shared" si="347"/>
        <v>0</v>
      </c>
      <c r="ET290" s="409">
        <f t="shared" si="347"/>
        <v>0</v>
      </c>
      <c r="EU290" s="409">
        <f t="shared" si="347"/>
        <v>0</v>
      </c>
      <c r="EV290" s="409">
        <f t="shared" si="347"/>
        <v>0</v>
      </c>
      <c r="EW290" s="409">
        <f t="shared" si="347"/>
        <v>0</v>
      </c>
      <c r="EX290" s="409">
        <f t="shared" si="347"/>
        <v>0</v>
      </c>
      <c r="EY290" s="409">
        <f t="shared" si="347"/>
        <v>0</v>
      </c>
      <c r="EZ290" s="409">
        <f t="shared" si="347"/>
        <v>0</v>
      </c>
      <c r="FA290" s="409">
        <f t="shared" si="347"/>
        <v>0</v>
      </c>
      <c r="FB290" s="409">
        <f t="shared" si="347"/>
        <v>0</v>
      </c>
      <c r="FC290" s="409">
        <f t="shared" si="348"/>
        <v>0</v>
      </c>
      <c r="FD290" s="409">
        <f t="shared" si="348"/>
        <v>0</v>
      </c>
      <c r="FE290" s="409">
        <f t="shared" si="348"/>
        <v>0</v>
      </c>
      <c r="FF290" s="409">
        <f t="shared" si="348"/>
        <v>0</v>
      </c>
      <c r="FG290" s="409">
        <f t="shared" si="348"/>
        <v>0</v>
      </c>
      <c r="FH290" s="409">
        <f t="shared" si="348"/>
        <v>0</v>
      </c>
      <c r="FI290" s="409">
        <f t="shared" si="348"/>
        <v>0</v>
      </c>
      <c r="FJ290" s="409">
        <f t="shared" si="348"/>
        <v>0</v>
      </c>
      <c r="FK290" s="409">
        <f t="shared" si="348"/>
        <v>0</v>
      </c>
      <c r="FL290" s="409">
        <f t="shared" si="348"/>
        <v>0</v>
      </c>
      <c r="FM290" s="409">
        <f t="shared" si="349"/>
        <v>0</v>
      </c>
      <c r="FN290" s="409">
        <f t="shared" si="349"/>
        <v>0</v>
      </c>
      <c r="FO290" s="409">
        <f t="shared" si="349"/>
        <v>0</v>
      </c>
      <c r="FP290" s="409">
        <f t="shared" si="349"/>
        <v>0</v>
      </c>
      <c r="FQ290" s="409">
        <f t="shared" si="349"/>
        <v>0</v>
      </c>
      <c r="FR290" s="409">
        <f t="shared" si="349"/>
        <v>0</v>
      </c>
      <c r="FS290" s="409">
        <f t="shared" si="349"/>
        <v>0</v>
      </c>
      <c r="FT290" s="409">
        <f t="shared" si="349"/>
        <v>0</v>
      </c>
      <c r="FU290" s="409">
        <f t="shared" si="349"/>
        <v>0</v>
      </c>
      <c r="FV290" s="409">
        <f t="shared" si="349"/>
        <v>0</v>
      </c>
      <c r="FW290" s="409">
        <f t="shared" si="350"/>
        <v>0</v>
      </c>
      <c r="FX290" s="409">
        <f t="shared" si="350"/>
        <v>0</v>
      </c>
      <c r="FY290" s="409">
        <f t="shared" si="350"/>
        <v>0</v>
      </c>
      <c r="FZ290" s="409">
        <f t="shared" si="350"/>
        <v>0</v>
      </c>
      <c r="GA290" s="409">
        <f t="shared" si="350"/>
        <v>0</v>
      </c>
      <c r="GB290" s="409">
        <f t="shared" si="350"/>
        <v>0</v>
      </c>
      <c r="GC290" s="409">
        <f t="shared" si="350"/>
        <v>0</v>
      </c>
      <c r="GD290" s="409">
        <f t="shared" si="350"/>
        <v>0</v>
      </c>
      <c r="GE290" s="409">
        <f t="shared" si="350"/>
        <v>0</v>
      </c>
      <c r="GF290" s="409">
        <f t="shared" si="350"/>
        <v>0</v>
      </c>
      <c r="GG290" s="409">
        <f t="shared" si="351"/>
        <v>0</v>
      </c>
      <c r="GH290" s="409">
        <f t="shared" si="351"/>
        <v>0</v>
      </c>
      <c r="GI290" s="409">
        <f t="shared" si="351"/>
        <v>0</v>
      </c>
      <c r="GJ290" s="409">
        <f t="shared" si="351"/>
        <v>0</v>
      </c>
      <c r="GK290" s="409">
        <f t="shared" si="351"/>
        <v>0</v>
      </c>
      <c r="GL290" s="409">
        <f t="shared" si="351"/>
        <v>0</v>
      </c>
      <c r="GM290" s="409">
        <f t="shared" si="351"/>
        <v>0</v>
      </c>
      <c r="GN290" s="409">
        <f t="shared" si="351"/>
        <v>0</v>
      </c>
      <c r="GO290" s="409">
        <f t="shared" si="351"/>
        <v>0</v>
      </c>
      <c r="GP290" s="409">
        <f t="shared" si="351"/>
        <v>0</v>
      </c>
      <c r="GQ290" s="409">
        <f t="shared" si="352"/>
        <v>0</v>
      </c>
      <c r="GR290" s="409">
        <f t="shared" si="352"/>
        <v>0</v>
      </c>
      <c r="GS290" s="409">
        <f t="shared" si="352"/>
        <v>0</v>
      </c>
      <c r="GT290" s="409">
        <f t="shared" si="352"/>
        <v>0</v>
      </c>
      <c r="GU290" s="409">
        <f t="shared" si="352"/>
        <v>0</v>
      </c>
      <c r="GV290" s="409">
        <f t="shared" si="352"/>
        <v>0</v>
      </c>
      <c r="GW290" s="409">
        <f t="shared" si="352"/>
        <v>0</v>
      </c>
      <c r="GX290" s="409">
        <f t="shared" si="352"/>
        <v>0</v>
      </c>
      <c r="GY290" s="409">
        <f t="shared" si="352"/>
        <v>0</v>
      </c>
      <c r="GZ290" s="409">
        <f t="shared" si="352"/>
        <v>0</v>
      </c>
      <c r="HA290" s="409">
        <f t="shared" si="353"/>
        <v>0</v>
      </c>
      <c r="HB290" s="409">
        <f t="shared" si="353"/>
        <v>0</v>
      </c>
      <c r="HC290" s="409">
        <f t="shared" si="353"/>
        <v>0</v>
      </c>
      <c r="HD290" s="409">
        <f t="shared" si="353"/>
        <v>0</v>
      </c>
      <c r="HE290" s="409">
        <f t="shared" si="353"/>
        <v>0</v>
      </c>
      <c r="HF290" s="409">
        <f t="shared" si="353"/>
        <v>0</v>
      </c>
      <c r="HG290" s="409">
        <f t="shared" si="353"/>
        <v>0</v>
      </c>
      <c r="HH290" s="409">
        <f t="shared" si="353"/>
        <v>0</v>
      </c>
      <c r="HI290" s="409">
        <f t="shared" si="353"/>
        <v>0</v>
      </c>
      <c r="HJ290" s="409">
        <f t="shared" si="353"/>
        <v>0</v>
      </c>
      <c r="HK290" s="409">
        <f t="shared" si="354"/>
        <v>0</v>
      </c>
      <c r="HL290" s="409">
        <f t="shared" si="354"/>
        <v>0</v>
      </c>
      <c r="HM290" s="409">
        <f t="shared" si="354"/>
        <v>0</v>
      </c>
      <c r="HN290" s="409">
        <f t="shared" si="354"/>
        <v>0</v>
      </c>
      <c r="HO290" s="409">
        <f t="shared" si="354"/>
        <v>0</v>
      </c>
      <c r="HP290" s="409">
        <f t="shared" si="354"/>
        <v>0</v>
      </c>
      <c r="HQ290" s="409">
        <f t="shared" si="354"/>
        <v>0</v>
      </c>
      <c r="HR290" s="409">
        <f t="shared" si="354"/>
        <v>0</v>
      </c>
      <c r="HS290" s="409">
        <f t="shared" si="354"/>
        <v>0</v>
      </c>
      <c r="HT290" s="409">
        <f t="shared" si="354"/>
        <v>0</v>
      </c>
      <c r="HU290" s="409">
        <f t="shared" si="355"/>
        <v>0</v>
      </c>
      <c r="HV290" s="409">
        <f t="shared" si="355"/>
        <v>0</v>
      </c>
      <c r="HW290" s="409">
        <f t="shared" si="355"/>
        <v>0</v>
      </c>
      <c r="HX290" s="409">
        <f t="shared" si="355"/>
        <v>0</v>
      </c>
      <c r="HY290" s="409">
        <f t="shared" si="355"/>
        <v>0</v>
      </c>
      <c r="HZ290" s="409">
        <f t="shared" si="355"/>
        <v>0</v>
      </c>
      <c r="IA290" s="409">
        <f t="shared" si="355"/>
        <v>0</v>
      </c>
      <c r="IB290" s="409">
        <f t="shared" si="355"/>
        <v>0</v>
      </c>
      <c r="IC290" s="409">
        <f t="shared" si="355"/>
        <v>0</v>
      </c>
      <c r="ID290" s="409">
        <f t="shared" si="355"/>
        <v>0</v>
      </c>
      <c r="IE290" s="409">
        <f t="shared" si="356"/>
        <v>0</v>
      </c>
      <c r="IF290" s="409">
        <f t="shared" si="356"/>
        <v>0</v>
      </c>
      <c r="IG290" s="409">
        <f t="shared" si="356"/>
        <v>0</v>
      </c>
      <c r="IH290" s="409">
        <f t="shared" si="356"/>
        <v>0</v>
      </c>
      <c r="II290" s="409">
        <f t="shared" si="356"/>
        <v>0</v>
      </c>
      <c r="IJ290" s="409">
        <f t="shared" si="356"/>
        <v>0</v>
      </c>
      <c r="IK290" s="378"/>
    </row>
    <row r="291" spans="1:245" hidden="1" x14ac:dyDescent="0.2">
      <c r="A291" s="380" t="str">
        <f t="shared" si="357"/>
        <v>e</v>
      </c>
      <c r="B291" s="712" t="str">
        <f>IF(ISERROR(INDEX('Legend(DX)'!$H$14:$H$15,4)),"",INDEX('Legend(DX)'!$H$14:$H$15,4))</f>
        <v/>
      </c>
      <c r="C291" s="712" t="e">
        <f>IF(INDEX('Legend(DX)'!$T$14:$T$15,4)=0,"See Legend",INDEX('Legend(DX)'!$T$14:$T$15,4))</f>
        <v>#REF!</v>
      </c>
      <c r="D291" s="712" t="e">
        <f>IF(INDEX('Legend(DX)'!$R$14:$R$15,4)=0,"---",INDEX('Legend(DX)'!$R$14:$R$15,4))</f>
        <v>#REF!</v>
      </c>
      <c r="E291" s="713" t="str">
        <f>IF(ISERROR(INDEX('Legend(DX)'!$AA$14:$AA$15,4)),"",INDEX('Legend(DX)'!$AA$14:$AA$15,4))</f>
        <v/>
      </c>
      <c r="F291" s="715"/>
      <c r="G291" s="715"/>
      <c r="H291" s="715"/>
      <c r="I291" s="715"/>
      <c r="J291" s="715"/>
      <c r="K291" s="890">
        <f t="shared" si="358"/>
        <v>0</v>
      </c>
      <c r="L291" s="718"/>
      <c r="M291" s="720"/>
      <c r="N291" s="972">
        <f t="shared" si="330"/>
        <v>-1</v>
      </c>
      <c r="O291" s="972">
        <f t="shared" si="359"/>
        <v>-1</v>
      </c>
      <c r="P291" s="972">
        <f t="shared" si="331"/>
        <v>-1</v>
      </c>
      <c r="Q291" s="972">
        <f t="shared" si="360"/>
        <v>-1</v>
      </c>
      <c r="R291" s="972">
        <f t="shared" si="332"/>
        <v>-1</v>
      </c>
      <c r="S291" s="972">
        <f t="shared" si="361"/>
        <v>-1</v>
      </c>
      <c r="T291" s="972">
        <f t="shared" si="333"/>
        <v>-1</v>
      </c>
      <c r="U291" s="972">
        <f t="shared" si="362"/>
        <v>-1</v>
      </c>
      <c r="V291" s="972">
        <f t="shared" si="334"/>
        <v>-1</v>
      </c>
      <c r="W291" s="972">
        <f t="shared" si="363"/>
        <v>-1</v>
      </c>
      <c r="X291" s="972">
        <f t="shared" si="335"/>
        <v>-1</v>
      </c>
      <c r="Y291" s="972">
        <f t="shared" si="364"/>
        <v>-1</v>
      </c>
      <c r="Z291" s="972">
        <f t="shared" si="365"/>
        <v>-1</v>
      </c>
      <c r="AA291" s="972">
        <f t="shared" si="366"/>
        <v>-1</v>
      </c>
      <c r="AB291" s="972">
        <f t="shared" si="367"/>
        <v>-1</v>
      </c>
      <c r="AC291" s="972">
        <f t="shared" si="368"/>
        <v>-1</v>
      </c>
      <c r="AD291" s="972">
        <f t="shared" si="369"/>
        <v>-1</v>
      </c>
      <c r="AE291" s="972">
        <f t="shared" si="370"/>
        <v>-1</v>
      </c>
      <c r="AF291" s="972">
        <f t="shared" si="371"/>
        <v>-1</v>
      </c>
      <c r="AG291" s="972">
        <f t="shared" si="372"/>
        <v>-1</v>
      </c>
      <c r="AH291" s="972">
        <f t="shared" si="373"/>
        <v>-1</v>
      </c>
      <c r="AI291" s="972">
        <f t="shared" si="374"/>
        <v>-1</v>
      </c>
      <c r="AJ291" s="972">
        <f t="shared" si="375"/>
        <v>-1</v>
      </c>
      <c r="AK291" s="381"/>
      <c r="AL291" s="727" t="str">
        <f t="shared" si="376"/>
        <v/>
      </c>
      <c r="AM291" s="409">
        <f t="shared" si="336"/>
        <v>0</v>
      </c>
      <c r="AN291" s="409">
        <f t="shared" si="336"/>
        <v>0</v>
      </c>
      <c r="AO291" s="409">
        <f t="shared" si="336"/>
        <v>0</v>
      </c>
      <c r="AP291" s="409">
        <f t="shared" si="336"/>
        <v>0</v>
      </c>
      <c r="AQ291" s="409">
        <f t="shared" si="336"/>
        <v>0</v>
      </c>
      <c r="AR291" s="409">
        <f t="shared" si="336"/>
        <v>0</v>
      </c>
      <c r="AS291" s="409">
        <f t="shared" si="336"/>
        <v>0</v>
      </c>
      <c r="AT291" s="409">
        <f t="shared" si="336"/>
        <v>0</v>
      </c>
      <c r="AU291" s="409">
        <f t="shared" si="336"/>
        <v>0</v>
      </c>
      <c r="AV291" s="409">
        <f t="shared" si="336"/>
        <v>0</v>
      </c>
      <c r="AW291" s="409">
        <f t="shared" si="337"/>
        <v>0</v>
      </c>
      <c r="AX291" s="409">
        <f t="shared" si="337"/>
        <v>0</v>
      </c>
      <c r="AY291" s="409">
        <f t="shared" si="337"/>
        <v>0</v>
      </c>
      <c r="AZ291" s="409">
        <f t="shared" si="337"/>
        <v>0</v>
      </c>
      <c r="BA291" s="409">
        <f t="shared" si="337"/>
        <v>0</v>
      </c>
      <c r="BB291" s="409">
        <f t="shared" si="337"/>
        <v>0</v>
      </c>
      <c r="BC291" s="409">
        <f t="shared" si="337"/>
        <v>0</v>
      </c>
      <c r="BD291" s="409">
        <f t="shared" si="337"/>
        <v>0</v>
      </c>
      <c r="BE291" s="409">
        <f t="shared" si="337"/>
        <v>0</v>
      </c>
      <c r="BF291" s="409">
        <f t="shared" si="337"/>
        <v>0</v>
      </c>
      <c r="BG291" s="409">
        <f t="shared" si="338"/>
        <v>0</v>
      </c>
      <c r="BH291" s="409">
        <f t="shared" si="338"/>
        <v>0</v>
      </c>
      <c r="BI291" s="409">
        <f t="shared" si="338"/>
        <v>0</v>
      </c>
      <c r="BJ291" s="409">
        <f t="shared" si="338"/>
        <v>0</v>
      </c>
      <c r="BK291" s="409">
        <f t="shared" si="338"/>
        <v>0</v>
      </c>
      <c r="BL291" s="409">
        <f t="shared" si="338"/>
        <v>0</v>
      </c>
      <c r="BM291" s="409">
        <f t="shared" si="338"/>
        <v>0</v>
      </c>
      <c r="BN291" s="409">
        <f t="shared" si="338"/>
        <v>0</v>
      </c>
      <c r="BO291" s="409">
        <f t="shared" si="338"/>
        <v>0</v>
      </c>
      <c r="BP291" s="409">
        <f t="shared" si="338"/>
        <v>0</v>
      </c>
      <c r="BQ291" s="409">
        <f t="shared" si="339"/>
        <v>0</v>
      </c>
      <c r="BR291" s="409">
        <f t="shared" si="339"/>
        <v>0</v>
      </c>
      <c r="BS291" s="409">
        <f t="shared" si="339"/>
        <v>0</v>
      </c>
      <c r="BT291" s="409">
        <f t="shared" si="339"/>
        <v>0</v>
      </c>
      <c r="BU291" s="409">
        <f t="shared" si="339"/>
        <v>0</v>
      </c>
      <c r="BV291" s="409">
        <f t="shared" si="339"/>
        <v>0</v>
      </c>
      <c r="BW291" s="409">
        <f t="shared" si="339"/>
        <v>0</v>
      </c>
      <c r="BX291" s="409">
        <f t="shared" si="339"/>
        <v>0</v>
      </c>
      <c r="BY291" s="409">
        <f t="shared" si="339"/>
        <v>0</v>
      </c>
      <c r="BZ291" s="409">
        <f t="shared" si="339"/>
        <v>0</v>
      </c>
      <c r="CA291" s="409">
        <f t="shared" si="340"/>
        <v>0</v>
      </c>
      <c r="CB291" s="409">
        <f t="shared" si="340"/>
        <v>0</v>
      </c>
      <c r="CC291" s="409">
        <f t="shared" si="340"/>
        <v>0</v>
      </c>
      <c r="CD291" s="409">
        <f t="shared" si="340"/>
        <v>0</v>
      </c>
      <c r="CE291" s="409">
        <f t="shared" si="340"/>
        <v>0</v>
      </c>
      <c r="CF291" s="409">
        <f t="shared" si="340"/>
        <v>0</v>
      </c>
      <c r="CG291" s="409">
        <f t="shared" si="340"/>
        <v>0</v>
      </c>
      <c r="CH291" s="409">
        <f t="shared" si="340"/>
        <v>0</v>
      </c>
      <c r="CI291" s="409">
        <f t="shared" si="340"/>
        <v>0</v>
      </c>
      <c r="CJ291" s="409">
        <f t="shared" si="340"/>
        <v>0</v>
      </c>
      <c r="CK291" s="409">
        <f t="shared" si="341"/>
        <v>0</v>
      </c>
      <c r="CL291" s="409">
        <f t="shared" si="341"/>
        <v>0</v>
      </c>
      <c r="CM291" s="409">
        <f t="shared" si="341"/>
        <v>0</v>
      </c>
      <c r="CN291" s="409">
        <f t="shared" si="341"/>
        <v>0</v>
      </c>
      <c r="CO291" s="409">
        <f t="shared" si="341"/>
        <v>0</v>
      </c>
      <c r="CP291" s="409">
        <f t="shared" si="341"/>
        <v>0</v>
      </c>
      <c r="CQ291" s="409">
        <f t="shared" si="341"/>
        <v>0</v>
      </c>
      <c r="CR291" s="409">
        <f t="shared" si="341"/>
        <v>0</v>
      </c>
      <c r="CS291" s="409">
        <f t="shared" si="341"/>
        <v>0</v>
      </c>
      <c r="CT291" s="409">
        <f t="shared" si="341"/>
        <v>0</v>
      </c>
      <c r="CU291" s="409">
        <f t="shared" si="342"/>
        <v>0</v>
      </c>
      <c r="CV291" s="409">
        <f t="shared" si="342"/>
        <v>0</v>
      </c>
      <c r="CW291" s="409">
        <f t="shared" si="342"/>
        <v>0</v>
      </c>
      <c r="CX291" s="409">
        <f t="shared" si="342"/>
        <v>0</v>
      </c>
      <c r="CY291" s="409">
        <f t="shared" si="342"/>
        <v>0</v>
      </c>
      <c r="CZ291" s="409">
        <f t="shared" si="342"/>
        <v>0</v>
      </c>
      <c r="DA291" s="409">
        <f t="shared" si="342"/>
        <v>0</v>
      </c>
      <c r="DB291" s="409">
        <f t="shared" si="342"/>
        <v>0</v>
      </c>
      <c r="DC291" s="409">
        <f t="shared" si="342"/>
        <v>0</v>
      </c>
      <c r="DD291" s="409">
        <f t="shared" si="342"/>
        <v>0</v>
      </c>
      <c r="DE291" s="409">
        <f t="shared" si="343"/>
        <v>0</v>
      </c>
      <c r="DF291" s="409">
        <f t="shared" si="343"/>
        <v>0</v>
      </c>
      <c r="DG291" s="409">
        <f t="shared" si="343"/>
        <v>0</v>
      </c>
      <c r="DH291" s="409">
        <f t="shared" si="343"/>
        <v>0</v>
      </c>
      <c r="DI291" s="409">
        <f t="shared" si="343"/>
        <v>0</v>
      </c>
      <c r="DJ291" s="409">
        <f t="shared" si="343"/>
        <v>0</v>
      </c>
      <c r="DK291" s="409">
        <f t="shared" si="343"/>
        <v>0</v>
      </c>
      <c r="DL291" s="409">
        <f t="shared" si="343"/>
        <v>0</v>
      </c>
      <c r="DM291" s="409">
        <f t="shared" si="343"/>
        <v>0</v>
      </c>
      <c r="DN291" s="409">
        <f t="shared" si="343"/>
        <v>0</v>
      </c>
      <c r="DO291" s="409">
        <f t="shared" si="344"/>
        <v>0</v>
      </c>
      <c r="DP291" s="409">
        <f t="shared" si="344"/>
        <v>0</v>
      </c>
      <c r="DQ291" s="409">
        <f t="shared" si="344"/>
        <v>0</v>
      </c>
      <c r="DR291" s="409">
        <f t="shared" si="344"/>
        <v>0</v>
      </c>
      <c r="DS291" s="409">
        <f t="shared" si="344"/>
        <v>0</v>
      </c>
      <c r="DT291" s="409">
        <f t="shared" si="344"/>
        <v>0</v>
      </c>
      <c r="DU291" s="409">
        <f t="shared" si="344"/>
        <v>0</v>
      </c>
      <c r="DV291" s="409">
        <f t="shared" si="344"/>
        <v>0</v>
      </c>
      <c r="DW291" s="409">
        <f t="shared" si="344"/>
        <v>0</v>
      </c>
      <c r="DX291" s="409">
        <f t="shared" si="344"/>
        <v>0</v>
      </c>
      <c r="DY291" s="409">
        <f t="shared" si="345"/>
        <v>0</v>
      </c>
      <c r="DZ291" s="409">
        <f t="shared" si="345"/>
        <v>0</v>
      </c>
      <c r="EA291" s="409">
        <f t="shared" si="345"/>
        <v>0</v>
      </c>
      <c r="EB291" s="409">
        <f t="shared" si="345"/>
        <v>0</v>
      </c>
      <c r="EC291" s="409">
        <f t="shared" si="345"/>
        <v>0</v>
      </c>
      <c r="ED291" s="409">
        <f t="shared" si="345"/>
        <v>0</v>
      </c>
      <c r="EE291" s="409">
        <f t="shared" si="345"/>
        <v>0</v>
      </c>
      <c r="EF291" s="409">
        <f t="shared" si="345"/>
        <v>0</v>
      </c>
      <c r="EG291" s="409">
        <f t="shared" si="345"/>
        <v>0</v>
      </c>
      <c r="EH291" s="409">
        <f t="shared" si="345"/>
        <v>0</v>
      </c>
      <c r="EI291" s="409">
        <f t="shared" si="346"/>
        <v>0</v>
      </c>
      <c r="EJ291" s="409">
        <f t="shared" si="346"/>
        <v>0</v>
      </c>
      <c r="EK291" s="409">
        <f t="shared" si="346"/>
        <v>0</v>
      </c>
      <c r="EL291" s="409">
        <f t="shared" si="346"/>
        <v>0</v>
      </c>
      <c r="EM291" s="409">
        <f t="shared" si="346"/>
        <v>0</v>
      </c>
      <c r="EN291" s="409">
        <f t="shared" si="346"/>
        <v>0</v>
      </c>
      <c r="EO291" s="409">
        <f t="shared" si="346"/>
        <v>0</v>
      </c>
      <c r="EP291" s="409">
        <f t="shared" si="346"/>
        <v>0</v>
      </c>
      <c r="EQ291" s="409">
        <f t="shared" si="346"/>
        <v>0</v>
      </c>
      <c r="ER291" s="409">
        <f t="shared" si="346"/>
        <v>0</v>
      </c>
      <c r="ES291" s="409">
        <f t="shared" si="347"/>
        <v>0</v>
      </c>
      <c r="ET291" s="409">
        <f t="shared" si="347"/>
        <v>0</v>
      </c>
      <c r="EU291" s="409">
        <f t="shared" si="347"/>
        <v>0</v>
      </c>
      <c r="EV291" s="409">
        <f t="shared" si="347"/>
        <v>0</v>
      </c>
      <c r="EW291" s="409">
        <f t="shared" si="347"/>
        <v>0</v>
      </c>
      <c r="EX291" s="409">
        <f t="shared" si="347"/>
        <v>0</v>
      </c>
      <c r="EY291" s="409">
        <f t="shared" si="347"/>
        <v>0</v>
      </c>
      <c r="EZ291" s="409">
        <f t="shared" si="347"/>
        <v>0</v>
      </c>
      <c r="FA291" s="409">
        <f t="shared" si="347"/>
        <v>0</v>
      </c>
      <c r="FB291" s="409">
        <f t="shared" si="347"/>
        <v>0</v>
      </c>
      <c r="FC291" s="409">
        <f t="shared" si="348"/>
        <v>0</v>
      </c>
      <c r="FD291" s="409">
        <f t="shared" si="348"/>
        <v>0</v>
      </c>
      <c r="FE291" s="409">
        <f t="shared" si="348"/>
        <v>0</v>
      </c>
      <c r="FF291" s="409">
        <f t="shared" si="348"/>
        <v>0</v>
      </c>
      <c r="FG291" s="409">
        <f t="shared" si="348"/>
        <v>0</v>
      </c>
      <c r="FH291" s="409">
        <f t="shared" si="348"/>
        <v>0</v>
      </c>
      <c r="FI291" s="409">
        <f t="shared" si="348"/>
        <v>0</v>
      </c>
      <c r="FJ291" s="409">
        <f t="shared" si="348"/>
        <v>0</v>
      </c>
      <c r="FK291" s="409">
        <f t="shared" si="348"/>
        <v>0</v>
      </c>
      <c r="FL291" s="409">
        <f t="shared" si="348"/>
        <v>0</v>
      </c>
      <c r="FM291" s="409">
        <f t="shared" si="349"/>
        <v>0</v>
      </c>
      <c r="FN291" s="409">
        <f t="shared" si="349"/>
        <v>0</v>
      </c>
      <c r="FO291" s="409">
        <f t="shared" si="349"/>
        <v>0</v>
      </c>
      <c r="FP291" s="409">
        <f t="shared" si="349"/>
        <v>0</v>
      </c>
      <c r="FQ291" s="409">
        <f t="shared" si="349"/>
        <v>0</v>
      </c>
      <c r="FR291" s="409">
        <f t="shared" si="349"/>
        <v>0</v>
      </c>
      <c r="FS291" s="409">
        <f t="shared" si="349"/>
        <v>0</v>
      </c>
      <c r="FT291" s="409">
        <f t="shared" si="349"/>
        <v>0</v>
      </c>
      <c r="FU291" s="409">
        <f t="shared" si="349"/>
        <v>0</v>
      </c>
      <c r="FV291" s="409">
        <f t="shared" si="349"/>
        <v>0</v>
      </c>
      <c r="FW291" s="409">
        <f t="shared" si="350"/>
        <v>0</v>
      </c>
      <c r="FX291" s="409">
        <f t="shared" si="350"/>
        <v>0</v>
      </c>
      <c r="FY291" s="409">
        <f t="shared" si="350"/>
        <v>0</v>
      </c>
      <c r="FZ291" s="409">
        <f t="shared" si="350"/>
        <v>0</v>
      </c>
      <c r="GA291" s="409">
        <f t="shared" si="350"/>
        <v>0</v>
      </c>
      <c r="GB291" s="409">
        <f t="shared" si="350"/>
        <v>0</v>
      </c>
      <c r="GC291" s="409">
        <f t="shared" si="350"/>
        <v>0</v>
      </c>
      <c r="GD291" s="409">
        <f t="shared" si="350"/>
        <v>0</v>
      </c>
      <c r="GE291" s="409">
        <f t="shared" si="350"/>
        <v>0</v>
      </c>
      <c r="GF291" s="409">
        <f t="shared" si="350"/>
        <v>0</v>
      </c>
      <c r="GG291" s="409">
        <f t="shared" si="351"/>
        <v>0</v>
      </c>
      <c r="GH291" s="409">
        <f t="shared" si="351"/>
        <v>0</v>
      </c>
      <c r="GI291" s="409">
        <f t="shared" si="351"/>
        <v>0</v>
      </c>
      <c r="GJ291" s="409">
        <f t="shared" si="351"/>
        <v>0</v>
      </c>
      <c r="GK291" s="409">
        <f t="shared" si="351"/>
        <v>0</v>
      </c>
      <c r="GL291" s="409">
        <f t="shared" si="351"/>
        <v>0</v>
      </c>
      <c r="GM291" s="409">
        <f t="shared" si="351"/>
        <v>0</v>
      </c>
      <c r="GN291" s="409">
        <f t="shared" si="351"/>
        <v>0</v>
      </c>
      <c r="GO291" s="409">
        <f t="shared" si="351"/>
        <v>0</v>
      </c>
      <c r="GP291" s="409">
        <f t="shared" si="351"/>
        <v>0</v>
      </c>
      <c r="GQ291" s="409">
        <f t="shared" si="352"/>
        <v>0</v>
      </c>
      <c r="GR291" s="409">
        <f t="shared" si="352"/>
        <v>0</v>
      </c>
      <c r="GS291" s="409">
        <f t="shared" si="352"/>
        <v>0</v>
      </c>
      <c r="GT291" s="409">
        <f t="shared" si="352"/>
        <v>0</v>
      </c>
      <c r="GU291" s="409">
        <f t="shared" si="352"/>
        <v>0</v>
      </c>
      <c r="GV291" s="409">
        <f t="shared" si="352"/>
        <v>0</v>
      </c>
      <c r="GW291" s="409">
        <f t="shared" si="352"/>
        <v>0</v>
      </c>
      <c r="GX291" s="409">
        <f t="shared" si="352"/>
        <v>0</v>
      </c>
      <c r="GY291" s="409">
        <f t="shared" si="352"/>
        <v>0</v>
      </c>
      <c r="GZ291" s="409">
        <f t="shared" si="352"/>
        <v>0</v>
      </c>
      <c r="HA291" s="409">
        <f t="shared" si="353"/>
        <v>0</v>
      </c>
      <c r="HB291" s="409">
        <f t="shared" si="353"/>
        <v>0</v>
      </c>
      <c r="HC291" s="409">
        <f t="shared" si="353"/>
        <v>0</v>
      </c>
      <c r="HD291" s="409">
        <f t="shared" si="353"/>
        <v>0</v>
      </c>
      <c r="HE291" s="409">
        <f t="shared" si="353"/>
        <v>0</v>
      </c>
      <c r="HF291" s="409">
        <f t="shared" si="353"/>
        <v>0</v>
      </c>
      <c r="HG291" s="409">
        <f t="shared" si="353"/>
        <v>0</v>
      </c>
      <c r="HH291" s="409">
        <f t="shared" si="353"/>
        <v>0</v>
      </c>
      <c r="HI291" s="409">
        <f t="shared" si="353"/>
        <v>0</v>
      </c>
      <c r="HJ291" s="409">
        <f t="shared" si="353"/>
        <v>0</v>
      </c>
      <c r="HK291" s="409">
        <f t="shared" si="354"/>
        <v>0</v>
      </c>
      <c r="HL291" s="409">
        <f t="shared" si="354"/>
        <v>0</v>
      </c>
      <c r="HM291" s="409">
        <f t="shared" si="354"/>
        <v>0</v>
      </c>
      <c r="HN291" s="409">
        <f t="shared" si="354"/>
        <v>0</v>
      </c>
      <c r="HO291" s="409">
        <f t="shared" si="354"/>
        <v>0</v>
      </c>
      <c r="HP291" s="409">
        <f t="shared" si="354"/>
        <v>0</v>
      </c>
      <c r="HQ291" s="409">
        <f t="shared" si="354"/>
        <v>0</v>
      </c>
      <c r="HR291" s="409">
        <f t="shared" si="354"/>
        <v>0</v>
      </c>
      <c r="HS291" s="409">
        <f t="shared" si="354"/>
        <v>0</v>
      </c>
      <c r="HT291" s="409">
        <f t="shared" si="354"/>
        <v>0</v>
      </c>
      <c r="HU291" s="409">
        <f t="shared" si="355"/>
        <v>0</v>
      </c>
      <c r="HV291" s="409">
        <f t="shared" si="355"/>
        <v>0</v>
      </c>
      <c r="HW291" s="409">
        <f t="shared" si="355"/>
        <v>0</v>
      </c>
      <c r="HX291" s="409">
        <f t="shared" si="355"/>
        <v>0</v>
      </c>
      <c r="HY291" s="409">
        <f t="shared" si="355"/>
        <v>0</v>
      </c>
      <c r="HZ291" s="409">
        <f t="shared" si="355"/>
        <v>0</v>
      </c>
      <c r="IA291" s="409">
        <f t="shared" si="355"/>
        <v>0</v>
      </c>
      <c r="IB291" s="409">
        <f t="shared" si="355"/>
        <v>0</v>
      </c>
      <c r="IC291" s="409">
        <f t="shared" si="355"/>
        <v>0</v>
      </c>
      <c r="ID291" s="409">
        <f t="shared" si="355"/>
        <v>0</v>
      </c>
      <c r="IE291" s="409">
        <f t="shared" si="356"/>
        <v>0</v>
      </c>
      <c r="IF291" s="409">
        <f t="shared" si="356"/>
        <v>0</v>
      </c>
      <c r="IG291" s="409">
        <f t="shared" si="356"/>
        <v>0</v>
      </c>
      <c r="IH291" s="409">
        <f t="shared" si="356"/>
        <v>0</v>
      </c>
      <c r="II291" s="409">
        <f t="shared" si="356"/>
        <v>0</v>
      </c>
      <c r="IJ291" s="409">
        <f t="shared" si="356"/>
        <v>0</v>
      </c>
      <c r="IK291" s="378"/>
    </row>
    <row r="292" spans="1:245" hidden="1" x14ac:dyDescent="0.2">
      <c r="A292" s="380" t="str">
        <f t="shared" ref="A292:A311" si="377">IF(ISERROR(C292),"e",IF(OR(E292=0,B292=""),"x",""))</f>
        <v>e</v>
      </c>
      <c r="B292" s="712" t="str">
        <f>IF(ISERROR(INDEX('Legend(DX)'!$H$14:$H$15,5)),"",INDEX('Legend(DX)'!$H$14:$H$15,5))</f>
        <v/>
      </c>
      <c r="C292" s="712" t="e">
        <f>IF(INDEX('Legend(DX)'!$T$14:$T$15,5)=0,"See Legend",INDEX('Legend(DX)'!$T$14:$T$15,5))</f>
        <v>#REF!</v>
      </c>
      <c r="D292" s="712" t="e">
        <f>IF(INDEX('Legend(DX)'!$R$14:$R$15,5)=0,"---",INDEX('Legend(DX)'!$R$14:$R$15,5))</f>
        <v>#REF!</v>
      </c>
      <c r="E292" s="713" t="str">
        <f>IF(ISERROR(INDEX('Legend(DX)'!$AA$14:$AA$15,5)),"",INDEX('Legend(DX)'!$AA$14:$AA$15,5))</f>
        <v/>
      </c>
      <c r="F292" s="715"/>
      <c r="G292" s="715"/>
      <c r="H292" s="715"/>
      <c r="I292" s="715"/>
      <c r="J292" s="715"/>
      <c r="K292" s="890">
        <f t="shared" si="358"/>
        <v>0</v>
      </c>
      <c r="L292" s="718"/>
      <c r="M292" s="720"/>
      <c r="N292" s="972">
        <f t="shared" si="330"/>
        <v>-1</v>
      </c>
      <c r="O292" s="972">
        <f t="shared" ref="O292:O311" si="378">IF($F292&lt;2,-1,IF(M292+TIME((24/$F292),0,0)&gt;1,MROUND(M292-1+TIME((24/$F292),0,0),"0:01"),MROUND(M292+TIME((24/$F292),0,0),"0:01")))</f>
        <v>-1</v>
      </c>
      <c r="P292" s="972">
        <f t="shared" si="331"/>
        <v>-1</v>
      </c>
      <c r="Q292" s="972">
        <f t="shared" ref="Q292:Q311" si="379">IF($F292&lt;3,-1,IF(O292+TIME((24/$F292),0,0)&gt;1,MROUND(O292-1+TIME((24/$F292),0,0),"0:01"),MROUND(O292+TIME((24/$F292),0,0),"0:01")))</f>
        <v>-1</v>
      </c>
      <c r="R292" s="972">
        <f t="shared" si="332"/>
        <v>-1</v>
      </c>
      <c r="S292" s="972">
        <f t="shared" ref="S292:S311" si="380">IF($F292&lt;4,-1,IF(Q292+TIME((24/$F292),0,0)&gt;1,MROUND(Q292-1+TIME((24/$F292),0,0),"0:01"),MROUND(Q292+TIME((24/$F292),0,0),"0:01")))</f>
        <v>-1</v>
      </c>
      <c r="T292" s="972">
        <f t="shared" si="333"/>
        <v>-1</v>
      </c>
      <c r="U292" s="972">
        <f t="shared" ref="U292:U311" si="381">IF($F292&lt;5,-1,IF(S292+TIME((24/$F292),0,0)&gt;1,MROUND(S292-1+TIME((24/$F292),0,0),"0:01"),MROUND(S292+TIME((24/$F292),0,0),"0:01")))</f>
        <v>-1</v>
      </c>
      <c r="V292" s="972">
        <f t="shared" si="334"/>
        <v>-1</v>
      </c>
      <c r="W292" s="972">
        <f t="shared" ref="W292:W311" si="382">IF($F292&lt;6,-1,IF(U292+TIME((24/$F292),0,0)&gt;1,MROUND(U292-1+TIME((24/$F292),0,0),"0:01"),MROUND(U292+TIME((24/$F292),0,0),"0:01")))</f>
        <v>-1</v>
      </c>
      <c r="X292" s="972">
        <f t="shared" si="335"/>
        <v>-1</v>
      </c>
      <c r="Y292" s="972">
        <f t="shared" si="364"/>
        <v>-1</v>
      </c>
      <c r="Z292" s="972">
        <f t="shared" si="365"/>
        <v>-1</v>
      </c>
      <c r="AA292" s="972">
        <f t="shared" si="366"/>
        <v>-1</v>
      </c>
      <c r="AB292" s="972">
        <f t="shared" si="367"/>
        <v>-1</v>
      </c>
      <c r="AC292" s="972">
        <f t="shared" si="368"/>
        <v>-1</v>
      </c>
      <c r="AD292" s="972">
        <f t="shared" si="369"/>
        <v>-1</v>
      </c>
      <c r="AE292" s="972">
        <f t="shared" si="370"/>
        <v>-1</v>
      </c>
      <c r="AF292" s="972">
        <f t="shared" si="371"/>
        <v>-1</v>
      </c>
      <c r="AG292" s="972">
        <f t="shared" si="372"/>
        <v>-1</v>
      </c>
      <c r="AH292" s="972">
        <f t="shared" si="373"/>
        <v>-1</v>
      </c>
      <c r="AI292" s="972">
        <f t="shared" si="374"/>
        <v>-1</v>
      </c>
      <c r="AJ292" s="972">
        <f t="shared" si="375"/>
        <v>-1</v>
      </c>
      <c r="AK292" s="381"/>
      <c r="AL292" s="727" t="str">
        <f t="shared" ref="AL292:AL311" si="383">B292</f>
        <v/>
      </c>
      <c r="AM292" s="409">
        <f t="shared" si="336"/>
        <v>0</v>
      </c>
      <c r="AN292" s="409">
        <f t="shared" si="336"/>
        <v>0</v>
      </c>
      <c r="AO292" s="409">
        <f t="shared" si="336"/>
        <v>0</v>
      </c>
      <c r="AP292" s="409">
        <f t="shared" si="336"/>
        <v>0</v>
      </c>
      <c r="AQ292" s="409">
        <f t="shared" si="336"/>
        <v>0</v>
      </c>
      <c r="AR292" s="409">
        <f t="shared" si="336"/>
        <v>0</v>
      </c>
      <c r="AS292" s="409">
        <f t="shared" si="336"/>
        <v>0</v>
      </c>
      <c r="AT292" s="409">
        <f t="shared" si="336"/>
        <v>0</v>
      </c>
      <c r="AU292" s="409">
        <f t="shared" si="336"/>
        <v>0</v>
      </c>
      <c r="AV292" s="409">
        <f t="shared" si="336"/>
        <v>0</v>
      </c>
      <c r="AW292" s="409">
        <f t="shared" si="337"/>
        <v>0</v>
      </c>
      <c r="AX292" s="409">
        <f t="shared" si="337"/>
        <v>0</v>
      </c>
      <c r="AY292" s="409">
        <f t="shared" si="337"/>
        <v>0</v>
      </c>
      <c r="AZ292" s="409">
        <f t="shared" si="337"/>
        <v>0</v>
      </c>
      <c r="BA292" s="409">
        <f t="shared" si="337"/>
        <v>0</v>
      </c>
      <c r="BB292" s="409">
        <f t="shared" si="337"/>
        <v>0</v>
      </c>
      <c r="BC292" s="409">
        <f t="shared" si="337"/>
        <v>0</v>
      </c>
      <c r="BD292" s="409">
        <f t="shared" si="337"/>
        <v>0</v>
      </c>
      <c r="BE292" s="409">
        <f t="shared" si="337"/>
        <v>0</v>
      </c>
      <c r="BF292" s="409">
        <f t="shared" si="337"/>
        <v>0</v>
      </c>
      <c r="BG292" s="409">
        <f t="shared" si="338"/>
        <v>0</v>
      </c>
      <c r="BH292" s="409">
        <f t="shared" si="338"/>
        <v>0</v>
      </c>
      <c r="BI292" s="409">
        <f t="shared" si="338"/>
        <v>0</v>
      </c>
      <c r="BJ292" s="409">
        <f t="shared" si="338"/>
        <v>0</v>
      </c>
      <c r="BK292" s="409">
        <f t="shared" si="338"/>
        <v>0</v>
      </c>
      <c r="BL292" s="409">
        <f t="shared" si="338"/>
        <v>0</v>
      </c>
      <c r="BM292" s="409">
        <f t="shared" si="338"/>
        <v>0</v>
      </c>
      <c r="BN292" s="409">
        <f t="shared" si="338"/>
        <v>0</v>
      </c>
      <c r="BO292" s="409">
        <f t="shared" si="338"/>
        <v>0</v>
      </c>
      <c r="BP292" s="409">
        <f t="shared" si="338"/>
        <v>0</v>
      </c>
      <c r="BQ292" s="409">
        <f t="shared" si="339"/>
        <v>0</v>
      </c>
      <c r="BR292" s="409">
        <f t="shared" si="339"/>
        <v>0</v>
      </c>
      <c r="BS292" s="409">
        <f t="shared" si="339"/>
        <v>0</v>
      </c>
      <c r="BT292" s="409">
        <f t="shared" si="339"/>
        <v>0</v>
      </c>
      <c r="BU292" s="409">
        <f t="shared" si="339"/>
        <v>0</v>
      </c>
      <c r="BV292" s="409">
        <f t="shared" si="339"/>
        <v>0</v>
      </c>
      <c r="BW292" s="409">
        <f t="shared" si="339"/>
        <v>0</v>
      </c>
      <c r="BX292" s="409">
        <f t="shared" si="339"/>
        <v>0</v>
      </c>
      <c r="BY292" s="409">
        <f t="shared" si="339"/>
        <v>0</v>
      </c>
      <c r="BZ292" s="409">
        <f t="shared" si="339"/>
        <v>0</v>
      </c>
      <c r="CA292" s="409">
        <f t="shared" si="340"/>
        <v>0</v>
      </c>
      <c r="CB292" s="409">
        <f t="shared" si="340"/>
        <v>0</v>
      </c>
      <c r="CC292" s="409">
        <f t="shared" si="340"/>
        <v>0</v>
      </c>
      <c r="CD292" s="409">
        <f t="shared" si="340"/>
        <v>0</v>
      </c>
      <c r="CE292" s="409">
        <f t="shared" si="340"/>
        <v>0</v>
      </c>
      <c r="CF292" s="409">
        <f t="shared" si="340"/>
        <v>0</v>
      </c>
      <c r="CG292" s="409">
        <f t="shared" si="340"/>
        <v>0</v>
      </c>
      <c r="CH292" s="409">
        <f t="shared" si="340"/>
        <v>0</v>
      </c>
      <c r="CI292" s="409">
        <f t="shared" si="340"/>
        <v>0</v>
      </c>
      <c r="CJ292" s="409">
        <f t="shared" si="340"/>
        <v>0</v>
      </c>
      <c r="CK292" s="409">
        <f t="shared" si="341"/>
        <v>0</v>
      </c>
      <c r="CL292" s="409">
        <f t="shared" si="341"/>
        <v>0</v>
      </c>
      <c r="CM292" s="409">
        <f t="shared" si="341"/>
        <v>0</v>
      </c>
      <c r="CN292" s="409">
        <f t="shared" si="341"/>
        <v>0</v>
      </c>
      <c r="CO292" s="409">
        <f t="shared" si="341"/>
        <v>0</v>
      </c>
      <c r="CP292" s="409">
        <f t="shared" si="341"/>
        <v>0</v>
      </c>
      <c r="CQ292" s="409">
        <f t="shared" si="341"/>
        <v>0</v>
      </c>
      <c r="CR292" s="409">
        <f t="shared" si="341"/>
        <v>0</v>
      </c>
      <c r="CS292" s="409">
        <f t="shared" si="341"/>
        <v>0</v>
      </c>
      <c r="CT292" s="409">
        <f t="shared" si="341"/>
        <v>0</v>
      </c>
      <c r="CU292" s="409">
        <f t="shared" si="342"/>
        <v>0</v>
      </c>
      <c r="CV292" s="409">
        <f t="shared" si="342"/>
        <v>0</v>
      </c>
      <c r="CW292" s="409">
        <f t="shared" si="342"/>
        <v>0</v>
      </c>
      <c r="CX292" s="409">
        <f t="shared" si="342"/>
        <v>0</v>
      </c>
      <c r="CY292" s="409">
        <f t="shared" si="342"/>
        <v>0</v>
      </c>
      <c r="CZ292" s="409">
        <f t="shared" si="342"/>
        <v>0</v>
      </c>
      <c r="DA292" s="409">
        <f t="shared" si="342"/>
        <v>0</v>
      </c>
      <c r="DB292" s="409">
        <f t="shared" si="342"/>
        <v>0</v>
      </c>
      <c r="DC292" s="409">
        <f t="shared" si="342"/>
        <v>0</v>
      </c>
      <c r="DD292" s="409">
        <f t="shared" si="342"/>
        <v>0</v>
      </c>
      <c r="DE292" s="409">
        <f t="shared" si="343"/>
        <v>0</v>
      </c>
      <c r="DF292" s="409">
        <f t="shared" si="343"/>
        <v>0</v>
      </c>
      <c r="DG292" s="409">
        <f t="shared" si="343"/>
        <v>0</v>
      </c>
      <c r="DH292" s="409">
        <f t="shared" si="343"/>
        <v>0</v>
      </c>
      <c r="DI292" s="409">
        <f t="shared" si="343"/>
        <v>0</v>
      </c>
      <c r="DJ292" s="409">
        <f t="shared" si="343"/>
        <v>0</v>
      </c>
      <c r="DK292" s="409">
        <f t="shared" si="343"/>
        <v>0</v>
      </c>
      <c r="DL292" s="409">
        <f t="shared" si="343"/>
        <v>0</v>
      </c>
      <c r="DM292" s="409">
        <f t="shared" si="343"/>
        <v>0</v>
      </c>
      <c r="DN292" s="409">
        <f t="shared" si="343"/>
        <v>0</v>
      </c>
      <c r="DO292" s="409">
        <f t="shared" si="344"/>
        <v>0</v>
      </c>
      <c r="DP292" s="409">
        <f t="shared" si="344"/>
        <v>0</v>
      </c>
      <c r="DQ292" s="409">
        <f t="shared" si="344"/>
        <v>0</v>
      </c>
      <c r="DR292" s="409">
        <f t="shared" si="344"/>
        <v>0</v>
      </c>
      <c r="DS292" s="409">
        <f t="shared" si="344"/>
        <v>0</v>
      </c>
      <c r="DT292" s="409">
        <f t="shared" si="344"/>
        <v>0</v>
      </c>
      <c r="DU292" s="409">
        <f t="shared" si="344"/>
        <v>0</v>
      </c>
      <c r="DV292" s="409">
        <f t="shared" si="344"/>
        <v>0</v>
      </c>
      <c r="DW292" s="409">
        <f t="shared" si="344"/>
        <v>0</v>
      </c>
      <c r="DX292" s="409">
        <f t="shared" si="344"/>
        <v>0</v>
      </c>
      <c r="DY292" s="409">
        <f t="shared" si="345"/>
        <v>0</v>
      </c>
      <c r="DZ292" s="409">
        <f t="shared" si="345"/>
        <v>0</v>
      </c>
      <c r="EA292" s="409">
        <f t="shared" si="345"/>
        <v>0</v>
      </c>
      <c r="EB292" s="409">
        <f t="shared" si="345"/>
        <v>0</v>
      </c>
      <c r="EC292" s="409">
        <f t="shared" si="345"/>
        <v>0</v>
      </c>
      <c r="ED292" s="409">
        <f t="shared" si="345"/>
        <v>0</v>
      </c>
      <c r="EE292" s="409">
        <f t="shared" si="345"/>
        <v>0</v>
      </c>
      <c r="EF292" s="409">
        <f t="shared" si="345"/>
        <v>0</v>
      </c>
      <c r="EG292" s="409">
        <f t="shared" si="345"/>
        <v>0</v>
      </c>
      <c r="EH292" s="409">
        <f t="shared" si="345"/>
        <v>0</v>
      </c>
      <c r="EI292" s="409">
        <f t="shared" si="346"/>
        <v>0</v>
      </c>
      <c r="EJ292" s="409">
        <f t="shared" si="346"/>
        <v>0</v>
      </c>
      <c r="EK292" s="409">
        <f t="shared" si="346"/>
        <v>0</v>
      </c>
      <c r="EL292" s="409">
        <f t="shared" si="346"/>
        <v>0</v>
      </c>
      <c r="EM292" s="409">
        <f t="shared" si="346"/>
        <v>0</v>
      </c>
      <c r="EN292" s="409">
        <f t="shared" si="346"/>
        <v>0</v>
      </c>
      <c r="EO292" s="409">
        <f t="shared" si="346"/>
        <v>0</v>
      </c>
      <c r="EP292" s="409">
        <f t="shared" si="346"/>
        <v>0</v>
      </c>
      <c r="EQ292" s="409">
        <f t="shared" si="346"/>
        <v>0</v>
      </c>
      <c r="ER292" s="409">
        <f t="shared" si="346"/>
        <v>0</v>
      </c>
      <c r="ES292" s="409">
        <f t="shared" si="347"/>
        <v>0</v>
      </c>
      <c r="ET292" s="409">
        <f t="shared" si="347"/>
        <v>0</v>
      </c>
      <c r="EU292" s="409">
        <f t="shared" si="347"/>
        <v>0</v>
      </c>
      <c r="EV292" s="409">
        <f t="shared" si="347"/>
        <v>0</v>
      </c>
      <c r="EW292" s="409">
        <f t="shared" si="347"/>
        <v>0</v>
      </c>
      <c r="EX292" s="409">
        <f t="shared" si="347"/>
        <v>0</v>
      </c>
      <c r="EY292" s="409">
        <f t="shared" si="347"/>
        <v>0</v>
      </c>
      <c r="EZ292" s="409">
        <f t="shared" si="347"/>
        <v>0</v>
      </c>
      <c r="FA292" s="409">
        <f t="shared" si="347"/>
        <v>0</v>
      </c>
      <c r="FB292" s="409">
        <f t="shared" si="347"/>
        <v>0</v>
      </c>
      <c r="FC292" s="409">
        <f t="shared" si="348"/>
        <v>0</v>
      </c>
      <c r="FD292" s="409">
        <f t="shared" si="348"/>
        <v>0</v>
      </c>
      <c r="FE292" s="409">
        <f t="shared" si="348"/>
        <v>0</v>
      </c>
      <c r="FF292" s="409">
        <f t="shared" si="348"/>
        <v>0</v>
      </c>
      <c r="FG292" s="409">
        <f t="shared" si="348"/>
        <v>0</v>
      </c>
      <c r="FH292" s="409">
        <f t="shared" si="348"/>
        <v>0</v>
      </c>
      <c r="FI292" s="409">
        <f t="shared" si="348"/>
        <v>0</v>
      </c>
      <c r="FJ292" s="409">
        <f t="shared" si="348"/>
        <v>0</v>
      </c>
      <c r="FK292" s="409">
        <f t="shared" si="348"/>
        <v>0</v>
      </c>
      <c r="FL292" s="409">
        <f t="shared" si="348"/>
        <v>0</v>
      </c>
      <c r="FM292" s="409">
        <f t="shared" si="349"/>
        <v>0</v>
      </c>
      <c r="FN292" s="409">
        <f t="shared" si="349"/>
        <v>0</v>
      </c>
      <c r="FO292" s="409">
        <f t="shared" si="349"/>
        <v>0</v>
      </c>
      <c r="FP292" s="409">
        <f t="shared" si="349"/>
        <v>0</v>
      </c>
      <c r="FQ292" s="409">
        <f t="shared" si="349"/>
        <v>0</v>
      </c>
      <c r="FR292" s="409">
        <f t="shared" si="349"/>
        <v>0</v>
      </c>
      <c r="FS292" s="409">
        <f t="shared" si="349"/>
        <v>0</v>
      </c>
      <c r="FT292" s="409">
        <f t="shared" si="349"/>
        <v>0</v>
      </c>
      <c r="FU292" s="409">
        <f t="shared" si="349"/>
        <v>0</v>
      </c>
      <c r="FV292" s="409">
        <f t="shared" si="349"/>
        <v>0</v>
      </c>
      <c r="FW292" s="409">
        <f t="shared" si="350"/>
        <v>0</v>
      </c>
      <c r="FX292" s="409">
        <f t="shared" si="350"/>
        <v>0</v>
      </c>
      <c r="FY292" s="409">
        <f t="shared" si="350"/>
        <v>0</v>
      </c>
      <c r="FZ292" s="409">
        <f t="shared" si="350"/>
        <v>0</v>
      </c>
      <c r="GA292" s="409">
        <f t="shared" si="350"/>
        <v>0</v>
      </c>
      <c r="GB292" s="409">
        <f t="shared" si="350"/>
        <v>0</v>
      </c>
      <c r="GC292" s="409">
        <f t="shared" si="350"/>
        <v>0</v>
      </c>
      <c r="GD292" s="409">
        <f t="shared" si="350"/>
        <v>0</v>
      </c>
      <c r="GE292" s="409">
        <f t="shared" si="350"/>
        <v>0</v>
      </c>
      <c r="GF292" s="409">
        <f t="shared" si="350"/>
        <v>0</v>
      </c>
      <c r="GG292" s="409">
        <f t="shared" si="351"/>
        <v>0</v>
      </c>
      <c r="GH292" s="409">
        <f t="shared" si="351"/>
        <v>0</v>
      </c>
      <c r="GI292" s="409">
        <f t="shared" si="351"/>
        <v>0</v>
      </c>
      <c r="GJ292" s="409">
        <f t="shared" si="351"/>
        <v>0</v>
      </c>
      <c r="GK292" s="409">
        <f t="shared" si="351"/>
        <v>0</v>
      </c>
      <c r="GL292" s="409">
        <f t="shared" si="351"/>
        <v>0</v>
      </c>
      <c r="GM292" s="409">
        <f t="shared" si="351"/>
        <v>0</v>
      </c>
      <c r="GN292" s="409">
        <f t="shared" si="351"/>
        <v>0</v>
      </c>
      <c r="GO292" s="409">
        <f t="shared" si="351"/>
        <v>0</v>
      </c>
      <c r="GP292" s="409">
        <f t="shared" si="351"/>
        <v>0</v>
      </c>
      <c r="GQ292" s="409">
        <f t="shared" si="352"/>
        <v>0</v>
      </c>
      <c r="GR292" s="409">
        <f t="shared" si="352"/>
        <v>0</v>
      </c>
      <c r="GS292" s="409">
        <f t="shared" si="352"/>
        <v>0</v>
      </c>
      <c r="GT292" s="409">
        <f t="shared" si="352"/>
        <v>0</v>
      </c>
      <c r="GU292" s="409">
        <f t="shared" si="352"/>
        <v>0</v>
      </c>
      <c r="GV292" s="409">
        <f t="shared" si="352"/>
        <v>0</v>
      </c>
      <c r="GW292" s="409">
        <f t="shared" si="352"/>
        <v>0</v>
      </c>
      <c r="GX292" s="409">
        <f t="shared" si="352"/>
        <v>0</v>
      </c>
      <c r="GY292" s="409">
        <f t="shared" si="352"/>
        <v>0</v>
      </c>
      <c r="GZ292" s="409">
        <f t="shared" si="352"/>
        <v>0</v>
      </c>
      <c r="HA292" s="409">
        <f t="shared" si="353"/>
        <v>0</v>
      </c>
      <c r="HB292" s="409">
        <f t="shared" si="353"/>
        <v>0</v>
      </c>
      <c r="HC292" s="409">
        <f t="shared" si="353"/>
        <v>0</v>
      </c>
      <c r="HD292" s="409">
        <f t="shared" si="353"/>
        <v>0</v>
      </c>
      <c r="HE292" s="409">
        <f t="shared" si="353"/>
        <v>0</v>
      </c>
      <c r="HF292" s="409">
        <f t="shared" si="353"/>
        <v>0</v>
      </c>
      <c r="HG292" s="409">
        <f t="shared" si="353"/>
        <v>0</v>
      </c>
      <c r="HH292" s="409">
        <f t="shared" si="353"/>
        <v>0</v>
      </c>
      <c r="HI292" s="409">
        <f t="shared" si="353"/>
        <v>0</v>
      </c>
      <c r="HJ292" s="409">
        <f t="shared" si="353"/>
        <v>0</v>
      </c>
      <c r="HK292" s="409">
        <f t="shared" si="354"/>
        <v>0</v>
      </c>
      <c r="HL292" s="409">
        <f t="shared" si="354"/>
        <v>0</v>
      </c>
      <c r="HM292" s="409">
        <f t="shared" si="354"/>
        <v>0</v>
      </c>
      <c r="HN292" s="409">
        <f t="shared" si="354"/>
        <v>0</v>
      </c>
      <c r="HO292" s="409">
        <f t="shared" si="354"/>
        <v>0</v>
      </c>
      <c r="HP292" s="409">
        <f t="shared" si="354"/>
        <v>0</v>
      </c>
      <c r="HQ292" s="409">
        <f t="shared" si="354"/>
        <v>0</v>
      </c>
      <c r="HR292" s="409">
        <f t="shared" si="354"/>
        <v>0</v>
      </c>
      <c r="HS292" s="409">
        <f t="shared" si="354"/>
        <v>0</v>
      </c>
      <c r="HT292" s="409">
        <f t="shared" si="354"/>
        <v>0</v>
      </c>
      <c r="HU292" s="409">
        <f t="shared" si="355"/>
        <v>0</v>
      </c>
      <c r="HV292" s="409">
        <f t="shared" si="355"/>
        <v>0</v>
      </c>
      <c r="HW292" s="409">
        <f t="shared" si="355"/>
        <v>0</v>
      </c>
      <c r="HX292" s="409">
        <f t="shared" si="355"/>
        <v>0</v>
      </c>
      <c r="HY292" s="409">
        <f t="shared" si="355"/>
        <v>0</v>
      </c>
      <c r="HZ292" s="409">
        <f t="shared" si="355"/>
        <v>0</v>
      </c>
      <c r="IA292" s="409">
        <f t="shared" si="355"/>
        <v>0</v>
      </c>
      <c r="IB292" s="409">
        <f t="shared" si="355"/>
        <v>0</v>
      </c>
      <c r="IC292" s="409">
        <f t="shared" si="355"/>
        <v>0</v>
      </c>
      <c r="ID292" s="409">
        <f t="shared" si="355"/>
        <v>0</v>
      </c>
      <c r="IE292" s="409">
        <f t="shared" si="356"/>
        <v>0</v>
      </c>
      <c r="IF292" s="409">
        <f t="shared" si="356"/>
        <v>0</v>
      </c>
      <c r="IG292" s="409">
        <f t="shared" si="356"/>
        <v>0</v>
      </c>
      <c r="IH292" s="409">
        <f t="shared" si="356"/>
        <v>0</v>
      </c>
      <c r="II292" s="409">
        <f t="shared" si="356"/>
        <v>0</v>
      </c>
      <c r="IJ292" s="409">
        <f t="shared" si="356"/>
        <v>0</v>
      </c>
      <c r="IK292" s="378"/>
    </row>
    <row r="293" spans="1:245" hidden="1" x14ac:dyDescent="0.2">
      <c r="A293" s="380" t="str">
        <f t="shared" si="377"/>
        <v>e</v>
      </c>
      <c r="B293" s="712" t="str">
        <f>IF(ISERROR(INDEX('Legend(DX)'!$H$14:$H$15,6)),"",INDEX('Legend(DX)'!$H$14:$H$15,6))</f>
        <v/>
      </c>
      <c r="C293" s="712" t="e">
        <f>IF(INDEX('Legend(DX)'!$T$14:$T$15,6)=0,"See Legend",INDEX('Legend(DX)'!$T$14:$T$15,6))</f>
        <v>#REF!</v>
      </c>
      <c r="D293" s="712" t="e">
        <f>IF(INDEX('Legend(DX)'!$R$14:$R$15,6)=0,"---",INDEX('Legend(DX)'!$R$14:$R$15,6))</f>
        <v>#REF!</v>
      </c>
      <c r="E293" s="713" t="str">
        <f>IF(ISERROR(INDEX('Legend(DX)'!$AA$14:$AA$15,6)),"",INDEX('Legend(DX)'!$AA$14:$AA$15,6))</f>
        <v/>
      </c>
      <c r="F293" s="715"/>
      <c r="G293" s="715"/>
      <c r="H293" s="715"/>
      <c r="I293" s="715"/>
      <c r="J293" s="715"/>
      <c r="K293" s="890">
        <f t="shared" si="358"/>
        <v>0</v>
      </c>
      <c r="L293" s="718"/>
      <c r="M293" s="720"/>
      <c r="N293" s="972">
        <f t="shared" si="330"/>
        <v>-1</v>
      </c>
      <c r="O293" s="972">
        <f t="shared" si="378"/>
        <v>-1</v>
      </c>
      <c r="P293" s="972">
        <f t="shared" si="331"/>
        <v>-1</v>
      </c>
      <c r="Q293" s="972">
        <f t="shared" si="379"/>
        <v>-1</v>
      </c>
      <c r="R293" s="972">
        <f t="shared" si="332"/>
        <v>-1</v>
      </c>
      <c r="S293" s="972">
        <f t="shared" si="380"/>
        <v>-1</v>
      </c>
      <c r="T293" s="972">
        <f t="shared" si="333"/>
        <v>-1</v>
      </c>
      <c r="U293" s="972">
        <f t="shared" si="381"/>
        <v>-1</v>
      </c>
      <c r="V293" s="972">
        <f t="shared" si="334"/>
        <v>-1</v>
      </c>
      <c r="W293" s="972">
        <f t="shared" si="382"/>
        <v>-1</v>
      </c>
      <c r="X293" s="972">
        <f t="shared" si="335"/>
        <v>-1</v>
      </c>
      <c r="Y293" s="972">
        <f t="shared" si="364"/>
        <v>-1</v>
      </c>
      <c r="Z293" s="972">
        <f t="shared" si="365"/>
        <v>-1</v>
      </c>
      <c r="AA293" s="972">
        <f t="shared" si="366"/>
        <v>-1</v>
      </c>
      <c r="AB293" s="972">
        <f t="shared" si="367"/>
        <v>-1</v>
      </c>
      <c r="AC293" s="972">
        <f t="shared" si="368"/>
        <v>-1</v>
      </c>
      <c r="AD293" s="972">
        <f t="shared" si="369"/>
        <v>-1</v>
      </c>
      <c r="AE293" s="972">
        <f t="shared" si="370"/>
        <v>-1</v>
      </c>
      <c r="AF293" s="972">
        <f t="shared" si="371"/>
        <v>-1</v>
      </c>
      <c r="AG293" s="972">
        <f t="shared" si="372"/>
        <v>-1</v>
      </c>
      <c r="AH293" s="972">
        <f t="shared" si="373"/>
        <v>-1</v>
      </c>
      <c r="AI293" s="972">
        <f t="shared" si="374"/>
        <v>-1</v>
      </c>
      <c r="AJ293" s="972">
        <f t="shared" si="375"/>
        <v>-1</v>
      </c>
      <c r="AK293" s="381"/>
      <c r="AL293" s="727" t="str">
        <f t="shared" si="383"/>
        <v/>
      </c>
      <c r="AM293" s="409">
        <f t="shared" si="336"/>
        <v>0</v>
      </c>
      <c r="AN293" s="409">
        <f t="shared" si="336"/>
        <v>0</v>
      </c>
      <c r="AO293" s="409">
        <f t="shared" si="336"/>
        <v>0</v>
      </c>
      <c r="AP293" s="409">
        <f t="shared" si="336"/>
        <v>0</v>
      </c>
      <c r="AQ293" s="409">
        <f t="shared" si="336"/>
        <v>0</v>
      </c>
      <c r="AR293" s="409">
        <f t="shared" si="336"/>
        <v>0</v>
      </c>
      <c r="AS293" s="409">
        <f t="shared" si="336"/>
        <v>0</v>
      </c>
      <c r="AT293" s="409">
        <f t="shared" si="336"/>
        <v>0</v>
      </c>
      <c r="AU293" s="409">
        <f t="shared" si="336"/>
        <v>0</v>
      </c>
      <c r="AV293" s="409">
        <f t="shared" si="336"/>
        <v>0</v>
      </c>
      <c r="AW293" s="409">
        <f t="shared" si="337"/>
        <v>0</v>
      </c>
      <c r="AX293" s="409">
        <f t="shared" si="337"/>
        <v>0</v>
      </c>
      <c r="AY293" s="409">
        <f t="shared" si="337"/>
        <v>0</v>
      </c>
      <c r="AZ293" s="409">
        <f t="shared" si="337"/>
        <v>0</v>
      </c>
      <c r="BA293" s="409">
        <f t="shared" si="337"/>
        <v>0</v>
      </c>
      <c r="BB293" s="409">
        <f t="shared" si="337"/>
        <v>0</v>
      </c>
      <c r="BC293" s="409">
        <f t="shared" si="337"/>
        <v>0</v>
      </c>
      <c r="BD293" s="409">
        <f t="shared" si="337"/>
        <v>0</v>
      </c>
      <c r="BE293" s="409">
        <f t="shared" si="337"/>
        <v>0</v>
      </c>
      <c r="BF293" s="409">
        <f t="shared" si="337"/>
        <v>0</v>
      </c>
      <c r="BG293" s="409">
        <f t="shared" si="338"/>
        <v>0</v>
      </c>
      <c r="BH293" s="409">
        <f t="shared" si="338"/>
        <v>0</v>
      </c>
      <c r="BI293" s="409">
        <f t="shared" si="338"/>
        <v>0</v>
      </c>
      <c r="BJ293" s="409">
        <f t="shared" si="338"/>
        <v>0</v>
      </c>
      <c r="BK293" s="409">
        <f t="shared" si="338"/>
        <v>0</v>
      </c>
      <c r="BL293" s="409">
        <f t="shared" si="338"/>
        <v>0</v>
      </c>
      <c r="BM293" s="409">
        <f t="shared" si="338"/>
        <v>0</v>
      </c>
      <c r="BN293" s="409">
        <f t="shared" si="338"/>
        <v>0</v>
      </c>
      <c r="BO293" s="409">
        <f t="shared" si="338"/>
        <v>0</v>
      </c>
      <c r="BP293" s="409">
        <f t="shared" si="338"/>
        <v>0</v>
      </c>
      <c r="BQ293" s="409">
        <f t="shared" si="339"/>
        <v>0</v>
      </c>
      <c r="BR293" s="409">
        <f t="shared" si="339"/>
        <v>0</v>
      </c>
      <c r="BS293" s="409">
        <f t="shared" si="339"/>
        <v>0</v>
      </c>
      <c r="BT293" s="409">
        <f t="shared" si="339"/>
        <v>0</v>
      </c>
      <c r="BU293" s="409">
        <f t="shared" si="339"/>
        <v>0</v>
      </c>
      <c r="BV293" s="409">
        <f t="shared" si="339"/>
        <v>0</v>
      </c>
      <c r="BW293" s="409">
        <f t="shared" si="339"/>
        <v>0</v>
      </c>
      <c r="BX293" s="409">
        <f t="shared" si="339"/>
        <v>0</v>
      </c>
      <c r="BY293" s="409">
        <f t="shared" si="339"/>
        <v>0</v>
      </c>
      <c r="BZ293" s="409">
        <f t="shared" si="339"/>
        <v>0</v>
      </c>
      <c r="CA293" s="409">
        <f t="shared" si="340"/>
        <v>0</v>
      </c>
      <c r="CB293" s="409">
        <f t="shared" si="340"/>
        <v>0</v>
      </c>
      <c r="CC293" s="409">
        <f t="shared" si="340"/>
        <v>0</v>
      </c>
      <c r="CD293" s="409">
        <f t="shared" si="340"/>
        <v>0</v>
      </c>
      <c r="CE293" s="409">
        <f t="shared" si="340"/>
        <v>0</v>
      </c>
      <c r="CF293" s="409">
        <f t="shared" si="340"/>
        <v>0</v>
      </c>
      <c r="CG293" s="409">
        <f t="shared" si="340"/>
        <v>0</v>
      </c>
      <c r="CH293" s="409">
        <f t="shared" si="340"/>
        <v>0</v>
      </c>
      <c r="CI293" s="409">
        <f t="shared" si="340"/>
        <v>0</v>
      </c>
      <c r="CJ293" s="409">
        <f t="shared" si="340"/>
        <v>0</v>
      </c>
      <c r="CK293" s="409">
        <f t="shared" si="341"/>
        <v>0</v>
      </c>
      <c r="CL293" s="409">
        <f t="shared" si="341"/>
        <v>0</v>
      </c>
      <c r="CM293" s="409">
        <f t="shared" si="341"/>
        <v>0</v>
      </c>
      <c r="CN293" s="409">
        <f t="shared" si="341"/>
        <v>0</v>
      </c>
      <c r="CO293" s="409">
        <f t="shared" si="341"/>
        <v>0</v>
      </c>
      <c r="CP293" s="409">
        <f t="shared" si="341"/>
        <v>0</v>
      </c>
      <c r="CQ293" s="409">
        <f t="shared" si="341"/>
        <v>0</v>
      </c>
      <c r="CR293" s="409">
        <f t="shared" si="341"/>
        <v>0</v>
      </c>
      <c r="CS293" s="409">
        <f t="shared" si="341"/>
        <v>0</v>
      </c>
      <c r="CT293" s="409">
        <f t="shared" si="341"/>
        <v>0</v>
      </c>
      <c r="CU293" s="409">
        <f t="shared" si="342"/>
        <v>0</v>
      </c>
      <c r="CV293" s="409">
        <f t="shared" si="342"/>
        <v>0</v>
      </c>
      <c r="CW293" s="409">
        <f t="shared" si="342"/>
        <v>0</v>
      </c>
      <c r="CX293" s="409">
        <f t="shared" si="342"/>
        <v>0</v>
      </c>
      <c r="CY293" s="409">
        <f t="shared" si="342"/>
        <v>0</v>
      </c>
      <c r="CZ293" s="409">
        <f t="shared" si="342"/>
        <v>0</v>
      </c>
      <c r="DA293" s="409">
        <f t="shared" si="342"/>
        <v>0</v>
      </c>
      <c r="DB293" s="409">
        <f t="shared" si="342"/>
        <v>0</v>
      </c>
      <c r="DC293" s="409">
        <f t="shared" si="342"/>
        <v>0</v>
      </c>
      <c r="DD293" s="409">
        <f t="shared" si="342"/>
        <v>0</v>
      </c>
      <c r="DE293" s="409">
        <f t="shared" si="343"/>
        <v>0</v>
      </c>
      <c r="DF293" s="409">
        <f t="shared" si="343"/>
        <v>0</v>
      </c>
      <c r="DG293" s="409">
        <f t="shared" si="343"/>
        <v>0</v>
      </c>
      <c r="DH293" s="409">
        <f t="shared" si="343"/>
        <v>0</v>
      </c>
      <c r="DI293" s="409">
        <f t="shared" si="343"/>
        <v>0</v>
      </c>
      <c r="DJ293" s="409">
        <f t="shared" si="343"/>
        <v>0</v>
      </c>
      <c r="DK293" s="409">
        <f t="shared" si="343"/>
        <v>0</v>
      </c>
      <c r="DL293" s="409">
        <f t="shared" si="343"/>
        <v>0</v>
      </c>
      <c r="DM293" s="409">
        <f t="shared" si="343"/>
        <v>0</v>
      </c>
      <c r="DN293" s="409">
        <f t="shared" si="343"/>
        <v>0</v>
      </c>
      <c r="DO293" s="409">
        <f t="shared" si="344"/>
        <v>0</v>
      </c>
      <c r="DP293" s="409">
        <f t="shared" si="344"/>
        <v>0</v>
      </c>
      <c r="DQ293" s="409">
        <f t="shared" si="344"/>
        <v>0</v>
      </c>
      <c r="DR293" s="409">
        <f t="shared" si="344"/>
        <v>0</v>
      </c>
      <c r="DS293" s="409">
        <f t="shared" si="344"/>
        <v>0</v>
      </c>
      <c r="DT293" s="409">
        <f t="shared" si="344"/>
        <v>0</v>
      </c>
      <c r="DU293" s="409">
        <f t="shared" si="344"/>
        <v>0</v>
      </c>
      <c r="DV293" s="409">
        <f t="shared" si="344"/>
        <v>0</v>
      </c>
      <c r="DW293" s="409">
        <f t="shared" si="344"/>
        <v>0</v>
      </c>
      <c r="DX293" s="409">
        <f t="shared" si="344"/>
        <v>0</v>
      </c>
      <c r="DY293" s="409">
        <f t="shared" si="345"/>
        <v>0</v>
      </c>
      <c r="DZ293" s="409">
        <f t="shared" si="345"/>
        <v>0</v>
      </c>
      <c r="EA293" s="409">
        <f t="shared" si="345"/>
        <v>0</v>
      </c>
      <c r="EB293" s="409">
        <f t="shared" si="345"/>
        <v>0</v>
      </c>
      <c r="EC293" s="409">
        <f t="shared" si="345"/>
        <v>0</v>
      </c>
      <c r="ED293" s="409">
        <f t="shared" si="345"/>
        <v>0</v>
      </c>
      <c r="EE293" s="409">
        <f t="shared" si="345"/>
        <v>0</v>
      </c>
      <c r="EF293" s="409">
        <f t="shared" si="345"/>
        <v>0</v>
      </c>
      <c r="EG293" s="409">
        <f t="shared" si="345"/>
        <v>0</v>
      </c>
      <c r="EH293" s="409">
        <f t="shared" si="345"/>
        <v>0</v>
      </c>
      <c r="EI293" s="409">
        <f t="shared" si="346"/>
        <v>0</v>
      </c>
      <c r="EJ293" s="409">
        <f t="shared" si="346"/>
        <v>0</v>
      </c>
      <c r="EK293" s="409">
        <f t="shared" si="346"/>
        <v>0</v>
      </c>
      <c r="EL293" s="409">
        <f t="shared" si="346"/>
        <v>0</v>
      </c>
      <c r="EM293" s="409">
        <f t="shared" si="346"/>
        <v>0</v>
      </c>
      <c r="EN293" s="409">
        <f t="shared" si="346"/>
        <v>0</v>
      </c>
      <c r="EO293" s="409">
        <f t="shared" si="346"/>
        <v>0</v>
      </c>
      <c r="EP293" s="409">
        <f t="shared" si="346"/>
        <v>0</v>
      </c>
      <c r="EQ293" s="409">
        <f t="shared" si="346"/>
        <v>0</v>
      </c>
      <c r="ER293" s="409">
        <f t="shared" si="346"/>
        <v>0</v>
      </c>
      <c r="ES293" s="409">
        <f t="shared" si="347"/>
        <v>0</v>
      </c>
      <c r="ET293" s="409">
        <f t="shared" si="347"/>
        <v>0</v>
      </c>
      <c r="EU293" s="409">
        <f t="shared" si="347"/>
        <v>0</v>
      </c>
      <c r="EV293" s="409">
        <f t="shared" si="347"/>
        <v>0</v>
      </c>
      <c r="EW293" s="409">
        <f t="shared" si="347"/>
        <v>0</v>
      </c>
      <c r="EX293" s="409">
        <f t="shared" si="347"/>
        <v>0</v>
      </c>
      <c r="EY293" s="409">
        <f t="shared" si="347"/>
        <v>0</v>
      </c>
      <c r="EZ293" s="409">
        <f t="shared" si="347"/>
        <v>0</v>
      </c>
      <c r="FA293" s="409">
        <f t="shared" si="347"/>
        <v>0</v>
      </c>
      <c r="FB293" s="409">
        <f t="shared" si="347"/>
        <v>0</v>
      </c>
      <c r="FC293" s="409">
        <f t="shared" si="348"/>
        <v>0</v>
      </c>
      <c r="FD293" s="409">
        <f t="shared" si="348"/>
        <v>0</v>
      </c>
      <c r="FE293" s="409">
        <f t="shared" si="348"/>
        <v>0</v>
      </c>
      <c r="FF293" s="409">
        <f t="shared" si="348"/>
        <v>0</v>
      </c>
      <c r="FG293" s="409">
        <f t="shared" si="348"/>
        <v>0</v>
      </c>
      <c r="FH293" s="409">
        <f t="shared" si="348"/>
        <v>0</v>
      </c>
      <c r="FI293" s="409">
        <f t="shared" si="348"/>
        <v>0</v>
      </c>
      <c r="FJ293" s="409">
        <f t="shared" si="348"/>
        <v>0</v>
      </c>
      <c r="FK293" s="409">
        <f t="shared" si="348"/>
        <v>0</v>
      </c>
      <c r="FL293" s="409">
        <f t="shared" si="348"/>
        <v>0</v>
      </c>
      <c r="FM293" s="409">
        <f t="shared" si="349"/>
        <v>0</v>
      </c>
      <c r="FN293" s="409">
        <f t="shared" si="349"/>
        <v>0</v>
      </c>
      <c r="FO293" s="409">
        <f t="shared" si="349"/>
        <v>0</v>
      </c>
      <c r="FP293" s="409">
        <f t="shared" si="349"/>
        <v>0</v>
      </c>
      <c r="FQ293" s="409">
        <f t="shared" si="349"/>
        <v>0</v>
      </c>
      <c r="FR293" s="409">
        <f t="shared" si="349"/>
        <v>0</v>
      </c>
      <c r="FS293" s="409">
        <f t="shared" si="349"/>
        <v>0</v>
      </c>
      <c r="FT293" s="409">
        <f t="shared" si="349"/>
        <v>0</v>
      </c>
      <c r="FU293" s="409">
        <f t="shared" si="349"/>
        <v>0</v>
      </c>
      <c r="FV293" s="409">
        <f t="shared" si="349"/>
        <v>0</v>
      </c>
      <c r="FW293" s="409">
        <f t="shared" si="350"/>
        <v>0</v>
      </c>
      <c r="FX293" s="409">
        <f t="shared" si="350"/>
        <v>0</v>
      </c>
      <c r="FY293" s="409">
        <f t="shared" si="350"/>
        <v>0</v>
      </c>
      <c r="FZ293" s="409">
        <f t="shared" si="350"/>
        <v>0</v>
      </c>
      <c r="GA293" s="409">
        <f t="shared" si="350"/>
        <v>0</v>
      </c>
      <c r="GB293" s="409">
        <f t="shared" si="350"/>
        <v>0</v>
      </c>
      <c r="GC293" s="409">
        <f t="shared" si="350"/>
        <v>0</v>
      </c>
      <c r="GD293" s="409">
        <f t="shared" si="350"/>
        <v>0</v>
      </c>
      <c r="GE293" s="409">
        <f t="shared" si="350"/>
        <v>0</v>
      </c>
      <c r="GF293" s="409">
        <f t="shared" si="350"/>
        <v>0</v>
      </c>
      <c r="GG293" s="409">
        <f t="shared" si="351"/>
        <v>0</v>
      </c>
      <c r="GH293" s="409">
        <f t="shared" si="351"/>
        <v>0</v>
      </c>
      <c r="GI293" s="409">
        <f t="shared" si="351"/>
        <v>0</v>
      </c>
      <c r="GJ293" s="409">
        <f t="shared" si="351"/>
        <v>0</v>
      </c>
      <c r="GK293" s="409">
        <f t="shared" si="351"/>
        <v>0</v>
      </c>
      <c r="GL293" s="409">
        <f t="shared" si="351"/>
        <v>0</v>
      </c>
      <c r="GM293" s="409">
        <f t="shared" si="351"/>
        <v>0</v>
      </c>
      <c r="GN293" s="409">
        <f t="shared" si="351"/>
        <v>0</v>
      </c>
      <c r="GO293" s="409">
        <f t="shared" si="351"/>
        <v>0</v>
      </c>
      <c r="GP293" s="409">
        <f t="shared" si="351"/>
        <v>0</v>
      </c>
      <c r="GQ293" s="409">
        <f t="shared" si="352"/>
        <v>0</v>
      </c>
      <c r="GR293" s="409">
        <f t="shared" si="352"/>
        <v>0</v>
      </c>
      <c r="GS293" s="409">
        <f t="shared" si="352"/>
        <v>0</v>
      </c>
      <c r="GT293" s="409">
        <f t="shared" si="352"/>
        <v>0</v>
      </c>
      <c r="GU293" s="409">
        <f t="shared" si="352"/>
        <v>0</v>
      </c>
      <c r="GV293" s="409">
        <f t="shared" si="352"/>
        <v>0</v>
      </c>
      <c r="GW293" s="409">
        <f t="shared" si="352"/>
        <v>0</v>
      </c>
      <c r="GX293" s="409">
        <f t="shared" si="352"/>
        <v>0</v>
      </c>
      <c r="GY293" s="409">
        <f t="shared" si="352"/>
        <v>0</v>
      </c>
      <c r="GZ293" s="409">
        <f t="shared" si="352"/>
        <v>0</v>
      </c>
      <c r="HA293" s="409">
        <f t="shared" si="353"/>
        <v>0</v>
      </c>
      <c r="HB293" s="409">
        <f t="shared" si="353"/>
        <v>0</v>
      </c>
      <c r="HC293" s="409">
        <f t="shared" si="353"/>
        <v>0</v>
      </c>
      <c r="HD293" s="409">
        <f t="shared" si="353"/>
        <v>0</v>
      </c>
      <c r="HE293" s="409">
        <f t="shared" si="353"/>
        <v>0</v>
      </c>
      <c r="HF293" s="409">
        <f t="shared" si="353"/>
        <v>0</v>
      </c>
      <c r="HG293" s="409">
        <f t="shared" si="353"/>
        <v>0</v>
      </c>
      <c r="HH293" s="409">
        <f t="shared" si="353"/>
        <v>0</v>
      </c>
      <c r="HI293" s="409">
        <f t="shared" si="353"/>
        <v>0</v>
      </c>
      <c r="HJ293" s="409">
        <f t="shared" si="353"/>
        <v>0</v>
      </c>
      <c r="HK293" s="409">
        <f t="shared" si="354"/>
        <v>0</v>
      </c>
      <c r="HL293" s="409">
        <f t="shared" si="354"/>
        <v>0</v>
      </c>
      <c r="HM293" s="409">
        <f t="shared" si="354"/>
        <v>0</v>
      </c>
      <c r="HN293" s="409">
        <f t="shared" si="354"/>
        <v>0</v>
      </c>
      <c r="HO293" s="409">
        <f t="shared" si="354"/>
        <v>0</v>
      </c>
      <c r="HP293" s="409">
        <f t="shared" si="354"/>
        <v>0</v>
      </c>
      <c r="HQ293" s="409">
        <f t="shared" si="354"/>
        <v>0</v>
      </c>
      <c r="HR293" s="409">
        <f t="shared" si="354"/>
        <v>0</v>
      </c>
      <c r="HS293" s="409">
        <f t="shared" si="354"/>
        <v>0</v>
      </c>
      <c r="HT293" s="409">
        <f t="shared" si="354"/>
        <v>0</v>
      </c>
      <c r="HU293" s="409">
        <f t="shared" si="355"/>
        <v>0</v>
      </c>
      <c r="HV293" s="409">
        <f t="shared" si="355"/>
        <v>0</v>
      </c>
      <c r="HW293" s="409">
        <f t="shared" si="355"/>
        <v>0</v>
      </c>
      <c r="HX293" s="409">
        <f t="shared" si="355"/>
        <v>0</v>
      </c>
      <c r="HY293" s="409">
        <f t="shared" si="355"/>
        <v>0</v>
      </c>
      <c r="HZ293" s="409">
        <f t="shared" si="355"/>
        <v>0</v>
      </c>
      <c r="IA293" s="409">
        <f t="shared" si="355"/>
        <v>0</v>
      </c>
      <c r="IB293" s="409">
        <f t="shared" si="355"/>
        <v>0</v>
      </c>
      <c r="IC293" s="409">
        <f t="shared" si="355"/>
        <v>0</v>
      </c>
      <c r="ID293" s="409">
        <f t="shared" si="355"/>
        <v>0</v>
      </c>
      <c r="IE293" s="409">
        <f t="shared" si="356"/>
        <v>0</v>
      </c>
      <c r="IF293" s="409">
        <f t="shared" si="356"/>
        <v>0</v>
      </c>
      <c r="IG293" s="409">
        <f t="shared" si="356"/>
        <v>0</v>
      </c>
      <c r="IH293" s="409">
        <f t="shared" si="356"/>
        <v>0</v>
      </c>
      <c r="II293" s="409">
        <f t="shared" si="356"/>
        <v>0</v>
      </c>
      <c r="IJ293" s="409">
        <f t="shared" si="356"/>
        <v>0</v>
      </c>
      <c r="IK293" s="378"/>
    </row>
    <row r="294" spans="1:245" hidden="1" x14ac:dyDescent="0.2">
      <c r="A294" s="380" t="str">
        <f t="shared" si="377"/>
        <v>e</v>
      </c>
      <c r="B294" s="712" t="str">
        <f>IF(ISERROR(INDEX('Legend(DX)'!$H$14:$H$15,7)),"",INDEX('Legend(DX)'!$H$14:$H$15,7))</f>
        <v/>
      </c>
      <c r="C294" s="712" t="e">
        <f>IF(INDEX('Legend(DX)'!$T$14:$T$15,7)=0,"See Legend",INDEX('Legend(DX)'!$T$14:$T$15,7))</f>
        <v>#REF!</v>
      </c>
      <c r="D294" s="712" t="e">
        <f>IF(INDEX('Legend(DX)'!$R$14:$R$15,7)=0,"---",INDEX('Legend(DX)'!$R$14:$R$15,7))</f>
        <v>#REF!</v>
      </c>
      <c r="E294" s="713" t="str">
        <f>IF(ISERROR(INDEX('Legend(DX)'!$AA$14:$AA$15,7)),"",INDEX('Legend(DX)'!$AA$14:$AA$15,7))</f>
        <v/>
      </c>
      <c r="F294" s="715"/>
      <c r="G294" s="715"/>
      <c r="H294" s="715"/>
      <c r="I294" s="715"/>
      <c r="J294" s="715"/>
      <c r="K294" s="890">
        <f t="shared" si="358"/>
        <v>0</v>
      </c>
      <c r="L294" s="718"/>
      <c r="M294" s="720"/>
      <c r="N294" s="972">
        <f t="shared" si="330"/>
        <v>-1</v>
      </c>
      <c r="O294" s="972">
        <f t="shared" si="378"/>
        <v>-1</v>
      </c>
      <c r="P294" s="972">
        <f t="shared" si="331"/>
        <v>-1</v>
      </c>
      <c r="Q294" s="972">
        <f t="shared" si="379"/>
        <v>-1</v>
      </c>
      <c r="R294" s="972">
        <f t="shared" si="332"/>
        <v>-1</v>
      </c>
      <c r="S294" s="972">
        <f t="shared" si="380"/>
        <v>-1</v>
      </c>
      <c r="T294" s="972">
        <f t="shared" si="333"/>
        <v>-1</v>
      </c>
      <c r="U294" s="972">
        <f t="shared" si="381"/>
        <v>-1</v>
      </c>
      <c r="V294" s="972">
        <f t="shared" si="334"/>
        <v>-1</v>
      </c>
      <c r="W294" s="972">
        <f t="shared" si="382"/>
        <v>-1</v>
      </c>
      <c r="X294" s="972">
        <f t="shared" si="335"/>
        <v>-1</v>
      </c>
      <c r="Y294" s="972">
        <f t="shared" si="364"/>
        <v>-1</v>
      </c>
      <c r="Z294" s="972">
        <f t="shared" si="365"/>
        <v>-1</v>
      </c>
      <c r="AA294" s="972">
        <f t="shared" si="366"/>
        <v>-1</v>
      </c>
      <c r="AB294" s="972">
        <f t="shared" si="367"/>
        <v>-1</v>
      </c>
      <c r="AC294" s="972">
        <f t="shared" si="368"/>
        <v>-1</v>
      </c>
      <c r="AD294" s="972">
        <f t="shared" si="369"/>
        <v>-1</v>
      </c>
      <c r="AE294" s="972">
        <f t="shared" si="370"/>
        <v>-1</v>
      </c>
      <c r="AF294" s="972">
        <f t="shared" si="371"/>
        <v>-1</v>
      </c>
      <c r="AG294" s="972">
        <f t="shared" si="372"/>
        <v>-1</v>
      </c>
      <c r="AH294" s="972">
        <f t="shared" si="373"/>
        <v>-1</v>
      </c>
      <c r="AI294" s="972">
        <f t="shared" si="374"/>
        <v>-1</v>
      </c>
      <c r="AJ294" s="972">
        <f t="shared" si="375"/>
        <v>-1</v>
      </c>
      <c r="AK294" s="381"/>
      <c r="AL294" s="727" t="str">
        <f t="shared" si="383"/>
        <v/>
      </c>
      <c r="AM294" s="409">
        <f t="shared" si="336"/>
        <v>0</v>
      </c>
      <c r="AN294" s="409">
        <f t="shared" si="336"/>
        <v>0</v>
      </c>
      <c r="AO294" s="409">
        <f t="shared" si="336"/>
        <v>0</v>
      </c>
      <c r="AP294" s="409">
        <f t="shared" si="336"/>
        <v>0</v>
      </c>
      <c r="AQ294" s="409">
        <f t="shared" si="336"/>
        <v>0</v>
      </c>
      <c r="AR294" s="409">
        <f t="shared" si="336"/>
        <v>0</v>
      </c>
      <c r="AS294" s="409">
        <f t="shared" si="336"/>
        <v>0</v>
      </c>
      <c r="AT294" s="409">
        <f t="shared" si="336"/>
        <v>0</v>
      </c>
      <c r="AU294" s="409">
        <f t="shared" si="336"/>
        <v>0</v>
      </c>
      <c r="AV294" s="409">
        <f t="shared" si="336"/>
        <v>0</v>
      </c>
      <c r="AW294" s="409">
        <f t="shared" si="337"/>
        <v>0</v>
      </c>
      <c r="AX294" s="409">
        <f t="shared" si="337"/>
        <v>0</v>
      </c>
      <c r="AY294" s="409">
        <f t="shared" si="337"/>
        <v>0</v>
      </c>
      <c r="AZ294" s="409">
        <f t="shared" si="337"/>
        <v>0</v>
      </c>
      <c r="BA294" s="409">
        <f t="shared" si="337"/>
        <v>0</v>
      </c>
      <c r="BB294" s="409">
        <f t="shared" si="337"/>
        <v>0</v>
      </c>
      <c r="BC294" s="409">
        <f t="shared" si="337"/>
        <v>0</v>
      </c>
      <c r="BD294" s="409">
        <f t="shared" si="337"/>
        <v>0</v>
      </c>
      <c r="BE294" s="409">
        <f t="shared" si="337"/>
        <v>0</v>
      </c>
      <c r="BF294" s="409">
        <f t="shared" si="337"/>
        <v>0</v>
      </c>
      <c r="BG294" s="409">
        <f t="shared" si="338"/>
        <v>0</v>
      </c>
      <c r="BH294" s="409">
        <f t="shared" si="338"/>
        <v>0</v>
      </c>
      <c r="BI294" s="409">
        <f t="shared" si="338"/>
        <v>0</v>
      </c>
      <c r="BJ294" s="409">
        <f t="shared" si="338"/>
        <v>0</v>
      </c>
      <c r="BK294" s="409">
        <f t="shared" si="338"/>
        <v>0</v>
      </c>
      <c r="BL294" s="409">
        <f t="shared" si="338"/>
        <v>0</v>
      </c>
      <c r="BM294" s="409">
        <f t="shared" si="338"/>
        <v>0</v>
      </c>
      <c r="BN294" s="409">
        <f t="shared" si="338"/>
        <v>0</v>
      </c>
      <c r="BO294" s="409">
        <f t="shared" si="338"/>
        <v>0</v>
      </c>
      <c r="BP294" s="409">
        <f t="shared" si="338"/>
        <v>0</v>
      </c>
      <c r="BQ294" s="409">
        <f t="shared" si="339"/>
        <v>0</v>
      </c>
      <c r="BR294" s="409">
        <f t="shared" si="339"/>
        <v>0</v>
      </c>
      <c r="BS294" s="409">
        <f t="shared" si="339"/>
        <v>0</v>
      </c>
      <c r="BT294" s="409">
        <f t="shared" si="339"/>
        <v>0</v>
      </c>
      <c r="BU294" s="409">
        <f t="shared" si="339"/>
        <v>0</v>
      </c>
      <c r="BV294" s="409">
        <f t="shared" si="339"/>
        <v>0</v>
      </c>
      <c r="BW294" s="409">
        <f t="shared" si="339"/>
        <v>0</v>
      </c>
      <c r="BX294" s="409">
        <f t="shared" si="339"/>
        <v>0</v>
      </c>
      <c r="BY294" s="409">
        <f t="shared" si="339"/>
        <v>0</v>
      </c>
      <c r="BZ294" s="409">
        <f t="shared" si="339"/>
        <v>0</v>
      </c>
      <c r="CA294" s="409">
        <f t="shared" si="340"/>
        <v>0</v>
      </c>
      <c r="CB294" s="409">
        <f t="shared" si="340"/>
        <v>0</v>
      </c>
      <c r="CC294" s="409">
        <f t="shared" si="340"/>
        <v>0</v>
      </c>
      <c r="CD294" s="409">
        <f t="shared" si="340"/>
        <v>0</v>
      </c>
      <c r="CE294" s="409">
        <f t="shared" si="340"/>
        <v>0</v>
      </c>
      <c r="CF294" s="409">
        <f t="shared" si="340"/>
        <v>0</v>
      </c>
      <c r="CG294" s="409">
        <f t="shared" si="340"/>
        <v>0</v>
      </c>
      <c r="CH294" s="409">
        <f t="shared" si="340"/>
        <v>0</v>
      </c>
      <c r="CI294" s="409">
        <f t="shared" si="340"/>
        <v>0</v>
      </c>
      <c r="CJ294" s="409">
        <f t="shared" si="340"/>
        <v>0</v>
      </c>
      <c r="CK294" s="409">
        <f t="shared" si="341"/>
        <v>0</v>
      </c>
      <c r="CL294" s="409">
        <f t="shared" si="341"/>
        <v>0</v>
      </c>
      <c r="CM294" s="409">
        <f t="shared" si="341"/>
        <v>0</v>
      </c>
      <c r="CN294" s="409">
        <f t="shared" si="341"/>
        <v>0</v>
      </c>
      <c r="CO294" s="409">
        <f t="shared" si="341"/>
        <v>0</v>
      </c>
      <c r="CP294" s="409">
        <f t="shared" si="341"/>
        <v>0</v>
      </c>
      <c r="CQ294" s="409">
        <f t="shared" si="341"/>
        <v>0</v>
      </c>
      <c r="CR294" s="409">
        <f t="shared" si="341"/>
        <v>0</v>
      </c>
      <c r="CS294" s="409">
        <f t="shared" si="341"/>
        <v>0</v>
      </c>
      <c r="CT294" s="409">
        <f t="shared" si="341"/>
        <v>0</v>
      </c>
      <c r="CU294" s="409">
        <f t="shared" si="342"/>
        <v>0</v>
      </c>
      <c r="CV294" s="409">
        <f t="shared" si="342"/>
        <v>0</v>
      </c>
      <c r="CW294" s="409">
        <f t="shared" si="342"/>
        <v>0</v>
      </c>
      <c r="CX294" s="409">
        <f t="shared" si="342"/>
        <v>0</v>
      </c>
      <c r="CY294" s="409">
        <f t="shared" si="342"/>
        <v>0</v>
      </c>
      <c r="CZ294" s="409">
        <f t="shared" si="342"/>
        <v>0</v>
      </c>
      <c r="DA294" s="409">
        <f t="shared" si="342"/>
        <v>0</v>
      </c>
      <c r="DB294" s="409">
        <f t="shared" si="342"/>
        <v>0</v>
      </c>
      <c r="DC294" s="409">
        <f t="shared" si="342"/>
        <v>0</v>
      </c>
      <c r="DD294" s="409">
        <f t="shared" si="342"/>
        <v>0</v>
      </c>
      <c r="DE294" s="409">
        <f t="shared" si="343"/>
        <v>0</v>
      </c>
      <c r="DF294" s="409">
        <f t="shared" si="343"/>
        <v>0</v>
      </c>
      <c r="DG294" s="409">
        <f t="shared" si="343"/>
        <v>0</v>
      </c>
      <c r="DH294" s="409">
        <f t="shared" si="343"/>
        <v>0</v>
      </c>
      <c r="DI294" s="409">
        <f t="shared" si="343"/>
        <v>0</v>
      </c>
      <c r="DJ294" s="409">
        <f t="shared" si="343"/>
        <v>0</v>
      </c>
      <c r="DK294" s="409">
        <f t="shared" si="343"/>
        <v>0</v>
      </c>
      <c r="DL294" s="409">
        <f t="shared" si="343"/>
        <v>0</v>
      </c>
      <c r="DM294" s="409">
        <f t="shared" si="343"/>
        <v>0</v>
      </c>
      <c r="DN294" s="409">
        <f t="shared" si="343"/>
        <v>0</v>
      </c>
      <c r="DO294" s="409">
        <f t="shared" si="344"/>
        <v>0</v>
      </c>
      <c r="DP294" s="409">
        <f t="shared" si="344"/>
        <v>0</v>
      </c>
      <c r="DQ294" s="409">
        <f t="shared" si="344"/>
        <v>0</v>
      </c>
      <c r="DR294" s="409">
        <f t="shared" si="344"/>
        <v>0</v>
      </c>
      <c r="DS294" s="409">
        <f t="shared" si="344"/>
        <v>0</v>
      </c>
      <c r="DT294" s="409">
        <f t="shared" si="344"/>
        <v>0</v>
      </c>
      <c r="DU294" s="409">
        <f t="shared" si="344"/>
        <v>0</v>
      </c>
      <c r="DV294" s="409">
        <f t="shared" si="344"/>
        <v>0</v>
      </c>
      <c r="DW294" s="409">
        <f t="shared" si="344"/>
        <v>0</v>
      </c>
      <c r="DX294" s="409">
        <f t="shared" si="344"/>
        <v>0</v>
      </c>
      <c r="DY294" s="409">
        <f t="shared" si="345"/>
        <v>0</v>
      </c>
      <c r="DZ294" s="409">
        <f t="shared" si="345"/>
        <v>0</v>
      </c>
      <c r="EA294" s="409">
        <f t="shared" si="345"/>
        <v>0</v>
      </c>
      <c r="EB294" s="409">
        <f t="shared" si="345"/>
        <v>0</v>
      </c>
      <c r="EC294" s="409">
        <f t="shared" si="345"/>
        <v>0</v>
      </c>
      <c r="ED294" s="409">
        <f t="shared" si="345"/>
        <v>0</v>
      </c>
      <c r="EE294" s="409">
        <f t="shared" si="345"/>
        <v>0</v>
      </c>
      <c r="EF294" s="409">
        <f t="shared" si="345"/>
        <v>0</v>
      </c>
      <c r="EG294" s="409">
        <f t="shared" si="345"/>
        <v>0</v>
      </c>
      <c r="EH294" s="409">
        <f t="shared" si="345"/>
        <v>0</v>
      </c>
      <c r="EI294" s="409">
        <f t="shared" si="346"/>
        <v>0</v>
      </c>
      <c r="EJ294" s="409">
        <f t="shared" si="346"/>
        <v>0</v>
      </c>
      <c r="EK294" s="409">
        <f t="shared" si="346"/>
        <v>0</v>
      </c>
      <c r="EL294" s="409">
        <f t="shared" si="346"/>
        <v>0</v>
      </c>
      <c r="EM294" s="409">
        <f t="shared" si="346"/>
        <v>0</v>
      </c>
      <c r="EN294" s="409">
        <f t="shared" si="346"/>
        <v>0</v>
      </c>
      <c r="EO294" s="409">
        <f t="shared" si="346"/>
        <v>0</v>
      </c>
      <c r="EP294" s="409">
        <f t="shared" si="346"/>
        <v>0</v>
      </c>
      <c r="EQ294" s="409">
        <f t="shared" si="346"/>
        <v>0</v>
      </c>
      <c r="ER294" s="409">
        <f t="shared" si="346"/>
        <v>0</v>
      </c>
      <c r="ES294" s="409">
        <f t="shared" si="347"/>
        <v>0</v>
      </c>
      <c r="ET294" s="409">
        <f t="shared" si="347"/>
        <v>0</v>
      </c>
      <c r="EU294" s="409">
        <f t="shared" si="347"/>
        <v>0</v>
      </c>
      <c r="EV294" s="409">
        <f t="shared" si="347"/>
        <v>0</v>
      </c>
      <c r="EW294" s="409">
        <f t="shared" si="347"/>
        <v>0</v>
      </c>
      <c r="EX294" s="409">
        <f t="shared" si="347"/>
        <v>0</v>
      </c>
      <c r="EY294" s="409">
        <f t="shared" si="347"/>
        <v>0</v>
      </c>
      <c r="EZ294" s="409">
        <f t="shared" si="347"/>
        <v>0</v>
      </c>
      <c r="FA294" s="409">
        <f t="shared" si="347"/>
        <v>0</v>
      </c>
      <c r="FB294" s="409">
        <f t="shared" si="347"/>
        <v>0</v>
      </c>
      <c r="FC294" s="409">
        <f t="shared" si="348"/>
        <v>0</v>
      </c>
      <c r="FD294" s="409">
        <f t="shared" si="348"/>
        <v>0</v>
      </c>
      <c r="FE294" s="409">
        <f t="shared" si="348"/>
        <v>0</v>
      </c>
      <c r="FF294" s="409">
        <f t="shared" si="348"/>
        <v>0</v>
      </c>
      <c r="FG294" s="409">
        <f t="shared" si="348"/>
        <v>0</v>
      </c>
      <c r="FH294" s="409">
        <f t="shared" si="348"/>
        <v>0</v>
      </c>
      <c r="FI294" s="409">
        <f t="shared" si="348"/>
        <v>0</v>
      </c>
      <c r="FJ294" s="409">
        <f t="shared" si="348"/>
        <v>0</v>
      </c>
      <c r="FK294" s="409">
        <f t="shared" si="348"/>
        <v>0</v>
      </c>
      <c r="FL294" s="409">
        <f t="shared" si="348"/>
        <v>0</v>
      </c>
      <c r="FM294" s="409">
        <f t="shared" si="349"/>
        <v>0</v>
      </c>
      <c r="FN294" s="409">
        <f t="shared" si="349"/>
        <v>0</v>
      </c>
      <c r="FO294" s="409">
        <f t="shared" si="349"/>
        <v>0</v>
      </c>
      <c r="FP294" s="409">
        <f t="shared" si="349"/>
        <v>0</v>
      </c>
      <c r="FQ294" s="409">
        <f t="shared" si="349"/>
        <v>0</v>
      </c>
      <c r="FR294" s="409">
        <f t="shared" si="349"/>
        <v>0</v>
      </c>
      <c r="FS294" s="409">
        <f t="shared" si="349"/>
        <v>0</v>
      </c>
      <c r="FT294" s="409">
        <f t="shared" si="349"/>
        <v>0</v>
      </c>
      <c r="FU294" s="409">
        <f t="shared" si="349"/>
        <v>0</v>
      </c>
      <c r="FV294" s="409">
        <f t="shared" si="349"/>
        <v>0</v>
      </c>
      <c r="FW294" s="409">
        <f t="shared" si="350"/>
        <v>0</v>
      </c>
      <c r="FX294" s="409">
        <f t="shared" si="350"/>
        <v>0</v>
      </c>
      <c r="FY294" s="409">
        <f t="shared" si="350"/>
        <v>0</v>
      </c>
      <c r="FZ294" s="409">
        <f t="shared" si="350"/>
        <v>0</v>
      </c>
      <c r="GA294" s="409">
        <f t="shared" si="350"/>
        <v>0</v>
      </c>
      <c r="GB294" s="409">
        <f t="shared" si="350"/>
        <v>0</v>
      </c>
      <c r="GC294" s="409">
        <f t="shared" si="350"/>
        <v>0</v>
      </c>
      <c r="GD294" s="409">
        <f t="shared" si="350"/>
        <v>0</v>
      </c>
      <c r="GE294" s="409">
        <f t="shared" si="350"/>
        <v>0</v>
      </c>
      <c r="GF294" s="409">
        <f t="shared" si="350"/>
        <v>0</v>
      </c>
      <c r="GG294" s="409">
        <f t="shared" si="351"/>
        <v>0</v>
      </c>
      <c r="GH294" s="409">
        <f t="shared" si="351"/>
        <v>0</v>
      </c>
      <c r="GI294" s="409">
        <f t="shared" si="351"/>
        <v>0</v>
      </c>
      <c r="GJ294" s="409">
        <f t="shared" si="351"/>
        <v>0</v>
      </c>
      <c r="GK294" s="409">
        <f t="shared" si="351"/>
        <v>0</v>
      </c>
      <c r="GL294" s="409">
        <f t="shared" si="351"/>
        <v>0</v>
      </c>
      <c r="GM294" s="409">
        <f t="shared" si="351"/>
        <v>0</v>
      </c>
      <c r="GN294" s="409">
        <f t="shared" si="351"/>
        <v>0</v>
      </c>
      <c r="GO294" s="409">
        <f t="shared" si="351"/>
        <v>0</v>
      </c>
      <c r="GP294" s="409">
        <f t="shared" si="351"/>
        <v>0</v>
      </c>
      <c r="GQ294" s="409">
        <f t="shared" si="352"/>
        <v>0</v>
      </c>
      <c r="GR294" s="409">
        <f t="shared" si="352"/>
        <v>0</v>
      </c>
      <c r="GS294" s="409">
        <f t="shared" si="352"/>
        <v>0</v>
      </c>
      <c r="GT294" s="409">
        <f t="shared" si="352"/>
        <v>0</v>
      </c>
      <c r="GU294" s="409">
        <f t="shared" si="352"/>
        <v>0</v>
      </c>
      <c r="GV294" s="409">
        <f t="shared" si="352"/>
        <v>0</v>
      </c>
      <c r="GW294" s="409">
        <f t="shared" si="352"/>
        <v>0</v>
      </c>
      <c r="GX294" s="409">
        <f t="shared" si="352"/>
        <v>0</v>
      </c>
      <c r="GY294" s="409">
        <f t="shared" si="352"/>
        <v>0</v>
      </c>
      <c r="GZ294" s="409">
        <f t="shared" si="352"/>
        <v>0</v>
      </c>
      <c r="HA294" s="409">
        <f t="shared" si="353"/>
        <v>0</v>
      </c>
      <c r="HB294" s="409">
        <f t="shared" si="353"/>
        <v>0</v>
      </c>
      <c r="HC294" s="409">
        <f t="shared" si="353"/>
        <v>0</v>
      </c>
      <c r="HD294" s="409">
        <f t="shared" si="353"/>
        <v>0</v>
      </c>
      <c r="HE294" s="409">
        <f t="shared" si="353"/>
        <v>0</v>
      </c>
      <c r="HF294" s="409">
        <f t="shared" si="353"/>
        <v>0</v>
      </c>
      <c r="HG294" s="409">
        <f t="shared" si="353"/>
        <v>0</v>
      </c>
      <c r="HH294" s="409">
        <f t="shared" si="353"/>
        <v>0</v>
      </c>
      <c r="HI294" s="409">
        <f t="shared" si="353"/>
        <v>0</v>
      </c>
      <c r="HJ294" s="409">
        <f t="shared" si="353"/>
        <v>0</v>
      </c>
      <c r="HK294" s="409">
        <f t="shared" si="354"/>
        <v>0</v>
      </c>
      <c r="HL294" s="409">
        <f t="shared" si="354"/>
        <v>0</v>
      </c>
      <c r="HM294" s="409">
        <f t="shared" si="354"/>
        <v>0</v>
      </c>
      <c r="HN294" s="409">
        <f t="shared" si="354"/>
        <v>0</v>
      </c>
      <c r="HO294" s="409">
        <f t="shared" si="354"/>
        <v>0</v>
      </c>
      <c r="HP294" s="409">
        <f t="shared" si="354"/>
        <v>0</v>
      </c>
      <c r="HQ294" s="409">
        <f t="shared" si="354"/>
        <v>0</v>
      </c>
      <c r="HR294" s="409">
        <f t="shared" si="354"/>
        <v>0</v>
      </c>
      <c r="HS294" s="409">
        <f t="shared" si="354"/>
        <v>0</v>
      </c>
      <c r="HT294" s="409">
        <f t="shared" si="354"/>
        <v>0</v>
      </c>
      <c r="HU294" s="409">
        <f t="shared" si="355"/>
        <v>0</v>
      </c>
      <c r="HV294" s="409">
        <f t="shared" si="355"/>
        <v>0</v>
      </c>
      <c r="HW294" s="409">
        <f t="shared" si="355"/>
        <v>0</v>
      </c>
      <c r="HX294" s="409">
        <f t="shared" si="355"/>
        <v>0</v>
      </c>
      <c r="HY294" s="409">
        <f t="shared" si="355"/>
        <v>0</v>
      </c>
      <c r="HZ294" s="409">
        <f t="shared" si="355"/>
        <v>0</v>
      </c>
      <c r="IA294" s="409">
        <f t="shared" si="355"/>
        <v>0</v>
      </c>
      <c r="IB294" s="409">
        <f t="shared" si="355"/>
        <v>0</v>
      </c>
      <c r="IC294" s="409">
        <f t="shared" si="355"/>
        <v>0</v>
      </c>
      <c r="ID294" s="409">
        <f t="shared" si="355"/>
        <v>0</v>
      </c>
      <c r="IE294" s="409">
        <f t="shared" si="356"/>
        <v>0</v>
      </c>
      <c r="IF294" s="409">
        <f t="shared" si="356"/>
        <v>0</v>
      </c>
      <c r="IG294" s="409">
        <f t="shared" si="356"/>
        <v>0</v>
      </c>
      <c r="IH294" s="409">
        <f t="shared" si="356"/>
        <v>0</v>
      </c>
      <c r="II294" s="409">
        <f t="shared" si="356"/>
        <v>0</v>
      </c>
      <c r="IJ294" s="409">
        <f t="shared" si="356"/>
        <v>0</v>
      </c>
      <c r="IK294" s="378"/>
    </row>
    <row r="295" spans="1:245" hidden="1" x14ac:dyDescent="0.2">
      <c r="A295" s="380" t="str">
        <f t="shared" si="377"/>
        <v>e</v>
      </c>
      <c r="B295" s="712" t="str">
        <f>IF(ISERROR(INDEX('Legend(DX)'!$H$14:$H$15,8)),"",INDEX('Legend(DX)'!$H$14:$H$15,8))</f>
        <v/>
      </c>
      <c r="C295" s="712" t="e">
        <f>IF(INDEX('Legend(DX)'!$T$14:$T$15,8)=0,"See Legend",INDEX('Legend(DX)'!$T$14:$T$15,8))</f>
        <v>#REF!</v>
      </c>
      <c r="D295" s="712" t="e">
        <f>IF(INDEX('Legend(DX)'!$R$14:$R$15,8)=0,"---",INDEX('Legend(DX)'!$R$14:$R$15,8))</f>
        <v>#REF!</v>
      </c>
      <c r="E295" s="713" t="str">
        <f>IF(ISERROR(INDEX('Legend(DX)'!$AA$14:$AA$15,8)),"",INDEX('Legend(DX)'!$AA$14:$AA$15,8))</f>
        <v/>
      </c>
      <c r="F295" s="715"/>
      <c r="G295" s="715"/>
      <c r="H295" s="715"/>
      <c r="I295" s="715"/>
      <c r="J295" s="715"/>
      <c r="K295" s="890">
        <f t="shared" si="358"/>
        <v>0</v>
      </c>
      <c r="L295" s="718"/>
      <c r="M295" s="720"/>
      <c r="N295" s="972">
        <f t="shared" si="330"/>
        <v>-1</v>
      </c>
      <c r="O295" s="972">
        <f t="shared" si="378"/>
        <v>-1</v>
      </c>
      <c r="P295" s="972">
        <f t="shared" si="331"/>
        <v>-1</v>
      </c>
      <c r="Q295" s="972">
        <f t="shared" si="379"/>
        <v>-1</v>
      </c>
      <c r="R295" s="972">
        <f t="shared" si="332"/>
        <v>-1</v>
      </c>
      <c r="S295" s="972">
        <f t="shared" si="380"/>
        <v>-1</v>
      </c>
      <c r="T295" s="972">
        <f t="shared" si="333"/>
        <v>-1</v>
      </c>
      <c r="U295" s="972">
        <f t="shared" si="381"/>
        <v>-1</v>
      </c>
      <c r="V295" s="972">
        <f t="shared" si="334"/>
        <v>-1</v>
      </c>
      <c r="W295" s="972">
        <f t="shared" si="382"/>
        <v>-1</v>
      </c>
      <c r="X295" s="972">
        <f t="shared" si="335"/>
        <v>-1</v>
      </c>
      <c r="Y295" s="972">
        <f t="shared" si="364"/>
        <v>-1</v>
      </c>
      <c r="Z295" s="972">
        <f t="shared" si="365"/>
        <v>-1</v>
      </c>
      <c r="AA295" s="972">
        <f t="shared" si="366"/>
        <v>-1</v>
      </c>
      <c r="AB295" s="972">
        <f t="shared" si="367"/>
        <v>-1</v>
      </c>
      <c r="AC295" s="972">
        <f t="shared" si="368"/>
        <v>-1</v>
      </c>
      <c r="AD295" s="972">
        <f t="shared" si="369"/>
        <v>-1</v>
      </c>
      <c r="AE295" s="972">
        <f t="shared" si="370"/>
        <v>-1</v>
      </c>
      <c r="AF295" s="972">
        <f t="shared" si="371"/>
        <v>-1</v>
      </c>
      <c r="AG295" s="972">
        <f t="shared" si="372"/>
        <v>-1</v>
      </c>
      <c r="AH295" s="972">
        <f t="shared" si="373"/>
        <v>-1</v>
      </c>
      <c r="AI295" s="972">
        <f t="shared" si="374"/>
        <v>-1</v>
      </c>
      <c r="AJ295" s="972">
        <f t="shared" si="375"/>
        <v>-1</v>
      </c>
      <c r="AK295" s="381"/>
      <c r="AL295" s="727" t="str">
        <f t="shared" si="383"/>
        <v/>
      </c>
      <c r="AM295" s="409">
        <f t="shared" si="336"/>
        <v>0</v>
      </c>
      <c r="AN295" s="409">
        <f t="shared" si="336"/>
        <v>0</v>
      </c>
      <c r="AO295" s="409">
        <f t="shared" si="336"/>
        <v>0</v>
      </c>
      <c r="AP295" s="409">
        <f t="shared" si="336"/>
        <v>0</v>
      </c>
      <c r="AQ295" s="409">
        <f t="shared" si="336"/>
        <v>0</v>
      </c>
      <c r="AR295" s="409">
        <f t="shared" si="336"/>
        <v>0</v>
      </c>
      <c r="AS295" s="409">
        <f t="shared" si="336"/>
        <v>0</v>
      </c>
      <c r="AT295" s="409">
        <f t="shared" si="336"/>
        <v>0</v>
      </c>
      <c r="AU295" s="409">
        <f t="shared" si="336"/>
        <v>0</v>
      </c>
      <c r="AV295" s="409">
        <f t="shared" si="336"/>
        <v>0</v>
      </c>
      <c r="AW295" s="409">
        <f t="shared" si="337"/>
        <v>0</v>
      </c>
      <c r="AX295" s="409">
        <f t="shared" si="337"/>
        <v>0</v>
      </c>
      <c r="AY295" s="409">
        <f t="shared" si="337"/>
        <v>0</v>
      </c>
      <c r="AZ295" s="409">
        <f t="shared" si="337"/>
        <v>0</v>
      </c>
      <c r="BA295" s="409">
        <f t="shared" si="337"/>
        <v>0</v>
      </c>
      <c r="BB295" s="409">
        <f t="shared" si="337"/>
        <v>0</v>
      </c>
      <c r="BC295" s="409">
        <f t="shared" si="337"/>
        <v>0</v>
      </c>
      <c r="BD295" s="409">
        <f t="shared" si="337"/>
        <v>0</v>
      </c>
      <c r="BE295" s="409">
        <f t="shared" si="337"/>
        <v>0</v>
      </c>
      <c r="BF295" s="409">
        <f t="shared" si="337"/>
        <v>0</v>
      </c>
      <c r="BG295" s="409">
        <f t="shared" si="338"/>
        <v>0</v>
      </c>
      <c r="BH295" s="409">
        <f t="shared" si="338"/>
        <v>0</v>
      </c>
      <c r="BI295" s="409">
        <f t="shared" si="338"/>
        <v>0</v>
      </c>
      <c r="BJ295" s="409">
        <f t="shared" si="338"/>
        <v>0</v>
      </c>
      <c r="BK295" s="409">
        <f t="shared" si="338"/>
        <v>0</v>
      </c>
      <c r="BL295" s="409">
        <f t="shared" si="338"/>
        <v>0</v>
      </c>
      <c r="BM295" s="409">
        <f t="shared" si="338"/>
        <v>0</v>
      </c>
      <c r="BN295" s="409">
        <f t="shared" si="338"/>
        <v>0</v>
      </c>
      <c r="BO295" s="409">
        <f t="shared" si="338"/>
        <v>0</v>
      </c>
      <c r="BP295" s="409">
        <f t="shared" si="338"/>
        <v>0</v>
      </c>
      <c r="BQ295" s="409">
        <f t="shared" si="339"/>
        <v>0</v>
      </c>
      <c r="BR295" s="409">
        <f t="shared" si="339"/>
        <v>0</v>
      </c>
      <c r="BS295" s="409">
        <f t="shared" si="339"/>
        <v>0</v>
      </c>
      <c r="BT295" s="409">
        <f t="shared" si="339"/>
        <v>0</v>
      </c>
      <c r="BU295" s="409">
        <f t="shared" si="339"/>
        <v>0</v>
      </c>
      <c r="BV295" s="409">
        <f t="shared" si="339"/>
        <v>0</v>
      </c>
      <c r="BW295" s="409">
        <f t="shared" si="339"/>
        <v>0</v>
      </c>
      <c r="BX295" s="409">
        <f t="shared" si="339"/>
        <v>0</v>
      </c>
      <c r="BY295" s="409">
        <f t="shared" si="339"/>
        <v>0</v>
      </c>
      <c r="BZ295" s="409">
        <f t="shared" si="339"/>
        <v>0</v>
      </c>
      <c r="CA295" s="409">
        <f t="shared" si="340"/>
        <v>0</v>
      </c>
      <c r="CB295" s="409">
        <f t="shared" si="340"/>
        <v>0</v>
      </c>
      <c r="CC295" s="409">
        <f t="shared" si="340"/>
        <v>0</v>
      </c>
      <c r="CD295" s="409">
        <f t="shared" si="340"/>
        <v>0</v>
      </c>
      <c r="CE295" s="409">
        <f t="shared" si="340"/>
        <v>0</v>
      </c>
      <c r="CF295" s="409">
        <f t="shared" si="340"/>
        <v>0</v>
      </c>
      <c r="CG295" s="409">
        <f t="shared" si="340"/>
        <v>0</v>
      </c>
      <c r="CH295" s="409">
        <f t="shared" si="340"/>
        <v>0</v>
      </c>
      <c r="CI295" s="409">
        <f t="shared" si="340"/>
        <v>0</v>
      </c>
      <c r="CJ295" s="409">
        <f t="shared" si="340"/>
        <v>0</v>
      </c>
      <c r="CK295" s="409">
        <f t="shared" si="341"/>
        <v>0</v>
      </c>
      <c r="CL295" s="409">
        <f t="shared" si="341"/>
        <v>0</v>
      </c>
      <c r="CM295" s="409">
        <f t="shared" si="341"/>
        <v>0</v>
      </c>
      <c r="CN295" s="409">
        <f t="shared" si="341"/>
        <v>0</v>
      </c>
      <c r="CO295" s="409">
        <f t="shared" si="341"/>
        <v>0</v>
      </c>
      <c r="CP295" s="409">
        <f t="shared" si="341"/>
        <v>0</v>
      </c>
      <c r="CQ295" s="409">
        <f t="shared" si="341"/>
        <v>0</v>
      </c>
      <c r="CR295" s="409">
        <f t="shared" si="341"/>
        <v>0</v>
      </c>
      <c r="CS295" s="409">
        <f t="shared" si="341"/>
        <v>0</v>
      </c>
      <c r="CT295" s="409">
        <f t="shared" si="341"/>
        <v>0</v>
      </c>
      <c r="CU295" s="409">
        <f t="shared" si="342"/>
        <v>0</v>
      </c>
      <c r="CV295" s="409">
        <f t="shared" si="342"/>
        <v>0</v>
      </c>
      <c r="CW295" s="409">
        <f t="shared" si="342"/>
        <v>0</v>
      </c>
      <c r="CX295" s="409">
        <f t="shared" si="342"/>
        <v>0</v>
      </c>
      <c r="CY295" s="409">
        <f t="shared" si="342"/>
        <v>0</v>
      </c>
      <c r="CZ295" s="409">
        <f t="shared" si="342"/>
        <v>0</v>
      </c>
      <c r="DA295" s="409">
        <f t="shared" si="342"/>
        <v>0</v>
      </c>
      <c r="DB295" s="409">
        <f t="shared" si="342"/>
        <v>0</v>
      </c>
      <c r="DC295" s="409">
        <f t="shared" si="342"/>
        <v>0</v>
      </c>
      <c r="DD295" s="409">
        <f t="shared" si="342"/>
        <v>0</v>
      </c>
      <c r="DE295" s="409">
        <f t="shared" si="343"/>
        <v>0</v>
      </c>
      <c r="DF295" s="409">
        <f t="shared" si="343"/>
        <v>0</v>
      </c>
      <c r="DG295" s="409">
        <f t="shared" si="343"/>
        <v>0</v>
      </c>
      <c r="DH295" s="409">
        <f t="shared" si="343"/>
        <v>0</v>
      </c>
      <c r="DI295" s="409">
        <f t="shared" si="343"/>
        <v>0</v>
      </c>
      <c r="DJ295" s="409">
        <f t="shared" si="343"/>
        <v>0</v>
      </c>
      <c r="DK295" s="409">
        <f t="shared" si="343"/>
        <v>0</v>
      </c>
      <c r="DL295" s="409">
        <f t="shared" si="343"/>
        <v>0</v>
      </c>
      <c r="DM295" s="409">
        <f t="shared" si="343"/>
        <v>0</v>
      </c>
      <c r="DN295" s="409">
        <f t="shared" si="343"/>
        <v>0</v>
      </c>
      <c r="DO295" s="409">
        <f t="shared" si="344"/>
        <v>0</v>
      </c>
      <c r="DP295" s="409">
        <f t="shared" si="344"/>
        <v>0</v>
      </c>
      <c r="DQ295" s="409">
        <f t="shared" si="344"/>
        <v>0</v>
      </c>
      <c r="DR295" s="409">
        <f t="shared" si="344"/>
        <v>0</v>
      </c>
      <c r="DS295" s="409">
        <f t="shared" si="344"/>
        <v>0</v>
      </c>
      <c r="DT295" s="409">
        <f t="shared" si="344"/>
        <v>0</v>
      </c>
      <c r="DU295" s="409">
        <f t="shared" si="344"/>
        <v>0</v>
      </c>
      <c r="DV295" s="409">
        <f t="shared" si="344"/>
        <v>0</v>
      </c>
      <c r="DW295" s="409">
        <f t="shared" si="344"/>
        <v>0</v>
      </c>
      <c r="DX295" s="409">
        <f t="shared" si="344"/>
        <v>0</v>
      </c>
      <c r="DY295" s="409">
        <f t="shared" si="345"/>
        <v>0</v>
      </c>
      <c r="DZ295" s="409">
        <f t="shared" si="345"/>
        <v>0</v>
      </c>
      <c r="EA295" s="409">
        <f t="shared" si="345"/>
        <v>0</v>
      </c>
      <c r="EB295" s="409">
        <f t="shared" si="345"/>
        <v>0</v>
      </c>
      <c r="EC295" s="409">
        <f t="shared" si="345"/>
        <v>0</v>
      </c>
      <c r="ED295" s="409">
        <f t="shared" si="345"/>
        <v>0</v>
      </c>
      <c r="EE295" s="409">
        <f t="shared" si="345"/>
        <v>0</v>
      </c>
      <c r="EF295" s="409">
        <f t="shared" si="345"/>
        <v>0</v>
      </c>
      <c r="EG295" s="409">
        <f t="shared" si="345"/>
        <v>0</v>
      </c>
      <c r="EH295" s="409">
        <f t="shared" si="345"/>
        <v>0</v>
      </c>
      <c r="EI295" s="409">
        <f t="shared" si="346"/>
        <v>0</v>
      </c>
      <c r="EJ295" s="409">
        <f t="shared" si="346"/>
        <v>0</v>
      </c>
      <c r="EK295" s="409">
        <f t="shared" si="346"/>
        <v>0</v>
      </c>
      <c r="EL295" s="409">
        <f t="shared" si="346"/>
        <v>0</v>
      </c>
      <c r="EM295" s="409">
        <f t="shared" si="346"/>
        <v>0</v>
      </c>
      <c r="EN295" s="409">
        <f t="shared" si="346"/>
        <v>0</v>
      </c>
      <c r="EO295" s="409">
        <f t="shared" si="346"/>
        <v>0</v>
      </c>
      <c r="EP295" s="409">
        <f t="shared" si="346"/>
        <v>0</v>
      </c>
      <c r="EQ295" s="409">
        <f t="shared" si="346"/>
        <v>0</v>
      </c>
      <c r="ER295" s="409">
        <f t="shared" si="346"/>
        <v>0</v>
      </c>
      <c r="ES295" s="409">
        <f t="shared" si="347"/>
        <v>0</v>
      </c>
      <c r="ET295" s="409">
        <f t="shared" si="347"/>
        <v>0</v>
      </c>
      <c r="EU295" s="409">
        <f t="shared" si="347"/>
        <v>0</v>
      </c>
      <c r="EV295" s="409">
        <f t="shared" si="347"/>
        <v>0</v>
      </c>
      <c r="EW295" s="409">
        <f t="shared" si="347"/>
        <v>0</v>
      </c>
      <c r="EX295" s="409">
        <f t="shared" si="347"/>
        <v>0</v>
      </c>
      <c r="EY295" s="409">
        <f t="shared" si="347"/>
        <v>0</v>
      </c>
      <c r="EZ295" s="409">
        <f t="shared" si="347"/>
        <v>0</v>
      </c>
      <c r="FA295" s="409">
        <f t="shared" si="347"/>
        <v>0</v>
      </c>
      <c r="FB295" s="409">
        <f t="shared" si="347"/>
        <v>0</v>
      </c>
      <c r="FC295" s="409">
        <f t="shared" si="348"/>
        <v>0</v>
      </c>
      <c r="FD295" s="409">
        <f t="shared" si="348"/>
        <v>0</v>
      </c>
      <c r="FE295" s="409">
        <f t="shared" si="348"/>
        <v>0</v>
      </c>
      <c r="FF295" s="409">
        <f t="shared" si="348"/>
        <v>0</v>
      </c>
      <c r="FG295" s="409">
        <f t="shared" si="348"/>
        <v>0</v>
      </c>
      <c r="FH295" s="409">
        <f t="shared" si="348"/>
        <v>0</v>
      </c>
      <c r="FI295" s="409">
        <f t="shared" si="348"/>
        <v>0</v>
      </c>
      <c r="FJ295" s="409">
        <f t="shared" si="348"/>
        <v>0</v>
      </c>
      <c r="FK295" s="409">
        <f t="shared" si="348"/>
        <v>0</v>
      </c>
      <c r="FL295" s="409">
        <f t="shared" si="348"/>
        <v>0</v>
      </c>
      <c r="FM295" s="409">
        <f t="shared" si="349"/>
        <v>0</v>
      </c>
      <c r="FN295" s="409">
        <f t="shared" si="349"/>
        <v>0</v>
      </c>
      <c r="FO295" s="409">
        <f t="shared" si="349"/>
        <v>0</v>
      </c>
      <c r="FP295" s="409">
        <f t="shared" si="349"/>
        <v>0</v>
      </c>
      <c r="FQ295" s="409">
        <f t="shared" si="349"/>
        <v>0</v>
      </c>
      <c r="FR295" s="409">
        <f t="shared" si="349"/>
        <v>0</v>
      </c>
      <c r="FS295" s="409">
        <f t="shared" si="349"/>
        <v>0</v>
      </c>
      <c r="FT295" s="409">
        <f t="shared" si="349"/>
        <v>0</v>
      </c>
      <c r="FU295" s="409">
        <f t="shared" si="349"/>
        <v>0</v>
      </c>
      <c r="FV295" s="409">
        <f t="shared" si="349"/>
        <v>0</v>
      </c>
      <c r="FW295" s="409">
        <f t="shared" si="350"/>
        <v>0</v>
      </c>
      <c r="FX295" s="409">
        <f t="shared" si="350"/>
        <v>0</v>
      </c>
      <c r="FY295" s="409">
        <f t="shared" si="350"/>
        <v>0</v>
      </c>
      <c r="FZ295" s="409">
        <f t="shared" si="350"/>
        <v>0</v>
      </c>
      <c r="GA295" s="409">
        <f t="shared" si="350"/>
        <v>0</v>
      </c>
      <c r="GB295" s="409">
        <f t="shared" si="350"/>
        <v>0</v>
      </c>
      <c r="GC295" s="409">
        <f t="shared" si="350"/>
        <v>0</v>
      </c>
      <c r="GD295" s="409">
        <f t="shared" si="350"/>
        <v>0</v>
      </c>
      <c r="GE295" s="409">
        <f t="shared" si="350"/>
        <v>0</v>
      </c>
      <c r="GF295" s="409">
        <f t="shared" si="350"/>
        <v>0</v>
      </c>
      <c r="GG295" s="409">
        <f t="shared" si="351"/>
        <v>0</v>
      </c>
      <c r="GH295" s="409">
        <f t="shared" si="351"/>
        <v>0</v>
      </c>
      <c r="GI295" s="409">
        <f t="shared" si="351"/>
        <v>0</v>
      </c>
      <c r="GJ295" s="409">
        <f t="shared" si="351"/>
        <v>0</v>
      </c>
      <c r="GK295" s="409">
        <f t="shared" si="351"/>
        <v>0</v>
      </c>
      <c r="GL295" s="409">
        <f t="shared" si="351"/>
        <v>0</v>
      </c>
      <c r="GM295" s="409">
        <f t="shared" si="351"/>
        <v>0</v>
      </c>
      <c r="GN295" s="409">
        <f t="shared" si="351"/>
        <v>0</v>
      </c>
      <c r="GO295" s="409">
        <f t="shared" si="351"/>
        <v>0</v>
      </c>
      <c r="GP295" s="409">
        <f t="shared" si="351"/>
        <v>0</v>
      </c>
      <c r="GQ295" s="409">
        <f t="shared" si="352"/>
        <v>0</v>
      </c>
      <c r="GR295" s="409">
        <f t="shared" si="352"/>
        <v>0</v>
      </c>
      <c r="GS295" s="409">
        <f t="shared" si="352"/>
        <v>0</v>
      </c>
      <c r="GT295" s="409">
        <f t="shared" si="352"/>
        <v>0</v>
      </c>
      <c r="GU295" s="409">
        <f t="shared" si="352"/>
        <v>0</v>
      </c>
      <c r="GV295" s="409">
        <f t="shared" si="352"/>
        <v>0</v>
      </c>
      <c r="GW295" s="409">
        <f t="shared" si="352"/>
        <v>0</v>
      </c>
      <c r="GX295" s="409">
        <f t="shared" si="352"/>
        <v>0</v>
      </c>
      <c r="GY295" s="409">
        <f t="shared" si="352"/>
        <v>0</v>
      </c>
      <c r="GZ295" s="409">
        <f t="shared" si="352"/>
        <v>0</v>
      </c>
      <c r="HA295" s="409">
        <f t="shared" si="353"/>
        <v>0</v>
      </c>
      <c r="HB295" s="409">
        <f t="shared" si="353"/>
        <v>0</v>
      </c>
      <c r="HC295" s="409">
        <f t="shared" si="353"/>
        <v>0</v>
      </c>
      <c r="HD295" s="409">
        <f t="shared" si="353"/>
        <v>0</v>
      </c>
      <c r="HE295" s="409">
        <f t="shared" si="353"/>
        <v>0</v>
      </c>
      <c r="HF295" s="409">
        <f t="shared" si="353"/>
        <v>0</v>
      </c>
      <c r="HG295" s="409">
        <f t="shared" si="353"/>
        <v>0</v>
      </c>
      <c r="HH295" s="409">
        <f t="shared" si="353"/>
        <v>0</v>
      </c>
      <c r="HI295" s="409">
        <f t="shared" si="353"/>
        <v>0</v>
      </c>
      <c r="HJ295" s="409">
        <f t="shared" si="353"/>
        <v>0</v>
      </c>
      <c r="HK295" s="409">
        <f t="shared" si="354"/>
        <v>0</v>
      </c>
      <c r="HL295" s="409">
        <f t="shared" si="354"/>
        <v>0</v>
      </c>
      <c r="HM295" s="409">
        <f t="shared" si="354"/>
        <v>0</v>
      </c>
      <c r="HN295" s="409">
        <f t="shared" si="354"/>
        <v>0</v>
      </c>
      <c r="HO295" s="409">
        <f t="shared" si="354"/>
        <v>0</v>
      </c>
      <c r="HP295" s="409">
        <f t="shared" si="354"/>
        <v>0</v>
      </c>
      <c r="HQ295" s="409">
        <f t="shared" si="354"/>
        <v>0</v>
      </c>
      <c r="HR295" s="409">
        <f t="shared" si="354"/>
        <v>0</v>
      </c>
      <c r="HS295" s="409">
        <f t="shared" si="354"/>
        <v>0</v>
      </c>
      <c r="HT295" s="409">
        <f t="shared" si="354"/>
        <v>0</v>
      </c>
      <c r="HU295" s="409">
        <f t="shared" si="355"/>
        <v>0</v>
      </c>
      <c r="HV295" s="409">
        <f t="shared" si="355"/>
        <v>0</v>
      </c>
      <c r="HW295" s="409">
        <f t="shared" si="355"/>
        <v>0</v>
      </c>
      <c r="HX295" s="409">
        <f t="shared" si="355"/>
        <v>0</v>
      </c>
      <c r="HY295" s="409">
        <f t="shared" si="355"/>
        <v>0</v>
      </c>
      <c r="HZ295" s="409">
        <f t="shared" si="355"/>
        <v>0</v>
      </c>
      <c r="IA295" s="409">
        <f t="shared" si="355"/>
        <v>0</v>
      </c>
      <c r="IB295" s="409">
        <f t="shared" si="355"/>
        <v>0</v>
      </c>
      <c r="IC295" s="409">
        <f t="shared" si="355"/>
        <v>0</v>
      </c>
      <c r="ID295" s="409">
        <f t="shared" si="355"/>
        <v>0</v>
      </c>
      <c r="IE295" s="409">
        <f t="shared" si="356"/>
        <v>0</v>
      </c>
      <c r="IF295" s="409">
        <f t="shared" si="356"/>
        <v>0</v>
      </c>
      <c r="IG295" s="409">
        <f t="shared" si="356"/>
        <v>0</v>
      </c>
      <c r="IH295" s="409">
        <f t="shared" si="356"/>
        <v>0</v>
      </c>
      <c r="II295" s="409">
        <f t="shared" si="356"/>
        <v>0</v>
      </c>
      <c r="IJ295" s="409">
        <f t="shared" si="356"/>
        <v>0</v>
      </c>
      <c r="IK295" s="378"/>
    </row>
    <row r="296" spans="1:245" hidden="1" x14ac:dyDescent="0.2">
      <c r="A296" s="380" t="str">
        <f t="shared" si="377"/>
        <v>e</v>
      </c>
      <c r="B296" s="712" t="str">
        <f>IF(ISERROR(INDEX('Legend(DX)'!$H$14:$H$15,9)),"",INDEX('Legend(DX)'!$H$14:$H$15,9))</f>
        <v/>
      </c>
      <c r="C296" s="712" t="e">
        <f>IF(INDEX('Legend(DX)'!$T$14:$T$15,9)=0,"See Legend",INDEX('Legend(DX)'!$T$14:$T$15,9))</f>
        <v>#REF!</v>
      </c>
      <c r="D296" s="712" t="e">
        <f>IF(INDEX('Legend(DX)'!$R$14:$R$15,9)=0,"---",INDEX('Legend(DX)'!$R$14:$R$15,9))</f>
        <v>#REF!</v>
      </c>
      <c r="E296" s="713" t="str">
        <f>IF(ISERROR(INDEX('Legend(DX)'!$AA$14:$AA$15,9)),"",INDEX('Legend(DX)'!$AA$14:$AA$15,9))</f>
        <v/>
      </c>
      <c r="F296" s="715"/>
      <c r="G296" s="715"/>
      <c r="H296" s="715"/>
      <c r="I296" s="715"/>
      <c r="J296" s="715"/>
      <c r="K296" s="890">
        <f t="shared" si="358"/>
        <v>0</v>
      </c>
      <c r="L296" s="718"/>
      <c r="M296" s="720"/>
      <c r="N296" s="972">
        <f t="shared" si="330"/>
        <v>-1</v>
      </c>
      <c r="O296" s="972">
        <f t="shared" si="378"/>
        <v>-1</v>
      </c>
      <c r="P296" s="972">
        <f t="shared" si="331"/>
        <v>-1</v>
      </c>
      <c r="Q296" s="972">
        <f t="shared" si="379"/>
        <v>-1</v>
      </c>
      <c r="R296" s="972">
        <f t="shared" si="332"/>
        <v>-1</v>
      </c>
      <c r="S296" s="972">
        <f t="shared" si="380"/>
        <v>-1</v>
      </c>
      <c r="T296" s="972">
        <f t="shared" si="333"/>
        <v>-1</v>
      </c>
      <c r="U296" s="972">
        <f t="shared" si="381"/>
        <v>-1</v>
      </c>
      <c r="V296" s="972">
        <f t="shared" si="334"/>
        <v>-1</v>
      </c>
      <c r="W296" s="972">
        <f t="shared" si="382"/>
        <v>-1</v>
      </c>
      <c r="X296" s="972">
        <f t="shared" si="335"/>
        <v>-1</v>
      </c>
      <c r="Y296" s="972">
        <f t="shared" si="364"/>
        <v>-1</v>
      </c>
      <c r="Z296" s="972">
        <f t="shared" si="365"/>
        <v>-1</v>
      </c>
      <c r="AA296" s="972">
        <f t="shared" si="366"/>
        <v>-1</v>
      </c>
      <c r="AB296" s="972">
        <f t="shared" si="367"/>
        <v>-1</v>
      </c>
      <c r="AC296" s="972">
        <f t="shared" si="368"/>
        <v>-1</v>
      </c>
      <c r="AD296" s="972">
        <f t="shared" si="369"/>
        <v>-1</v>
      </c>
      <c r="AE296" s="972">
        <f t="shared" si="370"/>
        <v>-1</v>
      </c>
      <c r="AF296" s="972">
        <f t="shared" si="371"/>
        <v>-1</v>
      </c>
      <c r="AG296" s="972">
        <f t="shared" si="372"/>
        <v>-1</v>
      </c>
      <c r="AH296" s="972">
        <f t="shared" si="373"/>
        <v>-1</v>
      </c>
      <c r="AI296" s="972">
        <f t="shared" si="374"/>
        <v>-1</v>
      </c>
      <c r="AJ296" s="972">
        <f t="shared" si="375"/>
        <v>-1</v>
      </c>
      <c r="AK296" s="381"/>
      <c r="AL296" s="727" t="str">
        <f t="shared" si="383"/>
        <v/>
      </c>
      <c r="AM296" s="409">
        <f t="shared" si="336"/>
        <v>0</v>
      </c>
      <c r="AN296" s="409">
        <f t="shared" si="336"/>
        <v>0</v>
      </c>
      <c r="AO296" s="409">
        <f t="shared" si="336"/>
        <v>0</v>
      </c>
      <c r="AP296" s="409">
        <f t="shared" si="336"/>
        <v>0</v>
      </c>
      <c r="AQ296" s="409">
        <f t="shared" si="336"/>
        <v>0</v>
      </c>
      <c r="AR296" s="409">
        <f t="shared" si="336"/>
        <v>0</v>
      </c>
      <c r="AS296" s="409">
        <f t="shared" si="336"/>
        <v>0</v>
      </c>
      <c r="AT296" s="409">
        <f t="shared" si="336"/>
        <v>0</v>
      </c>
      <c r="AU296" s="409">
        <f t="shared" si="336"/>
        <v>0</v>
      </c>
      <c r="AV296" s="409">
        <f t="shared" si="336"/>
        <v>0</v>
      </c>
      <c r="AW296" s="409">
        <f t="shared" si="337"/>
        <v>0</v>
      </c>
      <c r="AX296" s="409">
        <f t="shared" si="337"/>
        <v>0</v>
      </c>
      <c r="AY296" s="409">
        <f t="shared" si="337"/>
        <v>0</v>
      </c>
      <c r="AZ296" s="409">
        <f t="shared" si="337"/>
        <v>0</v>
      </c>
      <c r="BA296" s="409">
        <f t="shared" si="337"/>
        <v>0</v>
      </c>
      <c r="BB296" s="409">
        <f t="shared" si="337"/>
        <v>0</v>
      </c>
      <c r="BC296" s="409">
        <f t="shared" si="337"/>
        <v>0</v>
      </c>
      <c r="BD296" s="409">
        <f t="shared" si="337"/>
        <v>0</v>
      </c>
      <c r="BE296" s="409">
        <f t="shared" si="337"/>
        <v>0</v>
      </c>
      <c r="BF296" s="409">
        <f t="shared" si="337"/>
        <v>0</v>
      </c>
      <c r="BG296" s="409">
        <f t="shared" si="338"/>
        <v>0</v>
      </c>
      <c r="BH296" s="409">
        <f t="shared" si="338"/>
        <v>0</v>
      </c>
      <c r="BI296" s="409">
        <f t="shared" si="338"/>
        <v>0</v>
      </c>
      <c r="BJ296" s="409">
        <f t="shared" si="338"/>
        <v>0</v>
      </c>
      <c r="BK296" s="409">
        <f t="shared" si="338"/>
        <v>0</v>
      </c>
      <c r="BL296" s="409">
        <f t="shared" si="338"/>
        <v>0</v>
      </c>
      <c r="BM296" s="409">
        <f t="shared" si="338"/>
        <v>0</v>
      </c>
      <c r="BN296" s="409">
        <f t="shared" si="338"/>
        <v>0</v>
      </c>
      <c r="BO296" s="409">
        <f t="shared" si="338"/>
        <v>0</v>
      </c>
      <c r="BP296" s="409">
        <f t="shared" si="338"/>
        <v>0</v>
      </c>
      <c r="BQ296" s="409">
        <f t="shared" si="339"/>
        <v>0</v>
      </c>
      <c r="BR296" s="409">
        <f t="shared" si="339"/>
        <v>0</v>
      </c>
      <c r="BS296" s="409">
        <f t="shared" si="339"/>
        <v>0</v>
      </c>
      <c r="BT296" s="409">
        <f t="shared" si="339"/>
        <v>0</v>
      </c>
      <c r="BU296" s="409">
        <f t="shared" si="339"/>
        <v>0</v>
      </c>
      <c r="BV296" s="409">
        <f t="shared" si="339"/>
        <v>0</v>
      </c>
      <c r="BW296" s="409">
        <f t="shared" si="339"/>
        <v>0</v>
      </c>
      <c r="BX296" s="409">
        <f t="shared" si="339"/>
        <v>0</v>
      </c>
      <c r="BY296" s="409">
        <f t="shared" si="339"/>
        <v>0</v>
      </c>
      <c r="BZ296" s="409">
        <f t="shared" si="339"/>
        <v>0</v>
      </c>
      <c r="CA296" s="409">
        <f t="shared" si="340"/>
        <v>0</v>
      </c>
      <c r="CB296" s="409">
        <f t="shared" si="340"/>
        <v>0</v>
      </c>
      <c r="CC296" s="409">
        <f t="shared" si="340"/>
        <v>0</v>
      </c>
      <c r="CD296" s="409">
        <f t="shared" si="340"/>
        <v>0</v>
      </c>
      <c r="CE296" s="409">
        <f t="shared" si="340"/>
        <v>0</v>
      </c>
      <c r="CF296" s="409">
        <f t="shared" si="340"/>
        <v>0</v>
      </c>
      <c r="CG296" s="409">
        <f t="shared" si="340"/>
        <v>0</v>
      </c>
      <c r="CH296" s="409">
        <f t="shared" si="340"/>
        <v>0</v>
      </c>
      <c r="CI296" s="409">
        <f t="shared" si="340"/>
        <v>0</v>
      </c>
      <c r="CJ296" s="409">
        <f t="shared" si="340"/>
        <v>0</v>
      </c>
      <c r="CK296" s="409">
        <f t="shared" si="341"/>
        <v>0</v>
      </c>
      <c r="CL296" s="409">
        <f t="shared" si="341"/>
        <v>0</v>
      </c>
      <c r="CM296" s="409">
        <f t="shared" si="341"/>
        <v>0</v>
      </c>
      <c r="CN296" s="409">
        <f t="shared" si="341"/>
        <v>0</v>
      </c>
      <c r="CO296" s="409">
        <f t="shared" si="341"/>
        <v>0</v>
      </c>
      <c r="CP296" s="409">
        <f t="shared" si="341"/>
        <v>0</v>
      </c>
      <c r="CQ296" s="409">
        <f t="shared" si="341"/>
        <v>0</v>
      </c>
      <c r="CR296" s="409">
        <f t="shared" si="341"/>
        <v>0</v>
      </c>
      <c r="CS296" s="409">
        <f t="shared" si="341"/>
        <v>0</v>
      </c>
      <c r="CT296" s="409">
        <f t="shared" si="341"/>
        <v>0</v>
      </c>
      <c r="CU296" s="409">
        <f t="shared" si="342"/>
        <v>0</v>
      </c>
      <c r="CV296" s="409">
        <f t="shared" si="342"/>
        <v>0</v>
      </c>
      <c r="CW296" s="409">
        <f t="shared" si="342"/>
        <v>0</v>
      </c>
      <c r="CX296" s="409">
        <f t="shared" si="342"/>
        <v>0</v>
      </c>
      <c r="CY296" s="409">
        <f t="shared" si="342"/>
        <v>0</v>
      </c>
      <c r="CZ296" s="409">
        <f t="shared" si="342"/>
        <v>0</v>
      </c>
      <c r="DA296" s="409">
        <f t="shared" si="342"/>
        <v>0</v>
      </c>
      <c r="DB296" s="409">
        <f t="shared" si="342"/>
        <v>0</v>
      </c>
      <c r="DC296" s="409">
        <f t="shared" si="342"/>
        <v>0</v>
      </c>
      <c r="DD296" s="409">
        <f t="shared" si="342"/>
        <v>0</v>
      </c>
      <c r="DE296" s="409">
        <f t="shared" si="343"/>
        <v>0</v>
      </c>
      <c r="DF296" s="409">
        <f t="shared" si="343"/>
        <v>0</v>
      </c>
      <c r="DG296" s="409">
        <f t="shared" si="343"/>
        <v>0</v>
      </c>
      <c r="DH296" s="409">
        <f t="shared" si="343"/>
        <v>0</v>
      </c>
      <c r="DI296" s="409">
        <f t="shared" si="343"/>
        <v>0</v>
      </c>
      <c r="DJ296" s="409">
        <f t="shared" si="343"/>
        <v>0</v>
      </c>
      <c r="DK296" s="409">
        <f t="shared" si="343"/>
        <v>0</v>
      </c>
      <c r="DL296" s="409">
        <f t="shared" si="343"/>
        <v>0</v>
      </c>
      <c r="DM296" s="409">
        <f t="shared" si="343"/>
        <v>0</v>
      </c>
      <c r="DN296" s="409">
        <f t="shared" si="343"/>
        <v>0</v>
      </c>
      <c r="DO296" s="409">
        <f t="shared" si="344"/>
        <v>0</v>
      </c>
      <c r="DP296" s="409">
        <f t="shared" si="344"/>
        <v>0</v>
      </c>
      <c r="DQ296" s="409">
        <f t="shared" si="344"/>
        <v>0</v>
      </c>
      <c r="DR296" s="409">
        <f t="shared" si="344"/>
        <v>0</v>
      </c>
      <c r="DS296" s="409">
        <f t="shared" si="344"/>
        <v>0</v>
      </c>
      <c r="DT296" s="409">
        <f t="shared" si="344"/>
        <v>0</v>
      </c>
      <c r="DU296" s="409">
        <f t="shared" si="344"/>
        <v>0</v>
      </c>
      <c r="DV296" s="409">
        <f t="shared" si="344"/>
        <v>0</v>
      </c>
      <c r="DW296" s="409">
        <f t="shared" si="344"/>
        <v>0</v>
      </c>
      <c r="DX296" s="409">
        <f t="shared" si="344"/>
        <v>0</v>
      </c>
      <c r="DY296" s="409">
        <f t="shared" si="345"/>
        <v>0</v>
      </c>
      <c r="DZ296" s="409">
        <f t="shared" si="345"/>
        <v>0</v>
      </c>
      <c r="EA296" s="409">
        <f t="shared" si="345"/>
        <v>0</v>
      </c>
      <c r="EB296" s="409">
        <f t="shared" si="345"/>
        <v>0</v>
      </c>
      <c r="EC296" s="409">
        <f t="shared" si="345"/>
        <v>0</v>
      </c>
      <c r="ED296" s="409">
        <f t="shared" si="345"/>
        <v>0</v>
      </c>
      <c r="EE296" s="409">
        <f t="shared" si="345"/>
        <v>0</v>
      </c>
      <c r="EF296" s="409">
        <f t="shared" si="345"/>
        <v>0</v>
      </c>
      <c r="EG296" s="409">
        <f t="shared" si="345"/>
        <v>0</v>
      </c>
      <c r="EH296" s="409">
        <f t="shared" si="345"/>
        <v>0</v>
      </c>
      <c r="EI296" s="409">
        <f t="shared" si="346"/>
        <v>0</v>
      </c>
      <c r="EJ296" s="409">
        <f t="shared" si="346"/>
        <v>0</v>
      </c>
      <c r="EK296" s="409">
        <f t="shared" si="346"/>
        <v>0</v>
      </c>
      <c r="EL296" s="409">
        <f t="shared" si="346"/>
        <v>0</v>
      </c>
      <c r="EM296" s="409">
        <f t="shared" si="346"/>
        <v>0</v>
      </c>
      <c r="EN296" s="409">
        <f t="shared" si="346"/>
        <v>0</v>
      </c>
      <c r="EO296" s="409">
        <f t="shared" si="346"/>
        <v>0</v>
      </c>
      <c r="EP296" s="409">
        <f t="shared" si="346"/>
        <v>0</v>
      </c>
      <c r="EQ296" s="409">
        <f t="shared" si="346"/>
        <v>0</v>
      </c>
      <c r="ER296" s="409">
        <f t="shared" si="346"/>
        <v>0</v>
      </c>
      <c r="ES296" s="409">
        <f t="shared" si="347"/>
        <v>0</v>
      </c>
      <c r="ET296" s="409">
        <f t="shared" si="347"/>
        <v>0</v>
      </c>
      <c r="EU296" s="409">
        <f t="shared" si="347"/>
        <v>0</v>
      </c>
      <c r="EV296" s="409">
        <f t="shared" si="347"/>
        <v>0</v>
      </c>
      <c r="EW296" s="409">
        <f t="shared" si="347"/>
        <v>0</v>
      </c>
      <c r="EX296" s="409">
        <f t="shared" si="347"/>
        <v>0</v>
      </c>
      <c r="EY296" s="409">
        <f t="shared" si="347"/>
        <v>0</v>
      </c>
      <c r="EZ296" s="409">
        <f t="shared" si="347"/>
        <v>0</v>
      </c>
      <c r="FA296" s="409">
        <f t="shared" si="347"/>
        <v>0</v>
      </c>
      <c r="FB296" s="409">
        <f t="shared" si="347"/>
        <v>0</v>
      </c>
      <c r="FC296" s="409">
        <f t="shared" si="348"/>
        <v>0</v>
      </c>
      <c r="FD296" s="409">
        <f t="shared" si="348"/>
        <v>0</v>
      </c>
      <c r="FE296" s="409">
        <f t="shared" si="348"/>
        <v>0</v>
      </c>
      <c r="FF296" s="409">
        <f t="shared" si="348"/>
        <v>0</v>
      </c>
      <c r="FG296" s="409">
        <f t="shared" si="348"/>
        <v>0</v>
      </c>
      <c r="FH296" s="409">
        <f t="shared" si="348"/>
        <v>0</v>
      </c>
      <c r="FI296" s="409">
        <f t="shared" si="348"/>
        <v>0</v>
      </c>
      <c r="FJ296" s="409">
        <f t="shared" si="348"/>
        <v>0</v>
      </c>
      <c r="FK296" s="409">
        <f t="shared" si="348"/>
        <v>0</v>
      </c>
      <c r="FL296" s="409">
        <f t="shared" si="348"/>
        <v>0</v>
      </c>
      <c r="FM296" s="409">
        <f t="shared" si="349"/>
        <v>0</v>
      </c>
      <c r="FN296" s="409">
        <f t="shared" si="349"/>
        <v>0</v>
      </c>
      <c r="FO296" s="409">
        <f t="shared" si="349"/>
        <v>0</v>
      </c>
      <c r="FP296" s="409">
        <f t="shared" si="349"/>
        <v>0</v>
      </c>
      <c r="FQ296" s="409">
        <f t="shared" si="349"/>
        <v>0</v>
      </c>
      <c r="FR296" s="409">
        <f t="shared" si="349"/>
        <v>0</v>
      </c>
      <c r="FS296" s="409">
        <f t="shared" si="349"/>
        <v>0</v>
      </c>
      <c r="FT296" s="409">
        <f t="shared" si="349"/>
        <v>0</v>
      </c>
      <c r="FU296" s="409">
        <f t="shared" si="349"/>
        <v>0</v>
      </c>
      <c r="FV296" s="409">
        <f t="shared" si="349"/>
        <v>0</v>
      </c>
      <c r="FW296" s="409">
        <f t="shared" si="350"/>
        <v>0</v>
      </c>
      <c r="FX296" s="409">
        <f t="shared" si="350"/>
        <v>0</v>
      </c>
      <c r="FY296" s="409">
        <f t="shared" si="350"/>
        <v>0</v>
      </c>
      <c r="FZ296" s="409">
        <f t="shared" si="350"/>
        <v>0</v>
      </c>
      <c r="GA296" s="409">
        <f t="shared" si="350"/>
        <v>0</v>
      </c>
      <c r="GB296" s="409">
        <f t="shared" si="350"/>
        <v>0</v>
      </c>
      <c r="GC296" s="409">
        <f t="shared" si="350"/>
        <v>0</v>
      </c>
      <c r="GD296" s="409">
        <f t="shared" si="350"/>
        <v>0</v>
      </c>
      <c r="GE296" s="409">
        <f t="shared" si="350"/>
        <v>0</v>
      </c>
      <c r="GF296" s="409">
        <f t="shared" si="350"/>
        <v>0</v>
      </c>
      <c r="GG296" s="409">
        <f t="shared" si="351"/>
        <v>0</v>
      </c>
      <c r="GH296" s="409">
        <f t="shared" si="351"/>
        <v>0</v>
      </c>
      <c r="GI296" s="409">
        <f t="shared" si="351"/>
        <v>0</v>
      </c>
      <c r="GJ296" s="409">
        <f t="shared" si="351"/>
        <v>0</v>
      </c>
      <c r="GK296" s="409">
        <f t="shared" si="351"/>
        <v>0</v>
      </c>
      <c r="GL296" s="409">
        <f t="shared" si="351"/>
        <v>0</v>
      </c>
      <c r="GM296" s="409">
        <f t="shared" si="351"/>
        <v>0</v>
      </c>
      <c r="GN296" s="409">
        <f t="shared" si="351"/>
        <v>0</v>
      </c>
      <c r="GO296" s="409">
        <f t="shared" si="351"/>
        <v>0</v>
      </c>
      <c r="GP296" s="409">
        <f t="shared" si="351"/>
        <v>0</v>
      </c>
      <c r="GQ296" s="409">
        <f t="shared" si="352"/>
        <v>0</v>
      </c>
      <c r="GR296" s="409">
        <f t="shared" si="352"/>
        <v>0</v>
      </c>
      <c r="GS296" s="409">
        <f t="shared" si="352"/>
        <v>0</v>
      </c>
      <c r="GT296" s="409">
        <f t="shared" si="352"/>
        <v>0</v>
      </c>
      <c r="GU296" s="409">
        <f t="shared" si="352"/>
        <v>0</v>
      </c>
      <c r="GV296" s="409">
        <f t="shared" si="352"/>
        <v>0</v>
      </c>
      <c r="GW296" s="409">
        <f t="shared" si="352"/>
        <v>0</v>
      </c>
      <c r="GX296" s="409">
        <f t="shared" si="352"/>
        <v>0</v>
      </c>
      <c r="GY296" s="409">
        <f t="shared" si="352"/>
        <v>0</v>
      </c>
      <c r="GZ296" s="409">
        <f t="shared" si="352"/>
        <v>0</v>
      </c>
      <c r="HA296" s="409">
        <f t="shared" si="353"/>
        <v>0</v>
      </c>
      <c r="HB296" s="409">
        <f t="shared" si="353"/>
        <v>0</v>
      </c>
      <c r="HC296" s="409">
        <f t="shared" si="353"/>
        <v>0</v>
      </c>
      <c r="HD296" s="409">
        <f t="shared" si="353"/>
        <v>0</v>
      </c>
      <c r="HE296" s="409">
        <f t="shared" si="353"/>
        <v>0</v>
      </c>
      <c r="HF296" s="409">
        <f t="shared" si="353"/>
        <v>0</v>
      </c>
      <c r="HG296" s="409">
        <f t="shared" si="353"/>
        <v>0</v>
      </c>
      <c r="HH296" s="409">
        <f t="shared" si="353"/>
        <v>0</v>
      </c>
      <c r="HI296" s="409">
        <f t="shared" si="353"/>
        <v>0</v>
      </c>
      <c r="HJ296" s="409">
        <f t="shared" si="353"/>
        <v>0</v>
      </c>
      <c r="HK296" s="409">
        <f t="shared" si="354"/>
        <v>0</v>
      </c>
      <c r="HL296" s="409">
        <f t="shared" si="354"/>
        <v>0</v>
      </c>
      <c r="HM296" s="409">
        <f t="shared" si="354"/>
        <v>0</v>
      </c>
      <c r="HN296" s="409">
        <f t="shared" si="354"/>
        <v>0</v>
      </c>
      <c r="HO296" s="409">
        <f t="shared" si="354"/>
        <v>0</v>
      </c>
      <c r="HP296" s="409">
        <f t="shared" si="354"/>
        <v>0</v>
      </c>
      <c r="HQ296" s="409">
        <f t="shared" si="354"/>
        <v>0</v>
      </c>
      <c r="HR296" s="409">
        <f t="shared" si="354"/>
        <v>0</v>
      </c>
      <c r="HS296" s="409">
        <f t="shared" si="354"/>
        <v>0</v>
      </c>
      <c r="HT296" s="409">
        <f t="shared" si="354"/>
        <v>0</v>
      </c>
      <c r="HU296" s="409">
        <f t="shared" si="355"/>
        <v>0</v>
      </c>
      <c r="HV296" s="409">
        <f t="shared" si="355"/>
        <v>0</v>
      </c>
      <c r="HW296" s="409">
        <f t="shared" si="355"/>
        <v>0</v>
      </c>
      <c r="HX296" s="409">
        <f t="shared" si="355"/>
        <v>0</v>
      </c>
      <c r="HY296" s="409">
        <f t="shared" si="355"/>
        <v>0</v>
      </c>
      <c r="HZ296" s="409">
        <f t="shared" si="355"/>
        <v>0</v>
      </c>
      <c r="IA296" s="409">
        <f t="shared" si="355"/>
        <v>0</v>
      </c>
      <c r="IB296" s="409">
        <f t="shared" si="355"/>
        <v>0</v>
      </c>
      <c r="IC296" s="409">
        <f t="shared" si="355"/>
        <v>0</v>
      </c>
      <c r="ID296" s="409">
        <f t="shared" si="355"/>
        <v>0</v>
      </c>
      <c r="IE296" s="409">
        <f t="shared" si="356"/>
        <v>0</v>
      </c>
      <c r="IF296" s="409">
        <f t="shared" si="356"/>
        <v>0</v>
      </c>
      <c r="IG296" s="409">
        <f t="shared" si="356"/>
        <v>0</v>
      </c>
      <c r="IH296" s="409">
        <f t="shared" si="356"/>
        <v>0</v>
      </c>
      <c r="II296" s="409">
        <f t="shared" si="356"/>
        <v>0</v>
      </c>
      <c r="IJ296" s="409">
        <f t="shared" si="356"/>
        <v>0</v>
      </c>
      <c r="IK296" s="378"/>
    </row>
    <row r="297" spans="1:245" hidden="1" x14ac:dyDescent="0.2">
      <c r="A297" s="380" t="str">
        <f t="shared" si="377"/>
        <v>e</v>
      </c>
      <c r="B297" s="712" t="str">
        <f>IF(ISERROR(INDEX('Legend(DX)'!$H$14:$H$15,10)),"",INDEX('Legend(DX)'!$H$14:$H$15,10))</f>
        <v/>
      </c>
      <c r="C297" s="712" t="e">
        <f>IF(INDEX('Legend(DX)'!$T$14:$T$15,10)=0,"See Legend",INDEX('Legend(DX)'!$T$14:$T$15,10))</f>
        <v>#REF!</v>
      </c>
      <c r="D297" s="712" t="e">
        <f>IF(INDEX('Legend(DX)'!$R$14:$R$15,10)=0,"---",INDEX('Legend(DX)'!$R$14:$R$15,10))</f>
        <v>#REF!</v>
      </c>
      <c r="E297" s="713" t="str">
        <f>IF(ISERROR(INDEX('Legend(DX)'!$AA$14:$AA$15,10)),"",INDEX('Legend(DX)'!$AA$14:$AA$15,10))</f>
        <v/>
      </c>
      <c r="F297" s="715"/>
      <c r="G297" s="715"/>
      <c r="H297" s="715"/>
      <c r="I297" s="715"/>
      <c r="J297" s="715"/>
      <c r="K297" s="890">
        <f t="shared" si="358"/>
        <v>0</v>
      </c>
      <c r="L297" s="718"/>
      <c r="M297" s="720"/>
      <c r="N297" s="972">
        <f t="shared" si="330"/>
        <v>-1</v>
      </c>
      <c r="O297" s="972">
        <f t="shared" si="378"/>
        <v>-1</v>
      </c>
      <c r="P297" s="972">
        <f t="shared" si="331"/>
        <v>-1</v>
      </c>
      <c r="Q297" s="972">
        <f t="shared" si="379"/>
        <v>-1</v>
      </c>
      <c r="R297" s="972">
        <f t="shared" si="332"/>
        <v>-1</v>
      </c>
      <c r="S297" s="972">
        <f t="shared" si="380"/>
        <v>-1</v>
      </c>
      <c r="T297" s="972">
        <f t="shared" si="333"/>
        <v>-1</v>
      </c>
      <c r="U297" s="972">
        <f t="shared" si="381"/>
        <v>-1</v>
      </c>
      <c r="V297" s="972">
        <f t="shared" si="334"/>
        <v>-1</v>
      </c>
      <c r="W297" s="972">
        <f t="shared" si="382"/>
        <v>-1</v>
      </c>
      <c r="X297" s="972">
        <f t="shared" si="335"/>
        <v>-1</v>
      </c>
      <c r="Y297" s="972">
        <f t="shared" si="364"/>
        <v>-1</v>
      </c>
      <c r="Z297" s="972">
        <f t="shared" si="365"/>
        <v>-1</v>
      </c>
      <c r="AA297" s="972">
        <f t="shared" si="366"/>
        <v>-1</v>
      </c>
      <c r="AB297" s="972">
        <f t="shared" si="367"/>
        <v>-1</v>
      </c>
      <c r="AC297" s="972">
        <f t="shared" si="368"/>
        <v>-1</v>
      </c>
      <c r="AD297" s="972">
        <f t="shared" si="369"/>
        <v>-1</v>
      </c>
      <c r="AE297" s="972">
        <f t="shared" si="370"/>
        <v>-1</v>
      </c>
      <c r="AF297" s="972">
        <f t="shared" si="371"/>
        <v>-1</v>
      </c>
      <c r="AG297" s="972">
        <f t="shared" si="372"/>
        <v>-1</v>
      </c>
      <c r="AH297" s="972">
        <f t="shared" si="373"/>
        <v>-1</v>
      </c>
      <c r="AI297" s="972">
        <f t="shared" si="374"/>
        <v>-1</v>
      </c>
      <c r="AJ297" s="972">
        <f t="shared" si="375"/>
        <v>-1</v>
      </c>
      <c r="AK297" s="381"/>
      <c r="AL297" s="727" t="str">
        <f t="shared" si="383"/>
        <v/>
      </c>
      <c r="AM297" s="409">
        <f t="shared" si="336"/>
        <v>0</v>
      </c>
      <c r="AN297" s="409">
        <f t="shared" si="336"/>
        <v>0</v>
      </c>
      <c r="AO297" s="409">
        <f t="shared" si="336"/>
        <v>0</v>
      </c>
      <c r="AP297" s="409">
        <f t="shared" si="336"/>
        <v>0</v>
      </c>
      <c r="AQ297" s="409">
        <f t="shared" si="336"/>
        <v>0</v>
      </c>
      <c r="AR297" s="409">
        <f t="shared" si="336"/>
        <v>0</v>
      </c>
      <c r="AS297" s="409">
        <f t="shared" si="336"/>
        <v>0</v>
      </c>
      <c r="AT297" s="409">
        <f t="shared" si="336"/>
        <v>0</v>
      </c>
      <c r="AU297" s="409">
        <f t="shared" si="336"/>
        <v>0</v>
      </c>
      <c r="AV297" s="409">
        <f t="shared" si="336"/>
        <v>0</v>
      </c>
      <c r="AW297" s="409">
        <f t="shared" si="337"/>
        <v>0</v>
      </c>
      <c r="AX297" s="409">
        <f t="shared" si="337"/>
        <v>0</v>
      </c>
      <c r="AY297" s="409">
        <f t="shared" si="337"/>
        <v>0</v>
      </c>
      <c r="AZ297" s="409">
        <f t="shared" si="337"/>
        <v>0</v>
      </c>
      <c r="BA297" s="409">
        <f t="shared" si="337"/>
        <v>0</v>
      </c>
      <c r="BB297" s="409">
        <f t="shared" si="337"/>
        <v>0</v>
      </c>
      <c r="BC297" s="409">
        <f t="shared" si="337"/>
        <v>0</v>
      </c>
      <c r="BD297" s="409">
        <f t="shared" si="337"/>
        <v>0</v>
      </c>
      <c r="BE297" s="409">
        <f t="shared" si="337"/>
        <v>0</v>
      </c>
      <c r="BF297" s="409">
        <f t="shared" si="337"/>
        <v>0</v>
      </c>
      <c r="BG297" s="409">
        <f t="shared" si="338"/>
        <v>0</v>
      </c>
      <c r="BH297" s="409">
        <f t="shared" si="338"/>
        <v>0</v>
      </c>
      <c r="BI297" s="409">
        <f t="shared" si="338"/>
        <v>0</v>
      </c>
      <c r="BJ297" s="409">
        <f t="shared" si="338"/>
        <v>0</v>
      </c>
      <c r="BK297" s="409">
        <f t="shared" si="338"/>
        <v>0</v>
      </c>
      <c r="BL297" s="409">
        <f t="shared" si="338"/>
        <v>0</v>
      </c>
      <c r="BM297" s="409">
        <f t="shared" si="338"/>
        <v>0</v>
      </c>
      <c r="BN297" s="409">
        <f t="shared" si="338"/>
        <v>0</v>
      </c>
      <c r="BO297" s="409">
        <f t="shared" si="338"/>
        <v>0</v>
      </c>
      <c r="BP297" s="409">
        <f t="shared" si="338"/>
        <v>0</v>
      </c>
      <c r="BQ297" s="409">
        <f t="shared" si="339"/>
        <v>0</v>
      </c>
      <c r="BR297" s="409">
        <f t="shared" si="339"/>
        <v>0</v>
      </c>
      <c r="BS297" s="409">
        <f t="shared" si="339"/>
        <v>0</v>
      </c>
      <c r="BT297" s="409">
        <f t="shared" si="339"/>
        <v>0</v>
      </c>
      <c r="BU297" s="409">
        <f t="shared" si="339"/>
        <v>0</v>
      </c>
      <c r="BV297" s="409">
        <f t="shared" si="339"/>
        <v>0</v>
      </c>
      <c r="BW297" s="409">
        <f t="shared" si="339"/>
        <v>0</v>
      </c>
      <c r="BX297" s="409">
        <f t="shared" si="339"/>
        <v>0</v>
      </c>
      <c r="BY297" s="409">
        <f t="shared" si="339"/>
        <v>0</v>
      </c>
      <c r="BZ297" s="409">
        <f t="shared" si="339"/>
        <v>0</v>
      </c>
      <c r="CA297" s="409">
        <f t="shared" si="340"/>
        <v>0</v>
      </c>
      <c r="CB297" s="409">
        <f t="shared" si="340"/>
        <v>0</v>
      </c>
      <c r="CC297" s="409">
        <f t="shared" si="340"/>
        <v>0</v>
      </c>
      <c r="CD297" s="409">
        <f t="shared" si="340"/>
        <v>0</v>
      </c>
      <c r="CE297" s="409">
        <f t="shared" si="340"/>
        <v>0</v>
      </c>
      <c r="CF297" s="409">
        <f t="shared" si="340"/>
        <v>0</v>
      </c>
      <c r="CG297" s="409">
        <f t="shared" si="340"/>
        <v>0</v>
      </c>
      <c r="CH297" s="409">
        <f t="shared" si="340"/>
        <v>0</v>
      </c>
      <c r="CI297" s="409">
        <f t="shared" si="340"/>
        <v>0</v>
      </c>
      <c r="CJ297" s="409">
        <f t="shared" si="340"/>
        <v>0</v>
      </c>
      <c r="CK297" s="409">
        <f t="shared" si="341"/>
        <v>0</v>
      </c>
      <c r="CL297" s="409">
        <f t="shared" si="341"/>
        <v>0</v>
      </c>
      <c r="CM297" s="409">
        <f t="shared" si="341"/>
        <v>0</v>
      </c>
      <c r="CN297" s="409">
        <f t="shared" si="341"/>
        <v>0</v>
      </c>
      <c r="CO297" s="409">
        <f t="shared" si="341"/>
        <v>0</v>
      </c>
      <c r="CP297" s="409">
        <f t="shared" si="341"/>
        <v>0</v>
      </c>
      <c r="CQ297" s="409">
        <f t="shared" si="341"/>
        <v>0</v>
      </c>
      <c r="CR297" s="409">
        <f t="shared" si="341"/>
        <v>0</v>
      </c>
      <c r="CS297" s="409">
        <f t="shared" si="341"/>
        <v>0</v>
      </c>
      <c r="CT297" s="409">
        <f t="shared" si="341"/>
        <v>0</v>
      </c>
      <c r="CU297" s="409">
        <f t="shared" si="342"/>
        <v>0</v>
      </c>
      <c r="CV297" s="409">
        <f t="shared" si="342"/>
        <v>0</v>
      </c>
      <c r="CW297" s="409">
        <f t="shared" si="342"/>
        <v>0</v>
      </c>
      <c r="CX297" s="409">
        <f t="shared" si="342"/>
        <v>0</v>
      </c>
      <c r="CY297" s="409">
        <f t="shared" si="342"/>
        <v>0</v>
      </c>
      <c r="CZ297" s="409">
        <f t="shared" si="342"/>
        <v>0</v>
      </c>
      <c r="DA297" s="409">
        <f t="shared" si="342"/>
        <v>0</v>
      </c>
      <c r="DB297" s="409">
        <f t="shared" si="342"/>
        <v>0</v>
      </c>
      <c r="DC297" s="409">
        <f t="shared" si="342"/>
        <v>0</v>
      </c>
      <c r="DD297" s="409">
        <f t="shared" si="342"/>
        <v>0</v>
      </c>
      <c r="DE297" s="409">
        <f t="shared" si="343"/>
        <v>0</v>
      </c>
      <c r="DF297" s="409">
        <f t="shared" si="343"/>
        <v>0</v>
      </c>
      <c r="DG297" s="409">
        <f t="shared" si="343"/>
        <v>0</v>
      </c>
      <c r="DH297" s="409">
        <f t="shared" si="343"/>
        <v>0</v>
      </c>
      <c r="DI297" s="409">
        <f t="shared" si="343"/>
        <v>0</v>
      </c>
      <c r="DJ297" s="409">
        <f t="shared" si="343"/>
        <v>0</v>
      </c>
      <c r="DK297" s="409">
        <f t="shared" si="343"/>
        <v>0</v>
      </c>
      <c r="DL297" s="409">
        <f t="shared" si="343"/>
        <v>0</v>
      </c>
      <c r="DM297" s="409">
        <f t="shared" si="343"/>
        <v>0</v>
      </c>
      <c r="DN297" s="409">
        <f t="shared" si="343"/>
        <v>0</v>
      </c>
      <c r="DO297" s="409">
        <f t="shared" si="344"/>
        <v>0</v>
      </c>
      <c r="DP297" s="409">
        <f t="shared" si="344"/>
        <v>0</v>
      </c>
      <c r="DQ297" s="409">
        <f t="shared" si="344"/>
        <v>0</v>
      </c>
      <c r="DR297" s="409">
        <f t="shared" si="344"/>
        <v>0</v>
      </c>
      <c r="DS297" s="409">
        <f t="shared" si="344"/>
        <v>0</v>
      </c>
      <c r="DT297" s="409">
        <f t="shared" si="344"/>
        <v>0</v>
      </c>
      <c r="DU297" s="409">
        <f t="shared" si="344"/>
        <v>0</v>
      </c>
      <c r="DV297" s="409">
        <f t="shared" si="344"/>
        <v>0</v>
      </c>
      <c r="DW297" s="409">
        <f t="shared" si="344"/>
        <v>0</v>
      </c>
      <c r="DX297" s="409">
        <f t="shared" si="344"/>
        <v>0</v>
      </c>
      <c r="DY297" s="409">
        <f t="shared" si="345"/>
        <v>0</v>
      </c>
      <c r="DZ297" s="409">
        <f t="shared" si="345"/>
        <v>0</v>
      </c>
      <c r="EA297" s="409">
        <f t="shared" si="345"/>
        <v>0</v>
      </c>
      <c r="EB297" s="409">
        <f t="shared" si="345"/>
        <v>0</v>
      </c>
      <c r="EC297" s="409">
        <f t="shared" si="345"/>
        <v>0</v>
      </c>
      <c r="ED297" s="409">
        <f t="shared" si="345"/>
        <v>0</v>
      </c>
      <c r="EE297" s="409">
        <f t="shared" si="345"/>
        <v>0</v>
      </c>
      <c r="EF297" s="409">
        <f t="shared" si="345"/>
        <v>0</v>
      </c>
      <c r="EG297" s="409">
        <f t="shared" si="345"/>
        <v>0</v>
      </c>
      <c r="EH297" s="409">
        <f t="shared" si="345"/>
        <v>0</v>
      </c>
      <c r="EI297" s="409">
        <f t="shared" si="346"/>
        <v>0</v>
      </c>
      <c r="EJ297" s="409">
        <f t="shared" si="346"/>
        <v>0</v>
      </c>
      <c r="EK297" s="409">
        <f t="shared" si="346"/>
        <v>0</v>
      </c>
      <c r="EL297" s="409">
        <f t="shared" si="346"/>
        <v>0</v>
      </c>
      <c r="EM297" s="409">
        <f t="shared" si="346"/>
        <v>0</v>
      </c>
      <c r="EN297" s="409">
        <f t="shared" si="346"/>
        <v>0</v>
      </c>
      <c r="EO297" s="409">
        <f t="shared" si="346"/>
        <v>0</v>
      </c>
      <c r="EP297" s="409">
        <f t="shared" si="346"/>
        <v>0</v>
      </c>
      <c r="EQ297" s="409">
        <f t="shared" si="346"/>
        <v>0</v>
      </c>
      <c r="ER297" s="409">
        <f t="shared" si="346"/>
        <v>0</v>
      </c>
      <c r="ES297" s="409">
        <f t="shared" si="347"/>
        <v>0</v>
      </c>
      <c r="ET297" s="409">
        <f t="shared" si="347"/>
        <v>0</v>
      </c>
      <c r="EU297" s="409">
        <f t="shared" si="347"/>
        <v>0</v>
      </c>
      <c r="EV297" s="409">
        <f t="shared" si="347"/>
        <v>0</v>
      </c>
      <c r="EW297" s="409">
        <f t="shared" si="347"/>
        <v>0</v>
      </c>
      <c r="EX297" s="409">
        <f t="shared" si="347"/>
        <v>0</v>
      </c>
      <c r="EY297" s="409">
        <f t="shared" si="347"/>
        <v>0</v>
      </c>
      <c r="EZ297" s="409">
        <f t="shared" si="347"/>
        <v>0</v>
      </c>
      <c r="FA297" s="409">
        <f t="shared" si="347"/>
        <v>0</v>
      </c>
      <c r="FB297" s="409">
        <f t="shared" si="347"/>
        <v>0</v>
      </c>
      <c r="FC297" s="409">
        <f t="shared" si="348"/>
        <v>0</v>
      </c>
      <c r="FD297" s="409">
        <f t="shared" si="348"/>
        <v>0</v>
      </c>
      <c r="FE297" s="409">
        <f t="shared" si="348"/>
        <v>0</v>
      </c>
      <c r="FF297" s="409">
        <f t="shared" si="348"/>
        <v>0</v>
      </c>
      <c r="FG297" s="409">
        <f t="shared" si="348"/>
        <v>0</v>
      </c>
      <c r="FH297" s="409">
        <f t="shared" si="348"/>
        <v>0</v>
      </c>
      <c r="FI297" s="409">
        <f t="shared" si="348"/>
        <v>0</v>
      </c>
      <c r="FJ297" s="409">
        <f t="shared" si="348"/>
        <v>0</v>
      </c>
      <c r="FK297" s="409">
        <f t="shared" si="348"/>
        <v>0</v>
      </c>
      <c r="FL297" s="409">
        <f t="shared" si="348"/>
        <v>0</v>
      </c>
      <c r="FM297" s="409">
        <f t="shared" si="349"/>
        <v>0</v>
      </c>
      <c r="FN297" s="409">
        <f t="shared" si="349"/>
        <v>0</v>
      </c>
      <c r="FO297" s="409">
        <f t="shared" si="349"/>
        <v>0</v>
      </c>
      <c r="FP297" s="409">
        <f t="shared" si="349"/>
        <v>0</v>
      </c>
      <c r="FQ297" s="409">
        <f t="shared" si="349"/>
        <v>0</v>
      </c>
      <c r="FR297" s="409">
        <f t="shared" si="349"/>
        <v>0</v>
      </c>
      <c r="FS297" s="409">
        <f t="shared" si="349"/>
        <v>0</v>
      </c>
      <c r="FT297" s="409">
        <f t="shared" si="349"/>
        <v>0</v>
      </c>
      <c r="FU297" s="409">
        <f t="shared" si="349"/>
        <v>0</v>
      </c>
      <c r="FV297" s="409">
        <f t="shared" si="349"/>
        <v>0</v>
      </c>
      <c r="FW297" s="409">
        <f t="shared" si="350"/>
        <v>0</v>
      </c>
      <c r="FX297" s="409">
        <f t="shared" si="350"/>
        <v>0</v>
      </c>
      <c r="FY297" s="409">
        <f t="shared" si="350"/>
        <v>0</v>
      </c>
      <c r="FZ297" s="409">
        <f t="shared" si="350"/>
        <v>0</v>
      </c>
      <c r="GA297" s="409">
        <f t="shared" si="350"/>
        <v>0</v>
      </c>
      <c r="GB297" s="409">
        <f t="shared" si="350"/>
        <v>0</v>
      </c>
      <c r="GC297" s="409">
        <f t="shared" si="350"/>
        <v>0</v>
      </c>
      <c r="GD297" s="409">
        <f t="shared" si="350"/>
        <v>0</v>
      </c>
      <c r="GE297" s="409">
        <f t="shared" si="350"/>
        <v>0</v>
      </c>
      <c r="GF297" s="409">
        <f t="shared" si="350"/>
        <v>0</v>
      </c>
      <c r="GG297" s="409">
        <f t="shared" si="351"/>
        <v>0</v>
      </c>
      <c r="GH297" s="409">
        <f t="shared" si="351"/>
        <v>0</v>
      </c>
      <c r="GI297" s="409">
        <f t="shared" si="351"/>
        <v>0</v>
      </c>
      <c r="GJ297" s="409">
        <f t="shared" si="351"/>
        <v>0</v>
      </c>
      <c r="GK297" s="409">
        <f t="shared" si="351"/>
        <v>0</v>
      </c>
      <c r="GL297" s="409">
        <f t="shared" si="351"/>
        <v>0</v>
      </c>
      <c r="GM297" s="409">
        <f t="shared" si="351"/>
        <v>0</v>
      </c>
      <c r="GN297" s="409">
        <f t="shared" si="351"/>
        <v>0</v>
      </c>
      <c r="GO297" s="409">
        <f t="shared" si="351"/>
        <v>0</v>
      </c>
      <c r="GP297" s="409">
        <f t="shared" si="351"/>
        <v>0</v>
      </c>
      <c r="GQ297" s="409">
        <f t="shared" si="352"/>
        <v>0</v>
      </c>
      <c r="GR297" s="409">
        <f t="shared" si="352"/>
        <v>0</v>
      </c>
      <c r="GS297" s="409">
        <f t="shared" si="352"/>
        <v>0</v>
      </c>
      <c r="GT297" s="409">
        <f t="shared" si="352"/>
        <v>0</v>
      </c>
      <c r="GU297" s="409">
        <f t="shared" si="352"/>
        <v>0</v>
      </c>
      <c r="GV297" s="409">
        <f t="shared" si="352"/>
        <v>0</v>
      </c>
      <c r="GW297" s="409">
        <f t="shared" si="352"/>
        <v>0</v>
      </c>
      <c r="GX297" s="409">
        <f t="shared" si="352"/>
        <v>0</v>
      </c>
      <c r="GY297" s="409">
        <f t="shared" si="352"/>
        <v>0</v>
      </c>
      <c r="GZ297" s="409">
        <f t="shared" si="352"/>
        <v>0</v>
      </c>
      <c r="HA297" s="409">
        <f t="shared" si="353"/>
        <v>0</v>
      </c>
      <c r="HB297" s="409">
        <f t="shared" si="353"/>
        <v>0</v>
      </c>
      <c r="HC297" s="409">
        <f t="shared" si="353"/>
        <v>0</v>
      </c>
      <c r="HD297" s="409">
        <f t="shared" si="353"/>
        <v>0</v>
      </c>
      <c r="HE297" s="409">
        <f t="shared" si="353"/>
        <v>0</v>
      </c>
      <c r="HF297" s="409">
        <f t="shared" si="353"/>
        <v>0</v>
      </c>
      <c r="HG297" s="409">
        <f t="shared" si="353"/>
        <v>0</v>
      </c>
      <c r="HH297" s="409">
        <f t="shared" si="353"/>
        <v>0</v>
      </c>
      <c r="HI297" s="409">
        <f t="shared" si="353"/>
        <v>0</v>
      </c>
      <c r="HJ297" s="409">
        <f t="shared" si="353"/>
        <v>0</v>
      </c>
      <c r="HK297" s="409">
        <f t="shared" si="354"/>
        <v>0</v>
      </c>
      <c r="HL297" s="409">
        <f t="shared" si="354"/>
        <v>0</v>
      </c>
      <c r="HM297" s="409">
        <f t="shared" si="354"/>
        <v>0</v>
      </c>
      <c r="HN297" s="409">
        <f t="shared" si="354"/>
        <v>0</v>
      </c>
      <c r="HO297" s="409">
        <f t="shared" si="354"/>
        <v>0</v>
      </c>
      <c r="HP297" s="409">
        <f t="shared" si="354"/>
        <v>0</v>
      </c>
      <c r="HQ297" s="409">
        <f t="shared" si="354"/>
        <v>0</v>
      </c>
      <c r="HR297" s="409">
        <f t="shared" si="354"/>
        <v>0</v>
      </c>
      <c r="HS297" s="409">
        <f t="shared" si="354"/>
        <v>0</v>
      </c>
      <c r="HT297" s="409">
        <f t="shared" si="354"/>
        <v>0</v>
      </c>
      <c r="HU297" s="409">
        <f t="shared" si="355"/>
        <v>0</v>
      </c>
      <c r="HV297" s="409">
        <f t="shared" si="355"/>
        <v>0</v>
      </c>
      <c r="HW297" s="409">
        <f t="shared" si="355"/>
        <v>0</v>
      </c>
      <c r="HX297" s="409">
        <f t="shared" si="355"/>
        <v>0</v>
      </c>
      <c r="HY297" s="409">
        <f t="shared" si="355"/>
        <v>0</v>
      </c>
      <c r="HZ297" s="409">
        <f t="shared" si="355"/>
        <v>0</v>
      </c>
      <c r="IA297" s="409">
        <f t="shared" si="355"/>
        <v>0</v>
      </c>
      <c r="IB297" s="409">
        <f t="shared" si="355"/>
        <v>0</v>
      </c>
      <c r="IC297" s="409">
        <f t="shared" si="355"/>
        <v>0</v>
      </c>
      <c r="ID297" s="409">
        <f t="shared" si="355"/>
        <v>0</v>
      </c>
      <c r="IE297" s="409">
        <f t="shared" si="356"/>
        <v>0</v>
      </c>
      <c r="IF297" s="409">
        <f t="shared" si="356"/>
        <v>0</v>
      </c>
      <c r="IG297" s="409">
        <f t="shared" si="356"/>
        <v>0</v>
      </c>
      <c r="IH297" s="409">
        <f t="shared" si="356"/>
        <v>0</v>
      </c>
      <c r="II297" s="409">
        <f t="shared" si="356"/>
        <v>0</v>
      </c>
      <c r="IJ297" s="409">
        <f t="shared" si="356"/>
        <v>0</v>
      </c>
      <c r="IK297" s="378"/>
    </row>
    <row r="298" spans="1:245" hidden="1" x14ac:dyDescent="0.2">
      <c r="A298" s="380" t="str">
        <f t="shared" si="377"/>
        <v>e</v>
      </c>
      <c r="B298" s="712" t="str">
        <f>IF(ISERROR(INDEX('Legend(DX)'!$H$14:$H$15,11)),"",INDEX('Legend(DX)'!$H$14:$H$15,11))</f>
        <v/>
      </c>
      <c r="C298" s="712" t="e">
        <f>IF(INDEX('Legend(DX)'!$T$14:$T$15,11)=0,"See Legend",INDEX('Legend(DX)'!$T$14:$T$15,11))</f>
        <v>#REF!</v>
      </c>
      <c r="D298" s="712" t="e">
        <f>IF(INDEX('Legend(DX)'!$R$14:$R$15,11)=0,"---",INDEX('Legend(DX)'!$R$14:$R$15,11))</f>
        <v>#REF!</v>
      </c>
      <c r="E298" s="713" t="str">
        <f>IF(ISERROR(INDEX('Legend(DX)'!$AA$14:$AA$15,11)),"",INDEX('Legend(DX)'!$AA$14:$AA$15,11))</f>
        <v/>
      </c>
      <c r="F298" s="715"/>
      <c r="G298" s="715"/>
      <c r="H298" s="715"/>
      <c r="I298" s="715"/>
      <c r="J298" s="715"/>
      <c r="K298" s="890">
        <f t="shared" si="358"/>
        <v>0</v>
      </c>
      <c r="L298" s="718"/>
      <c r="M298" s="720"/>
      <c r="N298" s="972">
        <f t="shared" si="330"/>
        <v>-1</v>
      </c>
      <c r="O298" s="972">
        <f t="shared" si="378"/>
        <v>-1</v>
      </c>
      <c r="P298" s="972">
        <f t="shared" si="331"/>
        <v>-1</v>
      </c>
      <c r="Q298" s="972">
        <f t="shared" si="379"/>
        <v>-1</v>
      </c>
      <c r="R298" s="972">
        <f t="shared" si="332"/>
        <v>-1</v>
      </c>
      <c r="S298" s="972">
        <f t="shared" si="380"/>
        <v>-1</v>
      </c>
      <c r="T298" s="972">
        <f t="shared" si="333"/>
        <v>-1</v>
      </c>
      <c r="U298" s="972">
        <f t="shared" si="381"/>
        <v>-1</v>
      </c>
      <c r="V298" s="972">
        <f t="shared" si="334"/>
        <v>-1</v>
      </c>
      <c r="W298" s="972">
        <f t="shared" si="382"/>
        <v>-1</v>
      </c>
      <c r="X298" s="972">
        <f t="shared" si="335"/>
        <v>-1</v>
      </c>
      <c r="Y298" s="972">
        <f t="shared" si="364"/>
        <v>-1</v>
      </c>
      <c r="Z298" s="972">
        <f t="shared" si="365"/>
        <v>-1</v>
      </c>
      <c r="AA298" s="972">
        <f t="shared" si="366"/>
        <v>-1</v>
      </c>
      <c r="AB298" s="972">
        <f t="shared" si="367"/>
        <v>-1</v>
      </c>
      <c r="AC298" s="972">
        <f t="shared" si="368"/>
        <v>-1</v>
      </c>
      <c r="AD298" s="972">
        <f t="shared" si="369"/>
        <v>-1</v>
      </c>
      <c r="AE298" s="972">
        <f t="shared" si="370"/>
        <v>-1</v>
      </c>
      <c r="AF298" s="972">
        <f t="shared" si="371"/>
        <v>-1</v>
      </c>
      <c r="AG298" s="972">
        <f t="shared" si="372"/>
        <v>-1</v>
      </c>
      <c r="AH298" s="972">
        <f t="shared" si="373"/>
        <v>-1</v>
      </c>
      <c r="AI298" s="972">
        <f t="shared" si="374"/>
        <v>-1</v>
      </c>
      <c r="AJ298" s="972">
        <f t="shared" si="375"/>
        <v>-1</v>
      </c>
      <c r="AK298" s="381"/>
      <c r="AL298" s="727" t="str">
        <f t="shared" si="383"/>
        <v/>
      </c>
      <c r="AM298" s="409">
        <f t="shared" si="336"/>
        <v>0</v>
      </c>
      <c r="AN298" s="409">
        <f t="shared" si="336"/>
        <v>0</v>
      </c>
      <c r="AO298" s="409">
        <f t="shared" si="336"/>
        <v>0</v>
      </c>
      <c r="AP298" s="409">
        <f t="shared" si="336"/>
        <v>0</v>
      </c>
      <c r="AQ298" s="409">
        <f t="shared" si="336"/>
        <v>0</v>
      </c>
      <c r="AR298" s="409">
        <f t="shared" si="336"/>
        <v>0</v>
      </c>
      <c r="AS298" s="409">
        <f t="shared" si="336"/>
        <v>0</v>
      </c>
      <c r="AT298" s="409">
        <f t="shared" si="336"/>
        <v>0</v>
      </c>
      <c r="AU298" s="409">
        <f t="shared" si="336"/>
        <v>0</v>
      </c>
      <c r="AV298" s="409">
        <f t="shared" si="336"/>
        <v>0</v>
      </c>
      <c r="AW298" s="409">
        <f t="shared" si="337"/>
        <v>0</v>
      </c>
      <c r="AX298" s="409">
        <f t="shared" si="337"/>
        <v>0</v>
      </c>
      <c r="AY298" s="409">
        <f t="shared" si="337"/>
        <v>0</v>
      </c>
      <c r="AZ298" s="409">
        <f t="shared" si="337"/>
        <v>0</v>
      </c>
      <c r="BA298" s="409">
        <f t="shared" si="337"/>
        <v>0</v>
      </c>
      <c r="BB298" s="409">
        <f t="shared" si="337"/>
        <v>0</v>
      </c>
      <c r="BC298" s="409">
        <f t="shared" si="337"/>
        <v>0</v>
      </c>
      <c r="BD298" s="409">
        <f t="shared" si="337"/>
        <v>0</v>
      </c>
      <c r="BE298" s="409">
        <f t="shared" si="337"/>
        <v>0</v>
      </c>
      <c r="BF298" s="409">
        <f t="shared" si="337"/>
        <v>0</v>
      </c>
      <c r="BG298" s="409">
        <f t="shared" si="338"/>
        <v>0</v>
      </c>
      <c r="BH298" s="409">
        <f t="shared" si="338"/>
        <v>0</v>
      </c>
      <c r="BI298" s="409">
        <f t="shared" si="338"/>
        <v>0</v>
      </c>
      <c r="BJ298" s="409">
        <f t="shared" si="338"/>
        <v>0</v>
      </c>
      <c r="BK298" s="409">
        <f t="shared" si="338"/>
        <v>0</v>
      </c>
      <c r="BL298" s="409">
        <f t="shared" si="338"/>
        <v>0</v>
      </c>
      <c r="BM298" s="409">
        <f t="shared" si="338"/>
        <v>0</v>
      </c>
      <c r="BN298" s="409">
        <f t="shared" si="338"/>
        <v>0</v>
      </c>
      <c r="BO298" s="409">
        <f t="shared" si="338"/>
        <v>0</v>
      </c>
      <c r="BP298" s="409">
        <f t="shared" si="338"/>
        <v>0</v>
      </c>
      <c r="BQ298" s="409">
        <f t="shared" si="339"/>
        <v>0</v>
      </c>
      <c r="BR298" s="409">
        <f t="shared" si="339"/>
        <v>0</v>
      </c>
      <c r="BS298" s="409">
        <f t="shared" si="339"/>
        <v>0</v>
      </c>
      <c r="BT298" s="409">
        <f t="shared" si="339"/>
        <v>0</v>
      </c>
      <c r="BU298" s="409">
        <f t="shared" si="339"/>
        <v>0</v>
      </c>
      <c r="BV298" s="409">
        <f t="shared" si="339"/>
        <v>0</v>
      </c>
      <c r="BW298" s="409">
        <f t="shared" si="339"/>
        <v>0</v>
      </c>
      <c r="BX298" s="409">
        <f t="shared" si="339"/>
        <v>0</v>
      </c>
      <c r="BY298" s="409">
        <f t="shared" si="339"/>
        <v>0</v>
      </c>
      <c r="BZ298" s="409">
        <f t="shared" si="339"/>
        <v>0</v>
      </c>
      <c r="CA298" s="409">
        <f t="shared" si="340"/>
        <v>0</v>
      </c>
      <c r="CB298" s="409">
        <f t="shared" si="340"/>
        <v>0</v>
      </c>
      <c r="CC298" s="409">
        <f t="shared" si="340"/>
        <v>0</v>
      </c>
      <c r="CD298" s="409">
        <f t="shared" si="340"/>
        <v>0</v>
      </c>
      <c r="CE298" s="409">
        <f t="shared" si="340"/>
        <v>0</v>
      </c>
      <c r="CF298" s="409">
        <f t="shared" si="340"/>
        <v>0</v>
      </c>
      <c r="CG298" s="409">
        <f t="shared" si="340"/>
        <v>0</v>
      </c>
      <c r="CH298" s="409">
        <f t="shared" si="340"/>
        <v>0</v>
      </c>
      <c r="CI298" s="409">
        <f t="shared" si="340"/>
        <v>0</v>
      </c>
      <c r="CJ298" s="409">
        <f t="shared" si="340"/>
        <v>0</v>
      </c>
      <c r="CK298" s="409">
        <f t="shared" si="341"/>
        <v>0</v>
      </c>
      <c r="CL298" s="409">
        <f t="shared" si="341"/>
        <v>0</v>
      </c>
      <c r="CM298" s="409">
        <f t="shared" si="341"/>
        <v>0</v>
      </c>
      <c r="CN298" s="409">
        <f t="shared" si="341"/>
        <v>0</v>
      </c>
      <c r="CO298" s="409">
        <f t="shared" si="341"/>
        <v>0</v>
      </c>
      <c r="CP298" s="409">
        <f t="shared" si="341"/>
        <v>0</v>
      </c>
      <c r="CQ298" s="409">
        <f t="shared" si="341"/>
        <v>0</v>
      </c>
      <c r="CR298" s="409">
        <f t="shared" si="341"/>
        <v>0</v>
      </c>
      <c r="CS298" s="409">
        <f t="shared" si="341"/>
        <v>0</v>
      </c>
      <c r="CT298" s="409">
        <f t="shared" si="341"/>
        <v>0</v>
      </c>
      <c r="CU298" s="409">
        <f t="shared" si="342"/>
        <v>0</v>
      </c>
      <c r="CV298" s="409">
        <f t="shared" si="342"/>
        <v>0</v>
      </c>
      <c r="CW298" s="409">
        <f t="shared" si="342"/>
        <v>0</v>
      </c>
      <c r="CX298" s="409">
        <f t="shared" si="342"/>
        <v>0</v>
      </c>
      <c r="CY298" s="409">
        <f t="shared" si="342"/>
        <v>0</v>
      </c>
      <c r="CZ298" s="409">
        <f t="shared" si="342"/>
        <v>0</v>
      </c>
      <c r="DA298" s="409">
        <f t="shared" si="342"/>
        <v>0</v>
      </c>
      <c r="DB298" s="409">
        <f t="shared" si="342"/>
        <v>0</v>
      </c>
      <c r="DC298" s="409">
        <f t="shared" si="342"/>
        <v>0</v>
      </c>
      <c r="DD298" s="409">
        <f t="shared" si="342"/>
        <v>0</v>
      </c>
      <c r="DE298" s="409">
        <f t="shared" si="343"/>
        <v>0</v>
      </c>
      <c r="DF298" s="409">
        <f t="shared" si="343"/>
        <v>0</v>
      </c>
      <c r="DG298" s="409">
        <f t="shared" si="343"/>
        <v>0</v>
      </c>
      <c r="DH298" s="409">
        <f t="shared" si="343"/>
        <v>0</v>
      </c>
      <c r="DI298" s="409">
        <f t="shared" si="343"/>
        <v>0</v>
      </c>
      <c r="DJ298" s="409">
        <f t="shared" si="343"/>
        <v>0</v>
      </c>
      <c r="DK298" s="409">
        <f t="shared" si="343"/>
        <v>0</v>
      </c>
      <c r="DL298" s="409">
        <f t="shared" si="343"/>
        <v>0</v>
      </c>
      <c r="DM298" s="409">
        <f t="shared" si="343"/>
        <v>0</v>
      </c>
      <c r="DN298" s="409">
        <f t="shared" si="343"/>
        <v>0</v>
      </c>
      <c r="DO298" s="409">
        <f t="shared" si="344"/>
        <v>0</v>
      </c>
      <c r="DP298" s="409">
        <f t="shared" si="344"/>
        <v>0</v>
      </c>
      <c r="DQ298" s="409">
        <f t="shared" si="344"/>
        <v>0</v>
      </c>
      <c r="DR298" s="409">
        <f t="shared" si="344"/>
        <v>0</v>
      </c>
      <c r="DS298" s="409">
        <f t="shared" si="344"/>
        <v>0</v>
      </c>
      <c r="DT298" s="409">
        <f t="shared" si="344"/>
        <v>0</v>
      </c>
      <c r="DU298" s="409">
        <f t="shared" si="344"/>
        <v>0</v>
      </c>
      <c r="DV298" s="409">
        <f t="shared" si="344"/>
        <v>0</v>
      </c>
      <c r="DW298" s="409">
        <f t="shared" si="344"/>
        <v>0</v>
      </c>
      <c r="DX298" s="409">
        <f t="shared" si="344"/>
        <v>0</v>
      </c>
      <c r="DY298" s="409">
        <f t="shared" si="345"/>
        <v>0</v>
      </c>
      <c r="DZ298" s="409">
        <f t="shared" si="345"/>
        <v>0</v>
      </c>
      <c r="EA298" s="409">
        <f t="shared" si="345"/>
        <v>0</v>
      </c>
      <c r="EB298" s="409">
        <f t="shared" si="345"/>
        <v>0</v>
      </c>
      <c r="EC298" s="409">
        <f t="shared" si="345"/>
        <v>0</v>
      </c>
      <c r="ED298" s="409">
        <f t="shared" si="345"/>
        <v>0</v>
      </c>
      <c r="EE298" s="409">
        <f t="shared" si="345"/>
        <v>0</v>
      </c>
      <c r="EF298" s="409">
        <f t="shared" si="345"/>
        <v>0</v>
      </c>
      <c r="EG298" s="409">
        <f t="shared" si="345"/>
        <v>0</v>
      </c>
      <c r="EH298" s="409">
        <f t="shared" si="345"/>
        <v>0</v>
      </c>
      <c r="EI298" s="409">
        <f t="shared" si="346"/>
        <v>0</v>
      </c>
      <c r="EJ298" s="409">
        <f t="shared" si="346"/>
        <v>0</v>
      </c>
      <c r="EK298" s="409">
        <f t="shared" si="346"/>
        <v>0</v>
      </c>
      <c r="EL298" s="409">
        <f t="shared" si="346"/>
        <v>0</v>
      </c>
      <c r="EM298" s="409">
        <f t="shared" si="346"/>
        <v>0</v>
      </c>
      <c r="EN298" s="409">
        <f t="shared" si="346"/>
        <v>0</v>
      </c>
      <c r="EO298" s="409">
        <f t="shared" si="346"/>
        <v>0</v>
      </c>
      <c r="EP298" s="409">
        <f t="shared" si="346"/>
        <v>0</v>
      </c>
      <c r="EQ298" s="409">
        <f t="shared" si="346"/>
        <v>0</v>
      </c>
      <c r="ER298" s="409">
        <f t="shared" si="346"/>
        <v>0</v>
      </c>
      <c r="ES298" s="409">
        <f t="shared" si="347"/>
        <v>0</v>
      </c>
      <c r="ET298" s="409">
        <f t="shared" si="347"/>
        <v>0</v>
      </c>
      <c r="EU298" s="409">
        <f t="shared" si="347"/>
        <v>0</v>
      </c>
      <c r="EV298" s="409">
        <f t="shared" si="347"/>
        <v>0</v>
      </c>
      <c r="EW298" s="409">
        <f t="shared" si="347"/>
        <v>0</v>
      </c>
      <c r="EX298" s="409">
        <f t="shared" si="347"/>
        <v>0</v>
      </c>
      <c r="EY298" s="409">
        <f t="shared" si="347"/>
        <v>0</v>
      </c>
      <c r="EZ298" s="409">
        <f t="shared" si="347"/>
        <v>0</v>
      </c>
      <c r="FA298" s="409">
        <f t="shared" si="347"/>
        <v>0</v>
      </c>
      <c r="FB298" s="409">
        <f t="shared" si="347"/>
        <v>0</v>
      </c>
      <c r="FC298" s="409">
        <f t="shared" si="348"/>
        <v>0</v>
      </c>
      <c r="FD298" s="409">
        <f t="shared" si="348"/>
        <v>0</v>
      </c>
      <c r="FE298" s="409">
        <f t="shared" si="348"/>
        <v>0</v>
      </c>
      <c r="FF298" s="409">
        <f t="shared" si="348"/>
        <v>0</v>
      </c>
      <c r="FG298" s="409">
        <f t="shared" si="348"/>
        <v>0</v>
      </c>
      <c r="FH298" s="409">
        <f t="shared" si="348"/>
        <v>0</v>
      </c>
      <c r="FI298" s="409">
        <f t="shared" si="348"/>
        <v>0</v>
      </c>
      <c r="FJ298" s="409">
        <f t="shared" si="348"/>
        <v>0</v>
      </c>
      <c r="FK298" s="409">
        <f t="shared" si="348"/>
        <v>0</v>
      </c>
      <c r="FL298" s="409">
        <f t="shared" si="348"/>
        <v>0</v>
      </c>
      <c r="FM298" s="409">
        <f t="shared" si="349"/>
        <v>0</v>
      </c>
      <c r="FN298" s="409">
        <f t="shared" si="349"/>
        <v>0</v>
      </c>
      <c r="FO298" s="409">
        <f t="shared" si="349"/>
        <v>0</v>
      </c>
      <c r="FP298" s="409">
        <f t="shared" si="349"/>
        <v>0</v>
      </c>
      <c r="FQ298" s="409">
        <f t="shared" si="349"/>
        <v>0</v>
      </c>
      <c r="FR298" s="409">
        <f t="shared" si="349"/>
        <v>0</v>
      </c>
      <c r="FS298" s="409">
        <f t="shared" si="349"/>
        <v>0</v>
      </c>
      <c r="FT298" s="409">
        <f t="shared" si="349"/>
        <v>0</v>
      </c>
      <c r="FU298" s="409">
        <f t="shared" si="349"/>
        <v>0</v>
      </c>
      <c r="FV298" s="409">
        <f t="shared" si="349"/>
        <v>0</v>
      </c>
      <c r="FW298" s="409">
        <f t="shared" si="350"/>
        <v>0</v>
      </c>
      <c r="FX298" s="409">
        <f t="shared" si="350"/>
        <v>0</v>
      </c>
      <c r="FY298" s="409">
        <f t="shared" si="350"/>
        <v>0</v>
      </c>
      <c r="FZ298" s="409">
        <f t="shared" si="350"/>
        <v>0</v>
      </c>
      <c r="GA298" s="409">
        <f t="shared" si="350"/>
        <v>0</v>
      </c>
      <c r="GB298" s="409">
        <f t="shared" si="350"/>
        <v>0</v>
      </c>
      <c r="GC298" s="409">
        <f t="shared" si="350"/>
        <v>0</v>
      </c>
      <c r="GD298" s="409">
        <f t="shared" si="350"/>
        <v>0</v>
      </c>
      <c r="GE298" s="409">
        <f t="shared" si="350"/>
        <v>0</v>
      </c>
      <c r="GF298" s="409">
        <f t="shared" si="350"/>
        <v>0</v>
      </c>
      <c r="GG298" s="409">
        <f t="shared" si="351"/>
        <v>0</v>
      </c>
      <c r="GH298" s="409">
        <f t="shared" si="351"/>
        <v>0</v>
      </c>
      <c r="GI298" s="409">
        <f t="shared" si="351"/>
        <v>0</v>
      </c>
      <c r="GJ298" s="409">
        <f t="shared" si="351"/>
        <v>0</v>
      </c>
      <c r="GK298" s="409">
        <f t="shared" si="351"/>
        <v>0</v>
      </c>
      <c r="GL298" s="409">
        <f t="shared" si="351"/>
        <v>0</v>
      </c>
      <c r="GM298" s="409">
        <f t="shared" si="351"/>
        <v>0</v>
      </c>
      <c r="GN298" s="409">
        <f t="shared" si="351"/>
        <v>0</v>
      </c>
      <c r="GO298" s="409">
        <f t="shared" si="351"/>
        <v>0</v>
      </c>
      <c r="GP298" s="409">
        <f t="shared" si="351"/>
        <v>0</v>
      </c>
      <c r="GQ298" s="409">
        <f t="shared" si="352"/>
        <v>0</v>
      </c>
      <c r="GR298" s="409">
        <f t="shared" si="352"/>
        <v>0</v>
      </c>
      <c r="GS298" s="409">
        <f t="shared" si="352"/>
        <v>0</v>
      </c>
      <c r="GT298" s="409">
        <f t="shared" si="352"/>
        <v>0</v>
      </c>
      <c r="GU298" s="409">
        <f t="shared" si="352"/>
        <v>0</v>
      </c>
      <c r="GV298" s="409">
        <f t="shared" si="352"/>
        <v>0</v>
      </c>
      <c r="GW298" s="409">
        <f t="shared" si="352"/>
        <v>0</v>
      </c>
      <c r="GX298" s="409">
        <f t="shared" si="352"/>
        <v>0</v>
      </c>
      <c r="GY298" s="409">
        <f t="shared" si="352"/>
        <v>0</v>
      </c>
      <c r="GZ298" s="409">
        <f t="shared" si="352"/>
        <v>0</v>
      </c>
      <c r="HA298" s="409">
        <f t="shared" si="353"/>
        <v>0</v>
      </c>
      <c r="HB298" s="409">
        <f t="shared" si="353"/>
        <v>0</v>
      </c>
      <c r="HC298" s="409">
        <f t="shared" si="353"/>
        <v>0</v>
      </c>
      <c r="HD298" s="409">
        <f t="shared" si="353"/>
        <v>0</v>
      </c>
      <c r="HE298" s="409">
        <f t="shared" si="353"/>
        <v>0</v>
      </c>
      <c r="HF298" s="409">
        <f t="shared" si="353"/>
        <v>0</v>
      </c>
      <c r="HG298" s="409">
        <f t="shared" si="353"/>
        <v>0</v>
      </c>
      <c r="HH298" s="409">
        <f t="shared" si="353"/>
        <v>0</v>
      </c>
      <c r="HI298" s="409">
        <f t="shared" si="353"/>
        <v>0</v>
      </c>
      <c r="HJ298" s="409">
        <f t="shared" si="353"/>
        <v>0</v>
      </c>
      <c r="HK298" s="409">
        <f t="shared" si="354"/>
        <v>0</v>
      </c>
      <c r="HL298" s="409">
        <f t="shared" si="354"/>
        <v>0</v>
      </c>
      <c r="HM298" s="409">
        <f t="shared" si="354"/>
        <v>0</v>
      </c>
      <c r="HN298" s="409">
        <f t="shared" si="354"/>
        <v>0</v>
      </c>
      <c r="HO298" s="409">
        <f t="shared" si="354"/>
        <v>0</v>
      </c>
      <c r="HP298" s="409">
        <f t="shared" si="354"/>
        <v>0</v>
      </c>
      <c r="HQ298" s="409">
        <f t="shared" si="354"/>
        <v>0</v>
      </c>
      <c r="HR298" s="409">
        <f t="shared" si="354"/>
        <v>0</v>
      </c>
      <c r="HS298" s="409">
        <f t="shared" si="354"/>
        <v>0</v>
      </c>
      <c r="HT298" s="409">
        <f t="shared" si="354"/>
        <v>0</v>
      </c>
      <c r="HU298" s="409">
        <f t="shared" si="355"/>
        <v>0</v>
      </c>
      <c r="HV298" s="409">
        <f t="shared" si="355"/>
        <v>0</v>
      </c>
      <c r="HW298" s="409">
        <f t="shared" si="355"/>
        <v>0</v>
      </c>
      <c r="HX298" s="409">
        <f t="shared" si="355"/>
        <v>0</v>
      </c>
      <c r="HY298" s="409">
        <f t="shared" si="355"/>
        <v>0</v>
      </c>
      <c r="HZ298" s="409">
        <f t="shared" si="355"/>
        <v>0</v>
      </c>
      <c r="IA298" s="409">
        <f t="shared" si="355"/>
        <v>0</v>
      </c>
      <c r="IB298" s="409">
        <f t="shared" si="355"/>
        <v>0</v>
      </c>
      <c r="IC298" s="409">
        <f t="shared" si="355"/>
        <v>0</v>
      </c>
      <c r="ID298" s="409">
        <f t="shared" si="355"/>
        <v>0</v>
      </c>
      <c r="IE298" s="409">
        <f t="shared" si="356"/>
        <v>0</v>
      </c>
      <c r="IF298" s="409">
        <f t="shared" si="356"/>
        <v>0</v>
      </c>
      <c r="IG298" s="409">
        <f t="shared" si="356"/>
        <v>0</v>
      </c>
      <c r="IH298" s="409">
        <f t="shared" si="356"/>
        <v>0</v>
      </c>
      <c r="II298" s="409">
        <f t="shared" si="356"/>
        <v>0</v>
      </c>
      <c r="IJ298" s="409">
        <f t="shared" si="356"/>
        <v>0</v>
      </c>
      <c r="IK298" s="378"/>
    </row>
    <row r="299" spans="1:245" hidden="1" x14ac:dyDescent="0.2">
      <c r="A299" s="380" t="str">
        <f t="shared" si="377"/>
        <v>e</v>
      </c>
      <c r="B299" s="712" t="str">
        <f>IF(ISERROR(INDEX('Legend(DX)'!$H$14:$H$15,12)),"",INDEX('Legend(DX)'!$H$14:$H$15,12))</f>
        <v/>
      </c>
      <c r="C299" s="712" t="e">
        <f>IF(INDEX('Legend(DX)'!$T$14:$T$15,12)=0,"See Legend",INDEX('Legend(DX)'!$T$14:$T$15,12))</f>
        <v>#REF!</v>
      </c>
      <c r="D299" s="712" t="e">
        <f>IF(INDEX('Legend(DX)'!$R$14:$R$15,12)=0,"---",INDEX('Legend(DX)'!$R$14:$R$15,12))</f>
        <v>#REF!</v>
      </c>
      <c r="E299" s="713" t="str">
        <f>IF(ISERROR(INDEX('Legend(DX)'!$AA$14:$AA$15,12)),"",INDEX('Legend(DX)'!$AA$14:$AA$15,12))</f>
        <v/>
      </c>
      <c r="F299" s="715"/>
      <c r="G299" s="715"/>
      <c r="H299" s="715"/>
      <c r="I299" s="715"/>
      <c r="J299" s="715"/>
      <c r="K299" s="890">
        <f t="shared" si="358"/>
        <v>0</v>
      </c>
      <c r="L299" s="718"/>
      <c r="M299" s="720"/>
      <c r="N299" s="972">
        <f t="shared" si="330"/>
        <v>-1</v>
      </c>
      <c r="O299" s="972">
        <f t="shared" si="378"/>
        <v>-1</v>
      </c>
      <c r="P299" s="972">
        <f t="shared" si="331"/>
        <v>-1</v>
      </c>
      <c r="Q299" s="972">
        <f t="shared" si="379"/>
        <v>-1</v>
      </c>
      <c r="R299" s="972">
        <f t="shared" si="332"/>
        <v>-1</v>
      </c>
      <c r="S299" s="972">
        <f t="shared" si="380"/>
        <v>-1</v>
      </c>
      <c r="T299" s="972">
        <f t="shared" si="333"/>
        <v>-1</v>
      </c>
      <c r="U299" s="972">
        <f t="shared" si="381"/>
        <v>-1</v>
      </c>
      <c r="V299" s="972">
        <f t="shared" si="334"/>
        <v>-1</v>
      </c>
      <c r="W299" s="972">
        <f t="shared" si="382"/>
        <v>-1</v>
      </c>
      <c r="X299" s="972">
        <f t="shared" si="335"/>
        <v>-1</v>
      </c>
      <c r="Y299" s="972">
        <f t="shared" si="364"/>
        <v>-1</v>
      </c>
      <c r="Z299" s="972">
        <f t="shared" si="365"/>
        <v>-1</v>
      </c>
      <c r="AA299" s="972">
        <f t="shared" si="366"/>
        <v>-1</v>
      </c>
      <c r="AB299" s="972">
        <f t="shared" si="367"/>
        <v>-1</v>
      </c>
      <c r="AC299" s="972">
        <f t="shared" si="368"/>
        <v>-1</v>
      </c>
      <c r="AD299" s="972">
        <f t="shared" si="369"/>
        <v>-1</v>
      </c>
      <c r="AE299" s="972">
        <f t="shared" si="370"/>
        <v>-1</v>
      </c>
      <c r="AF299" s="972">
        <f t="shared" si="371"/>
        <v>-1</v>
      </c>
      <c r="AG299" s="972">
        <f t="shared" si="372"/>
        <v>-1</v>
      </c>
      <c r="AH299" s="972">
        <f t="shared" si="373"/>
        <v>-1</v>
      </c>
      <c r="AI299" s="972">
        <f t="shared" si="374"/>
        <v>-1</v>
      </c>
      <c r="AJ299" s="972">
        <f t="shared" si="375"/>
        <v>-1</v>
      </c>
      <c r="AK299" s="381"/>
      <c r="AL299" s="727" t="str">
        <f t="shared" si="383"/>
        <v/>
      </c>
      <c r="AM299" s="409">
        <f t="shared" si="336"/>
        <v>0</v>
      </c>
      <c r="AN299" s="409">
        <f t="shared" si="336"/>
        <v>0</v>
      </c>
      <c r="AO299" s="409">
        <f t="shared" si="336"/>
        <v>0</v>
      </c>
      <c r="AP299" s="409">
        <f t="shared" si="336"/>
        <v>0</v>
      </c>
      <c r="AQ299" s="409">
        <f t="shared" si="336"/>
        <v>0</v>
      </c>
      <c r="AR299" s="409">
        <f t="shared" si="336"/>
        <v>0</v>
      </c>
      <c r="AS299" s="409">
        <f t="shared" si="336"/>
        <v>0</v>
      </c>
      <c r="AT299" s="409">
        <f t="shared" si="336"/>
        <v>0</v>
      </c>
      <c r="AU299" s="409">
        <f t="shared" si="336"/>
        <v>0</v>
      </c>
      <c r="AV299" s="409">
        <f t="shared" si="336"/>
        <v>0</v>
      </c>
      <c r="AW299" s="409">
        <f t="shared" si="337"/>
        <v>0</v>
      </c>
      <c r="AX299" s="409">
        <f t="shared" si="337"/>
        <v>0</v>
      </c>
      <c r="AY299" s="409">
        <f t="shared" si="337"/>
        <v>0</v>
      </c>
      <c r="AZ299" s="409">
        <f t="shared" si="337"/>
        <v>0</v>
      </c>
      <c r="BA299" s="409">
        <f t="shared" si="337"/>
        <v>0</v>
      </c>
      <c r="BB299" s="409">
        <f t="shared" si="337"/>
        <v>0</v>
      </c>
      <c r="BC299" s="409">
        <f t="shared" si="337"/>
        <v>0</v>
      </c>
      <c r="BD299" s="409">
        <f t="shared" si="337"/>
        <v>0</v>
      </c>
      <c r="BE299" s="409">
        <f t="shared" si="337"/>
        <v>0</v>
      </c>
      <c r="BF299" s="409">
        <f t="shared" si="337"/>
        <v>0</v>
      </c>
      <c r="BG299" s="409">
        <f t="shared" si="338"/>
        <v>0</v>
      </c>
      <c r="BH299" s="409">
        <f t="shared" si="338"/>
        <v>0</v>
      </c>
      <c r="BI299" s="409">
        <f t="shared" si="338"/>
        <v>0</v>
      </c>
      <c r="BJ299" s="409">
        <f t="shared" si="338"/>
        <v>0</v>
      </c>
      <c r="BK299" s="409">
        <f t="shared" si="338"/>
        <v>0</v>
      </c>
      <c r="BL299" s="409">
        <f t="shared" si="338"/>
        <v>0</v>
      </c>
      <c r="BM299" s="409">
        <f t="shared" si="338"/>
        <v>0</v>
      </c>
      <c r="BN299" s="409">
        <f t="shared" si="338"/>
        <v>0</v>
      </c>
      <c r="BO299" s="409">
        <f t="shared" si="338"/>
        <v>0</v>
      </c>
      <c r="BP299" s="409">
        <f t="shared" si="338"/>
        <v>0</v>
      </c>
      <c r="BQ299" s="409">
        <f t="shared" si="339"/>
        <v>0</v>
      </c>
      <c r="BR299" s="409">
        <f t="shared" si="339"/>
        <v>0</v>
      </c>
      <c r="BS299" s="409">
        <f t="shared" si="339"/>
        <v>0</v>
      </c>
      <c r="BT299" s="409">
        <f t="shared" si="339"/>
        <v>0</v>
      </c>
      <c r="BU299" s="409">
        <f t="shared" si="339"/>
        <v>0</v>
      </c>
      <c r="BV299" s="409">
        <f t="shared" si="339"/>
        <v>0</v>
      </c>
      <c r="BW299" s="409">
        <f t="shared" si="339"/>
        <v>0</v>
      </c>
      <c r="BX299" s="409">
        <f t="shared" si="339"/>
        <v>0</v>
      </c>
      <c r="BY299" s="409">
        <f t="shared" si="339"/>
        <v>0</v>
      </c>
      <c r="BZ299" s="409">
        <f t="shared" si="339"/>
        <v>0</v>
      </c>
      <c r="CA299" s="409">
        <f t="shared" si="340"/>
        <v>0</v>
      </c>
      <c r="CB299" s="409">
        <f t="shared" si="340"/>
        <v>0</v>
      </c>
      <c r="CC299" s="409">
        <f t="shared" si="340"/>
        <v>0</v>
      </c>
      <c r="CD299" s="409">
        <f t="shared" si="340"/>
        <v>0</v>
      </c>
      <c r="CE299" s="409">
        <f t="shared" si="340"/>
        <v>0</v>
      </c>
      <c r="CF299" s="409">
        <f t="shared" si="340"/>
        <v>0</v>
      </c>
      <c r="CG299" s="409">
        <f t="shared" si="340"/>
        <v>0</v>
      </c>
      <c r="CH299" s="409">
        <f t="shared" si="340"/>
        <v>0</v>
      </c>
      <c r="CI299" s="409">
        <f t="shared" si="340"/>
        <v>0</v>
      </c>
      <c r="CJ299" s="409">
        <f t="shared" si="340"/>
        <v>0</v>
      </c>
      <c r="CK299" s="409">
        <f t="shared" si="341"/>
        <v>0</v>
      </c>
      <c r="CL299" s="409">
        <f t="shared" si="341"/>
        <v>0</v>
      </c>
      <c r="CM299" s="409">
        <f t="shared" si="341"/>
        <v>0</v>
      </c>
      <c r="CN299" s="409">
        <f t="shared" si="341"/>
        <v>0</v>
      </c>
      <c r="CO299" s="409">
        <f t="shared" si="341"/>
        <v>0</v>
      </c>
      <c r="CP299" s="409">
        <f t="shared" si="341"/>
        <v>0</v>
      </c>
      <c r="CQ299" s="409">
        <f t="shared" si="341"/>
        <v>0</v>
      </c>
      <c r="CR299" s="409">
        <f t="shared" si="341"/>
        <v>0</v>
      </c>
      <c r="CS299" s="409">
        <f t="shared" si="341"/>
        <v>0</v>
      </c>
      <c r="CT299" s="409">
        <f t="shared" si="341"/>
        <v>0</v>
      </c>
      <c r="CU299" s="409">
        <f t="shared" si="342"/>
        <v>0</v>
      </c>
      <c r="CV299" s="409">
        <f t="shared" si="342"/>
        <v>0</v>
      </c>
      <c r="CW299" s="409">
        <f t="shared" si="342"/>
        <v>0</v>
      </c>
      <c r="CX299" s="409">
        <f t="shared" si="342"/>
        <v>0</v>
      </c>
      <c r="CY299" s="409">
        <f t="shared" si="342"/>
        <v>0</v>
      </c>
      <c r="CZ299" s="409">
        <f t="shared" si="342"/>
        <v>0</v>
      </c>
      <c r="DA299" s="409">
        <f t="shared" si="342"/>
        <v>0</v>
      </c>
      <c r="DB299" s="409">
        <f t="shared" si="342"/>
        <v>0</v>
      </c>
      <c r="DC299" s="409">
        <f t="shared" si="342"/>
        <v>0</v>
      </c>
      <c r="DD299" s="409">
        <f t="shared" si="342"/>
        <v>0</v>
      </c>
      <c r="DE299" s="409">
        <f t="shared" si="343"/>
        <v>0</v>
      </c>
      <c r="DF299" s="409">
        <f t="shared" si="343"/>
        <v>0</v>
      </c>
      <c r="DG299" s="409">
        <f t="shared" si="343"/>
        <v>0</v>
      </c>
      <c r="DH299" s="409">
        <f t="shared" si="343"/>
        <v>0</v>
      </c>
      <c r="DI299" s="409">
        <f t="shared" si="343"/>
        <v>0</v>
      </c>
      <c r="DJ299" s="409">
        <f t="shared" si="343"/>
        <v>0</v>
      </c>
      <c r="DK299" s="409">
        <f t="shared" si="343"/>
        <v>0</v>
      </c>
      <c r="DL299" s="409">
        <f t="shared" si="343"/>
        <v>0</v>
      </c>
      <c r="DM299" s="409">
        <f t="shared" si="343"/>
        <v>0</v>
      </c>
      <c r="DN299" s="409">
        <f t="shared" si="343"/>
        <v>0</v>
      </c>
      <c r="DO299" s="409">
        <f t="shared" si="344"/>
        <v>0</v>
      </c>
      <c r="DP299" s="409">
        <f t="shared" si="344"/>
        <v>0</v>
      </c>
      <c r="DQ299" s="409">
        <f t="shared" si="344"/>
        <v>0</v>
      </c>
      <c r="DR299" s="409">
        <f t="shared" si="344"/>
        <v>0</v>
      </c>
      <c r="DS299" s="409">
        <f t="shared" si="344"/>
        <v>0</v>
      </c>
      <c r="DT299" s="409">
        <f t="shared" si="344"/>
        <v>0</v>
      </c>
      <c r="DU299" s="409">
        <f t="shared" si="344"/>
        <v>0</v>
      </c>
      <c r="DV299" s="409">
        <f t="shared" si="344"/>
        <v>0</v>
      </c>
      <c r="DW299" s="409">
        <f t="shared" si="344"/>
        <v>0</v>
      </c>
      <c r="DX299" s="409">
        <f t="shared" si="344"/>
        <v>0</v>
      </c>
      <c r="DY299" s="409">
        <f t="shared" si="345"/>
        <v>0</v>
      </c>
      <c r="DZ299" s="409">
        <f t="shared" si="345"/>
        <v>0</v>
      </c>
      <c r="EA299" s="409">
        <f t="shared" si="345"/>
        <v>0</v>
      </c>
      <c r="EB299" s="409">
        <f t="shared" si="345"/>
        <v>0</v>
      </c>
      <c r="EC299" s="409">
        <f t="shared" si="345"/>
        <v>0</v>
      </c>
      <c r="ED299" s="409">
        <f t="shared" si="345"/>
        <v>0</v>
      </c>
      <c r="EE299" s="409">
        <f t="shared" si="345"/>
        <v>0</v>
      </c>
      <c r="EF299" s="409">
        <f t="shared" si="345"/>
        <v>0</v>
      </c>
      <c r="EG299" s="409">
        <f t="shared" si="345"/>
        <v>0</v>
      </c>
      <c r="EH299" s="409">
        <f t="shared" si="345"/>
        <v>0</v>
      </c>
      <c r="EI299" s="409">
        <f t="shared" si="346"/>
        <v>0</v>
      </c>
      <c r="EJ299" s="409">
        <f t="shared" si="346"/>
        <v>0</v>
      </c>
      <c r="EK299" s="409">
        <f t="shared" si="346"/>
        <v>0</v>
      </c>
      <c r="EL299" s="409">
        <f t="shared" si="346"/>
        <v>0</v>
      </c>
      <c r="EM299" s="409">
        <f t="shared" si="346"/>
        <v>0</v>
      </c>
      <c r="EN299" s="409">
        <f t="shared" si="346"/>
        <v>0</v>
      </c>
      <c r="EO299" s="409">
        <f t="shared" si="346"/>
        <v>0</v>
      </c>
      <c r="EP299" s="409">
        <f t="shared" si="346"/>
        <v>0</v>
      </c>
      <c r="EQ299" s="409">
        <f t="shared" si="346"/>
        <v>0</v>
      </c>
      <c r="ER299" s="409">
        <f t="shared" si="346"/>
        <v>0</v>
      </c>
      <c r="ES299" s="409">
        <f t="shared" si="347"/>
        <v>0</v>
      </c>
      <c r="ET299" s="409">
        <f t="shared" si="347"/>
        <v>0</v>
      </c>
      <c r="EU299" s="409">
        <f t="shared" si="347"/>
        <v>0</v>
      </c>
      <c r="EV299" s="409">
        <f t="shared" si="347"/>
        <v>0</v>
      </c>
      <c r="EW299" s="409">
        <f t="shared" si="347"/>
        <v>0</v>
      </c>
      <c r="EX299" s="409">
        <f t="shared" si="347"/>
        <v>0</v>
      </c>
      <c r="EY299" s="409">
        <f t="shared" si="347"/>
        <v>0</v>
      </c>
      <c r="EZ299" s="409">
        <f t="shared" si="347"/>
        <v>0</v>
      </c>
      <c r="FA299" s="409">
        <f t="shared" si="347"/>
        <v>0</v>
      </c>
      <c r="FB299" s="409">
        <f t="shared" si="347"/>
        <v>0</v>
      </c>
      <c r="FC299" s="409">
        <f t="shared" si="348"/>
        <v>0</v>
      </c>
      <c r="FD299" s="409">
        <f t="shared" si="348"/>
        <v>0</v>
      </c>
      <c r="FE299" s="409">
        <f t="shared" si="348"/>
        <v>0</v>
      </c>
      <c r="FF299" s="409">
        <f t="shared" si="348"/>
        <v>0</v>
      </c>
      <c r="FG299" s="409">
        <f t="shared" si="348"/>
        <v>0</v>
      </c>
      <c r="FH299" s="409">
        <f t="shared" si="348"/>
        <v>0</v>
      </c>
      <c r="FI299" s="409">
        <f t="shared" si="348"/>
        <v>0</v>
      </c>
      <c r="FJ299" s="409">
        <f t="shared" si="348"/>
        <v>0</v>
      </c>
      <c r="FK299" s="409">
        <f t="shared" si="348"/>
        <v>0</v>
      </c>
      <c r="FL299" s="409">
        <f t="shared" si="348"/>
        <v>0</v>
      </c>
      <c r="FM299" s="409">
        <f t="shared" si="349"/>
        <v>0</v>
      </c>
      <c r="FN299" s="409">
        <f t="shared" si="349"/>
        <v>0</v>
      </c>
      <c r="FO299" s="409">
        <f t="shared" si="349"/>
        <v>0</v>
      </c>
      <c r="FP299" s="409">
        <f t="shared" si="349"/>
        <v>0</v>
      </c>
      <c r="FQ299" s="409">
        <f t="shared" si="349"/>
        <v>0</v>
      </c>
      <c r="FR299" s="409">
        <f t="shared" si="349"/>
        <v>0</v>
      </c>
      <c r="FS299" s="409">
        <f t="shared" si="349"/>
        <v>0</v>
      </c>
      <c r="FT299" s="409">
        <f t="shared" si="349"/>
        <v>0</v>
      </c>
      <c r="FU299" s="409">
        <f t="shared" si="349"/>
        <v>0</v>
      </c>
      <c r="FV299" s="409">
        <f t="shared" si="349"/>
        <v>0</v>
      </c>
      <c r="FW299" s="409">
        <f t="shared" si="350"/>
        <v>0</v>
      </c>
      <c r="FX299" s="409">
        <f t="shared" si="350"/>
        <v>0</v>
      </c>
      <c r="FY299" s="409">
        <f t="shared" si="350"/>
        <v>0</v>
      </c>
      <c r="FZ299" s="409">
        <f t="shared" si="350"/>
        <v>0</v>
      </c>
      <c r="GA299" s="409">
        <f t="shared" si="350"/>
        <v>0</v>
      </c>
      <c r="GB299" s="409">
        <f t="shared" si="350"/>
        <v>0</v>
      </c>
      <c r="GC299" s="409">
        <f t="shared" si="350"/>
        <v>0</v>
      </c>
      <c r="GD299" s="409">
        <f t="shared" si="350"/>
        <v>0</v>
      </c>
      <c r="GE299" s="409">
        <f t="shared" si="350"/>
        <v>0</v>
      </c>
      <c r="GF299" s="409">
        <f t="shared" si="350"/>
        <v>0</v>
      </c>
      <c r="GG299" s="409">
        <f t="shared" si="351"/>
        <v>0</v>
      </c>
      <c r="GH299" s="409">
        <f t="shared" si="351"/>
        <v>0</v>
      </c>
      <c r="GI299" s="409">
        <f t="shared" si="351"/>
        <v>0</v>
      </c>
      <c r="GJ299" s="409">
        <f t="shared" si="351"/>
        <v>0</v>
      </c>
      <c r="GK299" s="409">
        <f t="shared" si="351"/>
        <v>0</v>
      </c>
      <c r="GL299" s="409">
        <f t="shared" si="351"/>
        <v>0</v>
      </c>
      <c r="GM299" s="409">
        <f t="shared" si="351"/>
        <v>0</v>
      </c>
      <c r="GN299" s="409">
        <f t="shared" si="351"/>
        <v>0</v>
      </c>
      <c r="GO299" s="409">
        <f t="shared" si="351"/>
        <v>0</v>
      </c>
      <c r="GP299" s="409">
        <f t="shared" si="351"/>
        <v>0</v>
      </c>
      <c r="GQ299" s="409">
        <f t="shared" si="352"/>
        <v>0</v>
      </c>
      <c r="GR299" s="409">
        <f t="shared" si="352"/>
        <v>0</v>
      </c>
      <c r="GS299" s="409">
        <f t="shared" si="352"/>
        <v>0</v>
      </c>
      <c r="GT299" s="409">
        <f t="shared" si="352"/>
        <v>0</v>
      </c>
      <c r="GU299" s="409">
        <f t="shared" si="352"/>
        <v>0</v>
      </c>
      <c r="GV299" s="409">
        <f t="shared" si="352"/>
        <v>0</v>
      </c>
      <c r="GW299" s="409">
        <f t="shared" si="352"/>
        <v>0</v>
      </c>
      <c r="GX299" s="409">
        <f t="shared" si="352"/>
        <v>0</v>
      </c>
      <c r="GY299" s="409">
        <f t="shared" si="352"/>
        <v>0</v>
      </c>
      <c r="GZ299" s="409">
        <f t="shared" si="352"/>
        <v>0</v>
      </c>
      <c r="HA299" s="409">
        <f t="shared" si="353"/>
        <v>0</v>
      </c>
      <c r="HB299" s="409">
        <f t="shared" si="353"/>
        <v>0</v>
      </c>
      <c r="HC299" s="409">
        <f t="shared" si="353"/>
        <v>0</v>
      </c>
      <c r="HD299" s="409">
        <f t="shared" si="353"/>
        <v>0</v>
      </c>
      <c r="HE299" s="409">
        <f t="shared" si="353"/>
        <v>0</v>
      </c>
      <c r="HF299" s="409">
        <f t="shared" si="353"/>
        <v>0</v>
      </c>
      <c r="HG299" s="409">
        <f t="shared" si="353"/>
        <v>0</v>
      </c>
      <c r="HH299" s="409">
        <f t="shared" si="353"/>
        <v>0</v>
      </c>
      <c r="HI299" s="409">
        <f t="shared" si="353"/>
        <v>0</v>
      </c>
      <c r="HJ299" s="409">
        <f t="shared" si="353"/>
        <v>0</v>
      </c>
      <c r="HK299" s="409">
        <f t="shared" si="354"/>
        <v>0</v>
      </c>
      <c r="HL299" s="409">
        <f t="shared" si="354"/>
        <v>0</v>
      </c>
      <c r="HM299" s="409">
        <f t="shared" si="354"/>
        <v>0</v>
      </c>
      <c r="HN299" s="409">
        <f t="shared" si="354"/>
        <v>0</v>
      </c>
      <c r="HO299" s="409">
        <f t="shared" si="354"/>
        <v>0</v>
      </c>
      <c r="HP299" s="409">
        <f t="shared" si="354"/>
        <v>0</v>
      </c>
      <c r="HQ299" s="409">
        <f t="shared" si="354"/>
        <v>0</v>
      </c>
      <c r="HR299" s="409">
        <f t="shared" si="354"/>
        <v>0</v>
      </c>
      <c r="HS299" s="409">
        <f t="shared" si="354"/>
        <v>0</v>
      </c>
      <c r="HT299" s="409">
        <f t="shared" si="354"/>
        <v>0</v>
      </c>
      <c r="HU299" s="409">
        <f t="shared" si="355"/>
        <v>0</v>
      </c>
      <c r="HV299" s="409">
        <f t="shared" si="355"/>
        <v>0</v>
      </c>
      <c r="HW299" s="409">
        <f t="shared" si="355"/>
        <v>0</v>
      </c>
      <c r="HX299" s="409">
        <f t="shared" si="355"/>
        <v>0</v>
      </c>
      <c r="HY299" s="409">
        <f t="shared" si="355"/>
        <v>0</v>
      </c>
      <c r="HZ299" s="409">
        <f t="shared" si="355"/>
        <v>0</v>
      </c>
      <c r="IA299" s="409">
        <f t="shared" si="355"/>
        <v>0</v>
      </c>
      <c r="IB299" s="409">
        <f t="shared" si="355"/>
        <v>0</v>
      </c>
      <c r="IC299" s="409">
        <f t="shared" si="355"/>
        <v>0</v>
      </c>
      <c r="ID299" s="409">
        <f t="shared" si="355"/>
        <v>0</v>
      </c>
      <c r="IE299" s="409">
        <f t="shared" si="356"/>
        <v>0</v>
      </c>
      <c r="IF299" s="409">
        <f t="shared" si="356"/>
        <v>0</v>
      </c>
      <c r="IG299" s="409">
        <f t="shared" si="356"/>
        <v>0</v>
      </c>
      <c r="IH299" s="409">
        <f t="shared" si="356"/>
        <v>0</v>
      </c>
      <c r="II299" s="409">
        <f t="shared" si="356"/>
        <v>0</v>
      </c>
      <c r="IJ299" s="409">
        <f t="shared" si="356"/>
        <v>0</v>
      </c>
      <c r="IK299" s="378"/>
    </row>
    <row r="300" spans="1:245" hidden="1" x14ac:dyDescent="0.2">
      <c r="A300" s="380" t="str">
        <f t="shared" si="377"/>
        <v>e</v>
      </c>
      <c r="B300" s="712" t="str">
        <f>IF(ISERROR(INDEX('Legend(DX)'!$H$14:$H$15,13)),"",INDEX('Legend(DX)'!$H$14:$H$15,13))</f>
        <v/>
      </c>
      <c r="C300" s="712" t="e">
        <f>IF(INDEX('Legend(DX)'!$T$14:$T$15,13)=0,"See Legend",INDEX('Legend(DX)'!$T$14:$T$15,13))</f>
        <v>#REF!</v>
      </c>
      <c r="D300" s="712" t="e">
        <f>IF(INDEX('Legend(DX)'!$R$14:$R$15,13)=0,"---",INDEX('Legend(DX)'!$R$14:$R$15,13))</f>
        <v>#REF!</v>
      </c>
      <c r="E300" s="713" t="str">
        <f>IF(ISERROR(INDEX('Legend(DX)'!$AA$14:$AA$15,13)),"",INDEX('Legend(DX)'!$AA$14:$AA$15,13))</f>
        <v/>
      </c>
      <c r="F300" s="715"/>
      <c r="G300" s="715"/>
      <c r="H300" s="715"/>
      <c r="I300" s="715"/>
      <c r="J300" s="715"/>
      <c r="K300" s="890">
        <f t="shared" si="358"/>
        <v>0</v>
      </c>
      <c r="L300" s="718"/>
      <c r="M300" s="720"/>
      <c r="N300" s="972">
        <f t="shared" si="330"/>
        <v>-1</v>
      </c>
      <c r="O300" s="972">
        <f t="shared" si="378"/>
        <v>-1</v>
      </c>
      <c r="P300" s="972">
        <f t="shared" si="331"/>
        <v>-1</v>
      </c>
      <c r="Q300" s="972">
        <f t="shared" si="379"/>
        <v>-1</v>
      </c>
      <c r="R300" s="972">
        <f t="shared" si="332"/>
        <v>-1</v>
      </c>
      <c r="S300" s="972">
        <f t="shared" si="380"/>
        <v>-1</v>
      </c>
      <c r="T300" s="972">
        <f t="shared" si="333"/>
        <v>-1</v>
      </c>
      <c r="U300" s="972">
        <f t="shared" si="381"/>
        <v>-1</v>
      </c>
      <c r="V300" s="972">
        <f t="shared" si="334"/>
        <v>-1</v>
      </c>
      <c r="W300" s="972">
        <f t="shared" si="382"/>
        <v>-1</v>
      </c>
      <c r="X300" s="972">
        <f t="shared" si="335"/>
        <v>-1</v>
      </c>
      <c r="Y300" s="972">
        <f t="shared" si="364"/>
        <v>-1</v>
      </c>
      <c r="Z300" s="972">
        <f t="shared" si="365"/>
        <v>-1</v>
      </c>
      <c r="AA300" s="972">
        <f t="shared" si="366"/>
        <v>-1</v>
      </c>
      <c r="AB300" s="972">
        <f t="shared" si="367"/>
        <v>-1</v>
      </c>
      <c r="AC300" s="972">
        <f t="shared" si="368"/>
        <v>-1</v>
      </c>
      <c r="AD300" s="972">
        <f t="shared" si="369"/>
        <v>-1</v>
      </c>
      <c r="AE300" s="972">
        <f t="shared" si="370"/>
        <v>-1</v>
      </c>
      <c r="AF300" s="972">
        <f t="shared" si="371"/>
        <v>-1</v>
      </c>
      <c r="AG300" s="972">
        <f t="shared" si="372"/>
        <v>-1</v>
      </c>
      <c r="AH300" s="972">
        <f t="shared" si="373"/>
        <v>-1</v>
      </c>
      <c r="AI300" s="972">
        <f t="shared" si="374"/>
        <v>-1</v>
      </c>
      <c r="AJ300" s="972">
        <f t="shared" si="375"/>
        <v>-1</v>
      </c>
      <c r="AK300" s="381"/>
      <c r="AL300" s="727" t="str">
        <f t="shared" si="383"/>
        <v/>
      </c>
      <c r="AM300" s="409">
        <f t="shared" si="336"/>
        <v>0</v>
      </c>
      <c r="AN300" s="409">
        <f t="shared" si="336"/>
        <v>0</v>
      </c>
      <c r="AO300" s="409">
        <f t="shared" si="336"/>
        <v>0</v>
      </c>
      <c r="AP300" s="409">
        <f t="shared" si="336"/>
        <v>0</v>
      </c>
      <c r="AQ300" s="409">
        <f t="shared" si="336"/>
        <v>0</v>
      </c>
      <c r="AR300" s="409">
        <f t="shared" si="336"/>
        <v>0</v>
      </c>
      <c r="AS300" s="409">
        <f t="shared" si="336"/>
        <v>0</v>
      </c>
      <c r="AT300" s="409">
        <f t="shared" si="336"/>
        <v>0</v>
      </c>
      <c r="AU300" s="409">
        <f t="shared" si="336"/>
        <v>0</v>
      </c>
      <c r="AV300" s="409">
        <f t="shared" si="336"/>
        <v>0</v>
      </c>
      <c r="AW300" s="409">
        <f t="shared" si="337"/>
        <v>0</v>
      </c>
      <c r="AX300" s="409">
        <f t="shared" si="337"/>
        <v>0</v>
      </c>
      <c r="AY300" s="409">
        <f t="shared" si="337"/>
        <v>0</v>
      </c>
      <c r="AZ300" s="409">
        <f t="shared" si="337"/>
        <v>0</v>
      </c>
      <c r="BA300" s="409">
        <f t="shared" si="337"/>
        <v>0</v>
      </c>
      <c r="BB300" s="409">
        <f t="shared" si="337"/>
        <v>0</v>
      </c>
      <c r="BC300" s="409">
        <f t="shared" si="337"/>
        <v>0</v>
      </c>
      <c r="BD300" s="409">
        <f t="shared" si="337"/>
        <v>0</v>
      </c>
      <c r="BE300" s="409">
        <f t="shared" si="337"/>
        <v>0</v>
      </c>
      <c r="BF300" s="409">
        <f t="shared" si="337"/>
        <v>0</v>
      </c>
      <c r="BG300" s="409">
        <f t="shared" si="338"/>
        <v>0</v>
      </c>
      <c r="BH300" s="409">
        <f t="shared" si="338"/>
        <v>0</v>
      </c>
      <c r="BI300" s="409">
        <f t="shared" si="338"/>
        <v>0</v>
      </c>
      <c r="BJ300" s="409">
        <f t="shared" si="338"/>
        <v>0</v>
      </c>
      <c r="BK300" s="409">
        <f t="shared" si="338"/>
        <v>0</v>
      </c>
      <c r="BL300" s="409">
        <f t="shared" si="338"/>
        <v>0</v>
      </c>
      <c r="BM300" s="409">
        <f t="shared" si="338"/>
        <v>0</v>
      </c>
      <c r="BN300" s="409">
        <f t="shared" si="338"/>
        <v>0</v>
      </c>
      <c r="BO300" s="409">
        <f t="shared" si="338"/>
        <v>0</v>
      </c>
      <c r="BP300" s="409">
        <f t="shared" si="338"/>
        <v>0</v>
      </c>
      <c r="BQ300" s="409">
        <f t="shared" si="339"/>
        <v>0</v>
      </c>
      <c r="BR300" s="409">
        <f t="shared" si="339"/>
        <v>0</v>
      </c>
      <c r="BS300" s="409">
        <f t="shared" si="339"/>
        <v>0</v>
      </c>
      <c r="BT300" s="409">
        <f t="shared" si="339"/>
        <v>0</v>
      </c>
      <c r="BU300" s="409">
        <f t="shared" si="339"/>
        <v>0</v>
      </c>
      <c r="BV300" s="409">
        <f t="shared" si="339"/>
        <v>0</v>
      </c>
      <c r="BW300" s="409">
        <f t="shared" si="339"/>
        <v>0</v>
      </c>
      <c r="BX300" s="409">
        <f t="shared" si="339"/>
        <v>0</v>
      </c>
      <c r="BY300" s="409">
        <f t="shared" si="339"/>
        <v>0</v>
      </c>
      <c r="BZ300" s="409">
        <f t="shared" si="339"/>
        <v>0</v>
      </c>
      <c r="CA300" s="409">
        <f t="shared" si="340"/>
        <v>0</v>
      </c>
      <c r="CB300" s="409">
        <f t="shared" si="340"/>
        <v>0</v>
      </c>
      <c r="CC300" s="409">
        <f t="shared" si="340"/>
        <v>0</v>
      </c>
      <c r="CD300" s="409">
        <f t="shared" si="340"/>
        <v>0</v>
      </c>
      <c r="CE300" s="409">
        <f t="shared" si="340"/>
        <v>0</v>
      </c>
      <c r="CF300" s="409">
        <f t="shared" si="340"/>
        <v>0</v>
      </c>
      <c r="CG300" s="409">
        <f t="shared" si="340"/>
        <v>0</v>
      </c>
      <c r="CH300" s="409">
        <f t="shared" si="340"/>
        <v>0</v>
      </c>
      <c r="CI300" s="409">
        <f t="shared" si="340"/>
        <v>0</v>
      </c>
      <c r="CJ300" s="409">
        <f t="shared" si="340"/>
        <v>0</v>
      </c>
      <c r="CK300" s="409">
        <f t="shared" si="341"/>
        <v>0</v>
      </c>
      <c r="CL300" s="409">
        <f t="shared" si="341"/>
        <v>0</v>
      </c>
      <c r="CM300" s="409">
        <f t="shared" si="341"/>
        <v>0</v>
      </c>
      <c r="CN300" s="409">
        <f t="shared" si="341"/>
        <v>0</v>
      </c>
      <c r="CO300" s="409">
        <f t="shared" si="341"/>
        <v>0</v>
      </c>
      <c r="CP300" s="409">
        <f t="shared" si="341"/>
        <v>0</v>
      </c>
      <c r="CQ300" s="409">
        <f t="shared" si="341"/>
        <v>0</v>
      </c>
      <c r="CR300" s="409">
        <f t="shared" si="341"/>
        <v>0</v>
      </c>
      <c r="CS300" s="409">
        <f t="shared" si="341"/>
        <v>0</v>
      </c>
      <c r="CT300" s="409">
        <f t="shared" si="341"/>
        <v>0</v>
      </c>
      <c r="CU300" s="409">
        <f t="shared" si="342"/>
        <v>0</v>
      </c>
      <c r="CV300" s="409">
        <f t="shared" si="342"/>
        <v>0</v>
      </c>
      <c r="CW300" s="409">
        <f t="shared" si="342"/>
        <v>0</v>
      </c>
      <c r="CX300" s="409">
        <f t="shared" si="342"/>
        <v>0</v>
      </c>
      <c r="CY300" s="409">
        <f t="shared" si="342"/>
        <v>0</v>
      </c>
      <c r="CZ300" s="409">
        <f t="shared" si="342"/>
        <v>0</v>
      </c>
      <c r="DA300" s="409">
        <f t="shared" si="342"/>
        <v>0</v>
      </c>
      <c r="DB300" s="409">
        <f t="shared" si="342"/>
        <v>0</v>
      </c>
      <c r="DC300" s="409">
        <f t="shared" si="342"/>
        <v>0</v>
      </c>
      <c r="DD300" s="409">
        <f t="shared" si="342"/>
        <v>0</v>
      </c>
      <c r="DE300" s="409">
        <f t="shared" si="343"/>
        <v>0</v>
      </c>
      <c r="DF300" s="409">
        <f t="shared" si="343"/>
        <v>0</v>
      </c>
      <c r="DG300" s="409">
        <f t="shared" si="343"/>
        <v>0</v>
      </c>
      <c r="DH300" s="409">
        <f t="shared" si="343"/>
        <v>0</v>
      </c>
      <c r="DI300" s="409">
        <f t="shared" si="343"/>
        <v>0</v>
      </c>
      <c r="DJ300" s="409">
        <f t="shared" si="343"/>
        <v>0</v>
      </c>
      <c r="DK300" s="409">
        <f t="shared" si="343"/>
        <v>0</v>
      </c>
      <c r="DL300" s="409">
        <f t="shared" si="343"/>
        <v>0</v>
      </c>
      <c r="DM300" s="409">
        <f t="shared" si="343"/>
        <v>0</v>
      </c>
      <c r="DN300" s="409">
        <f t="shared" si="343"/>
        <v>0</v>
      </c>
      <c r="DO300" s="409">
        <f t="shared" si="344"/>
        <v>0</v>
      </c>
      <c r="DP300" s="409">
        <f t="shared" si="344"/>
        <v>0</v>
      </c>
      <c r="DQ300" s="409">
        <f t="shared" si="344"/>
        <v>0</v>
      </c>
      <c r="DR300" s="409">
        <f t="shared" si="344"/>
        <v>0</v>
      </c>
      <c r="DS300" s="409">
        <f t="shared" si="344"/>
        <v>0</v>
      </c>
      <c r="DT300" s="409">
        <f t="shared" si="344"/>
        <v>0</v>
      </c>
      <c r="DU300" s="409">
        <f t="shared" si="344"/>
        <v>0</v>
      </c>
      <c r="DV300" s="409">
        <f t="shared" si="344"/>
        <v>0</v>
      </c>
      <c r="DW300" s="409">
        <f t="shared" si="344"/>
        <v>0</v>
      </c>
      <c r="DX300" s="409">
        <f t="shared" si="344"/>
        <v>0</v>
      </c>
      <c r="DY300" s="409">
        <f t="shared" si="345"/>
        <v>0</v>
      </c>
      <c r="DZ300" s="409">
        <f t="shared" si="345"/>
        <v>0</v>
      </c>
      <c r="EA300" s="409">
        <f t="shared" si="345"/>
        <v>0</v>
      </c>
      <c r="EB300" s="409">
        <f t="shared" si="345"/>
        <v>0</v>
      </c>
      <c r="EC300" s="409">
        <f t="shared" si="345"/>
        <v>0</v>
      </c>
      <c r="ED300" s="409">
        <f t="shared" si="345"/>
        <v>0</v>
      </c>
      <c r="EE300" s="409">
        <f t="shared" si="345"/>
        <v>0</v>
      </c>
      <c r="EF300" s="409">
        <f t="shared" si="345"/>
        <v>0</v>
      </c>
      <c r="EG300" s="409">
        <f t="shared" si="345"/>
        <v>0</v>
      </c>
      <c r="EH300" s="409">
        <f t="shared" si="345"/>
        <v>0</v>
      </c>
      <c r="EI300" s="409">
        <f t="shared" si="346"/>
        <v>0</v>
      </c>
      <c r="EJ300" s="409">
        <f t="shared" si="346"/>
        <v>0</v>
      </c>
      <c r="EK300" s="409">
        <f t="shared" si="346"/>
        <v>0</v>
      </c>
      <c r="EL300" s="409">
        <f t="shared" si="346"/>
        <v>0</v>
      </c>
      <c r="EM300" s="409">
        <f t="shared" si="346"/>
        <v>0</v>
      </c>
      <c r="EN300" s="409">
        <f t="shared" si="346"/>
        <v>0</v>
      </c>
      <c r="EO300" s="409">
        <f t="shared" si="346"/>
        <v>0</v>
      </c>
      <c r="EP300" s="409">
        <f t="shared" si="346"/>
        <v>0</v>
      </c>
      <c r="EQ300" s="409">
        <f t="shared" si="346"/>
        <v>0</v>
      </c>
      <c r="ER300" s="409">
        <f t="shared" si="346"/>
        <v>0</v>
      </c>
      <c r="ES300" s="409">
        <f t="shared" si="347"/>
        <v>0</v>
      </c>
      <c r="ET300" s="409">
        <f t="shared" si="347"/>
        <v>0</v>
      </c>
      <c r="EU300" s="409">
        <f t="shared" si="347"/>
        <v>0</v>
      </c>
      <c r="EV300" s="409">
        <f t="shared" si="347"/>
        <v>0</v>
      </c>
      <c r="EW300" s="409">
        <f t="shared" si="347"/>
        <v>0</v>
      </c>
      <c r="EX300" s="409">
        <f t="shared" si="347"/>
        <v>0</v>
      </c>
      <c r="EY300" s="409">
        <f t="shared" si="347"/>
        <v>0</v>
      </c>
      <c r="EZ300" s="409">
        <f t="shared" si="347"/>
        <v>0</v>
      </c>
      <c r="FA300" s="409">
        <f t="shared" si="347"/>
        <v>0</v>
      </c>
      <c r="FB300" s="409">
        <f t="shared" si="347"/>
        <v>0</v>
      </c>
      <c r="FC300" s="409">
        <f t="shared" si="348"/>
        <v>0</v>
      </c>
      <c r="FD300" s="409">
        <f t="shared" si="348"/>
        <v>0</v>
      </c>
      <c r="FE300" s="409">
        <f t="shared" si="348"/>
        <v>0</v>
      </c>
      <c r="FF300" s="409">
        <f t="shared" si="348"/>
        <v>0</v>
      </c>
      <c r="FG300" s="409">
        <f t="shared" si="348"/>
        <v>0</v>
      </c>
      <c r="FH300" s="409">
        <f t="shared" si="348"/>
        <v>0</v>
      </c>
      <c r="FI300" s="409">
        <f t="shared" si="348"/>
        <v>0</v>
      </c>
      <c r="FJ300" s="409">
        <f t="shared" si="348"/>
        <v>0</v>
      </c>
      <c r="FK300" s="409">
        <f t="shared" si="348"/>
        <v>0</v>
      </c>
      <c r="FL300" s="409">
        <f t="shared" si="348"/>
        <v>0</v>
      </c>
      <c r="FM300" s="409">
        <f t="shared" si="349"/>
        <v>0</v>
      </c>
      <c r="FN300" s="409">
        <f t="shared" si="349"/>
        <v>0</v>
      </c>
      <c r="FO300" s="409">
        <f t="shared" si="349"/>
        <v>0</v>
      </c>
      <c r="FP300" s="409">
        <f t="shared" si="349"/>
        <v>0</v>
      </c>
      <c r="FQ300" s="409">
        <f t="shared" si="349"/>
        <v>0</v>
      </c>
      <c r="FR300" s="409">
        <f t="shared" si="349"/>
        <v>0</v>
      </c>
      <c r="FS300" s="409">
        <f t="shared" si="349"/>
        <v>0</v>
      </c>
      <c r="FT300" s="409">
        <f t="shared" si="349"/>
        <v>0</v>
      </c>
      <c r="FU300" s="409">
        <f t="shared" si="349"/>
        <v>0</v>
      </c>
      <c r="FV300" s="409">
        <f t="shared" si="349"/>
        <v>0</v>
      </c>
      <c r="FW300" s="409">
        <f t="shared" si="350"/>
        <v>0</v>
      </c>
      <c r="FX300" s="409">
        <f t="shared" si="350"/>
        <v>0</v>
      </c>
      <c r="FY300" s="409">
        <f t="shared" si="350"/>
        <v>0</v>
      </c>
      <c r="FZ300" s="409">
        <f t="shared" si="350"/>
        <v>0</v>
      </c>
      <c r="GA300" s="409">
        <f t="shared" si="350"/>
        <v>0</v>
      </c>
      <c r="GB300" s="409">
        <f t="shared" si="350"/>
        <v>0</v>
      </c>
      <c r="GC300" s="409">
        <f t="shared" si="350"/>
        <v>0</v>
      </c>
      <c r="GD300" s="409">
        <f t="shared" si="350"/>
        <v>0</v>
      </c>
      <c r="GE300" s="409">
        <f t="shared" si="350"/>
        <v>0</v>
      </c>
      <c r="GF300" s="409">
        <f t="shared" si="350"/>
        <v>0</v>
      </c>
      <c r="GG300" s="409">
        <f t="shared" si="351"/>
        <v>0</v>
      </c>
      <c r="GH300" s="409">
        <f t="shared" si="351"/>
        <v>0</v>
      </c>
      <c r="GI300" s="409">
        <f t="shared" si="351"/>
        <v>0</v>
      </c>
      <c r="GJ300" s="409">
        <f t="shared" si="351"/>
        <v>0</v>
      </c>
      <c r="GK300" s="409">
        <f t="shared" si="351"/>
        <v>0</v>
      </c>
      <c r="GL300" s="409">
        <f t="shared" si="351"/>
        <v>0</v>
      </c>
      <c r="GM300" s="409">
        <f t="shared" si="351"/>
        <v>0</v>
      </c>
      <c r="GN300" s="409">
        <f t="shared" si="351"/>
        <v>0</v>
      </c>
      <c r="GO300" s="409">
        <f t="shared" si="351"/>
        <v>0</v>
      </c>
      <c r="GP300" s="409">
        <f t="shared" si="351"/>
        <v>0</v>
      </c>
      <c r="GQ300" s="409">
        <f t="shared" si="352"/>
        <v>0</v>
      </c>
      <c r="GR300" s="409">
        <f t="shared" si="352"/>
        <v>0</v>
      </c>
      <c r="GS300" s="409">
        <f t="shared" si="352"/>
        <v>0</v>
      </c>
      <c r="GT300" s="409">
        <f t="shared" si="352"/>
        <v>0</v>
      </c>
      <c r="GU300" s="409">
        <f t="shared" si="352"/>
        <v>0</v>
      </c>
      <c r="GV300" s="409">
        <f t="shared" si="352"/>
        <v>0</v>
      </c>
      <c r="GW300" s="409">
        <f t="shared" si="352"/>
        <v>0</v>
      </c>
      <c r="GX300" s="409">
        <f t="shared" si="352"/>
        <v>0</v>
      </c>
      <c r="GY300" s="409">
        <f t="shared" si="352"/>
        <v>0</v>
      </c>
      <c r="GZ300" s="409">
        <f t="shared" si="352"/>
        <v>0</v>
      </c>
      <c r="HA300" s="409">
        <f t="shared" si="353"/>
        <v>0</v>
      </c>
      <c r="HB300" s="409">
        <f t="shared" si="353"/>
        <v>0</v>
      </c>
      <c r="HC300" s="409">
        <f t="shared" si="353"/>
        <v>0</v>
      </c>
      <c r="HD300" s="409">
        <f t="shared" si="353"/>
        <v>0</v>
      </c>
      <c r="HE300" s="409">
        <f t="shared" si="353"/>
        <v>0</v>
      </c>
      <c r="HF300" s="409">
        <f t="shared" si="353"/>
        <v>0</v>
      </c>
      <c r="HG300" s="409">
        <f t="shared" si="353"/>
        <v>0</v>
      </c>
      <c r="HH300" s="409">
        <f t="shared" si="353"/>
        <v>0</v>
      </c>
      <c r="HI300" s="409">
        <f t="shared" si="353"/>
        <v>0</v>
      </c>
      <c r="HJ300" s="409">
        <f t="shared" si="353"/>
        <v>0</v>
      </c>
      <c r="HK300" s="409">
        <f t="shared" si="354"/>
        <v>0</v>
      </c>
      <c r="HL300" s="409">
        <f t="shared" si="354"/>
        <v>0</v>
      </c>
      <c r="HM300" s="409">
        <f t="shared" si="354"/>
        <v>0</v>
      </c>
      <c r="HN300" s="409">
        <f t="shared" si="354"/>
        <v>0</v>
      </c>
      <c r="HO300" s="409">
        <f t="shared" si="354"/>
        <v>0</v>
      </c>
      <c r="HP300" s="409">
        <f t="shared" si="354"/>
        <v>0</v>
      </c>
      <c r="HQ300" s="409">
        <f t="shared" si="354"/>
        <v>0</v>
      </c>
      <c r="HR300" s="409">
        <f t="shared" si="354"/>
        <v>0</v>
      </c>
      <c r="HS300" s="409">
        <f t="shared" si="354"/>
        <v>0</v>
      </c>
      <c r="HT300" s="409">
        <f t="shared" si="354"/>
        <v>0</v>
      </c>
      <c r="HU300" s="409">
        <f t="shared" si="355"/>
        <v>0</v>
      </c>
      <c r="HV300" s="409">
        <f t="shared" si="355"/>
        <v>0</v>
      </c>
      <c r="HW300" s="409">
        <f t="shared" si="355"/>
        <v>0</v>
      </c>
      <c r="HX300" s="409">
        <f t="shared" si="355"/>
        <v>0</v>
      </c>
      <c r="HY300" s="409">
        <f t="shared" si="355"/>
        <v>0</v>
      </c>
      <c r="HZ300" s="409">
        <f t="shared" si="355"/>
        <v>0</v>
      </c>
      <c r="IA300" s="409">
        <f t="shared" si="355"/>
        <v>0</v>
      </c>
      <c r="IB300" s="409">
        <f t="shared" si="355"/>
        <v>0</v>
      </c>
      <c r="IC300" s="409">
        <f t="shared" si="355"/>
        <v>0</v>
      </c>
      <c r="ID300" s="409">
        <f t="shared" si="355"/>
        <v>0</v>
      </c>
      <c r="IE300" s="409">
        <f t="shared" si="356"/>
        <v>0</v>
      </c>
      <c r="IF300" s="409">
        <f t="shared" si="356"/>
        <v>0</v>
      </c>
      <c r="IG300" s="409">
        <f t="shared" si="356"/>
        <v>0</v>
      </c>
      <c r="IH300" s="409">
        <f t="shared" si="356"/>
        <v>0</v>
      </c>
      <c r="II300" s="409">
        <f t="shared" si="356"/>
        <v>0</v>
      </c>
      <c r="IJ300" s="409">
        <f t="shared" si="356"/>
        <v>0</v>
      </c>
      <c r="IK300" s="378"/>
    </row>
    <row r="301" spans="1:245" hidden="1" x14ac:dyDescent="0.2">
      <c r="A301" s="380" t="str">
        <f t="shared" si="377"/>
        <v>e</v>
      </c>
      <c r="B301" s="712" t="str">
        <f>IF(ISERROR(INDEX('Legend(DX)'!$H$14:$H$15,14)),"",INDEX('Legend(DX)'!$H$14:$H$15,14))</f>
        <v/>
      </c>
      <c r="C301" s="712" t="e">
        <f>IF(INDEX('Legend(DX)'!$T$14:$T$15,14)=0,"See Legend",INDEX('Legend(DX)'!$T$14:$T$15,14))</f>
        <v>#REF!</v>
      </c>
      <c r="D301" s="712" t="e">
        <f>IF(INDEX('Legend(DX)'!$R$14:$R$15,14)=0,"---",INDEX('Legend(DX)'!$R$14:$R$15,14))</f>
        <v>#REF!</v>
      </c>
      <c r="E301" s="713" t="str">
        <f>IF(ISERROR(INDEX('Legend(DX)'!$AA$14:$AA$15,14)),"",INDEX('Legend(DX)'!$AA$14:$AA$15,14))</f>
        <v/>
      </c>
      <c r="F301" s="715"/>
      <c r="G301" s="715"/>
      <c r="H301" s="715"/>
      <c r="I301" s="715"/>
      <c r="J301" s="715"/>
      <c r="K301" s="890">
        <f t="shared" si="358"/>
        <v>0</v>
      </c>
      <c r="L301" s="718"/>
      <c r="M301" s="720"/>
      <c r="N301" s="972">
        <f t="shared" si="330"/>
        <v>-1</v>
      </c>
      <c r="O301" s="972">
        <f t="shared" si="378"/>
        <v>-1</v>
      </c>
      <c r="P301" s="972">
        <f t="shared" si="331"/>
        <v>-1</v>
      </c>
      <c r="Q301" s="972">
        <f t="shared" si="379"/>
        <v>-1</v>
      </c>
      <c r="R301" s="972">
        <f t="shared" si="332"/>
        <v>-1</v>
      </c>
      <c r="S301" s="972">
        <f t="shared" si="380"/>
        <v>-1</v>
      </c>
      <c r="T301" s="972">
        <f t="shared" si="333"/>
        <v>-1</v>
      </c>
      <c r="U301" s="972">
        <f t="shared" si="381"/>
        <v>-1</v>
      </c>
      <c r="V301" s="972">
        <f t="shared" si="334"/>
        <v>-1</v>
      </c>
      <c r="W301" s="972">
        <f t="shared" si="382"/>
        <v>-1</v>
      </c>
      <c r="X301" s="972">
        <f t="shared" si="335"/>
        <v>-1</v>
      </c>
      <c r="Y301" s="972">
        <f t="shared" si="364"/>
        <v>-1</v>
      </c>
      <c r="Z301" s="972">
        <f t="shared" si="365"/>
        <v>-1</v>
      </c>
      <c r="AA301" s="972">
        <f t="shared" si="366"/>
        <v>-1</v>
      </c>
      <c r="AB301" s="972">
        <f t="shared" si="367"/>
        <v>-1</v>
      </c>
      <c r="AC301" s="972">
        <f t="shared" si="368"/>
        <v>-1</v>
      </c>
      <c r="AD301" s="972">
        <f t="shared" si="369"/>
        <v>-1</v>
      </c>
      <c r="AE301" s="972">
        <f t="shared" si="370"/>
        <v>-1</v>
      </c>
      <c r="AF301" s="972">
        <f t="shared" si="371"/>
        <v>-1</v>
      </c>
      <c r="AG301" s="972">
        <f t="shared" si="372"/>
        <v>-1</v>
      </c>
      <c r="AH301" s="972">
        <f t="shared" si="373"/>
        <v>-1</v>
      </c>
      <c r="AI301" s="972">
        <f t="shared" si="374"/>
        <v>-1</v>
      </c>
      <c r="AJ301" s="972">
        <f t="shared" si="375"/>
        <v>-1</v>
      </c>
      <c r="AK301" s="381"/>
      <c r="AL301" s="727" t="str">
        <f t="shared" si="383"/>
        <v/>
      </c>
      <c r="AM301" s="409">
        <f t="shared" si="336"/>
        <v>0</v>
      </c>
      <c r="AN301" s="409">
        <f t="shared" si="336"/>
        <v>0</v>
      </c>
      <c r="AO301" s="409">
        <f t="shared" si="336"/>
        <v>0</v>
      </c>
      <c r="AP301" s="409">
        <f t="shared" si="336"/>
        <v>0</v>
      </c>
      <c r="AQ301" s="409">
        <f t="shared" si="336"/>
        <v>0</v>
      </c>
      <c r="AR301" s="409">
        <f t="shared" si="336"/>
        <v>0</v>
      </c>
      <c r="AS301" s="409">
        <f t="shared" si="336"/>
        <v>0</v>
      </c>
      <c r="AT301" s="409">
        <f t="shared" si="336"/>
        <v>0</v>
      </c>
      <c r="AU301" s="409">
        <f t="shared" si="336"/>
        <v>0</v>
      </c>
      <c r="AV301" s="409">
        <f t="shared" si="336"/>
        <v>0</v>
      </c>
      <c r="AW301" s="409">
        <f t="shared" si="337"/>
        <v>0</v>
      </c>
      <c r="AX301" s="409">
        <f t="shared" si="337"/>
        <v>0</v>
      </c>
      <c r="AY301" s="409">
        <f t="shared" si="337"/>
        <v>0</v>
      </c>
      <c r="AZ301" s="409">
        <f t="shared" si="337"/>
        <v>0</v>
      </c>
      <c r="BA301" s="409">
        <f t="shared" si="337"/>
        <v>0</v>
      </c>
      <c r="BB301" s="409">
        <f t="shared" si="337"/>
        <v>0</v>
      </c>
      <c r="BC301" s="409">
        <f t="shared" si="337"/>
        <v>0</v>
      </c>
      <c r="BD301" s="409">
        <f t="shared" si="337"/>
        <v>0</v>
      </c>
      <c r="BE301" s="409">
        <f t="shared" si="337"/>
        <v>0</v>
      </c>
      <c r="BF301" s="409">
        <f t="shared" si="337"/>
        <v>0</v>
      </c>
      <c r="BG301" s="409">
        <f t="shared" si="338"/>
        <v>0</v>
      </c>
      <c r="BH301" s="409">
        <f t="shared" si="338"/>
        <v>0</v>
      </c>
      <c r="BI301" s="409">
        <f t="shared" si="338"/>
        <v>0</v>
      </c>
      <c r="BJ301" s="409">
        <f t="shared" si="338"/>
        <v>0</v>
      </c>
      <c r="BK301" s="409">
        <f t="shared" si="338"/>
        <v>0</v>
      </c>
      <c r="BL301" s="409">
        <f t="shared" si="338"/>
        <v>0</v>
      </c>
      <c r="BM301" s="409">
        <f t="shared" si="338"/>
        <v>0</v>
      </c>
      <c r="BN301" s="409">
        <f t="shared" si="338"/>
        <v>0</v>
      </c>
      <c r="BO301" s="409">
        <f t="shared" si="338"/>
        <v>0</v>
      </c>
      <c r="BP301" s="409">
        <f t="shared" si="338"/>
        <v>0</v>
      </c>
      <c r="BQ301" s="409">
        <f t="shared" si="339"/>
        <v>0</v>
      </c>
      <c r="BR301" s="409">
        <f t="shared" si="339"/>
        <v>0</v>
      </c>
      <c r="BS301" s="409">
        <f t="shared" si="339"/>
        <v>0</v>
      </c>
      <c r="BT301" s="409">
        <f t="shared" si="339"/>
        <v>0</v>
      </c>
      <c r="BU301" s="409">
        <f t="shared" si="339"/>
        <v>0</v>
      </c>
      <c r="BV301" s="409">
        <f t="shared" si="339"/>
        <v>0</v>
      </c>
      <c r="BW301" s="409">
        <f t="shared" si="339"/>
        <v>0</v>
      </c>
      <c r="BX301" s="409">
        <f t="shared" si="339"/>
        <v>0</v>
      </c>
      <c r="BY301" s="409">
        <f t="shared" si="339"/>
        <v>0</v>
      </c>
      <c r="BZ301" s="409">
        <f t="shared" si="339"/>
        <v>0</v>
      </c>
      <c r="CA301" s="409">
        <f t="shared" si="340"/>
        <v>0</v>
      </c>
      <c r="CB301" s="409">
        <f t="shared" si="340"/>
        <v>0</v>
      </c>
      <c r="CC301" s="409">
        <f t="shared" si="340"/>
        <v>0</v>
      </c>
      <c r="CD301" s="409">
        <f t="shared" si="340"/>
        <v>0</v>
      </c>
      <c r="CE301" s="409">
        <f t="shared" si="340"/>
        <v>0</v>
      </c>
      <c r="CF301" s="409">
        <f t="shared" si="340"/>
        <v>0</v>
      </c>
      <c r="CG301" s="409">
        <f t="shared" si="340"/>
        <v>0</v>
      </c>
      <c r="CH301" s="409">
        <f t="shared" si="340"/>
        <v>0</v>
      </c>
      <c r="CI301" s="409">
        <f t="shared" si="340"/>
        <v>0</v>
      </c>
      <c r="CJ301" s="409">
        <f t="shared" si="340"/>
        <v>0</v>
      </c>
      <c r="CK301" s="409">
        <f t="shared" si="341"/>
        <v>0</v>
      </c>
      <c r="CL301" s="409">
        <f t="shared" si="341"/>
        <v>0</v>
      </c>
      <c r="CM301" s="409">
        <f t="shared" si="341"/>
        <v>0</v>
      </c>
      <c r="CN301" s="409">
        <f t="shared" si="341"/>
        <v>0</v>
      </c>
      <c r="CO301" s="409">
        <f t="shared" si="341"/>
        <v>0</v>
      </c>
      <c r="CP301" s="409">
        <f t="shared" si="341"/>
        <v>0</v>
      </c>
      <c r="CQ301" s="409">
        <f t="shared" si="341"/>
        <v>0</v>
      </c>
      <c r="CR301" s="409">
        <f t="shared" si="341"/>
        <v>0</v>
      </c>
      <c r="CS301" s="409">
        <f t="shared" si="341"/>
        <v>0</v>
      </c>
      <c r="CT301" s="409">
        <f t="shared" si="341"/>
        <v>0</v>
      </c>
      <c r="CU301" s="409">
        <f t="shared" si="342"/>
        <v>0</v>
      </c>
      <c r="CV301" s="409">
        <f t="shared" si="342"/>
        <v>0</v>
      </c>
      <c r="CW301" s="409">
        <f t="shared" si="342"/>
        <v>0</v>
      </c>
      <c r="CX301" s="409">
        <f t="shared" si="342"/>
        <v>0</v>
      </c>
      <c r="CY301" s="409">
        <f t="shared" si="342"/>
        <v>0</v>
      </c>
      <c r="CZ301" s="409">
        <f t="shared" si="342"/>
        <v>0</v>
      </c>
      <c r="DA301" s="409">
        <f t="shared" si="342"/>
        <v>0</v>
      </c>
      <c r="DB301" s="409">
        <f t="shared" si="342"/>
        <v>0</v>
      </c>
      <c r="DC301" s="409">
        <f t="shared" si="342"/>
        <v>0</v>
      </c>
      <c r="DD301" s="409">
        <f t="shared" si="342"/>
        <v>0</v>
      </c>
      <c r="DE301" s="409">
        <f t="shared" si="343"/>
        <v>0</v>
      </c>
      <c r="DF301" s="409">
        <f t="shared" si="343"/>
        <v>0</v>
      </c>
      <c r="DG301" s="409">
        <f t="shared" si="343"/>
        <v>0</v>
      </c>
      <c r="DH301" s="409">
        <f t="shared" si="343"/>
        <v>0</v>
      </c>
      <c r="DI301" s="409">
        <f t="shared" si="343"/>
        <v>0</v>
      </c>
      <c r="DJ301" s="409">
        <f t="shared" si="343"/>
        <v>0</v>
      </c>
      <c r="DK301" s="409">
        <f t="shared" si="343"/>
        <v>0</v>
      </c>
      <c r="DL301" s="409">
        <f t="shared" si="343"/>
        <v>0</v>
      </c>
      <c r="DM301" s="409">
        <f t="shared" si="343"/>
        <v>0</v>
      </c>
      <c r="DN301" s="409">
        <f t="shared" si="343"/>
        <v>0</v>
      </c>
      <c r="DO301" s="409">
        <f t="shared" si="344"/>
        <v>0</v>
      </c>
      <c r="DP301" s="409">
        <f t="shared" si="344"/>
        <v>0</v>
      </c>
      <c r="DQ301" s="409">
        <f t="shared" si="344"/>
        <v>0</v>
      </c>
      <c r="DR301" s="409">
        <f t="shared" si="344"/>
        <v>0</v>
      </c>
      <c r="DS301" s="409">
        <f t="shared" si="344"/>
        <v>0</v>
      </c>
      <c r="DT301" s="409">
        <f t="shared" si="344"/>
        <v>0</v>
      </c>
      <c r="DU301" s="409">
        <f t="shared" si="344"/>
        <v>0</v>
      </c>
      <c r="DV301" s="409">
        <f t="shared" si="344"/>
        <v>0</v>
      </c>
      <c r="DW301" s="409">
        <f t="shared" si="344"/>
        <v>0</v>
      </c>
      <c r="DX301" s="409">
        <f t="shared" si="344"/>
        <v>0</v>
      </c>
      <c r="DY301" s="409">
        <f t="shared" si="345"/>
        <v>0</v>
      </c>
      <c r="DZ301" s="409">
        <f t="shared" si="345"/>
        <v>0</v>
      </c>
      <c r="EA301" s="409">
        <f t="shared" si="345"/>
        <v>0</v>
      </c>
      <c r="EB301" s="409">
        <f t="shared" si="345"/>
        <v>0</v>
      </c>
      <c r="EC301" s="409">
        <f t="shared" si="345"/>
        <v>0</v>
      </c>
      <c r="ED301" s="409">
        <f t="shared" si="345"/>
        <v>0</v>
      </c>
      <c r="EE301" s="409">
        <f t="shared" si="345"/>
        <v>0</v>
      </c>
      <c r="EF301" s="409">
        <f t="shared" si="345"/>
        <v>0</v>
      </c>
      <c r="EG301" s="409">
        <f t="shared" si="345"/>
        <v>0</v>
      </c>
      <c r="EH301" s="409">
        <f t="shared" si="345"/>
        <v>0</v>
      </c>
      <c r="EI301" s="409">
        <f t="shared" si="346"/>
        <v>0</v>
      </c>
      <c r="EJ301" s="409">
        <f t="shared" si="346"/>
        <v>0</v>
      </c>
      <c r="EK301" s="409">
        <f t="shared" si="346"/>
        <v>0</v>
      </c>
      <c r="EL301" s="409">
        <f t="shared" si="346"/>
        <v>0</v>
      </c>
      <c r="EM301" s="409">
        <f t="shared" si="346"/>
        <v>0</v>
      </c>
      <c r="EN301" s="409">
        <f t="shared" si="346"/>
        <v>0</v>
      </c>
      <c r="EO301" s="409">
        <f t="shared" si="346"/>
        <v>0</v>
      </c>
      <c r="EP301" s="409">
        <f t="shared" si="346"/>
        <v>0</v>
      </c>
      <c r="EQ301" s="409">
        <f t="shared" si="346"/>
        <v>0</v>
      </c>
      <c r="ER301" s="409">
        <f t="shared" si="346"/>
        <v>0</v>
      </c>
      <c r="ES301" s="409">
        <f t="shared" si="347"/>
        <v>0</v>
      </c>
      <c r="ET301" s="409">
        <f t="shared" si="347"/>
        <v>0</v>
      </c>
      <c r="EU301" s="409">
        <f t="shared" si="347"/>
        <v>0</v>
      </c>
      <c r="EV301" s="409">
        <f t="shared" si="347"/>
        <v>0</v>
      </c>
      <c r="EW301" s="409">
        <f t="shared" si="347"/>
        <v>0</v>
      </c>
      <c r="EX301" s="409">
        <f t="shared" si="347"/>
        <v>0</v>
      </c>
      <c r="EY301" s="409">
        <f t="shared" si="347"/>
        <v>0</v>
      </c>
      <c r="EZ301" s="409">
        <f t="shared" si="347"/>
        <v>0</v>
      </c>
      <c r="FA301" s="409">
        <f t="shared" si="347"/>
        <v>0</v>
      </c>
      <c r="FB301" s="409">
        <f t="shared" si="347"/>
        <v>0</v>
      </c>
      <c r="FC301" s="409">
        <f t="shared" si="348"/>
        <v>0</v>
      </c>
      <c r="FD301" s="409">
        <f t="shared" si="348"/>
        <v>0</v>
      </c>
      <c r="FE301" s="409">
        <f t="shared" si="348"/>
        <v>0</v>
      </c>
      <c r="FF301" s="409">
        <f t="shared" si="348"/>
        <v>0</v>
      </c>
      <c r="FG301" s="409">
        <f t="shared" si="348"/>
        <v>0</v>
      </c>
      <c r="FH301" s="409">
        <f t="shared" si="348"/>
        <v>0</v>
      </c>
      <c r="FI301" s="409">
        <f t="shared" si="348"/>
        <v>0</v>
      </c>
      <c r="FJ301" s="409">
        <f t="shared" si="348"/>
        <v>0</v>
      </c>
      <c r="FK301" s="409">
        <f t="shared" si="348"/>
        <v>0</v>
      </c>
      <c r="FL301" s="409">
        <f t="shared" si="348"/>
        <v>0</v>
      </c>
      <c r="FM301" s="409">
        <f t="shared" si="349"/>
        <v>0</v>
      </c>
      <c r="FN301" s="409">
        <f t="shared" si="349"/>
        <v>0</v>
      </c>
      <c r="FO301" s="409">
        <f t="shared" si="349"/>
        <v>0</v>
      </c>
      <c r="FP301" s="409">
        <f t="shared" si="349"/>
        <v>0</v>
      </c>
      <c r="FQ301" s="409">
        <f t="shared" si="349"/>
        <v>0</v>
      </c>
      <c r="FR301" s="409">
        <f t="shared" si="349"/>
        <v>0</v>
      </c>
      <c r="FS301" s="409">
        <f t="shared" si="349"/>
        <v>0</v>
      </c>
      <c r="FT301" s="409">
        <f t="shared" si="349"/>
        <v>0</v>
      </c>
      <c r="FU301" s="409">
        <f t="shared" si="349"/>
        <v>0</v>
      </c>
      <c r="FV301" s="409">
        <f t="shared" si="349"/>
        <v>0</v>
      </c>
      <c r="FW301" s="409">
        <f t="shared" si="350"/>
        <v>0</v>
      </c>
      <c r="FX301" s="409">
        <f t="shared" si="350"/>
        <v>0</v>
      </c>
      <c r="FY301" s="409">
        <f t="shared" si="350"/>
        <v>0</v>
      </c>
      <c r="FZ301" s="409">
        <f t="shared" si="350"/>
        <v>0</v>
      </c>
      <c r="GA301" s="409">
        <f t="shared" si="350"/>
        <v>0</v>
      </c>
      <c r="GB301" s="409">
        <f t="shared" si="350"/>
        <v>0</v>
      </c>
      <c r="GC301" s="409">
        <f t="shared" si="350"/>
        <v>0</v>
      </c>
      <c r="GD301" s="409">
        <f t="shared" si="350"/>
        <v>0</v>
      </c>
      <c r="GE301" s="409">
        <f t="shared" si="350"/>
        <v>0</v>
      </c>
      <c r="GF301" s="409">
        <f t="shared" si="350"/>
        <v>0</v>
      </c>
      <c r="GG301" s="409">
        <f t="shared" si="351"/>
        <v>0</v>
      </c>
      <c r="GH301" s="409">
        <f t="shared" si="351"/>
        <v>0</v>
      </c>
      <c r="GI301" s="409">
        <f t="shared" si="351"/>
        <v>0</v>
      </c>
      <c r="GJ301" s="409">
        <f t="shared" si="351"/>
        <v>0</v>
      </c>
      <c r="GK301" s="409">
        <f t="shared" si="351"/>
        <v>0</v>
      </c>
      <c r="GL301" s="409">
        <f t="shared" si="351"/>
        <v>0</v>
      </c>
      <c r="GM301" s="409">
        <f t="shared" si="351"/>
        <v>0</v>
      </c>
      <c r="GN301" s="409">
        <f t="shared" si="351"/>
        <v>0</v>
      </c>
      <c r="GO301" s="409">
        <f t="shared" si="351"/>
        <v>0</v>
      </c>
      <c r="GP301" s="409">
        <f t="shared" si="351"/>
        <v>0</v>
      </c>
      <c r="GQ301" s="409">
        <f t="shared" si="352"/>
        <v>0</v>
      </c>
      <c r="GR301" s="409">
        <f t="shared" si="352"/>
        <v>0</v>
      </c>
      <c r="GS301" s="409">
        <f t="shared" si="352"/>
        <v>0</v>
      </c>
      <c r="GT301" s="409">
        <f t="shared" si="352"/>
        <v>0</v>
      </c>
      <c r="GU301" s="409">
        <f t="shared" si="352"/>
        <v>0</v>
      </c>
      <c r="GV301" s="409">
        <f t="shared" si="352"/>
        <v>0</v>
      </c>
      <c r="GW301" s="409">
        <f t="shared" si="352"/>
        <v>0</v>
      </c>
      <c r="GX301" s="409">
        <f t="shared" si="352"/>
        <v>0</v>
      </c>
      <c r="GY301" s="409">
        <f t="shared" si="352"/>
        <v>0</v>
      </c>
      <c r="GZ301" s="409">
        <f t="shared" si="352"/>
        <v>0</v>
      </c>
      <c r="HA301" s="409">
        <f t="shared" si="353"/>
        <v>0</v>
      </c>
      <c r="HB301" s="409">
        <f t="shared" si="353"/>
        <v>0</v>
      </c>
      <c r="HC301" s="409">
        <f t="shared" si="353"/>
        <v>0</v>
      </c>
      <c r="HD301" s="409">
        <f t="shared" si="353"/>
        <v>0</v>
      </c>
      <c r="HE301" s="409">
        <f t="shared" si="353"/>
        <v>0</v>
      </c>
      <c r="HF301" s="409">
        <f t="shared" si="353"/>
        <v>0</v>
      </c>
      <c r="HG301" s="409">
        <f t="shared" si="353"/>
        <v>0</v>
      </c>
      <c r="HH301" s="409">
        <f t="shared" si="353"/>
        <v>0</v>
      </c>
      <c r="HI301" s="409">
        <f t="shared" si="353"/>
        <v>0</v>
      </c>
      <c r="HJ301" s="409">
        <f t="shared" si="353"/>
        <v>0</v>
      </c>
      <c r="HK301" s="409">
        <f t="shared" si="354"/>
        <v>0</v>
      </c>
      <c r="HL301" s="409">
        <f t="shared" si="354"/>
        <v>0</v>
      </c>
      <c r="HM301" s="409">
        <f t="shared" si="354"/>
        <v>0</v>
      </c>
      <c r="HN301" s="409">
        <f t="shared" si="354"/>
        <v>0</v>
      </c>
      <c r="HO301" s="409">
        <f t="shared" si="354"/>
        <v>0</v>
      </c>
      <c r="HP301" s="409">
        <f t="shared" si="354"/>
        <v>0</v>
      </c>
      <c r="HQ301" s="409">
        <f t="shared" si="354"/>
        <v>0</v>
      </c>
      <c r="HR301" s="409">
        <f t="shared" si="354"/>
        <v>0</v>
      </c>
      <c r="HS301" s="409">
        <f t="shared" si="354"/>
        <v>0</v>
      </c>
      <c r="HT301" s="409">
        <f t="shared" si="354"/>
        <v>0</v>
      </c>
      <c r="HU301" s="409">
        <f t="shared" si="355"/>
        <v>0</v>
      </c>
      <c r="HV301" s="409">
        <f t="shared" si="355"/>
        <v>0</v>
      </c>
      <c r="HW301" s="409">
        <f t="shared" si="355"/>
        <v>0</v>
      </c>
      <c r="HX301" s="409">
        <f t="shared" si="355"/>
        <v>0</v>
      </c>
      <c r="HY301" s="409">
        <f t="shared" si="355"/>
        <v>0</v>
      </c>
      <c r="HZ301" s="409">
        <f t="shared" si="355"/>
        <v>0</v>
      </c>
      <c r="IA301" s="409">
        <f t="shared" si="355"/>
        <v>0</v>
      </c>
      <c r="IB301" s="409">
        <f t="shared" si="355"/>
        <v>0</v>
      </c>
      <c r="IC301" s="409">
        <f t="shared" si="355"/>
        <v>0</v>
      </c>
      <c r="ID301" s="409">
        <f t="shared" si="355"/>
        <v>0</v>
      </c>
      <c r="IE301" s="409">
        <f t="shared" si="356"/>
        <v>0</v>
      </c>
      <c r="IF301" s="409">
        <f t="shared" si="356"/>
        <v>0</v>
      </c>
      <c r="IG301" s="409">
        <f t="shared" si="356"/>
        <v>0</v>
      </c>
      <c r="IH301" s="409">
        <f t="shared" si="356"/>
        <v>0</v>
      </c>
      <c r="II301" s="409">
        <f t="shared" si="356"/>
        <v>0</v>
      </c>
      <c r="IJ301" s="409">
        <f t="shared" si="356"/>
        <v>0</v>
      </c>
      <c r="IK301" s="378"/>
    </row>
    <row r="302" spans="1:245" hidden="1" x14ac:dyDescent="0.2">
      <c r="A302" s="380" t="str">
        <f t="shared" si="377"/>
        <v>e</v>
      </c>
      <c r="B302" s="712" t="str">
        <f>IF(ISERROR(INDEX('Legend(DX)'!$H$14:$H$15,15)),"",INDEX('Legend(DX)'!$H$14:$H$15,15))</f>
        <v/>
      </c>
      <c r="C302" s="712" t="e">
        <f>IF(INDEX('Legend(DX)'!$T$14:$T$15,15)=0,"See Legend",INDEX('Legend(DX)'!$T$14:$T$15,15))</f>
        <v>#REF!</v>
      </c>
      <c r="D302" s="712" t="e">
        <f>IF(INDEX('Legend(DX)'!$R$14:$R$15,15)=0,"---",INDEX('Legend(DX)'!$R$14:$R$15,15))</f>
        <v>#REF!</v>
      </c>
      <c r="E302" s="713" t="str">
        <f>IF(ISERROR(INDEX('Legend(DX)'!$AA$14:$AA$15,15)),"",INDEX('Legend(DX)'!$AA$14:$AA$15,15))</f>
        <v/>
      </c>
      <c r="F302" s="715"/>
      <c r="G302" s="715"/>
      <c r="H302" s="715"/>
      <c r="I302" s="715"/>
      <c r="J302" s="715"/>
      <c r="K302" s="890">
        <f t="shared" si="358"/>
        <v>0</v>
      </c>
      <c r="L302" s="718"/>
      <c r="M302" s="720"/>
      <c r="N302" s="972">
        <f t="shared" si="330"/>
        <v>-1</v>
      </c>
      <c r="O302" s="972">
        <f t="shared" si="378"/>
        <v>-1</v>
      </c>
      <c r="P302" s="972">
        <f t="shared" si="331"/>
        <v>-1</v>
      </c>
      <c r="Q302" s="972">
        <f t="shared" si="379"/>
        <v>-1</v>
      </c>
      <c r="R302" s="972">
        <f t="shared" si="332"/>
        <v>-1</v>
      </c>
      <c r="S302" s="972">
        <f t="shared" si="380"/>
        <v>-1</v>
      </c>
      <c r="T302" s="972">
        <f t="shared" si="333"/>
        <v>-1</v>
      </c>
      <c r="U302" s="972">
        <f t="shared" si="381"/>
        <v>-1</v>
      </c>
      <c r="V302" s="972">
        <f t="shared" si="334"/>
        <v>-1</v>
      </c>
      <c r="W302" s="972">
        <f t="shared" si="382"/>
        <v>-1</v>
      </c>
      <c r="X302" s="972">
        <f t="shared" si="335"/>
        <v>-1</v>
      </c>
      <c r="Y302" s="972">
        <f t="shared" si="364"/>
        <v>-1</v>
      </c>
      <c r="Z302" s="972">
        <f t="shared" si="365"/>
        <v>-1</v>
      </c>
      <c r="AA302" s="972">
        <f t="shared" si="366"/>
        <v>-1</v>
      </c>
      <c r="AB302" s="972">
        <f t="shared" si="367"/>
        <v>-1</v>
      </c>
      <c r="AC302" s="972">
        <f t="shared" si="368"/>
        <v>-1</v>
      </c>
      <c r="AD302" s="972">
        <f t="shared" si="369"/>
        <v>-1</v>
      </c>
      <c r="AE302" s="972">
        <f t="shared" si="370"/>
        <v>-1</v>
      </c>
      <c r="AF302" s="972">
        <f t="shared" si="371"/>
        <v>-1</v>
      </c>
      <c r="AG302" s="972">
        <f t="shared" si="372"/>
        <v>-1</v>
      </c>
      <c r="AH302" s="972">
        <f t="shared" si="373"/>
        <v>-1</v>
      </c>
      <c r="AI302" s="972">
        <f t="shared" si="374"/>
        <v>-1</v>
      </c>
      <c r="AJ302" s="972">
        <f t="shared" si="375"/>
        <v>-1</v>
      </c>
      <c r="AK302" s="381"/>
      <c r="AL302" s="727" t="str">
        <f t="shared" si="383"/>
        <v/>
      </c>
      <c r="AM302" s="409">
        <f t="shared" si="336"/>
        <v>0</v>
      </c>
      <c r="AN302" s="409">
        <f t="shared" si="336"/>
        <v>0</v>
      </c>
      <c r="AO302" s="409">
        <f t="shared" si="336"/>
        <v>0</v>
      </c>
      <c r="AP302" s="409">
        <f t="shared" si="336"/>
        <v>0</v>
      </c>
      <c r="AQ302" s="409">
        <f t="shared" si="336"/>
        <v>0</v>
      </c>
      <c r="AR302" s="409">
        <f t="shared" si="336"/>
        <v>0</v>
      </c>
      <c r="AS302" s="409">
        <f t="shared" si="336"/>
        <v>0</v>
      </c>
      <c r="AT302" s="409">
        <f t="shared" si="336"/>
        <v>0</v>
      </c>
      <c r="AU302" s="409">
        <f t="shared" si="336"/>
        <v>0</v>
      </c>
      <c r="AV302" s="409">
        <f t="shared" si="336"/>
        <v>0</v>
      </c>
      <c r="AW302" s="409">
        <f t="shared" si="337"/>
        <v>0</v>
      </c>
      <c r="AX302" s="409">
        <f t="shared" si="337"/>
        <v>0</v>
      </c>
      <c r="AY302" s="409">
        <f t="shared" si="337"/>
        <v>0</v>
      </c>
      <c r="AZ302" s="409">
        <f t="shared" si="337"/>
        <v>0</v>
      </c>
      <c r="BA302" s="409">
        <f t="shared" si="337"/>
        <v>0</v>
      </c>
      <c r="BB302" s="409">
        <f t="shared" si="337"/>
        <v>0</v>
      </c>
      <c r="BC302" s="409">
        <f t="shared" si="337"/>
        <v>0</v>
      </c>
      <c r="BD302" s="409">
        <f t="shared" si="337"/>
        <v>0</v>
      </c>
      <c r="BE302" s="409">
        <f t="shared" si="337"/>
        <v>0</v>
      </c>
      <c r="BF302" s="409">
        <f t="shared" si="337"/>
        <v>0</v>
      </c>
      <c r="BG302" s="409">
        <f t="shared" si="338"/>
        <v>0</v>
      </c>
      <c r="BH302" s="409">
        <f t="shared" si="338"/>
        <v>0</v>
      </c>
      <c r="BI302" s="409">
        <f t="shared" si="338"/>
        <v>0</v>
      </c>
      <c r="BJ302" s="409">
        <f t="shared" si="338"/>
        <v>0</v>
      </c>
      <c r="BK302" s="409">
        <f t="shared" si="338"/>
        <v>0</v>
      </c>
      <c r="BL302" s="409">
        <f t="shared" si="338"/>
        <v>0</v>
      </c>
      <c r="BM302" s="409">
        <f t="shared" si="338"/>
        <v>0</v>
      </c>
      <c r="BN302" s="409">
        <f t="shared" si="338"/>
        <v>0</v>
      </c>
      <c r="BO302" s="409">
        <f t="shared" si="338"/>
        <v>0</v>
      </c>
      <c r="BP302" s="409">
        <f t="shared" si="338"/>
        <v>0</v>
      </c>
      <c r="BQ302" s="409">
        <f t="shared" si="339"/>
        <v>0</v>
      </c>
      <c r="BR302" s="409">
        <f t="shared" si="339"/>
        <v>0</v>
      </c>
      <c r="BS302" s="409">
        <f t="shared" si="339"/>
        <v>0</v>
      </c>
      <c r="BT302" s="409">
        <f t="shared" si="339"/>
        <v>0</v>
      </c>
      <c r="BU302" s="409">
        <f t="shared" si="339"/>
        <v>0</v>
      </c>
      <c r="BV302" s="409">
        <f t="shared" si="339"/>
        <v>0</v>
      </c>
      <c r="BW302" s="409">
        <f t="shared" si="339"/>
        <v>0</v>
      </c>
      <c r="BX302" s="409">
        <f t="shared" si="339"/>
        <v>0</v>
      </c>
      <c r="BY302" s="409">
        <f t="shared" si="339"/>
        <v>0</v>
      </c>
      <c r="BZ302" s="409">
        <f t="shared" si="339"/>
        <v>0</v>
      </c>
      <c r="CA302" s="409">
        <f t="shared" si="340"/>
        <v>0</v>
      </c>
      <c r="CB302" s="409">
        <f t="shared" si="340"/>
        <v>0</v>
      </c>
      <c r="CC302" s="409">
        <f t="shared" si="340"/>
        <v>0</v>
      </c>
      <c r="CD302" s="409">
        <f t="shared" si="340"/>
        <v>0</v>
      </c>
      <c r="CE302" s="409">
        <f t="shared" si="340"/>
        <v>0</v>
      </c>
      <c r="CF302" s="409">
        <f t="shared" si="340"/>
        <v>0</v>
      </c>
      <c r="CG302" s="409">
        <f t="shared" si="340"/>
        <v>0</v>
      </c>
      <c r="CH302" s="409">
        <f t="shared" si="340"/>
        <v>0</v>
      </c>
      <c r="CI302" s="409">
        <f t="shared" si="340"/>
        <v>0</v>
      </c>
      <c r="CJ302" s="409">
        <f t="shared" si="340"/>
        <v>0</v>
      </c>
      <c r="CK302" s="409">
        <f t="shared" si="341"/>
        <v>0</v>
      </c>
      <c r="CL302" s="409">
        <f t="shared" si="341"/>
        <v>0</v>
      </c>
      <c r="CM302" s="409">
        <f t="shared" si="341"/>
        <v>0</v>
      </c>
      <c r="CN302" s="409">
        <f t="shared" si="341"/>
        <v>0</v>
      </c>
      <c r="CO302" s="409">
        <f t="shared" si="341"/>
        <v>0</v>
      </c>
      <c r="CP302" s="409">
        <f t="shared" si="341"/>
        <v>0</v>
      </c>
      <c r="CQ302" s="409">
        <f t="shared" si="341"/>
        <v>0</v>
      </c>
      <c r="CR302" s="409">
        <f t="shared" si="341"/>
        <v>0</v>
      </c>
      <c r="CS302" s="409">
        <f t="shared" si="341"/>
        <v>0</v>
      </c>
      <c r="CT302" s="409">
        <f t="shared" si="341"/>
        <v>0</v>
      </c>
      <c r="CU302" s="409">
        <f t="shared" si="342"/>
        <v>0</v>
      </c>
      <c r="CV302" s="409">
        <f t="shared" si="342"/>
        <v>0</v>
      </c>
      <c r="CW302" s="409">
        <f t="shared" si="342"/>
        <v>0</v>
      </c>
      <c r="CX302" s="409">
        <f t="shared" si="342"/>
        <v>0</v>
      </c>
      <c r="CY302" s="409">
        <f t="shared" si="342"/>
        <v>0</v>
      </c>
      <c r="CZ302" s="409">
        <f t="shared" si="342"/>
        <v>0</v>
      </c>
      <c r="DA302" s="409">
        <f t="shared" si="342"/>
        <v>0</v>
      </c>
      <c r="DB302" s="409">
        <f t="shared" si="342"/>
        <v>0</v>
      </c>
      <c r="DC302" s="409">
        <f t="shared" si="342"/>
        <v>0</v>
      </c>
      <c r="DD302" s="409">
        <f t="shared" si="342"/>
        <v>0</v>
      </c>
      <c r="DE302" s="409">
        <f t="shared" si="343"/>
        <v>0</v>
      </c>
      <c r="DF302" s="409">
        <f t="shared" si="343"/>
        <v>0</v>
      </c>
      <c r="DG302" s="409">
        <f t="shared" si="343"/>
        <v>0</v>
      </c>
      <c r="DH302" s="409">
        <f t="shared" si="343"/>
        <v>0</v>
      </c>
      <c r="DI302" s="409">
        <f t="shared" si="343"/>
        <v>0</v>
      </c>
      <c r="DJ302" s="409">
        <f t="shared" si="343"/>
        <v>0</v>
      </c>
      <c r="DK302" s="409">
        <f t="shared" si="343"/>
        <v>0</v>
      </c>
      <c r="DL302" s="409">
        <f t="shared" si="343"/>
        <v>0</v>
      </c>
      <c r="DM302" s="409">
        <f t="shared" si="343"/>
        <v>0</v>
      </c>
      <c r="DN302" s="409">
        <f t="shared" si="343"/>
        <v>0</v>
      </c>
      <c r="DO302" s="409">
        <f t="shared" si="344"/>
        <v>0</v>
      </c>
      <c r="DP302" s="409">
        <f t="shared" si="344"/>
        <v>0</v>
      </c>
      <c r="DQ302" s="409">
        <f t="shared" si="344"/>
        <v>0</v>
      </c>
      <c r="DR302" s="409">
        <f t="shared" si="344"/>
        <v>0</v>
      </c>
      <c r="DS302" s="409">
        <f t="shared" si="344"/>
        <v>0</v>
      </c>
      <c r="DT302" s="409">
        <f t="shared" si="344"/>
        <v>0</v>
      </c>
      <c r="DU302" s="409">
        <f t="shared" si="344"/>
        <v>0</v>
      </c>
      <c r="DV302" s="409">
        <f t="shared" si="344"/>
        <v>0</v>
      </c>
      <c r="DW302" s="409">
        <f t="shared" si="344"/>
        <v>0</v>
      </c>
      <c r="DX302" s="409">
        <f t="shared" si="344"/>
        <v>0</v>
      </c>
      <c r="DY302" s="409">
        <f t="shared" si="345"/>
        <v>0</v>
      </c>
      <c r="DZ302" s="409">
        <f t="shared" si="345"/>
        <v>0</v>
      </c>
      <c r="EA302" s="409">
        <f t="shared" si="345"/>
        <v>0</v>
      </c>
      <c r="EB302" s="409">
        <f t="shared" si="345"/>
        <v>0</v>
      </c>
      <c r="EC302" s="409">
        <f t="shared" si="345"/>
        <v>0</v>
      </c>
      <c r="ED302" s="409">
        <f t="shared" si="345"/>
        <v>0</v>
      </c>
      <c r="EE302" s="409">
        <f t="shared" si="345"/>
        <v>0</v>
      </c>
      <c r="EF302" s="409">
        <f t="shared" si="345"/>
        <v>0</v>
      </c>
      <c r="EG302" s="409">
        <f t="shared" si="345"/>
        <v>0</v>
      </c>
      <c r="EH302" s="409">
        <f t="shared" si="345"/>
        <v>0</v>
      </c>
      <c r="EI302" s="409">
        <f t="shared" si="346"/>
        <v>0</v>
      </c>
      <c r="EJ302" s="409">
        <f t="shared" si="346"/>
        <v>0</v>
      </c>
      <c r="EK302" s="409">
        <f t="shared" si="346"/>
        <v>0</v>
      </c>
      <c r="EL302" s="409">
        <f t="shared" si="346"/>
        <v>0</v>
      </c>
      <c r="EM302" s="409">
        <f t="shared" si="346"/>
        <v>0</v>
      </c>
      <c r="EN302" s="409">
        <f t="shared" si="346"/>
        <v>0</v>
      </c>
      <c r="EO302" s="409">
        <f t="shared" si="346"/>
        <v>0</v>
      </c>
      <c r="EP302" s="409">
        <f t="shared" si="346"/>
        <v>0</v>
      </c>
      <c r="EQ302" s="409">
        <f t="shared" si="346"/>
        <v>0</v>
      </c>
      <c r="ER302" s="409">
        <f t="shared" si="346"/>
        <v>0</v>
      </c>
      <c r="ES302" s="409">
        <f t="shared" si="347"/>
        <v>0</v>
      </c>
      <c r="ET302" s="409">
        <f t="shared" si="347"/>
        <v>0</v>
      </c>
      <c r="EU302" s="409">
        <f t="shared" si="347"/>
        <v>0</v>
      </c>
      <c r="EV302" s="409">
        <f t="shared" si="347"/>
        <v>0</v>
      </c>
      <c r="EW302" s="409">
        <f t="shared" si="347"/>
        <v>0</v>
      </c>
      <c r="EX302" s="409">
        <f t="shared" si="347"/>
        <v>0</v>
      </c>
      <c r="EY302" s="409">
        <f t="shared" si="347"/>
        <v>0</v>
      </c>
      <c r="EZ302" s="409">
        <f t="shared" si="347"/>
        <v>0</v>
      </c>
      <c r="FA302" s="409">
        <f t="shared" si="347"/>
        <v>0</v>
      </c>
      <c r="FB302" s="409">
        <f t="shared" si="347"/>
        <v>0</v>
      </c>
      <c r="FC302" s="409">
        <f t="shared" si="348"/>
        <v>0</v>
      </c>
      <c r="FD302" s="409">
        <f t="shared" si="348"/>
        <v>0</v>
      </c>
      <c r="FE302" s="409">
        <f t="shared" si="348"/>
        <v>0</v>
      </c>
      <c r="FF302" s="409">
        <f t="shared" si="348"/>
        <v>0</v>
      </c>
      <c r="FG302" s="409">
        <f t="shared" si="348"/>
        <v>0</v>
      </c>
      <c r="FH302" s="409">
        <f t="shared" si="348"/>
        <v>0</v>
      </c>
      <c r="FI302" s="409">
        <f t="shared" si="348"/>
        <v>0</v>
      </c>
      <c r="FJ302" s="409">
        <f t="shared" si="348"/>
        <v>0</v>
      </c>
      <c r="FK302" s="409">
        <f t="shared" si="348"/>
        <v>0</v>
      </c>
      <c r="FL302" s="409">
        <f t="shared" si="348"/>
        <v>0</v>
      </c>
      <c r="FM302" s="409">
        <f t="shared" si="349"/>
        <v>0</v>
      </c>
      <c r="FN302" s="409">
        <f t="shared" si="349"/>
        <v>0</v>
      </c>
      <c r="FO302" s="409">
        <f t="shared" si="349"/>
        <v>0</v>
      </c>
      <c r="FP302" s="409">
        <f t="shared" si="349"/>
        <v>0</v>
      </c>
      <c r="FQ302" s="409">
        <f t="shared" si="349"/>
        <v>0</v>
      </c>
      <c r="FR302" s="409">
        <f t="shared" si="349"/>
        <v>0</v>
      </c>
      <c r="FS302" s="409">
        <f t="shared" si="349"/>
        <v>0</v>
      </c>
      <c r="FT302" s="409">
        <f t="shared" si="349"/>
        <v>0</v>
      </c>
      <c r="FU302" s="409">
        <f t="shared" si="349"/>
        <v>0</v>
      </c>
      <c r="FV302" s="409">
        <f t="shared" si="349"/>
        <v>0</v>
      </c>
      <c r="FW302" s="409">
        <f t="shared" si="350"/>
        <v>0</v>
      </c>
      <c r="FX302" s="409">
        <f t="shared" si="350"/>
        <v>0</v>
      </c>
      <c r="FY302" s="409">
        <f t="shared" si="350"/>
        <v>0</v>
      </c>
      <c r="FZ302" s="409">
        <f t="shared" si="350"/>
        <v>0</v>
      </c>
      <c r="GA302" s="409">
        <f t="shared" si="350"/>
        <v>0</v>
      </c>
      <c r="GB302" s="409">
        <f t="shared" si="350"/>
        <v>0</v>
      </c>
      <c r="GC302" s="409">
        <f t="shared" si="350"/>
        <v>0</v>
      </c>
      <c r="GD302" s="409">
        <f t="shared" si="350"/>
        <v>0</v>
      </c>
      <c r="GE302" s="409">
        <f t="shared" si="350"/>
        <v>0</v>
      </c>
      <c r="GF302" s="409">
        <f t="shared" si="350"/>
        <v>0</v>
      </c>
      <c r="GG302" s="409">
        <f t="shared" si="351"/>
        <v>0</v>
      </c>
      <c r="GH302" s="409">
        <f t="shared" si="351"/>
        <v>0</v>
      </c>
      <c r="GI302" s="409">
        <f t="shared" si="351"/>
        <v>0</v>
      </c>
      <c r="GJ302" s="409">
        <f t="shared" si="351"/>
        <v>0</v>
      </c>
      <c r="GK302" s="409">
        <f t="shared" si="351"/>
        <v>0</v>
      </c>
      <c r="GL302" s="409">
        <f t="shared" si="351"/>
        <v>0</v>
      </c>
      <c r="GM302" s="409">
        <f t="shared" si="351"/>
        <v>0</v>
      </c>
      <c r="GN302" s="409">
        <f t="shared" si="351"/>
        <v>0</v>
      </c>
      <c r="GO302" s="409">
        <f t="shared" si="351"/>
        <v>0</v>
      </c>
      <c r="GP302" s="409">
        <f t="shared" si="351"/>
        <v>0</v>
      </c>
      <c r="GQ302" s="409">
        <f t="shared" si="352"/>
        <v>0</v>
      </c>
      <c r="GR302" s="409">
        <f t="shared" si="352"/>
        <v>0</v>
      </c>
      <c r="GS302" s="409">
        <f t="shared" si="352"/>
        <v>0</v>
      </c>
      <c r="GT302" s="409">
        <f t="shared" si="352"/>
        <v>0</v>
      </c>
      <c r="GU302" s="409">
        <f t="shared" si="352"/>
        <v>0</v>
      </c>
      <c r="GV302" s="409">
        <f t="shared" si="352"/>
        <v>0</v>
      </c>
      <c r="GW302" s="409">
        <f t="shared" si="352"/>
        <v>0</v>
      </c>
      <c r="GX302" s="409">
        <f t="shared" si="352"/>
        <v>0</v>
      </c>
      <c r="GY302" s="409">
        <f t="shared" si="352"/>
        <v>0</v>
      </c>
      <c r="GZ302" s="409">
        <f t="shared" si="352"/>
        <v>0</v>
      </c>
      <c r="HA302" s="409">
        <f t="shared" si="353"/>
        <v>0</v>
      </c>
      <c r="HB302" s="409">
        <f t="shared" si="353"/>
        <v>0</v>
      </c>
      <c r="HC302" s="409">
        <f t="shared" si="353"/>
        <v>0</v>
      </c>
      <c r="HD302" s="409">
        <f t="shared" si="353"/>
        <v>0</v>
      </c>
      <c r="HE302" s="409">
        <f t="shared" si="353"/>
        <v>0</v>
      </c>
      <c r="HF302" s="409">
        <f t="shared" si="353"/>
        <v>0</v>
      </c>
      <c r="HG302" s="409">
        <f t="shared" si="353"/>
        <v>0</v>
      </c>
      <c r="HH302" s="409">
        <f t="shared" si="353"/>
        <v>0</v>
      </c>
      <c r="HI302" s="409">
        <f t="shared" si="353"/>
        <v>0</v>
      </c>
      <c r="HJ302" s="409">
        <f t="shared" si="353"/>
        <v>0</v>
      </c>
      <c r="HK302" s="409">
        <f t="shared" si="354"/>
        <v>0</v>
      </c>
      <c r="HL302" s="409">
        <f t="shared" si="354"/>
        <v>0</v>
      </c>
      <c r="HM302" s="409">
        <f t="shared" si="354"/>
        <v>0</v>
      </c>
      <c r="HN302" s="409">
        <f t="shared" si="354"/>
        <v>0</v>
      </c>
      <c r="HO302" s="409">
        <f t="shared" si="354"/>
        <v>0</v>
      </c>
      <c r="HP302" s="409">
        <f t="shared" si="354"/>
        <v>0</v>
      </c>
      <c r="HQ302" s="409">
        <f t="shared" si="354"/>
        <v>0</v>
      </c>
      <c r="HR302" s="409">
        <f t="shared" si="354"/>
        <v>0</v>
      </c>
      <c r="HS302" s="409">
        <f t="shared" si="354"/>
        <v>0</v>
      </c>
      <c r="HT302" s="409">
        <f t="shared" si="354"/>
        <v>0</v>
      </c>
      <c r="HU302" s="409">
        <f t="shared" si="355"/>
        <v>0</v>
      </c>
      <c r="HV302" s="409">
        <f t="shared" si="355"/>
        <v>0</v>
      </c>
      <c r="HW302" s="409">
        <f t="shared" si="355"/>
        <v>0</v>
      </c>
      <c r="HX302" s="409">
        <f t="shared" si="355"/>
        <v>0</v>
      </c>
      <c r="HY302" s="409">
        <f t="shared" si="355"/>
        <v>0</v>
      </c>
      <c r="HZ302" s="409">
        <f t="shared" si="355"/>
        <v>0</v>
      </c>
      <c r="IA302" s="409">
        <f t="shared" si="355"/>
        <v>0</v>
      </c>
      <c r="IB302" s="409">
        <f t="shared" si="355"/>
        <v>0</v>
      </c>
      <c r="IC302" s="409">
        <f t="shared" si="355"/>
        <v>0</v>
      </c>
      <c r="ID302" s="409">
        <f t="shared" si="355"/>
        <v>0</v>
      </c>
      <c r="IE302" s="409">
        <f t="shared" si="356"/>
        <v>0</v>
      </c>
      <c r="IF302" s="409">
        <f t="shared" si="356"/>
        <v>0</v>
      </c>
      <c r="IG302" s="409">
        <f t="shared" si="356"/>
        <v>0</v>
      </c>
      <c r="IH302" s="409">
        <f t="shared" si="356"/>
        <v>0</v>
      </c>
      <c r="II302" s="409">
        <f t="shared" si="356"/>
        <v>0</v>
      </c>
      <c r="IJ302" s="409">
        <f t="shared" si="356"/>
        <v>0</v>
      </c>
      <c r="IK302" s="378"/>
    </row>
    <row r="303" spans="1:245" hidden="1" x14ac:dyDescent="0.2">
      <c r="A303" s="380" t="str">
        <f t="shared" si="377"/>
        <v>e</v>
      </c>
      <c r="B303" s="712" t="str">
        <f>IF(ISERROR(INDEX('Legend(DX)'!$H$14:$H$15,16)),"",INDEX('Legend(DX)'!$H$14:$H$15,16))</f>
        <v/>
      </c>
      <c r="C303" s="712" t="e">
        <f>IF(INDEX('Legend(DX)'!$T$14:$T$15,16)=0,"See Legend",INDEX('Legend(DX)'!$T$14:$T$15,16))</f>
        <v>#REF!</v>
      </c>
      <c r="D303" s="712" t="e">
        <f>IF(INDEX('Legend(DX)'!$R$14:$R$15,16)=0,"---",INDEX('Legend(DX)'!$R$14:$R$15,16))</f>
        <v>#REF!</v>
      </c>
      <c r="E303" s="713" t="str">
        <f>IF(ISERROR(INDEX('Legend(DX)'!$AA$14:$AA$15,16)),"",INDEX('Legend(DX)'!$AA$14:$AA$15,16))</f>
        <v/>
      </c>
      <c r="F303" s="715"/>
      <c r="G303" s="715"/>
      <c r="H303" s="715"/>
      <c r="I303" s="715"/>
      <c r="J303" s="715"/>
      <c r="K303" s="890">
        <f t="shared" si="358"/>
        <v>0</v>
      </c>
      <c r="L303" s="718"/>
      <c r="M303" s="720"/>
      <c r="N303" s="972">
        <f t="shared" si="330"/>
        <v>-1</v>
      </c>
      <c r="O303" s="972">
        <f t="shared" si="378"/>
        <v>-1</v>
      </c>
      <c r="P303" s="972">
        <f t="shared" si="331"/>
        <v>-1</v>
      </c>
      <c r="Q303" s="972">
        <f t="shared" si="379"/>
        <v>-1</v>
      </c>
      <c r="R303" s="972">
        <f t="shared" si="332"/>
        <v>-1</v>
      </c>
      <c r="S303" s="972">
        <f t="shared" si="380"/>
        <v>-1</v>
      </c>
      <c r="T303" s="972">
        <f t="shared" si="333"/>
        <v>-1</v>
      </c>
      <c r="U303" s="972">
        <f t="shared" si="381"/>
        <v>-1</v>
      </c>
      <c r="V303" s="972">
        <f t="shared" si="334"/>
        <v>-1</v>
      </c>
      <c r="W303" s="972">
        <f t="shared" si="382"/>
        <v>-1</v>
      </c>
      <c r="X303" s="972">
        <f t="shared" si="335"/>
        <v>-1</v>
      </c>
      <c r="Y303" s="972">
        <f t="shared" si="364"/>
        <v>-1</v>
      </c>
      <c r="Z303" s="972">
        <f t="shared" si="365"/>
        <v>-1</v>
      </c>
      <c r="AA303" s="972">
        <f t="shared" si="366"/>
        <v>-1</v>
      </c>
      <c r="AB303" s="972">
        <f t="shared" si="367"/>
        <v>-1</v>
      </c>
      <c r="AC303" s="972">
        <f t="shared" si="368"/>
        <v>-1</v>
      </c>
      <c r="AD303" s="972">
        <f t="shared" si="369"/>
        <v>-1</v>
      </c>
      <c r="AE303" s="972">
        <f t="shared" si="370"/>
        <v>-1</v>
      </c>
      <c r="AF303" s="972">
        <f t="shared" si="371"/>
        <v>-1</v>
      </c>
      <c r="AG303" s="972">
        <f t="shared" si="372"/>
        <v>-1</v>
      </c>
      <c r="AH303" s="972">
        <f t="shared" si="373"/>
        <v>-1</v>
      </c>
      <c r="AI303" s="972">
        <f t="shared" si="374"/>
        <v>-1</v>
      </c>
      <c r="AJ303" s="972">
        <f t="shared" si="375"/>
        <v>-1</v>
      </c>
      <c r="AK303" s="381"/>
      <c r="AL303" s="727" t="str">
        <f t="shared" si="383"/>
        <v/>
      </c>
      <c r="AM303" s="409">
        <f t="shared" si="336"/>
        <v>0</v>
      </c>
      <c r="AN303" s="409">
        <f t="shared" si="336"/>
        <v>0</v>
      </c>
      <c r="AO303" s="409">
        <f t="shared" si="336"/>
        <v>0</v>
      </c>
      <c r="AP303" s="409">
        <f t="shared" si="336"/>
        <v>0</v>
      </c>
      <c r="AQ303" s="409">
        <f t="shared" si="336"/>
        <v>0</v>
      </c>
      <c r="AR303" s="409">
        <f t="shared" si="336"/>
        <v>0</v>
      </c>
      <c r="AS303" s="409">
        <f t="shared" si="336"/>
        <v>0</v>
      </c>
      <c r="AT303" s="409">
        <f t="shared" si="336"/>
        <v>0</v>
      </c>
      <c r="AU303" s="409">
        <f t="shared" si="336"/>
        <v>0</v>
      </c>
      <c r="AV303" s="409">
        <f t="shared" si="336"/>
        <v>0</v>
      </c>
      <c r="AW303" s="409">
        <f t="shared" si="337"/>
        <v>0</v>
      </c>
      <c r="AX303" s="409">
        <f t="shared" si="337"/>
        <v>0</v>
      </c>
      <c r="AY303" s="409">
        <f t="shared" si="337"/>
        <v>0</v>
      </c>
      <c r="AZ303" s="409">
        <f t="shared" si="337"/>
        <v>0</v>
      </c>
      <c r="BA303" s="409">
        <f t="shared" si="337"/>
        <v>0</v>
      </c>
      <c r="BB303" s="409">
        <f t="shared" si="337"/>
        <v>0</v>
      </c>
      <c r="BC303" s="409">
        <f t="shared" si="337"/>
        <v>0</v>
      </c>
      <c r="BD303" s="409">
        <f t="shared" si="337"/>
        <v>0</v>
      </c>
      <c r="BE303" s="409">
        <f t="shared" si="337"/>
        <v>0</v>
      </c>
      <c r="BF303" s="409">
        <f t="shared" si="337"/>
        <v>0</v>
      </c>
      <c r="BG303" s="409">
        <f t="shared" si="338"/>
        <v>0</v>
      </c>
      <c r="BH303" s="409">
        <f t="shared" si="338"/>
        <v>0</v>
      </c>
      <c r="BI303" s="409">
        <f t="shared" si="338"/>
        <v>0</v>
      </c>
      <c r="BJ303" s="409">
        <f t="shared" si="338"/>
        <v>0</v>
      </c>
      <c r="BK303" s="409">
        <f t="shared" si="338"/>
        <v>0</v>
      </c>
      <c r="BL303" s="409">
        <f t="shared" si="338"/>
        <v>0</v>
      </c>
      <c r="BM303" s="409">
        <f t="shared" si="338"/>
        <v>0</v>
      </c>
      <c r="BN303" s="409">
        <f t="shared" si="338"/>
        <v>0</v>
      </c>
      <c r="BO303" s="409">
        <f t="shared" si="338"/>
        <v>0</v>
      </c>
      <c r="BP303" s="409">
        <f t="shared" si="338"/>
        <v>0</v>
      </c>
      <c r="BQ303" s="409">
        <f t="shared" si="339"/>
        <v>0</v>
      </c>
      <c r="BR303" s="409">
        <f t="shared" si="339"/>
        <v>0</v>
      </c>
      <c r="BS303" s="409">
        <f t="shared" si="339"/>
        <v>0</v>
      </c>
      <c r="BT303" s="409">
        <f t="shared" si="339"/>
        <v>0</v>
      </c>
      <c r="BU303" s="409">
        <f t="shared" si="339"/>
        <v>0</v>
      </c>
      <c r="BV303" s="409">
        <f t="shared" si="339"/>
        <v>0</v>
      </c>
      <c r="BW303" s="409">
        <f t="shared" si="339"/>
        <v>0</v>
      </c>
      <c r="BX303" s="409">
        <f t="shared" si="339"/>
        <v>0</v>
      </c>
      <c r="BY303" s="409">
        <f t="shared" si="339"/>
        <v>0</v>
      </c>
      <c r="BZ303" s="409">
        <f t="shared" si="339"/>
        <v>0</v>
      </c>
      <c r="CA303" s="409">
        <f t="shared" si="340"/>
        <v>0</v>
      </c>
      <c r="CB303" s="409">
        <f t="shared" si="340"/>
        <v>0</v>
      </c>
      <c r="CC303" s="409">
        <f t="shared" si="340"/>
        <v>0</v>
      </c>
      <c r="CD303" s="409">
        <f t="shared" si="340"/>
        <v>0</v>
      </c>
      <c r="CE303" s="409">
        <f t="shared" si="340"/>
        <v>0</v>
      </c>
      <c r="CF303" s="409">
        <f t="shared" si="340"/>
        <v>0</v>
      </c>
      <c r="CG303" s="409">
        <f t="shared" si="340"/>
        <v>0</v>
      </c>
      <c r="CH303" s="409">
        <f t="shared" si="340"/>
        <v>0</v>
      </c>
      <c r="CI303" s="409">
        <f t="shared" si="340"/>
        <v>0</v>
      </c>
      <c r="CJ303" s="409">
        <f t="shared" si="340"/>
        <v>0</v>
      </c>
      <c r="CK303" s="409">
        <f t="shared" si="341"/>
        <v>0</v>
      </c>
      <c r="CL303" s="409">
        <f t="shared" si="341"/>
        <v>0</v>
      </c>
      <c r="CM303" s="409">
        <f t="shared" si="341"/>
        <v>0</v>
      </c>
      <c r="CN303" s="409">
        <f t="shared" si="341"/>
        <v>0</v>
      </c>
      <c r="CO303" s="409">
        <f t="shared" si="341"/>
        <v>0</v>
      </c>
      <c r="CP303" s="409">
        <f t="shared" si="341"/>
        <v>0</v>
      </c>
      <c r="CQ303" s="409">
        <f t="shared" si="341"/>
        <v>0</v>
      </c>
      <c r="CR303" s="409">
        <f t="shared" si="341"/>
        <v>0</v>
      </c>
      <c r="CS303" s="409">
        <f t="shared" si="341"/>
        <v>0</v>
      </c>
      <c r="CT303" s="409">
        <f t="shared" si="341"/>
        <v>0</v>
      </c>
      <c r="CU303" s="409">
        <f t="shared" si="342"/>
        <v>0</v>
      </c>
      <c r="CV303" s="409">
        <f t="shared" si="342"/>
        <v>0</v>
      </c>
      <c r="CW303" s="409">
        <f t="shared" si="342"/>
        <v>0</v>
      </c>
      <c r="CX303" s="409">
        <f t="shared" si="342"/>
        <v>0</v>
      </c>
      <c r="CY303" s="409">
        <f t="shared" si="342"/>
        <v>0</v>
      </c>
      <c r="CZ303" s="409">
        <f t="shared" si="342"/>
        <v>0</v>
      </c>
      <c r="DA303" s="409">
        <f t="shared" si="342"/>
        <v>0</v>
      </c>
      <c r="DB303" s="409">
        <f t="shared" si="342"/>
        <v>0</v>
      </c>
      <c r="DC303" s="409">
        <f t="shared" si="342"/>
        <v>0</v>
      </c>
      <c r="DD303" s="409">
        <f t="shared" si="342"/>
        <v>0</v>
      </c>
      <c r="DE303" s="409">
        <f t="shared" si="343"/>
        <v>0</v>
      </c>
      <c r="DF303" s="409">
        <f t="shared" si="343"/>
        <v>0</v>
      </c>
      <c r="DG303" s="409">
        <f t="shared" si="343"/>
        <v>0</v>
      </c>
      <c r="DH303" s="409">
        <f t="shared" si="343"/>
        <v>0</v>
      </c>
      <c r="DI303" s="409">
        <f t="shared" si="343"/>
        <v>0</v>
      </c>
      <c r="DJ303" s="409">
        <f t="shared" si="343"/>
        <v>0</v>
      </c>
      <c r="DK303" s="409">
        <f t="shared" si="343"/>
        <v>0</v>
      </c>
      <c r="DL303" s="409">
        <f t="shared" si="343"/>
        <v>0</v>
      </c>
      <c r="DM303" s="409">
        <f t="shared" si="343"/>
        <v>0</v>
      </c>
      <c r="DN303" s="409">
        <f t="shared" si="343"/>
        <v>0</v>
      </c>
      <c r="DO303" s="409">
        <f t="shared" si="344"/>
        <v>0</v>
      </c>
      <c r="DP303" s="409">
        <f t="shared" si="344"/>
        <v>0</v>
      </c>
      <c r="DQ303" s="409">
        <f t="shared" si="344"/>
        <v>0</v>
      </c>
      <c r="DR303" s="409">
        <f t="shared" si="344"/>
        <v>0</v>
      </c>
      <c r="DS303" s="409">
        <f t="shared" si="344"/>
        <v>0</v>
      </c>
      <c r="DT303" s="409">
        <f t="shared" si="344"/>
        <v>0</v>
      </c>
      <c r="DU303" s="409">
        <f t="shared" si="344"/>
        <v>0</v>
      </c>
      <c r="DV303" s="409">
        <f t="shared" si="344"/>
        <v>0</v>
      </c>
      <c r="DW303" s="409">
        <f t="shared" si="344"/>
        <v>0</v>
      </c>
      <c r="DX303" s="409">
        <f t="shared" si="344"/>
        <v>0</v>
      </c>
      <c r="DY303" s="409">
        <f t="shared" si="345"/>
        <v>0</v>
      </c>
      <c r="DZ303" s="409">
        <f t="shared" si="345"/>
        <v>0</v>
      </c>
      <c r="EA303" s="409">
        <f t="shared" si="345"/>
        <v>0</v>
      </c>
      <c r="EB303" s="409">
        <f t="shared" si="345"/>
        <v>0</v>
      </c>
      <c r="EC303" s="409">
        <f t="shared" si="345"/>
        <v>0</v>
      </c>
      <c r="ED303" s="409">
        <f t="shared" si="345"/>
        <v>0</v>
      </c>
      <c r="EE303" s="409">
        <f t="shared" si="345"/>
        <v>0</v>
      </c>
      <c r="EF303" s="409">
        <f t="shared" si="345"/>
        <v>0</v>
      </c>
      <c r="EG303" s="409">
        <f t="shared" si="345"/>
        <v>0</v>
      </c>
      <c r="EH303" s="409">
        <f t="shared" si="345"/>
        <v>0</v>
      </c>
      <c r="EI303" s="409">
        <f t="shared" si="346"/>
        <v>0</v>
      </c>
      <c r="EJ303" s="409">
        <f t="shared" si="346"/>
        <v>0</v>
      </c>
      <c r="EK303" s="409">
        <f t="shared" si="346"/>
        <v>0</v>
      </c>
      <c r="EL303" s="409">
        <f t="shared" si="346"/>
        <v>0</v>
      </c>
      <c r="EM303" s="409">
        <f t="shared" si="346"/>
        <v>0</v>
      </c>
      <c r="EN303" s="409">
        <f t="shared" si="346"/>
        <v>0</v>
      </c>
      <c r="EO303" s="409">
        <f t="shared" si="346"/>
        <v>0</v>
      </c>
      <c r="EP303" s="409">
        <f t="shared" si="346"/>
        <v>0</v>
      </c>
      <c r="EQ303" s="409">
        <f t="shared" si="346"/>
        <v>0</v>
      </c>
      <c r="ER303" s="409">
        <f t="shared" si="346"/>
        <v>0</v>
      </c>
      <c r="ES303" s="409">
        <f t="shared" si="347"/>
        <v>0</v>
      </c>
      <c r="ET303" s="409">
        <f t="shared" si="347"/>
        <v>0</v>
      </c>
      <c r="EU303" s="409">
        <f t="shared" si="347"/>
        <v>0</v>
      </c>
      <c r="EV303" s="409">
        <f t="shared" si="347"/>
        <v>0</v>
      </c>
      <c r="EW303" s="409">
        <f t="shared" si="347"/>
        <v>0</v>
      </c>
      <c r="EX303" s="409">
        <f t="shared" si="347"/>
        <v>0</v>
      </c>
      <c r="EY303" s="409">
        <f t="shared" si="347"/>
        <v>0</v>
      </c>
      <c r="EZ303" s="409">
        <f t="shared" si="347"/>
        <v>0</v>
      </c>
      <c r="FA303" s="409">
        <f t="shared" si="347"/>
        <v>0</v>
      </c>
      <c r="FB303" s="409">
        <f t="shared" si="347"/>
        <v>0</v>
      </c>
      <c r="FC303" s="409">
        <f t="shared" si="348"/>
        <v>0</v>
      </c>
      <c r="FD303" s="409">
        <f t="shared" si="348"/>
        <v>0</v>
      </c>
      <c r="FE303" s="409">
        <f t="shared" si="348"/>
        <v>0</v>
      </c>
      <c r="FF303" s="409">
        <f t="shared" si="348"/>
        <v>0</v>
      </c>
      <c r="FG303" s="409">
        <f t="shared" si="348"/>
        <v>0</v>
      </c>
      <c r="FH303" s="409">
        <f t="shared" si="348"/>
        <v>0</v>
      </c>
      <c r="FI303" s="409">
        <f t="shared" si="348"/>
        <v>0</v>
      </c>
      <c r="FJ303" s="409">
        <f t="shared" si="348"/>
        <v>0</v>
      </c>
      <c r="FK303" s="409">
        <f t="shared" si="348"/>
        <v>0</v>
      </c>
      <c r="FL303" s="409">
        <f t="shared" si="348"/>
        <v>0</v>
      </c>
      <c r="FM303" s="409">
        <f t="shared" si="349"/>
        <v>0</v>
      </c>
      <c r="FN303" s="409">
        <f t="shared" si="349"/>
        <v>0</v>
      </c>
      <c r="FO303" s="409">
        <f t="shared" si="349"/>
        <v>0</v>
      </c>
      <c r="FP303" s="409">
        <f t="shared" si="349"/>
        <v>0</v>
      </c>
      <c r="FQ303" s="409">
        <f t="shared" si="349"/>
        <v>0</v>
      </c>
      <c r="FR303" s="409">
        <f t="shared" si="349"/>
        <v>0</v>
      </c>
      <c r="FS303" s="409">
        <f t="shared" si="349"/>
        <v>0</v>
      </c>
      <c r="FT303" s="409">
        <f t="shared" si="349"/>
        <v>0</v>
      </c>
      <c r="FU303" s="409">
        <f t="shared" si="349"/>
        <v>0</v>
      </c>
      <c r="FV303" s="409">
        <f t="shared" si="349"/>
        <v>0</v>
      </c>
      <c r="FW303" s="409">
        <f t="shared" si="350"/>
        <v>0</v>
      </c>
      <c r="FX303" s="409">
        <f t="shared" si="350"/>
        <v>0</v>
      </c>
      <c r="FY303" s="409">
        <f t="shared" si="350"/>
        <v>0</v>
      </c>
      <c r="FZ303" s="409">
        <f t="shared" si="350"/>
        <v>0</v>
      </c>
      <c r="GA303" s="409">
        <f t="shared" si="350"/>
        <v>0</v>
      </c>
      <c r="GB303" s="409">
        <f t="shared" si="350"/>
        <v>0</v>
      </c>
      <c r="GC303" s="409">
        <f t="shared" si="350"/>
        <v>0</v>
      </c>
      <c r="GD303" s="409">
        <f t="shared" si="350"/>
        <v>0</v>
      </c>
      <c r="GE303" s="409">
        <f t="shared" si="350"/>
        <v>0</v>
      </c>
      <c r="GF303" s="409">
        <f t="shared" si="350"/>
        <v>0</v>
      </c>
      <c r="GG303" s="409">
        <f t="shared" si="351"/>
        <v>0</v>
      </c>
      <c r="GH303" s="409">
        <f t="shared" si="351"/>
        <v>0</v>
      </c>
      <c r="GI303" s="409">
        <f t="shared" si="351"/>
        <v>0</v>
      </c>
      <c r="GJ303" s="409">
        <f t="shared" si="351"/>
        <v>0</v>
      </c>
      <c r="GK303" s="409">
        <f t="shared" si="351"/>
        <v>0</v>
      </c>
      <c r="GL303" s="409">
        <f t="shared" si="351"/>
        <v>0</v>
      </c>
      <c r="GM303" s="409">
        <f t="shared" si="351"/>
        <v>0</v>
      </c>
      <c r="GN303" s="409">
        <f t="shared" si="351"/>
        <v>0</v>
      </c>
      <c r="GO303" s="409">
        <f t="shared" si="351"/>
        <v>0</v>
      </c>
      <c r="GP303" s="409">
        <f t="shared" si="351"/>
        <v>0</v>
      </c>
      <c r="GQ303" s="409">
        <f t="shared" si="352"/>
        <v>0</v>
      </c>
      <c r="GR303" s="409">
        <f t="shared" si="352"/>
        <v>0</v>
      </c>
      <c r="GS303" s="409">
        <f t="shared" si="352"/>
        <v>0</v>
      </c>
      <c r="GT303" s="409">
        <f t="shared" si="352"/>
        <v>0</v>
      </c>
      <c r="GU303" s="409">
        <f t="shared" si="352"/>
        <v>0</v>
      </c>
      <c r="GV303" s="409">
        <f t="shared" si="352"/>
        <v>0</v>
      </c>
      <c r="GW303" s="409">
        <f t="shared" si="352"/>
        <v>0</v>
      </c>
      <c r="GX303" s="409">
        <f t="shared" si="352"/>
        <v>0</v>
      </c>
      <c r="GY303" s="409">
        <f t="shared" si="352"/>
        <v>0</v>
      </c>
      <c r="GZ303" s="409">
        <f t="shared" si="352"/>
        <v>0</v>
      </c>
      <c r="HA303" s="409">
        <f t="shared" si="353"/>
        <v>0</v>
      </c>
      <c r="HB303" s="409">
        <f t="shared" si="353"/>
        <v>0</v>
      </c>
      <c r="HC303" s="409">
        <f t="shared" si="353"/>
        <v>0</v>
      </c>
      <c r="HD303" s="409">
        <f t="shared" si="353"/>
        <v>0</v>
      </c>
      <c r="HE303" s="409">
        <f t="shared" si="353"/>
        <v>0</v>
      </c>
      <c r="HF303" s="409">
        <f t="shared" si="353"/>
        <v>0</v>
      </c>
      <c r="HG303" s="409">
        <f t="shared" si="353"/>
        <v>0</v>
      </c>
      <c r="HH303" s="409">
        <f t="shared" si="353"/>
        <v>0</v>
      </c>
      <c r="HI303" s="409">
        <f t="shared" si="353"/>
        <v>0</v>
      </c>
      <c r="HJ303" s="409">
        <f t="shared" si="353"/>
        <v>0</v>
      </c>
      <c r="HK303" s="409">
        <f t="shared" si="354"/>
        <v>0</v>
      </c>
      <c r="HL303" s="409">
        <f t="shared" si="354"/>
        <v>0</v>
      </c>
      <c r="HM303" s="409">
        <f t="shared" si="354"/>
        <v>0</v>
      </c>
      <c r="HN303" s="409">
        <f t="shared" si="354"/>
        <v>0</v>
      </c>
      <c r="HO303" s="409">
        <f t="shared" si="354"/>
        <v>0</v>
      </c>
      <c r="HP303" s="409">
        <f t="shared" si="354"/>
        <v>0</v>
      </c>
      <c r="HQ303" s="409">
        <f t="shared" si="354"/>
        <v>0</v>
      </c>
      <c r="HR303" s="409">
        <f t="shared" si="354"/>
        <v>0</v>
      </c>
      <c r="HS303" s="409">
        <f t="shared" si="354"/>
        <v>0</v>
      </c>
      <c r="HT303" s="409">
        <f t="shared" si="354"/>
        <v>0</v>
      </c>
      <c r="HU303" s="409">
        <f t="shared" si="355"/>
        <v>0</v>
      </c>
      <c r="HV303" s="409">
        <f t="shared" si="355"/>
        <v>0</v>
      </c>
      <c r="HW303" s="409">
        <f t="shared" si="355"/>
        <v>0</v>
      </c>
      <c r="HX303" s="409">
        <f t="shared" si="355"/>
        <v>0</v>
      </c>
      <c r="HY303" s="409">
        <f t="shared" si="355"/>
        <v>0</v>
      </c>
      <c r="HZ303" s="409">
        <f t="shared" si="355"/>
        <v>0</v>
      </c>
      <c r="IA303" s="409">
        <f t="shared" si="355"/>
        <v>0</v>
      </c>
      <c r="IB303" s="409">
        <f t="shared" si="355"/>
        <v>0</v>
      </c>
      <c r="IC303" s="409">
        <f t="shared" si="355"/>
        <v>0</v>
      </c>
      <c r="ID303" s="409">
        <f t="shared" si="355"/>
        <v>0</v>
      </c>
      <c r="IE303" s="409">
        <f t="shared" si="356"/>
        <v>0</v>
      </c>
      <c r="IF303" s="409">
        <f t="shared" si="356"/>
        <v>0</v>
      </c>
      <c r="IG303" s="409">
        <f t="shared" si="356"/>
        <v>0</v>
      </c>
      <c r="IH303" s="409">
        <f t="shared" si="356"/>
        <v>0</v>
      </c>
      <c r="II303" s="409">
        <f t="shared" si="356"/>
        <v>0</v>
      </c>
      <c r="IJ303" s="409">
        <f t="shared" si="356"/>
        <v>0</v>
      </c>
      <c r="IK303" s="378"/>
    </row>
    <row r="304" spans="1:245" hidden="1" x14ac:dyDescent="0.2">
      <c r="A304" s="380" t="str">
        <f t="shared" si="377"/>
        <v>e</v>
      </c>
      <c r="B304" s="712" t="str">
        <f>IF(ISERROR(INDEX('Legend(DX)'!$H$14:$H$15,17)),"",INDEX('Legend(DX)'!$H$14:$H$15,17))</f>
        <v/>
      </c>
      <c r="C304" s="712" t="e">
        <f>IF(INDEX('Legend(DX)'!$T$14:$T$15,17)=0,"See Legend",INDEX('Legend(DX)'!$T$14:$T$15,17))</f>
        <v>#REF!</v>
      </c>
      <c r="D304" s="712" t="e">
        <f>IF(INDEX('Legend(DX)'!$R$14:$R$15,17)=0,"---",INDEX('Legend(DX)'!$R$14:$R$15,17))</f>
        <v>#REF!</v>
      </c>
      <c r="E304" s="713" t="str">
        <f>IF(ISERROR(INDEX('Legend(DX)'!$AA$14:$AA$15,17)),"",INDEX('Legend(DX)'!$AA$14:$AA$15,17))</f>
        <v/>
      </c>
      <c r="F304" s="715"/>
      <c r="G304" s="715"/>
      <c r="H304" s="715"/>
      <c r="I304" s="715"/>
      <c r="J304" s="715"/>
      <c r="K304" s="890">
        <f t="shared" si="358"/>
        <v>0</v>
      </c>
      <c r="L304" s="718"/>
      <c r="M304" s="720"/>
      <c r="N304" s="972">
        <f t="shared" si="330"/>
        <v>-1</v>
      </c>
      <c r="O304" s="972">
        <f t="shared" si="378"/>
        <v>-1</v>
      </c>
      <c r="P304" s="972">
        <f t="shared" si="331"/>
        <v>-1</v>
      </c>
      <c r="Q304" s="972">
        <f t="shared" si="379"/>
        <v>-1</v>
      </c>
      <c r="R304" s="972">
        <f t="shared" si="332"/>
        <v>-1</v>
      </c>
      <c r="S304" s="972">
        <f t="shared" si="380"/>
        <v>-1</v>
      </c>
      <c r="T304" s="972">
        <f t="shared" si="333"/>
        <v>-1</v>
      </c>
      <c r="U304" s="972">
        <f t="shared" si="381"/>
        <v>-1</v>
      </c>
      <c r="V304" s="972">
        <f t="shared" si="334"/>
        <v>-1</v>
      </c>
      <c r="W304" s="972">
        <f t="shared" si="382"/>
        <v>-1</v>
      </c>
      <c r="X304" s="972">
        <f t="shared" si="335"/>
        <v>-1</v>
      </c>
      <c r="Y304" s="972">
        <f t="shared" si="364"/>
        <v>-1</v>
      </c>
      <c r="Z304" s="972">
        <f t="shared" si="365"/>
        <v>-1</v>
      </c>
      <c r="AA304" s="972">
        <f t="shared" si="366"/>
        <v>-1</v>
      </c>
      <c r="AB304" s="972">
        <f t="shared" si="367"/>
        <v>-1</v>
      </c>
      <c r="AC304" s="972">
        <f t="shared" si="368"/>
        <v>-1</v>
      </c>
      <c r="AD304" s="972">
        <f t="shared" si="369"/>
        <v>-1</v>
      </c>
      <c r="AE304" s="972">
        <f t="shared" si="370"/>
        <v>-1</v>
      </c>
      <c r="AF304" s="972">
        <f t="shared" si="371"/>
        <v>-1</v>
      </c>
      <c r="AG304" s="972">
        <f t="shared" si="372"/>
        <v>-1</v>
      </c>
      <c r="AH304" s="972">
        <f t="shared" si="373"/>
        <v>-1</v>
      </c>
      <c r="AI304" s="972">
        <f t="shared" si="374"/>
        <v>-1</v>
      </c>
      <c r="AJ304" s="972">
        <f t="shared" si="375"/>
        <v>-1</v>
      </c>
      <c r="AK304" s="381"/>
      <c r="AL304" s="727" t="str">
        <f t="shared" si="383"/>
        <v/>
      </c>
      <c r="AM304" s="409">
        <f t="shared" si="336"/>
        <v>0</v>
      </c>
      <c r="AN304" s="409">
        <f t="shared" si="336"/>
        <v>0</v>
      </c>
      <c r="AO304" s="409">
        <f t="shared" si="336"/>
        <v>0</v>
      </c>
      <c r="AP304" s="409">
        <f t="shared" si="336"/>
        <v>0</v>
      </c>
      <c r="AQ304" s="409">
        <f t="shared" si="336"/>
        <v>0</v>
      </c>
      <c r="AR304" s="409">
        <f t="shared" si="336"/>
        <v>0</v>
      </c>
      <c r="AS304" s="409">
        <f t="shared" si="336"/>
        <v>0</v>
      </c>
      <c r="AT304" s="409">
        <f t="shared" si="336"/>
        <v>0</v>
      </c>
      <c r="AU304" s="409">
        <f t="shared" si="336"/>
        <v>0</v>
      </c>
      <c r="AV304" s="409">
        <f t="shared" si="336"/>
        <v>0</v>
      </c>
      <c r="AW304" s="409">
        <f t="shared" si="337"/>
        <v>0</v>
      </c>
      <c r="AX304" s="409">
        <f t="shared" si="337"/>
        <v>0</v>
      </c>
      <c r="AY304" s="409">
        <f t="shared" si="337"/>
        <v>0</v>
      </c>
      <c r="AZ304" s="409">
        <f t="shared" si="337"/>
        <v>0</v>
      </c>
      <c r="BA304" s="409">
        <f t="shared" si="337"/>
        <v>0</v>
      </c>
      <c r="BB304" s="409">
        <f t="shared" si="337"/>
        <v>0</v>
      </c>
      <c r="BC304" s="409">
        <f t="shared" si="337"/>
        <v>0</v>
      </c>
      <c r="BD304" s="409">
        <f t="shared" si="337"/>
        <v>0</v>
      </c>
      <c r="BE304" s="409">
        <f t="shared" si="337"/>
        <v>0</v>
      </c>
      <c r="BF304" s="409">
        <f t="shared" si="337"/>
        <v>0</v>
      </c>
      <c r="BG304" s="409">
        <f t="shared" si="338"/>
        <v>0</v>
      </c>
      <c r="BH304" s="409">
        <f t="shared" si="338"/>
        <v>0</v>
      </c>
      <c r="BI304" s="409">
        <f t="shared" si="338"/>
        <v>0</v>
      </c>
      <c r="BJ304" s="409">
        <f t="shared" si="338"/>
        <v>0</v>
      </c>
      <c r="BK304" s="409">
        <f t="shared" si="338"/>
        <v>0</v>
      </c>
      <c r="BL304" s="409">
        <f t="shared" si="338"/>
        <v>0</v>
      </c>
      <c r="BM304" s="409">
        <f t="shared" si="338"/>
        <v>0</v>
      </c>
      <c r="BN304" s="409">
        <f t="shared" si="338"/>
        <v>0</v>
      </c>
      <c r="BO304" s="409">
        <f t="shared" si="338"/>
        <v>0</v>
      </c>
      <c r="BP304" s="409">
        <f t="shared" si="338"/>
        <v>0</v>
      </c>
      <c r="BQ304" s="409">
        <f t="shared" si="339"/>
        <v>0</v>
      </c>
      <c r="BR304" s="409">
        <f t="shared" si="339"/>
        <v>0</v>
      </c>
      <c r="BS304" s="409">
        <f t="shared" si="339"/>
        <v>0</v>
      </c>
      <c r="BT304" s="409">
        <f t="shared" si="339"/>
        <v>0</v>
      </c>
      <c r="BU304" s="409">
        <f t="shared" si="339"/>
        <v>0</v>
      </c>
      <c r="BV304" s="409">
        <f t="shared" si="339"/>
        <v>0</v>
      </c>
      <c r="BW304" s="409">
        <f t="shared" si="339"/>
        <v>0</v>
      </c>
      <c r="BX304" s="409">
        <f t="shared" si="339"/>
        <v>0</v>
      </c>
      <c r="BY304" s="409">
        <f t="shared" si="339"/>
        <v>0</v>
      </c>
      <c r="BZ304" s="409">
        <f t="shared" si="339"/>
        <v>0</v>
      </c>
      <c r="CA304" s="409">
        <f t="shared" si="340"/>
        <v>0</v>
      </c>
      <c r="CB304" s="409">
        <f t="shared" si="340"/>
        <v>0</v>
      </c>
      <c r="CC304" s="409">
        <f t="shared" si="340"/>
        <v>0</v>
      </c>
      <c r="CD304" s="409">
        <f t="shared" si="340"/>
        <v>0</v>
      </c>
      <c r="CE304" s="409">
        <f t="shared" si="340"/>
        <v>0</v>
      </c>
      <c r="CF304" s="409">
        <f t="shared" si="340"/>
        <v>0</v>
      </c>
      <c r="CG304" s="409">
        <f t="shared" si="340"/>
        <v>0</v>
      </c>
      <c r="CH304" s="409">
        <f t="shared" si="340"/>
        <v>0</v>
      </c>
      <c r="CI304" s="409">
        <f t="shared" si="340"/>
        <v>0</v>
      </c>
      <c r="CJ304" s="409">
        <f t="shared" si="340"/>
        <v>0</v>
      </c>
      <c r="CK304" s="409">
        <f t="shared" si="341"/>
        <v>0</v>
      </c>
      <c r="CL304" s="409">
        <f t="shared" si="341"/>
        <v>0</v>
      </c>
      <c r="CM304" s="409">
        <f t="shared" si="341"/>
        <v>0</v>
      </c>
      <c r="CN304" s="409">
        <f t="shared" si="341"/>
        <v>0</v>
      </c>
      <c r="CO304" s="409">
        <f t="shared" si="341"/>
        <v>0</v>
      </c>
      <c r="CP304" s="409">
        <f t="shared" si="341"/>
        <v>0</v>
      </c>
      <c r="CQ304" s="409">
        <f t="shared" si="341"/>
        <v>0</v>
      </c>
      <c r="CR304" s="409">
        <f t="shared" si="341"/>
        <v>0</v>
      </c>
      <c r="CS304" s="409">
        <f t="shared" si="341"/>
        <v>0</v>
      </c>
      <c r="CT304" s="409">
        <f t="shared" si="341"/>
        <v>0</v>
      </c>
      <c r="CU304" s="409">
        <f t="shared" si="342"/>
        <v>0</v>
      </c>
      <c r="CV304" s="409">
        <f t="shared" si="342"/>
        <v>0</v>
      </c>
      <c r="CW304" s="409">
        <f t="shared" si="342"/>
        <v>0</v>
      </c>
      <c r="CX304" s="409">
        <f t="shared" si="342"/>
        <v>0</v>
      </c>
      <c r="CY304" s="409">
        <f t="shared" si="342"/>
        <v>0</v>
      </c>
      <c r="CZ304" s="409">
        <f t="shared" si="342"/>
        <v>0</v>
      </c>
      <c r="DA304" s="409">
        <f t="shared" si="342"/>
        <v>0</v>
      </c>
      <c r="DB304" s="409">
        <f t="shared" si="342"/>
        <v>0</v>
      </c>
      <c r="DC304" s="409">
        <f t="shared" si="342"/>
        <v>0</v>
      </c>
      <c r="DD304" s="409">
        <f t="shared" si="342"/>
        <v>0</v>
      </c>
      <c r="DE304" s="409">
        <f t="shared" si="343"/>
        <v>0</v>
      </c>
      <c r="DF304" s="409">
        <f t="shared" si="343"/>
        <v>0</v>
      </c>
      <c r="DG304" s="409">
        <f t="shared" si="343"/>
        <v>0</v>
      </c>
      <c r="DH304" s="409">
        <f t="shared" si="343"/>
        <v>0</v>
      </c>
      <c r="DI304" s="409">
        <f t="shared" si="343"/>
        <v>0</v>
      </c>
      <c r="DJ304" s="409">
        <f t="shared" si="343"/>
        <v>0</v>
      </c>
      <c r="DK304" s="409">
        <f t="shared" si="343"/>
        <v>0</v>
      </c>
      <c r="DL304" s="409">
        <f t="shared" si="343"/>
        <v>0</v>
      </c>
      <c r="DM304" s="409">
        <f t="shared" si="343"/>
        <v>0</v>
      </c>
      <c r="DN304" s="409">
        <f t="shared" si="343"/>
        <v>0</v>
      </c>
      <c r="DO304" s="409">
        <f t="shared" si="344"/>
        <v>0</v>
      </c>
      <c r="DP304" s="409">
        <f t="shared" si="344"/>
        <v>0</v>
      </c>
      <c r="DQ304" s="409">
        <f t="shared" si="344"/>
        <v>0</v>
      </c>
      <c r="DR304" s="409">
        <f t="shared" si="344"/>
        <v>0</v>
      </c>
      <c r="DS304" s="409">
        <f t="shared" si="344"/>
        <v>0</v>
      </c>
      <c r="DT304" s="409">
        <f t="shared" si="344"/>
        <v>0</v>
      </c>
      <c r="DU304" s="409">
        <f t="shared" si="344"/>
        <v>0</v>
      </c>
      <c r="DV304" s="409">
        <f t="shared" si="344"/>
        <v>0</v>
      </c>
      <c r="DW304" s="409">
        <f t="shared" si="344"/>
        <v>0</v>
      </c>
      <c r="DX304" s="409">
        <f t="shared" si="344"/>
        <v>0</v>
      </c>
      <c r="DY304" s="409">
        <f t="shared" si="345"/>
        <v>0</v>
      </c>
      <c r="DZ304" s="409">
        <f t="shared" si="345"/>
        <v>0</v>
      </c>
      <c r="EA304" s="409">
        <f t="shared" si="345"/>
        <v>0</v>
      </c>
      <c r="EB304" s="409">
        <f t="shared" si="345"/>
        <v>0</v>
      </c>
      <c r="EC304" s="409">
        <f t="shared" si="345"/>
        <v>0</v>
      </c>
      <c r="ED304" s="409">
        <f t="shared" si="345"/>
        <v>0</v>
      </c>
      <c r="EE304" s="409">
        <f t="shared" si="345"/>
        <v>0</v>
      </c>
      <c r="EF304" s="409">
        <f t="shared" si="345"/>
        <v>0</v>
      </c>
      <c r="EG304" s="409">
        <f t="shared" si="345"/>
        <v>0</v>
      </c>
      <c r="EH304" s="409">
        <f t="shared" si="345"/>
        <v>0</v>
      </c>
      <c r="EI304" s="409">
        <f t="shared" si="346"/>
        <v>0</v>
      </c>
      <c r="EJ304" s="409">
        <f t="shared" si="346"/>
        <v>0</v>
      </c>
      <c r="EK304" s="409">
        <f t="shared" si="346"/>
        <v>0</v>
      </c>
      <c r="EL304" s="409">
        <f t="shared" si="346"/>
        <v>0</v>
      </c>
      <c r="EM304" s="409">
        <f t="shared" si="346"/>
        <v>0</v>
      </c>
      <c r="EN304" s="409">
        <f t="shared" si="346"/>
        <v>0</v>
      </c>
      <c r="EO304" s="409">
        <f t="shared" si="346"/>
        <v>0</v>
      </c>
      <c r="EP304" s="409">
        <f t="shared" si="346"/>
        <v>0</v>
      </c>
      <c r="EQ304" s="409">
        <f t="shared" si="346"/>
        <v>0</v>
      </c>
      <c r="ER304" s="409">
        <f t="shared" si="346"/>
        <v>0</v>
      </c>
      <c r="ES304" s="409">
        <f t="shared" si="347"/>
        <v>0</v>
      </c>
      <c r="ET304" s="409">
        <f t="shared" si="347"/>
        <v>0</v>
      </c>
      <c r="EU304" s="409">
        <f t="shared" si="347"/>
        <v>0</v>
      </c>
      <c r="EV304" s="409">
        <f t="shared" si="347"/>
        <v>0</v>
      </c>
      <c r="EW304" s="409">
        <f t="shared" si="347"/>
        <v>0</v>
      </c>
      <c r="EX304" s="409">
        <f t="shared" si="347"/>
        <v>0</v>
      </c>
      <c r="EY304" s="409">
        <f t="shared" si="347"/>
        <v>0</v>
      </c>
      <c r="EZ304" s="409">
        <f t="shared" si="347"/>
        <v>0</v>
      </c>
      <c r="FA304" s="409">
        <f t="shared" si="347"/>
        <v>0</v>
      </c>
      <c r="FB304" s="409">
        <f t="shared" si="347"/>
        <v>0</v>
      </c>
      <c r="FC304" s="409">
        <f t="shared" si="348"/>
        <v>0</v>
      </c>
      <c r="FD304" s="409">
        <f t="shared" si="348"/>
        <v>0</v>
      </c>
      <c r="FE304" s="409">
        <f t="shared" si="348"/>
        <v>0</v>
      </c>
      <c r="FF304" s="409">
        <f t="shared" si="348"/>
        <v>0</v>
      </c>
      <c r="FG304" s="409">
        <f t="shared" si="348"/>
        <v>0</v>
      </c>
      <c r="FH304" s="409">
        <f t="shared" si="348"/>
        <v>0</v>
      </c>
      <c r="FI304" s="409">
        <f t="shared" si="348"/>
        <v>0</v>
      </c>
      <c r="FJ304" s="409">
        <f t="shared" si="348"/>
        <v>0</v>
      </c>
      <c r="FK304" s="409">
        <f t="shared" si="348"/>
        <v>0</v>
      </c>
      <c r="FL304" s="409">
        <f t="shared" si="348"/>
        <v>0</v>
      </c>
      <c r="FM304" s="409">
        <f t="shared" si="349"/>
        <v>0</v>
      </c>
      <c r="FN304" s="409">
        <f t="shared" si="349"/>
        <v>0</v>
      </c>
      <c r="FO304" s="409">
        <f t="shared" si="349"/>
        <v>0</v>
      </c>
      <c r="FP304" s="409">
        <f t="shared" si="349"/>
        <v>0</v>
      </c>
      <c r="FQ304" s="409">
        <f t="shared" si="349"/>
        <v>0</v>
      </c>
      <c r="FR304" s="409">
        <f t="shared" si="349"/>
        <v>0</v>
      </c>
      <c r="FS304" s="409">
        <f t="shared" si="349"/>
        <v>0</v>
      </c>
      <c r="FT304" s="409">
        <f t="shared" si="349"/>
        <v>0</v>
      </c>
      <c r="FU304" s="409">
        <f t="shared" si="349"/>
        <v>0</v>
      </c>
      <c r="FV304" s="409">
        <f t="shared" si="349"/>
        <v>0</v>
      </c>
      <c r="FW304" s="409">
        <f t="shared" si="350"/>
        <v>0</v>
      </c>
      <c r="FX304" s="409">
        <f t="shared" si="350"/>
        <v>0</v>
      </c>
      <c r="FY304" s="409">
        <f t="shared" si="350"/>
        <v>0</v>
      </c>
      <c r="FZ304" s="409">
        <f t="shared" si="350"/>
        <v>0</v>
      </c>
      <c r="GA304" s="409">
        <f t="shared" si="350"/>
        <v>0</v>
      </c>
      <c r="GB304" s="409">
        <f t="shared" si="350"/>
        <v>0</v>
      </c>
      <c r="GC304" s="409">
        <f t="shared" si="350"/>
        <v>0</v>
      </c>
      <c r="GD304" s="409">
        <f t="shared" si="350"/>
        <v>0</v>
      </c>
      <c r="GE304" s="409">
        <f t="shared" si="350"/>
        <v>0</v>
      </c>
      <c r="GF304" s="409">
        <f t="shared" si="350"/>
        <v>0</v>
      </c>
      <c r="GG304" s="409">
        <f t="shared" si="351"/>
        <v>0</v>
      </c>
      <c r="GH304" s="409">
        <f t="shared" si="351"/>
        <v>0</v>
      </c>
      <c r="GI304" s="409">
        <f t="shared" si="351"/>
        <v>0</v>
      </c>
      <c r="GJ304" s="409">
        <f t="shared" si="351"/>
        <v>0</v>
      </c>
      <c r="GK304" s="409">
        <f t="shared" si="351"/>
        <v>0</v>
      </c>
      <c r="GL304" s="409">
        <f t="shared" si="351"/>
        <v>0</v>
      </c>
      <c r="GM304" s="409">
        <f t="shared" si="351"/>
        <v>0</v>
      </c>
      <c r="GN304" s="409">
        <f t="shared" si="351"/>
        <v>0</v>
      </c>
      <c r="GO304" s="409">
        <f t="shared" si="351"/>
        <v>0</v>
      </c>
      <c r="GP304" s="409">
        <f t="shared" si="351"/>
        <v>0</v>
      </c>
      <c r="GQ304" s="409">
        <f t="shared" si="352"/>
        <v>0</v>
      </c>
      <c r="GR304" s="409">
        <f t="shared" si="352"/>
        <v>0</v>
      </c>
      <c r="GS304" s="409">
        <f t="shared" si="352"/>
        <v>0</v>
      </c>
      <c r="GT304" s="409">
        <f t="shared" si="352"/>
        <v>0</v>
      </c>
      <c r="GU304" s="409">
        <f t="shared" si="352"/>
        <v>0</v>
      </c>
      <c r="GV304" s="409">
        <f t="shared" si="352"/>
        <v>0</v>
      </c>
      <c r="GW304" s="409">
        <f t="shared" si="352"/>
        <v>0</v>
      </c>
      <c r="GX304" s="409">
        <f t="shared" si="352"/>
        <v>0</v>
      </c>
      <c r="GY304" s="409">
        <f t="shared" si="352"/>
        <v>0</v>
      </c>
      <c r="GZ304" s="409">
        <f t="shared" si="352"/>
        <v>0</v>
      </c>
      <c r="HA304" s="409">
        <f t="shared" si="353"/>
        <v>0</v>
      </c>
      <c r="HB304" s="409">
        <f t="shared" si="353"/>
        <v>0</v>
      </c>
      <c r="HC304" s="409">
        <f t="shared" si="353"/>
        <v>0</v>
      </c>
      <c r="HD304" s="409">
        <f t="shared" si="353"/>
        <v>0</v>
      </c>
      <c r="HE304" s="409">
        <f t="shared" si="353"/>
        <v>0</v>
      </c>
      <c r="HF304" s="409">
        <f t="shared" si="353"/>
        <v>0</v>
      </c>
      <c r="HG304" s="409">
        <f t="shared" si="353"/>
        <v>0</v>
      </c>
      <c r="HH304" s="409">
        <f t="shared" si="353"/>
        <v>0</v>
      </c>
      <c r="HI304" s="409">
        <f t="shared" si="353"/>
        <v>0</v>
      </c>
      <c r="HJ304" s="409">
        <f t="shared" si="353"/>
        <v>0</v>
      </c>
      <c r="HK304" s="409">
        <f t="shared" si="354"/>
        <v>0</v>
      </c>
      <c r="HL304" s="409">
        <f t="shared" si="354"/>
        <v>0</v>
      </c>
      <c r="HM304" s="409">
        <f t="shared" si="354"/>
        <v>0</v>
      </c>
      <c r="HN304" s="409">
        <f t="shared" si="354"/>
        <v>0</v>
      </c>
      <c r="HO304" s="409">
        <f t="shared" si="354"/>
        <v>0</v>
      </c>
      <c r="HP304" s="409">
        <f t="shared" si="354"/>
        <v>0</v>
      </c>
      <c r="HQ304" s="409">
        <f t="shared" si="354"/>
        <v>0</v>
      </c>
      <c r="HR304" s="409">
        <f t="shared" si="354"/>
        <v>0</v>
      </c>
      <c r="HS304" s="409">
        <f t="shared" si="354"/>
        <v>0</v>
      </c>
      <c r="HT304" s="409">
        <f t="shared" si="354"/>
        <v>0</v>
      </c>
      <c r="HU304" s="409">
        <f t="shared" si="355"/>
        <v>0</v>
      </c>
      <c r="HV304" s="409">
        <f t="shared" si="355"/>
        <v>0</v>
      </c>
      <c r="HW304" s="409">
        <f t="shared" si="355"/>
        <v>0</v>
      </c>
      <c r="HX304" s="409">
        <f t="shared" si="355"/>
        <v>0</v>
      </c>
      <c r="HY304" s="409">
        <f t="shared" si="355"/>
        <v>0</v>
      </c>
      <c r="HZ304" s="409">
        <f t="shared" si="355"/>
        <v>0</v>
      </c>
      <c r="IA304" s="409">
        <f t="shared" si="355"/>
        <v>0</v>
      </c>
      <c r="IB304" s="409">
        <f t="shared" si="355"/>
        <v>0</v>
      </c>
      <c r="IC304" s="409">
        <f t="shared" si="355"/>
        <v>0</v>
      </c>
      <c r="ID304" s="409">
        <f t="shared" si="355"/>
        <v>0</v>
      </c>
      <c r="IE304" s="409">
        <f t="shared" si="356"/>
        <v>0</v>
      </c>
      <c r="IF304" s="409">
        <f t="shared" si="356"/>
        <v>0</v>
      </c>
      <c r="IG304" s="409">
        <f t="shared" si="356"/>
        <v>0</v>
      </c>
      <c r="IH304" s="409">
        <f t="shared" si="356"/>
        <v>0</v>
      </c>
      <c r="II304" s="409">
        <f t="shared" si="356"/>
        <v>0</v>
      </c>
      <c r="IJ304" s="409">
        <f t="shared" si="356"/>
        <v>0</v>
      </c>
      <c r="IK304" s="378"/>
    </row>
    <row r="305" spans="1:245" hidden="1" x14ac:dyDescent="0.2">
      <c r="A305" s="380" t="str">
        <f t="shared" si="377"/>
        <v>e</v>
      </c>
      <c r="B305" s="712" t="str">
        <f>IF(ISERROR(INDEX('Legend(DX)'!$H$14:$H$15,18)),"",INDEX('Legend(DX)'!$H$14:$H$15,18))</f>
        <v/>
      </c>
      <c r="C305" s="712" t="e">
        <f>IF(INDEX('Legend(DX)'!$T$14:$T$15,18)=0,"See Legend",INDEX('Legend(DX)'!$T$14:$T$15,18))</f>
        <v>#REF!</v>
      </c>
      <c r="D305" s="712" t="e">
        <f>IF(INDEX('Legend(DX)'!$R$14:$R$15,18)=0,"---",INDEX('Legend(DX)'!$R$14:$R$15,18))</f>
        <v>#REF!</v>
      </c>
      <c r="E305" s="713" t="str">
        <f>IF(ISERROR(INDEX('Legend(DX)'!$AA$14:$AA$15,18)),"",INDEX('Legend(DX)'!$AA$14:$AA$15,18))</f>
        <v/>
      </c>
      <c r="F305" s="715"/>
      <c r="G305" s="715"/>
      <c r="H305" s="715"/>
      <c r="I305" s="715"/>
      <c r="J305" s="715"/>
      <c r="K305" s="890">
        <f t="shared" si="358"/>
        <v>0</v>
      </c>
      <c r="L305" s="718"/>
      <c r="M305" s="720"/>
      <c r="N305" s="972">
        <f t="shared" si="330"/>
        <v>-1</v>
      </c>
      <c r="O305" s="972">
        <f t="shared" si="378"/>
        <v>-1</v>
      </c>
      <c r="P305" s="972">
        <f t="shared" si="331"/>
        <v>-1</v>
      </c>
      <c r="Q305" s="972">
        <f t="shared" si="379"/>
        <v>-1</v>
      </c>
      <c r="R305" s="972">
        <f t="shared" si="332"/>
        <v>-1</v>
      </c>
      <c r="S305" s="972">
        <f t="shared" si="380"/>
        <v>-1</v>
      </c>
      <c r="T305" s="972">
        <f t="shared" si="333"/>
        <v>-1</v>
      </c>
      <c r="U305" s="972">
        <f t="shared" si="381"/>
        <v>-1</v>
      </c>
      <c r="V305" s="972">
        <f t="shared" si="334"/>
        <v>-1</v>
      </c>
      <c r="W305" s="972">
        <f t="shared" si="382"/>
        <v>-1</v>
      </c>
      <c r="X305" s="972">
        <f t="shared" si="335"/>
        <v>-1</v>
      </c>
      <c r="Y305" s="972">
        <f t="shared" si="364"/>
        <v>-1</v>
      </c>
      <c r="Z305" s="972">
        <f t="shared" si="365"/>
        <v>-1</v>
      </c>
      <c r="AA305" s="972">
        <f t="shared" si="366"/>
        <v>-1</v>
      </c>
      <c r="AB305" s="972">
        <f t="shared" si="367"/>
        <v>-1</v>
      </c>
      <c r="AC305" s="972">
        <f t="shared" si="368"/>
        <v>-1</v>
      </c>
      <c r="AD305" s="972">
        <f t="shared" si="369"/>
        <v>-1</v>
      </c>
      <c r="AE305" s="972">
        <f t="shared" si="370"/>
        <v>-1</v>
      </c>
      <c r="AF305" s="972">
        <f t="shared" si="371"/>
        <v>-1</v>
      </c>
      <c r="AG305" s="972">
        <f t="shared" si="372"/>
        <v>-1</v>
      </c>
      <c r="AH305" s="972">
        <f t="shared" si="373"/>
        <v>-1</v>
      </c>
      <c r="AI305" s="972">
        <f t="shared" si="374"/>
        <v>-1</v>
      </c>
      <c r="AJ305" s="972">
        <f t="shared" si="375"/>
        <v>-1</v>
      </c>
      <c r="AK305" s="381"/>
      <c r="AL305" s="727" t="str">
        <f t="shared" si="383"/>
        <v/>
      </c>
      <c r="AM305" s="409">
        <f t="shared" si="336"/>
        <v>0</v>
      </c>
      <c r="AN305" s="409">
        <f t="shared" si="336"/>
        <v>0</v>
      </c>
      <c r="AO305" s="409">
        <f t="shared" si="336"/>
        <v>0</v>
      </c>
      <c r="AP305" s="409">
        <f t="shared" si="336"/>
        <v>0</v>
      </c>
      <c r="AQ305" s="409">
        <f t="shared" si="336"/>
        <v>0</v>
      </c>
      <c r="AR305" s="409">
        <f t="shared" si="336"/>
        <v>0</v>
      </c>
      <c r="AS305" s="409">
        <f t="shared" si="336"/>
        <v>0</v>
      </c>
      <c r="AT305" s="409">
        <f t="shared" si="336"/>
        <v>0</v>
      </c>
      <c r="AU305" s="409">
        <f t="shared" si="336"/>
        <v>0</v>
      </c>
      <c r="AV305" s="409">
        <f t="shared" si="336"/>
        <v>0</v>
      </c>
      <c r="AW305" s="409">
        <f t="shared" si="337"/>
        <v>0</v>
      </c>
      <c r="AX305" s="409">
        <f t="shared" si="337"/>
        <v>0</v>
      </c>
      <c r="AY305" s="409">
        <f t="shared" si="337"/>
        <v>0</v>
      </c>
      <c r="AZ305" s="409">
        <f t="shared" si="337"/>
        <v>0</v>
      </c>
      <c r="BA305" s="409">
        <f t="shared" si="337"/>
        <v>0</v>
      </c>
      <c r="BB305" s="409">
        <f t="shared" si="337"/>
        <v>0</v>
      </c>
      <c r="BC305" s="409">
        <f t="shared" si="337"/>
        <v>0</v>
      </c>
      <c r="BD305" s="409">
        <f t="shared" si="337"/>
        <v>0</v>
      </c>
      <c r="BE305" s="409">
        <f t="shared" si="337"/>
        <v>0</v>
      </c>
      <c r="BF305" s="409">
        <f t="shared" si="337"/>
        <v>0</v>
      </c>
      <c r="BG305" s="409">
        <f t="shared" si="338"/>
        <v>0</v>
      </c>
      <c r="BH305" s="409">
        <f t="shared" si="338"/>
        <v>0</v>
      </c>
      <c r="BI305" s="409">
        <f t="shared" si="338"/>
        <v>0</v>
      </c>
      <c r="BJ305" s="409">
        <f t="shared" si="338"/>
        <v>0</v>
      </c>
      <c r="BK305" s="409">
        <f t="shared" si="338"/>
        <v>0</v>
      </c>
      <c r="BL305" s="409">
        <f t="shared" si="338"/>
        <v>0</v>
      </c>
      <c r="BM305" s="409">
        <f t="shared" si="338"/>
        <v>0</v>
      </c>
      <c r="BN305" s="409">
        <f t="shared" si="338"/>
        <v>0</v>
      </c>
      <c r="BO305" s="409">
        <f t="shared" si="338"/>
        <v>0</v>
      </c>
      <c r="BP305" s="409">
        <f t="shared" si="338"/>
        <v>0</v>
      </c>
      <c r="BQ305" s="409">
        <f t="shared" si="339"/>
        <v>0</v>
      </c>
      <c r="BR305" s="409">
        <f t="shared" si="339"/>
        <v>0</v>
      </c>
      <c r="BS305" s="409">
        <f t="shared" si="339"/>
        <v>0</v>
      </c>
      <c r="BT305" s="409">
        <f t="shared" si="339"/>
        <v>0</v>
      </c>
      <c r="BU305" s="409">
        <f t="shared" si="339"/>
        <v>0</v>
      </c>
      <c r="BV305" s="409">
        <f t="shared" si="339"/>
        <v>0</v>
      </c>
      <c r="BW305" s="409">
        <f t="shared" si="339"/>
        <v>0</v>
      </c>
      <c r="BX305" s="409">
        <f t="shared" si="339"/>
        <v>0</v>
      </c>
      <c r="BY305" s="409">
        <f t="shared" si="339"/>
        <v>0</v>
      </c>
      <c r="BZ305" s="409">
        <f t="shared" si="339"/>
        <v>0</v>
      </c>
      <c r="CA305" s="409">
        <f t="shared" si="340"/>
        <v>0</v>
      </c>
      <c r="CB305" s="409">
        <f t="shared" si="340"/>
        <v>0</v>
      </c>
      <c r="CC305" s="409">
        <f t="shared" si="340"/>
        <v>0</v>
      </c>
      <c r="CD305" s="409">
        <f t="shared" si="340"/>
        <v>0</v>
      </c>
      <c r="CE305" s="409">
        <f t="shared" si="340"/>
        <v>0</v>
      </c>
      <c r="CF305" s="409">
        <f t="shared" si="340"/>
        <v>0</v>
      </c>
      <c r="CG305" s="409">
        <f t="shared" si="340"/>
        <v>0</v>
      </c>
      <c r="CH305" s="409">
        <f t="shared" si="340"/>
        <v>0</v>
      </c>
      <c r="CI305" s="409">
        <f t="shared" si="340"/>
        <v>0</v>
      </c>
      <c r="CJ305" s="409">
        <f t="shared" si="340"/>
        <v>0</v>
      </c>
      <c r="CK305" s="409">
        <f t="shared" si="341"/>
        <v>0</v>
      </c>
      <c r="CL305" s="409">
        <f t="shared" si="341"/>
        <v>0</v>
      </c>
      <c r="CM305" s="409">
        <f t="shared" si="341"/>
        <v>0</v>
      </c>
      <c r="CN305" s="409">
        <f t="shared" si="341"/>
        <v>0</v>
      </c>
      <c r="CO305" s="409">
        <f t="shared" si="341"/>
        <v>0</v>
      </c>
      <c r="CP305" s="409">
        <f t="shared" si="341"/>
        <v>0</v>
      </c>
      <c r="CQ305" s="409">
        <f t="shared" si="341"/>
        <v>0</v>
      </c>
      <c r="CR305" s="409">
        <f t="shared" si="341"/>
        <v>0</v>
      </c>
      <c r="CS305" s="409">
        <f t="shared" si="341"/>
        <v>0</v>
      </c>
      <c r="CT305" s="409">
        <f t="shared" si="341"/>
        <v>0</v>
      </c>
      <c r="CU305" s="409">
        <f t="shared" si="342"/>
        <v>0</v>
      </c>
      <c r="CV305" s="409">
        <f t="shared" si="342"/>
        <v>0</v>
      </c>
      <c r="CW305" s="409">
        <f t="shared" si="342"/>
        <v>0</v>
      </c>
      <c r="CX305" s="409">
        <f t="shared" si="342"/>
        <v>0</v>
      </c>
      <c r="CY305" s="409">
        <f t="shared" si="342"/>
        <v>0</v>
      </c>
      <c r="CZ305" s="409">
        <f t="shared" si="342"/>
        <v>0</v>
      </c>
      <c r="DA305" s="409">
        <f t="shared" si="342"/>
        <v>0</v>
      </c>
      <c r="DB305" s="409">
        <f t="shared" si="342"/>
        <v>0</v>
      </c>
      <c r="DC305" s="409">
        <f t="shared" si="342"/>
        <v>0</v>
      </c>
      <c r="DD305" s="409">
        <f t="shared" si="342"/>
        <v>0</v>
      </c>
      <c r="DE305" s="409">
        <f t="shared" si="343"/>
        <v>0</v>
      </c>
      <c r="DF305" s="409">
        <f t="shared" si="343"/>
        <v>0</v>
      </c>
      <c r="DG305" s="409">
        <f t="shared" si="343"/>
        <v>0</v>
      </c>
      <c r="DH305" s="409">
        <f t="shared" si="343"/>
        <v>0</v>
      </c>
      <c r="DI305" s="409">
        <f t="shared" si="343"/>
        <v>0</v>
      </c>
      <c r="DJ305" s="409">
        <f t="shared" si="343"/>
        <v>0</v>
      </c>
      <c r="DK305" s="409">
        <f t="shared" si="343"/>
        <v>0</v>
      </c>
      <c r="DL305" s="409">
        <f t="shared" si="343"/>
        <v>0</v>
      </c>
      <c r="DM305" s="409">
        <f t="shared" si="343"/>
        <v>0</v>
      </c>
      <c r="DN305" s="409">
        <f t="shared" si="343"/>
        <v>0</v>
      </c>
      <c r="DO305" s="409">
        <f t="shared" si="344"/>
        <v>0</v>
      </c>
      <c r="DP305" s="409">
        <f t="shared" si="344"/>
        <v>0</v>
      </c>
      <c r="DQ305" s="409">
        <f t="shared" si="344"/>
        <v>0</v>
      </c>
      <c r="DR305" s="409">
        <f t="shared" si="344"/>
        <v>0</v>
      </c>
      <c r="DS305" s="409">
        <f t="shared" si="344"/>
        <v>0</v>
      </c>
      <c r="DT305" s="409">
        <f t="shared" si="344"/>
        <v>0</v>
      </c>
      <c r="DU305" s="409">
        <f t="shared" si="344"/>
        <v>0</v>
      </c>
      <c r="DV305" s="409">
        <f t="shared" si="344"/>
        <v>0</v>
      </c>
      <c r="DW305" s="409">
        <f t="shared" si="344"/>
        <v>0</v>
      </c>
      <c r="DX305" s="409">
        <f t="shared" si="344"/>
        <v>0</v>
      </c>
      <c r="DY305" s="409">
        <f t="shared" si="345"/>
        <v>0</v>
      </c>
      <c r="DZ305" s="409">
        <f t="shared" si="345"/>
        <v>0</v>
      </c>
      <c r="EA305" s="409">
        <f t="shared" si="345"/>
        <v>0</v>
      </c>
      <c r="EB305" s="409">
        <f t="shared" si="345"/>
        <v>0</v>
      </c>
      <c r="EC305" s="409">
        <f t="shared" si="345"/>
        <v>0</v>
      </c>
      <c r="ED305" s="409">
        <f t="shared" si="345"/>
        <v>0</v>
      </c>
      <c r="EE305" s="409">
        <f t="shared" si="345"/>
        <v>0</v>
      </c>
      <c r="EF305" s="409">
        <f t="shared" si="345"/>
        <v>0</v>
      </c>
      <c r="EG305" s="409">
        <f t="shared" si="345"/>
        <v>0</v>
      </c>
      <c r="EH305" s="409">
        <f t="shared" si="345"/>
        <v>0</v>
      </c>
      <c r="EI305" s="409">
        <f t="shared" si="346"/>
        <v>0</v>
      </c>
      <c r="EJ305" s="409">
        <f t="shared" si="346"/>
        <v>0</v>
      </c>
      <c r="EK305" s="409">
        <f t="shared" si="346"/>
        <v>0</v>
      </c>
      <c r="EL305" s="409">
        <f t="shared" si="346"/>
        <v>0</v>
      </c>
      <c r="EM305" s="409">
        <f t="shared" si="346"/>
        <v>0</v>
      </c>
      <c r="EN305" s="409">
        <f t="shared" si="346"/>
        <v>0</v>
      </c>
      <c r="EO305" s="409">
        <f t="shared" si="346"/>
        <v>0</v>
      </c>
      <c r="EP305" s="409">
        <f t="shared" si="346"/>
        <v>0</v>
      </c>
      <c r="EQ305" s="409">
        <f t="shared" si="346"/>
        <v>0</v>
      </c>
      <c r="ER305" s="409">
        <f t="shared" si="346"/>
        <v>0</v>
      </c>
      <c r="ES305" s="409">
        <f t="shared" si="347"/>
        <v>0</v>
      </c>
      <c r="ET305" s="409">
        <f t="shared" si="347"/>
        <v>0</v>
      </c>
      <c r="EU305" s="409">
        <f t="shared" si="347"/>
        <v>0</v>
      </c>
      <c r="EV305" s="409">
        <f t="shared" si="347"/>
        <v>0</v>
      </c>
      <c r="EW305" s="409">
        <f t="shared" si="347"/>
        <v>0</v>
      </c>
      <c r="EX305" s="409">
        <f t="shared" si="347"/>
        <v>0</v>
      </c>
      <c r="EY305" s="409">
        <f t="shared" si="347"/>
        <v>0</v>
      </c>
      <c r="EZ305" s="409">
        <f t="shared" si="347"/>
        <v>0</v>
      </c>
      <c r="FA305" s="409">
        <f t="shared" si="347"/>
        <v>0</v>
      </c>
      <c r="FB305" s="409">
        <f t="shared" si="347"/>
        <v>0</v>
      </c>
      <c r="FC305" s="409">
        <f t="shared" si="348"/>
        <v>0</v>
      </c>
      <c r="FD305" s="409">
        <f t="shared" si="348"/>
        <v>0</v>
      </c>
      <c r="FE305" s="409">
        <f t="shared" si="348"/>
        <v>0</v>
      </c>
      <c r="FF305" s="409">
        <f t="shared" si="348"/>
        <v>0</v>
      </c>
      <c r="FG305" s="409">
        <f t="shared" si="348"/>
        <v>0</v>
      </c>
      <c r="FH305" s="409">
        <f t="shared" si="348"/>
        <v>0</v>
      </c>
      <c r="FI305" s="409">
        <f t="shared" si="348"/>
        <v>0</v>
      </c>
      <c r="FJ305" s="409">
        <f t="shared" si="348"/>
        <v>0</v>
      </c>
      <c r="FK305" s="409">
        <f t="shared" si="348"/>
        <v>0</v>
      </c>
      <c r="FL305" s="409">
        <f t="shared" si="348"/>
        <v>0</v>
      </c>
      <c r="FM305" s="409">
        <f t="shared" si="349"/>
        <v>0</v>
      </c>
      <c r="FN305" s="409">
        <f t="shared" si="349"/>
        <v>0</v>
      </c>
      <c r="FO305" s="409">
        <f t="shared" si="349"/>
        <v>0</v>
      </c>
      <c r="FP305" s="409">
        <f t="shared" si="349"/>
        <v>0</v>
      </c>
      <c r="FQ305" s="409">
        <f t="shared" si="349"/>
        <v>0</v>
      </c>
      <c r="FR305" s="409">
        <f t="shared" si="349"/>
        <v>0</v>
      </c>
      <c r="FS305" s="409">
        <f t="shared" si="349"/>
        <v>0</v>
      </c>
      <c r="FT305" s="409">
        <f t="shared" si="349"/>
        <v>0</v>
      </c>
      <c r="FU305" s="409">
        <f t="shared" si="349"/>
        <v>0</v>
      </c>
      <c r="FV305" s="409">
        <f t="shared" si="349"/>
        <v>0</v>
      </c>
      <c r="FW305" s="409">
        <f t="shared" si="350"/>
        <v>0</v>
      </c>
      <c r="FX305" s="409">
        <f t="shared" si="350"/>
        <v>0</v>
      </c>
      <c r="FY305" s="409">
        <f t="shared" si="350"/>
        <v>0</v>
      </c>
      <c r="FZ305" s="409">
        <f t="shared" si="350"/>
        <v>0</v>
      </c>
      <c r="GA305" s="409">
        <f t="shared" si="350"/>
        <v>0</v>
      </c>
      <c r="GB305" s="409">
        <f t="shared" si="350"/>
        <v>0</v>
      </c>
      <c r="GC305" s="409">
        <f t="shared" si="350"/>
        <v>0</v>
      </c>
      <c r="GD305" s="409">
        <f t="shared" si="350"/>
        <v>0</v>
      </c>
      <c r="GE305" s="409">
        <f t="shared" si="350"/>
        <v>0</v>
      </c>
      <c r="GF305" s="409">
        <f t="shared" si="350"/>
        <v>0</v>
      </c>
      <c r="GG305" s="409">
        <f t="shared" si="351"/>
        <v>0</v>
      </c>
      <c r="GH305" s="409">
        <f t="shared" si="351"/>
        <v>0</v>
      </c>
      <c r="GI305" s="409">
        <f t="shared" si="351"/>
        <v>0</v>
      </c>
      <c r="GJ305" s="409">
        <f t="shared" si="351"/>
        <v>0</v>
      </c>
      <c r="GK305" s="409">
        <f t="shared" si="351"/>
        <v>0</v>
      </c>
      <c r="GL305" s="409">
        <f t="shared" si="351"/>
        <v>0</v>
      </c>
      <c r="GM305" s="409">
        <f t="shared" si="351"/>
        <v>0</v>
      </c>
      <c r="GN305" s="409">
        <f t="shared" si="351"/>
        <v>0</v>
      </c>
      <c r="GO305" s="409">
        <f t="shared" si="351"/>
        <v>0</v>
      </c>
      <c r="GP305" s="409">
        <f t="shared" si="351"/>
        <v>0</v>
      </c>
      <c r="GQ305" s="409">
        <f t="shared" si="352"/>
        <v>0</v>
      </c>
      <c r="GR305" s="409">
        <f t="shared" si="352"/>
        <v>0</v>
      </c>
      <c r="GS305" s="409">
        <f t="shared" si="352"/>
        <v>0</v>
      </c>
      <c r="GT305" s="409">
        <f t="shared" si="352"/>
        <v>0</v>
      </c>
      <c r="GU305" s="409">
        <f t="shared" si="352"/>
        <v>0</v>
      </c>
      <c r="GV305" s="409">
        <f t="shared" si="352"/>
        <v>0</v>
      </c>
      <c r="GW305" s="409">
        <f t="shared" si="352"/>
        <v>0</v>
      </c>
      <c r="GX305" s="409">
        <f t="shared" si="352"/>
        <v>0</v>
      </c>
      <c r="GY305" s="409">
        <f t="shared" si="352"/>
        <v>0</v>
      </c>
      <c r="GZ305" s="409">
        <f t="shared" si="352"/>
        <v>0</v>
      </c>
      <c r="HA305" s="409">
        <f t="shared" si="353"/>
        <v>0</v>
      </c>
      <c r="HB305" s="409">
        <f t="shared" si="353"/>
        <v>0</v>
      </c>
      <c r="HC305" s="409">
        <f t="shared" si="353"/>
        <v>0</v>
      </c>
      <c r="HD305" s="409">
        <f t="shared" si="353"/>
        <v>0</v>
      </c>
      <c r="HE305" s="409">
        <f t="shared" si="353"/>
        <v>0</v>
      </c>
      <c r="HF305" s="409">
        <f t="shared" si="353"/>
        <v>0</v>
      </c>
      <c r="HG305" s="409">
        <f t="shared" si="353"/>
        <v>0</v>
      </c>
      <c r="HH305" s="409">
        <f t="shared" si="353"/>
        <v>0</v>
      </c>
      <c r="HI305" s="409">
        <f t="shared" si="353"/>
        <v>0</v>
      </c>
      <c r="HJ305" s="409">
        <f t="shared" si="353"/>
        <v>0</v>
      </c>
      <c r="HK305" s="409">
        <f t="shared" si="354"/>
        <v>0</v>
      </c>
      <c r="HL305" s="409">
        <f t="shared" si="354"/>
        <v>0</v>
      </c>
      <c r="HM305" s="409">
        <f t="shared" si="354"/>
        <v>0</v>
      </c>
      <c r="HN305" s="409">
        <f t="shared" si="354"/>
        <v>0</v>
      </c>
      <c r="HO305" s="409">
        <f t="shared" si="354"/>
        <v>0</v>
      </c>
      <c r="HP305" s="409">
        <f t="shared" si="354"/>
        <v>0</v>
      </c>
      <c r="HQ305" s="409">
        <f t="shared" si="354"/>
        <v>0</v>
      </c>
      <c r="HR305" s="409">
        <f t="shared" si="354"/>
        <v>0</v>
      </c>
      <c r="HS305" s="409">
        <f t="shared" si="354"/>
        <v>0</v>
      </c>
      <c r="HT305" s="409">
        <f t="shared" si="354"/>
        <v>0</v>
      </c>
      <c r="HU305" s="409">
        <f t="shared" si="355"/>
        <v>0</v>
      </c>
      <c r="HV305" s="409">
        <f t="shared" si="355"/>
        <v>0</v>
      </c>
      <c r="HW305" s="409">
        <f t="shared" si="355"/>
        <v>0</v>
      </c>
      <c r="HX305" s="409">
        <f t="shared" si="355"/>
        <v>0</v>
      </c>
      <c r="HY305" s="409">
        <f t="shared" si="355"/>
        <v>0</v>
      </c>
      <c r="HZ305" s="409">
        <f t="shared" si="355"/>
        <v>0</v>
      </c>
      <c r="IA305" s="409">
        <f t="shared" si="355"/>
        <v>0</v>
      </c>
      <c r="IB305" s="409">
        <f t="shared" si="355"/>
        <v>0</v>
      </c>
      <c r="IC305" s="409">
        <f t="shared" si="355"/>
        <v>0</v>
      </c>
      <c r="ID305" s="409">
        <f t="shared" si="355"/>
        <v>0</v>
      </c>
      <c r="IE305" s="409">
        <f t="shared" si="356"/>
        <v>0</v>
      </c>
      <c r="IF305" s="409">
        <f t="shared" si="356"/>
        <v>0</v>
      </c>
      <c r="IG305" s="409">
        <f t="shared" si="356"/>
        <v>0</v>
      </c>
      <c r="IH305" s="409">
        <f t="shared" si="356"/>
        <v>0</v>
      </c>
      <c r="II305" s="409">
        <f t="shared" si="356"/>
        <v>0</v>
      </c>
      <c r="IJ305" s="409">
        <f t="shared" si="356"/>
        <v>0</v>
      </c>
      <c r="IK305" s="378"/>
    </row>
    <row r="306" spans="1:245" hidden="1" x14ac:dyDescent="0.2">
      <c r="A306" s="380" t="str">
        <f t="shared" si="377"/>
        <v>e</v>
      </c>
      <c r="B306" s="712" t="str">
        <f>IF(ISERROR(INDEX('Legend(DX)'!$H$14:$H$15,19)),"",INDEX('Legend(DX)'!$H$14:$H$15,19))</f>
        <v/>
      </c>
      <c r="C306" s="712" t="e">
        <f>IF(INDEX('Legend(DX)'!$T$14:$T$15,19)=0,"See Legend",INDEX('Legend(DX)'!$T$14:$T$15,19))</f>
        <v>#REF!</v>
      </c>
      <c r="D306" s="712" t="e">
        <f>IF(INDEX('Legend(DX)'!$R$14:$R$15,19)=0,"---",INDEX('Legend(DX)'!$R$14:$R$15,19))</f>
        <v>#REF!</v>
      </c>
      <c r="E306" s="713" t="str">
        <f>IF(ISERROR(INDEX('Legend(DX)'!$AA$14:$AA$15,19)),"",INDEX('Legend(DX)'!$AA$14:$AA$15,19))</f>
        <v/>
      </c>
      <c r="F306" s="715"/>
      <c r="G306" s="715"/>
      <c r="H306" s="715"/>
      <c r="I306" s="715"/>
      <c r="J306" s="715"/>
      <c r="K306" s="890">
        <f t="shared" si="358"/>
        <v>0</v>
      </c>
      <c r="L306" s="718"/>
      <c r="M306" s="720"/>
      <c r="N306" s="972">
        <f t="shared" si="330"/>
        <v>-1</v>
      </c>
      <c r="O306" s="972">
        <f t="shared" si="378"/>
        <v>-1</v>
      </c>
      <c r="P306" s="972">
        <f t="shared" si="331"/>
        <v>-1</v>
      </c>
      <c r="Q306" s="972">
        <f t="shared" si="379"/>
        <v>-1</v>
      </c>
      <c r="R306" s="972">
        <f t="shared" si="332"/>
        <v>-1</v>
      </c>
      <c r="S306" s="972">
        <f t="shared" si="380"/>
        <v>-1</v>
      </c>
      <c r="T306" s="972">
        <f t="shared" si="333"/>
        <v>-1</v>
      </c>
      <c r="U306" s="972">
        <f t="shared" si="381"/>
        <v>-1</v>
      </c>
      <c r="V306" s="972">
        <f t="shared" si="334"/>
        <v>-1</v>
      </c>
      <c r="W306" s="972">
        <f t="shared" si="382"/>
        <v>-1</v>
      </c>
      <c r="X306" s="972">
        <f t="shared" si="335"/>
        <v>-1</v>
      </c>
      <c r="Y306" s="972">
        <f t="shared" si="364"/>
        <v>-1</v>
      </c>
      <c r="Z306" s="972">
        <f t="shared" si="365"/>
        <v>-1</v>
      </c>
      <c r="AA306" s="972">
        <f t="shared" si="366"/>
        <v>-1</v>
      </c>
      <c r="AB306" s="972">
        <f t="shared" si="367"/>
        <v>-1</v>
      </c>
      <c r="AC306" s="972">
        <f t="shared" si="368"/>
        <v>-1</v>
      </c>
      <c r="AD306" s="972">
        <f t="shared" si="369"/>
        <v>-1</v>
      </c>
      <c r="AE306" s="972">
        <f t="shared" si="370"/>
        <v>-1</v>
      </c>
      <c r="AF306" s="972">
        <f t="shared" si="371"/>
        <v>-1</v>
      </c>
      <c r="AG306" s="972">
        <f t="shared" si="372"/>
        <v>-1</v>
      </c>
      <c r="AH306" s="972">
        <f t="shared" si="373"/>
        <v>-1</v>
      </c>
      <c r="AI306" s="972">
        <f t="shared" si="374"/>
        <v>-1</v>
      </c>
      <c r="AJ306" s="972">
        <f t="shared" si="375"/>
        <v>-1</v>
      </c>
      <c r="AK306" s="381"/>
      <c r="AL306" s="727" t="str">
        <f t="shared" si="383"/>
        <v/>
      </c>
      <c r="AM306" s="409">
        <f t="shared" si="336"/>
        <v>0</v>
      </c>
      <c r="AN306" s="409">
        <f t="shared" si="336"/>
        <v>0</v>
      </c>
      <c r="AO306" s="409">
        <f t="shared" si="336"/>
        <v>0</v>
      </c>
      <c r="AP306" s="409">
        <f t="shared" si="336"/>
        <v>0</v>
      </c>
      <c r="AQ306" s="409">
        <f t="shared" si="336"/>
        <v>0</v>
      </c>
      <c r="AR306" s="409">
        <f t="shared" si="336"/>
        <v>0</v>
      </c>
      <c r="AS306" s="409">
        <f t="shared" si="336"/>
        <v>0</v>
      </c>
      <c r="AT306" s="409">
        <f t="shared" si="336"/>
        <v>0</v>
      </c>
      <c r="AU306" s="409">
        <f t="shared" si="336"/>
        <v>0</v>
      </c>
      <c r="AV306" s="409">
        <f t="shared" si="336"/>
        <v>0</v>
      </c>
      <c r="AW306" s="409">
        <f t="shared" si="337"/>
        <v>0</v>
      </c>
      <c r="AX306" s="409">
        <f t="shared" si="337"/>
        <v>0</v>
      </c>
      <c r="AY306" s="409">
        <f t="shared" si="337"/>
        <v>0</v>
      </c>
      <c r="AZ306" s="409">
        <f t="shared" si="337"/>
        <v>0</v>
      </c>
      <c r="BA306" s="409">
        <f t="shared" si="337"/>
        <v>0</v>
      </c>
      <c r="BB306" s="409">
        <f t="shared" si="337"/>
        <v>0</v>
      </c>
      <c r="BC306" s="409">
        <f t="shared" si="337"/>
        <v>0</v>
      </c>
      <c r="BD306" s="409">
        <f t="shared" si="337"/>
        <v>0</v>
      </c>
      <c r="BE306" s="409">
        <f t="shared" si="337"/>
        <v>0</v>
      </c>
      <c r="BF306" s="409">
        <f t="shared" si="337"/>
        <v>0</v>
      </c>
      <c r="BG306" s="409">
        <f t="shared" si="338"/>
        <v>0</v>
      </c>
      <c r="BH306" s="409">
        <f t="shared" si="338"/>
        <v>0</v>
      </c>
      <c r="BI306" s="409">
        <f t="shared" si="338"/>
        <v>0</v>
      </c>
      <c r="BJ306" s="409">
        <f t="shared" si="338"/>
        <v>0</v>
      </c>
      <c r="BK306" s="409">
        <f t="shared" si="338"/>
        <v>0</v>
      </c>
      <c r="BL306" s="409">
        <f t="shared" si="338"/>
        <v>0</v>
      </c>
      <c r="BM306" s="409">
        <f t="shared" si="338"/>
        <v>0</v>
      </c>
      <c r="BN306" s="409">
        <f t="shared" si="338"/>
        <v>0</v>
      </c>
      <c r="BO306" s="409">
        <f t="shared" si="338"/>
        <v>0</v>
      </c>
      <c r="BP306" s="409">
        <f t="shared" si="338"/>
        <v>0</v>
      </c>
      <c r="BQ306" s="409">
        <f t="shared" si="339"/>
        <v>0</v>
      </c>
      <c r="BR306" s="409">
        <f t="shared" si="339"/>
        <v>0</v>
      </c>
      <c r="BS306" s="409">
        <f t="shared" si="339"/>
        <v>0</v>
      </c>
      <c r="BT306" s="409">
        <f t="shared" si="339"/>
        <v>0</v>
      </c>
      <c r="BU306" s="409">
        <f t="shared" si="339"/>
        <v>0</v>
      </c>
      <c r="BV306" s="409">
        <f t="shared" si="339"/>
        <v>0</v>
      </c>
      <c r="BW306" s="409">
        <f t="shared" si="339"/>
        <v>0</v>
      </c>
      <c r="BX306" s="409">
        <f t="shared" si="339"/>
        <v>0</v>
      </c>
      <c r="BY306" s="409">
        <f t="shared" si="339"/>
        <v>0</v>
      </c>
      <c r="BZ306" s="409">
        <f t="shared" si="339"/>
        <v>0</v>
      </c>
      <c r="CA306" s="409">
        <f t="shared" si="340"/>
        <v>0</v>
      </c>
      <c r="CB306" s="409">
        <f t="shared" si="340"/>
        <v>0</v>
      </c>
      <c r="CC306" s="409">
        <f t="shared" si="340"/>
        <v>0</v>
      </c>
      <c r="CD306" s="409">
        <f t="shared" si="340"/>
        <v>0</v>
      </c>
      <c r="CE306" s="409">
        <f t="shared" si="340"/>
        <v>0</v>
      </c>
      <c r="CF306" s="409">
        <f t="shared" si="340"/>
        <v>0</v>
      </c>
      <c r="CG306" s="409">
        <f t="shared" si="340"/>
        <v>0</v>
      </c>
      <c r="CH306" s="409">
        <f t="shared" si="340"/>
        <v>0</v>
      </c>
      <c r="CI306" s="409">
        <f t="shared" si="340"/>
        <v>0</v>
      </c>
      <c r="CJ306" s="409">
        <f t="shared" si="340"/>
        <v>0</v>
      </c>
      <c r="CK306" s="409">
        <f t="shared" si="341"/>
        <v>0</v>
      </c>
      <c r="CL306" s="409">
        <f t="shared" si="341"/>
        <v>0</v>
      </c>
      <c r="CM306" s="409">
        <f t="shared" si="341"/>
        <v>0</v>
      </c>
      <c r="CN306" s="409">
        <f t="shared" si="341"/>
        <v>0</v>
      </c>
      <c r="CO306" s="409">
        <f t="shared" si="341"/>
        <v>0</v>
      </c>
      <c r="CP306" s="409">
        <f t="shared" si="341"/>
        <v>0</v>
      </c>
      <c r="CQ306" s="409">
        <f t="shared" si="341"/>
        <v>0</v>
      </c>
      <c r="CR306" s="409">
        <f t="shared" si="341"/>
        <v>0</v>
      </c>
      <c r="CS306" s="409">
        <f t="shared" si="341"/>
        <v>0</v>
      </c>
      <c r="CT306" s="409">
        <f t="shared" si="341"/>
        <v>0</v>
      </c>
      <c r="CU306" s="409">
        <f t="shared" si="342"/>
        <v>0</v>
      </c>
      <c r="CV306" s="409">
        <f t="shared" si="342"/>
        <v>0</v>
      </c>
      <c r="CW306" s="409">
        <f t="shared" si="342"/>
        <v>0</v>
      </c>
      <c r="CX306" s="409">
        <f t="shared" si="342"/>
        <v>0</v>
      </c>
      <c r="CY306" s="409">
        <f t="shared" si="342"/>
        <v>0</v>
      </c>
      <c r="CZ306" s="409">
        <f t="shared" si="342"/>
        <v>0</v>
      </c>
      <c r="DA306" s="409">
        <f t="shared" si="342"/>
        <v>0</v>
      </c>
      <c r="DB306" s="409">
        <f t="shared" si="342"/>
        <v>0</v>
      </c>
      <c r="DC306" s="409">
        <f t="shared" si="342"/>
        <v>0</v>
      </c>
      <c r="DD306" s="409">
        <f t="shared" si="342"/>
        <v>0</v>
      </c>
      <c r="DE306" s="409">
        <f t="shared" si="343"/>
        <v>0</v>
      </c>
      <c r="DF306" s="409">
        <f t="shared" si="343"/>
        <v>0</v>
      </c>
      <c r="DG306" s="409">
        <f t="shared" si="343"/>
        <v>0</v>
      </c>
      <c r="DH306" s="409">
        <f t="shared" si="343"/>
        <v>0</v>
      </c>
      <c r="DI306" s="409">
        <f t="shared" si="343"/>
        <v>0</v>
      </c>
      <c r="DJ306" s="409">
        <f t="shared" si="343"/>
        <v>0</v>
      </c>
      <c r="DK306" s="409">
        <f t="shared" si="343"/>
        <v>0</v>
      </c>
      <c r="DL306" s="409">
        <f t="shared" si="343"/>
        <v>0</v>
      </c>
      <c r="DM306" s="409">
        <f t="shared" si="343"/>
        <v>0</v>
      </c>
      <c r="DN306" s="409">
        <f t="shared" si="343"/>
        <v>0</v>
      </c>
      <c r="DO306" s="409">
        <f t="shared" si="344"/>
        <v>0</v>
      </c>
      <c r="DP306" s="409">
        <f t="shared" si="344"/>
        <v>0</v>
      </c>
      <c r="DQ306" s="409">
        <f t="shared" si="344"/>
        <v>0</v>
      </c>
      <c r="DR306" s="409">
        <f t="shared" si="344"/>
        <v>0</v>
      </c>
      <c r="DS306" s="409">
        <f t="shared" si="344"/>
        <v>0</v>
      </c>
      <c r="DT306" s="409">
        <f t="shared" si="344"/>
        <v>0</v>
      </c>
      <c r="DU306" s="409">
        <f t="shared" si="344"/>
        <v>0</v>
      </c>
      <c r="DV306" s="409">
        <f t="shared" si="344"/>
        <v>0</v>
      </c>
      <c r="DW306" s="409">
        <f t="shared" si="344"/>
        <v>0</v>
      </c>
      <c r="DX306" s="409">
        <f t="shared" si="344"/>
        <v>0</v>
      </c>
      <c r="DY306" s="409">
        <f t="shared" si="345"/>
        <v>0</v>
      </c>
      <c r="DZ306" s="409">
        <f t="shared" si="345"/>
        <v>0</v>
      </c>
      <c r="EA306" s="409">
        <f t="shared" si="345"/>
        <v>0</v>
      </c>
      <c r="EB306" s="409">
        <f t="shared" si="345"/>
        <v>0</v>
      </c>
      <c r="EC306" s="409">
        <f t="shared" si="345"/>
        <v>0</v>
      </c>
      <c r="ED306" s="409">
        <f t="shared" si="345"/>
        <v>0</v>
      </c>
      <c r="EE306" s="409">
        <f t="shared" si="345"/>
        <v>0</v>
      </c>
      <c r="EF306" s="409">
        <f t="shared" si="345"/>
        <v>0</v>
      </c>
      <c r="EG306" s="409">
        <f t="shared" si="345"/>
        <v>0</v>
      </c>
      <c r="EH306" s="409">
        <f t="shared" si="345"/>
        <v>0</v>
      </c>
      <c r="EI306" s="409">
        <f t="shared" si="346"/>
        <v>0</v>
      </c>
      <c r="EJ306" s="409">
        <f t="shared" si="346"/>
        <v>0</v>
      </c>
      <c r="EK306" s="409">
        <f t="shared" si="346"/>
        <v>0</v>
      </c>
      <c r="EL306" s="409">
        <f t="shared" si="346"/>
        <v>0</v>
      </c>
      <c r="EM306" s="409">
        <f t="shared" si="346"/>
        <v>0</v>
      </c>
      <c r="EN306" s="409">
        <f t="shared" si="346"/>
        <v>0</v>
      </c>
      <c r="EO306" s="409">
        <f t="shared" si="346"/>
        <v>0</v>
      </c>
      <c r="EP306" s="409">
        <f t="shared" si="346"/>
        <v>0</v>
      </c>
      <c r="EQ306" s="409">
        <f t="shared" si="346"/>
        <v>0</v>
      </c>
      <c r="ER306" s="409">
        <f t="shared" si="346"/>
        <v>0</v>
      </c>
      <c r="ES306" s="409">
        <f t="shared" si="347"/>
        <v>0</v>
      </c>
      <c r="ET306" s="409">
        <f t="shared" si="347"/>
        <v>0</v>
      </c>
      <c r="EU306" s="409">
        <f t="shared" si="347"/>
        <v>0</v>
      </c>
      <c r="EV306" s="409">
        <f t="shared" si="347"/>
        <v>0</v>
      </c>
      <c r="EW306" s="409">
        <f t="shared" si="347"/>
        <v>0</v>
      </c>
      <c r="EX306" s="409">
        <f t="shared" si="347"/>
        <v>0</v>
      </c>
      <c r="EY306" s="409">
        <f t="shared" si="347"/>
        <v>0</v>
      </c>
      <c r="EZ306" s="409">
        <f t="shared" si="347"/>
        <v>0</v>
      </c>
      <c r="FA306" s="409">
        <f t="shared" si="347"/>
        <v>0</v>
      </c>
      <c r="FB306" s="409">
        <f t="shared" si="347"/>
        <v>0</v>
      </c>
      <c r="FC306" s="409">
        <f t="shared" si="348"/>
        <v>0</v>
      </c>
      <c r="FD306" s="409">
        <f t="shared" si="348"/>
        <v>0</v>
      </c>
      <c r="FE306" s="409">
        <f t="shared" si="348"/>
        <v>0</v>
      </c>
      <c r="FF306" s="409">
        <f t="shared" si="348"/>
        <v>0</v>
      </c>
      <c r="FG306" s="409">
        <f t="shared" si="348"/>
        <v>0</v>
      </c>
      <c r="FH306" s="409">
        <f t="shared" si="348"/>
        <v>0</v>
      </c>
      <c r="FI306" s="409">
        <f t="shared" si="348"/>
        <v>0</v>
      </c>
      <c r="FJ306" s="409">
        <f t="shared" si="348"/>
        <v>0</v>
      </c>
      <c r="FK306" s="409">
        <f t="shared" si="348"/>
        <v>0</v>
      </c>
      <c r="FL306" s="409">
        <f t="shared" si="348"/>
        <v>0</v>
      </c>
      <c r="FM306" s="409">
        <f t="shared" si="349"/>
        <v>0</v>
      </c>
      <c r="FN306" s="409">
        <f t="shared" si="349"/>
        <v>0</v>
      </c>
      <c r="FO306" s="409">
        <f t="shared" si="349"/>
        <v>0</v>
      </c>
      <c r="FP306" s="409">
        <f t="shared" si="349"/>
        <v>0</v>
      </c>
      <c r="FQ306" s="409">
        <f t="shared" si="349"/>
        <v>0</v>
      </c>
      <c r="FR306" s="409">
        <f t="shared" si="349"/>
        <v>0</v>
      </c>
      <c r="FS306" s="409">
        <f t="shared" si="349"/>
        <v>0</v>
      </c>
      <c r="FT306" s="409">
        <f t="shared" si="349"/>
        <v>0</v>
      </c>
      <c r="FU306" s="409">
        <f t="shared" si="349"/>
        <v>0</v>
      </c>
      <c r="FV306" s="409">
        <f t="shared" si="349"/>
        <v>0</v>
      </c>
      <c r="FW306" s="409">
        <f t="shared" si="350"/>
        <v>0</v>
      </c>
      <c r="FX306" s="409">
        <f t="shared" si="350"/>
        <v>0</v>
      </c>
      <c r="FY306" s="409">
        <f t="shared" si="350"/>
        <v>0</v>
      </c>
      <c r="FZ306" s="409">
        <f t="shared" si="350"/>
        <v>0</v>
      </c>
      <c r="GA306" s="409">
        <f t="shared" si="350"/>
        <v>0</v>
      </c>
      <c r="GB306" s="409">
        <f t="shared" si="350"/>
        <v>0</v>
      </c>
      <c r="GC306" s="409">
        <f t="shared" si="350"/>
        <v>0</v>
      </c>
      <c r="GD306" s="409">
        <f t="shared" si="350"/>
        <v>0</v>
      </c>
      <c r="GE306" s="409">
        <f t="shared" si="350"/>
        <v>0</v>
      </c>
      <c r="GF306" s="409">
        <f t="shared" si="350"/>
        <v>0</v>
      </c>
      <c r="GG306" s="409">
        <f t="shared" si="351"/>
        <v>0</v>
      </c>
      <c r="GH306" s="409">
        <f t="shared" si="351"/>
        <v>0</v>
      </c>
      <c r="GI306" s="409">
        <f t="shared" si="351"/>
        <v>0</v>
      </c>
      <c r="GJ306" s="409">
        <f t="shared" si="351"/>
        <v>0</v>
      </c>
      <c r="GK306" s="409">
        <f t="shared" si="351"/>
        <v>0</v>
      </c>
      <c r="GL306" s="409">
        <f t="shared" si="351"/>
        <v>0</v>
      </c>
      <c r="GM306" s="409">
        <f t="shared" si="351"/>
        <v>0</v>
      </c>
      <c r="GN306" s="409">
        <f t="shared" si="351"/>
        <v>0</v>
      </c>
      <c r="GO306" s="409">
        <f t="shared" si="351"/>
        <v>0</v>
      </c>
      <c r="GP306" s="409">
        <f t="shared" si="351"/>
        <v>0</v>
      </c>
      <c r="GQ306" s="409">
        <f t="shared" si="352"/>
        <v>0</v>
      </c>
      <c r="GR306" s="409">
        <f t="shared" si="352"/>
        <v>0</v>
      </c>
      <c r="GS306" s="409">
        <f t="shared" si="352"/>
        <v>0</v>
      </c>
      <c r="GT306" s="409">
        <f t="shared" si="352"/>
        <v>0</v>
      </c>
      <c r="GU306" s="409">
        <f t="shared" si="352"/>
        <v>0</v>
      </c>
      <c r="GV306" s="409">
        <f t="shared" si="352"/>
        <v>0</v>
      </c>
      <c r="GW306" s="409">
        <f t="shared" si="352"/>
        <v>0</v>
      </c>
      <c r="GX306" s="409">
        <f t="shared" si="352"/>
        <v>0</v>
      </c>
      <c r="GY306" s="409">
        <f t="shared" si="352"/>
        <v>0</v>
      </c>
      <c r="GZ306" s="409">
        <f t="shared" si="352"/>
        <v>0</v>
      </c>
      <c r="HA306" s="409">
        <f t="shared" si="353"/>
        <v>0</v>
      </c>
      <c r="HB306" s="409">
        <f t="shared" si="353"/>
        <v>0</v>
      </c>
      <c r="HC306" s="409">
        <f t="shared" si="353"/>
        <v>0</v>
      </c>
      <c r="HD306" s="409">
        <f t="shared" si="353"/>
        <v>0</v>
      </c>
      <c r="HE306" s="409">
        <f t="shared" si="353"/>
        <v>0</v>
      </c>
      <c r="HF306" s="409">
        <f t="shared" si="353"/>
        <v>0</v>
      </c>
      <c r="HG306" s="409">
        <f t="shared" si="353"/>
        <v>0</v>
      </c>
      <c r="HH306" s="409">
        <f t="shared" si="353"/>
        <v>0</v>
      </c>
      <c r="HI306" s="409">
        <f t="shared" si="353"/>
        <v>0</v>
      </c>
      <c r="HJ306" s="409">
        <f t="shared" si="353"/>
        <v>0</v>
      </c>
      <c r="HK306" s="409">
        <f t="shared" si="354"/>
        <v>0</v>
      </c>
      <c r="HL306" s="409">
        <f t="shared" si="354"/>
        <v>0</v>
      </c>
      <c r="HM306" s="409">
        <f t="shared" si="354"/>
        <v>0</v>
      </c>
      <c r="HN306" s="409">
        <f t="shared" si="354"/>
        <v>0</v>
      </c>
      <c r="HO306" s="409">
        <f t="shared" si="354"/>
        <v>0</v>
      </c>
      <c r="HP306" s="409">
        <f t="shared" si="354"/>
        <v>0</v>
      </c>
      <c r="HQ306" s="409">
        <f t="shared" si="354"/>
        <v>0</v>
      </c>
      <c r="HR306" s="409">
        <f t="shared" si="354"/>
        <v>0</v>
      </c>
      <c r="HS306" s="409">
        <f t="shared" si="354"/>
        <v>0</v>
      </c>
      <c r="HT306" s="409">
        <f t="shared" si="354"/>
        <v>0</v>
      </c>
      <c r="HU306" s="409">
        <f t="shared" si="355"/>
        <v>0</v>
      </c>
      <c r="HV306" s="409">
        <f t="shared" si="355"/>
        <v>0</v>
      </c>
      <c r="HW306" s="409">
        <f t="shared" si="355"/>
        <v>0</v>
      </c>
      <c r="HX306" s="409">
        <f t="shared" si="355"/>
        <v>0</v>
      </c>
      <c r="HY306" s="409">
        <f t="shared" si="355"/>
        <v>0</v>
      </c>
      <c r="HZ306" s="409">
        <f t="shared" si="355"/>
        <v>0</v>
      </c>
      <c r="IA306" s="409">
        <f t="shared" si="355"/>
        <v>0</v>
      </c>
      <c r="IB306" s="409">
        <f t="shared" si="355"/>
        <v>0</v>
      </c>
      <c r="IC306" s="409">
        <f t="shared" si="355"/>
        <v>0</v>
      </c>
      <c r="ID306" s="409">
        <f t="shared" si="355"/>
        <v>0</v>
      </c>
      <c r="IE306" s="409">
        <f t="shared" si="356"/>
        <v>0</v>
      </c>
      <c r="IF306" s="409">
        <f t="shared" si="356"/>
        <v>0</v>
      </c>
      <c r="IG306" s="409">
        <f t="shared" si="356"/>
        <v>0</v>
      </c>
      <c r="IH306" s="409">
        <f t="shared" si="356"/>
        <v>0</v>
      </c>
      <c r="II306" s="409">
        <f t="shared" si="356"/>
        <v>0</v>
      </c>
      <c r="IJ306" s="409">
        <f t="shared" si="356"/>
        <v>0</v>
      </c>
      <c r="IK306" s="378"/>
    </row>
    <row r="307" spans="1:245" hidden="1" x14ac:dyDescent="0.2">
      <c r="A307" s="380" t="str">
        <f t="shared" si="377"/>
        <v>e</v>
      </c>
      <c r="B307" s="712" t="str">
        <f>IF(ISERROR(INDEX('Legend(DX)'!$H$14:$H$15,20)),"",INDEX('Legend(DX)'!$H$14:$H$15,20))</f>
        <v/>
      </c>
      <c r="C307" s="712" t="e">
        <f>IF(INDEX('Legend(DX)'!$T$14:$T$15,20)=0,"See Legend",INDEX('Legend(DX)'!$T$14:$T$15,20))</f>
        <v>#REF!</v>
      </c>
      <c r="D307" s="712" t="e">
        <f>IF(INDEX('Legend(DX)'!$R$14:$R$15,20)=0,"---",INDEX('Legend(DX)'!$R$14:$R$15,20))</f>
        <v>#REF!</v>
      </c>
      <c r="E307" s="713" t="str">
        <f>IF(ISERROR(INDEX('Legend(DX)'!$AA$14:$AA$15,20)),"",INDEX('Legend(DX)'!$AA$14:$AA$15,20))</f>
        <v/>
      </c>
      <c r="F307" s="715"/>
      <c r="G307" s="715"/>
      <c r="H307" s="715"/>
      <c r="I307" s="715"/>
      <c r="J307" s="715"/>
      <c r="K307" s="890">
        <f t="shared" si="358"/>
        <v>0</v>
      </c>
      <c r="L307" s="718"/>
      <c r="M307" s="720"/>
      <c r="N307" s="972">
        <f t="shared" si="330"/>
        <v>-1</v>
      </c>
      <c r="O307" s="972">
        <f t="shared" si="378"/>
        <v>-1</v>
      </c>
      <c r="P307" s="972">
        <f t="shared" si="331"/>
        <v>-1</v>
      </c>
      <c r="Q307" s="972">
        <f t="shared" si="379"/>
        <v>-1</v>
      </c>
      <c r="R307" s="972">
        <f t="shared" si="332"/>
        <v>-1</v>
      </c>
      <c r="S307" s="972">
        <f t="shared" si="380"/>
        <v>-1</v>
      </c>
      <c r="T307" s="972">
        <f t="shared" si="333"/>
        <v>-1</v>
      </c>
      <c r="U307" s="972">
        <f t="shared" si="381"/>
        <v>-1</v>
      </c>
      <c r="V307" s="972">
        <f t="shared" si="334"/>
        <v>-1</v>
      </c>
      <c r="W307" s="972">
        <f t="shared" si="382"/>
        <v>-1</v>
      </c>
      <c r="X307" s="972">
        <f t="shared" si="335"/>
        <v>-1</v>
      </c>
      <c r="Y307" s="972">
        <f t="shared" si="364"/>
        <v>-1</v>
      </c>
      <c r="Z307" s="972">
        <f t="shared" si="365"/>
        <v>-1</v>
      </c>
      <c r="AA307" s="972">
        <f t="shared" si="366"/>
        <v>-1</v>
      </c>
      <c r="AB307" s="972">
        <f t="shared" si="367"/>
        <v>-1</v>
      </c>
      <c r="AC307" s="972">
        <f t="shared" si="368"/>
        <v>-1</v>
      </c>
      <c r="AD307" s="972">
        <f t="shared" si="369"/>
        <v>-1</v>
      </c>
      <c r="AE307" s="972">
        <f t="shared" si="370"/>
        <v>-1</v>
      </c>
      <c r="AF307" s="972">
        <f t="shared" si="371"/>
        <v>-1</v>
      </c>
      <c r="AG307" s="972">
        <f t="shared" si="372"/>
        <v>-1</v>
      </c>
      <c r="AH307" s="972">
        <f t="shared" si="373"/>
        <v>-1</v>
      </c>
      <c r="AI307" s="972">
        <f t="shared" si="374"/>
        <v>-1</v>
      </c>
      <c r="AJ307" s="972">
        <f t="shared" si="375"/>
        <v>-1</v>
      </c>
      <c r="AK307" s="381"/>
      <c r="AL307" s="727" t="str">
        <f t="shared" si="383"/>
        <v/>
      </c>
      <c r="AM307" s="409">
        <f t="shared" si="336"/>
        <v>0</v>
      </c>
      <c r="AN307" s="409">
        <f t="shared" si="336"/>
        <v>0</v>
      </c>
      <c r="AO307" s="409">
        <f t="shared" si="336"/>
        <v>0</v>
      </c>
      <c r="AP307" s="409">
        <f t="shared" si="336"/>
        <v>0</v>
      </c>
      <c r="AQ307" s="409">
        <f t="shared" si="336"/>
        <v>0</v>
      </c>
      <c r="AR307" s="409">
        <f t="shared" ref="AM307:AV311" si="384">IF(ISNA(AR$7),"",IF(OR(AND(AR$7&lt;=$N307,AR$7&gt;$N307-TIME(0,TimeIncr,0)),AND(AR$7&lt;=$P307,AR$7&gt;$P307-TIME(0,TimeIncr,0)),AND(AR$7&lt;=$R307,AR$7&gt;$R307-TIME(0,TimeIncr,0)),AND(AR$7&lt;=$T307,AR$7&gt;$T307-TIME(0,TimeIncr,0)),AND(AR$7&lt;=$V307,AR$7&gt;$V307-TIME(0,TimeIncr,0)),AND(AR$7&lt;=$X307,AR$7&gt;$X307-TIME(0,TimeIncr,0))),$E307*$L307,IF(OR(AND(AR$7&gt;=$M307,AR$7&lt;=$N307),AND(AR$7&gt;=$O307,AR$7&lt;=$P307),AND(AR$7&gt;=$Q307,AR$7&lt;=$R307),AND(AR$7&gt;=$S307,AR$7&lt;=$T307),AND(AR$7&gt;=$U307,AR$7&lt;=$V307),AND(AR$7&gt;=$W307,AR$7&lt;=$X307)),0,IF(OR(AND($M307&gt;$N307,AR$7&lt;=$N307),AND($O307&gt;$P307,AR$7&lt;=$P307),AND($Q307&gt;$R307,AR$7&lt;=$R307),AND($S307&gt;$T307,AR$7&lt;=$T307),AND($U307&gt;$V307,AR$7&lt;=$V307),AND($W307&gt;$X307,AR$7&lt;=$X307)),0,IF(OR(AND(AR$7&gt;=$M307,$M307&gt;$N307),AND(AR$7&gt;=$O307,$O307&gt;$P307),AND(AR$7&gt;=$Q307,$Q307&gt;$R307),AND(AR$7&gt;=$S307,$S307&gt;$T307),AND(AR$7&gt;=$U307,$U307&gt;$V307),AND(AR$7&gt;=$W307,$W307&gt;$X307)),0,$E307)))))</f>
        <v>0</v>
      </c>
      <c r="AS307" s="409">
        <f t="shared" si="384"/>
        <v>0</v>
      </c>
      <c r="AT307" s="409">
        <f t="shared" si="384"/>
        <v>0</v>
      </c>
      <c r="AU307" s="409">
        <f t="shared" si="384"/>
        <v>0</v>
      </c>
      <c r="AV307" s="409">
        <f t="shared" si="384"/>
        <v>0</v>
      </c>
      <c r="AW307" s="409">
        <f t="shared" si="337"/>
        <v>0</v>
      </c>
      <c r="AX307" s="409">
        <f t="shared" si="337"/>
        <v>0</v>
      </c>
      <c r="AY307" s="409">
        <f t="shared" si="337"/>
        <v>0</v>
      </c>
      <c r="AZ307" s="409">
        <f t="shared" si="337"/>
        <v>0</v>
      </c>
      <c r="BA307" s="409">
        <f t="shared" si="337"/>
        <v>0</v>
      </c>
      <c r="BB307" s="409">
        <f t="shared" ref="AW307:BF311" si="385">IF(ISNA(BB$7),"",IF(OR(AND(BB$7&lt;=$N307,BB$7&gt;$N307-TIME(0,TimeIncr,0)),AND(BB$7&lt;=$P307,BB$7&gt;$P307-TIME(0,TimeIncr,0)),AND(BB$7&lt;=$R307,BB$7&gt;$R307-TIME(0,TimeIncr,0)),AND(BB$7&lt;=$T307,BB$7&gt;$T307-TIME(0,TimeIncr,0)),AND(BB$7&lt;=$V307,BB$7&gt;$V307-TIME(0,TimeIncr,0)),AND(BB$7&lt;=$X307,BB$7&gt;$X307-TIME(0,TimeIncr,0))),$E307*$L307,IF(OR(AND(BB$7&gt;=$M307,BB$7&lt;=$N307),AND(BB$7&gt;=$O307,BB$7&lt;=$P307),AND(BB$7&gt;=$Q307,BB$7&lt;=$R307),AND(BB$7&gt;=$S307,BB$7&lt;=$T307),AND(BB$7&gt;=$U307,BB$7&lt;=$V307),AND(BB$7&gt;=$W307,BB$7&lt;=$X307)),0,IF(OR(AND($M307&gt;$N307,BB$7&lt;=$N307),AND($O307&gt;$P307,BB$7&lt;=$P307),AND($Q307&gt;$R307,BB$7&lt;=$R307),AND($S307&gt;$T307,BB$7&lt;=$T307),AND($U307&gt;$V307,BB$7&lt;=$V307),AND($W307&gt;$X307,BB$7&lt;=$X307)),0,IF(OR(AND(BB$7&gt;=$M307,$M307&gt;$N307),AND(BB$7&gt;=$O307,$O307&gt;$P307),AND(BB$7&gt;=$Q307,$Q307&gt;$R307),AND(BB$7&gt;=$S307,$S307&gt;$T307),AND(BB$7&gt;=$U307,$U307&gt;$V307),AND(BB$7&gt;=$W307,$W307&gt;$X307)),0,$E307)))))</f>
        <v>0</v>
      </c>
      <c r="BC307" s="409">
        <f t="shared" si="385"/>
        <v>0</v>
      </c>
      <c r="BD307" s="409">
        <f t="shared" si="385"/>
        <v>0</v>
      </c>
      <c r="BE307" s="409">
        <f t="shared" si="385"/>
        <v>0</v>
      </c>
      <c r="BF307" s="409">
        <f t="shared" si="385"/>
        <v>0</v>
      </c>
      <c r="BG307" s="409">
        <f t="shared" si="338"/>
        <v>0</v>
      </c>
      <c r="BH307" s="409">
        <f t="shared" si="338"/>
        <v>0</v>
      </c>
      <c r="BI307" s="409">
        <f t="shared" si="338"/>
        <v>0</v>
      </c>
      <c r="BJ307" s="409">
        <f t="shared" si="338"/>
        <v>0</v>
      </c>
      <c r="BK307" s="409">
        <f t="shared" si="338"/>
        <v>0</v>
      </c>
      <c r="BL307" s="409">
        <f t="shared" ref="BG307:BP311" si="386">IF(ISNA(BL$7),"",IF(OR(AND(BL$7&lt;=$N307,BL$7&gt;$N307-TIME(0,TimeIncr,0)),AND(BL$7&lt;=$P307,BL$7&gt;$P307-TIME(0,TimeIncr,0)),AND(BL$7&lt;=$R307,BL$7&gt;$R307-TIME(0,TimeIncr,0)),AND(BL$7&lt;=$T307,BL$7&gt;$T307-TIME(0,TimeIncr,0)),AND(BL$7&lt;=$V307,BL$7&gt;$V307-TIME(0,TimeIncr,0)),AND(BL$7&lt;=$X307,BL$7&gt;$X307-TIME(0,TimeIncr,0))),$E307*$L307,IF(OR(AND(BL$7&gt;=$M307,BL$7&lt;=$N307),AND(BL$7&gt;=$O307,BL$7&lt;=$P307),AND(BL$7&gt;=$Q307,BL$7&lt;=$R307),AND(BL$7&gt;=$S307,BL$7&lt;=$T307),AND(BL$7&gt;=$U307,BL$7&lt;=$V307),AND(BL$7&gt;=$W307,BL$7&lt;=$X307)),0,IF(OR(AND($M307&gt;$N307,BL$7&lt;=$N307),AND($O307&gt;$P307,BL$7&lt;=$P307),AND($Q307&gt;$R307,BL$7&lt;=$R307),AND($S307&gt;$T307,BL$7&lt;=$T307),AND($U307&gt;$V307,BL$7&lt;=$V307),AND($W307&gt;$X307,BL$7&lt;=$X307)),0,IF(OR(AND(BL$7&gt;=$M307,$M307&gt;$N307),AND(BL$7&gt;=$O307,$O307&gt;$P307),AND(BL$7&gt;=$Q307,$Q307&gt;$R307),AND(BL$7&gt;=$S307,$S307&gt;$T307),AND(BL$7&gt;=$U307,$U307&gt;$V307),AND(BL$7&gt;=$W307,$W307&gt;$X307)),0,$E307)))))</f>
        <v>0</v>
      </c>
      <c r="BM307" s="409">
        <f t="shared" si="386"/>
        <v>0</v>
      </c>
      <c r="BN307" s="409">
        <f t="shared" si="386"/>
        <v>0</v>
      </c>
      <c r="BO307" s="409">
        <f t="shared" si="386"/>
        <v>0</v>
      </c>
      <c r="BP307" s="409">
        <f t="shared" si="386"/>
        <v>0</v>
      </c>
      <c r="BQ307" s="409">
        <f t="shared" si="339"/>
        <v>0</v>
      </c>
      <c r="BR307" s="409">
        <f t="shared" si="339"/>
        <v>0</v>
      </c>
      <c r="BS307" s="409">
        <f t="shared" si="339"/>
        <v>0</v>
      </c>
      <c r="BT307" s="409">
        <f t="shared" si="339"/>
        <v>0</v>
      </c>
      <c r="BU307" s="409">
        <f t="shared" si="339"/>
        <v>0</v>
      </c>
      <c r="BV307" s="409">
        <f t="shared" ref="BQ307:BZ311" si="387">IF(ISNA(BV$7),"",IF(OR(AND(BV$7&lt;=$N307,BV$7&gt;$N307-TIME(0,TimeIncr,0)),AND(BV$7&lt;=$P307,BV$7&gt;$P307-TIME(0,TimeIncr,0)),AND(BV$7&lt;=$R307,BV$7&gt;$R307-TIME(0,TimeIncr,0)),AND(BV$7&lt;=$T307,BV$7&gt;$T307-TIME(0,TimeIncr,0)),AND(BV$7&lt;=$V307,BV$7&gt;$V307-TIME(0,TimeIncr,0)),AND(BV$7&lt;=$X307,BV$7&gt;$X307-TIME(0,TimeIncr,0))),$E307*$L307,IF(OR(AND(BV$7&gt;=$M307,BV$7&lt;=$N307),AND(BV$7&gt;=$O307,BV$7&lt;=$P307),AND(BV$7&gt;=$Q307,BV$7&lt;=$R307),AND(BV$7&gt;=$S307,BV$7&lt;=$T307),AND(BV$7&gt;=$U307,BV$7&lt;=$V307),AND(BV$7&gt;=$W307,BV$7&lt;=$X307)),0,IF(OR(AND($M307&gt;$N307,BV$7&lt;=$N307),AND($O307&gt;$P307,BV$7&lt;=$P307),AND($Q307&gt;$R307,BV$7&lt;=$R307),AND($S307&gt;$T307,BV$7&lt;=$T307),AND($U307&gt;$V307,BV$7&lt;=$V307),AND($W307&gt;$X307,BV$7&lt;=$X307)),0,IF(OR(AND(BV$7&gt;=$M307,$M307&gt;$N307),AND(BV$7&gt;=$O307,$O307&gt;$P307),AND(BV$7&gt;=$Q307,$Q307&gt;$R307),AND(BV$7&gt;=$S307,$S307&gt;$T307),AND(BV$7&gt;=$U307,$U307&gt;$V307),AND(BV$7&gt;=$W307,$W307&gt;$X307)),0,$E307)))))</f>
        <v>0</v>
      </c>
      <c r="BW307" s="409">
        <f t="shared" si="387"/>
        <v>0</v>
      </c>
      <c r="BX307" s="409">
        <f t="shared" si="387"/>
        <v>0</v>
      </c>
      <c r="BY307" s="409">
        <f t="shared" si="387"/>
        <v>0</v>
      </c>
      <c r="BZ307" s="409">
        <f t="shared" si="387"/>
        <v>0</v>
      </c>
      <c r="CA307" s="409">
        <f t="shared" si="340"/>
        <v>0</v>
      </c>
      <c r="CB307" s="409">
        <f t="shared" si="340"/>
        <v>0</v>
      </c>
      <c r="CC307" s="409">
        <f t="shared" si="340"/>
        <v>0</v>
      </c>
      <c r="CD307" s="409">
        <f t="shared" si="340"/>
        <v>0</v>
      </c>
      <c r="CE307" s="409">
        <f t="shared" si="340"/>
        <v>0</v>
      </c>
      <c r="CF307" s="409">
        <f t="shared" ref="CA307:CJ311" si="388">IF(ISNA(CF$7),"",IF(OR(AND(CF$7&lt;=$N307,CF$7&gt;$N307-TIME(0,TimeIncr,0)),AND(CF$7&lt;=$P307,CF$7&gt;$P307-TIME(0,TimeIncr,0)),AND(CF$7&lt;=$R307,CF$7&gt;$R307-TIME(0,TimeIncr,0)),AND(CF$7&lt;=$T307,CF$7&gt;$T307-TIME(0,TimeIncr,0)),AND(CF$7&lt;=$V307,CF$7&gt;$V307-TIME(0,TimeIncr,0)),AND(CF$7&lt;=$X307,CF$7&gt;$X307-TIME(0,TimeIncr,0))),$E307*$L307,IF(OR(AND(CF$7&gt;=$M307,CF$7&lt;=$N307),AND(CF$7&gt;=$O307,CF$7&lt;=$P307),AND(CF$7&gt;=$Q307,CF$7&lt;=$R307),AND(CF$7&gt;=$S307,CF$7&lt;=$T307),AND(CF$7&gt;=$U307,CF$7&lt;=$V307),AND(CF$7&gt;=$W307,CF$7&lt;=$X307)),0,IF(OR(AND($M307&gt;$N307,CF$7&lt;=$N307),AND($O307&gt;$P307,CF$7&lt;=$P307),AND($Q307&gt;$R307,CF$7&lt;=$R307),AND($S307&gt;$T307,CF$7&lt;=$T307),AND($U307&gt;$V307,CF$7&lt;=$V307),AND($W307&gt;$X307,CF$7&lt;=$X307)),0,IF(OR(AND(CF$7&gt;=$M307,$M307&gt;$N307),AND(CF$7&gt;=$O307,$O307&gt;$P307),AND(CF$7&gt;=$Q307,$Q307&gt;$R307),AND(CF$7&gt;=$S307,$S307&gt;$T307),AND(CF$7&gt;=$U307,$U307&gt;$V307),AND(CF$7&gt;=$W307,$W307&gt;$X307)),0,$E307)))))</f>
        <v>0</v>
      </c>
      <c r="CG307" s="409">
        <f t="shared" si="388"/>
        <v>0</v>
      </c>
      <c r="CH307" s="409">
        <f t="shared" si="388"/>
        <v>0</v>
      </c>
      <c r="CI307" s="409">
        <f t="shared" si="388"/>
        <v>0</v>
      </c>
      <c r="CJ307" s="409">
        <f t="shared" si="388"/>
        <v>0</v>
      </c>
      <c r="CK307" s="409">
        <f t="shared" si="341"/>
        <v>0</v>
      </c>
      <c r="CL307" s="409">
        <f t="shared" si="341"/>
        <v>0</v>
      </c>
      <c r="CM307" s="409">
        <f t="shared" si="341"/>
        <v>0</v>
      </c>
      <c r="CN307" s="409">
        <f t="shared" si="341"/>
        <v>0</v>
      </c>
      <c r="CO307" s="409">
        <f t="shared" si="341"/>
        <v>0</v>
      </c>
      <c r="CP307" s="409">
        <f t="shared" ref="CK307:CT311" si="389">IF(ISNA(CP$7),"",IF(OR(AND(CP$7&lt;=$N307,CP$7&gt;$N307-TIME(0,TimeIncr,0)),AND(CP$7&lt;=$P307,CP$7&gt;$P307-TIME(0,TimeIncr,0)),AND(CP$7&lt;=$R307,CP$7&gt;$R307-TIME(0,TimeIncr,0)),AND(CP$7&lt;=$T307,CP$7&gt;$T307-TIME(0,TimeIncr,0)),AND(CP$7&lt;=$V307,CP$7&gt;$V307-TIME(0,TimeIncr,0)),AND(CP$7&lt;=$X307,CP$7&gt;$X307-TIME(0,TimeIncr,0))),$E307*$L307,IF(OR(AND(CP$7&gt;=$M307,CP$7&lt;=$N307),AND(CP$7&gt;=$O307,CP$7&lt;=$P307),AND(CP$7&gt;=$Q307,CP$7&lt;=$R307),AND(CP$7&gt;=$S307,CP$7&lt;=$T307),AND(CP$7&gt;=$U307,CP$7&lt;=$V307),AND(CP$7&gt;=$W307,CP$7&lt;=$X307)),0,IF(OR(AND($M307&gt;$N307,CP$7&lt;=$N307),AND($O307&gt;$P307,CP$7&lt;=$P307),AND($Q307&gt;$R307,CP$7&lt;=$R307),AND($S307&gt;$T307,CP$7&lt;=$T307),AND($U307&gt;$V307,CP$7&lt;=$V307),AND($W307&gt;$X307,CP$7&lt;=$X307)),0,IF(OR(AND(CP$7&gt;=$M307,$M307&gt;$N307),AND(CP$7&gt;=$O307,$O307&gt;$P307),AND(CP$7&gt;=$Q307,$Q307&gt;$R307),AND(CP$7&gt;=$S307,$S307&gt;$T307),AND(CP$7&gt;=$U307,$U307&gt;$V307),AND(CP$7&gt;=$W307,$W307&gt;$X307)),0,$E307)))))</f>
        <v>0</v>
      </c>
      <c r="CQ307" s="409">
        <f t="shared" si="389"/>
        <v>0</v>
      </c>
      <c r="CR307" s="409">
        <f t="shared" si="389"/>
        <v>0</v>
      </c>
      <c r="CS307" s="409">
        <f t="shared" si="389"/>
        <v>0</v>
      </c>
      <c r="CT307" s="409">
        <f t="shared" si="389"/>
        <v>0</v>
      </c>
      <c r="CU307" s="409">
        <f t="shared" si="342"/>
        <v>0</v>
      </c>
      <c r="CV307" s="409">
        <f t="shared" si="342"/>
        <v>0</v>
      </c>
      <c r="CW307" s="409">
        <f t="shared" si="342"/>
        <v>0</v>
      </c>
      <c r="CX307" s="409">
        <f t="shared" si="342"/>
        <v>0</v>
      </c>
      <c r="CY307" s="409">
        <f t="shared" si="342"/>
        <v>0</v>
      </c>
      <c r="CZ307" s="409">
        <f t="shared" ref="CU307:DD311" si="390">IF(ISNA(CZ$7),"",IF(OR(AND(CZ$7&lt;=$N307,CZ$7&gt;$N307-TIME(0,TimeIncr,0)),AND(CZ$7&lt;=$P307,CZ$7&gt;$P307-TIME(0,TimeIncr,0)),AND(CZ$7&lt;=$R307,CZ$7&gt;$R307-TIME(0,TimeIncr,0)),AND(CZ$7&lt;=$T307,CZ$7&gt;$T307-TIME(0,TimeIncr,0)),AND(CZ$7&lt;=$V307,CZ$7&gt;$V307-TIME(0,TimeIncr,0)),AND(CZ$7&lt;=$X307,CZ$7&gt;$X307-TIME(0,TimeIncr,0))),$E307*$L307,IF(OR(AND(CZ$7&gt;=$M307,CZ$7&lt;=$N307),AND(CZ$7&gt;=$O307,CZ$7&lt;=$P307),AND(CZ$7&gt;=$Q307,CZ$7&lt;=$R307),AND(CZ$7&gt;=$S307,CZ$7&lt;=$T307),AND(CZ$7&gt;=$U307,CZ$7&lt;=$V307),AND(CZ$7&gt;=$W307,CZ$7&lt;=$X307)),0,IF(OR(AND($M307&gt;$N307,CZ$7&lt;=$N307),AND($O307&gt;$P307,CZ$7&lt;=$P307),AND($Q307&gt;$R307,CZ$7&lt;=$R307),AND($S307&gt;$T307,CZ$7&lt;=$T307),AND($U307&gt;$V307,CZ$7&lt;=$V307),AND($W307&gt;$X307,CZ$7&lt;=$X307)),0,IF(OR(AND(CZ$7&gt;=$M307,$M307&gt;$N307),AND(CZ$7&gt;=$O307,$O307&gt;$P307),AND(CZ$7&gt;=$Q307,$Q307&gt;$R307),AND(CZ$7&gt;=$S307,$S307&gt;$T307),AND(CZ$7&gt;=$U307,$U307&gt;$V307),AND(CZ$7&gt;=$W307,$W307&gt;$X307)),0,$E307)))))</f>
        <v>0</v>
      </c>
      <c r="DA307" s="409">
        <f t="shared" si="390"/>
        <v>0</v>
      </c>
      <c r="DB307" s="409">
        <f t="shared" si="390"/>
        <v>0</v>
      </c>
      <c r="DC307" s="409">
        <f t="shared" si="390"/>
        <v>0</v>
      </c>
      <c r="DD307" s="409">
        <f t="shared" si="390"/>
        <v>0</v>
      </c>
      <c r="DE307" s="409">
        <f t="shared" si="343"/>
        <v>0</v>
      </c>
      <c r="DF307" s="409">
        <f t="shared" si="343"/>
        <v>0</v>
      </c>
      <c r="DG307" s="409">
        <f t="shared" si="343"/>
        <v>0</v>
      </c>
      <c r="DH307" s="409">
        <f t="shared" si="343"/>
        <v>0</v>
      </c>
      <c r="DI307" s="409">
        <f t="shared" si="343"/>
        <v>0</v>
      </c>
      <c r="DJ307" s="409">
        <f t="shared" ref="DE307:DN311" si="391">IF(ISNA(DJ$7),"",IF(OR(AND(DJ$7&lt;=$N307,DJ$7&gt;$N307-TIME(0,TimeIncr,0)),AND(DJ$7&lt;=$P307,DJ$7&gt;$P307-TIME(0,TimeIncr,0)),AND(DJ$7&lt;=$R307,DJ$7&gt;$R307-TIME(0,TimeIncr,0)),AND(DJ$7&lt;=$T307,DJ$7&gt;$T307-TIME(0,TimeIncr,0)),AND(DJ$7&lt;=$V307,DJ$7&gt;$V307-TIME(0,TimeIncr,0)),AND(DJ$7&lt;=$X307,DJ$7&gt;$X307-TIME(0,TimeIncr,0))),$E307*$L307,IF(OR(AND(DJ$7&gt;=$M307,DJ$7&lt;=$N307),AND(DJ$7&gt;=$O307,DJ$7&lt;=$P307),AND(DJ$7&gt;=$Q307,DJ$7&lt;=$R307),AND(DJ$7&gt;=$S307,DJ$7&lt;=$T307),AND(DJ$7&gt;=$U307,DJ$7&lt;=$V307),AND(DJ$7&gt;=$W307,DJ$7&lt;=$X307)),0,IF(OR(AND($M307&gt;$N307,DJ$7&lt;=$N307),AND($O307&gt;$P307,DJ$7&lt;=$P307),AND($Q307&gt;$R307,DJ$7&lt;=$R307),AND($S307&gt;$T307,DJ$7&lt;=$T307),AND($U307&gt;$V307,DJ$7&lt;=$V307),AND($W307&gt;$X307,DJ$7&lt;=$X307)),0,IF(OR(AND(DJ$7&gt;=$M307,$M307&gt;$N307),AND(DJ$7&gt;=$O307,$O307&gt;$P307),AND(DJ$7&gt;=$Q307,$Q307&gt;$R307),AND(DJ$7&gt;=$S307,$S307&gt;$T307),AND(DJ$7&gt;=$U307,$U307&gt;$V307),AND(DJ$7&gt;=$W307,$W307&gt;$X307)),0,$E307)))))</f>
        <v>0</v>
      </c>
      <c r="DK307" s="409">
        <f t="shared" si="391"/>
        <v>0</v>
      </c>
      <c r="DL307" s="409">
        <f t="shared" si="391"/>
        <v>0</v>
      </c>
      <c r="DM307" s="409">
        <f t="shared" si="391"/>
        <v>0</v>
      </c>
      <c r="DN307" s="409">
        <f t="shared" si="391"/>
        <v>0</v>
      </c>
      <c r="DO307" s="409">
        <f t="shared" si="344"/>
        <v>0</v>
      </c>
      <c r="DP307" s="409">
        <f t="shared" si="344"/>
        <v>0</v>
      </c>
      <c r="DQ307" s="409">
        <f t="shared" si="344"/>
        <v>0</v>
      </c>
      <c r="DR307" s="409">
        <f t="shared" si="344"/>
        <v>0</v>
      </c>
      <c r="DS307" s="409">
        <f t="shared" si="344"/>
        <v>0</v>
      </c>
      <c r="DT307" s="409">
        <f t="shared" ref="DO307:DX311" si="392">IF(ISNA(DT$7),"",IF(OR(AND(DT$7&lt;=$N307,DT$7&gt;$N307-TIME(0,TimeIncr,0)),AND(DT$7&lt;=$P307,DT$7&gt;$P307-TIME(0,TimeIncr,0)),AND(DT$7&lt;=$R307,DT$7&gt;$R307-TIME(0,TimeIncr,0)),AND(DT$7&lt;=$T307,DT$7&gt;$T307-TIME(0,TimeIncr,0)),AND(DT$7&lt;=$V307,DT$7&gt;$V307-TIME(0,TimeIncr,0)),AND(DT$7&lt;=$X307,DT$7&gt;$X307-TIME(0,TimeIncr,0))),$E307*$L307,IF(OR(AND(DT$7&gt;=$M307,DT$7&lt;=$N307),AND(DT$7&gt;=$O307,DT$7&lt;=$P307),AND(DT$7&gt;=$Q307,DT$7&lt;=$R307),AND(DT$7&gt;=$S307,DT$7&lt;=$T307),AND(DT$7&gt;=$U307,DT$7&lt;=$V307),AND(DT$7&gt;=$W307,DT$7&lt;=$X307)),0,IF(OR(AND($M307&gt;$N307,DT$7&lt;=$N307),AND($O307&gt;$P307,DT$7&lt;=$P307),AND($Q307&gt;$R307,DT$7&lt;=$R307),AND($S307&gt;$T307,DT$7&lt;=$T307),AND($U307&gt;$V307,DT$7&lt;=$V307),AND($W307&gt;$X307,DT$7&lt;=$X307)),0,IF(OR(AND(DT$7&gt;=$M307,$M307&gt;$N307),AND(DT$7&gt;=$O307,$O307&gt;$P307),AND(DT$7&gt;=$Q307,$Q307&gt;$R307),AND(DT$7&gt;=$S307,$S307&gt;$T307),AND(DT$7&gt;=$U307,$U307&gt;$V307),AND(DT$7&gt;=$W307,$W307&gt;$X307)),0,$E307)))))</f>
        <v>0</v>
      </c>
      <c r="DU307" s="409">
        <f t="shared" si="392"/>
        <v>0</v>
      </c>
      <c r="DV307" s="409">
        <f t="shared" si="392"/>
        <v>0</v>
      </c>
      <c r="DW307" s="409">
        <f t="shared" si="392"/>
        <v>0</v>
      </c>
      <c r="DX307" s="409">
        <f t="shared" si="392"/>
        <v>0</v>
      </c>
      <c r="DY307" s="409">
        <f t="shared" si="345"/>
        <v>0</v>
      </c>
      <c r="DZ307" s="409">
        <f t="shared" si="345"/>
        <v>0</v>
      </c>
      <c r="EA307" s="409">
        <f t="shared" si="345"/>
        <v>0</v>
      </c>
      <c r="EB307" s="409">
        <f t="shared" si="345"/>
        <v>0</v>
      </c>
      <c r="EC307" s="409">
        <f t="shared" si="345"/>
        <v>0</v>
      </c>
      <c r="ED307" s="409">
        <f t="shared" ref="DY307:EH311" si="393">IF(ISNA(ED$7),"",IF(OR(AND(ED$7&lt;=$N307,ED$7&gt;$N307-TIME(0,TimeIncr,0)),AND(ED$7&lt;=$P307,ED$7&gt;$P307-TIME(0,TimeIncr,0)),AND(ED$7&lt;=$R307,ED$7&gt;$R307-TIME(0,TimeIncr,0)),AND(ED$7&lt;=$T307,ED$7&gt;$T307-TIME(0,TimeIncr,0)),AND(ED$7&lt;=$V307,ED$7&gt;$V307-TIME(0,TimeIncr,0)),AND(ED$7&lt;=$X307,ED$7&gt;$X307-TIME(0,TimeIncr,0))),$E307*$L307,IF(OR(AND(ED$7&gt;=$M307,ED$7&lt;=$N307),AND(ED$7&gt;=$O307,ED$7&lt;=$P307),AND(ED$7&gt;=$Q307,ED$7&lt;=$R307),AND(ED$7&gt;=$S307,ED$7&lt;=$T307),AND(ED$7&gt;=$U307,ED$7&lt;=$V307),AND(ED$7&gt;=$W307,ED$7&lt;=$X307)),0,IF(OR(AND($M307&gt;$N307,ED$7&lt;=$N307),AND($O307&gt;$P307,ED$7&lt;=$P307),AND($Q307&gt;$R307,ED$7&lt;=$R307),AND($S307&gt;$T307,ED$7&lt;=$T307),AND($U307&gt;$V307,ED$7&lt;=$V307),AND($W307&gt;$X307,ED$7&lt;=$X307)),0,IF(OR(AND(ED$7&gt;=$M307,$M307&gt;$N307),AND(ED$7&gt;=$O307,$O307&gt;$P307),AND(ED$7&gt;=$Q307,$Q307&gt;$R307),AND(ED$7&gt;=$S307,$S307&gt;$T307),AND(ED$7&gt;=$U307,$U307&gt;$V307),AND(ED$7&gt;=$W307,$W307&gt;$X307)),0,$E307)))))</f>
        <v>0</v>
      </c>
      <c r="EE307" s="409">
        <f t="shared" si="393"/>
        <v>0</v>
      </c>
      <c r="EF307" s="409">
        <f t="shared" si="393"/>
        <v>0</v>
      </c>
      <c r="EG307" s="409">
        <f t="shared" si="393"/>
        <v>0</v>
      </c>
      <c r="EH307" s="409">
        <f t="shared" si="393"/>
        <v>0</v>
      </c>
      <c r="EI307" s="409">
        <f t="shared" si="346"/>
        <v>0</v>
      </c>
      <c r="EJ307" s="409">
        <f t="shared" si="346"/>
        <v>0</v>
      </c>
      <c r="EK307" s="409">
        <f t="shared" si="346"/>
        <v>0</v>
      </c>
      <c r="EL307" s="409">
        <f t="shared" si="346"/>
        <v>0</v>
      </c>
      <c r="EM307" s="409">
        <f t="shared" si="346"/>
        <v>0</v>
      </c>
      <c r="EN307" s="409">
        <f t="shared" ref="EI307:ER311" si="394">IF(ISNA(EN$7),"",IF(OR(AND(EN$7&lt;=$N307,EN$7&gt;$N307-TIME(0,TimeIncr,0)),AND(EN$7&lt;=$P307,EN$7&gt;$P307-TIME(0,TimeIncr,0)),AND(EN$7&lt;=$R307,EN$7&gt;$R307-TIME(0,TimeIncr,0)),AND(EN$7&lt;=$T307,EN$7&gt;$T307-TIME(0,TimeIncr,0)),AND(EN$7&lt;=$V307,EN$7&gt;$V307-TIME(0,TimeIncr,0)),AND(EN$7&lt;=$X307,EN$7&gt;$X307-TIME(0,TimeIncr,0))),$E307*$L307,IF(OR(AND(EN$7&gt;=$M307,EN$7&lt;=$N307),AND(EN$7&gt;=$O307,EN$7&lt;=$P307),AND(EN$7&gt;=$Q307,EN$7&lt;=$R307),AND(EN$7&gt;=$S307,EN$7&lt;=$T307),AND(EN$7&gt;=$U307,EN$7&lt;=$V307),AND(EN$7&gt;=$W307,EN$7&lt;=$X307)),0,IF(OR(AND($M307&gt;$N307,EN$7&lt;=$N307),AND($O307&gt;$P307,EN$7&lt;=$P307),AND($Q307&gt;$R307,EN$7&lt;=$R307),AND($S307&gt;$T307,EN$7&lt;=$T307),AND($U307&gt;$V307,EN$7&lt;=$V307),AND($W307&gt;$X307,EN$7&lt;=$X307)),0,IF(OR(AND(EN$7&gt;=$M307,$M307&gt;$N307),AND(EN$7&gt;=$O307,$O307&gt;$P307),AND(EN$7&gt;=$Q307,$Q307&gt;$R307),AND(EN$7&gt;=$S307,$S307&gt;$T307),AND(EN$7&gt;=$U307,$U307&gt;$V307),AND(EN$7&gt;=$W307,$W307&gt;$X307)),0,$E307)))))</f>
        <v>0</v>
      </c>
      <c r="EO307" s="409">
        <f t="shared" si="394"/>
        <v>0</v>
      </c>
      <c r="EP307" s="409">
        <f t="shared" si="394"/>
        <v>0</v>
      </c>
      <c r="EQ307" s="409">
        <f t="shared" si="394"/>
        <v>0</v>
      </c>
      <c r="ER307" s="409">
        <f t="shared" si="394"/>
        <v>0</v>
      </c>
      <c r="ES307" s="409">
        <f t="shared" si="347"/>
        <v>0</v>
      </c>
      <c r="ET307" s="409">
        <f t="shared" si="347"/>
        <v>0</v>
      </c>
      <c r="EU307" s="409">
        <f t="shared" si="347"/>
        <v>0</v>
      </c>
      <c r="EV307" s="409">
        <f t="shared" si="347"/>
        <v>0</v>
      </c>
      <c r="EW307" s="409">
        <f t="shared" si="347"/>
        <v>0</v>
      </c>
      <c r="EX307" s="409">
        <f t="shared" ref="ES307:FB311" si="395">IF(ISNA(EX$7),"",IF(OR(AND(EX$7&lt;=$N307,EX$7&gt;$N307-TIME(0,TimeIncr,0)),AND(EX$7&lt;=$P307,EX$7&gt;$P307-TIME(0,TimeIncr,0)),AND(EX$7&lt;=$R307,EX$7&gt;$R307-TIME(0,TimeIncr,0)),AND(EX$7&lt;=$T307,EX$7&gt;$T307-TIME(0,TimeIncr,0)),AND(EX$7&lt;=$V307,EX$7&gt;$V307-TIME(0,TimeIncr,0)),AND(EX$7&lt;=$X307,EX$7&gt;$X307-TIME(0,TimeIncr,0))),$E307*$L307,IF(OR(AND(EX$7&gt;=$M307,EX$7&lt;=$N307),AND(EX$7&gt;=$O307,EX$7&lt;=$P307),AND(EX$7&gt;=$Q307,EX$7&lt;=$R307),AND(EX$7&gt;=$S307,EX$7&lt;=$T307),AND(EX$7&gt;=$U307,EX$7&lt;=$V307),AND(EX$7&gt;=$W307,EX$7&lt;=$X307)),0,IF(OR(AND($M307&gt;$N307,EX$7&lt;=$N307),AND($O307&gt;$P307,EX$7&lt;=$P307),AND($Q307&gt;$R307,EX$7&lt;=$R307),AND($S307&gt;$T307,EX$7&lt;=$T307),AND($U307&gt;$V307,EX$7&lt;=$V307),AND($W307&gt;$X307,EX$7&lt;=$X307)),0,IF(OR(AND(EX$7&gt;=$M307,$M307&gt;$N307),AND(EX$7&gt;=$O307,$O307&gt;$P307),AND(EX$7&gt;=$Q307,$Q307&gt;$R307),AND(EX$7&gt;=$S307,$S307&gt;$T307),AND(EX$7&gt;=$U307,$U307&gt;$V307),AND(EX$7&gt;=$W307,$W307&gt;$X307)),0,$E307)))))</f>
        <v>0</v>
      </c>
      <c r="EY307" s="409">
        <f t="shared" si="395"/>
        <v>0</v>
      </c>
      <c r="EZ307" s="409">
        <f t="shared" si="395"/>
        <v>0</v>
      </c>
      <c r="FA307" s="409">
        <f t="shared" si="395"/>
        <v>0</v>
      </c>
      <c r="FB307" s="409">
        <f t="shared" si="395"/>
        <v>0</v>
      </c>
      <c r="FC307" s="409">
        <f t="shared" si="348"/>
        <v>0</v>
      </c>
      <c r="FD307" s="409">
        <f t="shared" si="348"/>
        <v>0</v>
      </c>
      <c r="FE307" s="409">
        <f t="shared" si="348"/>
        <v>0</v>
      </c>
      <c r="FF307" s="409">
        <f t="shared" si="348"/>
        <v>0</v>
      </c>
      <c r="FG307" s="409">
        <f t="shared" si="348"/>
        <v>0</v>
      </c>
      <c r="FH307" s="409">
        <f t="shared" ref="FC307:FL311" si="396">IF(ISNA(FH$7),"",IF(OR(AND(FH$7&lt;=$N307,FH$7&gt;$N307-TIME(0,TimeIncr,0)),AND(FH$7&lt;=$P307,FH$7&gt;$P307-TIME(0,TimeIncr,0)),AND(FH$7&lt;=$R307,FH$7&gt;$R307-TIME(0,TimeIncr,0)),AND(FH$7&lt;=$T307,FH$7&gt;$T307-TIME(0,TimeIncr,0)),AND(FH$7&lt;=$V307,FH$7&gt;$V307-TIME(0,TimeIncr,0)),AND(FH$7&lt;=$X307,FH$7&gt;$X307-TIME(0,TimeIncr,0))),$E307*$L307,IF(OR(AND(FH$7&gt;=$M307,FH$7&lt;=$N307),AND(FH$7&gt;=$O307,FH$7&lt;=$P307),AND(FH$7&gt;=$Q307,FH$7&lt;=$R307),AND(FH$7&gt;=$S307,FH$7&lt;=$T307),AND(FH$7&gt;=$U307,FH$7&lt;=$V307),AND(FH$7&gt;=$W307,FH$7&lt;=$X307)),0,IF(OR(AND($M307&gt;$N307,FH$7&lt;=$N307),AND($O307&gt;$P307,FH$7&lt;=$P307),AND($Q307&gt;$R307,FH$7&lt;=$R307),AND($S307&gt;$T307,FH$7&lt;=$T307),AND($U307&gt;$V307,FH$7&lt;=$V307),AND($W307&gt;$X307,FH$7&lt;=$X307)),0,IF(OR(AND(FH$7&gt;=$M307,$M307&gt;$N307),AND(FH$7&gt;=$O307,$O307&gt;$P307),AND(FH$7&gt;=$Q307,$Q307&gt;$R307),AND(FH$7&gt;=$S307,$S307&gt;$T307),AND(FH$7&gt;=$U307,$U307&gt;$V307),AND(FH$7&gt;=$W307,$W307&gt;$X307)),0,$E307)))))</f>
        <v>0</v>
      </c>
      <c r="FI307" s="409">
        <f t="shared" si="396"/>
        <v>0</v>
      </c>
      <c r="FJ307" s="409">
        <f t="shared" si="396"/>
        <v>0</v>
      </c>
      <c r="FK307" s="409">
        <f t="shared" si="396"/>
        <v>0</v>
      </c>
      <c r="FL307" s="409">
        <f t="shared" si="396"/>
        <v>0</v>
      </c>
      <c r="FM307" s="409">
        <f t="shared" si="349"/>
        <v>0</v>
      </c>
      <c r="FN307" s="409">
        <f t="shared" si="349"/>
        <v>0</v>
      </c>
      <c r="FO307" s="409">
        <f t="shared" si="349"/>
        <v>0</v>
      </c>
      <c r="FP307" s="409">
        <f t="shared" si="349"/>
        <v>0</v>
      </c>
      <c r="FQ307" s="409">
        <f t="shared" si="349"/>
        <v>0</v>
      </c>
      <c r="FR307" s="409">
        <f t="shared" ref="FM307:FV311" si="397">IF(ISNA(FR$7),"",IF(OR(AND(FR$7&lt;=$N307,FR$7&gt;$N307-TIME(0,TimeIncr,0)),AND(FR$7&lt;=$P307,FR$7&gt;$P307-TIME(0,TimeIncr,0)),AND(FR$7&lt;=$R307,FR$7&gt;$R307-TIME(0,TimeIncr,0)),AND(FR$7&lt;=$T307,FR$7&gt;$T307-TIME(0,TimeIncr,0)),AND(FR$7&lt;=$V307,FR$7&gt;$V307-TIME(0,TimeIncr,0)),AND(FR$7&lt;=$X307,FR$7&gt;$X307-TIME(0,TimeIncr,0))),$E307*$L307,IF(OR(AND(FR$7&gt;=$M307,FR$7&lt;=$N307),AND(FR$7&gt;=$O307,FR$7&lt;=$P307),AND(FR$7&gt;=$Q307,FR$7&lt;=$R307),AND(FR$7&gt;=$S307,FR$7&lt;=$T307),AND(FR$7&gt;=$U307,FR$7&lt;=$V307),AND(FR$7&gt;=$W307,FR$7&lt;=$X307)),0,IF(OR(AND($M307&gt;$N307,FR$7&lt;=$N307),AND($O307&gt;$P307,FR$7&lt;=$P307),AND($Q307&gt;$R307,FR$7&lt;=$R307),AND($S307&gt;$T307,FR$7&lt;=$T307),AND($U307&gt;$V307,FR$7&lt;=$V307),AND($W307&gt;$X307,FR$7&lt;=$X307)),0,IF(OR(AND(FR$7&gt;=$M307,$M307&gt;$N307),AND(FR$7&gt;=$O307,$O307&gt;$P307),AND(FR$7&gt;=$Q307,$Q307&gt;$R307),AND(FR$7&gt;=$S307,$S307&gt;$T307),AND(FR$7&gt;=$U307,$U307&gt;$V307),AND(FR$7&gt;=$W307,$W307&gt;$X307)),0,$E307)))))</f>
        <v>0</v>
      </c>
      <c r="FS307" s="409">
        <f t="shared" si="397"/>
        <v>0</v>
      </c>
      <c r="FT307" s="409">
        <f t="shared" si="397"/>
        <v>0</v>
      </c>
      <c r="FU307" s="409">
        <f t="shared" si="397"/>
        <v>0</v>
      </c>
      <c r="FV307" s="409">
        <f t="shared" si="397"/>
        <v>0</v>
      </c>
      <c r="FW307" s="409">
        <f t="shared" si="350"/>
        <v>0</v>
      </c>
      <c r="FX307" s="409">
        <f t="shared" si="350"/>
        <v>0</v>
      </c>
      <c r="FY307" s="409">
        <f t="shared" si="350"/>
        <v>0</v>
      </c>
      <c r="FZ307" s="409">
        <f t="shared" si="350"/>
        <v>0</v>
      </c>
      <c r="GA307" s="409">
        <f t="shared" si="350"/>
        <v>0</v>
      </c>
      <c r="GB307" s="409">
        <f t="shared" ref="FW307:GF311" si="398">IF(ISNA(GB$7),"",IF(OR(AND(GB$7&lt;=$N307,GB$7&gt;$N307-TIME(0,TimeIncr,0)),AND(GB$7&lt;=$P307,GB$7&gt;$P307-TIME(0,TimeIncr,0)),AND(GB$7&lt;=$R307,GB$7&gt;$R307-TIME(0,TimeIncr,0)),AND(GB$7&lt;=$T307,GB$7&gt;$T307-TIME(0,TimeIncr,0)),AND(GB$7&lt;=$V307,GB$7&gt;$V307-TIME(0,TimeIncr,0)),AND(GB$7&lt;=$X307,GB$7&gt;$X307-TIME(0,TimeIncr,0))),$E307*$L307,IF(OR(AND(GB$7&gt;=$M307,GB$7&lt;=$N307),AND(GB$7&gt;=$O307,GB$7&lt;=$P307),AND(GB$7&gt;=$Q307,GB$7&lt;=$R307),AND(GB$7&gt;=$S307,GB$7&lt;=$T307),AND(GB$7&gt;=$U307,GB$7&lt;=$V307),AND(GB$7&gt;=$W307,GB$7&lt;=$X307)),0,IF(OR(AND($M307&gt;$N307,GB$7&lt;=$N307),AND($O307&gt;$P307,GB$7&lt;=$P307),AND($Q307&gt;$R307,GB$7&lt;=$R307),AND($S307&gt;$T307,GB$7&lt;=$T307),AND($U307&gt;$V307,GB$7&lt;=$V307),AND($W307&gt;$X307,GB$7&lt;=$X307)),0,IF(OR(AND(GB$7&gt;=$M307,$M307&gt;$N307),AND(GB$7&gt;=$O307,$O307&gt;$P307),AND(GB$7&gt;=$Q307,$Q307&gt;$R307),AND(GB$7&gt;=$S307,$S307&gt;$T307),AND(GB$7&gt;=$U307,$U307&gt;$V307),AND(GB$7&gt;=$W307,$W307&gt;$X307)),0,$E307)))))</f>
        <v>0</v>
      </c>
      <c r="GC307" s="409">
        <f t="shared" si="398"/>
        <v>0</v>
      </c>
      <c r="GD307" s="409">
        <f t="shared" si="398"/>
        <v>0</v>
      </c>
      <c r="GE307" s="409">
        <f t="shared" si="398"/>
        <v>0</v>
      </c>
      <c r="GF307" s="409">
        <f t="shared" si="398"/>
        <v>0</v>
      </c>
      <c r="GG307" s="409">
        <f t="shared" si="351"/>
        <v>0</v>
      </c>
      <c r="GH307" s="409">
        <f t="shared" si="351"/>
        <v>0</v>
      </c>
      <c r="GI307" s="409">
        <f t="shared" si="351"/>
        <v>0</v>
      </c>
      <c r="GJ307" s="409">
        <f t="shared" si="351"/>
        <v>0</v>
      </c>
      <c r="GK307" s="409">
        <f t="shared" si="351"/>
        <v>0</v>
      </c>
      <c r="GL307" s="409">
        <f t="shared" ref="GG307:GP311" si="399">IF(ISNA(GL$7),"",IF(OR(AND(GL$7&lt;=$N307,GL$7&gt;$N307-TIME(0,TimeIncr,0)),AND(GL$7&lt;=$P307,GL$7&gt;$P307-TIME(0,TimeIncr,0)),AND(GL$7&lt;=$R307,GL$7&gt;$R307-TIME(0,TimeIncr,0)),AND(GL$7&lt;=$T307,GL$7&gt;$T307-TIME(0,TimeIncr,0)),AND(GL$7&lt;=$V307,GL$7&gt;$V307-TIME(0,TimeIncr,0)),AND(GL$7&lt;=$X307,GL$7&gt;$X307-TIME(0,TimeIncr,0))),$E307*$L307,IF(OR(AND(GL$7&gt;=$M307,GL$7&lt;=$N307),AND(GL$7&gt;=$O307,GL$7&lt;=$P307),AND(GL$7&gt;=$Q307,GL$7&lt;=$R307),AND(GL$7&gt;=$S307,GL$7&lt;=$T307),AND(GL$7&gt;=$U307,GL$7&lt;=$V307),AND(GL$7&gt;=$W307,GL$7&lt;=$X307)),0,IF(OR(AND($M307&gt;$N307,GL$7&lt;=$N307),AND($O307&gt;$P307,GL$7&lt;=$P307),AND($Q307&gt;$R307,GL$7&lt;=$R307),AND($S307&gt;$T307,GL$7&lt;=$T307),AND($U307&gt;$V307,GL$7&lt;=$V307),AND($W307&gt;$X307,GL$7&lt;=$X307)),0,IF(OR(AND(GL$7&gt;=$M307,$M307&gt;$N307),AND(GL$7&gt;=$O307,$O307&gt;$P307),AND(GL$7&gt;=$Q307,$Q307&gt;$R307),AND(GL$7&gt;=$S307,$S307&gt;$T307),AND(GL$7&gt;=$U307,$U307&gt;$V307),AND(GL$7&gt;=$W307,$W307&gt;$X307)),0,$E307)))))</f>
        <v>0</v>
      </c>
      <c r="GM307" s="409">
        <f t="shared" si="399"/>
        <v>0</v>
      </c>
      <c r="GN307" s="409">
        <f t="shared" si="399"/>
        <v>0</v>
      </c>
      <c r="GO307" s="409">
        <f t="shared" si="399"/>
        <v>0</v>
      </c>
      <c r="GP307" s="409">
        <f t="shared" si="399"/>
        <v>0</v>
      </c>
      <c r="GQ307" s="409">
        <f t="shared" si="352"/>
        <v>0</v>
      </c>
      <c r="GR307" s="409">
        <f t="shared" si="352"/>
        <v>0</v>
      </c>
      <c r="GS307" s="409">
        <f t="shared" si="352"/>
        <v>0</v>
      </c>
      <c r="GT307" s="409">
        <f t="shared" si="352"/>
        <v>0</v>
      </c>
      <c r="GU307" s="409">
        <f t="shared" si="352"/>
        <v>0</v>
      </c>
      <c r="GV307" s="409">
        <f t="shared" ref="GQ307:GZ311" si="400">IF(ISNA(GV$7),"",IF(OR(AND(GV$7&lt;=$N307,GV$7&gt;$N307-TIME(0,TimeIncr,0)),AND(GV$7&lt;=$P307,GV$7&gt;$P307-TIME(0,TimeIncr,0)),AND(GV$7&lt;=$R307,GV$7&gt;$R307-TIME(0,TimeIncr,0)),AND(GV$7&lt;=$T307,GV$7&gt;$T307-TIME(0,TimeIncr,0)),AND(GV$7&lt;=$V307,GV$7&gt;$V307-TIME(0,TimeIncr,0)),AND(GV$7&lt;=$X307,GV$7&gt;$X307-TIME(0,TimeIncr,0))),$E307*$L307,IF(OR(AND(GV$7&gt;=$M307,GV$7&lt;=$N307),AND(GV$7&gt;=$O307,GV$7&lt;=$P307),AND(GV$7&gt;=$Q307,GV$7&lt;=$R307),AND(GV$7&gt;=$S307,GV$7&lt;=$T307),AND(GV$7&gt;=$U307,GV$7&lt;=$V307),AND(GV$7&gt;=$W307,GV$7&lt;=$X307)),0,IF(OR(AND($M307&gt;$N307,GV$7&lt;=$N307),AND($O307&gt;$P307,GV$7&lt;=$P307),AND($Q307&gt;$R307,GV$7&lt;=$R307),AND($S307&gt;$T307,GV$7&lt;=$T307),AND($U307&gt;$V307,GV$7&lt;=$V307),AND($W307&gt;$X307,GV$7&lt;=$X307)),0,IF(OR(AND(GV$7&gt;=$M307,$M307&gt;$N307),AND(GV$7&gt;=$O307,$O307&gt;$P307),AND(GV$7&gt;=$Q307,$Q307&gt;$R307),AND(GV$7&gt;=$S307,$S307&gt;$T307),AND(GV$7&gt;=$U307,$U307&gt;$V307),AND(GV$7&gt;=$W307,$W307&gt;$X307)),0,$E307)))))</f>
        <v>0</v>
      </c>
      <c r="GW307" s="409">
        <f t="shared" si="400"/>
        <v>0</v>
      </c>
      <c r="GX307" s="409">
        <f t="shared" si="400"/>
        <v>0</v>
      </c>
      <c r="GY307" s="409">
        <f t="shared" si="400"/>
        <v>0</v>
      </c>
      <c r="GZ307" s="409">
        <f t="shared" si="400"/>
        <v>0</v>
      </c>
      <c r="HA307" s="409">
        <f t="shared" si="353"/>
        <v>0</v>
      </c>
      <c r="HB307" s="409">
        <f t="shared" si="353"/>
        <v>0</v>
      </c>
      <c r="HC307" s="409">
        <f t="shared" si="353"/>
        <v>0</v>
      </c>
      <c r="HD307" s="409">
        <f t="shared" si="353"/>
        <v>0</v>
      </c>
      <c r="HE307" s="409">
        <f t="shared" si="353"/>
        <v>0</v>
      </c>
      <c r="HF307" s="409">
        <f t="shared" ref="HA307:HJ311" si="401">IF(ISNA(HF$7),"",IF(OR(AND(HF$7&lt;=$N307,HF$7&gt;$N307-TIME(0,TimeIncr,0)),AND(HF$7&lt;=$P307,HF$7&gt;$P307-TIME(0,TimeIncr,0)),AND(HF$7&lt;=$R307,HF$7&gt;$R307-TIME(0,TimeIncr,0)),AND(HF$7&lt;=$T307,HF$7&gt;$T307-TIME(0,TimeIncr,0)),AND(HF$7&lt;=$V307,HF$7&gt;$V307-TIME(0,TimeIncr,0)),AND(HF$7&lt;=$X307,HF$7&gt;$X307-TIME(0,TimeIncr,0))),$E307*$L307,IF(OR(AND(HF$7&gt;=$M307,HF$7&lt;=$N307),AND(HF$7&gt;=$O307,HF$7&lt;=$P307),AND(HF$7&gt;=$Q307,HF$7&lt;=$R307),AND(HF$7&gt;=$S307,HF$7&lt;=$T307),AND(HF$7&gt;=$U307,HF$7&lt;=$V307),AND(HF$7&gt;=$W307,HF$7&lt;=$X307)),0,IF(OR(AND($M307&gt;$N307,HF$7&lt;=$N307),AND($O307&gt;$P307,HF$7&lt;=$P307),AND($Q307&gt;$R307,HF$7&lt;=$R307),AND($S307&gt;$T307,HF$7&lt;=$T307),AND($U307&gt;$V307,HF$7&lt;=$V307),AND($W307&gt;$X307,HF$7&lt;=$X307)),0,IF(OR(AND(HF$7&gt;=$M307,$M307&gt;$N307),AND(HF$7&gt;=$O307,$O307&gt;$P307),AND(HF$7&gt;=$Q307,$Q307&gt;$R307),AND(HF$7&gt;=$S307,$S307&gt;$T307),AND(HF$7&gt;=$U307,$U307&gt;$V307),AND(HF$7&gt;=$W307,$W307&gt;$X307)),0,$E307)))))</f>
        <v>0</v>
      </c>
      <c r="HG307" s="409">
        <f t="shared" si="401"/>
        <v>0</v>
      </c>
      <c r="HH307" s="409">
        <f t="shared" si="401"/>
        <v>0</v>
      </c>
      <c r="HI307" s="409">
        <f t="shared" si="401"/>
        <v>0</v>
      </c>
      <c r="HJ307" s="409">
        <f t="shared" si="401"/>
        <v>0</v>
      </c>
      <c r="HK307" s="409">
        <f t="shared" si="354"/>
        <v>0</v>
      </c>
      <c r="HL307" s="409">
        <f t="shared" si="354"/>
        <v>0</v>
      </c>
      <c r="HM307" s="409">
        <f t="shared" si="354"/>
        <v>0</v>
      </c>
      <c r="HN307" s="409">
        <f t="shared" si="354"/>
        <v>0</v>
      </c>
      <c r="HO307" s="409">
        <f t="shared" si="354"/>
        <v>0</v>
      </c>
      <c r="HP307" s="409">
        <f t="shared" ref="HK307:HT311" si="402">IF(ISNA(HP$7),"",IF(OR(AND(HP$7&lt;=$N307,HP$7&gt;$N307-TIME(0,TimeIncr,0)),AND(HP$7&lt;=$P307,HP$7&gt;$P307-TIME(0,TimeIncr,0)),AND(HP$7&lt;=$R307,HP$7&gt;$R307-TIME(0,TimeIncr,0)),AND(HP$7&lt;=$T307,HP$7&gt;$T307-TIME(0,TimeIncr,0)),AND(HP$7&lt;=$V307,HP$7&gt;$V307-TIME(0,TimeIncr,0)),AND(HP$7&lt;=$X307,HP$7&gt;$X307-TIME(0,TimeIncr,0))),$E307*$L307,IF(OR(AND(HP$7&gt;=$M307,HP$7&lt;=$N307),AND(HP$7&gt;=$O307,HP$7&lt;=$P307),AND(HP$7&gt;=$Q307,HP$7&lt;=$R307),AND(HP$7&gt;=$S307,HP$7&lt;=$T307),AND(HP$7&gt;=$U307,HP$7&lt;=$V307),AND(HP$7&gt;=$W307,HP$7&lt;=$X307)),0,IF(OR(AND($M307&gt;$N307,HP$7&lt;=$N307),AND($O307&gt;$P307,HP$7&lt;=$P307),AND($Q307&gt;$R307,HP$7&lt;=$R307),AND($S307&gt;$T307,HP$7&lt;=$T307),AND($U307&gt;$V307,HP$7&lt;=$V307),AND($W307&gt;$X307,HP$7&lt;=$X307)),0,IF(OR(AND(HP$7&gt;=$M307,$M307&gt;$N307),AND(HP$7&gt;=$O307,$O307&gt;$P307),AND(HP$7&gt;=$Q307,$Q307&gt;$R307),AND(HP$7&gt;=$S307,$S307&gt;$T307),AND(HP$7&gt;=$U307,$U307&gt;$V307),AND(HP$7&gt;=$W307,$W307&gt;$X307)),0,$E307)))))</f>
        <v>0</v>
      </c>
      <c r="HQ307" s="409">
        <f t="shared" si="402"/>
        <v>0</v>
      </c>
      <c r="HR307" s="409">
        <f t="shared" si="402"/>
        <v>0</v>
      </c>
      <c r="HS307" s="409">
        <f t="shared" si="402"/>
        <v>0</v>
      </c>
      <c r="HT307" s="409">
        <f t="shared" si="402"/>
        <v>0</v>
      </c>
      <c r="HU307" s="409">
        <f t="shared" si="355"/>
        <v>0</v>
      </c>
      <c r="HV307" s="409">
        <f t="shared" si="355"/>
        <v>0</v>
      </c>
      <c r="HW307" s="409">
        <f t="shared" si="355"/>
        <v>0</v>
      </c>
      <c r="HX307" s="409">
        <f t="shared" si="355"/>
        <v>0</v>
      </c>
      <c r="HY307" s="409">
        <f t="shared" si="355"/>
        <v>0</v>
      </c>
      <c r="HZ307" s="409">
        <f t="shared" ref="HU307:ID311" si="403">IF(ISNA(HZ$7),"",IF(OR(AND(HZ$7&lt;=$N307,HZ$7&gt;$N307-TIME(0,TimeIncr,0)),AND(HZ$7&lt;=$P307,HZ$7&gt;$P307-TIME(0,TimeIncr,0)),AND(HZ$7&lt;=$R307,HZ$7&gt;$R307-TIME(0,TimeIncr,0)),AND(HZ$7&lt;=$T307,HZ$7&gt;$T307-TIME(0,TimeIncr,0)),AND(HZ$7&lt;=$V307,HZ$7&gt;$V307-TIME(0,TimeIncr,0)),AND(HZ$7&lt;=$X307,HZ$7&gt;$X307-TIME(0,TimeIncr,0))),$E307*$L307,IF(OR(AND(HZ$7&gt;=$M307,HZ$7&lt;=$N307),AND(HZ$7&gt;=$O307,HZ$7&lt;=$P307),AND(HZ$7&gt;=$Q307,HZ$7&lt;=$R307),AND(HZ$7&gt;=$S307,HZ$7&lt;=$T307),AND(HZ$7&gt;=$U307,HZ$7&lt;=$V307),AND(HZ$7&gt;=$W307,HZ$7&lt;=$X307)),0,IF(OR(AND($M307&gt;$N307,HZ$7&lt;=$N307),AND($O307&gt;$P307,HZ$7&lt;=$P307),AND($Q307&gt;$R307,HZ$7&lt;=$R307),AND($S307&gt;$T307,HZ$7&lt;=$T307),AND($U307&gt;$V307,HZ$7&lt;=$V307),AND($W307&gt;$X307,HZ$7&lt;=$X307)),0,IF(OR(AND(HZ$7&gt;=$M307,$M307&gt;$N307),AND(HZ$7&gt;=$O307,$O307&gt;$P307),AND(HZ$7&gt;=$Q307,$Q307&gt;$R307),AND(HZ$7&gt;=$S307,$S307&gt;$T307),AND(HZ$7&gt;=$U307,$U307&gt;$V307),AND(HZ$7&gt;=$W307,$W307&gt;$X307)),0,$E307)))))</f>
        <v>0</v>
      </c>
      <c r="IA307" s="409">
        <f t="shared" si="403"/>
        <v>0</v>
      </c>
      <c r="IB307" s="409">
        <f t="shared" si="403"/>
        <v>0</v>
      </c>
      <c r="IC307" s="409">
        <f t="shared" si="403"/>
        <v>0</v>
      </c>
      <c r="ID307" s="409">
        <f t="shared" si="403"/>
        <v>0</v>
      </c>
      <c r="IE307" s="409">
        <f t="shared" si="356"/>
        <v>0</v>
      </c>
      <c r="IF307" s="409">
        <f t="shared" si="356"/>
        <v>0</v>
      </c>
      <c r="IG307" s="409">
        <f t="shared" si="356"/>
        <v>0</v>
      </c>
      <c r="IH307" s="409">
        <f t="shared" si="356"/>
        <v>0</v>
      </c>
      <c r="II307" s="409">
        <f t="shared" si="356"/>
        <v>0</v>
      </c>
      <c r="IJ307" s="409">
        <f t="shared" si="356"/>
        <v>0</v>
      </c>
      <c r="IK307" s="378"/>
    </row>
    <row r="308" spans="1:245" hidden="1" x14ac:dyDescent="0.2">
      <c r="A308" s="380" t="str">
        <f t="shared" si="377"/>
        <v>e</v>
      </c>
      <c r="B308" s="712" t="str">
        <f>IF(ISERROR(INDEX('Legend(DX)'!$H$14:$H$15,21)),"",INDEX('Legend(DX)'!$H$14:$H$15,21))</f>
        <v/>
      </c>
      <c r="C308" s="712" t="e">
        <f>IF(INDEX('Legend(DX)'!$T$14:$T$15,21)=0,"See Legend",INDEX('Legend(DX)'!$T$14:$T$15,21))</f>
        <v>#REF!</v>
      </c>
      <c r="D308" s="712" t="e">
        <f>IF(INDEX('Legend(DX)'!$R$14:$R$15,21)=0,"---",INDEX('Legend(DX)'!$R$14:$R$15,21))</f>
        <v>#REF!</v>
      </c>
      <c r="E308" s="713" t="str">
        <f>IF(ISERROR(INDEX('Legend(DX)'!$AA$14:$AA$15,21)),"",INDEX('Legend(DX)'!$AA$14:$AA$15,21))</f>
        <v/>
      </c>
      <c r="F308" s="715"/>
      <c r="G308" s="715"/>
      <c r="H308" s="715"/>
      <c r="I308" s="715"/>
      <c r="J308" s="715"/>
      <c r="K308" s="890">
        <f t="shared" si="358"/>
        <v>0</v>
      </c>
      <c r="L308" s="718"/>
      <c r="M308" s="720"/>
      <c r="N308" s="972">
        <f t="shared" si="330"/>
        <v>-1</v>
      </c>
      <c r="O308" s="972">
        <f t="shared" si="378"/>
        <v>-1</v>
      </c>
      <c r="P308" s="972">
        <f t="shared" si="331"/>
        <v>-1</v>
      </c>
      <c r="Q308" s="972">
        <f t="shared" si="379"/>
        <v>-1</v>
      </c>
      <c r="R308" s="972">
        <f t="shared" si="332"/>
        <v>-1</v>
      </c>
      <c r="S308" s="972">
        <f t="shared" si="380"/>
        <v>-1</v>
      </c>
      <c r="T308" s="972">
        <f t="shared" si="333"/>
        <v>-1</v>
      </c>
      <c r="U308" s="972">
        <f t="shared" si="381"/>
        <v>-1</v>
      </c>
      <c r="V308" s="972">
        <f t="shared" si="334"/>
        <v>-1</v>
      </c>
      <c r="W308" s="972">
        <f t="shared" si="382"/>
        <v>-1</v>
      </c>
      <c r="X308" s="972">
        <f t="shared" si="335"/>
        <v>-1</v>
      </c>
      <c r="Y308" s="972">
        <f t="shared" si="364"/>
        <v>-1</v>
      </c>
      <c r="Z308" s="972">
        <f t="shared" si="365"/>
        <v>-1</v>
      </c>
      <c r="AA308" s="972">
        <f t="shared" si="366"/>
        <v>-1</v>
      </c>
      <c r="AB308" s="972">
        <f t="shared" si="367"/>
        <v>-1</v>
      </c>
      <c r="AC308" s="972">
        <f t="shared" si="368"/>
        <v>-1</v>
      </c>
      <c r="AD308" s="972">
        <f t="shared" si="369"/>
        <v>-1</v>
      </c>
      <c r="AE308" s="972">
        <f t="shared" si="370"/>
        <v>-1</v>
      </c>
      <c r="AF308" s="972">
        <f t="shared" si="371"/>
        <v>-1</v>
      </c>
      <c r="AG308" s="972">
        <f t="shared" si="372"/>
        <v>-1</v>
      </c>
      <c r="AH308" s="972">
        <f t="shared" si="373"/>
        <v>-1</v>
      </c>
      <c r="AI308" s="972">
        <f t="shared" si="374"/>
        <v>-1</v>
      </c>
      <c r="AJ308" s="972">
        <f t="shared" si="375"/>
        <v>-1</v>
      </c>
      <c r="AK308" s="381"/>
      <c r="AL308" s="727" t="str">
        <f t="shared" si="383"/>
        <v/>
      </c>
      <c r="AM308" s="409">
        <f t="shared" si="384"/>
        <v>0</v>
      </c>
      <c r="AN308" s="409">
        <f t="shared" si="384"/>
        <v>0</v>
      </c>
      <c r="AO308" s="409">
        <f t="shared" si="384"/>
        <v>0</v>
      </c>
      <c r="AP308" s="409">
        <f t="shared" si="384"/>
        <v>0</v>
      </c>
      <c r="AQ308" s="409">
        <f t="shared" si="384"/>
        <v>0</v>
      </c>
      <c r="AR308" s="409">
        <f t="shared" si="384"/>
        <v>0</v>
      </c>
      <c r="AS308" s="409">
        <f t="shared" si="384"/>
        <v>0</v>
      </c>
      <c r="AT308" s="409">
        <f t="shared" si="384"/>
        <v>0</v>
      </c>
      <c r="AU308" s="409">
        <f t="shared" si="384"/>
        <v>0</v>
      </c>
      <c r="AV308" s="409">
        <f t="shared" si="384"/>
        <v>0</v>
      </c>
      <c r="AW308" s="409">
        <f t="shared" si="385"/>
        <v>0</v>
      </c>
      <c r="AX308" s="409">
        <f t="shared" si="385"/>
        <v>0</v>
      </c>
      <c r="AY308" s="409">
        <f t="shared" si="385"/>
        <v>0</v>
      </c>
      <c r="AZ308" s="409">
        <f t="shared" si="385"/>
        <v>0</v>
      </c>
      <c r="BA308" s="409">
        <f t="shared" si="385"/>
        <v>0</v>
      </c>
      <c r="BB308" s="409">
        <f t="shared" si="385"/>
        <v>0</v>
      </c>
      <c r="BC308" s="409">
        <f t="shared" si="385"/>
        <v>0</v>
      </c>
      <c r="BD308" s="409">
        <f t="shared" si="385"/>
        <v>0</v>
      </c>
      <c r="BE308" s="409">
        <f t="shared" si="385"/>
        <v>0</v>
      </c>
      <c r="BF308" s="409">
        <f t="shared" si="385"/>
        <v>0</v>
      </c>
      <c r="BG308" s="409">
        <f t="shared" si="386"/>
        <v>0</v>
      </c>
      <c r="BH308" s="409">
        <f t="shared" si="386"/>
        <v>0</v>
      </c>
      <c r="BI308" s="409">
        <f t="shared" si="386"/>
        <v>0</v>
      </c>
      <c r="BJ308" s="409">
        <f t="shared" si="386"/>
        <v>0</v>
      </c>
      <c r="BK308" s="409">
        <f t="shared" si="386"/>
        <v>0</v>
      </c>
      <c r="BL308" s="409">
        <f t="shared" si="386"/>
        <v>0</v>
      </c>
      <c r="BM308" s="409">
        <f t="shared" si="386"/>
        <v>0</v>
      </c>
      <c r="BN308" s="409">
        <f t="shared" si="386"/>
        <v>0</v>
      </c>
      <c r="BO308" s="409">
        <f t="shared" si="386"/>
        <v>0</v>
      </c>
      <c r="BP308" s="409">
        <f t="shared" si="386"/>
        <v>0</v>
      </c>
      <c r="BQ308" s="409">
        <f t="shared" si="387"/>
        <v>0</v>
      </c>
      <c r="BR308" s="409">
        <f t="shared" si="387"/>
        <v>0</v>
      </c>
      <c r="BS308" s="409">
        <f t="shared" si="387"/>
        <v>0</v>
      </c>
      <c r="BT308" s="409">
        <f t="shared" si="387"/>
        <v>0</v>
      </c>
      <c r="BU308" s="409">
        <f t="shared" si="387"/>
        <v>0</v>
      </c>
      <c r="BV308" s="409">
        <f t="shared" si="387"/>
        <v>0</v>
      </c>
      <c r="BW308" s="409">
        <f t="shared" si="387"/>
        <v>0</v>
      </c>
      <c r="BX308" s="409">
        <f t="shared" si="387"/>
        <v>0</v>
      </c>
      <c r="BY308" s="409">
        <f t="shared" si="387"/>
        <v>0</v>
      </c>
      <c r="BZ308" s="409">
        <f t="shared" si="387"/>
        <v>0</v>
      </c>
      <c r="CA308" s="409">
        <f t="shared" si="388"/>
        <v>0</v>
      </c>
      <c r="CB308" s="409">
        <f t="shared" si="388"/>
        <v>0</v>
      </c>
      <c r="CC308" s="409">
        <f t="shared" si="388"/>
        <v>0</v>
      </c>
      <c r="CD308" s="409">
        <f t="shared" si="388"/>
        <v>0</v>
      </c>
      <c r="CE308" s="409">
        <f t="shared" si="388"/>
        <v>0</v>
      </c>
      <c r="CF308" s="409">
        <f t="shared" si="388"/>
        <v>0</v>
      </c>
      <c r="CG308" s="409">
        <f t="shared" si="388"/>
        <v>0</v>
      </c>
      <c r="CH308" s="409">
        <f t="shared" si="388"/>
        <v>0</v>
      </c>
      <c r="CI308" s="409">
        <f t="shared" si="388"/>
        <v>0</v>
      </c>
      <c r="CJ308" s="409">
        <f t="shared" si="388"/>
        <v>0</v>
      </c>
      <c r="CK308" s="409">
        <f t="shared" si="389"/>
        <v>0</v>
      </c>
      <c r="CL308" s="409">
        <f t="shared" si="389"/>
        <v>0</v>
      </c>
      <c r="CM308" s="409">
        <f t="shared" si="389"/>
        <v>0</v>
      </c>
      <c r="CN308" s="409">
        <f t="shared" si="389"/>
        <v>0</v>
      </c>
      <c r="CO308" s="409">
        <f t="shared" si="389"/>
        <v>0</v>
      </c>
      <c r="CP308" s="409">
        <f t="shared" si="389"/>
        <v>0</v>
      </c>
      <c r="CQ308" s="409">
        <f t="shared" si="389"/>
        <v>0</v>
      </c>
      <c r="CR308" s="409">
        <f t="shared" si="389"/>
        <v>0</v>
      </c>
      <c r="CS308" s="409">
        <f t="shared" si="389"/>
        <v>0</v>
      </c>
      <c r="CT308" s="409">
        <f t="shared" si="389"/>
        <v>0</v>
      </c>
      <c r="CU308" s="409">
        <f t="shared" si="390"/>
        <v>0</v>
      </c>
      <c r="CV308" s="409">
        <f t="shared" si="390"/>
        <v>0</v>
      </c>
      <c r="CW308" s="409">
        <f t="shared" si="390"/>
        <v>0</v>
      </c>
      <c r="CX308" s="409">
        <f t="shared" si="390"/>
        <v>0</v>
      </c>
      <c r="CY308" s="409">
        <f t="shared" si="390"/>
        <v>0</v>
      </c>
      <c r="CZ308" s="409">
        <f t="shared" si="390"/>
        <v>0</v>
      </c>
      <c r="DA308" s="409">
        <f t="shared" si="390"/>
        <v>0</v>
      </c>
      <c r="DB308" s="409">
        <f t="shared" si="390"/>
        <v>0</v>
      </c>
      <c r="DC308" s="409">
        <f t="shared" si="390"/>
        <v>0</v>
      </c>
      <c r="DD308" s="409">
        <f t="shared" si="390"/>
        <v>0</v>
      </c>
      <c r="DE308" s="409">
        <f t="shared" si="391"/>
        <v>0</v>
      </c>
      <c r="DF308" s="409">
        <f t="shared" si="391"/>
        <v>0</v>
      </c>
      <c r="DG308" s="409">
        <f t="shared" si="391"/>
        <v>0</v>
      </c>
      <c r="DH308" s="409">
        <f t="shared" si="391"/>
        <v>0</v>
      </c>
      <c r="DI308" s="409">
        <f t="shared" si="391"/>
        <v>0</v>
      </c>
      <c r="DJ308" s="409">
        <f t="shared" si="391"/>
        <v>0</v>
      </c>
      <c r="DK308" s="409">
        <f t="shared" si="391"/>
        <v>0</v>
      </c>
      <c r="DL308" s="409">
        <f t="shared" si="391"/>
        <v>0</v>
      </c>
      <c r="DM308" s="409">
        <f t="shared" si="391"/>
        <v>0</v>
      </c>
      <c r="DN308" s="409">
        <f t="shared" si="391"/>
        <v>0</v>
      </c>
      <c r="DO308" s="409">
        <f t="shared" si="392"/>
        <v>0</v>
      </c>
      <c r="DP308" s="409">
        <f t="shared" si="392"/>
        <v>0</v>
      </c>
      <c r="DQ308" s="409">
        <f t="shared" si="392"/>
        <v>0</v>
      </c>
      <c r="DR308" s="409">
        <f t="shared" si="392"/>
        <v>0</v>
      </c>
      <c r="DS308" s="409">
        <f t="shared" si="392"/>
        <v>0</v>
      </c>
      <c r="DT308" s="409">
        <f t="shared" si="392"/>
        <v>0</v>
      </c>
      <c r="DU308" s="409">
        <f t="shared" si="392"/>
        <v>0</v>
      </c>
      <c r="DV308" s="409">
        <f t="shared" si="392"/>
        <v>0</v>
      </c>
      <c r="DW308" s="409">
        <f t="shared" si="392"/>
        <v>0</v>
      </c>
      <c r="DX308" s="409">
        <f t="shared" si="392"/>
        <v>0</v>
      </c>
      <c r="DY308" s="409">
        <f t="shared" si="393"/>
        <v>0</v>
      </c>
      <c r="DZ308" s="409">
        <f t="shared" si="393"/>
        <v>0</v>
      </c>
      <c r="EA308" s="409">
        <f t="shared" si="393"/>
        <v>0</v>
      </c>
      <c r="EB308" s="409">
        <f t="shared" si="393"/>
        <v>0</v>
      </c>
      <c r="EC308" s="409">
        <f t="shared" si="393"/>
        <v>0</v>
      </c>
      <c r="ED308" s="409">
        <f t="shared" si="393"/>
        <v>0</v>
      </c>
      <c r="EE308" s="409">
        <f t="shared" si="393"/>
        <v>0</v>
      </c>
      <c r="EF308" s="409">
        <f t="shared" si="393"/>
        <v>0</v>
      </c>
      <c r="EG308" s="409">
        <f t="shared" si="393"/>
        <v>0</v>
      </c>
      <c r="EH308" s="409">
        <f t="shared" si="393"/>
        <v>0</v>
      </c>
      <c r="EI308" s="409">
        <f t="shared" si="394"/>
        <v>0</v>
      </c>
      <c r="EJ308" s="409">
        <f t="shared" si="394"/>
        <v>0</v>
      </c>
      <c r="EK308" s="409">
        <f t="shared" si="394"/>
        <v>0</v>
      </c>
      <c r="EL308" s="409">
        <f t="shared" si="394"/>
        <v>0</v>
      </c>
      <c r="EM308" s="409">
        <f t="shared" si="394"/>
        <v>0</v>
      </c>
      <c r="EN308" s="409">
        <f t="shared" si="394"/>
        <v>0</v>
      </c>
      <c r="EO308" s="409">
        <f t="shared" si="394"/>
        <v>0</v>
      </c>
      <c r="EP308" s="409">
        <f t="shared" si="394"/>
        <v>0</v>
      </c>
      <c r="EQ308" s="409">
        <f t="shared" si="394"/>
        <v>0</v>
      </c>
      <c r="ER308" s="409">
        <f t="shared" si="394"/>
        <v>0</v>
      </c>
      <c r="ES308" s="409">
        <f t="shared" si="395"/>
        <v>0</v>
      </c>
      <c r="ET308" s="409">
        <f t="shared" si="395"/>
        <v>0</v>
      </c>
      <c r="EU308" s="409">
        <f t="shared" si="395"/>
        <v>0</v>
      </c>
      <c r="EV308" s="409">
        <f t="shared" si="395"/>
        <v>0</v>
      </c>
      <c r="EW308" s="409">
        <f t="shared" si="395"/>
        <v>0</v>
      </c>
      <c r="EX308" s="409">
        <f t="shared" si="395"/>
        <v>0</v>
      </c>
      <c r="EY308" s="409">
        <f t="shared" si="395"/>
        <v>0</v>
      </c>
      <c r="EZ308" s="409">
        <f t="shared" si="395"/>
        <v>0</v>
      </c>
      <c r="FA308" s="409">
        <f t="shared" si="395"/>
        <v>0</v>
      </c>
      <c r="FB308" s="409">
        <f t="shared" si="395"/>
        <v>0</v>
      </c>
      <c r="FC308" s="409">
        <f t="shared" si="396"/>
        <v>0</v>
      </c>
      <c r="FD308" s="409">
        <f t="shared" si="396"/>
        <v>0</v>
      </c>
      <c r="FE308" s="409">
        <f t="shared" si="396"/>
        <v>0</v>
      </c>
      <c r="FF308" s="409">
        <f t="shared" si="396"/>
        <v>0</v>
      </c>
      <c r="FG308" s="409">
        <f t="shared" si="396"/>
        <v>0</v>
      </c>
      <c r="FH308" s="409">
        <f t="shared" si="396"/>
        <v>0</v>
      </c>
      <c r="FI308" s="409">
        <f t="shared" si="396"/>
        <v>0</v>
      </c>
      <c r="FJ308" s="409">
        <f t="shared" si="396"/>
        <v>0</v>
      </c>
      <c r="FK308" s="409">
        <f t="shared" si="396"/>
        <v>0</v>
      </c>
      <c r="FL308" s="409">
        <f t="shared" si="396"/>
        <v>0</v>
      </c>
      <c r="FM308" s="409">
        <f t="shared" si="397"/>
        <v>0</v>
      </c>
      <c r="FN308" s="409">
        <f t="shared" si="397"/>
        <v>0</v>
      </c>
      <c r="FO308" s="409">
        <f t="shared" si="397"/>
        <v>0</v>
      </c>
      <c r="FP308" s="409">
        <f t="shared" si="397"/>
        <v>0</v>
      </c>
      <c r="FQ308" s="409">
        <f t="shared" si="397"/>
        <v>0</v>
      </c>
      <c r="FR308" s="409">
        <f t="shared" si="397"/>
        <v>0</v>
      </c>
      <c r="FS308" s="409">
        <f t="shared" si="397"/>
        <v>0</v>
      </c>
      <c r="FT308" s="409">
        <f t="shared" si="397"/>
        <v>0</v>
      </c>
      <c r="FU308" s="409">
        <f t="shared" si="397"/>
        <v>0</v>
      </c>
      <c r="FV308" s="409">
        <f t="shared" si="397"/>
        <v>0</v>
      </c>
      <c r="FW308" s="409">
        <f t="shared" si="398"/>
        <v>0</v>
      </c>
      <c r="FX308" s="409">
        <f t="shared" si="398"/>
        <v>0</v>
      </c>
      <c r="FY308" s="409">
        <f t="shared" si="398"/>
        <v>0</v>
      </c>
      <c r="FZ308" s="409">
        <f t="shared" si="398"/>
        <v>0</v>
      </c>
      <c r="GA308" s="409">
        <f t="shared" si="398"/>
        <v>0</v>
      </c>
      <c r="GB308" s="409">
        <f t="shared" si="398"/>
        <v>0</v>
      </c>
      <c r="GC308" s="409">
        <f t="shared" si="398"/>
        <v>0</v>
      </c>
      <c r="GD308" s="409">
        <f t="shared" si="398"/>
        <v>0</v>
      </c>
      <c r="GE308" s="409">
        <f t="shared" si="398"/>
        <v>0</v>
      </c>
      <c r="GF308" s="409">
        <f t="shared" si="398"/>
        <v>0</v>
      </c>
      <c r="GG308" s="409">
        <f t="shared" si="399"/>
        <v>0</v>
      </c>
      <c r="GH308" s="409">
        <f t="shared" si="399"/>
        <v>0</v>
      </c>
      <c r="GI308" s="409">
        <f t="shared" si="399"/>
        <v>0</v>
      </c>
      <c r="GJ308" s="409">
        <f t="shared" si="399"/>
        <v>0</v>
      </c>
      <c r="GK308" s="409">
        <f t="shared" si="399"/>
        <v>0</v>
      </c>
      <c r="GL308" s="409">
        <f t="shared" si="399"/>
        <v>0</v>
      </c>
      <c r="GM308" s="409">
        <f t="shared" si="399"/>
        <v>0</v>
      </c>
      <c r="GN308" s="409">
        <f t="shared" si="399"/>
        <v>0</v>
      </c>
      <c r="GO308" s="409">
        <f t="shared" si="399"/>
        <v>0</v>
      </c>
      <c r="GP308" s="409">
        <f t="shared" si="399"/>
        <v>0</v>
      </c>
      <c r="GQ308" s="409">
        <f t="shared" si="400"/>
        <v>0</v>
      </c>
      <c r="GR308" s="409">
        <f t="shared" si="400"/>
        <v>0</v>
      </c>
      <c r="GS308" s="409">
        <f t="shared" si="400"/>
        <v>0</v>
      </c>
      <c r="GT308" s="409">
        <f t="shared" si="400"/>
        <v>0</v>
      </c>
      <c r="GU308" s="409">
        <f t="shared" si="400"/>
        <v>0</v>
      </c>
      <c r="GV308" s="409">
        <f t="shared" si="400"/>
        <v>0</v>
      </c>
      <c r="GW308" s="409">
        <f t="shared" si="400"/>
        <v>0</v>
      </c>
      <c r="GX308" s="409">
        <f t="shared" si="400"/>
        <v>0</v>
      </c>
      <c r="GY308" s="409">
        <f t="shared" si="400"/>
        <v>0</v>
      </c>
      <c r="GZ308" s="409">
        <f t="shared" si="400"/>
        <v>0</v>
      </c>
      <c r="HA308" s="409">
        <f t="shared" si="401"/>
        <v>0</v>
      </c>
      <c r="HB308" s="409">
        <f t="shared" si="401"/>
        <v>0</v>
      </c>
      <c r="HC308" s="409">
        <f t="shared" si="401"/>
        <v>0</v>
      </c>
      <c r="HD308" s="409">
        <f t="shared" si="401"/>
        <v>0</v>
      </c>
      <c r="HE308" s="409">
        <f t="shared" si="401"/>
        <v>0</v>
      </c>
      <c r="HF308" s="409">
        <f t="shared" si="401"/>
        <v>0</v>
      </c>
      <c r="HG308" s="409">
        <f t="shared" si="401"/>
        <v>0</v>
      </c>
      <c r="HH308" s="409">
        <f t="shared" si="401"/>
        <v>0</v>
      </c>
      <c r="HI308" s="409">
        <f t="shared" si="401"/>
        <v>0</v>
      </c>
      <c r="HJ308" s="409">
        <f t="shared" si="401"/>
        <v>0</v>
      </c>
      <c r="HK308" s="409">
        <f t="shared" si="402"/>
        <v>0</v>
      </c>
      <c r="HL308" s="409">
        <f t="shared" si="402"/>
        <v>0</v>
      </c>
      <c r="HM308" s="409">
        <f t="shared" si="402"/>
        <v>0</v>
      </c>
      <c r="HN308" s="409">
        <f t="shared" si="402"/>
        <v>0</v>
      </c>
      <c r="HO308" s="409">
        <f t="shared" si="402"/>
        <v>0</v>
      </c>
      <c r="HP308" s="409">
        <f t="shared" si="402"/>
        <v>0</v>
      </c>
      <c r="HQ308" s="409">
        <f t="shared" si="402"/>
        <v>0</v>
      </c>
      <c r="HR308" s="409">
        <f t="shared" si="402"/>
        <v>0</v>
      </c>
      <c r="HS308" s="409">
        <f t="shared" si="402"/>
        <v>0</v>
      </c>
      <c r="HT308" s="409">
        <f t="shared" si="402"/>
        <v>0</v>
      </c>
      <c r="HU308" s="409">
        <f t="shared" si="403"/>
        <v>0</v>
      </c>
      <c r="HV308" s="409">
        <f t="shared" si="403"/>
        <v>0</v>
      </c>
      <c r="HW308" s="409">
        <f t="shared" si="403"/>
        <v>0</v>
      </c>
      <c r="HX308" s="409">
        <f t="shared" si="403"/>
        <v>0</v>
      </c>
      <c r="HY308" s="409">
        <f t="shared" si="403"/>
        <v>0</v>
      </c>
      <c r="HZ308" s="409">
        <f t="shared" si="403"/>
        <v>0</v>
      </c>
      <c r="IA308" s="409">
        <f t="shared" si="403"/>
        <v>0</v>
      </c>
      <c r="IB308" s="409">
        <f t="shared" si="403"/>
        <v>0</v>
      </c>
      <c r="IC308" s="409">
        <f t="shared" si="403"/>
        <v>0</v>
      </c>
      <c r="ID308" s="409">
        <f t="shared" si="403"/>
        <v>0</v>
      </c>
      <c r="IE308" s="409">
        <f t="shared" si="356"/>
        <v>0</v>
      </c>
      <c r="IF308" s="409">
        <f t="shared" si="356"/>
        <v>0</v>
      </c>
      <c r="IG308" s="409">
        <f t="shared" si="356"/>
        <v>0</v>
      </c>
      <c r="IH308" s="409">
        <f t="shared" si="356"/>
        <v>0</v>
      </c>
      <c r="II308" s="409">
        <f t="shared" si="356"/>
        <v>0</v>
      </c>
      <c r="IJ308" s="409">
        <f t="shared" si="356"/>
        <v>0</v>
      </c>
      <c r="IK308" s="378"/>
    </row>
    <row r="309" spans="1:245" hidden="1" x14ac:dyDescent="0.2">
      <c r="A309" s="380" t="str">
        <f t="shared" si="377"/>
        <v>e</v>
      </c>
      <c r="B309" s="712" t="str">
        <f>IF(ISERROR(INDEX('Legend(DX)'!$H$14:$H$15,22)),"",INDEX('Legend(DX)'!$H$14:$H$15,22))</f>
        <v/>
      </c>
      <c r="C309" s="712" t="e">
        <f>IF(INDEX('Legend(DX)'!$T$14:$T$15,22)=0,"See Legend",INDEX('Legend(DX)'!$T$14:$T$15,22))</f>
        <v>#REF!</v>
      </c>
      <c r="D309" s="712" t="e">
        <f>IF(INDEX('Legend(DX)'!$R$14:$R$15,22)=0,"---",INDEX('Legend(DX)'!$R$14:$R$15,22))</f>
        <v>#REF!</v>
      </c>
      <c r="E309" s="713" t="str">
        <f>IF(ISERROR(INDEX('Legend(DX)'!$AA$14:$AA$15,22)),"",INDEX('Legend(DX)'!$AA$14:$AA$15,22))</f>
        <v/>
      </c>
      <c r="F309" s="715"/>
      <c r="G309" s="715"/>
      <c r="H309" s="715"/>
      <c r="I309" s="715"/>
      <c r="J309" s="715"/>
      <c r="K309" s="890">
        <f t="shared" si="358"/>
        <v>0</v>
      </c>
      <c r="L309" s="718"/>
      <c r="M309" s="720"/>
      <c r="N309" s="972">
        <f t="shared" si="330"/>
        <v>-1</v>
      </c>
      <c r="O309" s="972">
        <f t="shared" si="378"/>
        <v>-1</v>
      </c>
      <c r="P309" s="972">
        <f t="shared" si="331"/>
        <v>-1</v>
      </c>
      <c r="Q309" s="972">
        <f t="shared" si="379"/>
        <v>-1</v>
      </c>
      <c r="R309" s="972">
        <f t="shared" si="332"/>
        <v>-1</v>
      </c>
      <c r="S309" s="972">
        <f t="shared" si="380"/>
        <v>-1</v>
      </c>
      <c r="T309" s="972">
        <f t="shared" si="333"/>
        <v>-1</v>
      </c>
      <c r="U309" s="972">
        <f t="shared" si="381"/>
        <v>-1</v>
      </c>
      <c r="V309" s="972">
        <f t="shared" si="334"/>
        <v>-1</v>
      </c>
      <c r="W309" s="972">
        <f t="shared" si="382"/>
        <v>-1</v>
      </c>
      <c r="X309" s="972">
        <f t="shared" si="335"/>
        <v>-1</v>
      </c>
      <c r="Y309" s="972">
        <f t="shared" si="364"/>
        <v>-1</v>
      </c>
      <c r="Z309" s="972">
        <f t="shared" si="365"/>
        <v>-1</v>
      </c>
      <c r="AA309" s="972">
        <f t="shared" si="366"/>
        <v>-1</v>
      </c>
      <c r="AB309" s="972">
        <f t="shared" si="367"/>
        <v>-1</v>
      </c>
      <c r="AC309" s="972">
        <f t="shared" si="368"/>
        <v>-1</v>
      </c>
      <c r="AD309" s="972">
        <f t="shared" si="369"/>
        <v>-1</v>
      </c>
      <c r="AE309" s="972">
        <f t="shared" si="370"/>
        <v>-1</v>
      </c>
      <c r="AF309" s="972">
        <f t="shared" si="371"/>
        <v>-1</v>
      </c>
      <c r="AG309" s="972">
        <f t="shared" si="372"/>
        <v>-1</v>
      </c>
      <c r="AH309" s="972">
        <f t="shared" si="373"/>
        <v>-1</v>
      </c>
      <c r="AI309" s="972">
        <f t="shared" si="374"/>
        <v>-1</v>
      </c>
      <c r="AJ309" s="972">
        <f t="shared" si="375"/>
        <v>-1</v>
      </c>
      <c r="AK309" s="381"/>
      <c r="AL309" s="727" t="str">
        <f t="shared" si="383"/>
        <v/>
      </c>
      <c r="AM309" s="409">
        <f t="shared" si="384"/>
        <v>0</v>
      </c>
      <c r="AN309" s="409">
        <f t="shared" si="384"/>
        <v>0</v>
      </c>
      <c r="AO309" s="409">
        <f t="shared" si="384"/>
        <v>0</v>
      </c>
      <c r="AP309" s="409">
        <f t="shared" si="384"/>
        <v>0</v>
      </c>
      <c r="AQ309" s="409">
        <f t="shared" si="384"/>
        <v>0</v>
      </c>
      <c r="AR309" s="409">
        <f t="shared" si="384"/>
        <v>0</v>
      </c>
      <c r="AS309" s="409">
        <f t="shared" si="384"/>
        <v>0</v>
      </c>
      <c r="AT309" s="409">
        <f t="shared" si="384"/>
        <v>0</v>
      </c>
      <c r="AU309" s="409">
        <f t="shared" si="384"/>
        <v>0</v>
      </c>
      <c r="AV309" s="409">
        <f t="shared" si="384"/>
        <v>0</v>
      </c>
      <c r="AW309" s="409">
        <f t="shared" si="385"/>
        <v>0</v>
      </c>
      <c r="AX309" s="409">
        <f t="shared" si="385"/>
        <v>0</v>
      </c>
      <c r="AY309" s="409">
        <f t="shared" si="385"/>
        <v>0</v>
      </c>
      <c r="AZ309" s="409">
        <f t="shared" si="385"/>
        <v>0</v>
      </c>
      <c r="BA309" s="409">
        <f t="shared" si="385"/>
        <v>0</v>
      </c>
      <c r="BB309" s="409">
        <f t="shared" si="385"/>
        <v>0</v>
      </c>
      <c r="BC309" s="409">
        <f t="shared" si="385"/>
        <v>0</v>
      </c>
      <c r="BD309" s="409">
        <f t="shared" si="385"/>
        <v>0</v>
      </c>
      <c r="BE309" s="409">
        <f t="shared" si="385"/>
        <v>0</v>
      </c>
      <c r="BF309" s="409">
        <f t="shared" si="385"/>
        <v>0</v>
      </c>
      <c r="BG309" s="409">
        <f t="shared" si="386"/>
        <v>0</v>
      </c>
      <c r="BH309" s="409">
        <f t="shared" si="386"/>
        <v>0</v>
      </c>
      <c r="BI309" s="409">
        <f t="shared" si="386"/>
        <v>0</v>
      </c>
      <c r="BJ309" s="409">
        <f t="shared" si="386"/>
        <v>0</v>
      </c>
      <c r="BK309" s="409">
        <f t="shared" si="386"/>
        <v>0</v>
      </c>
      <c r="BL309" s="409">
        <f t="shared" si="386"/>
        <v>0</v>
      </c>
      <c r="BM309" s="409">
        <f t="shared" si="386"/>
        <v>0</v>
      </c>
      <c r="BN309" s="409">
        <f t="shared" si="386"/>
        <v>0</v>
      </c>
      <c r="BO309" s="409">
        <f t="shared" si="386"/>
        <v>0</v>
      </c>
      <c r="BP309" s="409">
        <f t="shared" si="386"/>
        <v>0</v>
      </c>
      <c r="BQ309" s="409">
        <f t="shared" si="387"/>
        <v>0</v>
      </c>
      <c r="BR309" s="409">
        <f t="shared" si="387"/>
        <v>0</v>
      </c>
      <c r="BS309" s="409">
        <f t="shared" si="387"/>
        <v>0</v>
      </c>
      <c r="BT309" s="409">
        <f t="shared" si="387"/>
        <v>0</v>
      </c>
      <c r="BU309" s="409">
        <f t="shared" si="387"/>
        <v>0</v>
      </c>
      <c r="BV309" s="409">
        <f t="shared" si="387"/>
        <v>0</v>
      </c>
      <c r="BW309" s="409">
        <f t="shared" si="387"/>
        <v>0</v>
      </c>
      <c r="BX309" s="409">
        <f t="shared" si="387"/>
        <v>0</v>
      </c>
      <c r="BY309" s="409">
        <f t="shared" si="387"/>
        <v>0</v>
      </c>
      <c r="BZ309" s="409">
        <f t="shared" si="387"/>
        <v>0</v>
      </c>
      <c r="CA309" s="409">
        <f t="shared" si="388"/>
        <v>0</v>
      </c>
      <c r="CB309" s="409">
        <f t="shared" si="388"/>
        <v>0</v>
      </c>
      <c r="CC309" s="409">
        <f t="shared" si="388"/>
        <v>0</v>
      </c>
      <c r="CD309" s="409">
        <f t="shared" si="388"/>
        <v>0</v>
      </c>
      <c r="CE309" s="409">
        <f t="shared" si="388"/>
        <v>0</v>
      </c>
      <c r="CF309" s="409">
        <f t="shared" si="388"/>
        <v>0</v>
      </c>
      <c r="CG309" s="409">
        <f t="shared" si="388"/>
        <v>0</v>
      </c>
      <c r="CH309" s="409">
        <f t="shared" si="388"/>
        <v>0</v>
      </c>
      <c r="CI309" s="409">
        <f t="shared" si="388"/>
        <v>0</v>
      </c>
      <c r="CJ309" s="409">
        <f t="shared" si="388"/>
        <v>0</v>
      </c>
      <c r="CK309" s="409">
        <f t="shared" si="389"/>
        <v>0</v>
      </c>
      <c r="CL309" s="409">
        <f t="shared" si="389"/>
        <v>0</v>
      </c>
      <c r="CM309" s="409">
        <f t="shared" si="389"/>
        <v>0</v>
      </c>
      <c r="CN309" s="409">
        <f t="shared" si="389"/>
        <v>0</v>
      </c>
      <c r="CO309" s="409">
        <f t="shared" si="389"/>
        <v>0</v>
      </c>
      <c r="CP309" s="409">
        <f t="shared" si="389"/>
        <v>0</v>
      </c>
      <c r="CQ309" s="409">
        <f t="shared" si="389"/>
        <v>0</v>
      </c>
      <c r="CR309" s="409">
        <f t="shared" si="389"/>
        <v>0</v>
      </c>
      <c r="CS309" s="409">
        <f t="shared" si="389"/>
        <v>0</v>
      </c>
      <c r="CT309" s="409">
        <f t="shared" si="389"/>
        <v>0</v>
      </c>
      <c r="CU309" s="409">
        <f t="shared" si="390"/>
        <v>0</v>
      </c>
      <c r="CV309" s="409">
        <f t="shared" si="390"/>
        <v>0</v>
      </c>
      <c r="CW309" s="409">
        <f t="shared" si="390"/>
        <v>0</v>
      </c>
      <c r="CX309" s="409">
        <f t="shared" si="390"/>
        <v>0</v>
      </c>
      <c r="CY309" s="409">
        <f t="shared" si="390"/>
        <v>0</v>
      </c>
      <c r="CZ309" s="409">
        <f t="shared" si="390"/>
        <v>0</v>
      </c>
      <c r="DA309" s="409">
        <f t="shared" si="390"/>
        <v>0</v>
      </c>
      <c r="DB309" s="409">
        <f t="shared" si="390"/>
        <v>0</v>
      </c>
      <c r="DC309" s="409">
        <f t="shared" si="390"/>
        <v>0</v>
      </c>
      <c r="DD309" s="409">
        <f t="shared" si="390"/>
        <v>0</v>
      </c>
      <c r="DE309" s="409">
        <f t="shared" si="391"/>
        <v>0</v>
      </c>
      <c r="DF309" s="409">
        <f t="shared" si="391"/>
        <v>0</v>
      </c>
      <c r="DG309" s="409">
        <f t="shared" si="391"/>
        <v>0</v>
      </c>
      <c r="DH309" s="409">
        <f t="shared" si="391"/>
        <v>0</v>
      </c>
      <c r="DI309" s="409">
        <f t="shared" si="391"/>
        <v>0</v>
      </c>
      <c r="DJ309" s="409">
        <f t="shared" si="391"/>
        <v>0</v>
      </c>
      <c r="DK309" s="409">
        <f t="shared" si="391"/>
        <v>0</v>
      </c>
      <c r="DL309" s="409">
        <f t="shared" si="391"/>
        <v>0</v>
      </c>
      <c r="DM309" s="409">
        <f t="shared" si="391"/>
        <v>0</v>
      </c>
      <c r="DN309" s="409">
        <f t="shared" si="391"/>
        <v>0</v>
      </c>
      <c r="DO309" s="409">
        <f t="shared" si="392"/>
        <v>0</v>
      </c>
      <c r="DP309" s="409">
        <f t="shared" si="392"/>
        <v>0</v>
      </c>
      <c r="DQ309" s="409">
        <f t="shared" si="392"/>
        <v>0</v>
      </c>
      <c r="DR309" s="409">
        <f t="shared" si="392"/>
        <v>0</v>
      </c>
      <c r="DS309" s="409">
        <f t="shared" si="392"/>
        <v>0</v>
      </c>
      <c r="DT309" s="409">
        <f t="shared" si="392"/>
        <v>0</v>
      </c>
      <c r="DU309" s="409">
        <f t="shared" si="392"/>
        <v>0</v>
      </c>
      <c r="DV309" s="409">
        <f t="shared" si="392"/>
        <v>0</v>
      </c>
      <c r="DW309" s="409">
        <f t="shared" si="392"/>
        <v>0</v>
      </c>
      <c r="DX309" s="409">
        <f t="shared" si="392"/>
        <v>0</v>
      </c>
      <c r="DY309" s="409">
        <f t="shared" si="393"/>
        <v>0</v>
      </c>
      <c r="DZ309" s="409">
        <f t="shared" si="393"/>
        <v>0</v>
      </c>
      <c r="EA309" s="409">
        <f t="shared" si="393"/>
        <v>0</v>
      </c>
      <c r="EB309" s="409">
        <f t="shared" si="393"/>
        <v>0</v>
      </c>
      <c r="EC309" s="409">
        <f t="shared" si="393"/>
        <v>0</v>
      </c>
      <c r="ED309" s="409">
        <f t="shared" si="393"/>
        <v>0</v>
      </c>
      <c r="EE309" s="409">
        <f t="shared" si="393"/>
        <v>0</v>
      </c>
      <c r="EF309" s="409">
        <f t="shared" si="393"/>
        <v>0</v>
      </c>
      <c r="EG309" s="409">
        <f t="shared" si="393"/>
        <v>0</v>
      </c>
      <c r="EH309" s="409">
        <f t="shared" si="393"/>
        <v>0</v>
      </c>
      <c r="EI309" s="409">
        <f t="shared" si="394"/>
        <v>0</v>
      </c>
      <c r="EJ309" s="409">
        <f t="shared" si="394"/>
        <v>0</v>
      </c>
      <c r="EK309" s="409">
        <f t="shared" si="394"/>
        <v>0</v>
      </c>
      <c r="EL309" s="409">
        <f t="shared" si="394"/>
        <v>0</v>
      </c>
      <c r="EM309" s="409">
        <f t="shared" si="394"/>
        <v>0</v>
      </c>
      <c r="EN309" s="409">
        <f t="shared" si="394"/>
        <v>0</v>
      </c>
      <c r="EO309" s="409">
        <f t="shared" si="394"/>
        <v>0</v>
      </c>
      <c r="EP309" s="409">
        <f t="shared" si="394"/>
        <v>0</v>
      </c>
      <c r="EQ309" s="409">
        <f t="shared" si="394"/>
        <v>0</v>
      </c>
      <c r="ER309" s="409">
        <f t="shared" si="394"/>
        <v>0</v>
      </c>
      <c r="ES309" s="409">
        <f t="shared" si="395"/>
        <v>0</v>
      </c>
      <c r="ET309" s="409">
        <f t="shared" si="395"/>
        <v>0</v>
      </c>
      <c r="EU309" s="409">
        <f t="shared" si="395"/>
        <v>0</v>
      </c>
      <c r="EV309" s="409">
        <f t="shared" si="395"/>
        <v>0</v>
      </c>
      <c r="EW309" s="409">
        <f t="shared" si="395"/>
        <v>0</v>
      </c>
      <c r="EX309" s="409">
        <f t="shared" si="395"/>
        <v>0</v>
      </c>
      <c r="EY309" s="409">
        <f t="shared" si="395"/>
        <v>0</v>
      </c>
      <c r="EZ309" s="409">
        <f t="shared" si="395"/>
        <v>0</v>
      </c>
      <c r="FA309" s="409">
        <f t="shared" si="395"/>
        <v>0</v>
      </c>
      <c r="FB309" s="409">
        <f t="shared" si="395"/>
        <v>0</v>
      </c>
      <c r="FC309" s="409">
        <f t="shared" si="396"/>
        <v>0</v>
      </c>
      <c r="FD309" s="409">
        <f t="shared" si="396"/>
        <v>0</v>
      </c>
      <c r="FE309" s="409">
        <f t="shared" si="396"/>
        <v>0</v>
      </c>
      <c r="FF309" s="409">
        <f t="shared" si="396"/>
        <v>0</v>
      </c>
      <c r="FG309" s="409">
        <f t="shared" si="396"/>
        <v>0</v>
      </c>
      <c r="FH309" s="409">
        <f t="shared" si="396"/>
        <v>0</v>
      </c>
      <c r="FI309" s="409">
        <f t="shared" si="396"/>
        <v>0</v>
      </c>
      <c r="FJ309" s="409">
        <f t="shared" si="396"/>
        <v>0</v>
      </c>
      <c r="FK309" s="409">
        <f t="shared" si="396"/>
        <v>0</v>
      </c>
      <c r="FL309" s="409">
        <f t="shared" si="396"/>
        <v>0</v>
      </c>
      <c r="FM309" s="409">
        <f t="shared" si="397"/>
        <v>0</v>
      </c>
      <c r="FN309" s="409">
        <f t="shared" si="397"/>
        <v>0</v>
      </c>
      <c r="FO309" s="409">
        <f t="shared" si="397"/>
        <v>0</v>
      </c>
      <c r="FP309" s="409">
        <f t="shared" si="397"/>
        <v>0</v>
      </c>
      <c r="FQ309" s="409">
        <f t="shared" si="397"/>
        <v>0</v>
      </c>
      <c r="FR309" s="409">
        <f t="shared" si="397"/>
        <v>0</v>
      </c>
      <c r="FS309" s="409">
        <f t="shared" si="397"/>
        <v>0</v>
      </c>
      <c r="FT309" s="409">
        <f t="shared" si="397"/>
        <v>0</v>
      </c>
      <c r="FU309" s="409">
        <f t="shared" si="397"/>
        <v>0</v>
      </c>
      <c r="FV309" s="409">
        <f t="shared" si="397"/>
        <v>0</v>
      </c>
      <c r="FW309" s="409">
        <f t="shared" si="398"/>
        <v>0</v>
      </c>
      <c r="FX309" s="409">
        <f t="shared" si="398"/>
        <v>0</v>
      </c>
      <c r="FY309" s="409">
        <f t="shared" si="398"/>
        <v>0</v>
      </c>
      <c r="FZ309" s="409">
        <f t="shared" si="398"/>
        <v>0</v>
      </c>
      <c r="GA309" s="409">
        <f t="shared" si="398"/>
        <v>0</v>
      </c>
      <c r="GB309" s="409">
        <f t="shared" si="398"/>
        <v>0</v>
      </c>
      <c r="GC309" s="409">
        <f t="shared" si="398"/>
        <v>0</v>
      </c>
      <c r="GD309" s="409">
        <f t="shared" si="398"/>
        <v>0</v>
      </c>
      <c r="GE309" s="409">
        <f t="shared" si="398"/>
        <v>0</v>
      </c>
      <c r="GF309" s="409">
        <f t="shared" si="398"/>
        <v>0</v>
      </c>
      <c r="GG309" s="409">
        <f t="shared" si="399"/>
        <v>0</v>
      </c>
      <c r="GH309" s="409">
        <f t="shared" si="399"/>
        <v>0</v>
      </c>
      <c r="GI309" s="409">
        <f t="shared" si="399"/>
        <v>0</v>
      </c>
      <c r="GJ309" s="409">
        <f t="shared" si="399"/>
        <v>0</v>
      </c>
      <c r="GK309" s="409">
        <f t="shared" si="399"/>
        <v>0</v>
      </c>
      <c r="GL309" s="409">
        <f t="shared" si="399"/>
        <v>0</v>
      </c>
      <c r="GM309" s="409">
        <f t="shared" si="399"/>
        <v>0</v>
      </c>
      <c r="GN309" s="409">
        <f t="shared" si="399"/>
        <v>0</v>
      </c>
      <c r="GO309" s="409">
        <f t="shared" si="399"/>
        <v>0</v>
      </c>
      <c r="GP309" s="409">
        <f t="shared" si="399"/>
        <v>0</v>
      </c>
      <c r="GQ309" s="409">
        <f t="shared" si="400"/>
        <v>0</v>
      </c>
      <c r="GR309" s="409">
        <f t="shared" si="400"/>
        <v>0</v>
      </c>
      <c r="GS309" s="409">
        <f t="shared" si="400"/>
        <v>0</v>
      </c>
      <c r="GT309" s="409">
        <f t="shared" si="400"/>
        <v>0</v>
      </c>
      <c r="GU309" s="409">
        <f t="shared" si="400"/>
        <v>0</v>
      </c>
      <c r="GV309" s="409">
        <f t="shared" si="400"/>
        <v>0</v>
      </c>
      <c r="GW309" s="409">
        <f t="shared" si="400"/>
        <v>0</v>
      </c>
      <c r="GX309" s="409">
        <f t="shared" si="400"/>
        <v>0</v>
      </c>
      <c r="GY309" s="409">
        <f t="shared" si="400"/>
        <v>0</v>
      </c>
      <c r="GZ309" s="409">
        <f t="shared" si="400"/>
        <v>0</v>
      </c>
      <c r="HA309" s="409">
        <f t="shared" si="401"/>
        <v>0</v>
      </c>
      <c r="HB309" s="409">
        <f t="shared" si="401"/>
        <v>0</v>
      </c>
      <c r="HC309" s="409">
        <f t="shared" si="401"/>
        <v>0</v>
      </c>
      <c r="HD309" s="409">
        <f t="shared" si="401"/>
        <v>0</v>
      </c>
      <c r="HE309" s="409">
        <f t="shared" si="401"/>
        <v>0</v>
      </c>
      <c r="HF309" s="409">
        <f t="shared" si="401"/>
        <v>0</v>
      </c>
      <c r="HG309" s="409">
        <f t="shared" si="401"/>
        <v>0</v>
      </c>
      <c r="HH309" s="409">
        <f t="shared" si="401"/>
        <v>0</v>
      </c>
      <c r="HI309" s="409">
        <f t="shared" si="401"/>
        <v>0</v>
      </c>
      <c r="HJ309" s="409">
        <f t="shared" si="401"/>
        <v>0</v>
      </c>
      <c r="HK309" s="409">
        <f t="shared" si="402"/>
        <v>0</v>
      </c>
      <c r="HL309" s="409">
        <f t="shared" si="402"/>
        <v>0</v>
      </c>
      <c r="HM309" s="409">
        <f t="shared" si="402"/>
        <v>0</v>
      </c>
      <c r="HN309" s="409">
        <f t="shared" si="402"/>
        <v>0</v>
      </c>
      <c r="HO309" s="409">
        <f t="shared" si="402"/>
        <v>0</v>
      </c>
      <c r="HP309" s="409">
        <f t="shared" si="402"/>
        <v>0</v>
      </c>
      <c r="HQ309" s="409">
        <f t="shared" si="402"/>
        <v>0</v>
      </c>
      <c r="HR309" s="409">
        <f t="shared" si="402"/>
        <v>0</v>
      </c>
      <c r="HS309" s="409">
        <f t="shared" si="402"/>
        <v>0</v>
      </c>
      <c r="HT309" s="409">
        <f t="shared" si="402"/>
        <v>0</v>
      </c>
      <c r="HU309" s="409">
        <f t="shared" si="403"/>
        <v>0</v>
      </c>
      <c r="HV309" s="409">
        <f t="shared" si="403"/>
        <v>0</v>
      </c>
      <c r="HW309" s="409">
        <f t="shared" si="403"/>
        <v>0</v>
      </c>
      <c r="HX309" s="409">
        <f t="shared" si="403"/>
        <v>0</v>
      </c>
      <c r="HY309" s="409">
        <f t="shared" si="403"/>
        <v>0</v>
      </c>
      <c r="HZ309" s="409">
        <f t="shared" si="403"/>
        <v>0</v>
      </c>
      <c r="IA309" s="409">
        <f t="shared" si="403"/>
        <v>0</v>
      </c>
      <c r="IB309" s="409">
        <f t="shared" si="403"/>
        <v>0</v>
      </c>
      <c r="IC309" s="409">
        <f t="shared" si="403"/>
        <v>0</v>
      </c>
      <c r="ID309" s="409">
        <f t="shared" si="403"/>
        <v>0</v>
      </c>
      <c r="IE309" s="409">
        <f t="shared" si="356"/>
        <v>0</v>
      </c>
      <c r="IF309" s="409">
        <f t="shared" si="356"/>
        <v>0</v>
      </c>
      <c r="IG309" s="409">
        <f t="shared" si="356"/>
        <v>0</v>
      </c>
      <c r="IH309" s="409">
        <f t="shared" si="356"/>
        <v>0</v>
      </c>
      <c r="II309" s="409">
        <f t="shared" si="356"/>
        <v>0</v>
      </c>
      <c r="IJ309" s="409">
        <f t="shared" si="356"/>
        <v>0</v>
      </c>
      <c r="IK309" s="378"/>
    </row>
    <row r="310" spans="1:245" hidden="1" x14ac:dyDescent="0.2">
      <c r="A310" s="380" t="str">
        <f t="shared" si="377"/>
        <v>e</v>
      </c>
      <c r="B310" s="712" t="str">
        <f>IF(ISERROR(INDEX('Legend(DX)'!$H$14:$H$15,23)),"",INDEX('Legend(DX)'!$H$14:$H$15,23))</f>
        <v/>
      </c>
      <c r="C310" s="712" t="e">
        <f>IF(INDEX('Legend(DX)'!$T$14:$T$15,23)=0,"See Legend",INDEX('Legend(DX)'!$T$14:$T$15,23))</f>
        <v>#REF!</v>
      </c>
      <c r="D310" s="712" t="e">
        <f>IF(INDEX('Legend(DX)'!$R$14:$R$15,23)=0,"---",INDEX('Legend(DX)'!$R$14:$R$15,23))</f>
        <v>#REF!</v>
      </c>
      <c r="E310" s="713" t="str">
        <f>IF(ISERROR(INDEX('Legend(DX)'!$AA$14:$AA$15,23)),"",INDEX('Legend(DX)'!$AA$14:$AA$15,23))</f>
        <v/>
      </c>
      <c r="F310" s="715"/>
      <c r="G310" s="715"/>
      <c r="H310" s="715"/>
      <c r="I310" s="715"/>
      <c r="J310" s="715"/>
      <c r="K310" s="890">
        <f t="shared" si="358"/>
        <v>0</v>
      </c>
      <c r="L310" s="718"/>
      <c r="M310" s="720"/>
      <c r="N310" s="972">
        <f t="shared" si="330"/>
        <v>-1</v>
      </c>
      <c r="O310" s="972">
        <f t="shared" si="378"/>
        <v>-1</v>
      </c>
      <c r="P310" s="972">
        <f t="shared" si="331"/>
        <v>-1</v>
      </c>
      <c r="Q310" s="972">
        <f t="shared" si="379"/>
        <v>-1</v>
      </c>
      <c r="R310" s="972">
        <f t="shared" si="332"/>
        <v>-1</v>
      </c>
      <c r="S310" s="972">
        <f t="shared" si="380"/>
        <v>-1</v>
      </c>
      <c r="T310" s="972">
        <f t="shared" si="333"/>
        <v>-1</v>
      </c>
      <c r="U310" s="972">
        <f t="shared" si="381"/>
        <v>-1</v>
      </c>
      <c r="V310" s="972">
        <f t="shared" si="334"/>
        <v>-1</v>
      </c>
      <c r="W310" s="972">
        <f t="shared" si="382"/>
        <v>-1</v>
      </c>
      <c r="X310" s="972">
        <f t="shared" si="335"/>
        <v>-1</v>
      </c>
      <c r="Y310" s="972">
        <f t="shared" si="364"/>
        <v>-1</v>
      </c>
      <c r="Z310" s="972">
        <f t="shared" si="365"/>
        <v>-1</v>
      </c>
      <c r="AA310" s="972">
        <f t="shared" si="366"/>
        <v>-1</v>
      </c>
      <c r="AB310" s="972">
        <f t="shared" si="367"/>
        <v>-1</v>
      </c>
      <c r="AC310" s="972">
        <f t="shared" si="368"/>
        <v>-1</v>
      </c>
      <c r="AD310" s="972">
        <f t="shared" si="369"/>
        <v>-1</v>
      </c>
      <c r="AE310" s="972">
        <f t="shared" si="370"/>
        <v>-1</v>
      </c>
      <c r="AF310" s="972">
        <f t="shared" si="371"/>
        <v>-1</v>
      </c>
      <c r="AG310" s="972">
        <f t="shared" si="372"/>
        <v>-1</v>
      </c>
      <c r="AH310" s="972">
        <f t="shared" si="373"/>
        <v>-1</v>
      </c>
      <c r="AI310" s="972">
        <f t="shared" si="374"/>
        <v>-1</v>
      </c>
      <c r="AJ310" s="972">
        <f t="shared" si="375"/>
        <v>-1</v>
      </c>
      <c r="AK310" s="381"/>
      <c r="AL310" s="727" t="str">
        <f t="shared" si="383"/>
        <v/>
      </c>
      <c r="AM310" s="409">
        <f t="shared" si="384"/>
        <v>0</v>
      </c>
      <c r="AN310" s="409">
        <f t="shared" si="384"/>
        <v>0</v>
      </c>
      <c r="AO310" s="409">
        <f t="shared" si="384"/>
        <v>0</v>
      </c>
      <c r="AP310" s="409">
        <f t="shared" si="384"/>
        <v>0</v>
      </c>
      <c r="AQ310" s="409">
        <f t="shared" si="384"/>
        <v>0</v>
      </c>
      <c r="AR310" s="409">
        <f t="shared" si="384"/>
        <v>0</v>
      </c>
      <c r="AS310" s="409">
        <f t="shared" si="384"/>
        <v>0</v>
      </c>
      <c r="AT310" s="409">
        <f t="shared" si="384"/>
        <v>0</v>
      </c>
      <c r="AU310" s="409">
        <f t="shared" si="384"/>
        <v>0</v>
      </c>
      <c r="AV310" s="409">
        <f t="shared" si="384"/>
        <v>0</v>
      </c>
      <c r="AW310" s="409">
        <f t="shared" si="385"/>
        <v>0</v>
      </c>
      <c r="AX310" s="409">
        <f t="shared" si="385"/>
        <v>0</v>
      </c>
      <c r="AY310" s="409">
        <f t="shared" si="385"/>
        <v>0</v>
      </c>
      <c r="AZ310" s="409">
        <f t="shared" si="385"/>
        <v>0</v>
      </c>
      <c r="BA310" s="409">
        <f t="shared" si="385"/>
        <v>0</v>
      </c>
      <c r="BB310" s="409">
        <f t="shared" si="385"/>
        <v>0</v>
      </c>
      <c r="BC310" s="409">
        <f t="shared" si="385"/>
        <v>0</v>
      </c>
      <c r="BD310" s="409">
        <f t="shared" si="385"/>
        <v>0</v>
      </c>
      <c r="BE310" s="409">
        <f t="shared" si="385"/>
        <v>0</v>
      </c>
      <c r="BF310" s="409">
        <f t="shared" si="385"/>
        <v>0</v>
      </c>
      <c r="BG310" s="409">
        <f t="shared" si="386"/>
        <v>0</v>
      </c>
      <c r="BH310" s="409">
        <f t="shared" si="386"/>
        <v>0</v>
      </c>
      <c r="BI310" s="409">
        <f t="shared" si="386"/>
        <v>0</v>
      </c>
      <c r="BJ310" s="409">
        <f t="shared" si="386"/>
        <v>0</v>
      </c>
      <c r="BK310" s="409">
        <f t="shared" si="386"/>
        <v>0</v>
      </c>
      <c r="BL310" s="409">
        <f t="shared" si="386"/>
        <v>0</v>
      </c>
      <c r="BM310" s="409">
        <f t="shared" si="386"/>
        <v>0</v>
      </c>
      <c r="BN310" s="409">
        <f t="shared" si="386"/>
        <v>0</v>
      </c>
      <c r="BO310" s="409">
        <f t="shared" si="386"/>
        <v>0</v>
      </c>
      <c r="BP310" s="409">
        <f t="shared" si="386"/>
        <v>0</v>
      </c>
      <c r="BQ310" s="409">
        <f t="shared" si="387"/>
        <v>0</v>
      </c>
      <c r="BR310" s="409">
        <f t="shared" si="387"/>
        <v>0</v>
      </c>
      <c r="BS310" s="409">
        <f t="shared" si="387"/>
        <v>0</v>
      </c>
      <c r="BT310" s="409">
        <f t="shared" si="387"/>
        <v>0</v>
      </c>
      <c r="BU310" s="409">
        <f t="shared" si="387"/>
        <v>0</v>
      </c>
      <c r="BV310" s="409">
        <f t="shared" si="387"/>
        <v>0</v>
      </c>
      <c r="BW310" s="409">
        <f t="shared" si="387"/>
        <v>0</v>
      </c>
      <c r="BX310" s="409">
        <f t="shared" si="387"/>
        <v>0</v>
      </c>
      <c r="BY310" s="409">
        <f t="shared" si="387"/>
        <v>0</v>
      </c>
      <c r="BZ310" s="409">
        <f t="shared" si="387"/>
        <v>0</v>
      </c>
      <c r="CA310" s="409">
        <f t="shared" si="388"/>
        <v>0</v>
      </c>
      <c r="CB310" s="409">
        <f t="shared" si="388"/>
        <v>0</v>
      </c>
      <c r="CC310" s="409">
        <f t="shared" si="388"/>
        <v>0</v>
      </c>
      <c r="CD310" s="409">
        <f t="shared" si="388"/>
        <v>0</v>
      </c>
      <c r="CE310" s="409">
        <f t="shared" si="388"/>
        <v>0</v>
      </c>
      <c r="CF310" s="409">
        <f t="shared" si="388"/>
        <v>0</v>
      </c>
      <c r="CG310" s="409">
        <f t="shared" si="388"/>
        <v>0</v>
      </c>
      <c r="CH310" s="409">
        <f t="shared" si="388"/>
        <v>0</v>
      </c>
      <c r="CI310" s="409">
        <f t="shared" si="388"/>
        <v>0</v>
      </c>
      <c r="CJ310" s="409">
        <f t="shared" si="388"/>
        <v>0</v>
      </c>
      <c r="CK310" s="409">
        <f t="shared" si="389"/>
        <v>0</v>
      </c>
      <c r="CL310" s="409">
        <f t="shared" si="389"/>
        <v>0</v>
      </c>
      <c r="CM310" s="409">
        <f t="shared" si="389"/>
        <v>0</v>
      </c>
      <c r="CN310" s="409">
        <f t="shared" si="389"/>
        <v>0</v>
      </c>
      <c r="CO310" s="409">
        <f t="shared" si="389"/>
        <v>0</v>
      </c>
      <c r="CP310" s="409">
        <f t="shared" si="389"/>
        <v>0</v>
      </c>
      <c r="CQ310" s="409">
        <f t="shared" si="389"/>
        <v>0</v>
      </c>
      <c r="CR310" s="409">
        <f t="shared" si="389"/>
        <v>0</v>
      </c>
      <c r="CS310" s="409">
        <f t="shared" si="389"/>
        <v>0</v>
      </c>
      <c r="CT310" s="409">
        <f t="shared" si="389"/>
        <v>0</v>
      </c>
      <c r="CU310" s="409">
        <f t="shared" si="390"/>
        <v>0</v>
      </c>
      <c r="CV310" s="409">
        <f t="shared" si="390"/>
        <v>0</v>
      </c>
      <c r="CW310" s="409">
        <f t="shared" si="390"/>
        <v>0</v>
      </c>
      <c r="CX310" s="409">
        <f t="shared" si="390"/>
        <v>0</v>
      </c>
      <c r="CY310" s="409">
        <f t="shared" si="390"/>
        <v>0</v>
      </c>
      <c r="CZ310" s="409">
        <f t="shared" si="390"/>
        <v>0</v>
      </c>
      <c r="DA310" s="409">
        <f t="shared" si="390"/>
        <v>0</v>
      </c>
      <c r="DB310" s="409">
        <f t="shared" si="390"/>
        <v>0</v>
      </c>
      <c r="DC310" s="409">
        <f t="shared" si="390"/>
        <v>0</v>
      </c>
      <c r="DD310" s="409">
        <f t="shared" si="390"/>
        <v>0</v>
      </c>
      <c r="DE310" s="409">
        <f t="shared" si="391"/>
        <v>0</v>
      </c>
      <c r="DF310" s="409">
        <f t="shared" si="391"/>
        <v>0</v>
      </c>
      <c r="DG310" s="409">
        <f t="shared" si="391"/>
        <v>0</v>
      </c>
      <c r="DH310" s="409">
        <f t="shared" si="391"/>
        <v>0</v>
      </c>
      <c r="DI310" s="409">
        <f t="shared" si="391"/>
        <v>0</v>
      </c>
      <c r="DJ310" s="409">
        <f t="shared" si="391"/>
        <v>0</v>
      </c>
      <c r="DK310" s="409">
        <f t="shared" si="391"/>
        <v>0</v>
      </c>
      <c r="DL310" s="409">
        <f t="shared" si="391"/>
        <v>0</v>
      </c>
      <c r="DM310" s="409">
        <f t="shared" si="391"/>
        <v>0</v>
      </c>
      <c r="DN310" s="409">
        <f t="shared" si="391"/>
        <v>0</v>
      </c>
      <c r="DO310" s="409">
        <f t="shared" si="392"/>
        <v>0</v>
      </c>
      <c r="DP310" s="409">
        <f t="shared" si="392"/>
        <v>0</v>
      </c>
      <c r="DQ310" s="409">
        <f t="shared" si="392"/>
        <v>0</v>
      </c>
      <c r="DR310" s="409">
        <f t="shared" si="392"/>
        <v>0</v>
      </c>
      <c r="DS310" s="409">
        <f t="shared" si="392"/>
        <v>0</v>
      </c>
      <c r="DT310" s="409">
        <f t="shared" si="392"/>
        <v>0</v>
      </c>
      <c r="DU310" s="409">
        <f t="shared" si="392"/>
        <v>0</v>
      </c>
      <c r="DV310" s="409">
        <f t="shared" si="392"/>
        <v>0</v>
      </c>
      <c r="DW310" s="409">
        <f t="shared" si="392"/>
        <v>0</v>
      </c>
      <c r="DX310" s="409">
        <f t="shared" si="392"/>
        <v>0</v>
      </c>
      <c r="DY310" s="409">
        <f t="shared" si="393"/>
        <v>0</v>
      </c>
      <c r="DZ310" s="409">
        <f t="shared" si="393"/>
        <v>0</v>
      </c>
      <c r="EA310" s="409">
        <f t="shared" si="393"/>
        <v>0</v>
      </c>
      <c r="EB310" s="409">
        <f t="shared" si="393"/>
        <v>0</v>
      </c>
      <c r="EC310" s="409">
        <f t="shared" si="393"/>
        <v>0</v>
      </c>
      <c r="ED310" s="409">
        <f t="shared" si="393"/>
        <v>0</v>
      </c>
      <c r="EE310" s="409">
        <f t="shared" si="393"/>
        <v>0</v>
      </c>
      <c r="EF310" s="409">
        <f t="shared" si="393"/>
        <v>0</v>
      </c>
      <c r="EG310" s="409">
        <f t="shared" si="393"/>
        <v>0</v>
      </c>
      <c r="EH310" s="409">
        <f t="shared" si="393"/>
        <v>0</v>
      </c>
      <c r="EI310" s="409">
        <f t="shared" si="394"/>
        <v>0</v>
      </c>
      <c r="EJ310" s="409">
        <f t="shared" si="394"/>
        <v>0</v>
      </c>
      <c r="EK310" s="409">
        <f t="shared" si="394"/>
        <v>0</v>
      </c>
      <c r="EL310" s="409">
        <f t="shared" si="394"/>
        <v>0</v>
      </c>
      <c r="EM310" s="409">
        <f t="shared" si="394"/>
        <v>0</v>
      </c>
      <c r="EN310" s="409">
        <f t="shared" si="394"/>
        <v>0</v>
      </c>
      <c r="EO310" s="409">
        <f t="shared" si="394"/>
        <v>0</v>
      </c>
      <c r="EP310" s="409">
        <f t="shared" si="394"/>
        <v>0</v>
      </c>
      <c r="EQ310" s="409">
        <f t="shared" si="394"/>
        <v>0</v>
      </c>
      <c r="ER310" s="409">
        <f t="shared" si="394"/>
        <v>0</v>
      </c>
      <c r="ES310" s="409">
        <f t="shared" si="395"/>
        <v>0</v>
      </c>
      <c r="ET310" s="409">
        <f t="shared" si="395"/>
        <v>0</v>
      </c>
      <c r="EU310" s="409">
        <f t="shared" si="395"/>
        <v>0</v>
      </c>
      <c r="EV310" s="409">
        <f t="shared" si="395"/>
        <v>0</v>
      </c>
      <c r="EW310" s="409">
        <f t="shared" si="395"/>
        <v>0</v>
      </c>
      <c r="EX310" s="409">
        <f t="shared" si="395"/>
        <v>0</v>
      </c>
      <c r="EY310" s="409">
        <f t="shared" si="395"/>
        <v>0</v>
      </c>
      <c r="EZ310" s="409">
        <f t="shared" si="395"/>
        <v>0</v>
      </c>
      <c r="FA310" s="409">
        <f t="shared" si="395"/>
        <v>0</v>
      </c>
      <c r="FB310" s="409">
        <f t="shared" si="395"/>
        <v>0</v>
      </c>
      <c r="FC310" s="409">
        <f t="shared" si="396"/>
        <v>0</v>
      </c>
      <c r="FD310" s="409">
        <f t="shared" si="396"/>
        <v>0</v>
      </c>
      <c r="FE310" s="409">
        <f t="shared" si="396"/>
        <v>0</v>
      </c>
      <c r="FF310" s="409">
        <f t="shared" si="396"/>
        <v>0</v>
      </c>
      <c r="FG310" s="409">
        <f t="shared" si="396"/>
        <v>0</v>
      </c>
      <c r="FH310" s="409">
        <f t="shared" si="396"/>
        <v>0</v>
      </c>
      <c r="FI310" s="409">
        <f t="shared" si="396"/>
        <v>0</v>
      </c>
      <c r="FJ310" s="409">
        <f t="shared" si="396"/>
        <v>0</v>
      </c>
      <c r="FK310" s="409">
        <f t="shared" si="396"/>
        <v>0</v>
      </c>
      <c r="FL310" s="409">
        <f t="shared" si="396"/>
        <v>0</v>
      </c>
      <c r="FM310" s="409">
        <f t="shared" si="397"/>
        <v>0</v>
      </c>
      <c r="FN310" s="409">
        <f t="shared" si="397"/>
        <v>0</v>
      </c>
      <c r="FO310" s="409">
        <f t="shared" si="397"/>
        <v>0</v>
      </c>
      <c r="FP310" s="409">
        <f t="shared" si="397"/>
        <v>0</v>
      </c>
      <c r="FQ310" s="409">
        <f t="shared" si="397"/>
        <v>0</v>
      </c>
      <c r="FR310" s="409">
        <f t="shared" si="397"/>
        <v>0</v>
      </c>
      <c r="FS310" s="409">
        <f t="shared" si="397"/>
        <v>0</v>
      </c>
      <c r="FT310" s="409">
        <f t="shared" si="397"/>
        <v>0</v>
      </c>
      <c r="FU310" s="409">
        <f t="shared" si="397"/>
        <v>0</v>
      </c>
      <c r="FV310" s="409">
        <f t="shared" si="397"/>
        <v>0</v>
      </c>
      <c r="FW310" s="409">
        <f t="shared" si="398"/>
        <v>0</v>
      </c>
      <c r="FX310" s="409">
        <f t="shared" si="398"/>
        <v>0</v>
      </c>
      <c r="FY310" s="409">
        <f t="shared" si="398"/>
        <v>0</v>
      </c>
      <c r="FZ310" s="409">
        <f t="shared" si="398"/>
        <v>0</v>
      </c>
      <c r="GA310" s="409">
        <f t="shared" si="398"/>
        <v>0</v>
      </c>
      <c r="GB310" s="409">
        <f t="shared" si="398"/>
        <v>0</v>
      </c>
      <c r="GC310" s="409">
        <f t="shared" si="398"/>
        <v>0</v>
      </c>
      <c r="GD310" s="409">
        <f t="shared" si="398"/>
        <v>0</v>
      </c>
      <c r="GE310" s="409">
        <f t="shared" si="398"/>
        <v>0</v>
      </c>
      <c r="GF310" s="409">
        <f t="shared" si="398"/>
        <v>0</v>
      </c>
      <c r="GG310" s="409">
        <f t="shared" si="399"/>
        <v>0</v>
      </c>
      <c r="GH310" s="409">
        <f t="shared" si="399"/>
        <v>0</v>
      </c>
      <c r="GI310" s="409">
        <f t="shared" si="399"/>
        <v>0</v>
      </c>
      <c r="GJ310" s="409">
        <f t="shared" si="399"/>
        <v>0</v>
      </c>
      <c r="GK310" s="409">
        <f t="shared" si="399"/>
        <v>0</v>
      </c>
      <c r="GL310" s="409">
        <f t="shared" si="399"/>
        <v>0</v>
      </c>
      <c r="GM310" s="409">
        <f t="shared" si="399"/>
        <v>0</v>
      </c>
      <c r="GN310" s="409">
        <f t="shared" si="399"/>
        <v>0</v>
      </c>
      <c r="GO310" s="409">
        <f t="shared" si="399"/>
        <v>0</v>
      </c>
      <c r="GP310" s="409">
        <f t="shared" si="399"/>
        <v>0</v>
      </c>
      <c r="GQ310" s="409">
        <f t="shared" si="400"/>
        <v>0</v>
      </c>
      <c r="GR310" s="409">
        <f t="shared" si="400"/>
        <v>0</v>
      </c>
      <c r="GS310" s="409">
        <f t="shared" si="400"/>
        <v>0</v>
      </c>
      <c r="GT310" s="409">
        <f t="shared" si="400"/>
        <v>0</v>
      </c>
      <c r="GU310" s="409">
        <f t="shared" si="400"/>
        <v>0</v>
      </c>
      <c r="GV310" s="409">
        <f t="shared" si="400"/>
        <v>0</v>
      </c>
      <c r="GW310" s="409">
        <f t="shared" si="400"/>
        <v>0</v>
      </c>
      <c r="GX310" s="409">
        <f t="shared" si="400"/>
        <v>0</v>
      </c>
      <c r="GY310" s="409">
        <f t="shared" si="400"/>
        <v>0</v>
      </c>
      <c r="GZ310" s="409">
        <f t="shared" si="400"/>
        <v>0</v>
      </c>
      <c r="HA310" s="409">
        <f t="shared" si="401"/>
        <v>0</v>
      </c>
      <c r="HB310" s="409">
        <f t="shared" si="401"/>
        <v>0</v>
      </c>
      <c r="HC310" s="409">
        <f t="shared" si="401"/>
        <v>0</v>
      </c>
      <c r="HD310" s="409">
        <f t="shared" si="401"/>
        <v>0</v>
      </c>
      <c r="HE310" s="409">
        <f t="shared" si="401"/>
        <v>0</v>
      </c>
      <c r="HF310" s="409">
        <f t="shared" si="401"/>
        <v>0</v>
      </c>
      <c r="HG310" s="409">
        <f t="shared" si="401"/>
        <v>0</v>
      </c>
      <c r="HH310" s="409">
        <f t="shared" si="401"/>
        <v>0</v>
      </c>
      <c r="HI310" s="409">
        <f t="shared" si="401"/>
        <v>0</v>
      </c>
      <c r="HJ310" s="409">
        <f t="shared" si="401"/>
        <v>0</v>
      </c>
      <c r="HK310" s="409">
        <f t="shared" si="402"/>
        <v>0</v>
      </c>
      <c r="HL310" s="409">
        <f t="shared" si="402"/>
        <v>0</v>
      </c>
      <c r="HM310" s="409">
        <f t="shared" si="402"/>
        <v>0</v>
      </c>
      <c r="HN310" s="409">
        <f t="shared" si="402"/>
        <v>0</v>
      </c>
      <c r="HO310" s="409">
        <f t="shared" si="402"/>
        <v>0</v>
      </c>
      <c r="HP310" s="409">
        <f t="shared" si="402"/>
        <v>0</v>
      </c>
      <c r="HQ310" s="409">
        <f t="shared" si="402"/>
        <v>0</v>
      </c>
      <c r="HR310" s="409">
        <f t="shared" si="402"/>
        <v>0</v>
      </c>
      <c r="HS310" s="409">
        <f t="shared" si="402"/>
        <v>0</v>
      </c>
      <c r="HT310" s="409">
        <f t="shared" si="402"/>
        <v>0</v>
      </c>
      <c r="HU310" s="409">
        <f t="shared" si="403"/>
        <v>0</v>
      </c>
      <c r="HV310" s="409">
        <f t="shared" si="403"/>
        <v>0</v>
      </c>
      <c r="HW310" s="409">
        <f t="shared" si="403"/>
        <v>0</v>
      </c>
      <c r="HX310" s="409">
        <f t="shared" si="403"/>
        <v>0</v>
      </c>
      <c r="HY310" s="409">
        <f t="shared" si="403"/>
        <v>0</v>
      </c>
      <c r="HZ310" s="409">
        <f t="shared" si="403"/>
        <v>0</v>
      </c>
      <c r="IA310" s="409">
        <f t="shared" si="403"/>
        <v>0</v>
      </c>
      <c r="IB310" s="409">
        <f t="shared" si="403"/>
        <v>0</v>
      </c>
      <c r="IC310" s="409">
        <f t="shared" si="403"/>
        <v>0</v>
      </c>
      <c r="ID310" s="409">
        <f t="shared" si="403"/>
        <v>0</v>
      </c>
      <c r="IE310" s="409">
        <f t="shared" si="356"/>
        <v>0</v>
      </c>
      <c r="IF310" s="409">
        <f t="shared" si="356"/>
        <v>0</v>
      </c>
      <c r="IG310" s="409">
        <f t="shared" si="356"/>
        <v>0</v>
      </c>
      <c r="IH310" s="409">
        <f t="shared" si="356"/>
        <v>0</v>
      </c>
      <c r="II310" s="409">
        <f t="shared" si="356"/>
        <v>0</v>
      </c>
      <c r="IJ310" s="409">
        <f t="shared" si="356"/>
        <v>0</v>
      </c>
      <c r="IK310" s="378"/>
    </row>
    <row r="311" spans="1:245" hidden="1" x14ac:dyDescent="0.2">
      <c r="A311" s="380" t="str">
        <f t="shared" si="377"/>
        <v>e</v>
      </c>
      <c r="B311" s="712" t="str">
        <f>IF(ISERROR(INDEX('Legend(DX)'!$H$14:$H$15,24)),"",INDEX('Legend(DX)'!$H$14:$H$15,24))</f>
        <v/>
      </c>
      <c r="C311" s="712" t="e">
        <f>IF(INDEX('Legend(DX)'!$T$14:$T$15,24)=0,"See Legend",INDEX('Legend(DX)'!$T$14:$T$15,24))</f>
        <v>#REF!</v>
      </c>
      <c r="D311" s="712" t="e">
        <f>IF(INDEX('Legend(DX)'!$R$14:$R$15,24)=0,"---",INDEX('Legend(DX)'!$R$14:$R$15,24))</f>
        <v>#REF!</v>
      </c>
      <c r="E311" s="713" t="str">
        <f>IF(ISERROR(INDEX('Legend(DX)'!$AA$14:$AA$15,24)),"",INDEX('Legend(DX)'!$AA$14:$AA$15,24))</f>
        <v/>
      </c>
      <c r="F311" s="715"/>
      <c r="G311" s="715"/>
      <c r="H311" s="715"/>
      <c r="I311" s="715"/>
      <c r="J311" s="715"/>
      <c r="K311" s="890">
        <f t="shared" si="358"/>
        <v>0</v>
      </c>
      <c r="L311" s="718"/>
      <c r="M311" s="720"/>
      <c r="N311" s="972">
        <f t="shared" si="330"/>
        <v>-1</v>
      </c>
      <c r="O311" s="972">
        <f t="shared" si="378"/>
        <v>-1</v>
      </c>
      <c r="P311" s="972">
        <f t="shared" si="331"/>
        <v>-1</v>
      </c>
      <c r="Q311" s="972">
        <f t="shared" si="379"/>
        <v>-1</v>
      </c>
      <c r="R311" s="972">
        <f t="shared" si="332"/>
        <v>-1</v>
      </c>
      <c r="S311" s="972">
        <f t="shared" si="380"/>
        <v>-1</v>
      </c>
      <c r="T311" s="972">
        <f t="shared" si="333"/>
        <v>-1</v>
      </c>
      <c r="U311" s="972">
        <f t="shared" si="381"/>
        <v>-1</v>
      </c>
      <c r="V311" s="972">
        <f t="shared" si="334"/>
        <v>-1</v>
      </c>
      <c r="W311" s="972">
        <f t="shared" si="382"/>
        <v>-1</v>
      </c>
      <c r="X311" s="972">
        <f t="shared" si="335"/>
        <v>-1</v>
      </c>
      <c r="Y311" s="972">
        <f t="shared" si="364"/>
        <v>-1</v>
      </c>
      <c r="Z311" s="972">
        <f t="shared" si="365"/>
        <v>-1</v>
      </c>
      <c r="AA311" s="972">
        <f t="shared" si="366"/>
        <v>-1</v>
      </c>
      <c r="AB311" s="972">
        <f t="shared" si="367"/>
        <v>-1</v>
      </c>
      <c r="AC311" s="972">
        <f t="shared" si="368"/>
        <v>-1</v>
      </c>
      <c r="AD311" s="972">
        <f t="shared" si="369"/>
        <v>-1</v>
      </c>
      <c r="AE311" s="972">
        <f t="shared" si="370"/>
        <v>-1</v>
      </c>
      <c r="AF311" s="972">
        <f t="shared" si="371"/>
        <v>-1</v>
      </c>
      <c r="AG311" s="972">
        <f t="shared" si="372"/>
        <v>-1</v>
      </c>
      <c r="AH311" s="972">
        <f t="shared" si="373"/>
        <v>-1</v>
      </c>
      <c r="AI311" s="972">
        <f t="shared" si="374"/>
        <v>-1</v>
      </c>
      <c r="AJ311" s="972">
        <f t="shared" si="375"/>
        <v>-1</v>
      </c>
      <c r="AK311" s="381"/>
      <c r="AL311" s="727" t="str">
        <f t="shared" si="383"/>
        <v/>
      </c>
      <c r="AM311" s="409">
        <f t="shared" si="384"/>
        <v>0</v>
      </c>
      <c r="AN311" s="409">
        <f t="shared" si="384"/>
        <v>0</v>
      </c>
      <c r="AO311" s="409">
        <f t="shared" si="384"/>
        <v>0</v>
      </c>
      <c r="AP311" s="409">
        <f t="shared" si="384"/>
        <v>0</v>
      </c>
      <c r="AQ311" s="409">
        <f t="shared" si="384"/>
        <v>0</v>
      </c>
      <c r="AR311" s="409">
        <f t="shared" si="384"/>
        <v>0</v>
      </c>
      <c r="AS311" s="409">
        <f t="shared" si="384"/>
        <v>0</v>
      </c>
      <c r="AT311" s="409">
        <f t="shared" si="384"/>
        <v>0</v>
      </c>
      <c r="AU311" s="409">
        <f t="shared" si="384"/>
        <v>0</v>
      </c>
      <c r="AV311" s="409">
        <f t="shared" si="384"/>
        <v>0</v>
      </c>
      <c r="AW311" s="409">
        <f t="shared" si="385"/>
        <v>0</v>
      </c>
      <c r="AX311" s="409">
        <f t="shared" si="385"/>
        <v>0</v>
      </c>
      <c r="AY311" s="409">
        <f t="shared" si="385"/>
        <v>0</v>
      </c>
      <c r="AZ311" s="409">
        <f t="shared" si="385"/>
        <v>0</v>
      </c>
      <c r="BA311" s="409">
        <f t="shared" si="385"/>
        <v>0</v>
      </c>
      <c r="BB311" s="409">
        <f t="shared" si="385"/>
        <v>0</v>
      </c>
      <c r="BC311" s="409">
        <f t="shared" si="385"/>
        <v>0</v>
      </c>
      <c r="BD311" s="409">
        <f t="shared" si="385"/>
        <v>0</v>
      </c>
      <c r="BE311" s="409">
        <f t="shared" si="385"/>
        <v>0</v>
      </c>
      <c r="BF311" s="409">
        <f t="shared" si="385"/>
        <v>0</v>
      </c>
      <c r="BG311" s="409">
        <f t="shared" si="386"/>
        <v>0</v>
      </c>
      <c r="BH311" s="409">
        <f t="shared" si="386"/>
        <v>0</v>
      </c>
      <c r="BI311" s="409">
        <f t="shared" si="386"/>
        <v>0</v>
      </c>
      <c r="BJ311" s="409">
        <f t="shared" si="386"/>
        <v>0</v>
      </c>
      <c r="BK311" s="409">
        <f t="shared" si="386"/>
        <v>0</v>
      </c>
      <c r="BL311" s="409">
        <f t="shared" si="386"/>
        <v>0</v>
      </c>
      <c r="BM311" s="409">
        <f t="shared" si="386"/>
        <v>0</v>
      </c>
      <c r="BN311" s="409">
        <f t="shared" si="386"/>
        <v>0</v>
      </c>
      <c r="BO311" s="409">
        <f t="shared" si="386"/>
        <v>0</v>
      </c>
      <c r="BP311" s="409">
        <f t="shared" si="386"/>
        <v>0</v>
      </c>
      <c r="BQ311" s="409">
        <f t="shared" si="387"/>
        <v>0</v>
      </c>
      <c r="BR311" s="409">
        <f t="shared" si="387"/>
        <v>0</v>
      </c>
      <c r="BS311" s="409">
        <f t="shared" si="387"/>
        <v>0</v>
      </c>
      <c r="BT311" s="409">
        <f t="shared" si="387"/>
        <v>0</v>
      </c>
      <c r="BU311" s="409">
        <f t="shared" si="387"/>
        <v>0</v>
      </c>
      <c r="BV311" s="409">
        <f t="shared" si="387"/>
        <v>0</v>
      </c>
      <c r="BW311" s="409">
        <f t="shared" si="387"/>
        <v>0</v>
      </c>
      <c r="BX311" s="409">
        <f t="shared" si="387"/>
        <v>0</v>
      </c>
      <c r="BY311" s="409">
        <f t="shared" si="387"/>
        <v>0</v>
      </c>
      <c r="BZ311" s="409">
        <f t="shared" si="387"/>
        <v>0</v>
      </c>
      <c r="CA311" s="409">
        <f t="shared" si="388"/>
        <v>0</v>
      </c>
      <c r="CB311" s="409">
        <f t="shared" si="388"/>
        <v>0</v>
      </c>
      <c r="CC311" s="409">
        <f t="shared" si="388"/>
        <v>0</v>
      </c>
      <c r="CD311" s="409">
        <f t="shared" si="388"/>
        <v>0</v>
      </c>
      <c r="CE311" s="409">
        <f t="shared" si="388"/>
        <v>0</v>
      </c>
      <c r="CF311" s="409">
        <f t="shared" si="388"/>
        <v>0</v>
      </c>
      <c r="CG311" s="409">
        <f t="shared" si="388"/>
        <v>0</v>
      </c>
      <c r="CH311" s="409">
        <f t="shared" si="388"/>
        <v>0</v>
      </c>
      <c r="CI311" s="409">
        <f t="shared" si="388"/>
        <v>0</v>
      </c>
      <c r="CJ311" s="409">
        <f t="shared" si="388"/>
        <v>0</v>
      </c>
      <c r="CK311" s="409">
        <f t="shared" si="389"/>
        <v>0</v>
      </c>
      <c r="CL311" s="409">
        <f t="shared" si="389"/>
        <v>0</v>
      </c>
      <c r="CM311" s="409">
        <f t="shared" si="389"/>
        <v>0</v>
      </c>
      <c r="CN311" s="409">
        <f t="shared" si="389"/>
        <v>0</v>
      </c>
      <c r="CO311" s="409">
        <f t="shared" si="389"/>
        <v>0</v>
      </c>
      <c r="CP311" s="409">
        <f t="shared" si="389"/>
        <v>0</v>
      </c>
      <c r="CQ311" s="409">
        <f t="shared" si="389"/>
        <v>0</v>
      </c>
      <c r="CR311" s="409">
        <f t="shared" si="389"/>
        <v>0</v>
      </c>
      <c r="CS311" s="409">
        <f t="shared" si="389"/>
        <v>0</v>
      </c>
      <c r="CT311" s="409">
        <f t="shared" si="389"/>
        <v>0</v>
      </c>
      <c r="CU311" s="409">
        <f t="shared" si="390"/>
        <v>0</v>
      </c>
      <c r="CV311" s="409">
        <f t="shared" si="390"/>
        <v>0</v>
      </c>
      <c r="CW311" s="409">
        <f t="shared" si="390"/>
        <v>0</v>
      </c>
      <c r="CX311" s="409">
        <f t="shared" si="390"/>
        <v>0</v>
      </c>
      <c r="CY311" s="409">
        <f t="shared" si="390"/>
        <v>0</v>
      </c>
      <c r="CZ311" s="409">
        <f t="shared" si="390"/>
        <v>0</v>
      </c>
      <c r="DA311" s="409">
        <f t="shared" si="390"/>
        <v>0</v>
      </c>
      <c r="DB311" s="409">
        <f t="shared" si="390"/>
        <v>0</v>
      </c>
      <c r="DC311" s="409">
        <f t="shared" si="390"/>
        <v>0</v>
      </c>
      <c r="DD311" s="409">
        <f t="shared" si="390"/>
        <v>0</v>
      </c>
      <c r="DE311" s="409">
        <f t="shared" si="391"/>
        <v>0</v>
      </c>
      <c r="DF311" s="409">
        <f t="shared" si="391"/>
        <v>0</v>
      </c>
      <c r="DG311" s="409">
        <f t="shared" si="391"/>
        <v>0</v>
      </c>
      <c r="DH311" s="409">
        <f t="shared" si="391"/>
        <v>0</v>
      </c>
      <c r="DI311" s="409">
        <f t="shared" si="391"/>
        <v>0</v>
      </c>
      <c r="DJ311" s="409">
        <f t="shared" si="391"/>
        <v>0</v>
      </c>
      <c r="DK311" s="409">
        <f t="shared" si="391"/>
        <v>0</v>
      </c>
      <c r="DL311" s="409">
        <f t="shared" si="391"/>
        <v>0</v>
      </c>
      <c r="DM311" s="409">
        <f t="shared" si="391"/>
        <v>0</v>
      </c>
      <c r="DN311" s="409">
        <f t="shared" si="391"/>
        <v>0</v>
      </c>
      <c r="DO311" s="409">
        <f t="shared" si="392"/>
        <v>0</v>
      </c>
      <c r="DP311" s="409">
        <f t="shared" si="392"/>
        <v>0</v>
      </c>
      <c r="DQ311" s="409">
        <f t="shared" si="392"/>
        <v>0</v>
      </c>
      <c r="DR311" s="409">
        <f t="shared" si="392"/>
        <v>0</v>
      </c>
      <c r="DS311" s="409">
        <f t="shared" si="392"/>
        <v>0</v>
      </c>
      <c r="DT311" s="409">
        <f t="shared" si="392"/>
        <v>0</v>
      </c>
      <c r="DU311" s="409">
        <f t="shared" si="392"/>
        <v>0</v>
      </c>
      <c r="DV311" s="409">
        <f t="shared" si="392"/>
        <v>0</v>
      </c>
      <c r="DW311" s="409">
        <f t="shared" si="392"/>
        <v>0</v>
      </c>
      <c r="DX311" s="409">
        <f t="shared" si="392"/>
        <v>0</v>
      </c>
      <c r="DY311" s="409">
        <f t="shared" si="393"/>
        <v>0</v>
      </c>
      <c r="DZ311" s="409">
        <f t="shared" si="393"/>
        <v>0</v>
      </c>
      <c r="EA311" s="409">
        <f t="shared" si="393"/>
        <v>0</v>
      </c>
      <c r="EB311" s="409">
        <f t="shared" si="393"/>
        <v>0</v>
      </c>
      <c r="EC311" s="409">
        <f t="shared" si="393"/>
        <v>0</v>
      </c>
      <c r="ED311" s="409">
        <f t="shared" si="393"/>
        <v>0</v>
      </c>
      <c r="EE311" s="409">
        <f t="shared" si="393"/>
        <v>0</v>
      </c>
      <c r="EF311" s="409">
        <f t="shared" si="393"/>
        <v>0</v>
      </c>
      <c r="EG311" s="409">
        <f t="shared" si="393"/>
        <v>0</v>
      </c>
      <c r="EH311" s="409">
        <f t="shared" si="393"/>
        <v>0</v>
      </c>
      <c r="EI311" s="409">
        <f t="shared" si="394"/>
        <v>0</v>
      </c>
      <c r="EJ311" s="409">
        <f t="shared" si="394"/>
        <v>0</v>
      </c>
      <c r="EK311" s="409">
        <f t="shared" si="394"/>
        <v>0</v>
      </c>
      <c r="EL311" s="409">
        <f t="shared" si="394"/>
        <v>0</v>
      </c>
      <c r="EM311" s="409">
        <f t="shared" si="394"/>
        <v>0</v>
      </c>
      <c r="EN311" s="409">
        <f t="shared" si="394"/>
        <v>0</v>
      </c>
      <c r="EO311" s="409">
        <f t="shared" si="394"/>
        <v>0</v>
      </c>
      <c r="EP311" s="409">
        <f t="shared" si="394"/>
        <v>0</v>
      </c>
      <c r="EQ311" s="409">
        <f t="shared" si="394"/>
        <v>0</v>
      </c>
      <c r="ER311" s="409">
        <f t="shared" si="394"/>
        <v>0</v>
      </c>
      <c r="ES311" s="409">
        <f t="shared" si="395"/>
        <v>0</v>
      </c>
      <c r="ET311" s="409">
        <f t="shared" si="395"/>
        <v>0</v>
      </c>
      <c r="EU311" s="409">
        <f t="shared" si="395"/>
        <v>0</v>
      </c>
      <c r="EV311" s="409">
        <f t="shared" si="395"/>
        <v>0</v>
      </c>
      <c r="EW311" s="409">
        <f t="shared" si="395"/>
        <v>0</v>
      </c>
      <c r="EX311" s="409">
        <f t="shared" si="395"/>
        <v>0</v>
      </c>
      <c r="EY311" s="409">
        <f t="shared" si="395"/>
        <v>0</v>
      </c>
      <c r="EZ311" s="409">
        <f t="shared" si="395"/>
        <v>0</v>
      </c>
      <c r="FA311" s="409">
        <f t="shared" si="395"/>
        <v>0</v>
      </c>
      <c r="FB311" s="409">
        <f t="shared" si="395"/>
        <v>0</v>
      </c>
      <c r="FC311" s="409">
        <f t="shared" si="396"/>
        <v>0</v>
      </c>
      <c r="FD311" s="409">
        <f t="shared" si="396"/>
        <v>0</v>
      </c>
      <c r="FE311" s="409">
        <f t="shared" si="396"/>
        <v>0</v>
      </c>
      <c r="FF311" s="409">
        <f t="shared" si="396"/>
        <v>0</v>
      </c>
      <c r="FG311" s="409">
        <f t="shared" si="396"/>
        <v>0</v>
      </c>
      <c r="FH311" s="409">
        <f t="shared" si="396"/>
        <v>0</v>
      </c>
      <c r="FI311" s="409">
        <f t="shared" si="396"/>
        <v>0</v>
      </c>
      <c r="FJ311" s="409">
        <f t="shared" si="396"/>
        <v>0</v>
      </c>
      <c r="FK311" s="409">
        <f t="shared" si="396"/>
        <v>0</v>
      </c>
      <c r="FL311" s="409">
        <f t="shared" si="396"/>
        <v>0</v>
      </c>
      <c r="FM311" s="409">
        <f t="shared" si="397"/>
        <v>0</v>
      </c>
      <c r="FN311" s="409">
        <f t="shared" si="397"/>
        <v>0</v>
      </c>
      <c r="FO311" s="409">
        <f t="shared" si="397"/>
        <v>0</v>
      </c>
      <c r="FP311" s="409">
        <f t="shared" si="397"/>
        <v>0</v>
      </c>
      <c r="FQ311" s="409">
        <f t="shared" si="397"/>
        <v>0</v>
      </c>
      <c r="FR311" s="409">
        <f t="shared" si="397"/>
        <v>0</v>
      </c>
      <c r="FS311" s="409">
        <f t="shared" si="397"/>
        <v>0</v>
      </c>
      <c r="FT311" s="409">
        <f t="shared" si="397"/>
        <v>0</v>
      </c>
      <c r="FU311" s="409">
        <f t="shared" si="397"/>
        <v>0</v>
      </c>
      <c r="FV311" s="409">
        <f t="shared" si="397"/>
        <v>0</v>
      </c>
      <c r="FW311" s="409">
        <f t="shared" si="398"/>
        <v>0</v>
      </c>
      <c r="FX311" s="409">
        <f t="shared" si="398"/>
        <v>0</v>
      </c>
      <c r="FY311" s="409">
        <f t="shared" si="398"/>
        <v>0</v>
      </c>
      <c r="FZ311" s="409">
        <f t="shared" si="398"/>
        <v>0</v>
      </c>
      <c r="GA311" s="409">
        <f t="shared" si="398"/>
        <v>0</v>
      </c>
      <c r="GB311" s="409">
        <f t="shared" si="398"/>
        <v>0</v>
      </c>
      <c r="GC311" s="409">
        <f t="shared" si="398"/>
        <v>0</v>
      </c>
      <c r="GD311" s="409">
        <f t="shared" si="398"/>
        <v>0</v>
      </c>
      <c r="GE311" s="409">
        <f t="shared" si="398"/>
        <v>0</v>
      </c>
      <c r="GF311" s="409">
        <f t="shared" si="398"/>
        <v>0</v>
      </c>
      <c r="GG311" s="409">
        <f t="shared" si="399"/>
        <v>0</v>
      </c>
      <c r="GH311" s="409">
        <f t="shared" si="399"/>
        <v>0</v>
      </c>
      <c r="GI311" s="409">
        <f t="shared" si="399"/>
        <v>0</v>
      </c>
      <c r="GJ311" s="409">
        <f t="shared" si="399"/>
        <v>0</v>
      </c>
      <c r="GK311" s="409">
        <f t="shared" si="399"/>
        <v>0</v>
      </c>
      <c r="GL311" s="409">
        <f t="shared" si="399"/>
        <v>0</v>
      </c>
      <c r="GM311" s="409">
        <f t="shared" si="399"/>
        <v>0</v>
      </c>
      <c r="GN311" s="409">
        <f t="shared" si="399"/>
        <v>0</v>
      </c>
      <c r="GO311" s="409">
        <f t="shared" si="399"/>
        <v>0</v>
      </c>
      <c r="GP311" s="409">
        <f t="shared" si="399"/>
        <v>0</v>
      </c>
      <c r="GQ311" s="409">
        <f t="shared" si="400"/>
        <v>0</v>
      </c>
      <c r="GR311" s="409">
        <f t="shared" si="400"/>
        <v>0</v>
      </c>
      <c r="GS311" s="409">
        <f t="shared" si="400"/>
        <v>0</v>
      </c>
      <c r="GT311" s="409">
        <f t="shared" si="400"/>
        <v>0</v>
      </c>
      <c r="GU311" s="409">
        <f t="shared" si="400"/>
        <v>0</v>
      </c>
      <c r="GV311" s="409">
        <f t="shared" si="400"/>
        <v>0</v>
      </c>
      <c r="GW311" s="409">
        <f t="shared" si="400"/>
        <v>0</v>
      </c>
      <c r="GX311" s="409">
        <f t="shared" si="400"/>
        <v>0</v>
      </c>
      <c r="GY311" s="409">
        <f t="shared" si="400"/>
        <v>0</v>
      </c>
      <c r="GZ311" s="409">
        <f t="shared" si="400"/>
        <v>0</v>
      </c>
      <c r="HA311" s="409">
        <f t="shared" si="401"/>
        <v>0</v>
      </c>
      <c r="HB311" s="409">
        <f t="shared" si="401"/>
        <v>0</v>
      </c>
      <c r="HC311" s="409">
        <f t="shared" si="401"/>
        <v>0</v>
      </c>
      <c r="HD311" s="409">
        <f t="shared" si="401"/>
        <v>0</v>
      </c>
      <c r="HE311" s="409">
        <f t="shared" si="401"/>
        <v>0</v>
      </c>
      <c r="HF311" s="409">
        <f t="shared" si="401"/>
        <v>0</v>
      </c>
      <c r="HG311" s="409">
        <f t="shared" si="401"/>
        <v>0</v>
      </c>
      <c r="HH311" s="409">
        <f t="shared" si="401"/>
        <v>0</v>
      </c>
      <c r="HI311" s="409">
        <f t="shared" si="401"/>
        <v>0</v>
      </c>
      <c r="HJ311" s="409">
        <f t="shared" si="401"/>
        <v>0</v>
      </c>
      <c r="HK311" s="409">
        <f t="shared" si="402"/>
        <v>0</v>
      </c>
      <c r="HL311" s="409">
        <f t="shared" si="402"/>
        <v>0</v>
      </c>
      <c r="HM311" s="409">
        <f t="shared" si="402"/>
        <v>0</v>
      </c>
      <c r="HN311" s="409">
        <f t="shared" si="402"/>
        <v>0</v>
      </c>
      <c r="HO311" s="409">
        <f t="shared" si="402"/>
        <v>0</v>
      </c>
      <c r="HP311" s="409">
        <f t="shared" si="402"/>
        <v>0</v>
      </c>
      <c r="HQ311" s="409">
        <f t="shared" si="402"/>
        <v>0</v>
      </c>
      <c r="HR311" s="409">
        <f t="shared" si="402"/>
        <v>0</v>
      </c>
      <c r="HS311" s="409">
        <f t="shared" si="402"/>
        <v>0</v>
      </c>
      <c r="HT311" s="409">
        <f t="shared" si="402"/>
        <v>0</v>
      </c>
      <c r="HU311" s="409">
        <f t="shared" si="403"/>
        <v>0</v>
      </c>
      <c r="HV311" s="409">
        <f t="shared" si="403"/>
        <v>0</v>
      </c>
      <c r="HW311" s="409">
        <f t="shared" si="403"/>
        <v>0</v>
      </c>
      <c r="HX311" s="409">
        <f t="shared" si="403"/>
        <v>0</v>
      </c>
      <c r="HY311" s="409">
        <f t="shared" si="403"/>
        <v>0</v>
      </c>
      <c r="HZ311" s="409">
        <f t="shared" si="403"/>
        <v>0</v>
      </c>
      <c r="IA311" s="409">
        <f t="shared" si="403"/>
        <v>0</v>
      </c>
      <c r="IB311" s="409">
        <f t="shared" si="403"/>
        <v>0</v>
      </c>
      <c r="IC311" s="409">
        <f t="shared" si="403"/>
        <v>0</v>
      </c>
      <c r="ID311" s="409">
        <f t="shared" si="403"/>
        <v>0</v>
      </c>
      <c r="IE311" s="409">
        <f t="shared" si="356"/>
        <v>0</v>
      </c>
      <c r="IF311" s="409">
        <f t="shared" si="356"/>
        <v>0</v>
      </c>
      <c r="IG311" s="409">
        <f t="shared" si="356"/>
        <v>0</v>
      </c>
      <c r="IH311" s="409">
        <f t="shared" si="356"/>
        <v>0</v>
      </c>
      <c r="II311" s="409">
        <f t="shared" si="356"/>
        <v>0</v>
      </c>
      <c r="IJ311" s="409">
        <f t="shared" si="356"/>
        <v>0</v>
      </c>
      <c r="IK311" s="378"/>
    </row>
    <row r="312" spans="1:245" hidden="1" x14ac:dyDescent="0.2">
      <c r="A312" s="380" t="str">
        <f t="shared" si="357"/>
        <v>e</v>
      </c>
      <c r="B312" s="712" t="str">
        <f>IF(ISERROR(INDEX('Legend(DX)'!$H$14:$H$15,25)),"",INDEX('Legend(DX)'!$H$14:$H$15,25))</f>
        <v/>
      </c>
      <c r="C312" s="712" t="e">
        <f>IF(INDEX('Legend(DX)'!$T$14:$T$15,25)=0,"See Legend",INDEX('Legend(DX)'!$T$14:$T$15,25))</f>
        <v>#REF!</v>
      </c>
      <c r="D312" s="712" t="e">
        <f>IF(INDEX('Legend(DX)'!$R$14:$R$15,25)=0,"---",INDEX('Legend(DX)'!$R$14:$R$15,25))</f>
        <v>#REF!</v>
      </c>
      <c r="E312" s="713" t="str">
        <f>IF(ISERROR(INDEX('Legend(DX)'!$AA$14:$AA$15,25)),"",INDEX('Legend(DX)'!$AA$14:$AA$15,25))</f>
        <v/>
      </c>
      <c r="F312" s="715"/>
      <c r="G312" s="715"/>
      <c r="H312" s="715"/>
      <c r="I312" s="715"/>
      <c r="J312" s="715"/>
      <c r="K312" s="890">
        <f t="shared" si="358"/>
        <v>0</v>
      </c>
      <c r="L312" s="718"/>
      <c r="M312" s="720"/>
      <c r="N312" s="972">
        <f t="shared" si="330"/>
        <v>-1</v>
      </c>
      <c r="O312" s="972">
        <f t="shared" si="359"/>
        <v>-1</v>
      </c>
      <c r="P312" s="972">
        <f t="shared" si="331"/>
        <v>-1</v>
      </c>
      <c r="Q312" s="972">
        <f t="shared" si="360"/>
        <v>-1</v>
      </c>
      <c r="R312" s="972">
        <f t="shared" si="332"/>
        <v>-1</v>
      </c>
      <c r="S312" s="972">
        <f t="shared" si="361"/>
        <v>-1</v>
      </c>
      <c r="T312" s="972">
        <f t="shared" si="333"/>
        <v>-1</v>
      </c>
      <c r="U312" s="972">
        <f t="shared" si="362"/>
        <v>-1</v>
      </c>
      <c r="V312" s="972">
        <f t="shared" si="334"/>
        <v>-1</v>
      </c>
      <c r="W312" s="972">
        <f t="shared" si="363"/>
        <v>-1</v>
      </c>
      <c r="X312" s="972">
        <f t="shared" si="335"/>
        <v>-1</v>
      </c>
      <c r="Y312" s="972">
        <f t="shared" si="364"/>
        <v>-1</v>
      </c>
      <c r="Z312" s="972">
        <f t="shared" si="365"/>
        <v>-1</v>
      </c>
      <c r="AA312" s="972">
        <f t="shared" si="366"/>
        <v>-1</v>
      </c>
      <c r="AB312" s="972">
        <f t="shared" si="367"/>
        <v>-1</v>
      </c>
      <c r="AC312" s="972">
        <f t="shared" si="368"/>
        <v>-1</v>
      </c>
      <c r="AD312" s="972">
        <f t="shared" si="369"/>
        <v>-1</v>
      </c>
      <c r="AE312" s="972">
        <f t="shared" si="370"/>
        <v>-1</v>
      </c>
      <c r="AF312" s="972">
        <f t="shared" si="371"/>
        <v>-1</v>
      </c>
      <c r="AG312" s="972">
        <f t="shared" si="372"/>
        <v>-1</v>
      </c>
      <c r="AH312" s="972">
        <f t="shared" si="373"/>
        <v>-1</v>
      </c>
      <c r="AI312" s="972">
        <f t="shared" si="374"/>
        <v>-1</v>
      </c>
      <c r="AJ312" s="972">
        <f t="shared" si="375"/>
        <v>-1</v>
      </c>
      <c r="AK312" s="381"/>
      <c r="AL312" s="727" t="str">
        <f t="shared" si="376"/>
        <v/>
      </c>
      <c r="AM312" s="409">
        <f t="shared" si="336"/>
        <v>0</v>
      </c>
      <c r="AN312" s="409">
        <f t="shared" si="336"/>
        <v>0</v>
      </c>
      <c r="AO312" s="409">
        <f t="shared" si="336"/>
        <v>0</v>
      </c>
      <c r="AP312" s="409">
        <f t="shared" si="336"/>
        <v>0</v>
      </c>
      <c r="AQ312" s="409">
        <f t="shared" si="336"/>
        <v>0</v>
      </c>
      <c r="AR312" s="409">
        <f t="shared" si="336"/>
        <v>0</v>
      </c>
      <c r="AS312" s="409">
        <f t="shared" si="336"/>
        <v>0</v>
      </c>
      <c r="AT312" s="409">
        <f t="shared" si="336"/>
        <v>0</v>
      </c>
      <c r="AU312" s="409">
        <f t="shared" si="336"/>
        <v>0</v>
      </c>
      <c r="AV312" s="409">
        <f t="shared" si="336"/>
        <v>0</v>
      </c>
      <c r="AW312" s="409">
        <f t="shared" si="337"/>
        <v>0</v>
      </c>
      <c r="AX312" s="409">
        <f t="shared" si="337"/>
        <v>0</v>
      </c>
      <c r="AY312" s="409">
        <f t="shared" si="337"/>
        <v>0</v>
      </c>
      <c r="AZ312" s="409">
        <f t="shared" si="337"/>
        <v>0</v>
      </c>
      <c r="BA312" s="409">
        <f t="shared" si="337"/>
        <v>0</v>
      </c>
      <c r="BB312" s="409">
        <f t="shared" si="337"/>
        <v>0</v>
      </c>
      <c r="BC312" s="409">
        <f t="shared" si="337"/>
        <v>0</v>
      </c>
      <c r="BD312" s="409">
        <f t="shared" si="337"/>
        <v>0</v>
      </c>
      <c r="BE312" s="409">
        <f t="shared" si="337"/>
        <v>0</v>
      </c>
      <c r="BF312" s="409">
        <f t="shared" si="337"/>
        <v>0</v>
      </c>
      <c r="BG312" s="409">
        <f t="shared" si="338"/>
        <v>0</v>
      </c>
      <c r="BH312" s="409">
        <f t="shared" si="338"/>
        <v>0</v>
      </c>
      <c r="BI312" s="409">
        <f t="shared" si="338"/>
        <v>0</v>
      </c>
      <c r="BJ312" s="409">
        <f t="shared" si="338"/>
        <v>0</v>
      </c>
      <c r="BK312" s="409">
        <f t="shared" si="338"/>
        <v>0</v>
      </c>
      <c r="BL312" s="409">
        <f t="shared" si="338"/>
        <v>0</v>
      </c>
      <c r="BM312" s="409">
        <f t="shared" si="338"/>
        <v>0</v>
      </c>
      <c r="BN312" s="409">
        <f t="shared" si="338"/>
        <v>0</v>
      </c>
      <c r="BO312" s="409">
        <f t="shared" si="338"/>
        <v>0</v>
      </c>
      <c r="BP312" s="409">
        <f t="shared" si="338"/>
        <v>0</v>
      </c>
      <c r="BQ312" s="409">
        <f t="shared" si="339"/>
        <v>0</v>
      </c>
      <c r="BR312" s="409">
        <f t="shared" si="339"/>
        <v>0</v>
      </c>
      <c r="BS312" s="409">
        <f t="shared" si="339"/>
        <v>0</v>
      </c>
      <c r="BT312" s="409">
        <f t="shared" si="339"/>
        <v>0</v>
      </c>
      <c r="BU312" s="409">
        <f t="shared" si="339"/>
        <v>0</v>
      </c>
      <c r="BV312" s="409">
        <f t="shared" si="339"/>
        <v>0</v>
      </c>
      <c r="BW312" s="409">
        <f t="shared" si="339"/>
        <v>0</v>
      </c>
      <c r="BX312" s="409">
        <f t="shared" si="339"/>
        <v>0</v>
      </c>
      <c r="BY312" s="409">
        <f t="shared" si="339"/>
        <v>0</v>
      </c>
      <c r="BZ312" s="409">
        <f t="shared" si="339"/>
        <v>0</v>
      </c>
      <c r="CA312" s="409">
        <f t="shared" si="340"/>
        <v>0</v>
      </c>
      <c r="CB312" s="409">
        <f t="shared" si="340"/>
        <v>0</v>
      </c>
      <c r="CC312" s="409">
        <f t="shared" si="340"/>
        <v>0</v>
      </c>
      <c r="CD312" s="409">
        <f t="shared" si="340"/>
        <v>0</v>
      </c>
      <c r="CE312" s="409">
        <f t="shared" si="340"/>
        <v>0</v>
      </c>
      <c r="CF312" s="409">
        <f t="shared" si="340"/>
        <v>0</v>
      </c>
      <c r="CG312" s="409">
        <f t="shared" si="340"/>
        <v>0</v>
      </c>
      <c r="CH312" s="409">
        <f t="shared" si="340"/>
        <v>0</v>
      </c>
      <c r="CI312" s="409">
        <f t="shared" si="340"/>
        <v>0</v>
      </c>
      <c r="CJ312" s="409">
        <f t="shared" si="340"/>
        <v>0</v>
      </c>
      <c r="CK312" s="409">
        <f t="shared" si="341"/>
        <v>0</v>
      </c>
      <c r="CL312" s="409">
        <f t="shared" si="341"/>
        <v>0</v>
      </c>
      <c r="CM312" s="409">
        <f t="shared" si="341"/>
        <v>0</v>
      </c>
      <c r="CN312" s="409">
        <f t="shared" si="341"/>
        <v>0</v>
      </c>
      <c r="CO312" s="409">
        <f t="shared" si="341"/>
        <v>0</v>
      </c>
      <c r="CP312" s="409">
        <f t="shared" si="341"/>
        <v>0</v>
      </c>
      <c r="CQ312" s="409">
        <f t="shared" si="341"/>
        <v>0</v>
      </c>
      <c r="CR312" s="409">
        <f t="shared" si="341"/>
        <v>0</v>
      </c>
      <c r="CS312" s="409">
        <f t="shared" si="341"/>
        <v>0</v>
      </c>
      <c r="CT312" s="409">
        <f t="shared" si="341"/>
        <v>0</v>
      </c>
      <c r="CU312" s="409">
        <f t="shared" si="342"/>
        <v>0</v>
      </c>
      <c r="CV312" s="409">
        <f t="shared" si="342"/>
        <v>0</v>
      </c>
      <c r="CW312" s="409">
        <f t="shared" si="342"/>
        <v>0</v>
      </c>
      <c r="CX312" s="409">
        <f t="shared" si="342"/>
        <v>0</v>
      </c>
      <c r="CY312" s="409">
        <f t="shared" si="342"/>
        <v>0</v>
      </c>
      <c r="CZ312" s="409">
        <f t="shared" si="342"/>
        <v>0</v>
      </c>
      <c r="DA312" s="409">
        <f t="shared" si="342"/>
        <v>0</v>
      </c>
      <c r="DB312" s="409">
        <f t="shared" si="342"/>
        <v>0</v>
      </c>
      <c r="DC312" s="409">
        <f t="shared" si="342"/>
        <v>0</v>
      </c>
      <c r="DD312" s="409">
        <f t="shared" si="342"/>
        <v>0</v>
      </c>
      <c r="DE312" s="409">
        <f t="shared" si="343"/>
        <v>0</v>
      </c>
      <c r="DF312" s="409">
        <f t="shared" si="343"/>
        <v>0</v>
      </c>
      <c r="DG312" s="409">
        <f t="shared" si="343"/>
        <v>0</v>
      </c>
      <c r="DH312" s="409">
        <f t="shared" si="343"/>
        <v>0</v>
      </c>
      <c r="DI312" s="409">
        <f t="shared" si="343"/>
        <v>0</v>
      </c>
      <c r="DJ312" s="409">
        <f t="shared" si="343"/>
        <v>0</v>
      </c>
      <c r="DK312" s="409">
        <f t="shared" si="343"/>
        <v>0</v>
      </c>
      <c r="DL312" s="409">
        <f t="shared" si="343"/>
        <v>0</v>
      </c>
      <c r="DM312" s="409">
        <f t="shared" si="343"/>
        <v>0</v>
      </c>
      <c r="DN312" s="409">
        <f t="shared" si="343"/>
        <v>0</v>
      </c>
      <c r="DO312" s="409">
        <f t="shared" si="344"/>
        <v>0</v>
      </c>
      <c r="DP312" s="409">
        <f t="shared" si="344"/>
        <v>0</v>
      </c>
      <c r="DQ312" s="409">
        <f t="shared" si="344"/>
        <v>0</v>
      </c>
      <c r="DR312" s="409">
        <f t="shared" si="344"/>
        <v>0</v>
      </c>
      <c r="DS312" s="409">
        <f t="shared" si="344"/>
        <v>0</v>
      </c>
      <c r="DT312" s="409">
        <f t="shared" si="344"/>
        <v>0</v>
      </c>
      <c r="DU312" s="409">
        <f t="shared" si="344"/>
        <v>0</v>
      </c>
      <c r="DV312" s="409">
        <f t="shared" si="344"/>
        <v>0</v>
      </c>
      <c r="DW312" s="409">
        <f t="shared" si="344"/>
        <v>0</v>
      </c>
      <c r="DX312" s="409">
        <f t="shared" si="344"/>
        <v>0</v>
      </c>
      <c r="DY312" s="409">
        <f t="shared" si="345"/>
        <v>0</v>
      </c>
      <c r="DZ312" s="409">
        <f t="shared" si="345"/>
        <v>0</v>
      </c>
      <c r="EA312" s="409">
        <f t="shared" si="345"/>
        <v>0</v>
      </c>
      <c r="EB312" s="409">
        <f t="shared" si="345"/>
        <v>0</v>
      </c>
      <c r="EC312" s="409">
        <f t="shared" si="345"/>
        <v>0</v>
      </c>
      <c r="ED312" s="409">
        <f t="shared" si="345"/>
        <v>0</v>
      </c>
      <c r="EE312" s="409">
        <f t="shared" si="345"/>
        <v>0</v>
      </c>
      <c r="EF312" s="409">
        <f t="shared" si="345"/>
        <v>0</v>
      </c>
      <c r="EG312" s="409">
        <f t="shared" si="345"/>
        <v>0</v>
      </c>
      <c r="EH312" s="409">
        <f t="shared" si="345"/>
        <v>0</v>
      </c>
      <c r="EI312" s="409">
        <f t="shared" si="346"/>
        <v>0</v>
      </c>
      <c r="EJ312" s="409">
        <f t="shared" si="346"/>
        <v>0</v>
      </c>
      <c r="EK312" s="409">
        <f t="shared" si="346"/>
        <v>0</v>
      </c>
      <c r="EL312" s="409">
        <f t="shared" si="346"/>
        <v>0</v>
      </c>
      <c r="EM312" s="409">
        <f t="shared" si="346"/>
        <v>0</v>
      </c>
      <c r="EN312" s="409">
        <f t="shared" si="346"/>
        <v>0</v>
      </c>
      <c r="EO312" s="409">
        <f t="shared" si="346"/>
        <v>0</v>
      </c>
      <c r="EP312" s="409">
        <f t="shared" si="346"/>
        <v>0</v>
      </c>
      <c r="EQ312" s="409">
        <f t="shared" si="346"/>
        <v>0</v>
      </c>
      <c r="ER312" s="409">
        <f t="shared" si="346"/>
        <v>0</v>
      </c>
      <c r="ES312" s="409">
        <f t="shared" si="347"/>
        <v>0</v>
      </c>
      <c r="ET312" s="409">
        <f t="shared" si="347"/>
        <v>0</v>
      </c>
      <c r="EU312" s="409">
        <f t="shared" si="347"/>
        <v>0</v>
      </c>
      <c r="EV312" s="409">
        <f t="shared" si="347"/>
        <v>0</v>
      </c>
      <c r="EW312" s="409">
        <f t="shared" si="347"/>
        <v>0</v>
      </c>
      <c r="EX312" s="409">
        <f t="shared" si="347"/>
        <v>0</v>
      </c>
      <c r="EY312" s="409">
        <f t="shared" si="347"/>
        <v>0</v>
      </c>
      <c r="EZ312" s="409">
        <f t="shared" si="347"/>
        <v>0</v>
      </c>
      <c r="FA312" s="409">
        <f t="shared" si="347"/>
        <v>0</v>
      </c>
      <c r="FB312" s="409">
        <f t="shared" si="347"/>
        <v>0</v>
      </c>
      <c r="FC312" s="409">
        <f t="shared" si="348"/>
        <v>0</v>
      </c>
      <c r="FD312" s="409">
        <f t="shared" si="348"/>
        <v>0</v>
      </c>
      <c r="FE312" s="409">
        <f t="shared" si="348"/>
        <v>0</v>
      </c>
      <c r="FF312" s="409">
        <f t="shared" si="348"/>
        <v>0</v>
      </c>
      <c r="FG312" s="409">
        <f t="shared" si="348"/>
        <v>0</v>
      </c>
      <c r="FH312" s="409">
        <f t="shared" si="348"/>
        <v>0</v>
      </c>
      <c r="FI312" s="409">
        <f t="shared" si="348"/>
        <v>0</v>
      </c>
      <c r="FJ312" s="409">
        <f t="shared" si="348"/>
        <v>0</v>
      </c>
      <c r="FK312" s="409">
        <f t="shared" si="348"/>
        <v>0</v>
      </c>
      <c r="FL312" s="409">
        <f t="shared" si="348"/>
        <v>0</v>
      </c>
      <c r="FM312" s="409">
        <f t="shared" si="349"/>
        <v>0</v>
      </c>
      <c r="FN312" s="409">
        <f t="shared" si="349"/>
        <v>0</v>
      </c>
      <c r="FO312" s="409">
        <f t="shared" si="349"/>
        <v>0</v>
      </c>
      <c r="FP312" s="409">
        <f t="shared" si="349"/>
        <v>0</v>
      </c>
      <c r="FQ312" s="409">
        <f t="shared" si="349"/>
        <v>0</v>
      </c>
      <c r="FR312" s="409">
        <f t="shared" si="349"/>
        <v>0</v>
      </c>
      <c r="FS312" s="409">
        <f t="shared" si="349"/>
        <v>0</v>
      </c>
      <c r="FT312" s="409">
        <f t="shared" si="349"/>
        <v>0</v>
      </c>
      <c r="FU312" s="409">
        <f t="shared" si="349"/>
        <v>0</v>
      </c>
      <c r="FV312" s="409">
        <f t="shared" si="349"/>
        <v>0</v>
      </c>
      <c r="FW312" s="409">
        <f t="shared" si="350"/>
        <v>0</v>
      </c>
      <c r="FX312" s="409">
        <f t="shared" si="350"/>
        <v>0</v>
      </c>
      <c r="FY312" s="409">
        <f t="shared" si="350"/>
        <v>0</v>
      </c>
      <c r="FZ312" s="409">
        <f t="shared" si="350"/>
        <v>0</v>
      </c>
      <c r="GA312" s="409">
        <f t="shared" si="350"/>
        <v>0</v>
      </c>
      <c r="GB312" s="409">
        <f t="shared" si="350"/>
        <v>0</v>
      </c>
      <c r="GC312" s="409">
        <f t="shared" si="350"/>
        <v>0</v>
      </c>
      <c r="GD312" s="409">
        <f t="shared" si="350"/>
        <v>0</v>
      </c>
      <c r="GE312" s="409">
        <f t="shared" si="350"/>
        <v>0</v>
      </c>
      <c r="GF312" s="409">
        <f t="shared" si="350"/>
        <v>0</v>
      </c>
      <c r="GG312" s="409">
        <f t="shared" si="351"/>
        <v>0</v>
      </c>
      <c r="GH312" s="409">
        <f t="shared" si="351"/>
        <v>0</v>
      </c>
      <c r="GI312" s="409">
        <f t="shared" si="351"/>
        <v>0</v>
      </c>
      <c r="GJ312" s="409">
        <f t="shared" si="351"/>
        <v>0</v>
      </c>
      <c r="GK312" s="409">
        <f t="shared" si="351"/>
        <v>0</v>
      </c>
      <c r="GL312" s="409">
        <f t="shared" si="351"/>
        <v>0</v>
      </c>
      <c r="GM312" s="409">
        <f t="shared" si="351"/>
        <v>0</v>
      </c>
      <c r="GN312" s="409">
        <f t="shared" si="351"/>
        <v>0</v>
      </c>
      <c r="GO312" s="409">
        <f t="shared" si="351"/>
        <v>0</v>
      </c>
      <c r="GP312" s="409">
        <f t="shared" si="351"/>
        <v>0</v>
      </c>
      <c r="GQ312" s="409">
        <f t="shared" si="352"/>
        <v>0</v>
      </c>
      <c r="GR312" s="409">
        <f t="shared" si="352"/>
        <v>0</v>
      </c>
      <c r="GS312" s="409">
        <f t="shared" si="352"/>
        <v>0</v>
      </c>
      <c r="GT312" s="409">
        <f t="shared" si="352"/>
        <v>0</v>
      </c>
      <c r="GU312" s="409">
        <f t="shared" si="352"/>
        <v>0</v>
      </c>
      <c r="GV312" s="409">
        <f t="shared" si="352"/>
        <v>0</v>
      </c>
      <c r="GW312" s="409">
        <f t="shared" si="352"/>
        <v>0</v>
      </c>
      <c r="GX312" s="409">
        <f t="shared" si="352"/>
        <v>0</v>
      </c>
      <c r="GY312" s="409">
        <f t="shared" si="352"/>
        <v>0</v>
      </c>
      <c r="GZ312" s="409">
        <f t="shared" si="352"/>
        <v>0</v>
      </c>
      <c r="HA312" s="409">
        <f t="shared" si="353"/>
        <v>0</v>
      </c>
      <c r="HB312" s="409">
        <f t="shared" si="353"/>
        <v>0</v>
      </c>
      <c r="HC312" s="409">
        <f t="shared" si="353"/>
        <v>0</v>
      </c>
      <c r="HD312" s="409">
        <f t="shared" si="353"/>
        <v>0</v>
      </c>
      <c r="HE312" s="409">
        <f t="shared" si="353"/>
        <v>0</v>
      </c>
      <c r="HF312" s="409">
        <f t="shared" si="353"/>
        <v>0</v>
      </c>
      <c r="HG312" s="409">
        <f t="shared" si="353"/>
        <v>0</v>
      </c>
      <c r="HH312" s="409">
        <f t="shared" si="353"/>
        <v>0</v>
      </c>
      <c r="HI312" s="409">
        <f t="shared" si="353"/>
        <v>0</v>
      </c>
      <c r="HJ312" s="409">
        <f t="shared" si="353"/>
        <v>0</v>
      </c>
      <c r="HK312" s="409">
        <f t="shared" si="354"/>
        <v>0</v>
      </c>
      <c r="HL312" s="409">
        <f t="shared" si="354"/>
        <v>0</v>
      </c>
      <c r="HM312" s="409">
        <f t="shared" si="354"/>
        <v>0</v>
      </c>
      <c r="HN312" s="409">
        <f t="shared" si="354"/>
        <v>0</v>
      </c>
      <c r="HO312" s="409">
        <f t="shared" si="354"/>
        <v>0</v>
      </c>
      <c r="HP312" s="409">
        <f t="shared" si="354"/>
        <v>0</v>
      </c>
      <c r="HQ312" s="409">
        <f t="shared" si="354"/>
        <v>0</v>
      </c>
      <c r="HR312" s="409">
        <f t="shared" si="354"/>
        <v>0</v>
      </c>
      <c r="HS312" s="409">
        <f t="shared" si="354"/>
        <v>0</v>
      </c>
      <c r="HT312" s="409">
        <f t="shared" si="354"/>
        <v>0</v>
      </c>
      <c r="HU312" s="409">
        <f t="shared" si="355"/>
        <v>0</v>
      </c>
      <c r="HV312" s="409">
        <f t="shared" si="355"/>
        <v>0</v>
      </c>
      <c r="HW312" s="409">
        <f t="shared" si="355"/>
        <v>0</v>
      </c>
      <c r="HX312" s="409">
        <f t="shared" si="355"/>
        <v>0</v>
      </c>
      <c r="HY312" s="409">
        <f t="shared" si="355"/>
        <v>0</v>
      </c>
      <c r="HZ312" s="409">
        <f t="shared" si="355"/>
        <v>0</v>
      </c>
      <c r="IA312" s="409">
        <f t="shared" si="355"/>
        <v>0</v>
      </c>
      <c r="IB312" s="409">
        <f t="shared" si="355"/>
        <v>0</v>
      </c>
      <c r="IC312" s="409">
        <f t="shared" si="355"/>
        <v>0</v>
      </c>
      <c r="ID312" s="409">
        <f t="shared" si="355"/>
        <v>0</v>
      </c>
      <c r="IE312" s="409">
        <f t="shared" si="356"/>
        <v>0</v>
      </c>
      <c r="IF312" s="409">
        <f t="shared" si="356"/>
        <v>0</v>
      </c>
      <c r="IG312" s="409">
        <f t="shared" si="356"/>
        <v>0</v>
      </c>
      <c r="IH312" s="409">
        <f t="shared" si="356"/>
        <v>0</v>
      </c>
      <c r="II312" s="409">
        <f t="shared" si="356"/>
        <v>0</v>
      </c>
      <c r="IJ312" s="409">
        <f t="shared" si="356"/>
        <v>0</v>
      </c>
      <c r="IK312" s="378"/>
    </row>
    <row r="313" spans="1:245" hidden="1" x14ac:dyDescent="0.2">
      <c r="A313" s="380" t="str">
        <f t="shared" si="357"/>
        <v>e</v>
      </c>
      <c r="B313" s="712" t="str">
        <f>IF(ISERROR(INDEX('Legend(DX)'!$H$14:$H$15,26)),"",INDEX('Legend(DX)'!$H$14:$H$15,26))</f>
        <v/>
      </c>
      <c r="C313" s="712" t="e">
        <f>IF(INDEX('Legend(DX)'!$T$14:$T$15,26)=0,"See Legend",INDEX('Legend(DX)'!$T$14:$T$15,26))</f>
        <v>#REF!</v>
      </c>
      <c r="D313" s="712" t="e">
        <f>IF(INDEX('Legend(DX)'!$R$14:$R$15,26)=0,"---",INDEX('Legend(DX)'!$R$14:$R$15,26))</f>
        <v>#REF!</v>
      </c>
      <c r="E313" s="713" t="str">
        <f>IF(ISERROR(INDEX('Legend(DX)'!$AA$14:$AA$15,26)),"",INDEX('Legend(DX)'!$AA$14:$AA$15,26))</f>
        <v/>
      </c>
      <c r="F313" s="715"/>
      <c r="G313" s="715"/>
      <c r="H313" s="715"/>
      <c r="I313" s="715"/>
      <c r="J313" s="715"/>
      <c r="K313" s="890">
        <f t="shared" si="358"/>
        <v>0</v>
      </c>
      <c r="L313" s="718"/>
      <c r="M313" s="720"/>
      <c r="N313" s="972">
        <f t="shared" si="330"/>
        <v>-1</v>
      </c>
      <c r="O313" s="972">
        <f t="shared" si="359"/>
        <v>-1</v>
      </c>
      <c r="P313" s="972">
        <f t="shared" si="331"/>
        <v>-1</v>
      </c>
      <c r="Q313" s="972">
        <f t="shared" si="360"/>
        <v>-1</v>
      </c>
      <c r="R313" s="972">
        <f t="shared" si="332"/>
        <v>-1</v>
      </c>
      <c r="S313" s="972">
        <f t="shared" si="361"/>
        <v>-1</v>
      </c>
      <c r="T313" s="972">
        <f t="shared" si="333"/>
        <v>-1</v>
      </c>
      <c r="U313" s="972">
        <f t="shared" si="362"/>
        <v>-1</v>
      </c>
      <c r="V313" s="972">
        <f t="shared" si="334"/>
        <v>-1</v>
      </c>
      <c r="W313" s="972">
        <f t="shared" si="363"/>
        <v>-1</v>
      </c>
      <c r="X313" s="972">
        <f t="shared" si="335"/>
        <v>-1</v>
      </c>
      <c r="Y313" s="972">
        <f t="shared" si="364"/>
        <v>-1</v>
      </c>
      <c r="Z313" s="972">
        <f t="shared" si="365"/>
        <v>-1</v>
      </c>
      <c r="AA313" s="972">
        <f t="shared" si="366"/>
        <v>-1</v>
      </c>
      <c r="AB313" s="972">
        <f t="shared" si="367"/>
        <v>-1</v>
      </c>
      <c r="AC313" s="972">
        <f t="shared" si="368"/>
        <v>-1</v>
      </c>
      <c r="AD313" s="972">
        <f t="shared" si="369"/>
        <v>-1</v>
      </c>
      <c r="AE313" s="972">
        <f t="shared" si="370"/>
        <v>-1</v>
      </c>
      <c r="AF313" s="972">
        <f t="shared" si="371"/>
        <v>-1</v>
      </c>
      <c r="AG313" s="972">
        <f t="shared" si="372"/>
        <v>-1</v>
      </c>
      <c r="AH313" s="972">
        <f t="shared" si="373"/>
        <v>-1</v>
      </c>
      <c r="AI313" s="972">
        <f t="shared" si="374"/>
        <v>-1</v>
      </c>
      <c r="AJ313" s="972">
        <f t="shared" si="375"/>
        <v>-1</v>
      </c>
      <c r="AK313" s="381"/>
      <c r="AL313" s="727" t="str">
        <f t="shared" si="376"/>
        <v/>
      </c>
      <c r="AM313" s="409">
        <f t="shared" si="336"/>
        <v>0</v>
      </c>
      <c r="AN313" s="409">
        <f t="shared" si="336"/>
        <v>0</v>
      </c>
      <c r="AO313" s="409">
        <f t="shared" si="336"/>
        <v>0</v>
      </c>
      <c r="AP313" s="409">
        <f t="shared" si="336"/>
        <v>0</v>
      </c>
      <c r="AQ313" s="409">
        <f t="shared" si="336"/>
        <v>0</v>
      </c>
      <c r="AR313" s="409">
        <f t="shared" si="336"/>
        <v>0</v>
      </c>
      <c r="AS313" s="409">
        <f t="shared" si="336"/>
        <v>0</v>
      </c>
      <c r="AT313" s="409">
        <f t="shared" si="336"/>
        <v>0</v>
      </c>
      <c r="AU313" s="409">
        <f t="shared" si="336"/>
        <v>0</v>
      </c>
      <c r="AV313" s="409">
        <f t="shared" si="336"/>
        <v>0</v>
      </c>
      <c r="AW313" s="409">
        <f t="shared" si="337"/>
        <v>0</v>
      </c>
      <c r="AX313" s="409">
        <f t="shared" si="337"/>
        <v>0</v>
      </c>
      <c r="AY313" s="409">
        <f t="shared" si="337"/>
        <v>0</v>
      </c>
      <c r="AZ313" s="409">
        <f t="shared" si="337"/>
        <v>0</v>
      </c>
      <c r="BA313" s="409">
        <f t="shared" si="337"/>
        <v>0</v>
      </c>
      <c r="BB313" s="409">
        <f t="shared" si="337"/>
        <v>0</v>
      </c>
      <c r="BC313" s="409">
        <f t="shared" si="337"/>
        <v>0</v>
      </c>
      <c r="BD313" s="409">
        <f t="shared" si="337"/>
        <v>0</v>
      </c>
      <c r="BE313" s="409">
        <f t="shared" si="337"/>
        <v>0</v>
      </c>
      <c r="BF313" s="409">
        <f t="shared" si="337"/>
        <v>0</v>
      </c>
      <c r="BG313" s="409">
        <f t="shared" si="338"/>
        <v>0</v>
      </c>
      <c r="BH313" s="409">
        <f t="shared" si="338"/>
        <v>0</v>
      </c>
      <c r="BI313" s="409">
        <f t="shared" si="338"/>
        <v>0</v>
      </c>
      <c r="BJ313" s="409">
        <f t="shared" si="338"/>
        <v>0</v>
      </c>
      <c r="BK313" s="409">
        <f t="shared" si="338"/>
        <v>0</v>
      </c>
      <c r="BL313" s="409">
        <f t="shared" si="338"/>
        <v>0</v>
      </c>
      <c r="BM313" s="409">
        <f t="shared" si="338"/>
        <v>0</v>
      </c>
      <c r="BN313" s="409">
        <f t="shared" si="338"/>
        <v>0</v>
      </c>
      <c r="BO313" s="409">
        <f t="shared" si="338"/>
        <v>0</v>
      </c>
      <c r="BP313" s="409">
        <f t="shared" si="338"/>
        <v>0</v>
      </c>
      <c r="BQ313" s="409">
        <f t="shared" si="339"/>
        <v>0</v>
      </c>
      <c r="BR313" s="409">
        <f t="shared" si="339"/>
        <v>0</v>
      </c>
      <c r="BS313" s="409">
        <f t="shared" si="339"/>
        <v>0</v>
      </c>
      <c r="BT313" s="409">
        <f t="shared" si="339"/>
        <v>0</v>
      </c>
      <c r="BU313" s="409">
        <f t="shared" si="339"/>
        <v>0</v>
      </c>
      <c r="BV313" s="409">
        <f t="shared" si="339"/>
        <v>0</v>
      </c>
      <c r="BW313" s="409">
        <f t="shared" si="339"/>
        <v>0</v>
      </c>
      <c r="BX313" s="409">
        <f t="shared" si="339"/>
        <v>0</v>
      </c>
      <c r="BY313" s="409">
        <f t="shared" si="339"/>
        <v>0</v>
      </c>
      <c r="BZ313" s="409">
        <f t="shared" si="339"/>
        <v>0</v>
      </c>
      <c r="CA313" s="409">
        <f t="shared" si="340"/>
        <v>0</v>
      </c>
      <c r="CB313" s="409">
        <f t="shared" si="340"/>
        <v>0</v>
      </c>
      <c r="CC313" s="409">
        <f t="shared" si="340"/>
        <v>0</v>
      </c>
      <c r="CD313" s="409">
        <f t="shared" si="340"/>
        <v>0</v>
      </c>
      <c r="CE313" s="409">
        <f t="shared" si="340"/>
        <v>0</v>
      </c>
      <c r="CF313" s="409">
        <f t="shared" si="340"/>
        <v>0</v>
      </c>
      <c r="CG313" s="409">
        <f t="shared" si="340"/>
        <v>0</v>
      </c>
      <c r="CH313" s="409">
        <f t="shared" si="340"/>
        <v>0</v>
      </c>
      <c r="CI313" s="409">
        <f t="shared" si="340"/>
        <v>0</v>
      </c>
      <c r="CJ313" s="409">
        <f t="shared" si="340"/>
        <v>0</v>
      </c>
      <c r="CK313" s="409">
        <f t="shared" si="341"/>
        <v>0</v>
      </c>
      <c r="CL313" s="409">
        <f t="shared" si="341"/>
        <v>0</v>
      </c>
      <c r="CM313" s="409">
        <f t="shared" si="341"/>
        <v>0</v>
      </c>
      <c r="CN313" s="409">
        <f t="shared" si="341"/>
        <v>0</v>
      </c>
      <c r="CO313" s="409">
        <f t="shared" si="341"/>
        <v>0</v>
      </c>
      <c r="CP313" s="409">
        <f t="shared" si="341"/>
        <v>0</v>
      </c>
      <c r="CQ313" s="409">
        <f t="shared" si="341"/>
        <v>0</v>
      </c>
      <c r="CR313" s="409">
        <f t="shared" si="341"/>
        <v>0</v>
      </c>
      <c r="CS313" s="409">
        <f t="shared" si="341"/>
        <v>0</v>
      </c>
      <c r="CT313" s="409">
        <f t="shared" si="341"/>
        <v>0</v>
      </c>
      <c r="CU313" s="409">
        <f t="shared" si="342"/>
        <v>0</v>
      </c>
      <c r="CV313" s="409">
        <f t="shared" si="342"/>
        <v>0</v>
      </c>
      <c r="CW313" s="409">
        <f t="shared" si="342"/>
        <v>0</v>
      </c>
      <c r="CX313" s="409">
        <f t="shared" si="342"/>
        <v>0</v>
      </c>
      <c r="CY313" s="409">
        <f t="shared" si="342"/>
        <v>0</v>
      </c>
      <c r="CZ313" s="409">
        <f t="shared" si="342"/>
        <v>0</v>
      </c>
      <c r="DA313" s="409">
        <f t="shared" si="342"/>
        <v>0</v>
      </c>
      <c r="DB313" s="409">
        <f t="shared" si="342"/>
        <v>0</v>
      </c>
      <c r="DC313" s="409">
        <f t="shared" si="342"/>
        <v>0</v>
      </c>
      <c r="DD313" s="409">
        <f t="shared" si="342"/>
        <v>0</v>
      </c>
      <c r="DE313" s="409">
        <f t="shared" si="343"/>
        <v>0</v>
      </c>
      <c r="DF313" s="409">
        <f t="shared" si="343"/>
        <v>0</v>
      </c>
      <c r="DG313" s="409">
        <f t="shared" si="343"/>
        <v>0</v>
      </c>
      <c r="DH313" s="409">
        <f t="shared" si="343"/>
        <v>0</v>
      </c>
      <c r="DI313" s="409">
        <f t="shared" si="343"/>
        <v>0</v>
      </c>
      <c r="DJ313" s="409">
        <f t="shared" si="343"/>
        <v>0</v>
      </c>
      <c r="DK313" s="409">
        <f t="shared" si="343"/>
        <v>0</v>
      </c>
      <c r="DL313" s="409">
        <f t="shared" si="343"/>
        <v>0</v>
      </c>
      <c r="DM313" s="409">
        <f t="shared" si="343"/>
        <v>0</v>
      </c>
      <c r="DN313" s="409">
        <f t="shared" si="343"/>
        <v>0</v>
      </c>
      <c r="DO313" s="409">
        <f t="shared" si="344"/>
        <v>0</v>
      </c>
      <c r="DP313" s="409">
        <f t="shared" si="344"/>
        <v>0</v>
      </c>
      <c r="DQ313" s="409">
        <f t="shared" si="344"/>
        <v>0</v>
      </c>
      <c r="DR313" s="409">
        <f t="shared" si="344"/>
        <v>0</v>
      </c>
      <c r="DS313" s="409">
        <f t="shared" si="344"/>
        <v>0</v>
      </c>
      <c r="DT313" s="409">
        <f t="shared" si="344"/>
        <v>0</v>
      </c>
      <c r="DU313" s="409">
        <f t="shared" si="344"/>
        <v>0</v>
      </c>
      <c r="DV313" s="409">
        <f t="shared" si="344"/>
        <v>0</v>
      </c>
      <c r="DW313" s="409">
        <f t="shared" si="344"/>
        <v>0</v>
      </c>
      <c r="DX313" s="409">
        <f t="shared" si="344"/>
        <v>0</v>
      </c>
      <c r="DY313" s="409">
        <f t="shared" si="345"/>
        <v>0</v>
      </c>
      <c r="DZ313" s="409">
        <f t="shared" si="345"/>
        <v>0</v>
      </c>
      <c r="EA313" s="409">
        <f t="shared" si="345"/>
        <v>0</v>
      </c>
      <c r="EB313" s="409">
        <f t="shared" si="345"/>
        <v>0</v>
      </c>
      <c r="EC313" s="409">
        <f t="shared" si="345"/>
        <v>0</v>
      </c>
      <c r="ED313" s="409">
        <f t="shared" si="345"/>
        <v>0</v>
      </c>
      <c r="EE313" s="409">
        <f t="shared" si="345"/>
        <v>0</v>
      </c>
      <c r="EF313" s="409">
        <f t="shared" si="345"/>
        <v>0</v>
      </c>
      <c r="EG313" s="409">
        <f t="shared" si="345"/>
        <v>0</v>
      </c>
      <c r="EH313" s="409">
        <f t="shared" si="345"/>
        <v>0</v>
      </c>
      <c r="EI313" s="409">
        <f t="shared" si="346"/>
        <v>0</v>
      </c>
      <c r="EJ313" s="409">
        <f t="shared" si="346"/>
        <v>0</v>
      </c>
      <c r="EK313" s="409">
        <f t="shared" si="346"/>
        <v>0</v>
      </c>
      <c r="EL313" s="409">
        <f t="shared" si="346"/>
        <v>0</v>
      </c>
      <c r="EM313" s="409">
        <f t="shared" si="346"/>
        <v>0</v>
      </c>
      <c r="EN313" s="409">
        <f t="shared" si="346"/>
        <v>0</v>
      </c>
      <c r="EO313" s="409">
        <f t="shared" si="346"/>
        <v>0</v>
      </c>
      <c r="EP313" s="409">
        <f t="shared" si="346"/>
        <v>0</v>
      </c>
      <c r="EQ313" s="409">
        <f t="shared" si="346"/>
        <v>0</v>
      </c>
      <c r="ER313" s="409">
        <f t="shared" si="346"/>
        <v>0</v>
      </c>
      <c r="ES313" s="409">
        <f t="shared" si="347"/>
        <v>0</v>
      </c>
      <c r="ET313" s="409">
        <f t="shared" si="347"/>
        <v>0</v>
      </c>
      <c r="EU313" s="409">
        <f t="shared" si="347"/>
        <v>0</v>
      </c>
      <c r="EV313" s="409">
        <f t="shared" si="347"/>
        <v>0</v>
      </c>
      <c r="EW313" s="409">
        <f t="shared" si="347"/>
        <v>0</v>
      </c>
      <c r="EX313" s="409">
        <f t="shared" si="347"/>
        <v>0</v>
      </c>
      <c r="EY313" s="409">
        <f t="shared" si="347"/>
        <v>0</v>
      </c>
      <c r="EZ313" s="409">
        <f t="shared" si="347"/>
        <v>0</v>
      </c>
      <c r="FA313" s="409">
        <f t="shared" si="347"/>
        <v>0</v>
      </c>
      <c r="FB313" s="409">
        <f t="shared" si="347"/>
        <v>0</v>
      </c>
      <c r="FC313" s="409">
        <f t="shared" si="348"/>
        <v>0</v>
      </c>
      <c r="FD313" s="409">
        <f t="shared" si="348"/>
        <v>0</v>
      </c>
      <c r="FE313" s="409">
        <f t="shared" si="348"/>
        <v>0</v>
      </c>
      <c r="FF313" s="409">
        <f t="shared" si="348"/>
        <v>0</v>
      </c>
      <c r="FG313" s="409">
        <f t="shared" si="348"/>
        <v>0</v>
      </c>
      <c r="FH313" s="409">
        <f t="shared" si="348"/>
        <v>0</v>
      </c>
      <c r="FI313" s="409">
        <f t="shared" si="348"/>
        <v>0</v>
      </c>
      <c r="FJ313" s="409">
        <f t="shared" si="348"/>
        <v>0</v>
      </c>
      <c r="FK313" s="409">
        <f t="shared" si="348"/>
        <v>0</v>
      </c>
      <c r="FL313" s="409">
        <f t="shared" si="348"/>
        <v>0</v>
      </c>
      <c r="FM313" s="409">
        <f t="shared" si="349"/>
        <v>0</v>
      </c>
      <c r="FN313" s="409">
        <f t="shared" si="349"/>
        <v>0</v>
      </c>
      <c r="FO313" s="409">
        <f t="shared" si="349"/>
        <v>0</v>
      </c>
      <c r="FP313" s="409">
        <f t="shared" si="349"/>
        <v>0</v>
      </c>
      <c r="FQ313" s="409">
        <f t="shared" si="349"/>
        <v>0</v>
      </c>
      <c r="FR313" s="409">
        <f t="shared" si="349"/>
        <v>0</v>
      </c>
      <c r="FS313" s="409">
        <f t="shared" si="349"/>
        <v>0</v>
      </c>
      <c r="FT313" s="409">
        <f t="shared" si="349"/>
        <v>0</v>
      </c>
      <c r="FU313" s="409">
        <f t="shared" si="349"/>
        <v>0</v>
      </c>
      <c r="FV313" s="409">
        <f t="shared" si="349"/>
        <v>0</v>
      </c>
      <c r="FW313" s="409">
        <f t="shared" si="350"/>
        <v>0</v>
      </c>
      <c r="FX313" s="409">
        <f t="shared" si="350"/>
        <v>0</v>
      </c>
      <c r="FY313" s="409">
        <f t="shared" si="350"/>
        <v>0</v>
      </c>
      <c r="FZ313" s="409">
        <f t="shared" si="350"/>
        <v>0</v>
      </c>
      <c r="GA313" s="409">
        <f t="shared" si="350"/>
        <v>0</v>
      </c>
      <c r="GB313" s="409">
        <f t="shared" si="350"/>
        <v>0</v>
      </c>
      <c r="GC313" s="409">
        <f t="shared" si="350"/>
        <v>0</v>
      </c>
      <c r="GD313" s="409">
        <f t="shared" si="350"/>
        <v>0</v>
      </c>
      <c r="GE313" s="409">
        <f t="shared" si="350"/>
        <v>0</v>
      </c>
      <c r="GF313" s="409">
        <f t="shared" si="350"/>
        <v>0</v>
      </c>
      <c r="GG313" s="409">
        <f t="shared" si="351"/>
        <v>0</v>
      </c>
      <c r="GH313" s="409">
        <f t="shared" si="351"/>
        <v>0</v>
      </c>
      <c r="GI313" s="409">
        <f t="shared" si="351"/>
        <v>0</v>
      </c>
      <c r="GJ313" s="409">
        <f t="shared" si="351"/>
        <v>0</v>
      </c>
      <c r="GK313" s="409">
        <f t="shared" si="351"/>
        <v>0</v>
      </c>
      <c r="GL313" s="409">
        <f t="shared" si="351"/>
        <v>0</v>
      </c>
      <c r="GM313" s="409">
        <f t="shared" si="351"/>
        <v>0</v>
      </c>
      <c r="GN313" s="409">
        <f t="shared" si="351"/>
        <v>0</v>
      </c>
      <c r="GO313" s="409">
        <f t="shared" si="351"/>
        <v>0</v>
      </c>
      <c r="GP313" s="409">
        <f t="shared" si="351"/>
        <v>0</v>
      </c>
      <c r="GQ313" s="409">
        <f t="shared" si="352"/>
        <v>0</v>
      </c>
      <c r="GR313" s="409">
        <f t="shared" si="352"/>
        <v>0</v>
      </c>
      <c r="GS313" s="409">
        <f t="shared" si="352"/>
        <v>0</v>
      </c>
      <c r="GT313" s="409">
        <f t="shared" si="352"/>
        <v>0</v>
      </c>
      <c r="GU313" s="409">
        <f t="shared" si="352"/>
        <v>0</v>
      </c>
      <c r="GV313" s="409">
        <f t="shared" si="352"/>
        <v>0</v>
      </c>
      <c r="GW313" s="409">
        <f t="shared" si="352"/>
        <v>0</v>
      </c>
      <c r="GX313" s="409">
        <f t="shared" si="352"/>
        <v>0</v>
      </c>
      <c r="GY313" s="409">
        <f t="shared" si="352"/>
        <v>0</v>
      </c>
      <c r="GZ313" s="409">
        <f t="shared" si="352"/>
        <v>0</v>
      </c>
      <c r="HA313" s="409">
        <f t="shared" si="353"/>
        <v>0</v>
      </c>
      <c r="HB313" s="409">
        <f t="shared" si="353"/>
        <v>0</v>
      </c>
      <c r="HC313" s="409">
        <f t="shared" si="353"/>
        <v>0</v>
      </c>
      <c r="HD313" s="409">
        <f t="shared" si="353"/>
        <v>0</v>
      </c>
      <c r="HE313" s="409">
        <f t="shared" si="353"/>
        <v>0</v>
      </c>
      <c r="HF313" s="409">
        <f t="shared" si="353"/>
        <v>0</v>
      </c>
      <c r="HG313" s="409">
        <f t="shared" si="353"/>
        <v>0</v>
      </c>
      <c r="HH313" s="409">
        <f t="shared" si="353"/>
        <v>0</v>
      </c>
      <c r="HI313" s="409">
        <f t="shared" si="353"/>
        <v>0</v>
      </c>
      <c r="HJ313" s="409">
        <f t="shared" si="353"/>
        <v>0</v>
      </c>
      <c r="HK313" s="409">
        <f t="shared" si="354"/>
        <v>0</v>
      </c>
      <c r="HL313" s="409">
        <f t="shared" si="354"/>
        <v>0</v>
      </c>
      <c r="HM313" s="409">
        <f t="shared" si="354"/>
        <v>0</v>
      </c>
      <c r="HN313" s="409">
        <f t="shared" si="354"/>
        <v>0</v>
      </c>
      <c r="HO313" s="409">
        <f t="shared" si="354"/>
        <v>0</v>
      </c>
      <c r="HP313" s="409">
        <f t="shared" si="354"/>
        <v>0</v>
      </c>
      <c r="HQ313" s="409">
        <f t="shared" si="354"/>
        <v>0</v>
      </c>
      <c r="HR313" s="409">
        <f t="shared" si="354"/>
        <v>0</v>
      </c>
      <c r="HS313" s="409">
        <f t="shared" si="354"/>
        <v>0</v>
      </c>
      <c r="HT313" s="409">
        <f t="shared" si="354"/>
        <v>0</v>
      </c>
      <c r="HU313" s="409">
        <f t="shared" si="355"/>
        <v>0</v>
      </c>
      <c r="HV313" s="409">
        <f t="shared" si="355"/>
        <v>0</v>
      </c>
      <c r="HW313" s="409">
        <f t="shared" si="355"/>
        <v>0</v>
      </c>
      <c r="HX313" s="409">
        <f t="shared" si="355"/>
        <v>0</v>
      </c>
      <c r="HY313" s="409">
        <f t="shared" si="355"/>
        <v>0</v>
      </c>
      <c r="HZ313" s="409">
        <f t="shared" si="355"/>
        <v>0</v>
      </c>
      <c r="IA313" s="409">
        <f t="shared" si="355"/>
        <v>0</v>
      </c>
      <c r="IB313" s="409">
        <f t="shared" si="355"/>
        <v>0</v>
      </c>
      <c r="IC313" s="409">
        <f t="shared" si="355"/>
        <v>0</v>
      </c>
      <c r="ID313" s="409">
        <f t="shared" si="355"/>
        <v>0</v>
      </c>
      <c r="IE313" s="409">
        <f t="shared" si="356"/>
        <v>0</v>
      </c>
      <c r="IF313" s="409">
        <f t="shared" si="356"/>
        <v>0</v>
      </c>
      <c r="IG313" s="409">
        <f t="shared" si="356"/>
        <v>0</v>
      </c>
      <c r="IH313" s="409">
        <f t="shared" si="356"/>
        <v>0</v>
      </c>
      <c r="II313" s="409">
        <f t="shared" si="356"/>
        <v>0</v>
      </c>
      <c r="IJ313" s="409">
        <f t="shared" si="356"/>
        <v>0</v>
      </c>
      <c r="IK313" s="378"/>
    </row>
    <row r="314" spans="1:245" hidden="1" x14ac:dyDescent="0.2">
      <c r="A314" s="380" t="str">
        <f t="shared" si="357"/>
        <v>e</v>
      </c>
      <c r="B314" s="712" t="str">
        <f>IF(ISERROR(INDEX('Legend(DX)'!$H$14:$H$15,27)),"",INDEX('Legend(DX)'!$H$14:$H$15,27))</f>
        <v/>
      </c>
      <c r="C314" s="712" t="e">
        <f>IF(INDEX('Legend(DX)'!$T$14:$T$15,27)=0,"See Legend",INDEX('Legend(DX)'!$T$14:$T$15,27))</f>
        <v>#REF!</v>
      </c>
      <c r="D314" s="712" t="e">
        <f>IF(INDEX('Legend(DX)'!$R$14:$R$15,27)=0,"---",INDEX('Legend(DX)'!$R$14:$R$15,27))</f>
        <v>#REF!</v>
      </c>
      <c r="E314" s="713" t="str">
        <f>IF(ISERROR(INDEX('Legend(DX)'!$AA$14:$AA$15,27)),"",INDEX('Legend(DX)'!$AA$14:$AA$15,27))</f>
        <v/>
      </c>
      <c r="F314" s="715"/>
      <c r="G314" s="715"/>
      <c r="H314" s="715"/>
      <c r="I314" s="715"/>
      <c r="J314" s="715"/>
      <c r="K314" s="890">
        <f t="shared" si="358"/>
        <v>0</v>
      </c>
      <c r="L314" s="718"/>
      <c r="M314" s="720"/>
      <c r="N314" s="972">
        <f t="shared" si="330"/>
        <v>-1</v>
      </c>
      <c r="O314" s="972">
        <f t="shared" si="359"/>
        <v>-1</v>
      </c>
      <c r="P314" s="972">
        <f t="shared" si="331"/>
        <v>-1</v>
      </c>
      <c r="Q314" s="972">
        <f t="shared" si="360"/>
        <v>-1</v>
      </c>
      <c r="R314" s="972">
        <f t="shared" si="332"/>
        <v>-1</v>
      </c>
      <c r="S314" s="972">
        <f t="shared" si="361"/>
        <v>-1</v>
      </c>
      <c r="T314" s="972">
        <f t="shared" si="333"/>
        <v>-1</v>
      </c>
      <c r="U314" s="972">
        <f t="shared" si="362"/>
        <v>-1</v>
      </c>
      <c r="V314" s="972">
        <f t="shared" si="334"/>
        <v>-1</v>
      </c>
      <c r="W314" s="972">
        <f t="shared" si="363"/>
        <v>-1</v>
      </c>
      <c r="X314" s="972">
        <f t="shared" si="335"/>
        <v>-1</v>
      </c>
      <c r="Y314" s="972">
        <f t="shared" si="364"/>
        <v>-1</v>
      </c>
      <c r="Z314" s="972">
        <f t="shared" si="365"/>
        <v>-1</v>
      </c>
      <c r="AA314" s="972">
        <f t="shared" si="366"/>
        <v>-1</v>
      </c>
      <c r="AB314" s="972">
        <f t="shared" si="367"/>
        <v>-1</v>
      </c>
      <c r="AC314" s="972">
        <f t="shared" si="368"/>
        <v>-1</v>
      </c>
      <c r="AD314" s="972">
        <f t="shared" si="369"/>
        <v>-1</v>
      </c>
      <c r="AE314" s="972">
        <f t="shared" si="370"/>
        <v>-1</v>
      </c>
      <c r="AF314" s="972">
        <f t="shared" si="371"/>
        <v>-1</v>
      </c>
      <c r="AG314" s="972">
        <f t="shared" si="372"/>
        <v>-1</v>
      </c>
      <c r="AH314" s="972">
        <f t="shared" si="373"/>
        <v>-1</v>
      </c>
      <c r="AI314" s="972">
        <f t="shared" si="374"/>
        <v>-1</v>
      </c>
      <c r="AJ314" s="972">
        <f t="shared" si="375"/>
        <v>-1</v>
      </c>
      <c r="AK314" s="381"/>
      <c r="AL314" s="727" t="str">
        <f t="shared" si="376"/>
        <v/>
      </c>
      <c r="AM314" s="409">
        <f t="shared" si="336"/>
        <v>0</v>
      </c>
      <c r="AN314" s="409">
        <f t="shared" si="336"/>
        <v>0</v>
      </c>
      <c r="AO314" s="409">
        <f t="shared" si="336"/>
        <v>0</v>
      </c>
      <c r="AP314" s="409">
        <f t="shared" si="336"/>
        <v>0</v>
      </c>
      <c r="AQ314" s="409">
        <f t="shared" si="336"/>
        <v>0</v>
      </c>
      <c r="AR314" s="409">
        <f t="shared" si="336"/>
        <v>0</v>
      </c>
      <c r="AS314" s="409">
        <f t="shared" si="336"/>
        <v>0</v>
      </c>
      <c r="AT314" s="409">
        <f t="shared" si="336"/>
        <v>0</v>
      </c>
      <c r="AU314" s="409">
        <f t="shared" si="336"/>
        <v>0</v>
      </c>
      <c r="AV314" s="409">
        <f t="shared" si="336"/>
        <v>0</v>
      </c>
      <c r="AW314" s="409">
        <f t="shared" si="337"/>
        <v>0</v>
      </c>
      <c r="AX314" s="409">
        <f t="shared" si="337"/>
        <v>0</v>
      </c>
      <c r="AY314" s="409">
        <f t="shared" si="337"/>
        <v>0</v>
      </c>
      <c r="AZ314" s="409">
        <f t="shared" si="337"/>
        <v>0</v>
      </c>
      <c r="BA314" s="409">
        <f t="shared" si="337"/>
        <v>0</v>
      </c>
      <c r="BB314" s="409">
        <f t="shared" si="337"/>
        <v>0</v>
      </c>
      <c r="BC314" s="409">
        <f t="shared" si="337"/>
        <v>0</v>
      </c>
      <c r="BD314" s="409">
        <f t="shared" si="337"/>
        <v>0</v>
      </c>
      <c r="BE314" s="409">
        <f t="shared" si="337"/>
        <v>0</v>
      </c>
      <c r="BF314" s="409">
        <f t="shared" si="337"/>
        <v>0</v>
      </c>
      <c r="BG314" s="409">
        <f t="shared" si="338"/>
        <v>0</v>
      </c>
      <c r="BH314" s="409">
        <f t="shared" si="338"/>
        <v>0</v>
      </c>
      <c r="BI314" s="409">
        <f t="shared" si="338"/>
        <v>0</v>
      </c>
      <c r="BJ314" s="409">
        <f t="shared" si="338"/>
        <v>0</v>
      </c>
      <c r="BK314" s="409">
        <f t="shared" si="338"/>
        <v>0</v>
      </c>
      <c r="BL314" s="409">
        <f t="shared" si="338"/>
        <v>0</v>
      </c>
      <c r="BM314" s="409">
        <f t="shared" si="338"/>
        <v>0</v>
      </c>
      <c r="BN314" s="409">
        <f t="shared" si="338"/>
        <v>0</v>
      </c>
      <c r="BO314" s="409">
        <f t="shared" si="338"/>
        <v>0</v>
      </c>
      <c r="BP314" s="409">
        <f t="shared" si="338"/>
        <v>0</v>
      </c>
      <c r="BQ314" s="409">
        <f t="shared" si="339"/>
        <v>0</v>
      </c>
      <c r="BR314" s="409">
        <f t="shared" si="339"/>
        <v>0</v>
      </c>
      <c r="BS314" s="409">
        <f t="shared" si="339"/>
        <v>0</v>
      </c>
      <c r="BT314" s="409">
        <f t="shared" si="339"/>
        <v>0</v>
      </c>
      <c r="BU314" s="409">
        <f t="shared" si="339"/>
        <v>0</v>
      </c>
      <c r="BV314" s="409">
        <f t="shared" si="339"/>
        <v>0</v>
      </c>
      <c r="BW314" s="409">
        <f t="shared" si="339"/>
        <v>0</v>
      </c>
      <c r="BX314" s="409">
        <f t="shared" si="339"/>
        <v>0</v>
      </c>
      <c r="BY314" s="409">
        <f t="shared" si="339"/>
        <v>0</v>
      </c>
      <c r="BZ314" s="409">
        <f t="shared" si="339"/>
        <v>0</v>
      </c>
      <c r="CA314" s="409">
        <f t="shared" si="340"/>
        <v>0</v>
      </c>
      <c r="CB314" s="409">
        <f t="shared" si="340"/>
        <v>0</v>
      </c>
      <c r="CC314" s="409">
        <f t="shared" si="340"/>
        <v>0</v>
      </c>
      <c r="CD314" s="409">
        <f t="shared" si="340"/>
        <v>0</v>
      </c>
      <c r="CE314" s="409">
        <f t="shared" si="340"/>
        <v>0</v>
      </c>
      <c r="CF314" s="409">
        <f t="shared" si="340"/>
        <v>0</v>
      </c>
      <c r="CG314" s="409">
        <f t="shared" si="340"/>
        <v>0</v>
      </c>
      <c r="CH314" s="409">
        <f t="shared" si="340"/>
        <v>0</v>
      </c>
      <c r="CI314" s="409">
        <f t="shared" si="340"/>
        <v>0</v>
      </c>
      <c r="CJ314" s="409">
        <f t="shared" si="340"/>
        <v>0</v>
      </c>
      <c r="CK314" s="409">
        <f t="shared" si="341"/>
        <v>0</v>
      </c>
      <c r="CL314" s="409">
        <f t="shared" si="341"/>
        <v>0</v>
      </c>
      <c r="CM314" s="409">
        <f t="shared" si="341"/>
        <v>0</v>
      </c>
      <c r="CN314" s="409">
        <f t="shared" si="341"/>
        <v>0</v>
      </c>
      <c r="CO314" s="409">
        <f t="shared" si="341"/>
        <v>0</v>
      </c>
      <c r="CP314" s="409">
        <f t="shared" si="341"/>
        <v>0</v>
      </c>
      <c r="CQ314" s="409">
        <f t="shared" si="341"/>
        <v>0</v>
      </c>
      <c r="CR314" s="409">
        <f t="shared" si="341"/>
        <v>0</v>
      </c>
      <c r="CS314" s="409">
        <f t="shared" si="341"/>
        <v>0</v>
      </c>
      <c r="CT314" s="409">
        <f t="shared" si="341"/>
        <v>0</v>
      </c>
      <c r="CU314" s="409">
        <f t="shared" si="342"/>
        <v>0</v>
      </c>
      <c r="CV314" s="409">
        <f t="shared" si="342"/>
        <v>0</v>
      </c>
      <c r="CW314" s="409">
        <f t="shared" si="342"/>
        <v>0</v>
      </c>
      <c r="CX314" s="409">
        <f t="shared" si="342"/>
        <v>0</v>
      </c>
      <c r="CY314" s="409">
        <f t="shared" si="342"/>
        <v>0</v>
      </c>
      <c r="CZ314" s="409">
        <f t="shared" si="342"/>
        <v>0</v>
      </c>
      <c r="DA314" s="409">
        <f t="shared" si="342"/>
        <v>0</v>
      </c>
      <c r="DB314" s="409">
        <f t="shared" si="342"/>
        <v>0</v>
      </c>
      <c r="DC314" s="409">
        <f t="shared" si="342"/>
        <v>0</v>
      </c>
      <c r="DD314" s="409">
        <f t="shared" si="342"/>
        <v>0</v>
      </c>
      <c r="DE314" s="409">
        <f t="shared" si="343"/>
        <v>0</v>
      </c>
      <c r="DF314" s="409">
        <f t="shared" si="343"/>
        <v>0</v>
      </c>
      <c r="DG314" s="409">
        <f t="shared" si="343"/>
        <v>0</v>
      </c>
      <c r="DH314" s="409">
        <f t="shared" si="343"/>
        <v>0</v>
      </c>
      <c r="DI314" s="409">
        <f t="shared" si="343"/>
        <v>0</v>
      </c>
      <c r="DJ314" s="409">
        <f t="shared" si="343"/>
        <v>0</v>
      </c>
      <c r="DK314" s="409">
        <f t="shared" si="343"/>
        <v>0</v>
      </c>
      <c r="DL314" s="409">
        <f t="shared" si="343"/>
        <v>0</v>
      </c>
      <c r="DM314" s="409">
        <f t="shared" si="343"/>
        <v>0</v>
      </c>
      <c r="DN314" s="409">
        <f t="shared" si="343"/>
        <v>0</v>
      </c>
      <c r="DO314" s="409">
        <f t="shared" si="344"/>
        <v>0</v>
      </c>
      <c r="DP314" s="409">
        <f t="shared" si="344"/>
        <v>0</v>
      </c>
      <c r="DQ314" s="409">
        <f t="shared" si="344"/>
        <v>0</v>
      </c>
      <c r="DR314" s="409">
        <f t="shared" si="344"/>
        <v>0</v>
      </c>
      <c r="DS314" s="409">
        <f t="shared" si="344"/>
        <v>0</v>
      </c>
      <c r="DT314" s="409">
        <f t="shared" si="344"/>
        <v>0</v>
      </c>
      <c r="DU314" s="409">
        <f t="shared" si="344"/>
        <v>0</v>
      </c>
      <c r="DV314" s="409">
        <f t="shared" si="344"/>
        <v>0</v>
      </c>
      <c r="DW314" s="409">
        <f t="shared" si="344"/>
        <v>0</v>
      </c>
      <c r="DX314" s="409">
        <f t="shared" si="344"/>
        <v>0</v>
      </c>
      <c r="DY314" s="409">
        <f t="shared" si="345"/>
        <v>0</v>
      </c>
      <c r="DZ314" s="409">
        <f t="shared" si="345"/>
        <v>0</v>
      </c>
      <c r="EA314" s="409">
        <f t="shared" si="345"/>
        <v>0</v>
      </c>
      <c r="EB314" s="409">
        <f t="shared" si="345"/>
        <v>0</v>
      </c>
      <c r="EC314" s="409">
        <f t="shared" si="345"/>
        <v>0</v>
      </c>
      <c r="ED314" s="409">
        <f t="shared" si="345"/>
        <v>0</v>
      </c>
      <c r="EE314" s="409">
        <f t="shared" si="345"/>
        <v>0</v>
      </c>
      <c r="EF314" s="409">
        <f t="shared" si="345"/>
        <v>0</v>
      </c>
      <c r="EG314" s="409">
        <f t="shared" si="345"/>
        <v>0</v>
      </c>
      <c r="EH314" s="409">
        <f t="shared" si="345"/>
        <v>0</v>
      </c>
      <c r="EI314" s="409">
        <f t="shared" si="346"/>
        <v>0</v>
      </c>
      <c r="EJ314" s="409">
        <f t="shared" si="346"/>
        <v>0</v>
      </c>
      <c r="EK314" s="409">
        <f t="shared" si="346"/>
        <v>0</v>
      </c>
      <c r="EL314" s="409">
        <f t="shared" si="346"/>
        <v>0</v>
      </c>
      <c r="EM314" s="409">
        <f t="shared" si="346"/>
        <v>0</v>
      </c>
      <c r="EN314" s="409">
        <f t="shared" si="346"/>
        <v>0</v>
      </c>
      <c r="EO314" s="409">
        <f t="shared" si="346"/>
        <v>0</v>
      </c>
      <c r="EP314" s="409">
        <f t="shared" si="346"/>
        <v>0</v>
      </c>
      <c r="EQ314" s="409">
        <f t="shared" si="346"/>
        <v>0</v>
      </c>
      <c r="ER314" s="409">
        <f t="shared" si="346"/>
        <v>0</v>
      </c>
      <c r="ES314" s="409">
        <f t="shared" si="347"/>
        <v>0</v>
      </c>
      <c r="ET314" s="409">
        <f t="shared" si="347"/>
        <v>0</v>
      </c>
      <c r="EU314" s="409">
        <f t="shared" si="347"/>
        <v>0</v>
      </c>
      <c r="EV314" s="409">
        <f t="shared" si="347"/>
        <v>0</v>
      </c>
      <c r="EW314" s="409">
        <f t="shared" si="347"/>
        <v>0</v>
      </c>
      <c r="EX314" s="409">
        <f t="shared" si="347"/>
        <v>0</v>
      </c>
      <c r="EY314" s="409">
        <f t="shared" si="347"/>
        <v>0</v>
      </c>
      <c r="EZ314" s="409">
        <f t="shared" si="347"/>
        <v>0</v>
      </c>
      <c r="FA314" s="409">
        <f t="shared" si="347"/>
        <v>0</v>
      </c>
      <c r="FB314" s="409">
        <f t="shared" si="347"/>
        <v>0</v>
      </c>
      <c r="FC314" s="409">
        <f t="shared" si="348"/>
        <v>0</v>
      </c>
      <c r="FD314" s="409">
        <f t="shared" si="348"/>
        <v>0</v>
      </c>
      <c r="FE314" s="409">
        <f t="shared" si="348"/>
        <v>0</v>
      </c>
      <c r="FF314" s="409">
        <f t="shared" si="348"/>
        <v>0</v>
      </c>
      <c r="FG314" s="409">
        <f t="shared" si="348"/>
        <v>0</v>
      </c>
      <c r="FH314" s="409">
        <f t="shared" si="348"/>
        <v>0</v>
      </c>
      <c r="FI314" s="409">
        <f t="shared" si="348"/>
        <v>0</v>
      </c>
      <c r="FJ314" s="409">
        <f t="shared" si="348"/>
        <v>0</v>
      </c>
      <c r="FK314" s="409">
        <f t="shared" si="348"/>
        <v>0</v>
      </c>
      <c r="FL314" s="409">
        <f t="shared" si="348"/>
        <v>0</v>
      </c>
      <c r="FM314" s="409">
        <f t="shared" si="349"/>
        <v>0</v>
      </c>
      <c r="FN314" s="409">
        <f t="shared" si="349"/>
        <v>0</v>
      </c>
      <c r="FO314" s="409">
        <f t="shared" si="349"/>
        <v>0</v>
      </c>
      <c r="FP314" s="409">
        <f t="shared" si="349"/>
        <v>0</v>
      </c>
      <c r="FQ314" s="409">
        <f t="shared" si="349"/>
        <v>0</v>
      </c>
      <c r="FR314" s="409">
        <f t="shared" si="349"/>
        <v>0</v>
      </c>
      <c r="FS314" s="409">
        <f t="shared" si="349"/>
        <v>0</v>
      </c>
      <c r="FT314" s="409">
        <f t="shared" si="349"/>
        <v>0</v>
      </c>
      <c r="FU314" s="409">
        <f t="shared" si="349"/>
        <v>0</v>
      </c>
      <c r="FV314" s="409">
        <f t="shared" si="349"/>
        <v>0</v>
      </c>
      <c r="FW314" s="409">
        <f t="shared" si="350"/>
        <v>0</v>
      </c>
      <c r="FX314" s="409">
        <f t="shared" si="350"/>
        <v>0</v>
      </c>
      <c r="FY314" s="409">
        <f t="shared" si="350"/>
        <v>0</v>
      </c>
      <c r="FZ314" s="409">
        <f t="shared" si="350"/>
        <v>0</v>
      </c>
      <c r="GA314" s="409">
        <f t="shared" si="350"/>
        <v>0</v>
      </c>
      <c r="GB314" s="409">
        <f t="shared" si="350"/>
        <v>0</v>
      </c>
      <c r="GC314" s="409">
        <f t="shared" si="350"/>
        <v>0</v>
      </c>
      <c r="GD314" s="409">
        <f t="shared" si="350"/>
        <v>0</v>
      </c>
      <c r="GE314" s="409">
        <f t="shared" si="350"/>
        <v>0</v>
      </c>
      <c r="GF314" s="409">
        <f t="shared" si="350"/>
        <v>0</v>
      </c>
      <c r="GG314" s="409">
        <f t="shared" si="351"/>
        <v>0</v>
      </c>
      <c r="GH314" s="409">
        <f t="shared" si="351"/>
        <v>0</v>
      </c>
      <c r="GI314" s="409">
        <f t="shared" si="351"/>
        <v>0</v>
      </c>
      <c r="GJ314" s="409">
        <f t="shared" si="351"/>
        <v>0</v>
      </c>
      <c r="GK314" s="409">
        <f t="shared" si="351"/>
        <v>0</v>
      </c>
      <c r="GL314" s="409">
        <f t="shared" si="351"/>
        <v>0</v>
      </c>
      <c r="GM314" s="409">
        <f t="shared" si="351"/>
        <v>0</v>
      </c>
      <c r="GN314" s="409">
        <f t="shared" si="351"/>
        <v>0</v>
      </c>
      <c r="GO314" s="409">
        <f t="shared" si="351"/>
        <v>0</v>
      </c>
      <c r="GP314" s="409">
        <f t="shared" si="351"/>
        <v>0</v>
      </c>
      <c r="GQ314" s="409">
        <f t="shared" si="352"/>
        <v>0</v>
      </c>
      <c r="GR314" s="409">
        <f t="shared" si="352"/>
        <v>0</v>
      </c>
      <c r="GS314" s="409">
        <f t="shared" si="352"/>
        <v>0</v>
      </c>
      <c r="GT314" s="409">
        <f t="shared" si="352"/>
        <v>0</v>
      </c>
      <c r="GU314" s="409">
        <f t="shared" si="352"/>
        <v>0</v>
      </c>
      <c r="GV314" s="409">
        <f t="shared" si="352"/>
        <v>0</v>
      </c>
      <c r="GW314" s="409">
        <f t="shared" si="352"/>
        <v>0</v>
      </c>
      <c r="GX314" s="409">
        <f t="shared" si="352"/>
        <v>0</v>
      </c>
      <c r="GY314" s="409">
        <f t="shared" si="352"/>
        <v>0</v>
      </c>
      <c r="GZ314" s="409">
        <f t="shared" si="352"/>
        <v>0</v>
      </c>
      <c r="HA314" s="409">
        <f t="shared" si="353"/>
        <v>0</v>
      </c>
      <c r="HB314" s="409">
        <f t="shared" si="353"/>
        <v>0</v>
      </c>
      <c r="HC314" s="409">
        <f t="shared" si="353"/>
        <v>0</v>
      </c>
      <c r="HD314" s="409">
        <f t="shared" si="353"/>
        <v>0</v>
      </c>
      <c r="HE314" s="409">
        <f t="shared" si="353"/>
        <v>0</v>
      </c>
      <c r="HF314" s="409">
        <f t="shared" si="353"/>
        <v>0</v>
      </c>
      <c r="HG314" s="409">
        <f t="shared" si="353"/>
        <v>0</v>
      </c>
      <c r="HH314" s="409">
        <f t="shared" si="353"/>
        <v>0</v>
      </c>
      <c r="HI314" s="409">
        <f t="shared" si="353"/>
        <v>0</v>
      </c>
      <c r="HJ314" s="409">
        <f t="shared" si="353"/>
        <v>0</v>
      </c>
      <c r="HK314" s="409">
        <f t="shared" si="354"/>
        <v>0</v>
      </c>
      <c r="HL314" s="409">
        <f t="shared" si="354"/>
        <v>0</v>
      </c>
      <c r="HM314" s="409">
        <f t="shared" si="354"/>
        <v>0</v>
      </c>
      <c r="HN314" s="409">
        <f t="shared" si="354"/>
        <v>0</v>
      </c>
      <c r="HO314" s="409">
        <f t="shared" si="354"/>
        <v>0</v>
      </c>
      <c r="HP314" s="409">
        <f t="shared" si="354"/>
        <v>0</v>
      </c>
      <c r="HQ314" s="409">
        <f t="shared" si="354"/>
        <v>0</v>
      </c>
      <c r="HR314" s="409">
        <f t="shared" si="354"/>
        <v>0</v>
      </c>
      <c r="HS314" s="409">
        <f t="shared" si="354"/>
        <v>0</v>
      </c>
      <c r="HT314" s="409">
        <f t="shared" si="354"/>
        <v>0</v>
      </c>
      <c r="HU314" s="409">
        <f t="shared" si="355"/>
        <v>0</v>
      </c>
      <c r="HV314" s="409">
        <f t="shared" si="355"/>
        <v>0</v>
      </c>
      <c r="HW314" s="409">
        <f t="shared" si="355"/>
        <v>0</v>
      </c>
      <c r="HX314" s="409">
        <f t="shared" si="355"/>
        <v>0</v>
      </c>
      <c r="HY314" s="409">
        <f t="shared" si="355"/>
        <v>0</v>
      </c>
      <c r="HZ314" s="409">
        <f t="shared" si="355"/>
        <v>0</v>
      </c>
      <c r="IA314" s="409">
        <f t="shared" si="355"/>
        <v>0</v>
      </c>
      <c r="IB314" s="409">
        <f t="shared" si="355"/>
        <v>0</v>
      </c>
      <c r="IC314" s="409">
        <f t="shared" si="355"/>
        <v>0</v>
      </c>
      <c r="ID314" s="409">
        <f t="shared" si="355"/>
        <v>0</v>
      </c>
      <c r="IE314" s="409">
        <f t="shared" si="356"/>
        <v>0</v>
      </c>
      <c r="IF314" s="409">
        <f t="shared" si="356"/>
        <v>0</v>
      </c>
      <c r="IG314" s="409">
        <f t="shared" si="356"/>
        <v>0</v>
      </c>
      <c r="IH314" s="409">
        <f t="shared" si="356"/>
        <v>0</v>
      </c>
      <c r="II314" s="409">
        <f t="shared" si="356"/>
        <v>0</v>
      </c>
      <c r="IJ314" s="409">
        <f t="shared" si="356"/>
        <v>0</v>
      </c>
      <c r="IK314" s="378"/>
    </row>
    <row r="315" spans="1:245" hidden="1" x14ac:dyDescent="0.2">
      <c r="A315" s="380" t="str">
        <f t="shared" si="357"/>
        <v>e</v>
      </c>
      <c r="B315" s="712" t="str">
        <f>IF(ISERROR(INDEX('Legend(DX)'!$H$14:$H$15,28)),"",INDEX('Legend(DX)'!$H$14:$H$15,28))</f>
        <v/>
      </c>
      <c r="C315" s="712" t="e">
        <f>IF(INDEX('Legend(DX)'!$T$14:$T$15,28)=0,"See Legend",INDEX('Legend(DX)'!$T$14:$T$15,28))</f>
        <v>#REF!</v>
      </c>
      <c r="D315" s="712" t="e">
        <f>IF(INDEX('Legend(DX)'!$R$14:$R$15,28)=0,"---",INDEX('Legend(DX)'!$R$14:$R$15,28))</f>
        <v>#REF!</v>
      </c>
      <c r="E315" s="713" t="str">
        <f>IF(ISERROR(INDEX('Legend(DX)'!$AA$14:$AA$15,28)),"",INDEX('Legend(DX)'!$AA$14:$AA$15,28))</f>
        <v/>
      </c>
      <c r="F315" s="715"/>
      <c r="G315" s="715"/>
      <c r="H315" s="715"/>
      <c r="I315" s="715"/>
      <c r="J315" s="715"/>
      <c r="K315" s="890">
        <f t="shared" si="358"/>
        <v>0</v>
      </c>
      <c r="L315" s="718"/>
      <c r="M315" s="720"/>
      <c r="N315" s="972">
        <f t="shared" si="330"/>
        <v>-1</v>
      </c>
      <c r="O315" s="972">
        <f t="shared" si="359"/>
        <v>-1</v>
      </c>
      <c r="P315" s="972">
        <f t="shared" si="331"/>
        <v>-1</v>
      </c>
      <c r="Q315" s="972">
        <f t="shared" si="360"/>
        <v>-1</v>
      </c>
      <c r="R315" s="972">
        <f t="shared" si="332"/>
        <v>-1</v>
      </c>
      <c r="S315" s="972">
        <f t="shared" si="361"/>
        <v>-1</v>
      </c>
      <c r="T315" s="972">
        <f t="shared" si="333"/>
        <v>-1</v>
      </c>
      <c r="U315" s="972">
        <f t="shared" si="362"/>
        <v>-1</v>
      </c>
      <c r="V315" s="972">
        <f t="shared" si="334"/>
        <v>-1</v>
      </c>
      <c r="W315" s="972">
        <f t="shared" si="363"/>
        <v>-1</v>
      </c>
      <c r="X315" s="972">
        <f t="shared" si="335"/>
        <v>-1</v>
      </c>
      <c r="Y315" s="972">
        <f t="shared" si="364"/>
        <v>-1</v>
      </c>
      <c r="Z315" s="972">
        <f t="shared" si="365"/>
        <v>-1</v>
      </c>
      <c r="AA315" s="972">
        <f t="shared" si="366"/>
        <v>-1</v>
      </c>
      <c r="AB315" s="972">
        <f t="shared" si="367"/>
        <v>-1</v>
      </c>
      <c r="AC315" s="972">
        <f t="shared" si="368"/>
        <v>-1</v>
      </c>
      <c r="AD315" s="972">
        <f t="shared" si="369"/>
        <v>-1</v>
      </c>
      <c r="AE315" s="972">
        <f t="shared" si="370"/>
        <v>-1</v>
      </c>
      <c r="AF315" s="972">
        <f t="shared" si="371"/>
        <v>-1</v>
      </c>
      <c r="AG315" s="972">
        <f t="shared" si="372"/>
        <v>-1</v>
      </c>
      <c r="AH315" s="972">
        <f t="shared" si="373"/>
        <v>-1</v>
      </c>
      <c r="AI315" s="972">
        <f t="shared" si="374"/>
        <v>-1</v>
      </c>
      <c r="AJ315" s="972">
        <f t="shared" si="375"/>
        <v>-1</v>
      </c>
      <c r="AK315" s="381"/>
      <c r="AL315" s="727" t="str">
        <f t="shared" si="376"/>
        <v/>
      </c>
      <c r="AM315" s="409">
        <f t="shared" si="336"/>
        <v>0</v>
      </c>
      <c r="AN315" s="409">
        <f t="shared" si="336"/>
        <v>0</v>
      </c>
      <c r="AO315" s="409">
        <f t="shared" si="336"/>
        <v>0</v>
      </c>
      <c r="AP315" s="409">
        <f t="shared" si="336"/>
        <v>0</v>
      </c>
      <c r="AQ315" s="409">
        <f t="shared" si="336"/>
        <v>0</v>
      </c>
      <c r="AR315" s="409">
        <f t="shared" si="336"/>
        <v>0</v>
      </c>
      <c r="AS315" s="409">
        <f t="shared" si="336"/>
        <v>0</v>
      </c>
      <c r="AT315" s="409">
        <f t="shared" si="336"/>
        <v>0</v>
      </c>
      <c r="AU315" s="409">
        <f t="shared" si="336"/>
        <v>0</v>
      </c>
      <c r="AV315" s="409">
        <f t="shared" si="336"/>
        <v>0</v>
      </c>
      <c r="AW315" s="409">
        <f t="shared" si="337"/>
        <v>0</v>
      </c>
      <c r="AX315" s="409">
        <f t="shared" si="337"/>
        <v>0</v>
      </c>
      <c r="AY315" s="409">
        <f t="shared" si="337"/>
        <v>0</v>
      </c>
      <c r="AZ315" s="409">
        <f t="shared" si="337"/>
        <v>0</v>
      </c>
      <c r="BA315" s="409">
        <f t="shared" si="337"/>
        <v>0</v>
      </c>
      <c r="BB315" s="409">
        <f t="shared" si="337"/>
        <v>0</v>
      </c>
      <c r="BC315" s="409">
        <f t="shared" si="337"/>
        <v>0</v>
      </c>
      <c r="BD315" s="409">
        <f t="shared" si="337"/>
        <v>0</v>
      </c>
      <c r="BE315" s="409">
        <f t="shared" si="337"/>
        <v>0</v>
      </c>
      <c r="BF315" s="409">
        <f t="shared" si="337"/>
        <v>0</v>
      </c>
      <c r="BG315" s="409">
        <f t="shared" si="338"/>
        <v>0</v>
      </c>
      <c r="BH315" s="409">
        <f t="shared" si="338"/>
        <v>0</v>
      </c>
      <c r="BI315" s="409">
        <f t="shared" si="338"/>
        <v>0</v>
      </c>
      <c r="BJ315" s="409">
        <f t="shared" si="338"/>
        <v>0</v>
      </c>
      <c r="BK315" s="409">
        <f t="shared" si="338"/>
        <v>0</v>
      </c>
      <c r="BL315" s="409">
        <f t="shared" si="338"/>
        <v>0</v>
      </c>
      <c r="BM315" s="409">
        <f t="shared" si="338"/>
        <v>0</v>
      </c>
      <c r="BN315" s="409">
        <f t="shared" si="338"/>
        <v>0</v>
      </c>
      <c r="BO315" s="409">
        <f t="shared" si="338"/>
        <v>0</v>
      </c>
      <c r="BP315" s="409">
        <f t="shared" si="338"/>
        <v>0</v>
      </c>
      <c r="BQ315" s="409">
        <f t="shared" si="339"/>
        <v>0</v>
      </c>
      <c r="BR315" s="409">
        <f t="shared" si="339"/>
        <v>0</v>
      </c>
      <c r="BS315" s="409">
        <f t="shared" si="339"/>
        <v>0</v>
      </c>
      <c r="BT315" s="409">
        <f t="shared" si="339"/>
        <v>0</v>
      </c>
      <c r="BU315" s="409">
        <f t="shared" si="339"/>
        <v>0</v>
      </c>
      <c r="BV315" s="409">
        <f t="shared" si="339"/>
        <v>0</v>
      </c>
      <c r="BW315" s="409">
        <f t="shared" si="339"/>
        <v>0</v>
      </c>
      <c r="BX315" s="409">
        <f t="shared" si="339"/>
        <v>0</v>
      </c>
      <c r="BY315" s="409">
        <f t="shared" si="339"/>
        <v>0</v>
      </c>
      <c r="BZ315" s="409">
        <f t="shared" si="339"/>
        <v>0</v>
      </c>
      <c r="CA315" s="409">
        <f t="shared" si="340"/>
        <v>0</v>
      </c>
      <c r="CB315" s="409">
        <f t="shared" si="340"/>
        <v>0</v>
      </c>
      <c r="CC315" s="409">
        <f t="shared" si="340"/>
        <v>0</v>
      </c>
      <c r="CD315" s="409">
        <f t="shared" si="340"/>
        <v>0</v>
      </c>
      <c r="CE315" s="409">
        <f t="shared" si="340"/>
        <v>0</v>
      </c>
      <c r="CF315" s="409">
        <f t="shared" si="340"/>
        <v>0</v>
      </c>
      <c r="CG315" s="409">
        <f t="shared" si="340"/>
        <v>0</v>
      </c>
      <c r="CH315" s="409">
        <f t="shared" si="340"/>
        <v>0</v>
      </c>
      <c r="CI315" s="409">
        <f t="shared" si="340"/>
        <v>0</v>
      </c>
      <c r="CJ315" s="409">
        <f t="shared" si="340"/>
        <v>0</v>
      </c>
      <c r="CK315" s="409">
        <f t="shared" si="341"/>
        <v>0</v>
      </c>
      <c r="CL315" s="409">
        <f t="shared" si="341"/>
        <v>0</v>
      </c>
      <c r="CM315" s="409">
        <f t="shared" si="341"/>
        <v>0</v>
      </c>
      <c r="CN315" s="409">
        <f t="shared" si="341"/>
        <v>0</v>
      </c>
      <c r="CO315" s="409">
        <f t="shared" si="341"/>
        <v>0</v>
      </c>
      <c r="CP315" s="409">
        <f t="shared" si="341"/>
        <v>0</v>
      </c>
      <c r="CQ315" s="409">
        <f t="shared" si="341"/>
        <v>0</v>
      </c>
      <c r="CR315" s="409">
        <f t="shared" si="341"/>
        <v>0</v>
      </c>
      <c r="CS315" s="409">
        <f t="shared" si="341"/>
        <v>0</v>
      </c>
      <c r="CT315" s="409">
        <f t="shared" si="341"/>
        <v>0</v>
      </c>
      <c r="CU315" s="409">
        <f t="shared" si="342"/>
        <v>0</v>
      </c>
      <c r="CV315" s="409">
        <f t="shared" si="342"/>
        <v>0</v>
      </c>
      <c r="CW315" s="409">
        <f t="shared" si="342"/>
        <v>0</v>
      </c>
      <c r="CX315" s="409">
        <f t="shared" si="342"/>
        <v>0</v>
      </c>
      <c r="CY315" s="409">
        <f t="shared" si="342"/>
        <v>0</v>
      </c>
      <c r="CZ315" s="409">
        <f t="shared" si="342"/>
        <v>0</v>
      </c>
      <c r="DA315" s="409">
        <f t="shared" si="342"/>
        <v>0</v>
      </c>
      <c r="DB315" s="409">
        <f t="shared" si="342"/>
        <v>0</v>
      </c>
      <c r="DC315" s="409">
        <f t="shared" si="342"/>
        <v>0</v>
      </c>
      <c r="DD315" s="409">
        <f t="shared" si="342"/>
        <v>0</v>
      </c>
      <c r="DE315" s="409">
        <f t="shared" si="343"/>
        <v>0</v>
      </c>
      <c r="DF315" s="409">
        <f t="shared" si="343"/>
        <v>0</v>
      </c>
      <c r="DG315" s="409">
        <f t="shared" si="343"/>
        <v>0</v>
      </c>
      <c r="DH315" s="409">
        <f t="shared" si="343"/>
        <v>0</v>
      </c>
      <c r="DI315" s="409">
        <f t="shared" si="343"/>
        <v>0</v>
      </c>
      <c r="DJ315" s="409">
        <f t="shared" si="343"/>
        <v>0</v>
      </c>
      <c r="DK315" s="409">
        <f t="shared" si="343"/>
        <v>0</v>
      </c>
      <c r="DL315" s="409">
        <f t="shared" si="343"/>
        <v>0</v>
      </c>
      <c r="DM315" s="409">
        <f t="shared" si="343"/>
        <v>0</v>
      </c>
      <c r="DN315" s="409">
        <f t="shared" si="343"/>
        <v>0</v>
      </c>
      <c r="DO315" s="409">
        <f t="shared" si="344"/>
        <v>0</v>
      </c>
      <c r="DP315" s="409">
        <f t="shared" si="344"/>
        <v>0</v>
      </c>
      <c r="DQ315" s="409">
        <f t="shared" si="344"/>
        <v>0</v>
      </c>
      <c r="DR315" s="409">
        <f t="shared" si="344"/>
        <v>0</v>
      </c>
      <c r="DS315" s="409">
        <f t="shared" si="344"/>
        <v>0</v>
      </c>
      <c r="DT315" s="409">
        <f t="shared" si="344"/>
        <v>0</v>
      </c>
      <c r="DU315" s="409">
        <f t="shared" si="344"/>
        <v>0</v>
      </c>
      <c r="DV315" s="409">
        <f t="shared" si="344"/>
        <v>0</v>
      </c>
      <c r="DW315" s="409">
        <f t="shared" si="344"/>
        <v>0</v>
      </c>
      <c r="DX315" s="409">
        <f t="shared" si="344"/>
        <v>0</v>
      </c>
      <c r="DY315" s="409">
        <f t="shared" si="345"/>
        <v>0</v>
      </c>
      <c r="DZ315" s="409">
        <f t="shared" si="345"/>
        <v>0</v>
      </c>
      <c r="EA315" s="409">
        <f t="shared" si="345"/>
        <v>0</v>
      </c>
      <c r="EB315" s="409">
        <f t="shared" si="345"/>
        <v>0</v>
      </c>
      <c r="EC315" s="409">
        <f t="shared" si="345"/>
        <v>0</v>
      </c>
      <c r="ED315" s="409">
        <f t="shared" si="345"/>
        <v>0</v>
      </c>
      <c r="EE315" s="409">
        <f t="shared" si="345"/>
        <v>0</v>
      </c>
      <c r="EF315" s="409">
        <f t="shared" si="345"/>
        <v>0</v>
      </c>
      <c r="EG315" s="409">
        <f t="shared" si="345"/>
        <v>0</v>
      </c>
      <c r="EH315" s="409">
        <f t="shared" si="345"/>
        <v>0</v>
      </c>
      <c r="EI315" s="409">
        <f t="shared" si="346"/>
        <v>0</v>
      </c>
      <c r="EJ315" s="409">
        <f t="shared" si="346"/>
        <v>0</v>
      </c>
      <c r="EK315" s="409">
        <f t="shared" si="346"/>
        <v>0</v>
      </c>
      <c r="EL315" s="409">
        <f t="shared" si="346"/>
        <v>0</v>
      </c>
      <c r="EM315" s="409">
        <f t="shared" si="346"/>
        <v>0</v>
      </c>
      <c r="EN315" s="409">
        <f t="shared" si="346"/>
        <v>0</v>
      </c>
      <c r="EO315" s="409">
        <f t="shared" si="346"/>
        <v>0</v>
      </c>
      <c r="EP315" s="409">
        <f t="shared" si="346"/>
        <v>0</v>
      </c>
      <c r="EQ315" s="409">
        <f t="shared" si="346"/>
        <v>0</v>
      </c>
      <c r="ER315" s="409">
        <f t="shared" si="346"/>
        <v>0</v>
      </c>
      <c r="ES315" s="409">
        <f t="shared" si="347"/>
        <v>0</v>
      </c>
      <c r="ET315" s="409">
        <f t="shared" si="347"/>
        <v>0</v>
      </c>
      <c r="EU315" s="409">
        <f t="shared" si="347"/>
        <v>0</v>
      </c>
      <c r="EV315" s="409">
        <f t="shared" si="347"/>
        <v>0</v>
      </c>
      <c r="EW315" s="409">
        <f t="shared" si="347"/>
        <v>0</v>
      </c>
      <c r="EX315" s="409">
        <f t="shared" si="347"/>
        <v>0</v>
      </c>
      <c r="EY315" s="409">
        <f t="shared" si="347"/>
        <v>0</v>
      </c>
      <c r="EZ315" s="409">
        <f t="shared" si="347"/>
        <v>0</v>
      </c>
      <c r="FA315" s="409">
        <f t="shared" si="347"/>
        <v>0</v>
      </c>
      <c r="FB315" s="409">
        <f t="shared" si="347"/>
        <v>0</v>
      </c>
      <c r="FC315" s="409">
        <f t="shared" si="348"/>
        <v>0</v>
      </c>
      <c r="FD315" s="409">
        <f t="shared" si="348"/>
        <v>0</v>
      </c>
      <c r="FE315" s="409">
        <f t="shared" si="348"/>
        <v>0</v>
      </c>
      <c r="FF315" s="409">
        <f t="shared" si="348"/>
        <v>0</v>
      </c>
      <c r="FG315" s="409">
        <f t="shared" si="348"/>
        <v>0</v>
      </c>
      <c r="FH315" s="409">
        <f t="shared" si="348"/>
        <v>0</v>
      </c>
      <c r="FI315" s="409">
        <f t="shared" si="348"/>
        <v>0</v>
      </c>
      <c r="FJ315" s="409">
        <f t="shared" si="348"/>
        <v>0</v>
      </c>
      <c r="FK315" s="409">
        <f t="shared" si="348"/>
        <v>0</v>
      </c>
      <c r="FL315" s="409">
        <f t="shared" si="348"/>
        <v>0</v>
      </c>
      <c r="FM315" s="409">
        <f t="shared" si="349"/>
        <v>0</v>
      </c>
      <c r="FN315" s="409">
        <f t="shared" si="349"/>
        <v>0</v>
      </c>
      <c r="FO315" s="409">
        <f t="shared" si="349"/>
        <v>0</v>
      </c>
      <c r="FP315" s="409">
        <f t="shared" si="349"/>
        <v>0</v>
      </c>
      <c r="FQ315" s="409">
        <f t="shared" si="349"/>
        <v>0</v>
      </c>
      <c r="FR315" s="409">
        <f t="shared" si="349"/>
        <v>0</v>
      </c>
      <c r="FS315" s="409">
        <f t="shared" si="349"/>
        <v>0</v>
      </c>
      <c r="FT315" s="409">
        <f t="shared" si="349"/>
        <v>0</v>
      </c>
      <c r="FU315" s="409">
        <f t="shared" si="349"/>
        <v>0</v>
      </c>
      <c r="FV315" s="409">
        <f t="shared" si="349"/>
        <v>0</v>
      </c>
      <c r="FW315" s="409">
        <f t="shared" si="350"/>
        <v>0</v>
      </c>
      <c r="FX315" s="409">
        <f t="shared" si="350"/>
        <v>0</v>
      </c>
      <c r="FY315" s="409">
        <f t="shared" si="350"/>
        <v>0</v>
      </c>
      <c r="FZ315" s="409">
        <f t="shared" si="350"/>
        <v>0</v>
      </c>
      <c r="GA315" s="409">
        <f t="shared" si="350"/>
        <v>0</v>
      </c>
      <c r="GB315" s="409">
        <f t="shared" si="350"/>
        <v>0</v>
      </c>
      <c r="GC315" s="409">
        <f t="shared" si="350"/>
        <v>0</v>
      </c>
      <c r="GD315" s="409">
        <f t="shared" si="350"/>
        <v>0</v>
      </c>
      <c r="GE315" s="409">
        <f t="shared" si="350"/>
        <v>0</v>
      </c>
      <c r="GF315" s="409">
        <f t="shared" si="350"/>
        <v>0</v>
      </c>
      <c r="GG315" s="409">
        <f t="shared" si="351"/>
        <v>0</v>
      </c>
      <c r="GH315" s="409">
        <f t="shared" si="351"/>
        <v>0</v>
      </c>
      <c r="GI315" s="409">
        <f t="shared" si="351"/>
        <v>0</v>
      </c>
      <c r="GJ315" s="409">
        <f t="shared" si="351"/>
        <v>0</v>
      </c>
      <c r="GK315" s="409">
        <f t="shared" si="351"/>
        <v>0</v>
      </c>
      <c r="GL315" s="409">
        <f t="shared" si="351"/>
        <v>0</v>
      </c>
      <c r="GM315" s="409">
        <f t="shared" si="351"/>
        <v>0</v>
      </c>
      <c r="GN315" s="409">
        <f t="shared" si="351"/>
        <v>0</v>
      </c>
      <c r="GO315" s="409">
        <f t="shared" si="351"/>
        <v>0</v>
      </c>
      <c r="GP315" s="409">
        <f t="shared" si="351"/>
        <v>0</v>
      </c>
      <c r="GQ315" s="409">
        <f t="shared" si="352"/>
        <v>0</v>
      </c>
      <c r="GR315" s="409">
        <f t="shared" si="352"/>
        <v>0</v>
      </c>
      <c r="GS315" s="409">
        <f t="shared" si="352"/>
        <v>0</v>
      </c>
      <c r="GT315" s="409">
        <f t="shared" si="352"/>
        <v>0</v>
      </c>
      <c r="GU315" s="409">
        <f t="shared" si="352"/>
        <v>0</v>
      </c>
      <c r="GV315" s="409">
        <f t="shared" si="352"/>
        <v>0</v>
      </c>
      <c r="GW315" s="409">
        <f t="shared" si="352"/>
        <v>0</v>
      </c>
      <c r="GX315" s="409">
        <f t="shared" si="352"/>
        <v>0</v>
      </c>
      <c r="GY315" s="409">
        <f t="shared" si="352"/>
        <v>0</v>
      </c>
      <c r="GZ315" s="409">
        <f t="shared" si="352"/>
        <v>0</v>
      </c>
      <c r="HA315" s="409">
        <f t="shared" si="353"/>
        <v>0</v>
      </c>
      <c r="HB315" s="409">
        <f t="shared" si="353"/>
        <v>0</v>
      </c>
      <c r="HC315" s="409">
        <f t="shared" si="353"/>
        <v>0</v>
      </c>
      <c r="HD315" s="409">
        <f t="shared" si="353"/>
        <v>0</v>
      </c>
      <c r="HE315" s="409">
        <f t="shared" si="353"/>
        <v>0</v>
      </c>
      <c r="HF315" s="409">
        <f t="shared" si="353"/>
        <v>0</v>
      </c>
      <c r="HG315" s="409">
        <f t="shared" si="353"/>
        <v>0</v>
      </c>
      <c r="HH315" s="409">
        <f t="shared" si="353"/>
        <v>0</v>
      </c>
      <c r="HI315" s="409">
        <f t="shared" si="353"/>
        <v>0</v>
      </c>
      <c r="HJ315" s="409">
        <f t="shared" si="353"/>
        <v>0</v>
      </c>
      <c r="HK315" s="409">
        <f t="shared" si="354"/>
        <v>0</v>
      </c>
      <c r="HL315" s="409">
        <f t="shared" si="354"/>
        <v>0</v>
      </c>
      <c r="HM315" s="409">
        <f t="shared" si="354"/>
        <v>0</v>
      </c>
      <c r="HN315" s="409">
        <f t="shared" si="354"/>
        <v>0</v>
      </c>
      <c r="HO315" s="409">
        <f t="shared" si="354"/>
        <v>0</v>
      </c>
      <c r="HP315" s="409">
        <f t="shared" si="354"/>
        <v>0</v>
      </c>
      <c r="HQ315" s="409">
        <f t="shared" si="354"/>
        <v>0</v>
      </c>
      <c r="HR315" s="409">
        <f t="shared" si="354"/>
        <v>0</v>
      </c>
      <c r="HS315" s="409">
        <f t="shared" si="354"/>
        <v>0</v>
      </c>
      <c r="HT315" s="409">
        <f t="shared" si="354"/>
        <v>0</v>
      </c>
      <c r="HU315" s="409">
        <f t="shared" si="355"/>
        <v>0</v>
      </c>
      <c r="HV315" s="409">
        <f t="shared" si="355"/>
        <v>0</v>
      </c>
      <c r="HW315" s="409">
        <f t="shared" si="355"/>
        <v>0</v>
      </c>
      <c r="HX315" s="409">
        <f t="shared" si="355"/>
        <v>0</v>
      </c>
      <c r="HY315" s="409">
        <f t="shared" si="355"/>
        <v>0</v>
      </c>
      <c r="HZ315" s="409">
        <f t="shared" si="355"/>
        <v>0</v>
      </c>
      <c r="IA315" s="409">
        <f t="shared" si="355"/>
        <v>0</v>
      </c>
      <c r="IB315" s="409">
        <f t="shared" si="355"/>
        <v>0</v>
      </c>
      <c r="IC315" s="409">
        <f t="shared" si="355"/>
        <v>0</v>
      </c>
      <c r="ID315" s="409">
        <f t="shared" si="355"/>
        <v>0</v>
      </c>
      <c r="IE315" s="409">
        <f t="shared" si="356"/>
        <v>0</v>
      </c>
      <c r="IF315" s="409">
        <f t="shared" si="356"/>
        <v>0</v>
      </c>
      <c r="IG315" s="409">
        <f t="shared" si="356"/>
        <v>0</v>
      </c>
      <c r="IH315" s="409">
        <f t="shared" si="356"/>
        <v>0</v>
      </c>
      <c r="II315" s="409">
        <f t="shared" si="356"/>
        <v>0</v>
      </c>
      <c r="IJ315" s="409">
        <f t="shared" si="356"/>
        <v>0</v>
      </c>
      <c r="IK315" s="378"/>
    </row>
    <row r="316" spans="1:245" hidden="1" x14ac:dyDescent="0.2">
      <c r="A316" s="380" t="str">
        <f t="shared" si="357"/>
        <v>e</v>
      </c>
      <c r="B316" s="712" t="str">
        <f>IF(ISERROR(INDEX('Legend(DX)'!$H$14:$H$15,29)),"",INDEX('Legend(DX)'!$H$14:$H$15,29))</f>
        <v/>
      </c>
      <c r="C316" s="712" t="e">
        <f>IF(INDEX('Legend(DX)'!$T$14:$T$15,29)=0,"See Legend",INDEX('Legend(DX)'!$T$14:$T$15,29))</f>
        <v>#REF!</v>
      </c>
      <c r="D316" s="712" t="e">
        <f>IF(INDEX('Legend(DX)'!$R$14:$R$15,29)=0,"---",INDEX('Legend(DX)'!$R$14:$R$15,29))</f>
        <v>#REF!</v>
      </c>
      <c r="E316" s="713" t="str">
        <f>IF(ISERROR(INDEX('Legend(DX)'!$AA$14:$AA$15,29)),"",INDEX('Legend(DX)'!$AA$14:$AA$15,29))</f>
        <v/>
      </c>
      <c r="F316" s="715"/>
      <c r="G316" s="715"/>
      <c r="H316" s="715"/>
      <c r="I316" s="715"/>
      <c r="J316" s="715"/>
      <c r="K316" s="890">
        <f t="shared" si="358"/>
        <v>0</v>
      </c>
      <c r="L316" s="718"/>
      <c r="M316" s="720"/>
      <c r="N316" s="972">
        <f t="shared" si="330"/>
        <v>-1</v>
      </c>
      <c r="O316" s="972">
        <f t="shared" si="359"/>
        <v>-1</v>
      </c>
      <c r="P316" s="972">
        <f t="shared" si="331"/>
        <v>-1</v>
      </c>
      <c r="Q316" s="972">
        <f t="shared" si="360"/>
        <v>-1</v>
      </c>
      <c r="R316" s="972">
        <f t="shared" si="332"/>
        <v>-1</v>
      </c>
      <c r="S316" s="972">
        <f t="shared" si="361"/>
        <v>-1</v>
      </c>
      <c r="T316" s="972">
        <f t="shared" si="333"/>
        <v>-1</v>
      </c>
      <c r="U316" s="972">
        <f t="shared" si="362"/>
        <v>-1</v>
      </c>
      <c r="V316" s="972">
        <f t="shared" si="334"/>
        <v>-1</v>
      </c>
      <c r="W316" s="972">
        <f t="shared" si="363"/>
        <v>-1</v>
      </c>
      <c r="X316" s="972">
        <f t="shared" si="335"/>
        <v>-1</v>
      </c>
      <c r="Y316" s="972">
        <f t="shared" si="364"/>
        <v>-1</v>
      </c>
      <c r="Z316" s="972">
        <f t="shared" si="365"/>
        <v>-1</v>
      </c>
      <c r="AA316" s="972">
        <f t="shared" si="366"/>
        <v>-1</v>
      </c>
      <c r="AB316" s="972">
        <f t="shared" si="367"/>
        <v>-1</v>
      </c>
      <c r="AC316" s="972">
        <f t="shared" si="368"/>
        <v>-1</v>
      </c>
      <c r="AD316" s="972">
        <f t="shared" si="369"/>
        <v>-1</v>
      </c>
      <c r="AE316" s="972">
        <f t="shared" si="370"/>
        <v>-1</v>
      </c>
      <c r="AF316" s="972">
        <f t="shared" si="371"/>
        <v>-1</v>
      </c>
      <c r="AG316" s="972">
        <f t="shared" si="372"/>
        <v>-1</v>
      </c>
      <c r="AH316" s="972">
        <f t="shared" si="373"/>
        <v>-1</v>
      </c>
      <c r="AI316" s="972">
        <f t="shared" si="374"/>
        <v>-1</v>
      </c>
      <c r="AJ316" s="972">
        <f t="shared" si="375"/>
        <v>-1</v>
      </c>
      <c r="AK316" s="381"/>
      <c r="AL316" s="727" t="str">
        <f t="shared" si="376"/>
        <v/>
      </c>
      <c r="AM316" s="409">
        <f t="shared" si="336"/>
        <v>0</v>
      </c>
      <c r="AN316" s="409">
        <f t="shared" si="336"/>
        <v>0</v>
      </c>
      <c r="AO316" s="409">
        <f t="shared" si="336"/>
        <v>0</v>
      </c>
      <c r="AP316" s="409">
        <f t="shared" si="336"/>
        <v>0</v>
      </c>
      <c r="AQ316" s="409">
        <f t="shared" si="336"/>
        <v>0</v>
      </c>
      <c r="AR316" s="409">
        <f t="shared" si="336"/>
        <v>0</v>
      </c>
      <c r="AS316" s="409">
        <f t="shared" si="336"/>
        <v>0</v>
      </c>
      <c r="AT316" s="409">
        <f t="shared" si="336"/>
        <v>0</v>
      </c>
      <c r="AU316" s="409">
        <f t="shared" si="336"/>
        <v>0</v>
      </c>
      <c r="AV316" s="409">
        <f t="shared" si="336"/>
        <v>0</v>
      </c>
      <c r="AW316" s="409">
        <f t="shared" si="337"/>
        <v>0</v>
      </c>
      <c r="AX316" s="409">
        <f t="shared" si="337"/>
        <v>0</v>
      </c>
      <c r="AY316" s="409">
        <f t="shared" si="337"/>
        <v>0</v>
      </c>
      <c r="AZ316" s="409">
        <f t="shared" si="337"/>
        <v>0</v>
      </c>
      <c r="BA316" s="409">
        <f t="shared" si="337"/>
        <v>0</v>
      </c>
      <c r="BB316" s="409">
        <f t="shared" si="337"/>
        <v>0</v>
      </c>
      <c r="BC316" s="409">
        <f t="shared" si="337"/>
        <v>0</v>
      </c>
      <c r="BD316" s="409">
        <f t="shared" si="337"/>
        <v>0</v>
      </c>
      <c r="BE316" s="409">
        <f t="shared" si="337"/>
        <v>0</v>
      </c>
      <c r="BF316" s="409">
        <f t="shared" si="337"/>
        <v>0</v>
      </c>
      <c r="BG316" s="409">
        <f t="shared" si="338"/>
        <v>0</v>
      </c>
      <c r="BH316" s="409">
        <f t="shared" si="338"/>
        <v>0</v>
      </c>
      <c r="BI316" s="409">
        <f t="shared" si="338"/>
        <v>0</v>
      </c>
      <c r="BJ316" s="409">
        <f t="shared" si="338"/>
        <v>0</v>
      </c>
      <c r="BK316" s="409">
        <f t="shared" si="338"/>
        <v>0</v>
      </c>
      <c r="BL316" s="409">
        <f t="shared" si="338"/>
        <v>0</v>
      </c>
      <c r="BM316" s="409">
        <f t="shared" si="338"/>
        <v>0</v>
      </c>
      <c r="BN316" s="409">
        <f t="shared" si="338"/>
        <v>0</v>
      </c>
      <c r="BO316" s="409">
        <f t="shared" si="338"/>
        <v>0</v>
      </c>
      <c r="BP316" s="409">
        <f t="shared" si="338"/>
        <v>0</v>
      </c>
      <c r="BQ316" s="409">
        <f t="shared" si="339"/>
        <v>0</v>
      </c>
      <c r="BR316" s="409">
        <f t="shared" si="339"/>
        <v>0</v>
      </c>
      <c r="BS316" s="409">
        <f t="shared" si="339"/>
        <v>0</v>
      </c>
      <c r="BT316" s="409">
        <f t="shared" si="339"/>
        <v>0</v>
      </c>
      <c r="BU316" s="409">
        <f t="shared" si="339"/>
        <v>0</v>
      </c>
      <c r="BV316" s="409">
        <f t="shared" si="339"/>
        <v>0</v>
      </c>
      <c r="BW316" s="409">
        <f t="shared" si="339"/>
        <v>0</v>
      </c>
      <c r="BX316" s="409">
        <f t="shared" si="339"/>
        <v>0</v>
      </c>
      <c r="BY316" s="409">
        <f t="shared" si="339"/>
        <v>0</v>
      </c>
      <c r="BZ316" s="409">
        <f t="shared" si="339"/>
        <v>0</v>
      </c>
      <c r="CA316" s="409">
        <f t="shared" si="340"/>
        <v>0</v>
      </c>
      <c r="CB316" s="409">
        <f t="shared" si="340"/>
        <v>0</v>
      </c>
      <c r="CC316" s="409">
        <f t="shared" si="340"/>
        <v>0</v>
      </c>
      <c r="CD316" s="409">
        <f t="shared" si="340"/>
        <v>0</v>
      </c>
      <c r="CE316" s="409">
        <f t="shared" si="340"/>
        <v>0</v>
      </c>
      <c r="CF316" s="409">
        <f t="shared" si="340"/>
        <v>0</v>
      </c>
      <c r="CG316" s="409">
        <f t="shared" si="340"/>
        <v>0</v>
      </c>
      <c r="CH316" s="409">
        <f t="shared" si="340"/>
        <v>0</v>
      </c>
      <c r="CI316" s="409">
        <f t="shared" si="340"/>
        <v>0</v>
      </c>
      <c r="CJ316" s="409">
        <f t="shared" si="340"/>
        <v>0</v>
      </c>
      <c r="CK316" s="409">
        <f t="shared" si="341"/>
        <v>0</v>
      </c>
      <c r="CL316" s="409">
        <f t="shared" si="341"/>
        <v>0</v>
      </c>
      <c r="CM316" s="409">
        <f t="shared" si="341"/>
        <v>0</v>
      </c>
      <c r="CN316" s="409">
        <f t="shared" si="341"/>
        <v>0</v>
      </c>
      <c r="CO316" s="409">
        <f t="shared" si="341"/>
        <v>0</v>
      </c>
      <c r="CP316" s="409">
        <f t="shared" si="341"/>
        <v>0</v>
      </c>
      <c r="CQ316" s="409">
        <f t="shared" si="341"/>
        <v>0</v>
      </c>
      <c r="CR316" s="409">
        <f t="shared" si="341"/>
        <v>0</v>
      </c>
      <c r="CS316" s="409">
        <f t="shared" si="341"/>
        <v>0</v>
      </c>
      <c r="CT316" s="409">
        <f t="shared" si="341"/>
        <v>0</v>
      </c>
      <c r="CU316" s="409">
        <f t="shared" si="342"/>
        <v>0</v>
      </c>
      <c r="CV316" s="409">
        <f t="shared" si="342"/>
        <v>0</v>
      </c>
      <c r="CW316" s="409">
        <f t="shared" si="342"/>
        <v>0</v>
      </c>
      <c r="CX316" s="409">
        <f t="shared" si="342"/>
        <v>0</v>
      </c>
      <c r="CY316" s="409">
        <f t="shared" si="342"/>
        <v>0</v>
      </c>
      <c r="CZ316" s="409">
        <f t="shared" si="342"/>
        <v>0</v>
      </c>
      <c r="DA316" s="409">
        <f t="shared" si="342"/>
        <v>0</v>
      </c>
      <c r="DB316" s="409">
        <f t="shared" si="342"/>
        <v>0</v>
      </c>
      <c r="DC316" s="409">
        <f t="shared" si="342"/>
        <v>0</v>
      </c>
      <c r="DD316" s="409">
        <f t="shared" si="342"/>
        <v>0</v>
      </c>
      <c r="DE316" s="409">
        <f t="shared" si="343"/>
        <v>0</v>
      </c>
      <c r="DF316" s="409">
        <f t="shared" si="343"/>
        <v>0</v>
      </c>
      <c r="DG316" s="409">
        <f t="shared" si="343"/>
        <v>0</v>
      </c>
      <c r="DH316" s="409">
        <f t="shared" si="343"/>
        <v>0</v>
      </c>
      <c r="DI316" s="409">
        <f t="shared" si="343"/>
        <v>0</v>
      </c>
      <c r="DJ316" s="409">
        <f t="shared" si="343"/>
        <v>0</v>
      </c>
      <c r="DK316" s="409">
        <f t="shared" si="343"/>
        <v>0</v>
      </c>
      <c r="DL316" s="409">
        <f t="shared" si="343"/>
        <v>0</v>
      </c>
      <c r="DM316" s="409">
        <f t="shared" si="343"/>
        <v>0</v>
      </c>
      <c r="DN316" s="409">
        <f t="shared" si="343"/>
        <v>0</v>
      </c>
      <c r="DO316" s="409">
        <f t="shared" si="344"/>
        <v>0</v>
      </c>
      <c r="DP316" s="409">
        <f t="shared" si="344"/>
        <v>0</v>
      </c>
      <c r="DQ316" s="409">
        <f t="shared" si="344"/>
        <v>0</v>
      </c>
      <c r="DR316" s="409">
        <f t="shared" si="344"/>
        <v>0</v>
      </c>
      <c r="DS316" s="409">
        <f t="shared" si="344"/>
        <v>0</v>
      </c>
      <c r="DT316" s="409">
        <f t="shared" si="344"/>
        <v>0</v>
      </c>
      <c r="DU316" s="409">
        <f t="shared" si="344"/>
        <v>0</v>
      </c>
      <c r="DV316" s="409">
        <f t="shared" si="344"/>
        <v>0</v>
      </c>
      <c r="DW316" s="409">
        <f t="shared" si="344"/>
        <v>0</v>
      </c>
      <c r="DX316" s="409">
        <f t="shared" si="344"/>
        <v>0</v>
      </c>
      <c r="DY316" s="409">
        <f t="shared" si="345"/>
        <v>0</v>
      </c>
      <c r="DZ316" s="409">
        <f t="shared" si="345"/>
        <v>0</v>
      </c>
      <c r="EA316" s="409">
        <f t="shared" si="345"/>
        <v>0</v>
      </c>
      <c r="EB316" s="409">
        <f t="shared" si="345"/>
        <v>0</v>
      </c>
      <c r="EC316" s="409">
        <f t="shared" si="345"/>
        <v>0</v>
      </c>
      <c r="ED316" s="409">
        <f t="shared" si="345"/>
        <v>0</v>
      </c>
      <c r="EE316" s="409">
        <f t="shared" si="345"/>
        <v>0</v>
      </c>
      <c r="EF316" s="409">
        <f t="shared" si="345"/>
        <v>0</v>
      </c>
      <c r="EG316" s="409">
        <f t="shared" si="345"/>
        <v>0</v>
      </c>
      <c r="EH316" s="409">
        <f t="shared" si="345"/>
        <v>0</v>
      </c>
      <c r="EI316" s="409">
        <f t="shared" si="346"/>
        <v>0</v>
      </c>
      <c r="EJ316" s="409">
        <f t="shared" si="346"/>
        <v>0</v>
      </c>
      <c r="EK316" s="409">
        <f t="shared" si="346"/>
        <v>0</v>
      </c>
      <c r="EL316" s="409">
        <f t="shared" si="346"/>
        <v>0</v>
      </c>
      <c r="EM316" s="409">
        <f t="shared" si="346"/>
        <v>0</v>
      </c>
      <c r="EN316" s="409">
        <f t="shared" si="346"/>
        <v>0</v>
      </c>
      <c r="EO316" s="409">
        <f t="shared" si="346"/>
        <v>0</v>
      </c>
      <c r="EP316" s="409">
        <f t="shared" si="346"/>
        <v>0</v>
      </c>
      <c r="EQ316" s="409">
        <f t="shared" si="346"/>
        <v>0</v>
      </c>
      <c r="ER316" s="409">
        <f t="shared" si="346"/>
        <v>0</v>
      </c>
      <c r="ES316" s="409">
        <f t="shared" si="347"/>
        <v>0</v>
      </c>
      <c r="ET316" s="409">
        <f t="shared" si="347"/>
        <v>0</v>
      </c>
      <c r="EU316" s="409">
        <f t="shared" si="347"/>
        <v>0</v>
      </c>
      <c r="EV316" s="409">
        <f t="shared" si="347"/>
        <v>0</v>
      </c>
      <c r="EW316" s="409">
        <f t="shared" si="347"/>
        <v>0</v>
      </c>
      <c r="EX316" s="409">
        <f t="shared" si="347"/>
        <v>0</v>
      </c>
      <c r="EY316" s="409">
        <f t="shared" si="347"/>
        <v>0</v>
      </c>
      <c r="EZ316" s="409">
        <f t="shared" si="347"/>
        <v>0</v>
      </c>
      <c r="FA316" s="409">
        <f t="shared" si="347"/>
        <v>0</v>
      </c>
      <c r="FB316" s="409">
        <f t="shared" si="347"/>
        <v>0</v>
      </c>
      <c r="FC316" s="409">
        <f t="shared" si="348"/>
        <v>0</v>
      </c>
      <c r="FD316" s="409">
        <f t="shared" si="348"/>
        <v>0</v>
      </c>
      <c r="FE316" s="409">
        <f t="shared" si="348"/>
        <v>0</v>
      </c>
      <c r="FF316" s="409">
        <f t="shared" si="348"/>
        <v>0</v>
      </c>
      <c r="FG316" s="409">
        <f t="shared" si="348"/>
        <v>0</v>
      </c>
      <c r="FH316" s="409">
        <f t="shared" si="348"/>
        <v>0</v>
      </c>
      <c r="FI316" s="409">
        <f t="shared" si="348"/>
        <v>0</v>
      </c>
      <c r="FJ316" s="409">
        <f t="shared" si="348"/>
        <v>0</v>
      </c>
      <c r="FK316" s="409">
        <f t="shared" si="348"/>
        <v>0</v>
      </c>
      <c r="FL316" s="409">
        <f t="shared" si="348"/>
        <v>0</v>
      </c>
      <c r="FM316" s="409">
        <f t="shared" si="349"/>
        <v>0</v>
      </c>
      <c r="FN316" s="409">
        <f t="shared" si="349"/>
        <v>0</v>
      </c>
      <c r="FO316" s="409">
        <f t="shared" si="349"/>
        <v>0</v>
      </c>
      <c r="FP316" s="409">
        <f t="shared" si="349"/>
        <v>0</v>
      </c>
      <c r="FQ316" s="409">
        <f t="shared" si="349"/>
        <v>0</v>
      </c>
      <c r="FR316" s="409">
        <f t="shared" si="349"/>
        <v>0</v>
      </c>
      <c r="FS316" s="409">
        <f t="shared" si="349"/>
        <v>0</v>
      </c>
      <c r="FT316" s="409">
        <f t="shared" si="349"/>
        <v>0</v>
      </c>
      <c r="FU316" s="409">
        <f t="shared" si="349"/>
        <v>0</v>
      </c>
      <c r="FV316" s="409">
        <f t="shared" si="349"/>
        <v>0</v>
      </c>
      <c r="FW316" s="409">
        <f t="shared" si="350"/>
        <v>0</v>
      </c>
      <c r="FX316" s="409">
        <f t="shared" si="350"/>
        <v>0</v>
      </c>
      <c r="FY316" s="409">
        <f t="shared" si="350"/>
        <v>0</v>
      </c>
      <c r="FZ316" s="409">
        <f t="shared" si="350"/>
        <v>0</v>
      </c>
      <c r="GA316" s="409">
        <f t="shared" si="350"/>
        <v>0</v>
      </c>
      <c r="GB316" s="409">
        <f t="shared" si="350"/>
        <v>0</v>
      </c>
      <c r="GC316" s="409">
        <f t="shared" si="350"/>
        <v>0</v>
      </c>
      <c r="GD316" s="409">
        <f t="shared" si="350"/>
        <v>0</v>
      </c>
      <c r="GE316" s="409">
        <f t="shared" si="350"/>
        <v>0</v>
      </c>
      <c r="GF316" s="409">
        <f t="shared" si="350"/>
        <v>0</v>
      </c>
      <c r="GG316" s="409">
        <f t="shared" si="351"/>
        <v>0</v>
      </c>
      <c r="GH316" s="409">
        <f t="shared" si="351"/>
        <v>0</v>
      </c>
      <c r="GI316" s="409">
        <f t="shared" si="351"/>
        <v>0</v>
      </c>
      <c r="GJ316" s="409">
        <f t="shared" si="351"/>
        <v>0</v>
      </c>
      <c r="GK316" s="409">
        <f t="shared" si="351"/>
        <v>0</v>
      </c>
      <c r="GL316" s="409">
        <f t="shared" si="351"/>
        <v>0</v>
      </c>
      <c r="GM316" s="409">
        <f t="shared" si="351"/>
        <v>0</v>
      </c>
      <c r="GN316" s="409">
        <f t="shared" si="351"/>
        <v>0</v>
      </c>
      <c r="GO316" s="409">
        <f t="shared" si="351"/>
        <v>0</v>
      </c>
      <c r="GP316" s="409">
        <f t="shared" si="351"/>
        <v>0</v>
      </c>
      <c r="GQ316" s="409">
        <f t="shared" si="352"/>
        <v>0</v>
      </c>
      <c r="GR316" s="409">
        <f t="shared" si="352"/>
        <v>0</v>
      </c>
      <c r="GS316" s="409">
        <f t="shared" si="352"/>
        <v>0</v>
      </c>
      <c r="GT316" s="409">
        <f t="shared" si="352"/>
        <v>0</v>
      </c>
      <c r="GU316" s="409">
        <f t="shared" si="352"/>
        <v>0</v>
      </c>
      <c r="GV316" s="409">
        <f t="shared" si="352"/>
        <v>0</v>
      </c>
      <c r="GW316" s="409">
        <f t="shared" si="352"/>
        <v>0</v>
      </c>
      <c r="GX316" s="409">
        <f t="shared" si="352"/>
        <v>0</v>
      </c>
      <c r="GY316" s="409">
        <f t="shared" si="352"/>
        <v>0</v>
      </c>
      <c r="GZ316" s="409">
        <f t="shared" si="352"/>
        <v>0</v>
      </c>
      <c r="HA316" s="409">
        <f t="shared" si="353"/>
        <v>0</v>
      </c>
      <c r="HB316" s="409">
        <f t="shared" si="353"/>
        <v>0</v>
      </c>
      <c r="HC316" s="409">
        <f t="shared" si="353"/>
        <v>0</v>
      </c>
      <c r="HD316" s="409">
        <f t="shared" si="353"/>
        <v>0</v>
      </c>
      <c r="HE316" s="409">
        <f t="shared" si="353"/>
        <v>0</v>
      </c>
      <c r="HF316" s="409">
        <f t="shared" si="353"/>
        <v>0</v>
      </c>
      <c r="HG316" s="409">
        <f t="shared" si="353"/>
        <v>0</v>
      </c>
      <c r="HH316" s="409">
        <f t="shared" si="353"/>
        <v>0</v>
      </c>
      <c r="HI316" s="409">
        <f t="shared" si="353"/>
        <v>0</v>
      </c>
      <c r="HJ316" s="409">
        <f t="shared" si="353"/>
        <v>0</v>
      </c>
      <c r="HK316" s="409">
        <f t="shared" si="354"/>
        <v>0</v>
      </c>
      <c r="HL316" s="409">
        <f t="shared" si="354"/>
        <v>0</v>
      </c>
      <c r="HM316" s="409">
        <f t="shared" si="354"/>
        <v>0</v>
      </c>
      <c r="HN316" s="409">
        <f t="shared" si="354"/>
        <v>0</v>
      </c>
      <c r="HO316" s="409">
        <f t="shared" si="354"/>
        <v>0</v>
      </c>
      <c r="HP316" s="409">
        <f t="shared" si="354"/>
        <v>0</v>
      </c>
      <c r="HQ316" s="409">
        <f t="shared" si="354"/>
        <v>0</v>
      </c>
      <c r="HR316" s="409">
        <f t="shared" si="354"/>
        <v>0</v>
      </c>
      <c r="HS316" s="409">
        <f t="shared" si="354"/>
        <v>0</v>
      </c>
      <c r="HT316" s="409">
        <f t="shared" si="354"/>
        <v>0</v>
      </c>
      <c r="HU316" s="409">
        <f t="shared" si="355"/>
        <v>0</v>
      </c>
      <c r="HV316" s="409">
        <f t="shared" si="355"/>
        <v>0</v>
      </c>
      <c r="HW316" s="409">
        <f t="shared" si="355"/>
        <v>0</v>
      </c>
      <c r="HX316" s="409">
        <f t="shared" si="355"/>
        <v>0</v>
      </c>
      <c r="HY316" s="409">
        <f t="shared" si="355"/>
        <v>0</v>
      </c>
      <c r="HZ316" s="409">
        <f t="shared" si="355"/>
        <v>0</v>
      </c>
      <c r="IA316" s="409">
        <f t="shared" si="355"/>
        <v>0</v>
      </c>
      <c r="IB316" s="409">
        <f t="shared" si="355"/>
        <v>0</v>
      </c>
      <c r="IC316" s="409">
        <f t="shared" si="355"/>
        <v>0</v>
      </c>
      <c r="ID316" s="409">
        <f t="shared" si="355"/>
        <v>0</v>
      </c>
      <c r="IE316" s="409">
        <f t="shared" si="356"/>
        <v>0</v>
      </c>
      <c r="IF316" s="409">
        <f t="shared" si="356"/>
        <v>0</v>
      </c>
      <c r="IG316" s="409">
        <f t="shared" si="356"/>
        <v>0</v>
      </c>
      <c r="IH316" s="409">
        <f t="shared" si="356"/>
        <v>0</v>
      </c>
      <c r="II316" s="409">
        <f t="shared" si="356"/>
        <v>0</v>
      </c>
      <c r="IJ316" s="409">
        <f t="shared" si="356"/>
        <v>0</v>
      </c>
      <c r="IK316" s="378"/>
    </row>
    <row r="317" spans="1:245" hidden="1" x14ac:dyDescent="0.2">
      <c r="A317" s="380" t="str">
        <f t="shared" si="357"/>
        <v>e</v>
      </c>
      <c r="B317" s="712" t="str">
        <f>IF(ISERROR(INDEX('Legend(DX)'!$H$14:$H$15,30)),"",INDEX('Legend(DX)'!$H$14:$H$15,30))</f>
        <v/>
      </c>
      <c r="C317" s="712" t="e">
        <f>IF(INDEX('Legend(DX)'!$T$14:$T$15,30)=0,"See Legend",INDEX('Legend(DX)'!$T$14:$T$15,30))</f>
        <v>#REF!</v>
      </c>
      <c r="D317" s="712" t="e">
        <f>IF(INDEX('Legend(DX)'!$R$14:$R$15,30)=0,"---",INDEX('Legend(DX)'!$R$14:$R$15,30))</f>
        <v>#REF!</v>
      </c>
      <c r="E317" s="713" t="str">
        <f>IF(ISERROR(INDEX('Legend(DX)'!$AA$14:$AA$15,30)),"",INDEX('Legend(DX)'!$AA$14:$AA$15,30))</f>
        <v/>
      </c>
      <c r="F317" s="715"/>
      <c r="G317" s="715"/>
      <c r="H317" s="715"/>
      <c r="I317" s="715"/>
      <c r="J317" s="715"/>
      <c r="K317" s="890">
        <f t="shared" si="358"/>
        <v>0</v>
      </c>
      <c r="L317" s="718"/>
      <c r="M317" s="720"/>
      <c r="N317" s="972">
        <f t="shared" si="330"/>
        <v>-1</v>
      </c>
      <c r="O317" s="972">
        <f t="shared" si="359"/>
        <v>-1</v>
      </c>
      <c r="P317" s="972">
        <f t="shared" si="331"/>
        <v>-1</v>
      </c>
      <c r="Q317" s="972">
        <f t="shared" si="360"/>
        <v>-1</v>
      </c>
      <c r="R317" s="972">
        <f t="shared" si="332"/>
        <v>-1</v>
      </c>
      <c r="S317" s="972">
        <f t="shared" si="361"/>
        <v>-1</v>
      </c>
      <c r="T317" s="972">
        <f t="shared" si="333"/>
        <v>-1</v>
      </c>
      <c r="U317" s="972">
        <f t="shared" si="362"/>
        <v>-1</v>
      </c>
      <c r="V317" s="972">
        <f t="shared" si="334"/>
        <v>-1</v>
      </c>
      <c r="W317" s="972">
        <f t="shared" si="363"/>
        <v>-1</v>
      </c>
      <c r="X317" s="972">
        <f t="shared" si="335"/>
        <v>-1</v>
      </c>
      <c r="Y317" s="972">
        <f t="shared" si="364"/>
        <v>-1</v>
      </c>
      <c r="Z317" s="972">
        <f t="shared" si="365"/>
        <v>-1</v>
      </c>
      <c r="AA317" s="972">
        <f t="shared" si="366"/>
        <v>-1</v>
      </c>
      <c r="AB317" s="972">
        <f t="shared" si="367"/>
        <v>-1</v>
      </c>
      <c r="AC317" s="972">
        <f t="shared" si="368"/>
        <v>-1</v>
      </c>
      <c r="AD317" s="972">
        <f t="shared" si="369"/>
        <v>-1</v>
      </c>
      <c r="AE317" s="972">
        <f t="shared" si="370"/>
        <v>-1</v>
      </c>
      <c r="AF317" s="972">
        <f t="shared" si="371"/>
        <v>-1</v>
      </c>
      <c r="AG317" s="972">
        <f t="shared" si="372"/>
        <v>-1</v>
      </c>
      <c r="AH317" s="972">
        <f t="shared" si="373"/>
        <v>-1</v>
      </c>
      <c r="AI317" s="972">
        <f t="shared" si="374"/>
        <v>-1</v>
      </c>
      <c r="AJ317" s="972">
        <f t="shared" si="375"/>
        <v>-1</v>
      </c>
      <c r="AK317" s="381"/>
      <c r="AL317" s="727" t="str">
        <f t="shared" si="376"/>
        <v/>
      </c>
      <c r="AM317" s="409">
        <f t="shared" si="336"/>
        <v>0</v>
      </c>
      <c r="AN317" s="409">
        <f t="shared" si="336"/>
        <v>0</v>
      </c>
      <c r="AO317" s="409">
        <f t="shared" si="336"/>
        <v>0</v>
      </c>
      <c r="AP317" s="409">
        <f t="shared" si="336"/>
        <v>0</v>
      </c>
      <c r="AQ317" s="409">
        <f t="shared" si="336"/>
        <v>0</v>
      </c>
      <c r="AR317" s="409">
        <f t="shared" si="336"/>
        <v>0</v>
      </c>
      <c r="AS317" s="409">
        <f t="shared" si="336"/>
        <v>0</v>
      </c>
      <c r="AT317" s="409">
        <f t="shared" si="336"/>
        <v>0</v>
      </c>
      <c r="AU317" s="409">
        <f t="shared" si="336"/>
        <v>0</v>
      </c>
      <c r="AV317" s="409">
        <f t="shared" si="336"/>
        <v>0</v>
      </c>
      <c r="AW317" s="409">
        <f t="shared" si="337"/>
        <v>0</v>
      </c>
      <c r="AX317" s="409">
        <f t="shared" si="337"/>
        <v>0</v>
      </c>
      <c r="AY317" s="409">
        <f t="shared" si="337"/>
        <v>0</v>
      </c>
      <c r="AZ317" s="409">
        <f t="shared" si="337"/>
        <v>0</v>
      </c>
      <c r="BA317" s="409">
        <f t="shared" si="337"/>
        <v>0</v>
      </c>
      <c r="BB317" s="409">
        <f t="shared" si="337"/>
        <v>0</v>
      </c>
      <c r="BC317" s="409">
        <f t="shared" si="337"/>
        <v>0</v>
      </c>
      <c r="BD317" s="409">
        <f t="shared" si="337"/>
        <v>0</v>
      </c>
      <c r="BE317" s="409">
        <f t="shared" si="337"/>
        <v>0</v>
      </c>
      <c r="BF317" s="409">
        <f t="shared" si="337"/>
        <v>0</v>
      </c>
      <c r="BG317" s="409">
        <f t="shared" si="338"/>
        <v>0</v>
      </c>
      <c r="BH317" s="409">
        <f t="shared" si="338"/>
        <v>0</v>
      </c>
      <c r="BI317" s="409">
        <f t="shared" si="338"/>
        <v>0</v>
      </c>
      <c r="BJ317" s="409">
        <f t="shared" si="338"/>
        <v>0</v>
      </c>
      <c r="BK317" s="409">
        <f t="shared" si="338"/>
        <v>0</v>
      </c>
      <c r="BL317" s="409">
        <f t="shared" si="338"/>
        <v>0</v>
      </c>
      <c r="BM317" s="409">
        <f t="shared" si="338"/>
        <v>0</v>
      </c>
      <c r="BN317" s="409">
        <f t="shared" si="338"/>
        <v>0</v>
      </c>
      <c r="BO317" s="409">
        <f t="shared" si="338"/>
        <v>0</v>
      </c>
      <c r="BP317" s="409">
        <f t="shared" si="338"/>
        <v>0</v>
      </c>
      <c r="BQ317" s="409">
        <f t="shared" si="339"/>
        <v>0</v>
      </c>
      <c r="BR317" s="409">
        <f t="shared" si="339"/>
        <v>0</v>
      </c>
      <c r="BS317" s="409">
        <f t="shared" si="339"/>
        <v>0</v>
      </c>
      <c r="BT317" s="409">
        <f t="shared" si="339"/>
        <v>0</v>
      </c>
      <c r="BU317" s="409">
        <f t="shared" si="339"/>
        <v>0</v>
      </c>
      <c r="BV317" s="409">
        <f t="shared" si="339"/>
        <v>0</v>
      </c>
      <c r="BW317" s="409">
        <f t="shared" si="339"/>
        <v>0</v>
      </c>
      <c r="BX317" s="409">
        <f t="shared" si="339"/>
        <v>0</v>
      </c>
      <c r="BY317" s="409">
        <f t="shared" si="339"/>
        <v>0</v>
      </c>
      <c r="BZ317" s="409">
        <f t="shared" si="339"/>
        <v>0</v>
      </c>
      <c r="CA317" s="409">
        <f t="shared" si="340"/>
        <v>0</v>
      </c>
      <c r="CB317" s="409">
        <f t="shared" si="340"/>
        <v>0</v>
      </c>
      <c r="CC317" s="409">
        <f t="shared" si="340"/>
        <v>0</v>
      </c>
      <c r="CD317" s="409">
        <f t="shared" si="340"/>
        <v>0</v>
      </c>
      <c r="CE317" s="409">
        <f t="shared" si="340"/>
        <v>0</v>
      </c>
      <c r="CF317" s="409">
        <f t="shared" si="340"/>
        <v>0</v>
      </c>
      <c r="CG317" s="409">
        <f t="shared" si="340"/>
        <v>0</v>
      </c>
      <c r="CH317" s="409">
        <f t="shared" si="340"/>
        <v>0</v>
      </c>
      <c r="CI317" s="409">
        <f t="shared" si="340"/>
        <v>0</v>
      </c>
      <c r="CJ317" s="409">
        <f t="shared" si="340"/>
        <v>0</v>
      </c>
      <c r="CK317" s="409">
        <f t="shared" si="341"/>
        <v>0</v>
      </c>
      <c r="CL317" s="409">
        <f t="shared" si="341"/>
        <v>0</v>
      </c>
      <c r="CM317" s="409">
        <f t="shared" si="341"/>
        <v>0</v>
      </c>
      <c r="CN317" s="409">
        <f t="shared" si="341"/>
        <v>0</v>
      </c>
      <c r="CO317" s="409">
        <f t="shared" si="341"/>
        <v>0</v>
      </c>
      <c r="CP317" s="409">
        <f t="shared" si="341"/>
        <v>0</v>
      </c>
      <c r="CQ317" s="409">
        <f t="shared" si="341"/>
        <v>0</v>
      </c>
      <c r="CR317" s="409">
        <f t="shared" si="341"/>
        <v>0</v>
      </c>
      <c r="CS317" s="409">
        <f t="shared" si="341"/>
        <v>0</v>
      </c>
      <c r="CT317" s="409">
        <f t="shared" si="341"/>
        <v>0</v>
      </c>
      <c r="CU317" s="409">
        <f t="shared" si="342"/>
        <v>0</v>
      </c>
      <c r="CV317" s="409">
        <f t="shared" si="342"/>
        <v>0</v>
      </c>
      <c r="CW317" s="409">
        <f t="shared" si="342"/>
        <v>0</v>
      </c>
      <c r="CX317" s="409">
        <f t="shared" si="342"/>
        <v>0</v>
      </c>
      <c r="CY317" s="409">
        <f t="shared" si="342"/>
        <v>0</v>
      </c>
      <c r="CZ317" s="409">
        <f t="shared" si="342"/>
        <v>0</v>
      </c>
      <c r="DA317" s="409">
        <f t="shared" si="342"/>
        <v>0</v>
      </c>
      <c r="DB317" s="409">
        <f t="shared" si="342"/>
        <v>0</v>
      </c>
      <c r="DC317" s="409">
        <f t="shared" si="342"/>
        <v>0</v>
      </c>
      <c r="DD317" s="409">
        <f t="shared" si="342"/>
        <v>0</v>
      </c>
      <c r="DE317" s="409">
        <f t="shared" si="343"/>
        <v>0</v>
      </c>
      <c r="DF317" s="409">
        <f t="shared" si="343"/>
        <v>0</v>
      </c>
      <c r="DG317" s="409">
        <f t="shared" si="343"/>
        <v>0</v>
      </c>
      <c r="DH317" s="409">
        <f t="shared" si="343"/>
        <v>0</v>
      </c>
      <c r="DI317" s="409">
        <f t="shared" si="343"/>
        <v>0</v>
      </c>
      <c r="DJ317" s="409">
        <f t="shared" si="343"/>
        <v>0</v>
      </c>
      <c r="DK317" s="409">
        <f t="shared" si="343"/>
        <v>0</v>
      </c>
      <c r="DL317" s="409">
        <f t="shared" si="343"/>
        <v>0</v>
      </c>
      <c r="DM317" s="409">
        <f t="shared" si="343"/>
        <v>0</v>
      </c>
      <c r="DN317" s="409">
        <f t="shared" si="343"/>
        <v>0</v>
      </c>
      <c r="DO317" s="409">
        <f t="shared" si="344"/>
        <v>0</v>
      </c>
      <c r="DP317" s="409">
        <f t="shared" si="344"/>
        <v>0</v>
      </c>
      <c r="DQ317" s="409">
        <f t="shared" si="344"/>
        <v>0</v>
      </c>
      <c r="DR317" s="409">
        <f t="shared" si="344"/>
        <v>0</v>
      </c>
      <c r="DS317" s="409">
        <f t="shared" si="344"/>
        <v>0</v>
      </c>
      <c r="DT317" s="409">
        <f t="shared" si="344"/>
        <v>0</v>
      </c>
      <c r="DU317" s="409">
        <f t="shared" si="344"/>
        <v>0</v>
      </c>
      <c r="DV317" s="409">
        <f t="shared" si="344"/>
        <v>0</v>
      </c>
      <c r="DW317" s="409">
        <f t="shared" si="344"/>
        <v>0</v>
      </c>
      <c r="DX317" s="409">
        <f t="shared" si="344"/>
        <v>0</v>
      </c>
      <c r="DY317" s="409">
        <f t="shared" si="345"/>
        <v>0</v>
      </c>
      <c r="DZ317" s="409">
        <f t="shared" si="345"/>
        <v>0</v>
      </c>
      <c r="EA317" s="409">
        <f t="shared" si="345"/>
        <v>0</v>
      </c>
      <c r="EB317" s="409">
        <f t="shared" si="345"/>
        <v>0</v>
      </c>
      <c r="EC317" s="409">
        <f t="shared" si="345"/>
        <v>0</v>
      </c>
      <c r="ED317" s="409">
        <f t="shared" si="345"/>
        <v>0</v>
      </c>
      <c r="EE317" s="409">
        <f t="shared" si="345"/>
        <v>0</v>
      </c>
      <c r="EF317" s="409">
        <f t="shared" si="345"/>
        <v>0</v>
      </c>
      <c r="EG317" s="409">
        <f t="shared" si="345"/>
        <v>0</v>
      </c>
      <c r="EH317" s="409">
        <f t="shared" si="345"/>
        <v>0</v>
      </c>
      <c r="EI317" s="409">
        <f t="shared" si="346"/>
        <v>0</v>
      </c>
      <c r="EJ317" s="409">
        <f t="shared" si="346"/>
        <v>0</v>
      </c>
      <c r="EK317" s="409">
        <f t="shared" si="346"/>
        <v>0</v>
      </c>
      <c r="EL317" s="409">
        <f t="shared" si="346"/>
        <v>0</v>
      </c>
      <c r="EM317" s="409">
        <f t="shared" si="346"/>
        <v>0</v>
      </c>
      <c r="EN317" s="409">
        <f t="shared" si="346"/>
        <v>0</v>
      </c>
      <c r="EO317" s="409">
        <f t="shared" si="346"/>
        <v>0</v>
      </c>
      <c r="EP317" s="409">
        <f t="shared" si="346"/>
        <v>0</v>
      </c>
      <c r="EQ317" s="409">
        <f t="shared" si="346"/>
        <v>0</v>
      </c>
      <c r="ER317" s="409">
        <f t="shared" si="346"/>
        <v>0</v>
      </c>
      <c r="ES317" s="409">
        <f t="shared" si="347"/>
        <v>0</v>
      </c>
      <c r="ET317" s="409">
        <f t="shared" si="347"/>
        <v>0</v>
      </c>
      <c r="EU317" s="409">
        <f t="shared" si="347"/>
        <v>0</v>
      </c>
      <c r="EV317" s="409">
        <f t="shared" si="347"/>
        <v>0</v>
      </c>
      <c r="EW317" s="409">
        <f t="shared" si="347"/>
        <v>0</v>
      </c>
      <c r="EX317" s="409">
        <f t="shared" si="347"/>
        <v>0</v>
      </c>
      <c r="EY317" s="409">
        <f t="shared" si="347"/>
        <v>0</v>
      </c>
      <c r="EZ317" s="409">
        <f t="shared" si="347"/>
        <v>0</v>
      </c>
      <c r="FA317" s="409">
        <f t="shared" si="347"/>
        <v>0</v>
      </c>
      <c r="FB317" s="409">
        <f t="shared" si="347"/>
        <v>0</v>
      </c>
      <c r="FC317" s="409">
        <f t="shared" si="348"/>
        <v>0</v>
      </c>
      <c r="FD317" s="409">
        <f t="shared" si="348"/>
        <v>0</v>
      </c>
      <c r="FE317" s="409">
        <f t="shared" si="348"/>
        <v>0</v>
      </c>
      <c r="FF317" s="409">
        <f t="shared" si="348"/>
        <v>0</v>
      </c>
      <c r="FG317" s="409">
        <f t="shared" si="348"/>
        <v>0</v>
      </c>
      <c r="FH317" s="409">
        <f t="shared" si="348"/>
        <v>0</v>
      </c>
      <c r="FI317" s="409">
        <f t="shared" si="348"/>
        <v>0</v>
      </c>
      <c r="FJ317" s="409">
        <f t="shared" si="348"/>
        <v>0</v>
      </c>
      <c r="FK317" s="409">
        <f t="shared" si="348"/>
        <v>0</v>
      </c>
      <c r="FL317" s="409">
        <f t="shared" si="348"/>
        <v>0</v>
      </c>
      <c r="FM317" s="409">
        <f t="shared" si="349"/>
        <v>0</v>
      </c>
      <c r="FN317" s="409">
        <f t="shared" si="349"/>
        <v>0</v>
      </c>
      <c r="FO317" s="409">
        <f t="shared" si="349"/>
        <v>0</v>
      </c>
      <c r="FP317" s="409">
        <f t="shared" si="349"/>
        <v>0</v>
      </c>
      <c r="FQ317" s="409">
        <f t="shared" si="349"/>
        <v>0</v>
      </c>
      <c r="FR317" s="409">
        <f t="shared" si="349"/>
        <v>0</v>
      </c>
      <c r="FS317" s="409">
        <f t="shared" si="349"/>
        <v>0</v>
      </c>
      <c r="FT317" s="409">
        <f t="shared" si="349"/>
        <v>0</v>
      </c>
      <c r="FU317" s="409">
        <f t="shared" si="349"/>
        <v>0</v>
      </c>
      <c r="FV317" s="409">
        <f t="shared" si="349"/>
        <v>0</v>
      </c>
      <c r="FW317" s="409">
        <f t="shared" si="350"/>
        <v>0</v>
      </c>
      <c r="FX317" s="409">
        <f t="shared" si="350"/>
        <v>0</v>
      </c>
      <c r="FY317" s="409">
        <f t="shared" si="350"/>
        <v>0</v>
      </c>
      <c r="FZ317" s="409">
        <f t="shared" si="350"/>
        <v>0</v>
      </c>
      <c r="GA317" s="409">
        <f t="shared" si="350"/>
        <v>0</v>
      </c>
      <c r="GB317" s="409">
        <f t="shared" si="350"/>
        <v>0</v>
      </c>
      <c r="GC317" s="409">
        <f t="shared" si="350"/>
        <v>0</v>
      </c>
      <c r="GD317" s="409">
        <f t="shared" si="350"/>
        <v>0</v>
      </c>
      <c r="GE317" s="409">
        <f t="shared" si="350"/>
        <v>0</v>
      </c>
      <c r="GF317" s="409">
        <f t="shared" si="350"/>
        <v>0</v>
      </c>
      <c r="GG317" s="409">
        <f t="shared" si="351"/>
        <v>0</v>
      </c>
      <c r="GH317" s="409">
        <f t="shared" si="351"/>
        <v>0</v>
      </c>
      <c r="GI317" s="409">
        <f t="shared" si="351"/>
        <v>0</v>
      </c>
      <c r="GJ317" s="409">
        <f t="shared" si="351"/>
        <v>0</v>
      </c>
      <c r="GK317" s="409">
        <f t="shared" si="351"/>
        <v>0</v>
      </c>
      <c r="GL317" s="409">
        <f t="shared" si="351"/>
        <v>0</v>
      </c>
      <c r="GM317" s="409">
        <f t="shared" si="351"/>
        <v>0</v>
      </c>
      <c r="GN317" s="409">
        <f t="shared" si="351"/>
        <v>0</v>
      </c>
      <c r="GO317" s="409">
        <f t="shared" si="351"/>
        <v>0</v>
      </c>
      <c r="GP317" s="409">
        <f t="shared" si="351"/>
        <v>0</v>
      </c>
      <c r="GQ317" s="409">
        <f t="shared" si="352"/>
        <v>0</v>
      </c>
      <c r="GR317" s="409">
        <f t="shared" si="352"/>
        <v>0</v>
      </c>
      <c r="GS317" s="409">
        <f t="shared" si="352"/>
        <v>0</v>
      </c>
      <c r="GT317" s="409">
        <f t="shared" si="352"/>
        <v>0</v>
      </c>
      <c r="GU317" s="409">
        <f t="shared" si="352"/>
        <v>0</v>
      </c>
      <c r="GV317" s="409">
        <f t="shared" si="352"/>
        <v>0</v>
      </c>
      <c r="GW317" s="409">
        <f t="shared" si="352"/>
        <v>0</v>
      </c>
      <c r="GX317" s="409">
        <f t="shared" si="352"/>
        <v>0</v>
      </c>
      <c r="GY317" s="409">
        <f t="shared" si="352"/>
        <v>0</v>
      </c>
      <c r="GZ317" s="409">
        <f t="shared" si="352"/>
        <v>0</v>
      </c>
      <c r="HA317" s="409">
        <f t="shared" si="353"/>
        <v>0</v>
      </c>
      <c r="HB317" s="409">
        <f t="shared" si="353"/>
        <v>0</v>
      </c>
      <c r="HC317" s="409">
        <f t="shared" si="353"/>
        <v>0</v>
      </c>
      <c r="HD317" s="409">
        <f t="shared" si="353"/>
        <v>0</v>
      </c>
      <c r="HE317" s="409">
        <f t="shared" si="353"/>
        <v>0</v>
      </c>
      <c r="HF317" s="409">
        <f t="shared" si="353"/>
        <v>0</v>
      </c>
      <c r="HG317" s="409">
        <f t="shared" si="353"/>
        <v>0</v>
      </c>
      <c r="HH317" s="409">
        <f t="shared" si="353"/>
        <v>0</v>
      </c>
      <c r="HI317" s="409">
        <f t="shared" si="353"/>
        <v>0</v>
      </c>
      <c r="HJ317" s="409">
        <f t="shared" si="353"/>
        <v>0</v>
      </c>
      <c r="HK317" s="409">
        <f t="shared" si="354"/>
        <v>0</v>
      </c>
      <c r="HL317" s="409">
        <f t="shared" si="354"/>
        <v>0</v>
      </c>
      <c r="HM317" s="409">
        <f t="shared" si="354"/>
        <v>0</v>
      </c>
      <c r="HN317" s="409">
        <f t="shared" si="354"/>
        <v>0</v>
      </c>
      <c r="HO317" s="409">
        <f t="shared" si="354"/>
        <v>0</v>
      </c>
      <c r="HP317" s="409">
        <f t="shared" si="354"/>
        <v>0</v>
      </c>
      <c r="HQ317" s="409">
        <f t="shared" si="354"/>
        <v>0</v>
      </c>
      <c r="HR317" s="409">
        <f t="shared" si="354"/>
        <v>0</v>
      </c>
      <c r="HS317" s="409">
        <f t="shared" si="354"/>
        <v>0</v>
      </c>
      <c r="HT317" s="409">
        <f t="shared" si="354"/>
        <v>0</v>
      </c>
      <c r="HU317" s="409">
        <f t="shared" si="355"/>
        <v>0</v>
      </c>
      <c r="HV317" s="409">
        <f t="shared" si="355"/>
        <v>0</v>
      </c>
      <c r="HW317" s="409">
        <f t="shared" si="355"/>
        <v>0</v>
      </c>
      <c r="HX317" s="409">
        <f t="shared" si="355"/>
        <v>0</v>
      </c>
      <c r="HY317" s="409">
        <f t="shared" si="355"/>
        <v>0</v>
      </c>
      <c r="HZ317" s="409">
        <f t="shared" si="355"/>
        <v>0</v>
      </c>
      <c r="IA317" s="409">
        <f t="shared" si="355"/>
        <v>0</v>
      </c>
      <c r="IB317" s="409">
        <f t="shared" si="355"/>
        <v>0</v>
      </c>
      <c r="IC317" s="409">
        <f t="shared" si="355"/>
        <v>0</v>
      </c>
      <c r="ID317" s="409">
        <f t="shared" si="355"/>
        <v>0</v>
      </c>
      <c r="IE317" s="409">
        <f t="shared" si="356"/>
        <v>0</v>
      </c>
      <c r="IF317" s="409">
        <f t="shared" si="356"/>
        <v>0</v>
      </c>
      <c r="IG317" s="409">
        <f t="shared" si="356"/>
        <v>0</v>
      </c>
      <c r="IH317" s="409">
        <f t="shared" si="356"/>
        <v>0</v>
      </c>
      <c r="II317" s="409">
        <f t="shared" si="356"/>
        <v>0</v>
      </c>
      <c r="IJ317" s="409">
        <f t="shared" si="356"/>
        <v>0</v>
      </c>
      <c r="IK317" s="378"/>
    </row>
    <row r="318" spans="1:245" hidden="1" x14ac:dyDescent="0.2">
      <c r="A318" s="380" t="str">
        <f t="shared" si="357"/>
        <v>e</v>
      </c>
      <c r="B318" s="712" t="str">
        <f>IF(ISERROR(INDEX('Legend(DX)'!$H$14:$H$15,31)),"",INDEX('Legend(DX)'!$H$14:$H$15,31))</f>
        <v/>
      </c>
      <c r="C318" s="712" t="e">
        <f>IF(INDEX('Legend(DX)'!$T$14:$T$15,31)=0,"See Legend",INDEX('Legend(DX)'!$T$14:$T$15,31))</f>
        <v>#REF!</v>
      </c>
      <c r="D318" s="712" t="e">
        <f>IF(INDEX('Legend(DX)'!$R$14:$R$15,31)=0,"---",INDEX('Legend(DX)'!$R$14:$R$15,31))</f>
        <v>#REF!</v>
      </c>
      <c r="E318" s="713" t="str">
        <f>IF(ISERROR(INDEX('Legend(DX)'!$AA$14:$AA$15,31)),"",INDEX('Legend(DX)'!$AA$14:$AA$15,31))</f>
        <v/>
      </c>
      <c r="F318" s="715"/>
      <c r="G318" s="715"/>
      <c r="H318" s="715"/>
      <c r="I318" s="715"/>
      <c r="J318" s="715"/>
      <c r="K318" s="890">
        <f t="shared" si="358"/>
        <v>0</v>
      </c>
      <c r="L318" s="718"/>
      <c r="M318" s="720"/>
      <c r="N318" s="972">
        <f t="shared" si="330"/>
        <v>-1</v>
      </c>
      <c r="O318" s="972">
        <f t="shared" si="359"/>
        <v>-1</v>
      </c>
      <c r="P318" s="972">
        <f t="shared" si="331"/>
        <v>-1</v>
      </c>
      <c r="Q318" s="972">
        <f t="shared" si="360"/>
        <v>-1</v>
      </c>
      <c r="R318" s="972">
        <f t="shared" si="332"/>
        <v>-1</v>
      </c>
      <c r="S318" s="972">
        <f t="shared" si="361"/>
        <v>-1</v>
      </c>
      <c r="T318" s="972">
        <f t="shared" si="333"/>
        <v>-1</v>
      </c>
      <c r="U318" s="972">
        <f t="shared" si="362"/>
        <v>-1</v>
      </c>
      <c r="V318" s="972">
        <f t="shared" si="334"/>
        <v>-1</v>
      </c>
      <c r="W318" s="972">
        <f t="shared" si="363"/>
        <v>-1</v>
      </c>
      <c r="X318" s="972">
        <f t="shared" si="335"/>
        <v>-1</v>
      </c>
      <c r="Y318" s="972">
        <f t="shared" si="364"/>
        <v>-1</v>
      </c>
      <c r="Z318" s="972">
        <f t="shared" si="365"/>
        <v>-1</v>
      </c>
      <c r="AA318" s="972">
        <f t="shared" si="366"/>
        <v>-1</v>
      </c>
      <c r="AB318" s="972">
        <f t="shared" si="367"/>
        <v>-1</v>
      </c>
      <c r="AC318" s="972">
        <f t="shared" si="368"/>
        <v>-1</v>
      </c>
      <c r="AD318" s="972">
        <f t="shared" si="369"/>
        <v>-1</v>
      </c>
      <c r="AE318" s="972">
        <f t="shared" si="370"/>
        <v>-1</v>
      </c>
      <c r="AF318" s="972">
        <f t="shared" si="371"/>
        <v>-1</v>
      </c>
      <c r="AG318" s="972">
        <f t="shared" si="372"/>
        <v>-1</v>
      </c>
      <c r="AH318" s="972">
        <f t="shared" si="373"/>
        <v>-1</v>
      </c>
      <c r="AI318" s="972">
        <f t="shared" si="374"/>
        <v>-1</v>
      </c>
      <c r="AJ318" s="972">
        <f t="shared" si="375"/>
        <v>-1</v>
      </c>
      <c r="AK318" s="381"/>
      <c r="AL318" s="727" t="str">
        <f t="shared" si="376"/>
        <v/>
      </c>
      <c r="AM318" s="409">
        <f t="shared" ref="AM318:AV327" si="404">IF(ISNA(AM$7),"",IF(OR(AND(AM$7&lt;=$N318,AM$7&gt;$N318-TIME(0,TimeIncr,0)),AND(AM$7&lt;=$P318,AM$7&gt;$P318-TIME(0,TimeIncr,0)),AND(AM$7&lt;=$R318,AM$7&gt;$R318-TIME(0,TimeIncr,0)),AND(AM$7&lt;=$T318,AM$7&gt;$T318-TIME(0,TimeIncr,0)),AND(AM$7&lt;=$V318,AM$7&gt;$V318-TIME(0,TimeIncr,0)),AND(AM$7&lt;=$X318,AM$7&gt;$X318-TIME(0,TimeIncr,0))),$E318*$L318,IF(OR(AND(AM$7&gt;=$M318,AM$7&lt;=$N318),AND(AM$7&gt;=$O318,AM$7&lt;=$P318),AND(AM$7&gt;=$Q318,AM$7&lt;=$R318),AND(AM$7&gt;=$S318,AM$7&lt;=$T318),AND(AM$7&gt;=$U318,AM$7&lt;=$V318),AND(AM$7&gt;=$W318,AM$7&lt;=$X318)),0,IF(OR(AND($M318&gt;$N318,AM$7&lt;=$N318),AND($O318&gt;$P318,AM$7&lt;=$P318),AND($Q318&gt;$R318,AM$7&lt;=$R318),AND($S318&gt;$T318,AM$7&lt;=$T318),AND($U318&gt;$V318,AM$7&lt;=$V318),AND($W318&gt;$X318,AM$7&lt;=$X318)),0,IF(OR(AND(AM$7&gt;=$M318,$M318&gt;$N318),AND(AM$7&gt;=$O318,$O318&gt;$P318),AND(AM$7&gt;=$Q318,$Q318&gt;$R318),AND(AM$7&gt;=$S318,$S318&gt;$T318),AND(AM$7&gt;=$U318,$U318&gt;$V318),AND(AM$7&gt;=$W318,$W318&gt;$X318)),0,$E318)))))</f>
        <v>0</v>
      </c>
      <c r="AN318" s="409">
        <f t="shared" si="404"/>
        <v>0</v>
      </c>
      <c r="AO318" s="409">
        <f t="shared" si="404"/>
        <v>0</v>
      </c>
      <c r="AP318" s="409">
        <f t="shared" si="404"/>
        <v>0</v>
      </c>
      <c r="AQ318" s="409">
        <f t="shared" si="404"/>
        <v>0</v>
      </c>
      <c r="AR318" s="409">
        <f t="shared" si="404"/>
        <v>0</v>
      </c>
      <c r="AS318" s="409">
        <f t="shared" si="404"/>
        <v>0</v>
      </c>
      <c r="AT318" s="409">
        <f t="shared" si="404"/>
        <v>0</v>
      </c>
      <c r="AU318" s="409">
        <f t="shared" si="404"/>
        <v>0</v>
      </c>
      <c r="AV318" s="409">
        <f t="shared" si="404"/>
        <v>0</v>
      </c>
      <c r="AW318" s="409">
        <f t="shared" ref="AW318:BF327" si="405">IF(ISNA(AW$7),"",IF(OR(AND(AW$7&lt;=$N318,AW$7&gt;$N318-TIME(0,TimeIncr,0)),AND(AW$7&lt;=$P318,AW$7&gt;$P318-TIME(0,TimeIncr,0)),AND(AW$7&lt;=$R318,AW$7&gt;$R318-TIME(0,TimeIncr,0)),AND(AW$7&lt;=$T318,AW$7&gt;$T318-TIME(0,TimeIncr,0)),AND(AW$7&lt;=$V318,AW$7&gt;$V318-TIME(0,TimeIncr,0)),AND(AW$7&lt;=$X318,AW$7&gt;$X318-TIME(0,TimeIncr,0))),$E318*$L318,IF(OR(AND(AW$7&gt;=$M318,AW$7&lt;=$N318),AND(AW$7&gt;=$O318,AW$7&lt;=$P318),AND(AW$7&gt;=$Q318,AW$7&lt;=$R318),AND(AW$7&gt;=$S318,AW$7&lt;=$T318),AND(AW$7&gt;=$U318,AW$7&lt;=$V318),AND(AW$7&gt;=$W318,AW$7&lt;=$X318)),0,IF(OR(AND($M318&gt;$N318,AW$7&lt;=$N318),AND($O318&gt;$P318,AW$7&lt;=$P318),AND($Q318&gt;$R318,AW$7&lt;=$R318),AND($S318&gt;$T318,AW$7&lt;=$T318),AND($U318&gt;$V318,AW$7&lt;=$V318),AND($W318&gt;$X318,AW$7&lt;=$X318)),0,IF(OR(AND(AW$7&gt;=$M318,$M318&gt;$N318),AND(AW$7&gt;=$O318,$O318&gt;$P318),AND(AW$7&gt;=$Q318,$Q318&gt;$R318),AND(AW$7&gt;=$S318,$S318&gt;$T318),AND(AW$7&gt;=$U318,$U318&gt;$V318),AND(AW$7&gt;=$W318,$W318&gt;$X318)),0,$E318)))))</f>
        <v>0</v>
      </c>
      <c r="AX318" s="409">
        <f t="shared" si="405"/>
        <v>0</v>
      </c>
      <c r="AY318" s="409">
        <f t="shared" si="405"/>
        <v>0</v>
      </c>
      <c r="AZ318" s="409">
        <f t="shared" si="405"/>
        <v>0</v>
      </c>
      <c r="BA318" s="409">
        <f t="shared" si="405"/>
        <v>0</v>
      </c>
      <c r="BB318" s="409">
        <f t="shared" si="405"/>
        <v>0</v>
      </c>
      <c r="BC318" s="409">
        <f t="shared" si="405"/>
        <v>0</v>
      </c>
      <c r="BD318" s="409">
        <f t="shared" si="405"/>
        <v>0</v>
      </c>
      <c r="BE318" s="409">
        <f t="shared" si="405"/>
        <v>0</v>
      </c>
      <c r="BF318" s="409">
        <f t="shared" si="405"/>
        <v>0</v>
      </c>
      <c r="BG318" s="409">
        <f t="shared" ref="BG318:BP327" si="406">IF(ISNA(BG$7),"",IF(OR(AND(BG$7&lt;=$N318,BG$7&gt;$N318-TIME(0,TimeIncr,0)),AND(BG$7&lt;=$P318,BG$7&gt;$P318-TIME(0,TimeIncr,0)),AND(BG$7&lt;=$R318,BG$7&gt;$R318-TIME(0,TimeIncr,0)),AND(BG$7&lt;=$T318,BG$7&gt;$T318-TIME(0,TimeIncr,0)),AND(BG$7&lt;=$V318,BG$7&gt;$V318-TIME(0,TimeIncr,0)),AND(BG$7&lt;=$X318,BG$7&gt;$X318-TIME(0,TimeIncr,0))),$E318*$L318,IF(OR(AND(BG$7&gt;=$M318,BG$7&lt;=$N318),AND(BG$7&gt;=$O318,BG$7&lt;=$P318),AND(BG$7&gt;=$Q318,BG$7&lt;=$R318),AND(BG$7&gt;=$S318,BG$7&lt;=$T318),AND(BG$7&gt;=$U318,BG$7&lt;=$V318),AND(BG$7&gt;=$W318,BG$7&lt;=$X318)),0,IF(OR(AND($M318&gt;$N318,BG$7&lt;=$N318),AND($O318&gt;$P318,BG$7&lt;=$P318),AND($Q318&gt;$R318,BG$7&lt;=$R318),AND($S318&gt;$T318,BG$7&lt;=$T318),AND($U318&gt;$V318,BG$7&lt;=$V318),AND($W318&gt;$X318,BG$7&lt;=$X318)),0,IF(OR(AND(BG$7&gt;=$M318,$M318&gt;$N318),AND(BG$7&gt;=$O318,$O318&gt;$P318),AND(BG$7&gt;=$Q318,$Q318&gt;$R318),AND(BG$7&gt;=$S318,$S318&gt;$T318),AND(BG$7&gt;=$U318,$U318&gt;$V318),AND(BG$7&gt;=$W318,$W318&gt;$X318)),0,$E318)))))</f>
        <v>0</v>
      </c>
      <c r="BH318" s="409">
        <f t="shared" si="406"/>
        <v>0</v>
      </c>
      <c r="BI318" s="409">
        <f t="shared" si="406"/>
        <v>0</v>
      </c>
      <c r="BJ318" s="409">
        <f t="shared" si="406"/>
        <v>0</v>
      </c>
      <c r="BK318" s="409">
        <f t="shared" si="406"/>
        <v>0</v>
      </c>
      <c r="BL318" s="409">
        <f t="shared" si="406"/>
        <v>0</v>
      </c>
      <c r="BM318" s="409">
        <f t="shared" si="406"/>
        <v>0</v>
      </c>
      <c r="BN318" s="409">
        <f t="shared" si="406"/>
        <v>0</v>
      </c>
      <c r="BO318" s="409">
        <f t="shared" si="406"/>
        <v>0</v>
      </c>
      <c r="BP318" s="409">
        <f t="shared" si="406"/>
        <v>0</v>
      </c>
      <c r="BQ318" s="409">
        <f t="shared" ref="BQ318:BZ327" si="407">IF(ISNA(BQ$7),"",IF(OR(AND(BQ$7&lt;=$N318,BQ$7&gt;$N318-TIME(0,TimeIncr,0)),AND(BQ$7&lt;=$P318,BQ$7&gt;$P318-TIME(0,TimeIncr,0)),AND(BQ$7&lt;=$R318,BQ$7&gt;$R318-TIME(0,TimeIncr,0)),AND(BQ$7&lt;=$T318,BQ$7&gt;$T318-TIME(0,TimeIncr,0)),AND(BQ$7&lt;=$V318,BQ$7&gt;$V318-TIME(0,TimeIncr,0)),AND(BQ$7&lt;=$X318,BQ$7&gt;$X318-TIME(0,TimeIncr,0))),$E318*$L318,IF(OR(AND(BQ$7&gt;=$M318,BQ$7&lt;=$N318),AND(BQ$7&gt;=$O318,BQ$7&lt;=$P318),AND(BQ$7&gt;=$Q318,BQ$7&lt;=$R318),AND(BQ$7&gt;=$S318,BQ$7&lt;=$T318),AND(BQ$7&gt;=$U318,BQ$7&lt;=$V318),AND(BQ$7&gt;=$W318,BQ$7&lt;=$X318)),0,IF(OR(AND($M318&gt;$N318,BQ$7&lt;=$N318),AND($O318&gt;$P318,BQ$7&lt;=$P318),AND($Q318&gt;$R318,BQ$7&lt;=$R318),AND($S318&gt;$T318,BQ$7&lt;=$T318),AND($U318&gt;$V318,BQ$7&lt;=$V318),AND($W318&gt;$X318,BQ$7&lt;=$X318)),0,IF(OR(AND(BQ$7&gt;=$M318,$M318&gt;$N318),AND(BQ$7&gt;=$O318,$O318&gt;$P318),AND(BQ$7&gt;=$Q318,$Q318&gt;$R318),AND(BQ$7&gt;=$S318,$S318&gt;$T318),AND(BQ$7&gt;=$U318,$U318&gt;$V318),AND(BQ$7&gt;=$W318,$W318&gt;$X318)),0,$E318)))))</f>
        <v>0</v>
      </c>
      <c r="BR318" s="409">
        <f t="shared" si="407"/>
        <v>0</v>
      </c>
      <c r="BS318" s="409">
        <f t="shared" si="407"/>
        <v>0</v>
      </c>
      <c r="BT318" s="409">
        <f t="shared" si="407"/>
        <v>0</v>
      </c>
      <c r="BU318" s="409">
        <f t="shared" si="407"/>
        <v>0</v>
      </c>
      <c r="BV318" s="409">
        <f t="shared" si="407"/>
        <v>0</v>
      </c>
      <c r="BW318" s="409">
        <f t="shared" si="407"/>
        <v>0</v>
      </c>
      <c r="BX318" s="409">
        <f t="shared" si="407"/>
        <v>0</v>
      </c>
      <c r="BY318" s="409">
        <f t="shared" si="407"/>
        <v>0</v>
      </c>
      <c r="BZ318" s="409">
        <f t="shared" si="407"/>
        <v>0</v>
      </c>
      <c r="CA318" s="409">
        <f t="shared" ref="CA318:CJ327" si="408">IF(ISNA(CA$7),"",IF(OR(AND(CA$7&lt;=$N318,CA$7&gt;$N318-TIME(0,TimeIncr,0)),AND(CA$7&lt;=$P318,CA$7&gt;$P318-TIME(0,TimeIncr,0)),AND(CA$7&lt;=$R318,CA$7&gt;$R318-TIME(0,TimeIncr,0)),AND(CA$7&lt;=$T318,CA$7&gt;$T318-TIME(0,TimeIncr,0)),AND(CA$7&lt;=$V318,CA$7&gt;$V318-TIME(0,TimeIncr,0)),AND(CA$7&lt;=$X318,CA$7&gt;$X318-TIME(0,TimeIncr,0))),$E318*$L318,IF(OR(AND(CA$7&gt;=$M318,CA$7&lt;=$N318),AND(CA$7&gt;=$O318,CA$7&lt;=$P318),AND(CA$7&gt;=$Q318,CA$7&lt;=$R318),AND(CA$7&gt;=$S318,CA$7&lt;=$T318),AND(CA$7&gt;=$U318,CA$7&lt;=$V318),AND(CA$7&gt;=$W318,CA$7&lt;=$X318)),0,IF(OR(AND($M318&gt;$N318,CA$7&lt;=$N318),AND($O318&gt;$P318,CA$7&lt;=$P318),AND($Q318&gt;$R318,CA$7&lt;=$R318),AND($S318&gt;$T318,CA$7&lt;=$T318),AND($U318&gt;$V318,CA$7&lt;=$V318),AND($W318&gt;$X318,CA$7&lt;=$X318)),0,IF(OR(AND(CA$7&gt;=$M318,$M318&gt;$N318),AND(CA$7&gt;=$O318,$O318&gt;$P318),AND(CA$7&gt;=$Q318,$Q318&gt;$R318),AND(CA$7&gt;=$S318,$S318&gt;$T318),AND(CA$7&gt;=$U318,$U318&gt;$V318),AND(CA$7&gt;=$W318,$W318&gt;$X318)),0,$E318)))))</f>
        <v>0</v>
      </c>
      <c r="CB318" s="409">
        <f t="shared" si="408"/>
        <v>0</v>
      </c>
      <c r="CC318" s="409">
        <f t="shared" si="408"/>
        <v>0</v>
      </c>
      <c r="CD318" s="409">
        <f t="shared" si="408"/>
        <v>0</v>
      </c>
      <c r="CE318" s="409">
        <f t="shared" si="408"/>
        <v>0</v>
      </c>
      <c r="CF318" s="409">
        <f t="shared" si="408"/>
        <v>0</v>
      </c>
      <c r="CG318" s="409">
        <f t="shared" si="408"/>
        <v>0</v>
      </c>
      <c r="CH318" s="409">
        <f t="shared" si="408"/>
        <v>0</v>
      </c>
      <c r="CI318" s="409">
        <f t="shared" si="408"/>
        <v>0</v>
      </c>
      <c r="CJ318" s="409">
        <f t="shared" si="408"/>
        <v>0</v>
      </c>
      <c r="CK318" s="409">
        <f t="shared" ref="CK318:CT327" si="409">IF(ISNA(CK$7),"",IF(OR(AND(CK$7&lt;=$N318,CK$7&gt;$N318-TIME(0,TimeIncr,0)),AND(CK$7&lt;=$P318,CK$7&gt;$P318-TIME(0,TimeIncr,0)),AND(CK$7&lt;=$R318,CK$7&gt;$R318-TIME(0,TimeIncr,0)),AND(CK$7&lt;=$T318,CK$7&gt;$T318-TIME(0,TimeIncr,0)),AND(CK$7&lt;=$V318,CK$7&gt;$V318-TIME(0,TimeIncr,0)),AND(CK$7&lt;=$X318,CK$7&gt;$X318-TIME(0,TimeIncr,0))),$E318*$L318,IF(OR(AND(CK$7&gt;=$M318,CK$7&lt;=$N318),AND(CK$7&gt;=$O318,CK$7&lt;=$P318),AND(CK$7&gt;=$Q318,CK$7&lt;=$R318),AND(CK$7&gt;=$S318,CK$7&lt;=$T318),AND(CK$7&gt;=$U318,CK$7&lt;=$V318),AND(CK$7&gt;=$W318,CK$7&lt;=$X318)),0,IF(OR(AND($M318&gt;$N318,CK$7&lt;=$N318),AND($O318&gt;$P318,CK$7&lt;=$P318),AND($Q318&gt;$R318,CK$7&lt;=$R318),AND($S318&gt;$T318,CK$7&lt;=$T318),AND($U318&gt;$V318,CK$7&lt;=$V318),AND($W318&gt;$X318,CK$7&lt;=$X318)),0,IF(OR(AND(CK$7&gt;=$M318,$M318&gt;$N318),AND(CK$7&gt;=$O318,$O318&gt;$P318),AND(CK$7&gt;=$Q318,$Q318&gt;$R318),AND(CK$7&gt;=$S318,$S318&gt;$T318),AND(CK$7&gt;=$U318,$U318&gt;$V318),AND(CK$7&gt;=$W318,$W318&gt;$X318)),0,$E318)))))</f>
        <v>0</v>
      </c>
      <c r="CL318" s="409">
        <f t="shared" si="409"/>
        <v>0</v>
      </c>
      <c r="CM318" s="409">
        <f t="shared" si="409"/>
        <v>0</v>
      </c>
      <c r="CN318" s="409">
        <f t="shared" si="409"/>
        <v>0</v>
      </c>
      <c r="CO318" s="409">
        <f t="shared" si="409"/>
        <v>0</v>
      </c>
      <c r="CP318" s="409">
        <f t="shared" si="409"/>
        <v>0</v>
      </c>
      <c r="CQ318" s="409">
        <f t="shared" si="409"/>
        <v>0</v>
      </c>
      <c r="CR318" s="409">
        <f t="shared" si="409"/>
        <v>0</v>
      </c>
      <c r="CS318" s="409">
        <f t="shared" si="409"/>
        <v>0</v>
      </c>
      <c r="CT318" s="409">
        <f t="shared" si="409"/>
        <v>0</v>
      </c>
      <c r="CU318" s="409">
        <f t="shared" ref="CU318:DD327" si="410">IF(ISNA(CU$7),"",IF(OR(AND(CU$7&lt;=$N318,CU$7&gt;$N318-TIME(0,TimeIncr,0)),AND(CU$7&lt;=$P318,CU$7&gt;$P318-TIME(0,TimeIncr,0)),AND(CU$7&lt;=$R318,CU$7&gt;$R318-TIME(0,TimeIncr,0)),AND(CU$7&lt;=$T318,CU$7&gt;$T318-TIME(0,TimeIncr,0)),AND(CU$7&lt;=$V318,CU$7&gt;$V318-TIME(0,TimeIncr,0)),AND(CU$7&lt;=$X318,CU$7&gt;$X318-TIME(0,TimeIncr,0))),$E318*$L318,IF(OR(AND(CU$7&gt;=$M318,CU$7&lt;=$N318),AND(CU$7&gt;=$O318,CU$7&lt;=$P318),AND(CU$7&gt;=$Q318,CU$7&lt;=$R318),AND(CU$7&gt;=$S318,CU$7&lt;=$T318),AND(CU$7&gt;=$U318,CU$7&lt;=$V318),AND(CU$7&gt;=$W318,CU$7&lt;=$X318)),0,IF(OR(AND($M318&gt;$N318,CU$7&lt;=$N318),AND($O318&gt;$P318,CU$7&lt;=$P318),AND($Q318&gt;$R318,CU$7&lt;=$R318),AND($S318&gt;$T318,CU$7&lt;=$T318),AND($U318&gt;$V318,CU$7&lt;=$V318),AND($W318&gt;$X318,CU$7&lt;=$X318)),0,IF(OR(AND(CU$7&gt;=$M318,$M318&gt;$N318),AND(CU$7&gt;=$O318,$O318&gt;$P318),AND(CU$7&gt;=$Q318,$Q318&gt;$R318),AND(CU$7&gt;=$S318,$S318&gt;$T318),AND(CU$7&gt;=$U318,$U318&gt;$V318),AND(CU$7&gt;=$W318,$W318&gt;$X318)),0,$E318)))))</f>
        <v>0</v>
      </c>
      <c r="CV318" s="409">
        <f t="shared" si="410"/>
        <v>0</v>
      </c>
      <c r="CW318" s="409">
        <f t="shared" si="410"/>
        <v>0</v>
      </c>
      <c r="CX318" s="409">
        <f t="shared" si="410"/>
        <v>0</v>
      </c>
      <c r="CY318" s="409">
        <f t="shared" si="410"/>
        <v>0</v>
      </c>
      <c r="CZ318" s="409">
        <f t="shared" si="410"/>
        <v>0</v>
      </c>
      <c r="DA318" s="409">
        <f t="shared" si="410"/>
        <v>0</v>
      </c>
      <c r="DB318" s="409">
        <f t="shared" si="410"/>
        <v>0</v>
      </c>
      <c r="DC318" s="409">
        <f t="shared" si="410"/>
        <v>0</v>
      </c>
      <c r="DD318" s="409">
        <f t="shared" si="410"/>
        <v>0</v>
      </c>
      <c r="DE318" s="409">
        <f t="shared" ref="DE318:DN327" si="411">IF(ISNA(DE$7),"",IF(OR(AND(DE$7&lt;=$N318,DE$7&gt;$N318-TIME(0,TimeIncr,0)),AND(DE$7&lt;=$P318,DE$7&gt;$P318-TIME(0,TimeIncr,0)),AND(DE$7&lt;=$R318,DE$7&gt;$R318-TIME(0,TimeIncr,0)),AND(DE$7&lt;=$T318,DE$7&gt;$T318-TIME(0,TimeIncr,0)),AND(DE$7&lt;=$V318,DE$7&gt;$V318-TIME(0,TimeIncr,0)),AND(DE$7&lt;=$X318,DE$7&gt;$X318-TIME(0,TimeIncr,0))),$E318*$L318,IF(OR(AND(DE$7&gt;=$M318,DE$7&lt;=$N318),AND(DE$7&gt;=$O318,DE$7&lt;=$P318),AND(DE$7&gt;=$Q318,DE$7&lt;=$R318),AND(DE$7&gt;=$S318,DE$7&lt;=$T318),AND(DE$7&gt;=$U318,DE$7&lt;=$V318),AND(DE$7&gt;=$W318,DE$7&lt;=$X318)),0,IF(OR(AND($M318&gt;$N318,DE$7&lt;=$N318),AND($O318&gt;$P318,DE$7&lt;=$P318),AND($Q318&gt;$R318,DE$7&lt;=$R318),AND($S318&gt;$T318,DE$7&lt;=$T318),AND($U318&gt;$V318,DE$7&lt;=$V318),AND($W318&gt;$X318,DE$7&lt;=$X318)),0,IF(OR(AND(DE$7&gt;=$M318,$M318&gt;$N318),AND(DE$7&gt;=$O318,$O318&gt;$P318),AND(DE$7&gt;=$Q318,$Q318&gt;$R318),AND(DE$7&gt;=$S318,$S318&gt;$T318),AND(DE$7&gt;=$U318,$U318&gt;$V318),AND(DE$7&gt;=$W318,$W318&gt;$X318)),0,$E318)))))</f>
        <v>0</v>
      </c>
      <c r="DF318" s="409">
        <f t="shared" si="411"/>
        <v>0</v>
      </c>
      <c r="DG318" s="409">
        <f t="shared" si="411"/>
        <v>0</v>
      </c>
      <c r="DH318" s="409">
        <f t="shared" si="411"/>
        <v>0</v>
      </c>
      <c r="DI318" s="409">
        <f t="shared" si="411"/>
        <v>0</v>
      </c>
      <c r="DJ318" s="409">
        <f t="shared" si="411"/>
        <v>0</v>
      </c>
      <c r="DK318" s="409">
        <f t="shared" si="411"/>
        <v>0</v>
      </c>
      <c r="DL318" s="409">
        <f t="shared" si="411"/>
        <v>0</v>
      </c>
      <c r="DM318" s="409">
        <f t="shared" si="411"/>
        <v>0</v>
      </c>
      <c r="DN318" s="409">
        <f t="shared" si="411"/>
        <v>0</v>
      </c>
      <c r="DO318" s="409">
        <f t="shared" ref="DO318:DX327" si="412">IF(ISNA(DO$7),"",IF(OR(AND(DO$7&lt;=$N318,DO$7&gt;$N318-TIME(0,TimeIncr,0)),AND(DO$7&lt;=$P318,DO$7&gt;$P318-TIME(0,TimeIncr,0)),AND(DO$7&lt;=$R318,DO$7&gt;$R318-TIME(0,TimeIncr,0)),AND(DO$7&lt;=$T318,DO$7&gt;$T318-TIME(0,TimeIncr,0)),AND(DO$7&lt;=$V318,DO$7&gt;$V318-TIME(0,TimeIncr,0)),AND(DO$7&lt;=$X318,DO$7&gt;$X318-TIME(0,TimeIncr,0))),$E318*$L318,IF(OR(AND(DO$7&gt;=$M318,DO$7&lt;=$N318),AND(DO$7&gt;=$O318,DO$7&lt;=$P318),AND(DO$7&gt;=$Q318,DO$7&lt;=$R318),AND(DO$7&gt;=$S318,DO$7&lt;=$T318),AND(DO$7&gt;=$U318,DO$7&lt;=$V318),AND(DO$7&gt;=$W318,DO$7&lt;=$X318)),0,IF(OR(AND($M318&gt;$N318,DO$7&lt;=$N318),AND($O318&gt;$P318,DO$7&lt;=$P318),AND($Q318&gt;$R318,DO$7&lt;=$R318),AND($S318&gt;$T318,DO$7&lt;=$T318),AND($U318&gt;$V318,DO$7&lt;=$V318),AND($W318&gt;$X318,DO$7&lt;=$X318)),0,IF(OR(AND(DO$7&gt;=$M318,$M318&gt;$N318),AND(DO$7&gt;=$O318,$O318&gt;$P318),AND(DO$7&gt;=$Q318,$Q318&gt;$R318),AND(DO$7&gt;=$S318,$S318&gt;$T318),AND(DO$7&gt;=$U318,$U318&gt;$V318),AND(DO$7&gt;=$W318,$W318&gt;$X318)),0,$E318)))))</f>
        <v>0</v>
      </c>
      <c r="DP318" s="409">
        <f t="shared" si="412"/>
        <v>0</v>
      </c>
      <c r="DQ318" s="409">
        <f t="shared" si="412"/>
        <v>0</v>
      </c>
      <c r="DR318" s="409">
        <f t="shared" si="412"/>
        <v>0</v>
      </c>
      <c r="DS318" s="409">
        <f t="shared" si="412"/>
        <v>0</v>
      </c>
      <c r="DT318" s="409">
        <f t="shared" si="412"/>
        <v>0</v>
      </c>
      <c r="DU318" s="409">
        <f t="shared" si="412"/>
        <v>0</v>
      </c>
      <c r="DV318" s="409">
        <f t="shared" si="412"/>
        <v>0</v>
      </c>
      <c r="DW318" s="409">
        <f t="shared" si="412"/>
        <v>0</v>
      </c>
      <c r="DX318" s="409">
        <f t="shared" si="412"/>
        <v>0</v>
      </c>
      <c r="DY318" s="409">
        <f t="shared" ref="DY318:EH327" si="413">IF(ISNA(DY$7),"",IF(OR(AND(DY$7&lt;=$N318,DY$7&gt;$N318-TIME(0,TimeIncr,0)),AND(DY$7&lt;=$P318,DY$7&gt;$P318-TIME(0,TimeIncr,0)),AND(DY$7&lt;=$R318,DY$7&gt;$R318-TIME(0,TimeIncr,0)),AND(DY$7&lt;=$T318,DY$7&gt;$T318-TIME(0,TimeIncr,0)),AND(DY$7&lt;=$V318,DY$7&gt;$V318-TIME(0,TimeIncr,0)),AND(DY$7&lt;=$X318,DY$7&gt;$X318-TIME(0,TimeIncr,0))),$E318*$L318,IF(OR(AND(DY$7&gt;=$M318,DY$7&lt;=$N318),AND(DY$7&gt;=$O318,DY$7&lt;=$P318),AND(DY$7&gt;=$Q318,DY$7&lt;=$R318),AND(DY$7&gt;=$S318,DY$7&lt;=$T318),AND(DY$7&gt;=$U318,DY$7&lt;=$V318),AND(DY$7&gt;=$W318,DY$7&lt;=$X318)),0,IF(OR(AND($M318&gt;$N318,DY$7&lt;=$N318),AND($O318&gt;$P318,DY$7&lt;=$P318),AND($Q318&gt;$R318,DY$7&lt;=$R318),AND($S318&gt;$T318,DY$7&lt;=$T318),AND($U318&gt;$V318,DY$7&lt;=$V318),AND($W318&gt;$X318,DY$7&lt;=$X318)),0,IF(OR(AND(DY$7&gt;=$M318,$M318&gt;$N318),AND(DY$7&gt;=$O318,$O318&gt;$P318),AND(DY$7&gt;=$Q318,$Q318&gt;$R318),AND(DY$7&gt;=$S318,$S318&gt;$T318),AND(DY$7&gt;=$U318,$U318&gt;$V318),AND(DY$7&gt;=$W318,$W318&gt;$X318)),0,$E318)))))</f>
        <v>0</v>
      </c>
      <c r="DZ318" s="409">
        <f t="shared" si="413"/>
        <v>0</v>
      </c>
      <c r="EA318" s="409">
        <f t="shared" si="413"/>
        <v>0</v>
      </c>
      <c r="EB318" s="409">
        <f t="shared" si="413"/>
        <v>0</v>
      </c>
      <c r="EC318" s="409">
        <f t="shared" si="413"/>
        <v>0</v>
      </c>
      <c r="ED318" s="409">
        <f t="shared" si="413"/>
        <v>0</v>
      </c>
      <c r="EE318" s="409">
        <f t="shared" si="413"/>
        <v>0</v>
      </c>
      <c r="EF318" s="409">
        <f t="shared" si="413"/>
        <v>0</v>
      </c>
      <c r="EG318" s="409">
        <f t="shared" si="413"/>
        <v>0</v>
      </c>
      <c r="EH318" s="409">
        <f t="shared" si="413"/>
        <v>0</v>
      </c>
      <c r="EI318" s="409">
        <f t="shared" ref="EI318:ER327" si="414">IF(ISNA(EI$7),"",IF(OR(AND(EI$7&lt;=$N318,EI$7&gt;$N318-TIME(0,TimeIncr,0)),AND(EI$7&lt;=$P318,EI$7&gt;$P318-TIME(0,TimeIncr,0)),AND(EI$7&lt;=$R318,EI$7&gt;$R318-TIME(0,TimeIncr,0)),AND(EI$7&lt;=$T318,EI$7&gt;$T318-TIME(0,TimeIncr,0)),AND(EI$7&lt;=$V318,EI$7&gt;$V318-TIME(0,TimeIncr,0)),AND(EI$7&lt;=$X318,EI$7&gt;$X318-TIME(0,TimeIncr,0))),$E318*$L318,IF(OR(AND(EI$7&gt;=$M318,EI$7&lt;=$N318),AND(EI$7&gt;=$O318,EI$7&lt;=$P318),AND(EI$7&gt;=$Q318,EI$7&lt;=$R318),AND(EI$7&gt;=$S318,EI$7&lt;=$T318),AND(EI$7&gt;=$U318,EI$7&lt;=$V318),AND(EI$7&gt;=$W318,EI$7&lt;=$X318)),0,IF(OR(AND($M318&gt;$N318,EI$7&lt;=$N318),AND($O318&gt;$P318,EI$7&lt;=$P318),AND($Q318&gt;$R318,EI$7&lt;=$R318),AND($S318&gt;$T318,EI$7&lt;=$T318),AND($U318&gt;$V318,EI$7&lt;=$V318),AND($W318&gt;$X318,EI$7&lt;=$X318)),0,IF(OR(AND(EI$7&gt;=$M318,$M318&gt;$N318),AND(EI$7&gt;=$O318,$O318&gt;$P318),AND(EI$7&gt;=$Q318,$Q318&gt;$R318),AND(EI$7&gt;=$S318,$S318&gt;$T318),AND(EI$7&gt;=$U318,$U318&gt;$V318),AND(EI$7&gt;=$W318,$W318&gt;$X318)),0,$E318)))))</f>
        <v>0</v>
      </c>
      <c r="EJ318" s="409">
        <f t="shared" si="414"/>
        <v>0</v>
      </c>
      <c r="EK318" s="409">
        <f t="shared" si="414"/>
        <v>0</v>
      </c>
      <c r="EL318" s="409">
        <f t="shared" si="414"/>
        <v>0</v>
      </c>
      <c r="EM318" s="409">
        <f t="shared" si="414"/>
        <v>0</v>
      </c>
      <c r="EN318" s="409">
        <f t="shared" si="414"/>
        <v>0</v>
      </c>
      <c r="EO318" s="409">
        <f t="shared" si="414"/>
        <v>0</v>
      </c>
      <c r="EP318" s="409">
        <f t="shared" si="414"/>
        <v>0</v>
      </c>
      <c r="EQ318" s="409">
        <f t="shared" si="414"/>
        <v>0</v>
      </c>
      <c r="ER318" s="409">
        <f t="shared" si="414"/>
        <v>0</v>
      </c>
      <c r="ES318" s="409">
        <f t="shared" ref="ES318:FB327" si="415">IF(ISNA(ES$7),"",IF(OR(AND(ES$7&lt;=$N318,ES$7&gt;$N318-TIME(0,TimeIncr,0)),AND(ES$7&lt;=$P318,ES$7&gt;$P318-TIME(0,TimeIncr,0)),AND(ES$7&lt;=$R318,ES$7&gt;$R318-TIME(0,TimeIncr,0)),AND(ES$7&lt;=$T318,ES$7&gt;$T318-TIME(0,TimeIncr,0)),AND(ES$7&lt;=$V318,ES$7&gt;$V318-TIME(0,TimeIncr,0)),AND(ES$7&lt;=$X318,ES$7&gt;$X318-TIME(0,TimeIncr,0))),$E318*$L318,IF(OR(AND(ES$7&gt;=$M318,ES$7&lt;=$N318),AND(ES$7&gt;=$O318,ES$7&lt;=$P318),AND(ES$7&gt;=$Q318,ES$7&lt;=$R318),AND(ES$7&gt;=$S318,ES$7&lt;=$T318),AND(ES$7&gt;=$U318,ES$7&lt;=$V318),AND(ES$7&gt;=$W318,ES$7&lt;=$X318)),0,IF(OR(AND($M318&gt;$N318,ES$7&lt;=$N318),AND($O318&gt;$P318,ES$7&lt;=$P318),AND($Q318&gt;$R318,ES$7&lt;=$R318),AND($S318&gt;$T318,ES$7&lt;=$T318),AND($U318&gt;$V318,ES$7&lt;=$V318),AND($W318&gt;$X318,ES$7&lt;=$X318)),0,IF(OR(AND(ES$7&gt;=$M318,$M318&gt;$N318),AND(ES$7&gt;=$O318,$O318&gt;$P318),AND(ES$7&gt;=$Q318,$Q318&gt;$R318),AND(ES$7&gt;=$S318,$S318&gt;$T318),AND(ES$7&gt;=$U318,$U318&gt;$V318),AND(ES$7&gt;=$W318,$W318&gt;$X318)),0,$E318)))))</f>
        <v>0</v>
      </c>
      <c r="ET318" s="409">
        <f t="shared" si="415"/>
        <v>0</v>
      </c>
      <c r="EU318" s="409">
        <f t="shared" si="415"/>
        <v>0</v>
      </c>
      <c r="EV318" s="409">
        <f t="shared" si="415"/>
        <v>0</v>
      </c>
      <c r="EW318" s="409">
        <f t="shared" si="415"/>
        <v>0</v>
      </c>
      <c r="EX318" s="409">
        <f t="shared" si="415"/>
        <v>0</v>
      </c>
      <c r="EY318" s="409">
        <f t="shared" si="415"/>
        <v>0</v>
      </c>
      <c r="EZ318" s="409">
        <f t="shared" si="415"/>
        <v>0</v>
      </c>
      <c r="FA318" s="409">
        <f t="shared" si="415"/>
        <v>0</v>
      </c>
      <c r="FB318" s="409">
        <f t="shared" si="415"/>
        <v>0</v>
      </c>
      <c r="FC318" s="409">
        <f t="shared" ref="FC318:FL327" si="416">IF(ISNA(FC$7),"",IF(OR(AND(FC$7&lt;=$N318,FC$7&gt;$N318-TIME(0,TimeIncr,0)),AND(FC$7&lt;=$P318,FC$7&gt;$P318-TIME(0,TimeIncr,0)),AND(FC$7&lt;=$R318,FC$7&gt;$R318-TIME(0,TimeIncr,0)),AND(FC$7&lt;=$T318,FC$7&gt;$T318-TIME(0,TimeIncr,0)),AND(FC$7&lt;=$V318,FC$7&gt;$V318-TIME(0,TimeIncr,0)),AND(FC$7&lt;=$X318,FC$7&gt;$X318-TIME(0,TimeIncr,0))),$E318*$L318,IF(OR(AND(FC$7&gt;=$M318,FC$7&lt;=$N318),AND(FC$7&gt;=$O318,FC$7&lt;=$P318),AND(FC$7&gt;=$Q318,FC$7&lt;=$R318),AND(FC$7&gt;=$S318,FC$7&lt;=$T318),AND(FC$7&gt;=$U318,FC$7&lt;=$V318),AND(FC$7&gt;=$W318,FC$7&lt;=$X318)),0,IF(OR(AND($M318&gt;$N318,FC$7&lt;=$N318),AND($O318&gt;$P318,FC$7&lt;=$P318),AND($Q318&gt;$R318,FC$7&lt;=$R318),AND($S318&gt;$T318,FC$7&lt;=$T318),AND($U318&gt;$V318,FC$7&lt;=$V318),AND($W318&gt;$X318,FC$7&lt;=$X318)),0,IF(OR(AND(FC$7&gt;=$M318,$M318&gt;$N318),AND(FC$7&gt;=$O318,$O318&gt;$P318),AND(FC$7&gt;=$Q318,$Q318&gt;$R318),AND(FC$7&gt;=$S318,$S318&gt;$T318),AND(FC$7&gt;=$U318,$U318&gt;$V318),AND(FC$7&gt;=$W318,$W318&gt;$X318)),0,$E318)))))</f>
        <v>0</v>
      </c>
      <c r="FD318" s="409">
        <f t="shared" si="416"/>
        <v>0</v>
      </c>
      <c r="FE318" s="409">
        <f t="shared" si="416"/>
        <v>0</v>
      </c>
      <c r="FF318" s="409">
        <f t="shared" si="416"/>
        <v>0</v>
      </c>
      <c r="FG318" s="409">
        <f t="shared" si="416"/>
        <v>0</v>
      </c>
      <c r="FH318" s="409">
        <f t="shared" si="416"/>
        <v>0</v>
      </c>
      <c r="FI318" s="409">
        <f t="shared" si="416"/>
        <v>0</v>
      </c>
      <c r="FJ318" s="409">
        <f t="shared" si="416"/>
        <v>0</v>
      </c>
      <c r="FK318" s="409">
        <f t="shared" si="416"/>
        <v>0</v>
      </c>
      <c r="FL318" s="409">
        <f t="shared" si="416"/>
        <v>0</v>
      </c>
      <c r="FM318" s="409">
        <f t="shared" ref="FM318:FV327" si="417">IF(ISNA(FM$7),"",IF(OR(AND(FM$7&lt;=$N318,FM$7&gt;$N318-TIME(0,TimeIncr,0)),AND(FM$7&lt;=$P318,FM$7&gt;$P318-TIME(0,TimeIncr,0)),AND(FM$7&lt;=$R318,FM$7&gt;$R318-TIME(0,TimeIncr,0)),AND(FM$7&lt;=$T318,FM$7&gt;$T318-TIME(0,TimeIncr,0)),AND(FM$7&lt;=$V318,FM$7&gt;$V318-TIME(0,TimeIncr,0)),AND(FM$7&lt;=$X318,FM$7&gt;$X318-TIME(0,TimeIncr,0))),$E318*$L318,IF(OR(AND(FM$7&gt;=$M318,FM$7&lt;=$N318),AND(FM$7&gt;=$O318,FM$7&lt;=$P318),AND(FM$7&gt;=$Q318,FM$7&lt;=$R318),AND(FM$7&gt;=$S318,FM$7&lt;=$T318),AND(FM$7&gt;=$U318,FM$7&lt;=$V318),AND(FM$7&gt;=$W318,FM$7&lt;=$X318)),0,IF(OR(AND($M318&gt;$N318,FM$7&lt;=$N318),AND($O318&gt;$P318,FM$7&lt;=$P318),AND($Q318&gt;$R318,FM$7&lt;=$R318),AND($S318&gt;$T318,FM$7&lt;=$T318),AND($U318&gt;$V318,FM$7&lt;=$V318),AND($W318&gt;$X318,FM$7&lt;=$X318)),0,IF(OR(AND(FM$7&gt;=$M318,$M318&gt;$N318),AND(FM$7&gt;=$O318,$O318&gt;$P318),AND(FM$7&gt;=$Q318,$Q318&gt;$R318),AND(FM$7&gt;=$S318,$S318&gt;$T318),AND(FM$7&gt;=$U318,$U318&gt;$V318),AND(FM$7&gt;=$W318,$W318&gt;$X318)),0,$E318)))))</f>
        <v>0</v>
      </c>
      <c r="FN318" s="409">
        <f t="shared" si="417"/>
        <v>0</v>
      </c>
      <c r="FO318" s="409">
        <f t="shared" si="417"/>
        <v>0</v>
      </c>
      <c r="FP318" s="409">
        <f t="shared" si="417"/>
        <v>0</v>
      </c>
      <c r="FQ318" s="409">
        <f t="shared" si="417"/>
        <v>0</v>
      </c>
      <c r="FR318" s="409">
        <f t="shared" si="417"/>
        <v>0</v>
      </c>
      <c r="FS318" s="409">
        <f t="shared" si="417"/>
        <v>0</v>
      </c>
      <c r="FT318" s="409">
        <f t="shared" si="417"/>
        <v>0</v>
      </c>
      <c r="FU318" s="409">
        <f t="shared" si="417"/>
        <v>0</v>
      </c>
      <c r="FV318" s="409">
        <f t="shared" si="417"/>
        <v>0</v>
      </c>
      <c r="FW318" s="409">
        <f t="shared" ref="FW318:GF327" si="418">IF(ISNA(FW$7),"",IF(OR(AND(FW$7&lt;=$N318,FW$7&gt;$N318-TIME(0,TimeIncr,0)),AND(FW$7&lt;=$P318,FW$7&gt;$P318-TIME(0,TimeIncr,0)),AND(FW$7&lt;=$R318,FW$7&gt;$R318-TIME(0,TimeIncr,0)),AND(FW$7&lt;=$T318,FW$7&gt;$T318-TIME(0,TimeIncr,0)),AND(FW$7&lt;=$V318,FW$7&gt;$V318-TIME(0,TimeIncr,0)),AND(FW$7&lt;=$X318,FW$7&gt;$X318-TIME(0,TimeIncr,0))),$E318*$L318,IF(OR(AND(FW$7&gt;=$M318,FW$7&lt;=$N318),AND(FW$7&gt;=$O318,FW$7&lt;=$P318),AND(FW$7&gt;=$Q318,FW$7&lt;=$R318),AND(FW$7&gt;=$S318,FW$7&lt;=$T318),AND(FW$7&gt;=$U318,FW$7&lt;=$V318),AND(FW$7&gt;=$W318,FW$7&lt;=$X318)),0,IF(OR(AND($M318&gt;$N318,FW$7&lt;=$N318),AND($O318&gt;$P318,FW$7&lt;=$P318),AND($Q318&gt;$R318,FW$7&lt;=$R318),AND($S318&gt;$T318,FW$7&lt;=$T318),AND($U318&gt;$V318,FW$7&lt;=$V318),AND($W318&gt;$X318,FW$7&lt;=$X318)),0,IF(OR(AND(FW$7&gt;=$M318,$M318&gt;$N318),AND(FW$7&gt;=$O318,$O318&gt;$P318),AND(FW$7&gt;=$Q318,$Q318&gt;$R318),AND(FW$7&gt;=$S318,$S318&gt;$T318),AND(FW$7&gt;=$U318,$U318&gt;$V318),AND(FW$7&gt;=$W318,$W318&gt;$X318)),0,$E318)))))</f>
        <v>0</v>
      </c>
      <c r="FX318" s="409">
        <f t="shared" si="418"/>
        <v>0</v>
      </c>
      <c r="FY318" s="409">
        <f t="shared" si="418"/>
        <v>0</v>
      </c>
      <c r="FZ318" s="409">
        <f t="shared" si="418"/>
        <v>0</v>
      </c>
      <c r="GA318" s="409">
        <f t="shared" si="418"/>
        <v>0</v>
      </c>
      <c r="GB318" s="409">
        <f t="shared" si="418"/>
        <v>0</v>
      </c>
      <c r="GC318" s="409">
        <f t="shared" si="418"/>
        <v>0</v>
      </c>
      <c r="GD318" s="409">
        <f t="shared" si="418"/>
        <v>0</v>
      </c>
      <c r="GE318" s="409">
        <f t="shared" si="418"/>
        <v>0</v>
      </c>
      <c r="GF318" s="409">
        <f t="shared" si="418"/>
        <v>0</v>
      </c>
      <c r="GG318" s="409">
        <f t="shared" ref="GG318:GP327" si="419">IF(ISNA(GG$7),"",IF(OR(AND(GG$7&lt;=$N318,GG$7&gt;$N318-TIME(0,TimeIncr,0)),AND(GG$7&lt;=$P318,GG$7&gt;$P318-TIME(0,TimeIncr,0)),AND(GG$7&lt;=$R318,GG$7&gt;$R318-TIME(0,TimeIncr,0)),AND(GG$7&lt;=$T318,GG$7&gt;$T318-TIME(0,TimeIncr,0)),AND(GG$7&lt;=$V318,GG$7&gt;$V318-TIME(0,TimeIncr,0)),AND(GG$7&lt;=$X318,GG$7&gt;$X318-TIME(0,TimeIncr,0))),$E318*$L318,IF(OR(AND(GG$7&gt;=$M318,GG$7&lt;=$N318),AND(GG$7&gt;=$O318,GG$7&lt;=$P318),AND(GG$7&gt;=$Q318,GG$7&lt;=$R318),AND(GG$7&gt;=$S318,GG$7&lt;=$T318),AND(GG$7&gt;=$U318,GG$7&lt;=$V318),AND(GG$7&gt;=$W318,GG$7&lt;=$X318)),0,IF(OR(AND($M318&gt;$N318,GG$7&lt;=$N318),AND($O318&gt;$P318,GG$7&lt;=$P318),AND($Q318&gt;$R318,GG$7&lt;=$R318),AND($S318&gt;$T318,GG$7&lt;=$T318),AND($U318&gt;$V318,GG$7&lt;=$V318),AND($W318&gt;$X318,GG$7&lt;=$X318)),0,IF(OR(AND(GG$7&gt;=$M318,$M318&gt;$N318),AND(GG$7&gt;=$O318,$O318&gt;$P318),AND(GG$7&gt;=$Q318,$Q318&gt;$R318),AND(GG$7&gt;=$S318,$S318&gt;$T318),AND(GG$7&gt;=$U318,$U318&gt;$V318),AND(GG$7&gt;=$W318,$W318&gt;$X318)),0,$E318)))))</f>
        <v>0</v>
      </c>
      <c r="GH318" s="409">
        <f t="shared" si="419"/>
        <v>0</v>
      </c>
      <c r="GI318" s="409">
        <f t="shared" si="419"/>
        <v>0</v>
      </c>
      <c r="GJ318" s="409">
        <f t="shared" si="419"/>
        <v>0</v>
      </c>
      <c r="GK318" s="409">
        <f t="shared" si="419"/>
        <v>0</v>
      </c>
      <c r="GL318" s="409">
        <f t="shared" si="419"/>
        <v>0</v>
      </c>
      <c r="GM318" s="409">
        <f t="shared" si="419"/>
        <v>0</v>
      </c>
      <c r="GN318" s="409">
        <f t="shared" si="419"/>
        <v>0</v>
      </c>
      <c r="GO318" s="409">
        <f t="shared" si="419"/>
        <v>0</v>
      </c>
      <c r="GP318" s="409">
        <f t="shared" si="419"/>
        <v>0</v>
      </c>
      <c r="GQ318" s="409">
        <f t="shared" ref="GQ318:GZ327" si="420">IF(ISNA(GQ$7),"",IF(OR(AND(GQ$7&lt;=$N318,GQ$7&gt;$N318-TIME(0,TimeIncr,0)),AND(GQ$7&lt;=$P318,GQ$7&gt;$P318-TIME(0,TimeIncr,0)),AND(GQ$7&lt;=$R318,GQ$7&gt;$R318-TIME(0,TimeIncr,0)),AND(GQ$7&lt;=$T318,GQ$7&gt;$T318-TIME(0,TimeIncr,0)),AND(GQ$7&lt;=$V318,GQ$7&gt;$V318-TIME(0,TimeIncr,0)),AND(GQ$7&lt;=$X318,GQ$7&gt;$X318-TIME(0,TimeIncr,0))),$E318*$L318,IF(OR(AND(GQ$7&gt;=$M318,GQ$7&lt;=$N318),AND(GQ$7&gt;=$O318,GQ$7&lt;=$P318),AND(GQ$7&gt;=$Q318,GQ$7&lt;=$R318),AND(GQ$7&gt;=$S318,GQ$7&lt;=$T318),AND(GQ$7&gt;=$U318,GQ$7&lt;=$V318),AND(GQ$7&gt;=$W318,GQ$7&lt;=$X318)),0,IF(OR(AND($M318&gt;$N318,GQ$7&lt;=$N318),AND($O318&gt;$P318,GQ$7&lt;=$P318),AND($Q318&gt;$R318,GQ$7&lt;=$R318),AND($S318&gt;$T318,GQ$7&lt;=$T318),AND($U318&gt;$V318,GQ$7&lt;=$V318),AND($W318&gt;$X318,GQ$7&lt;=$X318)),0,IF(OR(AND(GQ$7&gt;=$M318,$M318&gt;$N318),AND(GQ$7&gt;=$O318,$O318&gt;$P318),AND(GQ$7&gt;=$Q318,$Q318&gt;$R318),AND(GQ$7&gt;=$S318,$S318&gt;$T318),AND(GQ$7&gt;=$U318,$U318&gt;$V318),AND(GQ$7&gt;=$W318,$W318&gt;$X318)),0,$E318)))))</f>
        <v>0</v>
      </c>
      <c r="GR318" s="409">
        <f t="shared" si="420"/>
        <v>0</v>
      </c>
      <c r="GS318" s="409">
        <f t="shared" si="420"/>
        <v>0</v>
      </c>
      <c r="GT318" s="409">
        <f t="shared" si="420"/>
        <v>0</v>
      </c>
      <c r="GU318" s="409">
        <f t="shared" si="420"/>
        <v>0</v>
      </c>
      <c r="GV318" s="409">
        <f t="shared" si="420"/>
        <v>0</v>
      </c>
      <c r="GW318" s="409">
        <f t="shared" si="420"/>
        <v>0</v>
      </c>
      <c r="GX318" s="409">
        <f t="shared" si="420"/>
        <v>0</v>
      </c>
      <c r="GY318" s="409">
        <f t="shared" si="420"/>
        <v>0</v>
      </c>
      <c r="GZ318" s="409">
        <f t="shared" si="420"/>
        <v>0</v>
      </c>
      <c r="HA318" s="409">
        <f t="shared" ref="HA318:HJ327" si="421">IF(ISNA(HA$7),"",IF(OR(AND(HA$7&lt;=$N318,HA$7&gt;$N318-TIME(0,TimeIncr,0)),AND(HA$7&lt;=$P318,HA$7&gt;$P318-TIME(0,TimeIncr,0)),AND(HA$7&lt;=$R318,HA$7&gt;$R318-TIME(0,TimeIncr,0)),AND(HA$7&lt;=$T318,HA$7&gt;$T318-TIME(0,TimeIncr,0)),AND(HA$7&lt;=$V318,HA$7&gt;$V318-TIME(0,TimeIncr,0)),AND(HA$7&lt;=$X318,HA$7&gt;$X318-TIME(0,TimeIncr,0))),$E318*$L318,IF(OR(AND(HA$7&gt;=$M318,HA$7&lt;=$N318),AND(HA$7&gt;=$O318,HA$7&lt;=$P318),AND(HA$7&gt;=$Q318,HA$7&lt;=$R318),AND(HA$7&gt;=$S318,HA$7&lt;=$T318),AND(HA$7&gt;=$U318,HA$7&lt;=$V318),AND(HA$7&gt;=$W318,HA$7&lt;=$X318)),0,IF(OR(AND($M318&gt;$N318,HA$7&lt;=$N318),AND($O318&gt;$P318,HA$7&lt;=$P318),AND($Q318&gt;$R318,HA$7&lt;=$R318),AND($S318&gt;$T318,HA$7&lt;=$T318),AND($U318&gt;$V318,HA$7&lt;=$V318),AND($W318&gt;$X318,HA$7&lt;=$X318)),0,IF(OR(AND(HA$7&gt;=$M318,$M318&gt;$N318),AND(HA$7&gt;=$O318,$O318&gt;$P318),AND(HA$7&gt;=$Q318,$Q318&gt;$R318),AND(HA$7&gt;=$S318,$S318&gt;$T318),AND(HA$7&gt;=$U318,$U318&gt;$V318),AND(HA$7&gt;=$W318,$W318&gt;$X318)),0,$E318)))))</f>
        <v>0</v>
      </c>
      <c r="HB318" s="409">
        <f t="shared" si="421"/>
        <v>0</v>
      </c>
      <c r="HC318" s="409">
        <f t="shared" si="421"/>
        <v>0</v>
      </c>
      <c r="HD318" s="409">
        <f t="shared" si="421"/>
        <v>0</v>
      </c>
      <c r="HE318" s="409">
        <f t="shared" si="421"/>
        <v>0</v>
      </c>
      <c r="HF318" s="409">
        <f t="shared" si="421"/>
        <v>0</v>
      </c>
      <c r="HG318" s="409">
        <f t="shared" si="421"/>
        <v>0</v>
      </c>
      <c r="HH318" s="409">
        <f t="shared" si="421"/>
        <v>0</v>
      </c>
      <c r="HI318" s="409">
        <f t="shared" si="421"/>
        <v>0</v>
      </c>
      <c r="HJ318" s="409">
        <f t="shared" si="421"/>
        <v>0</v>
      </c>
      <c r="HK318" s="409">
        <f t="shared" ref="HK318:HT327" si="422">IF(ISNA(HK$7),"",IF(OR(AND(HK$7&lt;=$N318,HK$7&gt;$N318-TIME(0,TimeIncr,0)),AND(HK$7&lt;=$P318,HK$7&gt;$P318-TIME(0,TimeIncr,0)),AND(HK$7&lt;=$R318,HK$7&gt;$R318-TIME(0,TimeIncr,0)),AND(HK$7&lt;=$T318,HK$7&gt;$T318-TIME(0,TimeIncr,0)),AND(HK$7&lt;=$V318,HK$7&gt;$V318-TIME(0,TimeIncr,0)),AND(HK$7&lt;=$X318,HK$7&gt;$X318-TIME(0,TimeIncr,0))),$E318*$L318,IF(OR(AND(HK$7&gt;=$M318,HK$7&lt;=$N318),AND(HK$7&gt;=$O318,HK$7&lt;=$P318),AND(HK$7&gt;=$Q318,HK$7&lt;=$R318),AND(HK$7&gt;=$S318,HK$7&lt;=$T318),AND(HK$7&gt;=$U318,HK$7&lt;=$V318),AND(HK$7&gt;=$W318,HK$7&lt;=$X318)),0,IF(OR(AND($M318&gt;$N318,HK$7&lt;=$N318),AND($O318&gt;$P318,HK$7&lt;=$P318),AND($Q318&gt;$R318,HK$7&lt;=$R318),AND($S318&gt;$T318,HK$7&lt;=$T318),AND($U318&gt;$V318,HK$7&lt;=$V318),AND($W318&gt;$X318,HK$7&lt;=$X318)),0,IF(OR(AND(HK$7&gt;=$M318,$M318&gt;$N318),AND(HK$7&gt;=$O318,$O318&gt;$P318),AND(HK$7&gt;=$Q318,$Q318&gt;$R318),AND(HK$7&gt;=$S318,$S318&gt;$T318),AND(HK$7&gt;=$U318,$U318&gt;$V318),AND(HK$7&gt;=$W318,$W318&gt;$X318)),0,$E318)))))</f>
        <v>0</v>
      </c>
      <c r="HL318" s="409">
        <f t="shared" si="422"/>
        <v>0</v>
      </c>
      <c r="HM318" s="409">
        <f t="shared" si="422"/>
        <v>0</v>
      </c>
      <c r="HN318" s="409">
        <f t="shared" si="422"/>
        <v>0</v>
      </c>
      <c r="HO318" s="409">
        <f t="shared" si="422"/>
        <v>0</v>
      </c>
      <c r="HP318" s="409">
        <f t="shared" si="422"/>
        <v>0</v>
      </c>
      <c r="HQ318" s="409">
        <f t="shared" si="422"/>
        <v>0</v>
      </c>
      <c r="HR318" s="409">
        <f t="shared" si="422"/>
        <v>0</v>
      </c>
      <c r="HS318" s="409">
        <f t="shared" si="422"/>
        <v>0</v>
      </c>
      <c r="HT318" s="409">
        <f t="shared" si="422"/>
        <v>0</v>
      </c>
      <c r="HU318" s="409">
        <f t="shared" ref="HU318:ID327" si="423">IF(ISNA(HU$7),"",IF(OR(AND(HU$7&lt;=$N318,HU$7&gt;$N318-TIME(0,TimeIncr,0)),AND(HU$7&lt;=$P318,HU$7&gt;$P318-TIME(0,TimeIncr,0)),AND(HU$7&lt;=$R318,HU$7&gt;$R318-TIME(0,TimeIncr,0)),AND(HU$7&lt;=$T318,HU$7&gt;$T318-TIME(0,TimeIncr,0)),AND(HU$7&lt;=$V318,HU$7&gt;$V318-TIME(0,TimeIncr,0)),AND(HU$7&lt;=$X318,HU$7&gt;$X318-TIME(0,TimeIncr,0))),$E318*$L318,IF(OR(AND(HU$7&gt;=$M318,HU$7&lt;=$N318),AND(HU$7&gt;=$O318,HU$7&lt;=$P318),AND(HU$7&gt;=$Q318,HU$7&lt;=$R318),AND(HU$7&gt;=$S318,HU$7&lt;=$T318),AND(HU$7&gt;=$U318,HU$7&lt;=$V318),AND(HU$7&gt;=$W318,HU$7&lt;=$X318)),0,IF(OR(AND($M318&gt;$N318,HU$7&lt;=$N318),AND($O318&gt;$P318,HU$7&lt;=$P318),AND($Q318&gt;$R318,HU$7&lt;=$R318),AND($S318&gt;$T318,HU$7&lt;=$T318),AND($U318&gt;$V318,HU$7&lt;=$V318),AND($W318&gt;$X318,HU$7&lt;=$X318)),0,IF(OR(AND(HU$7&gt;=$M318,$M318&gt;$N318),AND(HU$7&gt;=$O318,$O318&gt;$P318),AND(HU$7&gt;=$Q318,$Q318&gt;$R318),AND(HU$7&gt;=$S318,$S318&gt;$T318),AND(HU$7&gt;=$U318,$U318&gt;$V318),AND(HU$7&gt;=$W318,$W318&gt;$X318)),0,$E318)))))</f>
        <v>0</v>
      </c>
      <c r="HV318" s="409">
        <f t="shared" si="423"/>
        <v>0</v>
      </c>
      <c r="HW318" s="409">
        <f t="shared" si="423"/>
        <v>0</v>
      </c>
      <c r="HX318" s="409">
        <f t="shared" si="423"/>
        <v>0</v>
      </c>
      <c r="HY318" s="409">
        <f t="shared" si="423"/>
        <v>0</v>
      </c>
      <c r="HZ318" s="409">
        <f t="shared" si="423"/>
        <v>0</v>
      </c>
      <c r="IA318" s="409">
        <f t="shared" si="423"/>
        <v>0</v>
      </c>
      <c r="IB318" s="409">
        <f t="shared" si="423"/>
        <v>0</v>
      </c>
      <c r="IC318" s="409">
        <f t="shared" si="423"/>
        <v>0</v>
      </c>
      <c r="ID318" s="409">
        <f t="shared" si="423"/>
        <v>0</v>
      </c>
      <c r="IE318" s="409">
        <f t="shared" ref="IE318:IJ327" si="424">IF(ISNA(IE$7),"",IF(OR(AND(IE$7&lt;=$N318,IE$7&gt;$N318-TIME(0,TimeIncr,0)),AND(IE$7&lt;=$P318,IE$7&gt;$P318-TIME(0,TimeIncr,0)),AND(IE$7&lt;=$R318,IE$7&gt;$R318-TIME(0,TimeIncr,0)),AND(IE$7&lt;=$T318,IE$7&gt;$T318-TIME(0,TimeIncr,0)),AND(IE$7&lt;=$V318,IE$7&gt;$V318-TIME(0,TimeIncr,0)),AND(IE$7&lt;=$X318,IE$7&gt;$X318-TIME(0,TimeIncr,0))),$E318*$L318,IF(OR(AND(IE$7&gt;=$M318,IE$7&lt;=$N318),AND(IE$7&gt;=$O318,IE$7&lt;=$P318),AND(IE$7&gt;=$Q318,IE$7&lt;=$R318),AND(IE$7&gt;=$S318,IE$7&lt;=$T318),AND(IE$7&gt;=$U318,IE$7&lt;=$V318),AND(IE$7&gt;=$W318,IE$7&lt;=$X318)),0,IF(OR(AND($M318&gt;$N318,IE$7&lt;=$N318),AND($O318&gt;$P318,IE$7&lt;=$P318),AND($Q318&gt;$R318,IE$7&lt;=$R318),AND($S318&gt;$T318,IE$7&lt;=$T318),AND($U318&gt;$V318,IE$7&lt;=$V318),AND($W318&gt;$X318,IE$7&lt;=$X318)),0,IF(OR(AND(IE$7&gt;=$M318,$M318&gt;$N318),AND(IE$7&gt;=$O318,$O318&gt;$P318),AND(IE$7&gt;=$Q318,$Q318&gt;$R318),AND(IE$7&gt;=$S318,$S318&gt;$T318),AND(IE$7&gt;=$U318,$U318&gt;$V318),AND(IE$7&gt;=$W318,$W318&gt;$X318)),0,$E318)))))</f>
        <v>0</v>
      </c>
      <c r="IF318" s="409">
        <f t="shared" si="424"/>
        <v>0</v>
      </c>
      <c r="IG318" s="409">
        <f t="shared" si="424"/>
        <v>0</v>
      </c>
      <c r="IH318" s="409">
        <f t="shared" si="424"/>
        <v>0</v>
      </c>
      <c r="II318" s="409">
        <f t="shared" si="424"/>
        <v>0</v>
      </c>
      <c r="IJ318" s="409">
        <f t="shared" si="424"/>
        <v>0</v>
      </c>
      <c r="IK318" s="378"/>
    </row>
    <row r="319" spans="1:245" hidden="1" x14ac:dyDescent="0.2">
      <c r="A319" s="380" t="str">
        <f t="shared" si="357"/>
        <v>e</v>
      </c>
      <c r="B319" s="712" t="str">
        <f>IF(ISERROR(INDEX('Legend(DX)'!$H$14:$H$15,32)),"",INDEX('Legend(DX)'!$H$14:$H$15,32))</f>
        <v/>
      </c>
      <c r="C319" s="712" t="e">
        <f>IF(INDEX('Legend(DX)'!$T$14:$T$15,32)=0,"See Legend",INDEX('Legend(DX)'!$T$14:$T$15,32))</f>
        <v>#REF!</v>
      </c>
      <c r="D319" s="712" t="e">
        <f>IF(INDEX('Legend(DX)'!$R$14:$R$15,32)=0,"---",INDEX('Legend(DX)'!$R$14:$R$15,32))</f>
        <v>#REF!</v>
      </c>
      <c r="E319" s="713" t="str">
        <f>IF(ISERROR(INDEX('Legend(DX)'!$AA$14:$AA$15,32)),"",INDEX('Legend(DX)'!$AA$14:$AA$15,32))</f>
        <v/>
      </c>
      <c r="F319" s="715"/>
      <c r="G319" s="715"/>
      <c r="H319" s="715"/>
      <c r="I319" s="715"/>
      <c r="J319" s="715"/>
      <c r="K319" s="890">
        <f t="shared" si="358"/>
        <v>0</v>
      </c>
      <c r="L319" s="718"/>
      <c r="M319" s="720"/>
      <c r="N319" s="972">
        <f t="shared" si="330"/>
        <v>-1</v>
      </c>
      <c r="O319" s="972">
        <f t="shared" si="359"/>
        <v>-1</v>
      </c>
      <c r="P319" s="972">
        <f t="shared" si="331"/>
        <v>-1</v>
      </c>
      <c r="Q319" s="972">
        <f t="shared" si="360"/>
        <v>-1</v>
      </c>
      <c r="R319" s="972">
        <f t="shared" si="332"/>
        <v>-1</v>
      </c>
      <c r="S319" s="972">
        <f t="shared" si="361"/>
        <v>-1</v>
      </c>
      <c r="T319" s="972">
        <f t="shared" si="333"/>
        <v>-1</v>
      </c>
      <c r="U319" s="972">
        <f t="shared" si="362"/>
        <v>-1</v>
      </c>
      <c r="V319" s="972">
        <f t="shared" si="334"/>
        <v>-1</v>
      </c>
      <c r="W319" s="972">
        <f t="shared" si="363"/>
        <v>-1</v>
      </c>
      <c r="X319" s="972">
        <f t="shared" si="335"/>
        <v>-1</v>
      </c>
      <c r="Y319" s="972">
        <f t="shared" si="364"/>
        <v>-1</v>
      </c>
      <c r="Z319" s="972">
        <f t="shared" si="365"/>
        <v>-1</v>
      </c>
      <c r="AA319" s="972">
        <f t="shared" si="366"/>
        <v>-1</v>
      </c>
      <c r="AB319" s="972">
        <f t="shared" si="367"/>
        <v>-1</v>
      </c>
      <c r="AC319" s="972">
        <f t="shared" si="368"/>
        <v>-1</v>
      </c>
      <c r="AD319" s="972">
        <f t="shared" si="369"/>
        <v>-1</v>
      </c>
      <c r="AE319" s="972">
        <f t="shared" si="370"/>
        <v>-1</v>
      </c>
      <c r="AF319" s="972">
        <f t="shared" si="371"/>
        <v>-1</v>
      </c>
      <c r="AG319" s="972">
        <f t="shared" si="372"/>
        <v>-1</v>
      </c>
      <c r="AH319" s="972">
        <f t="shared" si="373"/>
        <v>-1</v>
      </c>
      <c r="AI319" s="972">
        <f t="shared" si="374"/>
        <v>-1</v>
      </c>
      <c r="AJ319" s="972">
        <f t="shared" si="375"/>
        <v>-1</v>
      </c>
      <c r="AK319" s="381"/>
      <c r="AL319" s="727" t="str">
        <f t="shared" si="376"/>
        <v/>
      </c>
      <c r="AM319" s="409">
        <f t="shared" si="404"/>
        <v>0</v>
      </c>
      <c r="AN319" s="409">
        <f t="shared" si="404"/>
        <v>0</v>
      </c>
      <c r="AO319" s="409">
        <f t="shared" si="404"/>
        <v>0</v>
      </c>
      <c r="AP319" s="409">
        <f t="shared" si="404"/>
        <v>0</v>
      </c>
      <c r="AQ319" s="409">
        <f t="shared" si="404"/>
        <v>0</v>
      </c>
      <c r="AR319" s="409">
        <f t="shared" si="404"/>
        <v>0</v>
      </c>
      <c r="AS319" s="409">
        <f t="shared" si="404"/>
        <v>0</v>
      </c>
      <c r="AT319" s="409">
        <f t="shared" si="404"/>
        <v>0</v>
      </c>
      <c r="AU319" s="409">
        <f t="shared" si="404"/>
        <v>0</v>
      </c>
      <c r="AV319" s="409">
        <f t="shared" si="404"/>
        <v>0</v>
      </c>
      <c r="AW319" s="409">
        <f t="shared" si="405"/>
        <v>0</v>
      </c>
      <c r="AX319" s="409">
        <f t="shared" si="405"/>
        <v>0</v>
      </c>
      <c r="AY319" s="409">
        <f t="shared" si="405"/>
        <v>0</v>
      </c>
      <c r="AZ319" s="409">
        <f t="shared" si="405"/>
        <v>0</v>
      </c>
      <c r="BA319" s="409">
        <f t="shared" si="405"/>
        <v>0</v>
      </c>
      <c r="BB319" s="409">
        <f t="shared" si="405"/>
        <v>0</v>
      </c>
      <c r="BC319" s="409">
        <f t="shared" si="405"/>
        <v>0</v>
      </c>
      <c r="BD319" s="409">
        <f t="shared" si="405"/>
        <v>0</v>
      </c>
      <c r="BE319" s="409">
        <f t="shared" si="405"/>
        <v>0</v>
      </c>
      <c r="BF319" s="409">
        <f t="shared" si="405"/>
        <v>0</v>
      </c>
      <c r="BG319" s="409">
        <f t="shared" si="406"/>
        <v>0</v>
      </c>
      <c r="BH319" s="409">
        <f t="shared" si="406"/>
        <v>0</v>
      </c>
      <c r="BI319" s="409">
        <f t="shared" si="406"/>
        <v>0</v>
      </c>
      <c r="BJ319" s="409">
        <f t="shared" si="406"/>
        <v>0</v>
      </c>
      <c r="BK319" s="409">
        <f t="shared" si="406"/>
        <v>0</v>
      </c>
      <c r="BL319" s="409">
        <f t="shared" si="406"/>
        <v>0</v>
      </c>
      <c r="BM319" s="409">
        <f t="shared" si="406"/>
        <v>0</v>
      </c>
      <c r="BN319" s="409">
        <f t="shared" si="406"/>
        <v>0</v>
      </c>
      <c r="BO319" s="409">
        <f t="shared" si="406"/>
        <v>0</v>
      </c>
      <c r="BP319" s="409">
        <f t="shared" si="406"/>
        <v>0</v>
      </c>
      <c r="BQ319" s="409">
        <f t="shared" si="407"/>
        <v>0</v>
      </c>
      <c r="BR319" s="409">
        <f t="shared" si="407"/>
        <v>0</v>
      </c>
      <c r="BS319" s="409">
        <f t="shared" si="407"/>
        <v>0</v>
      </c>
      <c r="BT319" s="409">
        <f t="shared" si="407"/>
        <v>0</v>
      </c>
      <c r="BU319" s="409">
        <f t="shared" si="407"/>
        <v>0</v>
      </c>
      <c r="BV319" s="409">
        <f t="shared" si="407"/>
        <v>0</v>
      </c>
      <c r="BW319" s="409">
        <f t="shared" si="407"/>
        <v>0</v>
      </c>
      <c r="BX319" s="409">
        <f t="shared" si="407"/>
        <v>0</v>
      </c>
      <c r="BY319" s="409">
        <f t="shared" si="407"/>
        <v>0</v>
      </c>
      <c r="BZ319" s="409">
        <f t="shared" si="407"/>
        <v>0</v>
      </c>
      <c r="CA319" s="409">
        <f t="shared" si="408"/>
        <v>0</v>
      </c>
      <c r="CB319" s="409">
        <f t="shared" si="408"/>
        <v>0</v>
      </c>
      <c r="CC319" s="409">
        <f t="shared" si="408"/>
        <v>0</v>
      </c>
      <c r="CD319" s="409">
        <f t="shared" si="408"/>
        <v>0</v>
      </c>
      <c r="CE319" s="409">
        <f t="shared" si="408"/>
        <v>0</v>
      </c>
      <c r="CF319" s="409">
        <f t="shared" si="408"/>
        <v>0</v>
      </c>
      <c r="CG319" s="409">
        <f t="shared" si="408"/>
        <v>0</v>
      </c>
      <c r="CH319" s="409">
        <f t="shared" si="408"/>
        <v>0</v>
      </c>
      <c r="CI319" s="409">
        <f t="shared" si="408"/>
        <v>0</v>
      </c>
      <c r="CJ319" s="409">
        <f t="shared" si="408"/>
        <v>0</v>
      </c>
      <c r="CK319" s="409">
        <f t="shared" si="409"/>
        <v>0</v>
      </c>
      <c r="CL319" s="409">
        <f t="shared" si="409"/>
        <v>0</v>
      </c>
      <c r="CM319" s="409">
        <f t="shared" si="409"/>
        <v>0</v>
      </c>
      <c r="CN319" s="409">
        <f t="shared" si="409"/>
        <v>0</v>
      </c>
      <c r="CO319" s="409">
        <f t="shared" si="409"/>
        <v>0</v>
      </c>
      <c r="CP319" s="409">
        <f t="shared" si="409"/>
        <v>0</v>
      </c>
      <c r="CQ319" s="409">
        <f t="shared" si="409"/>
        <v>0</v>
      </c>
      <c r="CR319" s="409">
        <f t="shared" si="409"/>
        <v>0</v>
      </c>
      <c r="CS319" s="409">
        <f t="shared" si="409"/>
        <v>0</v>
      </c>
      <c r="CT319" s="409">
        <f t="shared" si="409"/>
        <v>0</v>
      </c>
      <c r="CU319" s="409">
        <f t="shared" si="410"/>
        <v>0</v>
      </c>
      <c r="CV319" s="409">
        <f t="shared" si="410"/>
        <v>0</v>
      </c>
      <c r="CW319" s="409">
        <f t="shared" si="410"/>
        <v>0</v>
      </c>
      <c r="CX319" s="409">
        <f t="shared" si="410"/>
        <v>0</v>
      </c>
      <c r="CY319" s="409">
        <f t="shared" si="410"/>
        <v>0</v>
      </c>
      <c r="CZ319" s="409">
        <f t="shared" si="410"/>
        <v>0</v>
      </c>
      <c r="DA319" s="409">
        <f t="shared" si="410"/>
        <v>0</v>
      </c>
      <c r="DB319" s="409">
        <f t="shared" si="410"/>
        <v>0</v>
      </c>
      <c r="DC319" s="409">
        <f t="shared" si="410"/>
        <v>0</v>
      </c>
      <c r="DD319" s="409">
        <f t="shared" si="410"/>
        <v>0</v>
      </c>
      <c r="DE319" s="409">
        <f t="shared" si="411"/>
        <v>0</v>
      </c>
      <c r="DF319" s="409">
        <f t="shared" si="411"/>
        <v>0</v>
      </c>
      <c r="DG319" s="409">
        <f t="shared" si="411"/>
        <v>0</v>
      </c>
      <c r="DH319" s="409">
        <f t="shared" si="411"/>
        <v>0</v>
      </c>
      <c r="DI319" s="409">
        <f t="shared" si="411"/>
        <v>0</v>
      </c>
      <c r="DJ319" s="409">
        <f t="shared" si="411"/>
        <v>0</v>
      </c>
      <c r="DK319" s="409">
        <f t="shared" si="411"/>
        <v>0</v>
      </c>
      <c r="DL319" s="409">
        <f t="shared" si="411"/>
        <v>0</v>
      </c>
      <c r="DM319" s="409">
        <f t="shared" si="411"/>
        <v>0</v>
      </c>
      <c r="DN319" s="409">
        <f t="shared" si="411"/>
        <v>0</v>
      </c>
      <c r="DO319" s="409">
        <f t="shared" si="412"/>
        <v>0</v>
      </c>
      <c r="DP319" s="409">
        <f t="shared" si="412"/>
        <v>0</v>
      </c>
      <c r="DQ319" s="409">
        <f t="shared" si="412"/>
        <v>0</v>
      </c>
      <c r="DR319" s="409">
        <f t="shared" si="412"/>
        <v>0</v>
      </c>
      <c r="DS319" s="409">
        <f t="shared" si="412"/>
        <v>0</v>
      </c>
      <c r="DT319" s="409">
        <f t="shared" si="412"/>
        <v>0</v>
      </c>
      <c r="DU319" s="409">
        <f t="shared" si="412"/>
        <v>0</v>
      </c>
      <c r="DV319" s="409">
        <f t="shared" si="412"/>
        <v>0</v>
      </c>
      <c r="DW319" s="409">
        <f t="shared" si="412"/>
        <v>0</v>
      </c>
      <c r="DX319" s="409">
        <f t="shared" si="412"/>
        <v>0</v>
      </c>
      <c r="DY319" s="409">
        <f t="shared" si="413"/>
        <v>0</v>
      </c>
      <c r="DZ319" s="409">
        <f t="shared" si="413"/>
        <v>0</v>
      </c>
      <c r="EA319" s="409">
        <f t="shared" si="413"/>
        <v>0</v>
      </c>
      <c r="EB319" s="409">
        <f t="shared" si="413"/>
        <v>0</v>
      </c>
      <c r="EC319" s="409">
        <f t="shared" si="413"/>
        <v>0</v>
      </c>
      <c r="ED319" s="409">
        <f t="shared" si="413"/>
        <v>0</v>
      </c>
      <c r="EE319" s="409">
        <f t="shared" si="413"/>
        <v>0</v>
      </c>
      <c r="EF319" s="409">
        <f t="shared" si="413"/>
        <v>0</v>
      </c>
      <c r="EG319" s="409">
        <f t="shared" si="413"/>
        <v>0</v>
      </c>
      <c r="EH319" s="409">
        <f t="shared" si="413"/>
        <v>0</v>
      </c>
      <c r="EI319" s="409">
        <f t="shared" si="414"/>
        <v>0</v>
      </c>
      <c r="EJ319" s="409">
        <f t="shared" si="414"/>
        <v>0</v>
      </c>
      <c r="EK319" s="409">
        <f t="shared" si="414"/>
        <v>0</v>
      </c>
      <c r="EL319" s="409">
        <f t="shared" si="414"/>
        <v>0</v>
      </c>
      <c r="EM319" s="409">
        <f t="shared" si="414"/>
        <v>0</v>
      </c>
      <c r="EN319" s="409">
        <f t="shared" si="414"/>
        <v>0</v>
      </c>
      <c r="EO319" s="409">
        <f t="shared" si="414"/>
        <v>0</v>
      </c>
      <c r="EP319" s="409">
        <f t="shared" si="414"/>
        <v>0</v>
      </c>
      <c r="EQ319" s="409">
        <f t="shared" si="414"/>
        <v>0</v>
      </c>
      <c r="ER319" s="409">
        <f t="shared" si="414"/>
        <v>0</v>
      </c>
      <c r="ES319" s="409">
        <f t="shared" si="415"/>
        <v>0</v>
      </c>
      <c r="ET319" s="409">
        <f t="shared" si="415"/>
        <v>0</v>
      </c>
      <c r="EU319" s="409">
        <f t="shared" si="415"/>
        <v>0</v>
      </c>
      <c r="EV319" s="409">
        <f t="shared" si="415"/>
        <v>0</v>
      </c>
      <c r="EW319" s="409">
        <f t="shared" si="415"/>
        <v>0</v>
      </c>
      <c r="EX319" s="409">
        <f t="shared" si="415"/>
        <v>0</v>
      </c>
      <c r="EY319" s="409">
        <f t="shared" si="415"/>
        <v>0</v>
      </c>
      <c r="EZ319" s="409">
        <f t="shared" si="415"/>
        <v>0</v>
      </c>
      <c r="FA319" s="409">
        <f t="shared" si="415"/>
        <v>0</v>
      </c>
      <c r="FB319" s="409">
        <f t="shared" si="415"/>
        <v>0</v>
      </c>
      <c r="FC319" s="409">
        <f t="shared" si="416"/>
        <v>0</v>
      </c>
      <c r="FD319" s="409">
        <f t="shared" si="416"/>
        <v>0</v>
      </c>
      <c r="FE319" s="409">
        <f t="shared" si="416"/>
        <v>0</v>
      </c>
      <c r="FF319" s="409">
        <f t="shared" si="416"/>
        <v>0</v>
      </c>
      <c r="FG319" s="409">
        <f t="shared" si="416"/>
        <v>0</v>
      </c>
      <c r="FH319" s="409">
        <f t="shared" si="416"/>
        <v>0</v>
      </c>
      <c r="FI319" s="409">
        <f t="shared" si="416"/>
        <v>0</v>
      </c>
      <c r="FJ319" s="409">
        <f t="shared" si="416"/>
        <v>0</v>
      </c>
      <c r="FK319" s="409">
        <f t="shared" si="416"/>
        <v>0</v>
      </c>
      <c r="FL319" s="409">
        <f t="shared" si="416"/>
        <v>0</v>
      </c>
      <c r="FM319" s="409">
        <f t="shared" si="417"/>
        <v>0</v>
      </c>
      <c r="FN319" s="409">
        <f t="shared" si="417"/>
        <v>0</v>
      </c>
      <c r="FO319" s="409">
        <f t="shared" si="417"/>
        <v>0</v>
      </c>
      <c r="FP319" s="409">
        <f t="shared" si="417"/>
        <v>0</v>
      </c>
      <c r="FQ319" s="409">
        <f t="shared" si="417"/>
        <v>0</v>
      </c>
      <c r="FR319" s="409">
        <f t="shared" si="417"/>
        <v>0</v>
      </c>
      <c r="FS319" s="409">
        <f t="shared" si="417"/>
        <v>0</v>
      </c>
      <c r="FT319" s="409">
        <f t="shared" si="417"/>
        <v>0</v>
      </c>
      <c r="FU319" s="409">
        <f t="shared" si="417"/>
        <v>0</v>
      </c>
      <c r="FV319" s="409">
        <f t="shared" si="417"/>
        <v>0</v>
      </c>
      <c r="FW319" s="409">
        <f t="shared" si="418"/>
        <v>0</v>
      </c>
      <c r="FX319" s="409">
        <f t="shared" si="418"/>
        <v>0</v>
      </c>
      <c r="FY319" s="409">
        <f t="shared" si="418"/>
        <v>0</v>
      </c>
      <c r="FZ319" s="409">
        <f t="shared" si="418"/>
        <v>0</v>
      </c>
      <c r="GA319" s="409">
        <f t="shared" si="418"/>
        <v>0</v>
      </c>
      <c r="GB319" s="409">
        <f t="shared" si="418"/>
        <v>0</v>
      </c>
      <c r="GC319" s="409">
        <f t="shared" si="418"/>
        <v>0</v>
      </c>
      <c r="GD319" s="409">
        <f t="shared" si="418"/>
        <v>0</v>
      </c>
      <c r="GE319" s="409">
        <f t="shared" si="418"/>
        <v>0</v>
      </c>
      <c r="GF319" s="409">
        <f t="shared" si="418"/>
        <v>0</v>
      </c>
      <c r="GG319" s="409">
        <f t="shared" si="419"/>
        <v>0</v>
      </c>
      <c r="GH319" s="409">
        <f t="shared" si="419"/>
        <v>0</v>
      </c>
      <c r="GI319" s="409">
        <f t="shared" si="419"/>
        <v>0</v>
      </c>
      <c r="GJ319" s="409">
        <f t="shared" si="419"/>
        <v>0</v>
      </c>
      <c r="GK319" s="409">
        <f t="shared" si="419"/>
        <v>0</v>
      </c>
      <c r="GL319" s="409">
        <f t="shared" si="419"/>
        <v>0</v>
      </c>
      <c r="GM319" s="409">
        <f t="shared" si="419"/>
        <v>0</v>
      </c>
      <c r="GN319" s="409">
        <f t="shared" si="419"/>
        <v>0</v>
      </c>
      <c r="GO319" s="409">
        <f t="shared" si="419"/>
        <v>0</v>
      </c>
      <c r="GP319" s="409">
        <f t="shared" si="419"/>
        <v>0</v>
      </c>
      <c r="GQ319" s="409">
        <f t="shared" si="420"/>
        <v>0</v>
      </c>
      <c r="GR319" s="409">
        <f t="shared" si="420"/>
        <v>0</v>
      </c>
      <c r="GS319" s="409">
        <f t="shared" si="420"/>
        <v>0</v>
      </c>
      <c r="GT319" s="409">
        <f t="shared" si="420"/>
        <v>0</v>
      </c>
      <c r="GU319" s="409">
        <f t="shared" si="420"/>
        <v>0</v>
      </c>
      <c r="GV319" s="409">
        <f t="shared" si="420"/>
        <v>0</v>
      </c>
      <c r="GW319" s="409">
        <f t="shared" si="420"/>
        <v>0</v>
      </c>
      <c r="GX319" s="409">
        <f t="shared" si="420"/>
        <v>0</v>
      </c>
      <c r="GY319" s="409">
        <f t="shared" si="420"/>
        <v>0</v>
      </c>
      <c r="GZ319" s="409">
        <f t="shared" si="420"/>
        <v>0</v>
      </c>
      <c r="HA319" s="409">
        <f t="shared" si="421"/>
        <v>0</v>
      </c>
      <c r="HB319" s="409">
        <f t="shared" si="421"/>
        <v>0</v>
      </c>
      <c r="HC319" s="409">
        <f t="shared" si="421"/>
        <v>0</v>
      </c>
      <c r="HD319" s="409">
        <f t="shared" si="421"/>
        <v>0</v>
      </c>
      <c r="HE319" s="409">
        <f t="shared" si="421"/>
        <v>0</v>
      </c>
      <c r="HF319" s="409">
        <f t="shared" si="421"/>
        <v>0</v>
      </c>
      <c r="HG319" s="409">
        <f t="shared" si="421"/>
        <v>0</v>
      </c>
      <c r="HH319" s="409">
        <f t="shared" si="421"/>
        <v>0</v>
      </c>
      <c r="HI319" s="409">
        <f t="shared" si="421"/>
        <v>0</v>
      </c>
      <c r="HJ319" s="409">
        <f t="shared" si="421"/>
        <v>0</v>
      </c>
      <c r="HK319" s="409">
        <f t="shared" si="422"/>
        <v>0</v>
      </c>
      <c r="HL319" s="409">
        <f t="shared" si="422"/>
        <v>0</v>
      </c>
      <c r="HM319" s="409">
        <f t="shared" si="422"/>
        <v>0</v>
      </c>
      <c r="HN319" s="409">
        <f t="shared" si="422"/>
        <v>0</v>
      </c>
      <c r="HO319" s="409">
        <f t="shared" si="422"/>
        <v>0</v>
      </c>
      <c r="HP319" s="409">
        <f t="shared" si="422"/>
        <v>0</v>
      </c>
      <c r="HQ319" s="409">
        <f t="shared" si="422"/>
        <v>0</v>
      </c>
      <c r="HR319" s="409">
        <f t="shared" si="422"/>
        <v>0</v>
      </c>
      <c r="HS319" s="409">
        <f t="shared" si="422"/>
        <v>0</v>
      </c>
      <c r="HT319" s="409">
        <f t="shared" si="422"/>
        <v>0</v>
      </c>
      <c r="HU319" s="409">
        <f t="shared" si="423"/>
        <v>0</v>
      </c>
      <c r="HV319" s="409">
        <f t="shared" si="423"/>
        <v>0</v>
      </c>
      <c r="HW319" s="409">
        <f t="shared" si="423"/>
        <v>0</v>
      </c>
      <c r="HX319" s="409">
        <f t="shared" si="423"/>
        <v>0</v>
      </c>
      <c r="HY319" s="409">
        <f t="shared" si="423"/>
        <v>0</v>
      </c>
      <c r="HZ319" s="409">
        <f t="shared" si="423"/>
        <v>0</v>
      </c>
      <c r="IA319" s="409">
        <f t="shared" si="423"/>
        <v>0</v>
      </c>
      <c r="IB319" s="409">
        <f t="shared" si="423"/>
        <v>0</v>
      </c>
      <c r="IC319" s="409">
        <f t="shared" si="423"/>
        <v>0</v>
      </c>
      <c r="ID319" s="409">
        <f t="shared" si="423"/>
        <v>0</v>
      </c>
      <c r="IE319" s="409">
        <f t="shared" si="424"/>
        <v>0</v>
      </c>
      <c r="IF319" s="409">
        <f t="shared" si="424"/>
        <v>0</v>
      </c>
      <c r="IG319" s="409">
        <f t="shared" si="424"/>
        <v>0</v>
      </c>
      <c r="IH319" s="409">
        <f t="shared" si="424"/>
        <v>0</v>
      </c>
      <c r="II319" s="409">
        <f t="shared" si="424"/>
        <v>0</v>
      </c>
      <c r="IJ319" s="409">
        <f t="shared" si="424"/>
        <v>0</v>
      </c>
      <c r="IK319" s="378"/>
    </row>
    <row r="320" spans="1:245" hidden="1" x14ac:dyDescent="0.2">
      <c r="A320" s="380" t="str">
        <f t="shared" si="357"/>
        <v>e</v>
      </c>
      <c r="B320" s="712" t="str">
        <f>IF(ISERROR(INDEX('Legend(DX)'!$H$14:$H$15,33)),"",INDEX('Legend(DX)'!$H$14:$H$15,33))</f>
        <v/>
      </c>
      <c r="C320" s="712" t="e">
        <f>IF(INDEX('Legend(DX)'!$T$14:$T$15,33)=0,"See Legend",INDEX('Legend(DX)'!$T$14:$T$15,33))</f>
        <v>#REF!</v>
      </c>
      <c r="D320" s="712" t="e">
        <f>IF(INDEX('Legend(DX)'!$R$14:$R$15,33)=0,"---",INDEX('Legend(DX)'!$R$14:$R$15,33))</f>
        <v>#REF!</v>
      </c>
      <c r="E320" s="713" t="str">
        <f>IF(ISERROR(INDEX('Legend(DX)'!$AA$14:$AA$15,33)),"",INDEX('Legend(DX)'!$AA$14:$AA$15,33))</f>
        <v/>
      </c>
      <c r="F320" s="715"/>
      <c r="G320" s="715"/>
      <c r="H320" s="715"/>
      <c r="I320" s="715"/>
      <c r="J320" s="715"/>
      <c r="K320" s="890">
        <f t="shared" si="358"/>
        <v>0</v>
      </c>
      <c r="L320" s="718"/>
      <c r="M320" s="720"/>
      <c r="N320" s="972">
        <f t="shared" ref="N320:N337" si="425">IF(M320="",-1,IF(M320+TIME(0,$K320,0)&gt;1,M320+TIME(0,$K320,0)-1,M320+TIME(0,$K320,0)))</f>
        <v>-1</v>
      </c>
      <c r="O320" s="972">
        <f t="shared" si="359"/>
        <v>-1</v>
      </c>
      <c r="P320" s="972">
        <f t="shared" ref="P320:P337" si="426">IF(O320="",-1,IF(O320+TIME(0,$K320,0)&gt;1,O320+TIME(0,$K320,0)-1,O320+TIME(0,$K320,0)))</f>
        <v>-1</v>
      </c>
      <c r="Q320" s="972">
        <f t="shared" si="360"/>
        <v>-1</v>
      </c>
      <c r="R320" s="972">
        <f t="shared" ref="R320:R337" si="427">IF(Q320="",-1,IF(Q320+TIME(0,$K320,0)&gt;1,Q320+TIME(0,$K320,0)-1,Q320+TIME(0,$K320,0)))</f>
        <v>-1</v>
      </c>
      <c r="S320" s="972">
        <f t="shared" si="361"/>
        <v>-1</v>
      </c>
      <c r="T320" s="972">
        <f t="shared" ref="T320:T337" si="428">IF(S320="",-1,IF(S320+TIME(0,$K320,0)&gt;1,S320+TIME(0,$K320,0)-1,S320+TIME(0,$K320,0)))</f>
        <v>-1</v>
      </c>
      <c r="U320" s="972">
        <f t="shared" si="362"/>
        <v>-1</v>
      </c>
      <c r="V320" s="972">
        <f t="shared" ref="V320:V337" si="429">IF(U320="",-1,IF(U320+TIME(0,$K320,0)&gt;1,U320+TIME(0,$K320,0)-1,U320+TIME(0,$K320,0)))</f>
        <v>-1</v>
      </c>
      <c r="W320" s="972">
        <f t="shared" si="363"/>
        <v>-1</v>
      </c>
      <c r="X320" s="972">
        <f t="shared" ref="X320:X337" si="430">IF(W320="",-1,IF(W320+TIME(0,$K320,0)&gt;1,W320+TIME(0,$K320,0)-1,W320+TIME(0,$K320,0)))</f>
        <v>-1</v>
      </c>
      <c r="Y320" s="972">
        <f t="shared" si="364"/>
        <v>-1</v>
      </c>
      <c r="Z320" s="972">
        <f t="shared" si="365"/>
        <v>-1</v>
      </c>
      <c r="AA320" s="972">
        <f t="shared" si="366"/>
        <v>-1</v>
      </c>
      <c r="AB320" s="972">
        <f t="shared" si="367"/>
        <v>-1</v>
      </c>
      <c r="AC320" s="972">
        <f t="shared" si="368"/>
        <v>-1</v>
      </c>
      <c r="AD320" s="972">
        <f t="shared" si="369"/>
        <v>-1</v>
      </c>
      <c r="AE320" s="972">
        <f t="shared" si="370"/>
        <v>-1</v>
      </c>
      <c r="AF320" s="972">
        <f t="shared" si="371"/>
        <v>-1</v>
      </c>
      <c r="AG320" s="972">
        <f t="shared" si="372"/>
        <v>-1</v>
      </c>
      <c r="AH320" s="972">
        <f t="shared" si="373"/>
        <v>-1</v>
      </c>
      <c r="AI320" s="972">
        <f t="shared" si="374"/>
        <v>-1</v>
      </c>
      <c r="AJ320" s="972">
        <f t="shared" si="375"/>
        <v>-1</v>
      </c>
      <c r="AK320" s="381"/>
      <c r="AL320" s="727" t="str">
        <f t="shared" si="376"/>
        <v/>
      </c>
      <c r="AM320" s="409">
        <f t="shared" si="404"/>
        <v>0</v>
      </c>
      <c r="AN320" s="409">
        <f t="shared" si="404"/>
        <v>0</v>
      </c>
      <c r="AO320" s="409">
        <f t="shared" si="404"/>
        <v>0</v>
      </c>
      <c r="AP320" s="409">
        <f t="shared" si="404"/>
        <v>0</v>
      </c>
      <c r="AQ320" s="409">
        <f t="shared" si="404"/>
        <v>0</v>
      </c>
      <c r="AR320" s="409">
        <f t="shared" si="404"/>
        <v>0</v>
      </c>
      <c r="AS320" s="409">
        <f t="shared" si="404"/>
        <v>0</v>
      </c>
      <c r="AT320" s="409">
        <f t="shared" si="404"/>
        <v>0</v>
      </c>
      <c r="AU320" s="409">
        <f t="shared" si="404"/>
        <v>0</v>
      </c>
      <c r="AV320" s="409">
        <f t="shared" si="404"/>
        <v>0</v>
      </c>
      <c r="AW320" s="409">
        <f t="shared" si="405"/>
        <v>0</v>
      </c>
      <c r="AX320" s="409">
        <f t="shared" si="405"/>
        <v>0</v>
      </c>
      <c r="AY320" s="409">
        <f t="shared" si="405"/>
        <v>0</v>
      </c>
      <c r="AZ320" s="409">
        <f t="shared" si="405"/>
        <v>0</v>
      </c>
      <c r="BA320" s="409">
        <f t="shared" si="405"/>
        <v>0</v>
      </c>
      <c r="BB320" s="409">
        <f t="shared" si="405"/>
        <v>0</v>
      </c>
      <c r="BC320" s="409">
        <f t="shared" si="405"/>
        <v>0</v>
      </c>
      <c r="BD320" s="409">
        <f t="shared" si="405"/>
        <v>0</v>
      </c>
      <c r="BE320" s="409">
        <f t="shared" si="405"/>
        <v>0</v>
      </c>
      <c r="BF320" s="409">
        <f t="shared" si="405"/>
        <v>0</v>
      </c>
      <c r="BG320" s="409">
        <f t="shared" si="406"/>
        <v>0</v>
      </c>
      <c r="BH320" s="409">
        <f t="shared" si="406"/>
        <v>0</v>
      </c>
      <c r="BI320" s="409">
        <f t="shared" si="406"/>
        <v>0</v>
      </c>
      <c r="BJ320" s="409">
        <f t="shared" si="406"/>
        <v>0</v>
      </c>
      <c r="BK320" s="409">
        <f t="shared" si="406"/>
        <v>0</v>
      </c>
      <c r="BL320" s="409">
        <f t="shared" si="406"/>
        <v>0</v>
      </c>
      <c r="BM320" s="409">
        <f t="shared" si="406"/>
        <v>0</v>
      </c>
      <c r="BN320" s="409">
        <f t="shared" si="406"/>
        <v>0</v>
      </c>
      <c r="BO320" s="409">
        <f t="shared" si="406"/>
        <v>0</v>
      </c>
      <c r="BP320" s="409">
        <f t="shared" si="406"/>
        <v>0</v>
      </c>
      <c r="BQ320" s="409">
        <f t="shared" si="407"/>
        <v>0</v>
      </c>
      <c r="BR320" s="409">
        <f t="shared" si="407"/>
        <v>0</v>
      </c>
      <c r="BS320" s="409">
        <f t="shared" si="407"/>
        <v>0</v>
      </c>
      <c r="BT320" s="409">
        <f t="shared" si="407"/>
        <v>0</v>
      </c>
      <c r="BU320" s="409">
        <f t="shared" si="407"/>
        <v>0</v>
      </c>
      <c r="BV320" s="409">
        <f t="shared" si="407"/>
        <v>0</v>
      </c>
      <c r="BW320" s="409">
        <f t="shared" si="407"/>
        <v>0</v>
      </c>
      <c r="BX320" s="409">
        <f t="shared" si="407"/>
        <v>0</v>
      </c>
      <c r="BY320" s="409">
        <f t="shared" si="407"/>
        <v>0</v>
      </c>
      <c r="BZ320" s="409">
        <f t="shared" si="407"/>
        <v>0</v>
      </c>
      <c r="CA320" s="409">
        <f t="shared" si="408"/>
        <v>0</v>
      </c>
      <c r="CB320" s="409">
        <f t="shared" si="408"/>
        <v>0</v>
      </c>
      <c r="CC320" s="409">
        <f t="shared" si="408"/>
        <v>0</v>
      </c>
      <c r="CD320" s="409">
        <f t="shared" si="408"/>
        <v>0</v>
      </c>
      <c r="CE320" s="409">
        <f t="shared" si="408"/>
        <v>0</v>
      </c>
      <c r="CF320" s="409">
        <f t="shared" si="408"/>
        <v>0</v>
      </c>
      <c r="CG320" s="409">
        <f t="shared" si="408"/>
        <v>0</v>
      </c>
      <c r="CH320" s="409">
        <f t="shared" si="408"/>
        <v>0</v>
      </c>
      <c r="CI320" s="409">
        <f t="shared" si="408"/>
        <v>0</v>
      </c>
      <c r="CJ320" s="409">
        <f t="shared" si="408"/>
        <v>0</v>
      </c>
      <c r="CK320" s="409">
        <f t="shared" si="409"/>
        <v>0</v>
      </c>
      <c r="CL320" s="409">
        <f t="shared" si="409"/>
        <v>0</v>
      </c>
      <c r="CM320" s="409">
        <f t="shared" si="409"/>
        <v>0</v>
      </c>
      <c r="CN320" s="409">
        <f t="shared" si="409"/>
        <v>0</v>
      </c>
      <c r="CO320" s="409">
        <f t="shared" si="409"/>
        <v>0</v>
      </c>
      <c r="CP320" s="409">
        <f t="shared" si="409"/>
        <v>0</v>
      </c>
      <c r="CQ320" s="409">
        <f t="shared" si="409"/>
        <v>0</v>
      </c>
      <c r="CR320" s="409">
        <f t="shared" si="409"/>
        <v>0</v>
      </c>
      <c r="CS320" s="409">
        <f t="shared" si="409"/>
        <v>0</v>
      </c>
      <c r="CT320" s="409">
        <f t="shared" si="409"/>
        <v>0</v>
      </c>
      <c r="CU320" s="409">
        <f t="shared" si="410"/>
        <v>0</v>
      </c>
      <c r="CV320" s="409">
        <f t="shared" si="410"/>
        <v>0</v>
      </c>
      <c r="CW320" s="409">
        <f t="shared" si="410"/>
        <v>0</v>
      </c>
      <c r="CX320" s="409">
        <f t="shared" si="410"/>
        <v>0</v>
      </c>
      <c r="CY320" s="409">
        <f t="shared" si="410"/>
        <v>0</v>
      </c>
      <c r="CZ320" s="409">
        <f t="shared" si="410"/>
        <v>0</v>
      </c>
      <c r="DA320" s="409">
        <f t="shared" si="410"/>
        <v>0</v>
      </c>
      <c r="DB320" s="409">
        <f t="shared" si="410"/>
        <v>0</v>
      </c>
      <c r="DC320" s="409">
        <f t="shared" si="410"/>
        <v>0</v>
      </c>
      <c r="DD320" s="409">
        <f t="shared" si="410"/>
        <v>0</v>
      </c>
      <c r="DE320" s="409">
        <f t="shared" si="411"/>
        <v>0</v>
      </c>
      <c r="DF320" s="409">
        <f t="shared" si="411"/>
        <v>0</v>
      </c>
      <c r="DG320" s="409">
        <f t="shared" si="411"/>
        <v>0</v>
      </c>
      <c r="DH320" s="409">
        <f t="shared" si="411"/>
        <v>0</v>
      </c>
      <c r="DI320" s="409">
        <f t="shared" si="411"/>
        <v>0</v>
      </c>
      <c r="DJ320" s="409">
        <f t="shared" si="411"/>
        <v>0</v>
      </c>
      <c r="DK320" s="409">
        <f t="shared" si="411"/>
        <v>0</v>
      </c>
      <c r="DL320" s="409">
        <f t="shared" si="411"/>
        <v>0</v>
      </c>
      <c r="DM320" s="409">
        <f t="shared" si="411"/>
        <v>0</v>
      </c>
      <c r="DN320" s="409">
        <f t="shared" si="411"/>
        <v>0</v>
      </c>
      <c r="DO320" s="409">
        <f t="shared" si="412"/>
        <v>0</v>
      </c>
      <c r="DP320" s="409">
        <f t="shared" si="412"/>
        <v>0</v>
      </c>
      <c r="DQ320" s="409">
        <f t="shared" si="412"/>
        <v>0</v>
      </c>
      <c r="DR320" s="409">
        <f t="shared" si="412"/>
        <v>0</v>
      </c>
      <c r="DS320" s="409">
        <f t="shared" si="412"/>
        <v>0</v>
      </c>
      <c r="DT320" s="409">
        <f t="shared" si="412"/>
        <v>0</v>
      </c>
      <c r="DU320" s="409">
        <f t="shared" si="412"/>
        <v>0</v>
      </c>
      <c r="DV320" s="409">
        <f t="shared" si="412"/>
        <v>0</v>
      </c>
      <c r="DW320" s="409">
        <f t="shared" si="412"/>
        <v>0</v>
      </c>
      <c r="DX320" s="409">
        <f t="shared" si="412"/>
        <v>0</v>
      </c>
      <c r="DY320" s="409">
        <f t="shared" si="413"/>
        <v>0</v>
      </c>
      <c r="DZ320" s="409">
        <f t="shared" si="413"/>
        <v>0</v>
      </c>
      <c r="EA320" s="409">
        <f t="shared" si="413"/>
        <v>0</v>
      </c>
      <c r="EB320" s="409">
        <f t="shared" si="413"/>
        <v>0</v>
      </c>
      <c r="EC320" s="409">
        <f t="shared" si="413"/>
        <v>0</v>
      </c>
      <c r="ED320" s="409">
        <f t="shared" si="413"/>
        <v>0</v>
      </c>
      <c r="EE320" s="409">
        <f t="shared" si="413"/>
        <v>0</v>
      </c>
      <c r="EF320" s="409">
        <f t="shared" si="413"/>
        <v>0</v>
      </c>
      <c r="EG320" s="409">
        <f t="shared" si="413"/>
        <v>0</v>
      </c>
      <c r="EH320" s="409">
        <f t="shared" si="413"/>
        <v>0</v>
      </c>
      <c r="EI320" s="409">
        <f t="shared" si="414"/>
        <v>0</v>
      </c>
      <c r="EJ320" s="409">
        <f t="shared" si="414"/>
        <v>0</v>
      </c>
      <c r="EK320" s="409">
        <f t="shared" si="414"/>
        <v>0</v>
      </c>
      <c r="EL320" s="409">
        <f t="shared" si="414"/>
        <v>0</v>
      </c>
      <c r="EM320" s="409">
        <f t="shared" si="414"/>
        <v>0</v>
      </c>
      <c r="EN320" s="409">
        <f t="shared" si="414"/>
        <v>0</v>
      </c>
      <c r="EO320" s="409">
        <f t="shared" si="414"/>
        <v>0</v>
      </c>
      <c r="EP320" s="409">
        <f t="shared" si="414"/>
        <v>0</v>
      </c>
      <c r="EQ320" s="409">
        <f t="shared" si="414"/>
        <v>0</v>
      </c>
      <c r="ER320" s="409">
        <f t="shared" si="414"/>
        <v>0</v>
      </c>
      <c r="ES320" s="409">
        <f t="shared" si="415"/>
        <v>0</v>
      </c>
      <c r="ET320" s="409">
        <f t="shared" si="415"/>
        <v>0</v>
      </c>
      <c r="EU320" s="409">
        <f t="shared" si="415"/>
        <v>0</v>
      </c>
      <c r="EV320" s="409">
        <f t="shared" si="415"/>
        <v>0</v>
      </c>
      <c r="EW320" s="409">
        <f t="shared" si="415"/>
        <v>0</v>
      </c>
      <c r="EX320" s="409">
        <f t="shared" si="415"/>
        <v>0</v>
      </c>
      <c r="EY320" s="409">
        <f t="shared" si="415"/>
        <v>0</v>
      </c>
      <c r="EZ320" s="409">
        <f t="shared" si="415"/>
        <v>0</v>
      </c>
      <c r="FA320" s="409">
        <f t="shared" si="415"/>
        <v>0</v>
      </c>
      <c r="FB320" s="409">
        <f t="shared" si="415"/>
        <v>0</v>
      </c>
      <c r="FC320" s="409">
        <f t="shared" si="416"/>
        <v>0</v>
      </c>
      <c r="FD320" s="409">
        <f t="shared" si="416"/>
        <v>0</v>
      </c>
      <c r="FE320" s="409">
        <f t="shared" si="416"/>
        <v>0</v>
      </c>
      <c r="FF320" s="409">
        <f t="shared" si="416"/>
        <v>0</v>
      </c>
      <c r="FG320" s="409">
        <f t="shared" si="416"/>
        <v>0</v>
      </c>
      <c r="FH320" s="409">
        <f t="shared" si="416"/>
        <v>0</v>
      </c>
      <c r="FI320" s="409">
        <f t="shared" si="416"/>
        <v>0</v>
      </c>
      <c r="FJ320" s="409">
        <f t="shared" si="416"/>
        <v>0</v>
      </c>
      <c r="FK320" s="409">
        <f t="shared" si="416"/>
        <v>0</v>
      </c>
      <c r="FL320" s="409">
        <f t="shared" si="416"/>
        <v>0</v>
      </c>
      <c r="FM320" s="409">
        <f t="shared" si="417"/>
        <v>0</v>
      </c>
      <c r="FN320" s="409">
        <f t="shared" si="417"/>
        <v>0</v>
      </c>
      <c r="FO320" s="409">
        <f t="shared" si="417"/>
        <v>0</v>
      </c>
      <c r="FP320" s="409">
        <f t="shared" si="417"/>
        <v>0</v>
      </c>
      <c r="FQ320" s="409">
        <f t="shared" si="417"/>
        <v>0</v>
      </c>
      <c r="FR320" s="409">
        <f t="shared" si="417"/>
        <v>0</v>
      </c>
      <c r="FS320" s="409">
        <f t="shared" si="417"/>
        <v>0</v>
      </c>
      <c r="FT320" s="409">
        <f t="shared" si="417"/>
        <v>0</v>
      </c>
      <c r="FU320" s="409">
        <f t="shared" si="417"/>
        <v>0</v>
      </c>
      <c r="FV320" s="409">
        <f t="shared" si="417"/>
        <v>0</v>
      </c>
      <c r="FW320" s="409">
        <f t="shared" si="418"/>
        <v>0</v>
      </c>
      <c r="FX320" s="409">
        <f t="shared" si="418"/>
        <v>0</v>
      </c>
      <c r="FY320" s="409">
        <f t="shared" si="418"/>
        <v>0</v>
      </c>
      <c r="FZ320" s="409">
        <f t="shared" si="418"/>
        <v>0</v>
      </c>
      <c r="GA320" s="409">
        <f t="shared" si="418"/>
        <v>0</v>
      </c>
      <c r="GB320" s="409">
        <f t="shared" si="418"/>
        <v>0</v>
      </c>
      <c r="GC320" s="409">
        <f t="shared" si="418"/>
        <v>0</v>
      </c>
      <c r="GD320" s="409">
        <f t="shared" si="418"/>
        <v>0</v>
      </c>
      <c r="GE320" s="409">
        <f t="shared" si="418"/>
        <v>0</v>
      </c>
      <c r="GF320" s="409">
        <f t="shared" si="418"/>
        <v>0</v>
      </c>
      <c r="GG320" s="409">
        <f t="shared" si="419"/>
        <v>0</v>
      </c>
      <c r="GH320" s="409">
        <f t="shared" si="419"/>
        <v>0</v>
      </c>
      <c r="GI320" s="409">
        <f t="shared" si="419"/>
        <v>0</v>
      </c>
      <c r="GJ320" s="409">
        <f t="shared" si="419"/>
        <v>0</v>
      </c>
      <c r="GK320" s="409">
        <f t="shared" si="419"/>
        <v>0</v>
      </c>
      <c r="GL320" s="409">
        <f t="shared" si="419"/>
        <v>0</v>
      </c>
      <c r="GM320" s="409">
        <f t="shared" si="419"/>
        <v>0</v>
      </c>
      <c r="GN320" s="409">
        <f t="shared" si="419"/>
        <v>0</v>
      </c>
      <c r="GO320" s="409">
        <f t="shared" si="419"/>
        <v>0</v>
      </c>
      <c r="GP320" s="409">
        <f t="shared" si="419"/>
        <v>0</v>
      </c>
      <c r="GQ320" s="409">
        <f t="shared" si="420"/>
        <v>0</v>
      </c>
      <c r="GR320" s="409">
        <f t="shared" si="420"/>
        <v>0</v>
      </c>
      <c r="GS320" s="409">
        <f t="shared" si="420"/>
        <v>0</v>
      </c>
      <c r="GT320" s="409">
        <f t="shared" si="420"/>
        <v>0</v>
      </c>
      <c r="GU320" s="409">
        <f t="shared" si="420"/>
        <v>0</v>
      </c>
      <c r="GV320" s="409">
        <f t="shared" si="420"/>
        <v>0</v>
      </c>
      <c r="GW320" s="409">
        <f t="shared" si="420"/>
        <v>0</v>
      </c>
      <c r="GX320" s="409">
        <f t="shared" si="420"/>
        <v>0</v>
      </c>
      <c r="GY320" s="409">
        <f t="shared" si="420"/>
        <v>0</v>
      </c>
      <c r="GZ320" s="409">
        <f t="shared" si="420"/>
        <v>0</v>
      </c>
      <c r="HA320" s="409">
        <f t="shared" si="421"/>
        <v>0</v>
      </c>
      <c r="HB320" s="409">
        <f t="shared" si="421"/>
        <v>0</v>
      </c>
      <c r="HC320" s="409">
        <f t="shared" si="421"/>
        <v>0</v>
      </c>
      <c r="HD320" s="409">
        <f t="shared" si="421"/>
        <v>0</v>
      </c>
      <c r="HE320" s="409">
        <f t="shared" si="421"/>
        <v>0</v>
      </c>
      <c r="HF320" s="409">
        <f t="shared" si="421"/>
        <v>0</v>
      </c>
      <c r="HG320" s="409">
        <f t="shared" si="421"/>
        <v>0</v>
      </c>
      <c r="HH320" s="409">
        <f t="shared" si="421"/>
        <v>0</v>
      </c>
      <c r="HI320" s="409">
        <f t="shared" si="421"/>
        <v>0</v>
      </c>
      <c r="HJ320" s="409">
        <f t="shared" si="421"/>
        <v>0</v>
      </c>
      <c r="HK320" s="409">
        <f t="shared" si="422"/>
        <v>0</v>
      </c>
      <c r="HL320" s="409">
        <f t="shared" si="422"/>
        <v>0</v>
      </c>
      <c r="HM320" s="409">
        <f t="shared" si="422"/>
        <v>0</v>
      </c>
      <c r="HN320" s="409">
        <f t="shared" si="422"/>
        <v>0</v>
      </c>
      <c r="HO320" s="409">
        <f t="shared" si="422"/>
        <v>0</v>
      </c>
      <c r="HP320" s="409">
        <f t="shared" si="422"/>
        <v>0</v>
      </c>
      <c r="HQ320" s="409">
        <f t="shared" si="422"/>
        <v>0</v>
      </c>
      <c r="HR320" s="409">
        <f t="shared" si="422"/>
        <v>0</v>
      </c>
      <c r="HS320" s="409">
        <f t="shared" si="422"/>
        <v>0</v>
      </c>
      <c r="HT320" s="409">
        <f t="shared" si="422"/>
        <v>0</v>
      </c>
      <c r="HU320" s="409">
        <f t="shared" si="423"/>
        <v>0</v>
      </c>
      <c r="HV320" s="409">
        <f t="shared" si="423"/>
        <v>0</v>
      </c>
      <c r="HW320" s="409">
        <f t="shared" si="423"/>
        <v>0</v>
      </c>
      <c r="HX320" s="409">
        <f t="shared" si="423"/>
        <v>0</v>
      </c>
      <c r="HY320" s="409">
        <f t="shared" si="423"/>
        <v>0</v>
      </c>
      <c r="HZ320" s="409">
        <f t="shared" si="423"/>
        <v>0</v>
      </c>
      <c r="IA320" s="409">
        <f t="shared" si="423"/>
        <v>0</v>
      </c>
      <c r="IB320" s="409">
        <f t="shared" si="423"/>
        <v>0</v>
      </c>
      <c r="IC320" s="409">
        <f t="shared" si="423"/>
        <v>0</v>
      </c>
      <c r="ID320" s="409">
        <f t="shared" si="423"/>
        <v>0</v>
      </c>
      <c r="IE320" s="409">
        <f t="shared" si="424"/>
        <v>0</v>
      </c>
      <c r="IF320" s="409">
        <f t="shared" si="424"/>
        <v>0</v>
      </c>
      <c r="IG320" s="409">
        <f t="shared" si="424"/>
        <v>0</v>
      </c>
      <c r="IH320" s="409">
        <f t="shared" si="424"/>
        <v>0</v>
      </c>
      <c r="II320" s="409">
        <f t="shared" si="424"/>
        <v>0</v>
      </c>
      <c r="IJ320" s="409">
        <f t="shared" si="424"/>
        <v>0</v>
      </c>
      <c r="IK320" s="378"/>
    </row>
    <row r="321" spans="1:245" hidden="1" x14ac:dyDescent="0.2">
      <c r="A321" s="380" t="str">
        <f t="shared" si="357"/>
        <v>e</v>
      </c>
      <c r="B321" s="712" t="str">
        <f>IF(ISERROR(INDEX('Legend(DX)'!$H$14:$H$15,34)),"",INDEX('Legend(DX)'!$H$14:$H$15,34))</f>
        <v/>
      </c>
      <c r="C321" s="712" t="e">
        <f>IF(INDEX('Legend(DX)'!$T$14:$T$15,34)=0,"See Legend",INDEX('Legend(DX)'!$T$14:$T$15,34))</f>
        <v>#REF!</v>
      </c>
      <c r="D321" s="712" t="e">
        <f>IF(INDEX('Legend(DX)'!$R$14:$R$15,34)=0,"---",INDEX('Legend(DX)'!$R$14:$R$15,34))</f>
        <v>#REF!</v>
      </c>
      <c r="E321" s="713" t="str">
        <f>IF(ISERROR(INDEX('Legend(DX)'!$AA$14:$AA$15,34)),"",INDEX('Legend(DX)'!$AA$14:$AA$15,34))</f>
        <v/>
      </c>
      <c r="F321" s="715"/>
      <c r="G321" s="715"/>
      <c r="H321" s="715"/>
      <c r="I321" s="715"/>
      <c r="J321" s="715"/>
      <c r="K321" s="890">
        <f t="shared" si="358"/>
        <v>0</v>
      </c>
      <c r="L321" s="718"/>
      <c r="M321" s="720"/>
      <c r="N321" s="972">
        <f t="shared" si="425"/>
        <v>-1</v>
      </c>
      <c r="O321" s="972">
        <f t="shared" si="359"/>
        <v>-1</v>
      </c>
      <c r="P321" s="972">
        <f t="shared" si="426"/>
        <v>-1</v>
      </c>
      <c r="Q321" s="972">
        <f t="shared" si="360"/>
        <v>-1</v>
      </c>
      <c r="R321" s="972">
        <f t="shared" si="427"/>
        <v>-1</v>
      </c>
      <c r="S321" s="972">
        <f t="shared" si="361"/>
        <v>-1</v>
      </c>
      <c r="T321" s="972">
        <f t="shared" si="428"/>
        <v>-1</v>
      </c>
      <c r="U321" s="972">
        <f t="shared" si="362"/>
        <v>-1</v>
      </c>
      <c r="V321" s="972">
        <f t="shared" si="429"/>
        <v>-1</v>
      </c>
      <c r="W321" s="972">
        <f t="shared" si="363"/>
        <v>-1</v>
      </c>
      <c r="X321" s="972">
        <f t="shared" si="430"/>
        <v>-1</v>
      </c>
      <c r="Y321" s="972">
        <f t="shared" si="364"/>
        <v>-1</v>
      </c>
      <c r="Z321" s="972">
        <f t="shared" si="365"/>
        <v>-1</v>
      </c>
      <c r="AA321" s="972">
        <f t="shared" si="366"/>
        <v>-1</v>
      </c>
      <c r="AB321" s="972">
        <f t="shared" si="367"/>
        <v>-1</v>
      </c>
      <c r="AC321" s="972">
        <f t="shared" si="368"/>
        <v>-1</v>
      </c>
      <c r="AD321" s="972">
        <f t="shared" si="369"/>
        <v>-1</v>
      </c>
      <c r="AE321" s="972">
        <f t="shared" si="370"/>
        <v>-1</v>
      </c>
      <c r="AF321" s="972">
        <f t="shared" si="371"/>
        <v>-1</v>
      </c>
      <c r="AG321" s="972">
        <f t="shared" si="372"/>
        <v>-1</v>
      </c>
      <c r="AH321" s="972">
        <f t="shared" si="373"/>
        <v>-1</v>
      </c>
      <c r="AI321" s="972">
        <f t="shared" si="374"/>
        <v>-1</v>
      </c>
      <c r="AJ321" s="972">
        <f t="shared" si="375"/>
        <v>-1</v>
      </c>
      <c r="AK321" s="381"/>
      <c r="AL321" s="727" t="str">
        <f t="shared" si="376"/>
        <v/>
      </c>
      <c r="AM321" s="409">
        <f t="shared" si="404"/>
        <v>0</v>
      </c>
      <c r="AN321" s="409">
        <f t="shared" si="404"/>
        <v>0</v>
      </c>
      <c r="AO321" s="409">
        <f t="shared" si="404"/>
        <v>0</v>
      </c>
      <c r="AP321" s="409">
        <f t="shared" si="404"/>
        <v>0</v>
      </c>
      <c r="AQ321" s="409">
        <f t="shared" si="404"/>
        <v>0</v>
      </c>
      <c r="AR321" s="409">
        <f t="shared" si="404"/>
        <v>0</v>
      </c>
      <c r="AS321" s="409">
        <f t="shared" si="404"/>
        <v>0</v>
      </c>
      <c r="AT321" s="409">
        <f t="shared" si="404"/>
        <v>0</v>
      </c>
      <c r="AU321" s="409">
        <f t="shared" si="404"/>
        <v>0</v>
      </c>
      <c r="AV321" s="409">
        <f t="shared" si="404"/>
        <v>0</v>
      </c>
      <c r="AW321" s="409">
        <f t="shared" si="405"/>
        <v>0</v>
      </c>
      <c r="AX321" s="409">
        <f t="shared" si="405"/>
        <v>0</v>
      </c>
      <c r="AY321" s="409">
        <f t="shared" si="405"/>
        <v>0</v>
      </c>
      <c r="AZ321" s="409">
        <f t="shared" si="405"/>
        <v>0</v>
      </c>
      <c r="BA321" s="409">
        <f t="shared" si="405"/>
        <v>0</v>
      </c>
      <c r="BB321" s="409">
        <f t="shared" si="405"/>
        <v>0</v>
      </c>
      <c r="BC321" s="409">
        <f t="shared" si="405"/>
        <v>0</v>
      </c>
      <c r="BD321" s="409">
        <f t="shared" si="405"/>
        <v>0</v>
      </c>
      <c r="BE321" s="409">
        <f t="shared" si="405"/>
        <v>0</v>
      </c>
      <c r="BF321" s="409">
        <f t="shared" si="405"/>
        <v>0</v>
      </c>
      <c r="BG321" s="409">
        <f t="shared" si="406"/>
        <v>0</v>
      </c>
      <c r="BH321" s="409">
        <f t="shared" si="406"/>
        <v>0</v>
      </c>
      <c r="BI321" s="409">
        <f t="shared" si="406"/>
        <v>0</v>
      </c>
      <c r="BJ321" s="409">
        <f t="shared" si="406"/>
        <v>0</v>
      </c>
      <c r="BK321" s="409">
        <f t="shared" si="406"/>
        <v>0</v>
      </c>
      <c r="BL321" s="409">
        <f t="shared" si="406"/>
        <v>0</v>
      </c>
      <c r="BM321" s="409">
        <f t="shared" si="406"/>
        <v>0</v>
      </c>
      <c r="BN321" s="409">
        <f t="shared" si="406"/>
        <v>0</v>
      </c>
      <c r="BO321" s="409">
        <f t="shared" si="406"/>
        <v>0</v>
      </c>
      <c r="BP321" s="409">
        <f t="shared" si="406"/>
        <v>0</v>
      </c>
      <c r="BQ321" s="409">
        <f t="shared" si="407"/>
        <v>0</v>
      </c>
      <c r="BR321" s="409">
        <f t="shared" si="407"/>
        <v>0</v>
      </c>
      <c r="BS321" s="409">
        <f t="shared" si="407"/>
        <v>0</v>
      </c>
      <c r="BT321" s="409">
        <f t="shared" si="407"/>
        <v>0</v>
      </c>
      <c r="BU321" s="409">
        <f t="shared" si="407"/>
        <v>0</v>
      </c>
      <c r="BV321" s="409">
        <f t="shared" si="407"/>
        <v>0</v>
      </c>
      <c r="BW321" s="409">
        <f t="shared" si="407"/>
        <v>0</v>
      </c>
      <c r="BX321" s="409">
        <f t="shared" si="407"/>
        <v>0</v>
      </c>
      <c r="BY321" s="409">
        <f t="shared" si="407"/>
        <v>0</v>
      </c>
      <c r="BZ321" s="409">
        <f t="shared" si="407"/>
        <v>0</v>
      </c>
      <c r="CA321" s="409">
        <f t="shared" si="408"/>
        <v>0</v>
      </c>
      <c r="CB321" s="409">
        <f t="shared" si="408"/>
        <v>0</v>
      </c>
      <c r="CC321" s="409">
        <f t="shared" si="408"/>
        <v>0</v>
      </c>
      <c r="CD321" s="409">
        <f t="shared" si="408"/>
        <v>0</v>
      </c>
      <c r="CE321" s="409">
        <f t="shared" si="408"/>
        <v>0</v>
      </c>
      <c r="CF321" s="409">
        <f t="shared" si="408"/>
        <v>0</v>
      </c>
      <c r="CG321" s="409">
        <f t="shared" si="408"/>
        <v>0</v>
      </c>
      <c r="CH321" s="409">
        <f t="shared" si="408"/>
        <v>0</v>
      </c>
      <c r="CI321" s="409">
        <f t="shared" si="408"/>
        <v>0</v>
      </c>
      <c r="CJ321" s="409">
        <f t="shared" si="408"/>
        <v>0</v>
      </c>
      <c r="CK321" s="409">
        <f t="shared" si="409"/>
        <v>0</v>
      </c>
      <c r="CL321" s="409">
        <f t="shared" si="409"/>
        <v>0</v>
      </c>
      <c r="CM321" s="409">
        <f t="shared" si="409"/>
        <v>0</v>
      </c>
      <c r="CN321" s="409">
        <f t="shared" si="409"/>
        <v>0</v>
      </c>
      <c r="CO321" s="409">
        <f t="shared" si="409"/>
        <v>0</v>
      </c>
      <c r="CP321" s="409">
        <f t="shared" si="409"/>
        <v>0</v>
      </c>
      <c r="CQ321" s="409">
        <f t="shared" si="409"/>
        <v>0</v>
      </c>
      <c r="CR321" s="409">
        <f t="shared" si="409"/>
        <v>0</v>
      </c>
      <c r="CS321" s="409">
        <f t="shared" si="409"/>
        <v>0</v>
      </c>
      <c r="CT321" s="409">
        <f t="shared" si="409"/>
        <v>0</v>
      </c>
      <c r="CU321" s="409">
        <f t="shared" si="410"/>
        <v>0</v>
      </c>
      <c r="CV321" s="409">
        <f t="shared" si="410"/>
        <v>0</v>
      </c>
      <c r="CW321" s="409">
        <f t="shared" si="410"/>
        <v>0</v>
      </c>
      <c r="CX321" s="409">
        <f t="shared" si="410"/>
        <v>0</v>
      </c>
      <c r="CY321" s="409">
        <f t="shared" si="410"/>
        <v>0</v>
      </c>
      <c r="CZ321" s="409">
        <f t="shared" si="410"/>
        <v>0</v>
      </c>
      <c r="DA321" s="409">
        <f t="shared" si="410"/>
        <v>0</v>
      </c>
      <c r="DB321" s="409">
        <f t="shared" si="410"/>
        <v>0</v>
      </c>
      <c r="DC321" s="409">
        <f t="shared" si="410"/>
        <v>0</v>
      </c>
      <c r="DD321" s="409">
        <f t="shared" si="410"/>
        <v>0</v>
      </c>
      <c r="DE321" s="409">
        <f t="shared" si="411"/>
        <v>0</v>
      </c>
      <c r="DF321" s="409">
        <f t="shared" si="411"/>
        <v>0</v>
      </c>
      <c r="DG321" s="409">
        <f t="shared" si="411"/>
        <v>0</v>
      </c>
      <c r="DH321" s="409">
        <f t="shared" si="411"/>
        <v>0</v>
      </c>
      <c r="DI321" s="409">
        <f t="shared" si="411"/>
        <v>0</v>
      </c>
      <c r="DJ321" s="409">
        <f t="shared" si="411"/>
        <v>0</v>
      </c>
      <c r="DK321" s="409">
        <f t="shared" si="411"/>
        <v>0</v>
      </c>
      <c r="DL321" s="409">
        <f t="shared" si="411"/>
        <v>0</v>
      </c>
      <c r="DM321" s="409">
        <f t="shared" si="411"/>
        <v>0</v>
      </c>
      <c r="DN321" s="409">
        <f t="shared" si="411"/>
        <v>0</v>
      </c>
      <c r="DO321" s="409">
        <f t="shared" si="412"/>
        <v>0</v>
      </c>
      <c r="DP321" s="409">
        <f t="shared" si="412"/>
        <v>0</v>
      </c>
      <c r="DQ321" s="409">
        <f t="shared" si="412"/>
        <v>0</v>
      </c>
      <c r="DR321" s="409">
        <f t="shared" si="412"/>
        <v>0</v>
      </c>
      <c r="DS321" s="409">
        <f t="shared" si="412"/>
        <v>0</v>
      </c>
      <c r="DT321" s="409">
        <f t="shared" si="412"/>
        <v>0</v>
      </c>
      <c r="DU321" s="409">
        <f t="shared" si="412"/>
        <v>0</v>
      </c>
      <c r="DV321" s="409">
        <f t="shared" si="412"/>
        <v>0</v>
      </c>
      <c r="DW321" s="409">
        <f t="shared" si="412"/>
        <v>0</v>
      </c>
      <c r="DX321" s="409">
        <f t="shared" si="412"/>
        <v>0</v>
      </c>
      <c r="DY321" s="409">
        <f t="shared" si="413"/>
        <v>0</v>
      </c>
      <c r="DZ321" s="409">
        <f t="shared" si="413"/>
        <v>0</v>
      </c>
      <c r="EA321" s="409">
        <f t="shared" si="413"/>
        <v>0</v>
      </c>
      <c r="EB321" s="409">
        <f t="shared" si="413"/>
        <v>0</v>
      </c>
      <c r="EC321" s="409">
        <f t="shared" si="413"/>
        <v>0</v>
      </c>
      <c r="ED321" s="409">
        <f t="shared" si="413"/>
        <v>0</v>
      </c>
      <c r="EE321" s="409">
        <f t="shared" si="413"/>
        <v>0</v>
      </c>
      <c r="EF321" s="409">
        <f t="shared" si="413"/>
        <v>0</v>
      </c>
      <c r="EG321" s="409">
        <f t="shared" si="413"/>
        <v>0</v>
      </c>
      <c r="EH321" s="409">
        <f t="shared" si="413"/>
        <v>0</v>
      </c>
      <c r="EI321" s="409">
        <f t="shared" si="414"/>
        <v>0</v>
      </c>
      <c r="EJ321" s="409">
        <f t="shared" si="414"/>
        <v>0</v>
      </c>
      <c r="EK321" s="409">
        <f t="shared" si="414"/>
        <v>0</v>
      </c>
      <c r="EL321" s="409">
        <f t="shared" si="414"/>
        <v>0</v>
      </c>
      <c r="EM321" s="409">
        <f t="shared" si="414"/>
        <v>0</v>
      </c>
      <c r="EN321" s="409">
        <f t="shared" si="414"/>
        <v>0</v>
      </c>
      <c r="EO321" s="409">
        <f t="shared" si="414"/>
        <v>0</v>
      </c>
      <c r="EP321" s="409">
        <f t="shared" si="414"/>
        <v>0</v>
      </c>
      <c r="EQ321" s="409">
        <f t="shared" si="414"/>
        <v>0</v>
      </c>
      <c r="ER321" s="409">
        <f t="shared" si="414"/>
        <v>0</v>
      </c>
      <c r="ES321" s="409">
        <f t="shared" si="415"/>
        <v>0</v>
      </c>
      <c r="ET321" s="409">
        <f t="shared" si="415"/>
        <v>0</v>
      </c>
      <c r="EU321" s="409">
        <f t="shared" si="415"/>
        <v>0</v>
      </c>
      <c r="EV321" s="409">
        <f t="shared" si="415"/>
        <v>0</v>
      </c>
      <c r="EW321" s="409">
        <f t="shared" si="415"/>
        <v>0</v>
      </c>
      <c r="EX321" s="409">
        <f t="shared" si="415"/>
        <v>0</v>
      </c>
      <c r="EY321" s="409">
        <f t="shared" si="415"/>
        <v>0</v>
      </c>
      <c r="EZ321" s="409">
        <f t="shared" si="415"/>
        <v>0</v>
      </c>
      <c r="FA321" s="409">
        <f t="shared" si="415"/>
        <v>0</v>
      </c>
      <c r="FB321" s="409">
        <f t="shared" si="415"/>
        <v>0</v>
      </c>
      <c r="FC321" s="409">
        <f t="shared" si="416"/>
        <v>0</v>
      </c>
      <c r="FD321" s="409">
        <f t="shared" si="416"/>
        <v>0</v>
      </c>
      <c r="FE321" s="409">
        <f t="shared" si="416"/>
        <v>0</v>
      </c>
      <c r="FF321" s="409">
        <f t="shared" si="416"/>
        <v>0</v>
      </c>
      <c r="FG321" s="409">
        <f t="shared" si="416"/>
        <v>0</v>
      </c>
      <c r="FH321" s="409">
        <f t="shared" si="416"/>
        <v>0</v>
      </c>
      <c r="FI321" s="409">
        <f t="shared" si="416"/>
        <v>0</v>
      </c>
      <c r="FJ321" s="409">
        <f t="shared" si="416"/>
        <v>0</v>
      </c>
      <c r="FK321" s="409">
        <f t="shared" si="416"/>
        <v>0</v>
      </c>
      <c r="FL321" s="409">
        <f t="shared" si="416"/>
        <v>0</v>
      </c>
      <c r="FM321" s="409">
        <f t="shared" si="417"/>
        <v>0</v>
      </c>
      <c r="FN321" s="409">
        <f t="shared" si="417"/>
        <v>0</v>
      </c>
      <c r="FO321" s="409">
        <f t="shared" si="417"/>
        <v>0</v>
      </c>
      <c r="FP321" s="409">
        <f t="shared" si="417"/>
        <v>0</v>
      </c>
      <c r="FQ321" s="409">
        <f t="shared" si="417"/>
        <v>0</v>
      </c>
      <c r="FR321" s="409">
        <f t="shared" si="417"/>
        <v>0</v>
      </c>
      <c r="FS321" s="409">
        <f t="shared" si="417"/>
        <v>0</v>
      </c>
      <c r="FT321" s="409">
        <f t="shared" si="417"/>
        <v>0</v>
      </c>
      <c r="FU321" s="409">
        <f t="shared" si="417"/>
        <v>0</v>
      </c>
      <c r="FV321" s="409">
        <f t="shared" si="417"/>
        <v>0</v>
      </c>
      <c r="FW321" s="409">
        <f t="shared" si="418"/>
        <v>0</v>
      </c>
      <c r="FX321" s="409">
        <f t="shared" si="418"/>
        <v>0</v>
      </c>
      <c r="FY321" s="409">
        <f t="shared" si="418"/>
        <v>0</v>
      </c>
      <c r="FZ321" s="409">
        <f t="shared" si="418"/>
        <v>0</v>
      </c>
      <c r="GA321" s="409">
        <f t="shared" si="418"/>
        <v>0</v>
      </c>
      <c r="GB321" s="409">
        <f t="shared" si="418"/>
        <v>0</v>
      </c>
      <c r="GC321" s="409">
        <f t="shared" si="418"/>
        <v>0</v>
      </c>
      <c r="GD321" s="409">
        <f t="shared" si="418"/>
        <v>0</v>
      </c>
      <c r="GE321" s="409">
        <f t="shared" si="418"/>
        <v>0</v>
      </c>
      <c r="GF321" s="409">
        <f t="shared" si="418"/>
        <v>0</v>
      </c>
      <c r="GG321" s="409">
        <f t="shared" si="419"/>
        <v>0</v>
      </c>
      <c r="GH321" s="409">
        <f t="shared" si="419"/>
        <v>0</v>
      </c>
      <c r="GI321" s="409">
        <f t="shared" si="419"/>
        <v>0</v>
      </c>
      <c r="GJ321" s="409">
        <f t="shared" si="419"/>
        <v>0</v>
      </c>
      <c r="GK321" s="409">
        <f t="shared" si="419"/>
        <v>0</v>
      </c>
      <c r="GL321" s="409">
        <f t="shared" si="419"/>
        <v>0</v>
      </c>
      <c r="GM321" s="409">
        <f t="shared" si="419"/>
        <v>0</v>
      </c>
      <c r="GN321" s="409">
        <f t="shared" si="419"/>
        <v>0</v>
      </c>
      <c r="GO321" s="409">
        <f t="shared" si="419"/>
        <v>0</v>
      </c>
      <c r="GP321" s="409">
        <f t="shared" si="419"/>
        <v>0</v>
      </c>
      <c r="GQ321" s="409">
        <f t="shared" si="420"/>
        <v>0</v>
      </c>
      <c r="GR321" s="409">
        <f t="shared" si="420"/>
        <v>0</v>
      </c>
      <c r="GS321" s="409">
        <f t="shared" si="420"/>
        <v>0</v>
      </c>
      <c r="GT321" s="409">
        <f t="shared" si="420"/>
        <v>0</v>
      </c>
      <c r="GU321" s="409">
        <f t="shared" si="420"/>
        <v>0</v>
      </c>
      <c r="GV321" s="409">
        <f t="shared" si="420"/>
        <v>0</v>
      </c>
      <c r="GW321" s="409">
        <f t="shared" si="420"/>
        <v>0</v>
      </c>
      <c r="GX321" s="409">
        <f t="shared" si="420"/>
        <v>0</v>
      </c>
      <c r="GY321" s="409">
        <f t="shared" si="420"/>
        <v>0</v>
      </c>
      <c r="GZ321" s="409">
        <f t="shared" si="420"/>
        <v>0</v>
      </c>
      <c r="HA321" s="409">
        <f t="shared" si="421"/>
        <v>0</v>
      </c>
      <c r="HB321" s="409">
        <f t="shared" si="421"/>
        <v>0</v>
      </c>
      <c r="HC321" s="409">
        <f t="shared" si="421"/>
        <v>0</v>
      </c>
      <c r="HD321" s="409">
        <f t="shared" si="421"/>
        <v>0</v>
      </c>
      <c r="HE321" s="409">
        <f t="shared" si="421"/>
        <v>0</v>
      </c>
      <c r="HF321" s="409">
        <f t="shared" si="421"/>
        <v>0</v>
      </c>
      <c r="HG321" s="409">
        <f t="shared" si="421"/>
        <v>0</v>
      </c>
      <c r="HH321" s="409">
        <f t="shared" si="421"/>
        <v>0</v>
      </c>
      <c r="HI321" s="409">
        <f t="shared" si="421"/>
        <v>0</v>
      </c>
      <c r="HJ321" s="409">
        <f t="shared" si="421"/>
        <v>0</v>
      </c>
      <c r="HK321" s="409">
        <f t="shared" si="422"/>
        <v>0</v>
      </c>
      <c r="HL321" s="409">
        <f t="shared" si="422"/>
        <v>0</v>
      </c>
      <c r="HM321" s="409">
        <f t="shared" si="422"/>
        <v>0</v>
      </c>
      <c r="HN321" s="409">
        <f t="shared" si="422"/>
        <v>0</v>
      </c>
      <c r="HO321" s="409">
        <f t="shared" si="422"/>
        <v>0</v>
      </c>
      <c r="HP321" s="409">
        <f t="shared" si="422"/>
        <v>0</v>
      </c>
      <c r="HQ321" s="409">
        <f t="shared" si="422"/>
        <v>0</v>
      </c>
      <c r="HR321" s="409">
        <f t="shared" si="422"/>
        <v>0</v>
      </c>
      <c r="HS321" s="409">
        <f t="shared" si="422"/>
        <v>0</v>
      </c>
      <c r="HT321" s="409">
        <f t="shared" si="422"/>
        <v>0</v>
      </c>
      <c r="HU321" s="409">
        <f t="shared" si="423"/>
        <v>0</v>
      </c>
      <c r="HV321" s="409">
        <f t="shared" si="423"/>
        <v>0</v>
      </c>
      <c r="HW321" s="409">
        <f t="shared" si="423"/>
        <v>0</v>
      </c>
      <c r="HX321" s="409">
        <f t="shared" si="423"/>
        <v>0</v>
      </c>
      <c r="HY321" s="409">
        <f t="shared" si="423"/>
        <v>0</v>
      </c>
      <c r="HZ321" s="409">
        <f t="shared" si="423"/>
        <v>0</v>
      </c>
      <c r="IA321" s="409">
        <f t="shared" si="423"/>
        <v>0</v>
      </c>
      <c r="IB321" s="409">
        <f t="shared" si="423"/>
        <v>0</v>
      </c>
      <c r="IC321" s="409">
        <f t="shared" si="423"/>
        <v>0</v>
      </c>
      <c r="ID321" s="409">
        <f t="shared" si="423"/>
        <v>0</v>
      </c>
      <c r="IE321" s="409">
        <f t="shared" si="424"/>
        <v>0</v>
      </c>
      <c r="IF321" s="409">
        <f t="shared" si="424"/>
        <v>0</v>
      </c>
      <c r="IG321" s="409">
        <f t="shared" si="424"/>
        <v>0</v>
      </c>
      <c r="IH321" s="409">
        <f t="shared" si="424"/>
        <v>0</v>
      </c>
      <c r="II321" s="409">
        <f t="shared" si="424"/>
        <v>0</v>
      </c>
      <c r="IJ321" s="409">
        <f t="shared" si="424"/>
        <v>0</v>
      </c>
      <c r="IK321" s="378"/>
    </row>
    <row r="322" spans="1:245" hidden="1" x14ac:dyDescent="0.2">
      <c r="A322" s="380" t="str">
        <f t="shared" si="357"/>
        <v>e</v>
      </c>
      <c r="B322" s="712" t="str">
        <f>IF(ISERROR(INDEX('Legend(DX)'!$H$14:$H$15,35)),"",INDEX('Legend(DX)'!$H$14:$H$15,35))</f>
        <v/>
      </c>
      <c r="C322" s="712" t="e">
        <f>IF(INDEX('Legend(DX)'!$T$14:$T$15,35)=0,"See Legend",INDEX('Legend(DX)'!$T$14:$T$15,35))</f>
        <v>#REF!</v>
      </c>
      <c r="D322" s="712" t="e">
        <f>IF(INDEX('Legend(DX)'!$R$14:$R$15,35)=0,"---",INDEX('Legend(DX)'!$R$14:$R$15,35))</f>
        <v>#REF!</v>
      </c>
      <c r="E322" s="713" t="str">
        <f>IF(ISERROR(INDEX('Legend(DX)'!$AA$14:$AA$15,35)),"",INDEX('Legend(DX)'!$AA$14:$AA$15,35))</f>
        <v/>
      </c>
      <c r="F322" s="715"/>
      <c r="G322" s="715"/>
      <c r="H322" s="715"/>
      <c r="I322" s="715"/>
      <c r="J322" s="715"/>
      <c r="K322" s="890">
        <f t="shared" si="358"/>
        <v>0</v>
      </c>
      <c r="L322" s="718"/>
      <c r="M322" s="720"/>
      <c r="N322" s="972">
        <f t="shared" si="425"/>
        <v>-1</v>
      </c>
      <c r="O322" s="972">
        <f t="shared" si="359"/>
        <v>-1</v>
      </c>
      <c r="P322" s="972">
        <f t="shared" si="426"/>
        <v>-1</v>
      </c>
      <c r="Q322" s="972">
        <f t="shared" si="360"/>
        <v>-1</v>
      </c>
      <c r="R322" s="972">
        <f t="shared" si="427"/>
        <v>-1</v>
      </c>
      <c r="S322" s="972">
        <f t="shared" si="361"/>
        <v>-1</v>
      </c>
      <c r="T322" s="972">
        <f t="shared" si="428"/>
        <v>-1</v>
      </c>
      <c r="U322" s="972">
        <f t="shared" si="362"/>
        <v>-1</v>
      </c>
      <c r="V322" s="972">
        <f t="shared" si="429"/>
        <v>-1</v>
      </c>
      <c r="W322" s="972">
        <f t="shared" si="363"/>
        <v>-1</v>
      </c>
      <c r="X322" s="972">
        <f t="shared" si="430"/>
        <v>-1</v>
      </c>
      <c r="Y322" s="972">
        <f t="shared" si="364"/>
        <v>-1</v>
      </c>
      <c r="Z322" s="972">
        <f t="shared" si="365"/>
        <v>-1</v>
      </c>
      <c r="AA322" s="972">
        <f t="shared" si="366"/>
        <v>-1</v>
      </c>
      <c r="AB322" s="972">
        <f t="shared" si="367"/>
        <v>-1</v>
      </c>
      <c r="AC322" s="972">
        <f t="shared" si="368"/>
        <v>-1</v>
      </c>
      <c r="AD322" s="972">
        <f t="shared" si="369"/>
        <v>-1</v>
      </c>
      <c r="AE322" s="972">
        <f t="shared" si="370"/>
        <v>-1</v>
      </c>
      <c r="AF322" s="972">
        <f t="shared" si="371"/>
        <v>-1</v>
      </c>
      <c r="AG322" s="972">
        <f t="shared" si="372"/>
        <v>-1</v>
      </c>
      <c r="AH322" s="972">
        <f t="shared" si="373"/>
        <v>-1</v>
      </c>
      <c r="AI322" s="972">
        <f t="shared" si="374"/>
        <v>-1</v>
      </c>
      <c r="AJ322" s="972">
        <f t="shared" si="375"/>
        <v>-1</v>
      </c>
      <c r="AK322" s="381"/>
      <c r="AL322" s="727" t="str">
        <f t="shared" si="376"/>
        <v/>
      </c>
      <c r="AM322" s="409">
        <f t="shared" si="404"/>
        <v>0</v>
      </c>
      <c r="AN322" s="409">
        <f t="shared" si="404"/>
        <v>0</v>
      </c>
      <c r="AO322" s="409">
        <f t="shared" si="404"/>
        <v>0</v>
      </c>
      <c r="AP322" s="409">
        <f t="shared" si="404"/>
        <v>0</v>
      </c>
      <c r="AQ322" s="409">
        <f t="shared" si="404"/>
        <v>0</v>
      </c>
      <c r="AR322" s="409">
        <f t="shared" si="404"/>
        <v>0</v>
      </c>
      <c r="AS322" s="409">
        <f t="shared" si="404"/>
        <v>0</v>
      </c>
      <c r="AT322" s="409">
        <f t="shared" si="404"/>
        <v>0</v>
      </c>
      <c r="AU322" s="409">
        <f t="shared" si="404"/>
        <v>0</v>
      </c>
      <c r="AV322" s="409">
        <f t="shared" si="404"/>
        <v>0</v>
      </c>
      <c r="AW322" s="409">
        <f t="shared" si="405"/>
        <v>0</v>
      </c>
      <c r="AX322" s="409">
        <f t="shared" si="405"/>
        <v>0</v>
      </c>
      <c r="AY322" s="409">
        <f t="shared" si="405"/>
        <v>0</v>
      </c>
      <c r="AZ322" s="409">
        <f t="shared" si="405"/>
        <v>0</v>
      </c>
      <c r="BA322" s="409">
        <f t="shared" si="405"/>
        <v>0</v>
      </c>
      <c r="BB322" s="409">
        <f t="shared" si="405"/>
        <v>0</v>
      </c>
      <c r="BC322" s="409">
        <f t="shared" si="405"/>
        <v>0</v>
      </c>
      <c r="BD322" s="409">
        <f t="shared" si="405"/>
        <v>0</v>
      </c>
      <c r="BE322" s="409">
        <f t="shared" si="405"/>
        <v>0</v>
      </c>
      <c r="BF322" s="409">
        <f t="shared" si="405"/>
        <v>0</v>
      </c>
      <c r="BG322" s="409">
        <f t="shared" si="406"/>
        <v>0</v>
      </c>
      <c r="BH322" s="409">
        <f t="shared" si="406"/>
        <v>0</v>
      </c>
      <c r="BI322" s="409">
        <f t="shared" si="406"/>
        <v>0</v>
      </c>
      <c r="BJ322" s="409">
        <f t="shared" si="406"/>
        <v>0</v>
      </c>
      <c r="BK322" s="409">
        <f t="shared" si="406"/>
        <v>0</v>
      </c>
      <c r="BL322" s="409">
        <f t="shared" si="406"/>
        <v>0</v>
      </c>
      <c r="BM322" s="409">
        <f t="shared" si="406"/>
        <v>0</v>
      </c>
      <c r="BN322" s="409">
        <f t="shared" si="406"/>
        <v>0</v>
      </c>
      <c r="BO322" s="409">
        <f t="shared" si="406"/>
        <v>0</v>
      </c>
      <c r="BP322" s="409">
        <f t="shared" si="406"/>
        <v>0</v>
      </c>
      <c r="BQ322" s="409">
        <f t="shared" si="407"/>
        <v>0</v>
      </c>
      <c r="BR322" s="409">
        <f t="shared" si="407"/>
        <v>0</v>
      </c>
      <c r="BS322" s="409">
        <f t="shared" si="407"/>
        <v>0</v>
      </c>
      <c r="BT322" s="409">
        <f t="shared" si="407"/>
        <v>0</v>
      </c>
      <c r="BU322" s="409">
        <f t="shared" si="407"/>
        <v>0</v>
      </c>
      <c r="BV322" s="409">
        <f t="shared" si="407"/>
        <v>0</v>
      </c>
      <c r="BW322" s="409">
        <f t="shared" si="407"/>
        <v>0</v>
      </c>
      <c r="BX322" s="409">
        <f t="shared" si="407"/>
        <v>0</v>
      </c>
      <c r="BY322" s="409">
        <f t="shared" si="407"/>
        <v>0</v>
      </c>
      <c r="BZ322" s="409">
        <f t="shared" si="407"/>
        <v>0</v>
      </c>
      <c r="CA322" s="409">
        <f t="shared" si="408"/>
        <v>0</v>
      </c>
      <c r="CB322" s="409">
        <f t="shared" si="408"/>
        <v>0</v>
      </c>
      <c r="CC322" s="409">
        <f t="shared" si="408"/>
        <v>0</v>
      </c>
      <c r="CD322" s="409">
        <f t="shared" si="408"/>
        <v>0</v>
      </c>
      <c r="CE322" s="409">
        <f t="shared" si="408"/>
        <v>0</v>
      </c>
      <c r="CF322" s="409">
        <f t="shared" si="408"/>
        <v>0</v>
      </c>
      <c r="CG322" s="409">
        <f t="shared" si="408"/>
        <v>0</v>
      </c>
      <c r="CH322" s="409">
        <f t="shared" si="408"/>
        <v>0</v>
      </c>
      <c r="CI322" s="409">
        <f t="shared" si="408"/>
        <v>0</v>
      </c>
      <c r="CJ322" s="409">
        <f t="shared" si="408"/>
        <v>0</v>
      </c>
      <c r="CK322" s="409">
        <f t="shared" si="409"/>
        <v>0</v>
      </c>
      <c r="CL322" s="409">
        <f t="shared" si="409"/>
        <v>0</v>
      </c>
      <c r="CM322" s="409">
        <f t="shared" si="409"/>
        <v>0</v>
      </c>
      <c r="CN322" s="409">
        <f t="shared" si="409"/>
        <v>0</v>
      </c>
      <c r="CO322" s="409">
        <f t="shared" si="409"/>
        <v>0</v>
      </c>
      <c r="CP322" s="409">
        <f t="shared" si="409"/>
        <v>0</v>
      </c>
      <c r="CQ322" s="409">
        <f t="shared" si="409"/>
        <v>0</v>
      </c>
      <c r="CR322" s="409">
        <f t="shared" si="409"/>
        <v>0</v>
      </c>
      <c r="CS322" s="409">
        <f t="shared" si="409"/>
        <v>0</v>
      </c>
      <c r="CT322" s="409">
        <f t="shared" si="409"/>
        <v>0</v>
      </c>
      <c r="CU322" s="409">
        <f t="shared" si="410"/>
        <v>0</v>
      </c>
      <c r="CV322" s="409">
        <f t="shared" si="410"/>
        <v>0</v>
      </c>
      <c r="CW322" s="409">
        <f t="shared" si="410"/>
        <v>0</v>
      </c>
      <c r="CX322" s="409">
        <f t="shared" si="410"/>
        <v>0</v>
      </c>
      <c r="CY322" s="409">
        <f t="shared" si="410"/>
        <v>0</v>
      </c>
      <c r="CZ322" s="409">
        <f t="shared" si="410"/>
        <v>0</v>
      </c>
      <c r="DA322" s="409">
        <f t="shared" si="410"/>
        <v>0</v>
      </c>
      <c r="DB322" s="409">
        <f t="shared" si="410"/>
        <v>0</v>
      </c>
      <c r="DC322" s="409">
        <f t="shared" si="410"/>
        <v>0</v>
      </c>
      <c r="DD322" s="409">
        <f t="shared" si="410"/>
        <v>0</v>
      </c>
      <c r="DE322" s="409">
        <f t="shared" si="411"/>
        <v>0</v>
      </c>
      <c r="DF322" s="409">
        <f t="shared" si="411"/>
        <v>0</v>
      </c>
      <c r="DG322" s="409">
        <f t="shared" si="411"/>
        <v>0</v>
      </c>
      <c r="DH322" s="409">
        <f t="shared" si="411"/>
        <v>0</v>
      </c>
      <c r="DI322" s="409">
        <f t="shared" si="411"/>
        <v>0</v>
      </c>
      <c r="DJ322" s="409">
        <f t="shared" si="411"/>
        <v>0</v>
      </c>
      <c r="DK322" s="409">
        <f t="shared" si="411"/>
        <v>0</v>
      </c>
      <c r="DL322" s="409">
        <f t="shared" si="411"/>
        <v>0</v>
      </c>
      <c r="DM322" s="409">
        <f t="shared" si="411"/>
        <v>0</v>
      </c>
      <c r="DN322" s="409">
        <f t="shared" si="411"/>
        <v>0</v>
      </c>
      <c r="DO322" s="409">
        <f t="shared" si="412"/>
        <v>0</v>
      </c>
      <c r="DP322" s="409">
        <f t="shared" si="412"/>
        <v>0</v>
      </c>
      <c r="DQ322" s="409">
        <f t="shared" si="412"/>
        <v>0</v>
      </c>
      <c r="DR322" s="409">
        <f t="shared" si="412"/>
        <v>0</v>
      </c>
      <c r="DS322" s="409">
        <f t="shared" si="412"/>
        <v>0</v>
      </c>
      <c r="DT322" s="409">
        <f t="shared" si="412"/>
        <v>0</v>
      </c>
      <c r="DU322" s="409">
        <f t="shared" si="412"/>
        <v>0</v>
      </c>
      <c r="DV322" s="409">
        <f t="shared" si="412"/>
        <v>0</v>
      </c>
      <c r="DW322" s="409">
        <f t="shared" si="412"/>
        <v>0</v>
      </c>
      <c r="DX322" s="409">
        <f t="shared" si="412"/>
        <v>0</v>
      </c>
      <c r="DY322" s="409">
        <f t="shared" si="413"/>
        <v>0</v>
      </c>
      <c r="DZ322" s="409">
        <f t="shared" si="413"/>
        <v>0</v>
      </c>
      <c r="EA322" s="409">
        <f t="shared" si="413"/>
        <v>0</v>
      </c>
      <c r="EB322" s="409">
        <f t="shared" si="413"/>
        <v>0</v>
      </c>
      <c r="EC322" s="409">
        <f t="shared" si="413"/>
        <v>0</v>
      </c>
      <c r="ED322" s="409">
        <f t="shared" si="413"/>
        <v>0</v>
      </c>
      <c r="EE322" s="409">
        <f t="shared" si="413"/>
        <v>0</v>
      </c>
      <c r="EF322" s="409">
        <f t="shared" si="413"/>
        <v>0</v>
      </c>
      <c r="EG322" s="409">
        <f t="shared" si="413"/>
        <v>0</v>
      </c>
      <c r="EH322" s="409">
        <f t="shared" si="413"/>
        <v>0</v>
      </c>
      <c r="EI322" s="409">
        <f t="shared" si="414"/>
        <v>0</v>
      </c>
      <c r="EJ322" s="409">
        <f t="shared" si="414"/>
        <v>0</v>
      </c>
      <c r="EK322" s="409">
        <f t="shared" si="414"/>
        <v>0</v>
      </c>
      <c r="EL322" s="409">
        <f t="shared" si="414"/>
        <v>0</v>
      </c>
      <c r="EM322" s="409">
        <f t="shared" si="414"/>
        <v>0</v>
      </c>
      <c r="EN322" s="409">
        <f t="shared" si="414"/>
        <v>0</v>
      </c>
      <c r="EO322" s="409">
        <f t="shared" si="414"/>
        <v>0</v>
      </c>
      <c r="EP322" s="409">
        <f t="shared" si="414"/>
        <v>0</v>
      </c>
      <c r="EQ322" s="409">
        <f t="shared" si="414"/>
        <v>0</v>
      </c>
      <c r="ER322" s="409">
        <f t="shared" si="414"/>
        <v>0</v>
      </c>
      <c r="ES322" s="409">
        <f t="shared" si="415"/>
        <v>0</v>
      </c>
      <c r="ET322" s="409">
        <f t="shared" si="415"/>
        <v>0</v>
      </c>
      <c r="EU322" s="409">
        <f t="shared" si="415"/>
        <v>0</v>
      </c>
      <c r="EV322" s="409">
        <f t="shared" si="415"/>
        <v>0</v>
      </c>
      <c r="EW322" s="409">
        <f t="shared" si="415"/>
        <v>0</v>
      </c>
      <c r="EX322" s="409">
        <f t="shared" si="415"/>
        <v>0</v>
      </c>
      <c r="EY322" s="409">
        <f t="shared" si="415"/>
        <v>0</v>
      </c>
      <c r="EZ322" s="409">
        <f t="shared" si="415"/>
        <v>0</v>
      </c>
      <c r="FA322" s="409">
        <f t="shared" si="415"/>
        <v>0</v>
      </c>
      <c r="FB322" s="409">
        <f t="shared" si="415"/>
        <v>0</v>
      </c>
      <c r="FC322" s="409">
        <f t="shared" si="416"/>
        <v>0</v>
      </c>
      <c r="FD322" s="409">
        <f t="shared" si="416"/>
        <v>0</v>
      </c>
      <c r="FE322" s="409">
        <f t="shared" si="416"/>
        <v>0</v>
      </c>
      <c r="FF322" s="409">
        <f t="shared" si="416"/>
        <v>0</v>
      </c>
      <c r="FG322" s="409">
        <f t="shared" si="416"/>
        <v>0</v>
      </c>
      <c r="FH322" s="409">
        <f t="shared" si="416"/>
        <v>0</v>
      </c>
      <c r="FI322" s="409">
        <f t="shared" si="416"/>
        <v>0</v>
      </c>
      <c r="FJ322" s="409">
        <f t="shared" si="416"/>
        <v>0</v>
      </c>
      <c r="FK322" s="409">
        <f t="shared" si="416"/>
        <v>0</v>
      </c>
      <c r="FL322" s="409">
        <f t="shared" si="416"/>
        <v>0</v>
      </c>
      <c r="FM322" s="409">
        <f t="shared" si="417"/>
        <v>0</v>
      </c>
      <c r="FN322" s="409">
        <f t="shared" si="417"/>
        <v>0</v>
      </c>
      <c r="FO322" s="409">
        <f t="shared" si="417"/>
        <v>0</v>
      </c>
      <c r="FP322" s="409">
        <f t="shared" si="417"/>
        <v>0</v>
      </c>
      <c r="FQ322" s="409">
        <f t="shared" si="417"/>
        <v>0</v>
      </c>
      <c r="FR322" s="409">
        <f t="shared" si="417"/>
        <v>0</v>
      </c>
      <c r="FS322" s="409">
        <f t="shared" si="417"/>
        <v>0</v>
      </c>
      <c r="FT322" s="409">
        <f t="shared" si="417"/>
        <v>0</v>
      </c>
      <c r="FU322" s="409">
        <f t="shared" si="417"/>
        <v>0</v>
      </c>
      <c r="FV322" s="409">
        <f t="shared" si="417"/>
        <v>0</v>
      </c>
      <c r="FW322" s="409">
        <f t="shared" si="418"/>
        <v>0</v>
      </c>
      <c r="FX322" s="409">
        <f t="shared" si="418"/>
        <v>0</v>
      </c>
      <c r="FY322" s="409">
        <f t="shared" si="418"/>
        <v>0</v>
      </c>
      <c r="FZ322" s="409">
        <f t="shared" si="418"/>
        <v>0</v>
      </c>
      <c r="GA322" s="409">
        <f t="shared" si="418"/>
        <v>0</v>
      </c>
      <c r="GB322" s="409">
        <f t="shared" si="418"/>
        <v>0</v>
      </c>
      <c r="GC322" s="409">
        <f t="shared" si="418"/>
        <v>0</v>
      </c>
      <c r="GD322" s="409">
        <f t="shared" si="418"/>
        <v>0</v>
      </c>
      <c r="GE322" s="409">
        <f t="shared" si="418"/>
        <v>0</v>
      </c>
      <c r="GF322" s="409">
        <f t="shared" si="418"/>
        <v>0</v>
      </c>
      <c r="GG322" s="409">
        <f t="shared" si="419"/>
        <v>0</v>
      </c>
      <c r="GH322" s="409">
        <f t="shared" si="419"/>
        <v>0</v>
      </c>
      <c r="GI322" s="409">
        <f t="shared" si="419"/>
        <v>0</v>
      </c>
      <c r="GJ322" s="409">
        <f t="shared" si="419"/>
        <v>0</v>
      </c>
      <c r="GK322" s="409">
        <f t="shared" si="419"/>
        <v>0</v>
      </c>
      <c r="GL322" s="409">
        <f t="shared" si="419"/>
        <v>0</v>
      </c>
      <c r="GM322" s="409">
        <f t="shared" si="419"/>
        <v>0</v>
      </c>
      <c r="GN322" s="409">
        <f t="shared" si="419"/>
        <v>0</v>
      </c>
      <c r="GO322" s="409">
        <f t="shared" si="419"/>
        <v>0</v>
      </c>
      <c r="GP322" s="409">
        <f t="shared" si="419"/>
        <v>0</v>
      </c>
      <c r="GQ322" s="409">
        <f t="shared" si="420"/>
        <v>0</v>
      </c>
      <c r="GR322" s="409">
        <f t="shared" si="420"/>
        <v>0</v>
      </c>
      <c r="GS322" s="409">
        <f t="shared" si="420"/>
        <v>0</v>
      </c>
      <c r="GT322" s="409">
        <f t="shared" si="420"/>
        <v>0</v>
      </c>
      <c r="GU322" s="409">
        <f t="shared" si="420"/>
        <v>0</v>
      </c>
      <c r="GV322" s="409">
        <f t="shared" si="420"/>
        <v>0</v>
      </c>
      <c r="GW322" s="409">
        <f t="shared" si="420"/>
        <v>0</v>
      </c>
      <c r="GX322" s="409">
        <f t="shared" si="420"/>
        <v>0</v>
      </c>
      <c r="GY322" s="409">
        <f t="shared" si="420"/>
        <v>0</v>
      </c>
      <c r="GZ322" s="409">
        <f t="shared" si="420"/>
        <v>0</v>
      </c>
      <c r="HA322" s="409">
        <f t="shared" si="421"/>
        <v>0</v>
      </c>
      <c r="HB322" s="409">
        <f t="shared" si="421"/>
        <v>0</v>
      </c>
      <c r="HC322" s="409">
        <f t="shared" si="421"/>
        <v>0</v>
      </c>
      <c r="HD322" s="409">
        <f t="shared" si="421"/>
        <v>0</v>
      </c>
      <c r="HE322" s="409">
        <f t="shared" si="421"/>
        <v>0</v>
      </c>
      <c r="HF322" s="409">
        <f t="shared" si="421"/>
        <v>0</v>
      </c>
      <c r="HG322" s="409">
        <f t="shared" si="421"/>
        <v>0</v>
      </c>
      <c r="HH322" s="409">
        <f t="shared" si="421"/>
        <v>0</v>
      </c>
      <c r="HI322" s="409">
        <f t="shared" si="421"/>
        <v>0</v>
      </c>
      <c r="HJ322" s="409">
        <f t="shared" si="421"/>
        <v>0</v>
      </c>
      <c r="HK322" s="409">
        <f t="shared" si="422"/>
        <v>0</v>
      </c>
      <c r="HL322" s="409">
        <f t="shared" si="422"/>
        <v>0</v>
      </c>
      <c r="HM322" s="409">
        <f t="shared" si="422"/>
        <v>0</v>
      </c>
      <c r="HN322" s="409">
        <f t="shared" si="422"/>
        <v>0</v>
      </c>
      <c r="HO322" s="409">
        <f t="shared" si="422"/>
        <v>0</v>
      </c>
      <c r="HP322" s="409">
        <f t="shared" si="422"/>
        <v>0</v>
      </c>
      <c r="HQ322" s="409">
        <f t="shared" si="422"/>
        <v>0</v>
      </c>
      <c r="HR322" s="409">
        <f t="shared" si="422"/>
        <v>0</v>
      </c>
      <c r="HS322" s="409">
        <f t="shared" si="422"/>
        <v>0</v>
      </c>
      <c r="HT322" s="409">
        <f t="shared" si="422"/>
        <v>0</v>
      </c>
      <c r="HU322" s="409">
        <f t="shared" si="423"/>
        <v>0</v>
      </c>
      <c r="HV322" s="409">
        <f t="shared" si="423"/>
        <v>0</v>
      </c>
      <c r="HW322" s="409">
        <f t="shared" si="423"/>
        <v>0</v>
      </c>
      <c r="HX322" s="409">
        <f t="shared" si="423"/>
        <v>0</v>
      </c>
      <c r="HY322" s="409">
        <f t="shared" si="423"/>
        <v>0</v>
      </c>
      <c r="HZ322" s="409">
        <f t="shared" si="423"/>
        <v>0</v>
      </c>
      <c r="IA322" s="409">
        <f t="shared" si="423"/>
        <v>0</v>
      </c>
      <c r="IB322" s="409">
        <f t="shared" si="423"/>
        <v>0</v>
      </c>
      <c r="IC322" s="409">
        <f t="shared" si="423"/>
        <v>0</v>
      </c>
      <c r="ID322" s="409">
        <f t="shared" si="423"/>
        <v>0</v>
      </c>
      <c r="IE322" s="409">
        <f t="shared" si="424"/>
        <v>0</v>
      </c>
      <c r="IF322" s="409">
        <f t="shared" si="424"/>
        <v>0</v>
      </c>
      <c r="IG322" s="409">
        <f t="shared" si="424"/>
        <v>0</v>
      </c>
      <c r="IH322" s="409">
        <f t="shared" si="424"/>
        <v>0</v>
      </c>
      <c r="II322" s="409">
        <f t="shared" si="424"/>
        <v>0</v>
      </c>
      <c r="IJ322" s="409">
        <f t="shared" si="424"/>
        <v>0</v>
      </c>
      <c r="IK322" s="378"/>
    </row>
    <row r="323" spans="1:245" hidden="1" x14ac:dyDescent="0.2">
      <c r="A323" s="380" t="str">
        <f t="shared" si="357"/>
        <v>e</v>
      </c>
      <c r="B323" s="712" t="str">
        <f>IF(ISERROR(INDEX('Legend(DX)'!$H$14:$H$15,36)),"",INDEX('Legend(DX)'!$H$14:$H$15,36))</f>
        <v/>
      </c>
      <c r="C323" s="712" t="e">
        <f>IF(INDEX('Legend(DX)'!$T$14:$T$15,36)=0,"See Legend",INDEX('Legend(DX)'!$T$14:$T$15,36))</f>
        <v>#REF!</v>
      </c>
      <c r="D323" s="712" t="e">
        <f>IF(INDEX('Legend(DX)'!$R$14:$R$15,36)=0,"---",INDEX('Legend(DX)'!$R$14:$R$15,36))</f>
        <v>#REF!</v>
      </c>
      <c r="E323" s="713" t="str">
        <f>IF(ISERROR(INDEX('Legend(DX)'!$AA$14:$AA$15,36)),"",INDEX('Legend(DX)'!$AA$14:$AA$15,36))</f>
        <v/>
      </c>
      <c r="F323" s="715"/>
      <c r="G323" s="715"/>
      <c r="H323" s="715"/>
      <c r="I323" s="715"/>
      <c r="J323" s="715"/>
      <c r="K323" s="890">
        <f t="shared" si="358"/>
        <v>0</v>
      </c>
      <c r="L323" s="718"/>
      <c r="M323" s="720"/>
      <c r="N323" s="972">
        <f t="shared" si="425"/>
        <v>-1</v>
      </c>
      <c r="O323" s="972">
        <f t="shared" si="359"/>
        <v>-1</v>
      </c>
      <c r="P323" s="972">
        <f t="shared" si="426"/>
        <v>-1</v>
      </c>
      <c r="Q323" s="972">
        <f t="shared" si="360"/>
        <v>-1</v>
      </c>
      <c r="R323" s="972">
        <f t="shared" si="427"/>
        <v>-1</v>
      </c>
      <c r="S323" s="972">
        <f t="shared" si="361"/>
        <v>-1</v>
      </c>
      <c r="T323" s="972">
        <f t="shared" si="428"/>
        <v>-1</v>
      </c>
      <c r="U323" s="972">
        <f t="shared" si="362"/>
        <v>-1</v>
      </c>
      <c r="V323" s="972">
        <f t="shared" si="429"/>
        <v>-1</v>
      </c>
      <c r="W323" s="972">
        <f t="shared" si="363"/>
        <v>-1</v>
      </c>
      <c r="X323" s="972">
        <f t="shared" si="430"/>
        <v>-1</v>
      </c>
      <c r="Y323" s="972">
        <f t="shared" si="364"/>
        <v>-1</v>
      </c>
      <c r="Z323" s="972">
        <f t="shared" si="365"/>
        <v>-1</v>
      </c>
      <c r="AA323" s="972">
        <f t="shared" si="366"/>
        <v>-1</v>
      </c>
      <c r="AB323" s="972">
        <f t="shared" si="367"/>
        <v>-1</v>
      </c>
      <c r="AC323" s="972">
        <f t="shared" si="368"/>
        <v>-1</v>
      </c>
      <c r="AD323" s="972">
        <f t="shared" si="369"/>
        <v>-1</v>
      </c>
      <c r="AE323" s="972">
        <f t="shared" si="370"/>
        <v>-1</v>
      </c>
      <c r="AF323" s="972">
        <f t="shared" si="371"/>
        <v>-1</v>
      </c>
      <c r="AG323" s="972">
        <f t="shared" si="372"/>
        <v>-1</v>
      </c>
      <c r="AH323" s="972">
        <f t="shared" si="373"/>
        <v>-1</v>
      </c>
      <c r="AI323" s="972">
        <f t="shared" si="374"/>
        <v>-1</v>
      </c>
      <c r="AJ323" s="972">
        <f t="shared" si="375"/>
        <v>-1</v>
      </c>
      <c r="AK323" s="381"/>
      <c r="AL323" s="727" t="str">
        <f t="shared" si="376"/>
        <v/>
      </c>
      <c r="AM323" s="409">
        <f t="shared" si="404"/>
        <v>0</v>
      </c>
      <c r="AN323" s="409">
        <f t="shared" si="404"/>
        <v>0</v>
      </c>
      <c r="AO323" s="409">
        <f t="shared" si="404"/>
        <v>0</v>
      </c>
      <c r="AP323" s="409">
        <f t="shared" si="404"/>
        <v>0</v>
      </c>
      <c r="AQ323" s="409">
        <f t="shared" si="404"/>
        <v>0</v>
      </c>
      <c r="AR323" s="409">
        <f t="shared" si="404"/>
        <v>0</v>
      </c>
      <c r="AS323" s="409">
        <f t="shared" si="404"/>
        <v>0</v>
      </c>
      <c r="AT323" s="409">
        <f t="shared" si="404"/>
        <v>0</v>
      </c>
      <c r="AU323" s="409">
        <f t="shared" si="404"/>
        <v>0</v>
      </c>
      <c r="AV323" s="409">
        <f t="shared" si="404"/>
        <v>0</v>
      </c>
      <c r="AW323" s="409">
        <f t="shared" si="405"/>
        <v>0</v>
      </c>
      <c r="AX323" s="409">
        <f t="shared" si="405"/>
        <v>0</v>
      </c>
      <c r="AY323" s="409">
        <f t="shared" si="405"/>
        <v>0</v>
      </c>
      <c r="AZ323" s="409">
        <f t="shared" si="405"/>
        <v>0</v>
      </c>
      <c r="BA323" s="409">
        <f t="shared" si="405"/>
        <v>0</v>
      </c>
      <c r="BB323" s="409">
        <f t="shared" si="405"/>
        <v>0</v>
      </c>
      <c r="BC323" s="409">
        <f t="shared" si="405"/>
        <v>0</v>
      </c>
      <c r="BD323" s="409">
        <f t="shared" si="405"/>
        <v>0</v>
      </c>
      <c r="BE323" s="409">
        <f t="shared" si="405"/>
        <v>0</v>
      </c>
      <c r="BF323" s="409">
        <f t="shared" si="405"/>
        <v>0</v>
      </c>
      <c r="BG323" s="409">
        <f t="shared" si="406"/>
        <v>0</v>
      </c>
      <c r="BH323" s="409">
        <f t="shared" si="406"/>
        <v>0</v>
      </c>
      <c r="BI323" s="409">
        <f t="shared" si="406"/>
        <v>0</v>
      </c>
      <c r="BJ323" s="409">
        <f t="shared" si="406"/>
        <v>0</v>
      </c>
      <c r="BK323" s="409">
        <f t="shared" si="406"/>
        <v>0</v>
      </c>
      <c r="BL323" s="409">
        <f t="shared" si="406"/>
        <v>0</v>
      </c>
      <c r="BM323" s="409">
        <f t="shared" si="406"/>
        <v>0</v>
      </c>
      <c r="BN323" s="409">
        <f t="shared" si="406"/>
        <v>0</v>
      </c>
      <c r="BO323" s="409">
        <f t="shared" si="406"/>
        <v>0</v>
      </c>
      <c r="BP323" s="409">
        <f t="shared" si="406"/>
        <v>0</v>
      </c>
      <c r="BQ323" s="409">
        <f t="shared" si="407"/>
        <v>0</v>
      </c>
      <c r="BR323" s="409">
        <f t="shared" si="407"/>
        <v>0</v>
      </c>
      <c r="BS323" s="409">
        <f t="shared" si="407"/>
        <v>0</v>
      </c>
      <c r="BT323" s="409">
        <f t="shared" si="407"/>
        <v>0</v>
      </c>
      <c r="BU323" s="409">
        <f t="shared" si="407"/>
        <v>0</v>
      </c>
      <c r="BV323" s="409">
        <f t="shared" si="407"/>
        <v>0</v>
      </c>
      <c r="BW323" s="409">
        <f t="shared" si="407"/>
        <v>0</v>
      </c>
      <c r="BX323" s="409">
        <f t="shared" si="407"/>
        <v>0</v>
      </c>
      <c r="BY323" s="409">
        <f t="shared" si="407"/>
        <v>0</v>
      </c>
      <c r="BZ323" s="409">
        <f t="shared" si="407"/>
        <v>0</v>
      </c>
      <c r="CA323" s="409">
        <f t="shared" si="408"/>
        <v>0</v>
      </c>
      <c r="CB323" s="409">
        <f t="shared" si="408"/>
        <v>0</v>
      </c>
      <c r="CC323" s="409">
        <f t="shared" si="408"/>
        <v>0</v>
      </c>
      <c r="CD323" s="409">
        <f t="shared" si="408"/>
        <v>0</v>
      </c>
      <c r="CE323" s="409">
        <f t="shared" si="408"/>
        <v>0</v>
      </c>
      <c r="CF323" s="409">
        <f t="shared" si="408"/>
        <v>0</v>
      </c>
      <c r="CG323" s="409">
        <f t="shared" si="408"/>
        <v>0</v>
      </c>
      <c r="CH323" s="409">
        <f t="shared" si="408"/>
        <v>0</v>
      </c>
      <c r="CI323" s="409">
        <f t="shared" si="408"/>
        <v>0</v>
      </c>
      <c r="CJ323" s="409">
        <f t="shared" si="408"/>
        <v>0</v>
      </c>
      <c r="CK323" s="409">
        <f t="shared" si="409"/>
        <v>0</v>
      </c>
      <c r="CL323" s="409">
        <f t="shared" si="409"/>
        <v>0</v>
      </c>
      <c r="CM323" s="409">
        <f t="shared" si="409"/>
        <v>0</v>
      </c>
      <c r="CN323" s="409">
        <f t="shared" si="409"/>
        <v>0</v>
      </c>
      <c r="CO323" s="409">
        <f t="shared" si="409"/>
        <v>0</v>
      </c>
      <c r="CP323" s="409">
        <f t="shared" si="409"/>
        <v>0</v>
      </c>
      <c r="CQ323" s="409">
        <f t="shared" si="409"/>
        <v>0</v>
      </c>
      <c r="CR323" s="409">
        <f t="shared" si="409"/>
        <v>0</v>
      </c>
      <c r="CS323" s="409">
        <f t="shared" si="409"/>
        <v>0</v>
      </c>
      <c r="CT323" s="409">
        <f t="shared" si="409"/>
        <v>0</v>
      </c>
      <c r="CU323" s="409">
        <f t="shared" si="410"/>
        <v>0</v>
      </c>
      <c r="CV323" s="409">
        <f t="shared" si="410"/>
        <v>0</v>
      </c>
      <c r="CW323" s="409">
        <f t="shared" si="410"/>
        <v>0</v>
      </c>
      <c r="CX323" s="409">
        <f t="shared" si="410"/>
        <v>0</v>
      </c>
      <c r="CY323" s="409">
        <f t="shared" si="410"/>
        <v>0</v>
      </c>
      <c r="CZ323" s="409">
        <f t="shared" si="410"/>
        <v>0</v>
      </c>
      <c r="DA323" s="409">
        <f t="shared" si="410"/>
        <v>0</v>
      </c>
      <c r="DB323" s="409">
        <f t="shared" si="410"/>
        <v>0</v>
      </c>
      <c r="DC323" s="409">
        <f t="shared" si="410"/>
        <v>0</v>
      </c>
      <c r="DD323" s="409">
        <f t="shared" si="410"/>
        <v>0</v>
      </c>
      <c r="DE323" s="409">
        <f t="shared" si="411"/>
        <v>0</v>
      </c>
      <c r="DF323" s="409">
        <f t="shared" si="411"/>
        <v>0</v>
      </c>
      <c r="DG323" s="409">
        <f t="shared" si="411"/>
        <v>0</v>
      </c>
      <c r="DH323" s="409">
        <f t="shared" si="411"/>
        <v>0</v>
      </c>
      <c r="DI323" s="409">
        <f t="shared" si="411"/>
        <v>0</v>
      </c>
      <c r="DJ323" s="409">
        <f t="shared" si="411"/>
        <v>0</v>
      </c>
      <c r="DK323" s="409">
        <f t="shared" si="411"/>
        <v>0</v>
      </c>
      <c r="DL323" s="409">
        <f t="shared" si="411"/>
        <v>0</v>
      </c>
      <c r="DM323" s="409">
        <f t="shared" si="411"/>
        <v>0</v>
      </c>
      <c r="DN323" s="409">
        <f t="shared" si="411"/>
        <v>0</v>
      </c>
      <c r="DO323" s="409">
        <f t="shared" si="412"/>
        <v>0</v>
      </c>
      <c r="DP323" s="409">
        <f t="shared" si="412"/>
        <v>0</v>
      </c>
      <c r="DQ323" s="409">
        <f t="shared" si="412"/>
        <v>0</v>
      </c>
      <c r="DR323" s="409">
        <f t="shared" si="412"/>
        <v>0</v>
      </c>
      <c r="DS323" s="409">
        <f t="shared" si="412"/>
        <v>0</v>
      </c>
      <c r="DT323" s="409">
        <f t="shared" si="412"/>
        <v>0</v>
      </c>
      <c r="DU323" s="409">
        <f t="shared" si="412"/>
        <v>0</v>
      </c>
      <c r="DV323" s="409">
        <f t="shared" si="412"/>
        <v>0</v>
      </c>
      <c r="DW323" s="409">
        <f t="shared" si="412"/>
        <v>0</v>
      </c>
      <c r="DX323" s="409">
        <f t="shared" si="412"/>
        <v>0</v>
      </c>
      <c r="DY323" s="409">
        <f t="shared" si="413"/>
        <v>0</v>
      </c>
      <c r="DZ323" s="409">
        <f t="shared" si="413"/>
        <v>0</v>
      </c>
      <c r="EA323" s="409">
        <f t="shared" si="413"/>
        <v>0</v>
      </c>
      <c r="EB323" s="409">
        <f t="shared" si="413"/>
        <v>0</v>
      </c>
      <c r="EC323" s="409">
        <f t="shared" si="413"/>
        <v>0</v>
      </c>
      <c r="ED323" s="409">
        <f t="shared" si="413"/>
        <v>0</v>
      </c>
      <c r="EE323" s="409">
        <f t="shared" si="413"/>
        <v>0</v>
      </c>
      <c r="EF323" s="409">
        <f t="shared" si="413"/>
        <v>0</v>
      </c>
      <c r="EG323" s="409">
        <f t="shared" si="413"/>
        <v>0</v>
      </c>
      <c r="EH323" s="409">
        <f t="shared" si="413"/>
        <v>0</v>
      </c>
      <c r="EI323" s="409">
        <f t="shared" si="414"/>
        <v>0</v>
      </c>
      <c r="EJ323" s="409">
        <f t="shared" si="414"/>
        <v>0</v>
      </c>
      <c r="EK323" s="409">
        <f t="shared" si="414"/>
        <v>0</v>
      </c>
      <c r="EL323" s="409">
        <f t="shared" si="414"/>
        <v>0</v>
      </c>
      <c r="EM323" s="409">
        <f t="shared" si="414"/>
        <v>0</v>
      </c>
      <c r="EN323" s="409">
        <f t="shared" si="414"/>
        <v>0</v>
      </c>
      <c r="EO323" s="409">
        <f t="shared" si="414"/>
        <v>0</v>
      </c>
      <c r="EP323" s="409">
        <f t="shared" si="414"/>
        <v>0</v>
      </c>
      <c r="EQ323" s="409">
        <f t="shared" si="414"/>
        <v>0</v>
      </c>
      <c r="ER323" s="409">
        <f t="shared" si="414"/>
        <v>0</v>
      </c>
      <c r="ES323" s="409">
        <f t="shared" si="415"/>
        <v>0</v>
      </c>
      <c r="ET323" s="409">
        <f t="shared" si="415"/>
        <v>0</v>
      </c>
      <c r="EU323" s="409">
        <f t="shared" si="415"/>
        <v>0</v>
      </c>
      <c r="EV323" s="409">
        <f t="shared" si="415"/>
        <v>0</v>
      </c>
      <c r="EW323" s="409">
        <f t="shared" si="415"/>
        <v>0</v>
      </c>
      <c r="EX323" s="409">
        <f t="shared" si="415"/>
        <v>0</v>
      </c>
      <c r="EY323" s="409">
        <f t="shared" si="415"/>
        <v>0</v>
      </c>
      <c r="EZ323" s="409">
        <f t="shared" si="415"/>
        <v>0</v>
      </c>
      <c r="FA323" s="409">
        <f t="shared" si="415"/>
        <v>0</v>
      </c>
      <c r="FB323" s="409">
        <f t="shared" si="415"/>
        <v>0</v>
      </c>
      <c r="FC323" s="409">
        <f t="shared" si="416"/>
        <v>0</v>
      </c>
      <c r="FD323" s="409">
        <f t="shared" si="416"/>
        <v>0</v>
      </c>
      <c r="FE323" s="409">
        <f t="shared" si="416"/>
        <v>0</v>
      </c>
      <c r="FF323" s="409">
        <f t="shared" si="416"/>
        <v>0</v>
      </c>
      <c r="FG323" s="409">
        <f t="shared" si="416"/>
        <v>0</v>
      </c>
      <c r="FH323" s="409">
        <f t="shared" si="416"/>
        <v>0</v>
      </c>
      <c r="FI323" s="409">
        <f t="shared" si="416"/>
        <v>0</v>
      </c>
      <c r="FJ323" s="409">
        <f t="shared" si="416"/>
        <v>0</v>
      </c>
      <c r="FK323" s="409">
        <f t="shared" si="416"/>
        <v>0</v>
      </c>
      <c r="FL323" s="409">
        <f t="shared" si="416"/>
        <v>0</v>
      </c>
      <c r="FM323" s="409">
        <f t="shared" si="417"/>
        <v>0</v>
      </c>
      <c r="FN323" s="409">
        <f t="shared" si="417"/>
        <v>0</v>
      </c>
      <c r="FO323" s="409">
        <f t="shared" si="417"/>
        <v>0</v>
      </c>
      <c r="FP323" s="409">
        <f t="shared" si="417"/>
        <v>0</v>
      </c>
      <c r="FQ323" s="409">
        <f t="shared" si="417"/>
        <v>0</v>
      </c>
      <c r="FR323" s="409">
        <f t="shared" si="417"/>
        <v>0</v>
      </c>
      <c r="FS323" s="409">
        <f t="shared" si="417"/>
        <v>0</v>
      </c>
      <c r="FT323" s="409">
        <f t="shared" si="417"/>
        <v>0</v>
      </c>
      <c r="FU323" s="409">
        <f t="shared" si="417"/>
        <v>0</v>
      </c>
      <c r="FV323" s="409">
        <f t="shared" si="417"/>
        <v>0</v>
      </c>
      <c r="FW323" s="409">
        <f t="shared" si="418"/>
        <v>0</v>
      </c>
      <c r="FX323" s="409">
        <f t="shared" si="418"/>
        <v>0</v>
      </c>
      <c r="FY323" s="409">
        <f t="shared" si="418"/>
        <v>0</v>
      </c>
      <c r="FZ323" s="409">
        <f t="shared" si="418"/>
        <v>0</v>
      </c>
      <c r="GA323" s="409">
        <f t="shared" si="418"/>
        <v>0</v>
      </c>
      <c r="GB323" s="409">
        <f t="shared" si="418"/>
        <v>0</v>
      </c>
      <c r="GC323" s="409">
        <f t="shared" si="418"/>
        <v>0</v>
      </c>
      <c r="GD323" s="409">
        <f t="shared" si="418"/>
        <v>0</v>
      </c>
      <c r="GE323" s="409">
        <f t="shared" si="418"/>
        <v>0</v>
      </c>
      <c r="GF323" s="409">
        <f t="shared" si="418"/>
        <v>0</v>
      </c>
      <c r="GG323" s="409">
        <f t="shared" si="419"/>
        <v>0</v>
      </c>
      <c r="GH323" s="409">
        <f t="shared" si="419"/>
        <v>0</v>
      </c>
      <c r="GI323" s="409">
        <f t="shared" si="419"/>
        <v>0</v>
      </c>
      <c r="GJ323" s="409">
        <f t="shared" si="419"/>
        <v>0</v>
      </c>
      <c r="GK323" s="409">
        <f t="shared" si="419"/>
        <v>0</v>
      </c>
      <c r="GL323" s="409">
        <f t="shared" si="419"/>
        <v>0</v>
      </c>
      <c r="GM323" s="409">
        <f t="shared" si="419"/>
        <v>0</v>
      </c>
      <c r="GN323" s="409">
        <f t="shared" si="419"/>
        <v>0</v>
      </c>
      <c r="GO323" s="409">
        <f t="shared" si="419"/>
        <v>0</v>
      </c>
      <c r="GP323" s="409">
        <f t="shared" si="419"/>
        <v>0</v>
      </c>
      <c r="GQ323" s="409">
        <f t="shared" si="420"/>
        <v>0</v>
      </c>
      <c r="GR323" s="409">
        <f t="shared" si="420"/>
        <v>0</v>
      </c>
      <c r="GS323" s="409">
        <f t="shared" si="420"/>
        <v>0</v>
      </c>
      <c r="GT323" s="409">
        <f t="shared" si="420"/>
        <v>0</v>
      </c>
      <c r="GU323" s="409">
        <f t="shared" si="420"/>
        <v>0</v>
      </c>
      <c r="GV323" s="409">
        <f t="shared" si="420"/>
        <v>0</v>
      </c>
      <c r="GW323" s="409">
        <f t="shared" si="420"/>
        <v>0</v>
      </c>
      <c r="GX323" s="409">
        <f t="shared" si="420"/>
        <v>0</v>
      </c>
      <c r="GY323" s="409">
        <f t="shared" si="420"/>
        <v>0</v>
      </c>
      <c r="GZ323" s="409">
        <f t="shared" si="420"/>
        <v>0</v>
      </c>
      <c r="HA323" s="409">
        <f t="shared" si="421"/>
        <v>0</v>
      </c>
      <c r="HB323" s="409">
        <f t="shared" si="421"/>
        <v>0</v>
      </c>
      <c r="HC323" s="409">
        <f t="shared" si="421"/>
        <v>0</v>
      </c>
      <c r="HD323" s="409">
        <f t="shared" si="421"/>
        <v>0</v>
      </c>
      <c r="HE323" s="409">
        <f t="shared" si="421"/>
        <v>0</v>
      </c>
      <c r="HF323" s="409">
        <f t="shared" si="421"/>
        <v>0</v>
      </c>
      <c r="HG323" s="409">
        <f t="shared" si="421"/>
        <v>0</v>
      </c>
      <c r="HH323" s="409">
        <f t="shared" si="421"/>
        <v>0</v>
      </c>
      <c r="HI323" s="409">
        <f t="shared" si="421"/>
        <v>0</v>
      </c>
      <c r="HJ323" s="409">
        <f t="shared" si="421"/>
        <v>0</v>
      </c>
      <c r="HK323" s="409">
        <f t="shared" si="422"/>
        <v>0</v>
      </c>
      <c r="HL323" s="409">
        <f t="shared" si="422"/>
        <v>0</v>
      </c>
      <c r="HM323" s="409">
        <f t="shared" si="422"/>
        <v>0</v>
      </c>
      <c r="HN323" s="409">
        <f t="shared" si="422"/>
        <v>0</v>
      </c>
      <c r="HO323" s="409">
        <f t="shared" si="422"/>
        <v>0</v>
      </c>
      <c r="HP323" s="409">
        <f t="shared" si="422"/>
        <v>0</v>
      </c>
      <c r="HQ323" s="409">
        <f t="shared" si="422"/>
        <v>0</v>
      </c>
      <c r="HR323" s="409">
        <f t="shared" si="422"/>
        <v>0</v>
      </c>
      <c r="HS323" s="409">
        <f t="shared" si="422"/>
        <v>0</v>
      </c>
      <c r="HT323" s="409">
        <f t="shared" si="422"/>
        <v>0</v>
      </c>
      <c r="HU323" s="409">
        <f t="shared" si="423"/>
        <v>0</v>
      </c>
      <c r="HV323" s="409">
        <f t="shared" si="423"/>
        <v>0</v>
      </c>
      <c r="HW323" s="409">
        <f t="shared" si="423"/>
        <v>0</v>
      </c>
      <c r="HX323" s="409">
        <f t="shared" si="423"/>
        <v>0</v>
      </c>
      <c r="HY323" s="409">
        <f t="shared" si="423"/>
        <v>0</v>
      </c>
      <c r="HZ323" s="409">
        <f t="shared" si="423"/>
        <v>0</v>
      </c>
      <c r="IA323" s="409">
        <f t="shared" si="423"/>
        <v>0</v>
      </c>
      <c r="IB323" s="409">
        <f t="shared" si="423"/>
        <v>0</v>
      </c>
      <c r="IC323" s="409">
        <f t="shared" si="423"/>
        <v>0</v>
      </c>
      <c r="ID323" s="409">
        <f t="shared" si="423"/>
        <v>0</v>
      </c>
      <c r="IE323" s="409">
        <f t="shared" si="424"/>
        <v>0</v>
      </c>
      <c r="IF323" s="409">
        <f t="shared" si="424"/>
        <v>0</v>
      </c>
      <c r="IG323" s="409">
        <f t="shared" si="424"/>
        <v>0</v>
      </c>
      <c r="IH323" s="409">
        <f t="shared" si="424"/>
        <v>0</v>
      </c>
      <c r="II323" s="409">
        <f t="shared" si="424"/>
        <v>0</v>
      </c>
      <c r="IJ323" s="409">
        <f t="shared" si="424"/>
        <v>0</v>
      </c>
      <c r="IK323" s="378"/>
    </row>
    <row r="324" spans="1:245" hidden="1" x14ac:dyDescent="0.2">
      <c r="A324" s="380" t="str">
        <f t="shared" si="357"/>
        <v>e</v>
      </c>
      <c r="B324" s="712" t="str">
        <f>IF(ISERROR(INDEX('Legend(DX)'!$H$14:$H$15,37)),"",INDEX('Legend(DX)'!$H$14:$H$15,37))</f>
        <v/>
      </c>
      <c r="C324" s="712" t="e">
        <f>IF(INDEX('Legend(DX)'!$T$14:$T$15,37)=0,"See Legend",INDEX('Legend(DX)'!$T$14:$T$15,37))</f>
        <v>#REF!</v>
      </c>
      <c r="D324" s="712" t="e">
        <f>IF(INDEX('Legend(DX)'!$R$14:$R$15,37)=0,"---",INDEX('Legend(DX)'!$R$14:$R$15,37))</f>
        <v>#REF!</v>
      </c>
      <c r="E324" s="713" t="str">
        <f>IF(ISERROR(INDEX('Legend(DX)'!$AA$14:$AA$15,37)),"",INDEX('Legend(DX)'!$AA$14:$AA$15,37))</f>
        <v/>
      </c>
      <c r="F324" s="715"/>
      <c r="G324" s="715"/>
      <c r="H324" s="715"/>
      <c r="I324" s="715"/>
      <c r="J324" s="715"/>
      <c r="K324" s="890">
        <f t="shared" si="358"/>
        <v>0</v>
      </c>
      <c r="L324" s="718"/>
      <c r="M324" s="720"/>
      <c r="N324" s="972">
        <f t="shared" si="425"/>
        <v>-1</v>
      </c>
      <c r="O324" s="972">
        <f t="shared" si="359"/>
        <v>-1</v>
      </c>
      <c r="P324" s="972">
        <f t="shared" si="426"/>
        <v>-1</v>
      </c>
      <c r="Q324" s="972">
        <f t="shared" si="360"/>
        <v>-1</v>
      </c>
      <c r="R324" s="972">
        <f t="shared" si="427"/>
        <v>-1</v>
      </c>
      <c r="S324" s="972">
        <f t="shared" si="361"/>
        <v>-1</v>
      </c>
      <c r="T324" s="972">
        <f t="shared" si="428"/>
        <v>-1</v>
      </c>
      <c r="U324" s="972">
        <f t="shared" si="362"/>
        <v>-1</v>
      </c>
      <c r="V324" s="972">
        <f t="shared" si="429"/>
        <v>-1</v>
      </c>
      <c r="W324" s="972">
        <f t="shared" si="363"/>
        <v>-1</v>
      </c>
      <c r="X324" s="972">
        <f t="shared" si="430"/>
        <v>-1</v>
      </c>
      <c r="Y324" s="972">
        <f t="shared" si="364"/>
        <v>-1</v>
      </c>
      <c r="Z324" s="972">
        <f t="shared" si="365"/>
        <v>-1</v>
      </c>
      <c r="AA324" s="972">
        <f t="shared" si="366"/>
        <v>-1</v>
      </c>
      <c r="AB324" s="972">
        <f t="shared" si="367"/>
        <v>-1</v>
      </c>
      <c r="AC324" s="972">
        <f t="shared" si="368"/>
        <v>-1</v>
      </c>
      <c r="AD324" s="972">
        <f t="shared" si="369"/>
        <v>-1</v>
      </c>
      <c r="AE324" s="972">
        <f t="shared" si="370"/>
        <v>-1</v>
      </c>
      <c r="AF324" s="972">
        <f t="shared" si="371"/>
        <v>-1</v>
      </c>
      <c r="AG324" s="972">
        <f t="shared" si="372"/>
        <v>-1</v>
      </c>
      <c r="AH324" s="972">
        <f t="shared" si="373"/>
        <v>-1</v>
      </c>
      <c r="AI324" s="972">
        <f t="shared" si="374"/>
        <v>-1</v>
      </c>
      <c r="AJ324" s="972">
        <f t="shared" si="375"/>
        <v>-1</v>
      </c>
      <c r="AK324" s="381"/>
      <c r="AL324" s="727" t="str">
        <f t="shared" si="376"/>
        <v/>
      </c>
      <c r="AM324" s="409">
        <f t="shared" si="404"/>
        <v>0</v>
      </c>
      <c r="AN324" s="409">
        <f t="shared" si="404"/>
        <v>0</v>
      </c>
      <c r="AO324" s="409">
        <f t="shared" si="404"/>
        <v>0</v>
      </c>
      <c r="AP324" s="409">
        <f t="shared" si="404"/>
        <v>0</v>
      </c>
      <c r="AQ324" s="409">
        <f t="shared" si="404"/>
        <v>0</v>
      </c>
      <c r="AR324" s="409">
        <f t="shared" si="404"/>
        <v>0</v>
      </c>
      <c r="AS324" s="409">
        <f t="shared" si="404"/>
        <v>0</v>
      </c>
      <c r="AT324" s="409">
        <f t="shared" si="404"/>
        <v>0</v>
      </c>
      <c r="AU324" s="409">
        <f t="shared" si="404"/>
        <v>0</v>
      </c>
      <c r="AV324" s="409">
        <f t="shared" si="404"/>
        <v>0</v>
      </c>
      <c r="AW324" s="409">
        <f t="shared" si="405"/>
        <v>0</v>
      </c>
      <c r="AX324" s="409">
        <f t="shared" si="405"/>
        <v>0</v>
      </c>
      <c r="AY324" s="409">
        <f t="shared" si="405"/>
        <v>0</v>
      </c>
      <c r="AZ324" s="409">
        <f t="shared" si="405"/>
        <v>0</v>
      </c>
      <c r="BA324" s="409">
        <f t="shared" si="405"/>
        <v>0</v>
      </c>
      <c r="BB324" s="409">
        <f t="shared" si="405"/>
        <v>0</v>
      </c>
      <c r="BC324" s="409">
        <f t="shared" si="405"/>
        <v>0</v>
      </c>
      <c r="BD324" s="409">
        <f t="shared" si="405"/>
        <v>0</v>
      </c>
      <c r="BE324" s="409">
        <f t="shared" si="405"/>
        <v>0</v>
      </c>
      <c r="BF324" s="409">
        <f t="shared" si="405"/>
        <v>0</v>
      </c>
      <c r="BG324" s="409">
        <f t="shared" si="406"/>
        <v>0</v>
      </c>
      <c r="BH324" s="409">
        <f t="shared" si="406"/>
        <v>0</v>
      </c>
      <c r="BI324" s="409">
        <f t="shared" si="406"/>
        <v>0</v>
      </c>
      <c r="BJ324" s="409">
        <f t="shared" si="406"/>
        <v>0</v>
      </c>
      <c r="BK324" s="409">
        <f t="shared" si="406"/>
        <v>0</v>
      </c>
      <c r="BL324" s="409">
        <f t="shared" si="406"/>
        <v>0</v>
      </c>
      <c r="BM324" s="409">
        <f t="shared" si="406"/>
        <v>0</v>
      </c>
      <c r="BN324" s="409">
        <f t="shared" si="406"/>
        <v>0</v>
      </c>
      <c r="BO324" s="409">
        <f t="shared" si="406"/>
        <v>0</v>
      </c>
      <c r="BP324" s="409">
        <f t="shared" si="406"/>
        <v>0</v>
      </c>
      <c r="BQ324" s="409">
        <f t="shared" si="407"/>
        <v>0</v>
      </c>
      <c r="BR324" s="409">
        <f t="shared" si="407"/>
        <v>0</v>
      </c>
      <c r="BS324" s="409">
        <f t="shared" si="407"/>
        <v>0</v>
      </c>
      <c r="BT324" s="409">
        <f t="shared" si="407"/>
        <v>0</v>
      </c>
      <c r="BU324" s="409">
        <f t="shared" si="407"/>
        <v>0</v>
      </c>
      <c r="BV324" s="409">
        <f t="shared" si="407"/>
        <v>0</v>
      </c>
      <c r="BW324" s="409">
        <f t="shared" si="407"/>
        <v>0</v>
      </c>
      <c r="BX324" s="409">
        <f t="shared" si="407"/>
        <v>0</v>
      </c>
      <c r="BY324" s="409">
        <f t="shared" si="407"/>
        <v>0</v>
      </c>
      <c r="BZ324" s="409">
        <f t="shared" si="407"/>
        <v>0</v>
      </c>
      <c r="CA324" s="409">
        <f t="shared" si="408"/>
        <v>0</v>
      </c>
      <c r="CB324" s="409">
        <f t="shared" si="408"/>
        <v>0</v>
      </c>
      <c r="CC324" s="409">
        <f t="shared" si="408"/>
        <v>0</v>
      </c>
      <c r="CD324" s="409">
        <f t="shared" si="408"/>
        <v>0</v>
      </c>
      <c r="CE324" s="409">
        <f t="shared" si="408"/>
        <v>0</v>
      </c>
      <c r="CF324" s="409">
        <f t="shared" si="408"/>
        <v>0</v>
      </c>
      <c r="CG324" s="409">
        <f t="shared" si="408"/>
        <v>0</v>
      </c>
      <c r="CH324" s="409">
        <f t="shared" si="408"/>
        <v>0</v>
      </c>
      <c r="CI324" s="409">
        <f t="shared" si="408"/>
        <v>0</v>
      </c>
      <c r="CJ324" s="409">
        <f t="shared" si="408"/>
        <v>0</v>
      </c>
      <c r="CK324" s="409">
        <f t="shared" si="409"/>
        <v>0</v>
      </c>
      <c r="CL324" s="409">
        <f t="shared" si="409"/>
        <v>0</v>
      </c>
      <c r="CM324" s="409">
        <f t="shared" si="409"/>
        <v>0</v>
      </c>
      <c r="CN324" s="409">
        <f t="shared" si="409"/>
        <v>0</v>
      </c>
      <c r="CO324" s="409">
        <f t="shared" si="409"/>
        <v>0</v>
      </c>
      <c r="CP324" s="409">
        <f t="shared" si="409"/>
        <v>0</v>
      </c>
      <c r="CQ324" s="409">
        <f t="shared" si="409"/>
        <v>0</v>
      </c>
      <c r="CR324" s="409">
        <f t="shared" si="409"/>
        <v>0</v>
      </c>
      <c r="CS324" s="409">
        <f t="shared" si="409"/>
        <v>0</v>
      </c>
      <c r="CT324" s="409">
        <f t="shared" si="409"/>
        <v>0</v>
      </c>
      <c r="CU324" s="409">
        <f t="shared" si="410"/>
        <v>0</v>
      </c>
      <c r="CV324" s="409">
        <f t="shared" si="410"/>
        <v>0</v>
      </c>
      <c r="CW324" s="409">
        <f t="shared" si="410"/>
        <v>0</v>
      </c>
      <c r="CX324" s="409">
        <f t="shared" si="410"/>
        <v>0</v>
      </c>
      <c r="CY324" s="409">
        <f t="shared" si="410"/>
        <v>0</v>
      </c>
      <c r="CZ324" s="409">
        <f t="shared" si="410"/>
        <v>0</v>
      </c>
      <c r="DA324" s="409">
        <f t="shared" si="410"/>
        <v>0</v>
      </c>
      <c r="DB324" s="409">
        <f t="shared" si="410"/>
        <v>0</v>
      </c>
      <c r="DC324" s="409">
        <f t="shared" si="410"/>
        <v>0</v>
      </c>
      <c r="DD324" s="409">
        <f t="shared" si="410"/>
        <v>0</v>
      </c>
      <c r="DE324" s="409">
        <f t="shared" si="411"/>
        <v>0</v>
      </c>
      <c r="DF324" s="409">
        <f t="shared" si="411"/>
        <v>0</v>
      </c>
      <c r="DG324" s="409">
        <f t="shared" si="411"/>
        <v>0</v>
      </c>
      <c r="DH324" s="409">
        <f t="shared" si="411"/>
        <v>0</v>
      </c>
      <c r="DI324" s="409">
        <f t="shared" si="411"/>
        <v>0</v>
      </c>
      <c r="DJ324" s="409">
        <f t="shared" si="411"/>
        <v>0</v>
      </c>
      <c r="DK324" s="409">
        <f t="shared" si="411"/>
        <v>0</v>
      </c>
      <c r="DL324" s="409">
        <f t="shared" si="411"/>
        <v>0</v>
      </c>
      <c r="DM324" s="409">
        <f t="shared" si="411"/>
        <v>0</v>
      </c>
      <c r="DN324" s="409">
        <f t="shared" si="411"/>
        <v>0</v>
      </c>
      <c r="DO324" s="409">
        <f t="shared" si="412"/>
        <v>0</v>
      </c>
      <c r="DP324" s="409">
        <f t="shared" si="412"/>
        <v>0</v>
      </c>
      <c r="DQ324" s="409">
        <f t="shared" si="412"/>
        <v>0</v>
      </c>
      <c r="DR324" s="409">
        <f t="shared" si="412"/>
        <v>0</v>
      </c>
      <c r="DS324" s="409">
        <f t="shared" si="412"/>
        <v>0</v>
      </c>
      <c r="DT324" s="409">
        <f t="shared" si="412"/>
        <v>0</v>
      </c>
      <c r="DU324" s="409">
        <f t="shared" si="412"/>
        <v>0</v>
      </c>
      <c r="DV324" s="409">
        <f t="shared" si="412"/>
        <v>0</v>
      </c>
      <c r="DW324" s="409">
        <f t="shared" si="412"/>
        <v>0</v>
      </c>
      <c r="DX324" s="409">
        <f t="shared" si="412"/>
        <v>0</v>
      </c>
      <c r="DY324" s="409">
        <f t="shared" si="413"/>
        <v>0</v>
      </c>
      <c r="DZ324" s="409">
        <f t="shared" si="413"/>
        <v>0</v>
      </c>
      <c r="EA324" s="409">
        <f t="shared" si="413"/>
        <v>0</v>
      </c>
      <c r="EB324" s="409">
        <f t="shared" si="413"/>
        <v>0</v>
      </c>
      <c r="EC324" s="409">
        <f t="shared" si="413"/>
        <v>0</v>
      </c>
      <c r="ED324" s="409">
        <f t="shared" si="413"/>
        <v>0</v>
      </c>
      <c r="EE324" s="409">
        <f t="shared" si="413"/>
        <v>0</v>
      </c>
      <c r="EF324" s="409">
        <f t="shared" si="413"/>
        <v>0</v>
      </c>
      <c r="EG324" s="409">
        <f t="shared" si="413"/>
        <v>0</v>
      </c>
      <c r="EH324" s="409">
        <f t="shared" si="413"/>
        <v>0</v>
      </c>
      <c r="EI324" s="409">
        <f t="shared" si="414"/>
        <v>0</v>
      </c>
      <c r="EJ324" s="409">
        <f t="shared" si="414"/>
        <v>0</v>
      </c>
      <c r="EK324" s="409">
        <f t="shared" si="414"/>
        <v>0</v>
      </c>
      <c r="EL324" s="409">
        <f t="shared" si="414"/>
        <v>0</v>
      </c>
      <c r="EM324" s="409">
        <f t="shared" si="414"/>
        <v>0</v>
      </c>
      <c r="EN324" s="409">
        <f t="shared" si="414"/>
        <v>0</v>
      </c>
      <c r="EO324" s="409">
        <f t="shared" si="414"/>
        <v>0</v>
      </c>
      <c r="EP324" s="409">
        <f t="shared" si="414"/>
        <v>0</v>
      </c>
      <c r="EQ324" s="409">
        <f t="shared" si="414"/>
        <v>0</v>
      </c>
      <c r="ER324" s="409">
        <f t="shared" si="414"/>
        <v>0</v>
      </c>
      <c r="ES324" s="409">
        <f t="shared" si="415"/>
        <v>0</v>
      </c>
      <c r="ET324" s="409">
        <f t="shared" si="415"/>
        <v>0</v>
      </c>
      <c r="EU324" s="409">
        <f t="shared" si="415"/>
        <v>0</v>
      </c>
      <c r="EV324" s="409">
        <f t="shared" si="415"/>
        <v>0</v>
      </c>
      <c r="EW324" s="409">
        <f t="shared" si="415"/>
        <v>0</v>
      </c>
      <c r="EX324" s="409">
        <f t="shared" si="415"/>
        <v>0</v>
      </c>
      <c r="EY324" s="409">
        <f t="shared" si="415"/>
        <v>0</v>
      </c>
      <c r="EZ324" s="409">
        <f t="shared" si="415"/>
        <v>0</v>
      </c>
      <c r="FA324" s="409">
        <f t="shared" si="415"/>
        <v>0</v>
      </c>
      <c r="FB324" s="409">
        <f t="shared" si="415"/>
        <v>0</v>
      </c>
      <c r="FC324" s="409">
        <f t="shared" si="416"/>
        <v>0</v>
      </c>
      <c r="FD324" s="409">
        <f t="shared" si="416"/>
        <v>0</v>
      </c>
      <c r="FE324" s="409">
        <f t="shared" si="416"/>
        <v>0</v>
      </c>
      <c r="FF324" s="409">
        <f t="shared" si="416"/>
        <v>0</v>
      </c>
      <c r="FG324" s="409">
        <f t="shared" si="416"/>
        <v>0</v>
      </c>
      <c r="FH324" s="409">
        <f t="shared" si="416"/>
        <v>0</v>
      </c>
      <c r="FI324" s="409">
        <f t="shared" si="416"/>
        <v>0</v>
      </c>
      <c r="FJ324" s="409">
        <f t="shared" si="416"/>
        <v>0</v>
      </c>
      <c r="FK324" s="409">
        <f t="shared" si="416"/>
        <v>0</v>
      </c>
      <c r="FL324" s="409">
        <f t="shared" si="416"/>
        <v>0</v>
      </c>
      <c r="FM324" s="409">
        <f t="shared" si="417"/>
        <v>0</v>
      </c>
      <c r="FN324" s="409">
        <f t="shared" si="417"/>
        <v>0</v>
      </c>
      <c r="FO324" s="409">
        <f t="shared" si="417"/>
        <v>0</v>
      </c>
      <c r="FP324" s="409">
        <f t="shared" si="417"/>
        <v>0</v>
      </c>
      <c r="FQ324" s="409">
        <f t="shared" si="417"/>
        <v>0</v>
      </c>
      <c r="FR324" s="409">
        <f t="shared" si="417"/>
        <v>0</v>
      </c>
      <c r="FS324" s="409">
        <f t="shared" si="417"/>
        <v>0</v>
      </c>
      <c r="FT324" s="409">
        <f t="shared" si="417"/>
        <v>0</v>
      </c>
      <c r="FU324" s="409">
        <f t="shared" si="417"/>
        <v>0</v>
      </c>
      <c r="FV324" s="409">
        <f t="shared" si="417"/>
        <v>0</v>
      </c>
      <c r="FW324" s="409">
        <f t="shared" si="418"/>
        <v>0</v>
      </c>
      <c r="FX324" s="409">
        <f t="shared" si="418"/>
        <v>0</v>
      </c>
      <c r="FY324" s="409">
        <f t="shared" si="418"/>
        <v>0</v>
      </c>
      <c r="FZ324" s="409">
        <f t="shared" si="418"/>
        <v>0</v>
      </c>
      <c r="GA324" s="409">
        <f t="shared" si="418"/>
        <v>0</v>
      </c>
      <c r="GB324" s="409">
        <f t="shared" si="418"/>
        <v>0</v>
      </c>
      <c r="GC324" s="409">
        <f t="shared" si="418"/>
        <v>0</v>
      </c>
      <c r="GD324" s="409">
        <f t="shared" si="418"/>
        <v>0</v>
      </c>
      <c r="GE324" s="409">
        <f t="shared" si="418"/>
        <v>0</v>
      </c>
      <c r="GF324" s="409">
        <f t="shared" si="418"/>
        <v>0</v>
      </c>
      <c r="GG324" s="409">
        <f t="shared" si="419"/>
        <v>0</v>
      </c>
      <c r="GH324" s="409">
        <f t="shared" si="419"/>
        <v>0</v>
      </c>
      <c r="GI324" s="409">
        <f t="shared" si="419"/>
        <v>0</v>
      </c>
      <c r="GJ324" s="409">
        <f t="shared" si="419"/>
        <v>0</v>
      </c>
      <c r="GK324" s="409">
        <f t="shared" si="419"/>
        <v>0</v>
      </c>
      <c r="GL324" s="409">
        <f t="shared" si="419"/>
        <v>0</v>
      </c>
      <c r="GM324" s="409">
        <f t="shared" si="419"/>
        <v>0</v>
      </c>
      <c r="GN324" s="409">
        <f t="shared" si="419"/>
        <v>0</v>
      </c>
      <c r="GO324" s="409">
        <f t="shared" si="419"/>
        <v>0</v>
      </c>
      <c r="GP324" s="409">
        <f t="shared" si="419"/>
        <v>0</v>
      </c>
      <c r="GQ324" s="409">
        <f t="shared" si="420"/>
        <v>0</v>
      </c>
      <c r="GR324" s="409">
        <f t="shared" si="420"/>
        <v>0</v>
      </c>
      <c r="GS324" s="409">
        <f t="shared" si="420"/>
        <v>0</v>
      </c>
      <c r="GT324" s="409">
        <f t="shared" si="420"/>
        <v>0</v>
      </c>
      <c r="GU324" s="409">
        <f t="shared" si="420"/>
        <v>0</v>
      </c>
      <c r="GV324" s="409">
        <f t="shared" si="420"/>
        <v>0</v>
      </c>
      <c r="GW324" s="409">
        <f t="shared" si="420"/>
        <v>0</v>
      </c>
      <c r="GX324" s="409">
        <f t="shared" si="420"/>
        <v>0</v>
      </c>
      <c r="GY324" s="409">
        <f t="shared" si="420"/>
        <v>0</v>
      </c>
      <c r="GZ324" s="409">
        <f t="shared" si="420"/>
        <v>0</v>
      </c>
      <c r="HA324" s="409">
        <f t="shared" si="421"/>
        <v>0</v>
      </c>
      <c r="HB324" s="409">
        <f t="shared" si="421"/>
        <v>0</v>
      </c>
      <c r="HC324" s="409">
        <f t="shared" si="421"/>
        <v>0</v>
      </c>
      <c r="HD324" s="409">
        <f t="shared" si="421"/>
        <v>0</v>
      </c>
      <c r="HE324" s="409">
        <f t="shared" si="421"/>
        <v>0</v>
      </c>
      <c r="HF324" s="409">
        <f t="shared" si="421"/>
        <v>0</v>
      </c>
      <c r="HG324" s="409">
        <f t="shared" si="421"/>
        <v>0</v>
      </c>
      <c r="HH324" s="409">
        <f t="shared" si="421"/>
        <v>0</v>
      </c>
      <c r="HI324" s="409">
        <f t="shared" si="421"/>
        <v>0</v>
      </c>
      <c r="HJ324" s="409">
        <f t="shared" si="421"/>
        <v>0</v>
      </c>
      <c r="HK324" s="409">
        <f t="shared" si="422"/>
        <v>0</v>
      </c>
      <c r="HL324" s="409">
        <f t="shared" si="422"/>
        <v>0</v>
      </c>
      <c r="HM324" s="409">
        <f t="shared" si="422"/>
        <v>0</v>
      </c>
      <c r="HN324" s="409">
        <f t="shared" si="422"/>
        <v>0</v>
      </c>
      <c r="HO324" s="409">
        <f t="shared" si="422"/>
        <v>0</v>
      </c>
      <c r="HP324" s="409">
        <f t="shared" si="422"/>
        <v>0</v>
      </c>
      <c r="HQ324" s="409">
        <f t="shared" si="422"/>
        <v>0</v>
      </c>
      <c r="HR324" s="409">
        <f t="shared" si="422"/>
        <v>0</v>
      </c>
      <c r="HS324" s="409">
        <f t="shared" si="422"/>
        <v>0</v>
      </c>
      <c r="HT324" s="409">
        <f t="shared" si="422"/>
        <v>0</v>
      </c>
      <c r="HU324" s="409">
        <f t="shared" si="423"/>
        <v>0</v>
      </c>
      <c r="HV324" s="409">
        <f t="shared" si="423"/>
        <v>0</v>
      </c>
      <c r="HW324" s="409">
        <f t="shared" si="423"/>
        <v>0</v>
      </c>
      <c r="HX324" s="409">
        <f t="shared" si="423"/>
        <v>0</v>
      </c>
      <c r="HY324" s="409">
        <f t="shared" si="423"/>
        <v>0</v>
      </c>
      <c r="HZ324" s="409">
        <f t="shared" si="423"/>
        <v>0</v>
      </c>
      <c r="IA324" s="409">
        <f t="shared" si="423"/>
        <v>0</v>
      </c>
      <c r="IB324" s="409">
        <f t="shared" si="423"/>
        <v>0</v>
      </c>
      <c r="IC324" s="409">
        <f t="shared" si="423"/>
        <v>0</v>
      </c>
      <c r="ID324" s="409">
        <f t="shared" si="423"/>
        <v>0</v>
      </c>
      <c r="IE324" s="409">
        <f t="shared" si="424"/>
        <v>0</v>
      </c>
      <c r="IF324" s="409">
        <f t="shared" si="424"/>
        <v>0</v>
      </c>
      <c r="IG324" s="409">
        <f t="shared" si="424"/>
        <v>0</v>
      </c>
      <c r="IH324" s="409">
        <f t="shared" si="424"/>
        <v>0</v>
      </c>
      <c r="II324" s="409">
        <f t="shared" si="424"/>
        <v>0</v>
      </c>
      <c r="IJ324" s="409">
        <f t="shared" si="424"/>
        <v>0</v>
      </c>
      <c r="IK324" s="378"/>
    </row>
    <row r="325" spans="1:245" hidden="1" x14ac:dyDescent="0.2">
      <c r="A325" s="380" t="str">
        <f t="shared" si="357"/>
        <v>e</v>
      </c>
      <c r="B325" s="712" t="str">
        <f>IF(ISERROR(INDEX('Legend(DX)'!$H$14:$H$15,38)),"",INDEX('Legend(DX)'!$H$14:$H$15,38))</f>
        <v/>
      </c>
      <c r="C325" s="712" t="e">
        <f>IF(INDEX('Legend(DX)'!$T$14:$T$15,38)=0,"See Legend",INDEX('Legend(DX)'!$T$14:$T$15,38))</f>
        <v>#REF!</v>
      </c>
      <c r="D325" s="712" t="e">
        <f>IF(INDEX('Legend(DX)'!$R$14:$R$15,38)=0,"---",INDEX('Legend(DX)'!$R$14:$R$15,38))</f>
        <v>#REF!</v>
      </c>
      <c r="E325" s="713" t="str">
        <f>IF(ISERROR(INDEX('Legend(DX)'!$AA$14:$AA$15,38)),"",INDEX('Legend(DX)'!$AA$14:$AA$15,38))</f>
        <v/>
      </c>
      <c r="F325" s="715"/>
      <c r="G325" s="715"/>
      <c r="H325" s="715"/>
      <c r="I325" s="715"/>
      <c r="J325" s="715"/>
      <c r="K325" s="890">
        <f t="shared" si="358"/>
        <v>0</v>
      </c>
      <c r="L325" s="718"/>
      <c r="M325" s="720"/>
      <c r="N325" s="972">
        <f t="shared" si="425"/>
        <v>-1</v>
      </c>
      <c r="O325" s="972">
        <f t="shared" si="359"/>
        <v>-1</v>
      </c>
      <c r="P325" s="972">
        <f t="shared" si="426"/>
        <v>-1</v>
      </c>
      <c r="Q325" s="972">
        <f t="shared" si="360"/>
        <v>-1</v>
      </c>
      <c r="R325" s="972">
        <f t="shared" si="427"/>
        <v>-1</v>
      </c>
      <c r="S325" s="972">
        <f t="shared" si="361"/>
        <v>-1</v>
      </c>
      <c r="T325" s="972">
        <f t="shared" si="428"/>
        <v>-1</v>
      </c>
      <c r="U325" s="972">
        <f t="shared" si="362"/>
        <v>-1</v>
      </c>
      <c r="V325" s="972">
        <f t="shared" si="429"/>
        <v>-1</v>
      </c>
      <c r="W325" s="972">
        <f t="shared" si="363"/>
        <v>-1</v>
      </c>
      <c r="X325" s="972">
        <f t="shared" si="430"/>
        <v>-1</v>
      </c>
      <c r="Y325" s="972">
        <f t="shared" si="364"/>
        <v>-1</v>
      </c>
      <c r="Z325" s="972">
        <f t="shared" si="365"/>
        <v>-1</v>
      </c>
      <c r="AA325" s="972">
        <f t="shared" si="366"/>
        <v>-1</v>
      </c>
      <c r="AB325" s="972">
        <f t="shared" si="367"/>
        <v>-1</v>
      </c>
      <c r="AC325" s="972">
        <f t="shared" si="368"/>
        <v>-1</v>
      </c>
      <c r="AD325" s="972">
        <f t="shared" si="369"/>
        <v>-1</v>
      </c>
      <c r="AE325" s="972">
        <f t="shared" si="370"/>
        <v>-1</v>
      </c>
      <c r="AF325" s="972">
        <f t="shared" si="371"/>
        <v>-1</v>
      </c>
      <c r="AG325" s="972">
        <f t="shared" si="372"/>
        <v>-1</v>
      </c>
      <c r="AH325" s="972">
        <f t="shared" si="373"/>
        <v>-1</v>
      </c>
      <c r="AI325" s="972">
        <f t="shared" si="374"/>
        <v>-1</v>
      </c>
      <c r="AJ325" s="972">
        <f t="shared" si="375"/>
        <v>-1</v>
      </c>
      <c r="AK325" s="381"/>
      <c r="AL325" s="727" t="str">
        <f t="shared" si="376"/>
        <v/>
      </c>
      <c r="AM325" s="409">
        <f t="shared" si="404"/>
        <v>0</v>
      </c>
      <c r="AN325" s="409">
        <f t="shared" si="404"/>
        <v>0</v>
      </c>
      <c r="AO325" s="409">
        <f t="shared" si="404"/>
        <v>0</v>
      </c>
      <c r="AP325" s="409">
        <f t="shared" si="404"/>
        <v>0</v>
      </c>
      <c r="AQ325" s="409">
        <f t="shared" si="404"/>
        <v>0</v>
      </c>
      <c r="AR325" s="409">
        <f t="shared" si="404"/>
        <v>0</v>
      </c>
      <c r="AS325" s="409">
        <f t="shared" si="404"/>
        <v>0</v>
      </c>
      <c r="AT325" s="409">
        <f t="shared" si="404"/>
        <v>0</v>
      </c>
      <c r="AU325" s="409">
        <f t="shared" si="404"/>
        <v>0</v>
      </c>
      <c r="AV325" s="409">
        <f t="shared" si="404"/>
        <v>0</v>
      </c>
      <c r="AW325" s="409">
        <f t="shared" si="405"/>
        <v>0</v>
      </c>
      <c r="AX325" s="409">
        <f t="shared" si="405"/>
        <v>0</v>
      </c>
      <c r="AY325" s="409">
        <f t="shared" si="405"/>
        <v>0</v>
      </c>
      <c r="AZ325" s="409">
        <f t="shared" si="405"/>
        <v>0</v>
      </c>
      <c r="BA325" s="409">
        <f t="shared" si="405"/>
        <v>0</v>
      </c>
      <c r="BB325" s="409">
        <f t="shared" si="405"/>
        <v>0</v>
      </c>
      <c r="BC325" s="409">
        <f t="shared" si="405"/>
        <v>0</v>
      </c>
      <c r="BD325" s="409">
        <f t="shared" si="405"/>
        <v>0</v>
      </c>
      <c r="BE325" s="409">
        <f t="shared" si="405"/>
        <v>0</v>
      </c>
      <c r="BF325" s="409">
        <f t="shared" si="405"/>
        <v>0</v>
      </c>
      <c r="BG325" s="409">
        <f t="shared" si="406"/>
        <v>0</v>
      </c>
      <c r="BH325" s="409">
        <f t="shared" si="406"/>
        <v>0</v>
      </c>
      <c r="BI325" s="409">
        <f t="shared" si="406"/>
        <v>0</v>
      </c>
      <c r="BJ325" s="409">
        <f t="shared" si="406"/>
        <v>0</v>
      </c>
      <c r="BK325" s="409">
        <f t="shared" si="406"/>
        <v>0</v>
      </c>
      <c r="BL325" s="409">
        <f t="shared" si="406"/>
        <v>0</v>
      </c>
      <c r="BM325" s="409">
        <f t="shared" si="406"/>
        <v>0</v>
      </c>
      <c r="BN325" s="409">
        <f t="shared" si="406"/>
        <v>0</v>
      </c>
      <c r="BO325" s="409">
        <f t="shared" si="406"/>
        <v>0</v>
      </c>
      <c r="BP325" s="409">
        <f t="shared" si="406"/>
        <v>0</v>
      </c>
      <c r="BQ325" s="409">
        <f t="shared" si="407"/>
        <v>0</v>
      </c>
      <c r="BR325" s="409">
        <f t="shared" si="407"/>
        <v>0</v>
      </c>
      <c r="BS325" s="409">
        <f t="shared" si="407"/>
        <v>0</v>
      </c>
      <c r="BT325" s="409">
        <f t="shared" si="407"/>
        <v>0</v>
      </c>
      <c r="BU325" s="409">
        <f t="shared" si="407"/>
        <v>0</v>
      </c>
      <c r="BV325" s="409">
        <f t="shared" si="407"/>
        <v>0</v>
      </c>
      <c r="BW325" s="409">
        <f t="shared" si="407"/>
        <v>0</v>
      </c>
      <c r="BX325" s="409">
        <f t="shared" si="407"/>
        <v>0</v>
      </c>
      <c r="BY325" s="409">
        <f t="shared" si="407"/>
        <v>0</v>
      </c>
      <c r="BZ325" s="409">
        <f t="shared" si="407"/>
        <v>0</v>
      </c>
      <c r="CA325" s="409">
        <f t="shared" si="408"/>
        <v>0</v>
      </c>
      <c r="CB325" s="409">
        <f t="shared" si="408"/>
        <v>0</v>
      </c>
      <c r="CC325" s="409">
        <f t="shared" si="408"/>
        <v>0</v>
      </c>
      <c r="CD325" s="409">
        <f t="shared" si="408"/>
        <v>0</v>
      </c>
      <c r="CE325" s="409">
        <f t="shared" si="408"/>
        <v>0</v>
      </c>
      <c r="CF325" s="409">
        <f t="shared" si="408"/>
        <v>0</v>
      </c>
      <c r="CG325" s="409">
        <f t="shared" si="408"/>
        <v>0</v>
      </c>
      <c r="CH325" s="409">
        <f t="shared" si="408"/>
        <v>0</v>
      </c>
      <c r="CI325" s="409">
        <f t="shared" si="408"/>
        <v>0</v>
      </c>
      <c r="CJ325" s="409">
        <f t="shared" si="408"/>
        <v>0</v>
      </c>
      <c r="CK325" s="409">
        <f t="shared" si="409"/>
        <v>0</v>
      </c>
      <c r="CL325" s="409">
        <f t="shared" si="409"/>
        <v>0</v>
      </c>
      <c r="CM325" s="409">
        <f t="shared" si="409"/>
        <v>0</v>
      </c>
      <c r="CN325" s="409">
        <f t="shared" si="409"/>
        <v>0</v>
      </c>
      <c r="CO325" s="409">
        <f t="shared" si="409"/>
        <v>0</v>
      </c>
      <c r="CP325" s="409">
        <f t="shared" si="409"/>
        <v>0</v>
      </c>
      <c r="CQ325" s="409">
        <f t="shared" si="409"/>
        <v>0</v>
      </c>
      <c r="CR325" s="409">
        <f t="shared" si="409"/>
        <v>0</v>
      </c>
      <c r="CS325" s="409">
        <f t="shared" si="409"/>
        <v>0</v>
      </c>
      <c r="CT325" s="409">
        <f t="shared" si="409"/>
        <v>0</v>
      </c>
      <c r="CU325" s="409">
        <f t="shared" si="410"/>
        <v>0</v>
      </c>
      <c r="CV325" s="409">
        <f t="shared" si="410"/>
        <v>0</v>
      </c>
      <c r="CW325" s="409">
        <f t="shared" si="410"/>
        <v>0</v>
      </c>
      <c r="CX325" s="409">
        <f t="shared" si="410"/>
        <v>0</v>
      </c>
      <c r="CY325" s="409">
        <f t="shared" si="410"/>
        <v>0</v>
      </c>
      <c r="CZ325" s="409">
        <f t="shared" si="410"/>
        <v>0</v>
      </c>
      <c r="DA325" s="409">
        <f t="shared" si="410"/>
        <v>0</v>
      </c>
      <c r="DB325" s="409">
        <f t="shared" si="410"/>
        <v>0</v>
      </c>
      <c r="DC325" s="409">
        <f t="shared" si="410"/>
        <v>0</v>
      </c>
      <c r="DD325" s="409">
        <f t="shared" si="410"/>
        <v>0</v>
      </c>
      <c r="DE325" s="409">
        <f t="shared" si="411"/>
        <v>0</v>
      </c>
      <c r="DF325" s="409">
        <f t="shared" si="411"/>
        <v>0</v>
      </c>
      <c r="DG325" s="409">
        <f t="shared" si="411"/>
        <v>0</v>
      </c>
      <c r="DH325" s="409">
        <f t="shared" si="411"/>
        <v>0</v>
      </c>
      <c r="DI325" s="409">
        <f t="shared" si="411"/>
        <v>0</v>
      </c>
      <c r="DJ325" s="409">
        <f t="shared" si="411"/>
        <v>0</v>
      </c>
      <c r="DK325" s="409">
        <f t="shared" si="411"/>
        <v>0</v>
      </c>
      <c r="DL325" s="409">
        <f t="shared" si="411"/>
        <v>0</v>
      </c>
      <c r="DM325" s="409">
        <f t="shared" si="411"/>
        <v>0</v>
      </c>
      <c r="DN325" s="409">
        <f t="shared" si="411"/>
        <v>0</v>
      </c>
      <c r="DO325" s="409">
        <f t="shared" si="412"/>
        <v>0</v>
      </c>
      <c r="DP325" s="409">
        <f t="shared" si="412"/>
        <v>0</v>
      </c>
      <c r="DQ325" s="409">
        <f t="shared" si="412"/>
        <v>0</v>
      </c>
      <c r="DR325" s="409">
        <f t="shared" si="412"/>
        <v>0</v>
      </c>
      <c r="DS325" s="409">
        <f t="shared" si="412"/>
        <v>0</v>
      </c>
      <c r="DT325" s="409">
        <f t="shared" si="412"/>
        <v>0</v>
      </c>
      <c r="DU325" s="409">
        <f t="shared" si="412"/>
        <v>0</v>
      </c>
      <c r="DV325" s="409">
        <f t="shared" si="412"/>
        <v>0</v>
      </c>
      <c r="DW325" s="409">
        <f t="shared" si="412"/>
        <v>0</v>
      </c>
      <c r="DX325" s="409">
        <f t="shared" si="412"/>
        <v>0</v>
      </c>
      <c r="DY325" s="409">
        <f t="shared" si="413"/>
        <v>0</v>
      </c>
      <c r="DZ325" s="409">
        <f t="shared" si="413"/>
        <v>0</v>
      </c>
      <c r="EA325" s="409">
        <f t="shared" si="413"/>
        <v>0</v>
      </c>
      <c r="EB325" s="409">
        <f t="shared" si="413"/>
        <v>0</v>
      </c>
      <c r="EC325" s="409">
        <f t="shared" si="413"/>
        <v>0</v>
      </c>
      <c r="ED325" s="409">
        <f t="shared" si="413"/>
        <v>0</v>
      </c>
      <c r="EE325" s="409">
        <f t="shared" si="413"/>
        <v>0</v>
      </c>
      <c r="EF325" s="409">
        <f t="shared" si="413"/>
        <v>0</v>
      </c>
      <c r="EG325" s="409">
        <f t="shared" si="413"/>
        <v>0</v>
      </c>
      <c r="EH325" s="409">
        <f t="shared" si="413"/>
        <v>0</v>
      </c>
      <c r="EI325" s="409">
        <f t="shared" si="414"/>
        <v>0</v>
      </c>
      <c r="EJ325" s="409">
        <f t="shared" si="414"/>
        <v>0</v>
      </c>
      <c r="EK325" s="409">
        <f t="shared" si="414"/>
        <v>0</v>
      </c>
      <c r="EL325" s="409">
        <f t="shared" si="414"/>
        <v>0</v>
      </c>
      <c r="EM325" s="409">
        <f t="shared" si="414"/>
        <v>0</v>
      </c>
      <c r="EN325" s="409">
        <f t="shared" si="414"/>
        <v>0</v>
      </c>
      <c r="EO325" s="409">
        <f t="shared" si="414"/>
        <v>0</v>
      </c>
      <c r="EP325" s="409">
        <f t="shared" si="414"/>
        <v>0</v>
      </c>
      <c r="EQ325" s="409">
        <f t="shared" si="414"/>
        <v>0</v>
      </c>
      <c r="ER325" s="409">
        <f t="shared" si="414"/>
        <v>0</v>
      </c>
      <c r="ES325" s="409">
        <f t="shared" si="415"/>
        <v>0</v>
      </c>
      <c r="ET325" s="409">
        <f t="shared" si="415"/>
        <v>0</v>
      </c>
      <c r="EU325" s="409">
        <f t="shared" si="415"/>
        <v>0</v>
      </c>
      <c r="EV325" s="409">
        <f t="shared" si="415"/>
        <v>0</v>
      </c>
      <c r="EW325" s="409">
        <f t="shared" si="415"/>
        <v>0</v>
      </c>
      <c r="EX325" s="409">
        <f t="shared" si="415"/>
        <v>0</v>
      </c>
      <c r="EY325" s="409">
        <f t="shared" si="415"/>
        <v>0</v>
      </c>
      <c r="EZ325" s="409">
        <f t="shared" si="415"/>
        <v>0</v>
      </c>
      <c r="FA325" s="409">
        <f t="shared" si="415"/>
        <v>0</v>
      </c>
      <c r="FB325" s="409">
        <f t="shared" si="415"/>
        <v>0</v>
      </c>
      <c r="FC325" s="409">
        <f t="shared" si="416"/>
        <v>0</v>
      </c>
      <c r="FD325" s="409">
        <f t="shared" si="416"/>
        <v>0</v>
      </c>
      <c r="FE325" s="409">
        <f t="shared" si="416"/>
        <v>0</v>
      </c>
      <c r="FF325" s="409">
        <f t="shared" si="416"/>
        <v>0</v>
      </c>
      <c r="FG325" s="409">
        <f t="shared" si="416"/>
        <v>0</v>
      </c>
      <c r="FH325" s="409">
        <f t="shared" si="416"/>
        <v>0</v>
      </c>
      <c r="FI325" s="409">
        <f t="shared" si="416"/>
        <v>0</v>
      </c>
      <c r="FJ325" s="409">
        <f t="shared" si="416"/>
        <v>0</v>
      </c>
      <c r="FK325" s="409">
        <f t="shared" si="416"/>
        <v>0</v>
      </c>
      <c r="FL325" s="409">
        <f t="shared" si="416"/>
        <v>0</v>
      </c>
      <c r="FM325" s="409">
        <f t="shared" si="417"/>
        <v>0</v>
      </c>
      <c r="FN325" s="409">
        <f t="shared" si="417"/>
        <v>0</v>
      </c>
      <c r="FO325" s="409">
        <f t="shared" si="417"/>
        <v>0</v>
      </c>
      <c r="FP325" s="409">
        <f t="shared" si="417"/>
        <v>0</v>
      </c>
      <c r="FQ325" s="409">
        <f t="shared" si="417"/>
        <v>0</v>
      </c>
      <c r="FR325" s="409">
        <f t="shared" si="417"/>
        <v>0</v>
      </c>
      <c r="FS325" s="409">
        <f t="shared" si="417"/>
        <v>0</v>
      </c>
      <c r="FT325" s="409">
        <f t="shared" si="417"/>
        <v>0</v>
      </c>
      <c r="FU325" s="409">
        <f t="shared" si="417"/>
        <v>0</v>
      </c>
      <c r="FV325" s="409">
        <f t="shared" si="417"/>
        <v>0</v>
      </c>
      <c r="FW325" s="409">
        <f t="shared" si="418"/>
        <v>0</v>
      </c>
      <c r="FX325" s="409">
        <f t="shared" si="418"/>
        <v>0</v>
      </c>
      <c r="FY325" s="409">
        <f t="shared" si="418"/>
        <v>0</v>
      </c>
      <c r="FZ325" s="409">
        <f t="shared" si="418"/>
        <v>0</v>
      </c>
      <c r="GA325" s="409">
        <f t="shared" si="418"/>
        <v>0</v>
      </c>
      <c r="GB325" s="409">
        <f t="shared" si="418"/>
        <v>0</v>
      </c>
      <c r="GC325" s="409">
        <f t="shared" si="418"/>
        <v>0</v>
      </c>
      <c r="GD325" s="409">
        <f t="shared" si="418"/>
        <v>0</v>
      </c>
      <c r="GE325" s="409">
        <f t="shared" si="418"/>
        <v>0</v>
      </c>
      <c r="GF325" s="409">
        <f t="shared" si="418"/>
        <v>0</v>
      </c>
      <c r="GG325" s="409">
        <f t="shared" si="419"/>
        <v>0</v>
      </c>
      <c r="GH325" s="409">
        <f t="shared" si="419"/>
        <v>0</v>
      </c>
      <c r="GI325" s="409">
        <f t="shared" si="419"/>
        <v>0</v>
      </c>
      <c r="GJ325" s="409">
        <f t="shared" si="419"/>
        <v>0</v>
      </c>
      <c r="GK325" s="409">
        <f t="shared" si="419"/>
        <v>0</v>
      </c>
      <c r="GL325" s="409">
        <f t="shared" si="419"/>
        <v>0</v>
      </c>
      <c r="GM325" s="409">
        <f t="shared" si="419"/>
        <v>0</v>
      </c>
      <c r="GN325" s="409">
        <f t="shared" si="419"/>
        <v>0</v>
      </c>
      <c r="GO325" s="409">
        <f t="shared" si="419"/>
        <v>0</v>
      </c>
      <c r="GP325" s="409">
        <f t="shared" si="419"/>
        <v>0</v>
      </c>
      <c r="GQ325" s="409">
        <f t="shared" si="420"/>
        <v>0</v>
      </c>
      <c r="GR325" s="409">
        <f t="shared" si="420"/>
        <v>0</v>
      </c>
      <c r="GS325" s="409">
        <f t="shared" si="420"/>
        <v>0</v>
      </c>
      <c r="GT325" s="409">
        <f t="shared" si="420"/>
        <v>0</v>
      </c>
      <c r="GU325" s="409">
        <f t="shared" si="420"/>
        <v>0</v>
      </c>
      <c r="GV325" s="409">
        <f t="shared" si="420"/>
        <v>0</v>
      </c>
      <c r="GW325" s="409">
        <f t="shared" si="420"/>
        <v>0</v>
      </c>
      <c r="GX325" s="409">
        <f t="shared" si="420"/>
        <v>0</v>
      </c>
      <c r="GY325" s="409">
        <f t="shared" si="420"/>
        <v>0</v>
      </c>
      <c r="GZ325" s="409">
        <f t="shared" si="420"/>
        <v>0</v>
      </c>
      <c r="HA325" s="409">
        <f t="shared" si="421"/>
        <v>0</v>
      </c>
      <c r="HB325" s="409">
        <f t="shared" si="421"/>
        <v>0</v>
      </c>
      <c r="HC325" s="409">
        <f t="shared" si="421"/>
        <v>0</v>
      </c>
      <c r="HD325" s="409">
        <f t="shared" si="421"/>
        <v>0</v>
      </c>
      <c r="HE325" s="409">
        <f t="shared" si="421"/>
        <v>0</v>
      </c>
      <c r="HF325" s="409">
        <f t="shared" si="421"/>
        <v>0</v>
      </c>
      <c r="HG325" s="409">
        <f t="shared" si="421"/>
        <v>0</v>
      </c>
      <c r="HH325" s="409">
        <f t="shared" si="421"/>
        <v>0</v>
      </c>
      <c r="HI325" s="409">
        <f t="shared" si="421"/>
        <v>0</v>
      </c>
      <c r="HJ325" s="409">
        <f t="shared" si="421"/>
        <v>0</v>
      </c>
      <c r="HK325" s="409">
        <f t="shared" si="422"/>
        <v>0</v>
      </c>
      <c r="HL325" s="409">
        <f t="shared" si="422"/>
        <v>0</v>
      </c>
      <c r="HM325" s="409">
        <f t="shared" si="422"/>
        <v>0</v>
      </c>
      <c r="HN325" s="409">
        <f t="shared" si="422"/>
        <v>0</v>
      </c>
      <c r="HO325" s="409">
        <f t="shared" si="422"/>
        <v>0</v>
      </c>
      <c r="HP325" s="409">
        <f t="shared" si="422"/>
        <v>0</v>
      </c>
      <c r="HQ325" s="409">
        <f t="shared" si="422"/>
        <v>0</v>
      </c>
      <c r="HR325" s="409">
        <f t="shared" si="422"/>
        <v>0</v>
      </c>
      <c r="HS325" s="409">
        <f t="shared" si="422"/>
        <v>0</v>
      </c>
      <c r="HT325" s="409">
        <f t="shared" si="422"/>
        <v>0</v>
      </c>
      <c r="HU325" s="409">
        <f t="shared" si="423"/>
        <v>0</v>
      </c>
      <c r="HV325" s="409">
        <f t="shared" si="423"/>
        <v>0</v>
      </c>
      <c r="HW325" s="409">
        <f t="shared" si="423"/>
        <v>0</v>
      </c>
      <c r="HX325" s="409">
        <f t="shared" si="423"/>
        <v>0</v>
      </c>
      <c r="HY325" s="409">
        <f t="shared" si="423"/>
        <v>0</v>
      </c>
      <c r="HZ325" s="409">
        <f t="shared" si="423"/>
        <v>0</v>
      </c>
      <c r="IA325" s="409">
        <f t="shared" si="423"/>
        <v>0</v>
      </c>
      <c r="IB325" s="409">
        <f t="shared" si="423"/>
        <v>0</v>
      </c>
      <c r="IC325" s="409">
        <f t="shared" si="423"/>
        <v>0</v>
      </c>
      <c r="ID325" s="409">
        <f t="shared" si="423"/>
        <v>0</v>
      </c>
      <c r="IE325" s="409">
        <f t="shared" si="424"/>
        <v>0</v>
      </c>
      <c r="IF325" s="409">
        <f t="shared" si="424"/>
        <v>0</v>
      </c>
      <c r="IG325" s="409">
        <f t="shared" si="424"/>
        <v>0</v>
      </c>
      <c r="IH325" s="409">
        <f t="shared" si="424"/>
        <v>0</v>
      </c>
      <c r="II325" s="409">
        <f t="shared" si="424"/>
        <v>0</v>
      </c>
      <c r="IJ325" s="409">
        <f t="shared" si="424"/>
        <v>0</v>
      </c>
      <c r="IK325" s="378"/>
    </row>
    <row r="326" spans="1:245" hidden="1" x14ac:dyDescent="0.2">
      <c r="A326" s="380" t="str">
        <f t="shared" si="357"/>
        <v>e</v>
      </c>
      <c r="B326" s="712" t="str">
        <f>IF(ISERROR(INDEX('Legend(DX)'!$H$14:$H$15,39)),"",INDEX('Legend(DX)'!$H$14:$H$15,39))</f>
        <v/>
      </c>
      <c r="C326" s="712" t="e">
        <f>IF(INDEX('Legend(DX)'!$T$14:$T$15,39)=0,"See Legend",INDEX('Legend(DX)'!$T$14:$T$15,39))</f>
        <v>#REF!</v>
      </c>
      <c r="D326" s="712" t="e">
        <f>IF(INDEX('Legend(DX)'!$R$14:$R$15,39)=0,"---",INDEX('Legend(DX)'!$R$14:$R$15,39))</f>
        <v>#REF!</v>
      </c>
      <c r="E326" s="713" t="str">
        <f>IF(ISERROR(INDEX('Legend(DX)'!$AA$14:$AA$15,39)),"",INDEX('Legend(DX)'!$AA$14:$AA$15,39))</f>
        <v/>
      </c>
      <c r="F326" s="715"/>
      <c r="G326" s="715"/>
      <c r="H326" s="715"/>
      <c r="I326" s="715"/>
      <c r="J326" s="715"/>
      <c r="K326" s="890">
        <f t="shared" si="358"/>
        <v>0</v>
      </c>
      <c r="L326" s="718"/>
      <c r="M326" s="720"/>
      <c r="N326" s="972">
        <f t="shared" si="425"/>
        <v>-1</v>
      </c>
      <c r="O326" s="972">
        <f t="shared" si="359"/>
        <v>-1</v>
      </c>
      <c r="P326" s="972">
        <f t="shared" si="426"/>
        <v>-1</v>
      </c>
      <c r="Q326" s="972">
        <f t="shared" si="360"/>
        <v>-1</v>
      </c>
      <c r="R326" s="972">
        <f t="shared" si="427"/>
        <v>-1</v>
      </c>
      <c r="S326" s="972">
        <f t="shared" si="361"/>
        <v>-1</v>
      </c>
      <c r="T326" s="972">
        <f t="shared" si="428"/>
        <v>-1</v>
      </c>
      <c r="U326" s="972">
        <f t="shared" si="362"/>
        <v>-1</v>
      </c>
      <c r="V326" s="972">
        <f t="shared" si="429"/>
        <v>-1</v>
      </c>
      <c r="W326" s="972">
        <f t="shared" si="363"/>
        <v>-1</v>
      </c>
      <c r="X326" s="972">
        <f t="shared" si="430"/>
        <v>-1</v>
      </c>
      <c r="Y326" s="972">
        <f t="shared" si="364"/>
        <v>-1</v>
      </c>
      <c r="Z326" s="972">
        <f t="shared" si="365"/>
        <v>-1</v>
      </c>
      <c r="AA326" s="972">
        <f t="shared" si="366"/>
        <v>-1</v>
      </c>
      <c r="AB326" s="972">
        <f t="shared" si="367"/>
        <v>-1</v>
      </c>
      <c r="AC326" s="972">
        <f t="shared" si="368"/>
        <v>-1</v>
      </c>
      <c r="AD326" s="972">
        <f t="shared" si="369"/>
        <v>-1</v>
      </c>
      <c r="AE326" s="972">
        <f t="shared" si="370"/>
        <v>-1</v>
      </c>
      <c r="AF326" s="972">
        <f t="shared" si="371"/>
        <v>-1</v>
      </c>
      <c r="AG326" s="972">
        <f t="shared" si="372"/>
        <v>-1</v>
      </c>
      <c r="AH326" s="972">
        <f t="shared" si="373"/>
        <v>-1</v>
      </c>
      <c r="AI326" s="972">
        <f t="shared" si="374"/>
        <v>-1</v>
      </c>
      <c r="AJ326" s="972">
        <f t="shared" si="375"/>
        <v>-1</v>
      </c>
      <c r="AK326" s="381"/>
      <c r="AL326" s="727" t="str">
        <f t="shared" si="376"/>
        <v/>
      </c>
      <c r="AM326" s="409">
        <f t="shared" si="404"/>
        <v>0</v>
      </c>
      <c r="AN326" s="409">
        <f t="shared" si="404"/>
        <v>0</v>
      </c>
      <c r="AO326" s="409">
        <f t="shared" si="404"/>
        <v>0</v>
      </c>
      <c r="AP326" s="409">
        <f t="shared" si="404"/>
        <v>0</v>
      </c>
      <c r="AQ326" s="409">
        <f t="shared" si="404"/>
        <v>0</v>
      </c>
      <c r="AR326" s="409">
        <f t="shared" si="404"/>
        <v>0</v>
      </c>
      <c r="AS326" s="409">
        <f t="shared" si="404"/>
        <v>0</v>
      </c>
      <c r="AT326" s="409">
        <f t="shared" si="404"/>
        <v>0</v>
      </c>
      <c r="AU326" s="409">
        <f t="shared" si="404"/>
        <v>0</v>
      </c>
      <c r="AV326" s="409">
        <f t="shared" si="404"/>
        <v>0</v>
      </c>
      <c r="AW326" s="409">
        <f t="shared" si="405"/>
        <v>0</v>
      </c>
      <c r="AX326" s="409">
        <f t="shared" si="405"/>
        <v>0</v>
      </c>
      <c r="AY326" s="409">
        <f t="shared" si="405"/>
        <v>0</v>
      </c>
      <c r="AZ326" s="409">
        <f t="shared" si="405"/>
        <v>0</v>
      </c>
      <c r="BA326" s="409">
        <f t="shared" si="405"/>
        <v>0</v>
      </c>
      <c r="BB326" s="409">
        <f t="shared" si="405"/>
        <v>0</v>
      </c>
      <c r="BC326" s="409">
        <f t="shared" si="405"/>
        <v>0</v>
      </c>
      <c r="BD326" s="409">
        <f t="shared" si="405"/>
        <v>0</v>
      </c>
      <c r="BE326" s="409">
        <f t="shared" si="405"/>
        <v>0</v>
      </c>
      <c r="BF326" s="409">
        <f t="shared" si="405"/>
        <v>0</v>
      </c>
      <c r="BG326" s="409">
        <f t="shared" si="406"/>
        <v>0</v>
      </c>
      <c r="BH326" s="409">
        <f t="shared" si="406"/>
        <v>0</v>
      </c>
      <c r="BI326" s="409">
        <f t="shared" si="406"/>
        <v>0</v>
      </c>
      <c r="BJ326" s="409">
        <f t="shared" si="406"/>
        <v>0</v>
      </c>
      <c r="BK326" s="409">
        <f t="shared" si="406"/>
        <v>0</v>
      </c>
      <c r="BL326" s="409">
        <f t="shared" si="406"/>
        <v>0</v>
      </c>
      <c r="BM326" s="409">
        <f t="shared" si="406"/>
        <v>0</v>
      </c>
      <c r="BN326" s="409">
        <f t="shared" si="406"/>
        <v>0</v>
      </c>
      <c r="BO326" s="409">
        <f t="shared" si="406"/>
        <v>0</v>
      </c>
      <c r="BP326" s="409">
        <f t="shared" si="406"/>
        <v>0</v>
      </c>
      <c r="BQ326" s="409">
        <f t="shared" si="407"/>
        <v>0</v>
      </c>
      <c r="BR326" s="409">
        <f t="shared" si="407"/>
        <v>0</v>
      </c>
      <c r="BS326" s="409">
        <f t="shared" si="407"/>
        <v>0</v>
      </c>
      <c r="BT326" s="409">
        <f t="shared" si="407"/>
        <v>0</v>
      </c>
      <c r="BU326" s="409">
        <f t="shared" si="407"/>
        <v>0</v>
      </c>
      <c r="BV326" s="409">
        <f t="shared" si="407"/>
        <v>0</v>
      </c>
      <c r="BW326" s="409">
        <f t="shared" si="407"/>
        <v>0</v>
      </c>
      <c r="BX326" s="409">
        <f t="shared" si="407"/>
        <v>0</v>
      </c>
      <c r="BY326" s="409">
        <f t="shared" si="407"/>
        <v>0</v>
      </c>
      <c r="BZ326" s="409">
        <f t="shared" si="407"/>
        <v>0</v>
      </c>
      <c r="CA326" s="409">
        <f t="shared" si="408"/>
        <v>0</v>
      </c>
      <c r="CB326" s="409">
        <f t="shared" si="408"/>
        <v>0</v>
      </c>
      <c r="CC326" s="409">
        <f t="shared" si="408"/>
        <v>0</v>
      </c>
      <c r="CD326" s="409">
        <f t="shared" si="408"/>
        <v>0</v>
      </c>
      <c r="CE326" s="409">
        <f t="shared" si="408"/>
        <v>0</v>
      </c>
      <c r="CF326" s="409">
        <f t="shared" si="408"/>
        <v>0</v>
      </c>
      <c r="CG326" s="409">
        <f t="shared" si="408"/>
        <v>0</v>
      </c>
      <c r="CH326" s="409">
        <f t="shared" si="408"/>
        <v>0</v>
      </c>
      <c r="CI326" s="409">
        <f t="shared" si="408"/>
        <v>0</v>
      </c>
      <c r="CJ326" s="409">
        <f t="shared" si="408"/>
        <v>0</v>
      </c>
      <c r="CK326" s="409">
        <f t="shared" si="409"/>
        <v>0</v>
      </c>
      <c r="CL326" s="409">
        <f t="shared" si="409"/>
        <v>0</v>
      </c>
      <c r="CM326" s="409">
        <f t="shared" si="409"/>
        <v>0</v>
      </c>
      <c r="CN326" s="409">
        <f t="shared" si="409"/>
        <v>0</v>
      </c>
      <c r="CO326" s="409">
        <f t="shared" si="409"/>
        <v>0</v>
      </c>
      <c r="CP326" s="409">
        <f t="shared" si="409"/>
        <v>0</v>
      </c>
      <c r="CQ326" s="409">
        <f t="shared" si="409"/>
        <v>0</v>
      </c>
      <c r="CR326" s="409">
        <f t="shared" si="409"/>
        <v>0</v>
      </c>
      <c r="CS326" s="409">
        <f t="shared" si="409"/>
        <v>0</v>
      </c>
      <c r="CT326" s="409">
        <f t="shared" si="409"/>
        <v>0</v>
      </c>
      <c r="CU326" s="409">
        <f t="shared" si="410"/>
        <v>0</v>
      </c>
      <c r="CV326" s="409">
        <f t="shared" si="410"/>
        <v>0</v>
      </c>
      <c r="CW326" s="409">
        <f t="shared" si="410"/>
        <v>0</v>
      </c>
      <c r="CX326" s="409">
        <f t="shared" si="410"/>
        <v>0</v>
      </c>
      <c r="CY326" s="409">
        <f t="shared" si="410"/>
        <v>0</v>
      </c>
      <c r="CZ326" s="409">
        <f t="shared" si="410"/>
        <v>0</v>
      </c>
      <c r="DA326" s="409">
        <f t="shared" si="410"/>
        <v>0</v>
      </c>
      <c r="DB326" s="409">
        <f t="shared" si="410"/>
        <v>0</v>
      </c>
      <c r="DC326" s="409">
        <f t="shared" si="410"/>
        <v>0</v>
      </c>
      <c r="DD326" s="409">
        <f t="shared" si="410"/>
        <v>0</v>
      </c>
      <c r="DE326" s="409">
        <f t="shared" si="411"/>
        <v>0</v>
      </c>
      <c r="DF326" s="409">
        <f t="shared" si="411"/>
        <v>0</v>
      </c>
      <c r="DG326" s="409">
        <f t="shared" si="411"/>
        <v>0</v>
      </c>
      <c r="DH326" s="409">
        <f t="shared" si="411"/>
        <v>0</v>
      </c>
      <c r="DI326" s="409">
        <f t="shared" si="411"/>
        <v>0</v>
      </c>
      <c r="DJ326" s="409">
        <f t="shared" si="411"/>
        <v>0</v>
      </c>
      <c r="DK326" s="409">
        <f t="shared" si="411"/>
        <v>0</v>
      </c>
      <c r="DL326" s="409">
        <f t="shared" si="411"/>
        <v>0</v>
      </c>
      <c r="DM326" s="409">
        <f t="shared" si="411"/>
        <v>0</v>
      </c>
      <c r="DN326" s="409">
        <f t="shared" si="411"/>
        <v>0</v>
      </c>
      <c r="DO326" s="409">
        <f t="shared" si="412"/>
        <v>0</v>
      </c>
      <c r="DP326" s="409">
        <f t="shared" si="412"/>
        <v>0</v>
      </c>
      <c r="DQ326" s="409">
        <f t="shared" si="412"/>
        <v>0</v>
      </c>
      <c r="DR326" s="409">
        <f t="shared" si="412"/>
        <v>0</v>
      </c>
      <c r="DS326" s="409">
        <f t="shared" si="412"/>
        <v>0</v>
      </c>
      <c r="DT326" s="409">
        <f t="shared" si="412"/>
        <v>0</v>
      </c>
      <c r="DU326" s="409">
        <f t="shared" si="412"/>
        <v>0</v>
      </c>
      <c r="DV326" s="409">
        <f t="shared" si="412"/>
        <v>0</v>
      </c>
      <c r="DW326" s="409">
        <f t="shared" si="412"/>
        <v>0</v>
      </c>
      <c r="DX326" s="409">
        <f t="shared" si="412"/>
        <v>0</v>
      </c>
      <c r="DY326" s="409">
        <f t="shared" si="413"/>
        <v>0</v>
      </c>
      <c r="DZ326" s="409">
        <f t="shared" si="413"/>
        <v>0</v>
      </c>
      <c r="EA326" s="409">
        <f t="shared" si="413"/>
        <v>0</v>
      </c>
      <c r="EB326" s="409">
        <f t="shared" si="413"/>
        <v>0</v>
      </c>
      <c r="EC326" s="409">
        <f t="shared" si="413"/>
        <v>0</v>
      </c>
      <c r="ED326" s="409">
        <f t="shared" si="413"/>
        <v>0</v>
      </c>
      <c r="EE326" s="409">
        <f t="shared" si="413"/>
        <v>0</v>
      </c>
      <c r="EF326" s="409">
        <f t="shared" si="413"/>
        <v>0</v>
      </c>
      <c r="EG326" s="409">
        <f t="shared" si="413"/>
        <v>0</v>
      </c>
      <c r="EH326" s="409">
        <f t="shared" si="413"/>
        <v>0</v>
      </c>
      <c r="EI326" s="409">
        <f t="shared" si="414"/>
        <v>0</v>
      </c>
      <c r="EJ326" s="409">
        <f t="shared" si="414"/>
        <v>0</v>
      </c>
      <c r="EK326" s="409">
        <f t="shared" si="414"/>
        <v>0</v>
      </c>
      <c r="EL326" s="409">
        <f t="shared" si="414"/>
        <v>0</v>
      </c>
      <c r="EM326" s="409">
        <f t="shared" si="414"/>
        <v>0</v>
      </c>
      <c r="EN326" s="409">
        <f t="shared" si="414"/>
        <v>0</v>
      </c>
      <c r="EO326" s="409">
        <f t="shared" si="414"/>
        <v>0</v>
      </c>
      <c r="EP326" s="409">
        <f t="shared" si="414"/>
        <v>0</v>
      </c>
      <c r="EQ326" s="409">
        <f t="shared" si="414"/>
        <v>0</v>
      </c>
      <c r="ER326" s="409">
        <f t="shared" si="414"/>
        <v>0</v>
      </c>
      <c r="ES326" s="409">
        <f t="shared" si="415"/>
        <v>0</v>
      </c>
      <c r="ET326" s="409">
        <f t="shared" si="415"/>
        <v>0</v>
      </c>
      <c r="EU326" s="409">
        <f t="shared" si="415"/>
        <v>0</v>
      </c>
      <c r="EV326" s="409">
        <f t="shared" si="415"/>
        <v>0</v>
      </c>
      <c r="EW326" s="409">
        <f t="shared" si="415"/>
        <v>0</v>
      </c>
      <c r="EX326" s="409">
        <f t="shared" si="415"/>
        <v>0</v>
      </c>
      <c r="EY326" s="409">
        <f t="shared" si="415"/>
        <v>0</v>
      </c>
      <c r="EZ326" s="409">
        <f t="shared" si="415"/>
        <v>0</v>
      </c>
      <c r="FA326" s="409">
        <f t="shared" si="415"/>
        <v>0</v>
      </c>
      <c r="FB326" s="409">
        <f t="shared" si="415"/>
        <v>0</v>
      </c>
      <c r="FC326" s="409">
        <f t="shared" si="416"/>
        <v>0</v>
      </c>
      <c r="FD326" s="409">
        <f t="shared" si="416"/>
        <v>0</v>
      </c>
      <c r="FE326" s="409">
        <f t="shared" si="416"/>
        <v>0</v>
      </c>
      <c r="FF326" s="409">
        <f t="shared" si="416"/>
        <v>0</v>
      </c>
      <c r="FG326" s="409">
        <f t="shared" si="416"/>
        <v>0</v>
      </c>
      <c r="FH326" s="409">
        <f t="shared" si="416"/>
        <v>0</v>
      </c>
      <c r="FI326" s="409">
        <f t="shared" si="416"/>
        <v>0</v>
      </c>
      <c r="FJ326" s="409">
        <f t="shared" si="416"/>
        <v>0</v>
      </c>
      <c r="FK326" s="409">
        <f t="shared" si="416"/>
        <v>0</v>
      </c>
      <c r="FL326" s="409">
        <f t="shared" si="416"/>
        <v>0</v>
      </c>
      <c r="FM326" s="409">
        <f t="shared" si="417"/>
        <v>0</v>
      </c>
      <c r="FN326" s="409">
        <f t="shared" si="417"/>
        <v>0</v>
      </c>
      <c r="FO326" s="409">
        <f t="shared" si="417"/>
        <v>0</v>
      </c>
      <c r="FP326" s="409">
        <f t="shared" si="417"/>
        <v>0</v>
      </c>
      <c r="FQ326" s="409">
        <f t="shared" si="417"/>
        <v>0</v>
      </c>
      <c r="FR326" s="409">
        <f t="shared" si="417"/>
        <v>0</v>
      </c>
      <c r="FS326" s="409">
        <f t="shared" si="417"/>
        <v>0</v>
      </c>
      <c r="FT326" s="409">
        <f t="shared" si="417"/>
        <v>0</v>
      </c>
      <c r="FU326" s="409">
        <f t="shared" si="417"/>
        <v>0</v>
      </c>
      <c r="FV326" s="409">
        <f t="shared" si="417"/>
        <v>0</v>
      </c>
      <c r="FW326" s="409">
        <f t="shared" si="418"/>
        <v>0</v>
      </c>
      <c r="FX326" s="409">
        <f t="shared" si="418"/>
        <v>0</v>
      </c>
      <c r="FY326" s="409">
        <f t="shared" si="418"/>
        <v>0</v>
      </c>
      <c r="FZ326" s="409">
        <f t="shared" si="418"/>
        <v>0</v>
      </c>
      <c r="GA326" s="409">
        <f t="shared" si="418"/>
        <v>0</v>
      </c>
      <c r="GB326" s="409">
        <f t="shared" si="418"/>
        <v>0</v>
      </c>
      <c r="GC326" s="409">
        <f t="shared" si="418"/>
        <v>0</v>
      </c>
      <c r="GD326" s="409">
        <f t="shared" si="418"/>
        <v>0</v>
      </c>
      <c r="GE326" s="409">
        <f t="shared" si="418"/>
        <v>0</v>
      </c>
      <c r="GF326" s="409">
        <f t="shared" si="418"/>
        <v>0</v>
      </c>
      <c r="GG326" s="409">
        <f t="shared" si="419"/>
        <v>0</v>
      </c>
      <c r="GH326" s="409">
        <f t="shared" si="419"/>
        <v>0</v>
      </c>
      <c r="GI326" s="409">
        <f t="shared" si="419"/>
        <v>0</v>
      </c>
      <c r="GJ326" s="409">
        <f t="shared" si="419"/>
        <v>0</v>
      </c>
      <c r="GK326" s="409">
        <f t="shared" si="419"/>
        <v>0</v>
      </c>
      <c r="GL326" s="409">
        <f t="shared" si="419"/>
        <v>0</v>
      </c>
      <c r="GM326" s="409">
        <f t="shared" si="419"/>
        <v>0</v>
      </c>
      <c r="GN326" s="409">
        <f t="shared" si="419"/>
        <v>0</v>
      </c>
      <c r="GO326" s="409">
        <f t="shared" si="419"/>
        <v>0</v>
      </c>
      <c r="GP326" s="409">
        <f t="shared" si="419"/>
        <v>0</v>
      </c>
      <c r="GQ326" s="409">
        <f t="shared" si="420"/>
        <v>0</v>
      </c>
      <c r="GR326" s="409">
        <f t="shared" si="420"/>
        <v>0</v>
      </c>
      <c r="GS326" s="409">
        <f t="shared" si="420"/>
        <v>0</v>
      </c>
      <c r="GT326" s="409">
        <f t="shared" si="420"/>
        <v>0</v>
      </c>
      <c r="GU326" s="409">
        <f t="shared" si="420"/>
        <v>0</v>
      </c>
      <c r="GV326" s="409">
        <f t="shared" si="420"/>
        <v>0</v>
      </c>
      <c r="GW326" s="409">
        <f t="shared" si="420"/>
        <v>0</v>
      </c>
      <c r="GX326" s="409">
        <f t="shared" si="420"/>
        <v>0</v>
      </c>
      <c r="GY326" s="409">
        <f t="shared" si="420"/>
        <v>0</v>
      </c>
      <c r="GZ326" s="409">
        <f t="shared" si="420"/>
        <v>0</v>
      </c>
      <c r="HA326" s="409">
        <f t="shared" si="421"/>
        <v>0</v>
      </c>
      <c r="HB326" s="409">
        <f t="shared" si="421"/>
        <v>0</v>
      </c>
      <c r="HC326" s="409">
        <f t="shared" si="421"/>
        <v>0</v>
      </c>
      <c r="HD326" s="409">
        <f t="shared" si="421"/>
        <v>0</v>
      </c>
      <c r="HE326" s="409">
        <f t="shared" si="421"/>
        <v>0</v>
      </c>
      <c r="HF326" s="409">
        <f t="shared" si="421"/>
        <v>0</v>
      </c>
      <c r="HG326" s="409">
        <f t="shared" si="421"/>
        <v>0</v>
      </c>
      <c r="HH326" s="409">
        <f t="shared" si="421"/>
        <v>0</v>
      </c>
      <c r="HI326" s="409">
        <f t="shared" si="421"/>
        <v>0</v>
      </c>
      <c r="HJ326" s="409">
        <f t="shared" si="421"/>
        <v>0</v>
      </c>
      <c r="HK326" s="409">
        <f t="shared" si="422"/>
        <v>0</v>
      </c>
      <c r="HL326" s="409">
        <f t="shared" si="422"/>
        <v>0</v>
      </c>
      <c r="HM326" s="409">
        <f t="shared" si="422"/>
        <v>0</v>
      </c>
      <c r="HN326" s="409">
        <f t="shared" si="422"/>
        <v>0</v>
      </c>
      <c r="HO326" s="409">
        <f t="shared" si="422"/>
        <v>0</v>
      </c>
      <c r="HP326" s="409">
        <f t="shared" si="422"/>
        <v>0</v>
      </c>
      <c r="HQ326" s="409">
        <f t="shared" si="422"/>
        <v>0</v>
      </c>
      <c r="HR326" s="409">
        <f t="shared" si="422"/>
        <v>0</v>
      </c>
      <c r="HS326" s="409">
        <f t="shared" si="422"/>
        <v>0</v>
      </c>
      <c r="HT326" s="409">
        <f t="shared" si="422"/>
        <v>0</v>
      </c>
      <c r="HU326" s="409">
        <f t="shared" si="423"/>
        <v>0</v>
      </c>
      <c r="HV326" s="409">
        <f t="shared" si="423"/>
        <v>0</v>
      </c>
      <c r="HW326" s="409">
        <f t="shared" si="423"/>
        <v>0</v>
      </c>
      <c r="HX326" s="409">
        <f t="shared" si="423"/>
        <v>0</v>
      </c>
      <c r="HY326" s="409">
        <f t="shared" si="423"/>
        <v>0</v>
      </c>
      <c r="HZ326" s="409">
        <f t="shared" si="423"/>
        <v>0</v>
      </c>
      <c r="IA326" s="409">
        <f t="shared" si="423"/>
        <v>0</v>
      </c>
      <c r="IB326" s="409">
        <f t="shared" si="423"/>
        <v>0</v>
      </c>
      <c r="IC326" s="409">
        <f t="shared" si="423"/>
        <v>0</v>
      </c>
      <c r="ID326" s="409">
        <f t="shared" si="423"/>
        <v>0</v>
      </c>
      <c r="IE326" s="409">
        <f t="shared" si="424"/>
        <v>0</v>
      </c>
      <c r="IF326" s="409">
        <f t="shared" si="424"/>
        <v>0</v>
      </c>
      <c r="IG326" s="409">
        <f t="shared" si="424"/>
        <v>0</v>
      </c>
      <c r="IH326" s="409">
        <f t="shared" si="424"/>
        <v>0</v>
      </c>
      <c r="II326" s="409">
        <f t="shared" si="424"/>
        <v>0</v>
      </c>
      <c r="IJ326" s="409">
        <f t="shared" si="424"/>
        <v>0</v>
      </c>
      <c r="IK326" s="378"/>
    </row>
    <row r="327" spans="1:245" hidden="1" x14ac:dyDescent="0.2">
      <c r="A327" s="380" t="str">
        <f t="shared" si="357"/>
        <v>e</v>
      </c>
      <c r="B327" s="712" t="str">
        <f>IF(ISERROR(INDEX('Legend(DX)'!$H$14:$H$15,40)),"",INDEX('Legend(DX)'!$H$14:$H$15,40))</f>
        <v/>
      </c>
      <c r="C327" s="712" t="e">
        <f>IF(INDEX('Legend(DX)'!$T$14:$T$15,40)=0,"See Legend",INDEX('Legend(DX)'!$T$14:$T$15,40))</f>
        <v>#REF!</v>
      </c>
      <c r="D327" s="712" t="e">
        <f>IF(INDEX('Legend(DX)'!$R$14:$R$15,40)=0,"---",INDEX('Legend(DX)'!$R$14:$R$15,40))</f>
        <v>#REF!</v>
      </c>
      <c r="E327" s="713" t="str">
        <f>IF(ISERROR(INDEX('Legend(DX)'!$AA$14:$AA$15,40)),"",INDEX('Legend(DX)'!$AA$14:$AA$15,40))</f>
        <v/>
      </c>
      <c r="F327" s="715"/>
      <c r="G327" s="715"/>
      <c r="H327" s="715"/>
      <c r="I327" s="715"/>
      <c r="J327" s="715"/>
      <c r="K327" s="890">
        <f t="shared" si="358"/>
        <v>0</v>
      </c>
      <c r="L327" s="718"/>
      <c r="M327" s="720"/>
      <c r="N327" s="972">
        <f t="shared" si="425"/>
        <v>-1</v>
      </c>
      <c r="O327" s="972">
        <f t="shared" si="359"/>
        <v>-1</v>
      </c>
      <c r="P327" s="972">
        <f t="shared" si="426"/>
        <v>-1</v>
      </c>
      <c r="Q327" s="972">
        <f t="shared" si="360"/>
        <v>-1</v>
      </c>
      <c r="R327" s="972">
        <f t="shared" si="427"/>
        <v>-1</v>
      </c>
      <c r="S327" s="972">
        <f t="shared" si="361"/>
        <v>-1</v>
      </c>
      <c r="T327" s="972">
        <f t="shared" si="428"/>
        <v>-1</v>
      </c>
      <c r="U327" s="972">
        <f t="shared" si="362"/>
        <v>-1</v>
      </c>
      <c r="V327" s="972">
        <f t="shared" si="429"/>
        <v>-1</v>
      </c>
      <c r="W327" s="972">
        <f t="shared" si="363"/>
        <v>-1</v>
      </c>
      <c r="X327" s="972">
        <f t="shared" si="430"/>
        <v>-1</v>
      </c>
      <c r="Y327" s="972">
        <f t="shared" si="364"/>
        <v>-1</v>
      </c>
      <c r="Z327" s="972">
        <f t="shared" si="365"/>
        <v>-1</v>
      </c>
      <c r="AA327" s="972">
        <f t="shared" si="366"/>
        <v>-1</v>
      </c>
      <c r="AB327" s="972">
        <f t="shared" si="367"/>
        <v>-1</v>
      </c>
      <c r="AC327" s="972">
        <f t="shared" si="368"/>
        <v>-1</v>
      </c>
      <c r="AD327" s="972">
        <f t="shared" si="369"/>
        <v>-1</v>
      </c>
      <c r="AE327" s="972">
        <f t="shared" si="370"/>
        <v>-1</v>
      </c>
      <c r="AF327" s="972">
        <f t="shared" si="371"/>
        <v>-1</v>
      </c>
      <c r="AG327" s="972">
        <f t="shared" si="372"/>
        <v>-1</v>
      </c>
      <c r="AH327" s="972">
        <f t="shared" si="373"/>
        <v>-1</v>
      </c>
      <c r="AI327" s="972">
        <f t="shared" si="374"/>
        <v>-1</v>
      </c>
      <c r="AJ327" s="972">
        <f t="shared" si="375"/>
        <v>-1</v>
      </c>
      <c r="AK327" s="381"/>
      <c r="AL327" s="727" t="str">
        <f t="shared" si="376"/>
        <v/>
      </c>
      <c r="AM327" s="409">
        <f t="shared" si="404"/>
        <v>0</v>
      </c>
      <c r="AN327" s="409">
        <f t="shared" si="404"/>
        <v>0</v>
      </c>
      <c r="AO327" s="409">
        <f t="shared" si="404"/>
        <v>0</v>
      </c>
      <c r="AP327" s="409">
        <f t="shared" si="404"/>
        <v>0</v>
      </c>
      <c r="AQ327" s="409">
        <f t="shared" si="404"/>
        <v>0</v>
      </c>
      <c r="AR327" s="409">
        <f t="shared" si="404"/>
        <v>0</v>
      </c>
      <c r="AS327" s="409">
        <f t="shared" si="404"/>
        <v>0</v>
      </c>
      <c r="AT327" s="409">
        <f t="shared" si="404"/>
        <v>0</v>
      </c>
      <c r="AU327" s="409">
        <f t="shared" si="404"/>
        <v>0</v>
      </c>
      <c r="AV327" s="409">
        <f t="shared" si="404"/>
        <v>0</v>
      </c>
      <c r="AW327" s="409">
        <f t="shared" si="405"/>
        <v>0</v>
      </c>
      <c r="AX327" s="409">
        <f t="shared" si="405"/>
        <v>0</v>
      </c>
      <c r="AY327" s="409">
        <f t="shared" si="405"/>
        <v>0</v>
      </c>
      <c r="AZ327" s="409">
        <f t="shared" si="405"/>
        <v>0</v>
      </c>
      <c r="BA327" s="409">
        <f t="shared" si="405"/>
        <v>0</v>
      </c>
      <c r="BB327" s="409">
        <f t="shared" si="405"/>
        <v>0</v>
      </c>
      <c r="BC327" s="409">
        <f t="shared" si="405"/>
        <v>0</v>
      </c>
      <c r="BD327" s="409">
        <f t="shared" si="405"/>
        <v>0</v>
      </c>
      <c r="BE327" s="409">
        <f t="shared" si="405"/>
        <v>0</v>
      </c>
      <c r="BF327" s="409">
        <f t="shared" si="405"/>
        <v>0</v>
      </c>
      <c r="BG327" s="409">
        <f t="shared" si="406"/>
        <v>0</v>
      </c>
      <c r="BH327" s="409">
        <f t="shared" si="406"/>
        <v>0</v>
      </c>
      <c r="BI327" s="409">
        <f t="shared" si="406"/>
        <v>0</v>
      </c>
      <c r="BJ327" s="409">
        <f t="shared" si="406"/>
        <v>0</v>
      </c>
      <c r="BK327" s="409">
        <f t="shared" si="406"/>
        <v>0</v>
      </c>
      <c r="BL327" s="409">
        <f t="shared" si="406"/>
        <v>0</v>
      </c>
      <c r="BM327" s="409">
        <f t="shared" si="406"/>
        <v>0</v>
      </c>
      <c r="BN327" s="409">
        <f t="shared" si="406"/>
        <v>0</v>
      </c>
      <c r="BO327" s="409">
        <f t="shared" si="406"/>
        <v>0</v>
      </c>
      <c r="BP327" s="409">
        <f t="shared" si="406"/>
        <v>0</v>
      </c>
      <c r="BQ327" s="409">
        <f t="shared" si="407"/>
        <v>0</v>
      </c>
      <c r="BR327" s="409">
        <f t="shared" si="407"/>
        <v>0</v>
      </c>
      <c r="BS327" s="409">
        <f t="shared" si="407"/>
        <v>0</v>
      </c>
      <c r="BT327" s="409">
        <f t="shared" si="407"/>
        <v>0</v>
      </c>
      <c r="BU327" s="409">
        <f t="shared" si="407"/>
        <v>0</v>
      </c>
      <c r="BV327" s="409">
        <f t="shared" si="407"/>
        <v>0</v>
      </c>
      <c r="BW327" s="409">
        <f t="shared" si="407"/>
        <v>0</v>
      </c>
      <c r="BX327" s="409">
        <f t="shared" si="407"/>
        <v>0</v>
      </c>
      <c r="BY327" s="409">
        <f t="shared" si="407"/>
        <v>0</v>
      </c>
      <c r="BZ327" s="409">
        <f t="shared" si="407"/>
        <v>0</v>
      </c>
      <c r="CA327" s="409">
        <f t="shared" si="408"/>
        <v>0</v>
      </c>
      <c r="CB327" s="409">
        <f t="shared" si="408"/>
        <v>0</v>
      </c>
      <c r="CC327" s="409">
        <f t="shared" si="408"/>
        <v>0</v>
      </c>
      <c r="CD327" s="409">
        <f t="shared" si="408"/>
        <v>0</v>
      </c>
      <c r="CE327" s="409">
        <f t="shared" si="408"/>
        <v>0</v>
      </c>
      <c r="CF327" s="409">
        <f t="shared" si="408"/>
        <v>0</v>
      </c>
      <c r="CG327" s="409">
        <f t="shared" si="408"/>
        <v>0</v>
      </c>
      <c r="CH327" s="409">
        <f t="shared" si="408"/>
        <v>0</v>
      </c>
      <c r="CI327" s="409">
        <f t="shared" si="408"/>
        <v>0</v>
      </c>
      <c r="CJ327" s="409">
        <f t="shared" si="408"/>
        <v>0</v>
      </c>
      <c r="CK327" s="409">
        <f t="shared" si="409"/>
        <v>0</v>
      </c>
      <c r="CL327" s="409">
        <f t="shared" si="409"/>
        <v>0</v>
      </c>
      <c r="CM327" s="409">
        <f t="shared" si="409"/>
        <v>0</v>
      </c>
      <c r="CN327" s="409">
        <f t="shared" si="409"/>
        <v>0</v>
      </c>
      <c r="CO327" s="409">
        <f t="shared" si="409"/>
        <v>0</v>
      </c>
      <c r="CP327" s="409">
        <f t="shared" si="409"/>
        <v>0</v>
      </c>
      <c r="CQ327" s="409">
        <f t="shared" si="409"/>
        <v>0</v>
      </c>
      <c r="CR327" s="409">
        <f t="shared" si="409"/>
        <v>0</v>
      </c>
      <c r="CS327" s="409">
        <f t="shared" si="409"/>
        <v>0</v>
      </c>
      <c r="CT327" s="409">
        <f t="shared" si="409"/>
        <v>0</v>
      </c>
      <c r="CU327" s="409">
        <f t="shared" si="410"/>
        <v>0</v>
      </c>
      <c r="CV327" s="409">
        <f t="shared" si="410"/>
        <v>0</v>
      </c>
      <c r="CW327" s="409">
        <f t="shared" si="410"/>
        <v>0</v>
      </c>
      <c r="CX327" s="409">
        <f t="shared" si="410"/>
        <v>0</v>
      </c>
      <c r="CY327" s="409">
        <f t="shared" si="410"/>
        <v>0</v>
      </c>
      <c r="CZ327" s="409">
        <f t="shared" si="410"/>
        <v>0</v>
      </c>
      <c r="DA327" s="409">
        <f t="shared" si="410"/>
        <v>0</v>
      </c>
      <c r="DB327" s="409">
        <f t="shared" si="410"/>
        <v>0</v>
      </c>
      <c r="DC327" s="409">
        <f t="shared" si="410"/>
        <v>0</v>
      </c>
      <c r="DD327" s="409">
        <f t="shared" si="410"/>
        <v>0</v>
      </c>
      <c r="DE327" s="409">
        <f t="shared" si="411"/>
        <v>0</v>
      </c>
      <c r="DF327" s="409">
        <f t="shared" si="411"/>
        <v>0</v>
      </c>
      <c r="DG327" s="409">
        <f t="shared" si="411"/>
        <v>0</v>
      </c>
      <c r="DH327" s="409">
        <f t="shared" si="411"/>
        <v>0</v>
      </c>
      <c r="DI327" s="409">
        <f t="shared" si="411"/>
        <v>0</v>
      </c>
      <c r="DJ327" s="409">
        <f t="shared" si="411"/>
        <v>0</v>
      </c>
      <c r="DK327" s="409">
        <f t="shared" si="411"/>
        <v>0</v>
      </c>
      <c r="DL327" s="409">
        <f t="shared" si="411"/>
        <v>0</v>
      </c>
      <c r="DM327" s="409">
        <f t="shared" si="411"/>
        <v>0</v>
      </c>
      <c r="DN327" s="409">
        <f t="shared" si="411"/>
        <v>0</v>
      </c>
      <c r="DO327" s="409">
        <f t="shared" si="412"/>
        <v>0</v>
      </c>
      <c r="DP327" s="409">
        <f t="shared" si="412"/>
        <v>0</v>
      </c>
      <c r="DQ327" s="409">
        <f t="shared" si="412"/>
        <v>0</v>
      </c>
      <c r="DR327" s="409">
        <f t="shared" si="412"/>
        <v>0</v>
      </c>
      <c r="DS327" s="409">
        <f t="shared" si="412"/>
        <v>0</v>
      </c>
      <c r="DT327" s="409">
        <f t="shared" si="412"/>
        <v>0</v>
      </c>
      <c r="DU327" s="409">
        <f t="shared" si="412"/>
        <v>0</v>
      </c>
      <c r="DV327" s="409">
        <f t="shared" si="412"/>
        <v>0</v>
      </c>
      <c r="DW327" s="409">
        <f t="shared" si="412"/>
        <v>0</v>
      </c>
      <c r="DX327" s="409">
        <f t="shared" si="412"/>
        <v>0</v>
      </c>
      <c r="DY327" s="409">
        <f t="shared" si="413"/>
        <v>0</v>
      </c>
      <c r="DZ327" s="409">
        <f t="shared" si="413"/>
        <v>0</v>
      </c>
      <c r="EA327" s="409">
        <f t="shared" si="413"/>
        <v>0</v>
      </c>
      <c r="EB327" s="409">
        <f t="shared" si="413"/>
        <v>0</v>
      </c>
      <c r="EC327" s="409">
        <f t="shared" si="413"/>
        <v>0</v>
      </c>
      <c r="ED327" s="409">
        <f t="shared" si="413"/>
        <v>0</v>
      </c>
      <c r="EE327" s="409">
        <f t="shared" si="413"/>
        <v>0</v>
      </c>
      <c r="EF327" s="409">
        <f t="shared" si="413"/>
        <v>0</v>
      </c>
      <c r="EG327" s="409">
        <f t="shared" si="413"/>
        <v>0</v>
      </c>
      <c r="EH327" s="409">
        <f t="shared" si="413"/>
        <v>0</v>
      </c>
      <c r="EI327" s="409">
        <f t="shared" si="414"/>
        <v>0</v>
      </c>
      <c r="EJ327" s="409">
        <f t="shared" si="414"/>
        <v>0</v>
      </c>
      <c r="EK327" s="409">
        <f t="shared" si="414"/>
        <v>0</v>
      </c>
      <c r="EL327" s="409">
        <f t="shared" si="414"/>
        <v>0</v>
      </c>
      <c r="EM327" s="409">
        <f t="shared" si="414"/>
        <v>0</v>
      </c>
      <c r="EN327" s="409">
        <f t="shared" si="414"/>
        <v>0</v>
      </c>
      <c r="EO327" s="409">
        <f t="shared" si="414"/>
        <v>0</v>
      </c>
      <c r="EP327" s="409">
        <f t="shared" si="414"/>
        <v>0</v>
      </c>
      <c r="EQ327" s="409">
        <f t="shared" si="414"/>
        <v>0</v>
      </c>
      <c r="ER327" s="409">
        <f t="shared" si="414"/>
        <v>0</v>
      </c>
      <c r="ES327" s="409">
        <f t="shared" si="415"/>
        <v>0</v>
      </c>
      <c r="ET327" s="409">
        <f t="shared" si="415"/>
        <v>0</v>
      </c>
      <c r="EU327" s="409">
        <f t="shared" si="415"/>
        <v>0</v>
      </c>
      <c r="EV327" s="409">
        <f t="shared" si="415"/>
        <v>0</v>
      </c>
      <c r="EW327" s="409">
        <f t="shared" si="415"/>
        <v>0</v>
      </c>
      <c r="EX327" s="409">
        <f t="shared" si="415"/>
        <v>0</v>
      </c>
      <c r="EY327" s="409">
        <f t="shared" si="415"/>
        <v>0</v>
      </c>
      <c r="EZ327" s="409">
        <f t="shared" si="415"/>
        <v>0</v>
      </c>
      <c r="FA327" s="409">
        <f t="shared" si="415"/>
        <v>0</v>
      </c>
      <c r="FB327" s="409">
        <f t="shared" si="415"/>
        <v>0</v>
      </c>
      <c r="FC327" s="409">
        <f t="shared" si="416"/>
        <v>0</v>
      </c>
      <c r="FD327" s="409">
        <f t="shared" si="416"/>
        <v>0</v>
      </c>
      <c r="FE327" s="409">
        <f t="shared" si="416"/>
        <v>0</v>
      </c>
      <c r="FF327" s="409">
        <f t="shared" si="416"/>
        <v>0</v>
      </c>
      <c r="FG327" s="409">
        <f t="shared" si="416"/>
        <v>0</v>
      </c>
      <c r="FH327" s="409">
        <f t="shared" si="416"/>
        <v>0</v>
      </c>
      <c r="FI327" s="409">
        <f t="shared" si="416"/>
        <v>0</v>
      </c>
      <c r="FJ327" s="409">
        <f t="shared" si="416"/>
        <v>0</v>
      </c>
      <c r="FK327" s="409">
        <f t="shared" si="416"/>
        <v>0</v>
      </c>
      <c r="FL327" s="409">
        <f t="shared" si="416"/>
        <v>0</v>
      </c>
      <c r="FM327" s="409">
        <f t="shared" si="417"/>
        <v>0</v>
      </c>
      <c r="FN327" s="409">
        <f t="shared" si="417"/>
        <v>0</v>
      </c>
      <c r="FO327" s="409">
        <f t="shared" si="417"/>
        <v>0</v>
      </c>
      <c r="FP327" s="409">
        <f t="shared" si="417"/>
        <v>0</v>
      </c>
      <c r="FQ327" s="409">
        <f t="shared" si="417"/>
        <v>0</v>
      </c>
      <c r="FR327" s="409">
        <f t="shared" si="417"/>
        <v>0</v>
      </c>
      <c r="FS327" s="409">
        <f t="shared" si="417"/>
        <v>0</v>
      </c>
      <c r="FT327" s="409">
        <f t="shared" si="417"/>
        <v>0</v>
      </c>
      <c r="FU327" s="409">
        <f t="shared" si="417"/>
        <v>0</v>
      </c>
      <c r="FV327" s="409">
        <f t="shared" si="417"/>
        <v>0</v>
      </c>
      <c r="FW327" s="409">
        <f t="shared" si="418"/>
        <v>0</v>
      </c>
      <c r="FX327" s="409">
        <f t="shared" si="418"/>
        <v>0</v>
      </c>
      <c r="FY327" s="409">
        <f t="shared" si="418"/>
        <v>0</v>
      </c>
      <c r="FZ327" s="409">
        <f t="shared" si="418"/>
        <v>0</v>
      </c>
      <c r="GA327" s="409">
        <f t="shared" si="418"/>
        <v>0</v>
      </c>
      <c r="GB327" s="409">
        <f t="shared" si="418"/>
        <v>0</v>
      </c>
      <c r="GC327" s="409">
        <f t="shared" si="418"/>
        <v>0</v>
      </c>
      <c r="GD327" s="409">
        <f t="shared" si="418"/>
        <v>0</v>
      </c>
      <c r="GE327" s="409">
        <f t="shared" si="418"/>
        <v>0</v>
      </c>
      <c r="GF327" s="409">
        <f t="shared" si="418"/>
        <v>0</v>
      </c>
      <c r="GG327" s="409">
        <f t="shared" si="419"/>
        <v>0</v>
      </c>
      <c r="GH327" s="409">
        <f t="shared" si="419"/>
        <v>0</v>
      </c>
      <c r="GI327" s="409">
        <f t="shared" si="419"/>
        <v>0</v>
      </c>
      <c r="GJ327" s="409">
        <f t="shared" si="419"/>
        <v>0</v>
      </c>
      <c r="GK327" s="409">
        <f t="shared" si="419"/>
        <v>0</v>
      </c>
      <c r="GL327" s="409">
        <f t="shared" si="419"/>
        <v>0</v>
      </c>
      <c r="GM327" s="409">
        <f t="shared" si="419"/>
        <v>0</v>
      </c>
      <c r="GN327" s="409">
        <f t="shared" si="419"/>
        <v>0</v>
      </c>
      <c r="GO327" s="409">
        <f t="shared" si="419"/>
        <v>0</v>
      </c>
      <c r="GP327" s="409">
        <f t="shared" si="419"/>
        <v>0</v>
      </c>
      <c r="GQ327" s="409">
        <f t="shared" si="420"/>
        <v>0</v>
      </c>
      <c r="GR327" s="409">
        <f t="shared" si="420"/>
        <v>0</v>
      </c>
      <c r="GS327" s="409">
        <f t="shared" si="420"/>
        <v>0</v>
      </c>
      <c r="GT327" s="409">
        <f t="shared" si="420"/>
        <v>0</v>
      </c>
      <c r="GU327" s="409">
        <f t="shared" si="420"/>
        <v>0</v>
      </c>
      <c r="GV327" s="409">
        <f t="shared" si="420"/>
        <v>0</v>
      </c>
      <c r="GW327" s="409">
        <f t="shared" si="420"/>
        <v>0</v>
      </c>
      <c r="GX327" s="409">
        <f t="shared" si="420"/>
        <v>0</v>
      </c>
      <c r="GY327" s="409">
        <f t="shared" si="420"/>
        <v>0</v>
      </c>
      <c r="GZ327" s="409">
        <f t="shared" si="420"/>
        <v>0</v>
      </c>
      <c r="HA327" s="409">
        <f t="shared" si="421"/>
        <v>0</v>
      </c>
      <c r="HB327" s="409">
        <f t="shared" si="421"/>
        <v>0</v>
      </c>
      <c r="HC327" s="409">
        <f t="shared" si="421"/>
        <v>0</v>
      </c>
      <c r="HD327" s="409">
        <f t="shared" si="421"/>
        <v>0</v>
      </c>
      <c r="HE327" s="409">
        <f t="shared" si="421"/>
        <v>0</v>
      </c>
      <c r="HF327" s="409">
        <f t="shared" si="421"/>
        <v>0</v>
      </c>
      <c r="HG327" s="409">
        <f t="shared" si="421"/>
        <v>0</v>
      </c>
      <c r="HH327" s="409">
        <f t="shared" si="421"/>
        <v>0</v>
      </c>
      <c r="HI327" s="409">
        <f t="shared" si="421"/>
        <v>0</v>
      </c>
      <c r="HJ327" s="409">
        <f t="shared" si="421"/>
        <v>0</v>
      </c>
      <c r="HK327" s="409">
        <f t="shared" si="422"/>
        <v>0</v>
      </c>
      <c r="HL327" s="409">
        <f t="shared" si="422"/>
        <v>0</v>
      </c>
      <c r="HM327" s="409">
        <f t="shared" si="422"/>
        <v>0</v>
      </c>
      <c r="HN327" s="409">
        <f t="shared" si="422"/>
        <v>0</v>
      </c>
      <c r="HO327" s="409">
        <f t="shared" si="422"/>
        <v>0</v>
      </c>
      <c r="HP327" s="409">
        <f t="shared" si="422"/>
        <v>0</v>
      </c>
      <c r="HQ327" s="409">
        <f t="shared" si="422"/>
        <v>0</v>
      </c>
      <c r="HR327" s="409">
        <f t="shared" si="422"/>
        <v>0</v>
      </c>
      <c r="HS327" s="409">
        <f t="shared" si="422"/>
        <v>0</v>
      </c>
      <c r="HT327" s="409">
        <f t="shared" si="422"/>
        <v>0</v>
      </c>
      <c r="HU327" s="409">
        <f t="shared" si="423"/>
        <v>0</v>
      </c>
      <c r="HV327" s="409">
        <f t="shared" si="423"/>
        <v>0</v>
      </c>
      <c r="HW327" s="409">
        <f t="shared" si="423"/>
        <v>0</v>
      </c>
      <c r="HX327" s="409">
        <f t="shared" si="423"/>
        <v>0</v>
      </c>
      <c r="HY327" s="409">
        <f t="shared" si="423"/>
        <v>0</v>
      </c>
      <c r="HZ327" s="409">
        <f t="shared" si="423"/>
        <v>0</v>
      </c>
      <c r="IA327" s="409">
        <f t="shared" si="423"/>
        <v>0</v>
      </c>
      <c r="IB327" s="409">
        <f t="shared" si="423"/>
        <v>0</v>
      </c>
      <c r="IC327" s="409">
        <f t="shared" si="423"/>
        <v>0</v>
      </c>
      <c r="ID327" s="409">
        <f t="shared" si="423"/>
        <v>0</v>
      </c>
      <c r="IE327" s="409">
        <f t="shared" si="424"/>
        <v>0</v>
      </c>
      <c r="IF327" s="409">
        <f t="shared" si="424"/>
        <v>0</v>
      </c>
      <c r="IG327" s="409">
        <f t="shared" si="424"/>
        <v>0</v>
      </c>
      <c r="IH327" s="409">
        <f t="shared" si="424"/>
        <v>0</v>
      </c>
      <c r="II327" s="409">
        <f t="shared" si="424"/>
        <v>0</v>
      </c>
      <c r="IJ327" s="409">
        <f t="shared" si="424"/>
        <v>0</v>
      </c>
      <c r="IK327" s="378"/>
    </row>
    <row r="328" spans="1:245" hidden="1" x14ac:dyDescent="0.2">
      <c r="A328" s="380" t="str">
        <f t="shared" si="357"/>
        <v>e</v>
      </c>
      <c r="B328" s="712" t="str">
        <f>IF(ISERROR(INDEX('Legend(DX)'!$H$14:$H$15,41)),"",INDEX('Legend(DX)'!$H$14:$H$15,41))</f>
        <v/>
      </c>
      <c r="C328" s="712" t="e">
        <f>IF(INDEX('Legend(DX)'!$T$14:$T$15,41)=0,"See Legend",INDEX('Legend(DX)'!$T$14:$T$15,41))</f>
        <v>#REF!</v>
      </c>
      <c r="D328" s="712" t="e">
        <f>IF(INDEX('Legend(DX)'!$R$14:$R$15,41)=0,"---",INDEX('Legend(DX)'!$R$14:$R$15,41))</f>
        <v>#REF!</v>
      </c>
      <c r="E328" s="713" t="str">
        <f>IF(ISERROR(INDEX('Legend(DX)'!$AA$14:$AA$15,41)),"",INDEX('Legend(DX)'!$AA$14:$AA$15,41))</f>
        <v/>
      </c>
      <c r="F328" s="715"/>
      <c r="G328" s="715"/>
      <c r="H328" s="715"/>
      <c r="I328" s="715"/>
      <c r="J328" s="715"/>
      <c r="K328" s="890">
        <f t="shared" si="358"/>
        <v>0</v>
      </c>
      <c r="L328" s="718"/>
      <c r="M328" s="720"/>
      <c r="N328" s="972">
        <f t="shared" si="425"/>
        <v>-1</v>
      </c>
      <c r="O328" s="972">
        <f t="shared" si="359"/>
        <v>-1</v>
      </c>
      <c r="P328" s="972">
        <f t="shared" si="426"/>
        <v>-1</v>
      </c>
      <c r="Q328" s="972">
        <f t="shared" si="360"/>
        <v>-1</v>
      </c>
      <c r="R328" s="972">
        <f t="shared" si="427"/>
        <v>-1</v>
      </c>
      <c r="S328" s="972">
        <f t="shared" si="361"/>
        <v>-1</v>
      </c>
      <c r="T328" s="972">
        <f t="shared" si="428"/>
        <v>-1</v>
      </c>
      <c r="U328" s="972">
        <f t="shared" si="362"/>
        <v>-1</v>
      </c>
      <c r="V328" s="972">
        <f t="shared" si="429"/>
        <v>-1</v>
      </c>
      <c r="W328" s="972">
        <f t="shared" si="363"/>
        <v>-1</v>
      </c>
      <c r="X328" s="972">
        <f t="shared" si="430"/>
        <v>-1</v>
      </c>
      <c r="Y328" s="972">
        <f t="shared" si="364"/>
        <v>-1</v>
      </c>
      <c r="Z328" s="972">
        <f t="shared" si="365"/>
        <v>-1</v>
      </c>
      <c r="AA328" s="972">
        <f t="shared" si="366"/>
        <v>-1</v>
      </c>
      <c r="AB328" s="972">
        <f t="shared" si="367"/>
        <v>-1</v>
      </c>
      <c r="AC328" s="972">
        <f t="shared" si="368"/>
        <v>-1</v>
      </c>
      <c r="AD328" s="972">
        <f t="shared" si="369"/>
        <v>-1</v>
      </c>
      <c r="AE328" s="972">
        <f t="shared" si="370"/>
        <v>-1</v>
      </c>
      <c r="AF328" s="972">
        <f t="shared" si="371"/>
        <v>-1</v>
      </c>
      <c r="AG328" s="972">
        <f t="shared" si="372"/>
        <v>-1</v>
      </c>
      <c r="AH328" s="972">
        <f t="shared" si="373"/>
        <v>-1</v>
      </c>
      <c r="AI328" s="972">
        <f t="shared" si="374"/>
        <v>-1</v>
      </c>
      <c r="AJ328" s="972">
        <f t="shared" si="375"/>
        <v>-1</v>
      </c>
      <c r="AK328" s="381"/>
      <c r="AL328" s="727" t="str">
        <f t="shared" si="376"/>
        <v/>
      </c>
      <c r="AM328" s="409">
        <f t="shared" ref="AM328:AV337" si="431">IF(ISNA(AM$7),"",IF(OR(AND(AM$7&lt;=$N328,AM$7&gt;$N328-TIME(0,TimeIncr,0)),AND(AM$7&lt;=$P328,AM$7&gt;$P328-TIME(0,TimeIncr,0)),AND(AM$7&lt;=$R328,AM$7&gt;$R328-TIME(0,TimeIncr,0)),AND(AM$7&lt;=$T328,AM$7&gt;$T328-TIME(0,TimeIncr,0)),AND(AM$7&lt;=$V328,AM$7&gt;$V328-TIME(0,TimeIncr,0)),AND(AM$7&lt;=$X328,AM$7&gt;$X328-TIME(0,TimeIncr,0))),$E328*$L328,IF(OR(AND(AM$7&gt;=$M328,AM$7&lt;=$N328),AND(AM$7&gt;=$O328,AM$7&lt;=$P328),AND(AM$7&gt;=$Q328,AM$7&lt;=$R328),AND(AM$7&gt;=$S328,AM$7&lt;=$T328),AND(AM$7&gt;=$U328,AM$7&lt;=$V328),AND(AM$7&gt;=$W328,AM$7&lt;=$X328)),0,IF(OR(AND($M328&gt;$N328,AM$7&lt;=$N328),AND($O328&gt;$P328,AM$7&lt;=$P328),AND($Q328&gt;$R328,AM$7&lt;=$R328),AND($S328&gt;$T328,AM$7&lt;=$T328),AND($U328&gt;$V328,AM$7&lt;=$V328),AND($W328&gt;$X328,AM$7&lt;=$X328)),0,IF(OR(AND(AM$7&gt;=$M328,$M328&gt;$N328),AND(AM$7&gt;=$O328,$O328&gt;$P328),AND(AM$7&gt;=$Q328,$Q328&gt;$R328),AND(AM$7&gt;=$S328,$S328&gt;$T328),AND(AM$7&gt;=$U328,$U328&gt;$V328),AND(AM$7&gt;=$W328,$W328&gt;$X328)),0,$E328)))))</f>
        <v>0</v>
      </c>
      <c r="AN328" s="409">
        <f t="shared" si="431"/>
        <v>0</v>
      </c>
      <c r="AO328" s="409">
        <f t="shared" si="431"/>
        <v>0</v>
      </c>
      <c r="AP328" s="409">
        <f t="shared" si="431"/>
        <v>0</v>
      </c>
      <c r="AQ328" s="409">
        <f t="shared" si="431"/>
        <v>0</v>
      </c>
      <c r="AR328" s="409">
        <f t="shared" si="431"/>
        <v>0</v>
      </c>
      <c r="AS328" s="409">
        <f t="shared" si="431"/>
        <v>0</v>
      </c>
      <c r="AT328" s="409">
        <f t="shared" si="431"/>
        <v>0</v>
      </c>
      <c r="AU328" s="409">
        <f t="shared" si="431"/>
        <v>0</v>
      </c>
      <c r="AV328" s="409">
        <f t="shared" si="431"/>
        <v>0</v>
      </c>
      <c r="AW328" s="409">
        <f t="shared" ref="AW328:BF337" si="432">IF(ISNA(AW$7),"",IF(OR(AND(AW$7&lt;=$N328,AW$7&gt;$N328-TIME(0,TimeIncr,0)),AND(AW$7&lt;=$P328,AW$7&gt;$P328-TIME(0,TimeIncr,0)),AND(AW$7&lt;=$R328,AW$7&gt;$R328-TIME(0,TimeIncr,0)),AND(AW$7&lt;=$T328,AW$7&gt;$T328-TIME(0,TimeIncr,0)),AND(AW$7&lt;=$V328,AW$7&gt;$V328-TIME(0,TimeIncr,0)),AND(AW$7&lt;=$X328,AW$7&gt;$X328-TIME(0,TimeIncr,0))),$E328*$L328,IF(OR(AND(AW$7&gt;=$M328,AW$7&lt;=$N328),AND(AW$7&gt;=$O328,AW$7&lt;=$P328),AND(AW$7&gt;=$Q328,AW$7&lt;=$R328),AND(AW$7&gt;=$S328,AW$7&lt;=$T328),AND(AW$7&gt;=$U328,AW$7&lt;=$V328),AND(AW$7&gt;=$W328,AW$7&lt;=$X328)),0,IF(OR(AND($M328&gt;$N328,AW$7&lt;=$N328),AND($O328&gt;$P328,AW$7&lt;=$P328),AND($Q328&gt;$R328,AW$7&lt;=$R328),AND($S328&gt;$T328,AW$7&lt;=$T328),AND($U328&gt;$V328,AW$7&lt;=$V328),AND($W328&gt;$X328,AW$7&lt;=$X328)),0,IF(OR(AND(AW$7&gt;=$M328,$M328&gt;$N328),AND(AW$7&gt;=$O328,$O328&gt;$P328),AND(AW$7&gt;=$Q328,$Q328&gt;$R328),AND(AW$7&gt;=$S328,$S328&gt;$T328),AND(AW$7&gt;=$U328,$U328&gt;$V328),AND(AW$7&gt;=$W328,$W328&gt;$X328)),0,$E328)))))</f>
        <v>0</v>
      </c>
      <c r="AX328" s="409">
        <f t="shared" si="432"/>
        <v>0</v>
      </c>
      <c r="AY328" s="409">
        <f t="shared" si="432"/>
        <v>0</v>
      </c>
      <c r="AZ328" s="409">
        <f t="shared" si="432"/>
        <v>0</v>
      </c>
      <c r="BA328" s="409">
        <f t="shared" si="432"/>
        <v>0</v>
      </c>
      <c r="BB328" s="409">
        <f t="shared" si="432"/>
        <v>0</v>
      </c>
      <c r="BC328" s="409">
        <f t="shared" si="432"/>
        <v>0</v>
      </c>
      <c r="BD328" s="409">
        <f t="shared" si="432"/>
        <v>0</v>
      </c>
      <c r="BE328" s="409">
        <f t="shared" si="432"/>
        <v>0</v>
      </c>
      <c r="BF328" s="409">
        <f t="shared" si="432"/>
        <v>0</v>
      </c>
      <c r="BG328" s="409">
        <f t="shared" ref="BG328:BP337" si="433">IF(ISNA(BG$7),"",IF(OR(AND(BG$7&lt;=$N328,BG$7&gt;$N328-TIME(0,TimeIncr,0)),AND(BG$7&lt;=$P328,BG$7&gt;$P328-TIME(0,TimeIncr,0)),AND(BG$7&lt;=$R328,BG$7&gt;$R328-TIME(0,TimeIncr,0)),AND(BG$7&lt;=$T328,BG$7&gt;$T328-TIME(0,TimeIncr,0)),AND(BG$7&lt;=$V328,BG$7&gt;$V328-TIME(0,TimeIncr,0)),AND(BG$7&lt;=$X328,BG$7&gt;$X328-TIME(0,TimeIncr,0))),$E328*$L328,IF(OR(AND(BG$7&gt;=$M328,BG$7&lt;=$N328),AND(BG$7&gt;=$O328,BG$7&lt;=$P328),AND(BG$7&gt;=$Q328,BG$7&lt;=$R328),AND(BG$7&gt;=$S328,BG$7&lt;=$T328),AND(BG$7&gt;=$U328,BG$7&lt;=$V328),AND(BG$7&gt;=$W328,BG$7&lt;=$X328)),0,IF(OR(AND($M328&gt;$N328,BG$7&lt;=$N328),AND($O328&gt;$P328,BG$7&lt;=$P328),AND($Q328&gt;$R328,BG$7&lt;=$R328),AND($S328&gt;$T328,BG$7&lt;=$T328),AND($U328&gt;$V328,BG$7&lt;=$V328),AND($W328&gt;$X328,BG$7&lt;=$X328)),0,IF(OR(AND(BG$7&gt;=$M328,$M328&gt;$N328),AND(BG$7&gt;=$O328,$O328&gt;$P328),AND(BG$7&gt;=$Q328,$Q328&gt;$R328),AND(BG$7&gt;=$S328,$S328&gt;$T328),AND(BG$7&gt;=$U328,$U328&gt;$V328),AND(BG$7&gt;=$W328,$W328&gt;$X328)),0,$E328)))))</f>
        <v>0</v>
      </c>
      <c r="BH328" s="409">
        <f t="shared" si="433"/>
        <v>0</v>
      </c>
      <c r="BI328" s="409">
        <f t="shared" si="433"/>
        <v>0</v>
      </c>
      <c r="BJ328" s="409">
        <f t="shared" si="433"/>
        <v>0</v>
      </c>
      <c r="BK328" s="409">
        <f t="shared" si="433"/>
        <v>0</v>
      </c>
      <c r="BL328" s="409">
        <f t="shared" si="433"/>
        <v>0</v>
      </c>
      <c r="BM328" s="409">
        <f t="shared" si="433"/>
        <v>0</v>
      </c>
      <c r="BN328" s="409">
        <f t="shared" si="433"/>
        <v>0</v>
      </c>
      <c r="BO328" s="409">
        <f t="shared" si="433"/>
        <v>0</v>
      </c>
      <c r="BP328" s="409">
        <f t="shared" si="433"/>
        <v>0</v>
      </c>
      <c r="BQ328" s="409">
        <f t="shared" ref="BQ328:BZ337" si="434">IF(ISNA(BQ$7),"",IF(OR(AND(BQ$7&lt;=$N328,BQ$7&gt;$N328-TIME(0,TimeIncr,0)),AND(BQ$7&lt;=$P328,BQ$7&gt;$P328-TIME(0,TimeIncr,0)),AND(BQ$7&lt;=$R328,BQ$7&gt;$R328-TIME(0,TimeIncr,0)),AND(BQ$7&lt;=$T328,BQ$7&gt;$T328-TIME(0,TimeIncr,0)),AND(BQ$7&lt;=$V328,BQ$7&gt;$V328-TIME(0,TimeIncr,0)),AND(BQ$7&lt;=$X328,BQ$7&gt;$X328-TIME(0,TimeIncr,0))),$E328*$L328,IF(OR(AND(BQ$7&gt;=$M328,BQ$7&lt;=$N328),AND(BQ$7&gt;=$O328,BQ$7&lt;=$P328),AND(BQ$7&gt;=$Q328,BQ$7&lt;=$R328),AND(BQ$7&gt;=$S328,BQ$7&lt;=$T328),AND(BQ$7&gt;=$U328,BQ$7&lt;=$V328),AND(BQ$7&gt;=$W328,BQ$7&lt;=$X328)),0,IF(OR(AND($M328&gt;$N328,BQ$7&lt;=$N328),AND($O328&gt;$P328,BQ$7&lt;=$P328),AND($Q328&gt;$R328,BQ$7&lt;=$R328),AND($S328&gt;$T328,BQ$7&lt;=$T328),AND($U328&gt;$V328,BQ$7&lt;=$V328),AND($W328&gt;$X328,BQ$7&lt;=$X328)),0,IF(OR(AND(BQ$7&gt;=$M328,$M328&gt;$N328),AND(BQ$7&gt;=$O328,$O328&gt;$P328),AND(BQ$7&gt;=$Q328,$Q328&gt;$R328),AND(BQ$7&gt;=$S328,$S328&gt;$T328),AND(BQ$7&gt;=$U328,$U328&gt;$V328),AND(BQ$7&gt;=$W328,$W328&gt;$X328)),0,$E328)))))</f>
        <v>0</v>
      </c>
      <c r="BR328" s="409">
        <f t="shared" si="434"/>
        <v>0</v>
      </c>
      <c r="BS328" s="409">
        <f t="shared" si="434"/>
        <v>0</v>
      </c>
      <c r="BT328" s="409">
        <f t="shared" si="434"/>
        <v>0</v>
      </c>
      <c r="BU328" s="409">
        <f t="shared" si="434"/>
        <v>0</v>
      </c>
      <c r="BV328" s="409">
        <f t="shared" si="434"/>
        <v>0</v>
      </c>
      <c r="BW328" s="409">
        <f t="shared" si="434"/>
        <v>0</v>
      </c>
      <c r="BX328" s="409">
        <f t="shared" si="434"/>
        <v>0</v>
      </c>
      <c r="BY328" s="409">
        <f t="shared" si="434"/>
        <v>0</v>
      </c>
      <c r="BZ328" s="409">
        <f t="shared" si="434"/>
        <v>0</v>
      </c>
      <c r="CA328" s="409">
        <f t="shared" ref="CA328:CJ337" si="435">IF(ISNA(CA$7),"",IF(OR(AND(CA$7&lt;=$N328,CA$7&gt;$N328-TIME(0,TimeIncr,0)),AND(CA$7&lt;=$P328,CA$7&gt;$P328-TIME(0,TimeIncr,0)),AND(CA$7&lt;=$R328,CA$7&gt;$R328-TIME(0,TimeIncr,0)),AND(CA$7&lt;=$T328,CA$7&gt;$T328-TIME(0,TimeIncr,0)),AND(CA$7&lt;=$V328,CA$7&gt;$V328-TIME(0,TimeIncr,0)),AND(CA$7&lt;=$X328,CA$7&gt;$X328-TIME(0,TimeIncr,0))),$E328*$L328,IF(OR(AND(CA$7&gt;=$M328,CA$7&lt;=$N328),AND(CA$7&gt;=$O328,CA$7&lt;=$P328),AND(CA$7&gt;=$Q328,CA$7&lt;=$R328),AND(CA$7&gt;=$S328,CA$7&lt;=$T328),AND(CA$7&gt;=$U328,CA$7&lt;=$V328),AND(CA$7&gt;=$W328,CA$7&lt;=$X328)),0,IF(OR(AND($M328&gt;$N328,CA$7&lt;=$N328),AND($O328&gt;$P328,CA$7&lt;=$P328),AND($Q328&gt;$R328,CA$7&lt;=$R328),AND($S328&gt;$T328,CA$7&lt;=$T328),AND($U328&gt;$V328,CA$7&lt;=$V328),AND($W328&gt;$X328,CA$7&lt;=$X328)),0,IF(OR(AND(CA$7&gt;=$M328,$M328&gt;$N328),AND(CA$7&gt;=$O328,$O328&gt;$P328),AND(CA$7&gt;=$Q328,$Q328&gt;$R328),AND(CA$7&gt;=$S328,$S328&gt;$T328),AND(CA$7&gt;=$U328,$U328&gt;$V328),AND(CA$7&gt;=$W328,$W328&gt;$X328)),0,$E328)))))</f>
        <v>0</v>
      </c>
      <c r="CB328" s="409">
        <f t="shared" si="435"/>
        <v>0</v>
      </c>
      <c r="CC328" s="409">
        <f t="shared" si="435"/>
        <v>0</v>
      </c>
      <c r="CD328" s="409">
        <f t="shared" si="435"/>
        <v>0</v>
      </c>
      <c r="CE328" s="409">
        <f t="shared" si="435"/>
        <v>0</v>
      </c>
      <c r="CF328" s="409">
        <f t="shared" si="435"/>
        <v>0</v>
      </c>
      <c r="CG328" s="409">
        <f t="shared" si="435"/>
        <v>0</v>
      </c>
      <c r="CH328" s="409">
        <f t="shared" si="435"/>
        <v>0</v>
      </c>
      <c r="CI328" s="409">
        <f t="shared" si="435"/>
        <v>0</v>
      </c>
      <c r="CJ328" s="409">
        <f t="shared" si="435"/>
        <v>0</v>
      </c>
      <c r="CK328" s="409">
        <f t="shared" ref="CK328:CT337" si="436">IF(ISNA(CK$7),"",IF(OR(AND(CK$7&lt;=$N328,CK$7&gt;$N328-TIME(0,TimeIncr,0)),AND(CK$7&lt;=$P328,CK$7&gt;$P328-TIME(0,TimeIncr,0)),AND(CK$7&lt;=$R328,CK$7&gt;$R328-TIME(0,TimeIncr,0)),AND(CK$7&lt;=$T328,CK$7&gt;$T328-TIME(0,TimeIncr,0)),AND(CK$7&lt;=$V328,CK$7&gt;$V328-TIME(0,TimeIncr,0)),AND(CK$7&lt;=$X328,CK$7&gt;$X328-TIME(0,TimeIncr,0))),$E328*$L328,IF(OR(AND(CK$7&gt;=$M328,CK$7&lt;=$N328),AND(CK$7&gt;=$O328,CK$7&lt;=$P328),AND(CK$7&gt;=$Q328,CK$7&lt;=$R328),AND(CK$7&gt;=$S328,CK$7&lt;=$T328),AND(CK$7&gt;=$U328,CK$7&lt;=$V328),AND(CK$7&gt;=$W328,CK$7&lt;=$X328)),0,IF(OR(AND($M328&gt;$N328,CK$7&lt;=$N328),AND($O328&gt;$P328,CK$7&lt;=$P328),AND($Q328&gt;$R328,CK$7&lt;=$R328),AND($S328&gt;$T328,CK$7&lt;=$T328),AND($U328&gt;$V328,CK$7&lt;=$V328),AND($W328&gt;$X328,CK$7&lt;=$X328)),0,IF(OR(AND(CK$7&gt;=$M328,$M328&gt;$N328),AND(CK$7&gt;=$O328,$O328&gt;$P328),AND(CK$7&gt;=$Q328,$Q328&gt;$R328),AND(CK$7&gt;=$S328,$S328&gt;$T328),AND(CK$7&gt;=$U328,$U328&gt;$V328),AND(CK$7&gt;=$W328,$W328&gt;$X328)),0,$E328)))))</f>
        <v>0</v>
      </c>
      <c r="CL328" s="409">
        <f t="shared" si="436"/>
        <v>0</v>
      </c>
      <c r="CM328" s="409">
        <f t="shared" si="436"/>
        <v>0</v>
      </c>
      <c r="CN328" s="409">
        <f t="shared" si="436"/>
        <v>0</v>
      </c>
      <c r="CO328" s="409">
        <f t="shared" si="436"/>
        <v>0</v>
      </c>
      <c r="CP328" s="409">
        <f t="shared" si="436"/>
        <v>0</v>
      </c>
      <c r="CQ328" s="409">
        <f t="shared" si="436"/>
        <v>0</v>
      </c>
      <c r="CR328" s="409">
        <f t="shared" si="436"/>
        <v>0</v>
      </c>
      <c r="CS328" s="409">
        <f t="shared" si="436"/>
        <v>0</v>
      </c>
      <c r="CT328" s="409">
        <f t="shared" si="436"/>
        <v>0</v>
      </c>
      <c r="CU328" s="409">
        <f t="shared" ref="CU328:DD337" si="437">IF(ISNA(CU$7),"",IF(OR(AND(CU$7&lt;=$N328,CU$7&gt;$N328-TIME(0,TimeIncr,0)),AND(CU$7&lt;=$P328,CU$7&gt;$P328-TIME(0,TimeIncr,0)),AND(CU$7&lt;=$R328,CU$7&gt;$R328-TIME(0,TimeIncr,0)),AND(CU$7&lt;=$T328,CU$7&gt;$T328-TIME(0,TimeIncr,0)),AND(CU$7&lt;=$V328,CU$7&gt;$V328-TIME(0,TimeIncr,0)),AND(CU$7&lt;=$X328,CU$7&gt;$X328-TIME(0,TimeIncr,0))),$E328*$L328,IF(OR(AND(CU$7&gt;=$M328,CU$7&lt;=$N328),AND(CU$7&gt;=$O328,CU$7&lt;=$P328),AND(CU$7&gt;=$Q328,CU$7&lt;=$R328),AND(CU$7&gt;=$S328,CU$7&lt;=$T328),AND(CU$7&gt;=$U328,CU$7&lt;=$V328),AND(CU$7&gt;=$W328,CU$7&lt;=$X328)),0,IF(OR(AND($M328&gt;$N328,CU$7&lt;=$N328),AND($O328&gt;$P328,CU$7&lt;=$P328),AND($Q328&gt;$R328,CU$7&lt;=$R328),AND($S328&gt;$T328,CU$7&lt;=$T328),AND($U328&gt;$V328,CU$7&lt;=$V328),AND($W328&gt;$X328,CU$7&lt;=$X328)),0,IF(OR(AND(CU$7&gt;=$M328,$M328&gt;$N328),AND(CU$7&gt;=$O328,$O328&gt;$P328),AND(CU$7&gt;=$Q328,$Q328&gt;$R328),AND(CU$7&gt;=$S328,$S328&gt;$T328),AND(CU$7&gt;=$U328,$U328&gt;$V328),AND(CU$7&gt;=$W328,$W328&gt;$X328)),0,$E328)))))</f>
        <v>0</v>
      </c>
      <c r="CV328" s="409">
        <f t="shared" si="437"/>
        <v>0</v>
      </c>
      <c r="CW328" s="409">
        <f t="shared" si="437"/>
        <v>0</v>
      </c>
      <c r="CX328" s="409">
        <f t="shared" si="437"/>
        <v>0</v>
      </c>
      <c r="CY328" s="409">
        <f t="shared" si="437"/>
        <v>0</v>
      </c>
      <c r="CZ328" s="409">
        <f t="shared" si="437"/>
        <v>0</v>
      </c>
      <c r="DA328" s="409">
        <f t="shared" si="437"/>
        <v>0</v>
      </c>
      <c r="DB328" s="409">
        <f t="shared" si="437"/>
        <v>0</v>
      </c>
      <c r="DC328" s="409">
        <f t="shared" si="437"/>
        <v>0</v>
      </c>
      <c r="DD328" s="409">
        <f t="shared" si="437"/>
        <v>0</v>
      </c>
      <c r="DE328" s="409">
        <f t="shared" ref="DE328:DN337" si="438">IF(ISNA(DE$7),"",IF(OR(AND(DE$7&lt;=$N328,DE$7&gt;$N328-TIME(0,TimeIncr,0)),AND(DE$7&lt;=$P328,DE$7&gt;$P328-TIME(0,TimeIncr,0)),AND(DE$7&lt;=$R328,DE$7&gt;$R328-TIME(0,TimeIncr,0)),AND(DE$7&lt;=$T328,DE$7&gt;$T328-TIME(0,TimeIncr,0)),AND(DE$7&lt;=$V328,DE$7&gt;$V328-TIME(0,TimeIncr,0)),AND(DE$7&lt;=$X328,DE$7&gt;$X328-TIME(0,TimeIncr,0))),$E328*$L328,IF(OR(AND(DE$7&gt;=$M328,DE$7&lt;=$N328),AND(DE$7&gt;=$O328,DE$7&lt;=$P328),AND(DE$7&gt;=$Q328,DE$7&lt;=$R328),AND(DE$7&gt;=$S328,DE$7&lt;=$T328),AND(DE$7&gt;=$U328,DE$7&lt;=$V328),AND(DE$7&gt;=$W328,DE$7&lt;=$X328)),0,IF(OR(AND($M328&gt;$N328,DE$7&lt;=$N328),AND($O328&gt;$P328,DE$7&lt;=$P328),AND($Q328&gt;$R328,DE$7&lt;=$R328),AND($S328&gt;$T328,DE$7&lt;=$T328),AND($U328&gt;$V328,DE$7&lt;=$V328),AND($W328&gt;$X328,DE$7&lt;=$X328)),0,IF(OR(AND(DE$7&gt;=$M328,$M328&gt;$N328),AND(DE$7&gt;=$O328,$O328&gt;$P328),AND(DE$7&gt;=$Q328,$Q328&gt;$R328),AND(DE$7&gt;=$S328,$S328&gt;$T328),AND(DE$7&gt;=$U328,$U328&gt;$V328),AND(DE$7&gt;=$W328,$W328&gt;$X328)),0,$E328)))))</f>
        <v>0</v>
      </c>
      <c r="DF328" s="409">
        <f t="shared" si="438"/>
        <v>0</v>
      </c>
      <c r="DG328" s="409">
        <f t="shared" si="438"/>
        <v>0</v>
      </c>
      <c r="DH328" s="409">
        <f t="shared" si="438"/>
        <v>0</v>
      </c>
      <c r="DI328" s="409">
        <f t="shared" si="438"/>
        <v>0</v>
      </c>
      <c r="DJ328" s="409">
        <f t="shared" si="438"/>
        <v>0</v>
      </c>
      <c r="DK328" s="409">
        <f t="shared" si="438"/>
        <v>0</v>
      </c>
      <c r="DL328" s="409">
        <f t="shared" si="438"/>
        <v>0</v>
      </c>
      <c r="DM328" s="409">
        <f t="shared" si="438"/>
        <v>0</v>
      </c>
      <c r="DN328" s="409">
        <f t="shared" si="438"/>
        <v>0</v>
      </c>
      <c r="DO328" s="409">
        <f t="shared" ref="DO328:DX337" si="439">IF(ISNA(DO$7),"",IF(OR(AND(DO$7&lt;=$N328,DO$7&gt;$N328-TIME(0,TimeIncr,0)),AND(DO$7&lt;=$P328,DO$7&gt;$P328-TIME(0,TimeIncr,0)),AND(DO$7&lt;=$R328,DO$7&gt;$R328-TIME(0,TimeIncr,0)),AND(DO$7&lt;=$T328,DO$7&gt;$T328-TIME(0,TimeIncr,0)),AND(DO$7&lt;=$V328,DO$7&gt;$V328-TIME(0,TimeIncr,0)),AND(DO$7&lt;=$X328,DO$7&gt;$X328-TIME(0,TimeIncr,0))),$E328*$L328,IF(OR(AND(DO$7&gt;=$M328,DO$7&lt;=$N328),AND(DO$7&gt;=$O328,DO$7&lt;=$P328),AND(DO$7&gt;=$Q328,DO$7&lt;=$R328),AND(DO$7&gt;=$S328,DO$7&lt;=$T328),AND(DO$7&gt;=$U328,DO$7&lt;=$V328),AND(DO$7&gt;=$W328,DO$7&lt;=$X328)),0,IF(OR(AND($M328&gt;$N328,DO$7&lt;=$N328),AND($O328&gt;$P328,DO$7&lt;=$P328),AND($Q328&gt;$R328,DO$7&lt;=$R328),AND($S328&gt;$T328,DO$7&lt;=$T328),AND($U328&gt;$V328,DO$7&lt;=$V328),AND($W328&gt;$X328,DO$7&lt;=$X328)),0,IF(OR(AND(DO$7&gt;=$M328,$M328&gt;$N328),AND(DO$7&gt;=$O328,$O328&gt;$P328),AND(DO$7&gt;=$Q328,$Q328&gt;$R328),AND(DO$7&gt;=$S328,$S328&gt;$T328),AND(DO$7&gt;=$U328,$U328&gt;$V328),AND(DO$7&gt;=$W328,$W328&gt;$X328)),0,$E328)))))</f>
        <v>0</v>
      </c>
      <c r="DP328" s="409">
        <f t="shared" si="439"/>
        <v>0</v>
      </c>
      <c r="DQ328" s="409">
        <f t="shared" si="439"/>
        <v>0</v>
      </c>
      <c r="DR328" s="409">
        <f t="shared" si="439"/>
        <v>0</v>
      </c>
      <c r="DS328" s="409">
        <f t="shared" si="439"/>
        <v>0</v>
      </c>
      <c r="DT328" s="409">
        <f t="shared" si="439"/>
        <v>0</v>
      </c>
      <c r="DU328" s="409">
        <f t="shared" si="439"/>
        <v>0</v>
      </c>
      <c r="DV328" s="409">
        <f t="shared" si="439"/>
        <v>0</v>
      </c>
      <c r="DW328" s="409">
        <f t="shared" si="439"/>
        <v>0</v>
      </c>
      <c r="DX328" s="409">
        <f t="shared" si="439"/>
        <v>0</v>
      </c>
      <c r="DY328" s="409">
        <f t="shared" ref="DY328:EH337" si="440">IF(ISNA(DY$7),"",IF(OR(AND(DY$7&lt;=$N328,DY$7&gt;$N328-TIME(0,TimeIncr,0)),AND(DY$7&lt;=$P328,DY$7&gt;$P328-TIME(0,TimeIncr,0)),AND(DY$7&lt;=$R328,DY$7&gt;$R328-TIME(0,TimeIncr,0)),AND(DY$7&lt;=$T328,DY$7&gt;$T328-TIME(0,TimeIncr,0)),AND(DY$7&lt;=$V328,DY$7&gt;$V328-TIME(0,TimeIncr,0)),AND(DY$7&lt;=$X328,DY$7&gt;$X328-TIME(0,TimeIncr,0))),$E328*$L328,IF(OR(AND(DY$7&gt;=$M328,DY$7&lt;=$N328),AND(DY$7&gt;=$O328,DY$7&lt;=$P328),AND(DY$7&gt;=$Q328,DY$7&lt;=$R328),AND(DY$7&gt;=$S328,DY$7&lt;=$T328),AND(DY$7&gt;=$U328,DY$7&lt;=$V328),AND(DY$7&gt;=$W328,DY$7&lt;=$X328)),0,IF(OR(AND($M328&gt;$N328,DY$7&lt;=$N328),AND($O328&gt;$P328,DY$7&lt;=$P328),AND($Q328&gt;$R328,DY$7&lt;=$R328),AND($S328&gt;$T328,DY$7&lt;=$T328),AND($U328&gt;$V328,DY$7&lt;=$V328),AND($W328&gt;$X328,DY$7&lt;=$X328)),0,IF(OR(AND(DY$7&gt;=$M328,$M328&gt;$N328),AND(DY$7&gt;=$O328,$O328&gt;$P328),AND(DY$7&gt;=$Q328,$Q328&gt;$R328),AND(DY$7&gt;=$S328,$S328&gt;$T328),AND(DY$7&gt;=$U328,$U328&gt;$V328),AND(DY$7&gt;=$W328,$W328&gt;$X328)),0,$E328)))))</f>
        <v>0</v>
      </c>
      <c r="DZ328" s="409">
        <f t="shared" si="440"/>
        <v>0</v>
      </c>
      <c r="EA328" s="409">
        <f t="shared" si="440"/>
        <v>0</v>
      </c>
      <c r="EB328" s="409">
        <f t="shared" si="440"/>
        <v>0</v>
      </c>
      <c r="EC328" s="409">
        <f t="shared" si="440"/>
        <v>0</v>
      </c>
      <c r="ED328" s="409">
        <f t="shared" si="440"/>
        <v>0</v>
      </c>
      <c r="EE328" s="409">
        <f t="shared" si="440"/>
        <v>0</v>
      </c>
      <c r="EF328" s="409">
        <f t="shared" si="440"/>
        <v>0</v>
      </c>
      <c r="EG328" s="409">
        <f t="shared" si="440"/>
        <v>0</v>
      </c>
      <c r="EH328" s="409">
        <f t="shared" si="440"/>
        <v>0</v>
      </c>
      <c r="EI328" s="409">
        <f t="shared" ref="EI328:ER337" si="441">IF(ISNA(EI$7),"",IF(OR(AND(EI$7&lt;=$N328,EI$7&gt;$N328-TIME(0,TimeIncr,0)),AND(EI$7&lt;=$P328,EI$7&gt;$P328-TIME(0,TimeIncr,0)),AND(EI$7&lt;=$R328,EI$7&gt;$R328-TIME(0,TimeIncr,0)),AND(EI$7&lt;=$T328,EI$7&gt;$T328-TIME(0,TimeIncr,0)),AND(EI$7&lt;=$V328,EI$7&gt;$V328-TIME(0,TimeIncr,0)),AND(EI$7&lt;=$X328,EI$7&gt;$X328-TIME(0,TimeIncr,0))),$E328*$L328,IF(OR(AND(EI$7&gt;=$M328,EI$7&lt;=$N328),AND(EI$7&gt;=$O328,EI$7&lt;=$P328),AND(EI$7&gt;=$Q328,EI$7&lt;=$R328),AND(EI$7&gt;=$S328,EI$7&lt;=$T328),AND(EI$7&gt;=$U328,EI$7&lt;=$V328),AND(EI$7&gt;=$W328,EI$7&lt;=$X328)),0,IF(OR(AND($M328&gt;$N328,EI$7&lt;=$N328),AND($O328&gt;$P328,EI$7&lt;=$P328),AND($Q328&gt;$R328,EI$7&lt;=$R328),AND($S328&gt;$T328,EI$7&lt;=$T328),AND($U328&gt;$V328,EI$7&lt;=$V328),AND($W328&gt;$X328,EI$7&lt;=$X328)),0,IF(OR(AND(EI$7&gt;=$M328,$M328&gt;$N328),AND(EI$7&gt;=$O328,$O328&gt;$P328),AND(EI$7&gt;=$Q328,$Q328&gt;$R328),AND(EI$7&gt;=$S328,$S328&gt;$T328),AND(EI$7&gt;=$U328,$U328&gt;$V328),AND(EI$7&gt;=$W328,$W328&gt;$X328)),0,$E328)))))</f>
        <v>0</v>
      </c>
      <c r="EJ328" s="409">
        <f t="shared" si="441"/>
        <v>0</v>
      </c>
      <c r="EK328" s="409">
        <f t="shared" si="441"/>
        <v>0</v>
      </c>
      <c r="EL328" s="409">
        <f t="shared" si="441"/>
        <v>0</v>
      </c>
      <c r="EM328" s="409">
        <f t="shared" si="441"/>
        <v>0</v>
      </c>
      <c r="EN328" s="409">
        <f t="shared" si="441"/>
        <v>0</v>
      </c>
      <c r="EO328" s="409">
        <f t="shared" si="441"/>
        <v>0</v>
      </c>
      <c r="EP328" s="409">
        <f t="shared" si="441"/>
        <v>0</v>
      </c>
      <c r="EQ328" s="409">
        <f t="shared" si="441"/>
        <v>0</v>
      </c>
      <c r="ER328" s="409">
        <f t="shared" si="441"/>
        <v>0</v>
      </c>
      <c r="ES328" s="409">
        <f t="shared" ref="ES328:FB337" si="442">IF(ISNA(ES$7),"",IF(OR(AND(ES$7&lt;=$N328,ES$7&gt;$N328-TIME(0,TimeIncr,0)),AND(ES$7&lt;=$P328,ES$7&gt;$P328-TIME(0,TimeIncr,0)),AND(ES$7&lt;=$R328,ES$7&gt;$R328-TIME(0,TimeIncr,0)),AND(ES$7&lt;=$T328,ES$7&gt;$T328-TIME(0,TimeIncr,0)),AND(ES$7&lt;=$V328,ES$7&gt;$V328-TIME(0,TimeIncr,0)),AND(ES$7&lt;=$X328,ES$7&gt;$X328-TIME(0,TimeIncr,0))),$E328*$L328,IF(OR(AND(ES$7&gt;=$M328,ES$7&lt;=$N328),AND(ES$7&gt;=$O328,ES$7&lt;=$P328),AND(ES$7&gt;=$Q328,ES$7&lt;=$R328),AND(ES$7&gt;=$S328,ES$7&lt;=$T328),AND(ES$7&gt;=$U328,ES$7&lt;=$V328),AND(ES$7&gt;=$W328,ES$7&lt;=$X328)),0,IF(OR(AND($M328&gt;$N328,ES$7&lt;=$N328),AND($O328&gt;$P328,ES$7&lt;=$P328),AND($Q328&gt;$R328,ES$7&lt;=$R328),AND($S328&gt;$T328,ES$7&lt;=$T328),AND($U328&gt;$V328,ES$7&lt;=$V328),AND($W328&gt;$X328,ES$7&lt;=$X328)),0,IF(OR(AND(ES$7&gt;=$M328,$M328&gt;$N328),AND(ES$7&gt;=$O328,$O328&gt;$P328),AND(ES$7&gt;=$Q328,$Q328&gt;$R328),AND(ES$7&gt;=$S328,$S328&gt;$T328),AND(ES$7&gt;=$U328,$U328&gt;$V328),AND(ES$7&gt;=$W328,$W328&gt;$X328)),0,$E328)))))</f>
        <v>0</v>
      </c>
      <c r="ET328" s="409">
        <f t="shared" si="442"/>
        <v>0</v>
      </c>
      <c r="EU328" s="409">
        <f t="shared" si="442"/>
        <v>0</v>
      </c>
      <c r="EV328" s="409">
        <f t="shared" si="442"/>
        <v>0</v>
      </c>
      <c r="EW328" s="409">
        <f t="shared" si="442"/>
        <v>0</v>
      </c>
      <c r="EX328" s="409">
        <f t="shared" si="442"/>
        <v>0</v>
      </c>
      <c r="EY328" s="409">
        <f t="shared" si="442"/>
        <v>0</v>
      </c>
      <c r="EZ328" s="409">
        <f t="shared" si="442"/>
        <v>0</v>
      </c>
      <c r="FA328" s="409">
        <f t="shared" si="442"/>
        <v>0</v>
      </c>
      <c r="FB328" s="409">
        <f t="shared" si="442"/>
        <v>0</v>
      </c>
      <c r="FC328" s="409">
        <f t="shared" ref="FC328:FL337" si="443">IF(ISNA(FC$7),"",IF(OR(AND(FC$7&lt;=$N328,FC$7&gt;$N328-TIME(0,TimeIncr,0)),AND(FC$7&lt;=$P328,FC$7&gt;$P328-TIME(0,TimeIncr,0)),AND(FC$7&lt;=$R328,FC$7&gt;$R328-TIME(0,TimeIncr,0)),AND(FC$7&lt;=$T328,FC$7&gt;$T328-TIME(0,TimeIncr,0)),AND(FC$7&lt;=$V328,FC$7&gt;$V328-TIME(0,TimeIncr,0)),AND(FC$7&lt;=$X328,FC$7&gt;$X328-TIME(0,TimeIncr,0))),$E328*$L328,IF(OR(AND(FC$7&gt;=$M328,FC$7&lt;=$N328),AND(FC$7&gt;=$O328,FC$7&lt;=$P328),AND(FC$7&gt;=$Q328,FC$7&lt;=$R328),AND(FC$7&gt;=$S328,FC$7&lt;=$T328),AND(FC$7&gt;=$U328,FC$7&lt;=$V328),AND(FC$7&gt;=$W328,FC$7&lt;=$X328)),0,IF(OR(AND($M328&gt;$N328,FC$7&lt;=$N328),AND($O328&gt;$P328,FC$7&lt;=$P328),AND($Q328&gt;$R328,FC$7&lt;=$R328),AND($S328&gt;$T328,FC$7&lt;=$T328),AND($U328&gt;$V328,FC$7&lt;=$V328),AND($W328&gt;$X328,FC$7&lt;=$X328)),0,IF(OR(AND(FC$7&gt;=$M328,$M328&gt;$N328),AND(FC$7&gt;=$O328,$O328&gt;$P328),AND(FC$7&gt;=$Q328,$Q328&gt;$R328),AND(FC$7&gt;=$S328,$S328&gt;$T328),AND(FC$7&gt;=$U328,$U328&gt;$V328),AND(FC$7&gt;=$W328,$W328&gt;$X328)),0,$E328)))))</f>
        <v>0</v>
      </c>
      <c r="FD328" s="409">
        <f t="shared" si="443"/>
        <v>0</v>
      </c>
      <c r="FE328" s="409">
        <f t="shared" si="443"/>
        <v>0</v>
      </c>
      <c r="FF328" s="409">
        <f t="shared" si="443"/>
        <v>0</v>
      </c>
      <c r="FG328" s="409">
        <f t="shared" si="443"/>
        <v>0</v>
      </c>
      <c r="FH328" s="409">
        <f t="shared" si="443"/>
        <v>0</v>
      </c>
      <c r="FI328" s="409">
        <f t="shared" si="443"/>
        <v>0</v>
      </c>
      <c r="FJ328" s="409">
        <f t="shared" si="443"/>
        <v>0</v>
      </c>
      <c r="FK328" s="409">
        <f t="shared" si="443"/>
        <v>0</v>
      </c>
      <c r="FL328" s="409">
        <f t="shared" si="443"/>
        <v>0</v>
      </c>
      <c r="FM328" s="409">
        <f t="shared" ref="FM328:FV337" si="444">IF(ISNA(FM$7),"",IF(OR(AND(FM$7&lt;=$N328,FM$7&gt;$N328-TIME(0,TimeIncr,0)),AND(FM$7&lt;=$P328,FM$7&gt;$P328-TIME(0,TimeIncr,0)),AND(FM$7&lt;=$R328,FM$7&gt;$R328-TIME(0,TimeIncr,0)),AND(FM$7&lt;=$T328,FM$7&gt;$T328-TIME(0,TimeIncr,0)),AND(FM$7&lt;=$V328,FM$7&gt;$V328-TIME(0,TimeIncr,0)),AND(FM$7&lt;=$X328,FM$7&gt;$X328-TIME(0,TimeIncr,0))),$E328*$L328,IF(OR(AND(FM$7&gt;=$M328,FM$7&lt;=$N328),AND(FM$7&gt;=$O328,FM$7&lt;=$P328),AND(FM$7&gt;=$Q328,FM$7&lt;=$R328),AND(FM$7&gt;=$S328,FM$7&lt;=$T328),AND(FM$7&gt;=$U328,FM$7&lt;=$V328),AND(FM$7&gt;=$W328,FM$7&lt;=$X328)),0,IF(OR(AND($M328&gt;$N328,FM$7&lt;=$N328),AND($O328&gt;$P328,FM$7&lt;=$P328),AND($Q328&gt;$R328,FM$7&lt;=$R328),AND($S328&gt;$T328,FM$7&lt;=$T328),AND($U328&gt;$V328,FM$7&lt;=$V328),AND($W328&gt;$X328,FM$7&lt;=$X328)),0,IF(OR(AND(FM$7&gt;=$M328,$M328&gt;$N328),AND(FM$7&gt;=$O328,$O328&gt;$P328),AND(FM$7&gt;=$Q328,$Q328&gt;$R328),AND(FM$7&gt;=$S328,$S328&gt;$T328),AND(FM$7&gt;=$U328,$U328&gt;$V328),AND(FM$7&gt;=$W328,$W328&gt;$X328)),0,$E328)))))</f>
        <v>0</v>
      </c>
      <c r="FN328" s="409">
        <f t="shared" si="444"/>
        <v>0</v>
      </c>
      <c r="FO328" s="409">
        <f t="shared" si="444"/>
        <v>0</v>
      </c>
      <c r="FP328" s="409">
        <f t="shared" si="444"/>
        <v>0</v>
      </c>
      <c r="FQ328" s="409">
        <f t="shared" si="444"/>
        <v>0</v>
      </c>
      <c r="FR328" s="409">
        <f t="shared" si="444"/>
        <v>0</v>
      </c>
      <c r="FS328" s="409">
        <f t="shared" si="444"/>
        <v>0</v>
      </c>
      <c r="FT328" s="409">
        <f t="shared" si="444"/>
        <v>0</v>
      </c>
      <c r="FU328" s="409">
        <f t="shared" si="444"/>
        <v>0</v>
      </c>
      <c r="FV328" s="409">
        <f t="shared" si="444"/>
        <v>0</v>
      </c>
      <c r="FW328" s="409">
        <f t="shared" ref="FW328:GF337" si="445">IF(ISNA(FW$7),"",IF(OR(AND(FW$7&lt;=$N328,FW$7&gt;$N328-TIME(0,TimeIncr,0)),AND(FW$7&lt;=$P328,FW$7&gt;$P328-TIME(0,TimeIncr,0)),AND(FW$7&lt;=$R328,FW$7&gt;$R328-TIME(0,TimeIncr,0)),AND(FW$7&lt;=$T328,FW$7&gt;$T328-TIME(0,TimeIncr,0)),AND(FW$7&lt;=$V328,FW$7&gt;$V328-TIME(0,TimeIncr,0)),AND(FW$7&lt;=$X328,FW$7&gt;$X328-TIME(0,TimeIncr,0))),$E328*$L328,IF(OR(AND(FW$7&gt;=$M328,FW$7&lt;=$N328),AND(FW$7&gt;=$O328,FW$7&lt;=$P328),AND(FW$7&gt;=$Q328,FW$7&lt;=$R328),AND(FW$7&gt;=$S328,FW$7&lt;=$T328),AND(FW$7&gt;=$U328,FW$7&lt;=$V328),AND(FW$7&gt;=$W328,FW$7&lt;=$X328)),0,IF(OR(AND($M328&gt;$N328,FW$7&lt;=$N328),AND($O328&gt;$P328,FW$7&lt;=$P328),AND($Q328&gt;$R328,FW$7&lt;=$R328),AND($S328&gt;$T328,FW$7&lt;=$T328),AND($U328&gt;$V328,FW$7&lt;=$V328),AND($W328&gt;$X328,FW$7&lt;=$X328)),0,IF(OR(AND(FW$7&gt;=$M328,$M328&gt;$N328),AND(FW$7&gt;=$O328,$O328&gt;$P328),AND(FW$7&gt;=$Q328,$Q328&gt;$R328),AND(FW$7&gt;=$S328,$S328&gt;$T328),AND(FW$7&gt;=$U328,$U328&gt;$V328),AND(FW$7&gt;=$W328,$W328&gt;$X328)),0,$E328)))))</f>
        <v>0</v>
      </c>
      <c r="FX328" s="409">
        <f t="shared" si="445"/>
        <v>0</v>
      </c>
      <c r="FY328" s="409">
        <f t="shared" si="445"/>
        <v>0</v>
      </c>
      <c r="FZ328" s="409">
        <f t="shared" si="445"/>
        <v>0</v>
      </c>
      <c r="GA328" s="409">
        <f t="shared" si="445"/>
        <v>0</v>
      </c>
      <c r="GB328" s="409">
        <f t="shared" si="445"/>
        <v>0</v>
      </c>
      <c r="GC328" s="409">
        <f t="shared" si="445"/>
        <v>0</v>
      </c>
      <c r="GD328" s="409">
        <f t="shared" si="445"/>
        <v>0</v>
      </c>
      <c r="GE328" s="409">
        <f t="shared" si="445"/>
        <v>0</v>
      </c>
      <c r="GF328" s="409">
        <f t="shared" si="445"/>
        <v>0</v>
      </c>
      <c r="GG328" s="409">
        <f t="shared" ref="GG328:GP337" si="446">IF(ISNA(GG$7),"",IF(OR(AND(GG$7&lt;=$N328,GG$7&gt;$N328-TIME(0,TimeIncr,0)),AND(GG$7&lt;=$P328,GG$7&gt;$P328-TIME(0,TimeIncr,0)),AND(GG$7&lt;=$R328,GG$7&gt;$R328-TIME(0,TimeIncr,0)),AND(GG$7&lt;=$T328,GG$7&gt;$T328-TIME(0,TimeIncr,0)),AND(GG$7&lt;=$V328,GG$7&gt;$V328-TIME(0,TimeIncr,0)),AND(GG$7&lt;=$X328,GG$7&gt;$X328-TIME(0,TimeIncr,0))),$E328*$L328,IF(OR(AND(GG$7&gt;=$M328,GG$7&lt;=$N328),AND(GG$7&gt;=$O328,GG$7&lt;=$P328),AND(GG$7&gt;=$Q328,GG$7&lt;=$R328),AND(GG$7&gt;=$S328,GG$7&lt;=$T328),AND(GG$7&gt;=$U328,GG$7&lt;=$V328),AND(GG$7&gt;=$W328,GG$7&lt;=$X328)),0,IF(OR(AND($M328&gt;$N328,GG$7&lt;=$N328),AND($O328&gt;$P328,GG$7&lt;=$P328),AND($Q328&gt;$R328,GG$7&lt;=$R328),AND($S328&gt;$T328,GG$7&lt;=$T328),AND($U328&gt;$V328,GG$7&lt;=$V328),AND($W328&gt;$X328,GG$7&lt;=$X328)),0,IF(OR(AND(GG$7&gt;=$M328,$M328&gt;$N328),AND(GG$7&gt;=$O328,$O328&gt;$P328),AND(GG$7&gt;=$Q328,$Q328&gt;$R328),AND(GG$7&gt;=$S328,$S328&gt;$T328),AND(GG$7&gt;=$U328,$U328&gt;$V328),AND(GG$7&gt;=$W328,$W328&gt;$X328)),0,$E328)))))</f>
        <v>0</v>
      </c>
      <c r="GH328" s="409">
        <f t="shared" si="446"/>
        <v>0</v>
      </c>
      <c r="GI328" s="409">
        <f t="shared" si="446"/>
        <v>0</v>
      </c>
      <c r="GJ328" s="409">
        <f t="shared" si="446"/>
        <v>0</v>
      </c>
      <c r="GK328" s="409">
        <f t="shared" si="446"/>
        <v>0</v>
      </c>
      <c r="GL328" s="409">
        <f t="shared" si="446"/>
        <v>0</v>
      </c>
      <c r="GM328" s="409">
        <f t="shared" si="446"/>
        <v>0</v>
      </c>
      <c r="GN328" s="409">
        <f t="shared" si="446"/>
        <v>0</v>
      </c>
      <c r="GO328" s="409">
        <f t="shared" si="446"/>
        <v>0</v>
      </c>
      <c r="GP328" s="409">
        <f t="shared" si="446"/>
        <v>0</v>
      </c>
      <c r="GQ328" s="409">
        <f t="shared" ref="GQ328:GZ337" si="447">IF(ISNA(GQ$7),"",IF(OR(AND(GQ$7&lt;=$N328,GQ$7&gt;$N328-TIME(0,TimeIncr,0)),AND(GQ$7&lt;=$P328,GQ$7&gt;$P328-TIME(0,TimeIncr,0)),AND(GQ$7&lt;=$R328,GQ$7&gt;$R328-TIME(0,TimeIncr,0)),AND(GQ$7&lt;=$T328,GQ$7&gt;$T328-TIME(0,TimeIncr,0)),AND(GQ$7&lt;=$V328,GQ$7&gt;$V328-TIME(0,TimeIncr,0)),AND(GQ$7&lt;=$X328,GQ$7&gt;$X328-TIME(0,TimeIncr,0))),$E328*$L328,IF(OR(AND(GQ$7&gt;=$M328,GQ$7&lt;=$N328),AND(GQ$7&gt;=$O328,GQ$7&lt;=$P328),AND(GQ$7&gt;=$Q328,GQ$7&lt;=$R328),AND(GQ$7&gt;=$S328,GQ$7&lt;=$T328),AND(GQ$7&gt;=$U328,GQ$7&lt;=$V328),AND(GQ$7&gt;=$W328,GQ$7&lt;=$X328)),0,IF(OR(AND($M328&gt;$N328,GQ$7&lt;=$N328),AND($O328&gt;$P328,GQ$7&lt;=$P328),AND($Q328&gt;$R328,GQ$7&lt;=$R328),AND($S328&gt;$T328,GQ$7&lt;=$T328),AND($U328&gt;$V328,GQ$7&lt;=$V328),AND($W328&gt;$X328,GQ$7&lt;=$X328)),0,IF(OR(AND(GQ$7&gt;=$M328,$M328&gt;$N328),AND(GQ$7&gt;=$O328,$O328&gt;$P328),AND(GQ$7&gt;=$Q328,$Q328&gt;$R328),AND(GQ$7&gt;=$S328,$S328&gt;$T328),AND(GQ$7&gt;=$U328,$U328&gt;$V328),AND(GQ$7&gt;=$W328,$W328&gt;$X328)),0,$E328)))))</f>
        <v>0</v>
      </c>
      <c r="GR328" s="409">
        <f t="shared" si="447"/>
        <v>0</v>
      </c>
      <c r="GS328" s="409">
        <f t="shared" si="447"/>
        <v>0</v>
      </c>
      <c r="GT328" s="409">
        <f t="shared" si="447"/>
        <v>0</v>
      </c>
      <c r="GU328" s="409">
        <f t="shared" si="447"/>
        <v>0</v>
      </c>
      <c r="GV328" s="409">
        <f t="shared" si="447"/>
        <v>0</v>
      </c>
      <c r="GW328" s="409">
        <f t="shared" si="447"/>
        <v>0</v>
      </c>
      <c r="GX328" s="409">
        <f t="shared" si="447"/>
        <v>0</v>
      </c>
      <c r="GY328" s="409">
        <f t="shared" si="447"/>
        <v>0</v>
      </c>
      <c r="GZ328" s="409">
        <f t="shared" si="447"/>
        <v>0</v>
      </c>
      <c r="HA328" s="409">
        <f t="shared" ref="HA328:HJ337" si="448">IF(ISNA(HA$7),"",IF(OR(AND(HA$7&lt;=$N328,HA$7&gt;$N328-TIME(0,TimeIncr,0)),AND(HA$7&lt;=$P328,HA$7&gt;$P328-TIME(0,TimeIncr,0)),AND(HA$7&lt;=$R328,HA$7&gt;$R328-TIME(0,TimeIncr,0)),AND(HA$7&lt;=$T328,HA$7&gt;$T328-TIME(0,TimeIncr,0)),AND(HA$7&lt;=$V328,HA$7&gt;$V328-TIME(0,TimeIncr,0)),AND(HA$7&lt;=$X328,HA$7&gt;$X328-TIME(0,TimeIncr,0))),$E328*$L328,IF(OR(AND(HA$7&gt;=$M328,HA$7&lt;=$N328),AND(HA$7&gt;=$O328,HA$7&lt;=$P328),AND(HA$7&gt;=$Q328,HA$7&lt;=$R328),AND(HA$7&gt;=$S328,HA$7&lt;=$T328),AND(HA$7&gt;=$U328,HA$7&lt;=$V328),AND(HA$7&gt;=$W328,HA$7&lt;=$X328)),0,IF(OR(AND($M328&gt;$N328,HA$7&lt;=$N328),AND($O328&gt;$P328,HA$7&lt;=$P328),AND($Q328&gt;$R328,HA$7&lt;=$R328),AND($S328&gt;$T328,HA$7&lt;=$T328),AND($U328&gt;$V328,HA$7&lt;=$V328),AND($W328&gt;$X328,HA$7&lt;=$X328)),0,IF(OR(AND(HA$7&gt;=$M328,$M328&gt;$N328),AND(HA$7&gt;=$O328,$O328&gt;$P328),AND(HA$7&gt;=$Q328,$Q328&gt;$R328),AND(HA$7&gt;=$S328,$S328&gt;$T328),AND(HA$7&gt;=$U328,$U328&gt;$V328),AND(HA$7&gt;=$W328,$W328&gt;$X328)),0,$E328)))))</f>
        <v>0</v>
      </c>
      <c r="HB328" s="409">
        <f t="shared" si="448"/>
        <v>0</v>
      </c>
      <c r="HC328" s="409">
        <f t="shared" si="448"/>
        <v>0</v>
      </c>
      <c r="HD328" s="409">
        <f t="shared" si="448"/>
        <v>0</v>
      </c>
      <c r="HE328" s="409">
        <f t="shared" si="448"/>
        <v>0</v>
      </c>
      <c r="HF328" s="409">
        <f t="shared" si="448"/>
        <v>0</v>
      </c>
      <c r="HG328" s="409">
        <f t="shared" si="448"/>
        <v>0</v>
      </c>
      <c r="HH328" s="409">
        <f t="shared" si="448"/>
        <v>0</v>
      </c>
      <c r="HI328" s="409">
        <f t="shared" si="448"/>
        <v>0</v>
      </c>
      <c r="HJ328" s="409">
        <f t="shared" si="448"/>
        <v>0</v>
      </c>
      <c r="HK328" s="409">
        <f t="shared" ref="HK328:HT337" si="449">IF(ISNA(HK$7),"",IF(OR(AND(HK$7&lt;=$N328,HK$7&gt;$N328-TIME(0,TimeIncr,0)),AND(HK$7&lt;=$P328,HK$7&gt;$P328-TIME(0,TimeIncr,0)),AND(HK$7&lt;=$R328,HK$7&gt;$R328-TIME(0,TimeIncr,0)),AND(HK$7&lt;=$T328,HK$7&gt;$T328-TIME(0,TimeIncr,0)),AND(HK$7&lt;=$V328,HK$7&gt;$V328-TIME(0,TimeIncr,0)),AND(HK$7&lt;=$X328,HK$7&gt;$X328-TIME(0,TimeIncr,0))),$E328*$L328,IF(OR(AND(HK$7&gt;=$M328,HK$7&lt;=$N328),AND(HK$7&gt;=$O328,HK$7&lt;=$P328),AND(HK$7&gt;=$Q328,HK$7&lt;=$R328),AND(HK$7&gt;=$S328,HK$7&lt;=$T328),AND(HK$7&gt;=$U328,HK$7&lt;=$V328),AND(HK$7&gt;=$W328,HK$7&lt;=$X328)),0,IF(OR(AND($M328&gt;$N328,HK$7&lt;=$N328),AND($O328&gt;$P328,HK$7&lt;=$P328),AND($Q328&gt;$R328,HK$7&lt;=$R328),AND($S328&gt;$T328,HK$7&lt;=$T328),AND($U328&gt;$V328,HK$7&lt;=$V328),AND($W328&gt;$X328,HK$7&lt;=$X328)),0,IF(OR(AND(HK$7&gt;=$M328,$M328&gt;$N328),AND(HK$7&gt;=$O328,$O328&gt;$P328),AND(HK$7&gt;=$Q328,$Q328&gt;$R328),AND(HK$7&gt;=$S328,$S328&gt;$T328),AND(HK$7&gt;=$U328,$U328&gt;$V328),AND(HK$7&gt;=$W328,$W328&gt;$X328)),0,$E328)))))</f>
        <v>0</v>
      </c>
      <c r="HL328" s="409">
        <f t="shared" si="449"/>
        <v>0</v>
      </c>
      <c r="HM328" s="409">
        <f t="shared" si="449"/>
        <v>0</v>
      </c>
      <c r="HN328" s="409">
        <f t="shared" si="449"/>
        <v>0</v>
      </c>
      <c r="HO328" s="409">
        <f t="shared" si="449"/>
        <v>0</v>
      </c>
      <c r="HP328" s="409">
        <f t="shared" si="449"/>
        <v>0</v>
      </c>
      <c r="HQ328" s="409">
        <f t="shared" si="449"/>
        <v>0</v>
      </c>
      <c r="HR328" s="409">
        <f t="shared" si="449"/>
        <v>0</v>
      </c>
      <c r="HS328" s="409">
        <f t="shared" si="449"/>
        <v>0</v>
      </c>
      <c r="HT328" s="409">
        <f t="shared" si="449"/>
        <v>0</v>
      </c>
      <c r="HU328" s="409">
        <f t="shared" ref="HU328:ID337" si="450">IF(ISNA(HU$7),"",IF(OR(AND(HU$7&lt;=$N328,HU$7&gt;$N328-TIME(0,TimeIncr,0)),AND(HU$7&lt;=$P328,HU$7&gt;$P328-TIME(0,TimeIncr,0)),AND(HU$7&lt;=$R328,HU$7&gt;$R328-TIME(0,TimeIncr,0)),AND(HU$7&lt;=$T328,HU$7&gt;$T328-TIME(0,TimeIncr,0)),AND(HU$7&lt;=$V328,HU$7&gt;$V328-TIME(0,TimeIncr,0)),AND(HU$7&lt;=$X328,HU$7&gt;$X328-TIME(0,TimeIncr,0))),$E328*$L328,IF(OR(AND(HU$7&gt;=$M328,HU$7&lt;=$N328),AND(HU$7&gt;=$O328,HU$7&lt;=$P328),AND(HU$7&gt;=$Q328,HU$7&lt;=$R328),AND(HU$7&gt;=$S328,HU$7&lt;=$T328),AND(HU$7&gt;=$U328,HU$7&lt;=$V328),AND(HU$7&gt;=$W328,HU$7&lt;=$X328)),0,IF(OR(AND($M328&gt;$N328,HU$7&lt;=$N328),AND($O328&gt;$P328,HU$7&lt;=$P328),AND($Q328&gt;$R328,HU$7&lt;=$R328),AND($S328&gt;$T328,HU$7&lt;=$T328),AND($U328&gt;$V328,HU$7&lt;=$V328),AND($W328&gt;$X328,HU$7&lt;=$X328)),0,IF(OR(AND(HU$7&gt;=$M328,$M328&gt;$N328),AND(HU$7&gt;=$O328,$O328&gt;$P328),AND(HU$7&gt;=$Q328,$Q328&gt;$R328),AND(HU$7&gt;=$S328,$S328&gt;$T328),AND(HU$7&gt;=$U328,$U328&gt;$V328),AND(HU$7&gt;=$W328,$W328&gt;$X328)),0,$E328)))))</f>
        <v>0</v>
      </c>
      <c r="HV328" s="409">
        <f t="shared" si="450"/>
        <v>0</v>
      </c>
      <c r="HW328" s="409">
        <f t="shared" si="450"/>
        <v>0</v>
      </c>
      <c r="HX328" s="409">
        <f t="shared" si="450"/>
        <v>0</v>
      </c>
      <c r="HY328" s="409">
        <f t="shared" si="450"/>
        <v>0</v>
      </c>
      <c r="HZ328" s="409">
        <f t="shared" si="450"/>
        <v>0</v>
      </c>
      <c r="IA328" s="409">
        <f t="shared" si="450"/>
        <v>0</v>
      </c>
      <c r="IB328" s="409">
        <f t="shared" si="450"/>
        <v>0</v>
      </c>
      <c r="IC328" s="409">
        <f t="shared" si="450"/>
        <v>0</v>
      </c>
      <c r="ID328" s="409">
        <f t="shared" si="450"/>
        <v>0</v>
      </c>
      <c r="IE328" s="409">
        <f t="shared" ref="IE328:IJ337" si="451">IF(ISNA(IE$7),"",IF(OR(AND(IE$7&lt;=$N328,IE$7&gt;$N328-TIME(0,TimeIncr,0)),AND(IE$7&lt;=$P328,IE$7&gt;$P328-TIME(0,TimeIncr,0)),AND(IE$7&lt;=$R328,IE$7&gt;$R328-TIME(0,TimeIncr,0)),AND(IE$7&lt;=$T328,IE$7&gt;$T328-TIME(0,TimeIncr,0)),AND(IE$7&lt;=$V328,IE$7&gt;$V328-TIME(0,TimeIncr,0)),AND(IE$7&lt;=$X328,IE$7&gt;$X328-TIME(0,TimeIncr,0))),$E328*$L328,IF(OR(AND(IE$7&gt;=$M328,IE$7&lt;=$N328),AND(IE$7&gt;=$O328,IE$7&lt;=$P328),AND(IE$7&gt;=$Q328,IE$7&lt;=$R328),AND(IE$7&gt;=$S328,IE$7&lt;=$T328),AND(IE$7&gt;=$U328,IE$7&lt;=$V328),AND(IE$7&gt;=$W328,IE$7&lt;=$X328)),0,IF(OR(AND($M328&gt;$N328,IE$7&lt;=$N328),AND($O328&gt;$P328,IE$7&lt;=$P328),AND($Q328&gt;$R328,IE$7&lt;=$R328),AND($S328&gt;$T328,IE$7&lt;=$T328),AND($U328&gt;$V328,IE$7&lt;=$V328),AND($W328&gt;$X328,IE$7&lt;=$X328)),0,IF(OR(AND(IE$7&gt;=$M328,$M328&gt;$N328),AND(IE$7&gt;=$O328,$O328&gt;$P328),AND(IE$7&gt;=$Q328,$Q328&gt;$R328),AND(IE$7&gt;=$S328,$S328&gt;$T328),AND(IE$7&gt;=$U328,$U328&gt;$V328),AND(IE$7&gt;=$W328,$W328&gt;$X328)),0,$E328)))))</f>
        <v>0</v>
      </c>
      <c r="IF328" s="409">
        <f t="shared" si="451"/>
        <v>0</v>
      </c>
      <c r="IG328" s="409">
        <f t="shared" si="451"/>
        <v>0</v>
      </c>
      <c r="IH328" s="409">
        <f t="shared" si="451"/>
        <v>0</v>
      </c>
      <c r="II328" s="409">
        <f t="shared" si="451"/>
        <v>0</v>
      </c>
      <c r="IJ328" s="409">
        <f t="shared" si="451"/>
        <v>0</v>
      </c>
      <c r="IK328" s="378"/>
    </row>
    <row r="329" spans="1:245" hidden="1" x14ac:dyDescent="0.2">
      <c r="A329" s="380" t="str">
        <f t="shared" si="357"/>
        <v>e</v>
      </c>
      <c r="B329" s="712" t="str">
        <f>IF(ISERROR(INDEX('Legend(DX)'!$H$14:$H$15,42)),"",INDEX('Legend(DX)'!$H$14:$H$15,42))</f>
        <v/>
      </c>
      <c r="C329" s="712" t="e">
        <f>IF(INDEX('Legend(DX)'!$T$14:$T$15,42)=0,"See Legend",INDEX('Legend(DX)'!$T$14:$T$15,42))</f>
        <v>#REF!</v>
      </c>
      <c r="D329" s="712" t="e">
        <f>IF(INDEX('Legend(DX)'!$R$14:$R$15,42)=0,"---",INDEX('Legend(DX)'!$R$14:$R$15,42))</f>
        <v>#REF!</v>
      </c>
      <c r="E329" s="713" t="str">
        <f>IF(ISERROR(INDEX('Legend(DX)'!$AA$14:$AA$15,42)),"",INDEX('Legend(DX)'!$AA$14:$AA$15,42))</f>
        <v/>
      </c>
      <c r="F329" s="715"/>
      <c r="G329" s="715"/>
      <c r="H329" s="715"/>
      <c r="I329" s="715"/>
      <c r="J329" s="715"/>
      <c r="K329" s="890">
        <f t="shared" si="358"/>
        <v>0</v>
      </c>
      <c r="L329" s="718"/>
      <c r="M329" s="720"/>
      <c r="N329" s="972">
        <f t="shared" si="425"/>
        <v>-1</v>
      </c>
      <c r="O329" s="972">
        <f t="shared" si="359"/>
        <v>-1</v>
      </c>
      <c r="P329" s="972">
        <f t="shared" si="426"/>
        <v>-1</v>
      </c>
      <c r="Q329" s="972">
        <f t="shared" si="360"/>
        <v>-1</v>
      </c>
      <c r="R329" s="972">
        <f t="shared" si="427"/>
        <v>-1</v>
      </c>
      <c r="S329" s="972">
        <f t="shared" si="361"/>
        <v>-1</v>
      </c>
      <c r="T329" s="972">
        <f t="shared" si="428"/>
        <v>-1</v>
      </c>
      <c r="U329" s="972">
        <f t="shared" si="362"/>
        <v>-1</v>
      </c>
      <c r="V329" s="972">
        <f t="shared" si="429"/>
        <v>-1</v>
      </c>
      <c r="W329" s="972">
        <f t="shared" si="363"/>
        <v>-1</v>
      </c>
      <c r="X329" s="972">
        <f t="shared" si="430"/>
        <v>-1</v>
      </c>
      <c r="Y329" s="972">
        <f t="shared" si="364"/>
        <v>-1</v>
      </c>
      <c r="Z329" s="972">
        <f t="shared" si="365"/>
        <v>-1</v>
      </c>
      <c r="AA329" s="972">
        <f t="shared" si="366"/>
        <v>-1</v>
      </c>
      <c r="AB329" s="972">
        <f t="shared" si="367"/>
        <v>-1</v>
      </c>
      <c r="AC329" s="972">
        <f t="shared" si="368"/>
        <v>-1</v>
      </c>
      <c r="AD329" s="972">
        <f t="shared" si="369"/>
        <v>-1</v>
      </c>
      <c r="AE329" s="972">
        <f t="shared" si="370"/>
        <v>-1</v>
      </c>
      <c r="AF329" s="972">
        <f t="shared" si="371"/>
        <v>-1</v>
      </c>
      <c r="AG329" s="972">
        <f t="shared" si="372"/>
        <v>-1</v>
      </c>
      <c r="AH329" s="972">
        <f t="shared" si="373"/>
        <v>-1</v>
      </c>
      <c r="AI329" s="972">
        <f t="shared" si="374"/>
        <v>-1</v>
      </c>
      <c r="AJ329" s="972">
        <f t="shared" si="375"/>
        <v>-1</v>
      </c>
      <c r="AK329" s="381"/>
      <c r="AL329" s="727" t="str">
        <f t="shared" si="376"/>
        <v/>
      </c>
      <c r="AM329" s="409">
        <f t="shared" si="431"/>
        <v>0</v>
      </c>
      <c r="AN329" s="409">
        <f t="shared" si="431"/>
        <v>0</v>
      </c>
      <c r="AO329" s="409">
        <f t="shared" si="431"/>
        <v>0</v>
      </c>
      <c r="AP329" s="409">
        <f t="shared" si="431"/>
        <v>0</v>
      </c>
      <c r="AQ329" s="409">
        <f t="shared" si="431"/>
        <v>0</v>
      </c>
      <c r="AR329" s="409">
        <f t="shared" si="431"/>
        <v>0</v>
      </c>
      <c r="AS329" s="409">
        <f t="shared" si="431"/>
        <v>0</v>
      </c>
      <c r="AT329" s="409">
        <f t="shared" si="431"/>
        <v>0</v>
      </c>
      <c r="AU329" s="409">
        <f t="shared" si="431"/>
        <v>0</v>
      </c>
      <c r="AV329" s="409">
        <f t="shared" si="431"/>
        <v>0</v>
      </c>
      <c r="AW329" s="409">
        <f t="shared" si="432"/>
        <v>0</v>
      </c>
      <c r="AX329" s="409">
        <f t="shared" si="432"/>
        <v>0</v>
      </c>
      <c r="AY329" s="409">
        <f t="shared" si="432"/>
        <v>0</v>
      </c>
      <c r="AZ329" s="409">
        <f t="shared" si="432"/>
        <v>0</v>
      </c>
      <c r="BA329" s="409">
        <f t="shared" si="432"/>
        <v>0</v>
      </c>
      <c r="BB329" s="409">
        <f t="shared" si="432"/>
        <v>0</v>
      </c>
      <c r="BC329" s="409">
        <f t="shared" si="432"/>
        <v>0</v>
      </c>
      <c r="BD329" s="409">
        <f t="shared" si="432"/>
        <v>0</v>
      </c>
      <c r="BE329" s="409">
        <f t="shared" si="432"/>
        <v>0</v>
      </c>
      <c r="BF329" s="409">
        <f t="shared" si="432"/>
        <v>0</v>
      </c>
      <c r="BG329" s="409">
        <f t="shared" si="433"/>
        <v>0</v>
      </c>
      <c r="BH329" s="409">
        <f t="shared" si="433"/>
        <v>0</v>
      </c>
      <c r="BI329" s="409">
        <f t="shared" si="433"/>
        <v>0</v>
      </c>
      <c r="BJ329" s="409">
        <f t="shared" si="433"/>
        <v>0</v>
      </c>
      <c r="BK329" s="409">
        <f t="shared" si="433"/>
        <v>0</v>
      </c>
      <c r="BL329" s="409">
        <f t="shared" si="433"/>
        <v>0</v>
      </c>
      <c r="BM329" s="409">
        <f t="shared" si="433"/>
        <v>0</v>
      </c>
      <c r="BN329" s="409">
        <f t="shared" si="433"/>
        <v>0</v>
      </c>
      <c r="BO329" s="409">
        <f t="shared" si="433"/>
        <v>0</v>
      </c>
      <c r="BP329" s="409">
        <f t="shared" si="433"/>
        <v>0</v>
      </c>
      <c r="BQ329" s="409">
        <f t="shared" si="434"/>
        <v>0</v>
      </c>
      <c r="BR329" s="409">
        <f t="shared" si="434"/>
        <v>0</v>
      </c>
      <c r="BS329" s="409">
        <f t="shared" si="434"/>
        <v>0</v>
      </c>
      <c r="BT329" s="409">
        <f t="shared" si="434"/>
        <v>0</v>
      </c>
      <c r="BU329" s="409">
        <f t="shared" si="434"/>
        <v>0</v>
      </c>
      <c r="BV329" s="409">
        <f t="shared" si="434"/>
        <v>0</v>
      </c>
      <c r="BW329" s="409">
        <f t="shared" si="434"/>
        <v>0</v>
      </c>
      <c r="BX329" s="409">
        <f t="shared" si="434"/>
        <v>0</v>
      </c>
      <c r="BY329" s="409">
        <f t="shared" si="434"/>
        <v>0</v>
      </c>
      <c r="BZ329" s="409">
        <f t="shared" si="434"/>
        <v>0</v>
      </c>
      <c r="CA329" s="409">
        <f t="shared" si="435"/>
        <v>0</v>
      </c>
      <c r="CB329" s="409">
        <f t="shared" si="435"/>
        <v>0</v>
      </c>
      <c r="CC329" s="409">
        <f t="shared" si="435"/>
        <v>0</v>
      </c>
      <c r="CD329" s="409">
        <f t="shared" si="435"/>
        <v>0</v>
      </c>
      <c r="CE329" s="409">
        <f t="shared" si="435"/>
        <v>0</v>
      </c>
      <c r="CF329" s="409">
        <f t="shared" si="435"/>
        <v>0</v>
      </c>
      <c r="CG329" s="409">
        <f t="shared" si="435"/>
        <v>0</v>
      </c>
      <c r="CH329" s="409">
        <f t="shared" si="435"/>
        <v>0</v>
      </c>
      <c r="CI329" s="409">
        <f t="shared" si="435"/>
        <v>0</v>
      </c>
      <c r="CJ329" s="409">
        <f t="shared" si="435"/>
        <v>0</v>
      </c>
      <c r="CK329" s="409">
        <f t="shared" si="436"/>
        <v>0</v>
      </c>
      <c r="CL329" s="409">
        <f t="shared" si="436"/>
        <v>0</v>
      </c>
      <c r="CM329" s="409">
        <f t="shared" si="436"/>
        <v>0</v>
      </c>
      <c r="CN329" s="409">
        <f t="shared" si="436"/>
        <v>0</v>
      </c>
      <c r="CO329" s="409">
        <f t="shared" si="436"/>
        <v>0</v>
      </c>
      <c r="CP329" s="409">
        <f t="shared" si="436"/>
        <v>0</v>
      </c>
      <c r="CQ329" s="409">
        <f t="shared" si="436"/>
        <v>0</v>
      </c>
      <c r="CR329" s="409">
        <f t="shared" si="436"/>
        <v>0</v>
      </c>
      <c r="CS329" s="409">
        <f t="shared" si="436"/>
        <v>0</v>
      </c>
      <c r="CT329" s="409">
        <f t="shared" si="436"/>
        <v>0</v>
      </c>
      <c r="CU329" s="409">
        <f t="shared" si="437"/>
        <v>0</v>
      </c>
      <c r="CV329" s="409">
        <f t="shared" si="437"/>
        <v>0</v>
      </c>
      <c r="CW329" s="409">
        <f t="shared" si="437"/>
        <v>0</v>
      </c>
      <c r="CX329" s="409">
        <f t="shared" si="437"/>
        <v>0</v>
      </c>
      <c r="CY329" s="409">
        <f t="shared" si="437"/>
        <v>0</v>
      </c>
      <c r="CZ329" s="409">
        <f t="shared" si="437"/>
        <v>0</v>
      </c>
      <c r="DA329" s="409">
        <f t="shared" si="437"/>
        <v>0</v>
      </c>
      <c r="DB329" s="409">
        <f t="shared" si="437"/>
        <v>0</v>
      </c>
      <c r="DC329" s="409">
        <f t="shared" si="437"/>
        <v>0</v>
      </c>
      <c r="DD329" s="409">
        <f t="shared" si="437"/>
        <v>0</v>
      </c>
      <c r="DE329" s="409">
        <f t="shared" si="438"/>
        <v>0</v>
      </c>
      <c r="DF329" s="409">
        <f t="shared" si="438"/>
        <v>0</v>
      </c>
      <c r="DG329" s="409">
        <f t="shared" si="438"/>
        <v>0</v>
      </c>
      <c r="DH329" s="409">
        <f t="shared" si="438"/>
        <v>0</v>
      </c>
      <c r="DI329" s="409">
        <f t="shared" si="438"/>
        <v>0</v>
      </c>
      <c r="DJ329" s="409">
        <f t="shared" si="438"/>
        <v>0</v>
      </c>
      <c r="DK329" s="409">
        <f t="shared" si="438"/>
        <v>0</v>
      </c>
      <c r="DL329" s="409">
        <f t="shared" si="438"/>
        <v>0</v>
      </c>
      <c r="DM329" s="409">
        <f t="shared" si="438"/>
        <v>0</v>
      </c>
      <c r="DN329" s="409">
        <f t="shared" si="438"/>
        <v>0</v>
      </c>
      <c r="DO329" s="409">
        <f t="shared" si="439"/>
        <v>0</v>
      </c>
      <c r="DP329" s="409">
        <f t="shared" si="439"/>
        <v>0</v>
      </c>
      <c r="DQ329" s="409">
        <f t="shared" si="439"/>
        <v>0</v>
      </c>
      <c r="DR329" s="409">
        <f t="shared" si="439"/>
        <v>0</v>
      </c>
      <c r="DS329" s="409">
        <f t="shared" si="439"/>
        <v>0</v>
      </c>
      <c r="DT329" s="409">
        <f t="shared" si="439"/>
        <v>0</v>
      </c>
      <c r="DU329" s="409">
        <f t="shared" si="439"/>
        <v>0</v>
      </c>
      <c r="DV329" s="409">
        <f t="shared" si="439"/>
        <v>0</v>
      </c>
      <c r="DW329" s="409">
        <f t="shared" si="439"/>
        <v>0</v>
      </c>
      <c r="DX329" s="409">
        <f t="shared" si="439"/>
        <v>0</v>
      </c>
      <c r="DY329" s="409">
        <f t="shared" si="440"/>
        <v>0</v>
      </c>
      <c r="DZ329" s="409">
        <f t="shared" si="440"/>
        <v>0</v>
      </c>
      <c r="EA329" s="409">
        <f t="shared" si="440"/>
        <v>0</v>
      </c>
      <c r="EB329" s="409">
        <f t="shared" si="440"/>
        <v>0</v>
      </c>
      <c r="EC329" s="409">
        <f t="shared" si="440"/>
        <v>0</v>
      </c>
      <c r="ED329" s="409">
        <f t="shared" si="440"/>
        <v>0</v>
      </c>
      <c r="EE329" s="409">
        <f t="shared" si="440"/>
        <v>0</v>
      </c>
      <c r="EF329" s="409">
        <f t="shared" si="440"/>
        <v>0</v>
      </c>
      <c r="EG329" s="409">
        <f t="shared" si="440"/>
        <v>0</v>
      </c>
      <c r="EH329" s="409">
        <f t="shared" si="440"/>
        <v>0</v>
      </c>
      <c r="EI329" s="409">
        <f t="shared" si="441"/>
        <v>0</v>
      </c>
      <c r="EJ329" s="409">
        <f t="shared" si="441"/>
        <v>0</v>
      </c>
      <c r="EK329" s="409">
        <f t="shared" si="441"/>
        <v>0</v>
      </c>
      <c r="EL329" s="409">
        <f t="shared" si="441"/>
        <v>0</v>
      </c>
      <c r="EM329" s="409">
        <f t="shared" si="441"/>
        <v>0</v>
      </c>
      <c r="EN329" s="409">
        <f t="shared" si="441"/>
        <v>0</v>
      </c>
      <c r="EO329" s="409">
        <f t="shared" si="441"/>
        <v>0</v>
      </c>
      <c r="EP329" s="409">
        <f t="shared" si="441"/>
        <v>0</v>
      </c>
      <c r="EQ329" s="409">
        <f t="shared" si="441"/>
        <v>0</v>
      </c>
      <c r="ER329" s="409">
        <f t="shared" si="441"/>
        <v>0</v>
      </c>
      <c r="ES329" s="409">
        <f t="shared" si="442"/>
        <v>0</v>
      </c>
      <c r="ET329" s="409">
        <f t="shared" si="442"/>
        <v>0</v>
      </c>
      <c r="EU329" s="409">
        <f t="shared" si="442"/>
        <v>0</v>
      </c>
      <c r="EV329" s="409">
        <f t="shared" si="442"/>
        <v>0</v>
      </c>
      <c r="EW329" s="409">
        <f t="shared" si="442"/>
        <v>0</v>
      </c>
      <c r="EX329" s="409">
        <f t="shared" si="442"/>
        <v>0</v>
      </c>
      <c r="EY329" s="409">
        <f t="shared" si="442"/>
        <v>0</v>
      </c>
      <c r="EZ329" s="409">
        <f t="shared" si="442"/>
        <v>0</v>
      </c>
      <c r="FA329" s="409">
        <f t="shared" si="442"/>
        <v>0</v>
      </c>
      <c r="FB329" s="409">
        <f t="shared" si="442"/>
        <v>0</v>
      </c>
      <c r="FC329" s="409">
        <f t="shared" si="443"/>
        <v>0</v>
      </c>
      <c r="FD329" s="409">
        <f t="shared" si="443"/>
        <v>0</v>
      </c>
      <c r="FE329" s="409">
        <f t="shared" si="443"/>
        <v>0</v>
      </c>
      <c r="FF329" s="409">
        <f t="shared" si="443"/>
        <v>0</v>
      </c>
      <c r="FG329" s="409">
        <f t="shared" si="443"/>
        <v>0</v>
      </c>
      <c r="FH329" s="409">
        <f t="shared" si="443"/>
        <v>0</v>
      </c>
      <c r="FI329" s="409">
        <f t="shared" si="443"/>
        <v>0</v>
      </c>
      <c r="FJ329" s="409">
        <f t="shared" si="443"/>
        <v>0</v>
      </c>
      <c r="FK329" s="409">
        <f t="shared" si="443"/>
        <v>0</v>
      </c>
      <c r="FL329" s="409">
        <f t="shared" si="443"/>
        <v>0</v>
      </c>
      <c r="FM329" s="409">
        <f t="shared" si="444"/>
        <v>0</v>
      </c>
      <c r="FN329" s="409">
        <f t="shared" si="444"/>
        <v>0</v>
      </c>
      <c r="FO329" s="409">
        <f t="shared" si="444"/>
        <v>0</v>
      </c>
      <c r="FP329" s="409">
        <f t="shared" si="444"/>
        <v>0</v>
      </c>
      <c r="FQ329" s="409">
        <f t="shared" si="444"/>
        <v>0</v>
      </c>
      <c r="FR329" s="409">
        <f t="shared" si="444"/>
        <v>0</v>
      </c>
      <c r="FS329" s="409">
        <f t="shared" si="444"/>
        <v>0</v>
      </c>
      <c r="FT329" s="409">
        <f t="shared" si="444"/>
        <v>0</v>
      </c>
      <c r="FU329" s="409">
        <f t="shared" si="444"/>
        <v>0</v>
      </c>
      <c r="FV329" s="409">
        <f t="shared" si="444"/>
        <v>0</v>
      </c>
      <c r="FW329" s="409">
        <f t="shared" si="445"/>
        <v>0</v>
      </c>
      <c r="FX329" s="409">
        <f t="shared" si="445"/>
        <v>0</v>
      </c>
      <c r="FY329" s="409">
        <f t="shared" si="445"/>
        <v>0</v>
      </c>
      <c r="FZ329" s="409">
        <f t="shared" si="445"/>
        <v>0</v>
      </c>
      <c r="GA329" s="409">
        <f t="shared" si="445"/>
        <v>0</v>
      </c>
      <c r="GB329" s="409">
        <f t="shared" si="445"/>
        <v>0</v>
      </c>
      <c r="GC329" s="409">
        <f t="shared" si="445"/>
        <v>0</v>
      </c>
      <c r="GD329" s="409">
        <f t="shared" si="445"/>
        <v>0</v>
      </c>
      <c r="GE329" s="409">
        <f t="shared" si="445"/>
        <v>0</v>
      </c>
      <c r="GF329" s="409">
        <f t="shared" si="445"/>
        <v>0</v>
      </c>
      <c r="GG329" s="409">
        <f t="shared" si="446"/>
        <v>0</v>
      </c>
      <c r="GH329" s="409">
        <f t="shared" si="446"/>
        <v>0</v>
      </c>
      <c r="GI329" s="409">
        <f t="shared" si="446"/>
        <v>0</v>
      </c>
      <c r="GJ329" s="409">
        <f t="shared" si="446"/>
        <v>0</v>
      </c>
      <c r="GK329" s="409">
        <f t="shared" si="446"/>
        <v>0</v>
      </c>
      <c r="GL329" s="409">
        <f t="shared" si="446"/>
        <v>0</v>
      </c>
      <c r="GM329" s="409">
        <f t="shared" si="446"/>
        <v>0</v>
      </c>
      <c r="GN329" s="409">
        <f t="shared" si="446"/>
        <v>0</v>
      </c>
      <c r="GO329" s="409">
        <f t="shared" si="446"/>
        <v>0</v>
      </c>
      <c r="GP329" s="409">
        <f t="shared" si="446"/>
        <v>0</v>
      </c>
      <c r="GQ329" s="409">
        <f t="shared" si="447"/>
        <v>0</v>
      </c>
      <c r="GR329" s="409">
        <f t="shared" si="447"/>
        <v>0</v>
      </c>
      <c r="GS329" s="409">
        <f t="shared" si="447"/>
        <v>0</v>
      </c>
      <c r="GT329" s="409">
        <f t="shared" si="447"/>
        <v>0</v>
      </c>
      <c r="GU329" s="409">
        <f t="shared" si="447"/>
        <v>0</v>
      </c>
      <c r="GV329" s="409">
        <f t="shared" si="447"/>
        <v>0</v>
      </c>
      <c r="GW329" s="409">
        <f t="shared" si="447"/>
        <v>0</v>
      </c>
      <c r="GX329" s="409">
        <f t="shared" si="447"/>
        <v>0</v>
      </c>
      <c r="GY329" s="409">
        <f t="shared" si="447"/>
        <v>0</v>
      </c>
      <c r="GZ329" s="409">
        <f t="shared" si="447"/>
        <v>0</v>
      </c>
      <c r="HA329" s="409">
        <f t="shared" si="448"/>
        <v>0</v>
      </c>
      <c r="HB329" s="409">
        <f t="shared" si="448"/>
        <v>0</v>
      </c>
      <c r="HC329" s="409">
        <f t="shared" si="448"/>
        <v>0</v>
      </c>
      <c r="HD329" s="409">
        <f t="shared" si="448"/>
        <v>0</v>
      </c>
      <c r="HE329" s="409">
        <f t="shared" si="448"/>
        <v>0</v>
      </c>
      <c r="HF329" s="409">
        <f t="shared" si="448"/>
        <v>0</v>
      </c>
      <c r="HG329" s="409">
        <f t="shared" si="448"/>
        <v>0</v>
      </c>
      <c r="HH329" s="409">
        <f t="shared" si="448"/>
        <v>0</v>
      </c>
      <c r="HI329" s="409">
        <f t="shared" si="448"/>
        <v>0</v>
      </c>
      <c r="HJ329" s="409">
        <f t="shared" si="448"/>
        <v>0</v>
      </c>
      <c r="HK329" s="409">
        <f t="shared" si="449"/>
        <v>0</v>
      </c>
      <c r="HL329" s="409">
        <f t="shared" si="449"/>
        <v>0</v>
      </c>
      <c r="HM329" s="409">
        <f t="shared" si="449"/>
        <v>0</v>
      </c>
      <c r="HN329" s="409">
        <f t="shared" si="449"/>
        <v>0</v>
      </c>
      <c r="HO329" s="409">
        <f t="shared" si="449"/>
        <v>0</v>
      </c>
      <c r="HP329" s="409">
        <f t="shared" si="449"/>
        <v>0</v>
      </c>
      <c r="HQ329" s="409">
        <f t="shared" si="449"/>
        <v>0</v>
      </c>
      <c r="HR329" s="409">
        <f t="shared" si="449"/>
        <v>0</v>
      </c>
      <c r="HS329" s="409">
        <f t="shared" si="449"/>
        <v>0</v>
      </c>
      <c r="HT329" s="409">
        <f t="shared" si="449"/>
        <v>0</v>
      </c>
      <c r="HU329" s="409">
        <f t="shared" si="450"/>
        <v>0</v>
      </c>
      <c r="HV329" s="409">
        <f t="shared" si="450"/>
        <v>0</v>
      </c>
      <c r="HW329" s="409">
        <f t="shared" si="450"/>
        <v>0</v>
      </c>
      <c r="HX329" s="409">
        <f t="shared" si="450"/>
        <v>0</v>
      </c>
      <c r="HY329" s="409">
        <f t="shared" si="450"/>
        <v>0</v>
      </c>
      <c r="HZ329" s="409">
        <f t="shared" si="450"/>
        <v>0</v>
      </c>
      <c r="IA329" s="409">
        <f t="shared" si="450"/>
        <v>0</v>
      </c>
      <c r="IB329" s="409">
        <f t="shared" si="450"/>
        <v>0</v>
      </c>
      <c r="IC329" s="409">
        <f t="shared" si="450"/>
        <v>0</v>
      </c>
      <c r="ID329" s="409">
        <f t="shared" si="450"/>
        <v>0</v>
      </c>
      <c r="IE329" s="409">
        <f t="shared" si="451"/>
        <v>0</v>
      </c>
      <c r="IF329" s="409">
        <f t="shared" si="451"/>
        <v>0</v>
      </c>
      <c r="IG329" s="409">
        <f t="shared" si="451"/>
        <v>0</v>
      </c>
      <c r="IH329" s="409">
        <f t="shared" si="451"/>
        <v>0</v>
      </c>
      <c r="II329" s="409">
        <f t="shared" si="451"/>
        <v>0</v>
      </c>
      <c r="IJ329" s="409">
        <f t="shared" si="451"/>
        <v>0</v>
      </c>
      <c r="IK329" s="378"/>
    </row>
    <row r="330" spans="1:245" hidden="1" x14ac:dyDescent="0.2">
      <c r="A330" s="380" t="str">
        <f t="shared" si="357"/>
        <v>e</v>
      </c>
      <c r="B330" s="712" t="str">
        <f>IF(ISERROR(INDEX('Legend(DX)'!$H$14:$H$15,43)),"",INDEX('Legend(DX)'!$H$14:$H$15,43))</f>
        <v/>
      </c>
      <c r="C330" s="712" t="e">
        <f>IF(INDEX('Legend(DX)'!$T$14:$T$15,43)=0,"See Legend",INDEX('Legend(DX)'!$T$14:$T$15,43))</f>
        <v>#REF!</v>
      </c>
      <c r="D330" s="712" t="e">
        <f>IF(INDEX('Legend(DX)'!$R$14:$R$15,43)=0,"---",INDEX('Legend(DX)'!$R$14:$R$15,43))</f>
        <v>#REF!</v>
      </c>
      <c r="E330" s="713" t="str">
        <f>IF(ISERROR(INDEX('Legend(DX)'!$AA$14:$AA$15,43)),"",INDEX('Legend(DX)'!$AA$14:$AA$15,43))</f>
        <v/>
      </c>
      <c r="F330" s="715"/>
      <c r="G330" s="715"/>
      <c r="H330" s="715"/>
      <c r="I330" s="715"/>
      <c r="J330" s="715"/>
      <c r="K330" s="890">
        <f t="shared" si="358"/>
        <v>0</v>
      </c>
      <c r="L330" s="718"/>
      <c r="M330" s="720"/>
      <c r="N330" s="972">
        <f t="shared" si="425"/>
        <v>-1</v>
      </c>
      <c r="O330" s="972">
        <f t="shared" si="359"/>
        <v>-1</v>
      </c>
      <c r="P330" s="972">
        <f t="shared" si="426"/>
        <v>-1</v>
      </c>
      <c r="Q330" s="972">
        <f t="shared" si="360"/>
        <v>-1</v>
      </c>
      <c r="R330" s="972">
        <f t="shared" si="427"/>
        <v>-1</v>
      </c>
      <c r="S330" s="972">
        <f t="shared" si="361"/>
        <v>-1</v>
      </c>
      <c r="T330" s="972">
        <f t="shared" si="428"/>
        <v>-1</v>
      </c>
      <c r="U330" s="972">
        <f t="shared" si="362"/>
        <v>-1</v>
      </c>
      <c r="V330" s="972">
        <f t="shared" si="429"/>
        <v>-1</v>
      </c>
      <c r="W330" s="972">
        <f t="shared" si="363"/>
        <v>-1</v>
      </c>
      <c r="X330" s="972">
        <f t="shared" si="430"/>
        <v>-1</v>
      </c>
      <c r="Y330" s="972">
        <f t="shared" si="364"/>
        <v>-1</v>
      </c>
      <c r="Z330" s="972">
        <f t="shared" si="365"/>
        <v>-1</v>
      </c>
      <c r="AA330" s="972">
        <f t="shared" si="366"/>
        <v>-1</v>
      </c>
      <c r="AB330" s="972">
        <f t="shared" si="367"/>
        <v>-1</v>
      </c>
      <c r="AC330" s="972">
        <f t="shared" si="368"/>
        <v>-1</v>
      </c>
      <c r="AD330" s="972">
        <f t="shared" si="369"/>
        <v>-1</v>
      </c>
      <c r="AE330" s="972">
        <f t="shared" si="370"/>
        <v>-1</v>
      </c>
      <c r="AF330" s="972">
        <f t="shared" si="371"/>
        <v>-1</v>
      </c>
      <c r="AG330" s="972">
        <f t="shared" si="372"/>
        <v>-1</v>
      </c>
      <c r="AH330" s="972">
        <f t="shared" si="373"/>
        <v>-1</v>
      </c>
      <c r="AI330" s="972">
        <f t="shared" si="374"/>
        <v>-1</v>
      </c>
      <c r="AJ330" s="972">
        <f t="shared" si="375"/>
        <v>-1</v>
      </c>
      <c r="AK330" s="381"/>
      <c r="AL330" s="727" t="str">
        <f t="shared" si="376"/>
        <v/>
      </c>
      <c r="AM330" s="409">
        <f t="shared" si="431"/>
        <v>0</v>
      </c>
      <c r="AN330" s="409">
        <f t="shared" si="431"/>
        <v>0</v>
      </c>
      <c r="AO330" s="409">
        <f t="shared" si="431"/>
        <v>0</v>
      </c>
      <c r="AP330" s="409">
        <f t="shared" si="431"/>
        <v>0</v>
      </c>
      <c r="AQ330" s="409">
        <f t="shared" si="431"/>
        <v>0</v>
      </c>
      <c r="AR330" s="409">
        <f t="shared" si="431"/>
        <v>0</v>
      </c>
      <c r="AS330" s="409">
        <f t="shared" si="431"/>
        <v>0</v>
      </c>
      <c r="AT330" s="409">
        <f t="shared" si="431"/>
        <v>0</v>
      </c>
      <c r="AU330" s="409">
        <f t="shared" si="431"/>
        <v>0</v>
      </c>
      <c r="AV330" s="409">
        <f t="shared" si="431"/>
        <v>0</v>
      </c>
      <c r="AW330" s="409">
        <f t="shared" si="432"/>
        <v>0</v>
      </c>
      <c r="AX330" s="409">
        <f t="shared" si="432"/>
        <v>0</v>
      </c>
      <c r="AY330" s="409">
        <f t="shared" si="432"/>
        <v>0</v>
      </c>
      <c r="AZ330" s="409">
        <f t="shared" si="432"/>
        <v>0</v>
      </c>
      <c r="BA330" s="409">
        <f t="shared" si="432"/>
        <v>0</v>
      </c>
      <c r="BB330" s="409">
        <f t="shared" si="432"/>
        <v>0</v>
      </c>
      <c r="BC330" s="409">
        <f t="shared" si="432"/>
        <v>0</v>
      </c>
      <c r="BD330" s="409">
        <f t="shared" si="432"/>
        <v>0</v>
      </c>
      <c r="BE330" s="409">
        <f t="shared" si="432"/>
        <v>0</v>
      </c>
      <c r="BF330" s="409">
        <f t="shared" si="432"/>
        <v>0</v>
      </c>
      <c r="BG330" s="409">
        <f t="shared" si="433"/>
        <v>0</v>
      </c>
      <c r="BH330" s="409">
        <f t="shared" si="433"/>
        <v>0</v>
      </c>
      <c r="BI330" s="409">
        <f t="shared" si="433"/>
        <v>0</v>
      </c>
      <c r="BJ330" s="409">
        <f t="shared" si="433"/>
        <v>0</v>
      </c>
      <c r="BK330" s="409">
        <f t="shared" si="433"/>
        <v>0</v>
      </c>
      <c r="BL330" s="409">
        <f t="shared" si="433"/>
        <v>0</v>
      </c>
      <c r="BM330" s="409">
        <f t="shared" si="433"/>
        <v>0</v>
      </c>
      <c r="BN330" s="409">
        <f t="shared" si="433"/>
        <v>0</v>
      </c>
      <c r="BO330" s="409">
        <f t="shared" si="433"/>
        <v>0</v>
      </c>
      <c r="BP330" s="409">
        <f t="shared" si="433"/>
        <v>0</v>
      </c>
      <c r="BQ330" s="409">
        <f t="shared" si="434"/>
        <v>0</v>
      </c>
      <c r="BR330" s="409">
        <f t="shared" si="434"/>
        <v>0</v>
      </c>
      <c r="BS330" s="409">
        <f t="shared" si="434"/>
        <v>0</v>
      </c>
      <c r="BT330" s="409">
        <f t="shared" si="434"/>
        <v>0</v>
      </c>
      <c r="BU330" s="409">
        <f t="shared" si="434"/>
        <v>0</v>
      </c>
      <c r="BV330" s="409">
        <f t="shared" si="434"/>
        <v>0</v>
      </c>
      <c r="BW330" s="409">
        <f t="shared" si="434"/>
        <v>0</v>
      </c>
      <c r="BX330" s="409">
        <f t="shared" si="434"/>
        <v>0</v>
      </c>
      <c r="BY330" s="409">
        <f t="shared" si="434"/>
        <v>0</v>
      </c>
      <c r="BZ330" s="409">
        <f t="shared" si="434"/>
        <v>0</v>
      </c>
      <c r="CA330" s="409">
        <f t="shared" si="435"/>
        <v>0</v>
      </c>
      <c r="CB330" s="409">
        <f t="shared" si="435"/>
        <v>0</v>
      </c>
      <c r="CC330" s="409">
        <f t="shared" si="435"/>
        <v>0</v>
      </c>
      <c r="CD330" s="409">
        <f t="shared" si="435"/>
        <v>0</v>
      </c>
      <c r="CE330" s="409">
        <f t="shared" si="435"/>
        <v>0</v>
      </c>
      <c r="CF330" s="409">
        <f t="shared" si="435"/>
        <v>0</v>
      </c>
      <c r="CG330" s="409">
        <f t="shared" si="435"/>
        <v>0</v>
      </c>
      <c r="CH330" s="409">
        <f t="shared" si="435"/>
        <v>0</v>
      </c>
      <c r="CI330" s="409">
        <f t="shared" si="435"/>
        <v>0</v>
      </c>
      <c r="CJ330" s="409">
        <f t="shared" si="435"/>
        <v>0</v>
      </c>
      <c r="CK330" s="409">
        <f t="shared" si="436"/>
        <v>0</v>
      </c>
      <c r="CL330" s="409">
        <f t="shared" si="436"/>
        <v>0</v>
      </c>
      <c r="CM330" s="409">
        <f t="shared" si="436"/>
        <v>0</v>
      </c>
      <c r="CN330" s="409">
        <f t="shared" si="436"/>
        <v>0</v>
      </c>
      <c r="CO330" s="409">
        <f t="shared" si="436"/>
        <v>0</v>
      </c>
      <c r="CP330" s="409">
        <f t="shared" si="436"/>
        <v>0</v>
      </c>
      <c r="CQ330" s="409">
        <f t="shared" si="436"/>
        <v>0</v>
      </c>
      <c r="CR330" s="409">
        <f t="shared" si="436"/>
        <v>0</v>
      </c>
      <c r="CS330" s="409">
        <f t="shared" si="436"/>
        <v>0</v>
      </c>
      <c r="CT330" s="409">
        <f t="shared" si="436"/>
        <v>0</v>
      </c>
      <c r="CU330" s="409">
        <f t="shared" si="437"/>
        <v>0</v>
      </c>
      <c r="CV330" s="409">
        <f t="shared" si="437"/>
        <v>0</v>
      </c>
      <c r="CW330" s="409">
        <f t="shared" si="437"/>
        <v>0</v>
      </c>
      <c r="CX330" s="409">
        <f t="shared" si="437"/>
        <v>0</v>
      </c>
      <c r="CY330" s="409">
        <f t="shared" si="437"/>
        <v>0</v>
      </c>
      <c r="CZ330" s="409">
        <f t="shared" si="437"/>
        <v>0</v>
      </c>
      <c r="DA330" s="409">
        <f t="shared" si="437"/>
        <v>0</v>
      </c>
      <c r="DB330" s="409">
        <f t="shared" si="437"/>
        <v>0</v>
      </c>
      <c r="DC330" s="409">
        <f t="shared" si="437"/>
        <v>0</v>
      </c>
      <c r="DD330" s="409">
        <f t="shared" si="437"/>
        <v>0</v>
      </c>
      <c r="DE330" s="409">
        <f t="shared" si="438"/>
        <v>0</v>
      </c>
      <c r="DF330" s="409">
        <f t="shared" si="438"/>
        <v>0</v>
      </c>
      <c r="DG330" s="409">
        <f t="shared" si="438"/>
        <v>0</v>
      </c>
      <c r="DH330" s="409">
        <f t="shared" si="438"/>
        <v>0</v>
      </c>
      <c r="DI330" s="409">
        <f t="shared" si="438"/>
        <v>0</v>
      </c>
      <c r="DJ330" s="409">
        <f t="shared" si="438"/>
        <v>0</v>
      </c>
      <c r="DK330" s="409">
        <f t="shared" si="438"/>
        <v>0</v>
      </c>
      <c r="DL330" s="409">
        <f t="shared" si="438"/>
        <v>0</v>
      </c>
      <c r="DM330" s="409">
        <f t="shared" si="438"/>
        <v>0</v>
      </c>
      <c r="DN330" s="409">
        <f t="shared" si="438"/>
        <v>0</v>
      </c>
      <c r="DO330" s="409">
        <f t="shared" si="439"/>
        <v>0</v>
      </c>
      <c r="DP330" s="409">
        <f t="shared" si="439"/>
        <v>0</v>
      </c>
      <c r="DQ330" s="409">
        <f t="shared" si="439"/>
        <v>0</v>
      </c>
      <c r="DR330" s="409">
        <f t="shared" si="439"/>
        <v>0</v>
      </c>
      <c r="DS330" s="409">
        <f t="shared" si="439"/>
        <v>0</v>
      </c>
      <c r="DT330" s="409">
        <f t="shared" si="439"/>
        <v>0</v>
      </c>
      <c r="DU330" s="409">
        <f t="shared" si="439"/>
        <v>0</v>
      </c>
      <c r="DV330" s="409">
        <f t="shared" si="439"/>
        <v>0</v>
      </c>
      <c r="DW330" s="409">
        <f t="shared" si="439"/>
        <v>0</v>
      </c>
      <c r="DX330" s="409">
        <f t="shared" si="439"/>
        <v>0</v>
      </c>
      <c r="DY330" s="409">
        <f t="shared" si="440"/>
        <v>0</v>
      </c>
      <c r="DZ330" s="409">
        <f t="shared" si="440"/>
        <v>0</v>
      </c>
      <c r="EA330" s="409">
        <f t="shared" si="440"/>
        <v>0</v>
      </c>
      <c r="EB330" s="409">
        <f t="shared" si="440"/>
        <v>0</v>
      </c>
      <c r="EC330" s="409">
        <f t="shared" si="440"/>
        <v>0</v>
      </c>
      <c r="ED330" s="409">
        <f t="shared" si="440"/>
        <v>0</v>
      </c>
      <c r="EE330" s="409">
        <f t="shared" si="440"/>
        <v>0</v>
      </c>
      <c r="EF330" s="409">
        <f t="shared" si="440"/>
        <v>0</v>
      </c>
      <c r="EG330" s="409">
        <f t="shared" si="440"/>
        <v>0</v>
      </c>
      <c r="EH330" s="409">
        <f t="shared" si="440"/>
        <v>0</v>
      </c>
      <c r="EI330" s="409">
        <f t="shared" si="441"/>
        <v>0</v>
      </c>
      <c r="EJ330" s="409">
        <f t="shared" si="441"/>
        <v>0</v>
      </c>
      <c r="EK330" s="409">
        <f t="shared" si="441"/>
        <v>0</v>
      </c>
      <c r="EL330" s="409">
        <f t="shared" si="441"/>
        <v>0</v>
      </c>
      <c r="EM330" s="409">
        <f t="shared" si="441"/>
        <v>0</v>
      </c>
      <c r="EN330" s="409">
        <f t="shared" si="441"/>
        <v>0</v>
      </c>
      <c r="EO330" s="409">
        <f t="shared" si="441"/>
        <v>0</v>
      </c>
      <c r="EP330" s="409">
        <f t="shared" si="441"/>
        <v>0</v>
      </c>
      <c r="EQ330" s="409">
        <f t="shared" si="441"/>
        <v>0</v>
      </c>
      <c r="ER330" s="409">
        <f t="shared" si="441"/>
        <v>0</v>
      </c>
      <c r="ES330" s="409">
        <f t="shared" si="442"/>
        <v>0</v>
      </c>
      <c r="ET330" s="409">
        <f t="shared" si="442"/>
        <v>0</v>
      </c>
      <c r="EU330" s="409">
        <f t="shared" si="442"/>
        <v>0</v>
      </c>
      <c r="EV330" s="409">
        <f t="shared" si="442"/>
        <v>0</v>
      </c>
      <c r="EW330" s="409">
        <f t="shared" si="442"/>
        <v>0</v>
      </c>
      <c r="EX330" s="409">
        <f t="shared" si="442"/>
        <v>0</v>
      </c>
      <c r="EY330" s="409">
        <f t="shared" si="442"/>
        <v>0</v>
      </c>
      <c r="EZ330" s="409">
        <f t="shared" si="442"/>
        <v>0</v>
      </c>
      <c r="FA330" s="409">
        <f t="shared" si="442"/>
        <v>0</v>
      </c>
      <c r="FB330" s="409">
        <f t="shared" si="442"/>
        <v>0</v>
      </c>
      <c r="FC330" s="409">
        <f t="shared" si="443"/>
        <v>0</v>
      </c>
      <c r="FD330" s="409">
        <f t="shared" si="443"/>
        <v>0</v>
      </c>
      <c r="FE330" s="409">
        <f t="shared" si="443"/>
        <v>0</v>
      </c>
      <c r="FF330" s="409">
        <f t="shared" si="443"/>
        <v>0</v>
      </c>
      <c r="FG330" s="409">
        <f t="shared" si="443"/>
        <v>0</v>
      </c>
      <c r="FH330" s="409">
        <f t="shared" si="443"/>
        <v>0</v>
      </c>
      <c r="FI330" s="409">
        <f t="shared" si="443"/>
        <v>0</v>
      </c>
      <c r="FJ330" s="409">
        <f t="shared" si="443"/>
        <v>0</v>
      </c>
      <c r="FK330" s="409">
        <f t="shared" si="443"/>
        <v>0</v>
      </c>
      <c r="FL330" s="409">
        <f t="shared" si="443"/>
        <v>0</v>
      </c>
      <c r="FM330" s="409">
        <f t="shared" si="444"/>
        <v>0</v>
      </c>
      <c r="FN330" s="409">
        <f t="shared" si="444"/>
        <v>0</v>
      </c>
      <c r="FO330" s="409">
        <f t="shared" si="444"/>
        <v>0</v>
      </c>
      <c r="FP330" s="409">
        <f t="shared" si="444"/>
        <v>0</v>
      </c>
      <c r="FQ330" s="409">
        <f t="shared" si="444"/>
        <v>0</v>
      </c>
      <c r="FR330" s="409">
        <f t="shared" si="444"/>
        <v>0</v>
      </c>
      <c r="FS330" s="409">
        <f t="shared" si="444"/>
        <v>0</v>
      </c>
      <c r="FT330" s="409">
        <f t="shared" si="444"/>
        <v>0</v>
      </c>
      <c r="FU330" s="409">
        <f t="shared" si="444"/>
        <v>0</v>
      </c>
      <c r="FV330" s="409">
        <f t="shared" si="444"/>
        <v>0</v>
      </c>
      <c r="FW330" s="409">
        <f t="shared" si="445"/>
        <v>0</v>
      </c>
      <c r="FX330" s="409">
        <f t="shared" si="445"/>
        <v>0</v>
      </c>
      <c r="FY330" s="409">
        <f t="shared" si="445"/>
        <v>0</v>
      </c>
      <c r="FZ330" s="409">
        <f t="shared" si="445"/>
        <v>0</v>
      </c>
      <c r="GA330" s="409">
        <f t="shared" si="445"/>
        <v>0</v>
      </c>
      <c r="GB330" s="409">
        <f t="shared" si="445"/>
        <v>0</v>
      </c>
      <c r="GC330" s="409">
        <f t="shared" si="445"/>
        <v>0</v>
      </c>
      <c r="GD330" s="409">
        <f t="shared" si="445"/>
        <v>0</v>
      </c>
      <c r="GE330" s="409">
        <f t="shared" si="445"/>
        <v>0</v>
      </c>
      <c r="GF330" s="409">
        <f t="shared" si="445"/>
        <v>0</v>
      </c>
      <c r="GG330" s="409">
        <f t="shared" si="446"/>
        <v>0</v>
      </c>
      <c r="GH330" s="409">
        <f t="shared" si="446"/>
        <v>0</v>
      </c>
      <c r="GI330" s="409">
        <f t="shared" si="446"/>
        <v>0</v>
      </c>
      <c r="GJ330" s="409">
        <f t="shared" si="446"/>
        <v>0</v>
      </c>
      <c r="GK330" s="409">
        <f t="shared" si="446"/>
        <v>0</v>
      </c>
      <c r="GL330" s="409">
        <f t="shared" si="446"/>
        <v>0</v>
      </c>
      <c r="GM330" s="409">
        <f t="shared" si="446"/>
        <v>0</v>
      </c>
      <c r="GN330" s="409">
        <f t="shared" si="446"/>
        <v>0</v>
      </c>
      <c r="GO330" s="409">
        <f t="shared" si="446"/>
        <v>0</v>
      </c>
      <c r="GP330" s="409">
        <f t="shared" si="446"/>
        <v>0</v>
      </c>
      <c r="GQ330" s="409">
        <f t="shared" si="447"/>
        <v>0</v>
      </c>
      <c r="GR330" s="409">
        <f t="shared" si="447"/>
        <v>0</v>
      </c>
      <c r="GS330" s="409">
        <f t="shared" si="447"/>
        <v>0</v>
      </c>
      <c r="GT330" s="409">
        <f t="shared" si="447"/>
        <v>0</v>
      </c>
      <c r="GU330" s="409">
        <f t="shared" si="447"/>
        <v>0</v>
      </c>
      <c r="GV330" s="409">
        <f t="shared" si="447"/>
        <v>0</v>
      </c>
      <c r="GW330" s="409">
        <f t="shared" si="447"/>
        <v>0</v>
      </c>
      <c r="GX330" s="409">
        <f t="shared" si="447"/>
        <v>0</v>
      </c>
      <c r="GY330" s="409">
        <f t="shared" si="447"/>
        <v>0</v>
      </c>
      <c r="GZ330" s="409">
        <f t="shared" si="447"/>
        <v>0</v>
      </c>
      <c r="HA330" s="409">
        <f t="shared" si="448"/>
        <v>0</v>
      </c>
      <c r="HB330" s="409">
        <f t="shared" si="448"/>
        <v>0</v>
      </c>
      <c r="HC330" s="409">
        <f t="shared" si="448"/>
        <v>0</v>
      </c>
      <c r="HD330" s="409">
        <f t="shared" si="448"/>
        <v>0</v>
      </c>
      <c r="HE330" s="409">
        <f t="shared" si="448"/>
        <v>0</v>
      </c>
      <c r="HF330" s="409">
        <f t="shared" si="448"/>
        <v>0</v>
      </c>
      <c r="HG330" s="409">
        <f t="shared" si="448"/>
        <v>0</v>
      </c>
      <c r="HH330" s="409">
        <f t="shared" si="448"/>
        <v>0</v>
      </c>
      <c r="HI330" s="409">
        <f t="shared" si="448"/>
        <v>0</v>
      </c>
      <c r="HJ330" s="409">
        <f t="shared" si="448"/>
        <v>0</v>
      </c>
      <c r="HK330" s="409">
        <f t="shared" si="449"/>
        <v>0</v>
      </c>
      <c r="HL330" s="409">
        <f t="shared" si="449"/>
        <v>0</v>
      </c>
      <c r="HM330" s="409">
        <f t="shared" si="449"/>
        <v>0</v>
      </c>
      <c r="HN330" s="409">
        <f t="shared" si="449"/>
        <v>0</v>
      </c>
      <c r="HO330" s="409">
        <f t="shared" si="449"/>
        <v>0</v>
      </c>
      <c r="HP330" s="409">
        <f t="shared" si="449"/>
        <v>0</v>
      </c>
      <c r="HQ330" s="409">
        <f t="shared" si="449"/>
        <v>0</v>
      </c>
      <c r="HR330" s="409">
        <f t="shared" si="449"/>
        <v>0</v>
      </c>
      <c r="HS330" s="409">
        <f t="shared" si="449"/>
        <v>0</v>
      </c>
      <c r="HT330" s="409">
        <f t="shared" si="449"/>
        <v>0</v>
      </c>
      <c r="HU330" s="409">
        <f t="shared" si="450"/>
        <v>0</v>
      </c>
      <c r="HV330" s="409">
        <f t="shared" si="450"/>
        <v>0</v>
      </c>
      <c r="HW330" s="409">
        <f t="shared" si="450"/>
        <v>0</v>
      </c>
      <c r="HX330" s="409">
        <f t="shared" si="450"/>
        <v>0</v>
      </c>
      <c r="HY330" s="409">
        <f t="shared" si="450"/>
        <v>0</v>
      </c>
      <c r="HZ330" s="409">
        <f t="shared" si="450"/>
        <v>0</v>
      </c>
      <c r="IA330" s="409">
        <f t="shared" si="450"/>
        <v>0</v>
      </c>
      <c r="IB330" s="409">
        <f t="shared" si="450"/>
        <v>0</v>
      </c>
      <c r="IC330" s="409">
        <f t="shared" si="450"/>
        <v>0</v>
      </c>
      <c r="ID330" s="409">
        <f t="shared" si="450"/>
        <v>0</v>
      </c>
      <c r="IE330" s="409">
        <f t="shared" si="451"/>
        <v>0</v>
      </c>
      <c r="IF330" s="409">
        <f t="shared" si="451"/>
        <v>0</v>
      </c>
      <c r="IG330" s="409">
        <f t="shared" si="451"/>
        <v>0</v>
      </c>
      <c r="IH330" s="409">
        <f t="shared" si="451"/>
        <v>0</v>
      </c>
      <c r="II330" s="409">
        <f t="shared" si="451"/>
        <v>0</v>
      </c>
      <c r="IJ330" s="409">
        <f t="shared" si="451"/>
        <v>0</v>
      </c>
      <c r="IK330" s="378"/>
    </row>
    <row r="331" spans="1:245" hidden="1" x14ac:dyDescent="0.2">
      <c r="A331" s="380" t="str">
        <f t="shared" si="357"/>
        <v>e</v>
      </c>
      <c r="B331" s="712" t="str">
        <f>IF(ISERROR(INDEX('Legend(DX)'!$H$14:$H$15,44)),"",INDEX('Legend(DX)'!$H$14:$H$15,44))</f>
        <v/>
      </c>
      <c r="C331" s="712" t="e">
        <f>IF(INDEX('Legend(DX)'!$T$14:$T$15,44)=0,"See Legend",INDEX('Legend(DX)'!$T$14:$T$15,44))</f>
        <v>#REF!</v>
      </c>
      <c r="D331" s="712" t="e">
        <f>IF(INDEX('Legend(DX)'!$R$14:$R$15,44)=0,"---",INDEX('Legend(DX)'!$R$14:$R$15,44))</f>
        <v>#REF!</v>
      </c>
      <c r="E331" s="713" t="str">
        <f>IF(ISERROR(INDEX('Legend(DX)'!$AA$14:$AA$15,44)),"",INDEX('Legend(DX)'!$AA$14:$AA$15,44))</f>
        <v/>
      </c>
      <c r="F331" s="715"/>
      <c r="G331" s="715"/>
      <c r="H331" s="715"/>
      <c r="I331" s="715"/>
      <c r="J331" s="715"/>
      <c r="K331" s="890">
        <f t="shared" si="358"/>
        <v>0</v>
      </c>
      <c r="L331" s="718"/>
      <c r="M331" s="720"/>
      <c r="N331" s="972">
        <f t="shared" si="425"/>
        <v>-1</v>
      </c>
      <c r="O331" s="972">
        <f t="shared" si="359"/>
        <v>-1</v>
      </c>
      <c r="P331" s="972">
        <f t="shared" si="426"/>
        <v>-1</v>
      </c>
      <c r="Q331" s="972">
        <f t="shared" si="360"/>
        <v>-1</v>
      </c>
      <c r="R331" s="972">
        <f t="shared" si="427"/>
        <v>-1</v>
      </c>
      <c r="S331" s="972">
        <f t="shared" si="361"/>
        <v>-1</v>
      </c>
      <c r="T331" s="972">
        <f t="shared" si="428"/>
        <v>-1</v>
      </c>
      <c r="U331" s="972">
        <f t="shared" si="362"/>
        <v>-1</v>
      </c>
      <c r="V331" s="972">
        <f t="shared" si="429"/>
        <v>-1</v>
      </c>
      <c r="W331" s="972">
        <f t="shared" si="363"/>
        <v>-1</v>
      </c>
      <c r="X331" s="972">
        <f t="shared" si="430"/>
        <v>-1</v>
      </c>
      <c r="Y331" s="972">
        <f t="shared" si="364"/>
        <v>-1</v>
      </c>
      <c r="Z331" s="972">
        <f t="shared" si="365"/>
        <v>-1</v>
      </c>
      <c r="AA331" s="972">
        <f t="shared" si="366"/>
        <v>-1</v>
      </c>
      <c r="AB331" s="972">
        <f t="shared" si="367"/>
        <v>-1</v>
      </c>
      <c r="AC331" s="972">
        <f t="shared" si="368"/>
        <v>-1</v>
      </c>
      <c r="AD331" s="972">
        <f t="shared" si="369"/>
        <v>-1</v>
      </c>
      <c r="AE331" s="972">
        <f t="shared" si="370"/>
        <v>-1</v>
      </c>
      <c r="AF331" s="972">
        <f t="shared" si="371"/>
        <v>-1</v>
      </c>
      <c r="AG331" s="972">
        <f t="shared" si="372"/>
        <v>-1</v>
      </c>
      <c r="AH331" s="972">
        <f t="shared" si="373"/>
        <v>-1</v>
      </c>
      <c r="AI331" s="972">
        <f t="shared" si="374"/>
        <v>-1</v>
      </c>
      <c r="AJ331" s="972">
        <f t="shared" si="375"/>
        <v>-1</v>
      </c>
      <c r="AK331" s="381"/>
      <c r="AL331" s="727" t="str">
        <f t="shared" si="376"/>
        <v/>
      </c>
      <c r="AM331" s="409">
        <f t="shared" si="431"/>
        <v>0</v>
      </c>
      <c r="AN331" s="409">
        <f t="shared" si="431"/>
        <v>0</v>
      </c>
      <c r="AO331" s="409">
        <f t="shared" si="431"/>
        <v>0</v>
      </c>
      <c r="AP331" s="409">
        <f t="shared" si="431"/>
        <v>0</v>
      </c>
      <c r="AQ331" s="409">
        <f t="shared" si="431"/>
        <v>0</v>
      </c>
      <c r="AR331" s="409">
        <f t="shared" si="431"/>
        <v>0</v>
      </c>
      <c r="AS331" s="409">
        <f t="shared" si="431"/>
        <v>0</v>
      </c>
      <c r="AT331" s="409">
        <f t="shared" si="431"/>
        <v>0</v>
      </c>
      <c r="AU331" s="409">
        <f t="shared" si="431"/>
        <v>0</v>
      </c>
      <c r="AV331" s="409">
        <f t="shared" si="431"/>
        <v>0</v>
      </c>
      <c r="AW331" s="409">
        <f t="shared" si="432"/>
        <v>0</v>
      </c>
      <c r="AX331" s="409">
        <f t="shared" si="432"/>
        <v>0</v>
      </c>
      <c r="AY331" s="409">
        <f t="shared" si="432"/>
        <v>0</v>
      </c>
      <c r="AZ331" s="409">
        <f t="shared" si="432"/>
        <v>0</v>
      </c>
      <c r="BA331" s="409">
        <f t="shared" si="432"/>
        <v>0</v>
      </c>
      <c r="BB331" s="409">
        <f t="shared" si="432"/>
        <v>0</v>
      </c>
      <c r="BC331" s="409">
        <f t="shared" si="432"/>
        <v>0</v>
      </c>
      <c r="BD331" s="409">
        <f t="shared" si="432"/>
        <v>0</v>
      </c>
      <c r="BE331" s="409">
        <f t="shared" si="432"/>
        <v>0</v>
      </c>
      <c r="BF331" s="409">
        <f t="shared" si="432"/>
        <v>0</v>
      </c>
      <c r="BG331" s="409">
        <f t="shared" si="433"/>
        <v>0</v>
      </c>
      <c r="BH331" s="409">
        <f t="shared" si="433"/>
        <v>0</v>
      </c>
      <c r="BI331" s="409">
        <f t="shared" si="433"/>
        <v>0</v>
      </c>
      <c r="BJ331" s="409">
        <f t="shared" si="433"/>
        <v>0</v>
      </c>
      <c r="BK331" s="409">
        <f t="shared" si="433"/>
        <v>0</v>
      </c>
      <c r="BL331" s="409">
        <f t="shared" si="433"/>
        <v>0</v>
      </c>
      <c r="BM331" s="409">
        <f t="shared" si="433"/>
        <v>0</v>
      </c>
      <c r="BN331" s="409">
        <f t="shared" si="433"/>
        <v>0</v>
      </c>
      <c r="BO331" s="409">
        <f t="shared" si="433"/>
        <v>0</v>
      </c>
      <c r="BP331" s="409">
        <f t="shared" si="433"/>
        <v>0</v>
      </c>
      <c r="BQ331" s="409">
        <f t="shared" si="434"/>
        <v>0</v>
      </c>
      <c r="BR331" s="409">
        <f t="shared" si="434"/>
        <v>0</v>
      </c>
      <c r="BS331" s="409">
        <f t="shared" si="434"/>
        <v>0</v>
      </c>
      <c r="BT331" s="409">
        <f t="shared" si="434"/>
        <v>0</v>
      </c>
      <c r="BU331" s="409">
        <f t="shared" si="434"/>
        <v>0</v>
      </c>
      <c r="BV331" s="409">
        <f t="shared" si="434"/>
        <v>0</v>
      </c>
      <c r="BW331" s="409">
        <f t="shared" si="434"/>
        <v>0</v>
      </c>
      <c r="BX331" s="409">
        <f t="shared" si="434"/>
        <v>0</v>
      </c>
      <c r="BY331" s="409">
        <f t="shared" si="434"/>
        <v>0</v>
      </c>
      <c r="BZ331" s="409">
        <f t="shared" si="434"/>
        <v>0</v>
      </c>
      <c r="CA331" s="409">
        <f t="shared" si="435"/>
        <v>0</v>
      </c>
      <c r="CB331" s="409">
        <f t="shared" si="435"/>
        <v>0</v>
      </c>
      <c r="CC331" s="409">
        <f t="shared" si="435"/>
        <v>0</v>
      </c>
      <c r="CD331" s="409">
        <f t="shared" si="435"/>
        <v>0</v>
      </c>
      <c r="CE331" s="409">
        <f t="shared" si="435"/>
        <v>0</v>
      </c>
      <c r="CF331" s="409">
        <f t="shared" si="435"/>
        <v>0</v>
      </c>
      <c r="CG331" s="409">
        <f t="shared" si="435"/>
        <v>0</v>
      </c>
      <c r="CH331" s="409">
        <f t="shared" si="435"/>
        <v>0</v>
      </c>
      <c r="CI331" s="409">
        <f t="shared" si="435"/>
        <v>0</v>
      </c>
      <c r="CJ331" s="409">
        <f t="shared" si="435"/>
        <v>0</v>
      </c>
      <c r="CK331" s="409">
        <f t="shared" si="436"/>
        <v>0</v>
      </c>
      <c r="CL331" s="409">
        <f t="shared" si="436"/>
        <v>0</v>
      </c>
      <c r="CM331" s="409">
        <f t="shared" si="436"/>
        <v>0</v>
      </c>
      <c r="CN331" s="409">
        <f t="shared" si="436"/>
        <v>0</v>
      </c>
      <c r="CO331" s="409">
        <f t="shared" si="436"/>
        <v>0</v>
      </c>
      <c r="CP331" s="409">
        <f t="shared" si="436"/>
        <v>0</v>
      </c>
      <c r="CQ331" s="409">
        <f t="shared" si="436"/>
        <v>0</v>
      </c>
      <c r="CR331" s="409">
        <f t="shared" si="436"/>
        <v>0</v>
      </c>
      <c r="CS331" s="409">
        <f t="shared" si="436"/>
        <v>0</v>
      </c>
      <c r="CT331" s="409">
        <f t="shared" si="436"/>
        <v>0</v>
      </c>
      <c r="CU331" s="409">
        <f t="shared" si="437"/>
        <v>0</v>
      </c>
      <c r="CV331" s="409">
        <f t="shared" si="437"/>
        <v>0</v>
      </c>
      <c r="CW331" s="409">
        <f t="shared" si="437"/>
        <v>0</v>
      </c>
      <c r="CX331" s="409">
        <f t="shared" si="437"/>
        <v>0</v>
      </c>
      <c r="CY331" s="409">
        <f t="shared" si="437"/>
        <v>0</v>
      </c>
      <c r="CZ331" s="409">
        <f t="shared" si="437"/>
        <v>0</v>
      </c>
      <c r="DA331" s="409">
        <f t="shared" si="437"/>
        <v>0</v>
      </c>
      <c r="DB331" s="409">
        <f t="shared" si="437"/>
        <v>0</v>
      </c>
      <c r="DC331" s="409">
        <f t="shared" si="437"/>
        <v>0</v>
      </c>
      <c r="DD331" s="409">
        <f t="shared" si="437"/>
        <v>0</v>
      </c>
      <c r="DE331" s="409">
        <f t="shared" si="438"/>
        <v>0</v>
      </c>
      <c r="DF331" s="409">
        <f t="shared" si="438"/>
        <v>0</v>
      </c>
      <c r="DG331" s="409">
        <f t="shared" si="438"/>
        <v>0</v>
      </c>
      <c r="DH331" s="409">
        <f t="shared" si="438"/>
        <v>0</v>
      </c>
      <c r="DI331" s="409">
        <f t="shared" si="438"/>
        <v>0</v>
      </c>
      <c r="DJ331" s="409">
        <f t="shared" si="438"/>
        <v>0</v>
      </c>
      <c r="DK331" s="409">
        <f t="shared" si="438"/>
        <v>0</v>
      </c>
      <c r="DL331" s="409">
        <f t="shared" si="438"/>
        <v>0</v>
      </c>
      <c r="DM331" s="409">
        <f t="shared" si="438"/>
        <v>0</v>
      </c>
      <c r="DN331" s="409">
        <f t="shared" si="438"/>
        <v>0</v>
      </c>
      <c r="DO331" s="409">
        <f t="shared" si="439"/>
        <v>0</v>
      </c>
      <c r="DP331" s="409">
        <f t="shared" si="439"/>
        <v>0</v>
      </c>
      <c r="DQ331" s="409">
        <f t="shared" si="439"/>
        <v>0</v>
      </c>
      <c r="DR331" s="409">
        <f t="shared" si="439"/>
        <v>0</v>
      </c>
      <c r="DS331" s="409">
        <f t="shared" si="439"/>
        <v>0</v>
      </c>
      <c r="DT331" s="409">
        <f t="shared" si="439"/>
        <v>0</v>
      </c>
      <c r="DU331" s="409">
        <f t="shared" si="439"/>
        <v>0</v>
      </c>
      <c r="DV331" s="409">
        <f t="shared" si="439"/>
        <v>0</v>
      </c>
      <c r="DW331" s="409">
        <f t="shared" si="439"/>
        <v>0</v>
      </c>
      <c r="DX331" s="409">
        <f t="shared" si="439"/>
        <v>0</v>
      </c>
      <c r="DY331" s="409">
        <f t="shared" si="440"/>
        <v>0</v>
      </c>
      <c r="DZ331" s="409">
        <f t="shared" si="440"/>
        <v>0</v>
      </c>
      <c r="EA331" s="409">
        <f t="shared" si="440"/>
        <v>0</v>
      </c>
      <c r="EB331" s="409">
        <f t="shared" si="440"/>
        <v>0</v>
      </c>
      <c r="EC331" s="409">
        <f t="shared" si="440"/>
        <v>0</v>
      </c>
      <c r="ED331" s="409">
        <f t="shared" si="440"/>
        <v>0</v>
      </c>
      <c r="EE331" s="409">
        <f t="shared" si="440"/>
        <v>0</v>
      </c>
      <c r="EF331" s="409">
        <f t="shared" si="440"/>
        <v>0</v>
      </c>
      <c r="EG331" s="409">
        <f t="shared" si="440"/>
        <v>0</v>
      </c>
      <c r="EH331" s="409">
        <f t="shared" si="440"/>
        <v>0</v>
      </c>
      <c r="EI331" s="409">
        <f t="shared" si="441"/>
        <v>0</v>
      </c>
      <c r="EJ331" s="409">
        <f t="shared" si="441"/>
        <v>0</v>
      </c>
      <c r="EK331" s="409">
        <f t="shared" si="441"/>
        <v>0</v>
      </c>
      <c r="EL331" s="409">
        <f t="shared" si="441"/>
        <v>0</v>
      </c>
      <c r="EM331" s="409">
        <f t="shared" si="441"/>
        <v>0</v>
      </c>
      <c r="EN331" s="409">
        <f t="shared" si="441"/>
        <v>0</v>
      </c>
      <c r="EO331" s="409">
        <f t="shared" si="441"/>
        <v>0</v>
      </c>
      <c r="EP331" s="409">
        <f t="shared" si="441"/>
        <v>0</v>
      </c>
      <c r="EQ331" s="409">
        <f t="shared" si="441"/>
        <v>0</v>
      </c>
      <c r="ER331" s="409">
        <f t="shared" si="441"/>
        <v>0</v>
      </c>
      <c r="ES331" s="409">
        <f t="shared" si="442"/>
        <v>0</v>
      </c>
      <c r="ET331" s="409">
        <f t="shared" si="442"/>
        <v>0</v>
      </c>
      <c r="EU331" s="409">
        <f t="shared" si="442"/>
        <v>0</v>
      </c>
      <c r="EV331" s="409">
        <f t="shared" si="442"/>
        <v>0</v>
      </c>
      <c r="EW331" s="409">
        <f t="shared" si="442"/>
        <v>0</v>
      </c>
      <c r="EX331" s="409">
        <f t="shared" si="442"/>
        <v>0</v>
      </c>
      <c r="EY331" s="409">
        <f t="shared" si="442"/>
        <v>0</v>
      </c>
      <c r="EZ331" s="409">
        <f t="shared" si="442"/>
        <v>0</v>
      </c>
      <c r="FA331" s="409">
        <f t="shared" si="442"/>
        <v>0</v>
      </c>
      <c r="FB331" s="409">
        <f t="shared" si="442"/>
        <v>0</v>
      </c>
      <c r="FC331" s="409">
        <f t="shared" si="443"/>
        <v>0</v>
      </c>
      <c r="FD331" s="409">
        <f t="shared" si="443"/>
        <v>0</v>
      </c>
      <c r="FE331" s="409">
        <f t="shared" si="443"/>
        <v>0</v>
      </c>
      <c r="FF331" s="409">
        <f t="shared" si="443"/>
        <v>0</v>
      </c>
      <c r="FG331" s="409">
        <f t="shared" si="443"/>
        <v>0</v>
      </c>
      <c r="FH331" s="409">
        <f t="shared" si="443"/>
        <v>0</v>
      </c>
      <c r="FI331" s="409">
        <f t="shared" si="443"/>
        <v>0</v>
      </c>
      <c r="FJ331" s="409">
        <f t="shared" si="443"/>
        <v>0</v>
      </c>
      <c r="FK331" s="409">
        <f t="shared" si="443"/>
        <v>0</v>
      </c>
      <c r="FL331" s="409">
        <f t="shared" si="443"/>
        <v>0</v>
      </c>
      <c r="FM331" s="409">
        <f t="shared" si="444"/>
        <v>0</v>
      </c>
      <c r="FN331" s="409">
        <f t="shared" si="444"/>
        <v>0</v>
      </c>
      <c r="FO331" s="409">
        <f t="shared" si="444"/>
        <v>0</v>
      </c>
      <c r="FP331" s="409">
        <f t="shared" si="444"/>
        <v>0</v>
      </c>
      <c r="FQ331" s="409">
        <f t="shared" si="444"/>
        <v>0</v>
      </c>
      <c r="FR331" s="409">
        <f t="shared" si="444"/>
        <v>0</v>
      </c>
      <c r="FS331" s="409">
        <f t="shared" si="444"/>
        <v>0</v>
      </c>
      <c r="FT331" s="409">
        <f t="shared" si="444"/>
        <v>0</v>
      </c>
      <c r="FU331" s="409">
        <f t="shared" si="444"/>
        <v>0</v>
      </c>
      <c r="FV331" s="409">
        <f t="shared" si="444"/>
        <v>0</v>
      </c>
      <c r="FW331" s="409">
        <f t="shared" si="445"/>
        <v>0</v>
      </c>
      <c r="FX331" s="409">
        <f t="shared" si="445"/>
        <v>0</v>
      </c>
      <c r="FY331" s="409">
        <f t="shared" si="445"/>
        <v>0</v>
      </c>
      <c r="FZ331" s="409">
        <f t="shared" si="445"/>
        <v>0</v>
      </c>
      <c r="GA331" s="409">
        <f t="shared" si="445"/>
        <v>0</v>
      </c>
      <c r="GB331" s="409">
        <f t="shared" si="445"/>
        <v>0</v>
      </c>
      <c r="GC331" s="409">
        <f t="shared" si="445"/>
        <v>0</v>
      </c>
      <c r="GD331" s="409">
        <f t="shared" si="445"/>
        <v>0</v>
      </c>
      <c r="GE331" s="409">
        <f t="shared" si="445"/>
        <v>0</v>
      </c>
      <c r="GF331" s="409">
        <f t="shared" si="445"/>
        <v>0</v>
      </c>
      <c r="GG331" s="409">
        <f t="shared" si="446"/>
        <v>0</v>
      </c>
      <c r="GH331" s="409">
        <f t="shared" si="446"/>
        <v>0</v>
      </c>
      <c r="GI331" s="409">
        <f t="shared" si="446"/>
        <v>0</v>
      </c>
      <c r="GJ331" s="409">
        <f t="shared" si="446"/>
        <v>0</v>
      </c>
      <c r="GK331" s="409">
        <f t="shared" si="446"/>
        <v>0</v>
      </c>
      <c r="GL331" s="409">
        <f t="shared" si="446"/>
        <v>0</v>
      </c>
      <c r="GM331" s="409">
        <f t="shared" si="446"/>
        <v>0</v>
      </c>
      <c r="GN331" s="409">
        <f t="shared" si="446"/>
        <v>0</v>
      </c>
      <c r="GO331" s="409">
        <f t="shared" si="446"/>
        <v>0</v>
      </c>
      <c r="GP331" s="409">
        <f t="shared" si="446"/>
        <v>0</v>
      </c>
      <c r="GQ331" s="409">
        <f t="shared" si="447"/>
        <v>0</v>
      </c>
      <c r="GR331" s="409">
        <f t="shared" si="447"/>
        <v>0</v>
      </c>
      <c r="GS331" s="409">
        <f t="shared" si="447"/>
        <v>0</v>
      </c>
      <c r="GT331" s="409">
        <f t="shared" si="447"/>
        <v>0</v>
      </c>
      <c r="GU331" s="409">
        <f t="shared" si="447"/>
        <v>0</v>
      </c>
      <c r="GV331" s="409">
        <f t="shared" si="447"/>
        <v>0</v>
      </c>
      <c r="GW331" s="409">
        <f t="shared" si="447"/>
        <v>0</v>
      </c>
      <c r="GX331" s="409">
        <f t="shared" si="447"/>
        <v>0</v>
      </c>
      <c r="GY331" s="409">
        <f t="shared" si="447"/>
        <v>0</v>
      </c>
      <c r="GZ331" s="409">
        <f t="shared" si="447"/>
        <v>0</v>
      </c>
      <c r="HA331" s="409">
        <f t="shared" si="448"/>
        <v>0</v>
      </c>
      <c r="HB331" s="409">
        <f t="shared" si="448"/>
        <v>0</v>
      </c>
      <c r="HC331" s="409">
        <f t="shared" si="448"/>
        <v>0</v>
      </c>
      <c r="HD331" s="409">
        <f t="shared" si="448"/>
        <v>0</v>
      </c>
      <c r="HE331" s="409">
        <f t="shared" si="448"/>
        <v>0</v>
      </c>
      <c r="HF331" s="409">
        <f t="shared" si="448"/>
        <v>0</v>
      </c>
      <c r="HG331" s="409">
        <f t="shared" si="448"/>
        <v>0</v>
      </c>
      <c r="HH331" s="409">
        <f t="shared" si="448"/>
        <v>0</v>
      </c>
      <c r="HI331" s="409">
        <f t="shared" si="448"/>
        <v>0</v>
      </c>
      <c r="HJ331" s="409">
        <f t="shared" si="448"/>
        <v>0</v>
      </c>
      <c r="HK331" s="409">
        <f t="shared" si="449"/>
        <v>0</v>
      </c>
      <c r="HL331" s="409">
        <f t="shared" si="449"/>
        <v>0</v>
      </c>
      <c r="HM331" s="409">
        <f t="shared" si="449"/>
        <v>0</v>
      </c>
      <c r="HN331" s="409">
        <f t="shared" si="449"/>
        <v>0</v>
      </c>
      <c r="HO331" s="409">
        <f t="shared" si="449"/>
        <v>0</v>
      </c>
      <c r="HP331" s="409">
        <f t="shared" si="449"/>
        <v>0</v>
      </c>
      <c r="HQ331" s="409">
        <f t="shared" si="449"/>
        <v>0</v>
      </c>
      <c r="HR331" s="409">
        <f t="shared" si="449"/>
        <v>0</v>
      </c>
      <c r="HS331" s="409">
        <f t="shared" si="449"/>
        <v>0</v>
      </c>
      <c r="HT331" s="409">
        <f t="shared" si="449"/>
        <v>0</v>
      </c>
      <c r="HU331" s="409">
        <f t="shared" si="450"/>
        <v>0</v>
      </c>
      <c r="HV331" s="409">
        <f t="shared" si="450"/>
        <v>0</v>
      </c>
      <c r="HW331" s="409">
        <f t="shared" si="450"/>
        <v>0</v>
      </c>
      <c r="HX331" s="409">
        <f t="shared" si="450"/>
        <v>0</v>
      </c>
      <c r="HY331" s="409">
        <f t="shared" si="450"/>
        <v>0</v>
      </c>
      <c r="HZ331" s="409">
        <f t="shared" si="450"/>
        <v>0</v>
      </c>
      <c r="IA331" s="409">
        <f t="shared" si="450"/>
        <v>0</v>
      </c>
      <c r="IB331" s="409">
        <f t="shared" si="450"/>
        <v>0</v>
      </c>
      <c r="IC331" s="409">
        <f t="shared" si="450"/>
        <v>0</v>
      </c>
      <c r="ID331" s="409">
        <f t="shared" si="450"/>
        <v>0</v>
      </c>
      <c r="IE331" s="409">
        <f t="shared" si="451"/>
        <v>0</v>
      </c>
      <c r="IF331" s="409">
        <f t="shared" si="451"/>
        <v>0</v>
      </c>
      <c r="IG331" s="409">
        <f t="shared" si="451"/>
        <v>0</v>
      </c>
      <c r="IH331" s="409">
        <f t="shared" si="451"/>
        <v>0</v>
      </c>
      <c r="II331" s="409">
        <f t="shared" si="451"/>
        <v>0</v>
      </c>
      <c r="IJ331" s="409">
        <f t="shared" si="451"/>
        <v>0</v>
      </c>
      <c r="IK331" s="378"/>
    </row>
    <row r="332" spans="1:245" hidden="1" x14ac:dyDescent="0.2">
      <c r="A332" s="380" t="str">
        <f t="shared" si="357"/>
        <v>e</v>
      </c>
      <c r="B332" s="712" t="str">
        <f>IF(ISERROR(INDEX('Legend(DX)'!$H$14:$H$15,45)),"",INDEX('Legend(DX)'!$H$14:$H$15,45))</f>
        <v/>
      </c>
      <c r="C332" s="712" t="e">
        <f>IF(INDEX('Legend(DX)'!$T$14:$T$15,45)=0,"See Legend",INDEX('Legend(DX)'!$T$14:$T$15,45))</f>
        <v>#REF!</v>
      </c>
      <c r="D332" s="712" t="e">
        <f>IF(INDEX('Legend(DX)'!$R$14:$R$15,45)=0,"---",INDEX('Legend(DX)'!$R$14:$R$15,45))</f>
        <v>#REF!</v>
      </c>
      <c r="E332" s="713" t="str">
        <f>IF(ISERROR(INDEX('Legend(DX)'!$AA$14:$AA$15,45)),"",INDEX('Legend(DX)'!$AA$14:$AA$15,45))</f>
        <v/>
      </c>
      <c r="F332" s="715"/>
      <c r="G332" s="715"/>
      <c r="H332" s="715"/>
      <c r="I332" s="715"/>
      <c r="J332" s="715"/>
      <c r="K332" s="890">
        <f t="shared" si="358"/>
        <v>0</v>
      </c>
      <c r="L332" s="718"/>
      <c r="M332" s="720"/>
      <c r="N332" s="972">
        <f t="shared" si="425"/>
        <v>-1</v>
      </c>
      <c r="O332" s="972">
        <f t="shared" si="359"/>
        <v>-1</v>
      </c>
      <c r="P332" s="972">
        <f t="shared" si="426"/>
        <v>-1</v>
      </c>
      <c r="Q332" s="972">
        <f t="shared" si="360"/>
        <v>-1</v>
      </c>
      <c r="R332" s="972">
        <f t="shared" si="427"/>
        <v>-1</v>
      </c>
      <c r="S332" s="972">
        <f t="shared" si="361"/>
        <v>-1</v>
      </c>
      <c r="T332" s="972">
        <f t="shared" si="428"/>
        <v>-1</v>
      </c>
      <c r="U332" s="972">
        <f t="shared" si="362"/>
        <v>-1</v>
      </c>
      <c r="V332" s="972">
        <f t="shared" si="429"/>
        <v>-1</v>
      </c>
      <c r="W332" s="972">
        <f t="shared" si="363"/>
        <v>-1</v>
      </c>
      <c r="X332" s="972">
        <f t="shared" si="430"/>
        <v>-1</v>
      </c>
      <c r="Y332" s="972">
        <f t="shared" si="364"/>
        <v>-1</v>
      </c>
      <c r="Z332" s="972">
        <f t="shared" si="365"/>
        <v>-1</v>
      </c>
      <c r="AA332" s="972">
        <f t="shared" si="366"/>
        <v>-1</v>
      </c>
      <c r="AB332" s="972">
        <f t="shared" si="367"/>
        <v>-1</v>
      </c>
      <c r="AC332" s="972">
        <f t="shared" si="368"/>
        <v>-1</v>
      </c>
      <c r="AD332" s="972">
        <f t="shared" si="369"/>
        <v>-1</v>
      </c>
      <c r="AE332" s="972">
        <f t="shared" si="370"/>
        <v>-1</v>
      </c>
      <c r="AF332" s="972">
        <f t="shared" si="371"/>
        <v>-1</v>
      </c>
      <c r="AG332" s="972">
        <f t="shared" si="372"/>
        <v>-1</v>
      </c>
      <c r="AH332" s="972">
        <f t="shared" si="373"/>
        <v>-1</v>
      </c>
      <c r="AI332" s="972">
        <f t="shared" si="374"/>
        <v>-1</v>
      </c>
      <c r="AJ332" s="972">
        <f t="shared" si="375"/>
        <v>-1</v>
      </c>
      <c r="AK332" s="381"/>
      <c r="AL332" s="727" t="str">
        <f t="shared" si="376"/>
        <v/>
      </c>
      <c r="AM332" s="409">
        <f t="shared" si="431"/>
        <v>0</v>
      </c>
      <c r="AN332" s="409">
        <f t="shared" si="431"/>
        <v>0</v>
      </c>
      <c r="AO332" s="409">
        <f t="shared" si="431"/>
        <v>0</v>
      </c>
      <c r="AP332" s="409">
        <f t="shared" si="431"/>
        <v>0</v>
      </c>
      <c r="AQ332" s="409">
        <f t="shared" si="431"/>
        <v>0</v>
      </c>
      <c r="AR332" s="409">
        <f t="shared" si="431"/>
        <v>0</v>
      </c>
      <c r="AS332" s="409">
        <f t="shared" si="431"/>
        <v>0</v>
      </c>
      <c r="AT332" s="409">
        <f t="shared" si="431"/>
        <v>0</v>
      </c>
      <c r="AU332" s="409">
        <f t="shared" si="431"/>
        <v>0</v>
      </c>
      <c r="AV332" s="409">
        <f t="shared" si="431"/>
        <v>0</v>
      </c>
      <c r="AW332" s="409">
        <f t="shared" si="432"/>
        <v>0</v>
      </c>
      <c r="AX332" s="409">
        <f t="shared" si="432"/>
        <v>0</v>
      </c>
      <c r="AY332" s="409">
        <f t="shared" si="432"/>
        <v>0</v>
      </c>
      <c r="AZ332" s="409">
        <f t="shared" si="432"/>
        <v>0</v>
      </c>
      <c r="BA332" s="409">
        <f t="shared" si="432"/>
        <v>0</v>
      </c>
      <c r="BB332" s="409">
        <f t="shared" si="432"/>
        <v>0</v>
      </c>
      <c r="BC332" s="409">
        <f t="shared" si="432"/>
        <v>0</v>
      </c>
      <c r="BD332" s="409">
        <f t="shared" si="432"/>
        <v>0</v>
      </c>
      <c r="BE332" s="409">
        <f t="shared" si="432"/>
        <v>0</v>
      </c>
      <c r="BF332" s="409">
        <f t="shared" si="432"/>
        <v>0</v>
      </c>
      <c r="BG332" s="409">
        <f t="shared" si="433"/>
        <v>0</v>
      </c>
      <c r="BH332" s="409">
        <f t="shared" si="433"/>
        <v>0</v>
      </c>
      <c r="BI332" s="409">
        <f t="shared" si="433"/>
        <v>0</v>
      </c>
      <c r="BJ332" s="409">
        <f t="shared" si="433"/>
        <v>0</v>
      </c>
      <c r="BK332" s="409">
        <f t="shared" si="433"/>
        <v>0</v>
      </c>
      <c r="BL332" s="409">
        <f t="shared" si="433"/>
        <v>0</v>
      </c>
      <c r="BM332" s="409">
        <f t="shared" si="433"/>
        <v>0</v>
      </c>
      <c r="BN332" s="409">
        <f t="shared" si="433"/>
        <v>0</v>
      </c>
      <c r="BO332" s="409">
        <f t="shared" si="433"/>
        <v>0</v>
      </c>
      <c r="BP332" s="409">
        <f t="shared" si="433"/>
        <v>0</v>
      </c>
      <c r="BQ332" s="409">
        <f t="shared" si="434"/>
        <v>0</v>
      </c>
      <c r="BR332" s="409">
        <f t="shared" si="434"/>
        <v>0</v>
      </c>
      <c r="BS332" s="409">
        <f t="shared" si="434"/>
        <v>0</v>
      </c>
      <c r="BT332" s="409">
        <f t="shared" si="434"/>
        <v>0</v>
      </c>
      <c r="BU332" s="409">
        <f t="shared" si="434"/>
        <v>0</v>
      </c>
      <c r="BV332" s="409">
        <f t="shared" si="434"/>
        <v>0</v>
      </c>
      <c r="BW332" s="409">
        <f t="shared" si="434"/>
        <v>0</v>
      </c>
      <c r="BX332" s="409">
        <f t="shared" si="434"/>
        <v>0</v>
      </c>
      <c r="BY332" s="409">
        <f t="shared" si="434"/>
        <v>0</v>
      </c>
      <c r="BZ332" s="409">
        <f t="shared" si="434"/>
        <v>0</v>
      </c>
      <c r="CA332" s="409">
        <f t="shared" si="435"/>
        <v>0</v>
      </c>
      <c r="CB332" s="409">
        <f t="shared" si="435"/>
        <v>0</v>
      </c>
      <c r="CC332" s="409">
        <f t="shared" si="435"/>
        <v>0</v>
      </c>
      <c r="CD332" s="409">
        <f t="shared" si="435"/>
        <v>0</v>
      </c>
      <c r="CE332" s="409">
        <f t="shared" si="435"/>
        <v>0</v>
      </c>
      <c r="CF332" s="409">
        <f t="shared" si="435"/>
        <v>0</v>
      </c>
      <c r="CG332" s="409">
        <f t="shared" si="435"/>
        <v>0</v>
      </c>
      <c r="CH332" s="409">
        <f t="shared" si="435"/>
        <v>0</v>
      </c>
      <c r="CI332" s="409">
        <f t="shared" si="435"/>
        <v>0</v>
      </c>
      <c r="CJ332" s="409">
        <f t="shared" si="435"/>
        <v>0</v>
      </c>
      <c r="CK332" s="409">
        <f t="shared" si="436"/>
        <v>0</v>
      </c>
      <c r="CL332" s="409">
        <f t="shared" si="436"/>
        <v>0</v>
      </c>
      <c r="CM332" s="409">
        <f t="shared" si="436"/>
        <v>0</v>
      </c>
      <c r="CN332" s="409">
        <f t="shared" si="436"/>
        <v>0</v>
      </c>
      <c r="CO332" s="409">
        <f t="shared" si="436"/>
        <v>0</v>
      </c>
      <c r="CP332" s="409">
        <f t="shared" si="436"/>
        <v>0</v>
      </c>
      <c r="CQ332" s="409">
        <f t="shared" si="436"/>
        <v>0</v>
      </c>
      <c r="CR332" s="409">
        <f t="shared" si="436"/>
        <v>0</v>
      </c>
      <c r="CS332" s="409">
        <f t="shared" si="436"/>
        <v>0</v>
      </c>
      <c r="CT332" s="409">
        <f t="shared" si="436"/>
        <v>0</v>
      </c>
      <c r="CU332" s="409">
        <f t="shared" si="437"/>
        <v>0</v>
      </c>
      <c r="CV332" s="409">
        <f t="shared" si="437"/>
        <v>0</v>
      </c>
      <c r="CW332" s="409">
        <f t="shared" si="437"/>
        <v>0</v>
      </c>
      <c r="CX332" s="409">
        <f t="shared" si="437"/>
        <v>0</v>
      </c>
      <c r="CY332" s="409">
        <f t="shared" si="437"/>
        <v>0</v>
      </c>
      <c r="CZ332" s="409">
        <f t="shared" si="437"/>
        <v>0</v>
      </c>
      <c r="DA332" s="409">
        <f t="shared" si="437"/>
        <v>0</v>
      </c>
      <c r="DB332" s="409">
        <f t="shared" si="437"/>
        <v>0</v>
      </c>
      <c r="DC332" s="409">
        <f t="shared" si="437"/>
        <v>0</v>
      </c>
      <c r="DD332" s="409">
        <f t="shared" si="437"/>
        <v>0</v>
      </c>
      <c r="DE332" s="409">
        <f t="shared" si="438"/>
        <v>0</v>
      </c>
      <c r="DF332" s="409">
        <f t="shared" si="438"/>
        <v>0</v>
      </c>
      <c r="DG332" s="409">
        <f t="shared" si="438"/>
        <v>0</v>
      </c>
      <c r="DH332" s="409">
        <f t="shared" si="438"/>
        <v>0</v>
      </c>
      <c r="DI332" s="409">
        <f t="shared" si="438"/>
        <v>0</v>
      </c>
      <c r="DJ332" s="409">
        <f t="shared" si="438"/>
        <v>0</v>
      </c>
      <c r="DK332" s="409">
        <f t="shared" si="438"/>
        <v>0</v>
      </c>
      <c r="DL332" s="409">
        <f t="shared" si="438"/>
        <v>0</v>
      </c>
      <c r="DM332" s="409">
        <f t="shared" si="438"/>
        <v>0</v>
      </c>
      <c r="DN332" s="409">
        <f t="shared" si="438"/>
        <v>0</v>
      </c>
      <c r="DO332" s="409">
        <f t="shared" si="439"/>
        <v>0</v>
      </c>
      <c r="DP332" s="409">
        <f t="shared" si="439"/>
        <v>0</v>
      </c>
      <c r="DQ332" s="409">
        <f t="shared" si="439"/>
        <v>0</v>
      </c>
      <c r="DR332" s="409">
        <f t="shared" si="439"/>
        <v>0</v>
      </c>
      <c r="DS332" s="409">
        <f t="shared" si="439"/>
        <v>0</v>
      </c>
      <c r="DT332" s="409">
        <f t="shared" si="439"/>
        <v>0</v>
      </c>
      <c r="DU332" s="409">
        <f t="shared" si="439"/>
        <v>0</v>
      </c>
      <c r="DV332" s="409">
        <f t="shared" si="439"/>
        <v>0</v>
      </c>
      <c r="DW332" s="409">
        <f t="shared" si="439"/>
        <v>0</v>
      </c>
      <c r="DX332" s="409">
        <f t="shared" si="439"/>
        <v>0</v>
      </c>
      <c r="DY332" s="409">
        <f t="shared" si="440"/>
        <v>0</v>
      </c>
      <c r="DZ332" s="409">
        <f t="shared" si="440"/>
        <v>0</v>
      </c>
      <c r="EA332" s="409">
        <f t="shared" si="440"/>
        <v>0</v>
      </c>
      <c r="EB332" s="409">
        <f t="shared" si="440"/>
        <v>0</v>
      </c>
      <c r="EC332" s="409">
        <f t="shared" si="440"/>
        <v>0</v>
      </c>
      <c r="ED332" s="409">
        <f t="shared" si="440"/>
        <v>0</v>
      </c>
      <c r="EE332" s="409">
        <f t="shared" si="440"/>
        <v>0</v>
      </c>
      <c r="EF332" s="409">
        <f t="shared" si="440"/>
        <v>0</v>
      </c>
      <c r="EG332" s="409">
        <f t="shared" si="440"/>
        <v>0</v>
      </c>
      <c r="EH332" s="409">
        <f t="shared" si="440"/>
        <v>0</v>
      </c>
      <c r="EI332" s="409">
        <f t="shared" si="441"/>
        <v>0</v>
      </c>
      <c r="EJ332" s="409">
        <f t="shared" si="441"/>
        <v>0</v>
      </c>
      <c r="EK332" s="409">
        <f t="shared" si="441"/>
        <v>0</v>
      </c>
      <c r="EL332" s="409">
        <f t="shared" si="441"/>
        <v>0</v>
      </c>
      <c r="EM332" s="409">
        <f t="shared" si="441"/>
        <v>0</v>
      </c>
      <c r="EN332" s="409">
        <f t="shared" si="441"/>
        <v>0</v>
      </c>
      <c r="EO332" s="409">
        <f t="shared" si="441"/>
        <v>0</v>
      </c>
      <c r="EP332" s="409">
        <f t="shared" si="441"/>
        <v>0</v>
      </c>
      <c r="EQ332" s="409">
        <f t="shared" si="441"/>
        <v>0</v>
      </c>
      <c r="ER332" s="409">
        <f t="shared" si="441"/>
        <v>0</v>
      </c>
      <c r="ES332" s="409">
        <f t="shared" si="442"/>
        <v>0</v>
      </c>
      <c r="ET332" s="409">
        <f t="shared" si="442"/>
        <v>0</v>
      </c>
      <c r="EU332" s="409">
        <f t="shared" si="442"/>
        <v>0</v>
      </c>
      <c r="EV332" s="409">
        <f t="shared" si="442"/>
        <v>0</v>
      </c>
      <c r="EW332" s="409">
        <f t="shared" si="442"/>
        <v>0</v>
      </c>
      <c r="EX332" s="409">
        <f t="shared" si="442"/>
        <v>0</v>
      </c>
      <c r="EY332" s="409">
        <f t="shared" si="442"/>
        <v>0</v>
      </c>
      <c r="EZ332" s="409">
        <f t="shared" si="442"/>
        <v>0</v>
      </c>
      <c r="FA332" s="409">
        <f t="shared" si="442"/>
        <v>0</v>
      </c>
      <c r="FB332" s="409">
        <f t="shared" si="442"/>
        <v>0</v>
      </c>
      <c r="FC332" s="409">
        <f t="shared" si="443"/>
        <v>0</v>
      </c>
      <c r="FD332" s="409">
        <f t="shared" si="443"/>
        <v>0</v>
      </c>
      <c r="FE332" s="409">
        <f t="shared" si="443"/>
        <v>0</v>
      </c>
      <c r="FF332" s="409">
        <f t="shared" si="443"/>
        <v>0</v>
      </c>
      <c r="FG332" s="409">
        <f t="shared" si="443"/>
        <v>0</v>
      </c>
      <c r="FH332" s="409">
        <f t="shared" si="443"/>
        <v>0</v>
      </c>
      <c r="FI332" s="409">
        <f t="shared" si="443"/>
        <v>0</v>
      </c>
      <c r="FJ332" s="409">
        <f t="shared" si="443"/>
        <v>0</v>
      </c>
      <c r="FK332" s="409">
        <f t="shared" si="443"/>
        <v>0</v>
      </c>
      <c r="FL332" s="409">
        <f t="shared" si="443"/>
        <v>0</v>
      </c>
      <c r="FM332" s="409">
        <f t="shared" si="444"/>
        <v>0</v>
      </c>
      <c r="FN332" s="409">
        <f t="shared" si="444"/>
        <v>0</v>
      </c>
      <c r="FO332" s="409">
        <f t="shared" si="444"/>
        <v>0</v>
      </c>
      <c r="FP332" s="409">
        <f t="shared" si="444"/>
        <v>0</v>
      </c>
      <c r="FQ332" s="409">
        <f t="shared" si="444"/>
        <v>0</v>
      </c>
      <c r="FR332" s="409">
        <f t="shared" si="444"/>
        <v>0</v>
      </c>
      <c r="FS332" s="409">
        <f t="shared" si="444"/>
        <v>0</v>
      </c>
      <c r="FT332" s="409">
        <f t="shared" si="444"/>
        <v>0</v>
      </c>
      <c r="FU332" s="409">
        <f t="shared" si="444"/>
        <v>0</v>
      </c>
      <c r="FV332" s="409">
        <f t="shared" si="444"/>
        <v>0</v>
      </c>
      <c r="FW332" s="409">
        <f t="shared" si="445"/>
        <v>0</v>
      </c>
      <c r="FX332" s="409">
        <f t="shared" si="445"/>
        <v>0</v>
      </c>
      <c r="FY332" s="409">
        <f t="shared" si="445"/>
        <v>0</v>
      </c>
      <c r="FZ332" s="409">
        <f t="shared" si="445"/>
        <v>0</v>
      </c>
      <c r="GA332" s="409">
        <f t="shared" si="445"/>
        <v>0</v>
      </c>
      <c r="GB332" s="409">
        <f t="shared" si="445"/>
        <v>0</v>
      </c>
      <c r="GC332" s="409">
        <f t="shared" si="445"/>
        <v>0</v>
      </c>
      <c r="GD332" s="409">
        <f t="shared" si="445"/>
        <v>0</v>
      </c>
      <c r="GE332" s="409">
        <f t="shared" si="445"/>
        <v>0</v>
      </c>
      <c r="GF332" s="409">
        <f t="shared" si="445"/>
        <v>0</v>
      </c>
      <c r="GG332" s="409">
        <f t="shared" si="446"/>
        <v>0</v>
      </c>
      <c r="GH332" s="409">
        <f t="shared" si="446"/>
        <v>0</v>
      </c>
      <c r="GI332" s="409">
        <f t="shared" si="446"/>
        <v>0</v>
      </c>
      <c r="GJ332" s="409">
        <f t="shared" si="446"/>
        <v>0</v>
      </c>
      <c r="GK332" s="409">
        <f t="shared" si="446"/>
        <v>0</v>
      </c>
      <c r="GL332" s="409">
        <f t="shared" si="446"/>
        <v>0</v>
      </c>
      <c r="GM332" s="409">
        <f t="shared" si="446"/>
        <v>0</v>
      </c>
      <c r="GN332" s="409">
        <f t="shared" si="446"/>
        <v>0</v>
      </c>
      <c r="GO332" s="409">
        <f t="shared" si="446"/>
        <v>0</v>
      </c>
      <c r="GP332" s="409">
        <f t="shared" si="446"/>
        <v>0</v>
      </c>
      <c r="GQ332" s="409">
        <f t="shared" si="447"/>
        <v>0</v>
      </c>
      <c r="GR332" s="409">
        <f t="shared" si="447"/>
        <v>0</v>
      </c>
      <c r="GS332" s="409">
        <f t="shared" si="447"/>
        <v>0</v>
      </c>
      <c r="GT332" s="409">
        <f t="shared" si="447"/>
        <v>0</v>
      </c>
      <c r="GU332" s="409">
        <f t="shared" si="447"/>
        <v>0</v>
      </c>
      <c r="GV332" s="409">
        <f t="shared" si="447"/>
        <v>0</v>
      </c>
      <c r="GW332" s="409">
        <f t="shared" si="447"/>
        <v>0</v>
      </c>
      <c r="GX332" s="409">
        <f t="shared" si="447"/>
        <v>0</v>
      </c>
      <c r="GY332" s="409">
        <f t="shared" si="447"/>
        <v>0</v>
      </c>
      <c r="GZ332" s="409">
        <f t="shared" si="447"/>
        <v>0</v>
      </c>
      <c r="HA332" s="409">
        <f t="shared" si="448"/>
        <v>0</v>
      </c>
      <c r="HB332" s="409">
        <f t="shared" si="448"/>
        <v>0</v>
      </c>
      <c r="HC332" s="409">
        <f t="shared" si="448"/>
        <v>0</v>
      </c>
      <c r="HD332" s="409">
        <f t="shared" si="448"/>
        <v>0</v>
      </c>
      <c r="HE332" s="409">
        <f t="shared" si="448"/>
        <v>0</v>
      </c>
      <c r="HF332" s="409">
        <f t="shared" si="448"/>
        <v>0</v>
      </c>
      <c r="HG332" s="409">
        <f t="shared" si="448"/>
        <v>0</v>
      </c>
      <c r="HH332" s="409">
        <f t="shared" si="448"/>
        <v>0</v>
      </c>
      <c r="HI332" s="409">
        <f t="shared" si="448"/>
        <v>0</v>
      </c>
      <c r="HJ332" s="409">
        <f t="shared" si="448"/>
        <v>0</v>
      </c>
      <c r="HK332" s="409">
        <f t="shared" si="449"/>
        <v>0</v>
      </c>
      <c r="HL332" s="409">
        <f t="shared" si="449"/>
        <v>0</v>
      </c>
      <c r="HM332" s="409">
        <f t="shared" si="449"/>
        <v>0</v>
      </c>
      <c r="HN332" s="409">
        <f t="shared" si="449"/>
        <v>0</v>
      </c>
      <c r="HO332" s="409">
        <f t="shared" si="449"/>
        <v>0</v>
      </c>
      <c r="HP332" s="409">
        <f t="shared" si="449"/>
        <v>0</v>
      </c>
      <c r="HQ332" s="409">
        <f t="shared" si="449"/>
        <v>0</v>
      </c>
      <c r="HR332" s="409">
        <f t="shared" si="449"/>
        <v>0</v>
      </c>
      <c r="HS332" s="409">
        <f t="shared" si="449"/>
        <v>0</v>
      </c>
      <c r="HT332" s="409">
        <f t="shared" si="449"/>
        <v>0</v>
      </c>
      <c r="HU332" s="409">
        <f t="shared" si="450"/>
        <v>0</v>
      </c>
      <c r="HV332" s="409">
        <f t="shared" si="450"/>
        <v>0</v>
      </c>
      <c r="HW332" s="409">
        <f t="shared" si="450"/>
        <v>0</v>
      </c>
      <c r="HX332" s="409">
        <f t="shared" si="450"/>
        <v>0</v>
      </c>
      <c r="HY332" s="409">
        <f t="shared" si="450"/>
        <v>0</v>
      </c>
      <c r="HZ332" s="409">
        <f t="shared" si="450"/>
        <v>0</v>
      </c>
      <c r="IA332" s="409">
        <f t="shared" si="450"/>
        <v>0</v>
      </c>
      <c r="IB332" s="409">
        <f t="shared" si="450"/>
        <v>0</v>
      </c>
      <c r="IC332" s="409">
        <f t="shared" si="450"/>
        <v>0</v>
      </c>
      <c r="ID332" s="409">
        <f t="shared" si="450"/>
        <v>0</v>
      </c>
      <c r="IE332" s="409">
        <f t="shared" si="451"/>
        <v>0</v>
      </c>
      <c r="IF332" s="409">
        <f t="shared" si="451"/>
        <v>0</v>
      </c>
      <c r="IG332" s="409">
        <f t="shared" si="451"/>
        <v>0</v>
      </c>
      <c r="IH332" s="409">
        <f t="shared" si="451"/>
        <v>0</v>
      </c>
      <c r="II332" s="409">
        <f t="shared" si="451"/>
        <v>0</v>
      </c>
      <c r="IJ332" s="409">
        <f t="shared" si="451"/>
        <v>0</v>
      </c>
      <c r="IK332" s="378"/>
    </row>
    <row r="333" spans="1:245" hidden="1" x14ac:dyDescent="0.2">
      <c r="A333" s="380" t="str">
        <f t="shared" si="357"/>
        <v>e</v>
      </c>
      <c r="B333" s="712" t="str">
        <f>IF(ISERROR(INDEX('Legend(DX)'!$H$14:$H$15,46)),"",INDEX('Legend(DX)'!$H$14:$H$15,46))</f>
        <v/>
      </c>
      <c r="C333" s="712" t="e">
        <f>IF(INDEX('Legend(DX)'!$T$14:$T$15,46)=0,"See Legend",INDEX('Legend(DX)'!$T$14:$T$15,46))</f>
        <v>#REF!</v>
      </c>
      <c r="D333" s="712" t="e">
        <f>IF(INDEX('Legend(DX)'!$R$14:$R$15,46)=0,"---",INDEX('Legend(DX)'!$R$14:$R$15,46))</f>
        <v>#REF!</v>
      </c>
      <c r="E333" s="713" t="str">
        <f>IF(ISERROR(INDEX('Legend(DX)'!$AA$14:$AA$15,46)),"",INDEX('Legend(DX)'!$AA$14:$AA$15,46))</f>
        <v/>
      </c>
      <c r="F333" s="715"/>
      <c r="G333" s="715"/>
      <c r="H333" s="715"/>
      <c r="I333" s="715"/>
      <c r="J333" s="715"/>
      <c r="K333" s="890">
        <f t="shared" si="358"/>
        <v>0</v>
      </c>
      <c r="L333" s="718"/>
      <c r="M333" s="720"/>
      <c r="N333" s="972">
        <f t="shared" si="425"/>
        <v>-1</v>
      </c>
      <c r="O333" s="972">
        <f t="shared" si="359"/>
        <v>-1</v>
      </c>
      <c r="P333" s="972">
        <f t="shared" si="426"/>
        <v>-1</v>
      </c>
      <c r="Q333" s="972">
        <f t="shared" si="360"/>
        <v>-1</v>
      </c>
      <c r="R333" s="972">
        <f t="shared" si="427"/>
        <v>-1</v>
      </c>
      <c r="S333" s="972">
        <f t="shared" si="361"/>
        <v>-1</v>
      </c>
      <c r="T333" s="972">
        <f t="shared" si="428"/>
        <v>-1</v>
      </c>
      <c r="U333" s="972">
        <f t="shared" si="362"/>
        <v>-1</v>
      </c>
      <c r="V333" s="972">
        <f t="shared" si="429"/>
        <v>-1</v>
      </c>
      <c r="W333" s="972">
        <f t="shared" si="363"/>
        <v>-1</v>
      </c>
      <c r="X333" s="972">
        <f t="shared" si="430"/>
        <v>-1</v>
      </c>
      <c r="Y333" s="972">
        <f t="shared" si="364"/>
        <v>-1</v>
      </c>
      <c r="Z333" s="972">
        <f t="shared" si="365"/>
        <v>-1</v>
      </c>
      <c r="AA333" s="972">
        <f t="shared" si="366"/>
        <v>-1</v>
      </c>
      <c r="AB333" s="972">
        <f t="shared" si="367"/>
        <v>-1</v>
      </c>
      <c r="AC333" s="972">
        <f t="shared" si="368"/>
        <v>-1</v>
      </c>
      <c r="AD333" s="972">
        <f t="shared" si="369"/>
        <v>-1</v>
      </c>
      <c r="AE333" s="972">
        <f t="shared" si="370"/>
        <v>-1</v>
      </c>
      <c r="AF333" s="972">
        <f t="shared" si="371"/>
        <v>-1</v>
      </c>
      <c r="AG333" s="972">
        <f t="shared" si="372"/>
        <v>-1</v>
      </c>
      <c r="AH333" s="972">
        <f t="shared" si="373"/>
        <v>-1</v>
      </c>
      <c r="AI333" s="972">
        <f t="shared" si="374"/>
        <v>-1</v>
      </c>
      <c r="AJ333" s="972">
        <f t="shared" si="375"/>
        <v>-1</v>
      </c>
      <c r="AK333" s="381"/>
      <c r="AL333" s="727" t="str">
        <f t="shared" si="376"/>
        <v/>
      </c>
      <c r="AM333" s="409">
        <f t="shared" si="431"/>
        <v>0</v>
      </c>
      <c r="AN333" s="409">
        <f t="shared" si="431"/>
        <v>0</v>
      </c>
      <c r="AO333" s="409">
        <f t="shared" si="431"/>
        <v>0</v>
      </c>
      <c r="AP333" s="409">
        <f t="shared" si="431"/>
        <v>0</v>
      </c>
      <c r="AQ333" s="409">
        <f t="shared" si="431"/>
        <v>0</v>
      </c>
      <c r="AR333" s="409">
        <f t="shared" si="431"/>
        <v>0</v>
      </c>
      <c r="AS333" s="409">
        <f t="shared" si="431"/>
        <v>0</v>
      </c>
      <c r="AT333" s="409">
        <f t="shared" si="431"/>
        <v>0</v>
      </c>
      <c r="AU333" s="409">
        <f t="shared" si="431"/>
        <v>0</v>
      </c>
      <c r="AV333" s="409">
        <f t="shared" si="431"/>
        <v>0</v>
      </c>
      <c r="AW333" s="409">
        <f t="shared" si="432"/>
        <v>0</v>
      </c>
      <c r="AX333" s="409">
        <f t="shared" si="432"/>
        <v>0</v>
      </c>
      <c r="AY333" s="409">
        <f t="shared" si="432"/>
        <v>0</v>
      </c>
      <c r="AZ333" s="409">
        <f t="shared" si="432"/>
        <v>0</v>
      </c>
      <c r="BA333" s="409">
        <f t="shared" si="432"/>
        <v>0</v>
      </c>
      <c r="BB333" s="409">
        <f t="shared" si="432"/>
        <v>0</v>
      </c>
      <c r="BC333" s="409">
        <f t="shared" si="432"/>
        <v>0</v>
      </c>
      <c r="BD333" s="409">
        <f t="shared" si="432"/>
        <v>0</v>
      </c>
      <c r="BE333" s="409">
        <f t="shared" si="432"/>
        <v>0</v>
      </c>
      <c r="BF333" s="409">
        <f t="shared" si="432"/>
        <v>0</v>
      </c>
      <c r="BG333" s="409">
        <f t="shared" si="433"/>
        <v>0</v>
      </c>
      <c r="BH333" s="409">
        <f t="shared" si="433"/>
        <v>0</v>
      </c>
      <c r="BI333" s="409">
        <f t="shared" si="433"/>
        <v>0</v>
      </c>
      <c r="BJ333" s="409">
        <f t="shared" si="433"/>
        <v>0</v>
      </c>
      <c r="BK333" s="409">
        <f t="shared" si="433"/>
        <v>0</v>
      </c>
      <c r="BL333" s="409">
        <f t="shared" si="433"/>
        <v>0</v>
      </c>
      <c r="BM333" s="409">
        <f t="shared" si="433"/>
        <v>0</v>
      </c>
      <c r="BN333" s="409">
        <f t="shared" si="433"/>
        <v>0</v>
      </c>
      <c r="BO333" s="409">
        <f t="shared" si="433"/>
        <v>0</v>
      </c>
      <c r="BP333" s="409">
        <f t="shared" si="433"/>
        <v>0</v>
      </c>
      <c r="BQ333" s="409">
        <f t="shared" si="434"/>
        <v>0</v>
      </c>
      <c r="BR333" s="409">
        <f t="shared" si="434"/>
        <v>0</v>
      </c>
      <c r="BS333" s="409">
        <f t="shared" si="434"/>
        <v>0</v>
      </c>
      <c r="BT333" s="409">
        <f t="shared" si="434"/>
        <v>0</v>
      </c>
      <c r="BU333" s="409">
        <f t="shared" si="434"/>
        <v>0</v>
      </c>
      <c r="BV333" s="409">
        <f t="shared" si="434"/>
        <v>0</v>
      </c>
      <c r="BW333" s="409">
        <f t="shared" si="434"/>
        <v>0</v>
      </c>
      <c r="BX333" s="409">
        <f t="shared" si="434"/>
        <v>0</v>
      </c>
      <c r="BY333" s="409">
        <f t="shared" si="434"/>
        <v>0</v>
      </c>
      <c r="BZ333" s="409">
        <f t="shared" si="434"/>
        <v>0</v>
      </c>
      <c r="CA333" s="409">
        <f t="shared" si="435"/>
        <v>0</v>
      </c>
      <c r="CB333" s="409">
        <f t="shared" si="435"/>
        <v>0</v>
      </c>
      <c r="CC333" s="409">
        <f t="shared" si="435"/>
        <v>0</v>
      </c>
      <c r="CD333" s="409">
        <f t="shared" si="435"/>
        <v>0</v>
      </c>
      <c r="CE333" s="409">
        <f t="shared" si="435"/>
        <v>0</v>
      </c>
      <c r="CF333" s="409">
        <f t="shared" si="435"/>
        <v>0</v>
      </c>
      <c r="CG333" s="409">
        <f t="shared" si="435"/>
        <v>0</v>
      </c>
      <c r="CH333" s="409">
        <f t="shared" si="435"/>
        <v>0</v>
      </c>
      <c r="CI333" s="409">
        <f t="shared" si="435"/>
        <v>0</v>
      </c>
      <c r="CJ333" s="409">
        <f t="shared" si="435"/>
        <v>0</v>
      </c>
      <c r="CK333" s="409">
        <f t="shared" si="436"/>
        <v>0</v>
      </c>
      <c r="CL333" s="409">
        <f t="shared" si="436"/>
        <v>0</v>
      </c>
      <c r="CM333" s="409">
        <f t="shared" si="436"/>
        <v>0</v>
      </c>
      <c r="CN333" s="409">
        <f t="shared" si="436"/>
        <v>0</v>
      </c>
      <c r="CO333" s="409">
        <f t="shared" si="436"/>
        <v>0</v>
      </c>
      <c r="CP333" s="409">
        <f t="shared" si="436"/>
        <v>0</v>
      </c>
      <c r="CQ333" s="409">
        <f t="shared" si="436"/>
        <v>0</v>
      </c>
      <c r="CR333" s="409">
        <f t="shared" si="436"/>
        <v>0</v>
      </c>
      <c r="CS333" s="409">
        <f t="shared" si="436"/>
        <v>0</v>
      </c>
      <c r="CT333" s="409">
        <f t="shared" si="436"/>
        <v>0</v>
      </c>
      <c r="CU333" s="409">
        <f t="shared" si="437"/>
        <v>0</v>
      </c>
      <c r="CV333" s="409">
        <f t="shared" si="437"/>
        <v>0</v>
      </c>
      <c r="CW333" s="409">
        <f t="shared" si="437"/>
        <v>0</v>
      </c>
      <c r="CX333" s="409">
        <f t="shared" si="437"/>
        <v>0</v>
      </c>
      <c r="CY333" s="409">
        <f t="shared" si="437"/>
        <v>0</v>
      </c>
      <c r="CZ333" s="409">
        <f t="shared" si="437"/>
        <v>0</v>
      </c>
      <c r="DA333" s="409">
        <f t="shared" si="437"/>
        <v>0</v>
      </c>
      <c r="DB333" s="409">
        <f t="shared" si="437"/>
        <v>0</v>
      </c>
      <c r="DC333" s="409">
        <f t="shared" si="437"/>
        <v>0</v>
      </c>
      <c r="DD333" s="409">
        <f t="shared" si="437"/>
        <v>0</v>
      </c>
      <c r="DE333" s="409">
        <f t="shared" si="438"/>
        <v>0</v>
      </c>
      <c r="DF333" s="409">
        <f t="shared" si="438"/>
        <v>0</v>
      </c>
      <c r="DG333" s="409">
        <f t="shared" si="438"/>
        <v>0</v>
      </c>
      <c r="DH333" s="409">
        <f t="shared" si="438"/>
        <v>0</v>
      </c>
      <c r="DI333" s="409">
        <f t="shared" si="438"/>
        <v>0</v>
      </c>
      <c r="DJ333" s="409">
        <f t="shared" si="438"/>
        <v>0</v>
      </c>
      <c r="DK333" s="409">
        <f t="shared" si="438"/>
        <v>0</v>
      </c>
      <c r="DL333" s="409">
        <f t="shared" si="438"/>
        <v>0</v>
      </c>
      <c r="DM333" s="409">
        <f t="shared" si="438"/>
        <v>0</v>
      </c>
      <c r="DN333" s="409">
        <f t="shared" si="438"/>
        <v>0</v>
      </c>
      <c r="DO333" s="409">
        <f t="shared" si="439"/>
        <v>0</v>
      </c>
      <c r="DP333" s="409">
        <f t="shared" si="439"/>
        <v>0</v>
      </c>
      <c r="DQ333" s="409">
        <f t="shared" si="439"/>
        <v>0</v>
      </c>
      <c r="DR333" s="409">
        <f t="shared" si="439"/>
        <v>0</v>
      </c>
      <c r="DS333" s="409">
        <f t="shared" si="439"/>
        <v>0</v>
      </c>
      <c r="DT333" s="409">
        <f t="shared" si="439"/>
        <v>0</v>
      </c>
      <c r="DU333" s="409">
        <f t="shared" si="439"/>
        <v>0</v>
      </c>
      <c r="DV333" s="409">
        <f t="shared" si="439"/>
        <v>0</v>
      </c>
      <c r="DW333" s="409">
        <f t="shared" si="439"/>
        <v>0</v>
      </c>
      <c r="DX333" s="409">
        <f t="shared" si="439"/>
        <v>0</v>
      </c>
      <c r="DY333" s="409">
        <f t="shared" si="440"/>
        <v>0</v>
      </c>
      <c r="DZ333" s="409">
        <f t="shared" si="440"/>
        <v>0</v>
      </c>
      <c r="EA333" s="409">
        <f t="shared" si="440"/>
        <v>0</v>
      </c>
      <c r="EB333" s="409">
        <f t="shared" si="440"/>
        <v>0</v>
      </c>
      <c r="EC333" s="409">
        <f t="shared" si="440"/>
        <v>0</v>
      </c>
      <c r="ED333" s="409">
        <f t="shared" si="440"/>
        <v>0</v>
      </c>
      <c r="EE333" s="409">
        <f t="shared" si="440"/>
        <v>0</v>
      </c>
      <c r="EF333" s="409">
        <f t="shared" si="440"/>
        <v>0</v>
      </c>
      <c r="EG333" s="409">
        <f t="shared" si="440"/>
        <v>0</v>
      </c>
      <c r="EH333" s="409">
        <f t="shared" si="440"/>
        <v>0</v>
      </c>
      <c r="EI333" s="409">
        <f t="shared" si="441"/>
        <v>0</v>
      </c>
      <c r="EJ333" s="409">
        <f t="shared" si="441"/>
        <v>0</v>
      </c>
      <c r="EK333" s="409">
        <f t="shared" si="441"/>
        <v>0</v>
      </c>
      <c r="EL333" s="409">
        <f t="shared" si="441"/>
        <v>0</v>
      </c>
      <c r="EM333" s="409">
        <f t="shared" si="441"/>
        <v>0</v>
      </c>
      <c r="EN333" s="409">
        <f t="shared" si="441"/>
        <v>0</v>
      </c>
      <c r="EO333" s="409">
        <f t="shared" si="441"/>
        <v>0</v>
      </c>
      <c r="EP333" s="409">
        <f t="shared" si="441"/>
        <v>0</v>
      </c>
      <c r="EQ333" s="409">
        <f t="shared" si="441"/>
        <v>0</v>
      </c>
      <c r="ER333" s="409">
        <f t="shared" si="441"/>
        <v>0</v>
      </c>
      <c r="ES333" s="409">
        <f t="shared" si="442"/>
        <v>0</v>
      </c>
      <c r="ET333" s="409">
        <f t="shared" si="442"/>
        <v>0</v>
      </c>
      <c r="EU333" s="409">
        <f t="shared" si="442"/>
        <v>0</v>
      </c>
      <c r="EV333" s="409">
        <f t="shared" si="442"/>
        <v>0</v>
      </c>
      <c r="EW333" s="409">
        <f t="shared" si="442"/>
        <v>0</v>
      </c>
      <c r="EX333" s="409">
        <f t="shared" si="442"/>
        <v>0</v>
      </c>
      <c r="EY333" s="409">
        <f t="shared" si="442"/>
        <v>0</v>
      </c>
      <c r="EZ333" s="409">
        <f t="shared" si="442"/>
        <v>0</v>
      </c>
      <c r="FA333" s="409">
        <f t="shared" si="442"/>
        <v>0</v>
      </c>
      <c r="FB333" s="409">
        <f t="shared" si="442"/>
        <v>0</v>
      </c>
      <c r="FC333" s="409">
        <f t="shared" si="443"/>
        <v>0</v>
      </c>
      <c r="FD333" s="409">
        <f t="shared" si="443"/>
        <v>0</v>
      </c>
      <c r="FE333" s="409">
        <f t="shared" si="443"/>
        <v>0</v>
      </c>
      <c r="FF333" s="409">
        <f t="shared" si="443"/>
        <v>0</v>
      </c>
      <c r="FG333" s="409">
        <f t="shared" si="443"/>
        <v>0</v>
      </c>
      <c r="FH333" s="409">
        <f t="shared" si="443"/>
        <v>0</v>
      </c>
      <c r="FI333" s="409">
        <f t="shared" si="443"/>
        <v>0</v>
      </c>
      <c r="FJ333" s="409">
        <f t="shared" si="443"/>
        <v>0</v>
      </c>
      <c r="FK333" s="409">
        <f t="shared" si="443"/>
        <v>0</v>
      </c>
      <c r="FL333" s="409">
        <f t="shared" si="443"/>
        <v>0</v>
      </c>
      <c r="FM333" s="409">
        <f t="shared" si="444"/>
        <v>0</v>
      </c>
      <c r="FN333" s="409">
        <f t="shared" si="444"/>
        <v>0</v>
      </c>
      <c r="FO333" s="409">
        <f t="shared" si="444"/>
        <v>0</v>
      </c>
      <c r="FP333" s="409">
        <f t="shared" si="444"/>
        <v>0</v>
      </c>
      <c r="FQ333" s="409">
        <f t="shared" si="444"/>
        <v>0</v>
      </c>
      <c r="FR333" s="409">
        <f t="shared" si="444"/>
        <v>0</v>
      </c>
      <c r="FS333" s="409">
        <f t="shared" si="444"/>
        <v>0</v>
      </c>
      <c r="FT333" s="409">
        <f t="shared" si="444"/>
        <v>0</v>
      </c>
      <c r="FU333" s="409">
        <f t="shared" si="444"/>
        <v>0</v>
      </c>
      <c r="FV333" s="409">
        <f t="shared" si="444"/>
        <v>0</v>
      </c>
      <c r="FW333" s="409">
        <f t="shared" si="445"/>
        <v>0</v>
      </c>
      <c r="FX333" s="409">
        <f t="shared" si="445"/>
        <v>0</v>
      </c>
      <c r="FY333" s="409">
        <f t="shared" si="445"/>
        <v>0</v>
      </c>
      <c r="FZ333" s="409">
        <f t="shared" si="445"/>
        <v>0</v>
      </c>
      <c r="GA333" s="409">
        <f t="shared" si="445"/>
        <v>0</v>
      </c>
      <c r="GB333" s="409">
        <f t="shared" si="445"/>
        <v>0</v>
      </c>
      <c r="GC333" s="409">
        <f t="shared" si="445"/>
        <v>0</v>
      </c>
      <c r="GD333" s="409">
        <f t="shared" si="445"/>
        <v>0</v>
      </c>
      <c r="GE333" s="409">
        <f t="shared" si="445"/>
        <v>0</v>
      </c>
      <c r="GF333" s="409">
        <f t="shared" si="445"/>
        <v>0</v>
      </c>
      <c r="GG333" s="409">
        <f t="shared" si="446"/>
        <v>0</v>
      </c>
      <c r="GH333" s="409">
        <f t="shared" si="446"/>
        <v>0</v>
      </c>
      <c r="GI333" s="409">
        <f t="shared" si="446"/>
        <v>0</v>
      </c>
      <c r="GJ333" s="409">
        <f t="shared" si="446"/>
        <v>0</v>
      </c>
      <c r="GK333" s="409">
        <f t="shared" si="446"/>
        <v>0</v>
      </c>
      <c r="GL333" s="409">
        <f t="shared" si="446"/>
        <v>0</v>
      </c>
      <c r="GM333" s="409">
        <f t="shared" si="446"/>
        <v>0</v>
      </c>
      <c r="GN333" s="409">
        <f t="shared" si="446"/>
        <v>0</v>
      </c>
      <c r="GO333" s="409">
        <f t="shared" si="446"/>
        <v>0</v>
      </c>
      <c r="GP333" s="409">
        <f t="shared" si="446"/>
        <v>0</v>
      </c>
      <c r="GQ333" s="409">
        <f t="shared" si="447"/>
        <v>0</v>
      </c>
      <c r="GR333" s="409">
        <f t="shared" si="447"/>
        <v>0</v>
      </c>
      <c r="GS333" s="409">
        <f t="shared" si="447"/>
        <v>0</v>
      </c>
      <c r="GT333" s="409">
        <f t="shared" si="447"/>
        <v>0</v>
      </c>
      <c r="GU333" s="409">
        <f t="shared" si="447"/>
        <v>0</v>
      </c>
      <c r="GV333" s="409">
        <f t="shared" si="447"/>
        <v>0</v>
      </c>
      <c r="GW333" s="409">
        <f t="shared" si="447"/>
        <v>0</v>
      </c>
      <c r="GX333" s="409">
        <f t="shared" si="447"/>
        <v>0</v>
      </c>
      <c r="GY333" s="409">
        <f t="shared" si="447"/>
        <v>0</v>
      </c>
      <c r="GZ333" s="409">
        <f t="shared" si="447"/>
        <v>0</v>
      </c>
      <c r="HA333" s="409">
        <f t="shared" si="448"/>
        <v>0</v>
      </c>
      <c r="HB333" s="409">
        <f t="shared" si="448"/>
        <v>0</v>
      </c>
      <c r="HC333" s="409">
        <f t="shared" si="448"/>
        <v>0</v>
      </c>
      <c r="HD333" s="409">
        <f t="shared" si="448"/>
        <v>0</v>
      </c>
      <c r="HE333" s="409">
        <f t="shared" si="448"/>
        <v>0</v>
      </c>
      <c r="HF333" s="409">
        <f t="shared" si="448"/>
        <v>0</v>
      </c>
      <c r="HG333" s="409">
        <f t="shared" si="448"/>
        <v>0</v>
      </c>
      <c r="HH333" s="409">
        <f t="shared" si="448"/>
        <v>0</v>
      </c>
      <c r="HI333" s="409">
        <f t="shared" si="448"/>
        <v>0</v>
      </c>
      <c r="HJ333" s="409">
        <f t="shared" si="448"/>
        <v>0</v>
      </c>
      <c r="HK333" s="409">
        <f t="shared" si="449"/>
        <v>0</v>
      </c>
      <c r="HL333" s="409">
        <f t="shared" si="449"/>
        <v>0</v>
      </c>
      <c r="HM333" s="409">
        <f t="shared" si="449"/>
        <v>0</v>
      </c>
      <c r="HN333" s="409">
        <f t="shared" si="449"/>
        <v>0</v>
      </c>
      <c r="HO333" s="409">
        <f t="shared" si="449"/>
        <v>0</v>
      </c>
      <c r="HP333" s="409">
        <f t="shared" si="449"/>
        <v>0</v>
      </c>
      <c r="HQ333" s="409">
        <f t="shared" si="449"/>
        <v>0</v>
      </c>
      <c r="HR333" s="409">
        <f t="shared" si="449"/>
        <v>0</v>
      </c>
      <c r="HS333" s="409">
        <f t="shared" si="449"/>
        <v>0</v>
      </c>
      <c r="HT333" s="409">
        <f t="shared" si="449"/>
        <v>0</v>
      </c>
      <c r="HU333" s="409">
        <f t="shared" si="450"/>
        <v>0</v>
      </c>
      <c r="HV333" s="409">
        <f t="shared" si="450"/>
        <v>0</v>
      </c>
      <c r="HW333" s="409">
        <f t="shared" si="450"/>
        <v>0</v>
      </c>
      <c r="HX333" s="409">
        <f t="shared" si="450"/>
        <v>0</v>
      </c>
      <c r="HY333" s="409">
        <f t="shared" si="450"/>
        <v>0</v>
      </c>
      <c r="HZ333" s="409">
        <f t="shared" si="450"/>
        <v>0</v>
      </c>
      <c r="IA333" s="409">
        <f t="shared" si="450"/>
        <v>0</v>
      </c>
      <c r="IB333" s="409">
        <f t="shared" si="450"/>
        <v>0</v>
      </c>
      <c r="IC333" s="409">
        <f t="shared" si="450"/>
        <v>0</v>
      </c>
      <c r="ID333" s="409">
        <f t="shared" si="450"/>
        <v>0</v>
      </c>
      <c r="IE333" s="409">
        <f t="shared" si="451"/>
        <v>0</v>
      </c>
      <c r="IF333" s="409">
        <f t="shared" si="451"/>
        <v>0</v>
      </c>
      <c r="IG333" s="409">
        <f t="shared" si="451"/>
        <v>0</v>
      </c>
      <c r="IH333" s="409">
        <f t="shared" si="451"/>
        <v>0</v>
      </c>
      <c r="II333" s="409">
        <f t="shared" si="451"/>
        <v>0</v>
      </c>
      <c r="IJ333" s="409">
        <f t="shared" si="451"/>
        <v>0</v>
      </c>
      <c r="IK333" s="378"/>
    </row>
    <row r="334" spans="1:245" hidden="1" x14ac:dyDescent="0.2">
      <c r="A334" s="380" t="str">
        <f t="shared" si="357"/>
        <v>e</v>
      </c>
      <c r="B334" s="712" t="str">
        <f>IF(ISERROR(INDEX('Legend(DX)'!$H$14:$H$15,47)),"",INDEX('Legend(DX)'!$H$14:$H$15,47))</f>
        <v/>
      </c>
      <c r="C334" s="712" t="e">
        <f>IF(INDEX('Legend(DX)'!$T$14:$T$15,47)=0,"See Legend",INDEX('Legend(DX)'!$T$14:$T$15,47))</f>
        <v>#REF!</v>
      </c>
      <c r="D334" s="712" t="e">
        <f>IF(INDEX('Legend(DX)'!$R$14:$R$15,47)=0,"---",INDEX('Legend(DX)'!$R$14:$R$15,47))</f>
        <v>#REF!</v>
      </c>
      <c r="E334" s="713" t="str">
        <f>IF(ISERROR(INDEX('Legend(DX)'!$AA$14:$AA$15,47)),"",INDEX('Legend(DX)'!$AA$14:$AA$15,47))</f>
        <v/>
      </c>
      <c r="F334" s="715"/>
      <c r="G334" s="715"/>
      <c r="H334" s="715"/>
      <c r="I334" s="715"/>
      <c r="J334" s="715"/>
      <c r="K334" s="890">
        <f t="shared" si="358"/>
        <v>0</v>
      </c>
      <c r="L334" s="718"/>
      <c r="M334" s="720"/>
      <c r="N334" s="972">
        <f t="shared" si="425"/>
        <v>-1</v>
      </c>
      <c r="O334" s="972">
        <f t="shared" si="359"/>
        <v>-1</v>
      </c>
      <c r="P334" s="972">
        <f t="shared" si="426"/>
        <v>-1</v>
      </c>
      <c r="Q334" s="972">
        <f t="shared" si="360"/>
        <v>-1</v>
      </c>
      <c r="R334" s="972">
        <f t="shared" si="427"/>
        <v>-1</v>
      </c>
      <c r="S334" s="972">
        <f t="shared" si="361"/>
        <v>-1</v>
      </c>
      <c r="T334" s="972">
        <f t="shared" si="428"/>
        <v>-1</v>
      </c>
      <c r="U334" s="972">
        <f t="shared" si="362"/>
        <v>-1</v>
      </c>
      <c r="V334" s="972">
        <f t="shared" si="429"/>
        <v>-1</v>
      </c>
      <c r="W334" s="972">
        <f t="shared" si="363"/>
        <v>-1</v>
      </c>
      <c r="X334" s="972">
        <f t="shared" si="430"/>
        <v>-1</v>
      </c>
      <c r="Y334" s="972">
        <f t="shared" si="364"/>
        <v>-1</v>
      </c>
      <c r="Z334" s="972">
        <f t="shared" si="365"/>
        <v>-1</v>
      </c>
      <c r="AA334" s="972">
        <f t="shared" si="366"/>
        <v>-1</v>
      </c>
      <c r="AB334" s="972">
        <f t="shared" si="367"/>
        <v>-1</v>
      </c>
      <c r="AC334" s="972">
        <f t="shared" si="368"/>
        <v>-1</v>
      </c>
      <c r="AD334" s="972">
        <f t="shared" si="369"/>
        <v>-1</v>
      </c>
      <c r="AE334" s="972">
        <f t="shared" si="370"/>
        <v>-1</v>
      </c>
      <c r="AF334" s="972">
        <f t="shared" si="371"/>
        <v>-1</v>
      </c>
      <c r="AG334" s="972">
        <f t="shared" si="372"/>
        <v>-1</v>
      </c>
      <c r="AH334" s="972">
        <f t="shared" si="373"/>
        <v>-1</v>
      </c>
      <c r="AI334" s="972">
        <f t="shared" si="374"/>
        <v>-1</v>
      </c>
      <c r="AJ334" s="972">
        <f t="shared" si="375"/>
        <v>-1</v>
      </c>
      <c r="AK334" s="381"/>
      <c r="AL334" s="727" t="str">
        <f t="shared" si="376"/>
        <v/>
      </c>
      <c r="AM334" s="409">
        <f t="shared" si="431"/>
        <v>0</v>
      </c>
      <c r="AN334" s="409">
        <f t="shared" si="431"/>
        <v>0</v>
      </c>
      <c r="AO334" s="409">
        <f t="shared" si="431"/>
        <v>0</v>
      </c>
      <c r="AP334" s="409">
        <f t="shared" si="431"/>
        <v>0</v>
      </c>
      <c r="AQ334" s="409">
        <f t="shared" si="431"/>
        <v>0</v>
      </c>
      <c r="AR334" s="409">
        <f t="shared" si="431"/>
        <v>0</v>
      </c>
      <c r="AS334" s="409">
        <f t="shared" si="431"/>
        <v>0</v>
      </c>
      <c r="AT334" s="409">
        <f t="shared" si="431"/>
        <v>0</v>
      </c>
      <c r="AU334" s="409">
        <f t="shared" si="431"/>
        <v>0</v>
      </c>
      <c r="AV334" s="409">
        <f t="shared" si="431"/>
        <v>0</v>
      </c>
      <c r="AW334" s="409">
        <f t="shared" si="432"/>
        <v>0</v>
      </c>
      <c r="AX334" s="409">
        <f t="shared" si="432"/>
        <v>0</v>
      </c>
      <c r="AY334" s="409">
        <f t="shared" si="432"/>
        <v>0</v>
      </c>
      <c r="AZ334" s="409">
        <f t="shared" si="432"/>
        <v>0</v>
      </c>
      <c r="BA334" s="409">
        <f t="shared" si="432"/>
        <v>0</v>
      </c>
      <c r="BB334" s="409">
        <f t="shared" si="432"/>
        <v>0</v>
      </c>
      <c r="BC334" s="409">
        <f t="shared" si="432"/>
        <v>0</v>
      </c>
      <c r="BD334" s="409">
        <f t="shared" si="432"/>
        <v>0</v>
      </c>
      <c r="BE334" s="409">
        <f t="shared" si="432"/>
        <v>0</v>
      </c>
      <c r="BF334" s="409">
        <f t="shared" si="432"/>
        <v>0</v>
      </c>
      <c r="BG334" s="409">
        <f t="shared" si="433"/>
        <v>0</v>
      </c>
      <c r="BH334" s="409">
        <f t="shared" si="433"/>
        <v>0</v>
      </c>
      <c r="BI334" s="409">
        <f t="shared" si="433"/>
        <v>0</v>
      </c>
      <c r="BJ334" s="409">
        <f t="shared" si="433"/>
        <v>0</v>
      </c>
      <c r="BK334" s="409">
        <f t="shared" si="433"/>
        <v>0</v>
      </c>
      <c r="BL334" s="409">
        <f t="shared" si="433"/>
        <v>0</v>
      </c>
      <c r="BM334" s="409">
        <f t="shared" si="433"/>
        <v>0</v>
      </c>
      <c r="BN334" s="409">
        <f t="shared" si="433"/>
        <v>0</v>
      </c>
      <c r="BO334" s="409">
        <f t="shared" si="433"/>
        <v>0</v>
      </c>
      <c r="BP334" s="409">
        <f t="shared" si="433"/>
        <v>0</v>
      </c>
      <c r="BQ334" s="409">
        <f t="shared" si="434"/>
        <v>0</v>
      </c>
      <c r="BR334" s="409">
        <f t="shared" si="434"/>
        <v>0</v>
      </c>
      <c r="BS334" s="409">
        <f t="shared" si="434"/>
        <v>0</v>
      </c>
      <c r="BT334" s="409">
        <f t="shared" si="434"/>
        <v>0</v>
      </c>
      <c r="BU334" s="409">
        <f t="shared" si="434"/>
        <v>0</v>
      </c>
      <c r="BV334" s="409">
        <f t="shared" si="434"/>
        <v>0</v>
      </c>
      <c r="BW334" s="409">
        <f t="shared" si="434"/>
        <v>0</v>
      </c>
      <c r="BX334" s="409">
        <f t="shared" si="434"/>
        <v>0</v>
      </c>
      <c r="BY334" s="409">
        <f t="shared" si="434"/>
        <v>0</v>
      </c>
      <c r="BZ334" s="409">
        <f t="shared" si="434"/>
        <v>0</v>
      </c>
      <c r="CA334" s="409">
        <f t="shared" si="435"/>
        <v>0</v>
      </c>
      <c r="CB334" s="409">
        <f t="shared" si="435"/>
        <v>0</v>
      </c>
      <c r="CC334" s="409">
        <f t="shared" si="435"/>
        <v>0</v>
      </c>
      <c r="CD334" s="409">
        <f t="shared" si="435"/>
        <v>0</v>
      </c>
      <c r="CE334" s="409">
        <f t="shared" si="435"/>
        <v>0</v>
      </c>
      <c r="CF334" s="409">
        <f t="shared" si="435"/>
        <v>0</v>
      </c>
      <c r="CG334" s="409">
        <f t="shared" si="435"/>
        <v>0</v>
      </c>
      <c r="CH334" s="409">
        <f t="shared" si="435"/>
        <v>0</v>
      </c>
      <c r="CI334" s="409">
        <f t="shared" si="435"/>
        <v>0</v>
      </c>
      <c r="CJ334" s="409">
        <f t="shared" si="435"/>
        <v>0</v>
      </c>
      <c r="CK334" s="409">
        <f t="shared" si="436"/>
        <v>0</v>
      </c>
      <c r="CL334" s="409">
        <f t="shared" si="436"/>
        <v>0</v>
      </c>
      <c r="CM334" s="409">
        <f t="shared" si="436"/>
        <v>0</v>
      </c>
      <c r="CN334" s="409">
        <f t="shared" si="436"/>
        <v>0</v>
      </c>
      <c r="CO334" s="409">
        <f t="shared" si="436"/>
        <v>0</v>
      </c>
      <c r="CP334" s="409">
        <f t="shared" si="436"/>
        <v>0</v>
      </c>
      <c r="CQ334" s="409">
        <f t="shared" si="436"/>
        <v>0</v>
      </c>
      <c r="CR334" s="409">
        <f t="shared" si="436"/>
        <v>0</v>
      </c>
      <c r="CS334" s="409">
        <f t="shared" si="436"/>
        <v>0</v>
      </c>
      <c r="CT334" s="409">
        <f t="shared" si="436"/>
        <v>0</v>
      </c>
      <c r="CU334" s="409">
        <f t="shared" si="437"/>
        <v>0</v>
      </c>
      <c r="CV334" s="409">
        <f t="shared" si="437"/>
        <v>0</v>
      </c>
      <c r="CW334" s="409">
        <f t="shared" si="437"/>
        <v>0</v>
      </c>
      <c r="CX334" s="409">
        <f t="shared" si="437"/>
        <v>0</v>
      </c>
      <c r="CY334" s="409">
        <f t="shared" si="437"/>
        <v>0</v>
      </c>
      <c r="CZ334" s="409">
        <f t="shared" si="437"/>
        <v>0</v>
      </c>
      <c r="DA334" s="409">
        <f t="shared" si="437"/>
        <v>0</v>
      </c>
      <c r="DB334" s="409">
        <f t="shared" si="437"/>
        <v>0</v>
      </c>
      <c r="DC334" s="409">
        <f t="shared" si="437"/>
        <v>0</v>
      </c>
      <c r="DD334" s="409">
        <f t="shared" si="437"/>
        <v>0</v>
      </c>
      <c r="DE334" s="409">
        <f t="shared" si="438"/>
        <v>0</v>
      </c>
      <c r="DF334" s="409">
        <f t="shared" si="438"/>
        <v>0</v>
      </c>
      <c r="DG334" s="409">
        <f t="shared" si="438"/>
        <v>0</v>
      </c>
      <c r="DH334" s="409">
        <f t="shared" si="438"/>
        <v>0</v>
      </c>
      <c r="DI334" s="409">
        <f t="shared" si="438"/>
        <v>0</v>
      </c>
      <c r="DJ334" s="409">
        <f t="shared" si="438"/>
        <v>0</v>
      </c>
      <c r="DK334" s="409">
        <f t="shared" si="438"/>
        <v>0</v>
      </c>
      <c r="DL334" s="409">
        <f t="shared" si="438"/>
        <v>0</v>
      </c>
      <c r="DM334" s="409">
        <f t="shared" si="438"/>
        <v>0</v>
      </c>
      <c r="DN334" s="409">
        <f t="shared" si="438"/>
        <v>0</v>
      </c>
      <c r="DO334" s="409">
        <f t="shared" si="439"/>
        <v>0</v>
      </c>
      <c r="DP334" s="409">
        <f t="shared" si="439"/>
        <v>0</v>
      </c>
      <c r="DQ334" s="409">
        <f t="shared" si="439"/>
        <v>0</v>
      </c>
      <c r="DR334" s="409">
        <f t="shared" si="439"/>
        <v>0</v>
      </c>
      <c r="DS334" s="409">
        <f t="shared" si="439"/>
        <v>0</v>
      </c>
      <c r="DT334" s="409">
        <f t="shared" si="439"/>
        <v>0</v>
      </c>
      <c r="DU334" s="409">
        <f t="shared" si="439"/>
        <v>0</v>
      </c>
      <c r="DV334" s="409">
        <f t="shared" si="439"/>
        <v>0</v>
      </c>
      <c r="DW334" s="409">
        <f t="shared" si="439"/>
        <v>0</v>
      </c>
      <c r="DX334" s="409">
        <f t="shared" si="439"/>
        <v>0</v>
      </c>
      <c r="DY334" s="409">
        <f t="shared" si="440"/>
        <v>0</v>
      </c>
      <c r="DZ334" s="409">
        <f t="shared" si="440"/>
        <v>0</v>
      </c>
      <c r="EA334" s="409">
        <f t="shared" si="440"/>
        <v>0</v>
      </c>
      <c r="EB334" s="409">
        <f t="shared" si="440"/>
        <v>0</v>
      </c>
      <c r="EC334" s="409">
        <f t="shared" si="440"/>
        <v>0</v>
      </c>
      <c r="ED334" s="409">
        <f t="shared" si="440"/>
        <v>0</v>
      </c>
      <c r="EE334" s="409">
        <f t="shared" si="440"/>
        <v>0</v>
      </c>
      <c r="EF334" s="409">
        <f t="shared" si="440"/>
        <v>0</v>
      </c>
      <c r="EG334" s="409">
        <f t="shared" si="440"/>
        <v>0</v>
      </c>
      <c r="EH334" s="409">
        <f t="shared" si="440"/>
        <v>0</v>
      </c>
      <c r="EI334" s="409">
        <f t="shared" si="441"/>
        <v>0</v>
      </c>
      <c r="EJ334" s="409">
        <f t="shared" si="441"/>
        <v>0</v>
      </c>
      <c r="EK334" s="409">
        <f t="shared" si="441"/>
        <v>0</v>
      </c>
      <c r="EL334" s="409">
        <f t="shared" si="441"/>
        <v>0</v>
      </c>
      <c r="EM334" s="409">
        <f t="shared" si="441"/>
        <v>0</v>
      </c>
      <c r="EN334" s="409">
        <f t="shared" si="441"/>
        <v>0</v>
      </c>
      <c r="EO334" s="409">
        <f t="shared" si="441"/>
        <v>0</v>
      </c>
      <c r="EP334" s="409">
        <f t="shared" si="441"/>
        <v>0</v>
      </c>
      <c r="EQ334" s="409">
        <f t="shared" si="441"/>
        <v>0</v>
      </c>
      <c r="ER334" s="409">
        <f t="shared" si="441"/>
        <v>0</v>
      </c>
      <c r="ES334" s="409">
        <f t="shared" si="442"/>
        <v>0</v>
      </c>
      <c r="ET334" s="409">
        <f t="shared" si="442"/>
        <v>0</v>
      </c>
      <c r="EU334" s="409">
        <f t="shared" si="442"/>
        <v>0</v>
      </c>
      <c r="EV334" s="409">
        <f t="shared" si="442"/>
        <v>0</v>
      </c>
      <c r="EW334" s="409">
        <f t="shared" si="442"/>
        <v>0</v>
      </c>
      <c r="EX334" s="409">
        <f t="shared" si="442"/>
        <v>0</v>
      </c>
      <c r="EY334" s="409">
        <f t="shared" si="442"/>
        <v>0</v>
      </c>
      <c r="EZ334" s="409">
        <f t="shared" si="442"/>
        <v>0</v>
      </c>
      <c r="FA334" s="409">
        <f t="shared" si="442"/>
        <v>0</v>
      </c>
      <c r="FB334" s="409">
        <f t="shared" si="442"/>
        <v>0</v>
      </c>
      <c r="FC334" s="409">
        <f t="shared" si="443"/>
        <v>0</v>
      </c>
      <c r="FD334" s="409">
        <f t="shared" si="443"/>
        <v>0</v>
      </c>
      <c r="FE334" s="409">
        <f t="shared" si="443"/>
        <v>0</v>
      </c>
      <c r="FF334" s="409">
        <f t="shared" si="443"/>
        <v>0</v>
      </c>
      <c r="FG334" s="409">
        <f t="shared" si="443"/>
        <v>0</v>
      </c>
      <c r="FH334" s="409">
        <f t="shared" si="443"/>
        <v>0</v>
      </c>
      <c r="FI334" s="409">
        <f t="shared" si="443"/>
        <v>0</v>
      </c>
      <c r="FJ334" s="409">
        <f t="shared" si="443"/>
        <v>0</v>
      </c>
      <c r="FK334" s="409">
        <f t="shared" si="443"/>
        <v>0</v>
      </c>
      <c r="FL334" s="409">
        <f t="shared" si="443"/>
        <v>0</v>
      </c>
      <c r="FM334" s="409">
        <f t="shared" si="444"/>
        <v>0</v>
      </c>
      <c r="FN334" s="409">
        <f t="shared" si="444"/>
        <v>0</v>
      </c>
      <c r="FO334" s="409">
        <f t="shared" si="444"/>
        <v>0</v>
      </c>
      <c r="FP334" s="409">
        <f t="shared" si="444"/>
        <v>0</v>
      </c>
      <c r="FQ334" s="409">
        <f t="shared" si="444"/>
        <v>0</v>
      </c>
      <c r="FR334" s="409">
        <f t="shared" si="444"/>
        <v>0</v>
      </c>
      <c r="FS334" s="409">
        <f t="shared" si="444"/>
        <v>0</v>
      </c>
      <c r="FT334" s="409">
        <f t="shared" si="444"/>
        <v>0</v>
      </c>
      <c r="FU334" s="409">
        <f t="shared" si="444"/>
        <v>0</v>
      </c>
      <c r="FV334" s="409">
        <f t="shared" si="444"/>
        <v>0</v>
      </c>
      <c r="FW334" s="409">
        <f t="shared" si="445"/>
        <v>0</v>
      </c>
      <c r="FX334" s="409">
        <f t="shared" si="445"/>
        <v>0</v>
      </c>
      <c r="FY334" s="409">
        <f t="shared" si="445"/>
        <v>0</v>
      </c>
      <c r="FZ334" s="409">
        <f t="shared" si="445"/>
        <v>0</v>
      </c>
      <c r="GA334" s="409">
        <f t="shared" si="445"/>
        <v>0</v>
      </c>
      <c r="GB334" s="409">
        <f t="shared" si="445"/>
        <v>0</v>
      </c>
      <c r="GC334" s="409">
        <f t="shared" si="445"/>
        <v>0</v>
      </c>
      <c r="GD334" s="409">
        <f t="shared" si="445"/>
        <v>0</v>
      </c>
      <c r="GE334" s="409">
        <f t="shared" si="445"/>
        <v>0</v>
      </c>
      <c r="GF334" s="409">
        <f t="shared" si="445"/>
        <v>0</v>
      </c>
      <c r="GG334" s="409">
        <f t="shared" si="446"/>
        <v>0</v>
      </c>
      <c r="GH334" s="409">
        <f t="shared" si="446"/>
        <v>0</v>
      </c>
      <c r="GI334" s="409">
        <f t="shared" si="446"/>
        <v>0</v>
      </c>
      <c r="GJ334" s="409">
        <f t="shared" si="446"/>
        <v>0</v>
      </c>
      <c r="GK334" s="409">
        <f t="shared" si="446"/>
        <v>0</v>
      </c>
      <c r="GL334" s="409">
        <f t="shared" si="446"/>
        <v>0</v>
      </c>
      <c r="GM334" s="409">
        <f t="shared" si="446"/>
        <v>0</v>
      </c>
      <c r="GN334" s="409">
        <f t="shared" si="446"/>
        <v>0</v>
      </c>
      <c r="GO334" s="409">
        <f t="shared" si="446"/>
        <v>0</v>
      </c>
      <c r="GP334" s="409">
        <f t="shared" si="446"/>
        <v>0</v>
      </c>
      <c r="GQ334" s="409">
        <f t="shared" si="447"/>
        <v>0</v>
      </c>
      <c r="GR334" s="409">
        <f t="shared" si="447"/>
        <v>0</v>
      </c>
      <c r="GS334" s="409">
        <f t="shared" si="447"/>
        <v>0</v>
      </c>
      <c r="GT334" s="409">
        <f t="shared" si="447"/>
        <v>0</v>
      </c>
      <c r="GU334" s="409">
        <f t="shared" si="447"/>
        <v>0</v>
      </c>
      <c r="GV334" s="409">
        <f t="shared" si="447"/>
        <v>0</v>
      </c>
      <c r="GW334" s="409">
        <f t="shared" si="447"/>
        <v>0</v>
      </c>
      <c r="GX334" s="409">
        <f t="shared" si="447"/>
        <v>0</v>
      </c>
      <c r="GY334" s="409">
        <f t="shared" si="447"/>
        <v>0</v>
      </c>
      <c r="GZ334" s="409">
        <f t="shared" si="447"/>
        <v>0</v>
      </c>
      <c r="HA334" s="409">
        <f t="shared" si="448"/>
        <v>0</v>
      </c>
      <c r="HB334" s="409">
        <f t="shared" si="448"/>
        <v>0</v>
      </c>
      <c r="HC334" s="409">
        <f t="shared" si="448"/>
        <v>0</v>
      </c>
      <c r="HD334" s="409">
        <f t="shared" si="448"/>
        <v>0</v>
      </c>
      <c r="HE334" s="409">
        <f t="shared" si="448"/>
        <v>0</v>
      </c>
      <c r="HF334" s="409">
        <f t="shared" si="448"/>
        <v>0</v>
      </c>
      <c r="HG334" s="409">
        <f t="shared" si="448"/>
        <v>0</v>
      </c>
      <c r="HH334" s="409">
        <f t="shared" si="448"/>
        <v>0</v>
      </c>
      <c r="HI334" s="409">
        <f t="shared" si="448"/>
        <v>0</v>
      </c>
      <c r="HJ334" s="409">
        <f t="shared" si="448"/>
        <v>0</v>
      </c>
      <c r="HK334" s="409">
        <f t="shared" si="449"/>
        <v>0</v>
      </c>
      <c r="HL334" s="409">
        <f t="shared" si="449"/>
        <v>0</v>
      </c>
      <c r="HM334" s="409">
        <f t="shared" si="449"/>
        <v>0</v>
      </c>
      <c r="HN334" s="409">
        <f t="shared" si="449"/>
        <v>0</v>
      </c>
      <c r="HO334" s="409">
        <f t="shared" si="449"/>
        <v>0</v>
      </c>
      <c r="HP334" s="409">
        <f t="shared" si="449"/>
        <v>0</v>
      </c>
      <c r="HQ334" s="409">
        <f t="shared" si="449"/>
        <v>0</v>
      </c>
      <c r="HR334" s="409">
        <f t="shared" si="449"/>
        <v>0</v>
      </c>
      <c r="HS334" s="409">
        <f t="shared" si="449"/>
        <v>0</v>
      </c>
      <c r="HT334" s="409">
        <f t="shared" si="449"/>
        <v>0</v>
      </c>
      <c r="HU334" s="409">
        <f t="shared" si="450"/>
        <v>0</v>
      </c>
      <c r="HV334" s="409">
        <f t="shared" si="450"/>
        <v>0</v>
      </c>
      <c r="HW334" s="409">
        <f t="shared" si="450"/>
        <v>0</v>
      </c>
      <c r="HX334" s="409">
        <f t="shared" si="450"/>
        <v>0</v>
      </c>
      <c r="HY334" s="409">
        <f t="shared" si="450"/>
        <v>0</v>
      </c>
      <c r="HZ334" s="409">
        <f t="shared" si="450"/>
        <v>0</v>
      </c>
      <c r="IA334" s="409">
        <f t="shared" si="450"/>
        <v>0</v>
      </c>
      <c r="IB334" s="409">
        <f t="shared" si="450"/>
        <v>0</v>
      </c>
      <c r="IC334" s="409">
        <f t="shared" si="450"/>
        <v>0</v>
      </c>
      <c r="ID334" s="409">
        <f t="shared" si="450"/>
        <v>0</v>
      </c>
      <c r="IE334" s="409">
        <f t="shared" si="451"/>
        <v>0</v>
      </c>
      <c r="IF334" s="409">
        <f t="shared" si="451"/>
        <v>0</v>
      </c>
      <c r="IG334" s="409">
        <f t="shared" si="451"/>
        <v>0</v>
      </c>
      <c r="IH334" s="409">
        <f t="shared" si="451"/>
        <v>0</v>
      </c>
      <c r="II334" s="409">
        <f t="shared" si="451"/>
        <v>0</v>
      </c>
      <c r="IJ334" s="409">
        <f t="shared" si="451"/>
        <v>0</v>
      </c>
      <c r="IK334" s="378"/>
    </row>
    <row r="335" spans="1:245" hidden="1" x14ac:dyDescent="0.2">
      <c r="A335" s="380" t="str">
        <f t="shared" si="357"/>
        <v>e</v>
      </c>
      <c r="B335" s="712" t="str">
        <f>IF(ISERROR(INDEX('Legend(DX)'!$H$14:$H$15,48)),"",INDEX('Legend(DX)'!$H$14:$H$15,48))</f>
        <v/>
      </c>
      <c r="C335" s="712" t="e">
        <f>IF(INDEX('Legend(DX)'!$T$14:$T$15,48)=0,"See Legend",INDEX('Legend(DX)'!$T$14:$T$15,48))</f>
        <v>#REF!</v>
      </c>
      <c r="D335" s="712" t="e">
        <f>IF(INDEX('Legend(DX)'!$R$14:$R$15,48)=0,"---",INDEX('Legend(DX)'!$R$14:$R$15,48))</f>
        <v>#REF!</v>
      </c>
      <c r="E335" s="713" t="str">
        <f>IF(ISERROR(INDEX('Legend(DX)'!$AA$14:$AA$15,48)),"",INDEX('Legend(DX)'!$AA$14:$AA$15,48))</f>
        <v/>
      </c>
      <c r="F335" s="715"/>
      <c r="G335" s="715"/>
      <c r="H335" s="715"/>
      <c r="I335" s="715"/>
      <c r="J335" s="715"/>
      <c r="K335" s="890">
        <f t="shared" si="358"/>
        <v>0</v>
      </c>
      <c r="L335" s="718"/>
      <c r="M335" s="720"/>
      <c r="N335" s="972">
        <f t="shared" si="425"/>
        <v>-1</v>
      </c>
      <c r="O335" s="972">
        <f t="shared" si="359"/>
        <v>-1</v>
      </c>
      <c r="P335" s="972">
        <f t="shared" si="426"/>
        <v>-1</v>
      </c>
      <c r="Q335" s="972">
        <f t="shared" si="360"/>
        <v>-1</v>
      </c>
      <c r="R335" s="972">
        <f t="shared" si="427"/>
        <v>-1</v>
      </c>
      <c r="S335" s="972">
        <f t="shared" si="361"/>
        <v>-1</v>
      </c>
      <c r="T335" s="972">
        <f t="shared" si="428"/>
        <v>-1</v>
      </c>
      <c r="U335" s="972">
        <f t="shared" si="362"/>
        <v>-1</v>
      </c>
      <c r="V335" s="972">
        <f t="shared" si="429"/>
        <v>-1</v>
      </c>
      <c r="W335" s="972">
        <f t="shared" si="363"/>
        <v>-1</v>
      </c>
      <c r="X335" s="972">
        <f t="shared" si="430"/>
        <v>-1</v>
      </c>
      <c r="Y335" s="972">
        <f t="shared" si="364"/>
        <v>-1</v>
      </c>
      <c r="Z335" s="972">
        <f t="shared" si="365"/>
        <v>-1</v>
      </c>
      <c r="AA335" s="972">
        <f t="shared" si="366"/>
        <v>-1</v>
      </c>
      <c r="AB335" s="972">
        <f t="shared" si="367"/>
        <v>-1</v>
      </c>
      <c r="AC335" s="972">
        <f t="shared" si="368"/>
        <v>-1</v>
      </c>
      <c r="AD335" s="972">
        <f t="shared" si="369"/>
        <v>-1</v>
      </c>
      <c r="AE335" s="972">
        <f t="shared" si="370"/>
        <v>-1</v>
      </c>
      <c r="AF335" s="972">
        <f t="shared" si="371"/>
        <v>-1</v>
      </c>
      <c r="AG335" s="972">
        <f t="shared" si="372"/>
        <v>-1</v>
      </c>
      <c r="AH335" s="972">
        <f t="shared" si="373"/>
        <v>-1</v>
      </c>
      <c r="AI335" s="972">
        <f t="shared" si="374"/>
        <v>-1</v>
      </c>
      <c r="AJ335" s="972">
        <f t="shared" si="375"/>
        <v>-1</v>
      </c>
      <c r="AK335" s="381"/>
      <c r="AL335" s="727" t="str">
        <f t="shared" si="376"/>
        <v/>
      </c>
      <c r="AM335" s="409">
        <f t="shared" si="431"/>
        <v>0</v>
      </c>
      <c r="AN335" s="409">
        <f t="shared" si="431"/>
        <v>0</v>
      </c>
      <c r="AO335" s="409">
        <f t="shared" si="431"/>
        <v>0</v>
      </c>
      <c r="AP335" s="409">
        <f t="shared" si="431"/>
        <v>0</v>
      </c>
      <c r="AQ335" s="409">
        <f t="shared" si="431"/>
        <v>0</v>
      </c>
      <c r="AR335" s="409">
        <f t="shared" si="431"/>
        <v>0</v>
      </c>
      <c r="AS335" s="409">
        <f t="shared" si="431"/>
        <v>0</v>
      </c>
      <c r="AT335" s="409">
        <f t="shared" si="431"/>
        <v>0</v>
      </c>
      <c r="AU335" s="409">
        <f t="shared" si="431"/>
        <v>0</v>
      </c>
      <c r="AV335" s="409">
        <f t="shared" si="431"/>
        <v>0</v>
      </c>
      <c r="AW335" s="409">
        <f t="shared" si="432"/>
        <v>0</v>
      </c>
      <c r="AX335" s="409">
        <f t="shared" si="432"/>
        <v>0</v>
      </c>
      <c r="AY335" s="409">
        <f t="shared" si="432"/>
        <v>0</v>
      </c>
      <c r="AZ335" s="409">
        <f t="shared" si="432"/>
        <v>0</v>
      </c>
      <c r="BA335" s="409">
        <f t="shared" si="432"/>
        <v>0</v>
      </c>
      <c r="BB335" s="409">
        <f t="shared" si="432"/>
        <v>0</v>
      </c>
      <c r="BC335" s="409">
        <f t="shared" si="432"/>
        <v>0</v>
      </c>
      <c r="BD335" s="409">
        <f t="shared" si="432"/>
        <v>0</v>
      </c>
      <c r="BE335" s="409">
        <f t="shared" si="432"/>
        <v>0</v>
      </c>
      <c r="BF335" s="409">
        <f t="shared" si="432"/>
        <v>0</v>
      </c>
      <c r="BG335" s="409">
        <f t="shared" si="433"/>
        <v>0</v>
      </c>
      <c r="BH335" s="409">
        <f t="shared" si="433"/>
        <v>0</v>
      </c>
      <c r="BI335" s="409">
        <f t="shared" si="433"/>
        <v>0</v>
      </c>
      <c r="BJ335" s="409">
        <f t="shared" si="433"/>
        <v>0</v>
      </c>
      <c r="BK335" s="409">
        <f t="shared" si="433"/>
        <v>0</v>
      </c>
      <c r="BL335" s="409">
        <f t="shared" si="433"/>
        <v>0</v>
      </c>
      <c r="BM335" s="409">
        <f t="shared" si="433"/>
        <v>0</v>
      </c>
      <c r="BN335" s="409">
        <f t="shared" si="433"/>
        <v>0</v>
      </c>
      <c r="BO335" s="409">
        <f t="shared" si="433"/>
        <v>0</v>
      </c>
      <c r="BP335" s="409">
        <f t="shared" si="433"/>
        <v>0</v>
      </c>
      <c r="BQ335" s="409">
        <f t="shared" si="434"/>
        <v>0</v>
      </c>
      <c r="BR335" s="409">
        <f t="shared" si="434"/>
        <v>0</v>
      </c>
      <c r="BS335" s="409">
        <f t="shared" si="434"/>
        <v>0</v>
      </c>
      <c r="BT335" s="409">
        <f t="shared" si="434"/>
        <v>0</v>
      </c>
      <c r="BU335" s="409">
        <f t="shared" si="434"/>
        <v>0</v>
      </c>
      <c r="BV335" s="409">
        <f t="shared" si="434"/>
        <v>0</v>
      </c>
      <c r="BW335" s="409">
        <f t="shared" si="434"/>
        <v>0</v>
      </c>
      <c r="BX335" s="409">
        <f t="shared" si="434"/>
        <v>0</v>
      </c>
      <c r="BY335" s="409">
        <f t="shared" si="434"/>
        <v>0</v>
      </c>
      <c r="BZ335" s="409">
        <f t="shared" si="434"/>
        <v>0</v>
      </c>
      <c r="CA335" s="409">
        <f t="shared" si="435"/>
        <v>0</v>
      </c>
      <c r="CB335" s="409">
        <f t="shared" si="435"/>
        <v>0</v>
      </c>
      <c r="CC335" s="409">
        <f t="shared" si="435"/>
        <v>0</v>
      </c>
      <c r="CD335" s="409">
        <f t="shared" si="435"/>
        <v>0</v>
      </c>
      <c r="CE335" s="409">
        <f t="shared" si="435"/>
        <v>0</v>
      </c>
      <c r="CF335" s="409">
        <f t="shared" si="435"/>
        <v>0</v>
      </c>
      <c r="CG335" s="409">
        <f t="shared" si="435"/>
        <v>0</v>
      </c>
      <c r="CH335" s="409">
        <f t="shared" si="435"/>
        <v>0</v>
      </c>
      <c r="CI335" s="409">
        <f t="shared" si="435"/>
        <v>0</v>
      </c>
      <c r="CJ335" s="409">
        <f t="shared" si="435"/>
        <v>0</v>
      </c>
      <c r="CK335" s="409">
        <f t="shared" si="436"/>
        <v>0</v>
      </c>
      <c r="CL335" s="409">
        <f t="shared" si="436"/>
        <v>0</v>
      </c>
      <c r="CM335" s="409">
        <f t="shared" si="436"/>
        <v>0</v>
      </c>
      <c r="CN335" s="409">
        <f t="shared" si="436"/>
        <v>0</v>
      </c>
      <c r="CO335" s="409">
        <f t="shared" si="436"/>
        <v>0</v>
      </c>
      <c r="CP335" s="409">
        <f t="shared" si="436"/>
        <v>0</v>
      </c>
      <c r="CQ335" s="409">
        <f t="shared" si="436"/>
        <v>0</v>
      </c>
      <c r="CR335" s="409">
        <f t="shared" si="436"/>
        <v>0</v>
      </c>
      <c r="CS335" s="409">
        <f t="shared" si="436"/>
        <v>0</v>
      </c>
      <c r="CT335" s="409">
        <f t="shared" si="436"/>
        <v>0</v>
      </c>
      <c r="CU335" s="409">
        <f t="shared" si="437"/>
        <v>0</v>
      </c>
      <c r="CV335" s="409">
        <f t="shared" si="437"/>
        <v>0</v>
      </c>
      <c r="CW335" s="409">
        <f t="shared" si="437"/>
        <v>0</v>
      </c>
      <c r="CX335" s="409">
        <f t="shared" si="437"/>
        <v>0</v>
      </c>
      <c r="CY335" s="409">
        <f t="shared" si="437"/>
        <v>0</v>
      </c>
      <c r="CZ335" s="409">
        <f t="shared" si="437"/>
        <v>0</v>
      </c>
      <c r="DA335" s="409">
        <f t="shared" si="437"/>
        <v>0</v>
      </c>
      <c r="DB335" s="409">
        <f t="shared" si="437"/>
        <v>0</v>
      </c>
      <c r="DC335" s="409">
        <f t="shared" si="437"/>
        <v>0</v>
      </c>
      <c r="DD335" s="409">
        <f t="shared" si="437"/>
        <v>0</v>
      </c>
      <c r="DE335" s="409">
        <f t="shared" si="438"/>
        <v>0</v>
      </c>
      <c r="DF335" s="409">
        <f t="shared" si="438"/>
        <v>0</v>
      </c>
      <c r="DG335" s="409">
        <f t="shared" si="438"/>
        <v>0</v>
      </c>
      <c r="DH335" s="409">
        <f t="shared" si="438"/>
        <v>0</v>
      </c>
      <c r="DI335" s="409">
        <f t="shared" si="438"/>
        <v>0</v>
      </c>
      <c r="DJ335" s="409">
        <f t="shared" si="438"/>
        <v>0</v>
      </c>
      <c r="DK335" s="409">
        <f t="shared" si="438"/>
        <v>0</v>
      </c>
      <c r="DL335" s="409">
        <f t="shared" si="438"/>
        <v>0</v>
      </c>
      <c r="DM335" s="409">
        <f t="shared" si="438"/>
        <v>0</v>
      </c>
      <c r="DN335" s="409">
        <f t="shared" si="438"/>
        <v>0</v>
      </c>
      <c r="DO335" s="409">
        <f t="shared" si="439"/>
        <v>0</v>
      </c>
      <c r="DP335" s="409">
        <f t="shared" si="439"/>
        <v>0</v>
      </c>
      <c r="DQ335" s="409">
        <f t="shared" si="439"/>
        <v>0</v>
      </c>
      <c r="DR335" s="409">
        <f t="shared" si="439"/>
        <v>0</v>
      </c>
      <c r="DS335" s="409">
        <f t="shared" si="439"/>
        <v>0</v>
      </c>
      <c r="DT335" s="409">
        <f t="shared" si="439"/>
        <v>0</v>
      </c>
      <c r="DU335" s="409">
        <f t="shared" si="439"/>
        <v>0</v>
      </c>
      <c r="DV335" s="409">
        <f t="shared" si="439"/>
        <v>0</v>
      </c>
      <c r="DW335" s="409">
        <f t="shared" si="439"/>
        <v>0</v>
      </c>
      <c r="DX335" s="409">
        <f t="shared" si="439"/>
        <v>0</v>
      </c>
      <c r="DY335" s="409">
        <f t="shared" si="440"/>
        <v>0</v>
      </c>
      <c r="DZ335" s="409">
        <f t="shared" si="440"/>
        <v>0</v>
      </c>
      <c r="EA335" s="409">
        <f t="shared" si="440"/>
        <v>0</v>
      </c>
      <c r="EB335" s="409">
        <f t="shared" si="440"/>
        <v>0</v>
      </c>
      <c r="EC335" s="409">
        <f t="shared" si="440"/>
        <v>0</v>
      </c>
      <c r="ED335" s="409">
        <f t="shared" si="440"/>
        <v>0</v>
      </c>
      <c r="EE335" s="409">
        <f t="shared" si="440"/>
        <v>0</v>
      </c>
      <c r="EF335" s="409">
        <f t="shared" si="440"/>
        <v>0</v>
      </c>
      <c r="EG335" s="409">
        <f t="shared" si="440"/>
        <v>0</v>
      </c>
      <c r="EH335" s="409">
        <f t="shared" si="440"/>
        <v>0</v>
      </c>
      <c r="EI335" s="409">
        <f t="shared" si="441"/>
        <v>0</v>
      </c>
      <c r="EJ335" s="409">
        <f t="shared" si="441"/>
        <v>0</v>
      </c>
      <c r="EK335" s="409">
        <f t="shared" si="441"/>
        <v>0</v>
      </c>
      <c r="EL335" s="409">
        <f t="shared" si="441"/>
        <v>0</v>
      </c>
      <c r="EM335" s="409">
        <f t="shared" si="441"/>
        <v>0</v>
      </c>
      <c r="EN335" s="409">
        <f t="shared" si="441"/>
        <v>0</v>
      </c>
      <c r="EO335" s="409">
        <f t="shared" si="441"/>
        <v>0</v>
      </c>
      <c r="EP335" s="409">
        <f t="shared" si="441"/>
        <v>0</v>
      </c>
      <c r="EQ335" s="409">
        <f t="shared" si="441"/>
        <v>0</v>
      </c>
      <c r="ER335" s="409">
        <f t="shared" si="441"/>
        <v>0</v>
      </c>
      <c r="ES335" s="409">
        <f t="shared" si="442"/>
        <v>0</v>
      </c>
      <c r="ET335" s="409">
        <f t="shared" si="442"/>
        <v>0</v>
      </c>
      <c r="EU335" s="409">
        <f t="shared" si="442"/>
        <v>0</v>
      </c>
      <c r="EV335" s="409">
        <f t="shared" si="442"/>
        <v>0</v>
      </c>
      <c r="EW335" s="409">
        <f t="shared" si="442"/>
        <v>0</v>
      </c>
      <c r="EX335" s="409">
        <f t="shared" si="442"/>
        <v>0</v>
      </c>
      <c r="EY335" s="409">
        <f t="shared" si="442"/>
        <v>0</v>
      </c>
      <c r="EZ335" s="409">
        <f t="shared" si="442"/>
        <v>0</v>
      </c>
      <c r="FA335" s="409">
        <f t="shared" si="442"/>
        <v>0</v>
      </c>
      <c r="FB335" s="409">
        <f t="shared" si="442"/>
        <v>0</v>
      </c>
      <c r="FC335" s="409">
        <f t="shared" si="443"/>
        <v>0</v>
      </c>
      <c r="FD335" s="409">
        <f t="shared" si="443"/>
        <v>0</v>
      </c>
      <c r="FE335" s="409">
        <f t="shared" si="443"/>
        <v>0</v>
      </c>
      <c r="FF335" s="409">
        <f t="shared" si="443"/>
        <v>0</v>
      </c>
      <c r="FG335" s="409">
        <f t="shared" si="443"/>
        <v>0</v>
      </c>
      <c r="FH335" s="409">
        <f t="shared" si="443"/>
        <v>0</v>
      </c>
      <c r="FI335" s="409">
        <f t="shared" si="443"/>
        <v>0</v>
      </c>
      <c r="FJ335" s="409">
        <f t="shared" si="443"/>
        <v>0</v>
      </c>
      <c r="FK335" s="409">
        <f t="shared" si="443"/>
        <v>0</v>
      </c>
      <c r="FL335" s="409">
        <f t="shared" si="443"/>
        <v>0</v>
      </c>
      <c r="FM335" s="409">
        <f t="shared" si="444"/>
        <v>0</v>
      </c>
      <c r="FN335" s="409">
        <f t="shared" si="444"/>
        <v>0</v>
      </c>
      <c r="FO335" s="409">
        <f t="shared" si="444"/>
        <v>0</v>
      </c>
      <c r="FP335" s="409">
        <f t="shared" si="444"/>
        <v>0</v>
      </c>
      <c r="FQ335" s="409">
        <f t="shared" si="444"/>
        <v>0</v>
      </c>
      <c r="FR335" s="409">
        <f t="shared" si="444"/>
        <v>0</v>
      </c>
      <c r="FS335" s="409">
        <f t="shared" si="444"/>
        <v>0</v>
      </c>
      <c r="FT335" s="409">
        <f t="shared" si="444"/>
        <v>0</v>
      </c>
      <c r="FU335" s="409">
        <f t="shared" si="444"/>
        <v>0</v>
      </c>
      <c r="FV335" s="409">
        <f t="shared" si="444"/>
        <v>0</v>
      </c>
      <c r="FW335" s="409">
        <f t="shared" si="445"/>
        <v>0</v>
      </c>
      <c r="FX335" s="409">
        <f t="shared" si="445"/>
        <v>0</v>
      </c>
      <c r="FY335" s="409">
        <f t="shared" si="445"/>
        <v>0</v>
      </c>
      <c r="FZ335" s="409">
        <f t="shared" si="445"/>
        <v>0</v>
      </c>
      <c r="GA335" s="409">
        <f t="shared" si="445"/>
        <v>0</v>
      </c>
      <c r="GB335" s="409">
        <f t="shared" si="445"/>
        <v>0</v>
      </c>
      <c r="GC335" s="409">
        <f t="shared" si="445"/>
        <v>0</v>
      </c>
      <c r="GD335" s="409">
        <f t="shared" si="445"/>
        <v>0</v>
      </c>
      <c r="GE335" s="409">
        <f t="shared" si="445"/>
        <v>0</v>
      </c>
      <c r="GF335" s="409">
        <f t="shared" si="445"/>
        <v>0</v>
      </c>
      <c r="GG335" s="409">
        <f t="shared" si="446"/>
        <v>0</v>
      </c>
      <c r="GH335" s="409">
        <f t="shared" si="446"/>
        <v>0</v>
      </c>
      <c r="GI335" s="409">
        <f t="shared" si="446"/>
        <v>0</v>
      </c>
      <c r="GJ335" s="409">
        <f t="shared" si="446"/>
        <v>0</v>
      </c>
      <c r="GK335" s="409">
        <f t="shared" si="446"/>
        <v>0</v>
      </c>
      <c r="GL335" s="409">
        <f t="shared" si="446"/>
        <v>0</v>
      </c>
      <c r="GM335" s="409">
        <f t="shared" si="446"/>
        <v>0</v>
      </c>
      <c r="GN335" s="409">
        <f t="shared" si="446"/>
        <v>0</v>
      </c>
      <c r="GO335" s="409">
        <f t="shared" si="446"/>
        <v>0</v>
      </c>
      <c r="GP335" s="409">
        <f t="shared" si="446"/>
        <v>0</v>
      </c>
      <c r="GQ335" s="409">
        <f t="shared" si="447"/>
        <v>0</v>
      </c>
      <c r="GR335" s="409">
        <f t="shared" si="447"/>
        <v>0</v>
      </c>
      <c r="GS335" s="409">
        <f t="shared" si="447"/>
        <v>0</v>
      </c>
      <c r="GT335" s="409">
        <f t="shared" si="447"/>
        <v>0</v>
      </c>
      <c r="GU335" s="409">
        <f t="shared" si="447"/>
        <v>0</v>
      </c>
      <c r="GV335" s="409">
        <f t="shared" si="447"/>
        <v>0</v>
      </c>
      <c r="GW335" s="409">
        <f t="shared" si="447"/>
        <v>0</v>
      </c>
      <c r="GX335" s="409">
        <f t="shared" si="447"/>
        <v>0</v>
      </c>
      <c r="GY335" s="409">
        <f t="shared" si="447"/>
        <v>0</v>
      </c>
      <c r="GZ335" s="409">
        <f t="shared" si="447"/>
        <v>0</v>
      </c>
      <c r="HA335" s="409">
        <f t="shared" si="448"/>
        <v>0</v>
      </c>
      <c r="HB335" s="409">
        <f t="shared" si="448"/>
        <v>0</v>
      </c>
      <c r="HC335" s="409">
        <f t="shared" si="448"/>
        <v>0</v>
      </c>
      <c r="HD335" s="409">
        <f t="shared" si="448"/>
        <v>0</v>
      </c>
      <c r="HE335" s="409">
        <f t="shared" si="448"/>
        <v>0</v>
      </c>
      <c r="HF335" s="409">
        <f t="shared" si="448"/>
        <v>0</v>
      </c>
      <c r="HG335" s="409">
        <f t="shared" si="448"/>
        <v>0</v>
      </c>
      <c r="HH335" s="409">
        <f t="shared" si="448"/>
        <v>0</v>
      </c>
      <c r="HI335" s="409">
        <f t="shared" si="448"/>
        <v>0</v>
      </c>
      <c r="HJ335" s="409">
        <f t="shared" si="448"/>
        <v>0</v>
      </c>
      <c r="HK335" s="409">
        <f t="shared" si="449"/>
        <v>0</v>
      </c>
      <c r="HL335" s="409">
        <f t="shared" si="449"/>
        <v>0</v>
      </c>
      <c r="HM335" s="409">
        <f t="shared" si="449"/>
        <v>0</v>
      </c>
      <c r="HN335" s="409">
        <f t="shared" si="449"/>
        <v>0</v>
      </c>
      <c r="HO335" s="409">
        <f t="shared" si="449"/>
        <v>0</v>
      </c>
      <c r="HP335" s="409">
        <f t="shared" si="449"/>
        <v>0</v>
      </c>
      <c r="HQ335" s="409">
        <f t="shared" si="449"/>
        <v>0</v>
      </c>
      <c r="HR335" s="409">
        <f t="shared" si="449"/>
        <v>0</v>
      </c>
      <c r="HS335" s="409">
        <f t="shared" si="449"/>
        <v>0</v>
      </c>
      <c r="HT335" s="409">
        <f t="shared" si="449"/>
        <v>0</v>
      </c>
      <c r="HU335" s="409">
        <f t="shared" si="450"/>
        <v>0</v>
      </c>
      <c r="HV335" s="409">
        <f t="shared" si="450"/>
        <v>0</v>
      </c>
      <c r="HW335" s="409">
        <f t="shared" si="450"/>
        <v>0</v>
      </c>
      <c r="HX335" s="409">
        <f t="shared" si="450"/>
        <v>0</v>
      </c>
      <c r="HY335" s="409">
        <f t="shared" si="450"/>
        <v>0</v>
      </c>
      <c r="HZ335" s="409">
        <f t="shared" si="450"/>
        <v>0</v>
      </c>
      <c r="IA335" s="409">
        <f t="shared" si="450"/>
        <v>0</v>
      </c>
      <c r="IB335" s="409">
        <f t="shared" si="450"/>
        <v>0</v>
      </c>
      <c r="IC335" s="409">
        <f t="shared" si="450"/>
        <v>0</v>
      </c>
      <c r="ID335" s="409">
        <f t="shared" si="450"/>
        <v>0</v>
      </c>
      <c r="IE335" s="409">
        <f t="shared" si="451"/>
        <v>0</v>
      </c>
      <c r="IF335" s="409">
        <f t="shared" si="451"/>
        <v>0</v>
      </c>
      <c r="IG335" s="409">
        <f t="shared" si="451"/>
        <v>0</v>
      </c>
      <c r="IH335" s="409">
        <f t="shared" si="451"/>
        <v>0</v>
      </c>
      <c r="II335" s="409">
        <f t="shared" si="451"/>
        <v>0</v>
      </c>
      <c r="IJ335" s="409">
        <f t="shared" si="451"/>
        <v>0</v>
      </c>
      <c r="IK335" s="378"/>
    </row>
    <row r="336" spans="1:245" hidden="1" x14ac:dyDescent="0.2">
      <c r="A336" s="380" t="str">
        <f t="shared" si="357"/>
        <v>e</v>
      </c>
      <c r="B336" s="712" t="str">
        <f>IF(ISERROR(INDEX('Legend(DX)'!$H$14:$H$15,49)),"",INDEX('Legend(DX)'!$H$14:$H$15,49))</f>
        <v/>
      </c>
      <c r="C336" s="712" t="e">
        <f>IF(INDEX('Legend(DX)'!$T$14:$T$15,49)=0,"See Legend",INDEX('Legend(DX)'!$T$14:$T$15,49))</f>
        <v>#REF!</v>
      </c>
      <c r="D336" s="712" t="e">
        <f>IF(INDEX('Legend(DX)'!$R$14:$R$15,49)=0,"---",INDEX('Legend(DX)'!$R$14:$R$15,49))</f>
        <v>#REF!</v>
      </c>
      <c r="E336" s="713" t="str">
        <f>IF(ISERROR(INDEX('Legend(DX)'!$AA$14:$AA$15,49)),"",INDEX('Legend(DX)'!$AA$14:$AA$15,49))</f>
        <v/>
      </c>
      <c r="F336" s="715"/>
      <c r="G336" s="715"/>
      <c r="H336" s="715"/>
      <c r="I336" s="715"/>
      <c r="J336" s="715"/>
      <c r="K336" s="890">
        <f t="shared" si="358"/>
        <v>0</v>
      </c>
      <c r="L336" s="718"/>
      <c r="M336" s="720"/>
      <c r="N336" s="972">
        <f t="shared" si="425"/>
        <v>-1</v>
      </c>
      <c r="O336" s="972">
        <f t="shared" si="359"/>
        <v>-1</v>
      </c>
      <c r="P336" s="972">
        <f t="shared" si="426"/>
        <v>-1</v>
      </c>
      <c r="Q336" s="972">
        <f t="shared" si="360"/>
        <v>-1</v>
      </c>
      <c r="R336" s="972">
        <f t="shared" si="427"/>
        <v>-1</v>
      </c>
      <c r="S336" s="972">
        <f t="shared" si="361"/>
        <v>-1</v>
      </c>
      <c r="T336" s="972">
        <f t="shared" si="428"/>
        <v>-1</v>
      </c>
      <c r="U336" s="972">
        <f t="shared" si="362"/>
        <v>-1</v>
      </c>
      <c r="V336" s="972">
        <f t="shared" si="429"/>
        <v>-1</v>
      </c>
      <c r="W336" s="972">
        <f t="shared" si="363"/>
        <v>-1</v>
      </c>
      <c r="X336" s="972">
        <f t="shared" si="430"/>
        <v>-1</v>
      </c>
      <c r="Y336" s="972">
        <f t="shared" si="364"/>
        <v>-1</v>
      </c>
      <c r="Z336" s="972">
        <f t="shared" si="365"/>
        <v>-1</v>
      </c>
      <c r="AA336" s="972">
        <f t="shared" si="366"/>
        <v>-1</v>
      </c>
      <c r="AB336" s="972">
        <f t="shared" si="367"/>
        <v>-1</v>
      </c>
      <c r="AC336" s="972">
        <f t="shared" si="368"/>
        <v>-1</v>
      </c>
      <c r="AD336" s="972">
        <f t="shared" si="369"/>
        <v>-1</v>
      </c>
      <c r="AE336" s="972">
        <f t="shared" si="370"/>
        <v>-1</v>
      </c>
      <c r="AF336" s="972">
        <f t="shared" si="371"/>
        <v>-1</v>
      </c>
      <c r="AG336" s="972">
        <f t="shared" si="372"/>
        <v>-1</v>
      </c>
      <c r="AH336" s="972">
        <f t="shared" si="373"/>
        <v>-1</v>
      </c>
      <c r="AI336" s="972">
        <f t="shared" si="374"/>
        <v>-1</v>
      </c>
      <c r="AJ336" s="972">
        <f t="shared" si="375"/>
        <v>-1</v>
      </c>
      <c r="AK336" s="381"/>
      <c r="AL336" s="727" t="str">
        <f t="shared" si="376"/>
        <v/>
      </c>
      <c r="AM336" s="409">
        <f t="shared" si="431"/>
        <v>0</v>
      </c>
      <c r="AN336" s="409">
        <f t="shared" si="431"/>
        <v>0</v>
      </c>
      <c r="AO336" s="409">
        <f t="shared" si="431"/>
        <v>0</v>
      </c>
      <c r="AP336" s="409">
        <f t="shared" si="431"/>
        <v>0</v>
      </c>
      <c r="AQ336" s="409">
        <f t="shared" si="431"/>
        <v>0</v>
      </c>
      <c r="AR336" s="409">
        <f t="shared" si="431"/>
        <v>0</v>
      </c>
      <c r="AS336" s="409">
        <f t="shared" si="431"/>
        <v>0</v>
      </c>
      <c r="AT336" s="409">
        <f t="shared" si="431"/>
        <v>0</v>
      </c>
      <c r="AU336" s="409">
        <f t="shared" si="431"/>
        <v>0</v>
      </c>
      <c r="AV336" s="409">
        <f t="shared" si="431"/>
        <v>0</v>
      </c>
      <c r="AW336" s="409">
        <f t="shared" si="432"/>
        <v>0</v>
      </c>
      <c r="AX336" s="409">
        <f t="shared" si="432"/>
        <v>0</v>
      </c>
      <c r="AY336" s="409">
        <f t="shared" si="432"/>
        <v>0</v>
      </c>
      <c r="AZ336" s="409">
        <f t="shared" si="432"/>
        <v>0</v>
      </c>
      <c r="BA336" s="409">
        <f t="shared" si="432"/>
        <v>0</v>
      </c>
      <c r="BB336" s="409">
        <f t="shared" si="432"/>
        <v>0</v>
      </c>
      <c r="BC336" s="409">
        <f t="shared" si="432"/>
        <v>0</v>
      </c>
      <c r="BD336" s="409">
        <f t="shared" si="432"/>
        <v>0</v>
      </c>
      <c r="BE336" s="409">
        <f t="shared" si="432"/>
        <v>0</v>
      </c>
      <c r="BF336" s="409">
        <f t="shared" si="432"/>
        <v>0</v>
      </c>
      <c r="BG336" s="409">
        <f t="shared" si="433"/>
        <v>0</v>
      </c>
      <c r="BH336" s="409">
        <f t="shared" si="433"/>
        <v>0</v>
      </c>
      <c r="BI336" s="409">
        <f t="shared" si="433"/>
        <v>0</v>
      </c>
      <c r="BJ336" s="409">
        <f t="shared" si="433"/>
        <v>0</v>
      </c>
      <c r="BK336" s="409">
        <f t="shared" si="433"/>
        <v>0</v>
      </c>
      <c r="BL336" s="409">
        <f t="shared" si="433"/>
        <v>0</v>
      </c>
      <c r="BM336" s="409">
        <f t="shared" si="433"/>
        <v>0</v>
      </c>
      <c r="BN336" s="409">
        <f t="shared" si="433"/>
        <v>0</v>
      </c>
      <c r="BO336" s="409">
        <f t="shared" si="433"/>
        <v>0</v>
      </c>
      <c r="BP336" s="409">
        <f t="shared" si="433"/>
        <v>0</v>
      </c>
      <c r="BQ336" s="409">
        <f t="shared" si="434"/>
        <v>0</v>
      </c>
      <c r="BR336" s="409">
        <f t="shared" si="434"/>
        <v>0</v>
      </c>
      <c r="BS336" s="409">
        <f t="shared" si="434"/>
        <v>0</v>
      </c>
      <c r="BT336" s="409">
        <f t="shared" si="434"/>
        <v>0</v>
      </c>
      <c r="BU336" s="409">
        <f t="shared" si="434"/>
        <v>0</v>
      </c>
      <c r="BV336" s="409">
        <f t="shared" si="434"/>
        <v>0</v>
      </c>
      <c r="BW336" s="409">
        <f t="shared" si="434"/>
        <v>0</v>
      </c>
      <c r="BX336" s="409">
        <f t="shared" si="434"/>
        <v>0</v>
      </c>
      <c r="BY336" s="409">
        <f t="shared" si="434"/>
        <v>0</v>
      </c>
      <c r="BZ336" s="409">
        <f t="shared" si="434"/>
        <v>0</v>
      </c>
      <c r="CA336" s="409">
        <f t="shared" si="435"/>
        <v>0</v>
      </c>
      <c r="CB336" s="409">
        <f t="shared" si="435"/>
        <v>0</v>
      </c>
      <c r="CC336" s="409">
        <f t="shared" si="435"/>
        <v>0</v>
      </c>
      <c r="CD336" s="409">
        <f t="shared" si="435"/>
        <v>0</v>
      </c>
      <c r="CE336" s="409">
        <f t="shared" si="435"/>
        <v>0</v>
      </c>
      <c r="CF336" s="409">
        <f t="shared" si="435"/>
        <v>0</v>
      </c>
      <c r="CG336" s="409">
        <f t="shared" si="435"/>
        <v>0</v>
      </c>
      <c r="CH336" s="409">
        <f t="shared" si="435"/>
        <v>0</v>
      </c>
      <c r="CI336" s="409">
        <f t="shared" si="435"/>
        <v>0</v>
      </c>
      <c r="CJ336" s="409">
        <f t="shared" si="435"/>
        <v>0</v>
      </c>
      <c r="CK336" s="409">
        <f t="shared" si="436"/>
        <v>0</v>
      </c>
      <c r="CL336" s="409">
        <f t="shared" si="436"/>
        <v>0</v>
      </c>
      <c r="CM336" s="409">
        <f t="shared" si="436"/>
        <v>0</v>
      </c>
      <c r="CN336" s="409">
        <f t="shared" si="436"/>
        <v>0</v>
      </c>
      <c r="CO336" s="409">
        <f t="shared" si="436"/>
        <v>0</v>
      </c>
      <c r="CP336" s="409">
        <f t="shared" si="436"/>
        <v>0</v>
      </c>
      <c r="CQ336" s="409">
        <f t="shared" si="436"/>
        <v>0</v>
      </c>
      <c r="CR336" s="409">
        <f t="shared" si="436"/>
        <v>0</v>
      </c>
      <c r="CS336" s="409">
        <f t="shared" si="436"/>
        <v>0</v>
      </c>
      <c r="CT336" s="409">
        <f t="shared" si="436"/>
        <v>0</v>
      </c>
      <c r="CU336" s="409">
        <f t="shared" si="437"/>
        <v>0</v>
      </c>
      <c r="CV336" s="409">
        <f t="shared" si="437"/>
        <v>0</v>
      </c>
      <c r="CW336" s="409">
        <f t="shared" si="437"/>
        <v>0</v>
      </c>
      <c r="CX336" s="409">
        <f t="shared" si="437"/>
        <v>0</v>
      </c>
      <c r="CY336" s="409">
        <f t="shared" si="437"/>
        <v>0</v>
      </c>
      <c r="CZ336" s="409">
        <f t="shared" si="437"/>
        <v>0</v>
      </c>
      <c r="DA336" s="409">
        <f t="shared" si="437"/>
        <v>0</v>
      </c>
      <c r="DB336" s="409">
        <f t="shared" si="437"/>
        <v>0</v>
      </c>
      <c r="DC336" s="409">
        <f t="shared" si="437"/>
        <v>0</v>
      </c>
      <c r="DD336" s="409">
        <f t="shared" si="437"/>
        <v>0</v>
      </c>
      <c r="DE336" s="409">
        <f t="shared" si="438"/>
        <v>0</v>
      </c>
      <c r="DF336" s="409">
        <f t="shared" si="438"/>
        <v>0</v>
      </c>
      <c r="DG336" s="409">
        <f t="shared" si="438"/>
        <v>0</v>
      </c>
      <c r="DH336" s="409">
        <f t="shared" si="438"/>
        <v>0</v>
      </c>
      <c r="DI336" s="409">
        <f t="shared" si="438"/>
        <v>0</v>
      </c>
      <c r="DJ336" s="409">
        <f t="shared" si="438"/>
        <v>0</v>
      </c>
      <c r="DK336" s="409">
        <f t="shared" si="438"/>
        <v>0</v>
      </c>
      <c r="DL336" s="409">
        <f t="shared" si="438"/>
        <v>0</v>
      </c>
      <c r="DM336" s="409">
        <f t="shared" si="438"/>
        <v>0</v>
      </c>
      <c r="DN336" s="409">
        <f t="shared" si="438"/>
        <v>0</v>
      </c>
      <c r="DO336" s="409">
        <f t="shared" si="439"/>
        <v>0</v>
      </c>
      <c r="DP336" s="409">
        <f t="shared" si="439"/>
        <v>0</v>
      </c>
      <c r="DQ336" s="409">
        <f t="shared" si="439"/>
        <v>0</v>
      </c>
      <c r="DR336" s="409">
        <f t="shared" si="439"/>
        <v>0</v>
      </c>
      <c r="DS336" s="409">
        <f t="shared" si="439"/>
        <v>0</v>
      </c>
      <c r="DT336" s="409">
        <f t="shared" si="439"/>
        <v>0</v>
      </c>
      <c r="DU336" s="409">
        <f t="shared" si="439"/>
        <v>0</v>
      </c>
      <c r="DV336" s="409">
        <f t="shared" si="439"/>
        <v>0</v>
      </c>
      <c r="DW336" s="409">
        <f t="shared" si="439"/>
        <v>0</v>
      </c>
      <c r="DX336" s="409">
        <f t="shared" si="439"/>
        <v>0</v>
      </c>
      <c r="DY336" s="409">
        <f t="shared" si="440"/>
        <v>0</v>
      </c>
      <c r="DZ336" s="409">
        <f t="shared" si="440"/>
        <v>0</v>
      </c>
      <c r="EA336" s="409">
        <f t="shared" si="440"/>
        <v>0</v>
      </c>
      <c r="EB336" s="409">
        <f t="shared" si="440"/>
        <v>0</v>
      </c>
      <c r="EC336" s="409">
        <f t="shared" si="440"/>
        <v>0</v>
      </c>
      <c r="ED336" s="409">
        <f t="shared" si="440"/>
        <v>0</v>
      </c>
      <c r="EE336" s="409">
        <f t="shared" si="440"/>
        <v>0</v>
      </c>
      <c r="EF336" s="409">
        <f t="shared" si="440"/>
        <v>0</v>
      </c>
      <c r="EG336" s="409">
        <f t="shared" si="440"/>
        <v>0</v>
      </c>
      <c r="EH336" s="409">
        <f t="shared" si="440"/>
        <v>0</v>
      </c>
      <c r="EI336" s="409">
        <f t="shared" si="441"/>
        <v>0</v>
      </c>
      <c r="EJ336" s="409">
        <f t="shared" si="441"/>
        <v>0</v>
      </c>
      <c r="EK336" s="409">
        <f t="shared" si="441"/>
        <v>0</v>
      </c>
      <c r="EL336" s="409">
        <f t="shared" si="441"/>
        <v>0</v>
      </c>
      <c r="EM336" s="409">
        <f t="shared" si="441"/>
        <v>0</v>
      </c>
      <c r="EN336" s="409">
        <f t="shared" si="441"/>
        <v>0</v>
      </c>
      <c r="EO336" s="409">
        <f t="shared" si="441"/>
        <v>0</v>
      </c>
      <c r="EP336" s="409">
        <f t="shared" si="441"/>
        <v>0</v>
      </c>
      <c r="EQ336" s="409">
        <f t="shared" si="441"/>
        <v>0</v>
      </c>
      <c r="ER336" s="409">
        <f t="shared" si="441"/>
        <v>0</v>
      </c>
      <c r="ES336" s="409">
        <f t="shared" si="442"/>
        <v>0</v>
      </c>
      <c r="ET336" s="409">
        <f t="shared" si="442"/>
        <v>0</v>
      </c>
      <c r="EU336" s="409">
        <f t="shared" si="442"/>
        <v>0</v>
      </c>
      <c r="EV336" s="409">
        <f t="shared" si="442"/>
        <v>0</v>
      </c>
      <c r="EW336" s="409">
        <f t="shared" si="442"/>
        <v>0</v>
      </c>
      <c r="EX336" s="409">
        <f t="shared" si="442"/>
        <v>0</v>
      </c>
      <c r="EY336" s="409">
        <f t="shared" si="442"/>
        <v>0</v>
      </c>
      <c r="EZ336" s="409">
        <f t="shared" si="442"/>
        <v>0</v>
      </c>
      <c r="FA336" s="409">
        <f t="shared" si="442"/>
        <v>0</v>
      </c>
      <c r="FB336" s="409">
        <f t="shared" si="442"/>
        <v>0</v>
      </c>
      <c r="FC336" s="409">
        <f t="shared" si="443"/>
        <v>0</v>
      </c>
      <c r="FD336" s="409">
        <f t="shared" si="443"/>
        <v>0</v>
      </c>
      <c r="FE336" s="409">
        <f t="shared" si="443"/>
        <v>0</v>
      </c>
      <c r="FF336" s="409">
        <f t="shared" si="443"/>
        <v>0</v>
      </c>
      <c r="FG336" s="409">
        <f t="shared" si="443"/>
        <v>0</v>
      </c>
      <c r="FH336" s="409">
        <f t="shared" si="443"/>
        <v>0</v>
      </c>
      <c r="FI336" s="409">
        <f t="shared" si="443"/>
        <v>0</v>
      </c>
      <c r="FJ336" s="409">
        <f t="shared" si="443"/>
        <v>0</v>
      </c>
      <c r="FK336" s="409">
        <f t="shared" si="443"/>
        <v>0</v>
      </c>
      <c r="FL336" s="409">
        <f t="shared" si="443"/>
        <v>0</v>
      </c>
      <c r="FM336" s="409">
        <f t="shared" si="444"/>
        <v>0</v>
      </c>
      <c r="FN336" s="409">
        <f t="shared" si="444"/>
        <v>0</v>
      </c>
      <c r="FO336" s="409">
        <f t="shared" si="444"/>
        <v>0</v>
      </c>
      <c r="FP336" s="409">
        <f t="shared" si="444"/>
        <v>0</v>
      </c>
      <c r="FQ336" s="409">
        <f t="shared" si="444"/>
        <v>0</v>
      </c>
      <c r="FR336" s="409">
        <f t="shared" si="444"/>
        <v>0</v>
      </c>
      <c r="FS336" s="409">
        <f t="shared" si="444"/>
        <v>0</v>
      </c>
      <c r="FT336" s="409">
        <f t="shared" si="444"/>
        <v>0</v>
      </c>
      <c r="FU336" s="409">
        <f t="shared" si="444"/>
        <v>0</v>
      </c>
      <c r="FV336" s="409">
        <f t="shared" si="444"/>
        <v>0</v>
      </c>
      <c r="FW336" s="409">
        <f t="shared" si="445"/>
        <v>0</v>
      </c>
      <c r="FX336" s="409">
        <f t="shared" si="445"/>
        <v>0</v>
      </c>
      <c r="FY336" s="409">
        <f t="shared" si="445"/>
        <v>0</v>
      </c>
      <c r="FZ336" s="409">
        <f t="shared" si="445"/>
        <v>0</v>
      </c>
      <c r="GA336" s="409">
        <f t="shared" si="445"/>
        <v>0</v>
      </c>
      <c r="GB336" s="409">
        <f t="shared" si="445"/>
        <v>0</v>
      </c>
      <c r="GC336" s="409">
        <f t="shared" si="445"/>
        <v>0</v>
      </c>
      <c r="GD336" s="409">
        <f t="shared" si="445"/>
        <v>0</v>
      </c>
      <c r="GE336" s="409">
        <f t="shared" si="445"/>
        <v>0</v>
      </c>
      <c r="GF336" s="409">
        <f t="shared" si="445"/>
        <v>0</v>
      </c>
      <c r="GG336" s="409">
        <f t="shared" si="446"/>
        <v>0</v>
      </c>
      <c r="GH336" s="409">
        <f t="shared" si="446"/>
        <v>0</v>
      </c>
      <c r="GI336" s="409">
        <f t="shared" si="446"/>
        <v>0</v>
      </c>
      <c r="GJ336" s="409">
        <f t="shared" si="446"/>
        <v>0</v>
      </c>
      <c r="GK336" s="409">
        <f t="shared" si="446"/>
        <v>0</v>
      </c>
      <c r="GL336" s="409">
        <f t="shared" si="446"/>
        <v>0</v>
      </c>
      <c r="GM336" s="409">
        <f t="shared" si="446"/>
        <v>0</v>
      </c>
      <c r="GN336" s="409">
        <f t="shared" si="446"/>
        <v>0</v>
      </c>
      <c r="GO336" s="409">
        <f t="shared" si="446"/>
        <v>0</v>
      </c>
      <c r="GP336" s="409">
        <f t="shared" si="446"/>
        <v>0</v>
      </c>
      <c r="GQ336" s="409">
        <f t="shared" si="447"/>
        <v>0</v>
      </c>
      <c r="GR336" s="409">
        <f t="shared" si="447"/>
        <v>0</v>
      </c>
      <c r="GS336" s="409">
        <f t="shared" si="447"/>
        <v>0</v>
      </c>
      <c r="GT336" s="409">
        <f t="shared" si="447"/>
        <v>0</v>
      </c>
      <c r="GU336" s="409">
        <f t="shared" si="447"/>
        <v>0</v>
      </c>
      <c r="GV336" s="409">
        <f t="shared" si="447"/>
        <v>0</v>
      </c>
      <c r="GW336" s="409">
        <f t="shared" si="447"/>
        <v>0</v>
      </c>
      <c r="GX336" s="409">
        <f t="shared" si="447"/>
        <v>0</v>
      </c>
      <c r="GY336" s="409">
        <f t="shared" si="447"/>
        <v>0</v>
      </c>
      <c r="GZ336" s="409">
        <f t="shared" si="447"/>
        <v>0</v>
      </c>
      <c r="HA336" s="409">
        <f t="shared" si="448"/>
        <v>0</v>
      </c>
      <c r="HB336" s="409">
        <f t="shared" si="448"/>
        <v>0</v>
      </c>
      <c r="HC336" s="409">
        <f t="shared" si="448"/>
        <v>0</v>
      </c>
      <c r="HD336" s="409">
        <f t="shared" si="448"/>
        <v>0</v>
      </c>
      <c r="HE336" s="409">
        <f t="shared" si="448"/>
        <v>0</v>
      </c>
      <c r="HF336" s="409">
        <f t="shared" si="448"/>
        <v>0</v>
      </c>
      <c r="HG336" s="409">
        <f t="shared" si="448"/>
        <v>0</v>
      </c>
      <c r="HH336" s="409">
        <f t="shared" si="448"/>
        <v>0</v>
      </c>
      <c r="HI336" s="409">
        <f t="shared" si="448"/>
        <v>0</v>
      </c>
      <c r="HJ336" s="409">
        <f t="shared" si="448"/>
        <v>0</v>
      </c>
      <c r="HK336" s="409">
        <f t="shared" si="449"/>
        <v>0</v>
      </c>
      <c r="HL336" s="409">
        <f t="shared" si="449"/>
        <v>0</v>
      </c>
      <c r="HM336" s="409">
        <f t="shared" si="449"/>
        <v>0</v>
      </c>
      <c r="HN336" s="409">
        <f t="shared" si="449"/>
        <v>0</v>
      </c>
      <c r="HO336" s="409">
        <f t="shared" si="449"/>
        <v>0</v>
      </c>
      <c r="HP336" s="409">
        <f t="shared" si="449"/>
        <v>0</v>
      </c>
      <c r="HQ336" s="409">
        <f t="shared" si="449"/>
        <v>0</v>
      </c>
      <c r="HR336" s="409">
        <f t="shared" si="449"/>
        <v>0</v>
      </c>
      <c r="HS336" s="409">
        <f t="shared" si="449"/>
        <v>0</v>
      </c>
      <c r="HT336" s="409">
        <f t="shared" si="449"/>
        <v>0</v>
      </c>
      <c r="HU336" s="409">
        <f t="shared" si="450"/>
        <v>0</v>
      </c>
      <c r="HV336" s="409">
        <f t="shared" si="450"/>
        <v>0</v>
      </c>
      <c r="HW336" s="409">
        <f t="shared" si="450"/>
        <v>0</v>
      </c>
      <c r="HX336" s="409">
        <f t="shared" si="450"/>
        <v>0</v>
      </c>
      <c r="HY336" s="409">
        <f t="shared" si="450"/>
        <v>0</v>
      </c>
      <c r="HZ336" s="409">
        <f t="shared" si="450"/>
        <v>0</v>
      </c>
      <c r="IA336" s="409">
        <f t="shared" si="450"/>
        <v>0</v>
      </c>
      <c r="IB336" s="409">
        <f t="shared" si="450"/>
        <v>0</v>
      </c>
      <c r="IC336" s="409">
        <f t="shared" si="450"/>
        <v>0</v>
      </c>
      <c r="ID336" s="409">
        <f t="shared" si="450"/>
        <v>0</v>
      </c>
      <c r="IE336" s="409">
        <f t="shared" si="451"/>
        <v>0</v>
      </c>
      <c r="IF336" s="409">
        <f t="shared" si="451"/>
        <v>0</v>
      </c>
      <c r="IG336" s="409">
        <f t="shared" si="451"/>
        <v>0</v>
      </c>
      <c r="IH336" s="409">
        <f t="shared" si="451"/>
        <v>0</v>
      </c>
      <c r="II336" s="409">
        <f t="shared" si="451"/>
        <v>0</v>
      </c>
      <c r="IJ336" s="409">
        <f t="shared" si="451"/>
        <v>0</v>
      </c>
      <c r="IK336" s="378"/>
    </row>
    <row r="337" spans="1:249" ht="13.5" hidden="1" thickBot="1" x14ac:dyDescent="0.25">
      <c r="A337" s="380" t="str">
        <f t="shared" si="357"/>
        <v>e</v>
      </c>
      <c r="B337" s="712" t="str">
        <f>IF(ISERROR(INDEX('Legend(DX)'!$H$14:$H$15,50)),"",INDEX('Legend(DX)'!$H$14:$H$15,50))</f>
        <v/>
      </c>
      <c r="C337" s="712" t="e">
        <f>IF(INDEX('Legend(DX)'!$T$14:$T$15,50)=0,"See Legend",INDEX('Legend(DX)'!$T$14:$T$15,50))</f>
        <v>#REF!</v>
      </c>
      <c r="D337" s="712" t="e">
        <f>IF(INDEX('Legend(DX)'!$R$14:$R$15,50)=0,"---",INDEX('Legend(DX)'!$R$14:$R$15,50))</f>
        <v>#REF!</v>
      </c>
      <c r="E337" s="713" t="str">
        <f>IF(ISERROR(INDEX('Legend(DX)'!$AA$14:$AA$15,50)),"",INDEX('Legend(DX)'!$AA$14:$AA$15,50))</f>
        <v/>
      </c>
      <c r="F337" s="716"/>
      <c r="G337" s="716"/>
      <c r="H337" s="716"/>
      <c r="I337" s="716"/>
      <c r="J337" s="716"/>
      <c r="K337" s="890">
        <f t="shared" si="358"/>
        <v>0</v>
      </c>
      <c r="L337" s="721"/>
      <c r="M337" s="722"/>
      <c r="N337" s="972">
        <f t="shared" si="425"/>
        <v>-1</v>
      </c>
      <c r="O337" s="972">
        <f t="shared" si="359"/>
        <v>-1</v>
      </c>
      <c r="P337" s="972">
        <f t="shared" si="426"/>
        <v>-1</v>
      </c>
      <c r="Q337" s="972">
        <f t="shared" si="360"/>
        <v>-1</v>
      </c>
      <c r="R337" s="972">
        <f t="shared" si="427"/>
        <v>-1</v>
      </c>
      <c r="S337" s="972">
        <f t="shared" si="361"/>
        <v>-1</v>
      </c>
      <c r="T337" s="972">
        <f t="shared" si="428"/>
        <v>-1</v>
      </c>
      <c r="U337" s="972">
        <f t="shared" si="362"/>
        <v>-1</v>
      </c>
      <c r="V337" s="972">
        <f t="shared" si="429"/>
        <v>-1</v>
      </c>
      <c r="W337" s="972">
        <f t="shared" si="363"/>
        <v>-1</v>
      </c>
      <c r="X337" s="972">
        <f t="shared" si="430"/>
        <v>-1</v>
      </c>
      <c r="Y337" s="972">
        <f t="shared" si="364"/>
        <v>-1</v>
      </c>
      <c r="Z337" s="972">
        <f t="shared" si="365"/>
        <v>-1</v>
      </c>
      <c r="AA337" s="972">
        <f t="shared" si="366"/>
        <v>-1</v>
      </c>
      <c r="AB337" s="972">
        <f t="shared" si="367"/>
        <v>-1</v>
      </c>
      <c r="AC337" s="972">
        <f t="shared" si="368"/>
        <v>-1</v>
      </c>
      <c r="AD337" s="972">
        <f t="shared" si="369"/>
        <v>-1</v>
      </c>
      <c r="AE337" s="972">
        <f t="shared" si="370"/>
        <v>-1</v>
      </c>
      <c r="AF337" s="972">
        <f t="shared" si="371"/>
        <v>-1</v>
      </c>
      <c r="AG337" s="972">
        <f t="shared" si="372"/>
        <v>-1</v>
      </c>
      <c r="AH337" s="972">
        <f t="shared" si="373"/>
        <v>-1</v>
      </c>
      <c r="AI337" s="972">
        <f t="shared" si="374"/>
        <v>-1</v>
      </c>
      <c r="AJ337" s="972">
        <f t="shared" si="375"/>
        <v>-1</v>
      </c>
      <c r="AK337" s="381"/>
      <c r="AL337" s="728" t="str">
        <f t="shared" si="376"/>
        <v/>
      </c>
      <c r="AM337" s="409">
        <f t="shared" si="431"/>
        <v>0</v>
      </c>
      <c r="AN337" s="409">
        <f t="shared" si="431"/>
        <v>0</v>
      </c>
      <c r="AO337" s="409">
        <f t="shared" si="431"/>
        <v>0</v>
      </c>
      <c r="AP337" s="409">
        <f t="shared" si="431"/>
        <v>0</v>
      </c>
      <c r="AQ337" s="409">
        <f t="shared" si="431"/>
        <v>0</v>
      </c>
      <c r="AR337" s="409">
        <f t="shared" si="431"/>
        <v>0</v>
      </c>
      <c r="AS337" s="409">
        <f t="shared" si="431"/>
        <v>0</v>
      </c>
      <c r="AT337" s="409">
        <f t="shared" si="431"/>
        <v>0</v>
      </c>
      <c r="AU337" s="409">
        <f t="shared" si="431"/>
        <v>0</v>
      </c>
      <c r="AV337" s="409">
        <f t="shared" si="431"/>
        <v>0</v>
      </c>
      <c r="AW337" s="409">
        <f t="shared" si="432"/>
        <v>0</v>
      </c>
      <c r="AX337" s="409">
        <f t="shared" si="432"/>
        <v>0</v>
      </c>
      <c r="AY337" s="409">
        <f t="shared" si="432"/>
        <v>0</v>
      </c>
      <c r="AZ337" s="409">
        <f t="shared" si="432"/>
        <v>0</v>
      </c>
      <c r="BA337" s="409">
        <f t="shared" si="432"/>
        <v>0</v>
      </c>
      <c r="BB337" s="409">
        <f t="shared" si="432"/>
        <v>0</v>
      </c>
      <c r="BC337" s="409">
        <f t="shared" si="432"/>
        <v>0</v>
      </c>
      <c r="BD337" s="409">
        <f t="shared" si="432"/>
        <v>0</v>
      </c>
      <c r="BE337" s="409">
        <f t="shared" si="432"/>
        <v>0</v>
      </c>
      <c r="BF337" s="409">
        <f t="shared" si="432"/>
        <v>0</v>
      </c>
      <c r="BG337" s="409">
        <f t="shared" si="433"/>
        <v>0</v>
      </c>
      <c r="BH337" s="409">
        <f t="shared" si="433"/>
        <v>0</v>
      </c>
      <c r="BI337" s="409">
        <f t="shared" si="433"/>
        <v>0</v>
      </c>
      <c r="BJ337" s="409">
        <f t="shared" si="433"/>
        <v>0</v>
      </c>
      <c r="BK337" s="409">
        <f t="shared" si="433"/>
        <v>0</v>
      </c>
      <c r="BL337" s="409">
        <f t="shared" si="433"/>
        <v>0</v>
      </c>
      <c r="BM337" s="409">
        <f t="shared" si="433"/>
        <v>0</v>
      </c>
      <c r="BN337" s="409">
        <f t="shared" si="433"/>
        <v>0</v>
      </c>
      <c r="BO337" s="409">
        <f t="shared" si="433"/>
        <v>0</v>
      </c>
      <c r="BP337" s="409">
        <f t="shared" si="433"/>
        <v>0</v>
      </c>
      <c r="BQ337" s="409">
        <f t="shared" si="434"/>
        <v>0</v>
      </c>
      <c r="BR337" s="409">
        <f t="shared" si="434"/>
        <v>0</v>
      </c>
      <c r="BS337" s="409">
        <f t="shared" si="434"/>
        <v>0</v>
      </c>
      <c r="BT337" s="409">
        <f t="shared" si="434"/>
        <v>0</v>
      </c>
      <c r="BU337" s="409">
        <f t="shared" si="434"/>
        <v>0</v>
      </c>
      <c r="BV337" s="409">
        <f t="shared" si="434"/>
        <v>0</v>
      </c>
      <c r="BW337" s="409">
        <f t="shared" si="434"/>
        <v>0</v>
      </c>
      <c r="BX337" s="409">
        <f t="shared" si="434"/>
        <v>0</v>
      </c>
      <c r="BY337" s="409">
        <f t="shared" si="434"/>
        <v>0</v>
      </c>
      <c r="BZ337" s="409">
        <f t="shared" si="434"/>
        <v>0</v>
      </c>
      <c r="CA337" s="409">
        <f t="shared" si="435"/>
        <v>0</v>
      </c>
      <c r="CB337" s="409">
        <f t="shared" si="435"/>
        <v>0</v>
      </c>
      <c r="CC337" s="409">
        <f t="shared" si="435"/>
        <v>0</v>
      </c>
      <c r="CD337" s="409">
        <f t="shared" si="435"/>
        <v>0</v>
      </c>
      <c r="CE337" s="409">
        <f t="shared" si="435"/>
        <v>0</v>
      </c>
      <c r="CF337" s="409">
        <f t="shared" si="435"/>
        <v>0</v>
      </c>
      <c r="CG337" s="409">
        <f t="shared" si="435"/>
        <v>0</v>
      </c>
      <c r="CH337" s="409">
        <f t="shared" si="435"/>
        <v>0</v>
      </c>
      <c r="CI337" s="409">
        <f t="shared" si="435"/>
        <v>0</v>
      </c>
      <c r="CJ337" s="409">
        <f t="shared" si="435"/>
        <v>0</v>
      </c>
      <c r="CK337" s="409">
        <f t="shared" si="436"/>
        <v>0</v>
      </c>
      <c r="CL337" s="409">
        <f t="shared" si="436"/>
        <v>0</v>
      </c>
      <c r="CM337" s="409">
        <f t="shared" si="436"/>
        <v>0</v>
      </c>
      <c r="CN337" s="409">
        <f t="shared" si="436"/>
        <v>0</v>
      </c>
      <c r="CO337" s="409">
        <f t="shared" si="436"/>
        <v>0</v>
      </c>
      <c r="CP337" s="409">
        <f t="shared" si="436"/>
        <v>0</v>
      </c>
      <c r="CQ337" s="409">
        <f t="shared" si="436"/>
        <v>0</v>
      </c>
      <c r="CR337" s="409">
        <f t="shared" si="436"/>
        <v>0</v>
      </c>
      <c r="CS337" s="409">
        <f t="shared" si="436"/>
        <v>0</v>
      </c>
      <c r="CT337" s="409">
        <f t="shared" si="436"/>
        <v>0</v>
      </c>
      <c r="CU337" s="409">
        <f t="shared" si="437"/>
        <v>0</v>
      </c>
      <c r="CV337" s="409">
        <f t="shared" si="437"/>
        <v>0</v>
      </c>
      <c r="CW337" s="409">
        <f t="shared" si="437"/>
        <v>0</v>
      </c>
      <c r="CX337" s="409">
        <f t="shared" si="437"/>
        <v>0</v>
      </c>
      <c r="CY337" s="409">
        <f t="shared" si="437"/>
        <v>0</v>
      </c>
      <c r="CZ337" s="409">
        <f t="shared" si="437"/>
        <v>0</v>
      </c>
      <c r="DA337" s="409">
        <f t="shared" si="437"/>
        <v>0</v>
      </c>
      <c r="DB337" s="409">
        <f t="shared" si="437"/>
        <v>0</v>
      </c>
      <c r="DC337" s="409">
        <f t="shared" si="437"/>
        <v>0</v>
      </c>
      <c r="DD337" s="409">
        <f t="shared" si="437"/>
        <v>0</v>
      </c>
      <c r="DE337" s="409">
        <f t="shared" si="438"/>
        <v>0</v>
      </c>
      <c r="DF337" s="409">
        <f t="shared" si="438"/>
        <v>0</v>
      </c>
      <c r="DG337" s="409">
        <f t="shared" si="438"/>
        <v>0</v>
      </c>
      <c r="DH337" s="409">
        <f t="shared" si="438"/>
        <v>0</v>
      </c>
      <c r="DI337" s="409">
        <f t="shared" si="438"/>
        <v>0</v>
      </c>
      <c r="DJ337" s="409">
        <f t="shared" si="438"/>
        <v>0</v>
      </c>
      <c r="DK337" s="409">
        <f t="shared" si="438"/>
        <v>0</v>
      </c>
      <c r="DL337" s="409">
        <f t="shared" si="438"/>
        <v>0</v>
      </c>
      <c r="DM337" s="409">
        <f t="shared" si="438"/>
        <v>0</v>
      </c>
      <c r="DN337" s="409">
        <f t="shared" si="438"/>
        <v>0</v>
      </c>
      <c r="DO337" s="409">
        <f t="shared" si="439"/>
        <v>0</v>
      </c>
      <c r="DP337" s="409">
        <f t="shared" si="439"/>
        <v>0</v>
      </c>
      <c r="DQ337" s="409">
        <f t="shared" si="439"/>
        <v>0</v>
      </c>
      <c r="DR337" s="409">
        <f t="shared" si="439"/>
        <v>0</v>
      </c>
      <c r="DS337" s="409">
        <f t="shared" si="439"/>
        <v>0</v>
      </c>
      <c r="DT337" s="409">
        <f t="shared" si="439"/>
        <v>0</v>
      </c>
      <c r="DU337" s="409">
        <f t="shared" si="439"/>
        <v>0</v>
      </c>
      <c r="DV337" s="409">
        <f t="shared" si="439"/>
        <v>0</v>
      </c>
      <c r="DW337" s="409">
        <f t="shared" si="439"/>
        <v>0</v>
      </c>
      <c r="DX337" s="409">
        <f t="shared" si="439"/>
        <v>0</v>
      </c>
      <c r="DY337" s="409">
        <f t="shared" si="440"/>
        <v>0</v>
      </c>
      <c r="DZ337" s="409">
        <f t="shared" si="440"/>
        <v>0</v>
      </c>
      <c r="EA337" s="409">
        <f t="shared" si="440"/>
        <v>0</v>
      </c>
      <c r="EB337" s="409">
        <f t="shared" si="440"/>
        <v>0</v>
      </c>
      <c r="EC337" s="409">
        <f t="shared" si="440"/>
        <v>0</v>
      </c>
      <c r="ED337" s="409">
        <f t="shared" si="440"/>
        <v>0</v>
      </c>
      <c r="EE337" s="409">
        <f t="shared" si="440"/>
        <v>0</v>
      </c>
      <c r="EF337" s="409">
        <f t="shared" si="440"/>
        <v>0</v>
      </c>
      <c r="EG337" s="409">
        <f t="shared" si="440"/>
        <v>0</v>
      </c>
      <c r="EH337" s="409">
        <f t="shared" si="440"/>
        <v>0</v>
      </c>
      <c r="EI337" s="409">
        <f t="shared" si="441"/>
        <v>0</v>
      </c>
      <c r="EJ337" s="409">
        <f t="shared" si="441"/>
        <v>0</v>
      </c>
      <c r="EK337" s="409">
        <f t="shared" si="441"/>
        <v>0</v>
      </c>
      <c r="EL337" s="409">
        <f t="shared" si="441"/>
        <v>0</v>
      </c>
      <c r="EM337" s="409">
        <f t="shared" si="441"/>
        <v>0</v>
      </c>
      <c r="EN337" s="409">
        <f t="shared" si="441"/>
        <v>0</v>
      </c>
      <c r="EO337" s="409">
        <f t="shared" si="441"/>
        <v>0</v>
      </c>
      <c r="EP337" s="409">
        <f t="shared" si="441"/>
        <v>0</v>
      </c>
      <c r="EQ337" s="409">
        <f t="shared" si="441"/>
        <v>0</v>
      </c>
      <c r="ER337" s="409">
        <f t="shared" si="441"/>
        <v>0</v>
      </c>
      <c r="ES337" s="409">
        <f t="shared" si="442"/>
        <v>0</v>
      </c>
      <c r="ET337" s="409">
        <f t="shared" si="442"/>
        <v>0</v>
      </c>
      <c r="EU337" s="409">
        <f t="shared" si="442"/>
        <v>0</v>
      </c>
      <c r="EV337" s="409">
        <f t="shared" si="442"/>
        <v>0</v>
      </c>
      <c r="EW337" s="409">
        <f t="shared" si="442"/>
        <v>0</v>
      </c>
      <c r="EX337" s="409">
        <f t="shared" si="442"/>
        <v>0</v>
      </c>
      <c r="EY337" s="409">
        <f t="shared" si="442"/>
        <v>0</v>
      </c>
      <c r="EZ337" s="409">
        <f t="shared" si="442"/>
        <v>0</v>
      </c>
      <c r="FA337" s="409">
        <f t="shared" si="442"/>
        <v>0</v>
      </c>
      <c r="FB337" s="409">
        <f t="shared" si="442"/>
        <v>0</v>
      </c>
      <c r="FC337" s="409">
        <f t="shared" si="443"/>
        <v>0</v>
      </c>
      <c r="FD337" s="409">
        <f t="shared" si="443"/>
        <v>0</v>
      </c>
      <c r="FE337" s="409">
        <f t="shared" si="443"/>
        <v>0</v>
      </c>
      <c r="FF337" s="409">
        <f t="shared" si="443"/>
        <v>0</v>
      </c>
      <c r="FG337" s="409">
        <f t="shared" si="443"/>
        <v>0</v>
      </c>
      <c r="FH337" s="409">
        <f t="shared" si="443"/>
        <v>0</v>
      </c>
      <c r="FI337" s="409">
        <f t="shared" si="443"/>
        <v>0</v>
      </c>
      <c r="FJ337" s="409">
        <f t="shared" si="443"/>
        <v>0</v>
      </c>
      <c r="FK337" s="409">
        <f t="shared" si="443"/>
        <v>0</v>
      </c>
      <c r="FL337" s="409">
        <f t="shared" si="443"/>
        <v>0</v>
      </c>
      <c r="FM337" s="409">
        <f t="shared" si="444"/>
        <v>0</v>
      </c>
      <c r="FN337" s="409">
        <f t="shared" si="444"/>
        <v>0</v>
      </c>
      <c r="FO337" s="409">
        <f t="shared" si="444"/>
        <v>0</v>
      </c>
      <c r="FP337" s="409">
        <f t="shared" si="444"/>
        <v>0</v>
      </c>
      <c r="FQ337" s="409">
        <f t="shared" si="444"/>
        <v>0</v>
      </c>
      <c r="FR337" s="409">
        <f t="shared" si="444"/>
        <v>0</v>
      </c>
      <c r="FS337" s="409">
        <f t="shared" si="444"/>
        <v>0</v>
      </c>
      <c r="FT337" s="409">
        <f t="shared" si="444"/>
        <v>0</v>
      </c>
      <c r="FU337" s="409">
        <f t="shared" si="444"/>
        <v>0</v>
      </c>
      <c r="FV337" s="409">
        <f t="shared" si="444"/>
        <v>0</v>
      </c>
      <c r="FW337" s="409">
        <f t="shared" si="445"/>
        <v>0</v>
      </c>
      <c r="FX337" s="409">
        <f t="shared" si="445"/>
        <v>0</v>
      </c>
      <c r="FY337" s="409">
        <f t="shared" si="445"/>
        <v>0</v>
      </c>
      <c r="FZ337" s="409">
        <f t="shared" si="445"/>
        <v>0</v>
      </c>
      <c r="GA337" s="409">
        <f t="shared" si="445"/>
        <v>0</v>
      </c>
      <c r="GB337" s="409">
        <f t="shared" si="445"/>
        <v>0</v>
      </c>
      <c r="GC337" s="409">
        <f t="shared" si="445"/>
        <v>0</v>
      </c>
      <c r="GD337" s="409">
        <f t="shared" si="445"/>
        <v>0</v>
      </c>
      <c r="GE337" s="409">
        <f t="shared" si="445"/>
        <v>0</v>
      </c>
      <c r="GF337" s="409">
        <f t="shared" si="445"/>
        <v>0</v>
      </c>
      <c r="GG337" s="409">
        <f t="shared" si="446"/>
        <v>0</v>
      </c>
      <c r="GH337" s="409">
        <f t="shared" si="446"/>
        <v>0</v>
      </c>
      <c r="GI337" s="409">
        <f t="shared" si="446"/>
        <v>0</v>
      </c>
      <c r="GJ337" s="409">
        <f t="shared" si="446"/>
        <v>0</v>
      </c>
      <c r="GK337" s="409">
        <f t="shared" si="446"/>
        <v>0</v>
      </c>
      <c r="GL337" s="409">
        <f t="shared" si="446"/>
        <v>0</v>
      </c>
      <c r="GM337" s="409">
        <f t="shared" si="446"/>
        <v>0</v>
      </c>
      <c r="GN337" s="409">
        <f t="shared" si="446"/>
        <v>0</v>
      </c>
      <c r="GO337" s="409">
        <f t="shared" si="446"/>
        <v>0</v>
      </c>
      <c r="GP337" s="409">
        <f t="shared" si="446"/>
        <v>0</v>
      </c>
      <c r="GQ337" s="409">
        <f t="shared" si="447"/>
        <v>0</v>
      </c>
      <c r="GR337" s="409">
        <f t="shared" si="447"/>
        <v>0</v>
      </c>
      <c r="GS337" s="409">
        <f t="shared" si="447"/>
        <v>0</v>
      </c>
      <c r="GT337" s="409">
        <f t="shared" si="447"/>
        <v>0</v>
      </c>
      <c r="GU337" s="409">
        <f t="shared" si="447"/>
        <v>0</v>
      </c>
      <c r="GV337" s="409">
        <f t="shared" si="447"/>
        <v>0</v>
      </c>
      <c r="GW337" s="409">
        <f t="shared" si="447"/>
        <v>0</v>
      </c>
      <c r="GX337" s="409">
        <f t="shared" si="447"/>
        <v>0</v>
      </c>
      <c r="GY337" s="409">
        <f t="shared" si="447"/>
        <v>0</v>
      </c>
      <c r="GZ337" s="409">
        <f t="shared" si="447"/>
        <v>0</v>
      </c>
      <c r="HA337" s="409">
        <f t="shared" si="448"/>
        <v>0</v>
      </c>
      <c r="HB337" s="409">
        <f t="shared" si="448"/>
        <v>0</v>
      </c>
      <c r="HC337" s="409">
        <f t="shared" si="448"/>
        <v>0</v>
      </c>
      <c r="HD337" s="409">
        <f t="shared" si="448"/>
        <v>0</v>
      </c>
      <c r="HE337" s="409">
        <f t="shared" si="448"/>
        <v>0</v>
      </c>
      <c r="HF337" s="409">
        <f t="shared" si="448"/>
        <v>0</v>
      </c>
      <c r="HG337" s="409">
        <f t="shared" si="448"/>
        <v>0</v>
      </c>
      <c r="HH337" s="409">
        <f t="shared" si="448"/>
        <v>0</v>
      </c>
      <c r="HI337" s="409">
        <f t="shared" si="448"/>
        <v>0</v>
      </c>
      <c r="HJ337" s="409">
        <f t="shared" si="448"/>
        <v>0</v>
      </c>
      <c r="HK337" s="409">
        <f t="shared" si="449"/>
        <v>0</v>
      </c>
      <c r="HL337" s="409">
        <f t="shared" si="449"/>
        <v>0</v>
      </c>
      <c r="HM337" s="409">
        <f t="shared" si="449"/>
        <v>0</v>
      </c>
      <c r="HN337" s="409">
        <f t="shared" si="449"/>
        <v>0</v>
      </c>
      <c r="HO337" s="409">
        <f t="shared" si="449"/>
        <v>0</v>
      </c>
      <c r="HP337" s="409">
        <f t="shared" si="449"/>
        <v>0</v>
      </c>
      <c r="HQ337" s="409">
        <f t="shared" si="449"/>
        <v>0</v>
      </c>
      <c r="HR337" s="409">
        <f t="shared" si="449"/>
        <v>0</v>
      </c>
      <c r="HS337" s="409">
        <f t="shared" si="449"/>
        <v>0</v>
      </c>
      <c r="HT337" s="409">
        <f t="shared" si="449"/>
        <v>0</v>
      </c>
      <c r="HU337" s="409">
        <f t="shared" si="450"/>
        <v>0</v>
      </c>
      <c r="HV337" s="409">
        <f t="shared" si="450"/>
        <v>0</v>
      </c>
      <c r="HW337" s="409">
        <f t="shared" si="450"/>
        <v>0</v>
      </c>
      <c r="HX337" s="409">
        <f t="shared" si="450"/>
        <v>0</v>
      </c>
      <c r="HY337" s="409">
        <f t="shared" si="450"/>
        <v>0</v>
      </c>
      <c r="HZ337" s="409">
        <f t="shared" si="450"/>
        <v>0</v>
      </c>
      <c r="IA337" s="409">
        <f t="shared" si="450"/>
        <v>0</v>
      </c>
      <c r="IB337" s="409">
        <f t="shared" si="450"/>
        <v>0</v>
      </c>
      <c r="IC337" s="409">
        <f t="shared" si="450"/>
        <v>0</v>
      </c>
      <c r="ID337" s="409">
        <f t="shared" si="450"/>
        <v>0</v>
      </c>
      <c r="IE337" s="409">
        <f t="shared" si="451"/>
        <v>0</v>
      </c>
      <c r="IF337" s="409">
        <f t="shared" si="451"/>
        <v>0</v>
      </c>
      <c r="IG337" s="409">
        <f t="shared" si="451"/>
        <v>0</v>
      </c>
      <c r="IH337" s="409">
        <f t="shared" si="451"/>
        <v>0</v>
      </c>
      <c r="II337" s="409">
        <f t="shared" si="451"/>
        <v>0</v>
      </c>
      <c r="IJ337" s="409">
        <f t="shared" si="451"/>
        <v>0</v>
      </c>
      <c r="IK337" s="378"/>
    </row>
    <row r="338" spans="1:249" x14ac:dyDescent="0.2">
      <c r="B338" s="383"/>
      <c r="C338" s="383"/>
      <c r="D338" s="383"/>
      <c r="E338" s="402"/>
      <c r="F338" s="382"/>
      <c r="G338" s="382"/>
      <c r="H338" s="382"/>
      <c r="I338" s="382"/>
      <c r="J338" s="382"/>
      <c r="K338" s="382"/>
      <c r="L338" s="384"/>
      <c r="M338" s="382"/>
      <c r="N338" s="382"/>
      <c r="O338" s="382"/>
      <c r="P338" s="382"/>
      <c r="Q338" s="382"/>
      <c r="R338" s="382"/>
      <c r="S338" s="382"/>
      <c r="T338" s="382"/>
      <c r="U338" s="382"/>
      <c r="V338" s="382"/>
      <c r="W338" s="382"/>
      <c r="X338" s="382"/>
      <c r="AL338" s="729" t="s">
        <v>733</v>
      </c>
      <c r="AM338" s="385">
        <f>IF(ISNA(AM$287),"",IF($E339=0,0,AM339/$E339))</f>
        <v>0</v>
      </c>
      <c r="AN338" s="385">
        <f t="shared" ref="AN338:CY338" si="452">IF(ISNA(AN$287),"",IF($E339=0,0,AN339/$E339))</f>
        <v>0</v>
      </c>
      <c r="AO338" s="385">
        <f t="shared" si="452"/>
        <v>0</v>
      </c>
      <c r="AP338" s="385">
        <f t="shared" si="452"/>
        <v>0</v>
      </c>
      <c r="AQ338" s="385">
        <f t="shared" si="452"/>
        <v>0</v>
      </c>
      <c r="AR338" s="385">
        <f t="shared" si="452"/>
        <v>0</v>
      </c>
      <c r="AS338" s="385">
        <f t="shared" si="452"/>
        <v>0</v>
      </c>
      <c r="AT338" s="385">
        <f t="shared" si="452"/>
        <v>0</v>
      </c>
      <c r="AU338" s="385">
        <f t="shared" si="452"/>
        <v>0</v>
      </c>
      <c r="AV338" s="385">
        <f t="shared" si="452"/>
        <v>0</v>
      </c>
      <c r="AW338" s="385">
        <f t="shared" si="452"/>
        <v>0</v>
      </c>
      <c r="AX338" s="385">
        <f t="shared" si="452"/>
        <v>0</v>
      </c>
      <c r="AY338" s="385">
        <f t="shared" si="452"/>
        <v>0</v>
      </c>
      <c r="AZ338" s="385">
        <f t="shared" si="452"/>
        <v>0</v>
      </c>
      <c r="BA338" s="385">
        <f t="shared" si="452"/>
        <v>0</v>
      </c>
      <c r="BB338" s="385">
        <f t="shared" si="452"/>
        <v>0</v>
      </c>
      <c r="BC338" s="385">
        <f t="shared" si="452"/>
        <v>0</v>
      </c>
      <c r="BD338" s="385">
        <f t="shared" si="452"/>
        <v>0</v>
      </c>
      <c r="BE338" s="385">
        <f t="shared" si="452"/>
        <v>0</v>
      </c>
      <c r="BF338" s="385">
        <f t="shared" si="452"/>
        <v>0</v>
      </c>
      <c r="BG338" s="385">
        <f t="shared" si="452"/>
        <v>0</v>
      </c>
      <c r="BH338" s="385">
        <f t="shared" si="452"/>
        <v>0</v>
      </c>
      <c r="BI338" s="385">
        <f t="shared" si="452"/>
        <v>0</v>
      </c>
      <c r="BJ338" s="385">
        <f t="shared" si="452"/>
        <v>0</v>
      </c>
      <c r="BK338" s="385">
        <f t="shared" si="452"/>
        <v>0</v>
      </c>
      <c r="BL338" s="385">
        <f t="shared" si="452"/>
        <v>0</v>
      </c>
      <c r="BM338" s="385">
        <f t="shared" si="452"/>
        <v>0</v>
      </c>
      <c r="BN338" s="385">
        <f t="shared" si="452"/>
        <v>0</v>
      </c>
      <c r="BO338" s="385">
        <f t="shared" si="452"/>
        <v>0</v>
      </c>
      <c r="BP338" s="385">
        <f t="shared" si="452"/>
        <v>0</v>
      </c>
      <c r="BQ338" s="385">
        <f t="shared" si="452"/>
        <v>0</v>
      </c>
      <c r="BR338" s="385">
        <f t="shared" si="452"/>
        <v>0</v>
      </c>
      <c r="BS338" s="385">
        <f t="shared" si="452"/>
        <v>0</v>
      </c>
      <c r="BT338" s="385">
        <f t="shared" si="452"/>
        <v>0</v>
      </c>
      <c r="BU338" s="385">
        <f t="shared" si="452"/>
        <v>0</v>
      </c>
      <c r="BV338" s="385">
        <f t="shared" si="452"/>
        <v>0</v>
      </c>
      <c r="BW338" s="385">
        <f t="shared" si="452"/>
        <v>0</v>
      </c>
      <c r="BX338" s="385">
        <f t="shared" si="452"/>
        <v>0</v>
      </c>
      <c r="BY338" s="385">
        <f t="shared" si="452"/>
        <v>0</v>
      </c>
      <c r="BZ338" s="385">
        <f t="shared" si="452"/>
        <v>0</v>
      </c>
      <c r="CA338" s="385">
        <f t="shared" si="452"/>
        <v>0</v>
      </c>
      <c r="CB338" s="385">
        <f t="shared" si="452"/>
        <v>0</v>
      </c>
      <c r="CC338" s="385">
        <f t="shared" si="452"/>
        <v>0</v>
      </c>
      <c r="CD338" s="385">
        <f t="shared" si="452"/>
        <v>0</v>
      </c>
      <c r="CE338" s="385">
        <f t="shared" si="452"/>
        <v>0</v>
      </c>
      <c r="CF338" s="385">
        <f t="shared" si="452"/>
        <v>0</v>
      </c>
      <c r="CG338" s="385">
        <f t="shared" si="452"/>
        <v>0</v>
      </c>
      <c r="CH338" s="385">
        <f t="shared" si="452"/>
        <v>0</v>
      </c>
      <c r="CI338" s="385">
        <f t="shared" si="452"/>
        <v>0</v>
      </c>
      <c r="CJ338" s="385">
        <f t="shared" si="452"/>
        <v>0</v>
      </c>
      <c r="CK338" s="385">
        <f t="shared" si="452"/>
        <v>0</v>
      </c>
      <c r="CL338" s="385">
        <f t="shared" si="452"/>
        <v>0</v>
      </c>
      <c r="CM338" s="385">
        <f t="shared" si="452"/>
        <v>0</v>
      </c>
      <c r="CN338" s="385">
        <f t="shared" si="452"/>
        <v>0</v>
      </c>
      <c r="CO338" s="385">
        <f t="shared" si="452"/>
        <v>0</v>
      </c>
      <c r="CP338" s="385">
        <f t="shared" si="452"/>
        <v>0</v>
      </c>
      <c r="CQ338" s="385">
        <f t="shared" si="452"/>
        <v>0</v>
      </c>
      <c r="CR338" s="385">
        <f t="shared" si="452"/>
        <v>0</v>
      </c>
      <c r="CS338" s="385">
        <f t="shared" si="452"/>
        <v>0</v>
      </c>
      <c r="CT338" s="385">
        <f t="shared" si="452"/>
        <v>0</v>
      </c>
      <c r="CU338" s="385">
        <f t="shared" si="452"/>
        <v>0</v>
      </c>
      <c r="CV338" s="385">
        <f t="shared" si="452"/>
        <v>0</v>
      </c>
      <c r="CW338" s="385">
        <f t="shared" si="452"/>
        <v>0</v>
      </c>
      <c r="CX338" s="385">
        <f t="shared" si="452"/>
        <v>0</v>
      </c>
      <c r="CY338" s="385">
        <f t="shared" si="452"/>
        <v>0</v>
      </c>
      <c r="CZ338" s="385">
        <f t="shared" ref="CZ338:FK338" si="453">IF(ISNA(CZ$287),"",IF($E339=0,0,CZ339/$E339))</f>
        <v>0</v>
      </c>
      <c r="DA338" s="385">
        <f t="shared" si="453"/>
        <v>0</v>
      </c>
      <c r="DB338" s="385">
        <f t="shared" si="453"/>
        <v>0</v>
      </c>
      <c r="DC338" s="385">
        <f t="shared" si="453"/>
        <v>0</v>
      </c>
      <c r="DD338" s="385">
        <f t="shared" si="453"/>
        <v>0</v>
      </c>
      <c r="DE338" s="385">
        <f t="shared" si="453"/>
        <v>0</v>
      </c>
      <c r="DF338" s="385">
        <f t="shared" si="453"/>
        <v>0</v>
      </c>
      <c r="DG338" s="385">
        <f t="shared" si="453"/>
        <v>0</v>
      </c>
      <c r="DH338" s="385">
        <f t="shared" si="453"/>
        <v>0</v>
      </c>
      <c r="DI338" s="385">
        <f t="shared" si="453"/>
        <v>0</v>
      </c>
      <c r="DJ338" s="385">
        <f t="shared" si="453"/>
        <v>0</v>
      </c>
      <c r="DK338" s="385">
        <f t="shared" si="453"/>
        <v>0</v>
      </c>
      <c r="DL338" s="385">
        <f t="shared" si="453"/>
        <v>0</v>
      </c>
      <c r="DM338" s="385">
        <f t="shared" si="453"/>
        <v>0</v>
      </c>
      <c r="DN338" s="385">
        <f t="shared" si="453"/>
        <v>0</v>
      </c>
      <c r="DO338" s="385">
        <f t="shared" si="453"/>
        <v>0</v>
      </c>
      <c r="DP338" s="385">
        <f t="shared" si="453"/>
        <v>0</v>
      </c>
      <c r="DQ338" s="385">
        <f t="shared" si="453"/>
        <v>0</v>
      </c>
      <c r="DR338" s="385">
        <f t="shared" si="453"/>
        <v>0</v>
      </c>
      <c r="DS338" s="385">
        <f t="shared" si="453"/>
        <v>0</v>
      </c>
      <c r="DT338" s="385">
        <f t="shared" si="453"/>
        <v>0</v>
      </c>
      <c r="DU338" s="385">
        <f t="shared" si="453"/>
        <v>0</v>
      </c>
      <c r="DV338" s="385">
        <f t="shared" si="453"/>
        <v>0</v>
      </c>
      <c r="DW338" s="385">
        <f t="shared" si="453"/>
        <v>0</v>
      </c>
      <c r="DX338" s="385">
        <f t="shared" si="453"/>
        <v>0</v>
      </c>
      <c r="DY338" s="385">
        <f t="shared" si="453"/>
        <v>0</v>
      </c>
      <c r="DZ338" s="385">
        <f t="shared" si="453"/>
        <v>0</v>
      </c>
      <c r="EA338" s="385">
        <f t="shared" si="453"/>
        <v>0</v>
      </c>
      <c r="EB338" s="385">
        <f t="shared" si="453"/>
        <v>0</v>
      </c>
      <c r="EC338" s="385">
        <f t="shared" si="453"/>
        <v>0</v>
      </c>
      <c r="ED338" s="385">
        <f t="shared" si="453"/>
        <v>0</v>
      </c>
      <c r="EE338" s="385">
        <f t="shared" si="453"/>
        <v>0</v>
      </c>
      <c r="EF338" s="385">
        <f t="shared" si="453"/>
        <v>0</v>
      </c>
      <c r="EG338" s="385">
        <f t="shared" si="453"/>
        <v>0</v>
      </c>
      <c r="EH338" s="385">
        <f t="shared" si="453"/>
        <v>0</v>
      </c>
      <c r="EI338" s="385">
        <f t="shared" si="453"/>
        <v>0</v>
      </c>
      <c r="EJ338" s="385">
        <f t="shared" si="453"/>
        <v>0</v>
      </c>
      <c r="EK338" s="385">
        <f t="shared" si="453"/>
        <v>0</v>
      </c>
      <c r="EL338" s="385">
        <f t="shared" si="453"/>
        <v>0</v>
      </c>
      <c r="EM338" s="385">
        <f t="shared" si="453"/>
        <v>0</v>
      </c>
      <c r="EN338" s="385">
        <f t="shared" si="453"/>
        <v>0</v>
      </c>
      <c r="EO338" s="385">
        <f t="shared" si="453"/>
        <v>0</v>
      </c>
      <c r="EP338" s="385">
        <f t="shared" si="453"/>
        <v>0</v>
      </c>
      <c r="EQ338" s="385">
        <f t="shared" si="453"/>
        <v>0</v>
      </c>
      <c r="ER338" s="385">
        <f t="shared" si="453"/>
        <v>0</v>
      </c>
      <c r="ES338" s="385">
        <f t="shared" si="453"/>
        <v>0</v>
      </c>
      <c r="ET338" s="385">
        <f t="shared" si="453"/>
        <v>0</v>
      </c>
      <c r="EU338" s="385">
        <f t="shared" si="453"/>
        <v>0</v>
      </c>
      <c r="EV338" s="385">
        <f t="shared" si="453"/>
        <v>0</v>
      </c>
      <c r="EW338" s="385">
        <f t="shared" si="453"/>
        <v>0</v>
      </c>
      <c r="EX338" s="385">
        <f t="shared" si="453"/>
        <v>0</v>
      </c>
      <c r="EY338" s="385">
        <f t="shared" si="453"/>
        <v>0</v>
      </c>
      <c r="EZ338" s="385">
        <f t="shared" si="453"/>
        <v>0</v>
      </c>
      <c r="FA338" s="385">
        <f t="shared" si="453"/>
        <v>0</v>
      </c>
      <c r="FB338" s="385">
        <f t="shared" si="453"/>
        <v>0</v>
      </c>
      <c r="FC338" s="385">
        <f t="shared" si="453"/>
        <v>0</v>
      </c>
      <c r="FD338" s="385">
        <f t="shared" si="453"/>
        <v>0</v>
      </c>
      <c r="FE338" s="385">
        <f t="shared" si="453"/>
        <v>0</v>
      </c>
      <c r="FF338" s="385">
        <f t="shared" si="453"/>
        <v>0</v>
      </c>
      <c r="FG338" s="385">
        <f t="shared" si="453"/>
        <v>0</v>
      </c>
      <c r="FH338" s="385">
        <f t="shared" si="453"/>
        <v>0</v>
      </c>
      <c r="FI338" s="385">
        <f t="shared" si="453"/>
        <v>0</v>
      </c>
      <c r="FJ338" s="385">
        <f t="shared" si="453"/>
        <v>0</v>
      </c>
      <c r="FK338" s="385">
        <f t="shared" si="453"/>
        <v>0</v>
      </c>
      <c r="FL338" s="385">
        <f t="shared" ref="FL338:HW338" si="454">IF(ISNA(FL$287),"",IF($E339=0,0,FL339/$E339))</f>
        <v>0</v>
      </c>
      <c r="FM338" s="385">
        <f t="shared" si="454"/>
        <v>0</v>
      </c>
      <c r="FN338" s="385">
        <f t="shared" si="454"/>
        <v>0</v>
      </c>
      <c r="FO338" s="385">
        <f t="shared" si="454"/>
        <v>0</v>
      </c>
      <c r="FP338" s="385">
        <f t="shared" si="454"/>
        <v>0</v>
      </c>
      <c r="FQ338" s="385">
        <f t="shared" si="454"/>
        <v>0</v>
      </c>
      <c r="FR338" s="385">
        <f t="shared" si="454"/>
        <v>0</v>
      </c>
      <c r="FS338" s="385">
        <f t="shared" si="454"/>
        <v>0</v>
      </c>
      <c r="FT338" s="385">
        <f t="shared" si="454"/>
        <v>0</v>
      </c>
      <c r="FU338" s="385">
        <f t="shared" si="454"/>
        <v>0</v>
      </c>
      <c r="FV338" s="385">
        <f t="shared" si="454"/>
        <v>0</v>
      </c>
      <c r="FW338" s="385">
        <f t="shared" si="454"/>
        <v>0</v>
      </c>
      <c r="FX338" s="385">
        <f t="shared" si="454"/>
        <v>0</v>
      </c>
      <c r="FY338" s="385">
        <f t="shared" si="454"/>
        <v>0</v>
      </c>
      <c r="FZ338" s="385">
        <f t="shared" si="454"/>
        <v>0</v>
      </c>
      <c r="GA338" s="385">
        <f t="shared" si="454"/>
        <v>0</v>
      </c>
      <c r="GB338" s="385">
        <f t="shared" si="454"/>
        <v>0</v>
      </c>
      <c r="GC338" s="385">
        <f t="shared" si="454"/>
        <v>0</v>
      </c>
      <c r="GD338" s="385">
        <f t="shared" si="454"/>
        <v>0</v>
      </c>
      <c r="GE338" s="385">
        <f t="shared" si="454"/>
        <v>0</v>
      </c>
      <c r="GF338" s="385">
        <f t="shared" si="454"/>
        <v>0</v>
      </c>
      <c r="GG338" s="385">
        <f t="shared" si="454"/>
        <v>0</v>
      </c>
      <c r="GH338" s="385">
        <f t="shared" si="454"/>
        <v>0</v>
      </c>
      <c r="GI338" s="385">
        <f t="shared" si="454"/>
        <v>0</v>
      </c>
      <c r="GJ338" s="385">
        <f t="shared" si="454"/>
        <v>0</v>
      </c>
      <c r="GK338" s="385">
        <f t="shared" si="454"/>
        <v>0</v>
      </c>
      <c r="GL338" s="385">
        <f t="shared" si="454"/>
        <v>0</v>
      </c>
      <c r="GM338" s="385">
        <f t="shared" si="454"/>
        <v>0</v>
      </c>
      <c r="GN338" s="385">
        <f t="shared" si="454"/>
        <v>0</v>
      </c>
      <c r="GO338" s="385">
        <f t="shared" si="454"/>
        <v>0</v>
      </c>
      <c r="GP338" s="385">
        <f t="shared" si="454"/>
        <v>0</v>
      </c>
      <c r="GQ338" s="385">
        <f t="shared" si="454"/>
        <v>0</v>
      </c>
      <c r="GR338" s="385">
        <f t="shared" si="454"/>
        <v>0</v>
      </c>
      <c r="GS338" s="385">
        <f t="shared" si="454"/>
        <v>0</v>
      </c>
      <c r="GT338" s="385">
        <f t="shared" si="454"/>
        <v>0</v>
      </c>
      <c r="GU338" s="385">
        <f t="shared" si="454"/>
        <v>0</v>
      </c>
      <c r="GV338" s="385">
        <f t="shared" si="454"/>
        <v>0</v>
      </c>
      <c r="GW338" s="385">
        <f t="shared" si="454"/>
        <v>0</v>
      </c>
      <c r="GX338" s="385">
        <f t="shared" si="454"/>
        <v>0</v>
      </c>
      <c r="GY338" s="385">
        <f t="shared" si="454"/>
        <v>0</v>
      </c>
      <c r="GZ338" s="385">
        <f t="shared" si="454"/>
        <v>0</v>
      </c>
      <c r="HA338" s="385">
        <f t="shared" si="454"/>
        <v>0</v>
      </c>
      <c r="HB338" s="385">
        <f t="shared" si="454"/>
        <v>0</v>
      </c>
      <c r="HC338" s="385">
        <f t="shared" si="454"/>
        <v>0</v>
      </c>
      <c r="HD338" s="385">
        <f t="shared" si="454"/>
        <v>0</v>
      </c>
      <c r="HE338" s="385">
        <f t="shared" si="454"/>
        <v>0</v>
      </c>
      <c r="HF338" s="385">
        <f t="shared" si="454"/>
        <v>0</v>
      </c>
      <c r="HG338" s="385">
        <f t="shared" si="454"/>
        <v>0</v>
      </c>
      <c r="HH338" s="385">
        <f t="shared" si="454"/>
        <v>0</v>
      </c>
      <c r="HI338" s="385">
        <f t="shared" si="454"/>
        <v>0</v>
      </c>
      <c r="HJ338" s="385">
        <f t="shared" si="454"/>
        <v>0</v>
      </c>
      <c r="HK338" s="385">
        <f t="shared" si="454"/>
        <v>0</v>
      </c>
      <c r="HL338" s="385">
        <f t="shared" si="454"/>
        <v>0</v>
      </c>
      <c r="HM338" s="385">
        <f t="shared" si="454"/>
        <v>0</v>
      </c>
      <c r="HN338" s="385">
        <f t="shared" si="454"/>
        <v>0</v>
      </c>
      <c r="HO338" s="385">
        <f t="shared" si="454"/>
        <v>0</v>
      </c>
      <c r="HP338" s="385">
        <f t="shared" si="454"/>
        <v>0</v>
      </c>
      <c r="HQ338" s="385">
        <f t="shared" si="454"/>
        <v>0</v>
      </c>
      <c r="HR338" s="385">
        <f t="shared" si="454"/>
        <v>0</v>
      </c>
      <c r="HS338" s="385">
        <f t="shared" si="454"/>
        <v>0</v>
      </c>
      <c r="HT338" s="385">
        <f t="shared" si="454"/>
        <v>0</v>
      </c>
      <c r="HU338" s="385">
        <f t="shared" si="454"/>
        <v>0</v>
      </c>
      <c r="HV338" s="385">
        <f t="shared" si="454"/>
        <v>0</v>
      </c>
      <c r="HW338" s="385">
        <f t="shared" si="454"/>
        <v>0</v>
      </c>
      <c r="HX338" s="385">
        <f t="shared" ref="HX338:IJ338" si="455">IF(ISNA(HX$287),"",IF($E339=0,0,HX339/$E339))</f>
        <v>0</v>
      </c>
      <c r="HY338" s="385">
        <f t="shared" si="455"/>
        <v>0</v>
      </c>
      <c r="HZ338" s="385">
        <f t="shared" si="455"/>
        <v>0</v>
      </c>
      <c r="IA338" s="385">
        <f t="shared" si="455"/>
        <v>0</v>
      </c>
      <c r="IB338" s="385">
        <f t="shared" si="455"/>
        <v>0</v>
      </c>
      <c r="IC338" s="385">
        <f t="shared" si="455"/>
        <v>0</v>
      </c>
      <c r="ID338" s="385">
        <f t="shared" si="455"/>
        <v>0</v>
      </c>
      <c r="IE338" s="385">
        <f t="shared" si="455"/>
        <v>0</v>
      </c>
      <c r="IF338" s="385">
        <f t="shared" si="455"/>
        <v>0</v>
      </c>
      <c r="IG338" s="385">
        <f t="shared" si="455"/>
        <v>0</v>
      </c>
      <c r="IH338" s="385">
        <f t="shared" si="455"/>
        <v>0</v>
      </c>
      <c r="II338" s="385">
        <f t="shared" si="455"/>
        <v>0</v>
      </c>
      <c r="IJ338" s="385">
        <f t="shared" si="455"/>
        <v>0</v>
      </c>
      <c r="IK338" s="378"/>
      <c r="IO338" s="386"/>
    </row>
    <row r="339" spans="1:249" ht="13.5" thickBot="1" x14ac:dyDescent="0.25">
      <c r="E339" s="401">
        <f>SUMIF(E288:E337,"&gt;0")</f>
        <v>0</v>
      </c>
      <c r="AL339" s="728" t="s">
        <v>734</v>
      </c>
      <c r="AM339" s="387">
        <f>IF(ISNA(AM$7),"",SUM(AM288:AM337))</f>
        <v>0</v>
      </c>
      <c r="AN339" s="387">
        <f t="shared" ref="AN339:CY339" si="456">IF(ISNA(AN$7),"",SUM(AN288:AN337))</f>
        <v>0</v>
      </c>
      <c r="AO339" s="387">
        <f t="shared" si="456"/>
        <v>0</v>
      </c>
      <c r="AP339" s="387">
        <f t="shared" si="456"/>
        <v>0</v>
      </c>
      <c r="AQ339" s="387">
        <f t="shared" si="456"/>
        <v>0</v>
      </c>
      <c r="AR339" s="387">
        <f t="shared" si="456"/>
        <v>0</v>
      </c>
      <c r="AS339" s="387">
        <f t="shared" si="456"/>
        <v>0</v>
      </c>
      <c r="AT339" s="387">
        <f t="shared" si="456"/>
        <v>0</v>
      </c>
      <c r="AU339" s="387">
        <f t="shared" si="456"/>
        <v>0</v>
      </c>
      <c r="AV339" s="387">
        <f t="shared" si="456"/>
        <v>0</v>
      </c>
      <c r="AW339" s="387">
        <f t="shared" si="456"/>
        <v>0</v>
      </c>
      <c r="AX339" s="387">
        <f t="shared" si="456"/>
        <v>0</v>
      </c>
      <c r="AY339" s="387">
        <f t="shared" si="456"/>
        <v>0</v>
      </c>
      <c r="AZ339" s="387">
        <f t="shared" si="456"/>
        <v>0</v>
      </c>
      <c r="BA339" s="387">
        <f t="shared" si="456"/>
        <v>0</v>
      </c>
      <c r="BB339" s="387">
        <f t="shared" si="456"/>
        <v>0</v>
      </c>
      <c r="BC339" s="387">
        <f t="shared" si="456"/>
        <v>0</v>
      </c>
      <c r="BD339" s="387">
        <f t="shared" si="456"/>
        <v>0</v>
      </c>
      <c r="BE339" s="387">
        <f t="shared" si="456"/>
        <v>0</v>
      </c>
      <c r="BF339" s="387">
        <f t="shared" si="456"/>
        <v>0</v>
      </c>
      <c r="BG339" s="387">
        <f t="shared" si="456"/>
        <v>0</v>
      </c>
      <c r="BH339" s="387">
        <f t="shared" si="456"/>
        <v>0</v>
      </c>
      <c r="BI339" s="387">
        <f t="shared" si="456"/>
        <v>0</v>
      </c>
      <c r="BJ339" s="387">
        <f t="shared" si="456"/>
        <v>0</v>
      </c>
      <c r="BK339" s="387">
        <f t="shared" si="456"/>
        <v>0</v>
      </c>
      <c r="BL339" s="387">
        <f t="shared" si="456"/>
        <v>0</v>
      </c>
      <c r="BM339" s="387">
        <f t="shared" si="456"/>
        <v>0</v>
      </c>
      <c r="BN339" s="387">
        <f t="shared" si="456"/>
        <v>0</v>
      </c>
      <c r="BO339" s="387">
        <f t="shared" si="456"/>
        <v>0</v>
      </c>
      <c r="BP339" s="387">
        <f t="shared" si="456"/>
        <v>0</v>
      </c>
      <c r="BQ339" s="387">
        <f t="shared" si="456"/>
        <v>0</v>
      </c>
      <c r="BR339" s="387">
        <f t="shared" si="456"/>
        <v>0</v>
      </c>
      <c r="BS339" s="387">
        <f t="shared" si="456"/>
        <v>0</v>
      </c>
      <c r="BT339" s="387">
        <f t="shared" si="456"/>
        <v>0</v>
      </c>
      <c r="BU339" s="387">
        <f t="shared" si="456"/>
        <v>0</v>
      </c>
      <c r="BV339" s="387">
        <f t="shared" si="456"/>
        <v>0</v>
      </c>
      <c r="BW339" s="387">
        <f t="shared" si="456"/>
        <v>0</v>
      </c>
      <c r="BX339" s="387">
        <f t="shared" si="456"/>
        <v>0</v>
      </c>
      <c r="BY339" s="387">
        <f t="shared" si="456"/>
        <v>0</v>
      </c>
      <c r="BZ339" s="387">
        <f t="shared" si="456"/>
        <v>0</v>
      </c>
      <c r="CA339" s="387">
        <f t="shared" si="456"/>
        <v>0</v>
      </c>
      <c r="CB339" s="387">
        <f t="shared" si="456"/>
        <v>0</v>
      </c>
      <c r="CC339" s="387">
        <f t="shared" si="456"/>
        <v>0</v>
      </c>
      <c r="CD339" s="387">
        <f t="shared" si="456"/>
        <v>0</v>
      </c>
      <c r="CE339" s="387">
        <f t="shared" si="456"/>
        <v>0</v>
      </c>
      <c r="CF339" s="387">
        <f t="shared" si="456"/>
        <v>0</v>
      </c>
      <c r="CG339" s="387">
        <f t="shared" si="456"/>
        <v>0</v>
      </c>
      <c r="CH339" s="387">
        <f t="shared" si="456"/>
        <v>0</v>
      </c>
      <c r="CI339" s="387">
        <f t="shared" si="456"/>
        <v>0</v>
      </c>
      <c r="CJ339" s="387">
        <f t="shared" si="456"/>
        <v>0</v>
      </c>
      <c r="CK339" s="387">
        <f t="shared" si="456"/>
        <v>0</v>
      </c>
      <c r="CL339" s="387">
        <f t="shared" si="456"/>
        <v>0</v>
      </c>
      <c r="CM339" s="387">
        <f t="shared" si="456"/>
        <v>0</v>
      </c>
      <c r="CN339" s="387">
        <f t="shared" si="456"/>
        <v>0</v>
      </c>
      <c r="CO339" s="387">
        <f t="shared" si="456"/>
        <v>0</v>
      </c>
      <c r="CP339" s="387">
        <f t="shared" si="456"/>
        <v>0</v>
      </c>
      <c r="CQ339" s="387">
        <f t="shared" si="456"/>
        <v>0</v>
      </c>
      <c r="CR339" s="387">
        <f t="shared" si="456"/>
        <v>0</v>
      </c>
      <c r="CS339" s="387">
        <f t="shared" si="456"/>
        <v>0</v>
      </c>
      <c r="CT339" s="387">
        <f t="shared" si="456"/>
        <v>0</v>
      </c>
      <c r="CU339" s="387">
        <f t="shared" si="456"/>
        <v>0</v>
      </c>
      <c r="CV339" s="387">
        <f t="shared" si="456"/>
        <v>0</v>
      </c>
      <c r="CW339" s="387">
        <f t="shared" si="456"/>
        <v>0</v>
      </c>
      <c r="CX339" s="387">
        <f t="shared" si="456"/>
        <v>0</v>
      </c>
      <c r="CY339" s="387">
        <f t="shared" si="456"/>
        <v>0</v>
      </c>
      <c r="CZ339" s="387">
        <f t="shared" ref="CZ339:FK339" si="457">IF(ISNA(CZ$7),"",SUM(CZ288:CZ337))</f>
        <v>0</v>
      </c>
      <c r="DA339" s="387">
        <f t="shared" si="457"/>
        <v>0</v>
      </c>
      <c r="DB339" s="387">
        <f t="shared" si="457"/>
        <v>0</v>
      </c>
      <c r="DC339" s="387">
        <f t="shared" si="457"/>
        <v>0</v>
      </c>
      <c r="DD339" s="387">
        <f t="shared" si="457"/>
        <v>0</v>
      </c>
      <c r="DE339" s="387">
        <f t="shared" si="457"/>
        <v>0</v>
      </c>
      <c r="DF339" s="387">
        <f t="shared" si="457"/>
        <v>0</v>
      </c>
      <c r="DG339" s="387">
        <f t="shared" si="457"/>
        <v>0</v>
      </c>
      <c r="DH339" s="387">
        <f t="shared" si="457"/>
        <v>0</v>
      </c>
      <c r="DI339" s="387">
        <f t="shared" si="457"/>
        <v>0</v>
      </c>
      <c r="DJ339" s="387">
        <f t="shared" si="457"/>
        <v>0</v>
      </c>
      <c r="DK339" s="387">
        <f t="shared" si="457"/>
        <v>0</v>
      </c>
      <c r="DL339" s="387">
        <f t="shared" si="457"/>
        <v>0</v>
      </c>
      <c r="DM339" s="387">
        <f t="shared" si="457"/>
        <v>0</v>
      </c>
      <c r="DN339" s="387">
        <f t="shared" si="457"/>
        <v>0</v>
      </c>
      <c r="DO339" s="387">
        <f t="shared" si="457"/>
        <v>0</v>
      </c>
      <c r="DP339" s="387">
        <f t="shared" si="457"/>
        <v>0</v>
      </c>
      <c r="DQ339" s="387">
        <f t="shared" si="457"/>
        <v>0</v>
      </c>
      <c r="DR339" s="387">
        <f t="shared" si="457"/>
        <v>0</v>
      </c>
      <c r="DS339" s="387">
        <f t="shared" si="457"/>
        <v>0</v>
      </c>
      <c r="DT339" s="387">
        <f t="shared" si="457"/>
        <v>0</v>
      </c>
      <c r="DU339" s="387">
        <f t="shared" si="457"/>
        <v>0</v>
      </c>
      <c r="DV339" s="387">
        <f t="shared" si="457"/>
        <v>0</v>
      </c>
      <c r="DW339" s="387">
        <f t="shared" si="457"/>
        <v>0</v>
      </c>
      <c r="DX339" s="387">
        <f t="shared" si="457"/>
        <v>0</v>
      </c>
      <c r="DY339" s="387">
        <f t="shared" si="457"/>
        <v>0</v>
      </c>
      <c r="DZ339" s="387">
        <f t="shared" si="457"/>
        <v>0</v>
      </c>
      <c r="EA339" s="387">
        <f t="shared" si="457"/>
        <v>0</v>
      </c>
      <c r="EB339" s="387">
        <f t="shared" si="457"/>
        <v>0</v>
      </c>
      <c r="EC339" s="387">
        <f t="shared" si="457"/>
        <v>0</v>
      </c>
      <c r="ED339" s="387">
        <f t="shared" si="457"/>
        <v>0</v>
      </c>
      <c r="EE339" s="387">
        <f t="shared" si="457"/>
        <v>0</v>
      </c>
      <c r="EF339" s="387">
        <f t="shared" si="457"/>
        <v>0</v>
      </c>
      <c r="EG339" s="387">
        <f t="shared" si="457"/>
        <v>0</v>
      </c>
      <c r="EH339" s="387">
        <f t="shared" si="457"/>
        <v>0</v>
      </c>
      <c r="EI339" s="387">
        <f t="shared" si="457"/>
        <v>0</v>
      </c>
      <c r="EJ339" s="387">
        <f t="shared" si="457"/>
        <v>0</v>
      </c>
      <c r="EK339" s="387">
        <f t="shared" si="457"/>
        <v>0</v>
      </c>
      <c r="EL339" s="387">
        <f t="shared" si="457"/>
        <v>0</v>
      </c>
      <c r="EM339" s="387">
        <f t="shared" si="457"/>
        <v>0</v>
      </c>
      <c r="EN339" s="387">
        <f t="shared" si="457"/>
        <v>0</v>
      </c>
      <c r="EO339" s="387">
        <f t="shared" si="457"/>
        <v>0</v>
      </c>
      <c r="EP339" s="387">
        <f t="shared" si="457"/>
        <v>0</v>
      </c>
      <c r="EQ339" s="387">
        <f t="shared" si="457"/>
        <v>0</v>
      </c>
      <c r="ER339" s="387">
        <f t="shared" si="457"/>
        <v>0</v>
      </c>
      <c r="ES339" s="387">
        <f t="shared" si="457"/>
        <v>0</v>
      </c>
      <c r="ET339" s="387">
        <f t="shared" si="457"/>
        <v>0</v>
      </c>
      <c r="EU339" s="387">
        <f t="shared" si="457"/>
        <v>0</v>
      </c>
      <c r="EV339" s="387">
        <f t="shared" si="457"/>
        <v>0</v>
      </c>
      <c r="EW339" s="387">
        <f t="shared" si="457"/>
        <v>0</v>
      </c>
      <c r="EX339" s="387">
        <f t="shared" si="457"/>
        <v>0</v>
      </c>
      <c r="EY339" s="387">
        <f t="shared" si="457"/>
        <v>0</v>
      </c>
      <c r="EZ339" s="387">
        <f t="shared" si="457"/>
        <v>0</v>
      </c>
      <c r="FA339" s="387">
        <f t="shared" si="457"/>
        <v>0</v>
      </c>
      <c r="FB339" s="387">
        <f t="shared" si="457"/>
        <v>0</v>
      </c>
      <c r="FC339" s="387">
        <f t="shared" si="457"/>
        <v>0</v>
      </c>
      <c r="FD339" s="387">
        <f t="shared" si="457"/>
        <v>0</v>
      </c>
      <c r="FE339" s="387">
        <f t="shared" si="457"/>
        <v>0</v>
      </c>
      <c r="FF339" s="387">
        <f t="shared" si="457"/>
        <v>0</v>
      </c>
      <c r="FG339" s="387">
        <f t="shared" si="457"/>
        <v>0</v>
      </c>
      <c r="FH339" s="387">
        <f t="shared" si="457"/>
        <v>0</v>
      </c>
      <c r="FI339" s="387">
        <f t="shared" si="457"/>
        <v>0</v>
      </c>
      <c r="FJ339" s="387">
        <f t="shared" si="457"/>
        <v>0</v>
      </c>
      <c r="FK339" s="387">
        <f t="shared" si="457"/>
        <v>0</v>
      </c>
      <c r="FL339" s="387">
        <f t="shared" ref="FL339:HW339" si="458">IF(ISNA(FL$7),"",SUM(FL288:FL337))</f>
        <v>0</v>
      </c>
      <c r="FM339" s="387">
        <f t="shared" si="458"/>
        <v>0</v>
      </c>
      <c r="FN339" s="387">
        <f t="shared" si="458"/>
        <v>0</v>
      </c>
      <c r="FO339" s="387">
        <f t="shared" si="458"/>
        <v>0</v>
      </c>
      <c r="FP339" s="387">
        <f t="shared" si="458"/>
        <v>0</v>
      </c>
      <c r="FQ339" s="387">
        <f t="shared" si="458"/>
        <v>0</v>
      </c>
      <c r="FR339" s="387">
        <f t="shared" si="458"/>
        <v>0</v>
      </c>
      <c r="FS339" s="387">
        <f t="shared" si="458"/>
        <v>0</v>
      </c>
      <c r="FT339" s="387">
        <f t="shared" si="458"/>
        <v>0</v>
      </c>
      <c r="FU339" s="387">
        <f t="shared" si="458"/>
        <v>0</v>
      </c>
      <c r="FV339" s="387">
        <f t="shared" si="458"/>
        <v>0</v>
      </c>
      <c r="FW339" s="387">
        <f t="shared" si="458"/>
        <v>0</v>
      </c>
      <c r="FX339" s="387">
        <f t="shared" si="458"/>
        <v>0</v>
      </c>
      <c r="FY339" s="387">
        <f t="shared" si="458"/>
        <v>0</v>
      </c>
      <c r="FZ339" s="387">
        <f t="shared" si="458"/>
        <v>0</v>
      </c>
      <c r="GA339" s="387">
        <f t="shared" si="458"/>
        <v>0</v>
      </c>
      <c r="GB339" s="387">
        <f t="shared" si="458"/>
        <v>0</v>
      </c>
      <c r="GC339" s="387">
        <f t="shared" si="458"/>
        <v>0</v>
      </c>
      <c r="GD339" s="387">
        <f t="shared" si="458"/>
        <v>0</v>
      </c>
      <c r="GE339" s="387">
        <f t="shared" si="458"/>
        <v>0</v>
      </c>
      <c r="GF339" s="387">
        <f t="shared" si="458"/>
        <v>0</v>
      </c>
      <c r="GG339" s="387">
        <f t="shared" si="458"/>
        <v>0</v>
      </c>
      <c r="GH339" s="387">
        <f t="shared" si="458"/>
        <v>0</v>
      </c>
      <c r="GI339" s="387">
        <f t="shared" si="458"/>
        <v>0</v>
      </c>
      <c r="GJ339" s="387">
        <f t="shared" si="458"/>
        <v>0</v>
      </c>
      <c r="GK339" s="387">
        <f t="shared" si="458"/>
        <v>0</v>
      </c>
      <c r="GL339" s="387">
        <f t="shared" si="458"/>
        <v>0</v>
      </c>
      <c r="GM339" s="387">
        <f t="shared" si="458"/>
        <v>0</v>
      </c>
      <c r="GN339" s="387">
        <f t="shared" si="458"/>
        <v>0</v>
      </c>
      <c r="GO339" s="387">
        <f t="shared" si="458"/>
        <v>0</v>
      </c>
      <c r="GP339" s="387">
        <f t="shared" si="458"/>
        <v>0</v>
      </c>
      <c r="GQ339" s="387">
        <f t="shared" si="458"/>
        <v>0</v>
      </c>
      <c r="GR339" s="387">
        <f t="shared" si="458"/>
        <v>0</v>
      </c>
      <c r="GS339" s="387">
        <f t="shared" si="458"/>
        <v>0</v>
      </c>
      <c r="GT339" s="387">
        <f t="shared" si="458"/>
        <v>0</v>
      </c>
      <c r="GU339" s="387">
        <f t="shared" si="458"/>
        <v>0</v>
      </c>
      <c r="GV339" s="387">
        <f t="shared" si="458"/>
        <v>0</v>
      </c>
      <c r="GW339" s="387">
        <f t="shared" si="458"/>
        <v>0</v>
      </c>
      <c r="GX339" s="387">
        <f t="shared" si="458"/>
        <v>0</v>
      </c>
      <c r="GY339" s="387">
        <f t="shared" si="458"/>
        <v>0</v>
      </c>
      <c r="GZ339" s="387">
        <f t="shared" si="458"/>
        <v>0</v>
      </c>
      <c r="HA339" s="387">
        <f t="shared" si="458"/>
        <v>0</v>
      </c>
      <c r="HB339" s="387">
        <f t="shared" si="458"/>
        <v>0</v>
      </c>
      <c r="HC339" s="387">
        <f t="shared" si="458"/>
        <v>0</v>
      </c>
      <c r="HD339" s="387">
        <f t="shared" si="458"/>
        <v>0</v>
      </c>
      <c r="HE339" s="387">
        <f t="shared" si="458"/>
        <v>0</v>
      </c>
      <c r="HF339" s="387">
        <f t="shared" si="458"/>
        <v>0</v>
      </c>
      <c r="HG339" s="387">
        <f t="shared" si="458"/>
        <v>0</v>
      </c>
      <c r="HH339" s="387">
        <f t="shared" si="458"/>
        <v>0</v>
      </c>
      <c r="HI339" s="387">
        <f t="shared" si="458"/>
        <v>0</v>
      </c>
      <c r="HJ339" s="387">
        <f t="shared" si="458"/>
        <v>0</v>
      </c>
      <c r="HK339" s="387">
        <f t="shared" si="458"/>
        <v>0</v>
      </c>
      <c r="HL339" s="387">
        <f t="shared" si="458"/>
        <v>0</v>
      </c>
      <c r="HM339" s="387">
        <f t="shared" si="458"/>
        <v>0</v>
      </c>
      <c r="HN339" s="387">
        <f t="shared" si="458"/>
        <v>0</v>
      </c>
      <c r="HO339" s="387">
        <f t="shared" si="458"/>
        <v>0</v>
      </c>
      <c r="HP339" s="387">
        <f t="shared" si="458"/>
        <v>0</v>
      </c>
      <c r="HQ339" s="387">
        <f t="shared" si="458"/>
        <v>0</v>
      </c>
      <c r="HR339" s="387">
        <f t="shared" si="458"/>
        <v>0</v>
      </c>
      <c r="HS339" s="387">
        <f t="shared" si="458"/>
        <v>0</v>
      </c>
      <c r="HT339" s="387">
        <f t="shared" si="458"/>
        <v>0</v>
      </c>
      <c r="HU339" s="387">
        <f t="shared" si="458"/>
        <v>0</v>
      </c>
      <c r="HV339" s="387">
        <f t="shared" si="458"/>
        <v>0</v>
      </c>
      <c r="HW339" s="387">
        <f t="shared" si="458"/>
        <v>0</v>
      </c>
      <c r="HX339" s="387">
        <f t="shared" ref="HX339:IJ339" si="459">IF(ISNA(HX$7),"",SUM(HX288:HX337))</f>
        <v>0</v>
      </c>
      <c r="HY339" s="387">
        <f t="shared" si="459"/>
        <v>0</v>
      </c>
      <c r="HZ339" s="387">
        <f t="shared" si="459"/>
        <v>0</v>
      </c>
      <c r="IA339" s="387">
        <f t="shared" si="459"/>
        <v>0</v>
      </c>
      <c r="IB339" s="387">
        <f t="shared" si="459"/>
        <v>0</v>
      </c>
      <c r="IC339" s="387">
        <f t="shared" si="459"/>
        <v>0</v>
      </c>
      <c r="ID339" s="387">
        <f t="shared" si="459"/>
        <v>0</v>
      </c>
      <c r="IE339" s="387">
        <f t="shared" si="459"/>
        <v>0</v>
      </c>
      <c r="IF339" s="387">
        <f t="shared" si="459"/>
        <v>0</v>
      </c>
      <c r="IG339" s="387">
        <f t="shared" si="459"/>
        <v>0</v>
      </c>
      <c r="IH339" s="387">
        <f t="shared" si="459"/>
        <v>0</v>
      </c>
      <c r="II339" s="387">
        <f t="shared" si="459"/>
        <v>0</v>
      </c>
      <c r="IJ339" s="387">
        <f t="shared" si="459"/>
        <v>0</v>
      </c>
      <c r="IK339" s="378"/>
      <c r="IO339" s="376"/>
    </row>
    <row r="340" spans="1:249" x14ac:dyDescent="0.2">
      <c r="M340" s="388"/>
      <c r="O340" s="388"/>
    </row>
    <row r="341" spans="1:249" x14ac:dyDescent="0.2">
      <c r="O341" s="389"/>
    </row>
    <row r="342" spans="1:249" x14ac:dyDescent="0.2">
      <c r="O342" s="389"/>
    </row>
    <row r="343" spans="1:249" hidden="1" x14ac:dyDescent="0.2">
      <c r="O343" s="389"/>
    </row>
    <row r="344" spans="1:249" hidden="1" x14ac:dyDescent="0.2">
      <c r="O344" s="389"/>
    </row>
    <row r="345" spans="1:249" hidden="1" x14ac:dyDescent="0.2">
      <c r="O345" s="389"/>
    </row>
    <row r="346" spans="1:249" hidden="1" x14ac:dyDescent="0.2">
      <c r="O346" s="389"/>
    </row>
    <row r="347" spans="1:249" hidden="1" x14ac:dyDescent="0.2">
      <c r="O347" s="389"/>
    </row>
    <row r="348" spans="1:249" hidden="1" x14ac:dyDescent="0.2">
      <c r="O348" s="389"/>
    </row>
    <row r="349" spans="1:249" hidden="1" x14ac:dyDescent="0.2">
      <c r="O349" s="389"/>
    </row>
    <row r="350" spans="1:249" hidden="1" x14ac:dyDescent="0.2">
      <c r="O350" s="389"/>
    </row>
    <row r="351" spans="1:249" hidden="1" x14ac:dyDescent="0.2">
      <c r="O351" s="389"/>
    </row>
    <row r="352" spans="1:249" hidden="1" x14ac:dyDescent="0.2">
      <c r="O352" s="389"/>
    </row>
    <row r="353" spans="15:15" hidden="1" x14ac:dyDescent="0.2">
      <c r="O353" s="389"/>
    </row>
    <row r="354" spans="15:15" hidden="1" x14ac:dyDescent="0.2">
      <c r="O354" s="389"/>
    </row>
    <row r="355" spans="15:15" hidden="1" x14ac:dyDescent="0.2">
      <c r="O355" s="389"/>
    </row>
    <row r="356" spans="15:15" hidden="1" x14ac:dyDescent="0.2">
      <c r="O356" s="389"/>
    </row>
    <row r="357" spans="15:15" hidden="1" x14ac:dyDescent="0.2">
      <c r="O357" s="389"/>
    </row>
    <row r="358" spans="15:15" hidden="1" x14ac:dyDescent="0.2">
      <c r="O358" s="389"/>
    </row>
    <row r="359" spans="15:15" hidden="1" x14ac:dyDescent="0.2">
      <c r="O359" s="389"/>
    </row>
    <row r="360" spans="15:15" hidden="1" x14ac:dyDescent="0.2">
      <c r="O360" s="389"/>
    </row>
    <row r="361" spans="15:15" hidden="1" x14ac:dyDescent="0.2">
      <c r="O361" s="389"/>
    </row>
    <row r="362" spans="15:15" hidden="1" x14ac:dyDescent="0.2">
      <c r="O362" s="389"/>
    </row>
    <row r="363" spans="15:15" hidden="1" x14ac:dyDescent="0.2">
      <c r="O363" s="389"/>
    </row>
    <row r="364" spans="15:15" hidden="1" x14ac:dyDescent="0.2">
      <c r="O364" s="389"/>
    </row>
    <row r="365" spans="15:15" hidden="1" x14ac:dyDescent="0.2">
      <c r="O365" s="389"/>
    </row>
    <row r="366" spans="15:15" hidden="1" x14ac:dyDescent="0.2">
      <c r="O366" s="389"/>
    </row>
    <row r="367" spans="15:15" hidden="1" x14ac:dyDescent="0.2">
      <c r="O367" s="389"/>
    </row>
    <row r="368" spans="15:15" hidden="1" x14ac:dyDescent="0.2">
      <c r="O368" s="389"/>
    </row>
    <row r="369" spans="15:15" hidden="1" x14ac:dyDescent="0.2">
      <c r="O369" s="389"/>
    </row>
    <row r="370" spans="15:15" hidden="1" x14ac:dyDescent="0.2">
      <c r="O370" s="389"/>
    </row>
    <row r="371" spans="15:15" hidden="1" x14ac:dyDescent="0.2">
      <c r="O371" s="389"/>
    </row>
    <row r="372" spans="15:15" hidden="1" x14ac:dyDescent="0.2">
      <c r="O372" s="389"/>
    </row>
    <row r="373" spans="15:15" hidden="1" x14ac:dyDescent="0.2">
      <c r="O373" s="389"/>
    </row>
    <row r="374" spans="15:15" hidden="1" x14ac:dyDescent="0.2">
      <c r="O374" s="389"/>
    </row>
    <row r="375" spans="15:15" hidden="1" x14ac:dyDescent="0.2">
      <c r="O375" s="389"/>
    </row>
    <row r="376" spans="15:15" hidden="1" x14ac:dyDescent="0.2">
      <c r="O376" s="389"/>
    </row>
    <row r="377" spans="15:15" hidden="1" x14ac:dyDescent="0.2">
      <c r="O377" s="389"/>
    </row>
    <row r="378" spans="15:15" hidden="1" x14ac:dyDescent="0.2">
      <c r="O378" s="389"/>
    </row>
    <row r="379" spans="15:15" hidden="1" x14ac:dyDescent="0.2">
      <c r="O379" s="389"/>
    </row>
    <row r="380" spans="15:15" hidden="1" x14ac:dyDescent="0.2">
      <c r="O380" s="389"/>
    </row>
    <row r="381" spans="15:15" hidden="1" x14ac:dyDescent="0.2">
      <c r="O381" s="389"/>
    </row>
    <row r="382" spans="15:15" hidden="1" x14ac:dyDescent="0.2">
      <c r="O382" s="389"/>
    </row>
    <row r="383" spans="15:15" hidden="1" x14ac:dyDescent="0.2">
      <c r="O383" s="389"/>
    </row>
    <row r="384" spans="15:15" hidden="1" x14ac:dyDescent="0.2">
      <c r="O384" s="389"/>
    </row>
    <row r="385" spans="15:15" hidden="1" x14ac:dyDescent="0.2">
      <c r="O385" s="389"/>
    </row>
    <row r="386" spans="15:15" hidden="1" x14ac:dyDescent="0.2">
      <c r="O386" s="389"/>
    </row>
    <row r="387" spans="15:15" hidden="1" x14ac:dyDescent="0.2">
      <c r="O387" s="389"/>
    </row>
    <row r="388" spans="15:15" hidden="1" x14ac:dyDescent="0.2">
      <c r="O388" s="389"/>
    </row>
    <row r="389" spans="15:15" hidden="1" x14ac:dyDescent="0.2">
      <c r="O389" s="389"/>
    </row>
    <row r="390" spans="15:15" hidden="1" x14ac:dyDescent="0.2">
      <c r="O390" s="389"/>
    </row>
    <row r="391" spans="15:15" hidden="1" x14ac:dyDescent="0.2">
      <c r="O391" s="389"/>
    </row>
    <row r="392" spans="15:15" hidden="1" x14ac:dyDescent="0.2">
      <c r="O392" s="389"/>
    </row>
    <row r="393" spans="15:15" x14ac:dyDescent="0.2">
      <c r="O393" s="389"/>
    </row>
    <row r="394" spans="15:15" x14ac:dyDescent="0.2">
      <c r="O394" s="389"/>
    </row>
    <row r="395" spans="15:15" x14ac:dyDescent="0.2">
      <c r="O395" s="389"/>
    </row>
    <row r="396" spans="15:15" x14ac:dyDescent="0.2">
      <c r="O396" s="389"/>
    </row>
    <row r="397" spans="15:15" x14ac:dyDescent="0.2">
      <c r="O397" s="389"/>
    </row>
    <row r="398" spans="15:15" x14ac:dyDescent="0.2">
      <c r="O398" s="389"/>
    </row>
    <row r="399" spans="15:15" x14ac:dyDescent="0.2">
      <c r="O399" s="389"/>
    </row>
    <row r="400" spans="15:15" x14ac:dyDescent="0.2">
      <c r="O400" s="389"/>
    </row>
    <row r="401" spans="2:24" x14ac:dyDescent="0.2">
      <c r="O401" s="389"/>
    </row>
    <row r="402" spans="2:24" x14ac:dyDescent="0.2">
      <c r="O402" s="389"/>
    </row>
    <row r="403" spans="2:24" x14ac:dyDescent="0.2">
      <c r="O403" s="389"/>
    </row>
    <row r="404" spans="2:24" x14ac:dyDescent="0.2">
      <c r="O404" s="389"/>
    </row>
    <row r="405" spans="2:24" x14ac:dyDescent="0.2">
      <c r="O405" s="389"/>
    </row>
    <row r="406" spans="2:24" x14ac:dyDescent="0.2">
      <c r="O406" s="389"/>
    </row>
    <row r="407" spans="2:24" x14ac:dyDescent="0.2">
      <c r="O407" s="389"/>
    </row>
    <row r="408" spans="2:24" ht="5.0999999999999996" customHeight="1" x14ac:dyDescent="0.2">
      <c r="B408" s="405"/>
      <c r="C408" s="391"/>
      <c r="D408" s="391"/>
      <c r="E408" s="403"/>
      <c r="F408" s="390"/>
      <c r="G408" s="390"/>
      <c r="H408" s="390"/>
      <c r="I408" s="390"/>
      <c r="J408" s="390"/>
      <c r="K408" s="390"/>
      <c r="L408" s="392"/>
      <c r="M408" s="390"/>
      <c r="N408" s="390"/>
      <c r="O408" s="390"/>
      <c r="P408" s="390"/>
      <c r="Q408" s="390"/>
      <c r="R408" s="390"/>
      <c r="S408" s="390"/>
      <c r="T408" s="390"/>
      <c r="U408" s="390"/>
      <c r="V408" s="390"/>
      <c r="W408" s="390"/>
      <c r="X408" s="393"/>
    </row>
    <row r="409" spans="2:24" x14ac:dyDescent="0.2">
      <c r="B409" s="406"/>
      <c r="E409" s="404" t="s">
        <v>735</v>
      </c>
      <c r="F409" s="394" t="s">
        <v>629</v>
      </c>
      <c r="G409" s="376"/>
      <c r="J409" s="377"/>
      <c r="K409" s="394" t="s">
        <v>735</v>
      </c>
      <c r="L409" s="394" t="s">
        <v>629</v>
      </c>
      <c r="Q409" s="394" t="s">
        <v>735</v>
      </c>
      <c r="R409" s="394" t="s">
        <v>629</v>
      </c>
      <c r="X409" s="395"/>
    </row>
    <row r="410" spans="2:24" x14ac:dyDescent="0.2">
      <c r="B410" s="406"/>
      <c r="D410" s="396" t="s">
        <v>1149</v>
      </c>
      <c r="E410" s="730">
        <f>IFERROR(MIN(AM338:IJ338),0)</f>
        <v>0</v>
      </c>
      <c r="F410" s="731">
        <f>MIN(AM339:IJ339)</f>
        <v>0</v>
      </c>
      <c r="J410" s="397" t="s">
        <v>1147</v>
      </c>
      <c r="K410" s="730">
        <f>IFERROR(AVERAGE(AM338:IJ338),0)</f>
        <v>0</v>
      </c>
      <c r="L410" s="731">
        <f>AVERAGE(AM339:IJ339)</f>
        <v>0</v>
      </c>
      <c r="P410" s="396" t="s">
        <v>1148</v>
      </c>
      <c r="Q410" s="730">
        <f>IFERROR(MAX(AM338:IJ338),0)</f>
        <v>0</v>
      </c>
      <c r="R410" s="731">
        <f>MAX(AM339:IJ339)</f>
        <v>0</v>
      </c>
      <c r="X410" s="395"/>
    </row>
    <row r="411" spans="2:24" ht="5.0999999999999996" customHeight="1" x14ac:dyDescent="0.2">
      <c r="B411" s="407"/>
      <c r="C411" s="394"/>
      <c r="D411" s="394"/>
      <c r="E411" s="404"/>
      <c r="F411" s="398"/>
      <c r="G411" s="398"/>
      <c r="H411" s="398"/>
      <c r="I411" s="398"/>
      <c r="J411" s="398"/>
      <c r="K411" s="398"/>
      <c r="L411" s="399"/>
      <c r="M411" s="398"/>
      <c r="N411" s="398"/>
      <c r="O411" s="398"/>
      <c r="P411" s="398"/>
      <c r="Q411" s="398"/>
      <c r="R411" s="398"/>
      <c r="S411" s="398"/>
      <c r="T411" s="398"/>
      <c r="U411" s="398"/>
      <c r="V411" s="398"/>
      <c r="W411" s="398"/>
      <c r="X411" s="400"/>
    </row>
  </sheetData>
  <sheetProtection sheet="1" objects="1" scenarios="1" selectLockedCells="1"/>
  <mergeCells count="88">
    <mergeCell ref="B5:B7"/>
    <mergeCell ref="R285:R287"/>
    <mergeCell ref="M2:Q2"/>
    <mergeCell ref="G5:G7"/>
    <mergeCell ref="G155:G157"/>
    <mergeCell ref="G285:G287"/>
    <mergeCell ref="K5:K7"/>
    <mergeCell ref="L5:L7"/>
    <mergeCell ref="H5:H7"/>
    <mergeCell ref="I5:I7"/>
    <mergeCell ref="I155:I157"/>
    <mergeCell ref="H155:H157"/>
    <mergeCell ref="K285:K287"/>
    <mergeCell ref="Q285:Q287"/>
    <mergeCell ref="N285:N287"/>
    <mergeCell ref="M5:M7"/>
    <mergeCell ref="B154:X154"/>
    <mergeCell ref="AL286:IJ286"/>
    <mergeCell ref="S285:S287"/>
    <mergeCell ref="T285:T287"/>
    <mergeCell ref="U285:U287"/>
    <mergeCell ref="V285:V287"/>
    <mergeCell ref="W285:W287"/>
    <mergeCell ref="X285:X287"/>
    <mergeCell ref="S155:S157"/>
    <mergeCell ref="B284:X284"/>
    <mergeCell ref="U155:U157"/>
    <mergeCell ref="J285:J287"/>
    <mergeCell ref="D285:D287"/>
    <mergeCell ref="V155:V157"/>
    <mergeCell ref="C155:C157"/>
    <mergeCell ref="B155:B157"/>
    <mergeCell ref="L155:L157"/>
    <mergeCell ref="H285:H287"/>
    <mergeCell ref="F285:F287"/>
    <mergeCell ref="B285:B287"/>
    <mergeCell ref="N155:N157"/>
    <mergeCell ref="C285:C287"/>
    <mergeCell ref="M285:M287"/>
    <mergeCell ref="L285:L287"/>
    <mergeCell ref="E5:E7"/>
    <mergeCell ref="AL156:IJ156"/>
    <mergeCell ref="Q155:Q157"/>
    <mergeCell ref="E285:E287"/>
    <mergeCell ref="O285:O287"/>
    <mergeCell ref="P285:P287"/>
    <mergeCell ref="M155:M157"/>
    <mergeCell ref="E155:E157"/>
    <mergeCell ref="F155:F157"/>
    <mergeCell ref="K155:K157"/>
    <mergeCell ref="X155:X157"/>
    <mergeCell ref="O155:O157"/>
    <mergeCell ref="P155:P157"/>
    <mergeCell ref="I285:I287"/>
    <mergeCell ref="T155:T157"/>
    <mergeCell ref="R155:R157"/>
    <mergeCell ref="AH5:AH7"/>
    <mergeCell ref="D5:D7"/>
    <mergeCell ref="AL6:IJ6"/>
    <mergeCell ref="O5:O7"/>
    <mergeCell ref="P5:P7"/>
    <mergeCell ref="Q5:Q7"/>
    <mergeCell ref="R5:R7"/>
    <mergeCell ref="U5:U7"/>
    <mergeCell ref="V5:V7"/>
    <mergeCell ref="S5:S7"/>
    <mergeCell ref="AE5:AE7"/>
    <mergeCell ref="AF5:AF7"/>
    <mergeCell ref="AG5:AG7"/>
    <mergeCell ref="T5:T7"/>
    <mergeCell ref="W5:W7"/>
    <mergeCell ref="X5:X7"/>
    <mergeCell ref="C5:C7"/>
    <mergeCell ref="J5:J7"/>
    <mergeCell ref="W155:W157"/>
    <mergeCell ref="B4:AJ4"/>
    <mergeCell ref="Y5:Y7"/>
    <mergeCell ref="Z5:Z7"/>
    <mergeCell ref="AA5:AA7"/>
    <mergeCell ref="AB5:AB7"/>
    <mergeCell ref="AC5:AC7"/>
    <mergeCell ref="AD5:AD7"/>
    <mergeCell ref="N5:N7"/>
    <mergeCell ref="AI5:AI7"/>
    <mergeCell ref="AJ5:AJ7"/>
    <mergeCell ref="F5:F7"/>
    <mergeCell ref="D155:D157"/>
    <mergeCell ref="J155:J157"/>
  </mergeCells>
  <conditionalFormatting sqref="AM338:IJ338">
    <cfRule type="cellIs" dxfId="527" priority="83" stopIfTrue="1" operator="equal">
      <formula>$Q410</formula>
    </cfRule>
    <cfRule type="cellIs" dxfId="526" priority="84" stopIfTrue="1" operator="equal">
      <formula>$E410</formula>
    </cfRule>
  </conditionalFormatting>
  <conditionalFormatting sqref="AM339:IJ339">
    <cfRule type="cellIs" dxfId="525" priority="89" stopIfTrue="1" operator="equal">
      <formula>$R410</formula>
    </cfRule>
    <cfRule type="cellIs" dxfId="524" priority="90" stopIfTrue="1" operator="equal">
      <formula>$F410</formula>
    </cfRule>
  </conditionalFormatting>
  <conditionalFormatting sqref="AM158:IJ207 AM288:IJ337 AM8:IJ77">
    <cfRule type="cellIs" dxfId="523" priority="95" stopIfTrue="1" operator="equal">
      <formula>$E8*$L8</formula>
    </cfRule>
    <cfRule type="cellIs" dxfId="522" priority="96" stopIfTrue="1" operator="equal">
      <formula>0</formula>
    </cfRule>
  </conditionalFormatting>
  <conditionalFormatting sqref="N158:AJ207 N288:AJ337">
    <cfRule type="cellIs" dxfId="521" priority="13" stopIfTrue="1" operator="lessThan">
      <formula>0</formula>
    </cfRule>
  </conditionalFormatting>
  <conditionalFormatting sqref="N158:AJ206">
    <cfRule type="cellIs" dxfId="520" priority="7" stopIfTrue="1" operator="lessThan">
      <formula>0</formula>
    </cfRule>
  </conditionalFormatting>
  <conditionalFormatting sqref="N158:AJ207">
    <cfRule type="cellIs" dxfId="519" priority="6" stopIfTrue="1" operator="lessThan">
      <formula>0</formula>
    </cfRule>
  </conditionalFormatting>
  <conditionalFormatting sqref="N288:AJ337">
    <cfRule type="cellIs" dxfId="518" priority="5" stopIfTrue="1" operator="lessThan">
      <formula>0</formula>
    </cfRule>
  </conditionalFormatting>
  <conditionalFormatting sqref="AM78:IJ78 AM208:IJ208">
    <cfRule type="cellIs" dxfId="517" priority="97" stopIfTrue="1" operator="equal">
      <formula>$Q150</formula>
    </cfRule>
    <cfRule type="cellIs" dxfId="516" priority="98" stopIfTrue="1" operator="equal">
      <formula>$E150</formula>
    </cfRule>
  </conditionalFormatting>
  <conditionalFormatting sqref="AM79:IJ79 AM209:IJ209">
    <cfRule type="cellIs" dxfId="515" priority="99" stopIfTrue="1" operator="equal">
      <formula>$R150</formula>
    </cfRule>
    <cfRule type="cellIs" dxfId="514" priority="100" stopIfTrue="1" operator="equal">
      <formula>$F150</formula>
    </cfRule>
  </conditionalFormatting>
  <conditionalFormatting sqref="Y158:AJ207">
    <cfRule type="cellIs" dxfId="513" priority="4" stopIfTrue="1" operator="lessThan">
      <formula>0</formula>
    </cfRule>
  </conditionalFormatting>
  <conditionalFormatting sqref="Y288:AJ337">
    <cfRule type="cellIs" dxfId="512" priority="3" stopIfTrue="1" operator="lessThan">
      <formula>0</formula>
    </cfRule>
  </conditionalFormatting>
  <conditionalFormatting sqref="N8:AJ77">
    <cfRule type="cellIs" dxfId="511" priority="2" stopIfTrue="1" operator="lessThan">
      <formula>0</formula>
    </cfRule>
  </conditionalFormatting>
  <conditionalFormatting sqref="N8:AJ77">
    <cfRule type="cellIs" dxfId="510" priority="1" stopIfTrue="1" operator="lessThan">
      <formula>0</formula>
    </cfRule>
  </conditionalFormatting>
  <conditionalFormatting sqref="F8:J8">
    <cfRule type="expression" dxfId="509" priority="101" stopIfTrue="1">
      <formula>VLOOKUP($B8,LegendSG1CKTMode,6,FALSE)="CASE - AUTO"</formula>
    </cfRule>
  </conditionalFormatting>
  <conditionalFormatting sqref="F9:J9">
    <cfRule type="expression" dxfId="508" priority="102" stopIfTrue="1">
      <formula>VLOOKUP($B9,LegendSG1CKTMode,6,FALSE)="CASE - AUTO"</formula>
    </cfRule>
  </conditionalFormatting>
  <conditionalFormatting sqref="F10:J10">
    <cfRule type="expression" dxfId="507" priority="103" stopIfTrue="1">
      <formula>VLOOKUP($B10,LegendSG1CKTMode,6,FALSE)="CASE - AUTO"</formula>
    </cfRule>
  </conditionalFormatting>
  <conditionalFormatting sqref="F11:J11">
    <cfRule type="expression" dxfId="506" priority="104" stopIfTrue="1">
      <formula>VLOOKUP($B11,LegendSG1CKTMode,6,FALSE)="CASE - AUTO"</formula>
    </cfRule>
  </conditionalFormatting>
  <conditionalFormatting sqref="F12:J12">
    <cfRule type="expression" dxfId="505" priority="105" stopIfTrue="1">
      <formula>VLOOKUP($B12,LegendSG1CKTMode,6,FALSE)="CASE - AUTO"</formula>
    </cfRule>
  </conditionalFormatting>
  <conditionalFormatting sqref="F13:J13">
    <cfRule type="expression" dxfId="504" priority="106" stopIfTrue="1">
      <formula>VLOOKUP($B13,LegendSG1CKTMode,6,FALSE)="CASE - AUTO"</formula>
    </cfRule>
  </conditionalFormatting>
  <conditionalFormatting sqref="F14:J14">
    <cfRule type="expression" dxfId="503" priority="107" stopIfTrue="1">
      <formula>VLOOKUP($B14,LegendSG1CKTMode,6,FALSE)="CASE - AUTO"</formula>
    </cfRule>
  </conditionalFormatting>
  <conditionalFormatting sqref="F15:J15">
    <cfRule type="expression" dxfId="502" priority="108" stopIfTrue="1">
      <formula>VLOOKUP($B15,LegendSG1CKTMode,6,FALSE)="CASE - AUTO"</formula>
    </cfRule>
  </conditionalFormatting>
  <conditionalFormatting sqref="F16:J16">
    <cfRule type="expression" dxfId="501" priority="109" stopIfTrue="1">
      <formula>VLOOKUP($B16,LegendSG1CKTMode,6,FALSE)="CASE - AUTO"</formula>
    </cfRule>
  </conditionalFormatting>
  <conditionalFormatting sqref="F17:J17">
    <cfRule type="expression" dxfId="500" priority="110" stopIfTrue="1">
      <formula>VLOOKUP($B17,LegendSG1CKTMode,6,FALSE)="CASE - AUTO"</formula>
    </cfRule>
  </conditionalFormatting>
  <conditionalFormatting sqref="F18:J18">
    <cfRule type="expression" dxfId="499" priority="111" stopIfTrue="1">
      <formula>VLOOKUP($B18,LegendSG1CKTMode,6,FALSE)="CASE - AUTO"</formula>
    </cfRule>
  </conditionalFormatting>
  <conditionalFormatting sqref="F19:J19">
    <cfRule type="expression" dxfId="498" priority="112" stopIfTrue="1">
      <formula>VLOOKUP($B19,LegendSG1CKTMode,6,FALSE)="CASE - AUTO"</formula>
    </cfRule>
  </conditionalFormatting>
  <conditionalFormatting sqref="F20:J20">
    <cfRule type="expression" dxfId="497" priority="113" stopIfTrue="1">
      <formula>VLOOKUP($B20,LegendSG1CKTMode,6,FALSE)="CASE - AUTO"</formula>
    </cfRule>
  </conditionalFormatting>
  <conditionalFormatting sqref="F21:J21">
    <cfRule type="expression" dxfId="496" priority="114" stopIfTrue="1">
      <formula>VLOOKUP($B21,LegendSG1CKTMode,6,FALSE)="CASE - AUTO"</formula>
    </cfRule>
  </conditionalFormatting>
  <conditionalFormatting sqref="F22:J22">
    <cfRule type="expression" dxfId="495" priority="115" stopIfTrue="1">
      <formula>VLOOKUP($B22,LegendSG1CKTMode,6,FALSE)="CASE - AUTO"</formula>
    </cfRule>
  </conditionalFormatting>
  <conditionalFormatting sqref="F23:J23">
    <cfRule type="expression" dxfId="494" priority="116" stopIfTrue="1">
      <formula>VLOOKUP($B23,LegendSG1CKTMode,6,FALSE)="CASE - AUTO"</formula>
    </cfRule>
  </conditionalFormatting>
  <conditionalFormatting sqref="F24:J24">
    <cfRule type="expression" dxfId="493" priority="117" stopIfTrue="1">
      <formula>VLOOKUP($B24,LegendSG1CKTMode,6,FALSE)="CASE - AUTO"</formula>
    </cfRule>
  </conditionalFormatting>
  <conditionalFormatting sqref="F25:J25">
    <cfRule type="expression" dxfId="492" priority="118" stopIfTrue="1">
      <formula>VLOOKUP($B25,LegendSG1CKTMode,6,FALSE)="CASE - AUTO"</formula>
    </cfRule>
  </conditionalFormatting>
  <conditionalFormatting sqref="F26:J26">
    <cfRule type="expression" dxfId="491" priority="119" stopIfTrue="1">
      <formula>VLOOKUP($B26,LegendSG1CKTMode,6,FALSE)="CASE - AUTO"</formula>
    </cfRule>
  </conditionalFormatting>
  <conditionalFormatting sqref="F27:J27">
    <cfRule type="expression" dxfId="490" priority="120" stopIfTrue="1">
      <formula>VLOOKUP($B27,LegendSG1CKTMode,6,FALSE)="CASE - AUTO"</formula>
    </cfRule>
  </conditionalFormatting>
  <conditionalFormatting sqref="F28:J28">
    <cfRule type="expression" dxfId="489" priority="121" stopIfTrue="1">
      <formula>VLOOKUP($B28,LegendSG1CKTMode,6,FALSE)="CASE - AUTO"</formula>
    </cfRule>
  </conditionalFormatting>
  <conditionalFormatting sqref="F29:J29">
    <cfRule type="expression" dxfId="488" priority="122" stopIfTrue="1">
      <formula>VLOOKUP($B29,LegendSG1CKTMode,6,FALSE)="CASE - AUTO"</formula>
    </cfRule>
  </conditionalFormatting>
  <conditionalFormatting sqref="F30:J30">
    <cfRule type="expression" dxfId="487" priority="123" stopIfTrue="1">
      <formula>VLOOKUP($B30,LegendSG1CKTMode,6,FALSE)="CASE - AUTO"</formula>
    </cfRule>
  </conditionalFormatting>
  <conditionalFormatting sqref="F31:J31">
    <cfRule type="expression" dxfId="486" priority="124" stopIfTrue="1">
      <formula>VLOOKUP($B31,LegendSG1CKTMode,6,FALSE)="CASE - AUTO"</formula>
    </cfRule>
  </conditionalFormatting>
  <conditionalFormatting sqref="F32:J32">
    <cfRule type="expression" dxfId="485" priority="125" stopIfTrue="1">
      <formula>VLOOKUP($B32,LegendSG1CKTMode,6,FALSE)="CASE - AUTO"</formula>
    </cfRule>
  </conditionalFormatting>
  <conditionalFormatting sqref="F33:J33">
    <cfRule type="expression" dxfId="484" priority="126" stopIfTrue="1">
      <formula>VLOOKUP($B33,LegendSG1CKTMode,6,FALSE)="CASE - AUTO"</formula>
    </cfRule>
  </conditionalFormatting>
  <conditionalFormatting sqref="F34:J34">
    <cfRule type="expression" dxfId="483" priority="127" stopIfTrue="1">
      <formula>VLOOKUP($B34,LegendSG1CKTMode,6,FALSE)="CASE - AUTO"</formula>
    </cfRule>
  </conditionalFormatting>
  <conditionalFormatting sqref="F35:J35">
    <cfRule type="expression" dxfId="482" priority="128" stopIfTrue="1">
      <formula>VLOOKUP($B35,LegendSG1CKTMode,6,FALSE)="CASE - AUTO"</formula>
    </cfRule>
  </conditionalFormatting>
  <conditionalFormatting sqref="F36:J36">
    <cfRule type="expression" dxfId="481" priority="129" stopIfTrue="1">
      <formula>VLOOKUP($B36,LegendSG1CKTMode,6,FALSE)="CASE - AUTO"</formula>
    </cfRule>
  </conditionalFormatting>
  <conditionalFormatting sqref="F37:J37">
    <cfRule type="expression" dxfId="480" priority="130" stopIfTrue="1">
      <formula>VLOOKUP($B37,LegendSG1CKTMode,6,FALSE)="CASE - AUTO"</formula>
    </cfRule>
  </conditionalFormatting>
  <conditionalFormatting sqref="F38:J38">
    <cfRule type="expression" dxfId="479" priority="131" stopIfTrue="1">
      <formula>VLOOKUP($B38,LegendSG1CKTMode,6,FALSE)="CASE - AUTO"</formula>
    </cfRule>
  </conditionalFormatting>
  <conditionalFormatting sqref="F39:J39">
    <cfRule type="expression" dxfId="478" priority="132" stopIfTrue="1">
      <formula>VLOOKUP($B39,LegendSG1CKTMode,6,FALSE)="CASE - AUTO"</formula>
    </cfRule>
  </conditionalFormatting>
  <conditionalFormatting sqref="F40:J40">
    <cfRule type="expression" dxfId="477" priority="133" stopIfTrue="1">
      <formula>VLOOKUP($B40,LegendSG1CKTMode,6,FALSE)="CASE - AUTO"</formula>
    </cfRule>
  </conditionalFormatting>
  <conditionalFormatting sqref="F41:J41">
    <cfRule type="expression" dxfId="476" priority="134" stopIfTrue="1">
      <formula>VLOOKUP($B41,LegendSG1CKTMode,6,FALSE)="CASE - AUTO"</formula>
    </cfRule>
  </conditionalFormatting>
  <conditionalFormatting sqref="F42:J42">
    <cfRule type="expression" dxfId="475" priority="135" stopIfTrue="1">
      <formula>VLOOKUP($B42,LegendSG1CKTMode,6,FALSE)="CASE - AUTO"</formula>
    </cfRule>
  </conditionalFormatting>
  <conditionalFormatting sqref="F158:J158">
    <cfRule type="expression" dxfId="474" priority="151" stopIfTrue="1">
      <formula>VLOOKUP($B158,LegendSG2CKTMode,6,FALSE)="CASE - AUTO"</formula>
    </cfRule>
  </conditionalFormatting>
  <conditionalFormatting sqref="F159:J159">
    <cfRule type="expression" dxfId="473" priority="152" stopIfTrue="1">
      <formula>VLOOKUP($B159,LegendSG2CKTMode,6,FALSE)="CASE - AUTO"</formula>
    </cfRule>
  </conditionalFormatting>
  <conditionalFormatting sqref="F160:J160">
    <cfRule type="expression" dxfId="472" priority="153" stopIfTrue="1">
      <formula>VLOOKUP($B160,LegendSG2CKTMode,6,FALSE)="CASE - AUTO"</formula>
    </cfRule>
  </conditionalFormatting>
  <conditionalFormatting sqref="F161:J161">
    <cfRule type="expression" dxfId="471" priority="154" stopIfTrue="1">
      <formula>VLOOKUP($B161,LegendSG2CKTMode,6,FALSE)="CASE - AUTO"</formula>
    </cfRule>
  </conditionalFormatting>
  <conditionalFormatting sqref="F162:J162">
    <cfRule type="expression" dxfId="470" priority="155" stopIfTrue="1">
      <formula>VLOOKUP($B162,LegendSG2CKTMode,6,FALSE)="CASE - AUTO"</formula>
    </cfRule>
  </conditionalFormatting>
  <conditionalFormatting sqref="F163:J163">
    <cfRule type="expression" dxfId="469" priority="156" stopIfTrue="1">
      <formula>VLOOKUP($B163,LegendSG2CKTMode,6,FALSE)="CASE - AUTO"</formula>
    </cfRule>
  </conditionalFormatting>
  <conditionalFormatting sqref="F164:J164">
    <cfRule type="expression" dxfId="468" priority="157" stopIfTrue="1">
      <formula>VLOOKUP($B164,LegendSG2CKTMode,6,FALSE)="CASE - AUTO"</formula>
    </cfRule>
  </conditionalFormatting>
  <conditionalFormatting sqref="F165:J165">
    <cfRule type="expression" dxfId="467" priority="158" stopIfTrue="1">
      <formula>VLOOKUP($B165,LegendSG2CKTMode,6,FALSE)="CASE - AUTO"</formula>
    </cfRule>
  </conditionalFormatting>
  <conditionalFormatting sqref="F166:J166">
    <cfRule type="expression" dxfId="466" priority="159" stopIfTrue="1">
      <formula>VLOOKUP($B166,LegendSG2CKTMode,6,FALSE)="CASE - AUTO"</formula>
    </cfRule>
  </conditionalFormatting>
  <conditionalFormatting sqref="F167:J167">
    <cfRule type="expression" dxfId="465" priority="160" stopIfTrue="1">
      <formula>VLOOKUP($B167,LegendSG2CKTMode,6,FALSE)="CASE - AUTO"</formula>
    </cfRule>
  </conditionalFormatting>
  <conditionalFormatting sqref="F168:J168">
    <cfRule type="expression" dxfId="464" priority="161" stopIfTrue="1">
      <formula>VLOOKUP($B168,LegendSG2CKTMode,6,FALSE)="CASE - AUTO"</formula>
    </cfRule>
  </conditionalFormatting>
  <conditionalFormatting sqref="F169:J169">
    <cfRule type="expression" dxfId="463" priority="162" stopIfTrue="1">
      <formula>VLOOKUP($B169,LegendSG2CKTMode,6,FALSE)="CASE - AUTO"</formula>
    </cfRule>
  </conditionalFormatting>
  <conditionalFormatting sqref="F170:J170">
    <cfRule type="expression" dxfId="462" priority="163" stopIfTrue="1">
      <formula>VLOOKUP($B170,LegendSG2CKTMode,6,FALSE)="CASE - AUTO"</formula>
    </cfRule>
  </conditionalFormatting>
  <conditionalFormatting sqref="F171:J171">
    <cfRule type="expression" dxfId="461" priority="164" stopIfTrue="1">
      <formula>VLOOKUP($B171,LegendSG2CKTMode,6,FALSE)="CASE - AUTO"</formula>
    </cfRule>
  </conditionalFormatting>
  <conditionalFormatting sqref="F172:J172">
    <cfRule type="expression" dxfId="460" priority="165" stopIfTrue="1">
      <formula>VLOOKUP($B172,LegendSG2CKTMode,6,FALSE)="CASE - AUTO"</formula>
    </cfRule>
  </conditionalFormatting>
  <conditionalFormatting sqref="F173:J173">
    <cfRule type="expression" dxfId="459" priority="166" stopIfTrue="1">
      <formula>VLOOKUP($B173,LegendSG2CKTMode,6,FALSE)="CASE - AUTO"</formula>
    </cfRule>
  </conditionalFormatting>
  <conditionalFormatting sqref="F174:J174">
    <cfRule type="expression" dxfId="458" priority="167" stopIfTrue="1">
      <formula>VLOOKUP($B174,LegendSG2CKTMode,6,FALSE)="CASE - AUTO"</formula>
    </cfRule>
  </conditionalFormatting>
  <conditionalFormatting sqref="F175:J175">
    <cfRule type="expression" dxfId="457" priority="168" stopIfTrue="1">
      <formula>VLOOKUP($B175,LegendSG2CKTMode,6,FALSE)="CASE - AUTO"</formula>
    </cfRule>
  </conditionalFormatting>
  <conditionalFormatting sqref="F176:J176">
    <cfRule type="expression" dxfId="456" priority="169" stopIfTrue="1">
      <formula>VLOOKUP($B176,LegendSG2CKTMode,6,FALSE)="CASE - AUTO"</formula>
    </cfRule>
  </conditionalFormatting>
  <conditionalFormatting sqref="F177:J177">
    <cfRule type="expression" dxfId="455" priority="170" stopIfTrue="1">
      <formula>VLOOKUP($B177,LegendSG2CKTMode,6,FALSE)="CASE - AUTO"</formula>
    </cfRule>
  </conditionalFormatting>
  <conditionalFormatting sqref="F178:J178">
    <cfRule type="expression" dxfId="454" priority="171" stopIfTrue="1">
      <formula>VLOOKUP($B178,LegendSG2CKTMode,6,FALSE)="CASE - AUTO"</formula>
    </cfRule>
  </conditionalFormatting>
  <conditionalFormatting sqref="F179:J179">
    <cfRule type="expression" dxfId="453" priority="172" stopIfTrue="1">
      <formula>VLOOKUP($B179,LegendSG2CKTMode,6,FALSE)="CASE - AUTO"</formula>
    </cfRule>
  </conditionalFormatting>
  <conditionalFormatting sqref="F180:J180">
    <cfRule type="expression" dxfId="452" priority="173" stopIfTrue="1">
      <formula>VLOOKUP($B180,LegendSG2CKTMode,6,FALSE)="CASE - AUTO"</formula>
    </cfRule>
  </conditionalFormatting>
  <conditionalFormatting sqref="F181:J181">
    <cfRule type="expression" dxfId="451" priority="174" stopIfTrue="1">
      <formula>VLOOKUP($B181,LegendSG2CKTMode,6,FALSE)="CASE - AUTO"</formula>
    </cfRule>
  </conditionalFormatting>
  <conditionalFormatting sqref="F182:J182">
    <cfRule type="expression" dxfId="450" priority="175" stopIfTrue="1">
      <formula>VLOOKUP($B182,LegendSG2CKTMode,6,FALSE)="CASE - AUTO"</formula>
    </cfRule>
  </conditionalFormatting>
  <conditionalFormatting sqref="F183:J183">
    <cfRule type="expression" dxfId="449" priority="176" stopIfTrue="1">
      <formula>VLOOKUP($B183,LegendSG2CKTMode,6,FALSE)="CASE - AUTO"</formula>
    </cfRule>
  </conditionalFormatting>
  <conditionalFormatting sqref="F184:J184">
    <cfRule type="expression" dxfId="448" priority="177" stopIfTrue="1">
      <formula>VLOOKUP($B184,LegendSG2CKTMode,6,FALSE)="CASE - AUTO"</formula>
    </cfRule>
  </conditionalFormatting>
  <conditionalFormatting sqref="F185:J185">
    <cfRule type="expression" dxfId="447" priority="178" stopIfTrue="1">
      <formula>VLOOKUP($B185,LegendSG2CKTMode,6,FALSE)="CASE - AUTO"</formula>
    </cfRule>
  </conditionalFormatting>
  <conditionalFormatting sqref="F186:J186">
    <cfRule type="expression" dxfId="446" priority="179" stopIfTrue="1">
      <formula>VLOOKUP($B186,LegendSG2CKTMode,6,FALSE)="CASE - AUTO"</formula>
    </cfRule>
  </conditionalFormatting>
  <conditionalFormatting sqref="F187:J187">
    <cfRule type="expression" dxfId="445" priority="180" stopIfTrue="1">
      <formula>VLOOKUP($B187,LegendSG2CKTMode,6,FALSE)="CASE - AUTO"</formula>
    </cfRule>
  </conditionalFormatting>
  <conditionalFormatting sqref="F188:J188">
    <cfRule type="expression" dxfId="444" priority="181" stopIfTrue="1">
      <formula>VLOOKUP($B188,LegendSG2CKTMode,6,FALSE)="CASE - AUTO"</formula>
    </cfRule>
  </conditionalFormatting>
  <conditionalFormatting sqref="F189:J189">
    <cfRule type="expression" dxfId="443" priority="182" stopIfTrue="1">
      <formula>VLOOKUP($B189,LegendSG2CKTMode,6,FALSE)="CASE - AUTO"</formula>
    </cfRule>
  </conditionalFormatting>
  <conditionalFormatting sqref="F190:J190">
    <cfRule type="expression" dxfId="442" priority="183" stopIfTrue="1">
      <formula>VLOOKUP($B190,LegendSG2CKTMode,6,FALSE)="CASE - AUTO"</formula>
    </cfRule>
  </conditionalFormatting>
  <conditionalFormatting sqref="F191:J191">
    <cfRule type="expression" dxfId="441" priority="184" stopIfTrue="1">
      <formula>VLOOKUP($B191,LegendSG2CKTMode,6,FALSE)="CASE - AUTO"</formula>
    </cfRule>
  </conditionalFormatting>
  <conditionalFormatting sqref="F192:J192">
    <cfRule type="expression" dxfId="440" priority="185" stopIfTrue="1">
      <formula>VLOOKUP($B192,LegendSG2CKTMode,6,FALSE)="CASE - AUTO"</formula>
    </cfRule>
  </conditionalFormatting>
  <conditionalFormatting sqref="F193:J193">
    <cfRule type="expression" dxfId="439" priority="186" stopIfTrue="1">
      <formula>VLOOKUP($B193,LegendSG2CKTMode,6,FALSE)="CASE - AUTO"</formula>
    </cfRule>
  </conditionalFormatting>
  <conditionalFormatting sqref="F194:J194">
    <cfRule type="expression" dxfId="438" priority="187" stopIfTrue="1">
      <formula>VLOOKUP($B194,LegendSG2CKTMode,6,FALSE)="CASE - AUTO"</formula>
    </cfRule>
  </conditionalFormatting>
  <conditionalFormatting sqref="F195:J195">
    <cfRule type="expression" dxfId="437" priority="188" stopIfTrue="1">
      <formula>VLOOKUP($B195,LegendSG2CKTMode,6,FALSE)="CASE - AUTO"</formula>
    </cfRule>
  </conditionalFormatting>
  <conditionalFormatting sqref="F196:J196">
    <cfRule type="expression" dxfId="436" priority="189" stopIfTrue="1">
      <formula>VLOOKUP($B196,LegendSG2CKTMode,6,FALSE)="CASE - AUTO"</formula>
    </cfRule>
  </conditionalFormatting>
  <conditionalFormatting sqref="F197:J197">
    <cfRule type="expression" dxfId="435" priority="190" stopIfTrue="1">
      <formula>VLOOKUP($B197,LegendSG2CKTMode,6,FALSE)="CASE - AUTO"</formula>
    </cfRule>
  </conditionalFormatting>
  <conditionalFormatting sqref="F198:J198">
    <cfRule type="expression" dxfId="434" priority="191" stopIfTrue="1">
      <formula>VLOOKUP($B198,LegendSG2CKTMode,6,FALSE)="CASE - AUTO"</formula>
    </cfRule>
  </conditionalFormatting>
  <conditionalFormatting sqref="F199:J199">
    <cfRule type="expression" dxfId="433" priority="192" stopIfTrue="1">
      <formula>VLOOKUP($B199,LegendSG2CKTMode,6,FALSE)="CASE - AUTO"</formula>
    </cfRule>
  </conditionalFormatting>
  <conditionalFormatting sqref="F200:J200">
    <cfRule type="expression" dxfId="432" priority="193" stopIfTrue="1">
      <formula>VLOOKUP($B200,LegendSG2CKTMode,6,FALSE)="CASE - AUTO"</formula>
    </cfRule>
  </conditionalFormatting>
  <conditionalFormatting sqref="F201:J201">
    <cfRule type="expression" dxfId="431" priority="194" stopIfTrue="1">
      <formula>VLOOKUP($B201,LegendSG2CKTMode,6,FALSE)="CASE - AUTO"</formula>
    </cfRule>
  </conditionalFormatting>
  <conditionalFormatting sqref="F202:J202">
    <cfRule type="expression" dxfId="430" priority="195" stopIfTrue="1">
      <formula>VLOOKUP($B202,LegendSG2CKTMode,6,FALSE)="CASE - AUTO"</formula>
    </cfRule>
  </conditionalFormatting>
  <conditionalFormatting sqref="F203:J203">
    <cfRule type="expression" dxfId="429" priority="196" stopIfTrue="1">
      <formula>VLOOKUP($B203,LegendSG2CKTMode,6,FALSE)="CASE - AUTO"</formula>
    </cfRule>
  </conditionalFormatting>
  <conditionalFormatting sqref="F204:J204">
    <cfRule type="expression" dxfId="428" priority="197" stopIfTrue="1">
      <formula>VLOOKUP($B204,LegendSG2CKTMode,6,FALSE)="CASE - AUTO"</formula>
    </cfRule>
  </conditionalFormatting>
  <conditionalFormatting sqref="F205:J205">
    <cfRule type="expression" dxfId="427" priority="198" stopIfTrue="1">
      <formula>VLOOKUP($B205,LegendSG2CKTMode,6,FALSE)="CASE - AUTO"</formula>
    </cfRule>
  </conditionalFormatting>
  <conditionalFormatting sqref="F206:J206">
    <cfRule type="expression" dxfId="426" priority="199" stopIfTrue="1">
      <formula>VLOOKUP($B206,LegendSG2CKTMode,6,FALSE)="CASE - AUTO"</formula>
    </cfRule>
  </conditionalFormatting>
  <conditionalFormatting sqref="F207:J207">
    <cfRule type="expression" dxfId="425" priority="200" stopIfTrue="1">
      <formula>VLOOKUP($B207,LegendSG2CKTMode,6,FALSE)="CASE - AUTO"</formula>
    </cfRule>
  </conditionalFormatting>
  <conditionalFormatting sqref="F43:J43">
    <cfRule type="expression" dxfId="424" priority="201" stopIfTrue="1">
      <formula>VLOOKUP($B43,LegendSG1CKTMode_Skid,6,FALSE)="CASE - AUTO"</formula>
    </cfRule>
  </conditionalFormatting>
  <conditionalFormatting sqref="F44:J44">
    <cfRule type="expression" dxfId="423" priority="202" stopIfTrue="1">
      <formula>VLOOKUP($B44,LegendSG1CKTMode_Skid,6,FALSE)="CASE - AUTO"</formula>
    </cfRule>
  </conditionalFormatting>
  <conditionalFormatting sqref="F45:J45">
    <cfRule type="expression" dxfId="422" priority="203" stopIfTrue="1">
      <formula>VLOOKUP($B45,LegendSG1CKTMode_Skid,6,FALSE)="CASE - AUTO"</formula>
    </cfRule>
  </conditionalFormatting>
  <conditionalFormatting sqref="F46:J46">
    <cfRule type="expression" dxfId="421" priority="204" stopIfTrue="1">
      <formula>VLOOKUP($B46,LegendSG1CKTMode_Skid,6,FALSE)="CASE - AUTO"</formula>
    </cfRule>
  </conditionalFormatting>
  <conditionalFormatting sqref="F47:J47">
    <cfRule type="expression" dxfId="420" priority="205" stopIfTrue="1">
      <formula>VLOOKUP($B47,LegendSG1CKTMode_Skid,6,FALSE)="CASE - AUTO"</formula>
    </cfRule>
  </conditionalFormatting>
  <conditionalFormatting sqref="F48:J48">
    <cfRule type="expression" dxfId="419" priority="206" stopIfTrue="1">
      <formula>VLOOKUP($B48,LegendSG1CKTMode_Skid,6,FALSE)="CASE - AUTO"</formula>
    </cfRule>
  </conditionalFormatting>
  <conditionalFormatting sqref="F49:J49">
    <cfRule type="expression" dxfId="418" priority="207" stopIfTrue="1">
      <formula>VLOOKUP($B49,LegendSG1CKTMode_Skid,6,FALSE)="CASE - AUTO"</formula>
    </cfRule>
  </conditionalFormatting>
  <conditionalFormatting sqref="F50:J50">
    <cfRule type="expression" dxfId="417" priority="208" stopIfTrue="1">
      <formula>VLOOKUP($B50,LegendSG1CKTMode_Skid,6,FALSE)="CASE - AUTO"</formula>
    </cfRule>
  </conditionalFormatting>
  <conditionalFormatting sqref="F51:J51">
    <cfRule type="expression" dxfId="416" priority="209" stopIfTrue="1">
      <formula>VLOOKUP($B51,LegendSG1CKTMode_Skid,6,FALSE)="CASE - AUTO"</formula>
    </cfRule>
  </conditionalFormatting>
  <conditionalFormatting sqref="F52:J52">
    <cfRule type="expression" dxfId="415" priority="210" stopIfTrue="1">
      <formula>VLOOKUP($B52,LegendSG1CKTMode_Skid,6,FALSE)="CASE - AUTO"</formula>
    </cfRule>
  </conditionalFormatting>
  <conditionalFormatting sqref="F53:J53">
    <cfRule type="expression" dxfId="414" priority="211" stopIfTrue="1">
      <formula>VLOOKUP($B53,LegendSG1CKTMode_Skid,6,FALSE)="CASE - AUTO"</formula>
    </cfRule>
  </conditionalFormatting>
  <conditionalFormatting sqref="F54:J54">
    <cfRule type="expression" dxfId="413" priority="212" stopIfTrue="1">
      <formula>VLOOKUP($B54,LegendSG1CKTMode_Skid,6,FALSE)="CASE - AUTO"</formula>
    </cfRule>
  </conditionalFormatting>
  <conditionalFormatting sqref="F55:J55">
    <cfRule type="expression" dxfId="412" priority="213" stopIfTrue="1">
      <formula>VLOOKUP($B55,LegendSG1CKTMode_Skid,6,FALSE)="CASE - AUTO"</formula>
    </cfRule>
  </conditionalFormatting>
  <conditionalFormatting sqref="F56:J56">
    <cfRule type="expression" dxfId="411" priority="214" stopIfTrue="1">
      <formula>VLOOKUP($B56,LegendSG1CKTMode_Skid,6,FALSE)="CASE - AUTO"</formula>
    </cfRule>
  </conditionalFormatting>
  <conditionalFormatting sqref="F57:J57">
    <cfRule type="expression" dxfId="410" priority="215" stopIfTrue="1">
      <formula>VLOOKUP($B57,LegendSG1CKTMode_Skid,6,FALSE)="CASE - AUTO"</formula>
    </cfRule>
  </conditionalFormatting>
  <conditionalFormatting sqref="F58:J58">
    <cfRule type="expression" dxfId="409" priority="216" stopIfTrue="1">
      <formula>VLOOKUP($B58,LegendSG1CKTMode_Skid,6,FALSE)="CASE - AUTO"</formula>
    </cfRule>
  </conditionalFormatting>
  <conditionalFormatting sqref="F59:J59">
    <cfRule type="expression" dxfId="408" priority="217" stopIfTrue="1">
      <formula>VLOOKUP($B59,LegendSG1CKTMode_Skid,6,FALSE)="CASE - AUTO"</formula>
    </cfRule>
  </conditionalFormatting>
  <conditionalFormatting sqref="F60:J60">
    <cfRule type="expression" dxfId="407" priority="218" stopIfTrue="1">
      <formula>VLOOKUP($B60,LegendSG1CKTMode_Skid,6,FALSE)="CASE - AUTO"</formula>
    </cfRule>
  </conditionalFormatting>
  <conditionalFormatting sqref="F61:J61">
    <cfRule type="expression" dxfId="406" priority="219" stopIfTrue="1">
      <formula>VLOOKUP($B61,LegendSG1CKTMode_Skid,6,FALSE)="CASE - AUTO"</formula>
    </cfRule>
  </conditionalFormatting>
  <conditionalFormatting sqref="F62:J62">
    <cfRule type="expression" dxfId="405" priority="220" stopIfTrue="1">
      <formula>VLOOKUP($B62,LegendSG1CKTMode_Skid,6,FALSE)="CASE - AUTO"</formula>
    </cfRule>
  </conditionalFormatting>
  <conditionalFormatting sqref="F63:J63">
    <cfRule type="expression" dxfId="404" priority="221" stopIfTrue="1">
      <formula>VLOOKUP($B63,LegendSG1CKTMode_Skid,6,FALSE)="CASE - AUTO"</formula>
    </cfRule>
  </conditionalFormatting>
  <conditionalFormatting sqref="F64:J64">
    <cfRule type="expression" dxfId="403" priority="222" stopIfTrue="1">
      <formula>VLOOKUP($B64,LegendSG1CKTMode_Skid,6,FALSE)="CASE - AUTO"</formula>
    </cfRule>
  </conditionalFormatting>
  <conditionalFormatting sqref="F65:J65">
    <cfRule type="expression" dxfId="402" priority="223" stopIfTrue="1">
      <formula>VLOOKUP($B65,LegendSG1CKTMode_Skid,6,FALSE)="CASE - AUTO"</formula>
    </cfRule>
  </conditionalFormatting>
  <conditionalFormatting sqref="F66:J66">
    <cfRule type="expression" dxfId="401" priority="224" stopIfTrue="1">
      <formula>VLOOKUP($B66,LegendSG1CKTMode_Skid,6,FALSE)="CASE - AUTO"</formula>
    </cfRule>
  </conditionalFormatting>
  <conditionalFormatting sqref="F67:J67">
    <cfRule type="expression" dxfId="400" priority="225" stopIfTrue="1">
      <formula>VLOOKUP($B67,LegendSG1CKTMode_Skid,6,FALSE)="CASE - AUTO"</formula>
    </cfRule>
  </conditionalFormatting>
  <conditionalFormatting sqref="F68:J68">
    <cfRule type="expression" dxfId="399" priority="226" stopIfTrue="1">
      <formula>VLOOKUP($B68,LegendSG1CKTMode_Skid,6,FALSE)="CASE - AUTO"</formula>
    </cfRule>
  </conditionalFormatting>
  <conditionalFormatting sqref="F69:J69">
    <cfRule type="expression" dxfId="398" priority="227" stopIfTrue="1">
      <formula>VLOOKUP($B69,LegendSG1CKTMode_Skid,6,FALSE)="CASE - AUTO"</formula>
    </cfRule>
  </conditionalFormatting>
  <conditionalFormatting sqref="F70:J70">
    <cfRule type="expression" dxfId="397" priority="228" stopIfTrue="1">
      <formula>VLOOKUP($B70,LegendSG1CKTMode_Skid,6,FALSE)="CASE - AUTO"</formula>
    </cfRule>
  </conditionalFormatting>
  <conditionalFormatting sqref="F71:J71">
    <cfRule type="expression" dxfId="396" priority="229" stopIfTrue="1">
      <formula>VLOOKUP($B71,LegendSG1CKTMode_Skid,6,FALSE)="CASE - AUTO"</formula>
    </cfRule>
  </conditionalFormatting>
  <conditionalFormatting sqref="F72:J72">
    <cfRule type="expression" dxfId="395" priority="230" stopIfTrue="1">
      <formula>VLOOKUP($B72,LegendSG1CKTMode_Skid,6,FALSE)="CASE - AUTO"</formula>
    </cfRule>
  </conditionalFormatting>
  <conditionalFormatting sqref="F73:J73">
    <cfRule type="expression" dxfId="394" priority="231" stopIfTrue="1">
      <formula>VLOOKUP($B73,LegendSG1CKTMode_Skid,6,FALSE)="CASE - AUTO"</formula>
    </cfRule>
  </conditionalFormatting>
  <conditionalFormatting sqref="F74:J74">
    <cfRule type="expression" dxfId="393" priority="232" stopIfTrue="1">
      <formula>VLOOKUP($B74,LegendSG1CKTMode_Skid,6,FALSE)="CASE - AUTO"</formula>
    </cfRule>
  </conditionalFormatting>
  <conditionalFormatting sqref="F75:J75">
    <cfRule type="expression" dxfId="392" priority="233" stopIfTrue="1">
      <formula>VLOOKUP($B75,LegendSG1CKTMode_Skid,6,FALSE)="CASE - AUTO"</formula>
    </cfRule>
  </conditionalFormatting>
  <conditionalFormatting sqref="F76:J76">
    <cfRule type="expression" dxfId="391" priority="234" stopIfTrue="1">
      <formula>VLOOKUP($B76,LegendSG1CKTMode_Skid,6,FALSE)="CASE - AUTO"</formula>
    </cfRule>
  </conditionalFormatting>
  <conditionalFormatting sqref="F77:J77">
    <cfRule type="expression" dxfId="390" priority="235" stopIfTrue="1">
      <formula>VLOOKUP($B77,LegendSG1CKTMode_Skid,6,FALSE)="CASE - AUTO"</formula>
    </cfRule>
  </conditionalFormatting>
  <dataValidations count="1">
    <dataValidation type="whole" allowBlank="1" showInputMessage="1" showErrorMessage="1" error="The minumum Time Increment is 7." sqref="D2" xr:uid="{2BFD9886-AEFF-40F5-8FE5-693D0F2B09B8}">
      <formula1>7</formula1>
      <formula2>1500</formula2>
    </dataValidation>
  </dataValidations>
  <pageMargins left="0.25" right="0.25" top="0.75" bottom="0.75" header="0.3" footer="0.3"/>
  <pageSetup scale="59" fitToHeight="0" orientation="portrait" r:id="rId1"/>
  <drawing r:id="rId2"/>
  <legacyDrawing r:id="rId3"/>
  <controls>
    <mc:AlternateContent xmlns:mc="http://schemas.openxmlformats.org/markup-compatibility/2006">
      <mc:Choice Requires="x14">
        <control shapeId="5713265" r:id="rId4" name="GetMNCD">
          <controlPr defaultSize="0" autoLine="0" r:id="rId5">
            <anchor moveWithCells="1">
              <from>
                <xdr:col>9</xdr:col>
                <xdr:colOff>419100</xdr:colOff>
                <xdr:row>0</xdr:row>
                <xdr:rowOff>66675</xdr:rowOff>
              </from>
              <to>
                <xdr:col>11</xdr:col>
                <xdr:colOff>438150</xdr:colOff>
                <xdr:row>2</xdr:row>
                <xdr:rowOff>47625</xdr:rowOff>
              </to>
            </anchor>
          </controlPr>
        </control>
      </mc:Choice>
      <mc:Fallback>
        <control shapeId="5713265" r:id="rId4" name="GetMNCD"/>
      </mc:Fallback>
    </mc:AlternateContent>
    <mc:AlternateContent xmlns:mc="http://schemas.openxmlformats.org/markup-compatibility/2006">
      <mc:Choice Requires="x14">
        <control shapeId="218113" r:id="rId6" name="LoadProfileUVButton">
          <controlPr defaultSize="0" print="0" autoLine="0" r:id="rId7">
            <anchor moveWithCells="1">
              <from>
                <xdr:col>4</xdr:col>
                <xdr:colOff>419100</xdr:colOff>
                <xdr:row>0</xdr:row>
                <xdr:rowOff>66675</xdr:rowOff>
              </from>
              <to>
                <xdr:col>9</xdr:col>
                <xdr:colOff>9525</xdr:colOff>
                <xdr:row>2</xdr:row>
                <xdr:rowOff>57150</xdr:rowOff>
              </to>
            </anchor>
          </controlPr>
        </control>
      </mc:Choice>
      <mc:Fallback>
        <control shapeId="218113" r:id="rId6" name="LoadProfileUVButton"/>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306754-4A77-4920-8E80-996238387360}">
  <sheetPr codeName="Sheet23">
    <pageSetUpPr fitToPage="1"/>
  </sheetPr>
  <dimension ref="A1:AJ44"/>
  <sheetViews>
    <sheetView zoomScaleNormal="100" workbookViewId="0">
      <selection sqref="A1:IV65536"/>
    </sheetView>
  </sheetViews>
  <sheetFormatPr defaultRowHeight="12.75" x14ac:dyDescent="0.2"/>
  <cols>
    <col min="1" max="1" width="1.7109375" style="413" customWidth="1"/>
    <col min="2" max="2" width="7.7109375" style="413" customWidth="1"/>
    <col min="3" max="4" width="5.7109375" style="413" customWidth="1"/>
    <col min="5" max="8" width="6.7109375" style="413" customWidth="1"/>
    <col min="9" max="11" width="4.7109375" style="413" customWidth="1"/>
    <col min="12" max="12" width="15.7109375" style="413" customWidth="1"/>
    <col min="13" max="13" width="16.7109375" style="413" customWidth="1"/>
    <col min="14" max="14" width="21.28515625" style="413" customWidth="1"/>
    <col min="15" max="15" width="9.7109375" style="413" customWidth="1"/>
    <col min="16" max="16" width="10.7109375" style="413" customWidth="1"/>
    <col min="17" max="17" width="15.42578125" style="413" customWidth="1"/>
    <col min="18" max="18" width="14.42578125" style="413" customWidth="1"/>
    <col min="19" max="19" width="9.42578125" style="413" customWidth="1"/>
    <col min="20" max="20" width="5.42578125" style="413" customWidth="1"/>
    <col min="21" max="21" width="8.140625" style="413" customWidth="1"/>
    <col min="22" max="22" width="11.85546875" style="413" customWidth="1"/>
    <col min="23" max="23" width="12.7109375" style="413" customWidth="1"/>
    <col min="24" max="24" width="7.85546875" style="413" bestFit="1" customWidth="1"/>
    <col min="25" max="25" width="6.5703125" style="413" customWidth="1"/>
    <col min="26" max="26" width="8.140625" style="413" customWidth="1"/>
    <col min="27" max="27" width="8.85546875" style="413" customWidth="1"/>
    <col min="28" max="28" width="9.140625" style="413"/>
    <col min="29" max="29" width="5.5703125" style="413" bestFit="1" customWidth="1"/>
    <col min="30" max="30" width="8.85546875" style="413" bestFit="1" customWidth="1"/>
    <col min="31" max="31" width="9.140625" style="413"/>
    <col min="32" max="32" width="11.140625" style="413" customWidth="1"/>
    <col min="33" max="33" width="9" style="413" customWidth="1"/>
    <col min="34" max="34" width="13.42578125" style="413" customWidth="1"/>
    <col min="35" max="35" width="13" style="413" customWidth="1"/>
    <col min="36" max="16384" width="9.140625" style="413"/>
  </cols>
  <sheetData>
    <row r="1" spans="1:35" ht="31.5" customHeight="1" thickBot="1" x14ac:dyDescent="0.25">
      <c r="A1" s="425"/>
    </row>
    <row r="2" spans="1:35" s="410" customFormat="1" ht="26.1" customHeight="1" thickTop="1" x14ac:dyDescent="0.2">
      <c r="A2" s="426"/>
      <c r="B2" s="704"/>
      <c r="C2" s="705"/>
      <c r="D2" s="705"/>
      <c r="E2" s="705"/>
      <c r="F2" s="705"/>
      <c r="G2" s="705"/>
      <c r="H2" s="705"/>
      <c r="I2" s="705"/>
      <c r="J2" s="706" t="s">
        <v>1057</v>
      </c>
      <c r="K2" s="707"/>
      <c r="L2" s="708"/>
      <c r="M2" s="707"/>
      <c r="N2" s="709"/>
      <c r="O2" s="710"/>
      <c r="P2" s="617" t="s">
        <v>944</v>
      </c>
      <c r="Q2" s="509" t="s">
        <v>621</v>
      </c>
      <c r="R2" s="622" t="s">
        <v>742</v>
      </c>
      <c r="S2" s="502" t="s">
        <v>606</v>
      </c>
      <c r="T2" s="627" t="s">
        <v>945</v>
      </c>
      <c r="U2" s="628"/>
      <c r="V2" s="502" t="s">
        <v>616</v>
      </c>
      <c r="W2" s="631" t="s">
        <v>985</v>
      </c>
      <c r="X2" s="1000"/>
      <c r="Y2" s="631" t="s">
        <v>947</v>
      </c>
      <c r="Z2" s="622"/>
      <c r="AA2" s="435" t="s">
        <v>633</v>
      </c>
      <c r="AB2" s="638" t="s">
        <v>763</v>
      </c>
      <c r="AC2" s="628"/>
      <c r="AD2" s="628"/>
      <c r="AE2" s="509">
        <v>0</v>
      </c>
      <c r="AF2" s="639" t="s">
        <v>760</v>
      </c>
      <c r="AG2" s="640"/>
      <c r="AH2" s="640"/>
      <c r="AI2" s="510">
        <v>0</v>
      </c>
    </row>
    <row r="3" spans="1:35" s="410" customFormat="1" ht="26.1" customHeight="1" x14ac:dyDescent="0.2">
      <c r="A3" s="426"/>
      <c r="B3" s="606" t="s">
        <v>765</v>
      </c>
      <c r="C3" s="607"/>
      <c r="D3" s="414" t="s">
        <v>581</v>
      </c>
      <c r="E3" s="415"/>
      <c r="F3" s="610" t="s">
        <v>948</v>
      </c>
      <c r="G3" s="611"/>
      <c r="H3" s="414">
        <v>345</v>
      </c>
      <c r="I3" s="414"/>
      <c r="J3" s="415"/>
      <c r="K3" s="610" t="s">
        <v>764</v>
      </c>
      <c r="L3" s="611"/>
      <c r="M3" s="414" t="s">
        <v>597</v>
      </c>
      <c r="N3" s="614" t="s">
        <v>741</v>
      </c>
      <c r="O3" s="416" t="s">
        <v>609</v>
      </c>
      <c r="P3" s="618" t="s">
        <v>949</v>
      </c>
      <c r="Q3" s="416" t="s">
        <v>1005</v>
      </c>
      <c r="R3" s="623" t="s">
        <v>992</v>
      </c>
      <c r="S3" s="503">
        <v>0</v>
      </c>
      <c r="T3" s="625" t="s">
        <v>950</v>
      </c>
      <c r="U3" s="629"/>
      <c r="V3" s="504" t="s">
        <v>616</v>
      </c>
      <c r="W3" s="625" t="s">
        <v>946</v>
      </c>
      <c r="X3" s="423" t="s">
        <v>616</v>
      </c>
      <c r="Y3" s="625" t="s">
        <v>997</v>
      </c>
      <c r="Z3" s="623"/>
      <c r="AA3" s="503" t="s">
        <v>633</v>
      </c>
      <c r="AB3" s="607" t="s">
        <v>785</v>
      </c>
      <c r="AC3" s="630"/>
      <c r="AD3" s="630"/>
      <c r="AE3" s="416">
        <v>0</v>
      </c>
      <c r="AF3" s="641" t="s">
        <v>787</v>
      </c>
      <c r="AG3" s="641"/>
      <c r="AH3" s="641"/>
      <c r="AI3" s="507" t="s">
        <v>205</v>
      </c>
    </row>
    <row r="4" spans="1:35" s="410" customFormat="1" ht="26.1" customHeight="1" x14ac:dyDescent="0.2">
      <c r="A4" s="426"/>
      <c r="B4" s="606" t="s">
        <v>766</v>
      </c>
      <c r="C4" s="607"/>
      <c r="D4" s="414" t="s">
        <v>596</v>
      </c>
      <c r="E4" s="415"/>
      <c r="F4" s="612" t="s">
        <v>743</v>
      </c>
      <c r="G4" s="613"/>
      <c r="H4" s="419">
        <v>234</v>
      </c>
      <c r="I4" s="419"/>
      <c r="J4" s="420"/>
      <c r="K4" s="610" t="s">
        <v>601</v>
      </c>
      <c r="L4" s="607"/>
      <c r="M4" s="415">
        <v>123</v>
      </c>
      <c r="N4" s="612" t="s">
        <v>952</v>
      </c>
      <c r="O4" s="592"/>
      <c r="P4" s="619" t="s">
        <v>953</v>
      </c>
      <c r="Q4" s="416" t="s">
        <v>1002</v>
      </c>
      <c r="R4" s="624" t="s">
        <v>954</v>
      </c>
      <c r="S4" s="503">
        <v>0</v>
      </c>
      <c r="T4" s="623" t="s">
        <v>955</v>
      </c>
      <c r="U4" s="630"/>
      <c r="V4" s="423" t="s">
        <v>616</v>
      </c>
      <c r="W4" s="625" t="s">
        <v>951</v>
      </c>
      <c r="X4" s="423" t="s">
        <v>616</v>
      </c>
      <c r="Y4" s="635" t="s">
        <v>998</v>
      </c>
      <c r="Z4" s="1001"/>
      <c r="AA4" s="503" t="s">
        <v>633</v>
      </c>
      <c r="AB4" s="607" t="s">
        <v>762</v>
      </c>
      <c r="AC4" s="630"/>
      <c r="AD4" s="630"/>
      <c r="AE4" s="414">
        <v>0</v>
      </c>
      <c r="AF4" s="612" t="s">
        <v>761</v>
      </c>
      <c r="AG4" s="633"/>
      <c r="AH4" s="633"/>
      <c r="AI4" s="505">
        <v>0</v>
      </c>
    </row>
    <row r="5" spans="1:35" s="410" customFormat="1" ht="26.1" customHeight="1" x14ac:dyDescent="0.2">
      <c r="A5" s="426"/>
      <c r="B5" s="608" t="s">
        <v>634</v>
      </c>
      <c r="C5" s="609"/>
      <c r="D5" s="417">
        <v>0</v>
      </c>
      <c r="E5" s="418"/>
      <c r="F5" s="612" t="s">
        <v>773</v>
      </c>
      <c r="G5" s="609"/>
      <c r="H5" s="417">
        <v>0</v>
      </c>
      <c r="I5" s="419"/>
      <c r="J5" s="420"/>
      <c r="K5" s="610" t="s">
        <v>602</v>
      </c>
      <c r="L5" s="607"/>
      <c r="M5" s="415">
        <v>0</v>
      </c>
      <c r="N5" s="615" t="s">
        <v>957</v>
      </c>
      <c r="O5" s="993" t="s">
        <v>1058</v>
      </c>
      <c r="P5" s="620" t="s">
        <v>958</v>
      </c>
      <c r="Q5" s="416" t="s">
        <v>1004</v>
      </c>
      <c r="R5" s="625" t="s">
        <v>959</v>
      </c>
      <c r="S5" s="506" t="s">
        <v>616</v>
      </c>
      <c r="T5" s="623" t="s">
        <v>960</v>
      </c>
      <c r="U5" s="630"/>
      <c r="V5" s="503" t="s">
        <v>616</v>
      </c>
      <c r="W5" s="625" t="s">
        <v>956</v>
      </c>
      <c r="X5" s="423" t="s">
        <v>616</v>
      </c>
      <c r="Y5" s="625" t="s">
        <v>774</v>
      </c>
      <c r="Z5" s="607"/>
      <c r="AA5" s="503">
        <v>0</v>
      </c>
      <c r="AB5" s="610" t="s">
        <v>647</v>
      </c>
      <c r="AC5" s="633"/>
      <c r="AD5" s="633"/>
      <c r="AE5" s="421">
        <v>0</v>
      </c>
      <c r="AF5" s="642" t="s">
        <v>788</v>
      </c>
      <c r="AG5" s="641"/>
      <c r="AH5" s="641"/>
      <c r="AI5" s="507" t="s">
        <v>205</v>
      </c>
    </row>
    <row r="6" spans="1:35" s="410" customFormat="1" ht="26.1" customHeight="1" thickBot="1" x14ac:dyDescent="0.25">
      <c r="A6" s="426"/>
      <c r="B6" s="603"/>
      <c r="C6" s="604"/>
      <c r="D6" s="605"/>
      <c r="E6" s="605"/>
      <c r="F6" s="604"/>
      <c r="G6" s="604"/>
      <c r="H6" s="604"/>
      <c r="I6" s="604"/>
      <c r="J6" s="604"/>
      <c r="K6" s="604"/>
      <c r="L6" s="604"/>
      <c r="M6" s="604"/>
      <c r="N6" s="616" t="s">
        <v>961</v>
      </c>
      <c r="O6" s="994" t="s">
        <v>1058</v>
      </c>
      <c r="P6" s="621" t="s">
        <v>962</v>
      </c>
      <c r="Q6" s="422" t="s">
        <v>1003</v>
      </c>
      <c r="R6" s="626" t="s">
        <v>963</v>
      </c>
      <c r="S6" s="511" t="s">
        <v>616</v>
      </c>
      <c r="T6" s="637" t="s">
        <v>964</v>
      </c>
      <c r="U6" s="604"/>
      <c r="V6" s="508" t="s">
        <v>616</v>
      </c>
      <c r="W6" s="632" t="s">
        <v>414</v>
      </c>
      <c r="X6" s="634"/>
      <c r="Y6" s="636"/>
      <c r="Z6" s="636"/>
      <c r="AA6" s="636"/>
      <c r="AB6" s="634"/>
      <c r="AC6" s="636"/>
      <c r="AD6" s="636"/>
      <c r="AE6" s="636"/>
      <c r="AF6" s="637" t="s">
        <v>1016</v>
      </c>
      <c r="AG6" s="604"/>
      <c r="AH6" s="604"/>
      <c r="AI6" s="1015" t="s">
        <v>1059</v>
      </c>
    </row>
    <row r="7" spans="1:35" s="410" customFormat="1" x14ac:dyDescent="0.2">
      <c r="A7" s="426"/>
      <c r="B7" s="578" t="s">
        <v>18</v>
      </c>
      <c r="C7" s="579"/>
      <c r="D7" s="579"/>
      <c r="E7" s="579"/>
      <c r="F7" s="579"/>
      <c r="G7" s="579"/>
      <c r="H7" s="579"/>
      <c r="I7" s="579"/>
      <c r="J7" s="579"/>
      <c r="K7" s="579"/>
      <c r="L7" s="579"/>
      <c r="M7" s="579"/>
      <c r="N7" s="579"/>
      <c r="O7" s="579"/>
      <c r="P7" s="579"/>
      <c r="Q7" s="579"/>
      <c r="R7" s="579"/>
      <c r="S7" s="579"/>
      <c r="T7" s="579"/>
      <c r="U7" s="579"/>
      <c r="V7" s="579"/>
      <c r="W7" s="580"/>
      <c r="X7" s="579" t="s">
        <v>575</v>
      </c>
      <c r="Y7" s="579"/>
      <c r="Z7" s="581"/>
      <c r="AA7" s="581"/>
      <c r="AB7" s="581"/>
      <c r="AC7" s="581"/>
      <c r="AD7" s="580"/>
      <c r="AE7" s="582" t="s">
        <v>744</v>
      </c>
      <c r="AF7" s="583"/>
      <c r="AG7" s="583"/>
      <c r="AH7" s="581"/>
      <c r="AI7" s="584"/>
    </row>
    <row r="8" spans="1:35" s="411" customFormat="1" ht="11.25" x14ac:dyDescent="0.2">
      <c r="A8" s="427"/>
      <c r="B8" s="585"/>
      <c r="C8" s="586" t="s">
        <v>745</v>
      </c>
      <c r="D8" s="587"/>
      <c r="E8" s="587"/>
      <c r="F8" s="587"/>
      <c r="G8" s="587"/>
      <c r="H8" s="588"/>
      <c r="I8" s="586" t="s">
        <v>746</v>
      </c>
      <c r="J8" s="587"/>
      <c r="K8" s="588"/>
      <c r="L8" s="589"/>
      <c r="M8" s="589"/>
      <c r="N8" s="590"/>
      <c r="O8" s="591"/>
      <c r="P8" s="591" t="s">
        <v>783</v>
      </c>
      <c r="Q8" s="589" t="s">
        <v>747</v>
      </c>
      <c r="R8" s="589"/>
      <c r="S8" s="589"/>
      <c r="T8" s="589"/>
      <c r="U8" s="589" t="s">
        <v>769</v>
      </c>
      <c r="V8" s="590"/>
      <c r="W8" s="592"/>
      <c r="X8" s="593"/>
      <c r="Y8" s="590"/>
      <c r="Z8" s="594"/>
      <c r="AA8" s="595"/>
      <c r="AB8" s="594"/>
      <c r="AC8" s="596" t="s">
        <v>752</v>
      </c>
      <c r="AD8" s="596" t="s">
        <v>753</v>
      </c>
      <c r="AE8" s="596"/>
      <c r="AF8" s="597"/>
      <c r="AG8" s="597"/>
      <c r="AH8" s="597"/>
      <c r="AI8" s="598"/>
    </row>
    <row r="9" spans="1:35" s="411" customFormat="1" ht="12.75" customHeight="1" x14ac:dyDescent="0.2">
      <c r="A9" s="427"/>
      <c r="B9" s="599"/>
      <c r="C9" s="590"/>
      <c r="D9" s="592"/>
      <c r="E9" s="600"/>
      <c r="F9" s="600"/>
      <c r="G9" s="600"/>
      <c r="H9" s="600"/>
      <c r="I9" s="600"/>
      <c r="J9" s="600"/>
      <c r="K9" s="600"/>
      <c r="L9" s="601"/>
      <c r="M9" s="601"/>
      <c r="N9" s="595"/>
      <c r="O9" s="602" t="s">
        <v>747</v>
      </c>
      <c r="P9" s="602" t="s">
        <v>784</v>
      </c>
      <c r="Q9" s="601" t="s">
        <v>794</v>
      </c>
      <c r="R9" s="601" t="s">
        <v>965</v>
      </c>
      <c r="S9" s="601" t="s">
        <v>966</v>
      </c>
      <c r="T9" s="601" t="s">
        <v>768</v>
      </c>
      <c r="U9" s="601" t="s">
        <v>748</v>
      </c>
      <c r="V9" s="595" t="s">
        <v>749</v>
      </c>
      <c r="W9" s="594"/>
      <c r="X9" s="596" t="s">
        <v>645</v>
      </c>
      <c r="Y9" s="595" t="s">
        <v>750</v>
      </c>
      <c r="Z9" s="594"/>
      <c r="AA9" s="595" t="s">
        <v>751</v>
      </c>
      <c r="AB9" s="594"/>
      <c r="AC9" s="596" t="s">
        <v>771</v>
      </c>
      <c r="AD9" s="596" t="s">
        <v>771</v>
      </c>
      <c r="AE9" s="596"/>
      <c r="AF9" s="597"/>
      <c r="AG9" s="597"/>
      <c r="AH9" s="597"/>
      <c r="AI9" s="598"/>
    </row>
    <row r="10" spans="1:35" s="411" customFormat="1" ht="12.75" customHeight="1" thickBot="1" x14ac:dyDescent="0.25">
      <c r="A10" s="427"/>
      <c r="B10" s="943" t="s">
        <v>560</v>
      </c>
      <c r="C10" s="944" t="s">
        <v>777</v>
      </c>
      <c r="D10" s="945"/>
      <c r="E10" s="946" t="s">
        <v>775</v>
      </c>
      <c r="F10" s="946" t="s">
        <v>776</v>
      </c>
      <c r="G10" s="946" t="s">
        <v>778</v>
      </c>
      <c r="H10" s="946" t="s">
        <v>779</v>
      </c>
      <c r="I10" s="946" t="s">
        <v>576</v>
      </c>
      <c r="J10" s="946" t="s">
        <v>577</v>
      </c>
      <c r="K10" s="946" t="s">
        <v>578</v>
      </c>
      <c r="L10" s="947" t="s">
        <v>754</v>
      </c>
      <c r="M10" s="947" t="s">
        <v>755</v>
      </c>
      <c r="N10" s="948" t="s">
        <v>558</v>
      </c>
      <c r="O10" s="949" t="s">
        <v>767</v>
      </c>
      <c r="P10" s="947" t="s">
        <v>782</v>
      </c>
      <c r="Q10" s="950" t="s">
        <v>793</v>
      </c>
      <c r="R10" s="951" t="s">
        <v>795</v>
      </c>
      <c r="S10" s="951" t="s">
        <v>756</v>
      </c>
      <c r="T10" s="952" t="s">
        <v>528</v>
      </c>
      <c r="U10" s="947" t="s">
        <v>770</v>
      </c>
      <c r="V10" s="953" t="s">
        <v>780</v>
      </c>
      <c r="W10" s="953" t="s">
        <v>349</v>
      </c>
      <c r="X10" s="950" t="s">
        <v>757</v>
      </c>
      <c r="Y10" s="954" t="s">
        <v>771</v>
      </c>
      <c r="Z10" s="954" t="s">
        <v>758</v>
      </c>
      <c r="AA10" s="954" t="s">
        <v>771</v>
      </c>
      <c r="AB10" s="954" t="s">
        <v>758</v>
      </c>
      <c r="AC10" s="950" t="s">
        <v>772</v>
      </c>
      <c r="AD10" s="950" t="s">
        <v>772</v>
      </c>
      <c r="AE10" s="950" t="s">
        <v>771</v>
      </c>
      <c r="AF10" s="955" t="s">
        <v>466</v>
      </c>
      <c r="AG10" s="955"/>
      <c r="AH10" s="955"/>
      <c r="AI10" s="956"/>
    </row>
    <row r="11" spans="1:35" s="411" customFormat="1" ht="11.25" x14ac:dyDescent="0.2">
      <c r="A11" s="427" t="s">
        <v>1059</v>
      </c>
      <c r="B11" s="942" t="s">
        <v>1059</v>
      </c>
      <c r="C11" s="1021" t="s">
        <v>1059</v>
      </c>
      <c r="D11" s="1022" t="s">
        <v>1059</v>
      </c>
      <c r="E11" s="941" t="s">
        <v>1059</v>
      </c>
      <c r="F11" s="941" t="s">
        <v>1059</v>
      </c>
      <c r="G11" s="941" t="s">
        <v>1059</v>
      </c>
      <c r="H11" s="941" t="s">
        <v>1059</v>
      </c>
      <c r="I11" s="941" t="s">
        <v>1059</v>
      </c>
      <c r="J11" s="941" t="s">
        <v>1059</v>
      </c>
      <c r="K11" s="941" t="s">
        <v>1059</v>
      </c>
      <c r="L11" s="940" t="s">
        <v>1059</v>
      </c>
      <c r="M11" s="940" t="s">
        <v>1059</v>
      </c>
      <c r="N11" s="940" t="s">
        <v>1059</v>
      </c>
      <c r="O11" s="940" t="s">
        <v>1059</v>
      </c>
      <c r="P11" s="940" t="s">
        <v>1059</v>
      </c>
      <c r="Q11" s="941" t="s">
        <v>1059</v>
      </c>
      <c r="R11" s="984" t="s">
        <v>1059</v>
      </c>
      <c r="S11" s="984" t="s">
        <v>1059</v>
      </c>
      <c r="T11" s="987" t="s">
        <v>1059</v>
      </c>
      <c r="U11" s="987" t="s">
        <v>1059</v>
      </c>
      <c r="V11" s="939" t="s">
        <v>1059</v>
      </c>
      <c r="W11" s="939" t="s">
        <v>1059</v>
      </c>
      <c r="X11" s="938" t="s">
        <v>1059</v>
      </c>
      <c r="Y11" s="989" t="s">
        <v>1059</v>
      </c>
      <c r="Z11" s="938" t="s">
        <v>1059</v>
      </c>
      <c r="AA11" s="989" t="s">
        <v>1059</v>
      </c>
      <c r="AB11" s="938" t="s">
        <v>1059</v>
      </c>
      <c r="AC11" s="989" t="s">
        <v>1059</v>
      </c>
      <c r="AD11" s="989" t="s">
        <v>1059</v>
      </c>
      <c r="AE11" s="991" t="s">
        <v>1059</v>
      </c>
      <c r="AF11" s="937" t="s">
        <v>1059</v>
      </c>
      <c r="AG11" s="937"/>
      <c r="AH11" s="937"/>
      <c r="AI11" s="936"/>
    </row>
    <row r="12" spans="1:35" s="411" customFormat="1" ht="12" thickBot="1" x14ac:dyDescent="0.25">
      <c r="A12" s="427"/>
      <c r="B12" s="963"/>
      <c r="C12" s="964"/>
      <c r="D12" s="965"/>
      <c r="E12" s="966"/>
      <c r="F12" s="966"/>
      <c r="G12" s="966"/>
      <c r="H12" s="966"/>
      <c r="I12" s="966"/>
      <c r="J12" s="966"/>
      <c r="K12" s="966"/>
      <c r="L12" s="953"/>
      <c r="M12" s="953"/>
      <c r="N12" s="967"/>
      <c r="O12" s="968"/>
      <c r="P12" s="964" t="s">
        <v>789</v>
      </c>
      <c r="Q12" s="969"/>
      <c r="R12" s="985"/>
      <c r="S12" s="986">
        <v>0</v>
      </c>
      <c r="T12" s="988">
        <v>0</v>
      </c>
      <c r="U12" s="964" t="s">
        <v>759</v>
      </c>
      <c r="V12" s="969"/>
      <c r="W12" s="969"/>
      <c r="X12" s="953"/>
      <c r="Y12" s="990"/>
      <c r="Z12" s="953"/>
      <c r="AA12" s="990"/>
      <c r="AB12" s="953"/>
      <c r="AC12" s="990"/>
      <c r="AD12" s="990"/>
      <c r="AE12" s="992" t="s">
        <v>414</v>
      </c>
      <c r="AF12" s="970" t="s">
        <v>414</v>
      </c>
      <c r="AG12" s="970" t="s">
        <v>414</v>
      </c>
      <c r="AH12" s="970" t="s">
        <v>414</v>
      </c>
      <c r="AI12" s="971" t="s">
        <v>414</v>
      </c>
    </row>
    <row r="13" spans="1:35" s="411" customFormat="1" ht="11.25" x14ac:dyDescent="0.2">
      <c r="A13" s="427" t="s">
        <v>1059</v>
      </c>
      <c r="B13" s="942" t="s">
        <v>1059</v>
      </c>
      <c r="C13" s="1018" t="s">
        <v>1059</v>
      </c>
      <c r="D13" s="1023" t="s">
        <v>1059</v>
      </c>
      <c r="E13" s="941" t="s">
        <v>1059</v>
      </c>
      <c r="F13" s="941" t="s">
        <v>1059</v>
      </c>
      <c r="G13" s="941" t="s">
        <v>1059</v>
      </c>
      <c r="H13" s="941" t="s">
        <v>1059</v>
      </c>
      <c r="I13" s="941" t="s">
        <v>1059</v>
      </c>
      <c r="J13" s="941" t="s">
        <v>1059</v>
      </c>
      <c r="K13" s="941" t="s">
        <v>1059</v>
      </c>
      <c r="L13" s="940" t="s">
        <v>1059</v>
      </c>
      <c r="M13" s="940" t="s">
        <v>1059</v>
      </c>
      <c r="N13" s="940" t="s">
        <v>1059</v>
      </c>
      <c r="O13" s="940" t="s">
        <v>1059</v>
      </c>
      <c r="P13" s="940" t="s">
        <v>1059</v>
      </c>
      <c r="Q13" s="941" t="s">
        <v>1059</v>
      </c>
      <c r="R13" s="984" t="s">
        <v>1059</v>
      </c>
      <c r="S13" s="984" t="s">
        <v>1059</v>
      </c>
      <c r="T13" s="987" t="s">
        <v>1059</v>
      </c>
      <c r="U13" s="987" t="s">
        <v>1059</v>
      </c>
      <c r="V13" s="939" t="s">
        <v>1059</v>
      </c>
      <c r="W13" s="939" t="s">
        <v>1059</v>
      </c>
      <c r="X13" s="938" t="s">
        <v>1059</v>
      </c>
      <c r="Y13" s="989" t="s">
        <v>1059</v>
      </c>
      <c r="Z13" s="938" t="s">
        <v>1059</v>
      </c>
      <c r="AA13" s="989" t="s">
        <v>1059</v>
      </c>
      <c r="AB13" s="938" t="s">
        <v>1059</v>
      </c>
      <c r="AC13" s="989" t="s">
        <v>1059</v>
      </c>
      <c r="AD13" s="989" t="s">
        <v>1059</v>
      </c>
      <c r="AE13" s="991" t="s">
        <v>1059</v>
      </c>
      <c r="AF13" s="937" t="s">
        <v>1059</v>
      </c>
      <c r="AG13" s="937"/>
      <c r="AH13" s="937"/>
      <c r="AI13" s="936"/>
    </row>
    <row r="14" spans="1:35" s="411" customFormat="1" ht="12" thickBot="1" x14ac:dyDescent="0.25">
      <c r="A14" s="427"/>
      <c r="B14" s="963"/>
      <c r="C14" s="964"/>
      <c r="D14" s="965"/>
      <c r="E14" s="966"/>
      <c r="F14" s="966"/>
      <c r="G14" s="966"/>
      <c r="H14" s="966"/>
      <c r="I14" s="966"/>
      <c r="J14" s="966"/>
      <c r="K14" s="966"/>
      <c r="L14" s="953"/>
      <c r="M14" s="953"/>
      <c r="N14" s="967"/>
      <c r="O14" s="968"/>
      <c r="P14" s="964" t="s">
        <v>796</v>
      </c>
      <c r="Q14" s="969"/>
      <c r="R14" s="985"/>
      <c r="S14" s="986">
        <v>0</v>
      </c>
      <c r="T14" s="988">
        <v>0</v>
      </c>
      <c r="U14" s="964" t="s">
        <v>759</v>
      </c>
      <c r="V14" s="969"/>
      <c r="W14" s="969"/>
      <c r="X14" s="953"/>
      <c r="Y14" s="990"/>
      <c r="Z14" s="953"/>
      <c r="AA14" s="990"/>
      <c r="AB14" s="953"/>
      <c r="AC14" s="990"/>
      <c r="AD14" s="990"/>
      <c r="AE14" s="992" t="s">
        <v>414</v>
      </c>
      <c r="AF14" s="970" t="s">
        <v>414</v>
      </c>
      <c r="AG14" s="970" t="s">
        <v>414</v>
      </c>
      <c r="AH14" s="970" t="s">
        <v>414</v>
      </c>
      <c r="AI14" s="971" t="s">
        <v>414</v>
      </c>
    </row>
    <row r="15" spans="1:35" s="411" customFormat="1" ht="11.25" x14ac:dyDescent="0.2">
      <c r="A15" s="427" t="s">
        <v>1059</v>
      </c>
      <c r="B15" s="942" t="s">
        <v>1059</v>
      </c>
      <c r="C15" s="1018" t="s">
        <v>1059</v>
      </c>
      <c r="D15" s="1023" t="s">
        <v>1059</v>
      </c>
      <c r="E15" s="941" t="s">
        <v>1059</v>
      </c>
      <c r="F15" s="941" t="s">
        <v>1059</v>
      </c>
      <c r="G15" s="941" t="s">
        <v>1059</v>
      </c>
      <c r="H15" s="941" t="s">
        <v>1059</v>
      </c>
      <c r="I15" s="941" t="s">
        <v>1059</v>
      </c>
      <c r="J15" s="941" t="s">
        <v>1059</v>
      </c>
      <c r="K15" s="941" t="s">
        <v>1059</v>
      </c>
      <c r="L15" s="940" t="s">
        <v>1059</v>
      </c>
      <c r="M15" s="940" t="s">
        <v>1059</v>
      </c>
      <c r="N15" s="940" t="s">
        <v>1059</v>
      </c>
      <c r="O15" s="940" t="s">
        <v>1059</v>
      </c>
      <c r="P15" s="940" t="s">
        <v>1059</v>
      </c>
      <c r="Q15" s="941" t="s">
        <v>1059</v>
      </c>
      <c r="R15" s="984" t="s">
        <v>1059</v>
      </c>
      <c r="S15" s="984" t="s">
        <v>1059</v>
      </c>
      <c r="T15" s="987" t="s">
        <v>1059</v>
      </c>
      <c r="U15" s="987" t="s">
        <v>1059</v>
      </c>
      <c r="V15" s="939" t="s">
        <v>1059</v>
      </c>
      <c r="W15" s="939" t="s">
        <v>1059</v>
      </c>
      <c r="X15" s="938" t="s">
        <v>1059</v>
      </c>
      <c r="Y15" s="989" t="s">
        <v>1059</v>
      </c>
      <c r="Z15" s="938" t="s">
        <v>1059</v>
      </c>
      <c r="AA15" s="989" t="s">
        <v>1059</v>
      </c>
      <c r="AB15" s="938" t="s">
        <v>1059</v>
      </c>
      <c r="AC15" s="989" t="s">
        <v>1059</v>
      </c>
      <c r="AD15" s="989" t="s">
        <v>1059</v>
      </c>
      <c r="AE15" s="991" t="s">
        <v>1059</v>
      </c>
      <c r="AF15" s="937" t="s">
        <v>1059</v>
      </c>
      <c r="AG15" s="937"/>
      <c r="AH15" s="937"/>
      <c r="AI15" s="936"/>
    </row>
    <row r="16" spans="1:35" s="411" customFormat="1" ht="12" thickBot="1" x14ac:dyDescent="0.25">
      <c r="A16" s="427"/>
      <c r="B16" s="963"/>
      <c r="C16" s="964"/>
      <c r="D16" s="965"/>
      <c r="E16" s="966"/>
      <c r="F16" s="966"/>
      <c r="G16" s="966"/>
      <c r="H16" s="966"/>
      <c r="I16" s="966"/>
      <c r="J16" s="966"/>
      <c r="K16" s="966"/>
      <c r="L16" s="953"/>
      <c r="M16" s="953"/>
      <c r="N16" s="967"/>
      <c r="O16" s="968"/>
      <c r="P16" s="964" t="s">
        <v>797</v>
      </c>
      <c r="Q16" s="969"/>
      <c r="R16" s="985"/>
      <c r="S16" s="986">
        <v>0</v>
      </c>
      <c r="T16" s="988">
        <v>0</v>
      </c>
      <c r="U16" s="964" t="s">
        <v>759</v>
      </c>
      <c r="V16" s="969"/>
      <c r="W16" s="969"/>
      <c r="X16" s="953"/>
      <c r="Y16" s="990"/>
      <c r="Z16" s="953"/>
      <c r="AA16" s="990"/>
      <c r="AB16" s="953"/>
      <c r="AC16" s="990"/>
      <c r="AD16" s="990"/>
      <c r="AE16" s="992" t="s">
        <v>414</v>
      </c>
      <c r="AF16" s="970" t="s">
        <v>414</v>
      </c>
      <c r="AG16" s="970" t="s">
        <v>414</v>
      </c>
      <c r="AH16" s="970" t="s">
        <v>414</v>
      </c>
      <c r="AI16" s="971" t="s">
        <v>414</v>
      </c>
    </row>
    <row r="17" spans="1:36" s="410" customFormat="1" ht="13.5" thickBot="1" x14ac:dyDescent="0.25">
      <c r="A17" s="426"/>
      <c r="B17" s="957" t="s">
        <v>967</v>
      </c>
      <c r="C17" s="958"/>
      <c r="D17" s="958"/>
      <c r="E17" s="958"/>
      <c r="F17" s="958"/>
      <c r="G17" s="958"/>
      <c r="H17" s="958"/>
      <c r="I17" s="958"/>
      <c r="J17" s="958"/>
      <c r="K17" s="958"/>
      <c r="L17" s="958"/>
      <c r="M17" s="958"/>
      <c r="N17" s="958"/>
      <c r="O17" s="958"/>
      <c r="P17" s="958"/>
      <c r="Q17" s="958"/>
      <c r="R17" s="958"/>
      <c r="S17" s="958"/>
      <c r="T17" s="958"/>
      <c r="U17" s="958"/>
      <c r="V17" s="958"/>
      <c r="W17" s="959"/>
      <c r="X17" s="958"/>
      <c r="Y17" s="958"/>
      <c r="Z17" s="958"/>
      <c r="AA17" s="958"/>
      <c r="AB17" s="958"/>
      <c r="AC17" s="958"/>
      <c r="AD17" s="959"/>
      <c r="AE17" s="960"/>
      <c r="AF17" s="961"/>
      <c r="AG17" s="961"/>
      <c r="AH17" s="958"/>
      <c r="AI17" s="962"/>
      <c r="AJ17" s="411"/>
    </row>
    <row r="18" spans="1:36" s="410" customFormat="1" x14ac:dyDescent="0.2">
      <c r="A18" s="426"/>
      <c r="B18" s="575" t="s">
        <v>968</v>
      </c>
      <c r="C18" s="1011"/>
      <c r="D18" s="1002"/>
      <c r="E18" s="1002"/>
      <c r="F18" s="1002"/>
      <c r="G18" s="1002"/>
      <c r="H18" s="1002"/>
      <c r="I18" s="1002"/>
      <c r="J18" s="1002"/>
      <c r="K18" s="1002"/>
      <c r="L18" s="1002"/>
      <c r="M18" s="1002"/>
      <c r="N18" s="1002"/>
      <c r="O18" s="1002"/>
      <c r="P18" s="1002"/>
      <c r="Q18" s="1002"/>
      <c r="R18" s="1002"/>
      <c r="S18" s="1002"/>
      <c r="T18" s="1002"/>
      <c r="U18" s="1002"/>
      <c r="V18" s="1002"/>
      <c r="W18" s="1002"/>
      <c r="X18" s="1002"/>
      <c r="Y18" s="1002"/>
      <c r="Z18" s="1002"/>
      <c r="AA18" s="1002"/>
      <c r="AB18" s="1002"/>
      <c r="AC18" s="1002"/>
      <c r="AD18" s="1002"/>
      <c r="AE18" s="1002"/>
      <c r="AF18" s="1003"/>
      <c r="AG18" s="1003"/>
      <c r="AH18" s="1002"/>
      <c r="AI18" s="1004"/>
      <c r="AJ18" s="411"/>
    </row>
    <row r="19" spans="1:36" s="410" customFormat="1" x14ac:dyDescent="0.2">
      <c r="A19" s="426"/>
      <c r="B19" s="576" t="s">
        <v>969</v>
      </c>
      <c r="C19" s="1012"/>
      <c r="D19" s="1005"/>
      <c r="E19" s="1005"/>
      <c r="F19" s="1005"/>
      <c r="G19" s="1005"/>
      <c r="H19" s="1005"/>
      <c r="I19" s="1005"/>
      <c r="J19" s="1005"/>
      <c r="K19" s="1005"/>
      <c r="L19" s="1005"/>
      <c r="M19" s="1005"/>
      <c r="N19" s="1005"/>
      <c r="O19" s="1005"/>
      <c r="P19" s="1005"/>
      <c r="Q19" s="1005"/>
      <c r="R19" s="1005"/>
      <c r="S19" s="1005"/>
      <c r="T19" s="1005"/>
      <c r="U19" s="1005"/>
      <c r="V19" s="1005"/>
      <c r="W19" s="1005"/>
      <c r="X19" s="1005"/>
      <c r="Y19" s="1005"/>
      <c r="Z19" s="1005"/>
      <c r="AA19" s="1005"/>
      <c r="AB19" s="1005"/>
      <c r="AC19" s="1005"/>
      <c r="AD19" s="1005"/>
      <c r="AE19" s="1005"/>
      <c r="AF19" s="1006"/>
      <c r="AG19" s="1006"/>
      <c r="AH19" s="1005"/>
      <c r="AI19" s="1007"/>
      <c r="AJ19" s="411"/>
    </row>
    <row r="20" spans="1:36" s="410" customFormat="1" x14ac:dyDescent="0.2">
      <c r="A20" s="426"/>
      <c r="B20" s="576" t="s">
        <v>970</v>
      </c>
      <c r="C20" s="1012"/>
      <c r="D20" s="1005"/>
      <c r="E20" s="1005"/>
      <c r="F20" s="1005"/>
      <c r="G20" s="1005"/>
      <c r="H20" s="1005"/>
      <c r="I20" s="1005"/>
      <c r="J20" s="1005"/>
      <c r="K20" s="1005"/>
      <c r="L20" s="1005"/>
      <c r="M20" s="1005"/>
      <c r="N20" s="1005"/>
      <c r="O20" s="1005"/>
      <c r="P20" s="1005"/>
      <c r="Q20" s="1005"/>
      <c r="R20" s="1005"/>
      <c r="S20" s="1005"/>
      <c r="T20" s="1005"/>
      <c r="U20" s="1005"/>
      <c r="V20" s="1005"/>
      <c r="W20" s="1005"/>
      <c r="X20" s="1005"/>
      <c r="Y20" s="1005"/>
      <c r="Z20" s="1005"/>
      <c r="AA20" s="1005"/>
      <c r="AB20" s="1005"/>
      <c r="AC20" s="1005"/>
      <c r="AD20" s="1005"/>
      <c r="AE20" s="1005"/>
      <c r="AF20" s="1006"/>
      <c r="AG20" s="1006"/>
      <c r="AH20" s="1005"/>
      <c r="AI20" s="1007"/>
      <c r="AJ20" s="411"/>
    </row>
    <row r="21" spans="1:36" s="410" customFormat="1" x14ac:dyDescent="0.2">
      <c r="A21" s="426"/>
      <c r="B21" s="576" t="s">
        <v>971</v>
      </c>
      <c r="C21" s="1012"/>
      <c r="D21" s="1005"/>
      <c r="E21" s="1005"/>
      <c r="F21" s="1005"/>
      <c r="G21" s="1005"/>
      <c r="H21" s="1005"/>
      <c r="I21" s="1005"/>
      <c r="J21" s="1005"/>
      <c r="K21" s="1005"/>
      <c r="L21" s="1005"/>
      <c r="M21" s="1005"/>
      <c r="N21" s="1005"/>
      <c r="O21" s="1005"/>
      <c r="P21" s="1005"/>
      <c r="Q21" s="1005"/>
      <c r="R21" s="1005"/>
      <c r="S21" s="1005"/>
      <c r="T21" s="1005"/>
      <c r="U21" s="1005"/>
      <c r="V21" s="1005"/>
      <c r="W21" s="1005"/>
      <c r="X21" s="1005"/>
      <c r="Y21" s="1005"/>
      <c r="Z21" s="1005"/>
      <c r="AA21" s="1005"/>
      <c r="AB21" s="1005"/>
      <c r="AC21" s="1005"/>
      <c r="AD21" s="1005"/>
      <c r="AE21" s="1005"/>
      <c r="AF21" s="1006"/>
      <c r="AG21" s="1006"/>
      <c r="AH21" s="1005"/>
      <c r="AI21" s="1007"/>
      <c r="AJ21" s="411"/>
    </row>
    <row r="22" spans="1:36" s="410" customFormat="1" ht="13.5" thickBot="1" x14ac:dyDescent="0.25">
      <c r="A22" s="426"/>
      <c r="B22" s="577" t="s">
        <v>972</v>
      </c>
      <c r="C22" s="1013"/>
      <c r="D22" s="1008"/>
      <c r="E22" s="1008"/>
      <c r="F22" s="1008"/>
      <c r="G22" s="1008"/>
      <c r="H22" s="1008"/>
      <c r="I22" s="1008"/>
      <c r="J22" s="1008"/>
      <c r="K22" s="1008"/>
      <c r="L22" s="1008"/>
      <c r="M22" s="1008"/>
      <c r="N22" s="1008"/>
      <c r="O22" s="1008"/>
      <c r="P22" s="1008"/>
      <c r="Q22" s="1008"/>
      <c r="R22" s="1008"/>
      <c r="S22" s="1008"/>
      <c r="T22" s="1008"/>
      <c r="U22" s="1008"/>
      <c r="V22" s="1008"/>
      <c r="W22" s="1008"/>
      <c r="X22" s="1008"/>
      <c r="Y22" s="1008"/>
      <c r="Z22" s="1008"/>
      <c r="AA22" s="1008"/>
      <c r="AB22" s="1008"/>
      <c r="AC22" s="1008"/>
      <c r="AD22" s="1008"/>
      <c r="AE22" s="1008"/>
      <c r="AF22" s="1009"/>
      <c r="AG22" s="1009"/>
      <c r="AH22" s="1008"/>
      <c r="AI22" s="1010"/>
      <c r="AJ22" s="411"/>
    </row>
    <row r="23" spans="1:36" s="411" customFormat="1" ht="12" thickTop="1" x14ac:dyDescent="0.2">
      <c r="B23" s="424"/>
      <c r="C23" s="424"/>
      <c r="D23" s="424"/>
      <c r="E23" s="424"/>
      <c r="F23" s="424"/>
      <c r="G23" s="424"/>
      <c r="H23" s="424"/>
      <c r="I23" s="424"/>
      <c r="J23" s="424"/>
      <c r="K23" s="424"/>
      <c r="L23" s="424"/>
      <c r="M23" s="424"/>
      <c r="N23" s="424"/>
      <c r="O23" s="424"/>
      <c r="P23" s="424"/>
      <c r="Q23" s="424"/>
      <c r="R23" s="436"/>
      <c r="S23" s="436"/>
      <c r="T23" s="424"/>
      <c r="U23" s="424"/>
      <c r="V23" s="424"/>
      <c r="W23" s="424"/>
      <c r="X23" s="424"/>
      <c r="Y23" s="424"/>
      <c r="Z23" s="424"/>
      <c r="AA23" s="424"/>
      <c r="AB23" s="424"/>
      <c r="AC23" s="424"/>
      <c r="AD23" s="424"/>
      <c r="AE23" s="424"/>
      <c r="AF23" s="424"/>
      <c r="AG23" s="424"/>
      <c r="AH23" s="424"/>
      <c r="AI23" s="424"/>
    </row>
    <row r="24" spans="1:36" s="412" customFormat="1" ht="11.25" x14ac:dyDescent="0.2">
      <c r="R24" s="437"/>
      <c r="S24" s="437"/>
    </row>
    <row r="25" spans="1:36" s="412" customFormat="1" ht="11.25" x14ac:dyDescent="0.2">
      <c r="R25" s="437"/>
      <c r="S25" s="437"/>
    </row>
    <row r="26" spans="1:36" s="412" customFormat="1" ht="11.25" x14ac:dyDescent="0.2">
      <c r="R26" s="437"/>
      <c r="S26" s="437"/>
    </row>
    <row r="27" spans="1:36" s="412" customFormat="1" ht="11.25" x14ac:dyDescent="0.2"/>
    <row r="28" spans="1:36" s="412" customFormat="1" ht="11.25" x14ac:dyDescent="0.2"/>
    <row r="29" spans="1:36" s="412" customFormat="1" ht="11.25" x14ac:dyDescent="0.2"/>
    <row r="30" spans="1:36" s="412" customFormat="1" ht="11.25" x14ac:dyDescent="0.2"/>
    <row r="31" spans="1:36" s="412" customFormat="1" ht="11.25" x14ac:dyDescent="0.2"/>
    <row r="32" spans="1:36" s="412" customFormat="1" ht="11.25" x14ac:dyDescent="0.2"/>
    <row r="33" s="412" customFormat="1" ht="11.25" x14ac:dyDescent="0.2"/>
    <row r="34" s="412" customFormat="1" ht="11.25" x14ac:dyDescent="0.2"/>
    <row r="35" s="412" customFormat="1" ht="11.25" x14ac:dyDescent="0.2"/>
    <row r="36" s="412" customFormat="1" ht="11.25" x14ac:dyDescent="0.2"/>
    <row r="37" s="412" customFormat="1" ht="11.25" x14ac:dyDescent="0.2"/>
    <row r="38" s="412" customFormat="1" ht="11.25" x14ac:dyDescent="0.2"/>
    <row r="39" s="412" customFormat="1" ht="11.25" x14ac:dyDescent="0.2"/>
    <row r="40" s="412" customFormat="1" ht="11.25" x14ac:dyDescent="0.2"/>
    <row r="41" s="412" customFormat="1" ht="11.25" x14ac:dyDescent="0.2"/>
    <row r="42" s="412" customFormat="1" ht="11.25" x14ac:dyDescent="0.2"/>
    <row r="43" s="412" customFormat="1" ht="11.25" x14ac:dyDescent="0.2"/>
    <row r="44" s="412" customFormat="1" ht="11.25" x14ac:dyDescent="0.2"/>
  </sheetData>
  <sheetProtection sheet="1" objects="1" scenarios="1"/>
  <pageMargins left="0.7" right="0.7" top="0.75" bottom="0.75" header="0.3" footer="0.3"/>
  <pageSetup paperSize="17" scale="62" orientation="landscape"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4C97F-9F29-4D81-808C-310A7339C81E}">
  <sheetPr codeName="Sheet47"/>
  <dimension ref="B2:H67"/>
  <sheetViews>
    <sheetView workbookViewId="0">
      <selection activeCell="J8" sqref="J8"/>
    </sheetView>
  </sheetViews>
  <sheetFormatPr defaultRowHeight="12.75" x14ac:dyDescent="0.2"/>
  <cols>
    <col min="1" max="1" width="11" customWidth="1"/>
    <col min="2" max="2" width="13.42578125" customWidth="1"/>
    <col min="3" max="4" width="14" customWidth="1"/>
    <col min="5" max="5" width="16.7109375" customWidth="1"/>
  </cols>
  <sheetData>
    <row r="2" spans="2:8" ht="21" x14ac:dyDescent="0.35">
      <c r="B2" s="1896" t="s">
        <v>1661</v>
      </c>
      <c r="C2" s="1896"/>
      <c r="D2" s="1896"/>
      <c r="E2" s="1896"/>
      <c r="F2" s="1896"/>
      <c r="G2" s="1896"/>
      <c r="H2" s="1896"/>
    </row>
    <row r="3" spans="2:8" ht="30" x14ac:dyDescent="0.25">
      <c r="B3" s="1601" t="s">
        <v>1651</v>
      </c>
      <c r="C3" s="1601" t="s">
        <v>1652</v>
      </c>
      <c r="D3" s="1601" t="s">
        <v>1653</v>
      </c>
      <c r="E3" s="1601" t="s">
        <v>94</v>
      </c>
      <c r="F3" s="1601" t="s">
        <v>1662</v>
      </c>
      <c r="G3" s="1601" t="s">
        <v>1663</v>
      </c>
      <c r="H3" s="1601" t="s">
        <v>1330</v>
      </c>
    </row>
    <row r="4" spans="2:8" ht="15" x14ac:dyDescent="0.25">
      <c r="B4" s="1891" t="str">
        <f>IF('Legend(Skid)'!S1=0,"",'Legend(Skid)'!S1)</f>
        <v/>
      </c>
      <c r="C4" s="1602"/>
      <c r="D4" s="1892"/>
      <c r="E4" s="1602" t="e">
        <f t="shared" ref="E4:E28" si="0">VLOOKUP($C4,LegendSG1CKTrows_Skid,14)</f>
        <v>#N/A</v>
      </c>
      <c r="F4" s="1891">
        <v>1</v>
      </c>
      <c r="G4" s="1891" t="s">
        <v>1664</v>
      </c>
      <c r="H4" s="1603"/>
    </row>
    <row r="5" spans="2:8" ht="15" x14ac:dyDescent="0.25">
      <c r="B5" s="1891"/>
      <c r="C5" s="1602"/>
      <c r="D5" s="1892"/>
      <c r="E5" s="1602" t="e">
        <f t="shared" si="0"/>
        <v>#N/A</v>
      </c>
      <c r="F5" s="1891"/>
      <c r="G5" s="1891"/>
      <c r="H5" s="1603"/>
    </row>
    <row r="6" spans="2:8" ht="15" x14ac:dyDescent="0.25">
      <c r="B6" s="1891"/>
      <c r="C6" s="1602"/>
      <c r="D6" s="1892"/>
      <c r="E6" s="1602" t="e">
        <f t="shared" si="0"/>
        <v>#N/A</v>
      </c>
      <c r="F6" s="1891"/>
      <c r="G6" s="1891"/>
      <c r="H6" s="1603"/>
    </row>
    <row r="7" spans="2:8" ht="15" x14ac:dyDescent="0.25">
      <c r="B7" s="1891"/>
      <c r="C7" s="1602"/>
      <c r="D7" s="1892"/>
      <c r="E7" s="1602" t="e">
        <f t="shared" si="0"/>
        <v>#N/A</v>
      </c>
      <c r="F7" s="1891"/>
      <c r="G7" s="1891"/>
      <c r="H7" s="1603"/>
    </row>
    <row r="8" spans="2:8" ht="15" x14ac:dyDescent="0.25">
      <c r="B8" s="1891"/>
      <c r="C8" s="1602"/>
      <c r="D8" s="1892"/>
      <c r="E8" s="1602" t="e">
        <f t="shared" si="0"/>
        <v>#N/A</v>
      </c>
      <c r="F8" s="1891"/>
      <c r="G8" s="1891"/>
      <c r="H8" s="1603"/>
    </row>
    <row r="9" spans="2:8" ht="15" x14ac:dyDescent="0.25">
      <c r="B9" s="1891"/>
      <c r="C9" s="1602"/>
      <c r="D9" s="1892"/>
      <c r="E9" s="1602" t="e">
        <f t="shared" si="0"/>
        <v>#N/A</v>
      </c>
      <c r="F9" s="1891">
        <v>2</v>
      </c>
      <c r="G9" s="1891" t="s">
        <v>1664</v>
      </c>
      <c r="H9" s="1603"/>
    </row>
    <row r="10" spans="2:8" ht="15" x14ac:dyDescent="0.25">
      <c r="B10" s="1891"/>
      <c r="C10" s="1602"/>
      <c r="D10" s="1892"/>
      <c r="E10" s="1602" t="e">
        <f t="shared" si="0"/>
        <v>#N/A</v>
      </c>
      <c r="F10" s="1891"/>
      <c r="G10" s="1891"/>
      <c r="H10" s="1603"/>
    </row>
    <row r="11" spans="2:8" ht="15" x14ac:dyDescent="0.25">
      <c r="B11" s="1891"/>
      <c r="C11" s="1602"/>
      <c r="D11" s="1892"/>
      <c r="E11" s="1602" t="e">
        <f t="shared" si="0"/>
        <v>#N/A</v>
      </c>
      <c r="F11" s="1891"/>
      <c r="G11" s="1891"/>
      <c r="H11" s="1603"/>
    </row>
    <row r="12" spans="2:8" ht="15" x14ac:dyDescent="0.25">
      <c r="B12" s="1891"/>
      <c r="C12" s="1602"/>
      <c r="D12" s="1892"/>
      <c r="E12" s="1602" t="e">
        <f t="shared" si="0"/>
        <v>#N/A</v>
      </c>
      <c r="F12" s="1891"/>
      <c r="G12" s="1891"/>
      <c r="H12" s="1603"/>
    </row>
    <row r="13" spans="2:8" ht="15" x14ac:dyDescent="0.25">
      <c r="B13" s="1891"/>
      <c r="C13" s="1602"/>
      <c r="D13" s="1892"/>
      <c r="E13" s="1602" t="e">
        <f t="shared" si="0"/>
        <v>#N/A</v>
      </c>
      <c r="F13" s="1891"/>
      <c r="G13" s="1891"/>
      <c r="H13" s="1603"/>
    </row>
    <row r="14" spans="2:8" ht="15" x14ac:dyDescent="0.25">
      <c r="B14" s="1891"/>
      <c r="C14" s="1602"/>
      <c r="D14" s="1892"/>
      <c r="E14" s="1602" t="e">
        <f t="shared" si="0"/>
        <v>#N/A</v>
      </c>
      <c r="F14" s="1891">
        <v>3</v>
      </c>
      <c r="G14" s="1891" t="s">
        <v>1664</v>
      </c>
      <c r="H14" s="1603"/>
    </row>
    <row r="15" spans="2:8" ht="15" x14ac:dyDescent="0.25">
      <c r="B15" s="1891"/>
      <c r="C15" s="1602"/>
      <c r="D15" s="1892"/>
      <c r="E15" s="1602" t="e">
        <f t="shared" si="0"/>
        <v>#N/A</v>
      </c>
      <c r="F15" s="1891"/>
      <c r="G15" s="1891"/>
      <c r="H15" s="1603"/>
    </row>
    <row r="16" spans="2:8" ht="15" x14ac:dyDescent="0.25">
      <c r="B16" s="1891"/>
      <c r="C16" s="1602"/>
      <c r="D16" s="1892"/>
      <c r="E16" s="1602" t="e">
        <f t="shared" si="0"/>
        <v>#N/A</v>
      </c>
      <c r="F16" s="1891"/>
      <c r="G16" s="1891"/>
      <c r="H16" s="1603"/>
    </row>
    <row r="17" spans="2:8" ht="15" x14ac:dyDescent="0.25">
      <c r="B17" s="1891"/>
      <c r="C17" s="1602"/>
      <c r="D17" s="1892"/>
      <c r="E17" s="1602" t="e">
        <f t="shared" si="0"/>
        <v>#N/A</v>
      </c>
      <c r="F17" s="1891"/>
      <c r="G17" s="1891"/>
      <c r="H17" s="1603"/>
    </row>
    <row r="18" spans="2:8" ht="15" x14ac:dyDescent="0.25">
      <c r="B18" s="1891"/>
      <c r="C18" s="1602"/>
      <c r="D18" s="1892"/>
      <c r="E18" s="1602" t="e">
        <f t="shared" si="0"/>
        <v>#N/A</v>
      </c>
      <c r="F18" s="1891"/>
      <c r="G18" s="1891"/>
      <c r="H18" s="1603"/>
    </row>
    <row r="19" spans="2:8" ht="15" x14ac:dyDescent="0.25">
      <c r="B19" s="1891"/>
      <c r="C19" s="1602"/>
      <c r="D19" s="1892"/>
      <c r="E19" s="1602" t="e">
        <f t="shared" si="0"/>
        <v>#N/A</v>
      </c>
      <c r="F19" s="1891">
        <v>4</v>
      </c>
      <c r="G19" s="1891" t="s">
        <v>1664</v>
      </c>
      <c r="H19" s="1603"/>
    </row>
    <row r="20" spans="2:8" ht="15" x14ac:dyDescent="0.25">
      <c r="B20" s="1891"/>
      <c r="C20" s="1602"/>
      <c r="D20" s="1892"/>
      <c r="E20" s="1602" t="e">
        <f t="shared" si="0"/>
        <v>#N/A</v>
      </c>
      <c r="F20" s="1891"/>
      <c r="G20" s="1891"/>
      <c r="H20" s="1603"/>
    </row>
    <row r="21" spans="2:8" ht="15" x14ac:dyDescent="0.25">
      <c r="B21" s="1891"/>
      <c r="C21" s="1602"/>
      <c r="D21" s="1892"/>
      <c r="E21" s="1602" t="e">
        <f t="shared" si="0"/>
        <v>#N/A</v>
      </c>
      <c r="F21" s="1891"/>
      <c r="G21" s="1891"/>
      <c r="H21" s="1603"/>
    </row>
    <row r="22" spans="2:8" ht="15" x14ac:dyDescent="0.25">
      <c r="B22" s="1891"/>
      <c r="C22" s="1602"/>
      <c r="D22" s="1892"/>
      <c r="E22" s="1602" t="e">
        <f t="shared" si="0"/>
        <v>#N/A</v>
      </c>
      <c r="F22" s="1891"/>
      <c r="G22" s="1891"/>
      <c r="H22" s="1603"/>
    </row>
    <row r="23" spans="2:8" ht="15" x14ac:dyDescent="0.25">
      <c r="B23" s="1891"/>
      <c r="C23" s="1602"/>
      <c r="D23" s="1892"/>
      <c r="E23" s="1602" t="e">
        <f t="shared" si="0"/>
        <v>#N/A</v>
      </c>
      <c r="F23" s="1891"/>
      <c r="G23" s="1891"/>
      <c r="H23" s="1603"/>
    </row>
    <row r="24" spans="2:8" ht="15" x14ac:dyDescent="0.25">
      <c r="B24" s="1891"/>
      <c r="C24" s="1602"/>
      <c r="D24" s="1892"/>
      <c r="E24" s="1602" t="e">
        <f t="shared" si="0"/>
        <v>#N/A</v>
      </c>
      <c r="F24" s="1893">
        <v>5</v>
      </c>
      <c r="G24" s="1893" t="s">
        <v>1664</v>
      </c>
      <c r="H24" s="1603"/>
    </row>
    <row r="25" spans="2:8" ht="15" x14ac:dyDescent="0.25">
      <c r="B25" s="1891"/>
      <c r="C25" s="1602"/>
      <c r="D25" s="1892"/>
      <c r="E25" s="1602" t="e">
        <f t="shared" si="0"/>
        <v>#N/A</v>
      </c>
      <c r="F25" s="1894"/>
      <c r="G25" s="1894"/>
      <c r="H25" s="1603"/>
    </row>
    <row r="26" spans="2:8" ht="15" x14ac:dyDescent="0.25">
      <c r="B26" s="1891"/>
      <c r="C26" s="1602"/>
      <c r="D26" s="1892"/>
      <c r="E26" s="1602" t="e">
        <f t="shared" si="0"/>
        <v>#N/A</v>
      </c>
      <c r="F26" s="1894"/>
      <c r="G26" s="1894"/>
      <c r="H26" s="1603"/>
    </row>
    <row r="27" spans="2:8" ht="15" x14ac:dyDescent="0.25">
      <c r="B27" s="1891"/>
      <c r="C27" s="1602"/>
      <c r="D27" s="1892"/>
      <c r="E27" s="1602" t="e">
        <f t="shared" si="0"/>
        <v>#N/A</v>
      </c>
      <c r="F27" s="1894"/>
      <c r="G27" s="1894"/>
      <c r="H27" s="1603"/>
    </row>
    <row r="28" spans="2:8" ht="15" x14ac:dyDescent="0.25">
      <c r="B28" s="1891"/>
      <c r="C28" s="1602"/>
      <c r="D28" s="1892"/>
      <c r="E28" s="1602" t="e">
        <f t="shared" si="0"/>
        <v>#N/A</v>
      </c>
      <c r="F28" s="1895"/>
      <c r="G28" s="1895"/>
      <c r="H28" s="1603"/>
    </row>
    <row r="29" spans="2:8" x14ac:dyDescent="0.2">
      <c r="B29" s="1604"/>
      <c r="C29" s="1604"/>
      <c r="D29" s="1604"/>
      <c r="E29" s="1604"/>
      <c r="F29" s="1604"/>
      <c r="G29" s="1604"/>
      <c r="H29" s="1604"/>
    </row>
    <row r="41" spans="2:8" hidden="1" x14ac:dyDescent="0.2"/>
    <row r="42" spans="2:8" ht="15" hidden="1" x14ac:dyDescent="0.25">
      <c r="B42" s="1891"/>
      <c r="C42" s="1602"/>
      <c r="D42" s="1892"/>
      <c r="E42" s="1602"/>
      <c r="F42" s="1891"/>
      <c r="G42" s="1891"/>
      <c r="H42" s="1603"/>
    </row>
    <row r="43" spans="2:8" ht="15" hidden="1" x14ac:dyDescent="0.25">
      <c r="B43" s="1891"/>
      <c r="C43" s="1602"/>
      <c r="D43" s="1892"/>
      <c r="E43" s="1602"/>
      <c r="F43" s="1891"/>
      <c r="G43" s="1891"/>
      <c r="H43" s="1603"/>
    </row>
    <row r="44" spans="2:8" ht="15" hidden="1" x14ac:dyDescent="0.25">
      <c r="B44" s="1891"/>
      <c r="C44" s="1602"/>
      <c r="D44" s="1892"/>
      <c r="E44" s="1602"/>
      <c r="F44" s="1891"/>
      <c r="G44" s="1891"/>
      <c r="H44" s="1603"/>
    </row>
    <row r="45" spans="2:8" ht="15" hidden="1" x14ac:dyDescent="0.25">
      <c r="B45" s="1891"/>
      <c r="C45" s="1602"/>
      <c r="D45" s="1892"/>
      <c r="E45" s="1602"/>
      <c r="F45" s="1891"/>
      <c r="G45" s="1891"/>
      <c r="H45" s="1603"/>
    </row>
    <row r="46" spans="2:8" ht="15" hidden="1" x14ac:dyDescent="0.25">
      <c r="B46" s="1891"/>
      <c r="C46" s="1602"/>
      <c r="D46" s="1892"/>
      <c r="E46" s="1602"/>
      <c r="F46" s="1891"/>
      <c r="G46" s="1891"/>
      <c r="H46" s="1603"/>
    </row>
    <row r="47" spans="2:8" ht="15" hidden="1" x14ac:dyDescent="0.25">
      <c r="B47" s="1891"/>
      <c r="C47" s="1602"/>
      <c r="D47" s="1892"/>
      <c r="E47" s="1602"/>
      <c r="F47" s="1891"/>
      <c r="G47" s="1891"/>
      <c r="H47" s="1603"/>
    </row>
    <row r="48" spans="2:8" ht="15" hidden="1" x14ac:dyDescent="0.25">
      <c r="B48" s="1891"/>
      <c r="C48" s="1602"/>
      <c r="D48" s="1892"/>
      <c r="E48" s="1602"/>
      <c r="F48" s="1891"/>
      <c r="G48" s="1891"/>
      <c r="H48" s="1603"/>
    </row>
    <row r="49" spans="2:8" ht="15" hidden="1" x14ac:dyDescent="0.25">
      <c r="B49" s="1891"/>
      <c r="C49" s="1602"/>
      <c r="D49" s="1892"/>
      <c r="E49" s="1602"/>
      <c r="F49" s="1891"/>
      <c r="G49" s="1891"/>
      <c r="H49" s="1603"/>
    </row>
    <row r="50" spans="2:8" ht="15" hidden="1" x14ac:dyDescent="0.25">
      <c r="B50" s="1891"/>
      <c r="C50" s="1602"/>
      <c r="D50" s="1892"/>
      <c r="E50" s="1602"/>
      <c r="F50" s="1891"/>
      <c r="G50" s="1891"/>
      <c r="H50" s="1603"/>
    </row>
    <row r="51" spans="2:8" ht="15" hidden="1" x14ac:dyDescent="0.25">
      <c r="B51" s="1891"/>
      <c r="C51" s="1602"/>
      <c r="D51" s="1892"/>
      <c r="E51" s="1602"/>
      <c r="F51" s="1891"/>
      <c r="G51" s="1891"/>
      <c r="H51" s="1603"/>
    </row>
    <row r="52" spans="2:8" ht="15" hidden="1" x14ac:dyDescent="0.25">
      <c r="B52" s="1891"/>
      <c r="C52" s="1602"/>
      <c r="D52" s="1892"/>
      <c r="E52" s="1602"/>
      <c r="F52" s="1891"/>
      <c r="G52" s="1891"/>
      <c r="H52" s="1603"/>
    </row>
    <row r="53" spans="2:8" ht="15" hidden="1" x14ac:dyDescent="0.25">
      <c r="B53" s="1891"/>
      <c r="C53" s="1602"/>
      <c r="D53" s="1892"/>
      <c r="E53" s="1602"/>
      <c r="F53" s="1891"/>
      <c r="G53" s="1891"/>
      <c r="H53" s="1603"/>
    </row>
    <row r="54" spans="2:8" ht="15" hidden="1" x14ac:dyDescent="0.25">
      <c r="B54" s="1891"/>
      <c r="C54" s="1602"/>
      <c r="D54" s="1892"/>
      <c r="E54" s="1602"/>
      <c r="F54" s="1891"/>
      <c r="G54" s="1891"/>
      <c r="H54" s="1603"/>
    </row>
    <row r="55" spans="2:8" ht="15" hidden="1" x14ac:dyDescent="0.25">
      <c r="B55" s="1891"/>
      <c r="C55" s="1602"/>
      <c r="D55" s="1892"/>
      <c r="E55" s="1602"/>
      <c r="F55" s="1891"/>
      <c r="G55" s="1891"/>
      <c r="H55" s="1603"/>
    </row>
    <row r="56" spans="2:8" ht="15" hidden="1" x14ac:dyDescent="0.25">
      <c r="B56" s="1891"/>
      <c r="C56" s="1602"/>
      <c r="D56" s="1892"/>
      <c r="E56" s="1602"/>
      <c r="F56" s="1891"/>
      <c r="G56" s="1891"/>
      <c r="H56" s="1603"/>
    </row>
    <row r="57" spans="2:8" ht="15" hidden="1" x14ac:dyDescent="0.25">
      <c r="B57" s="1891"/>
      <c r="C57" s="1602"/>
      <c r="D57" s="1892"/>
      <c r="E57" s="1602"/>
      <c r="F57" s="1891"/>
      <c r="G57" s="1891"/>
      <c r="H57" s="1603"/>
    </row>
    <row r="58" spans="2:8" ht="15" hidden="1" x14ac:dyDescent="0.25">
      <c r="B58" s="1891"/>
      <c r="C58" s="1602"/>
      <c r="D58" s="1892"/>
      <c r="E58" s="1602"/>
      <c r="F58" s="1891"/>
      <c r="G58" s="1891"/>
      <c r="H58" s="1603"/>
    </row>
    <row r="59" spans="2:8" ht="15" hidden="1" x14ac:dyDescent="0.25">
      <c r="B59" s="1891"/>
      <c r="C59" s="1602"/>
      <c r="D59" s="1892"/>
      <c r="E59" s="1602"/>
      <c r="F59" s="1891"/>
      <c r="G59" s="1891"/>
      <c r="H59" s="1603"/>
    </row>
    <row r="60" spans="2:8" ht="15" hidden="1" x14ac:dyDescent="0.25">
      <c r="B60" s="1891"/>
      <c r="C60" s="1602"/>
      <c r="D60" s="1892"/>
      <c r="E60" s="1602"/>
      <c r="F60" s="1891"/>
      <c r="G60" s="1891"/>
      <c r="H60" s="1603"/>
    </row>
    <row r="61" spans="2:8" ht="15" hidden="1" x14ac:dyDescent="0.25">
      <c r="B61" s="1891"/>
      <c r="C61" s="1602"/>
      <c r="D61" s="1892"/>
      <c r="E61" s="1602"/>
      <c r="F61" s="1891"/>
      <c r="G61" s="1891"/>
      <c r="H61" s="1603"/>
    </row>
    <row r="62" spans="2:8" ht="15" hidden="1" x14ac:dyDescent="0.25">
      <c r="B62" s="1891"/>
      <c r="C62" s="1602"/>
      <c r="D62" s="1892"/>
      <c r="E62" s="1602"/>
      <c r="F62" s="1891"/>
      <c r="G62" s="1891"/>
      <c r="H62" s="1603"/>
    </row>
    <row r="63" spans="2:8" ht="15" hidden="1" x14ac:dyDescent="0.25">
      <c r="B63" s="1891"/>
      <c r="C63" s="1602"/>
      <c r="D63" s="1892"/>
      <c r="E63" s="1602"/>
      <c r="F63" s="1891"/>
      <c r="G63" s="1891"/>
      <c r="H63" s="1603"/>
    </row>
    <row r="64" spans="2:8" ht="15" hidden="1" x14ac:dyDescent="0.25">
      <c r="B64" s="1891"/>
      <c r="C64" s="1602"/>
      <c r="D64" s="1892"/>
      <c r="E64" s="1602"/>
      <c r="F64" s="1891"/>
      <c r="G64" s="1891"/>
      <c r="H64" s="1603"/>
    </row>
    <row r="65" spans="2:8" ht="15" hidden="1" x14ac:dyDescent="0.25">
      <c r="B65" s="1891"/>
      <c r="C65" s="1602"/>
      <c r="D65" s="1892"/>
      <c r="E65" s="1602"/>
      <c r="F65" s="1891"/>
      <c r="G65" s="1891"/>
      <c r="H65" s="1603"/>
    </row>
    <row r="66" spans="2:8" ht="15" hidden="1" x14ac:dyDescent="0.25">
      <c r="B66" s="1891"/>
      <c r="C66" s="1602"/>
      <c r="D66" s="1892"/>
      <c r="E66" s="1602"/>
      <c r="F66" s="1891"/>
      <c r="G66" s="1891"/>
      <c r="H66" s="1603"/>
    </row>
    <row r="67" spans="2:8" hidden="1" x14ac:dyDescent="0.2">
      <c r="B67" s="1604"/>
      <c r="C67" s="1604"/>
      <c r="D67" s="1604"/>
      <c r="E67" s="1604"/>
      <c r="F67" s="1604"/>
      <c r="G67" s="1604"/>
      <c r="H67" s="1604"/>
    </row>
  </sheetData>
  <sheetProtection sheet="1" objects="1" scenarios="1"/>
  <mergeCells count="33">
    <mergeCell ref="F19:F23"/>
    <mergeCell ref="G62:G66"/>
    <mergeCell ref="B2:H2"/>
    <mergeCell ref="B4:B28"/>
    <mergeCell ref="D4:D8"/>
    <mergeCell ref="F4:F8"/>
    <mergeCell ref="G4:G8"/>
    <mergeCell ref="D9:D13"/>
    <mergeCell ref="F9:F13"/>
    <mergeCell ref="G9:G13"/>
    <mergeCell ref="D14:D18"/>
    <mergeCell ref="F14:F18"/>
    <mergeCell ref="G14:G18"/>
    <mergeCell ref="D19:D23"/>
    <mergeCell ref="G19:G23"/>
    <mergeCell ref="G24:G28"/>
    <mergeCell ref="D24:D28"/>
    <mergeCell ref="F24:F28"/>
    <mergeCell ref="B42:B66"/>
    <mergeCell ref="D42:D46"/>
    <mergeCell ref="F42:F46"/>
    <mergeCell ref="D57:D61"/>
    <mergeCell ref="F57:F61"/>
    <mergeCell ref="G57:G61"/>
    <mergeCell ref="F62:F66"/>
    <mergeCell ref="D62:D66"/>
    <mergeCell ref="G42:G46"/>
    <mergeCell ref="D47:D51"/>
    <mergeCell ref="F47:F51"/>
    <mergeCell ref="G47:G51"/>
    <mergeCell ref="D52:D56"/>
    <mergeCell ref="F52:F56"/>
    <mergeCell ref="G52:G56"/>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3FE7FF-1C46-4952-AEC6-139C2E1789D4}">
  <sheetPr codeName="Sheet22">
    <pageSetUpPr fitToPage="1"/>
  </sheetPr>
  <dimension ref="A1:AJ46"/>
  <sheetViews>
    <sheetView zoomScaleNormal="100" workbookViewId="0">
      <selection activeCell="C34" sqref="C34:AI34"/>
    </sheetView>
  </sheetViews>
  <sheetFormatPr defaultRowHeight="12.75" x14ac:dyDescent="0.2"/>
  <cols>
    <col min="1" max="1" width="12.28515625" style="413" customWidth="1"/>
    <col min="2" max="2" width="9.42578125" style="413" customWidth="1"/>
    <col min="3" max="4" width="5.7109375" style="413" customWidth="1"/>
    <col min="5" max="6" width="6.7109375" style="413" customWidth="1"/>
    <col min="7" max="7" width="11.42578125" style="413" customWidth="1"/>
    <col min="8" max="8" width="6.7109375" style="413" customWidth="1"/>
    <col min="9" max="11" width="4.7109375" style="413" customWidth="1"/>
    <col min="12" max="12" width="9" style="413" bestFit="1" customWidth="1"/>
    <col min="13" max="13" width="14.5703125" style="413" customWidth="1"/>
    <col min="14" max="14" width="21.28515625" style="413" customWidth="1"/>
    <col min="15" max="15" width="8.5703125" style="413" bestFit="1" customWidth="1"/>
    <col min="16" max="16" width="10.7109375" style="413" customWidth="1"/>
    <col min="17" max="17" width="15.85546875" style="413" bestFit="1" customWidth="1"/>
    <col min="18" max="18" width="15.28515625" style="413" customWidth="1"/>
    <col min="19" max="19" width="13.7109375" style="413" customWidth="1"/>
    <col min="20" max="20" width="5.42578125" style="413" customWidth="1"/>
    <col min="21" max="21" width="8.140625" style="413" customWidth="1"/>
    <col min="22" max="22" width="11.85546875" style="413" customWidth="1"/>
    <col min="23" max="23" width="12.7109375" style="413" customWidth="1"/>
    <col min="24" max="24" width="7.85546875" style="413" bestFit="1" customWidth="1"/>
    <col min="25" max="25" width="6.5703125" style="413" customWidth="1"/>
    <col min="26" max="26" width="8.140625" style="413" customWidth="1"/>
    <col min="27" max="27" width="8.85546875" style="413" customWidth="1"/>
    <col min="28" max="28" width="9.140625" style="413"/>
    <col min="29" max="29" width="6.85546875" style="413" customWidth="1"/>
    <col min="30" max="30" width="9.5703125" style="413" customWidth="1"/>
    <col min="31" max="31" width="17" style="413" customWidth="1"/>
    <col min="32" max="32" width="14.85546875" style="413" customWidth="1"/>
    <col min="33" max="33" width="14.140625" style="413" customWidth="1"/>
    <col min="34" max="34" width="23" style="413" customWidth="1"/>
    <col min="35" max="35" width="13" style="413" customWidth="1"/>
    <col min="36" max="16384" width="9.140625" style="413"/>
  </cols>
  <sheetData>
    <row r="1" spans="1:35" ht="31.5" customHeight="1" thickTop="1" thickBot="1" x14ac:dyDescent="0.4">
      <c r="A1" s="1405"/>
      <c r="B1" s="1924" t="s">
        <v>1328</v>
      </c>
      <c r="C1" s="1925"/>
      <c r="D1" s="1925"/>
      <c r="E1" s="1925"/>
      <c r="F1" s="1925"/>
      <c r="G1" s="1925"/>
      <c r="H1" s="1925"/>
      <c r="I1" s="1925"/>
      <c r="J1" s="1925"/>
      <c r="K1" s="1925"/>
      <c r="L1" s="1925"/>
      <c r="M1" s="1925"/>
      <c r="N1" s="1925"/>
      <c r="O1" s="1925"/>
      <c r="P1" s="1925"/>
      <c r="Q1" s="1925"/>
      <c r="R1" s="1925"/>
      <c r="S1" s="1925"/>
      <c r="T1" s="1925"/>
      <c r="U1" s="1925"/>
      <c r="V1" s="1925"/>
      <c r="W1" s="1925"/>
      <c r="X1" s="1925"/>
      <c r="Y1" s="1925"/>
      <c r="Z1" s="1925"/>
      <c r="AA1" s="1925"/>
      <c r="AB1" s="1925"/>
      <c r="AC1" s="1925"/>
      <c r="AD1" s="1925"/>
      <c r="AE1" s="1925"/>
      <c r="AF1" s="1925"/>
      <c r="AG1" s="1925"/>
      <c r="AH1" s="1925"/>
      <c r="AI1" s="1926"/>
    </row>
    <row r="2" spans="1:35" s="1406" customFormat="1" ht="26.1" customHeight="1" thickTop="1" x14ac:dyDescent="0.2">
      <c r="A2" s="1405"/>
      <c r="B2" s="1975" t="str">
        <f>"SYSTEM " &amp; 'Legend(DX)'!S1</f>
        <v xml:space="preserve">SYSTEM </v>
      </c>
      <c r="C2" s="1976"/>
      <c r="D2" s="1976"/>
      <c r="E2" s="1976"/>
      <c r="F2" s="1976"/>
      <c r="G2" s="1976"/>
      <c r="H2" s="1976"/>
      <c r="I2" s="1976"/>
      <c r="J2" s="1976"/>
      <c r="K2" s="1976"/>
      <c r="L2" s="1976"/>
      <c r="M2" s="1976"/>
      <c r="N2" s="1976"/>
      <c r="O2" s="1977"/>
      <c r="P2" s="1306" t="s">
        <v>1346</v>
      </c>
      <c r="Q2" s="1479">
        <f>'Legend(DX)'!U4</f>
        <v>0</v>
      </c>
      <c r="R2" s="1307" t="str">
        <f>IF(OR(LEFT($O$3,1)="g",LEFT($O$3,1)="c"),'Legend(DX)'!X1,IF('Legend(DX)'!U1="R744","Gas Cooler Type","Condenser Type:"))</f>
        <v>Condenser Type:</v>
      </c>
      <c r="S2" s="1308" t="str">
        <f>IF(OR(LEFT($O$3,1)="g",LEFT($O$3,1)="c"),LegendSG1LT,'Legend(DX)'!W1)</f>
        <v>Air</v>
      </c>
      <c r="T2" s="1973" t="str">
        <f>IF(OR(LEFT($O$3,1)="g",LEFT($O$3,1)="c"),"","H/R Media:")</f>
        <v>H/R Media:</v>
      </c>
      <c r="U2" s="1978"/>
      <c r="V2" s="1308" t="str">
        <f>IF(OR(LEFT($O$3,1)="g",LEFT($O$3,1)="c"),"",IF(V3="Dom. Hot Water","Water",'Heat Reclaim Calc'!F5))</f>
        <v>Water</v>
      </c>
      <c r="W2" s="1973" t="str">
        <f>IF(OR(LEFT($O$3,1)="g",LEFT($O$3,1)="c"),"","Subcooler Liquid Temps")</f>
        <v>Subcooler Liquid Temps</v>
      </c>
      <c r="X2" s="1974"/>
      <c r="Y2" s="1973" t="str">
        <f>IF(OR(LEFT($O$3,1)="g",LEFT($O$3,1)="c"),"","SG1 Comp RGT ºF:")</f>
        <v>SG1 Comp RGT ºF:</v>
      </c>
      <c r="Z2" s="1978"/>
      <c r="AA2" s="1309">
        <f>IF(OR(LEFT($O$3,1)="g",LEFT($O$3,1)="c"),"",'Legend(DX)'!AA1)</f>
        <v>0</v>
      </c>
      <c r="AB2" s="1979" t="str">
        <f>IF(OR(LEFT($O$3,1)="g",LEFT($O$3,1)="c"),'Legend(DX)'!AQ3,"")</f>
        <v/>
      </c>
      <c r="AC2" s="1980"/>
      <c r="AD2" s="1980"/>
      <c r="AE2" s="1483" t="str">
        <f>IF(OR(LEFT($O$3,1)="g",LEFT($O$3,1)="c"),'Legend(DX)'!AT3,"")</f>
        <v/>
      </c>
      <c r="AF2" s="1971" t="str">
        <f>IF(OR($S$2="Fluid",$S$2="Evap Fluid"),"COND. ENTERING FLUID TEMP ºF :",IF($S$2="Water","COND. ENTERING WATER TEMP ºF :","EXTERIOR DRY BULB (DB) ºF :"))</f>
        <v>EXTERIOR DRY BULB (DB) ºF :</v>
      </c>
      <c r="AG2" s="1972"/>
      <c r="AH2" s="1972"/>
      <c r="AI2" s="1310">
        <f>'Legend(DX)'!AF1</f>
        <v>0</v>
      </c>
    </row>
    <row r="3" spans="1:35" s="1406" customFormat="1" ht="26.1" customHeight="1" x14ac:dyDescent="0.2">
      <c r="A3" s="1405"/>
      <c r="B3" s="1941" t="s">
        <v>765</v>
      </c>
      <c r="C3" s="1942"/>
      <c r="D3" s="1948">
        <f>'Legend(DX)'!H2</f>
        <v>0</v>
      </c>
      <c r="E3" s="1949"/>
      <c r="F3" s="1947" t="s">
        <v>948</v>
      </c>
      <c r="G3" s="1942"/>
      <c r="H3" s="1948">
        <f>'Legend(DX)'!O1</f>
        <v>0</v>
      </c>
      <c r="I3" s="1948"/>
      <c r="J3" s="1949"/>
      <c r="K3" s="1947" t="s">
        <v>764</v>
      </c>
      <c r="L3" s="1942"/>
      <c r="M3" s="1525" t="str">
        <f>'Legend(DX)'!R2</f>
        <v>Compressor House</v>
      </c>
      <c r="N3" s="1312" t="str">
        <f>IF(LEFT($O$3,1)="g","Secondary Refrigerant",IF(LEFT($O$3,1)="c","Secondary Refrigerant","Refrigerant:"))</f>
        <v>Refrigerant:</v>
      </c>
      <c r="O3" s="1481">
        <f>'Legend(DX)'!U1</f>
        <v>0</v>
      </c>
      <c r="P3" s="1313" t="s">
        <v>1226</v>
      </c>
      <c r="Q3" s="1311">
        <f>'Legend(DX)'!U2</f>
        <v>0</v>
      </c>
      <c r="R3" s="1314" t="str">
        <f>IF(OR(LEFT($O$3,1)="g",LEFT($O$3,1)="c"),'Legend(DX)'!V2,IF('Legend(DX)'!U1="R744","Flash Tank Sat. Temp ºF:","Sat. Cond. Temp ºF:"))</f>
        <v>Sat. Cond. Temp ºF:</v>
      </c>
      <c r="S3" s="1315">
        <f>IF(OR(LEFT($O$3,1)="g",LEFT($O$3,1)="c"),LegendSG1CT,'Legend(DX)'!W2)</f>
        <v>0</v>
      </c>
      <c r="T3" s="1968" t="str">
        <f>IF(OR(LEFT($O$3,1)="g",LEFT($O$3,1)="c"),"","H/R Use:")</f>
        <v>H/R Use:</v>
      </c>
      <c r="U3" s="1969"/>
      <c r="V3" s="1317" t="str">
        <f>IF(OR(LEFT($O$3,1)="g",LEFT($O$3,1)="c"),"",'Heat Reclaim Calc'!G5)</f>
        <v>Dom. Hot Water</v>
      </c>
      <c r="W3" s="1318" t="str">
        <f>IF(OR(LEFT($O$3,1)="g",LEFT($O$3,1)="c"),"",'Legend(DX)'!X1)</f>
        <v>SG1 Liquid Temp</v>
      </c>
      <c r="X3" s="1319" t="str">
        <f>IF(OR(LEFT($O$3,1)="g",LEFT($O$3,1)="c"),"",IF('Legend(DX)'!Y1="","N/A",'Legend(DX)'!Y1))</f>
        <v>N/A</v>
      </c>
      <c r="Y3" s="1968" t="str">
        <f>IF(OR(LEFT($O$3,1)="g",LEFT($O$3,1)="c"),"","SG2 Comp RGT ºF:")</f>
        <v>SG2 Comp RGT ºF:</v>
      </c>
      <c r="Z3" s="1969"/>
      <c r="AA3" s="1315" t="str">
        <f>IF(OR(LEFT($O$3,1)="g",LEFT($O$3,1)="c"),"",IF('Legend(DX)'!AA2="","N/A",'Legend(DX)'!AA2))</f>
        <v>N/A</v>
      </c>
      <c r="AB3" s="1947" t="str">
        <f>IF(OR(LEFT($O$3,1)="g",LEFT($O$3,1)="c"),"Pump Skid Minimum Capacity GPM:","")</f>
        <v/>
      </c>
      <c r="AC3" s="1942"/>
      <c r="AD3" s="1942"/>
      <c r="AE3" s="1322" t="str">
        <f>IF(OR(LEFT($O$3,1)="g",LEFT($O$3,1)="c"),VLOOKUP(AE2,'Legend(DX)'!AZ177:BD179,4),"")</f>
        <v/>
      </c>
      <c r="AF3" s="1966" t="s">
        <v>1205</v>
      </c>
      <c r="AG3" s="1967"/>
      <c r="AH3" s="1967"/>
      <c r="AI3" s="1320" t="str">
        <f>'Legend(DX)'!AI1</f>
        <v>2021</v>
      </c>
    </row>
    <row r="4" spans="1:35" s="1406" customFormat="1" ht="26.1" customHeight="1" x14ac:dyDescent="0.2">
      <c r="A4" s="1405"/>
      <c r="B4" s="1941" t="s">
        <v>766</v>
      </c>
      <c r="C4" s="1942"/>
      <c r="D4" s="1948" t="str">
        <f>'Legend(DX)'!H3</f>
        <v>Renovation</v>
      </c>
      <c r="E4" s="1949"/>
      <c r="F4" s="1947" t="s">
        <v>743</v>
      </c>
      <c r="G4" s="1942"/>
      <c r="H4" s="1948">
        <f>'Legend(DX)'!O2</f>
        <v>0</v>
      </c>
      <c r="I4" s="1948"/>
      <c r="J4" s="1949"/>
      <c r="K4" s="1947" t="s">
        <v>601</v>
      </c>
      <c r="L4" s="1942"/>
      <c r="M4" s="1311" t="str">
        <f>'Legend(DX)'!S3</f>
        <v>DCE</v>
      </c>
      <c r="N4" s="1321" t="str">
        <f>IF(LEFT($O$3,1)="g","Primary Refrigerant",IF(LEFT($O$3,1)="c","Primary Refrigerant","Estimated Refrigerant Charge"))</f>
        <v>Estimated Refrigerant Charge</v>
      </c>
      <c r="O4" s="1322" t="str">
        <f>IF(OR(LEFT($O$3,1)="g",LEFT($O$3,1)="c"),'Legend(DX)'!W4,"N/A")</f>
        <v>N/A</v>
      </c>
      <c r="P4" s="1313" t="s">
        <v>949</v>
      </c>
      <c r="Q4" s="1311" t="str">
        <f>'Legend(DX)'!$AC$1</f>
        <v>460V  3Ph 60Hz</v>
      </c>
      <c r="R4" s="1324" t="str">
        <f>IF(OR(LEFT($O$3,1)="g",LEFT($O$3,1)="c"),"Primary Refrig. HXR Useful Superheat ºF:",IF('Legend(DX)'!U1="R744","Gas Cooler Outlet Temp ºF:","Cond Design TD ºF:"))</f>
        <v>Cond Design TD ºF:</v>
      </c>
      <c r="S4" s="1315">
        <f>IF(OR(LEFT($O$3,1)="g",LEFT($O$3,1)="c"),"",'Legend(DX)'!W3)</f>
        <v>0</v>
      </c>
      <c r="T4" s="1968" t="str">
        <f>IF(OR(LEFT($O$3,1)="g",LEFT($O$3,1)="c"),"","H/R Water GPM:")</f>
        <v>H/R Water GPM:</v>
      </c>
      <c r="U4" s="1969"/>
      <c r="V4" s="1319" t="str">
        <f>IF(OR(LEFT($O$3,1)="g",LEFT($O$3,1)="c"),"",IF(V3="N/A","N/A",IF('Heat Reclaim Calc'!M5=0,"--",'Heat Reclaim Calc'!M5)))</f>
        <v>EXISTING</v>
      </c>
      <c r="W4" s="1318" t="str">
        <f>IF(OR(LEFT($O$3,1)="g",LEFT($O$3,1)="c"),"",'Legend(DX)'!X2)</f>
        <v>SG2 Liquid Temp</v>
      </c>
      <c r="X4" s="1319" t="str">
        <f>IF(OR(LEFT($O$3,1)="g",LEFT($O$3,1)="c"),"",IF('Legend(DX)'!Y2="","N/A",'Legend(DX)'!Y2))</f>
        <v>N/A</v>
      </c>
      <c r="Y4" s="1968" t="str">
        <f>IF(OR(LEFT($O$3,1)="g",LEFT($O$3,1)="c"),"","SG3 Comp RGT ºF:")</f>
        <v>SG3 Comp RGT ºF:</v>
      </c>
      <c r="Z4" s="1969"/>
      <c r="AA4" s="1315" t="str">
        <f>IF(OR(LEFT($O$3,1)="g",LEFT($O$3,1)="c"),"",IF('Legend(DX)'!AA3="","N/A",'Legend(DX)'!AA3))</f>
        <v>N/A</v>
      </c>
      <c r="AB4" s="1947" t="str">
        <f>IF(OR(LEFT($O$3,1)="g",LEFT($O$3,1)="c"),"Pump Skid Maximum Capacity GPM:","")</f>
        <v/>
      </c>
      <c r="AC4" s="1942"/>
      <c r="AD4" s="1942"/>
      <c r="AE4" s="1325" t="str">
        <f>IF(OR(LEFT($O$3,1)="g",LEFT($O$3,1)="c"),VLOOKUP(AE2,'Legend(DX)'!AZ177:BD179,5),"")</f>
        <v/>
      </c>
      <c r="AF4" s="1927" t="s">
        <v>761</v>
      </c>
      <c r="AG4" s="1928"/>
      <c r="AH4" s="1928"/>
      <c r="AI4" s="1326">
        <f>'Legend(DX)'!AF2</f>
        <v>0</v>
      </c>
    </row>
    <row r="5" spans="1:35" s="1406" customFormat="1" ht="26.1" customHeight="1" x14ac:dyDescent="0.2">
      <c r="A5" s="1405"/>
      <c r="B5" s="1941" t="s">
        <v>634</v>
      </c>
      <c r="C5" s="1942"/>
      <c r="D5" s="1952">
        <f>'Legend(DX)'!K4</f>
        <v>0</v>
      </c>
      <c r="E5" s="1953"/>
      <c r="F5" s="1947" t="s">
        <v>1016</v>
      </c>
      <c r="G5" s="1942"/>
      <c r="H5" s="1950" t="str">
        <f>IF('Legend(DX)'!O3="","",'Legend(DX)'!O3)</f>
        <v>Google Elevation</v>
      </c>
      <c r="I5" s="1950"/>
      <c r="J5" s="1951"/>
      <c r="K5" s="1947" t="s">
        <v>602</v>
      </c>
      <c r="L5" s="1942"/>
      <c r="M5" s="1311">
        <f>'Legend(DX)'!S4</f>
        <v>0</v>
      </c>
      <c r="N5" s="1313"/>
      <c r="O5" s="1327"/>
      <c r="P5" s="1323" t="str">
        <f>IF(OR(LEFT($O$3,1)="g",LEFT($O$3,1)="c"),"","Defrost Elec:")</f>
        <v>Defrost Elec:</v>
      </c>
      <c r="Q5" s="1311" t="str">
        <f>IF(OR(LEFT($O$3,1)="g",LEFT($O$3,1)="c"),"",'Legend(DX)'!AC2)</f>
        <v xml:space="preserve"> 208V 60Hz 1 or 3 Ph</v>
      </c>
      <c r="R5" s="1313" t="str">
        <f>IF(OR(LEFT($O$3,1)="g",LEFT($O$3,1)="c"),"Primary Refrig. Return Gas Temp ºF:","")</f>
        <v/>
      </c>
      <c r="S5" s="1315" t="str">
        <f>IF(OR(LEFT($O$3,1)="g",LEFT($O$3,1)="c"),LegendSG1RGT,"")</f>
        <v/>
      </c>
      <c r="T5" s="1968" t="str">
        <f>IF(OR(LEFT($O$3,1)="g",LEFT($O$3,1)="c"),"","Summer H/R Avail:")</f>
        <v>Summer H/R Avail:</v>
      </c>
      <c r="U5" s="1969"/>
      <c r="V5" s="1315" t="str">
        <f>IF(OR(LEFT($O$3,1)="g",LEFT($O$3,1)="c"),"",IF(V3="Dom. Hot Water",IF('Heat Reclaim Calc'!E15=0,"--",'Heat Reclaim Calc'!I5),"N/A"))</f>
        <v>--</v>
      </c>
      <c r="W5" s="1318" t="str">
        <f>IF(LEFT($O$3,1)="g","Return Fluid Temp °F:",IF(LEFT($O$3,1)="c","",'Legend(DX)'!X3))</f>
        <v>SG3 Liquid Temp</v>
      </c>
      <c r="X5" s="1319" t="str">
        <f>IF(LEFT($O$3,1)="g",LineSizeData!S4,IF(LEFT($O$3,1)="c","",IF('Legend(DX)'!Y3="","N/A",'Legend(DX)'!Y3)))</f>
        <v>N/A</v>
      </c>
      <c r="Y5" s="1968" t="str">
        <f>IF(OR(LEFT($O$3,1)="g",LEFT($O$3,1)="c"),"","Evap. Superheat ºF:")</f>
        <v>Evap. Superheat ºF:</v>
      </c>
      <c r="Z5" s="1969"/>
      <c r="AA5" s="1315">
        <f>IF(OR(LEFT($O$3,1)="g",LEFT($O$3,1)="c"),"",'Legend(DX)'!Y4)</f>
        <v>10</v>
      </c>
      <c r="AB5" s="1947"/>
      <c r="AC5" s="1942"/>
      <c r="AD5" s="1942"/>
      <c r="AE5" s="1328"/>
      <c r="AF5" s="1966" t="s">
        <v>788</v>
      </c>
      <c r="AG5" s="1967"/>
      <c r="AH5" s="1967"/>
      <c r="AI5" s="1320" t="str">
        <f>'Legend(DX)'!AI2</f>
        <v>2021</v>
      </c>
    </row>
    <row r="6" spans="1:35" s="1406" customFormat="1" ht="26.1" customHeight="1" thickBot="1" x14ac:dyDescent="0.25">
      <c r="A6" s="1405"/>
      <c r="B6" s="1906" t="s">
        <v>1343</v>
      </c>
      <c r="C6" s="1907"/>
      <c r="D6" s="1970">
        <f>'Legend(DX)'!O4</f>
        <v>0</v>
      </c>
      <c r="E6" s="1970"/>
      <c r="F6" s="1908" t="s">
        <v>1344</v>
      </c>
      <c r="G6" s="1907"/>
      <c r="H6" s="1907" t="str">
        <f>'Legend(DX)'!AI3 &amp; "ºF / " &amp; 'Legend(DX)'!AI4 &amp; "ºF"</f>
        <v>ºF / ºF</v>
      </c>
      <c r="I6" s="1907"/>
      <c r="J6" s="1909"/>
      <c r="K6" s="1945" t="s">
        <v>1345</v>
      </c>
      <c r="L6" s="1946"/>
      <c r="M6" s="1329" t="str">
        <f>'Legend(DX)'!AF3 &amp; "ºF / " &amp; 'Legend(DX)'!AF4*100&amp; "%"</f>
        <v>75ºF / 55%</v>
      </c>
      <c r="N6" s="1330" t="str">
        <f>IF(LEFT($O$3,1)="g","Fixture and Field Piping (GAL)","Fixture and Field Piping (lbs)")</f>
        <v>Fixture and Field Piping (lbs)</v>
      </c>
      <c r="O6" s="1331" t="s">
        <v>616</v>
      </c>
      <c r="P6" s="1316" t="str">
        <f>IF(OR(LEFT($O$3,1)="g",LEFT($O$3,1)="c"),"","Sys.Pilot Elec:")</f>
        <v>Sys.Pilot Elec:</v>
      </c>
      <c r="Q6" s="1332" t="str">
        <f>IF(OR(LEFT($O$3,1)="g",LEFT($O$3,1)="c"),"",'Legend(DX)'!AC3)</f>
        <v>208V 1 Ph</v>
      </c>
      <c r="R6" s="1480" t="str">
        <f>IF(OR(LEFT($O$3,1)="g",LEFT($O$3,1)="c"),"","Cond. Elec:")</f>
        <v>Cond. Elec:</v>
      </c>
      <c r="S6" s="1333" t="str">
        <f>IF(OR(LEFT($O$3,1)="g",LEFT($O$3,1)="c"),"",'Legend(DX)'!AC4)</f>
        <v>460V 3 Ph 60Hz</v>
      </c>
      <c r="T6" s="1908" t="str">
        <f>IF(OR(LEFT($O$3,1)="g",LEFT($O$3,1)="c"),"","Winter H/R Avail:")</f>
        <v>Winter H/R Avail:</v>
      </c>
      <c r="U6" s="1907"/>
      <c r="V6" s="1334" t="str">
        <f>IF(OR(LEFT($O$3,1)="g",LEFT($O$3,1)="c"),"",IF(V3="N/A","N/A",IF('Heat Reclaim Calc'!K15=0,"--",'Heat Reclaim Calc'!J5)))</f>
        <v>--</v>
      </c>
      <c r="W6" s="1318" t="str">
        <f>IF(OR(LEFT($O$3,1)="g",LEFT($O$3,1)="c"),"Supply Fluid Temp °F:","")</f>
        <v/>
      </c>
      <c r="X6" s="1482" t="str">
        <f>IF(OR(LEFT($O$3,1)="g",LEFT($O$3,1)="c"),'Legend(DX)'!AT1,"")</f>
        <v/>
      </c>
      <c r="Y6" s="1329" t="str">
        <f>IF(OR(LEFT($O$3,1)="g",(LEFT($O$3,1)="c")),"Primary SST ºF:","")</f>
        <v/>
      </c>
      <c r="Z6" s="1329"/>
      <c r="AA6" s="1482" t="str">
        <f>IF(OR(LEFT($O$3,1)="g",(LEFT($O$3,1)="c")),'Legend(DX)'!U3,"")</f>
        <v/>
      </c>
      <c r="AB6" s="1336" t="str">
        <f>IF(OR(LEFT($O$3,1)="g",(LEFT($O$3,1)="c")),"Heat Exchanger Approach ºF:","")</f>
        <v/>
      </c>
      <c r="AC6" s="1329"/>
      <c r="AD6" s="1329"/>
      <c r="AE6" s="1335" t="str">
        <f>IF(OR(LEFT($O$3,1)="g",LEFT($O$3,1)="c"),VLOOKUP(AE2,SkidData,3),"")</f>
        <v/>
      </c>
      <c r="AF6" s="1908" t="s">
        <v>1354</v>
      </c>
      <c r="AG6" s="1907"/>
      <c r="AH6" s="1907"/>
      <c r="AI6" s="1337">
        <f>'Legend(DX)'!AT4</f>
        <v>0</v>
      </c>
    </row>
    <row r="7" spans="1:35" s="1406" customFormat="1" x14ac:dyDescent="0.2">
      <c r="A7" s="1405"/>
      <c r="B7" s="1960" t="s">
        <v>18</v>
      </c>
      <c r="C7" s="1958"/>
      <c r="D7" s="1958"/>
      <c r="E7" s="1958"/>
      <c r="F7" s="1958"/>
      <c r="G7" s="1958"/>
      <c r="H7" s="1958"/>
      <c r="I7" s="1958"/>
      <c r="J7" s="1958"/>
      <c r="K7" s="1958"/>
      <c r="L7" s="1958"/>
      <c r="M7" s="1958"/>
      <c r="N7" s="1958"/>
      <c r="O7" s="1958"/>
      <c r="P7" s="1958"/>
      <c r="Q7" s="1958"/>
      <c r="R7" s="1958"/>
      <c r="S7" s="1958"/>
      <c r="T7" s="1958"/>
      <c r="U7" s="1958"/>
      <c r="V7" s="1958"/>
      <c r="W7" s="1959"/>
      <c r="X7" s="1957" t="s">
        <v>575</v>
      </c>
      <c r="Y7" s="1958"/>
      <c r="Z7" s="1958"/>
      <c r="AA7" s="1958"/>
      <c r="AB7" s="1958"/>
      <c r="AC7" s="1958"/>
      <c r="AD7" s="1959"/>
      <c r="AE7" s="1957" t="s">
        <v>744</v>
      </c>
      <c r="AF7" s="1958"/>
      <c r="AG7" s="1958"/>
      <c r="AH7" s="1958"/>
      <c r="AI7" s="1961"/>
    </row>
    <row r="8" spans="1:35" s="412" customFormat="1" ht="12.75" customHeight="1" x14ac:dyDescent="0.2">
      <c r="A8" s="1407"/>
      <c r="B8" s="1338"/>
      <c r="C8" s="1921" t="s">
        <v>745</v>
      </c>
      <c r="D8" s="1922"/>
      <c r="E8" s="1922"/>
      <c r="F8" s="1922"/>
      <c r="G8" s="1922"/>
      <c r="H8" s="1923"/>
      <c r="I8" s="1921" t="s">
        <v>746</v>
      </c>
      <c r="J8" s="1922"/>
      <c r="K8" s="1923"/>
      <c r="L8" s="1340"/>
      <c r="M8" s="1340"/>
      <c r="N8" s="1341"/>
      <c r="O8" s="1342"/>
      <c r="P8" s="1342" t="s">
        <v>783</v>
      </c>
      <c r="Q8" s="1340" t="str">
        <f>IF(LEFT($O$3,1)="c","","Evaporator")</f>
        <v>Evaporator</v>
      </c>
      <c r="R8" s="1340"/>
      <c r="S8" s="1340"/>
      <c r="T8" s="1340"/>
      <c r="U8" s="1340" t="s">
        <v>769</v>
      </c>
      <c r="V8" s="1341"/>
      <c r="W8" s="1343"/>
      <c r="X8" s="1344"/>
      <c r="Y8" s="1341"/>
      <c r="Z8" s="1345"/>
      <c r="AA8" s="1346"/>
      <c r="AB8" s="1345"/>
      <c r="AC8" s="1347" t="s">
        <v>752</v>
      </c>
      <c r="AD8" s="1347" t="s">
        <v>753</v>
      </c>
      <c r="AE8" s="1927" t="s">
        <v>466</v>
      </c>
      <c r="AF8" s="1928"/>
      <c r="AG8" s="1928"/>
      <c r="AH8" s="1933" t="s">
        <v>1329</v>
      </c>
      <c r="AI8" s="1936" t="s">
        <v>1330</v>
      </c>
    </row>
    <row r="9" spans="1:35" s="412" customFormat="1" ht="12.75" customHeight="1" x14ac:dyDescent="0.2">
      <c r="A9" s="1407"/>
      <c r="B9" s="1348"/>
      <c r="C9" s="1341"/>
      <c r="D9" s="1343"/>
      <c r="E9" s="1349"/>
      <c r="F9" s="1349"/>
      <c r="G9" s="1349"/>
      <c r="H9" s="1349"/>
      <c r="I9" s="1349"/>
      <c r="J9" s="1349"/>
      <c r="K9" s="1349"/>
      <c r="L9" s="1350"/>
      <c r="M9" s="1350"/>
      <c r="N9" s="1346"/>
      <c r="O9" s="1351" t="s">
        <v>747</v>
      </c>
      <c r="P9" s="1351" t="s">
        <v>784</v>
      </c>
      <c r="Q9" s="1350" t="str">
        <f>IF(LEFT($O$3,1)="c","Circulation","Coil TXV / ")</f>
        <v xml:space="preserve">Coil TXV / </v>
      </c>
      <c r="R9" s="1350" t="s">
        <v>965</v>
      </c>
      <c r="S9" s="1350" t="s">
        <v>966</v>
      </c>
      <c r="T9" s="1350" t="str">
        <f>IF(LEFT($O$3,1)="g","Flow",IF(LEFT($O$3,1)="c","Coil","Evap"))</f>
        <v>Evap</v>
      </c>
      <c r="U9" s="1350" t="s">
        <v>748</v>
      </c>
      <c r="V9" s="1962" t="s">
        <v>749</v>
      </c>
      <c r="W9" s="1963"/>
      <c r="X9" s="1347" t="s">
        <v>645</v>
      </c>
      <c r="Y9" s="1962" t="s">
        <v>750</v>
      </c>
      <c r="Z9" s="1963"/>
      <c r="AA9" s="1962" t="s">
        <v>751</v>
      </c>
      <c r="AB9" s="1963"/>
      <c r="AC9" s="1347" t="s">
        <v>771</v>
      </c>
      <c r="AD9" s="1347" t="s">
        <v>771</v>
      </c>
      <c r="AE9" s="1929"/>
      <c r="AF9" s="1930"/>
      <c r="AG9" s="1930"/>
      <c r="AH9" s="1934"/>
      <c r="AI9" s="1937"/>
    </row>
    <row r="10" spans="1:35" s="412" customFormat="1" ht="12.75" customHeight="1" thickBot="1" x14ac:dyDescent="0.25">
      <c r="A10" s="1407"/>
      <c r="B10" s="1352" t="s">
        <v>560</v>
      </c>
      <c r="C10" s="1943" t="s">
        <v>777</v>
      </c>
      <c r="D10" s="1944"/>
      <c r="E10" s="1353" t="s">
        <v>775</v>
      </c>
      <c r="F10" s="1353" t="s">
        <v>776</v>
      </c>
      <c r="G10" s="1353" t="s">
        <v>778</v>
      </c>
      <c r="H10" s="1353" t="s">
        <v>779</v>
      </c>
      <c r="I10" s="1353" t="s">
        <v>576</v>
      </c>
      <c r="J10" s="1353" t="s">
        <v>577</v>
      </c>
      <c r="K10" s="1353" t="s">
        <v>578</v>
      </c>
      <c r="L10" s="1354" t="s">
        <v>754</v>
      </c>
      <c r="M10" s="1354" t="s">
        <v>755</v>
      </c>
      <c r="N10" s="1355" t="s">
        <v>558</v>
      </c>
      <c r="O10" s="1356" t="s">
        <v>767</v>
      </c>
      <c r="P10" s="1354" t="s">
        <v>782</v>
      </c>
      <c r="Q10" s="1357" t="str">
        <f>IF(LEFT($O$3,1)="c","Rate","Distributor Nozzle")</f>
        <v>Distributor Nozzle</v>
      </c>
      <c r="R10" s="1358" t="s">
        <v>795</v>
      </c>
      <c r="S10" s="1358" t="s">
        <v>756</v>
      </c>
      <c r="T10" s="1359" t="str">
        <f>IF(LEFT($O$3,1)="g","[GPM]",IF(LEFT($O$3,1)="c","Temp","Temp"))</f>
        <v>Temp</v>
      </c>
      <c r="U10" s="1354" t="s">
        <v>770</v>
      </c>
      <c r="V10" s="1360" t="str">
        <f>'Legend(DX)'!$AE$7</f>
        <v>EPR</v>
      </c>
      <c r="W10" s="1360" t="str">
        <f>'Legend(DX)'!$AG$7</f>
        <v>LLSV</v>
      </c>
      <c r="X10" s="1357" t="s">
        <v>757</v>
      </c>
      <c r="Y10" s="1361" t="s">
        <v>771</v>
      </c>
      <c r="Z10" s="1361" t="s">
        <v>758</v>
      </c>
      <c r="AA10" s="1361" t="s">
        <v>771</v>
      </c>
      <c r="AB10" s="1361" t="s">
        <v>758</v>
      </c>
      <c r="AC10" s="1357" t="s">
        <v>772</v>
      </c>
      <c r="AD10" s="1357" t="s">
        <v>772</v>
      </c>
      <c r="AE10" s="1931"/>
      <c r="AF10" s="1932"/>
      <c r="AG10" s="1932"/>
      <c r="AH10" s="1935"/>
      <c r="AI10" s="1938"/>
    </row>
    <row r="11" spans="1:35" s="412" customFormat="1" ht="12.75" customHeight="1" x14ac:dyDescent="0.2">
      <c r="A11" s="1407" t="str">
        <f>IF(OR('Legend(DX)'!B8=0,'Legend(DX)'!B8="SUB-CKT"),"","x")</f>
        <v/>
      </c>
      <c r="B11" s="1362" t="str">
        <f>IF('Legend(DX)'!H8=0,"",'Legend(DX)'!H8)</f>
        <v/>
      </c>
      <c r="C11" s="1363" t="str">
        <f>IF('Legend(DX)'!I8=0,"",'Legend(DX)'!I8)</f>
        <v/>
      </c>
      <c r="D11" s="1364" t="str">
        <f>IF('Legend(DX)'!I8=0,"",'Legend(DX)'!J8)</f>
        <v/>
      </c>
      <c r="E11" s="1366" t="str">
        <f>IF('Legend(DX)'!K8=0,"",'Legend(DX)'!K8)</f>
        <v/>
      </c>
      <c r="F11" s="1366" t="str">
        <f>IF('Legend(DX)'!L8=0,"",'Legend(DX)'!L8)</f>
        <v/>
      </c>
      <c r="G11" s="1366" t="str">
        <f>IF('Legend(DX)'!M8=0,"",'Legend(DX)'!M8)</f>
        <v/>
      </c>
      <c r="H11" s="1366" t="str">
        <f>IF('Legend(DX)'!N8=0,"",'Legend(DX)'!N8)</f>
        <v/>
      </c>
      <c r="I11" s="1366" t="str">
        <f>IF('Legend(DX)'!O8=0,"",'Legend(DX)'!O8)</f>
        <v/>
      </c>
      <c r="J11" s="1366" t="str">
        <f>IF('Legend(DX)'!P8=0,"",'Legend(DX)'!P8)</f>
        <v/>
      </c>
      <c r="K11" s="1366" t="str">
        <f>IF('Legend(DX)'!Q8=0,"",'Legend(DX)'!Q8)</f>
        <v/>
      </c>
      <c r="L11" s="1366" t="str">
        <f>IF('Legend(DX)'!R8=0,"",'Legend(DX)'!R8)</f>
        <v/>
      </c>
      <c r="M11" s="1366" t="str">
        <f>IF('Legend(DX)'!S8=0,"",'Legend(DX)'!S8)</f>
        <v/>
      </c>
      <c r="N11" s="1366" t="str">
        <f>IF('Legend(DX)'!T8=0,"",'Legend(DX)'!T8)</f>
        <v/>
      </c>
      <c r="O11" s="1366" t="str">
        <f>IF('Legend(DX)'!W8=0,"",'Legend(DX)'!W8)</f>
        <v/>
      </c>
      <c r="P11" s="1366" t="str">
        <f>IF('Legend(DX)'!X8=0,"",'Legend(DX)'!X8)</f>
        <v/>
      </c>
      <c r="Q11" s="1366" t="str">
        <f>IF('Legend(DX)'!Y8=0,"",'Legend(DX)'!Y8)</f>
        <v/>
      </c>
      <c r="R11" s="1367" t="str">
        <f>IF('Legend(DX)'!Z8=0,"",'Legend(DX)'!Z8)</f>
        <v/>
      </c>
      <c r="S11" s="1464" t="str">
        <f>IF('Legend(DX)'!AA8=0,"",'Legend(DX)'!AA8)</f>
        <v/>
      </c>
      <c r="T11" s="1368" t="str">
        <f>IF(LEFT($O$3,1)="g",'Legend(DX)'!AC8,IF('Legend(DX)'!AB8=0,"",'Legend(DX)'!AB8))</f>
        <v/>
      </c>
      <c r="U11" s="1368" t="str">
        <f>IF('Legend(DX)'!AD8=0,"",'Legend(DX)'!AD8)</f>
        <v/>
      </c>
      <c r="V11" s="1369" t="str">
        <f>IF('Legend(DX)'!AE8=0,"",'Legend(DX)'!AE8)</f>
        <v/>
      </c>
      <c r="W11" s="1369" t="str">
        <f>IF('Legend(DX)'!AG8=0,"",'Legend(DX)'!AG8)</f>
        <v/>
      </c>
      <c r="X11" s="1369" t="str">
        <f>IF('Legend(DX)'!AI8=0,"",'Legend(DX)'!AI8)</f>
        <v/>
      </c>
      <c r="Y11" s="1465" t="str">
        <f>IF('Legend(DX)'!AJ8=0,"",'Legend(DX)'!AJ8)</f>
        <v/>
      </c>
      <c r="Z11" s="1369" t="str">
        <f>IF('Legend(DX)'!AK8=0,"",'Legend(DX)'!AK8)</f>
        <v/>
      </c>
      <c r="AA11" s="1465" t="str">
        <f>IF('Legend(DX)'!AM8=0,"",'Legend(DX)'!AM8)</f>
        <v/>
      </c>
      <c r="AB11" s="1369" t="str">
        <f>IF('Legend(DX)'!AN8=0,"",'Legend(DX)'!AN8)</f>
        <v/>
      </c>
      <c r="AC11" s="1465" t="str">
        <f>IF('Legend(DX)'!AO8=0,"",'Legend(DX)'!AO8)</f>
        <v/>
      </c>
      <c r="AD11" s="1465" t="str">
        <f>IF('Legend(DX)'!AP8=0,"",'Legend(DX)'!AP8)</f>
        <v/>
      </c>
      <c r="AE11" s="1939" t="str">
        <f>IF('Legend(DX)'!AS8=0,"",'Legend(DX)'!AS8)</f>
        <v/>
      </c>
      <c r="AF11" s="1940"/>
      <c r="AG11" s="1940"/>
      <c r="AH11" s="1478" t="str">
        <f>IF('Legend(DX)'!AT8=0,"",'Legend(DX)'!AT8)</f>
        <v/>
      </c>
      <c r="AI11" s="1492"/>
    </row>
    <row r="12" spans="1:35" s="412" customFormat="1" ht="0.75" customHeight="1" x14ac:dyDescent="0.2">
      <c r="A12" s="1407"/>
      <c r="B12" s="1362"/>
      <c r="C12" s="1449"/>
      <c r="D12" s="1450"/>
      <c r="E12" s="1365"/>
      <c r="F12" s="1365"/>
      <c r="G12" s="1365"/>
      <c r="H12" s="1365"/>
      <c r="I12" s="1365"/>
      <c r="J12" s="1365"/>
      <c r="K12" s="1365"/>
      <c r="L12" s="1366"/>
      <c r="M12" s="1366"/>
      <c r="N12" s="1366"/>
      <c r="O12" s="1366"/>
      <c r="P12" s="1366"/>
      <c r="Q12" s="1365"/>
      <c r="R12" s="1367"/>
      <c r="S12" s="1367"/>
      <c r="T12" s="1368"/>
      <c r="U12" s="1368"/>
      <c r="V12" s="1369"/>
      <c r="W12" s="1369"/>
      <c r="X12" s="1370"/>
      <c r="Y12" s="1371"/>
      <c r="Z12" s="1370"/>
      <c r="AA12" s="1371"/>
      <c r="AB12" s="1370"/>
      <c r="AC12" s="1371"/>
      <c r="AD12" s="1371"/>
      <c r="AE12" s="1377"/>
      <c r="AF12" s="1472"/>
      <c r="AG12" s="1472"/>
      <c r="AH12" s="1472"/>
      <c r="AI12" s="1473"/>
    </row>
    <row r="13" spans="1:35" s="412" customFormat="1" ht="12" thickBot="1" x14ac:dyDescent="0.25">
      <c r="A13" s="1407"/>
      <c r="B13" s="1384"/>
      <c r="C13" s="1385"/>
      <c r="D13" s="1386"/>
      <c r="E13" s="1387"/>
      <c r="F13" s="1387"/>
      <c r="G13" s="1387"/>
      <c r="H13" s="1387"/>
      <c r="I13" s="1387"/>
      <c r="J13" s="1387"/>
      <c r="K13" s="1387"/>
      <c r="L13" s="1360"/>
      <c r="M13" s="1360"/>
      <c r="N13" s="1388"/>
      <c r="O13" s="1389"/>
      <c r="P13" s="1915" t="s">
        <v>789</v>
      </c>
      <c r="Q13" s="1916"/>
      <c r="R13" s="1917"/>
      <c r="S13" s="1466">
        <f>'Legend(DX)'!AA10</f>
        <v>0</v>
      </c>
      <c r="T13" s="1467">
        <f>'Legend(DX)'!AC10</f>
        <v>0</v>
      </c>
      <c r="U13" s="1915" t="str">
        <f>IF(LEFT($O$3,1)="g","GPM",IF(LEFT($O$3,1)="c","(ºF) Supply Fluid Temperature","(ºF) Saturated Suction Temperature"))</f>
        <v>(ºF) Saturated Suction Temperature</v>
      </c>
      <c r="V13" s="1916"/>
      <c r="W13" s="1917"/>
      <c r="X13" s="1360"/>
      <c r="Y13" s="1392"/>
      <c r="Z13" s="1360"/>
      <c r="AA13" s="1392"/>
      <c r="AB13" s="1360"/>
      <c r="AC13" s="1392"/>
      <c r="AD13" s="1392"/>
      <c r="AE13" s="1393" t="s">
        <v>414</v>
      </c>
      <c r="AF13" s="1394" t="s">
        <v>414</v>
      </c>
      <c r="AG13" s="1394" t="s">
        <v>414</v>
      </c>
      <c r="AH13" s="1394" t="s">
        <v>414</v>
      </c>
      <c r="AI13" s="1395" t="s">
        <v>414</v>
      </c>
    </row>
    <row r="14" spans="1:35" s="412" customFormat="1" ht="12.75" hidden="1" customHeight="1" x14ac:dyDescent="0.2">
      <c r="A14" s="1407" t="str">
        <f>IF(OR('Legend(DX)'!B11=0,'Legend(DX)'!B11="SUB-CKT"),"","x")</f>
        <v/>
      </c>
      <c r="B14" s="1362" t="str">
        <f>IF('Legend(DX)'!H11=0,"",'Legend(DX)'!H11)</f>
        <v/>
      </c>
      <c r="C14" s="1396" t="str">
        <f>IF('Legend(DX)'!I11=0,"",'Legend(DX)'!I11)</f>
        <v/>
      </c>
      <c r="D14" s="1397" t="str">
        <f>IF('Legend(DX)'!I11=0,"",'Legend(DX)'!J11)</f>
        <v/>
      </c>
      <c r="E14" s="1366" t="str">
        <f>IF('Legend(DX)'!K11=0,"",'Legend(DX)'!K11)</f>
        <v/>
      </c>
      <c r="F14" s="1366" t="str">
        <f>IF('Legend(DX)'!L11=0,"",'Legend(DX)'!L11)</f>
        <v/>
      </c>
      <c r="G14" s="1366" t="str">
        <f>IF('Legend(DX)'!M11=0,"",'Legend(DX)'!M11)</f>
        <v/>
      </c>
      <c r="H14" s="1366" t="str">
        <f>IF('Legend(DX)'!N11=0,"",'Legend(DX)'!N11)</f>
        <v/>
      </c>
      <c r="I14" s="1366" t="str">
        <f>IF('Legend(DX)'!O11=0,"",'Legend(DX)'!O11)</f>
        <v/>
      </c>
      <c r="J14" s="1366" t="str">
        <f>IF('Legend(DX)'!P11=0,"",'Legend(DX)'!P11)</f>
        <v/>
      </c>
      <c r="K14" s="1366" t="str">
        <f>IF('Legend(DX)'!Q11=0,"",'Legend(DX)'!Q11)</f>
        <v/>
      </c>
      <c r="L14" s="1366" t="str">
        <f>IF('Legend(DX)'!R11=0,"",'Legend(DX)'!R11)</f>
        <v/>
      </c>
      <c r="M14" s="1366" t="str">
        <f>IF('Legend(DX)'!S11=0,"",'Legend(DX)'!S11)</f>
        <v/>
      </c>
      <c r="N14" s="1366" t="str">
        <f>IF('Legend(DX)'!T11=0,"",'Legend(DX)'!T11)</f>
        <v/>
      </c>
      <c r="O14" s="1366" t="str">
        <f>IF('Legend(DX)'!W11=0,"",'Legend(DX)'!W11)</f>
        <v/>
      </c>
      <c r="P14" s="1366" t="str">
        <f>IF('Legend(DX)'!X11=0,"",'Legend(DX)'!X11)</f>
        <v/>
      </c>
      <c r="Q14" s="1366" t="str">
        <f>IF('Legend(DX)'!Y11=0,"",'Legend(DX)'!Y11)</f>
        <v/>
      </c>
      <c r="R14" s="1464" t="str">
        <f>IF('Legend(DX)'!Z11=0,"",'Legend(DX)'!Z11)</f>
        <v/>
      </c>
      <c r="S14" s="1464" t="str">
        <f>IF('Legend(DX)'!AA11=0,"",'Legend(DX)'!AA11)</f>
        <v/>
      </c>
      <c r="T14" s="1368" t="str">
        <f>IF(LEFT($O$3,1)="g",'Legend(DX)'!AC11,IF('Legend(DX)'!AB11=0,"",'Legend(DX)'!AB11))</f>
        <v/>
      </c>
      <c r="U14" s="1368" t="str">
        <f>IF('Legend(DX)'!AD11=0,"",'Legend(DX)'!AD11)</f>
        <v/>
      </c>
      <c r="V14" s="1369" t="str">
        <f>IF('Legend(DX)'!AE11=0,"",'Legend(DX)'!AE11)</f>
        <v/>
      </c>
      <c r="W14" s="1369" t="str">
        <f>IF('Legend(DX)'!AG11=0,"",'Legend(DX)'!AG11)</f>
        <v/>
      </c>
      <c r="X14" s="1369" t="str">
        <f>IF('Legend(DX)'!AI11=0,"",'Legend(DX)'!AI11)</f>
        <v/>
      </c>
      <c r="Y14" s="1465" t="str">
        <f>IF('Legend(DX)'!AJ11=0,"",'Legend(DX)'!AJ11)</f>
        <v/>
      </c>
      <c r="Z14" s="1369" t="str">
        <f>IF('Legend(DX)'!AK11=0,"",'Legend(DX)'!AK11)</f>
        <v/>
      </c>
      <c r="AA14" s="1465" t="str">
        <f>IF('Legend(DX)'!AM11=0,"",'Legend(DX)'!AM11)</f>
        <v/>
      </c>
      <c r="AB14" s="1369" t="str">
        <f>IF('Legend(DX)'!AN11=0,"",'Legend(DX)'!AN11)</f>
        <v/>
      </c>
      <c r="AC14" s="1465" t="str">
        <f>IF('Legend(DX)'!AO11=0,"",'Legend(DX)'!AO11)</f>
        <v/>
      </c>
      <c r="AD14" s="1465" t="str">
        <f>IF('Legend(DX)'!AP11=0,"",'Legend(DX)'!AP11)</f>
        <v/>
      </c>
      <c r="AE14" s="1964" t="str">
        <f>IF('Legend(DX)'!AR11=0,"",'Legend(DX)'!AR11)</f>
        <v/>
      </c>
      <c r="AF14" s="1965"/>
      <c r="AG14" s="1965"/>
      <c r="AH14" s="1478" t="str">
        <f>IF('Legend(DX)'!AT11=0,"",'Legend(DX)'!AT11)</f>
        <v/>
      </c>
      <c r="AI14" s="1547"/>
    </row>
    <row r="15" spans="1:35" s="412" customFormat="1" ht="0.95" hidden="1" customHeight="1" x14ac:dyDescent="0.2">
      <c r="A15" s="1407" t="str">
        <f>IF(OR('Legend(DX)'!B12=0,'Legend(DX)'!B12="SUB-CKT"),"","x")</f>
        <v/>
      </c>
      <c r="B15" s="1373" t="str">
        <f>IF('Legend(DX)'!H12=0,"",'Legend(DX)'!H12)</f>
        <v/>
      </c>
      <c r="C15" s="1374" t="str">
        <f>IF('Legend(DX)'!I12=0,"",'Legend(DX)'!I12)</f>
        <v/>
      </c>
      <c r="D15" s="1375"/>
      <c r="E15" s="1374"/>
      <c r="F15" s="1374"/>
      <c r="G15" s="1374"/>
      <c r="H15" s="1374"/>
      <c r="I15" s="1374"/>
      <c r="J15" s="1374"/>
      <c r="K15" s="1374"/>
      <c r="L15" s="1376" t="s">
        <v>414</v>
      </c>
      <c r="M15" s="1376"/>
      <c r="N15" s="1376"/>
      <c r="O15" s="1376"/>
      <c r="P15" s="1376"/>
      <c r="Q15" s="1374" t="str">
        <f>IF('Legend(DX)'!Y12=0,"",'Legend(DX)'!Y12)</f>
        <v/>
      </c>
      <c r="R15" s="1377"/>
      <c r="S15" s="1377" t="str">
        <f>IF('Legend(DX)'!AA12=0,"",'Legend(DX)'!AA12)</f>
        <v/>
      </c>
      <c r="T15" s="1378" t="str">
        <f>IF('Legend(DX)'!AB12=0,"",'Legend(DX)'!AB12)</f>
        <v/>
      </c>
      <c r="U15" s="1379" t="str">
        <f>IF('Legend(DX)'!AD12=0,"",'Legend(DX)'!AD12)</f>
        <v/>
      </c>
      <c r="V15" s="1379" t="str">
        <f>IF('Legend(DX)'!AE12=0,"",'Legend(DX)'!AE12)</f>
        <v/>
      </c>
      <c r="W15" s="1379" t="str">
        <f>IF('Legend(DX)'!AG12=0,"",'Legend(DX)'!AG12)</f>
        <v/>
      </c>
      <c r="X15" s="1380" t="str">
        <f>IF('Legend(DX)'!AI12=0,"",'Legend(DX)'!AI12)</f>
        <v/>
      </c>
      <c r="Y15" s="1381"/>
      <c r="Z15" s="1380"/>
      <c r="AA15" s="1381"/>
      <c r="AB15" s="1380"/>
      <c r="AC15" s="1381"/>
      <c r="AD15" s="1381"/>
      <c r="AE15" s="1377" t="str">
        <f>IF('Legend(DX)'!AQ12=0,"",'Legend(DX)'!AQ12)</f>
        <v/>
      </c>
      <c r="AF15" s="1382"/>
      <c r="AG15" s="1382"/>
      <c r="AH15" s="1382"/>
      <c r="AI15" s="1383"/>
    </row>
    <row r="16" spans="1:35" s="412" customFormat="1" ht="13.5" hidden="1" customHeight="1" thickBot="1" x14ac:dyDescent="0.25">
      <c r="A16" s="1407"/>
      <c r="B16" s="1384"/>
      <c r="C16" s="1385"/>
      <c r="D16" s="1386"/>
      <c r="E16" s="1387"/>
      <c r="F16" s="1387"/>
      <c r="G16" s="1387"/>
      <c r="H16" s="1387"/>
      <c r="I16" s="1387"/>
      <c r="J16" s="1387"/>
      <c r="K16" s="1387"/>
      <c r="L16" s="1360"/>
      <c r="M16" s="1360"/>
      <c r="N16" s="1388"/>
      <c r="O16" s="1389"/>
      <c r="P16" s="1915" t="s">
        <v>796</v>
      </c>
      <c r="Q16" s="1916"/>
      <c r="R16" s="1917"/>
      <c r="S16" s="1466">
        <f>'Legend(DX)'!AA13</f>
        <v>0</v>
      </c>
      <c r="T16" s="1467">
        <f>'Legend(DX)'!AC13</f>
        <v>0</v>
      </c>
      <c r="U16" s="1915" t="str">
        <f>IF(LEFT($O$3,1)="g","GPM",IF(LEFT($O$3,1)="c","(ºF) Supply Fluid Temperature","(ºF) Saturated Suction Temperature"))</f>
        <v>(ºF) Saturated Suction Temperature</v>
      </c>
      <c r="V16" s="1916"/>
      <c r="W16" s="1917"/>
      <c r="X16" s="1360"/>
      <c r="Y16" s="1392"/>
      <c r="Z16" s="1360"/>
      <c r="AA16" s="1392"/>
      <c r="AB16" s="1360"/>
      <c r="AC16" s="1392"/>
      <c r="AD16" s="1392"/>
      <c r="AE16" s="1393" t="s">
        <v>414</v>
      </c>
      <c r="AF16" s="1394" t="s">
        <v>414</v>
      </c>
      <c r="AG16" s="1394" t="s">
        <v>414</v>
      </c>
      <c r="AH16" s="1394" t="s">
        <v>414</v>
      </c>
      <c r="AI16" s="1395" t="s">
        <v>414</v>
      </c>
    </row>
    <row r="17" spans="1:36" s="412" customFormat="1" ht="11.25" hidden="1" x14ac:dyDescent="0.2">
      <c r="A17" s="1407" t="str">
        <f>IF(OR('Legend(DX)'!B14=0,'Legend(DX)'!B14="SUB-CKT"),"","x")</f>
        <v/>
      </c>
      <c r="B17" s="1362" t="str">
        <f>IF('Legend(DX)'!H14=0,"",'Legend(DX)'!H14)</f>
        <v/>
      </c>
      <c r="C17" s="1396" t="str">
        <f>IF('Legend(DX)'!I14=0,"",'Legend(DX)'!I14)</f>
        <v/>
      </c>
      <c r="D17" s="1397" t="str">
        <f>IF('Legend(DX)'!I14=0,"",'Legend(DX)'!J14)</f>
        <v/>
      </c>
      <c r="E17" s="1365" t="str">
        <f>IF('Legend(DX)'!K14=0,"",'Legend(DX)'!K14)</f>
        <v/>
      </c>
      <c r="F17" s="1365" t="str">
        <f>IF('Legend(DX)'!L14=0,"",'Legend(DX)'!L14)</f>
        <v/>
      </c>
      <c r="G17" s="1365" t="str">
        <f>IF('Legend(DX)'!M14=0,"",'Legend(DX)'!M14)</f>
        <v/>
      </c>
      <c r="H17" s="1365" t="str">
        <f>IF('Legend(DX)'!N14=0,"",'Legend(DX)'!N14)</f>
        <v/>
      </c>
      <c r="I17" s="1365" t="str">
        <f>IF('Legend(DX)'!O14=0,"",'Legend(DX)'!O14)</f>
        <v/>
      </c>
      <c r="J17" s="1365" t="str">
        <f>IF('Legend(DX)'!P14=0,"",'Legend(DX)'!P14)</f>
        <v/>
      </c>
      <c r="K17" s="1365" t="str">
        <f>IF('Legend(DX)'!Q14=0,"",'Legend(DX)'!Q14)</f>
        <v/>
      </c>
      <c r="L17" s="1366" t="str">
        <f>IF('Legend(DX)'!R14=0,"",'Legend(DX)'!R14)</f>
        <v/>
      </c>
      <c r="M17" s="1366" t="str">
        <f>IF('Legend(DX)'!S14=0,"",'Legend(DX)'!S14)</f>
        <v/>
      </c>
      <c r="N17" s="1366" t="str">
        <f>IF('Legend(DX)'!T14=0,"",'Legend(DX)'!T14)</f>
        <v/>
      </c>
      <c r="O17" s="1366" t="str">
        <f>IF('Legend(DX)'!W14=0,"",'Legend(DX)'!W14)</f>
        <v/>
      </c>
      <c r="P17" s="1366" t="str">
        <f>IF('Legend(DX)'!X14=0,"",'Legend(DX)'!X14)</f>
        <v/>
      </c>
      <c r="Q17" s="1365" t="str">
        <f>IF('Legend(DX)'!Y14=0,"",'Legend(DX)'!Y14)</f>
        <v/>
      </c>
      <c r="R17" s="1367" t="str">
        <f>IF('Legend(DX)'!Z14=0,"",'Legend(DX)'!Z14)</f>
        <v/>
      </c>
      <c r="S17" s="1367" t="str">
        <f>IF('Legend(DX)'!AA14=0,"",'Legend(DX)'!AA14)</f>
        <v/>
      </c>
      <c r="T17" s="1368" t="str">
        <f>IF(LEFT($O$3,1)="g",'Legend(DX)'!AC14,IF('Legend(DX)'!AB14=0,"",'Legend(DX)'!AB14))</f>
        <v/>
      </c>
      <c r="U17" s="1368" t="str">
        <f>IF('Legend(DX)'!AD14=0,"",'Legend(DX)'!AD14)</f>
        <v/>
      </c>
      <c r="V17" s="1369" t="str">
        <f>IF('Legend(DX)'!AE14=0,"",'Legend(DX)'!AE14)</f>
        <v/>
      </c>
      <c r="W17" s="1369" t="str">
        <f>IF('Legend(DX)'!AG14=0,"",'Legend(DX)'!AG14)</f>
        <v/>
      </c>
      <c r="X17" s="1370" t="str">
        <f>IF('Legend(DX)'!AI14=0,"",'Legend(DX)'!AI14)</f>
        <v/>
      </c>
      <c r="Y17" s="1371" t="str">
        <f>IF('Legend(DX)'!AJ14=0,"",'Legend(DX)'!AJ14)</f>
        <v/>
      </c>
      <c r="Z17" s="1370" t="str">
        <f>IF('Legend(DX)'!AK14=0,"",'Legend(DX)'!AK14)</f>
        <v/>
      </c>
      <c r="AA17" s="1371" t="str">
        <f>IF('Legend(DX)'!AM14=0,"",'Legend(DX)'!AM14)</f>
        <v/>
      </c>
      <c r="AB17" s="1370" t="str">
        <f>IF('Legend(DX)'!AN14=0,"",'Legend(DX)'!AN14)</f>
        <v/>
      </c>
      <c r="AC17" s="1371" t="str">
        <f>IF('Legend(DX)'!AO14=0,"",'Legend(DX)'!AO14)</f>
        <v/>
      </c>
      <c r="AD17" s="1371" t="str">
        <f>IF('Legend(DX)'!AP14=0,"",'Legend(DX)'!AP14)</f>
        <v/>
      </c>
      <c r="AE17" s="1372" t="str">
        <f>IF('Legend(DX)'!AR14=0,"",'Legend(DX)'!AR14)</f>
        <v/>
      </c>
      <c r="AF17" s="1954" t="str">
        <f>IF('Legend(DX)'!AS14=0,"",'Legend(DX)'!AS14)</f>
        <v/>
      </c>
      <c r="AG17" s="1955"/>
      <c r="AH17" s="1955"/>
      <c r="AI17" s="1956"/>
    </row>
    <row r="18" spans="1:36" s="412" customFormat="1" ht="0.75" hidden="1" customHeight="1" x14ac:dyDescent="0.2">
      <c r="A18" s="1407" t="str">
        <f>IF(OR('Legend(DX)'!B15=0,'Legend(DX)'!B15="SUB-CKT"),"","x")</f>
        <v/>
      </c>
      <c r="B18" s="1373" t="str">
        <f>IF('Legend(DX)'!H15=0,"",'Legend(DX)'!H15)</f>
        <v/>
      </c>
      <c r="C18" s="1374" t="str">
        <f>IF('Legend(DX)'!I15=0,"",'Legend(DX)'!I15)</f>
        <v/>
      </c>
      <c r="D18" s="1375"/>
      <c r="E18" s="1374"/>
      <c r="F18" s="1374"/>
      <c r="G18" s="1374"/>
      <c r="H18" s="1374"/>
      <c r="I18" s="1374"/>
      <c r="J18" s="1374"/>
      <c r="K18" s="1374"/>
      <c r="L18" s="1376" t="s">
        <v>414</v>
      </c>
      <c r="M18" s="1376"/>
      <c r="N18" s="1376"/>
      <c r="O18" s="1376"/>
      <c r="P18" s="1376"/>
      <c r="Q18" s="1374" t="str">
        <f>IF('Legend(DX)'!Y15=0,"",'Legend(DX)'!Y15)</f>
        <v/>
      </c>
      <c r="R18" s="1377"/>
      <c r="S18" s="1377" t="str">
        <f>IF('Legend(DX)'!AA15=0,"",'Legend(DX)'!AA15)</f>
        <v/>
      </c>
      <c r="T18" s="1378" t="str">
        <f>IF('Legend(DX)'!AB15=0,"",'Legend(DX)'!AB15)</f>
        <v/>
      </c>
      <c r="U18" s="1379" t="str">
        <f>IF('Legend(DX)'!AD15=0,"",'Legend(DX)'!AD15)</f>
        <v/>
      </c>
      <c r="V18" s="1379" t="str">
        <f>IF('Legend(DX)'!AE15=0,"",'Legend(DX)'!AE15)</f>
        <v/>
      </c>
      <c r="W18" s="1379" t="str">
        <f>IF('Legend(DX)'!AG15=0,"",'Legend(DX)'!AG15)</f>
        <v/>
      </c>
      <c r="X18" s="1380" t="str">
        <f>IF('Legend(DX)'!AI15=0,"",'Legend(DX)'!AI15)</f>
        <v/>
      </c>
      <c r="Y18" s="1381"/>
      <c r="Z18" s="1380"/>
      <c r="AA18" s="1381"/>
      <c r="AB18" s="1380"/>
      <c r="AC18" s="1381"/>
      <c r="AD18" s="1381"/>
      <c r="AE18" s="1377" t="str">
        <f>IF('Legend(DX)'!AQ15=0,"",'Legend(DX)'!AQ15)</f>
        <v/>
      </c>
      <c r="AF18" s="1382"/>
      <c r="AG18" s="1382"/>
      <c r="AH18" s="1382"/>
      <c r="AI18" s="1383"/>
    </row>
    <row r="19" spans="1:36" s="412" customFormat="1" ht="13.5" hidden="1" customHeight="1" thickBot="1" x14ac:dyDescent="0.25">
      <c r="A19" s="1407"/>
      <c r="B19" s="1384"/>
      <c r="C19" s="1385"/>
      <c r="D19" s="1386"/>
      <c r="E19" s="1387"/>
      <c r="F19" s="1387"/>
      <c r="G19" s="1387"/>
      <c r="H19" s="1387"/>
      <c r="I19" s="1387"/>
      <c r="J19" s="1387"/>
      <c r="K19" s="1387"/>
      <c r="L19" s="1360"/>
      <c r="M19" s="1360"/>
      <c r="N19" s="1388"/>
      <c r="O19" s="1389"/>
      <c r="P19" s="1915" t="s">
        <v>797</v>
      </c>
      <c r="Q19" s="1916"/>
      <c r="R19" s="1917"/>
      <c r="S19" s="1390">
        <f>'Legend(DX)'!AA16</f>
        <v>0</v>
      </c>
      <c r="T19" s="1391">
        <f>'Legend(DX)'!AC16</f>
        <v>0</v>
      </c>
      <c r="U19" s="1915" t="str">
        <f>IF(LEFT($O$3,1)="g","GPM",IF(LEFT($O$3,1)="c","(ºF) Supply Fluid Temperature","(ºF) Saturated Suction Temperature"))</f>
        <v>(ºF) Saturated Suction Temperature</v>
      </c>
      <c r="V19" s="1916"/>
      <c r="W19" s="1917"/>
      <c r="X19" s="1360"/>
      <c r="Y19" s="1392"/>
      <c r="Z19" s="1360"/>
      <c r="AA19" s="1392"/>
      <c r="AB19" s="1360"/>
      <c r="AC19" s="1392"/>
      <c r="AD19" s="1392"/>
      <c r="AE19" s="1393" t="s">
        <v>414</v>
      </c>
      <c r="AF19" s="1394" t="s">
        <v>414</v>
      </c>
      <c r="AG19" s="1394" t="s">
        <v>414</v>
      </c>
      <c r="AH19" s="1394" t="s">
        <v>414</v>
      </c>
      <c r="AI19" s="1395" t="s">
        <v>414</v>
      </c>
    </row>
    <row r="20" spans="1:36" s="412" customFormat="1" ht="11.25" hidden="1" x14ac:dyDescent="0.2">
      <c r="R20" s="1398"/>
      <c r="S20" s="1398"/>
      <c r="T20" s="1399"/>
      <c r="Y20" s="1398"/>
      <c r="AA20" s="1398"/>
      <c r="AC20" s="1398"/>
      <c r="AD20" s="1398"/>
      <c r="AE20" s="1398"/>
    </row>
    <row r="21" spans="1:36" s="412" customFormat="1" ht="11.25" hidden="1" x14ac:dyDescent="0.2">
      <c r="A21" s="1407" t="str">
        <f>IF(OR('Legend(DX)'!B18=0,'Legend(DX)'!B18="SUB-CKT"),"","x")</f>
        <v/>
      </c>
      <c r="B21" s="1400" t="str">
        <f>IF('Legend(DX)'!H18=0,"",'Legend(DX)'!H18)</f>
        <v xml:space="preserve">COMPRESSOR INFORMATION  </v>
      </c>
      <c r="C21" s="1363" t="str">
        <f>IF('Legend(DX)'!I18=0,"",'Legend(DX)'!I18)</f>
        <v/>
      </c>
      <c r="D21" s="1364" t="str">
        <f>IF('Legend(DX)'!I18=0,"",'Legend(DX)'!J18)</f>
        <v/>
      </c>
      <c r="E21" s="1339" t="str">
        <f>IF('Legend(DX)'!K18=0,"",'Legend(DX)'!K18)</f>
        <v/>
      </c>
      <c r="F21" s="1339" t="str">
        <f>IF('Legend(DX)'!L18=0,"",'Legend(DX)'!L18)</f>
        <v/>
      </c>
      <c r="G21" s="1339" t="str">
        <f>IF('Legend(DX)'!M18=0,"",'Legend(DX)'!M18)</f>
        <v/>
      </c>
      <c r="H21" s="1339" t="str">
        <f>IF('Legend(DX)'!N18=0,"",'Legend(DX)'!N18)</f>
        <v/>
      </c>
      <c r="I21" s="1339" t="str">
        <f>IF('Legend(DX)'!O18=0,"",'Legend(DX)'!O18)</f>
        <v/>
      </c>
      <c r="J21" s="1339" t="str">
        <f>IF('Legend(DX)'!P18=0,"",'Legend(DX)'!P18)</f>
        <v/>
      </c>
      <c r="K21" s="1339" t="str">
        <f>IF('Legend(DX)'!Q18=0,"",'Legend(DX)'!Q18)</f>
        <v/>
      </c>
      <c r="L21" s="1339" t="str">
        <f>IF('Legend(DX)'!R18=0,"",'Legend(DX)'!R18)</f>
        <v/>
      </c>
      <c r="M21" s="1339" t="str">
        <f>IF('Legend(DX)'!S18=0,"",'Legend(DX)'!S18)</f>
        <v/>
      </c>
      <c r="N21" s="1339" t="str">
        <f>IF('Legend(DX)'!T18=0,"",'Legend(DX)'!T18)</f>
        <v/>
      </c>
      <c r="O21" s="1339" t="str">
        <f>IF('Legend(DX)'!W18=0,"",'Legend(DX)'!W18)</f>
        <v/>
      </c>
      <c r="P21" s="1339" t="str">
        <f>IF('Legend(DX)'!X18=0,"",'Legend(DX)'!X18)</f>
        <v/>
      </c>
      <c r="Q21" s="1339" t="str">
        <f>IF('Legend(DX)'!Y18=0,"",'Legend(DX)'!Y18)</f>
        <v/>
      </c>
      <c r="R21" s="1401" t="str">
        <f>IF('Legend(DX)'!Z18=0,"",'Legend(DX)'!Z18)</f>
        <v/>
      </c>
      <c r="S21" s="1401" t="str">
        <f>IF('Legend(DX)'!AA18=0,"",'Legend(DX)'!AA18)</f>
        <v/>
      </c>
      <c r="T21" s="1378" t="str">
        <f>IF(LEFT($O$3,1)="g",'Legend(DX)'!AC18,IF('Legend(DX)'!AB18=0,"",'Legend(DX)'!AB18))</f>
        <v/>
      </c>
      <c r="U21" s="1402" t="str">
        <f>IF('Legend(DX)'!AD18=0,"",'Legend(DX)'!AD18)</f>
        <v/>
      </c>
      <c r="V21" s="1403" t="str">
        <f>IF('Legend(DX)'!AE18=0,"",'Legend(DX)'!AE18)</f>
        <v/>
      </c>
      <c r="W21" s="1403" t="str">
        <f>IF('Legend(DX)'!AG18=0,"",'Legend(DX)'!AG18)</f>
        <v/>
      </c>
      <c r="X21" s="1403" t="str">
        <f>IF('Legend(DX)'!AI18=0,"",'Legend(DX)'!AI18)</f>
        <v/>
      </c>
      <c r="Y21" s="1404" t="str">
        <f>IF('Legend(DX)'!AJ18=0,"",'Legend(DX)'!AJ18)</f>
        <v/>
      </c>
      <c r="Z21" s="1403" t="str">
        <f>IF('Legend(DX)'!AK18=0,"",'Legend(DX)'!AK18)</f>
        <v/>
      </c>
      <c r="AA21" s="1404" t="str">
        <f>IF('Legend(DX)'!AM18=0,"",'Legend(DX)'!AM18)</f>
        <v/>
      </c>
      <c r="AB21" s="1403" t="str">
        <f>IF('Legend(DX)'!AN18=0,"",'Legend(DX)'!AN18)</f>
        <v/>
      </c>
      <c r="AC21" s="1404" t="str">
        <f>IF('Legend(DX)'!AO18=0,"",'Legend(DX)'!AO18)</f>
        <v/>
      </c>
      <c r="AD21" s="1404" t="str">
        <f>IF('Legend(DX)'!AP18=0,"",'Legend(DX)'!AP18)</f>
        <v/>
      </c>
      <c r="AE21" s="1912" t="str">
        <f>IF('Legend(DX)'!AS18=0,"",'Legend(DX)'!AS18)</f>
        <v/>
      </c>
      <c r="AF21" s="1913"/>
      <c r="AG21" s="1913"/>
      <c r="AH21" s="1403" t="str">
        <f>IF('Legend(DX)'!AT18=0,"",'Legend(DX)'!AT18)</f>
        <v/>
      </c>
      <c r="AI21" s="1493"/>
    </row>
    <row r="22" spans="1:36" s="412" customFormat="1" ht="11.25" hidden="1" x14ac:dyDescent="0.2">
      <c r="A22" s="1407" t="str">
        <f>IF(OR('Legend(DX)'!B19=0,'Legend(DX)'!B19="SUB-CKT"),"","x")</f>
        <v/>
      </c>
      <c r="B22" s="1400" t="str">
        <f>IF('Legend(DX)'!H19=0,"",'Legend(DX)'!H19)</f>
        <v>COMP #</v>
      </c>
      <c r="C22" s="1921" t="str">
        <f>IF('Legend(DX)'!I19=0,"",'Legend(DX)'!I19)</f>
        <v>COMPRESSOR MODEL</v>
      </c>
      <c r="D22" s="1922"/>
      <c r="E22" s="1922"/>
      <c r="F22" s="1922"/>
      <c r="G22" s="1922"/>
      <c r="H22" s="1923"/>
      <c r="I22" s="1403" t="str">
        <f>IF('Legend(DX)'!O19=0,"",'Legend(DX)'!O19)</f>
        <v/>
      </c>
      <c r="J22" s="1403" t="str">
        <f>IF('Legend(DX)'!P19=0,"",'Legend(DX)'!P19)</f>
        <v/>
      </c>
      <c r="K22" s="1403" t="str">
        <f>IF('Legend(DX)'!Q19=0,"",'Legend(DX)'!Q19)</f>
        <v/>
      </c>
      <c r="L22" s="1339" t="s">
        <v>414</v>
      </c>
      <c r="M22" s="1339"/>
      <c r="N22" s="1339" t="str">
        <f>IF('Legend(DX)'!T19=0,"",'Legend(DX)'!T19)</f>
        <v>Compressor Capacity (MBH)</v>
      </c>
      <c r="O22" s="1339"/>
      <c r="P22" s="1339"/>
      <c r="Q22" s="1921" t="str">
        <f>IF('Legend(DX)'!Y19=0,"",'Legend(DX)'!Y19)</f>
        <v/>
      </c>
      <c r="R22" s="1923"/>
      <c r="S22" s="1401" t="str">
        <f>IF('Legend(DX)'!AA19=0,"",'Legend(DX)'!AA19)</f>
        <v/>
      </c>
      <c r="T22" s="1368" t="str">
        <f>IF(LEFT($O$3,1)="g",'Legend(DX)'!AC19,IF('Legend(DX)'!AB19=0,"",'Legend(DX)'!AB19))</f>
        <v>KW</v>
      </c>
      <c r="U22" s="1402" t="str">
        <f>IF('Legend(DX)'!AD19=0,"",'Legend(DX)'!AD19)</f>
        <v>Mass Flow</v>
      </c>
      <c r="V22" s="1403" t="str">
        <f>IF('Legend(DX)'!AE19=0,"",'Legend(DX)'!AE19)</f>
        <v>Discharge Temp.</v>
      </c>
      <c r="W22" s="1403" t="str">
        <f>IF('Legend(DX)'!AG19=0,"",'Legend(DX)'!AG19)</f>
        <v>Liquid Temp. (°F)</v>
      </c>
      <c r="X22" s="1403" t="str">
        <f>IF('Legend(DX)'!AI19=0,"",'Legend(DX)'!AI19)</f>
        <v>% Step</v>
      </c>
      <c r="Y22" s="1404" t="str">
        <f>IF('Legend(DX)'!AJ19=0,"",'Legend(DX)'!AJ19)</f>
        <v>% Sys. Spare</v>
      </c>
      <c r="Z22" s="1403" t="str">
        <f>IF('Legend(DX)'!AK19=0,"",'Legend(DX)'!AK19)</f>
        <v/>
      </c>
      <c r="AA22" s="1404" t="str">
        <f>IF('Legend(DX)'!AM19=0,"",'Legend(DX)'!AM19)</f>
        <v/>
      </c>
      <c r="AB22" s="1403" t="str">
        <f>IF('Legend(DX)'!AN19=0,"",'Legend(DX)'!AN19)</f>
        <v/>
      </c>
      <c r="AC22" s="1404" t="str">
        <f>IF('Legend(DX)'!AO19=0,"",'Legend(DX)'!AO19)</f>
        <v/>
      </c>
      <c r="AD22" s="1404" t="str">
        <f>IF('Legend(DX)'!AP19=0,"",'Legend(DX)'!AP19)</f>
        <v/>
      </c>
      <c r="AE22" s="1912" t="str">
        <f>IF('Legend(DX)'!AS19=0,"",'Legend(DX)'!AS19)</f>
        <v/>
      </c>
      <c r="AF22" s="1913"/>
      <c r="AG22" s="1914"/>
      <c r="AH22" s="1477" t="str">
        <f>IF('Legend(DX)'!AT19=0,"",'Legend(DX)'!AT19)</f>
        <v/>
      </c>
      <c r="AI22" s="1491"/>
    </row>
    <row r="23" spans="1:36" s="412" customFormat="1" ht="12" hidden="1" thickBot="1" x14ac:dyDescent="0.25">
      <c r="R23" s="437"/>
      <c r="S23" s="437"/>
    </row>
    <row r="24" spans="1:36" s="1406" customFormat="1" ht="13.5" thickBot="1" x14ac:dyDescent="0.25">
      <c r="A24" s="1405"/>
      <c r="B24" s="1918" t="s">
        <v>967</v>
      </c>
      <c r="C24" s="1919"/>
      <c r="D24" s="1919"/>
      <c r="E24" s="1919"/>
      <c r="F24" s="1919"/>
      <c r="G24" s="1919"/>
      <c r="H24" s="1919"/>
      <c r="I24" s="1919"/>
      <c r="J24" s="1919"/>
      <c r="K24" s="1919"/>
      <c r="L24" s="1919"/>
      <c r="M24" s="1919"/>
      <c r="N24" s="1919"/>
      <c r="O24" s="1919"/>
      <c r="P24" s="1919"/>
      <c r="Q24" s="1919"/>
      <c r="R24" s="1919"/>
      <c r="S24" s="1919"/>
      <c r="T24" s="1919"/>
      <c r="U24" s="1919"/>
      <c r="V24" s="1919"/>
      <c r="W24" s="1919"/>
      <c r="X24" s="1919"/>
      <c r="Y24" s="1919"/>
      <c r="Z24" s="1919"/>
      <c r="AA24" s="1919"/>
      <c r="AB24" s="1919"/>
      <c r="AC24" s="1919"/>
      <c r="AD24" s="1919"/>
      <c r="AE24" s="1919"/>
      <c r="AF24" s="1919"/>
      <c r="AG24" s="1919"/>
      <c r="AH24" s="1919"/>
      <c r="AI24" s="1920"/>
      <c r="AJ24" s="412"/>
    </row>
    <row r="25" spans="1:36" s="412" customFormat="1" ht="11.25" x14ac:dyDescent="0.2">
      <c r="B25" s="1484" t="s">
        <v>968</v>
      </c>
      <c r="C25" s="1910" t="str">
        <f>IF(OR(LEFT($O$3,1)="g",LEFT($O$3,1)="c"),"Owner's designated secondary refrigeration system equipment supplier: RAE Corporation.","The scheduled data for existing to remain components, circuit loads, and electrical conditions are reproduced from original documents and may not reflect as-built conditions.")</f>
        <v>The scheduled data for existing to remain components, circuit loads, and electrical conditions are reproduced from original documents and may not reflect as-built conditions.</v>
      </c>
      <c r="D25" s="1910"/>
      <c r="E25" s="1910"/>
      <c r="F25" s="1910"/>
      <c r="G25" s="1910"/>
      <c r="H25" s="1910"/>
      <c r="I25" s="1910"/>
      <c r="J25" s="1910"/>
      <c r="K25" s="1910"/>
      <c r="L25" s="1910"/>
      <c r="M25" s="1910"/>
      <c r="N25" s="1910"/>
      <c r="O25" s="1910"/>
      <c r="P25" s="1910"/>
      <c r="Q25" s="1910"/>
      <c r="R25" s="1910"/>
      <c r="S25" s="1910"/>
      <c r="T25" s="1910"/>
      <c r="U25" s="1910"/>
      <c r="V25" s="1910"/>
      <c r="W25" s="1910"/>
      <c r="X25" s="1910"/>
      <c r="Y25" s="1910"/>
      <c r="Z25" s="1910"/>
      <c r="AA25" s="1910"/>
      <c r="AB25" s="1910"/>
      <c r="AC25" s="1910"/>
      <c r="AD25" s="1910"/>
      <c r="AE25" s="1910"/>
      <c r="AF25" s="1910"/>
      <c r="AG25" s="1910"/>
      <c r="AH25" s="1910"/>
      <c r="AI25" s="1911"/>
    </row>
    <row r="26" spans="1:36" s="412" customFormat="1" ht="11.25" x14ac:dyDescent="0.2">
      <c r="B26" s="1485" t="s">
        <v>969</v>
      </c>
      <c r="C26" s="1901" t="str">
        <f>IF(OR(LEFT($O$3,1)="g",LEFT($O$3,1)="c"),'Legend(DX)'!$S$1 &amp; " is a Secondary " &amp; IF(LEFT($O$3,1)="g","Glycol","CO2") &amp; " System, cooled by circuits " &amp; LEFT('Legend(DX)'!$S$1,3) &amp; " CONN: 1 and " &amp; LEFT('Legend(DX)'!$S$1,3) &amp; " CONN: 2. Refer to System " &amp; LEFT('Legend(DX)'!$S$1,3) &amp; " DX Schedules and Submittals for more information.","Contractor shall field verify existing status of data shown for modified racks and notify engineer of any discrepancies.")</f>
        <v>Contractor shall field verify existing status of data shown for modified racks and notify engineer of any discrepancies.</v>
      </c>
      <c r="D26" s="1901"/>
      <c r="E26" s="1901"/>
      <c r="F26" s="1901"/>
      <c r="G26" s="1901"/>
      <c r="H26" s="1901"/>
      <c r="I26" s="1901"/>
      <c r="J26" s="1901"/>
      <c r="K26" s="1901"/>
      <c r="L26" s="1901"/>
      <c r="M26" s="1901"/>
      <c r="N26" s="1901"/>
      <c r="O26" s="1901"/>
      <c r="P26" s="1901"/>
      <c r="Q26" s="1901"/>
      <c r="R26" s="1901"/>
      <c r="S26" s="1901"/>
      <c r="T26" s="1901"/>
      <c r="U26" s="1901"/>
      <c r="V26" s="1901"/>
      <c r="W26" s="1901"/>
      <c r="X26" s="1901"/>
      <c r="Y26" s="1901"/>
      <c r="Z26" s="1901"/>
      <c r="AA26" s="1901"/>
      <c r="AB26" s="1901"/>
      <c r="AC26" s="1901"/>
      <c r="AD26" s="1901"/>
      <c r="AE26" s="1901"/>
      <c r="AF26" s="1901"/>
      <c r="AG26" s="1901"/>
      <c r="AH26" s="1901"/>
      <c r="AI26" s="1902"/>
    </row>
    <row r="27" spans="1:36" s="412" customFormat="1" ht="11.25" x14ac:dyDescent="0.2">
      <c r="B27" s="1474" t="s">
        <v>970</v>
      </c>
      <c r="C27" s="1901" t="str">
        <f>IF(OR(LEFT($O$3,1)="g",LEFT($O$3,1)="c"),"Primary Refrigeration System Equipment Supplier to furnish " &amp;IF('Legend(DX)'!$U$4="Kysor Warren","Bohn",IF('Legend(DX)'!$U$4="Hussmann","Krack",""))&amp; " Coils, and associated valves, ect.","LLSV(S), AND EPR(S) SHALL BE CONTRACTOR INSTALLED AND OWNER FURNISHED THROUGH REFRIGERATION EQUIPMENT SUPPLIER: " &amp; IF($Q$2=0,"",$Q$2))</f>
        <v xml:space="preserve">LLSV(S), AND EPR(S) SHALL BE CONTRACTOR INSTALLED AND OWNER FURNISHED THROUGH REFRIGERATION EQUIPMENT SUPPLIER: </v>
      </c>
      <c r="D27" s="1901"/>
      <c r="E27" s="1901"/>
      <c r="F27" s="1901"/>
      <c r="G27" s="1901"/>
      <c r="H27" s="1901"/>
      <c r="I27" s="1901"/>
      <c r="J27" s="1901"/>
      <c r="K27" s="1901"/>
      <c r="L27" s="1901"/>
      <c r="M27" s="1901"/>
      <c r="N27" s="1901"/>
      <c r="O27" s="1901"/>
      <c r="P27" s="1901"/>
      <c r="Q27" s="1901"/>
      <c r="R27" s="1901"/>
      <c r="S27" s="1901"/>
      <c r="T27" s="1901"/>
      <c r="U27" s="1901"/>
      <c r="V27" s="1901"/>
      <c r="W27" s="1901"/>
      <c r="X27" s="1901"/>
      <c r="Y27" s="1901"/>
      <c r="Z27" s="1901"/>
      <c r="AA27" s="1901"/>
      <c r="AB27" s="1901"/>
      <c r="AC27" s="1901"/>
      <c r="AD27" s="1901"/>
      <c r="AE27" s="1901"/>
      <c r="AF27" s="1901"/>
      <c r="AG27" s="1901"/>
      <c r="AH27" s="1901"/>
      <c r="AI27" s="1902"/>
    </row>
    <row r="28" spans="1:36" s="412" customFormat="1" ht="11.25" x14ac:dyDescent="0.2">
      <c r="B28" s="1474" t="s">
        <v>971</v>
      </c>
      <c r="C28" s="1901" t="s">
        <v>1690</v>
      </c>
      <c r="D28" s="1901"/>
      <c r="E28" s="1901"/>
      <c r="F28" s="1901"/>
      <c r="G28" s="1901"/>
      <c r="H28" s="1901"/>
      <c r="I28" s="1901"/>
      <c r="J28" s="1901"/>
      <c r="K28" s="1901"/>
      <c r="L28" s="1901"/>
      <c r="M28" s="1901"/>
      <c r="N28" s="1901"/>
      <c r="O28" s="1901"/>
      <c r="P28" s="1901"/>
      <c r="Q28" s="1901"/>
      <c r="R28" s="1901"/>
      <c r="S28" s="1901"/>
      <c r="T28" s="1901"/>
      <c r="U28" s="1901"/>
      <c r="V28" s="1901"/>
      <c r="W28" s="1901"/>
      <c r="X28" s="1901"/>
      <c r="Y28" s="1901"/>
      <c r="Z28" s="1901"/>
      <c r="AA28" s="1901"/>
      <c r="AB28" s="1901"/>
      <c r="AC28" s="1901"/>
      <c r="AD28" s="1901"/>
      <c r="AE28" s="1901"/>
      <c r="AF28" s="1901"/>
      <c r="AG28" s="1901"/>
      <c r="AH28" s="1901"/>
      <c r="AI28" s="1902"/>
    </row>
    <row r="29" spans="1:36" s="412" customFormat="1" ht="11.25" x14ac:dyDescent="0.2">
      <c r="B29" s="1474" t="s">
        <v>972</v>
      </c>
      <c r="C29" s="1901" t="str">
        <f>IF(OR(LEFT($O$3,1)="g",LEFT($O$3,1)="c"),'Legend(DX)'!$S$1&amp;" is a new system.","Refer to the 15605 Guideline for instructions on modifying rack subcooler loads.")</f>
        <v>Refer to the 15605 Guideline for instructions on modifying rack subcooler loads.</v>
      </c>
      <c r="D29" s="1901"/>
      <c r="E29" s="1901"/>
      <c r="F29" s="1901"/>
      <c r="G29" s="1901"/>
      <c r="H29" s="1901"/>
      <c r="I29" s="1901"/>
      <c r="J29" s="1901"/>
      <c r="K29" s="1901"/>
      <c r="L29" s="1901"/>
      <c r="M29" s="1901"/>
      <c r="N29" s="1901"/>
      <c r="O29" s="1901"/>
      <c r="P29" s="1901"/>
      <c r="Q29" s="1901"/>
      <c r="R29" s="1901"/>
      <c r="S29" s="1901"/>
      <c r="T29" s="1901"/>
      <c r="U29" s="1901"/>
      <c r="V29" s="1901"/>
      <c r="W29" s="1901"/>
      <c r="X29" s="1901"/>
      <c r="Y29" s="1901"/>
      <c r="Z29" s="1901"/>
      <c r="AA29" s="1901"/>
      <c r="AB29" s="1901"/>
      <c r="AC29" s="1901"/>
      <c r="AD29" s="1901"/>
      <c r="AE29" s="1901"/>
      <c r="AF29" s="1901"/>
      <c r="AG29" s="1901"/>
      <c r="AH29" s="1901"/>
      <c r="AI29" s="1902"/>
    </row>
    <row r="30" spans="1:36" s="412" customFormat="1" ht="11.25" x14ac:dyDescent="0.2">
      <c r="B30" s="1903" t="s">
        <v>1331</v>
      </c>
      <c r="C30" s="1904"/>
      <c r="D30" s="1904"/>
      <c r="E30" s="1904"/>
      <c r="F30" s="1904"/>
      <c r="G30" s="1904"/>
      <c r="H30" s="1904"/>
      <c r="I30" s="1904"/>
      <c r="J30" s="1904"/>
      <c r="K30" s="1904"/>
      <c r="L30" s="1904"/>
      <c r="M30" s="1904"/>
      <c r="N30" s="1904"/>
      <c r="O30" s="1904"/>
      <c r="P30" s="1904"/>
      <c r="Q30" s="1904"/>
      <c r="R30" s="1904"/>
      <c r="S30" s="1904"/>
      <c r="T30" s="1904"/>
      <c r="U30" s="1904"/>
      <c r="V30" s="1904"/>
      <c r="W30" s="1904"/>
      <c r="X30" s="1904"/>
      <c r="Y30" s="1904"/>
      <c r="Z30" s="1904"/>
      <c r="AA30" s="1904"/>
      <c r="AB30" s="1904"/>
      <c r="AC30" s="1904"/>
      <c r="AD30" s="1904"/>
      <c r="AE30" s="1904"/>
      <c r="AF30" s="1904"/>
      <c r="AG30" s="1904"/>
      <c r="AH30" s="1904"/>
      <c r="AI30" s="1905"/>
    </row>
    <row r="31" spans="1:36" s="412" customFormat="1" ht="11.25" x14ac:dyDescent="0.2">
      <c r="B31" s="1474" t="s">
        <v>1332</v>
      </c>
      <c r="C31" s="1897" t="s">
        <v>1333</v>
      </c>
      <c r="D31" s="1897"/>
      <c r="E31" s="1897"/>
      <c r="F31" s="1897"/>
      <c r="G31" s="1897"/>
      <c r="H31" s="1897"/>
      <c r="I31" s="1897"/>
      <c r="J31" s="1897"/>
      <c r="K31" s="1897"/>
      <c r="L31" s="1897"/>
      <c r="M31" s="1897"/>
      <c r="N31" s="1897"/>
      <c r="O31" s="1897"/>
      <c r="P31" s="1897"/>
      <c r="Q31" s="1897"/>
      <c r="R31" s="1897"/>
      <c r="S31" s="1897"/>
      <c r="T31" s="1897"/>
      <c r="U31" s="1897"/>
      <c r="V31" s="1897"/>
      <c r="W31" s="1897"/>
      <c r="X31" s="1897"/>
      <c r="Y31" s="1897"/>
      <c r="Z31" s="1897"/>
      <c r="AA31" s="1897"/>
      <c r="AB31" s="1897"/>
      <c r="AC31" s="1897"/>
      <c r="AD31" s="1897"/>
      <c r="AE31" s="1897"/>
      <c r="AF31" s="1897"/>
      <c r="AG31" s="1897"/>
      <c r="AH31" s="1897"/>
      <c r="AI31" s="1898"/>
    </row>
    <row r="32" spans="1:36" s="412" customFormat="1" ht="11.25" x14ac:dyDescent="0.2">
      <c r="B32" s="1474" t="s">
        <v>1334</v>
      </c>
      <c r="C32" s="1897" t="s">
        <v>1335</v>
      </c>
      <c r="D32" s="1897"/>
      <c r="E32" s="1897"/>
      <c r="F32" s="1897"/>
      <c r="G32" s="1897"/>
      <c r="H32" s="1897"/>
      <c r="I32" s="1897"/>
      <c r="J32" s="1897"/>
      <c r="K32" s="1897"/>
      <c r="L32" s="1897"/>
      <c r="M32" s="1897"/>
      <c r="N32" s="1897"/>
      <c r="O32" s="1897"/>
      <c r="P32" s="1897"/>
      <c r="Q32" s="1897"/>
      <c r="R32" s="1897"/>
      <c r="S32" s="1897"/>
      <c r="T32" s="1897"/>
      <c r="U32" s="1897"/>
      <c r="V32" s="1897"/>
      <c r="W32" s="1897"/>
      <c r="X32" s="1897"/>
      <c r="Y32" s="1897"/>
      <c r="Z32" s="1897"/>
      <c r="AA32" s="1897"/>
      <c r="AB32" s="1897"/>
      <c r="AC32" s="1897"/>
      <c r="AD32" s="1897"/>
      <c r="AE32" s="1897"/>
      <c r="AF32" s="1897"/>
      <c r="AG32" s="1897"/>
      <c r="AH32" s="1897"/>
      <c r="AI32" s="1898"/>
    </row>
    <row r="33" spans="2:35" s="412" customFormat="1" ht="11.25" x14ac:dyDescent="0.2">
      <c r="B33" s="1475" t="s">
        <v>1336</v>
      </c>
      <c r="C33" s="1897" t="s">
        <v>1976</v>
      </c>
      <c r="D33" s="1897"/>
      <c r="E33" s="1897"/>
      <c r="F33" s="1897"/>
      <c r="G33" s="1897"/>
      <c r="H33" s="1897"/>
      <c r="I33" s="1897"/>
      <c r="J33" s="1897"/>
      <c r="K33" s="1897"/>
      <c r="L33" s="1897"/>
      <c r="M33" s="1897"/>
      <c r="N33" s="1897"/>
      <c r="O33" s="1897"/>
      <c r="P33" s="1897"/>
      <c r="Q33" s="1897"/>
      <c r="R33" s="1897"/>
      <c r="S33" s="1897"/>
      <c r="T33" s="1897"/>
      <c r="U33" s="1897"/>
      <c r="V33" s="1897"/>
      <c r="W33" s="1897"/>
      <c r="X33" s="1897"/>
      <c r="Y33" s="1897"/>
      <c r="Z33" s="1897"/>
      <c r="AA33" s="1897"/>
      <c r="AB33" s="1897"/>
      <c r="AC33" s="1897"/>
      <c r="AD33" s="1897"/>
      <c r="AE33" s="1897"/>
      <c r="AF33" s="1897"/>
      <c r="AG33" s="1897"/>
      <c r="AH33" s="1897"/>
      <c r="AI33" s="1898"/>
    </row>
    <row r="34" spans="2:35" s="412" customFormat="1" ht="11.25" x14ac:dyDescent="0.2">
      <c r="B34" s="1475" t="s">
        <v>1337</v>
      </c>
      <c r="C34" s="1897" t="s">
        <v>1338</v>
      </c>
      <c r="D34" s="1897"/>
      <c r="E34" s="1897"/>
      <c r="F34" s="1897"/>
      <c r="G34" s="1897"/>
      <c r="H34" s="1897"/>
      <c r="I34" s="1897"/>
      <c r="J34" s="1897"/>
      <c r="K34" s="1897"/>
      <c r="L34" s="1897"/>
      <c r="M34" s="1897"/>
      <c r="N34" s="1897"/>
      <c r="O34" s="1897"/>
      <c r="P34" s="1897"/>
      <c r="Q34" s="1897"/>
      <c r="R34" s="1897"/>
      <c r="S34" s="1897"/>
      <c r="T34" s="1897"/>
      <c r="U34" s="1897"/>
      <c r="V34" s="1897"/>
      <c r="W34" s="1897"/>
      <c r="X34" s="1897"/>
      <c r="Y34" s="1897"/>
      <c r="Z34" s="1897"/>
      <c r="AA34" s="1897"/>
      <c r="AB34" s="1897"/>
      <c r="AC34" s="1897"/>
      <c r="AD34" s="1897"/>
      <c r="AE34" s="1897"/>
      <c r="AF34" s="1897"/>
      <c r="AG34" s="1897"/>
      <c r="AH34" s="1897"/>
      <c r="AI34" s="1898"/>
    </row>
    <row r="35" spans="2:35" s="412" customFormat="1" ht="11.25" x14ac:dyDescent="0.2">
      <c r="B35" s="1475" t="s">
        <v>1339</v>
      </c>
      <c r="C35" s="1897" t="s">
        <v>1340</v>
      </c>
      <c r="D35" s="1897"/>
      <c r="E35" s="1897"/>
      <c r="F35" s="1897"/>
      <c r="G35" s="1897"/>
      <c r="H35" s="1897"/>
      <c r="I35" s="1897"/>
      <c r="J35" s="1897"/>
      <c r="K35" s="1897"/>
      <c r="L35" s="1897"/>
      <c r="M35" s="1897"/>
      <c r="N35" s="1897"/>
      <c r="O35" s="1897"/>
      <c r="P35" s="1897"/>
      <c r="Q35" s="1897"/>
      <c r="R35" s="1897"/>
      <c r="S35" s="1897"/>
      <c r="T35" s="1897"/>
      <c r="U35" s="1897"/>
      <c r="V35" s="1897"/>
      <c r="W35" s="1897"/>
      <c r="X35" s="1897"/>
      <c r="Y35" s="1897"/>
      <c r="Z35" s="1897"/>
      <c r="AA35" s="1897"/>
      <c r="AB35" s="1897"/>
      <c r="AC35" s="1897"/>
      <c r="AD35" s="1897"/>
      <c r="AE35" s="1897"/>
      <c r="AF35" s="1897"/>
      <c r="AG35" s="1897"/>
      <c r="AH35" s="1897"/>
      <c r="AI35" s="1898"/>
    </row>
    <row r="36" spans="2:35" s="412" customFormat="1" ht="12" thickBot="1" x14ac:dyDescent="0.25">
      <c r="B36" s="1476" t="s">
        <v>1341</v>
      </c>
      <c r="C36" s="1899" t="s">
        <v>1342</v>
      </c>
      <c r="D36" s="1899"/>
      <c r="E36" s="1899"/>
      <c r="F36" s="1899"/>
      <c r="G36" s="1899"/>
      <c r="H36" s="1899"/>
      <c r="I36" s="1899"/>
      <c r="J36" s="1899"/>
      <c r="K36" s="1899"/>
      <c r="L36" s="1899"/>
      <c r="M36" s="1899"/>
      <c r="N36" s="1899"/>
      <c r="O36" s="1899"/>
      <c r="P36" s="1899"/>
      <c r="Q36" s="1899"/>
      <c r="R36" s="1899"/>
      <c r="S36" s="1899"/>
      <c r="T36" s="1899"/>
      <c r="U36" s="1899"/>
      <c r="V36" s="1899"/>
      <c r="W36" s="1899"/>
      <c r="X36" s="1899"/>
      <c r="Y36" s="1899"/>
      <c r="Z36" s="1899"/>
      <c r="AA36" s="1899"/>
      <c r="AB36" s="1899"/>
      <c r="AC36" s="1899"/>
      <c r="AD36" s="1899"/>
      <c r="AE36" s="1899"/>
      <c r="AF36" s="1899"/>
      <c r="AG36" s="1899"/>
      <c r="AH36" s="1899"/>
      <c r="AI36" s="1900"/>
    </row>
    <row r="37" spans="2:35" s="412" customFormat="1" ht="11.25" x14ac:dyDescent="0.2"/>
    <row r="38" spans="2:35" s="412" customFormat="1" ht="11.25" x14ac:dyDescent="0.2"/>
    <row r="39" spans="2:35" s="412" customFormat="1" ht="11.25" x14ac:dyDescent="0.2"/>
    <row r="40" spans="2:35" s="412" customFormat="1" ht="11.25" x14ac:dyDescent="0.2"/>
    <row r="41" spans="2:35" s="412" customFormat="1" ht="11.25" x14ac:dyDescent="0.2"/>
    <row r="42" spans="2:35" s="412" customFormat="1" ht="11.25" x14ac:dyDescent="0.2"/>
    <row r="43" spans="2:35" s="412" customFormat="1" ht="11.25" x14ac:dyDescent="0.2"/>
    <row r="44" spans="2:35" s="412" customFormat="1" ht="11.25" x14ac:dyDescent="0.2"/>
    <row r="45" spans="2:35" s="412" customFormat="1" ht="11.25" x14ac:dyDescent="0.2"/>
    <row r="46" spans="2:35" s="412" customFormat="1" ht="11.25" x14ac:dyDescent="0.2"/>
  </sheetData>
  <mergeCells count="79">
    <mergeCell ref="D3:E3"/>
    <mergeCell ref="AF2:AH2"/>
    <mergeCell ref="AF3:AH3"/>
    <mergeCell ref="W2:X2"/>
    <mergeCell ref="F3:G3"/>
    <mergeCell ref="K3:L3"/>
    <mergeCell ref="H3:J3"/>
    <mergeCell ref="B2:O2"/>
    <mergeCell ref="T2:U2"/>
    <mergeCell ref="Y2:Z2"/>
    <mergeCell ref="Y3:Z3"/>
    <mergeCell ref="AB2:AD2"/>
    <mergeCell ref="AB3:AD3"/>
    <mergeCell ref="T3:U3"/>
    <mergeCell ref="F4:G4"/>
    <mergeCell ref="T6:U6"/>
    <mergeCell ref="Y4:Z4"/>
    <mergeCell ref="AF6:AH6"/>
    <mergeCell ref="F5:G5"/>
    <mergeCell ref="T4:U4"/>
    <mergeCell ref="AB4:AD4"/>
    <mergeCell ref="AB5:AD5"/>
    <mergeCell ref="Y5:Z5"/>
    <mergeCell ref="AF4:AH4"/>
    <mergeCell ref="D5:E5"/>
    <mergeCell ref="AF17:AI17"/>
    <mergeCell ref="P16:R16"/>
    <mergeCell ref="X7:AD7"/>
    <mergeCell ref="B7:W7"/>
    <mergeCell ref="AE7:AI7"/>
    <mergeCell ref="V9:W9"/>
    <mergeCell ref="U16:W16"/>
    <mergeCell ref="Y9:Z9"/>
    <mergeCell ref="AA9:AB9"/>
    <mergeCell ref="AE14:AG14"/>
    <mergeCell ref="AF5:AH5"/>
    <mergeCell ref="K5:L5"/>
    <mergeCell ref="T5:U5"/>
    <mergeCell ref="U13:W13"/>
    <mergeCell ref="D6:E6"/>
    <mergeCell ref="B1:AI1"/>
    <mergeCell ref="AE8:AG10"/>
    <mergeCell ref="AH8:AH10"/>
    <mergeCell ref="AI8:AI10"/>
    <mergeCell ref="AE11:AG11"/>
    <mergeCell ref="B4:C4"/>
    <mergeCell ref="I8:K8"/>
    <mergeCell ref="C8:H8"/>
    <mergeCell ref="B3:C3"/>
    <mergeCell ref="C10:D10"/>
    <mergeCell ref="K6:L6"/>
    <mergeCell ref="B5:C5"/>
    <mergeCell ref="K4:L4"/>
    <mergeCell ref="D4:E4"/>
    <mergeCell ref="H4:J4"/>
    <mergeCell ref="H5:J5"/>
    <mergeCell ref="B6:C6"/>
    <mergeCell ref="F6:G6"/>
    <mergeCell ref="H6:J6"/>
    <mergeCell ref="C25:AI25"/>
    <mergeCell ref="AE22:AG22"/>
    <mergeCell ref="P13:R13"/>
    <mergeCell ref="B24:AI24"/>
    <mergeCell ref="C22:H22"/>
    <mergeCell ref="Q22:R22"/>
    <mergeCell ref="U19:W19"/>
    <mergeCell ref="P19:R19"/>
    <mergeCell ref="AE21:AG21"/>
    <mergeCell ref="C33:AI33"/>
    <mergeCell ref="C34:AI34"/>
    <mergeCell ref="C35:AI35"/>
    <mergeCell ref="C36:AI36"/>
    <mergeCell ref="C26:AI26"/>
    <mergeCell ref="C32:AI32"/>
    <mergeCell ref="C31:AI31"/>
    <mergeCell ref="C27:AI27"/>
    <mergeCell ref="C29:AI29"/>
    <mergeCell ref="B30:AI30"/>
    <mergeCell ref="C28:AI28"/>
  </mergeCells>
  <pageMargins left="0.7" right="0.7" top="0.75" bottom="0.75" header="0.3" footer="0.3"/>
  <pageSetup paperSize="17" scale="62" orientation="landscape" r:id="rId1"/>
  <drawing r:id="rId2"/>
  <legacyDrawing r:id="rId3"/>
  <controls>
    <mc:AlternateContent xmlns:mc="http://schemas.openxmlformats.org/markup-compatibility/2006">
      <mc:Choice Requires="x14">
        <control shapeId="508931" r:id="rId4" name="ExportScheduleButton">
          <controlPr defaultSize="0" print="0" autoLine="0" r:id="rId5">
            <anchor moveWithCells="1">
              <from>
                <xdr:col>0</xdr:col>
                <xdr:colOff>123825</xdr:colOff>
                <xdr:row>2</xdr:row>
                <xdr:rowOff>57150</xdr:rowOff>
              </from>
              <to>
                <xdr:col>0</xdr:col>
                <xdr:colOff>638175</xdr:colOff>
                <xdr:row>2</xdr:row>
                <xdr:rowOff>304800</xdr:rowOff>
              </to>
            </anchor>
          </controlPr>
        </control>
      </mc:Choice>
      <mc:Fallback>
        <control shapeId="508931" r:id="rId4" name="ExportScheduleButton"/>
      </mc:Fallback>
    </mc:AlternateContent>
    <mc:AlternateContent xmlns:mc="http://schemas.openxmlformats.org/markup-compatibility/2006">
      <mc:Choice Requires="x14">
        <control shapeId="508930" r:id="rId6" name="RefrigerationScheduleUButton">
          <controlPr defaultSize="0" print="0" autoLine="0" r:id="rId7">
            <anchor moveWithCells="1">
              <from>
                <xdr:col>0</xdr:col>
                <xdr:colOff>123825</xdr:colOff>
                <xdr:row>1</xdr:row>
                <xdr:rowOff>19050</xdr:rowOff>
              </from>
              <to>
                <xdr:col>0</xdr:col>
                <xdr:colOff>657225</xdr:colOff>
                <xdr:row>1</xdr:row>
                <xdr:rowOff>285750</xdr:rowOff>
              </to>
            </anchor>
          </controlPr>
        </control>
      </mc:Choice>
      <mc:Fallback>
        <control shapeId="508930" r:id="rId6" name="RefrigerationScheduleUButton"/>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B8C395-5467-42A5-AFB0-42D380360786}">
  <sheetPr codeName="Sheet33"/>
  <dimension ref="A1:DJ59"/>
  <sheetViews>
    <sheetView workbookViewId="0"/>
  </sheetViews>
  <sheetFormatPr defaultRowHeight="12.75" x14ac:dyDescent="0.2"/>
  <cols>
    <col min="1" max="1" width="18.5703125" style="1409" customWidth="1"/>
    <col min="2" max="3" width="17.5703125" style="1409" customWidth="1"/>
    <col min="4" max="4" width="15.7109375" style="1409" hidden="1" customWidth="1"/>
    <col min="5" max="5" width="17" style="1409" customWidth="1"/>
    <col min="6" max="6" width="15.5703125" style="1409" hidden="1" customWidth="1"/>
    <col min="7" max="7" width="18" style="1409" customWidth="1"/>
    <col min="8" max="8" width="15.7109375" style="1409" hidden="1" customWidth="1"/>
    <col min="9" max="9" width="22.140625" style="1409" customWidth="1"/>
    <col min="10" max="10" width="26.7109375" style="1409" customWidth="1"/>
    <col min="11" max="100" width="9.140625" style="1409"/>
    <col min="101" max="104" width="9.140625" style="1409" hidden="1" customWidth="1"/>
    <col min="105" max="16384" width="9.140625" style="1409"/>
  </cols>
  <sheetData>
    <row r="1" spans="1:11" x14ac:dyDescent="0.2">
      <c r="A1" s="1408"/>
    </row>
    <row r="2" spans="1:11" ht="13.5" thickBot="1" x14ac:dyDescent="0.25">
      <c r="A2" s="432"/>
      <c r="K2" s="432"/>
    </row>
    <row r="3" spans="1:11" ht="24.75" thickTop="1" thickBot="1" x14ac:dyDescent="0.4">
      <c r="A3" s="432">
        <f>IF(LEFT('Legend(DX)'!$U$1,6)="Glycol",1,0)</f>
        <v>0</v>
      </c>
      <c r="B3" s="1981" t="str">
        <f>IF(A6=0,"PIPING &amp; VALVE SCHEDULE SYSTEM "&amp; 'Legend(DX)'!S1,IF(A3&gt;0," PIPING  SCH.  SYSTEM  " &amp; 'Legend(DX)'!S1," PIPING  SCHEDULE  SYSTEM  " &amp; 'Legend(DX)'!S1))</f>
        <v xml:space="preserve"> PIPING  SCHEDULE  SYSTEM  </v>
      </c>
      <c r="C3" s="1982"/>
      <c r="D3" s="1982"/>
      <c r="E3" s="1982"/>
      <c r="F3" s="1982"/>
      <c r="G3" s="1982"/>
      <c r="H3" s="1982"/>
      <c r="I3" s="1982"/>
      <c r="J3" s="1983"/>
      <c r="K3" s="432"/>
    </row>
    <row r="4" spans="1:11" x14ac:dyDescent="0.2">
      <c r="A4" s="1410">
        <f>IF(LEFT('Legend(DX)'!$U$1,1)="c",1,0)</f>
        <v>0</v>
      </c>
      <c r="B4" s="1513"/>
      <c r="C4" s="1412" t="str">
        <f>IF(A4=1,"HORIZONTAL","")</f>
        <v/>
      </c>
      <c r="D4" s="1412" t="s">
        <v>1367</v>
      </c>
      <c r="E4" s="1412" t="str">
        <f>IF(A3&gt;0,"","VERTICAL")</f>
        <v>VERTICAL</v>
      </c>
      <c r="F4" s="1412" t="s">
        <v>1369</v>
      </c>
      <c r="G4" s="1412" t="str">
        <f>IF(A6=0,"LIQUID",IF(A4=1,"LIQUID",""))</f>
        <v/>
      </c>
      <c r="H4" s="1468" t="s">
        <v>1370</v>
      </c>
      <c r="I4" s="1545" t="s">
        <v>181</v>
      </c>
      <c r="J4" s="2175"/>
      <c r="K4" s="1411"/>
    </row>
    <row r="5" spans="1:11" x14ac:dyDescent="0.2">
      <c r="A5" s="1410"/>
      <c r="B5" s="1513" t="s">
        <v>174</v>
      </c>
      <c r="C5" s="1412" t="str">
        <f>IF(A4=1,"RETURN","HORIZONTAL")</f>
        <v>HORIZONTAL</v>
      </c>
      <c r="D5" s="1412" t="s">
        <v>1368</v>
      </c>
      <c r="E5" s="1412" t="str">
        <f>IF(A3&gt;0,"FLOW",IF(A4=1,"UP RETURN","SUCTION RISER"))</f>
        <v>SUCTION RISER</v>
      </c>
      <c r="F5" s="1412" t="s">
        <v>1368</v>
      </c>
      <c r="G5" s="1412" t="str">
        <f>IF(A6=0,"SUPPLY",IF(A3&gt;0,"FLUID SUPPLY",IF(A4=1,"SUPPLY","")))</f>
        <v/>
      </c>
      <c r="H5" s="1468" t="s">
        <v>1368</v>
      </c>
      <c r="I5" s="1412" t="s">
        <v>924</v>
      </c>
      <c r="J5" s="2176"/>
      <c r="K5" s="1411"/>
    </row>
    <row r="6" spans="1:11" ht="13.5" thickBot="1" x14ac:dyDescent="0.25">
      <c r="A6" s="1470">
        <v>1</v>
      </c>
      <c r="B6" s="1514" t="s">
        <v>175</v>
      </c>
      <c r="C6" s="1413" t="str">
        <f>IF(A6=0,"RETURN","SUCTION")</f>
        <v>SUCTION</v>
      </c>
      <c r="D6" s="1413" t="s">
        <v>1269</v>
      </c>
      <c r="E6" s="1413" t="str">
        <f>IF(A3&gt;0,"(GPM)",IF(A4=1,"LINE","AS REQUIRED"))</f>
        <v>AS REQUIRED</v>
      </c>
      <c r="F6" s="1413" t="s">
        <v>1269</v>
      </c>
      <c r="G6" s="1413" t="str">
        <f>IF(A6=0,"LINE",IF(A3&gt;0,"&amp; RETURN",IF(A4=1,"LINE","LIQUID")))</f>
        <v>LIQUID</v>
      </c>
      <c r="H6" s="1469" t="s">
        <v>1269</v>
      </c>
      <c r="I6" s="1413" t="s">
        <v>182</v>
      </c>
      <c r="J6" s="2177" t="s">
        <v>1330</v>
      </c>
      <c r="K6" s="1411"/>
    </row>
    <row r="7" spans="1:11" hidden="1" x14ac:dyDescent="0.2">
      <c r="B7" s="1517"/>
      <c r="C7" s="1518"/>
      <c r="D7" s="1518"/>
      <c r="E7" s="1518"/>
      <c r="F7" s="1518"/>
      <c r="G7" s="1518"/>
      <c r="H7" s="1519"/>
      <c r="I7" s="1519"/>
      <c r="J7" s="1520"/>
    </row>
    <row r="8" spans="1:11" hidden="1" x14ac:dyDescent="0.2">
      <c r="B8" s="1530"/>
      <c r="C8" s="1531"/>
      <c r="D8" s="1531"/>
      <c r="E8" s="1531"/>
      <c r="F8" s="1531"/>
      <c r="G8" s="1531"/>
      <c r="H8" s="1532"/>
      <c r="I8" s="1532"/>
      <c r="J8" s="1533"/>
    </row>
    <row r="9" spans="1:11" ht="12.75" hidden="1" customHeight="1" thickBot="1" x14ac:dyDescent="0.25">
      <c r="B9" s="1521"/>
      <c r="C9" s="1522"/>
      <c r="D9" s="1522"/>
      <c r="E9" s="1522"/>
      <c r="F9" s="1522"/>
      <c r="G9" s="1522"/>
      <c r="H9" s="1523"/>
      <c r="I9" s="1523"/>
      <c r="J9" s="1524"/>
    </row>
    <row r="10" spans="1:11" ht="14.25" thickTop="1" thickBot="1" x14ac:dyDescent="0.25">
      <c r="B10" s="1987" t="str">
        <f>IF($A$6=0,"VALVE QUANTITIES:","")</f>
        <v/>
      </c>
      <c r="C10" s="1988"/>
      <c r="D10" s="1527">
        <f>COUNTIF(D7:D9,"*YES*")+COUNTIF(D7:D9,"*2*")</f>
        <v>0</v>
      </c>
      <c r="E10" s="1528"/>
      <c r="F10" s="1527">
        <f>COUNTIF(F7:F9,"*YES*")+COUNTIF(F7:F9,"*2*")</f>
        <v>0</v>
      </c>
      <c r="G10" s="1528"/>
      <c r="H10" s="1527">
        <f>COUNTIF(H7:H9,"*YES*")+COUNTIF(H7:H9,"*2*")</f>
        <v>0</v>
      </c>
      <c r="I10" s="1526"/>
      <c r="J10" s="1529"/>
    </row>
    <row r="11" spans="1:11" ht="13.5" thickTop="1" x14ac:dyDescent="0.2">
      <c r="B11" s="1984" t="s">
        <v>1376</v>
      </c>
      <c r="C11" s="1985"/>
      <c r="D11" s="1985"/>
      <c r="E11" s="1985"/>
      <c r="F11" s="1985"/>
      <c r="G11" s="1985"/>
      <c r="H11" s="1985"/>
      <c r="I11" s="1985"/>
      <c r="J11" s="1986"/>
    </row>
    <row r="12" spans="1:11" x14ac:dyDescent="0.2">
      <c r="B12" s="2010" t="s">
        <v>1377</v>
      </c>
      <c r="C12" s="2028" t="s">
        <v>1388</v>
      </c>
      <c r="D12" s="2028"/>
      <c r="E12" s="2028"/>
      <c r="F12" s="2028"/>
      <c r="G12" s="2028"/>
      <c r="H12" s="2028"/>
      <c r="I12" s="2028"/>
      <c r="J12" s="2029"/>
    </row>
    <row r="13" spans="1:11" ht="12.75" customHeight="1" x14ac:dyDescent="0.2">
      <c r="B13" s="2010"/>
      <c r="C13" s="2028"/>
      <c r="D13" s="2028"/>
      <c r="E13" s="2028"/>
      <c r="F13" s="2028"/>
      <c r="G13" s="2028"/>
      <c r="H13" s="2028"/>
      <c r="I13" s="2028"/>
      <c r="J13" s="2029"/>
    </row>
    <row r="14" spans="1:11" x14ac:dyDescent="0.2">
      <c r="B14" s="2010"/>
      <c r="C14" s="2028"/>
      <c r="D14" s="2028"/>
      <c r="E14" s="2028"/>
      <c r="F14" s="2028"/>
      <c r="G14" s="2028"/>
      <c r="H14" s="2028"/>
      <c r="I14" s="2028"/>
      <c r="J14" s="2029"/>
    </row>
    <row r="15" spans="1:11" x14ac:dyDescent="0.2">
      <c r="B15" s="1515" t="s">
        <v>1378</v>
      </c>
      <c r="C15" s="1989" t="str">
        <f>IF(A3=1,"LABEL ALL NEW PIPING PER SPECIFICATIONS SECTION 15181.","LABEL ALL NEW PIPING PER SPECIFICATIONS SECTION 15600.")</f>
        <v>LABEL ALL NEW PIPING PER SPECIFICATIONS SECTION 15600.</v>
      </c>
      <c r="D15" s="1989"/>
      <c r="E15" s="1989"/>
      <c r="F15" s="1989"/>
      <c r="G15" s="1989"/>
      <c r="H15" s="1989"/>
      <c r="I15" s="1989"/>
      <c r="J15" s="1990"/>
    </row>
    <row r="16" spans="1:11" x14ac:dyDescent="0.2">
      <c r="B16" s="2010" t="s">
        <v>1379</v>
      </c>
      <c r="C16" s="1998" t="s">
        <v>1389</v>
      </c>
      <c r="D16" s="1998"/>
      <c r="E16" s="1998"/>
      <c r="F16" s="1998"/>
      <c r="G16" s="1998"/>
      <c r="H16" s="1998"/>
      <c r="I16" s="1998"/>
      <c r="J16" s="1999"/>
    </row>
    <row r="17" spans="2:10" x14ac:dyDescent="0.2">
      <c r="B17" s="2010"/>
      <c r="C17" s="1998"/>
      <c r="D17" s="1998"/>
      <c r="E17" s="1998"/>
      <c r="F17" s="1998"/>
      <c r="G17" s="1998"/>
      <c r="H17" s="1998"/>
      <c r="I17" s="1998"/>
      <c r="J17" s="1999"/>
    </row>
    <row r="18" spans="2:10" x14ac:dyDescent="0.2">
      <c r="B18" s="2010"/>
      <c r="C18" s="1998"/>
      <c r="D18" s="1998"/>
      <c r="E18" s="1998"/>
      <c r="F18" s="1998"/>
      <c r="G18" s="1998"/>
      <c r="H18" s="1998"/>
      <c r="I18" s="1998"/>
      <c r="J18" s="1999"/>
    </row>
    <row r="19" spans="2:10" x14ac:dyDescent="0.2">
      <c r="B19" s="1515" t="s">
        <v>1380</v>
      </c>
      <c r="C19" s="2026" t="str">
        <f>IF(A6=0,"ISOLATION CHECK VALVES SHALL BE CONTRACTOR PROVIDED.","EXISTING PIPE SEGMENTS TO REMAIN UNLESS NOTED OTHERWISE.")</f>
        <v>EXISTING PIPE SEGMENTS TO REMAIN UNLESS NOTED OTHERWISE.</v>
      </c>
      <c r="D19" s="2026"/>
      <c r="E19" s="2026"/>
      <c r="F19" s="2026"/>
      <c r="G19" s="2026"/>
      <c r="H19" s="2026"/>
      <c r="I19" s="2026"/>
      <c r="J19" s="2027"/>
    </row>
    <row r="20" spans="2:10" x14ac:dyDescent="0.2">
      <c r="B20" s="2010" t="s">
        <v>1381</v>
      </c>
      <c r="C20" s="1998" t="str">
        <f>IF(A6=0,"ISOLATION CHECK VALVES SHALL HAVE INTERNAL CHECK VALVE FOR ALL LINES 1-1/8 IN AND SMALLER. DEVIATION FROM THIS DIRECTION REQUIRES WM MCM APPROVAL.","")</f>
        <v/>
      </c>
      <c r="D20" s="1998"/>
      <c r="E20" s="1998"/>
      <c r="F20" s="1998"/>
      <c r="G20" s="1998"/>
      <c r="H20" s="1998"/>
      <c r="I20" s="1998"/>
      <c r="J20" s="1999"/>
    </row>
    <row r="21" spans="2:10" x14ac:dyDescent="0.2">
      <c r="B21" s="2010"/>
      <c r="C21" s="1998"/>
      <c r="D21" s="1998"/>
      <c r="E21" s="1998"/>
      <c r="F21" s="1998"/>
      <c r="G21" s="1998"/>
      <c r="H21" s="1998"/>
      <c r="I21" s="1998"/>
      <c r="J21" s="1999"/>
    </row>
    <row r="22" spans="2:10" x14ac:dyDescent="0.2">
      <c r="B22" s="2004" t="s">
        <v>1382</v>
      </c>
      <c r="C22" s="2005"/>
      <c r="D22" s="2005"/>
      <c r="E22" s="2005"/>
      <c r="F22" s="2005"/>
      <c r="G22" s="2005"/>
      <c r="H22" s="2005"/>
      <c r="I22" s="2005"/>
      <c r="J22" s="2006"/>
    </row>
    <row r="23" spans="2:10" x14ac:dyDescent="0.2">
      <c r="B23" s="1516" t="s">
        <v>1390</v>
      </c>
      <c r="C23" s="2000" t="s">
        <v>1391</v>
      </c>
      <c r="D23" s="2000"/>
      <c r="E23" s="2000"/>
      <c r="F23" s="2000"/>
      <c r="G23" s="2000"/>
      <c r="H23" s="2000"/>
      <c r="I23" s="2000"/>
      <c r="J23" s="2001"/>
    </row>
    <row r="24" spans="2:10" ht="12.75" customHeight="1" x14ac:dyDescent="0.2">
      <c r="B24" s="2024" t="s">
        <v>1383</v>
      </c>
      <c r="C24" s="2015" t="s">
        <v>1685</v>
      </c>
      <c r="D24" s="2016"/>
      <c r="E24" s="2016"/>
      <c r="F24" s="2016"/>
      <c r="G24" s="2016"/>
      <c r="H24" s="2016"/>
      <c r="I24" s="2016"/>
      <c r="J24" s="2017"/>
    </row>
    <row r="25" spans="2:10" x14ac:dyDescent="0.2">
      <c r="B25" s="2025"/>
      <c r="C25" s="2018"/>
      <c r="D25" s="2019"/>
      <c r="E25" s="2019"/>
      <c r="F25" s="2019"/>
      <c r="G25" s="2019"/>
      <c r="H25" s="2019"/>
      <c r="I25" s="2019"/>
      <c r="J25" s="2020"/>
    </row>
    <row r="26" spans="2:10" x14ac:dyDescent="0.2">
      <c r="B26" s="1630" t="s">
        <v>1384</v>
      </c>
      <c r="C26" s="2021" t="s">
        <v>1684</v>
      </c>
      <c r="D26" s="2022"/>
      <c r="E26" s="2022"/>
      <c r="F26" s="2022"/>
      <c r="G26" s="2022"/>
      <c r="H26" s="2022"/>
      <c r="I26" s="2022"/>
      <c r="J26" s="2023"/>
    </row>
    <row r="27" spans="2:10" x14ac:dyDescent="0.2">
      <c r="B27" s="1542" t="s">
        <v>1385</v>
      </c>
      <c r="C27" s="2002" t="s">
        <v>1392</v>
      </c>
      <c r="D27" s="2002"/>
      <c r="E27" s="2002"/>
      <c r="F27" s="2002"/>
      <c r="G27" s="2002"/>
      <c r="H27" s="2002"/>
      <c r="I27" s="2002"/>
      <c r="J27" s="2003"/>
    </row>
    <row r="28" spans="2:10" x14ac:dyDescent="0.2">
      <c r="B28" s="1543" t="s">
        <v>1386</v>
      </c>
      <c r="C28" s="2015" t="s">
        <v>2206</v>
      </c>
      <c r="D28" s="2016"/>
      <c r="E28" s="2016"/>
      <c r="F28" s="2016"/>
      <c r="G28" s="2016"/>
      <c r="H28" s="2016"/>
      <c r="I28" s="2016"/>
      <c r="J28" s="2017"/>
    </row>
    <row r="29" spans="2:10" x14ac:dyDescent="0.2">
      <c r="B29" s="1541"/>
      <c r="C29" s="2018"/>
      <c r="D29" s="2019"/>
      <c r="E29" s="2019"/>
      <c r="F29" s="2019"/>
      <c r="G29" s="2019"/>
      <c r="H29" s="2019"/>
      <c r="I29" s="2019"/>
      <c r="J29" s="2020"/>
    </row>
    <row r="30" spans="2:10" x14ac:dyDescent="0.2">
      <c r="B30" s="1543" t="s">
        <v>1387</v>
      </c>
      <c r="C30" s="2015" t="s">
        <v>2207</v>
      </c>
      <c r="D30" s="2016"/>
      <c r="E30" s="2016"/>
      <c r="F30" s="2016"/>
      <c r="G30" s="2016"/>
      <c r="H30" s="2016"/>
      <c r="I30" s="2016"/>
      <c r="J30" s="2017"/>
    </row>
    <row r="31" spans="2:10" x14ac:dyDescent="0.2">
      <c r="B31" s="1544"/>
      <c r="C31" s="2018"/>
      <c r="D31" s="2019"/>
      <c r="E31" s="2019"/>
      <c r="F31" s="2019"/>
      <c r="G31" s="2019"/>
      <c r="H31" s="2019"/>
      <c r="I31" s="2019"/>
      <c r="J31" s="2020"/>
    </row>
    <row r="32" spans="2:10" x14ac:dyDescent="0.2">
      <c r="B32" s="1542" t="s">
        <v>1615</v>
      </c>
      <c r="C32" s="2011" t="s">
        <v>1613</v>
      </c>
      <c r="D32" s="2011"/>
      <c r="E32" s="2011"/>
      <c r="F32" s="2011"/>
      <c r="G32" s="2011"/>
      <c r="H32" s="2011"/>
      <c r="I32" s="2011"/>
      <c r="J32" s="2012"/>
    </row>
    <row r="33" spans="2:11" x14ac:dyDescent="0.2">
      <c r="B33" s="1542" t="s">
        <v>1616</v>
      </c>
      <c r="C33" s="2013" t="s">
        <v>1614</v>
      </c>
      <c r="D33" s="2013"/>
      <c r="E33" s="2013"/>
      <c r="F33" s="2013"/>
      <c r="G33" s="2013"/>
      <c r="H33" s="2013"/>
      <c r="I33" s="2013"/>
      <c r="J33" s="2014"/>
    </row>
    <row r="34" spans="2:11" x14ac:dyDescent="0.2">
      <c r="B34" s="1543" t="s">
        <v>1686</v>
      </c>
      <c r="C34" s="2015" t="s">
        <v>2208</v>
      </c>
      <c r="D34" s="2016"/>
      <c r="E34" s="2016"/>
      <c r="F34" s="2016"/>
      <c r="G34" s="2016"/>
      <c r="H34" s="2016"/>
      <c r="I34" s="2016"/>
      <c r="J34" s="2017"/>
    </row>
    <row r="35" spans="2:11" x14ac:dyDescent="0.2">
      <c r="B35" s="1541"/>
      <c r="C35" s="2018"/>
      <c r="D35" s="2019"/>
      <c r="E35" s="2019"/>
      <c r="F35" s="2019"/>
      <c r="G35" s="2019"/>
      <c r="H35" s="2019"/>
      <c r="I35" s="2019"/>
      <c r="J35" s="2020"/>
    </row>
    <row r="36" spans="2:11" ht="13.5" thickBot="1" x14ac:dyDescent="0.25">
      <c r="B36" s="2007"/>
      <c r="C36" s="2008"/>
      <c r="D36" s="2008"/>
      <c r="E36" s="2008"/>
      <c r="F36" s="2008"/>
      <c r="G36" s="2008"/>
      <c r="H36" s="2008"/>
      <c r="I36" s="2008"/>
      <c r="J36" s="2009"/>
    </row>
    <row r="37" spans="2:11" ht="13.5" thickTop="1" x14ac:dyDescent="0.2">
      <c r="B37" s="1991" t="s">
        <v>1393</v>
      </c>
      <c r="C37" s="1992"/>
      <c r="D37" s="1992"/>
      <c r="E37" s="1992"/>
      <c r="F37" s="1992"/>
      <c r="G37" s="1992"/>
      <c r="H37" s="1992"/>
      <c r="I37" s="1992"/>
      <c r="J37" s="1993"/>
    </row>
    <row r="38" spans="2:11" x14ac:dyDescent="0.2">
      <c r="B38" s="1994"/>
      <c r="C38" s="1992"/>
      <c r="D38" s="1992"/>
      <c r="E38" s="1992"/>
      <c r="F38" s="1992"/>
      <c r="G38" s="1992"/>
      <c r="H38" s="1992"/>
      <c r="I38" s="1992"/>
      <c r="J38" s="1993"/>
    </row>
    <row r="39" spans="2:11" ht="13.5" thickBot="1" x14ac:dyDescent="0.25">
      <c r="B39" s="1995"/>
      <c r="C39" s="1996"/>
      <c r="D39" s="1996"/>
      <c r="E39" s="1996"/>
      <c r="F39" s="1996"/>
      <c r="G39" s="1996"/>
      <c r="H39" s="1996"/>
      <c r="I39" s="1996"/>
      <c r="J39" s="1997"/>
    </row>
    <row r="40" spans="2:11" ht="13.5" thickTop="1" x14ac:dyDescent="0.2"/>
    <row r="41" spans="2:11" hidden="1" x14ac:dyDescent="0.2">
      <c r="B41" s="2010" t="s">
        <v>1377</v>
      </c>
      <c r="C41" s="1636"/>
      <c r="D41" s="1636"/>
      <c r="E41" s="2028" t="s">
        <v>1388</v>
      </c>
      <c r="F41" s="2028"/>
      <c r="G41" s="2028"/>
      <c r="H41" s="2028"/>
      <c r="I41" s="2028"/>
      <c r="J41" s="2086"/>
      <c r="K41" s="1435"/>
    </row>
    <row r="42" spans="2:11" hidden="1" x14ac:dyDescent="0.2">
      <c r="B42" s="2010"/>
      <c r="C42" s="1636"/>
      <c r="D42" s="1636"/>
      <c r="E42" s="2028"/>
      <c r="F42" s="2028"/>
      <c r="G42" s="2028"/>
      <c r="H42" s="2028"/>
      <c r="I42" s="2028"/>
      <c r="J42" s="2086"/>
      <c r="K42" s="1435"/>
    </row>
    <row r="43" spans="2:11" hidden="1" x14ac:dyDescent="0.2">
      <c r="B43" s="2010"/>
      <c r="C43" s="1636"/>
      <c r="D43" s="1636"/>
      <c r="E43" s="2028"/>
      <c r="F43" s="2028"/>
      <c r="G43" s="2028"/>
      <c r="H43" s="2028"/>
      <c r="I43" s="2028"/>
      <c r="J43" s="2086"/>
      <c r="K43" s="1435"/>
    </row>
    <row r="44" spans="2:11" hidden="1" x14ac:dyDescent="0.2">
      <c r="B44" s="1515" t="s">
        <v>1378</v>
      </c>
      <c r="C44" s="2185"/>
      <c r="D44" s="2185"/>
      <c r="E44" s="2087" t="s">
        <v>2204</v>
      </c>
      <c r="F44" s="1989"/>
      <c r="G44" s="1989"/>
      <c r="H44" s="1989"/>
      <c r="I44" s="1989"/>
      <c r="J44" s="2088"/>
      <c r="K44" s="1435"/>
    </row>
    <row r="45" spans="2:11" hidden="1" x14ac:dyDescent="0.2">
      <c r="B45" s="2083" t="s">
        <v>1382</v>
      </c>
      <c r="C45" s="2084"/>
      <c r="D45" s="2084"/>
      <c r="E45" s="2084"/>
      <c r="F45" s="2084"/>
      <c r="G45" s="2084"/>
      <c r="H45" s="2084"/>
      <c r="I45" s="2084"/>
      <c r="J45" s="2085"/>
      <c r="K45" s="1435"/>
    </row>
    <row r="46" spans="2:11" hidden="1" x14ac:dyDescent="0.2">
      <c r="B46" s="1516" t="s">
        <v>1390</v>
      </c>
      <c r="C46" s="1653"/>
      <c r="D46" s="1653"/>
      <c r="E46" s="2000" t="s">
        <v>1391</v>
      </c>
      <c r="F46" s="2000"/>
      <c r="G46" s="2000"/>
      <c r="H46" s="2000"/>
      <c r="I46" s="2000"/>
      <c r="J46" s="2089"/>
      <c r="K46" s="1435"/>
    </row>
    <row r="47" spans="2:11" hidden="1" x14ac:dyDescent="0.2">
      <c r="B47" s="2024" t="s">
        <v>1383</v>
      </c>
      <c r="C47" s="1648"/>
      <c r="D47" s="2181"/>
      <c r="E47" s="2015" t="s">
        <v>1685</v>
      </c>
      <c r="F47" s="2016"/>
      <c r="G47" s="2016"/>
      <c r="H47" s="2016"/>
      <c r="I47" s="2016"/>
      <c r="J47" s="2016"/>
      <c r="K47" s="1435"/>
    </row>
    <row r="48" spans="2:11" hidden="1" x14ac:dyDescent="0.2">
      <c r="B48" s="2025"/>
      <c r="C48" s="2182"/>
      <c r="D48" s="2183"/>
      <c r="E48" s="2018"/>
      <c r="F48" s="2019"/>
      <c r="G48" s="2019"/>
      <c r="H48" s="2019"/>
      <c r="I48" s="2019"/>
      <c r="J48" s="2019"/>
      <c r="K48" s="1435"/>
    </row>
    <row r="49" spans="2:11" hidden="1" x14ac:dyDescent="0.2">
      <c r="B49" s="1630" t="s">
        <v>1384</v>
      </c>
      <c r="C49" s="1637"/>
      <c r="D49" s="1635"/>
      <c r="E49" s="2021" t="s">
        <v>1684</v>
      </c>
      <c r="F49" s="2022"/>
      <c r="G49" s="2022"/>
      <c r="H49" s="2022"/>
      <c r="I49" s="2022"/>
      <c r="J49" s="2022"/>
      <c r="K49" s="1435"/>
    </row>
    <row r="50" spans="2:11" hidden="1" x14ac:dyDescent="0.2">
      <c r="B50" s="1542" t="s">
        <v>1385</v>
      </c>
      <c r="C50" s="2184"/>
      <c r="D50" s="2184"/>
      <c r="E50" s="2002" t="s">
        <v>1392</v>
      </c>
      <c r="F50" s="2002"/>
      <c r="G50" s="2002"/>
      <c r="H50" s="2002"/>
      <c r="I50" s="2002"/>
      <c r="J50" s="2095"/>
      <c r="K50" s="1435"/>
    </row>
    <row r="51" spans="2:11" hidden="1" x14ac:dyDescent="0.2">
      <c r="B51" s="1543" t="s">
        <v>1386</v>
      </c>
      <c r="C51" s="2168"/>
      <c r="D51" s="2169"/>
      <c r="E51" s="2015" t="s">
        <v>2206</v>
      </c>
      <c r="F51" s="2016"/>
      <c r="G51" s="2016"/>
      <c r="H51" s="2016"/>
      <c r="I51" s="2016"/>
      <c r="J51" s="2017"/>
      <c r="K51" s="1435"/>
    </row>
    <row r="52" spans="2:11" hidden="1" x14ac:dyDescent="0.2">
      <c r="B52" s="1541"/>
      <c r="C52" s="2170"/>
      <c r="D52" s="2171"/>
      <c r="E52" s="2018"/>
      <c r="F52" s="2019"/>
      <c r="G52" s="2019"/>
      <c r="H52" s="2019"/>
      <c r="I52" s="2019"/>
      <c r="J52" s="2020"/>
      <c r="K52" s="1435"/>
    </row>
    <row r="53" spans="2:11" hidden="1" x14ac:dyDescent="0.2">
      <c r="B53" s="1543" t="s">
        <v>1387</v>
      </c>
      <c r="C53" s="2168"/>
      <c r="D53" s="2169"/>
      <c r="E53" s="2015" t="s">
        <v>2207</v>
      </c>
      <c r="F53" s="2016"/>
      <c r="G53" s="2016"/>
      <c r="H53" s="2016"/>
      <c r="I53" s="2016"/>
      <c r="J53" s="2017"/>
      <c r="K53" s="1435"/>
    </row>
    <row r="54" spans="2:11" hidden="1" x14ac:dyDescent="0.2">
      <c r="B54" s="1544"/>
      <c r="C54" s="2172"/>
      <c r="D54" s="2171"/>
      <c r="E54" s="2018"/>
      <c r="F54" s="2019"/>
      <c r="G54" s="2019"/>
      <c r="H54" s="2019"/>
      <c r="I54" s="2019"/>
      <c r="J54" s="2020"/>
      <c r="K54" s="1435"/>
    </row>
    <row r="55" spans="2:11" hidden="1" x14ac:dyDescent="0.2">
      <c r="B55" s="1542" t="s">
        <v>1615</v>
      </c>
      <c r="C55" s="2180"/>
      <c r="D55" s="2180"/>
      <c r="E55" s="2186" t="s">
        <v>1613</v>
      </c>
      <c r="F55" s="2011"/>
      <c r="G55" s="2011"/>
      <c r="H55" s="2011"/>
      <c r="I55" s="2011"/>
      <c r="J55" s="2012"/>
      <c r="K55" s="1435"/>
    </row>
    <row r="56" spans="2:11" hidden="1" x14ac:dyDescent="0.2">
      <c r="B56" s="1542" t="s">
        <v>1616</v>
      </c>
      <c r="C56" s="2173"/>
      <c r="D56" s="2173"/>
      <c r="E56" s="2187" t="s">
        <v>1614</v>
      </c>
      <c r="F56" s="2013"/>
      <c r="G56" s="2013"/>
      <c r="H56" s="2013"/>
      <c r="I56" s="2013"/>
      <c r="J56" s="2014"/>
      <c r="K56" s="1435"/>
    </row>
    <row r="57" spans="2:11" hidden="1" x14ac:dyDescent="0.2">
      <c r="B57" s="1543" t="s">
        <v>1686</v>
      </c>
      <c r="C57" s="2173"/>
      <c r="D57" s="2173"/>
      <c r="E57" s="2015" t="s">
        <v>2208</v>
      </c>
      <c r="F57" s="2016"/>
      <c r="G57" s="2016"/>
      <c r="H57" s="2016"/>
      <c r="I57" s="2016"/>
      <c r="J57" s="2017"/>
      <c r="K57" s="1435"/>
    </row>
    <row r="58" spans="2:11" hidden="1" x14ac:dyDescent="0.2">
      <c r="B58" s="1541"/>
      <c r="C58" s="2174"/>
      <c r="D58" s="2174"/>
      <c r="E58" s="2018"/>
      <c r="F58" s="2019"/>
      <c r="G58" s="2019"/>
      <c r="H58" s="2019"/>
      <c r="I58" s="2019"/>
      <c r="J58" s="2020"/>
      <c r="K58" s="1435"/>
    </row>
    <row r="59" spans="2:11" ht="13.5" hidden="1" thickBot="1" x14ac:dyDescent="0.25">
      <c r="B59" s="2007"/>
      <c r="C59" s="2008"/>
      <c r="D59" s="2008"/>
      <c r="E59" s="2008"/>
      <c r="F59" s="2008"/>
      <c r="G59" s="2008"/>
      <c r="H59" s="2008"/>
      <c r="I59" s="2008"/>
      <c r="J59" s="2008"/>
      <c r="K59" s="1435"/>
    </row>
  </sheetData>
  <mergeCells count="39">
    <mergeCell ref="C28:J29"/>
    <mergeCell ref="C30:J31"/>
    <mergeCell ref="C34:J35"/>
    <mergeCell ref="B45:J45"/>
    <mergeCell ref="E51:J52"/>
    <mergeCell ref="E53:J54"/>
    <mergeCell ref="E57:J58"/>
    <mergeCell ref="E41:J43"/>
    <mergeCell ref="E44:J44"/>
    <mergeCell ref="E46:J46"/>
    <mergeCell ref="E47:J48"/>
    <mergeCell ref="E49:J49"/>
    <mergeCell ref="E50:J50"/>
    <mergeCell ref="B59:J59"/>
    <mergeCell ref="E55:J55"/>
    <mergeCell ref="E56:J56"/>
    <mergeCell ref="B47:B48"/>
    <mergeCell ref="B41:B43"/>
    <mergeCell ref="C26:J26"/>
    <mergeCell ref="B24:B25"/>
    <mergeCell ref="C16:J18"/>
    <mergeCell ref="C19:J19"/>
    <mergeCell ref="B12:B14"/>
    <mergeCell ref="B16:B18"/>
    <mergeCell ref="C12:J14"/>
    <mergeCell ref="B37:J39"/>
    <mergeCell ref="C20:J21"/>
    <mergeCell ref="C23:J23"/>
    <mergeCell ref="C27:J27"/>
    <mergeCell ref="B22:J22"/>
    <mergeCell ref="B36:J36"/>
    <mergeCell ref="B20:B21"/>
    <mergeCell ref="C32:J32"/>
    <mergeCell ref="C33:J33"/>
    <mergeCell ref="C24:J25"/>
    <mergeCell ref="B3:J3"/>
    <mergeCell ref="B11:J11"/>
    <mergeCell ref="B10:C10"/>
    <mergeCell ref="C15:J15"/>
  </mergeCells>
  <phoneticPr fontId="50" type="noConversion"/>
  <conditionalFormatting sqref="E7:F9">
    <cfRule type="expression" dxfId="389" priority="1" stopIfTrue="1">
      <formula>$A$3&gt;0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156676" r:id="rId4" name="ValveStations">
          <controlPr defaultSize="0" autoLine="0" r:id="rId5">
            <anchor moveWithCells="1">
              <from>
                <xdr:col>10</xdr:col>
                <xdr:colOff>161925</xdr:colOff>
                <xdr:row>2</xdr:row>
                <xdr:rowOff>9525</xdr:rowOff>
              </from>
              <to>
                <xdr:col>12</xdr:col>
                <xdr:colOff>57150</xdr:colOff>
                <xdr:row>4</xdr:row>
                <xdr:rowOff>152400</xdr:rowOff>
              </to>
            </anchor>
          </controlPr>
        </control>
      </mc:Choice>
      <mc:Fallback>
        <control shapeId="156676" r:id="rId4" name="ValveStations"/>
      </mc:Fallback>
    </mc:AlternateContent>
    <mc:AlternateContent xmlns:mc="http://schemas.openxmlformats.org/markup-compatibility/2006">
      <mc:Choice Requires="x14">
        <control shapeId="156675" r:id="rId6" name="PipingScheduleUVButton">
          <controlPr defaultSize="0" print="0" autoLine="0" r:id="rId7">
            <anchor moveWithCells="1">
              <from>
                <xdr:col>0</xdr:col>
                <xdr:colOff>47625</xdr:colOff>
                <xdr:row>2</xdr:row>
                <xdr:rowOff>0</xdr:rowOff>
              </from>
              <to>
                <xdr:col>0</xdr:col>
                <xdr:colOff>1162050</xdr:colOff>
                <xdr:row>4</xdr:row>
                <xdr:rowOff>142875</xdr:rowOff>
              </to>
            </anchor>
          </controlPr>
        </control>
      </mc:Choice>
      <mc:Fallback>
        <control shapeId="156675" r:id="rId6" name="PipingScheduleUVButton"/>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A71DBC-CE4E-45C7-B808-3C4994BD65DB}">
  <sheetPr codeName="Sheet34"/>
  <dimension ref="B2:Y35"/>
  <sheetViews>
    <sheetView workbookViewId="0">
      <selection activeCell="D37" sqref="D37"/>
    </sheetView>
  </sheetViews>
  <sheetFormatPr defaultRowHeight="12.75" x14ac:dyDescent="0.2"/>
  <cols>
    <col min="1" max="1" width="3.7109375" style="25" customWidth="1"/>
    <col min="2" max="5" width="12.7109375" style="25" customWidth="1"/>
    <col min="6" max="6" width="16.140625" style="25" bestFit="1" customWidth="1"/>
    <col min="7" max="7" width="12.7109375" style="25" customWidth="1"/>
    <col min="8" max="8" width="16.42578125" style="25" bestFit="1" customWidth="1"/>
    <col min="9" max="9" width="12.7109375" style="25" customWidth="1"/>
    <col min="10" max="11" width="9.140625" style="25"/>
    <col min="12" max="12" width="7" style="25" hidden="1" customWidth="1"/>
    <col min="13" max="14" width="9.140625" style="25" hidden="1" customWidth="1"/>
    <col min="15" max="16384" width="9.140625" style="25"/>
  </cols>
  <sheetData>
    <row r="2" spans="2:14" ht="12.75" customHeight="1" x14ac:dyDescent="0.2">
      <c r="C2" s="448"/>
      <c r="D2" s="2030" t="str">
        <f>IF(LineSizeData!C6=1,"This sheet is not working because the LineSizeData sheet is in configuration mode.  Please go the the LineSizeData sheet and click ""Show Calculations"".","")</f>
        <v>This sheet is not working because the LineSizeData sheet is in configuration mode.  Please go the the LineSizeData sheet and click "Show Calculations".</v>
      </c>
      <c r="E2" s="2030"/>
      <c r="F2" s="2030"/>
      <c r="G2" s="2030"/>
      <c r="M2" s="319"/>
      <c r="N2" s="319"/>
    </row>
    <row r="3" spans="2:14" ht="12.75" customHeight="1" x14ac:dyDescent="0.2">
      <c r="B3" s="448"/>
      <c r="C3" s="448"/>
      <c r="D3" s="2030"/>
      <c r="E3" s="2030"/>
      <c r="F3" s="2030"/>
      <c r="G3" s="2030"/>
      <c r="H3" s="448"/>
      <c r="I3" s="448"/>
      <c r="J3" s="448"/>
      <c r="M3" s="319"/>
      <c r="N3" s="319"/>
    </row>
    <row r="4" spans="2:14" x14ac:dyDescent="0.2">
      <c r="B4" s="448"/>
      <c r="C4" s="448"/>
      <c r="D4" s="2030"/>
      <c r="E4" s="2030"/>
      <c r="F4" s="2030"/>
      <c r="G4" s="2030"/>
      <c r="L4" s="319"/>
      <c r="M4" s="319"/>
      <c r="N4" s="319"/>
    </row>
    <row r="5" spans="2:14" ht="13.5" thickBot="1" x14ac:dyDescent="0.25">
      <c r="C5" s="319"/>
      <c r="D5" s="319"/>
      <c r="E5" s="319"/>
      <c r="L5" s="319"/>
      <c r="M5" s="319"/>
      <c r="N5" s="319"/>
    </row>
    <row r="6" spans="2:14" ht="19.5" thickTop="1" thickBot="1" x14ac:dyDescent="0.3">
      <c r="B6" s="648" t="s">
        <v>190</v>
      </c>
      <c r="C6" s="649"/>
      <c r="D6" s="650"/>
      <c r="E6" s="650"/>
      <c r="F6" s="651" t="s">
        <v>936</v>
      </c>
      <c r="G6" s="652"/>
      <c r="H6" s="652"/>
      <c r="I6" s="653"/>
    </row>
    <row r="7" spans="2:14" x14ac:dyDescent="0.2">
      <c r="B7" s="654" t="s">
        <v>184</v>
      </c>
      <c r="C7" s="655" t="s">
        <v>185</v>
      </c>
      <c r="D7" s="655" t="s">
        <v>182</v>
      </c>
      <c r="E7" s="656" t="s">
        <v>186</v>
      </c>
      <c r="F7" s="657" t="s">
        <v>937</v>
      </c>
      <c r="G7" s="658"/>
      <c r="H7" s="657" t="s">
        <v>938</v>
      </c>
      <c r="I7" s="659"/>
      <c r="L7" s="320" t="s">
        <v>446</v>
      </c>
      <c r="M7" s="320"/>
      <c r="N7" s="320"/>
    </row>
    <row r="8" spans="2:14" ht="13.5" thickBot="1" x14ac:dyDescent="0.25">
      <c r="B8" s="660" t="s">
        <v>187</v>
      </c>
      <c r="C8" s="661" t="s">
        <v>563</v>
      </c>
      <c r="D8" s="662" t="s">
        <v>188</v>
      </c>
      <c r="E8" s="663" t="s">
        <v>189</v>
      </c>
      <c r="F8" s="664" t="s">
        <v>939</v>
      </c>
      <c r="G8" s="665" t="s">
        <v>127</v>
      </c>
      <c r="H8" s="664" t="s">
        <v>939</v>
      </c>
      <c r="I8" s="666" t="s">
        <v>127</v>
      </c>
      <c r="L8" s="322" t="s">
        <v>450</v>
      </c>
      <c r="M8" s="322" t="s">
        <v>443</v>
      </c>
      <c r="N8" s="322" t="s">
        <v>446</v>
      </c>
    </row>
    <row r="9" spans="2:14" x14ac:dyDescent="0.2">
      <c r="B9" s="675">
        <v>0.375</v>
      </c>
      <c r="C9" s="676" t="s">
        <v>576</v>
      </c>
      <c r="D9" s="677">
        <f>LineSizeData!CR116</f>
        <v>0</v>
      </c>
      <c r="E9" s="678">
        <f t="shared" ref="E9:E20" si="0">559*D9*(PI()/4)*(M9^2-N9^2)/144</f>
        <v>0</v>
      </c>
      <c r="F9" s="643">
        <v>2.27</v>
      </c>
      <c r="G9" s="689">
        <f>D9*F9</f>
        <v>0</v>
      </c>
      <c r="H9" s="644">
        <v>9.35</v>
      </c>
      <c r="I9" s="693">
        <f>D9*H9</f>
        <v>0</v>
      </c>
      <c r="L9" s="320">
        <v>0.315</v>
      </c>
      <c r="M9" s="320">
        <v>0.375</v>
      </c>
      <c r="N9" s="320">
        <v>0.315</v>
      </c>
    </row>
    <row r="10" spans="2:14" x14ac:dyDescent="0.2">
      <c r="B10" s="679">
        <v>0.5</v>
      </c>
      <c r="C10" s="680" t="s">
        <v>576</v>
      </c>
      <c r="D10" s="681">
        <f>LineSizeData!CS116</f>
        <v>0</v>
      </c>
      <c r="E10" s="682">
        <f t="shared" si="0"/>
        <v>0</v>
      </c>
      <c r="F10" s="644">
        <v>3.6</v>
      </c>
      <c r="G10" s="690">
        <f t="shared" ref="G10:G20" si="1">D10*F10</f>
        <v>0</v>
      </c>
      <c r="H10" s="644">
        <v>9.4</v>
      </c>
      <c r="I10" s="694">
        <f t="shared" ref="I10:I20" si="2">D10*H10</f>
        <v>0</v>
      </c>
      <c r="L10" s="320">
        <v>0.43</v>
      </c>
      <c r="M10" s="320">
        <v>0.5</v>
      </c>
      <c r="N10" s="323">
        <v>0.43</v>
      </c>
    </row>
    <row r="11" spans="2:14" x14ac:dyDescent="0.2">
      <c r="B11" s="679">
        <v>0.625</v>
      </c>
      <c r="C11" s="680" t="s">
        <v>576</v>
      </c>
      <c r="D11" s="681">
        <f>LineSizeData!CT116</f>
        <v>0</v>
      </c>
      <c r="E11" s="682">
        <f t="shared" si="0"/>
        <v>0</v>
      </c>
      <c r="F11" s="644">
        <v>4.38</v>
      </c>
      <c r="G11" s="690">
        <f t="shared" si="1"/>
        <v>0</v>
      </c>
      <c r="H11" s="644">
        <v>11.18</v>
      </c>
      <c r="I11" s="694">
        <f t="shared" si="2"/>
        <v>0</v>
      </c>
      <c r="L11" s="320">
        <v>0.54500000000000004</v>
      </c>
      <c r="M11" s="320">
        <v>0.625</v>
      </c>
      <c r="N11" s="320">
        <v>0.54500000000000004</v>
      </c>
    </row>
    <row r="12" spans="2:14" x14ac:dyDescent="0.2">
      <c r="B12" s="679">
        <v>0.875</v>
      </c>
      <c r="C12" s="680" t="s">
        <v>576</v>
      </c>
      <c r="D12" s="681">
        <f>LineSizeData!CU116</f>
        <v>0</v>
      </c>
      <c r="E12" s="682">
        <f t="shared" si="0"/>
        <v>0</v>
      </c>
      <c r="F12" s="644">
        <v>6.84</v>
      </c>
      <c r="G12" s="690">
        <f t="shared" si="1"/>
        <v>0</v>
      </c>
      <c r="H12" s="644">
        <v>11.8</v>
      </c>
      <c r="I12" s="694">
        <f t="shared" si="2"/>
        <v>0</v>
      </c>
      <c r="L12" s="320">
        <v>0.78500000000000003</v>
      </c>
      <c r="M12" s="320">
        <v>0.875</v>
      </c>
      <c r="N12" s="320">
        <v>0.78500000000000003</v>
      </c>
    </row>
    <row r="13" spans="2:14" x14ac:dyDescent="0.2">
      <c r="B13" s="679">
        <v>1.125</v>
      </c>
      <c r="C13" s="680" t="s">
        <v>576</v>
      </c>
      <c r="D13" s="681">
        <f>LineSizeData!CV116</f>
        <v>0</v>
      </c>
      <c r="E13" s="682">
        <f t="shared" si="0"/>
        <v>0</v>
      </c>
      <c r="F13" s="644">
        <v>9.93</v>
      </c>
      <c r="G13" s="690">
        <f t="shared" si="1"/>
        <v>0</v>
      </c>
      <c r="H13" s="644">
        <v>12.17</v>
      </c>
      <c r="I13" s="694">
        <f t="shared" si="2"/>
        <v>0</v>
      </c>
      <c r="L13" s="320">
        <v>1.0249999999999999</v>
      </c>
      <c r="M13" s="323">
        <v>1.125</v>
      </c>
      <c r="N13" s="320">
        <v>1.0249999999999999</v>
      </c>
    </row>
    <row r="14" spans="2:14" x14ac:dyDescent="0.2">
      <c r="B14" s="679">
        <v>1.375</v>
      </c>
      <c r="C14" s="680" t="s">
        <v>576</v>
      </c>
      <c r="D14" s="681">
        <f>LineSizeData!CW116</f>
        <v>0</v>
      </c>
      <c r="E14" s="682">
        <f t="shared" si="0"/>
        <v>0</v>
      </c>
      <c r="F14" s="644">
        <v>13.29</v>
      </c>
      <c r="G14" s="690">
        <f t="shared" si="1"/>
        <v>0</v>
      </c>
      <c r="H14" s="644">
        <v>12.73</v>
      </c>
      <c r="I14" s="694">
        <f t="shared" si="2"/>
        <v>0</v>
      </c>
      <c r="L14" s="320">
        <v>1.2649999999999999</v>
      </c>
      <c r="M14" s="320">
        <v>1.375</v>
      </c>
      <c r="N14" s="320">
        <v>1.2649999999999999</v>
      </c>
    </row>
    <row r="15" spans="2:14" x14ac:dyDescent="0.2">
      <c r="B15" s="679">
        <v>1.625</v>
      </c>
      <c r="C15" s="680" t="s">
        <v>576</v>
      </c>
      <c r="D15" s="681">
        <f>LineSizeData!CX116</f>
        <v>0</v>
      </c>
      <c r="E15" s="682">
        <f t="shared" si="0"/>
        <v>0</v>
      </c>
      <c r="F15" s="645">
        <v>17.05</v>
      </c>
      <c r="G15" s="690">
        <f t="shared" si="1"/>
        <v>0</v>
      </c>
      <c r="H15" s="645">
        <v>13.22</v>
      </c>
      <c r="I15" s="694">
        <f t="shared" si="2"/>
        <v>0</v>
      </c>
      <c r="L15" s="320">
        <v>1.5049999999999999</v>
      </c>
      <c r="M15" s="320">
        <v>1.625</v>
      </c>
      <c r="N15" s="320">
        <v>1.5049999999999999</v>
      </c>
    </row>
    <row r="16" spans="2:14" x14ac:dyDescent="0.2">
      <c r="B16" s="679">
        <v>2.125</v>
      </c>
      <c r="C16" s="680" t="s">
        <v>429</v>
      </c>
      <c r="D16" s="681">
        <f>LineSizeData!CY116</f>
        <v>0</v>
      </c>
      <c r="E16" s="682">
        <f t="shared" si="0"/>
        <v>0</v>
      </c>
      <c r="F16" s="645">
        <v>27.03</v>
      </c>
      <c r="G16" s="690">
        <f t="shared" si="1"/>
        <v>0</v>
      </c>
      <c r="H16" s="645">
        <v>14.61</v>
      </c>
      <c r="I16" s="694">
        <f t="shared" si="2"/>
        <v>0</v>
      </c>
      <c r="L16" s="320">
        <v>1.9590000000000001</v>
      </c>
      <c r="M16" s="320">
        <v>2.125</v>
      </c>
      <c r="N16" s="320">
        <v>1.9590000000000001</v>
      </c>
    </row>
    <row r="17" spans="2:25" x14ac:dyDescent="0.2">
      <c r="B17" s="679">
        <v>2.625</v>
      </c>
      <c r="C17" s="680" t="s">
        <v>429</v>
      </c>
      <c r="D17" s="681">
        <f>LineSizeData!CZ116</f>
        <v>0</v>
      </c>
      <c r="E17" s="682">
        <f t="shared" si="0"/>
        <v>0</v>
      </c>
      <c r="F17" s="645">
        <v>40.270000000000003</v>
      </c>
      <c r="G17" s="690">
        <f t="shared" si="1"/>
        <v>0</v>
      </c>
      <c r="H17" s="645">
        <v>16.02</v>
      </c>
      <c r="I17" s="694">
        <f t="shared" si="2"/>
        <v>0</v>
      </c>
      <c r="L17" s="320">
        <v>2.4350000000000001</v>
      </c>
      <c r="M17" s="320">
        <v>2.625</v>
      </c>
      <c r="N17" s="320">
        <v>2.4350000000000001</v>
      </c>
    </row>
    <row r="18" spans="2:25" x14ac:dyDescent="0.2">
      <c r="B18" s="679">
        <v>3.125</v>
      </c>
      <c r="C18" s="680" t="s">
        <v>429</v>
      </c>
      <c r="D18" s="681">
        <f>LineSizeData!DA116</f>
        <v>0</v>
      </c>
      <c r="E18" s="682">
        <f t="shared" si="0"/>
        <v>0</v>
      </c>
      <c r="F18" s="645">
        <v>54.06</v>
      </c>
      <c r="G18" s="690">
        <f t="shared" si="1"/>
        <v>0</v>
      </c>
      <c r="H18" s="645">
        <v>16.02</v>
      </c>
      <c r="I18" s="694">
        <f t="shared" si="2"/>
        <v>0</v>
      </c>
      <c r="L18" s="320">
        <v>2.907</v>
      </c>
      <c r="M18" s="320">
        <v>3.125</v>
      </c>
      <c r="N18" s="320">
        <v>2.907</v>
      </c>
    </row>
    <row r="19" spans="2:25" x14ac:dyDescent="0.2">
      <c r="B19" s="679">
        <v>3.625</v>
      </c>
      <c r="C19" s="680" t="s">
        <v>429</v>
      </c>
      <c r="D19" s="681">
        <f>LineSizeData!DB116</f>
        <v>0</v>
      </c>
      <c r="E19" s="682">
        <f t="shared" si="0"/>
        <v>0</v>
      </c>
      <c r="F19" s="645">
        <v>70.61</v>
      </c>
      <c r="G19" s="690">
        <f t="shared" si="1"/>
        <v>0</v>
      </c>
      <c r="H19" s="645">
        <v>16.02</v>
      </c>
      <c r="I19" s="694">
        <f t="shared" si="2"/>
        <v>0</v>
      </c>
      <c r="L19" s="320">
        <v>3.3849999999999998</v>
      </c>
      <c r="M19" s="320">
        <v>3.625</v>
      </c>
      <c r="N19" s="320">
        <v>3.3849999999999998</v>
      </c>
    </row>
    <row r="20" spans="2:25" ht="13.5" thickBot="1" x14ac:dyDescent="0.25">
      <c r="B20" s="683">
        <v>4.125</v>
      </c>
      <c r="C20" s="684" t="s">
        <v>429</v>
      </c>
      <c r="D20" s="685">
        <f>LineSizeData!DC116</f>
        <v>0</v>
      </c>
      <c r="E20" s="686">
        <f t="shared" si="0"/>
        <v>0</v>
      </c>
      <c r="F20" s="646">
        <v>89.37</v>
      </c>
      <c r="G20" s="691">
        <f t="shared" si="1"/>
        <v>0</v>
      </c>
      <c r="H20" s="646">
        <v>16.02</v>
      </c>
      <c r="I20" s="695">
        <f t="shared" si="2"/>
        <v>0</v>
      </c>
      <c r="L20" s="320">
        <v>3.8570000000000002</v>
      </c>
      <c r="M20" s="320">
        <v>4.125</v>
      </c>
      <c r="N20" s="324">
        <v>3.8570000000000002</v>
      </c>
    </row>
    <row r="21" spans="2:25" ht="13.5" thickBot="1" x14ac:dyDescent="0.25">
      <c r="B21" s="500"/>
      <c r="C21" s="699" t="s">
        <v>183</v>
      </c>
      <c r="D21" s="687">
        <f>SUM(D9:D20)</f>
        <v>0</v>
      </c>
      <c r="E21" s="688">
        <f>SUM(E9:E20)</f>
        <v>0</v>
      </c>
      <c r="F21" s="501"/>
      <c r="G21" s="692">
        <f>SUM(G9:G20)</f>
        <v>0</v>
      </c>
      <c r="H21" s="501"/>
      <c r="I21" s="696">
        <f>SUM(I9:I20)</f>
        <v>0</v>
      </c>
      <c r="L21" s="320"/>
      <c r="M21" s="320"/>
      <c r="N21" s="324"/>
    </row>
    <row r="22" spans="2:25" x14ac:dyDescent="0.2">
      <c r="B22" s="498"/>
      <c r="I22" s="495"/>
      <c r="L22" s="213"/>
      <c r="N22" s="325"/>
    </row>
    <row r="23" spans="2:25" ht="13.5" thickBot="1" x14ac:dyDescent="0.25">
      <c r="B23" s="498"/>
      <c r="C23" s="308"/>
      <c r="I23" s="495"/>
    </row>
    <row r="24" spans="2:25" ht="18" x14ac:dyDescent="0.2">
      <c r="B24" s="498"/>
      <c r="C24" s="667" t="s">
        <v>195</v>
      </c>
      <c r="D24" s="668"/>
      <c r="E24" s="668"/>
      <c r="F24" s="669"/>
      <c r="G24" s="670" t="s">
        <v>835</v>
      </c>
      <c r="H24" s="670" t="s">
        <v>940</v>
      </c>
      <c r="I24" s="495"/>
    </row>
    <row r="25" spans="2:25" ht="26.25" thickBot="1" x14ac:dyDescent="0.25">
      <c r="B25" s="498"/>
      <c r="C25" s="671" t="s">
        <v>196</v>
      </c>
      <c r="D25" s="672"/>
      <c r="E25" s="672"/>
      <c r="F25" s="673"/>
      <c r="G25" s="674" t="s">
        <v>941</v>
      </c>
      <c r="H25" s="674" t="s">
        <v>942</v>
      </c>
      <c r="I25" s="495"/>
    </row>
    <row r="26" spans="2:25" ht="18.75" thickBot="1" x14ac:dyDescent="0.3">
      <c r="B26" s="498"/>
      <c r="C26" s="700">
        <f>LineSizeData!CD153</f>
        <v>0</v>
      </c>
      <c r="D26" s="701"/>
      <c r="E26" s="702"/>
      <c r="F26" s="703"/>
      <c r="G26" s="647">
        <v>8</v>
      </c>
      <c r="H26" s="692">
        <f>C26*G26</f>
        <v>0</v>
      </c>
      <c r="I26" s="495"/>
      <c r="M26" s="304"/>
    </row>
    <row r="27" spans="2:25" ht="13.5" thickBot="1" x14ac:dyDescent="0.25">
      <c r="B27" s="498"/>
      <c r="C27" s="308"/>
      <c r="I27" s="495"/>
    </row>
    <row r="28" spans="2:25" ht="16.5" customHeight="1" thickBot="1" x14ac:dyDescent="0.25">
      <c r="B28" s="498"/>
      <c r="G28" s="698" t="s">
        <v>943</v>
      </c>
      <c r="H28" s="697">
        <f>H26+I21+G21</f>
        <v>0</v>
      </c>
      <c r="I28" s="495"/>
    </row>
    <row r="29" spans="2:25" ht="13.5" thickBot="1" x14ac:dyDescent="0.25">
      <c r="B29" s="499"/>
      <c r="C29" s="496"/>
      <c r="D29" s="496"/>
      <c r="E29" s="496"/>
      <c r="F29" s="496"/>
      <c r="G29" s="496"/>
      <c r="H29" s="496"/>
      <c r="I29" s="497"/>
    </row>
    <row r="30" spans="2:25" ht="13.5" thickTop="1" x14ac:dyDescent="0.2">
      <c r="B30" s="308"/>
      <c r="X30" s="234"/>
      <c r="Y30" s="234"/>
    </row>
    <row r="31" spans="2:25" x14ac:dyDescent="0.2">
      <c r="B31" s="308"/>
    </row>
    <row r="32" spans="2:25" x14ac:dyDescent="0.2">
      <c r="B32" s="308"/>
    </row>
    <row r="33" spans="2:2" x14ac:dyDescent="0.2">
      <c r="B33" s="308"/>
    </row>
    <row r="34" spans="2:2" x14ac:dyDescent="0.2">
      <c r="B34" s="308"/>
    </row>
    <row r="35" spans="2:2" x14ac:dyDescent="0.2">
      <c r="B35" s="308"/>
    </row>
  </sheetData>
  <sheetProtection sheet="1" objects="1" scenarios="1"/>
  <mergeCells count="1">
    <mergeCell ref="D2:G4"/>
  </mergeCells>
  <phoneticPr fontId="50" type="noConversion"/>
  <pageMargins left="0.7" right="0.7" top="0.75" bottom="0.75" header="0.3" footer="0.3"/>
  <pageSetup orientation="portrait" r:id="rId1"/>
  <drawing r:id="rId2"/>
  <legacyDrawing r:id="rId3"/>
  <controls>
    <mc:AlternateContent xmlns:mc="http://schemas.openxmlformats.org/markup-compatibility/2006">
      <mc:Choice Requires="x14">
        <control shapeId="155650" r:id="rId4" name="PipingTotalsX2AButton">
          <controlPr defaultSize="0" print="0" autoLine="0" r:id="rId5">
            <anchor moveWithCells="1">
              <from>
                <xdr:col>1</xdr:col>
                <xdr:colOff>152400</xdr:colOff>
                <xdr:row>0</xdr:row>
                <xdr:rowOff>95250</xdr:rowOff>
              </from>
              <to>
                <xdr:col>2</xdr:col>
                <xdr:colOff>419100</xdr:colOff>
                <xdr:row>4</xdr:row>
                <xdr:rowOff>57150</xdr:rowOff>
              </to>
            </anchor>
          </controlPr>
        </control>
      </mc:Choice>
      <mc:Fallback>
        <control shapeId="155650" r:id="rId4" name="PipingTotalsX2AButto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23260B-17EC-4084-83F1-814D49096FA1}">
  <sheetPr codeName="Sheet3"/>
  <dimension ref="A1:AC191"/>
  <sheetViews>
    <sheetView topLeftCell="A2" zoomScale="80" workbookViewId="0">
      <selection activeCell="A2" sqref="A2"/>
    </sheetView>
  </sheetViews>
  <sheetFormatPr defaultRowHeight="12.75" x14ac:dyDescent="0.2"/>
  <cols>
    <col min="1" max="1" width="19.42578125" style="432" customWidth="1"/>
    <col min="2" max="2" width="18.140625" style="1409" bestFit="1" customWidth="1"/>
    <col min="3" max="3" width="24.140625" style="1409" bestFit="1" customWidth="1"/>
    <col min="4" max="4" width="25.28515625" style="1409" customWidth="1"/>
    <col min="5" max="5" width="13.42578125" style="1409" bestFit="1" customWidth="1"/>
    <col min="6" max="8" width="7.7109375" style="1409" customWidth="1"/>
    <col min="9" max="9" width="7.7109375" style="1409" hidden="1" customWidth="1"/>
    <col min="10" max="10" width="7.7109375" style="1409" customWidth="1"/>
    <col min="11" max="15" width="5.7109375" style="1409" customWidth="1"/>
    <col min="16" max="16" width="7.140625" style="1409" bestFit="1" customWidth="1"/>
    <col min="17" max="21" width="6" style="1409" customWidth="1"/>
    <col min="22" max="23" width="6.140625" style="1409" customWidth="1"/>
    <col min="24" max="25" width="6" style="1409" customWidth="1"/>
    <col min="26" max="27" width="6.140625" style="1409" customWidth="1"/>
    <col min="28" max="28" width="9.140625" style="1409" customWidth="1"/>
    <col min="29" max="29" width="9.140625" style="1409" hidden="1" customWidth="1"/>
    <col min="30" max="30" width="0" style="1409" hidden="1" customWidth="1"/>
    <col min="31" max="16384" width="9.140625" style="1409"/>
  </cols>
  <sheetData>
    <row r="1" spans="1:28" ht="13.5" thickBot="1" x14ac:dyDescent="0.25"/>
    <row r="2" spans="1:28" ht="20.25" customHeight="1" thickBot="1" x14ac:dyDescent="0.25">
      <c r="B2" s="2034" t="str">
        <f>"SYSTEM " &amp; LEFT('Legend(DX)'!S1,3)  &amp; " DISCHARGE AIR TEMPERATURE AND DEFROST PARAMETERS"</f>
        <v>SYSTEM  DISCHARGE AIR TEMPERATURE AND DEFROST PARAMETERS</v>
      </c>
      <c r="C2" s="2035"/>
      <c r="D2" s="2035"/>
      <c r="E2" s="2035"/>
      <c r="F2" s="2035"/>
      <c r="G2" s="2035"/>
      <c r="H2" s="2035"/>
      <c r="I2" s="2035"/>
      <c r="J2" s="2035"/>
      <c r="K2" s="2035"/>
      <c r="L2" s="2035"/>
      <c r="M2" s="2035"/>
      <c r="N2" s="2035"/>
      <c r="O2" s="2035"/>
      <c r="P2" s="2035"/>
      <c r="Q2" s="2035"/>
      <c r="R2" s="2035"/>
      <c r="S2" s="2035"/>
      <c r="T2" s="2035"/>
      <c r="U2" s="2035"/>
      <c r="V2" s="2035"/>
      <c r="W2" s="2035"/>
      <c r="X2" s="2035"/>
      <c r="Y2" s="2035"/>
      <c r="Z2" s="2035"/>
      <c r="AA2" s="2035"/>
      <c r="AB2" s="2036"/>
    </row>
    <row r="3" spans="1:28" ht="12.75" customHeight="1" x14ac:dyDescent="0.2">
      <c r="B3" s="1550"/>
      <c r="C3" s="1417"/>
      <c r="D3" s="1418"/>
      <c r="E3" s="1418"/>
      <c r="F3" s="2050" t="s">
        <v>816</v>
      </c>
      <c r="G3" s="2051"/>
      <c r="H3" s="2051"/>
      <c r="I3" s="2051"/>
      <c r="J3" s="2052"/>
      <c r="K3" s="1419"/>
      <c r="L3" s="1551"/>
      <c r="M3" s="1551"/>
      <c r="N3" s="1551"/>
      <c r="O3" s="1551"/>
      <c r="P3" s="2043" t="s">
        <v>819</v>
      </c>
      <c r="Q3" s="2044"/>
      <c r="R3" s="2044"/>
      <c r="S3" s="2044"/>
      <c r="T3" s="2044"/>
      <c r="U3" s="2044"/>
      <c r="V3" s="2044"/>
      <c r="W3" s="2044"/>
      <c r="X3" s="2044"/>
      <c r="Y3" s="2044"/>
      <c r="Z3" s="2044"/>
      <c r="AA3" s="2044"/>
      <c r="AB3" s="2031" t="s">
        <v>1330</v>
      </c>
    </row>
    <row r="4" spans="1:28" ht="12.75" customHeight="1" x14ac:dyDescent="0.2">
      <c r="B4" s="1550"/>
      <c r="C4" s="1417"/>
      <c r="D4" s="1418"/>
      <c r="E4" s="1418"/>
      <c r="F4" s="2050" t="s">
        <v>817</v>
      </c>
      <c r="G4" s="2051"/>
      <c r="H4" s="2051"/>
      <c r="I4" s="2051"/>
      <c r="J4" s="2052"/>
      <c r="K4" s="1415"/>
      <c r="L4" s="1415"/>
      <c r="M4" s="1552"/>
      <c r="N4" s="1552"/>
      <c r="O4" s="1552"/>
      <c r="P4" s="2043"/>
      <c r="Q4" s="2044"/>
      <c r="R4" s="2044"/>
      <c r="S4" s="2044"/>
      <c r="T4" s="2044"/>
      <c r="U4" s="2044"/>
      <c r="V4" s="2044"/>
      <c r="W4" s="2044"/>
      <c r="X4" s="2044"/>
      <c r="Y4" s="2044"/>
      <c r="Z4" s="2044"/>
      <c r="AA4" s="2044"/>
      <c r="AB4" s="2032"/>
    </row>
    <row r="5" spans="1:28" ht="12.75" customHeight="1" x14ac:dyDescent="0.2">
      <c r="B5" s="1550"/>
      <c r="C5" s="1417"/>
      <c r="D5" s="1418"/>
      <c r="E5" s="1418"/>
      <c r="F5" s="2050" t="s">
        <v>818</v>
      </c>
      <c r="G5" s="2051"/>
      <c r="H5" s="2051"/>
      <c r="I5" s="2051"/>
      <c r="J5" s="2052"/>
      <c r="K5" s="2047" t="s">
        <v>573</v>
      </c>
      <c r="L5" s="2048"/>
      <c r="M5" s="2048"/>
      <c r="N5" s="2048"/>
      <c r="O5" s="2049"/>
      <c r="P5" s="2043"/>
      <c r="Q5" s="2044"/>
      <c r="R5" s="2044"/>
      <c r="S5" s="2044"/>
      <c r="T5" s="2044"/>
      <c r="U5" s="2044"/>
      <c r="V5" s="2044"/>
      <c r="W5" s="2044"/>
      <c r="X5" s="2044"/>
      <c r="Y5" s="2044"/>
      <c r="Z5" s="2044"/>
      <c r="AA5" s="2044"/>
      <c r="AB5" s="2032"/>
    </row>
    <row r="6" spans="1:28" ht="12.75" customHeight="1" x14ac:dyDescent="0.2">
      <c r="A6" s="1434">
        <v>1</v>
      </c>
      <c r="B6" s="1550"/>
      <c r="C6" s="1417"/>
      <c r="D6" s="1418"/>
      <c r="E6" s="1418"/>
      <c r="F6" s="2050" t="s">
        <v>820</v>
      </c>
      <c r="G6" s="2051"/>
      <c r="H6" s="2051"/>
      <c r="I6" s="2051"/>
      <c r="J6" s="2052"/>
      <c r="K6" s="1419"/>
      <c r="L6" s="1551"/>
      <c r="M6" s="1551"/>
      <c r="N6" s="1551"/>
      <c r="O6" s="1551"/>
      <c r="P6" s="2043"/>
      <c r="Q6" s="2044"/>
      <c r="R6" s="2044"/>
      <c r="S6" s="2044"/>
      <c r="T6" s="2044"/>
      <c r="U6" s="2044"/>
      <c r="V6" s="2044"/>
      <c r="W6" s="2044"/>
      <c r="X6" s="2044"/>
      <c r="Y6" s="2044"/>
      <c r="Z6" s="2044"/>
      <c r="AA6" s="2044"/>
      <c r="AB6" s="2032"/>
    </row>
    <row r="7" spans="1:28" ht="12.75" customHeight="1" x14ac:dyDescent="0.2">
      <c r="B7" s="1553"/>
      <c r="C7" s="1420"/>
      <c r="D7" s="1421"/>
      <c r="E7" s="1422"/>
      <c r="F7" s="2053" t="s">
        <v>821</v>
      </c>
      <c r="G7" s="2054"/>
      <c r="H7" s="2054"/>
      <c r="I7" s="2054"/>
      <c r="J7" s="2055"/>
      <c r="K7" s="1423"/>
      <c r="L7" s="1424"/>
      <c r="M7" s="1424"/>
      <c r="N7" s="1424"/>
      <c r="O7" s="1424"/>
      <c r="P7" s="2045"/>
      <c r="Q7" s="2046"/>
      <c r="R7" s="2046"/>
      <c r="S7" s="2046"/>
      <c r="T7" s="2046"/>
      <c r="U7" s="2046"/>
      <c r="V7" s="2046"/>
      <c r="W7" s="2046"/>
      <c r="X7" s="2046"/>
      <c r="Y7" s="2046"/>
      <c r="Z7" s="2046"/>
      <c r="AA7" s="2046"/>
      <c r="AB7" s="2032"/>
    </row>
    <row r="8" spans="1:28" ht="224.25" customHeight="1" thickBot="1" x14ac:dyDescent="0.25">
      <c r="B8" s="1554" t="s">
        <v>714</v>
      </c>
      <c r="C8" s="1425" t="s">
        <v>94</v>
      </c>
      <c r="D8" s="1425" t="s">
        <v>715</v>
      </c>
      <c r="E8" s="1425" t="s">
        <v>822</v>
      </c>
      <c r="F8" s="1427" t="s">
        <v>823</v>
      </c>
      <c r="G8" s="1427" t="s">
        <v>1227</v>
      </c>
      <c r="H8" s="1427" t="s">
        <v>824</v>
      </c>
      <c r="I8" s="1426" t="s">
        <v>1228</v>
      </c>
      <c r="J8" s="1427" t="s">
        <v>1229</v>
      </c>
      <c r="K8" s="1427" t="s">
        <v>717</v>
      </c>
      <c r="L8" s="1427" t="s">
        <v>1146</v>
      </c>
      <c r="M8" s="1428" t="s">
        <v>718</v>
      </c>
      <c r="N8" s="1428" t="s">
        <v>825</v>
      </c>
      <c r="O8" s="1427" t="s">
        <v>814</v>
      </c>
      <c r="P8" s="1428" t="s">
        <v>826</v>
      </c>
      <c r="Q8" s="1428" t="s">
        <v>827</v>
      </c>
      <c r="R8" s="1428" t="s">
        <v>828</v>
      </c>
      <c r="S8" s="1428" t="s">
        <v>829</v>
      </c>
      <c r="T8" s="1428" t="s">
        <v>830</v>
      </c>
      <c r="U8" s="1428" t="s">
        <v>831</v>
      </c>
      <c r="V8" s="1429" t="s">
        <v>1219</v>
      </c>
      <c r="W8" s="1428" t="s">
        <v>1220</v>
      </c>
      <c r="X8" s="1428" t="s">
        <v>1221</v>
      </c>
      <c r="Y8" s="1428" t="s">
        <v>1222</v>
      </c>
      <c r="Z8" s="1428" t="s">
        <v>1223</v>
      </c>
      <c r="AA8" s="1565" t="s">
        <v>1224</v>
      </c>
      <c r="AB8" s="2033"/>
    </row>
    <row r="9" spans="1:28" ht="12" hidden="1" customHeight="1" x14ac:dyDescent="0.2">
      <c r="A9" s="376" t="s">
        <v>559</v>
      </c>
      <c r="B9" s="1555" t="s">
        <v>833</v>
      </c>
      <c r="C9" s="376" t="s">
        <v>1162</v>
      </c>
      <c r="D9" s="376"/>
      <c r="E9" s="376" t="s">
        <v>1168</v>
      </c>
      <c r="F9" s="432"/>
      <c r="G9" s="376" t="s">
        <v>1167</v>
      </c>
      <c r="H9" s="376"/>
      <c r="I9" s="1556"/>
      <c r="J9" s="1557"/>
      <c r="K9" s="1558"/>
      <c r="L9" s="1558"/>
      <c r="M9" s="1558"/>
      <c r="N9" s="1558"/>
      <c r="O9" s="1558"/>
      <c r="P9" s="1559"/>
      <c r="Q9" s="1559"/>
      <c r="R9" s="1559"/>
      <c r="S9" s="1559"/>
      <c r="T9" s="1559"/>
      <c r="U9" s="1559"/>
      <c r="V9" s="1435"/>
      <c r="AB9" s="1632"/>
    </row>
    <row r="10" spans="1:28" hidden="1" x14ac:dyDescent="0.2">
      <c r="A10" s="376" t="str">
        <f>LoadProfile!A8</f>
        <v>x</v>
      </c>
      <c r="B10" s="1560">
        <f>IF(OR(RIGHT(LoadProfile!B8,1)="y",RIGHT(LoadProfile!B8,3)="CO2")=TRUE,(_xlfn.CONCAT(LoadProfile!B8," ",VLOOKUP(C10,APPLICATION,2,FALSE))),LoadProfile!B8)</f>
        <v>0</v>
      </c>
      <c r="C10" s="1436" t="str">
        <f>LoadProfile!C8</f>
        <v>See Legend</v>
      </c>
      <c r="D10" s="1436" t="str">
        <f>SUBSTITUTE(LoadProfile!D8,"**","")</f>
        <v>0</v>
      </c>
      <c r="E10" s="1436" t="str">
        <f>IF(INDEX('Legend(DX)'!$S$8:$S$9,1)=0,"---",INDEX('Legend(DX)'!$S$8:$S$9,1))</f>
        <v>---</v>
      </c>
      <c r="F10" s="1430" t="str">
        <f>IF(G10="ETR","ETR",IF(G10="-","-",G10-2))</f>
        <v>-</v>
      </c>
      <c r="G10" s="1436" t="str">
        <f>IF(INDEX('Legend(DX)'!$AD$8:$AD$9,1)=0,"-",INDEX('Legend(DX)'!$AD$8:$AD$9,1))</f>
        <v>-</v>
      </c>
      <c r="H10" s="1430" t="str">
        <f>IF(G10="ETR","ETR",IF(G10="-","-",G10+2))</f>
        <v>-</v>
      </c>
      <c r="I10" s="1548"/>
      <c r="J10" s="1570" t="str">
        <f>IF(G10="ETR","ETR","")</f>
        <v/>
      </c>
      <c r="K10" s="1437">
        <f>LoadProfile!F8</f>
        <v>0</v>
      </c>
      <c r="L10" s="1437">
        <f>LoadProfile!G8</f>
        <v>0</v>
      </c>
      <c r="M10" s="1437">
        <f>LoadProfile!H8</f>
        <v>0</v>
      </c>
      <c r="N10" s="1437" t="str">
        <f>IF(LoadProfile!I8&lt;=0,"--",LoadProfile!I8)</f>
        <v>--</v>
      </c>
      <c r="O10" s="1437">
        <f>LoadProfile!J8</f>
        <v>0</v>
      </c>
      <c r="P10" s="1431" t="str">
        <f>IF(LoadProfile!M8&lt;=0,"",LoadProfile!M8)</f>
        <v/>
      </c>
      <c r="Q10" s="1431" t="str">
        <f>IF(LoadProfile!O8&lt;=0,"",LoadProfile!O8)</f>
        <v/>
      </c>
      <c r="R10" s="1431" t="str">
        <f>IF(LoadProfile!Q8&lt;=0,"",LoadProfile!Q8)</f>
        <v/>
      </c>
      <c r="S10" s="1431" t="str">
        <f>IF(LoadProfile!S8&lt;=0,"",LoadProfile!S8)</f>
        <v/>
      </c>
      <c r="T10" s="1431" t="str">
        <f>IF(LoadProfile!U8&lt;=0,"",LoadProfile!U8)</f>
        <v/>
      </c>
      <c r="U10" s="1431" t="str">
        <f>IF(LoadProfile!W8&lt;=0,"",LoadProfile!W8)</f>
        <v/>
      </c>
      <c r="V10" s="1431" t="str">
        <f>IF(LoadProfile!Y8&lt;=0,"",LoadProfile!Y8)</f>
        <v/>
      </c>
      <c r="W10" s="1431" t="str">
        <f>IF(LoadProfile!AA8&lt;=0,"",LoadProfile!AA8)</f>
        <v/>
      </c>
      <c r="X10" s="1431" t="str">
        <f>IF(LoadProfile!AC8&lt;=0,"",LoadProfile!AC8)</f>
        <v/>
      </c>
      <c r="Y10" s="1431" t="str">
        <f>IF(LoadProfile!AE8&lt;=0,"",LoadProfile!AE8)</f>
        <v/>
      </c>
      <c r="Z10" s="1431" t="str">
        <f>IF(LoadProfile!AG8&lt;=0,"",LoadProfile!AG8)</f>
        <v/>
      </c>
      <c r="AA10" s="1566" t="str">
        <f>IF(LoadProfile!AH8&lt;=0,"",LoadProfile!AH8)</f>
        <v/>
      </c>
      <c r="AB10" s="1633"/>
    </row>
    <row r="11" spans="1:28" hidden="1" x14ac:dyDescent="0.2">
      <c r="A11" s="376" t="str">
        <f>LoadProfile!A9</f>
        <v>x</v>
      </c>
      <c r="B11" s="1560">
        <f>IF(OR(RIGHT(LoadProfile!B9,1)="y",RIGHT(LoadProfile!B9,3)="CO2")=TRUE,(_xlfn.CONCAT(LoadProfile!B9," ",VLOOKUP(C11,APPLICATION,2,FALSE))),LoadProfile!B9)</f>
        <v>0</v>
      </c>
      <c r="C11" s="1436" t="str">
        <f>LoadProfile!C9</f>
        <v>See Legend</v>
      </c>
      <c r="D11" s="1436" t="e">
        <f>SUBSTITUTE(LoadProfile!D9,"**","")</f>
        <v>#REF!</v>
      </c>
      <c r="E11" s="1436" t="str">
        <f>IF(INDEX('Legend(DX)'!$S$8:$S$9,2)=0,"---",INDEX('Legend(DX)'!$S$8:$S$9,2))</f>
        <v>---</v>
      </c>
      <c r="F11" s="1430" t="str">
        <f t="shared" ref="F11:F79" si="0">IF(G11="ETR","ETR",IF(G11="-","-",G11-2))</f>
        <v>-</v>
      </c>
      <c r="G11" s="1436" t="str">
        <f>IF(INDEX('Legend(DX)'!$AD$8:$AD$9,2)=0,"-",INDEX('Legend(DX)'!$AD$8:$AD$9,2))</f>
        <v>-</v>
      </c>
      <c r="H11" s="1430" t="str">
        <f t="shared" ref="H11:H79" si="1">IF(G11="ETR","ETR",IF(G11="-","-",G11+2))</f>
        <v>-</v>
      </c>
      <c r="I11" s="1548"/>
      <c r="J11" s="1570" t="str">
        <f t="shared" ref="J11:J44" si="2">IF(G11="ETR","ETR","")</f>
        <v/>
      </c>
      <c r="K11" s="1437">
        <f>LoadProfile!F9</f>
        <v>0</v>
      </c>
      <c r="L11" s="1437">
        <f>LoadProfile!G9</f>
        <v>0</v>
      </c>
      <c r="M11" s="1437">
        <f>LoadProfile!H9</f>
        <v>0</v>
      </c>
      <c r="N11" s="1437" t="str">
        <f>IF(LoadProfile!I9&lt;=0,"--",LoadProfile!I9)</f>
        <v>--</v>
      </c>
      <c r="O11" s="1437">
        <f>LoadProfile!J9</f>
        <v>0</v>
      </c>
      <c r="P11" s="1431" t="str">
        <f>IF(LoadProfile!M9&lt;=0,"",LoadProfile!M9)</f>
        <v/>
      </c>
      <c r="Q11" s="1431" t="str">
        <f>IF(LoadProfile!O9&lt;=0,"",LoadProfile!O9)</f>
        <v/>
      </c>
      <c r="R11" s="1431" t="str">
        <f>IF(LoadProfile!Q9&lt;=0,"",LoadProfile!Q9)</f>
        <v/>
      </c>
      <c r="S11" s="1431" t="str">
        <f>IF(LoadProfile!S9&lt;=0,"",LoadProfile!S9)</f>
        <v/>
      </c>
      <c r="T11" s="1431" t="str">
        <f>IF(LoadProfile!U9&lt;=0,"",LoadProfile!U9)</f>
        <v/>
      </c>
      <c r="U11" s="1431" t="str">
        <f>IF(LoadProfile!W9&lt;=0,"",LoadProfile!W9)</f>
        <v/>
      </c>
      <c r="V11" s="1431" t="str">
        <f>IF(LoadProfile!Y9&lt;=0,"",LoadProfile!Y9)</f>
        <v/>
      </c>
      <c r="W11" s="1431" t="str">
        <f>IF(LoadProfile!AA9&lt;=0,"",LoadProfile!AA9)</f>
        <v/>
      </c>
      <c r="X11" s="1431" t="str">
        <f>IF(LoadProfile!AC9&lt;=0,"",LoadProfile!AC9)</f>
        <v/>
      </c>
      <c r="Y11" s="1431" t="str">
        <f>IF(LoadProfile!AE9&lt;=0,"",LoadProfile!AE9)</f>
        <v/>
      </c>
      <c r="Z11" s="1431" t="str">
        <f>IF(LoadProfile!AG9&lt;=0,"",LoadProfile!AG9)</f>
        <v/>
      </c>
      <c r="AA11" s="1566" t="str">
        <f>IF(LoadProfile!AH9&lt;=0,"",LoadProfile!AH9)</f>
        <v/>
      </c>
      <c r="AB11" s="1633"/>
    </row>
    <row r="12" spans="1:28" hidden="1" x14ac:dyDescent="0.2">
      <c r="A12" s="376" t="str">
        <f>LoadProfile!A10</f>
        <v>x</v>
      </c>
      <c r="B12" s="1560" t="str">
        <f>IF(OR(RIGHT(LoadProfile!B10,1)="y",RIGHT(LoadProfile!B10,3)="CO2")=TRUE,(_xlfn.CONCAT(LoadProfile!B10," ",VLOOKUP(C12,APPLICATION,2,FALSE))),LoadProfile!B10)</f>
        <v/>
      </c>
      <c r="C12" s="1436" t="e">
        <f>LoadProfile!C10</f>
        <v>#REF!</v>
      </c>
      <c r="D12" s="1436" t="e">
        <f>SUBSTITUTE(LoadProfile!D10,"**","")</f>
        <v>#REF!</v>
      </c>
      <c r="E12" s="1436" t="e">
        <f>IF(INDEX('Legend(DX)'!$S$8:$S$9,3)=0,"---",INDEX('Legend(DX)'!$S$8:$S$9,3))</f>
        <v>#REF!</v>
      </c>
      <c r="F12" s="1430" t="e">
        <f t="shared" si="0"/>
        <v>#REF!</v>
      </c>
      <c r="G12" s="1436" t="e">
        <f>IF(INDEX('Legend(DX)'!$AD$8:$AD$9,3)=0,"-",INDEX('Legend(DX)'!$AD$8:$AD$9,3))</f>
        <v>#REF!</v>
      </c>
      <c r="H12" s="1430" t="e">
        <f t="shared" si="1"/>
        <v>#REF!</v>
      </c>
      <c r="I12" s="1548"/>
      <c r="J12" s="1570" t="e">
        <f t="shared" si="2"/>
        <v>#REF!</v>
      </c>
      <c r="K12" s="1437">
        <f>LoadProfile!F10</f>
        <v>0</v>
      </c>
      <c r="L12" s="1437">
        <f>LoadProfile!G10</f>
        <v>0</v>
      </c>
      <c r="M12" s="1437">
        <f>LoadProfile!H10</f>
        <v>0</v>
      </c>
      <c r="N12" s="1437" t="str">
        <f>IF(LoadProfile!I10&lt;=0,"--",LoadProfile!I10)</f>
        <v>--</v>
      </c>
      <c r="O12" s="1437">
        <f>LoadProfile!J10</f>
        <v>0</v>
      </c>
      <c r="P12" s="1431" t="str">
        <f>IF(LoadProfile!M10&lt;=0,"",LoadProfile!M10)</f>
        <v/>
      </c>
      <c r="Q12" s="1431" t="str">
        <f>IF(LoadProfile!O10&lt;=0,"",LoadProfile!O10)</f>
        <v/>
      </c>
      <c r="R12" s="1431" t="str">
        <f>IF(LoadProfile!Q10&lt;=0,"",LoadProfile!Q10)</f>
        <v/>
      </c>
      <c r="S12" s="1431" t="str">
        <f>IF(LoadProfile!S10&lt;=0,"",LoadProfile!S10)</f>
        <v/>
      </c>
      <c r="T12" s="1431" t="str">
        <f>IF(LoadProfile!U10&lt;=0,"",LoadProfile!U10)</f>
        <v/>
      </c>
      <c r="U12" s="1431" t="str">
        <f>IF(LoadProfile!W10&lt;=0,"",LoadProfile!W10)</f>
        <v/>
      </c>
      <c r="V12" s="1431" t="str">
        <f>IF(LoadProfile!Y10&lt;=0,"",LoadProfile!Y10)</f>
        <v/>
      </c>
      <c r="W12" s="1431" t="str">
        <f>IF(LoadProfile!AA10&lt;=0,"",LoadProfile!AA10)</f>
        <v/>
      </c>
      <c r="X12" s="1431" t="str">
        <f>IF(LoadProfile!AC10&lt;=0,"",LoadProfile!AC10)</f>
        <v/>
      </c>
      <c r="Y12" s="1431" t="str">
        <f>IF(LoadProfile!AE10&lt;=0,"",LoadProfile!AE10)</f>
        <v/>
      </c>
      <c r="Z12" s="1431" t="str">
        <f>IF(LoadProfile!AG10&lt;=0,"",LoadProfile!AG10)</f>
        <v/>
      </c>
      <c r="AA12" s="1566" t="str">
        <f>IF(LoadProfile!AH10&lt;=0,"",LoadProfile!AH10)</f>
        <v/>
      </c>
      <c r="AB12" s="1633"/>
    </row>
    <row r="13" spans="1:28" hidden="1" x14ac:dyDescent="0.2">
      <c r="A13" s="376" t="str">
        <f>LoadProfile!A11</f>
        <v>x</v>
      </c>
      <c r="B13" s="1560" t="str">
        <f>IF(OR(RIGHT(LoadProfile!B11,1)="y",RIGHT(LoadProfile!B11,3)="CO2")=TRUE,(_xlfn.CONCAT(LoadProfile!B11," ",VLOOKUP(C13,APPLICATION,2,FALSE))),LoadProfile!B11)</f>
        <v/>
      </c>
      <c r="C13" s="1436" t="e">
        <f>LoadProfile!C11</f>
        <v>#REF!</v>
      </c>
      <c r="D13" s="1436" t="e">
        <f>SUBSTITUTE(LoadProfile!D11,"**","")</f>
        <v>#REF!</v>
      </c>
      <c r="E13" s="1436" t="e">
        <f>IF(INDEX('Legend(DX)'!$S$8:$S$9,4)=0,"---",INDEX('Legend(DX)'!$S$8:$S$9,4))</f>
        <v>#REF!</v>
      </c>
      <c r="F13" s="1430" t="e">
        <f t="shared" si="0"/>
        <v>#REF!</v>
      </c>
      <c r="G13" s="1436" t="e">
        <f>IF(INDEX('Legend(DX)'!$AD$8:$AD$9,4)=0,"-",INDEX('Legend(DX)'!$AD$8:$AD$9,4))</f>
        <v>#REF!</v>
      </c>
      <c r="H13" s="1430" t="e">
        <f t="shared" si="1"/>
        <v>#REF!</v>
      </c>
      <c r="I13" s="1548"/>
      <c r="J13" s="1570" t="e">
        <f t="shared" si="2"/>
        <v>#REF!</v>
      </c>
      <c r="K13" s="1437">
        <f>LoadProfile!F11</f>
        <v>0</v>
      </c>
      <c r="L13" s="1437">
        <f>LoadProfile!G11</f>
        <v>0</v>
      </c>
      <c r="M13" s="1437">
        <f>LoadProfile!H11</f>
        <v>0</v>
      </c>
      <c r="N13" s="1437" t="str">
        <f>IF(LoadProfile!I11&lt;=0,"--",LoadProfile!I11)</f>
        <v>--</v>
      </c>
      <c r="O13" s="1437">
        <f>LoadProfile!J11</f>
        <v>0</v>
      </c>
      <c r="P13" s="1431" t="str">
        <f>IF(LoadProfile!M11&lt;=0,"",LoadProfile!M11)</f>
        <v/>
      </c>
      <c r="Q13" s="1431" t="str">
        <f>IF(LoadProfile!O11&lt;=0,"",LoadProfile!O11)</f>
        <v/>
      </c>
      <c r="R13" s="1431" t="str">
        <f>IF(LoadProfile!Q11&lt;=0,"",LoadProfile!Q11)</f>
        <v/>
      </c>
      <c r="S13" s="1431" t="str">
        <f>IF(LoadProfile!S11&lt;=0,"",LoadProfile!S11)</f>
        <v/>
      </c>
      <c r="T13" s="1431" t="str">
        <f>IF(LoadProfile!U11&lt;=0,"",LoadProfile!U11)</f>
        <v/>
      </c>
      <c r="U13" s="1431" t="str">
        <f>IF(LoadProfile!W11&lt;=0,"",LoadProfile!W11)</f>
        <v/>
      </c>
      <c r="V13" s="1431" t="str">
        <f>IF(LoadProfile!Y11&lt;=0,"",LoadProfile!Y11)</f>
        <v/>
      </c>
      <c r="W13" s="1431" t="str">
        <f>IF(LoadProfile!AA11&lt;=0,"",LoadProfile!AA11)</f>
        <v/>
      </c>
      <c r="X13" s="1431" t="str">
        <f>IF(LoadProfile!AC11&lt;=0,"",LoadProfile!AC11)</f>
        <v/>
      </c>
      <c r="Y13" s="1431" t="str">
        <f>IF(LoadProfile!AE11&lt;=0,"",LoadProfile!AE11)</f>
        <v/>
      </c>
      <c r="Z13" s="1431" t="str">
        <f>IF(LoadProfile!AG11&lt;=0,"",LoadProfile!AG11)</f>
        <v/>
      </c>
      <c r="AA13" s="1566" t="str">
        <f>IF(LoadProfile!AH11&lt;=0,"",LoadProfile!AH11)</f>
        <v/>
      </c>
      <c r="AB13" s="1633"/>
    </row>
    <row r="14" spans="1:28" hidden="1" x14ac:dyDescent="0.2">
      <c r="A14" s="376" t="str">
        <f>LoadProfile!A12</f>
        <v>x</v>
      </c>
      <c r="B14" s="1560" t="str">
        <f>IF(OR(RIGHT(LoadProfile!B12,1)="y",RIGHT(LoadProfile!B12,3)="CO2")=TRUE,(_xlfn.CONCAT(LoadProfile!B12," ",VLOOKUP(C14,APPLICATION,2,FALSE))),LoadProfile!B12)</f>
        <v/>
      </c>
      <c r="C14" s="1436" t="e">
        <f>LoadProfile!C12</f>
        <v>#REF!</v>
      </c>
      <c r="D14" s="1436" t="e">
        <f>SUBSTITUTE(LoadProfile!D12,"**","")</f>
        <v>#REF!</v>
      </c>
      <c r="E14" s="1436" t="e">
        <f>IF(INDEX('Legend(DX)'!$S$8:$S$9,5)=0,"---",INDEX('Legend(DX)'!$S$8:$S$9,5))</f>
        <v>#REF!</v>
      </c>
      <c r="F14" s="1430" t="e">
        <f t="shared" si="0"/>
        <v>#REF!</v>
      </c>
      <c r="G14" s="1436" t="e">
        <f>IF(INDEX('Legend(DX)'!$AD$8:$AD$9,5)=0,"-",INDEX('Legend(DX)'!$AD$8:$AD$9,5))</f>
        <v>#REF!</v>
      </c>
      <c r="H14" s="1430" t="e">
        <f t="shared" si="1"/>
        <v>#REF!</v>
      </c>
      <c r="I14" s="1548"/>
      <c r="J14" s="1570" t="e">
        <f t="shared" si="2"/>
        <v>#REF!</v>
      </c>
      <c r="K14" s="1437">
        <f>LoadProfile!F12</f>
        <v>0</v>
      </c>
      <c r="L14" s="1437">
        <f>LoadProfile!G12</f>
        <v>0</v>
      </c>
      <c r="M14" s="1437">
        <f>LoadProfile!H12</f>
        <v>0</v>
      </c>
      <c r="N14" s="1437" t="str">
        <f>IF(LoadProfile!I12&lt;=0,"--",LoadProfile!I12)</f>
        <v>--</v>
      </c>
      <c r="O14" s="1437">
        <f>LoadProfile!J12</f>
        <v>0</v>
      </c>
      <c r="P14" s="1431" t="str">
        <f>IF(LoadProfile!M12&lt;=0,"",LoadProfile!M12)</f>
        <v/>
      </c>
      <c r="Q14" s="1431" t="str">
        <f>IF(LoadProfile!O12&lt;=0,"",LoadProfile!O12)</f>
        <v/>
      </c>
      <c r="R14" s="1431" t="str">
        <f>IF(LoadProfile!Q12&lt;=0,"",LoadProfile!Q12)</f>
        <v/>
      </c>
      <c r="S14" s="1431" t="str">
        <f>IF(LoadProfile!S12&lt;=0,"",LoadProfile!S12)</f>
        <v/>
      </c>
      <c r="T14" s="1431" t="str">
        <f>IF(LoadProfile!U12&lt;=0,"",LoadProfile!U12)</f>
        <v/>
      </c>
      <c r="U14" s="1431" t="str">
        <f>IF(LoadProfile!W12&lt;=0,"",LoadProfile!W12)</f>
        <v/>
      </c>
      <c r="V14" s="1431" t="str">
        <f>IF(LoadProfile!Y12&lt;=0,"",LoadProfile!Y12)</f>
        <v/>
      </c>
      <c r="W14" s="1431" t="str">
        <f>IF(LoadProfile!AA12&lt;=0,"",LoadProfile!AA12)</f>
        <v/>
      </c>
      <c r="X14" s="1431" t="str">
        <f>IF(LoadProfile!AC12&lt;=0,"",LoadProfile!AC12)</f>
        <v/>
      </c>
      <c r="Y14" s="1431" t="str">
        <f>IF(LoadProfile!AE12&lt;=0,"",LoadProfile!AE12)</f>
        <v/>
      </c>
      <c r="Z14" s="1431" t="str">
        <f>IF(LoadProfile!AG12&lt;=0,"",LoadProfile!AG12)</f>
        <v/>
      </c>
      <c r="AA14" s="1566" t="str">
        <f>IF(LoadProfile!AH12&lt;=0,"",LoadProfile!AH12)</f>
        <v/>
      </c>
      <c r="AB14" s="1633"/>
    </row>
    <row r="15" spans="1:28" hidden="1" x14ac:dyDescent="0.2">
      <c r="A15" s="376" t="str">
        <f>LoadProfile!A13</f>
        <v>x</v>
      </c>
      <c r="B15" s="1560" t="str">
        <f>IF(OR(RIGHT(LoadProfile!B13,1)="y",RIGHT(LoadProfile!B13,3)="C02",RIGHT(LoadProfile!B13,3)="CO2")=TRUE,(_xlfn.CONCAT(LoadProfile!B13," ",VLOOKUP(C15,APPLICATION,2,FALSE))),LoadProfile!B13)</f>
        <v/>
      </c>
      <c r="C15" s="1436" t="e">
        <f>LoadProfile!C13</f>
        <v>#REF!</v>
      </c>
      <c r="D15" s="1436" t="e">
        <f>SUBSTITUTE(LoadProfile!D13,"**","")</f>
        <v>#REF!</v>
      </c>
      <c r="E15" s="1436" t="e">
        <f>IF(INDEX('Legend(DX)'!$S$8:$S$9,6)=0,"---",INDEX('Legend(DX)'!$S$8:$S$9,6))</f>
        <v>#REF!</v>
      </c>
      <c r="F15" s="1430" t="e">
        <f t="shared" si="0"/>
        <v>#REF!</v>
      </c>
      <c r="G15" s="1436" t="e">
        <f>IF(INDEX('Legend(DX)'!$AD$8:$AD$9,6)=0,"-",INDEX('Legend(DX)'!$AD$8:$AD$9,6))</f>
        <v>#REF!</v>
      </c>
      <c r="H15" s="1430" t="e">
        <f t="shared" si="1"/>
        <v>#REF!</v>
      </c>
      <c r="I15" s="1548"/>
      <c r="J15" s="1570" t="e">
        <f t="shared" si="2"/>
        <v>#REF!</v>
      </c>
      <c r="K15" s="1437">
        <f>LoadProfile!F13</f>
        <v>0</v>
      </c>
      <c r="L15" s="1437">
        <f>LoadProfile!G13</f>
        <v>0</v>
      </c>
      <c r="M15" s="1437">
        <f>LoadProfile!H13</f>
        <v>0</v>
      </c>
      <c r="N15" s="1437" t="str">
        <f>IF(LoadProfile!I13&lt;=0,"--",LoadProfile!I13)</f>
        <v>--</v>
      </c>
      <c r="O15" s="1437">
        <f>LoadProfile!J13</f>
        <v>0</v>
      </c>
      <c r="P15" s="1431" t="str">
        <f>IF(LoadProfile!M13&lt;=0,"",LoadProfile!M13)</f>
        <v/>
      </c>
      <c r="Q15" s="1431" t="str">
        <f>IF(LoadProfile!O13&lt;=0,"",LoadProfile!O13)</f>
        <v/>
      </c>
      <c r="R15" s="1431" t="str">
        <f>IF(LoadProfile!Q13&lt;=0,"",LoadProfile!Q13)</f>
        <v/>
      </c>
      <c r="S15" s="1431" t="str">
        <f>IF(LoadProfile!S13&lt;=0,"",LoadProfile!S13)</f>
        <v/>
      </c>
      <c r="T15" s="1431" t="str">
        <f>IF(LoadProfile!U13&lt;=0,"",LoadProfile!U13)</f>
        <v/>
      </c>
      <c r="U15" s="1431" t="str">
        <f>IF(LoadProfile!W13&lt;=0,"",LoadProfile!W13)</f>
        <v/>
      </c>
      <c r="V15" s="1431" t="str">
        <f>IF(LoadProfile!Y13&lt;=0,"",LoadProfile!Y13)</f>
        <v/>
      </c>
      <c r="W15" s="1431" t="str">
        <f>IF(LoadProfile!AA13&lt;=0,"",LoadProfile!AA13)</f>
        <v/>
      </c>
      <c r="X15" s="1431" t="str">
        <f>IF(LoadProfile!AC13&lt;=0,"",LoadProfile!AC13)</f>
        <v/>
      </c>
      <c r="Y15" s="1431" t="str">
        <f>IF(LoadProfile!AE13&lt;=0,"",LoadProfile!AE13)</f>
        <v/>
      </c>
      <c r="Z15" s="1431" t="str">
        <f>IF(LoadProfile!AG13&lt;=0,"",LoadProfile!AG13)</f>
        <v/>
      </c>
      <c r="AA15" s="1566" t="str">
        <f>IF(LoadProfile!AH13&lt;=0,"",LoadProfile!AH13)</f>
        <v/>
      </c>
      <c r="AB15" s="1633"/>
    </row>
    <row r="16" spans="1:28" hidden="1" x14ac:dyDescent="0.2">
      <c r="A16" s="376" t="str">
        <f>LoadProfile!A14</f>
        <v>x</v>
      </c>
      <c r="B16" s="1560" t="str">
        <f>IF(OR(RIGHT(LoadProfile!B14,1)="y",RIGHT(LoadProfile!B14,3)="C02",RIGHT(LoadProfile!B14,3)="CO2")=TRUE,(_xlfn.CONCAT(LoadProfile!B14," ",VLOOKUP(C16,APPLICATION,2,FALSE))),LoadProfile!B14)</f>
        <v/>
      </c>
      <c r="C16" s="1436" t="e">
        <f>LoadProfile!C14</f>
        <v>#REF!</v>
      </c>
      <c r="D16" s="1436" t="e">
        <f>SUBSTITUTE(LoadProfile!D14,"**","")</f>
        <v>#REF!</v>
      </c>
      <c r="E16" s="1436" t="e">
        <f>IF(INDEX('Legend(DX)'!$S$8:$S$9,7)=0,"---",INDEX('Legend(DX)'!$S$8:$S$9,7))</f>
        <v>#REF!</v>
      </c>
      <c r="F16" s="1430" t="e">
        <f t="shared" si="0"/>
        <v>#REF!</v>
      </c>
      <c r="G16" s="1436" t="e">
        <f>IF(INDEX('Legend(DX)'!$AD$8:$AD$9,7)=0,"-",INDEX('Legend(DX)'!$AD$8:$AD$9,7))</f>
        <v>#REF!</v>
      </c>
      <c r="H16" s="1430" t="e">
        <f t="shared" si="1"/>
        <v>#REF!</v>
      </c>
      <c r="I16" s="1548"/>
      <c r="J16" s="1570" t="e">
        <f t="shared" si="2"/>
        <v>#REF!</v>
      </c>
      <c r="K16" s="1437">
        <f>LoadProfile!F14</f>
        <v>0</v>
      </c>
      <c r="L16" s="1437">
        <f>LoadProfile!G14</f>
        <v>0</v>
      </c>
      <c r="M16" s="1437">
        <f>LoadProfile!H14</f>
        <v>0</v>
      </c>
      <c r="N16" s="1437" t="str">
        <f>IF(LoadProfile!I14&lt;=0,"--",LoadProfile!I14)</f>
        <v>--</v>
      </c>
      <c r="O16" s="1437">
        <f>LoadProfile!J14</f>
        <v>0</v>
      </c>
      <c r="P16" s="1431" t="str">
        <f>IF(LoadProfile!M14&lt;=0,"",LoadProfile!M14)</f>
        <v/>
      </c>
      <c r="Q16" s="1431" t="str">
        <f>IF(LoadProfile!O14&lt;=0,"",LoadProfile!O14)</f>
        <v/>
      </c>
      <c r="R16" s="1431" t="str">
        <f>IF(LoadProfile!Q14&lt;=0,"",LoadProfile!Q14)</f>
        <v/>
      </c>
      <c r="S16" s="1431" t="str">
        <f>IF(LoadProfile!S14&lt;=0,"",LoadProfile!S14)</f>
        <v/>
      </c>
      <c r="T16" s="1431" t="str">
        <f>IF(LoadProfile!U14&lt;=0,"",LoadProfile!U14)</f>
        <v/>
      </c>
      <c r="U16" s="1431" t="str">
        <f>IF(LoadProfile!W14&lt;=0,"",LoadProfile!W14)</f>
        <v/>
      </c>
      <c r="V16" s="1431" t="str">
        <f>IF(LoadProfile!Y14&lt;=0,"",LoadProfile!Y14)</f>
        <v/>
      </c>
      <c r="W16" s="1431" t="str">
        <f>IF(LoadProfile!AA14&lt;=0,"",LoadProfile!AA14)</f>
        <v/>
      </c>
      <c r="X16" s="1431" t="str">
        <f>IF(LoadProfile!AC14&lt;=0,"",LoadProfile!AC14)</f>
        <v/>
      </c>
      <c r="Y16" s="1431" t="str">
        <f>IF(LoadProfile!AE14&lt;=0,"",LoadProfile!AE14)</f>
        <v/>
      </c>
      <c r="Z16" s="1431" t="str">
        <f>IF(LoadProfile!AG14&lt;=0,"",LoadProfile!AG14)</f>
        <v/>
      </c>
      <c r="AA16" s="1566" t="str">
        <f>IF(LoadProfile!AH14&lt;=0,"",LoadProfile!AH14)</f>
        <v/>
      </c>
      <c r="AB16" s="1633"/>
    </row>
    <row r="17" spans="1:28" hidden="1" x14ac:dyDescent="0.2">
      <c r="A17" s="376" t="str">
        <f>LoadProfile!A15</f>
        <v>x</v>
      </c>
      <c r="B17" s="1560" t="str">
        <f>IF(OR(RIGHT(LoadProfile!B15,1)="y",RIGHT(LoadProfile!B15,3)="C02",RIGHT(LoadProfile!B15,3)="CO2")=TRUE,(_xlfn.CONCAT(LoadProfile!B15," ",VLOOKUP(C17,APPLICATION,2,FALSE))),LoadProfile!B15)</f>
        <v/>
      </c>
      <c r="C17" s="1436" t="e">
        <f>LoadProfile!C15</f>
        <v>#REF!</v>
      </c>
      <c r="D17" s="1436" t="e">
        <f>SUBSTITUTE(LoadProfile!D15,"**","")</f>
        <v>#REF!</v>
      </c>
      <c r="E17" s="1436" t="e">
        <f>IF(INDEX('Legend(DX)'!$S$8:$S$9,8)=0,"---",INDEX('Legend(DX)'!$S$8:$S$9,8))</f>
        <v>#REF!</v>
      </c>
      <c r="F17" s="1430" t="e">
        <f t="shared" si="0"/>
        <v>#REF!</v>
      </c>
      <c r="G17" s="1436" t="e">
        <f>IF(INDEX('Legend(DX)'!$AD$8:$AD$9,8)=0,"-",INDEX('Legend(DX)'!$AD$8:$AD$9,8))</f>
        <v>#REF!</v>
      </c>
      <c r="H17" s="1430" t="e">
        <f t="shared" si="1"/>
        <v>#REF!</v>
      </c>
      <c r="I17" s="1548"/>
      <c r="J17" s="1570" t="e">
        <f t="shared" si="2"/>
        <v>#REF!</v>
      </c>
      <c r="K17" s="1437">
        <f>LoadProfile!F15</f>
        <v>0</v>
      </c>
      <c r="L17" s="1437">
        <f>LoadProfile!G15</f>
        <v>0</v>
      </c>
      <c r="M17" s="1437">
        <f>LoadProfile!H15</f>
        <v>0</v>
      </c>
      <c r="N17" s="1437" t="str">
        <f>IF(LoadProfile!I15&lt;=0,"--",LoadProfile!I15)</f>
        <v>--</v>
      </c>
      <c r="O17" s="1437">
        <f>LoadProfile!J15</f>
        <v>0</v>
      </c>
      <c r="P17" s="1431" t="str">
        <f>IF(LoadProfile!M15&lt;=0,"",LoadProfile!M15)</f>
        <v/>
      </c>
      <c r="Q17" s="1431" t="str">
        <f>IF(LoadProfile!O15&lt;=0,"",LoadProfile!O15)</f>
        <v/>
      </c>
      <c r="R17" s="1431" t="str">
        <f>IF(LoadProfile!Q15&lt;=0,"",LoadProfile!Q15)</f>
        <v/>
      </c>
      <c r="S17" s="1431" t="str">
        <f>IF(LoadProfile!S15&lt;=0,"",LoadProfile!S15)</f>
        <v/>
      </c>
      <c r="T17" s="1431" t="str">
        <f>IF(LoadProfile!U15&lt;=0,"",LoadProfile!U15)</f>
        <v/>
      </c>
      <c r="U17" s="1431" t="str">
        <f>IF(LoadProfile!W15&lt;=0,"",LoadProfile!W15)</f>
        <v/>
      </c>
      <c r="V17" s="1431" t="str">
        <f>IF(LoadProfile!Y15&lt;=0,"",LoadProfile!Y15)</f>
        <v/>
      </c>
      <c r="W17" s="1431" t="str">
        <f>IF(LoadProfile!AA15&lt;=0,"",LoadProfile!AA15)</f>
        <v/>
      </c>
      <c r="X17" s="1431" t="str">
        <f>IF(LoadProfile!AC15&lt;=0,"",LoadProfile!AC15)</f>
        <v/>
      </c>
      <c r="Y17" s="1431" t="str">
        <f>IF(LoadProfile!AE15&lt;=0,"",LoadProfile!AE15)</f>
        <v/>
      </c>
      <c r="Z17" s="1431" t="str">
        <f>IF(LoadProfile!AG15&lt;=0,"",LoadProfile!AG15)</f>
        <v/>
      </c>
      <c r="AA17" s="1566" t="str">
        <f>IF(LoadProfile!AH15&lt;=0,"",LoadProfile!AH15)</f>
        <v/>
      </c>
      <c r="AB17" s="1633"/>
    </row>
    <row r="18" spans="1:28" hidden="1" x14ac:dyDescent="0.2">
      <c r="A18" s="376" t="str">
        <f>LoadProfile!A16</f>
        <v>x</v>
      </c>
      <c r="B18" s="1560" t="str">
        <f>IF(OR(RIGHT(LoadProfile!B16,1)="y",RIGHT(LoadProfile!B16,3)="C02",RIGHT(LoadProfile!B16,3)="CO2")=TRUE,(_xlfn.CONCAT(LoadProfile!B16," ",VLOOKUP(C18,APPLICATION,2,FALSE))),LoadProfile!B16)</f>
        <v/>
      </c>
      <c r="C18" s="1436" t="e">
        <f>LoadProfile!C16</f>
        <v>#REF!</v>
      </c>
      <c r="D18" s="1436" t="e">
        <f>SUBSTITUTE(LoadProfile!D16,"**","")</f>
        <v>#REF!</v>
      </c>
      <c r="E18" s="1436" t="e">
        <f>IF(INDEX('Legend(DX)'!$S$8:$S$9,9)=0,"---",INDEX('Legend(DX)'!$S$8:$S$9,9))</f>
        <v>#REF!</v>
      </c>
      <c r="F18" s="1430" t="e">
        <f t="shared" si="0"/>
        <v>#REF!</v>
      </c>
      <c r="G18" s="1436" t="e">
        <f>IF(INDEX('Legend(DX)'!$AD$8:$AD$9,9)=0,"-",INDEX('Legend(DX)'!$AD$8:$AD$9,9))</f>
        <v>#REF!</v>
      </c>
      <c r="H18" s="1430" t="e">
        <f t="shared" si="1"/>
        <v>#REF!</v>
      </c>
      <c r="I18" s="1548"/>
      <c r="J18" s="1570" t="e">
        <f t="shared" si="2"/>
        <v>#REF!</v>
      </c>
      <c r="K18" s="1437">
        <f>LoadProfile!F16</f>
        <v>0</v>
      </c>
      <c r="L18" s="1437">
        <f>LoadProfile!G16</f>
        <v>0</v>
      </c>
      <c r="M18" s="1437">
        <f>LoadProfile!H16</f>
        <v>0</v>
      </c>
      <c r="N18" s="1437" t="str">
        <f>IF(LoadProfile!I16&lt;=0,"--",LoadProfile!I16)</f>
        <v>--</v>
      </c>
      <c r="O18" s="1437">
        <f>LoadProfile!J16</f>
        <v>0</v>
      </c>
      <c r="P18" s="1431" t="str">
        <f>IF(LoadProfile!M16&lt;=0,"",LoadProfile!M16)</f>
        <v/>
      </c>
      <c r="Q18" s="1431" t="str">
        <f>IF(LoadProfile!O16&lt;=0,"",LoadProfile!O16)</f>
        <v/>
      </c>
      <c r="R18" s="1431" t="str">
        <f>IF(LoadProfile!Q16&lt;=0,"",LoadProfile!Q16)</f>
        <v/>
      </c>
      <c r="S18" s="1431" t="str">
        <f>IF(LoadProfile!S16&lt;=0,"",LoadProfile!S16)</f>
        <v/>
      </c>
      <c r="T18" s="1431" t="str">
        <f>IF(LoadProfile!U16&lt;=0,"",LoadProfile!U16)</f>
        <v/>
      </c>
      <c r="U18" s="1431" t="str">
        <f>IF(LoadProfile!W16&lt;=0,"",LoadProfile!W16)</f>
        <v/>
      </c>
      <c r="V18" s="1431" t="str">
        <f>IF(LoadProfile!Y16&lt;=0,"",LoadProfile!Y16)</f>
        <v/>
      </c>
      <c r="W18" s="1431" t="str">
        <f>IF(LoadProfile!AA16&lt;=0,"",LoadProfile!AA16)</f>
        <v/>
      </c>
      <c r="X18" s="1431" t="str">
        <f>IF(LoadProfile!AC16&lt;=0,"",LoadProfile!AC16)</f>
        <v/>
      </c>
      <c r="Y18" s="1431" t="str">
        <f>IF(LoadProfile!AE16&lt;=0,"",LoadProfile!AE16)</f>
        <v/>
      </c>
      <c r="Z18" s="1431" t="str">
        <f>IF(LoadProfile!AG16&lt;=0,"",LoadProfile!AG16)</f>
        <v/>
      </c>
      <c r="AA18" s="1566" t="str">
        <f>IF(LoadProfile!AH16&lt;=0,"",LoadProfile!AH16)</f>
        <v/>
      </c>
      <c r="AB18" s="1633"/>
    </row>
    <row r="19" spans="1:28" hidden="1" x14ac:dyDescent="0.2">
      <c r="A19" s="376" t="str">
        <f>LoadProfile!A17</f>
        <v>x</v>
      </c>
      <c r="B19" s="1560" t="str">
        <f>IF(OR(RIGHT(LoadProfile!B17,1)="y",RIGHT(LoadProfile!B17,3)="C02",RIGHT(LoadProfile!B17,3)="CO2")=TRUE,(_xlfn.CONCAT(LoadProfile!B17," ",VLOOKUP(C19,APPLICATION,2,FALSE))),LoadProfile!B17)</f>
        <v/>
      </c>
      <c r="C19" s="1436" t="e">
        <f>LoadProfile!C17</f>
        <v>#REF!</v>
      </c>
      <c r="D19" s="1436" t="e">
        <f>SUBSTITUTE(LoadProfile!D17,"**","")</f>
        <v>#REF!</v>
      </c>
      <c r="E19" s="1436" t="e">
        <f>IF(INDEX('Legend(DX)'!$S$8:$S$9,10)=0,"---",INDEX('Legend(DX)'!$S$8:$S$9,10))</f>
        <v>#REF!</v>
      </c>
      <c r="F19" s="1430" t="e">
        <f t="shared" si="0"/>
        <v>#REF!</v>
      </c>
      <c r="G19" s="1436" t="e">
        <f>IF(INDEX('Legend(DX)'!$AD$8:$AD$9,10)=0,"-",INDEX('Legend(DX)'!$AD$8:$AD$9,10))</f>
        <v>#REF!</v>
      </c>
      <c r="H19" s="1430" t="e">
        <f t="shared" si="1"/>
        <v>#REF!</v>
      </c>
      <c r="I19" s="1548"/>
      <c r="J19" s="1570" t="e">
        <f t="shared" si="2"/>
        <v>#REF!</v>
      </c>
      <c r="K19" s="1437">
        <f>LoadProfile!F17</f>
        <v>0</v>
      </c>
      <c r="L19" s="1437">
        <f>LoadProfile!G17</f>
        <v>0</v>
      </c>
      <c r="M19" s="1437">
        <f>LoadProfile!H17</f>
        <v>0</v>
      </c>
      <c r="N19" s="1437" t="str">
        <f>IF(LoadProfile!I17&lt;=0,"--",LoadProfile!I17)</f>
        <v>--</v>
      </c>
      <c r="O19" s="1437">
        <f>LoadProfile!J17</f>
        <v>0</v>
      </c>
      <c r="P19" s="1431" t="str">
        <f>IF(LoadProfile!M17&lt;=0,"",LoadProfile!M17)</f>
        <v/>
      </c>
      <c r="Q19" s="1431" t="str">
        <f>IF(LoadProfile!O17&lt;=0,"",LoadProfile!O17)</f>
        <v/>
      </c>
      <c r="R19" s="1431" t="str">
        <f>IF(LoadProfile!Q17&lt;=0,"",LoadProfile!Q17)</f>
        <v/>
      </c>
      <c r="S19" s="1431" t="str">
        <f>IF(LoadProfile!S17&lt;=0,"",LoadProfile!S17)</f>
        <v/>
      </c>
      <c r="T19" s="1431" t="str">
        <f>IF(LoadProfile!U17&lt;=0,"",LoadProfile!U17)</f>
        <v/>
      </c>
      <c r="U19" s="1431" t="str">
        <f>IF(LoadProfile!W17&lt;=0,"",LoadProfile!W17)</f>
        <v/>
      </c>
      <c r="V19" s="1431" t="str">
        <f>IF(LoadProfile!Y17&lt;=0,"",LoadProfile!Y17)</f>
        <v/>
      </c>
      <c r="W19" s="1431" t="str">
        <f>IF(LoadProfile!AA17&lt;=0,"",LoadProfile!AA17)</f>
        <v/>
      </c>
      <c r="X19" s="1431" t="str">
        <f>IF(LoadProfile!AC17&lt;=0,"",LoadProfile!AC17)</f>
        <v/>
      </c>
      <c r="Y19" s="1431" t="str">
        <f>IF(LoadProfile!AE17&lt;=0,"",LoadProfile!AE17)</f>
        <v/>
      </c>
      <c r="Z19" s="1431" t="str">
        <f>IF(LoadProfile!AG17&lt;=0,"",LoadProfile!AG17)</f>
        <v/>
      </c>
      <c r="AA19" s="1566" t="str">
        <f>IF(LoadProfile!AH17&lt;=0,"",LoadProfile!AH17)</f>
        <v/>
      </c>
      <c r="AB19" s="1633"/>
    </row>
    <row r="20" spans="1:28" hidden="1" x14ac:dyDescent="0.2">
      <c r="A20" s="376" t="str">
        <f>LoadProfile!A18</f>
        <v>x</v>
      </c>
      <c r="B20" s="1560" t="str">
        <f>IF(OR(RIGHT(LoadProfile!B18,1)="y",RIGHT(LoadProfile!B18,3)="C02",RIGHT(LoadProfile!B18,3)="CO2")=TRUE,(_xlfn.CONCAT(LoadProfile!B18," ",VLOOKUP(C20,APPLICATION,2,FALSE))),LoadProfile!B18)</f>
        <v/>
      </c>
      <c r="C20" s="1436" t="e">
        <f>LoadProfile!C18</f>
        <v>#REF!</v>
      </c>
      <c r="D20" s="1436" t="e">
        <f>SUBSTITUTE(LoadProfile!D18,"**","")</f>
        <v>#REF!</v>
      </c>
      <c r="E20" s="1436" t="e">
        <f>IF(INDEX('Legend(DX)'!$S$8:$S$9,11)=0,"---",INDEX('Legend(DX)'!$S$8:$S$9,11))</f>
        <v>#REF!</v>
      </c>
      <c r="F20" s="1430" t="e">
        <f t="shared" si="0"/>
        <v>#REF!</v>
      </c>
      <c r="G20" s="1436" t="e">
        <f>IF(INDEX('Legend(DX)'!$AD$8:$AD$9,11)=0,"-",INDEX('Legend(DX)'!$AD$8:$AD$9,11))</f>
        <v>#REF!</v>
      </c>
      <c r="H20" s="1430" t="e">
        <f t="shared" si="1"/>
        <v>#REF!</v>
      </c>
      <c r="I20" s="1548"/>
      <c r="J20" s="1570" t="e">
        <f t="shared" si="2"/>
        <v>#REF!</v>
      </c>
      <c r="K20" s="1437">
        <f>LoadProfile!F18</f>
        <v>0</v>
      </c>
      <c r="L20" s="1437">
        <f>LoadProfile!G18</f>
        <v>0</v>
      </c>
      <c r="M20" s="1437">
        <f>LoadProfile!H18</f>
        <v>0</v>
      </c>
      <c r="N20" s="1437" t="str">
        <f>IF(LoadProfile!I18&lt;=0,"--",LoadProfile!I18)</f>
        <v>--</v>
      </c>
      <c r="O20" s="1437">
        <f>LoadProfile!J18</f>
        <v>0</v>
      </c>
      <c r="P20" s="1431" t="str">
        <f>IF(LoadProfile!M18&lt;=0,"",LoadProfile!M18)</f>
        <v/>
      </c>
      <c r="Q20" s="1431" t="str">
        <f>IF(LoadProfile!O18&lt;=0,"",LoadProfile!O18)</f>
        <v/>
      </c>
      <c r="R20" s="1431" t="str">
        <f>IF(LoadProfile!Q18&lt;=0,"",LoadProfile!Q18)</f>
        <v/>
      </c>
      <c r="S20" s="1431" t="str">
        <f>IF(LoadProfile!S18&lt;=0,"",LoadProfile!S18)</f>
        <v/>
      </c>
      <c r="T20" s="1431" t="str">
        <f>IF(LoadProfile!U18&lt;=0,"",LoadProfile!U18)</f>
        <v/>
      </c>
      <c r="U20" s="1431" t="str">
        <f>IF(LoadProfile!W18&lt;=0,"",LoadProfile!W18)</f>
        <v/>
      </c>
      <c r="V20" s="1431" t="str">
        <f>IF(LoadProfile!Y18&lt;=0,"",LoadProfile!Y18)</f>
        <v/>
      </c>
      <c r="W20" s="1431" t="str">
        <f>IF(LoadProfile!AA18&lt;=0,"",LoadProfile!AA18)</f>
        <v/>
      </c>
      <c r="X20" s="1431" t="str">
        <f>IF(LoadProfile!AC18&lt;=0,"",LoadProfile!AC18)</f>
        <v/>
      </c>
      <c r="Y20" s="1431" t="str">
        <f>IF(LoadProfile!AE18&lt;=0,"",LoadProfile!AE18)</f>
        <v/>
      </c>
      <c r="Z20" s="1431" t="str">
        <f>IF(LoadProfile!AG18&lt;=0,"",LoadProfile!AG18)</f>
        <v/>
      </c>
      <c r="AA20" s="1566" t="str">
        <f>IF(LoadProfile!AH18&lt;=0,"",LoadProfile!AH18)</f>
        <v/>
      </c>
      <c r="AB20" s="1633"/>
    </row>
    <row r="21" spans="1:28" hidden="1" x14ac:dyDescent="0.2">
      <c r="A21" s="376" t="str">
        <f>LoadProfile!A19</f>
        <v>x</v>
      </c>
      <c r="B21" s="1560" t="str">
        <f>IF(OR(RIGHT(LoadProfile!B19,1)="y",RIGHT(LoadProfile!B19,3)="C02",RIGHT(LoadProfile!B19,3)="CO2")=TRUE,(_xlfn.CONCAT(LoadProfile!B19," ",VLOOKUP(C21,APPLICATION,2,FALSE))),LoadProfile!B19)</f>
        <v/>
      </c>
      <c r="C21" s="1436" t="e">
        <f>LoadProfile!C19</f>
        <v>#REF!</v>
      </c>
      <c r="D21" s="1436" t="e">
        <f>SUBSTITUTE(LoadProfile!D19,"**","")</f>
        <v>#REF!</v>
      </c>
      <c r="E21" s="1436" t="e">
        <f>IF(INDEX('Legend(DX)'!$S$8:$S$9,12)=0,"---",INDEX('Legend(DX)'!$S$8:$S$9,12))</f>
        <v>#REF!</v>
      </c>
      <c r="F21" s="1430" t="e">
        <f t="shared" si="0"/>
        <v>#REF!</v>
      </c>
      <c r="G21" s="1436" t="e">
        <f>IF(INDEX('Legend(DX)'!$AD$8:$AD$9,12)=0,"-",INDEX('Legend(DX)'!$AD$8:$AD$9,12))</f>
        <v>#REF!</v>
      </c>
      <c r="H21" s="1430" t="e">
        <f t="shared" si="1"/>
        <v>#REF!</v>
      </c>
      <c r="I21" s="1548"/>
      <c r="J21" s="1570" t="e">
        <f t="shared" si="2"/>
        <v>#REF!</v>
      </c>
      <c r="K21" s="1437">
        <f>LoadProfile!F19</f>
        <v>0</v>
      </c>
      <c r="L21" s="1437">
        <f>LoadProfile!G19</f>
        <v>0</v>
      </c>
      <c r="M21" s="1437">
        <f>LoadProfile!H19</f>
        <v>0</v>
      </c>
      <c r="N21" s="1437" t="str">
        <f>IF(LoadProfile!I19&lt;=0,"--",LoadProfile!I19)</f>
        <v>--</v>
      </c>
      <c r="O21" s="1437">
        <f>LoadProfile!J19</f>
        <v>0</v>
      </c>
      <c r="P21" s="1431" t="str">
        <f>IF(LoadProfile!M19&lt;=0,"",LoadProfile!M19)</f>
        <v/>
      </c>
      <c r="Q21" s="1431" t="str">
        <f>IF(LoadProfile!O19&lt;=0,"",LoadProfile!O19)</f>
        <v/>
      </c>
      <c r="R21" s="1431" t="str">
        <f>IF(LoadProfile!Q19&lt;=0,"",LoadProfile!Q19)</f>
        <v/>
      </c>
      <c r="S21" s="1431" t="str">
        <f>IF(LoadProfile!S19&lt;=0,"",LoadProfile!S19)</f>
        <v/>
      </c>
      <c r="T21" s="1431" t="str">
        <f>IF(LoadProfile!U19&lt;=0,"",LoadProfile!U19)</f>
        <v/>
      </c>
      <c r="U21" s="1431" t="str">
        <f>IF(LoadProfile!W19&lt;=0,"",LoadProfile!W19)</f>
        <v/>
      </c>
      <c r="V21" s="1431" t="str">
        <f>IF(LoadProfile!Y19&lt;=0,"",LoadProfile!Y19)</f>
        <v/>
      </c>
      <c r="W21" s="1431" t="str">
        <f>IF(LoadProfile!AA19&lt;=0,"",LoadProfile!AA19)</f>
        <v/>
      </c>
      <c r="X21" s="1431" t="str">
        <f>IF(LoadProfile!AC19&lt;=0,"",LoadProfile!AC19)</f>
        <v/>
      </c>
      <c r="Y21" s="1431" t="str">
        <f>IF(LoadProfile!AE19&lt;=0,"",LoadProfile!AE19)</f>
        <v/>
      </c>
      <c r="Z21" s="1431" t="str">
        <f>IF(LoadProfile!AG19&lt;=0,"",LoadProfile!AG19)</f>
        <v/>
      </c>
      <c r="AA21" s="1566" t="str">
        <f>IF(LoadProfile!AH19&lt;=0,"",LoadProfile!AH19)</f>
        <v/>
      </c>
      <c r="AB21" s="1633"/>
    </row>
    <row r="22" spans="1:28" hidden="1" x14ac:dyDescent="0.2">
      <c r="A22" s="376" t="str">
        <f>LoadProfile!A20</f>
        <v>x</v>
      </c>
      <c r="B22" s="1560" t="str">
        <f>IF(OR(RIGHT(LoadProfile!B20,1)="y",RIGHT(LoadProfile!B20,3)="C02",RIGHT(LoadProfile!B20,3)="CO2")=TRUE,(_xlfn.CONCAT(LoadProfile!B20," ",VLOOKUP(C22,APPLICATION,2,FALSE))),LoadProfile!B20)</f>
        <v/>
      </c>
      <c r="C22" s="1436" t="e">
        <f>LoadProfile!C20</f>
        <v>#REF!</v>
      </c>
      <c r="D22" s="1436" t="e">
        <f>SUBSTITUTE(LoadProfile!D20,"**","")</f>
        <v>#REF!</v>
      </c>
      <c r="E22" s="1436" t="e">
        <f>IF(INDEX('Legend(DX)'!$S$8:$S$9,13)=0,"---",INDEX('Legend(DX)'!$S$8:$S$9,13))</f>
        <v>#REF!</v>
      </c>
      <c r="F22" s="1430" t="e">
        <f t="shared" si="0"/>
        <v>#REF!</v>
      </c>
      <c r="G22" s="1436" t="e">
        <f>IF(INDEX('Legend(DX)'!$AD$8:$AD$9,13)=0,"-",INDEX('Legend(DX)'!$AD$8:$AD$9,13))</f>
        <v>#REF!</v>
      </c>
      <c r="H22" s="1430" t="e">
        <f t="shared" si="1"/>
        <v>#REF!</v>
      </c>
      <c r="I22" s="1548"/>
      <c r="J22" s="1570" t="e">
        <f t="shared" si="2"/>
        <v>#REF!</v>
      </c>
      <c r="K22" s="1437">
        <f>LoadProfile!F20</f>
        <v>0</v>
      </c>
      <c r="L22" s="1437">
        <f>LoadProfile!G20</f>
        <v>0</v>
      </c>
      <c r="M22" s="1437">
        <f>LoadProfile!H20</f>
        <v>0</v>
      </c>
      <c r="N22" s="1437" t="str">
        <f>IF(LoadProfile!I20&lt;=0,"--",LoadProfile!I20)</f>
        <v>--</v>
      </c>
      <c r="O22" s="1437">
        <f>LoadProfile!J20</f>
        <v>0</v>
      </c>
      <c r="P22" s="1431" t="str">
        <f>IF(LoadProfile!M20&lt;=0,"",LoadProfile!M20)</f>
        <v/>
      </c>
      <c r="Q22" s="1431" t="str">
        <f>IF(LoadProfile!O20&lt;=0,"",LoadProfile!O20)</f>
        <v/>
      </c>
      <c r="R22" s="1431" t="str">
        <f>IF(LoadProfile!Q20&lt;=0,"",LoadProfile!Q20)</f>
        <v/>
      </c>
      <c r="S22" s="1431" t="str">
        <f>IF(LoadProfile!S20&lt;=0,"",LoadProfile!S20)</f>
        <v/>
      </c>
      <c r="T22" s="1431" t="str">
        <f>IF(LoadProfile!U20&lt;=0,"",LoadProfile!U20)</f>
        <v/>
      </c>
      <c r="U22" s="1431" t="str">
        <f>IF(LoadProfile!W20&lt;=0,"",LoadProfile!W20)</f>
        <v/>
      </c>
      <c r="V22" s="1431" t="str">
        <f>IF(LoadProfile!Y20&lt;=0,"",LoadProfile!Y20)</f>
        <v/>
      </c>
      <c r="W22" s="1431" t="str">
        <f>IF(LoadProfile!AA20&lt;=0,"",LoadProfile!AA20)</f>
        <v/>
      </c>
      <c r="X22" s="1431" t="str">
        <f>IF(LoadProfile!AC20&lt;=0,"",LoadProfile!AC20)</f>
        <v/>
      </c>
      <c r="Y22" s="1431" t="str">
        <f>IF(LoadProfile!AE20&lt;=0,"",LoadProfile!AE20)</f>
        <v/>
      </c>
      <c r="Z22" s="1431" t="str">
        <f>IF(LoadProfile!AG20&lt;=0,"",LoadProfile!AG20)</f>
        <v/>
      </c>
      <c r="AA22" s="1566" t="str">
        <f>IF(LoadProfile!AH20&lt;=0,"",LoadProfile!AH20)</f>
        <v/>
      </c>
      <c r="AB22" s="1633"/>
    </row>
    <row r="23" spans="1:28" hidden="1" x14ac:dyDescent="0.2">
      <c r="A23" s="376" t="str">
        <f>LoadProfile!A21</f>
        <v>x</v>
      </c>
      <c r="B23" s="1560" t="str">
        <f>IF(OR(RIGHT(LoadProfile!B21,1)="y",RIGHT(LoadProfile!B21,3)="C02",RIGHT(LoadProfile!B21,3)="CO2")=TRUE,(_xlfn.CONCAT(LoadProfile!B21," ",VLOOKUP(C23,APPLICATION,2,FALSE))),LoadProfile!B21)</f>
        <v/>
      </c>
      <c r="C23" s="1436" t="e">
        <f>LoadProfile!C21</f>
        <v>#REF!</v>
      </c>
      <c r="D23" s="1436" t="e">
        <f>SUBSTITUTE(LoadProfile!D21,"**","")</f>
        <v>#REF!</v>
      </c>
      <c r="E23" s="1436" t="e">
        <f>IF(INDEX('Legend(DX)'!$S$8:$S$9,14)=0,"---",INDEX('Legend(DX)'!$S$8:$S$9,14))</f>
        <v>#REF!</v>
      </c>
      <c r="F23" s="1430" t="e">
        <f t="shared" si="0"/>
        <v>#REF!</v>
      </c>
      <c r="G23" s="1436" t="e">
        <f>IF(INDEX('Legend(DX)'!$AD$8:$AD$9,14)=0,"-",INDEX('Legend(DX)'!$AD$8:$AD$9,14))</f>
        <v>#REF!</v>
      </c>
      <c r="H23" s="1430" t="e">
        <f t="shared" si="1"/>
        <v>#REF!</v>
      </c>
      <c r="I23" s="1548"/>
      <c r="J23" s="1570" t="e">
        <f t="shared" si="2"/>
        <v>#REF!</v>
      </c>
      <c r="K23" s="1437">
        <f>LoadProfile!F21</f>
        <v>0</v>
      </c>
      <c r="L23" s="1437">
        <f>LoadProfile!G21</f>
        <v>0</v>
      </c>
      <c r="M23" s="1437">
        <f>LoadProfile!H21</f>
        <v>0</v>
      </c>
      <c r="N23" s="1437" t="str">
        <f>IF(LoadProfile!I21&lt;=0,"--",LoadProfile!I21)</f>
        <v>--</v>
      </c>
      <c r="O23" s="1437">
        <f>LoadProfile!J21</f>
        <v>0</v>
      </c>
      <c r="P23" s="1431" t="str">
        <f>IF(LoadProfile!M21&lt;=0,"",LoadProfile!M21)</f>
        <v/>
      </c>
      <c r="Q23" s="1431" t="str">
        <f>IF(LoadProfile!O21&lt;=0,"",LoadProfile!O21)</f>
        <v/>
      </c>
      <c r="R23" s="1431" t="str">
        <f>IF(LoadProfile!Q21&lt;=0,"",LoadProfile!Q21)</f>
        <v/>
      </c>
      <c r="S23" s="1431" t="str">
        <f>IF(LoadProfile!S21&lt;=0,"",LoadProfile!S21)</f>
        <v/>
      </c>
      <c r="T23" s="1431" t="str">
        <f>IF(LoadProfile!U21&lt;=0,"",LoadProfile!U21)</f>
        <v/>
      </c>
      <c r="U23" s="1431" t="str">
        <f>IF(LoadProfile!W21&lt;=0,"",LoadProfile!W21)</f>
        <v/>
      </c>
      <c r="V23" s="1431" t="str">
        <f>IF(LoadProfile!Y21&lt;=0,"",LoadProfile!Y21)</f>
        <v/>
      </c>
      <c r="W23" s="1431" t="str">
        <f>IF(LoadProfile!AA21&lt;=0,"",LoadProfile!AA21)</f>
        <v/>
      </c>
      <c r="X23" s="1431" t="str">
        <f>IF(LoadProfile!AC21&lt;=0,"",LoadProfile!AC21)</f>
        <v/>
      </c>
      <c r="Y23" s="1431" t="str">
        <f>IF(LoadProfile!AE21&lt;=0,"",LoadProfile!AE21)</f>
        <v/>
      </c>
      <c r="Z23" s="1431" t="str">
        <f>IF(LoadProfile!AG21&lt;=0,"",LoadProfile!AG21)</f>
        <v/>
      </c>
      <c r="AA23" s="1566" t="str">
        <f>IF(LoadProfile!AH21&lt;=0,"",LoadProfile!AH21)</f>
        <v/>
      </c>
      <c r="AB23" s="1633"/>
    </row>
    <row r="24" spans="1:28" hidden="1" x14ac:dyDescent="0.2">
      <c r="A24" s="376" t="str">
        <f>LoadProfile!A22</f>
        <v>x</v>
      </c>
      <c r="B24" s="1560" t="str">
        <f>IF(OR(RIGHT(LoadProfile!B22,1)="y",RIGHT(LoadProfile!B22,3)="C02",RIGHT(LoadProfile!B22,3)="CO2")=TRUE,(_xlfn.CONCAT(LoadProfile!B22," ",VLOOKUP(C24,APPLICATION,2,FALSE))),LoadProfile!B22)</f>
        <v/>
      </c>
      <c r="C24" s="1436" t="e">
        <f>LoadProfile!C22</f>
        <v>#REF!</v>
      </c>
      <c r="D24" s="1436" t="e">
        <f>SUBSTITUTE(LoadProfile!D22,"**","")</f>
        <v>#REF!</v>
      </c>
      <c r="E24" s="1436" t="e">
        <f>IF(INDEX('Legend(DX)'!$S$8:$S$9,15)=0,"---",INDEX('Legend(DX)'!$S$8:$S$9,15))</f>
        <v>#REF!</v>
      </c>
      <c r="F24" s="1430" t="e">
        <f t="shared" si="0"/>
        <v>#REF!</v>
      </c>
      <c r="G24" s="1436" t="e">
        <f>IF(INDEX('Legend(DX)'!$AD$8:$AD$9,15)=0,"-",INDEX('Legend(DX)'!$AD$8:$AD$9,15))</f>
        <v>#REF!</v>
      </c>
      <c r="H24" s="1430" t="e">
        <f t="shared" si="1"/>
        <v>#REF!</v>
      </c>
      <c r="I24" s="1548"/>
      <c r="J24" s="1570" t="e">
        <f t="shared" si="2"/>
        <v>#REF!</v>
      </c>
      <c r="K24" s="1437">
        <f>LoadProfile!F22</f>
        <v>0</v>
      </c>
      <c r="L24" s="1437">
        <f>LoadProfile!G22</f>
        <v>0</v>
      </c>
      <c r="M24" s="1437">
        <f>LoadProfile!H22</f>
        <v>0</v>
      </c>
      <c r="N24" s="1437" t="str">
        <f>IF(LoadProfile!I22&lt;=0,"--",LoadProfile!I22)</f>
        <v>--</v>
      </c>
      <c r="O24" s="1437">
        <f>LoadProfile!J22</f>
        <v>0</v>
      </c>
      <c r="P24" s="1431" t="str">
        <f>IF(LoadProfile!M22&lt;=0,"",LoadProfile!M22)</f>
        <v/>
      </c>
      <c r="Q24" s="1431" t="str">
        <f>IF(LoadProfile!O22&lt;=0,"",LoadProfile!O22)</f>
        <v/>
      </c>
      <c r="R24" s="1431" t="str">
        <f>IF(LoadProfile!Q22&lt;=0,"",LoadProfile!Q22)</f>
        <v/>
      </c>
      <c r="S24" s="1431" t="str">
        <f>IF(LoadProfile!S22&lt;=0,"",LoadProfile!S22)</f>
        <v/>
      </c>
      <c r="T24" s="1431" t="str">
        <f>IF(LoadProfile!U22&lt;=0,"",LoadProfile!U22)</f>
        <v/>
      </c>
      <c r="U24" s="1431" t="str">
        <f>IF(LoadProfile!W22&lt;=0,"",LoadProfile!W22)</f>
        <v/>
      </c>
      <c r="V24" s="1431" t="str">
        <f>IF(LoadProfile!Y22&lt;=0,"",LoadProfile!Y22)</f>
        <v/>
      </c>
      <c r="W24" s="1431" t="str">
        <f>IF(LoadProfile!AA22&lt;=0,"",LoadProfile!AA22)</f>
        <v/>
      </c>
      <c r="X24" s="1431" t="str">
        <f>IF(LoadProfile!AC22&lt;=0,"",LoadProfile!AC22)</f>
        <v/>
      </c>
      <c r="Y24" s="1431" t="str">
        <f>IF(LoadProfile!AE22&lt;=0,"",LoadProfile!AE22)</f>
        <v/>
      </c>
      <c r="Z24" s="1431" t="str">
        <f>IF(LoadProfile!AG22&lt;=0,"",LoadProfile!AG22)</f>
        <v/>
      </c>
      <c r="AA24" s="1566" t="str">
        <f>IF(LoadProfile!AH22&lt;=0,"",LoadProfile!AH22)</f>
        <v/>
      </c>
      <c r="AB24" s="1633"/>
    </row>
    <row r="25" spans="1:28" hidden="1" x14ac:dyDescent="0.2">
      <c r="A25" s="376" t="str">
        <f>LoadProfile!A23</f>
        <v>x</v>
      </c>
      <c r="B25" s="1560" t="str">
        <f>IF(OR(RIGHT(LoadProfile!B23,1)="y",RIGHT(LoadProfile!B23,3)="C02",RIGHT(LoadProfile!B23,3)="CO2")=TRUE,(_xlfn.CONCAT(LoadProfile!B23," ",VLOOKUP(C25,APPLICATION,2,FALSE))),LoadProfile!B23)</f>
        <v/>
      </c>
      <c r="C25" s="1436" t="e">
        <f>LoadProfile!C23</f>
        <v>#REF!</v>
      </c>
      <c r="D25" s="1436" t="e">
        <f>SUBSTITUTE(LoadProfile!D23,"**","")</f>
        <v>#REF!</v>
      </c>
      <c r="E25" s="1436" t="e">
        <f>IF(INDEX('Legend(DX)'!$S$8:$S$9,16)=0,"---",INDEX('Legend(DX)'!$S$8:$S$9,16))</f>
        <v>#REF!</v>
      </c>
      <c r="F25" s="1430" t="e">
        <f t="shared" si="0"/>
        <v>#REF!</v>
      </c>
      <c r="G25" s="1436" t="e">
        <f>IF(INDEX('Legend(DX)'!$AD$8:$AD$9,16)=0,"-",INDEX('Legend(DX)'!$AD$8:$AD$9,16))</f>
        <v>#REF!</v>
      </c>
      <c r="H25" s="1430" t="e">
        <f t="shared" si="1"/>
        <v>#REF!</v>
      </c>
      <c r="I25" s="1548"/>
      <c r="J25" s="1570" t="e">
        <f t="shared" si="2"/>
        <v>#REF!</v>
      </c>
      <c r="K25" s="1437">
        <f>LoadProfile!F23</f>
        <v>0</v>
      </c>
      <c r="L25" s="1437">
        <f>LoadProfile!G23</f>
        <v>0</v>
      </c>
      <c r="M25" s="1437">
        <f>LoadProfile!H23</f>
        <v>0</v>
      </c>
      <c r="N25" s="1437" t="str">
        <f>IF(LoadProfile!I23&lt;=0,"--",LoadProfile!I23)</f>
        <v>--</v>
      </c>
      <c r="O25" s="1437">
        <f>LoadProfile!J23</f>
        <v>0</v>
      </c>
      <c r="P25" s="1431" t="str">
        <f>IF(LoadProfile!M23&lt;=0,"",LoadProfile!M23)</f>
        <v/>
      </c>
      <c r="Q25" s="1431" t="str">
        <f>IF(LoadProfile!O23&lt;=0,"",LoadProfile!O23)</f>
        <v/>
      </c>
      <c r="R25" s="1431" t="str">
        <f>IF(LoadProfile!Q23&lt;=0,"",LoadProfile!Q23)</f>
        <v/>
      </c>
      <c r="S25" s="1431" t="str">
        <f>IF(LoadProfile!S23&lt;=0,"",LoadProfile!S23)</f>
        <v/>
      </c>
      <c r="T25" s="1431" t="str">
        <f>IF(LoadProfile!U23&lt;=0,"",LoadProfile!U23)</f>
        <v/>
      </c>
      <c r="U25" s="1431" t="str">
        <f>IF(LoadProfile!W23&lt;=0,"",LoadProfile!W23)</f>
        <v/>
      </c>
      <c r="V25" s="1431" t="str">
        <f>IF(LoadProfile!Y23&lt;=0,"",LoadProfile!Y23)</f>
        <v/>
      </c>
      <c r="W25" s="1431" t="str">
        <f>IF(LoadProfile!AA23&lt;=0,"",LoadProfile!AA23)</f>
        <v/>
      </c>
      <c r="X25" s="1431" t="str">
        <f>IF(LoadProfile!AC23&lt;=0,"",LoadProfile!AC23)</f>
        <v/>
      </c>
      <c r="Y25" s="1431" t="str">
        <f>IF(LoadProfile!AE23&lt;=0,"",LoadProfile!AE23)</f>
        <v/>
      </c>
      <c r="Z25" s="1431" t="str">
        <f>IF(LoadProfile!AG23&lt;=0,"",LoadProfile!AG23)</f>
        <v/>
      </c>
      <c r="AA25" s="1566" t="str">
        <f>IF(LoadProfile!AH23&lt;=0,"",LoadProfile!AH23)</f>
        <v/>
      </c>
      <c r="AB25" s="1633"/>
    </row>
    <row r="26" spans="1:28" hidden="1" x14ac:dyDescent="0.2">
      <c r="A26" s="376" t="str">
        <f>LoadProfile!A24</f>
        <v>x</v>
      </c>
      <c r="B26" s="1560" t="str">
        <f>IF(OR(RIGHT(LoadProfile!B24,1)="y",RIGHT(LoadProfile!B24,3)="C02",RIGHT(LoadProfile!B24,3)="CO2")=TRUE,(_xlfn.CONCAT(LoadProfile!B24," ",VLOOKUP(C26,APPLICATION,2,FALSE))),LoadProfile!B24)</f>
        <v/>
      </c>
      <c r="C26" s="1436" t="e">
        <f>LoadProfile!C24</f>
        <v>#REF!</v>
      </c>
      <c r="D26" s="1436" t="e">
        <f>SUBSTITUTE(LoadProfile!D24,"**","")</f>
        <v>#REF!</v>
      </c>
      <c r="E26" s="1436" t="e">
        <f>IF(INDEX('Legend(DX)'!$S$8:$S$9,17)=0,"---",INDEX('Legend(DX)'!$S$8:$S$9,17))</f>
        <v>#REF!</v>
      </c>
      <c r="F26" s="1430" t="e">
        <f t="shared" si="0"/>
        <v>#REF!</v>
      </c>
      <c r="G26" s="1436" t="e">
        <f>IF(INDEX('Legend(DX)'!$AD$8:$AD$9,17)=0,"-",INDEX('Legend(DX)'!$AD$8:$AD$9,17))</f>
        <v>#REF!</v>
      </c>
      <c r="H26" s="1430" t="e">
        <f t="shared" si="1"/>
        <v>#REF!</v>
      </c>
      <c r="I26" s="1548"/>
      <c r="J26" s="1570" t="e">
        <f t="shared" si="2"/>
        <v>#REF!</v>
      </c>
      <c r="K26" s="1437">
        <f>LoadProfile!F24</f>
        <v>0</v>
      </c>
      <c r="L26" s="1437">
        <f>LoadProfile!G24</f>
        <v>0</v>
      </c>
      <c r="M26" s="1437">
        <f>LoadProfile!H24</f>
        <v>0</v>
      </c>
      <c r="N26" s="1437" t="str">
        <f>IF(LoadProfile!I24&lt;=0,"--",LoadProfile!I24)</f>
        <v>--</v>
      </c>
      <c r="O26" s="1437">
        <f>LoadProfile!J24</f>
        <v>0</v>
      </c>
      <c r="P26" s="1431" t="str">
        <f>IF(LoadProfile!M24&lt;=0,"",LoadProfile!M24)</f>
        <v/>
      </c>
      <c r="Q26" s="1431" t="str">
        <f>IF(LoadProfile!O24&lt;=0,"",LoadProfile!O24)</f>
        <v/>
      </c>
      <c r="R26" s="1431" t="str">
        <f>IF(LoadProfile!Q24&lt;=0,"",LoadProfile!Q24)</f>
        <v/>
      </c>
      <c r="S26" s="1431" t="str">
        <f>IF(LoadProfile!S24&lt;=0,"",LoadProfile!S24)</f>
        <v/>
      </c>
      <c r="T26" s="1431" t="str">
        <f>IF(LoadProfile!U24&lt;=0,"",LoadProfile!U24)</f>
        <v/>
      </c>
      <c r="U26" s="1431" t="str">
        <f>IF(LoadProfile!W24&lt;=0,"",LoadProfile!W24)</f>
        <v/>
      </c>
      <c r="V26" s="1431" t="str">
        <f>IF(LoadProfile!Y24&lt;=0,"",LoadProfile!Y24)</f>
        <v/>
      </c>
      <c r="W26" s="1431" t="str">
        <f>IF(LoadProfile!AA24&lt;=0,"",LoadProfile!AA24)</f>
        <v/>
      </c>
      <c r="X26" s="1431" t="str">
        <f>IF(LoadProfile!AC24&lt;=0,"",LoadProfile!AC24)</f>
        <v/>
      </c>
      <c r="Y26" s="1431" t="str">
        <f>IF(LoadProfile!AE24&lt;=0,"",LoadProfile!AE24)</f>
        <v/>
      </c>
      <c r="Z26" s="1431" t="str">
        <f>IF(LoadProfile!AG24&lt;=0,"",LoadProfile!AG24)</f>
        <v/>
      </c>
      <c r="AA26" s="1566" t="str">
        <f>IF(LoadProfile!AH24&lt;=0,"",LoadProfile!AH24)</f>
        <v/>
      </c>
      <c r="AB26" s="1633"/>
    </row>
    <row r="27" spans="1:28" hidden="1" x14ac:dyDescent="0.2">
      <c r="A27" s="376" t="str">
        <f>LoadProfile!A25</f>
        <v>x</v>
      </c>
      <c r="B27" s="1560" t="str">
        <f>IF(OR(RIGHT(LoadProfile!B25,1)="y",RIGHT(LoadProfile!B25,3)="C02",RIGHT(LoadProfile!B25,3)="CO2")=TRUE,(_xlfn.CONCAT(LoadProfile!B25," ",VLOOKUP(C27,APPLICATION,2,FALSE))),LoadProfile!B25)</f>
        <v/>
      </c>
      <c r="C27" s="1436" t="e">
        <f>LoadProfile!C25</f>
        <v>#REF!</v>
      </c>
      <c r="D27" s="1436" t="e">
        <f>SUBSTITUTE(LoadProfile!D25,"**","")</f>
        <v>#REF!</v>
      </c>
      <c r="E27" s="1436" t="e">
        <f>IF(INDEX('Legend(DX)'!$S$8:$S$9,18)=0,"---",INDEX('Legend(DX)'!$S$8:$S$9,18))</f>
        <v>#REF!</v>
      </c>
      <c r="F27" s="1430" t="e">
        <f t="shared" si="0"/>
        <v>#REF!</v>
      </c>
      <c r="G27" s="1436" t="e">
        <f>IF(INDEX('Legend(DX)'!$AD$8:$AD$9,18)=0,"-",INDEX('Legend(DX)'!$AD$8:$AD$9,18))</f>
        <v>#REF!</v>
      </c>
      <c r="H27" s="1430" t="e">
        <f t="shared" si="1"/>
        <v>#REF!</v>
      </c>
      <c r="I27" s="1548"/>
      <c r="J27" s="1570" t="e">
        <f t="shared" si="2"/>
        <v>#REF!</v>
      </c>
      <c r="K27" s="1437">
        <f>LoadProfile!F25</f>
        <v>0</v>
      </c>
      <c r="L27" s="1437">
        <f>LoadProfile!G25</f>
        <v>0</v>
      </c>
      <c r="M27" s="1437">
        <f>LoadProfile!H25</f>
        <v>0</v>
      </c>
      <c r="N27" s="1437" t="str">
        <f>IF(LoadProfile!I25&lt;=0,"--",LoadProfile!I25)</f>
        <v>--</v>
      </c>
      <c r="O27" s="1437">
        <f>LoadProfile!J25</f>
        <v>0</v>
      </c>
      <c r="P27" s="1431" t="str">
        <f>IF(LoadProfile!M25&lt;=0,"",LoadProfile!M25)</f>
        <v/>
      </c>
      <c r="Q27" s="1431" t="str">
        <f>IF(LoadProfile!O25&lt;=0,"",LoadProfile!O25)</f>
        <v/>
      </c>
      <c r="R27" s="1431" t="str">
        <f>IF(LoadProfile!Q25&lt;=0,"",LoadProfile!Q25)</f>
        <v/>
      </c>
      <c r="S27" s="1431" t="str">
        <f>IF(LoadProfile!S25&lt;=0,"",LoadProfile!S25)</f>
        <v/>
      </c>
      <c r="T27" s="1431" t="str">
        <f>IF(LoadProfile!U25&lt;=0,"",LoadProfile!U25)</f>
        <v/>
      </c>
      <c r="U27" s="1431" t="str">
        <f>IF(LoadProfile!W25&lt;=0,"",LoadProfile!W25)</f>
        <v/>
      </c>
      <c r="V27" s="1431" t="str">
        <f>IF(LoadProfile!Y25&lt;=0,"",LoadProfile!Y25)</f>
        <v/>
      </c>
      <c r="W27" s="1431" t="str">
        <f>IF(LoadProfile!AA25&lt;=0,"",LoadProfile!AA25)</f>
        <v/>
      </c>
      <c r="X27" s="1431" t="str">
        <f>IF(LoadProfile!AC25&lt;=0,"",LoadProfile!AC25)</f>
        <v/>
      </c>
      <c r="Y27" s="1431" t="str">
        <f>IF(LoadProfile!AE25&lt;=0,"",LoadProfile!AE25)</f>
        <v/>
      </c>
      <c r="Z27" s="1431" t="str">
        <f>IF(LoadProfile!AG25&lt;=0,"",LoadProfile!AG25)</f>
        <v/>
      </c>
      <c r="AA27" s="1566" t="str">
        <f>IF(LoadProfile!AH25&lt;=0,"",LoadProfile!AH25)</f>
        <v/>
      </c>
      <c r="AB27" s="1633"/>
    </row>
    <row r="28" spans="1:28" hidden="1" x14ac:dyDescent="0.2">
      <c r="A28" s="376" t="str">
        <f>LoadProfile!A26</f>
        <v>x</v>
      </c>
      <c r="B28" s="1560" t="str">
        <f>IF(OR(RIGHT(LoadProfile!B26,1)="y",RIGHT(LoadProfile!B26,3)="C02",RIGHT(LoadProfile!B26,3)="CO2")=TRUE,(_xlfn.CONCAT(LoadProfile!B26," ",VLOOKUP(C28,APPLICATION,2,FALSE))),LoadProfile!B26)</f>
        <v/>
      </c>
      <c r="C28" s="1436" t="e">
        <f>LoadProfile!C26</f>
        <v>#REF!</v>
      </c>
      <c r="D28" s="1436" t="e">
        <f>SUBSTITUTE(LoadProfile!D26,"**","")</f>
        <v>#REF!</v>
      </c>
      <c r="E28" s="1436" t="e">
        <f>IF(INDEX('Legend(DX)'!$S$8:$S$9,19)=0,"---",INDEX('Legend(DX)'!$S$8:$S$9,19))</f>
        <v>#REF!</v>
      </c>
      <c r="F28" s="1430" t="e">
        <f t="shared" si="0"/>
        <v>#REF!</v>
      </c>
      <c r="G28" s="1436" t="e">
        <f>IF(INDEX('Legend(DX)'!$AD$8:$AD$9,19)=0,"-",INDEX('Legend(DX)'!$AD$8:$AD$9,19))</f>
        <v>#REF!</v>
      </c>
      <c r="H28" s="1430" t="e">
        <f t="shared" si="1"/>
        <v>#REF!</v>
      </c>
      <c r="I28" s="1548"/>
      <c r="J28" s="1570" t="e">
        <f t="shared" si="2"/>
        <v>#REF!</v>
      </c>
      <c r="K28" s="1437">
        <f>LoadProfile!F26</f>
        <v>0</v>
      </c>
      <c r="L28" s="1437">
        <f>LoadProfile!G26</f>
        <v>0</v>
      </c>
      <c r="M28" s="1437">
        <f>LoadProfile!H26</f>
        <v>0</v>
      </c>
      <c r="N28" s="1437" t="str">
        <f>IF(LoadProfile!I26&lt;=0,"--",LoadProfile!I26)</f>
        <v>--</v>
      </c>
      <c r="O28" s="1437">
        <f>LoadProfile!J26</f>
        <v>0</v>
      </c>
      <c r="P28" s="1431" t="str">
        <f>IF(LoadProfile!M26&lt;=0,"",LoadProfile!M26)</f>
        <v/>
      </c>
      <c r="Q28" s="1431" t="str">
        <f>IF(LoadProfile!O26&lt;=0,"",LoadProfile!O26)</f>
        <v/>
      </c>
      <c r="R28" s="1431" t="str">
        <f>IF(LoadProfile!Q26&lt;=0,"",LoadProfile!Q26)</f>
        <v/>
      </c>
      <c r="S28" s="1431" t="str">
        <f>IF(LoadProfile!S26&lt;=0,"",LoadProfile!S26)</f>
        <v/>
      </c>
      <c r="T28" s="1431" t="str">
        <f>IF(LoadProfile!U26&lt;=0,"",LoadProfile!U26)</f>
        <v/>
      </c>
      <c r="U28" s="1431" t="str">
        <f>IF(LoadProfile!W26&lt;=0,"",LoadProfile!W26)</f>
        <v/>
      </c>
      <c r="V28" s="1431" t="str">
        <f>IF(LoadProfile!Y26&lt;=0,"",LoadProfile!Y26)</f>
        <v/>
      </c>
      <c r="W28" s="1431" t="str">
        <f>IF(LoadProfile!AA26&lt;=0,"",LoadProfile!AA26)</f>
        <v/>
      </c>
      <c r="X28" s="1431" t="str">
        <f>IF(LoadProfile!AC26&lt;=0,"",LoadProfile!AC26)</f>
        <v/>
      </c>
      <c r="Y28" s="1431" t="str">
        <f>IF(LoadProfile!AE26&lt;=0,"",LoadProfile!AE26)</f>
        <v/>
      </c>
      <c r="Z28" s="1431" t="str">
        <f>IF(LoadProfile!AG26&lt;=0,"",LoadProfile!AG26)</f>
        <v/>
      </c>
      <c r="AA28" s="1566" t="str">
        <f>IF(LoadProfile!AH26&lt;=0,"",LoadProfile!AH26)</f>
        <v/>
      </c>
      <c r="AB28" s="1633"/>
    </row>
    <row r="29" spans="1:28" hidden="1" x14ac:dyDescent="0.2">
      <c r="A29" s="376" t="str">
        <f>LoadProfile!A27</f>
        <v>x</v>
      </c>
      <c r="B29" s="1560" t="str">
        <f>IF(OR(RIGHT(LoadProfile!B27,1)="y",RIGHT(LoadProfile!B27,3)="C02",RIGHT(LoadProfile!B27,3)="CO2")=TRUE,(_xlfn.CONCAT(LoadProfile!B27," ",VLOOKUP(C29,APPLICATION,2,FALSE))),LoadProfile!B27)</f>
        <v/>
      </c>
      <c r="C29" s="1436" t="e">
        <f>LoadProfile!C27</f>
        <v>#REF!</v>
      </c>
      <c r="D29" s="1436" t="e">
        <f>SUBSTITUTE(LoadProfile!D27,"**","")</f>
        <v>#REF!</v>
      </c>
      <c r="E29" s="1436" t="e">
        <f>IF(INDEX('Legend(DX)'!$S$8:$S$9,20)=0,"---",INDEX('Legend(DX)'!$S$8:$S$9,20))</f>
        <v>#REF!</v>
      </c>
      <c r="F29" s="1430" t="e">
        <f t="shared" si="0"/>
        <v>#REF!</v>
      </c>
      <c r="G29" s="1436" t="e">
        <f>IF(INDEX('Legend(DX)'!$AD$8:$AD$9,20)=0,"-",INDEX('Legend(DX)'!$AD$8:$AD$9,20))</f>
        <v>#REF!</v>
      </c>
      <c r="H29" s="1430" t="e">
        <f t="shared" si="1"/>
        <v>#REF!</v>
      </c>
      <c r="I29" s="1548"/>
      <c r="J29" s="1570" t="e">
        <f t="shared" si="2"/>
        <v>#REF!</v>
      </c>
      <c r="K29" s="1437">
        <f>LoadProfile!F27</f>
        <v>0</v>
      </c>
      <c r="L29" s="1437">
        <f>LoadProfile!G27</f>
        <v>0</v>
      </c>
      <c r="M29" s="1437">
        <f>LoadProfile!H27</f>
        <v>0</v>
      </c>
      <c r="N29" s="1437" t="str">
        <f>IF(LoadProfile!I27&lt;=0,"--",LoadProfile!I27)</f>
        <v>--</v>
      </c>
      <c r="O29" s="1437">
        <f>LoadProfile!J27</f>
        <v>0</v>
      </c>
      <c r="P29" s="1431" t="str">
        <f>IF(LoadProfile!M27&lt;=0,"",LoadProfile!M27)</f>
        <v/>
      </c>
      <c r="Q29" s="1431" t="str">
        <f>IF(LoadProfile!O27&lt;=0,"",LoadProfile!O27)</f>
        <v/>
      </c>
      <c r="R29" s="1431" t="str">
        <f>IF(LoadProfile!Q27&lt;=0,"",LoadProfile!Q27)</f>
        <v/>
      </c>
      <c r="S29" s="1431" t="str">
        <f>IF(LoadProfile!S27&lt;=0,"",LoadProfile!S27)</f>
        <v/>
      </c>
      <c r="T29" s="1431" t="str">
        <f>IF(LoadProfile!U27&lt;=0,"",LoadProfile!U27)</f>
        <v/>
      </c>
      <c r="U29" s="1431" t="str">
        <f>IF(LoadProfile!W27&lt;=0,"",LoadProfile!W27)</f>
        <v/>
      </c>
      <c r="V29" s="1431" t="str">
        <f>IF(LoadProfile!Y27&lt;=0,"",LoadProfile!Y27)</f>
        <v/>
      </c>
      <c r="W29" s="1431" t="str">
        <f>IF(LoadProfile!AA27&lt;=0,"",LoadProfile!AA27)</f>
        <v/>
      </c>
      <c r="X29" s="1431" t="str">
        <f>IF(LoadProfile!AC27&lt;=0,"",LoadProfile!AC27)</f>
        <v/>
      </c>
      <c r="Y29" s="1431" t="str">
        <f>IF(LoadProfile!AE27&lt;=0,"",LoadProfile!AE27)</f>
        <v/>
      </c>
      <c r="Z29" s="1431" t="str">
        <f>IF(LoadProfile!AG27&lt;=0,"",LoadProfile!AG27)</f>
        <v/>
      </c>
      <c r="AA29" s="1566" t="str">
        <f>IF(LoadProfile!AH27&lt;=0,"",LoadProfile!AH27)</f>
        <v/>
      </c>
      <c r="AB29" s="1633"/>
    </row>
    <row r="30" spans="1:28" hidden="1" x14ac:dyDescent="0.2">
      <c r="A30" s="376" t="str">
        <f>LoadProfile!A28</f>
        <v>x</v>
      </c>
      <c r="B30" s="1560" t="str">
        <f>IF(OR(RIGHT(LoadProfile!B28,1)="y",RIGHT(LoadProfile!B28,3)="C02",RIGHT(LoadProfile!B28,3)="CO2")=TRUE,(_xlfn.CONCAT(LoadProfile!B28," ",VLOOKUP(C30,APPLICATION,2,FALSE))),LoadProfile!B28)</f>
        <v/>
      </c>
      <c r="C30" s="1436" t="e">
        <f>LoadProfile!C28</f>
        <v>#REF!</v>
      </c>
      <c r="D30" s="1436" t="e">
        <f>SUBSTITUTE(LoadProfile!D28,"**","")</f>
        <v>#REF!</v>
      </c>
      <c r="E30" s="1436" t="e">
        <f>IF(INDEX('Legend(DX)'!$S$8:$S$9,21)=0,"---",INDEX('Legend(DX)'!$S$8:$S$9,21))</f>
        <v>#REF!</v>
      </c>
      <c r="F30" s="1430" t="e">
        <f t="shared" si="0"/>
        <v>#REF!</v>
      </c>
      <c r="G30" s="1436" t="e">
        <f>IF(INDEX('Legend(DX)'!$AD$8:$AD$9,21)=0,"-",INDEX('Legend(DX)'!$AD$8:$AD$9,21))</f>
        <v>#REF!</v>
      </c>
      <c r="H30" s="1430" t="e">
        <f t="shared" si="1"/>
        <v>#REF!</v>
      </c>
      <c r="I30" s="1548"/>
      <c r="J30" s="1570" t="e">
        <f t="shared" si="2"/>
        <v>#REF!</v>
      </c>
      <c r="K30" s="1437">
        <f>LoadProfile!F28</f>
        <v>0</v>
      </c>
      <c r="L30" s="1437">
        <f>LoadProfile!G28</f>
        <v>0</v>
      </c>
      <c r="M30" s="1437">
        <f>LoadProfile!H28</f>
        <v>0</v>
      </c>
      <c r="N30" s="1437" t="str">
        <f>IF(LoadProfile!I28&lt;=0,"--",LoadProfile!I28)</f>
        <v>--</v>
      </c>
      <c r="O30" s="1437">
        <f>LoadProfile!J28</f>
        <v>0</v>
      </c>
      <c r="P30" s="1431" t="str">
        <f>IF(LoadProfile!M28&lt;=0,"",LoadProfile!M28)</f>
        <v/>
      </c>
      <c r="Q30" s="1431" t="str">
        <f>IF(LoadProfile!O28&lt;=0,"",LoadProfile!O28)</f>
        <v/>
      </c>
      <c r="R30" s="1431" t="str">
        <f>IF(LoadProfile!Q28&lt;=0,"",LoadProfile!Q28)</f>
        <v/>
      </c>
      <c r="S30" s="1431" t="str">
        <f>IF(LoadProfile!S28&lt;=0,"",LoadProfile!S28)</f>
        <v/>
      </c>
      <c r="T30" s="1431" t="str">
        <f>IF(LoadProfile!U28&lt;=0,"",LoadProfile!U28)</f>
        <v/>
      </c>
      <c r="U30" s="1431" t="str">
        <f>IF(LoadProfile!W28&lt;=0,"",LoadProfile!W28)</f>
        <v/>
      </c>
      <c r="V30" s="1431" t="str">
        <f>IF(LoadProfile!Y28&lt;=0,"",LoadProfile!Y28)</f>
        <v/>
      </c>
      <c r="W30" s="1431" t="str">
        <f>IF(LoadProfile!AA28&lt;=0,"",LoadProfile!AA28)</f>
        <v/>
      </c>
      <c r="X30" s="1431" t="str">
        <f>IF(LoadProfile!AC28&lt;=0,"",LoadProfile!AC28)</f>
        <v/>
      </c>
      <c r="Y30" s="1431" t="str">
        <f>IF(LoadProfile!AE28&lt;=0,"",LoadProfile!AE28)</f>
        <v/>
      </c>
      <c r="Z30" s="1431" t="str">
        <f>IF(LoadProfile!AG28&lt;=0,"",LoadProfile!AG28)</f>
        <v/>
      </c>
      <c r="AA30" s="1566" t="str">
        <f>IF(LoadProfile!AH28&lt;=0,"",LoadProfile!AH28)</f>
        <v/>
      </c>
      <c r="AB30" s="1633"/>
    </row>
    <row r="31" spans="1:28" hidden="1" x14ac:dyDescent="0.2">
      <c r="A31" s="376" t="str">
        <f>LoadProfile!A29</f>
        <v>x</v>
      </c>
      <c r="B31" s="1560" t="str">
        <f>IF(OR(RIGHT(LoadProfile!B29,1)="y",RIGHT(LoadProfile!B29,3)="C02",RIGHT(LoadProfile!B29,3)="CO2")=TRUE,(_xlfn.CONCAT(LoadProfile!B29," ",VLOOKUP(C31,APPLICATION,2,FALSE))),LoadProfile!B29)</f>
        <v/>
      </c>
      <c r="C31" s="1436" t="e">
        <f>LoadProfile!C29</f>
        <v>#REF!</v>
      </c>
      <c r="D31" s="1436" t="e">
        <f>SUBSTITUTE(LoadProfile!D29,"**","")</f>
        <v>#REF!</v>
      </c>
      <c r="E31" s="1436" t="e">
        <f>IF(INDEX('Legend(DX)'!$S$8:$S$9,22)=0,"---",INDEX('Legend(DX)'!$S$8:$S$9,22))</f>
        <v>#REF!</v>
      </c>
      <c r="F31" s="1430" t="e">
        <f t="shared" si="0"/>
        <v>#REF!</v>
      </c>
      <c r="G31" s="1436" t="e">
        <f>IF(INDEX('Legend(DX)'!$AD$8:$AD$9,22)=0,"-",INDEX('Legend(DX)'!$AD$8:$AD$9,22))</f>
        <v>#REF!</v>
      </c>
      <c r="H31" s="1430" t="e">
        <f t="shared" si="1"/>
        <v>#REF!</v>
      </c>
      <c r="I31" s="1548"/>
      <c r="J31" s="1570" t="e">
        <f t="shared" si="2"/>
        <v>#REF!</v>
      </c>
      <c r="K31" s="1437">
        <f>LoadProfile!F29</f>
        <v>0</v>
      </c>
      <c r="L31" s="1437">
        <f>LoadProfile!G29</f>
        <v>0</v>
      </c>
      <c r="M31" s="1437">
        <f>LoadProfile!H29</f>
        <v>0</v>
      </c>
      <c r="N31" s="1437" t="str">
        <f>IF(LoadProfile!I29&lt;=0,"--",LoadProfile!I29)</f>
        <v>--</v>
      </c>
      <c r="O31" s="1437">
        <f>LoadProfile!J29</f>
        <v>0</v>
      </c>
      <c r="P31" s="1431" t="str">
        <f>IF(LoadProfile!M29&lt;=0,"",LoadProfile!M29)</f>
        <v/>
      </c>
      <c r="Q31" s="1431" t="str">
        <f>IF(LoadProfile!O29&lt;=0,"",LoadProfile!O29)</f>
        <v/>
      </c>
      <c r="R31" s="1431" t="str">
        <f>IF(LoadProfile!Q29&lt;=0,"",LoadProfile!Q29)</f>
        <v/>
      </c>
      <c r="S31" s="1431" t="str">
        <f>IF(LoadProfile!S29&lt;=0,"",LoadProfile!S29)</f>
        <v/>
      </c>
      <c r="T31" s="1431" t="str">
        <f>IF(LoadProfile!U29&lt;=0,"",LoadProfile!U29)</f>
        <v/>
      </c>
      <c r="U31" s="1431" t="str">
        <f>IF(LoadProfile!W29&lt;=0,"",LoadProfile!W29)</f>
        <v/>
      </c>
      <c r="V31" s="1431" t="str">
        <f>IF(LoadProfile!Y29&lt;=0,"",LoadProfile!Y29)</f>
        <v/>
      </c>
      <c r="W31" s="1431" t="str">
        <f>IF(LoadProfile!AA29&lt;=0,"",LoadProfile!AA29)</f>
        <v/>
      </c>
      <c r="X31" s="1431" t="str">
        <f>IF(LoadProfile!AC29&lt;=0,"",LoadProfile!AC29)</f>
        <v/>
      </c>
      <c r="Y31" s="1431" t="str">
        <f>IF(LoadProfile!AE29&lt;=0,"",LoadProfile!AE29)</f>
        <v/>
      </c>
      <c r="Z31" s="1431" t="str">
        <f>IF(LoadProfile!AG29&lt;=0,"",LoadProfile!AG29)</f>
        <v/>
      </c>
      <c r="AA31" s="1566" t="str">
        <f>IF(LoadProfile!AH29&lt;=0,"",LoadProfile!AH29)</f>
        <v/>
      </c>
      <c r="AB31" s="1633"/>
    </row>
    <row r="32" spans="1:28" hidden="1" x14ac:dyDescent="0.2">
      <c r="A32" s="376" t="str">
        <f>LoadProfile!A30</f>
        <v>x</v>
      </c>
      <c r="B32" s="1560" t="str">
        <f>IF(OR(RIGHT(LoadProfile!B30,1)="y",RIGHT(LoadProfile!B30,3)="C02",RIGHT(LoadProfile!B30,3)="CO2")=TRUE,(_xlfn.CONCAT(LoadProfile!B30," ",VLOOKUP(C32,APPLICATION,2,FALSE))),LoadProfile!B30)</f>
        <v/>
      </c>
      <c r="C32" s="1436" t="e">
        <f>LoadProfile!C30</f>
        <v>#REF!</v>
      </c>
      <c r="D32" s="1436" t="e">
        <f>SUBSTITUTE(LoadProfile!D30,"**","")</f>
        <v>#REF!</v>
      </c>
      <c r="E32" s="1436" t="e">
        <f>IF(INDEX('Legend(DX)'!$S$8:$S$9,23)=0,"---",INDEX('Legend(DX)'!$S$8:$S$9,23))</f>
        <v>#REF!</v>
      </c>
      <c r="F32" s="1430" t="e">
        <f t="shared" si="0"/>
        <v>#REF!</v>
      </c>
      <c r="G32" s="1436" t="e">
        <f>IF(INDEX('Legend(DX)'!$AD$8:$AD$9,23)=0,"-",INDEX('Legend(DX)'!$AD$8:$AD$9,23))</f>
        <v>#REF!</v>
      </c>
      <c r="H32" s="1430" t="e">
        <f t="shared" si="1"/>
        <v>#REF!</v>
      </c>
      <c r="I32" s="1548"/>
      <c r="J32" s="1570" t="e">
        <f t="shared" si="2"/>
        <v>#REF!</v>
      </c>
      <c r="K32" s="1437">
        <f>LoadProfile!F30</f>
        <v>0</v>
      </c>
      <c r="L32" s="1437">
        <f>LoadProfile!G30</f>
        <v>0</v>
      </c>
      <c r="M32" s="1437">
        <f>LoadProfile!H30</f>
        <v>0</v>
      </c>
      <c r="N32" s="1437" t="str">
        <f>IF(LoadProfile!I30&lt;=0,"--",LoadProfile!I30)</f>
        <v>--</v>
      </c>
      <c r="O32" s="1437">
        <f>LoadProfile!J30</f>
        <v>0</v>
      </c>
      <c r="P32" s="1431" t="str">
        <f>IF(LoadProfile!M30&lt;=0,"",LoadProfile!M30)</f>
        <v/>
      </c>
      <c r="Q32" s="1431" t="str">
        <f>IF(LoadProfile!O30&lt;=0,"",LoadProfile!O30)</f>
        <v/>
      </c>
      <c r="R32" s="1431" t="str">
        <f>IF(LoadProfile!Q30&lt;=0,"",LoadProfile!Q30)</f>
        <v/>
      </c>
      <c r="S32" s="1431" t="str">
        <f>IF(LoadProfile!S30&lt;=0,"",LoadProfile!S30)</f>
        <v/>
      </c>
      <c r="T32" s="1431" t="str">
        <f>IF(LoadProfile!U30&lt;=0,"",LoadProfile!U30)</f>
        <v/>
      </c>
      <c r="U32" s="1431" t="str">
        <f>IF(LoadProfile!W30&lt;=0,"",LoadProfile!W30)</f>
        <v/>
      </c>
      <c r="V32" s="1431" t="str">
        <f>IF(LoadProfile!Y30&lt;=0,"",LoadProfile!Y30)</f>
        <v/>
      </c>
      <c r="W32" s="1431" t="str">
        <f>IF(LoadProfile!AA30&lt;=0,"",LoadProfile!AA30)</f>
        <v/>
      </c>
      <c r="X32" s="1431" t="str">
        <f>IF(LoadProfile!AC30&lt;=0,"",LoadProfile!AC30)</f>
        <v/>
      </c>
      <c r="Y32" s="1431" t="str">
        <f>IF(LoadProfile!AE30&lt;=0,"",LoadProfile!AE30)</f>
        <v/>
      </c>
      <c r="Z32" s="1431" t="str">
        <f>IF(LoadProfile!AG30&lt;=0,"",LoadProfile!AG30)</f>
        <v/>
      </c>
      <c r="AA32" s="1566" t="str">
        <f>IF(LoadProfile!AH30&lt;=0,"",LoadProfile!AH30)</f>
        <v/>
      </c>
      <c r="AB32" s="1633"/>
    </row>
    <row r="33" spans="1:28" hidden="1" x14ac:dyDescent="0.2">
      <c r="A33" s="376" t="str">
        <f>LoadProfile!A31</f>
        <v>x</v>
      </c>
      <c r="B33" s="1560" t="str">
        <f>IF(OR(RIGHT(LoadProfile!B31,1)="y",RIGHT(LoadProfile!B31,3)="C02",RIGHT(LoadProfile!B31,3)="CO2")=TRUE,(_xlfn.CONCAT(LoadProfile!B31," ",VLOOKUP(C33,APPLICATION,2,FALSE))),LoadProfile!B31)</f>
        <v/>
      </c>
      <c r="C33" s="1436" t="e">
        <f>LoadProfile!C31</f>
        <v>#REF!</v>
      </c>
      <c r="D33" s="1436" t="e">
        <f>SUBSTITUTE(LoadProfile!D31,"**","")</f>
        <v>#REF!</v>
      </c>
      <c r="E33" s="1436" t="e">
        <f>IF(INDEX('Legend(DX)'!$S$8:$S$9,24)=0,"---",INDEX('Legend(DX)'!$S$8:$S$9,24))</f>
        <v>#REF!</v>
      </c>
      <c r="F33" s="1430" t="e">
        <f t="shared" si="0"/>
        <v>#REF!</v>
      </c>
      <c r="G33" s="1436" t="e">
        <f>IF(INDEX('Legend(DX)'!$AD$8:$AD$9,24)=0,"-",INDEX('Legend(DX)'!$AD$8:$AD$9,24))</f>
        <v>#REF!</v>
      </c>
      <c r="H33" s="1430" t="e">
        <f t="shared" si="1"/>
        <v>#REF!</v>
      </c>
      <c r="I33" s="1548"/>
      <c r="J33" s="1570" t="e">
        <f t="shared" si="2"/>
        <v>#REF!</v>
      </c>
      <c r="K33" s="1437">
        <f>LoadProfile!F31</f>
        <v>0</v>
      </c>
      <c r="L33" s="1437">
        <f>LoadProfile!G31</f>
        <v>0</v>
      </c>
      <c r="M33" s="1437">
        <f>LoadProfile!H31</f>
        <v>0</v>
      </c>
      <c r="N33" s="1437" t="str">
        <f>IF(LoadProfile!I31&lt;=0,"--",LoadProfile!I31)</f>
        <v>--</v>
      </c>
      <c r="O33" s="1437">
        <f>LoadProfile!J31</f>
        <v>0</v>
      </c>
      <c r="P33" s="1431" t="str">
        <f>IF(LoadProfile!M31&lt;=0,"",LoadProfile!M31)</f>
        <v/>
      </c>
      <c r="Q33" s="1431" t="str">
        <f>IF(LoadProfile!O31&lt;=0,"",LoadProfile!O31)</f>
        <v/>
      </c>
      <c r="R33" s="1431" t="str">
        <f>IF(LoadProfile!Q31&lt;=0,"",LoadProfile!Q31)</f>
        <v/>
      </c>
      <c r="S33" s="1431" t="str">
        <f>IF(LoadProfile!S31&lt;=0,"",LoadProfile!S31)</f>
        <v/>
      </c>
      <c r="T33" s="1431" t="str">
        <f>IF(LoadProfile!U31&lt;=0,"",LoadProfile!U31)</f>
        <v/>
      </c>
      <c r="U33" s="1431" t="str">
        <f>IF(LoadProfile!W31&lt;=0,"",LoadProfile!W31)</f>
        <v/>
      </c>
      <c r="V33" s="1431" t="str">
        <f>IF(LoadProfile!Y31&lt;=0,"",LoadProfile!Y31)</f>
        <v/>
      </c>
      <c r="W33" s="1431" t="str">
        <f>IF(LoadProfile!AA31&lt;=0,"",LoadProfile!AA31)</f>
        <v/>
      </c>
      <c r="X33" s="1431" t="str">
        <f>IF(LoadProfile!AC31&lt;=0,"",LoadProfile!AC31)</f>
        <v/>
      </c>
      <c r="Y33" s="1431" t="str">
        <f>IF(LoadProfile!AE31&lt;=0,"",LoadProfile!AE31)</f>
        <v/>
      </c>
      <c r="Z33" s="1431" t="str">
        <f>IF(LoadProfile!AG31&lt;=0,"",LoadProfile!AG31)</f>
        <v/>
      </c>
      <c r="AA33" s="1566" t="str">
        <f>IF(LoadProfile!AH31&lt;=0,"",LoadProfile!AH31)</f>
        <v/>
      </c>
      <c r="AB33" s="1633"/>
    </row>
    <row r="34" spans="1:28" hidden="1" x14ac:dyDescent="0.2">
      <c r="A34" s="376" t="str">
        <f>LoadProfile!A32</f>
        <v>x</v>
      </c>
      <c r="B34" s="1560" t="str">
        <f>IF(OR(RIGHT(LoadProfile!B32,1)="y",RIGHT(LoadProfile!B32,3)="C02",RIGHT(LoadProfile!B32,3)="CO2")=TRUE,(_xlfn.CONCAT(LoadProfile!B32," ",VLOOKUP(C34,APPLICATION,2,FALSE))),LoadProfile!B32)</f>
        <v/>
      </c>
      <c r="C34" s="1436" t="e">
        <f>LoadProfile!C32</f>
        <v>#REF!</v>
      </c>
      <c r="D34" s="1436" t="e">
        <f>SUBSTITUTE(LoadProfile!D32,"**","")</f>
        <v>#REF!</v>
      </c>
      <c r="E34" s="1436" t="e">
        <f>IF(INDEX('Legend(DX)'!$S$8:$S$9,25)=0,"---",INDEX('Legend(DX)'!$S$8:$S$9,25))</f>
        <v>#REF!</v>
      </c>
      <c r="F34" s="1430" t="e">
        <f t="shared" si="0"/>
        <v>#REF!</v>
      </c>
      <c r="G34" s="1436" t="e">
        <f>IF(INDEX('Legend(DX)'!$AD$8:$AD$9,25)=0,"-",INDEX('Legend(DX)'!$AD$8:$AD$9,25))</f>
        <v>#REF!</v>
      </c>
      <c r="H34" s="1430" t="e">
        <f t="shared" si="1"/>
        <v>#REF!</v>
      </c>
      <c r="I34" s="1548"/>
      <c r="J34" s="1570" t="e">
        <f t="shared" si="2"/>
        <v>#REF!</v>
      </c>
      <c r="K34" s="1437">
        <f>LoadProfile!F32</f>
        <v>0</v>
      </c>
      <c r="L34" s="1437">
        <f>LoadProfile!G32</f>
        <v>0</v>
      </c>
      <c r="M34" s="1437">
        <f>LoadProfile!H32</f>
        <v>0</v>
      </c>
      <c r="N34" s="1437" t="str">
        <f>IF(LoadProfile!I32&lt;=0,"--",LoadProfile!I32)</f>
        <v>--</v>
      </c>
      <c r="O34" s="1437">
        <f>LoadProfile!J32</f>
        <v>0</v>
      </c>
      <c r="P34" s="1431" t="str">
        <f>IF(LoadProfile!M32&lt;=0,"",LoadProfile!M32)</f>
        <v/>
      </c>
      <c r="Q34" s="1431" t="str">
        <f>IF(LoadProfile!O32&lt;=0,"",LoadProfile!O32)</f>
        <v/>
      </c>
      <c r="R34" s="1431" t="str">
        <f>IF(LoadProfile!Q32&lt;=0,"",LoadProfile!Q32)</f>
        <v/>
      </c>
      <c r="S34" s="1431" t="str">
        <f>IF(LoadProfile!S32&lt;=0,"",LoadProfile!S32)</f>
        <v/>
      </c>
      <c r="T34" s="1431" t="str">
        <f>IF(LoadProfile!U32&lt;=0,"",LoadProfile!U32)</f>
        <v/>
      </c>
      <c r="U34" s="1431" t="str">
        <f>IF(LoadProfile!W32&lt;=0,"",LoadProfile!W32)</f>
        <v/>
      </c>
      <c r="V34" s="1431" t="str">
        <f>IF(LoadProfile!Y32&lt;=0,"",LoadProfile!Y32)</f>
        <v/>
      </c>
      <c r="W34" s="1431" t="str">
        <f>IF(LoadProfile!AA32&lt;=0,"",LoadProfile!AA32)</f>
        <v/>
      </c>
      <c r="X34" s="1431" t="str">
        <f>IF(LoadProfile!AC32&lt;=0,"",LoadProfile!AC32)</f>
        <v/>
      </c>
      <c r="Y34" s="1431" t="str">
        <f>IF(LoadProfile!AE32&lt;=0,"",LoadProfile!AE32)</f>
        <v/>
      </c>
      <c r="Z34" s="1431" t="str">
        <f>IF(LoadProfile!AG32&lt;=0,"",LoadProfile!AG32)</f>
        <v/>
      </c>
      <c r="AA34" s="1566" t="str">
        <f>IF(LoadProfile!AH32&lt;=0,"",LoadProfile!AH32)</f>
        <v/>
      </c>
      <c r="AB34" s="1633"/>
    </row>
    <row r="35" spans="1:28" hidden="1" x14ac:dyDescent="0.2">
      <c r="A35" s="376" t="str">
        <f>LoadProfile!A33</f>
        <v>x</v>
      </c>
      <c r="B35" s="1560" t="str">
        <f>IF(OR(RIGHT(LoadProfile!B33,1)="y",RIGHT(LoadProfile!B33,3)="C02",RIGHT(LoadProfile!B33,3)="CO2")=TRUE,(_xlfn.CONCAT(LoadProfile!B33," ",VLOOKUP(C35,APPLICATION,2,FALSE))),LoadProfile!B33)</f>
        <v/>
      </c>
      <c r="C35" s="1436" t="e">
        <f>LoadProfile!C33</f>
        <v>#REF!</v>
      </c>
      <c r="D35" s="1436" t="e">
        <f>SUBSTITUTE(LoadProfile!D33,"**","")</f>
        <v>#REF!</v>
      </c>
      <c r="E35" s="1436" t="e">
        <f>IF(INDEX('Legend(DX)'!$S$8:$S$9,26)=0,"---",INDEX('Legend(DX)'!$S$8:$S$9,26))</f>
        <v>#REF!</v>
      </c>
      <c r="F35" s="1430" t="e">
        <f t="shared" si="0"/>
        <v>#REF!</v>
      </c>
      <c r="G35" s="1436" t="e">
        <f>IF(INDEX('Legend(DX)'!$AD$8:$AD$9,26)=0,"-",INDEX('Legend(DX)'!$AD$8:$AD$9,26))</f>
        <v>#REF!</v>
      </c>
      <c r="H35" s="1430" t="e">
        <f t="shared" si="1"/>
        <v>#REF!</v>
      </c>
      <c r="I35" s="1548"/>
      <c r="J35" s="1570" t="e">
        <f t="shared" si="2"/>
        <v>#REF!</v>
      </c>
      <c r="K35" s="1437">
        <f>LoadProfile!F33</f>
        <v>0</v>
      </c>
      <c r="L35" s="1437">
        <f>LoadProfile!G33</f>
        <v>0</v>
      </c>
      <c r="M35" s="1437">
        <f>LoadProfile!H33</f>
        <v>0</v>
      </c>
      <c r="N35" s="1437" t="str">
        <f>IF(LoadProfile!I33&lt;=0,"--",LoadProfile!I33)</f>
        <v>--</v>
      </c>
      <c r="O35" s="1437">
        <f>LoadProfile!J33</f>
        <v>0</v>
      </c>
      <c r="P35" s="1431" t="str">
        <f>IF(LoadProfile!M33&lt;=0,"",LoadProfile!M33)</f>
        <v/>
      </c>
      <c r="Q35" s="1431" t="str">
        <f>IF(LoadProfile!O33&lt;=0,"",LoadProfile!O33)</f>
        <v/>
      </c>
      <c r="R35" s="1431" t="str">
        <f>IF(LoadProfile!Q33&lt;=0,"",LoadProfile!Q33)</f>
        <v/>
      </c>
      <c r="S35" s="1431" t="str">
        <f>IF(LoadProfile!S33&lt;=0,"",LoadProfile!S33)</f>
        <v/>
      </c>
      <c r="T35" s="1431" t="str">
        <f>IF(LoadProfile!U33&lt;=0,"",LoadProfile!U33)</f>
        <v/>
      </c>
      <c r="U35" s="1431" t="str">
        <f>IF(LoadProfile!W33&lt;=0,"",LoadProfile!W33)</f>
        <v/>
      </c>
      <c r="V35" s="1431" t="str">
        <f>IF(LoadProfile!Y33&lt;=0,"",LoadProfile!Y33)</f>
        <v/>
      </c>
      <c r="W35" s="1431" t="str">
        <f>IF(LoadProfile!AA33&lt;=0,"",LoadProfile!AA33)</f>
        <v/>
      </c>
      <c r="X35" s="1431" t="str">
        <f>IF(LoadProfile!AC33&lt;=0,"",LoadProfile!AC33)</f>
        <v/>
      </c>
      <c r="Y35" s="1431" t="str">
        <f>IF(LoadProfile!AE33&lt;=0,"",LoadProfile!AE33)</f>
        <v/>
      </c>
      <c r="Z35" s="1431" t="str">
        <f>IF(LoadProfile!AG33&lt;=0,"",LoadProfile!AG33)</f>
        <v/>
      </c>
      <c r="AA35" s="1566" t="str">
        <f>IF(LoadProfile!AH33&lt;=0,"",LoadProfile!AH33)</f>
        <v/>
      </c>
      <c r="AB35" s="1633"/>
    </row>
    <row r="36" spans="1:28" hidden="1" x14ac:dyDescent="0.2">
      <c r="A36" s="376" t="str">
        <f>LoadProfile!A34</f>
        <v>x</v>
      </c>
      <c r="B36" s="1560" t="str">
        <f>IF(OR(RIGHT(LoadProfile!B34,1)="y",RIGHT(LoadProfile!B34,3)="C02",RIGHT(LoadProfile!B34,3)="CO2")=TRUE,(_xlfn.CONCAT(LoadProfile!B34," ",VLOOKUP(C36,APPLICATION,2,FALSE))),LoadProfile!B34)</f>
        <v/>
      </c>
      <c r="C36" s="1436" t="e">
        <f>LoadProfile!C34</f>
        <v>#REF!</v>
      </c>
      <c r="D36" s="1436" t="e">
        <f>SUBSTITUTE(LoadProfile!D34,"**","")</f>
        <v>#REF!</v>
      </c>
      <c r="E36" s="1436" t="e">
        <f>IF(INDEX('Legend(DX)'!$S$8:$S$9,27)=0,"---",INDEX('Legend(DX)'!$S$8:$S$9,27))</f>
        <v>#REF!</v>
      </c>
      <c r="F36" s="1430" t="e">
        <f t="shared" si="0"/>
        <v>#REF!</v>
      </c>
      <c r="G36" s="1436" t="e">
        <f>IF(INDEX('Legend(DX)'!$AD$8:$AD$9,27)=0,"-",INDEX('Legend(DX)'!$AD$8:$AD$9,27))</f>
        <v>#REF!</v>
      </c>
      <c r="H36" s="1430" t="e">
        <f t="shared" si="1"/>
        <v>#REF!</v>
      </c>
      <c r="I36" s="1548"/>
      <c r="J36" s="1570" t="e">
        <f t="shared" si="2"/>
        <v>#REF!</v>
      </c>
      <c r="K36" s="1437">
        <f>LoadProfile!F34</f>
        <v>0</v>
      </c>
      <c r="L36" s="1437">
        <f>LoadProfile!G34</f>
        <v>0</v>
      </c>
      <c r="M36" s="1437">
        <f>LoadProfile!H34</f>
        <v>0</v>
      </c>
      <c r="N36" s="1437" t="str">
        <f>IF(LoadProfile!I34&lt;=0,"--",LoadProfile!I34)</f>
        <v>--</v>
      </c>
      <c r="O36" s="1437">
        <f>LoadProfile!J34</f>
        <v>0</v>
      </c>
      <c r="P36" s="1431" t="str">
        <f>IF(LoadProfile!M34&lt;=0,"",LoadProfile!M34)</f>
        <v/>
      </c>
      <c r="Q36" s="1431" t="str">
        <f>IF(LoadProfile!O34&lt;=0,"",LoadProfile!O34)</f>
        <v/>
      </c>
      <c r="R36" s="1431" t="str">
        <f>IF(LoadProfile!Q34&lt;=0,"",LoadProfile!Q34)</f>
        <v/>
      </c>
      <c r="S36" s="1431" t="str">
        <f>IF(LoadProfile!S34&lt;=0,"",LoadProfile!S34)</f>
        <v/>
      </c>
      <c r="T36" s="1431" t="str">
        <f>IF(LoadProfile!U34&lt;=0,"",LoadProfile!U34)</f>
        <v/>
      </c>
      <c r="U36" s="1431" t="str">
        <f>IF(LoadProfile!W34&lt;=0,"",LoadProfile!W34)</f>
        <v/>
      </c>
      <c r="V36" s="1431" t="str">
        <f>IF(LoadProfile!Y34&lt;=0,"",LoadProfile!Y34)</f>
        <v/>
      </c>
      <c r="W36" s="1431" t="str">
        <f>IF(LoadProfile!AA34&lt;=0,"",LoadProfile!AA34)</f>
        <v/>
      </c>
      <c r="X36" s="1431" t="str">
        <f>IF(LoadProfile!AC34&lt;=0,"",LoadProfile!AC34)</f>
        <v/>
      </c>
      <c r="Y36" s="1431" t="str">
        <f>IF(LoadProfile!AE34&lt;=0,"",LoadProfile!AE34)</f>
        <v/>
      </c>
      <c r="Z36" s="1431" t="str">
        <f>IF(LoadProfile!AG34&lt;=0,"",LoadProfile!AG34)</f>
        <v/>
      </c>
      <c r="AA36" s="1566" t="str">
        <f>IF(LoadProfile!AH34&lt;=0,"",LoadProfile!AH34)</f>
        <v/>
      </c>
      <c r="AB36" s="1633"/>
    </row>
    <row r="37" spans="1:28" hidden="1" x14ac:dyDescent="0.2">
      <c r="A37" s="376" t="str">
        <f>LoadProfile!A35</f>
        <v>x</v>
      </c>
      <c r="B37" s="1560" t="str">
        <f>IF(OR(RIGHT(LoadProfile!B35,1)="y",RIGHT(LoadProfile!B35,3)="C02",RIGHT(LoadProfile!B35,3)="CO2")=TRUE,(_xlfn.CONCAT(LoadProfile!B35," ",VLOOKUP(C37,APPLICATION,2,FALSE))),LoadProfile!B35)</f>
        <v/>
      </c>
      <c r="C37" s="1436" t="e">
        <f>LoadProfile!C35</f>
        <v>#REF!</v>
      </c>
      <c r="D37" s="1436" t="e">
        <f>SUBSTITUTE(LoadProfile!D35,"**","")</f>
        <v>#REF!</v>
      </c>
      <c r="E37" s="1436" t="e">
        <f>IF(INDEX('Legend(DX)'!$S$8:$S$9,28)=0,"---",INDEX('Legend(DX)'!$S$8:$S$9,28))</f>
        <v>#REF!</v>
      </c>
      <c r="F37" s="1430" t="e">
        <f t="shared" si="0"/>
        <v>#REF!</v>
      </c>
      <c r="G37" s="1436" t="e">
        <f>IF(INDEX('Legend(DX)'!$AD$8:$AD$9,28)=0,"-",INDEX('Legend(DX)'!$AD$8:$AD$9,28))</f>
        <v>#REF!</v>
      </c>
      <c r="H37" s="1430" t="e">
        <f t="shared" si="1"/>
        <v>#REF!</v>
      </c>
      <c r="I37" s="1548"/>
      <c r="J37" s="1570" t="e">
        <f t="shared" si="2"/>
        <v>#REF!</v>
      </c>
      <c r="K37" s="1437">
        <f>LoadProfile!F35</f>
        <v>0</v>
      </c>
      <c r="L37" s="1437">
        <f>LoadProfile!G35</f>
        <v>0</v>
      </c>
      <c r="M37" s="1437">
        <f>LoadProfile!H35</f>
        <v>0</v>
      </c>
      <c r="N37" s="1437" t="str">
        <f>IF(LoadProfile!I35&lt;=0,"--",LoadProfile!I35)</f>
        <v>--</v>
      </c>
      <c r="O37" s="1437">
        <f>LoadProfile!J35</f>
        <v>0</v>
      </c>
      <c r="P37" s="1431" t="str">
        <f>IF(LoadProfile!M35&lt;=0,"",LoadProfile!M35)</f>
        <v/>
      </c>
      <c r="Q37" s="1431" t="str">
        <f>IF(LoadProfile!O35&lt;=0,"",LoadProfile!O35)</f>
        <v/>
      </c>
      <c r="R37" s="1431" t="str">
        <f>IF(LoadProfile!Q35&lt;=0,"",LoadProfile!Q35)</f>
        <v/>
      </c>
      <c r="S37" s="1431" t="str">
        <f>IF(LoadProfile!S35&lt;=0,"",LoadProfile!S35)</f>
        <v/>
      </c>
      <c r="T37" s="1431" t="str">
        <f>IF(LoadProfile!U35&lt;=0,"",LoadProfile!U35)</f>
        <v/>
      </c>
      <c r="U37" s="1431" t="str">
        <f>IF(LoadProfile!W35&lt;=0,"",LoadProfile!W35)</f>
        <v/>
      </c>
      <c r="V37" s="1431" t="str">
        <f>IF(LoadProfile!Y35&lt;=0,"",LoadProfile!Y35)</f>
        <v/>
      </c>
      <c r="W37" s="1431" t="str">
        <f>IF(LoadProfile!AA35&lt;=0,"",LoadProfile!AA35)</f>
        <v/>
      </c>
      <c r="X37" s="1431" t="str">
        <f>IF(LoadProfile!AC35&lt;=0,"",LoadProfile!AC35)</f>
        <v/>
      </c>
      <c r="Y37" s="1431" t="str">
        <f>IF(LoadProfile!AE35&lt;=0,"",LoadProfile!AE35)</f>
        <v/>
      </c>
      <c r="Z37" s="1431" t="str">
        <f>IF(LoadProfile!AG35&lt;=0,"",LoadProfile!AG35)</f>
        <v/>
      </c>
      <c r="AA37" s="1566" t="str">
        <f>IF(LoadProfile!AH35&lt;=0,"",LoadProfile!AH35)</f>
        <v/>
      </c>
      <c r="AB37" s="1633"/>
    </row>
    <row r="38" spans="1:28" hidden="1" x14ac:dyDescent="0.2">
      <c r="A38" s="376" t="str">
        <f>LoadProfile!A36</f>
        <v>x</v>
      </c>
      <c r="B38" s="1560" t="str">
        <f>IF(OR(RIGHT(LoadProfile!B36,1)="y",RIGHT(LoadProfile!B36,3)="C02",RIGHT(LoadProfile!B36,3)="CO2")=TRUE,(_xlfn.CONCAT(LoadProfile!B36," ",VLOOKUP(C38,APPLICATION,2,FALSE))),LoadProfile!B36)</f>
        <v/>
      </c>
      <c r="C38" s="1436" t="e">
        <f>LoadProfile!C36</f>
        <v>#REF!</v>
      </c>
      <c r="D38" s="1436" t="e">
        <f>SUBSTITUTE(LoadProfile!D36,"**","")</f>
        <v>#REF!</v>
      </c>
      <c r="E38" s="1436" t="e">
        <f>IF(INDEX('Legend(DX)'!$S$8:$S$9,29)=0,"---",INDEX('Legend(DX)'!$S$8:$S$9,29))</f>
        <v>#REF!</v>
      </c>
      <c r="F38" s="1430" t="e">
        <f t="shared" si="0"/>
        <v>#REF!</v>
      </c>
      <c r="G38" s="1436" t="e">
        <f>IF(INDEX('Legend(DX)'!$AD$8:$AD$9,29)=0,"-",INDEX('Legend(DX)'!$AD$8:$AD$9,29))</f>
        <v>#REF!</v>
      </c>
      <c r="H38" s="1430" t="e">
        <f t="shared" si="1"/>
        <v>#REF!</v>
      </c>
      <c r="I38" s="1548"/>
      <c r="J38" s="1570" t="e">
        <f t="shared" si="2"/>
        <v>#REF!</v>
      </c>
      <c r="K38" s="1437">
        <f>LoadProfile!F36</f>
        <v>0</v>
      </c>
      <c r="L38" s="1437">
        <f>LoadProfile!G36</f>
        <v>0</v>
      </c>
      <c r="M38" s="1437">
        <f>LoadProfile!H36</f>
        <v>0</v>
      </c>
      <c r="N38" s="1437" t="str">
        <f>IF(LoadProfile!I36&lt;=0,"--",LoadProfile!I36)</f>
        <v>--</v>
      </c>
      <c r="O38" s="1437">
        <f>LoadProfile!J36</f>
        <v>0</v>
      </c>
      <c r="P38" s="1431" t="str">
        <f>IF(LoadProfile!M36&lt;=0,"",LoadProfile!M36)</f>
        <v/>
      </c>
      <c r="Q38" s="1431" t="str">
        <f>IF(LoadProfile!O36&lt;=0,"",LoadProfile!O36)</f>
        <v/>
      </c>
      <c r="R38" s="1431" t="str">
        <f>IF(LoadProfile!Q36&lt;=0,"",LoadProfile!Q36)</f>
        <v/>
      </c>
      <c r="S38" s="1431" t="str">
        <f>IF(LoadProfile!S36&lt;=0,"",LoadProfile!S36)</f>
        <v/>
      </c>
      <c r="T38" s="1431" t="str">
        <f>IF(LoadProfile!U36&lt;=0,"",LoadProfile!U36)</f>
        <v/>
      </c>
      <c r="U38" s="1431" t="str">
        <f>IF(LoadProfile!W36&lt;=0,"",LoadProfile!W36)</f>
        <v/>
      </c>
      <c r="V38" s="1431" t="str">
        <f>IF(LoadProfile!Y36&lt;=0,"",LoadProfile!Y36)</f>
        <v/>
      </c>
      <c r="W38" s="1431" t="str">
        <f>IF(LoadProfile!AA36&lt;=0,"",LoadProfile!AA36)</f>
        <v/>
      </c>
      <c r="X38" s="1431" t="str">
        <f>IF(LoadProfile!AC36&lt;=0,"",LoadProfile!AC36)</f>
        <v/>
      </c>
      <c r="Y38" s="1431" t="str">
        <f>IF(LoadProfile!AE36&lt;=0,"",LoadProfile!AE36)</f>
        <v/>
      </c>
      <c r="Z38" s="1431" t="str">
        <f>IF(LoadProfile!AG36&lt;=0,"",LoadProfile!AG36)</f>
        <v/>
      </c>
      <c r="AA38" s="1566" t="str">
        <f>IF(LoadProfile!AH36&lt;=0,"",LoadProfile!AH36)</f>
        <v/>
      </c>
      <c r="AB38" s="1633"/>
    </row>
    <row r="39" spans="1:28" hidden="1" x14ac:dyDescent="0.2">
      <c r="A39" s="376" t="str">
        <f>LoadProfile!A37</f>
        <v>x</v>
      </c>
      <c r="B39" s="1560" t="str">
        <f>IF(OR(RIGHT(LoadProfile!B37,1)="y",RIGHT(LoadProfile!B37,3)="C02",RIGHT(LoadProfile!B37,3)="CO2")=TRUE,(_xlfn.CONCAT(LoadProfile!B37," ",VLOOKUP(C39,APPLICATION,2,FALSE))),LoadProfile!B37)</f>
        <v/>
      </c>
      <c r="C39" s="1436" t="e">
        <f>LoadProfile!C37</f>
        <v>#REF!</v>
      </c>
      <c r="D39" s="1436" t="e">
        <f>SUBSTITUTE(LoadProfile!D37,"**","")</f>
        <v>#REF!</v>
      </c>
      <c r="E39" s="1436" t="e">
        <f>IF(INDEX('Legend(DX)'!$S$8:$S$9,30)=0,"---",INDEX('Legend(DX)'!$S$8:$S$9,30))</f>
        <v>#REF!</v>
      </c>
      <c r="F39" s="1430" t="e">
        <f t="shared" si="0"/>
        <v>#REF!</v>
      </c>
      <c r="G39" s="1436" t="e">
        <f>IF(INDEX('Legend(DX)'!$AD$8:$AD$9,30)=0,"-",INDEX('Legend(DX)'!$AD$8:$AD$9,30))</f>
        <v>#REF!</v>
      </c>
      <c r="H39" s="1430" t="e">
        <f t="shared" si="1"/>
        <v>#REF!</v>
      </c>
      <c r="I39" s="1548"/>
      <c r="J39" s="1570" t="e">
        <f t="shared" si="2"/>
        <v>#REF!</v>
      </c>
      <c r="K39" s="1437">
        <f>LoadProfile!F37</f>
        <v>0</v>
      </c>
      <c r="L39" s="1437">
        <f>LoadProfile!G37</f>
        <v>0</v>
      </c>
      <c r="M39" s="1437">
        <f>LoadProfile!H37</f>
        <v>0</v>
      </c>
      <c r="N39" s="1437" t="str">
        <f>IF(LoadProfile!I37&lt;=0,"--",LoadProfile!I37)</f>
        <v>--</v>
      </c>
      <c r="O39" s="1437">
        <f>LoadProfile!J37</f>
        <v>0</v>
      </c>
      <c r="P39" s="1431" t="str">
        <f>IF(LoadProfile!M37&lt;=0,"",LoadProfile!M37)</f>
        <v/>
      </c>
      <c r="Q39" s="1431" t="str">
        <f>IF(LoadProfile!O37&lt;=0,"",LoadProfile!O37)</f>
        <v/>
      </c>
      <c r="R39" s="1431" t="str">
        <f>IF(LoadProfile!Q37&lt;=0,"",LoadProfile!Q37)</f>
        <v/>
      </c>
      <c r="S39" s="1431" t="str">
        <f>IF(LoadProfile!S37&lt;=0,"",LoadProfile!S37)</f>
        <v/>
      </c>
      <c r="T39" s="1431" t="str">
        <f>IF(LoadProfile!U37&lt;=0,"",LoadProfile!U37)</f>
        <v/>
      </c>
      <c r="U39" s="1431" t="str">
        <f>IF(LoadProfile!W37&lt;=0,"",LoadProfile!W37)</f>
        <v/>
      </c>
      <c r="V39" s="1431" t="str">
        <f>IF(LoadProfile!Y37&lt;=0,"",LoadProfile!Y37)</f>
        <v/>
      </c>
      <c r="W39" s="1431" t="str">
        <f>IF(LoadProfile!AA37&lt;=0,"",LoadProfile!AA37)</f>
        <v/>
      </c>
      <c r="X39" s="1431" t="str">
        <f>IF(LoadProfile!AC37&lt;=0,"",LoadProfile!AC37)</f>
        <v/>
      </c>
      <c r="Y39" s="1431" t="str">
        <f>IF(LoadProfile!AE37&lt;=0,"",LoadProfile!AE37)</f>
        <v/>
      </c>
      <c r="Z39" s="1431" t="str">
        <f>IF(LoadProfile!AG37&lt;=0,"",LoadProfile!AG37)</f>
        <v/>
      </c>
      <c r="AA39" s="1566" t="str">
        <f>IF(LoadProfile!AH37&lt;=0,"",LoadProfile!AH37)</f>
        <v/>
      </c>
      <c r="AB39" s="1633"/>
    </row>
    <row r="40" spans="1:28" hidden="1" x14ac:dyDescent="0.2">
      <c r="A40" s="376" t="str">
        <f>LoadProfile!A38</f>
        <v>x</v>
      </c>
      <c r="B40" s="1560" t="str">
        <f>IF(OR(RIGHT(LoadProfile!B38,1)="y",RIGHT(LoadProfile!B38,3)="C02",RIGHT(LoadProfile!B38,3)="CO2")=TRUE,(_xlfn.CONCAT(LoadProfile!B38," ",VLOOKUP(C40,APPLICATION,2,FALSE))),LoadProfile!B38)</f>
        <v/>
      </c>
      <c r="C40" s="1436" t="e">
        <f>LoadProfile!C38</f>
        <v>#REF!</v>
      </c>
      <c r="D40" s="1436" t="e">
        <f>SUBSTITUTE(LoadProfile!D38,"**","")</f>
        <v>#REF!</v>
      </c>
      <c r="E40" s="1436" t="e">
        <f>IF(INDEX('Legend(DX)'!$S$8:$S$9,31)=0,"---",INDEX('Legend(DX)'!$S$8:$S$9,31))</f>
        <v>#REF!</v>
      </c>
      <c r="F40" s="1430" t="e">
        <f t="shared" si="0"/>
        <v>#REF!</v>
      </c>
      <c r="G40" s="1436" t="e">
        <f>IF(INDEX('Legend(DX)'!$AD$8:$AD$9,31)=0,"-",INDEX('Legend(DX)'!$AD$8:$AD$9,31))</f>
        <v>#REF!</v>
      </c>
      <c r="H40" s="1430" t="e">
        <f t="shared" si="1"/>
        <v>#REF!</v>
      </c>
      <c r="I40" s="1548"/>
      <c r="J40" s="1570" t="e">
        <f t="shared" si="2"/>
        <v>#REF!</v>
      </c>
      <c r="K40" s="1437">
        <f>LoadProfile!F38</f>
        <v>0</v>
      </c>
      <c r="L40" s="1437">
        <f>LoadProfile!G38</f>
        <v>0</v>
      </c>
      <c r="M40" s="1437">
        <f>LoadProfile!H38</f>
        <v>0</v>
      </c>
      <c r="N40" s="1437" t="str">
        <f>IF(LoadProfile!I38&lt;=0,"--",LoadProfile!I38)</f>
        <v>--</v>
      </c>
      <c r="O40" s="1437">
        <f>LoadProfile!J38</f>
        <v>0</v>
      </c>
      <c r="P40" s="1431" t="str">
        <f>IF(LoadProfile!M38&lt;=0,"",LoadProfile!M38)</f>
        <v/>
      </c>
      <c r="Q40" s="1431" t="str">
        <f>IF(LoadProfile!O38&lt;=0,"",LoadProfile!O38)</f>
        <v/>
      </c>
      <c r="R40" s="1431" t="str">
        <f>IF(LoadProfile!Q38&lt;=0,"",LoadProfile!Q38)</f>
        <v/>
      </c>
      <c r="S40" s="1431" t="str">
        <f>IF(LoadProfile!S38&lt;=0,"",LoadProfile!S38)</f>
        <v/>
      </c>
      <c r="T40" s="1431" t="str">
        <f>IF(LoadProfile!U38&lt;=0,"",LoadProfile!U38)</f>
        <v/>
      </c>
      <c r="U40" s="1431" t="str">
        <f>IF(LoadProfile!W38&lt;=0,"",LoadProfile!W38)</f>
        <v/>
      </c>
      <c r="V40" s="1431" t="str">
        <f>IF(LoadProfile!Y38&lt;=0,"",LoadProfile!Y38)</f>
        <v/>
      </c>
      <c r="W40" s="1431" t="str">
        <f>IF(LoadProfile!AA38&lt;=0,"",LoadProfile!AA38)</f>
        <v/>
      </c>
      <c r="X40" s="1431" t="str">
        <f>IF(LoadProfile!AC38&lt;=0,"",LoadProfile!AC38)</f>
        <v/>
      </c>
      <c r="Y40" s="1431" t="str">
        <f>IF(LoadProfile!AE38&lt;=0,"",LoadProfile!AE38)</f>
        <v/>
      </c>
      <c r="Z40" s="1431" t="str">
        <f>IF(LoadProfile!AG38&lt;=0,"",LoadProfile!AG38)</f>
        <v/>
      </c>
      <c r="AA40" s="1566" t="str">
        <f>IF(LoadProfile!AH38&lt;=0,"",LoadProfile!AH38)</f>
        <v/>
      </c>
      <c r="AB40" s="1633"/>
    </row>
    <row r="41" spans="1:28" hidden="1" x14ac:dyDescent="0.2">
      <c r="A41" s="376" t="str">
        <f>LoadProfile!A39</f>
        <v>x</v>
      </c>
      <c r="B41" s="1560" t="str">
        <f>IF(OR(RIGHT(LoadProfile!B39,1)="y",RIGHT(LoadProfile!B39,3)="C02",RIGHT(LoadProfile!B39,3)="CO2")=TRUE,(_xlfn.CONCAT(LoadProfile!B39," ",VLOOKUP(C41,APPLICATION,2,FALSE))),LoadProfile!B39)</f>
        <v/>
      </c>
      <c r="C41" s="1436" t="e">
        <f>LoadProfile!C39</f>
        <v>#REF!</v>
      </c>
      <c r="D41" s="1436" t="e">
        <f>SUBSTITUTE(LoadProfile!D39,"**","")</f>
        <v>#REF!</v>
      </c>
      <c r="E41" s="1436" t="e">
        <f>IF(INDEX('Legend(DX)'!$S$8:$S$9,32)=0,"---",INDEX('Legend(DX)'!$S$8:$S$9,32))</f>
        <v>#REF!</v>
      </c>
      <c r="F41" s="1430" t="e">
        <f t="shared" si="0"/>
        <v>#REF!</v>
      </c>
      <c r="G41" s="1436" t="e">
        <f>IF(INDEX('Legend(DX)'!$AD$8:$AD$9,32)=0,"-",INDEX('Legend(DX)'!$AD$8:$AD$9,32))</f>
        <v>#REF!</v>
      </c>
      <c r="H41" s="1430" t="e">
        <f t="shared" si="1"/>
        <v>#REF!</v>
      </c>
      <c r="I41" s="1548"/>
      <c r="J41" s="1570" t="e">
        <f t="shared" si="2"/>
        <v>#REF!</v>
      </c>
      <c r="K41" s="1437">
        <f>LoadProfile!F39</f>
        <v>0</v>
      </c>
      <c r="L41" s="1437">
        <f>LoadProfile!G39</f>
        <v>0</v>
      </c>
      <c r="M41" s="1437">
        <f>LoadProfile!H39</f>
        <v>0</v>
      </c>
      <c r="N41" s="1437" t="str">
        <f>IF(LoadProfile!I39&lt;=0,"--",LoadProfile!I39)</f>
        <v>--</v>
      </c>
      <c r="O41" s="1437">
        <f>LoadProfile!J39</f>
        <v>0</v>
      </c>
      <c r="P41" s="1431" t="str">
        <f>IF(LoadProfile!M39&lt;=0,"",LoadProfile!M39)</f>
        <v/>
      </c>
      <c r="Q41" s="1431" t="str">
        <f>IF(LoadProfile!O39&lt;=0,"",LoadProfile!O39)</f>
        <v/>
      </c>
      <c r="R41" s="1431" t="str">
        <f>IF(LoadProfile!Q39&lt;=0,"",LoadProfile!Q39)</f>
        <v/>
      </c>
      <c r="S41" s="1431" t="str">
        <f>IF(LoadProfile!S39&lt;=0,"",LoadProfile!S39)</f>
        <v/>
      </c>
      <c r="T41" s="1431" t="str">
        <f>IF(LoadProfile!U39&lt;=0,"",LoadProfile!U39)</f>
        <v/>
      </c>
      <c r="U41" s="1431" t="str">
        <f>IF(LoadProfile!W39&lt;=0,"",LoadProfile!W39)</f>
        <v/>
      </c>
      <c r="V41" s="1431" t="str">
        <f>IF(LoadProfile!Y39&lt;=0,"",LoadProfile!Y39)</f>
        <v/>
      </c>
      <c r="W41" s="1431" t="str">
        <f>IF(LoadProfile!AA39&lt;=0,"",LoadProfile!AA39)</f>
        <v/>
      </c>
      <c r="X41" s="1431" t="str">
        <f>IF(LoadProfile!AC39&lt;=0,"",LoadProfile!AC39)</f>
        <v/>
      </c>
      <c r="Y41" s="1431" t="str">
        <f>IF(LoadProfile!AE39&lt;=0,"",LoadProfile!AE39)</f>
        <v/>
      </c>
      <c r="Z41" s="1431" t="str">
        <f>IF(LoadProfile!AG39&lt;=0,"",LoadProfile!AG39)</f>
        <v/>
      </c>
      <c r="AA41" s="1566" t="str">
        <f>IF(LoadProfile!AH39&lt;=0,"",LoadProfile!AH39)</f>
        <v/>
      </c>
      <c r="AB41" s="1633"/>
    </row>
    <row r="42" spans="1:28" hidden="1" x14ac:dyDescent="0.2">
      <c r="A42" s="376" t="str">
        <f>LoadProfile!A40</f>
        <v>x</v>
      </c>
      <c r="B42" s="1560" t="str">
        <f>IF(OR(RIGHT(LoadProfile!B40,1)="y",RIGHT(LoadProfile!B40,3)="C02",RIGHT(LoadProfile!B40,3)="CO2")=TRUE,(_xlfn.CONCAT(LoadProfile!B40," ",VLOOKUP(C42,APPLICATION,2,FALSE))),LoadProfile!B40)</f>
        <v/>
      </c>
      <c r="C42" s="1436" t="e">
        <f>LoadProfile!C40</f>
        <v>#REF!</v>
      </c>
      <c r="D42" s="1436" t="e">
        <f>SUBSTITUTE(LoadProfile!D40,"**","")</f>
        <v>#REF!</v>
      </c>
      <c r="E42" s="1436" t="e">
        <f>IF(INDEX('Legend(DX)'!$S$8:$S$9,33)=0,"---",INDEX('Legend(DX)'!$S$8:$S$9,33))</f>
        <v>#REF!</v>
      </c>
      <c r="F42" s="1430" t="e">
        <f t="shared" si="0"/>
        <v>#REF!</v>
      </c>
      <c r="G42" s="1436" t="e">
        <f>IF(INDEX('Legend(DX)'!$AD$8:$AD$9,33)=0,"-",INDEX('Legend(DX)'!$AD$8:$AD$9,33))</f>
        <v>#REF!</v>
      </c>
      <c r="H42" s="1430" t="e">
        <f t="shared" si="1"/>
        <v>#REF!</v>
      </c>
      <c r="I42" s="1548"/>
      <c r="J42" s="1570" t="e">
        <f t="shared" si="2"/>
        <v>#REF!</v>
      </c>
      <c r="K42" s="1437">
        <f>LoadProfile!F40</f>
        <v>0</v>
      </c>
      <c r="L42" s="1437">
        <f>LoadProfile!G40</f>
        <v>0</v>
      </c>
      <c r="M42" s="1437">
        <f>LoadProfile!H40</f>
        <v>0</v>
      </c>
      <c r="N42" s="1437" t="str">
        <f>IF(LoadProfile!I40&lt;=0,"--",LoadProfile!I40)</f>
        <v>--</v>
      </c>
      <c r="O42" s="1437">
        <f>LoadProfile!J40</f>
        <v>0</v>
      </c>
      <c r="P42" s="1431" t="str">
        <f>IF(LoadProfile!M40&lt;=0,"",LoadProfile!M40)</f>
        <v/>
      </c>
      <c r="Q42" s="1431" t="str">
        <f>IF(LoadProfile!O40&lt;=0,"",LoadProfile!O40)</f>
        <v/>
      </c>
      <c r="R42" s="1431" t="str">
        <f>IF(LoadProfile!Q40&lt;=0,"",LoadProfile!Q40)</f>
        <v/>
      </c>
      <c r="S42" s="1431" t="str">
        <f>IF(LoadProfile!S40&lt;=0,"",LoadProfile!S40)</f>
        <v/>
      </c>
      <c r="T42" s="1431" t="str">
        <f>IF(LoadProfile!U40&lt;=0,"",LoadProfile!U40)</f>
        <v/>
      </c>
      <c r="U42" s="1431" t="str">
        <f>IF(LoadProfile!W40&lt;=0,"",LoadProfile!W40)</f>
        <v/>
      </c>
      <c r="V42" s="1431" t="str">
        <f>IF(LoadProfile!Y40&lt;=0,"",LoadProfile!Y40)</f>
        <v/>
      </c>
      <c r="W42" s="1431" t="str">
        <f>IF(LoadProfile!AA40&lt;=0,"",LoadProfile!AA40)</f>
        <v/>
      </c>
      <c r="X42" s="1431" t="str">
        <f>IF(LoadProfile!AC40&lt;=0,"",LoadProfile!AC40)</f>
        <v/>
      </c>
      <c r="Y42" s="1431" t="str">
        <f>IF(LoadProfile!AE40&lt;=0,"",LoadProfile!AE40)</f>
        <v/>
      </c>
      <c r="Z42" s="1431" t="str">
        <f>IF(LoadProfile!AG40&lt;=0,"",LoadProfile!AG40)</f>
        <v/>
      </c>
      <c r="AA42" s="1566" t="str">
        <f>IF(LoadProfile!AH40&lt;=0,"",LoadProfile!AH40)</f>
        <v/>
      </c>
      <c r="AB42" s="1633"/>
    </row>
    <row r="43" spans="1:28" hidden="1" x14ac:dyDescent="0.2">
      <c r="A43" s="376" t="str">
        <f>LoadProfile!A41</f>
        <v>x</v>
      </c>
      <c r="B43" s="1560" t="str">
        <f>IF(OR(RIGHT(LoadProfile!B41,1)="y",RIGHT(LoadProfile!B41,3)="C02",RIGHT(LoadProfile!B41,3)="CO2")=TRUE,(_xlfn.CONCAT(LoadProfile!B41," ",VLOOKUP(C43,APPLICATION,2,FALSE))),LoadProfile!B41)</f>
        <v/>
      </c>
      <c r="C43" s="1436" t="e">
        <f>LoadProfile!C41</f>
        <v>#REF!</v>
      </c>
      <c r="D43" s="1436" t="e">
        <f>SUBSTITUTE(LoadProfile!D41,"**","")</f>
        <v>#REF!</v>
      </c>
      <c r="E43" s="1436" t="e">
        <f>IF(INDEX('Legend(DX)'!$S$8:$S$9,34)=0,"---",INDEX('Legend(DX)'!$S$8:$S$9,34))</f>
        <v>#REF!</v>
      </c>
      <c r="F43" s="1430" t="e">
        <f t="shared" si="0"/>
        <v>#REF!</v>
      </c>
      <c r="G43" s="1436" t="e">
        <f>IF(INDEX('Legend(DX)'!$AD$8:$AD$9,34)=0,"-",INDEX('Legend(DX)'!$AD$8:$AD$9,34))</f>
        <v>#REF!</v>
      </c>
      <c r="H43" s="1430" t="e">
        <f t="shared" si="1"/>
        <v>#REF!</v>
      </c>
      <c r="I43" s="1548"/>
      <c r="J43" s="1570" t="e">
        <f t="shared" si="2"/>
        <v>#REF!</v>
      </c>
      <c r="K43" s="1437">
        <f>LoadProfile!F41</f>
        <v>0</v>
      </c>
      <c r="L43" s="1437">
        <f>LoadProfile!G41</f>
        <v>0</v>
      </c>
      <c r="M43" s="1437">
        <f>LoadProfile!H41</f>
        <v>0</v>
      </c>
      <c r="N43" s="1437" t="str">
        <f>IF(LoadProfile!I41&lt;=0,"--",LoadProfile!I41)</f>
        <v>--</v>
      </c>
      <c r="O43" s="1437">
        <f>LoadProfile!J41</f>
        <v>0</v>
      </c>
      <c r="P43" s="1431" t="str">
        <f>IF(LoadProfile!M41&lt;=0,"",LoadProfile!M41)</f>
        <v/>
      </c>
      <c r="Q43" s="1431" t="str">
        <f>IF(LoadProfile!O41&lt;=0,"",LoadProfile!O41)</f>
        <v/>
      </c>
      <c r="R43" s="1431" t="str">
        <f>IF(LoadProfile!Q41&lt;=0,"",LoadProfile!Q41)</f>
        <v/>
      </c>
      <c r="S43" s="1431" t="str">
        <f>IF(LoadProfile!S41&lt;=0,"",LoadProfile!S41)</f>
        <v/>
      </c>
      <c r="T43" s="1431" t="str">
        <f>IF(LoadProfile!U41&lt;=0,"",LoadProfile!U41)</f>
        <v/>
      </c>
      <c r="U43" s="1431" t="str">
        <f>IF(LoadProfile!W41&lt;=0,"",LoadProfile!W41)</f>
        <v/>
      </c>
      <c r="V43" s="1431" t="str">
        <f>IF(LoadProfile!Y41&lt;=0,"",LoadProfile!Y41)</f>
        <v/>
      </c>
      <c r="W43" s="1431" t="str">
        <f>IF(LoadProfile!AA41&lt;=0,"",LoadProfile!AA41)</f>
        <v/>
      </c>
      <c r="X43" s="1431" t="str">
        <f>IF(LoadProfile!AC41&lt;=0,"",LoadProfile!AC41)</f>
        <v/>
      </c>
      <c r="Y43" s="1431" t="str">
        <f>IF(LoadProfile!AE41&lt;=0,"",LoadProfile!AE41)</f>
        <v/>
      </c>
      <c r="Z43" s="1431" t="str">
        <f>IF(LoadProfile!AG41&lt;=0,"",LoadProfile!AG41)</f>
        <v/>
      </c>
      <c r="AA43" s="1566" t="str">
        <f>IF(LoadProfile!AH41&lt;=0,"",LoadProfile!AH41)</f>
        <v/>
      </c>
      <c r="AB43" s="1633"/>
    </row>
    <row r="44" spans="1:28" hidden="1" x14ac:dyDescent="0.2">
      <c r="A44" s="376" t="str">
        <f>LoadProfile!A42</f>
        <v>x</v>
      </c>
      <c r="B44" s="1560" t="str">
        <f>IF(OR(RIGHT(LoadProfile!B42,1)="y",RIGHT(LoadProfile!B42,3)="C02",RIGHT(LoadProfile!B42,3)="CO2")=TRUE,(_xlfn.CONCAT(LoadProfile!B42," ",VLOOKUP(C44,APPLICATION,2,FALSE))),LoadProfile!B42)</f>
        <v/>
      </c>
      <c r="C44" s="1436" t="e">
        <f>LoadProfile!C42</f>
        <v>#REF!</v>
      </c>
      <c r="D44" s="1436" t="e">
        <f>SUBSTITUTE(LoadProfile!D42,"**","")</f>
        <v>#REF!</v>
      </c>
      <c r="E44" s="1436" t="e">
        <f>IF(INDEX('Legend(DX)'!$S$8:$S$9,35)=0,"---",INDEX('Legend(DX)'!$S$8:$S$9,35))</f>
        <v>#REF!</v>
      </c>
      <c r="F44" s="1430" t="e">
        <f t="shared" si="0"/>
        <v>#REF!</v>
      </c>
      <c r="G44" s="1436" t="e">
        <f>IF(INDEX('Legend(DX)'!$AD$8:$AD$9,35)=0,"-",INDEX('Legend(DX)'!$AD$8:$AD$9,35))</f>
        <v>#REF!</v>
      </c>
      <c r="H44" s="1430" t="e">
        <f t="shared" si="1"/>
        <v>#REF!</v>
      </c>
      <c r="I44" s="1548"/>
      <c r="J44" s="1570" t="e">
        <f t="shared" si="2"/>
        <v>#REF!</v>
      </c>
      <c r="K44" s="1437">
        <f>LoadProfile!F42</f>
        <v>0</v>
      </c>
      <c r="L44" s="1437">
        <f>LoadProfile!G42</f>
        <v>0</v>
      </c>
      <c r="M44" s="1437">
        <f>LoadProfile!H42</f>
        <v>0</v>
      </c>
      <c r="N44" s="1437" t="str">
        <f>IF(LoadProfile!I42&lt;=0,"--",LoadProfile!I42)</f>
        <v>--</v>
      </c>
      <c r="O44" s="1437">
        <f>LoadProfile!J42</f>
        <v>0</v>
      </c>
      <c r="P44" s="1431" t="str">
        <f>IF(LoadProfile!M42&lt;=0,"",LoadProfile!M42)</f>
        <v/>
      </c>
      <c r="Q44" s="1431" t="str">
        <f>IF(LoadProfile!O42&lt;=0,"",LoadProfile!O42)</f>
        <v/>
      </c>
      <c r="R44" s="1431" t="str">
        <f>IF(LoadProfile!Q42&lt;=0,"",LoadProfile!Q42)</f>
        <v/>
      </c>
      <c r="S44" s="1431" t="str">
        <f>IF(LoadProfile!S42&lt;=0,"",LoadProfile!S42)</f>
        <v/>
      </c>
      <c r="T44" s="1431" t="str">
        <f>IF(LoadProfile!U42&lt;=0,"",LoadProfile!U42)</f>
        <v/>
      </c>
      <c r="U44" s="1431" t="str">
        <f>IF(LoadProfile!W42&lt;=0,"",LoadProfile!W42)</f>
        <v/>
      </c>
      <c r="V44" s="1431" t="str">
        <f>IF(LoadProfile!Y42&lt;=0,"",LoadProfile!Y42)</f>
        <v/>
      </c>
      <c r="W44" s="1431" t="str">
        <f>IF(LoadProfile!AA42&lt;=0,"",LoadProfile!AA42)</f>
        <v/>
      </c>
      <c r="X44" s="1431" t="str">
        <f>IF(LoadProfile!AC42&lt;=0,"",LoadProfile!AC42)</f>
        <v/>
      </c>
      <c r="Y44" s="1431" t="str">
        <f>IF(LoadProfile!AE42&lt;=0,"",LoadProfile!AE42)</f>
        <v/>
      </c>
      <c r="Z44" s="1431" t="str">
        <f>IF(LoadProfile!AG42&lt;=0,"",LoadProfile!AG42)</f>
        <v/>
      </c>
      <c r="AA44" s="1566" t="str">
        <f>IF(LoadProfile!AH42&lt;=0,"",LoadProfile!AH42)</f>
        <v/>
      </c>
      <c r="AB44" s="1633"/>
    </row>
    <row r="45" spans="1:28" hidden="1" x14ac:dyDescent="0.2">
      <c r="A45" s="376" t="str">
        <f>LoadProfile!A43</f>
        <v>x</v>
      </c>
      <c r="B45" s="1560">
        <f>IFERROR(IF(OR(RIGHT(LoadProfile!B43,1)="y",RIGHT(LoadProfile!B43,3)="C02",RIGHT(LoadProfile!B43,3)="CO2")=TRUE,(_xlfn.CONCAT(LoadProfile!B43," ",VLOOKUP(C45,APPLICATION_Skid,2,FALSE))),LoadProfile!B43),LoadProfile!B43)</f>
        <v>0</v>
      </c>
      <c r="C45" s="1436" t="str">
        <f>LoadProfile!C43</f>
        <v>See Legend</v>
      </c>
      <c r="D45" s="1436" t="str">
        <f>SUBSTITUTE(LoadProfile!D43,"**","")</f>
        <v>0</v>
      </c>
      <c r="E45" s="1436" t="str" cm="1">
        <f t="array" ref="E45">IF(INDEX('Legend(Skid)'!$S$8:$S$9,ROW()-44)=0,"---",INDEX('Legend(Skid)'!$S$8:$S$9,ROW()-44))</f>
        <v>---</v>
      </c>
      <c r="F45" s="1430" t="str">
        <f t="shared" si="0"/>
        <v>-</v>
      </c>
      <c r="G45" s="1436" t="str" cm="1">
        <f t="array" ref="G45">IF(INDEX('Legend(Skid)'!$AD$8:$AD$9,ROW()-44)=0,"-",INDEX('Legend(Skid)'!$AD$8:$AD$9,ROW()-44))</f>
        <v>-</v>
      </c>
      <c r="H45" s="1430" t="str">
        <f t="shared" si="1"/>
        <v>-</v>
      </c>
      <c r="I45" s="1548"/>
      <c r="J45" s="1569" t="s">
        <v>1058</v>
      </c>
      <c r="K45" s="1437">
        <f>LoadProfile!F43</f>
        <v>0</v>
      </c>
      <c r="L45" s="1437">
        <f>LoadProfile!G43</f>
        <v>0</v>
      </c>
      <c r="M45" s="1437">
        <f>LoadProfile!H43</f>
        <v>0</v>
      </c>
      <c r="N45" s="1437" t="str">
        <f>IF(LoadProfile!I43&lt;=0,"--",LoadProfile!I43)</f>
        <v>--</v>
      </c>
      <c r="O45" s="1437">
        <f>LoadProfile!J43</f>
        <v>0</v>
      </c>
      <c r="P45" s="1431" t="str">
        <f>IF(LoadProfile!M43&lt;=0,"",LoadProfile!M43)</f>
        <v/>
      </c>
      <c r="Q45" s="1431" t="str">
        <f>IF(LoadProfile!O43&lt;=0,"",LoadProfile!O43)</f>
        <v/>
      </c>
      <c r="R45" s="1431" t="str">
        <f>IF(LoadProfile!Q43&lt;=0,"",LoadProfile!Q43)</f>
        <v/>
      </c>
      <c r="S45" s="1431" t="str">
        <f>IF(LoadProfile!S43&lt;=0,"",LoadProfile!S43)</f>
        <v/>
      </c>
      <c r="T45" s="1431" t="str">
        <f>IF(LoadProfile!U43&lt;=0,"",LoadProfile!U43)</f>
        <v/>
      </c>
      <c r="U45" s="1431" t="str">
        <f>IF(LoadProfile!W43&lt;=0,"",LoadProfile!W43)</f>
        <v/>
      </c>
      <c r="V45" s="1431" t="str">
        <f>IF(LoadProfile!Y43&lt;=0,"",LoadProfile!Y43)</f>
        <v/>
      </c>
      <c r="W45" s="1431" t="str">
        <f>IF(LoadProfile!AA43&lt;=0,"",LoadProfile!AA43)</f>
        <v/>
      </c>
      <c r="X45" s="1431" t="str">
        <f>IF(LoadProfile!AC43&lt;=0,"",LoadProfile!AC43)</f>
        <v/>
      </c>
      <c r="Y45" s="1431" t="str">
        <f>IF(LoadProfile!AE43&lt;=0,"",LoadProfile!AE43)</f>
        <v/>
      </c>
      <c r="Z45" s="1431" t="str">
        <f>IF(LoadProfile!AG43&lt;=0,"",LoadProfile!AG43)</f>
        <v/>
      </c>
      <c r="AA45" s="1566" t="str">
        <f>IF(LoadProfile!AH43&lt;=0,"",LoadProfile!AH43)</f>
        <v/>
      </c>
      <c r="AB45" s="1633"/>
    </row>
    <row r="46" spans="1:28" hidden="1" x14ac:dyDescent="0.2">
      <c r="A46" s="376" t="str">
        <f>LoadProfile!A44</f>
        <v>x</v>
      </c>
      <c r="B46" s="1560">
        <f>IFERROR(IF(OR(RIGHT(LoadProfile!B44,1)="y",RIGHT(LoadProfile!B44,3)="C02",RIGHT(LoadProfile!B44,3)="CO2")=TRUE,(_xlfn.CONCAT(LoadProfile!B44," ",VLOOKUP(C46,APPLICATION_Skid,2,FALSE))),LoadProfile!B44),LoadProfile!B44)</f>
        <v>0</v>
      </c>
      <c r="C46" s="1436" t="str">
        <f>LoadProfile!C44</f>
        <v>See Legend</v>
      </c>
      <c r="D46" s="1436" t="e">
        <f>SUBSTITUTE(LoadProfile!D44,"**","")</f>
        <v>#REF!</v>
      </c>
      <c r="E46" s="1436" t="str" cm="1">
        <f t="array" ref="E46">IF(INDEX('Legend(Skid)'!$S$8:$S$9,ROW()-44)=0,"---",INDEX('Legend(Skid)'!$S$8:$S$9,ROW()-44))</f>
        <v>---</v>
      </c>
      <c r="F46" s="1430" t="str">
        <f t="shared" si="0"/>
        <v>-</v>
      </c>
      <c r="G46" s="1436" t="str" cm="1">
        <f t="array" ref="G46">IF(INDEX('Legend(Skid)'!$AD$8:$AD$9,ROW()-44)=0,"-",INDEX('Legend(Skid)'!$AD$8:$AD$9,ROW()-44))</f>
        <v>-</v>
      </c>
      <c r="H46" s="1430" t="str">
        <f t="shared" si="1"/>
        <v>-</v>
      </c>
      <c r="I46" s="1548"/>
      <c r="J46" s="1569" t="s">
        <v>1058</v>
      </c>
      <c r="K46" s="1437">
        <f>LoadProfile!F44</f>
        <v>0</v>
      </c>
      <c r="L46" s="1437">
        <f>LoadProfile!G44</f>
        <v>0</v>
      </c>
      <c r="M46" s="1437">
        <f>LoadProfile!H44</f>
        <v>0</v>
      </c>
      <c r="N46" s="1437" t="str">
        <f>IF(LoadProfile!I44&lt;=0,"--",LoadProfile!I44)</f>
        <v>--</v>
      </c>
      <c r="O46" s="1437">
        <f>LoadProfile!J44</f>
        <v>0</v>
      </c>
      <c r="P46" s="1431" t="str">
        <f>IF(LoadProfile!M44&lt;=0,"",LoadProfile!M44)</f>
        <v/>
      </c>
      <c r="Q46" s="1431" t="str">
        <f>IF(LoadProfile!O44&lt;=0,"",LoadProfile!O44)</f>
        <v/>
      </c>
      <c r="R46" s="1431" t="str">
        <f>IF(LoadProfile!Q44&lt;=0,"",LoadProfile!Q44)</f>
        <v/>
      </c>
      <c r="S46" s="1431" t="str">
        <f>IF(LoadProfile!S44&lt;=0,"",LoadProfile!S44)</f>
        <v/>
      </c>
      <c r="T46" s="1431" t="str">
        <f>IF(LoadProfile!U44&lt;=0,"",LoadProfile!U44)</f>
        <v/>
      </c>
      <c r="U46" s="1431" t="str">
        <f>IF(LoadProfile!W44&lt;=0,"",LoadProfile!W44)</f>
        <v/>
      </c>
      <c r="V46" s="1431" t="str">
        <f>IF(LoadProfile!Y44&lt;=0,"",LoadProfile!Y44)</f>
        <v/>
      </c>
      <c r="W46" s="1431" t="str">
        <f>IF(LoadProfile!AA44&lt;=0,"",LoadProfile!AA44)</f>
        <v/>
      </c>
      <c r="X46" s="1431" t="str">
        <f>IF(LoadProfile!AC44&lt;=0,"",LoadProfile!AC44)</f>
        <v/>
      </c>
      <c r="Y46" s="1431" t="str">
        <f>IF(LoadProfile!AE44&lt;=0,"",LoadProfile!AE44)</f>
        <v/>
      </c>
      <c r="Z46" s="1431" t="str">
        <f>IF(LoadProfile!AG44&lt;=0,"",LoadProfile!AG44)</f>
        <v/>
      </c>
      <c r="AA46" s="1566" t="str">
        <f>IF(LoadProfile!AH44&lt;=0,"",LoadProfile!AH44)</f>
        <v/>
      </c>
      <c r="AB46" s="1633"/>
    </row>
    <row r="47" spans="1:28" hidden="1" x14ac:dyDescent="0.2">
      <c r="A47" s="376" t="str">
        <f>LoadProfile!A45</f>
        <v>e</v>
      </c>
      <c r="B47" s="1560" t="str">
        <f>IFERROR(IF(OR(RIGHT(LoadProfile!B45,1)="y",RIGHT(LoadProfile!B45,3)="C02",RIGHT(LoadProfile!B45,3)="CO2")=TRUE,(_xlfn.CONCAT(LoadProfile!B45," ",VLOOKUP(C47,APPLICATION_Skid,2,FALSE))),LoadProfile!B45),LoadProfile!B45)</f>
        <v/>
      </c>
      <c r="C47" s="1436" t="e">
        <f>LoadProfile!C45</f>
        <v>#REF!</v>
      </c>
      <c r="D47" s="1436" t="e">
        <f>SUBSTITUTE(LoadProfile!D45,"**","")</f>
        <v>#REF!</v>
      </c>
      <c r="E47" s="1436" t="e" cm="1">
        <f t="array" ref="E47">IF(INDEX('Legend(Skid)'!$S$8:$S$9,ROW()-44)=0,"---",INDEX('Legend(Skid)'!$S$8:$S$9,ROW()-44))</f>
        <v>#REF!</v>
      </c>
      <c r="F47" s="1430" t="e">
        <f t="shared" si="0"/>
        <v>#REF!</v>
      </c>
      <c r="G47" s="1436" t="e" cm="1">
        <f t="array" ref="G47">IF(INDEX('Legend(Skid)'!$AD$8:$AD$9,ROW()-44)=0,"-",INDEX('Legend(Skid)'!$AD$8:$AD$9,ROW()-44))</f>
        <v>#REF!</v>
      </c>
      <c r="H47" s="1430" t="e">
        <f t="shared" si="1"/>
        <v>#REF!</v>
      </c>
      <c r="I47" s="1548"/>
      <c r="J47" s="1569" t="s">
        <v>1058</v>
      </c>
      <c r="K47" s="1437">
        <f>LoadProfile!F45</f>
        <v>0</v>
      </c>
      <c r="L47" s="1437">
        <f>LoadProfile!G45</f>
        <v>0</v>
      </c>
      <c r="M47" s="1437">
        <f>LoadProfile!H45</f>
        <v>0</v>
      </c>
      <c r="N47" s="1437" t="str">
        <f>IF(LoadProfile!I45&lt;=0,"--",LoadProfile!I45)</f>
        <v>--</v>
      </c>
      <c r="O47" s="1437">
        <f>LoadProfile!J45</f>
        <v>0</v>
      </c>
      <c r="P47" s="1431" t="str">
        <f>IF(LoadProfile!M45&lt;=0,"",LoadProfile!M45)</f>
        <v/>
      </c>
      <c r="Q47" s="1431" t="str">
        <f>IF(LoadProfile!O45&lt;=0,"",LoadProfile!O45)</f>
        <v/>
      </c>
      <c r="R47" s="1431" t="str">
        <f>IF(LoadProfile!Q45&lt;=0,"",LoadProfile!Q45)</f>
        <v/>
      </c>
      <c r="S47" s="1431" t="str">
        <f>IF(LoadProfile!S45&lt;=0,"",LoadProfile!S45)</f>
        <v/>
      </c>
      <c r="T47" s="1431" t="str">
        <f>IF(LoadProfile!U45&lt;=0,"",LoadProfile!U45)</f>
        <v/>
      </c>
      <c r="U47" s="1431" t="str">
        <f>IF(LoadProfile!W45&lt;=0,"",LoadProfile!W45)</f>
        <v/>
      </c>
      <c r="V47" s="1431" t="str">
        <f>IF(LoadProfile!Y45&lt;=0,"",LoadProfile!Y45)</f>
        <v/>
      </c>
      <c r="W47" s="1431" t="str">
        <f>IF(LoadProfile!AA45&lt;=0,"",LoadProfile!AA45)</f>
        <v/>
      </c>
      <c r="X47" s="1431" t="str">
        <f>IF(LoadProfile!AC45&lt;=0,"",LoadProfile!AC45)</f>
        <v/>
      </c>
      <c r="Y47" s="1431" t="str">
        <f>IF(LoadProfile!AE45&lt;=0,"",LoadProfile!AE45)</f>
        <v/>
      </c>
      <c r="Z47" s="1431" t="str">
        <f>IF(LoadProfile!AG45&lt;=0,"",LoadProfile!AG45)</f>
        <v/>
      </c>
      <c r="AA47" s="1566" t="str">
        <f>IF(LoadProfile!AH45&lt;=0,"",LoadProfile!AH45)</f>
        <v/>
      </c>
      <c r="AB47" s="1633"/>
    </row>
    <row r="48" spans="1:28" hidden="1" x14ac:dyDescent="0.2">
      <c r="A48" s="376" t="str">
        <f>LoadProfile!A46</f>
        <v>e</v>
      </c>
      <c r="B48" s="1560" t="str">
        <f>IFERROR(IF(OR(RIGHT(LoadProfile!B46,1)="y",RIGHT(LoadProfile!B46,3)="C02",RIGHT(LoadProfile!B46,3)="CO2")=TRUE,(_xlfn.CONCAT(LoadProfile!B46," ",VLOOKUP(C48,APPLICATION_Skid,2,FALSE))),LoadProfile!B46),LoadProfile!B46)</f>
        <v/>
      </c>
      <c r="C48" s="1436" t="e">
        <f>LoadProfile!C46</f>
        <v>#REF!</v>
      </c>
      <c r="D48" s="1436" t="e">
        <f>SUBSTITUTE(LoadProfile!D46,"**","")</f>
        <v>#REF!</v>
      </c>
      <c r="E48" s="1436" t="e" cm="1">
        <f t="array" ref="E48">IF(INDEX('Legend(Skid)'!$S$8:$S$9,ROW()-44)=0,"---",INDEX('Legend(Skid)'!$S$8:$S$9,ROW()-44))</f>
        <v>#REF!</v>
      </c>
      <c r="F48" s="1430" t="e">
        <f t="shared" si="0"/>
        <v>#REF!</v>
      </c>
      <c r="G48" s="1436" t="e" cm="1">
        <f t="array" ref="G48">IF(INDEX('Legend(Skid)'!$AD$8:$AD$9,ROW()-44)=0,"-",INDEX('Legend(Skid)'!$AD$8:$AD$9,ROW()-44))</f>
        <v>#REF!</v>
      </c>
      <c r="H48" s="1430" t="e">
        <f t="shared" si="1"/>
        <v>#REF!</v>
      </c>
      <c r="I48" s="1548"/>
      <c r="J48" s="1569" t="s">
        <v>1058</v>
      </c>
      <c r="K48" s="1437">
        <f>LoadProfile!F46</f>
        <v>0</v>
      </c>
      <c r="L48" s="1437">
        <f>LoadProfile!G46</f>
        <v>0</v>
      </c>
      <c r="M48" s="1437">
        <f>LoadProfile!H46</f>
        <v>0</v>
      </c>
      <c r="N48" s="1437" t="str">
        <f>IF(LoadProfile!I46&lt;=0,"--",LoadProfile!I46)</f>
        <v>--</v>
      </c>
      <c r="O48" s="1437">
        <f>LoadProfile!J46</f>
        <v>0</v>
      </c>
      <c r="P48" s="1431" t="str">
        <f>IF(LoadProfile!M46&lt;=0,"",LoadProfile!M46)</f>
        <v/>
      </c>
      <c r="Q48" s="1431" t="str">
        <f>IF(LoadProfile!O46&lt;=0,"",LoadProfile!O46)</f>
        <v/>
      </c>
      <c r="R48" s="1431" t="str">
        <f>IF(LoadProfile!Q46&lt;=0,"",LoadProfile!Q46)</f>
        <v/>
      </c>
      <c r="S48" s="1431" t="str">
        <f>IF(LoadProfile!S46&lt;=0,"",LoadProfile!S46)</f>
        <v/>
      </c>
      <c r="T48" s="1431" t="str">
        <f>IF(LoadProfile!U46&lt;=0,"",LoadProfile!U46)</f>
        <v/>
      </c>
      <c r="U48" s="1431" t="str">
        <f>IF(LoadProfile!W46&lt;=0,"",LoadProfile!W46)</f>
        <v/>
      </c>
      <c r="V48" s="1431" t="str">
        <f>IF(LoadProfile!Y46&lt;=0,"",LoadProfile!Y46)</f>
        <v/>
      </c>
      <c r="W48" s="1431" t="str">
        <f>IF(LoadProfile!AA46&lt;=0,"",LoadProfile!AA46)</f>
        <v/>
      </c>
      <c r="X48" s="1431" t="str">
        <f>IF(LoadProfile!AC46&lt;=0,"",LoadProfile!AC46)</f>
        <v/>
      </c>
      <c r="Y48" s="1431" t="str">
        <f>IF(LoadProfile!AE46&lt;=0,"",LoadProfile!AE46)</f>
        <v/>
      </c>
      <c r="Z48" s="1431" t="str">
        <f>IF(LoadProfile!AG46&lt;=0,"",LoadProfile!AG46)</f>
        <v/>
      </c>
      <c r="AA48" s="1566" t="str">
        <f>IF(LoadProfile!AH46&lt;=0,"",LoadProfile!AH46)</f>
        <v/>
      </c>
      <c r="AB48" s="1633"/>
    </row>
    <row r="49" spans="1:28" hidden="1" x14ac:dyDescent="0.2">
      <c r="A49" s="376" t="str">
        <f>LoadProfile!A47</f>
        <v>e</v>
      </c>
      <c r="B49" s="1560" t="str">
        <f>IFERROR(IF(OR(RIGHT(LoadProfile!B47,1)="y",RIGHT(LoadProfile!B47,3)="C02",RIGHT(LoadProfile!B47,3)="CO2")=TRUE,(_xlfn.CONCAT(LoadProfile!B47," ",VLOOKUP(C49,APPLICATION_Skid,2,FALSE))),LoadProfile!B47),LoadProfile!B47)</f>
        <v/>
      </c>
      <c r="C49" s="1436" t="e">
        <f>LoadProfile!C47</f>
        <v>#REF!</v>
      </c>
      <c r="D49" s="1436" t="e">
        <f>SUBSTITUTE(LoadProfile!D47,"**","")</f>
        <v>#REF!</v>
      </c>
      <c r="E49" s="1436" t="e" cm="1">
        <f t="array" ref="E49">IF(INDEX('Legend(Skid)'!$S$8:$S$9,ROW()-44)=0,"---",INDEX('Legend(Skid)'!$S$8:$S$9,ROW()-44))</f>
        <v>#REF!</v>
      </c>
      <c r="F49" s="1430" t="e">
        <f t="shared" si="0"/>
        <v>#REF!</v>
      </c>
      <c r="G49" s="1436" t="e" cm="1">
        <f t="array" ref="G49">IF(INDEX('Legend(Skid)'!$AD$8:$AD$9,ROW()-44)=0,"-",INDEX('Legend(Skid)'!$AD$8:$AD$9,ROW()-44))</f>
        <v>#REF!</v>
      </c>
      <c r="H49" s="1430" t="e">
        <f t="shared" si="1"/>
        <v>#REF!</v>
      </c>
      <c r="I49" s="1548"/>
      <c r="J49" s="1569" t="s">
        <v>1058</v>
      </c>
      <c r="K49" s="1437">
        <f>LoadProfile!F47</f>
        <v>0</v>
      </c>
      <c r="L49" s="1437">
        <f>LoadProfile!G47</f>
        <v>0</v>
      </c>
      <c r="M49" s="1437">
        <f>LoadProfile!H47</f>
        <v>0</v>
      </c>
      <c r="N49" s="1437" t="str">
        <f>IF(LoadProfile!I47&lt;=0,"--",LoadProfile!I47)</f>
        <v>--</v>
      </c>
      <c r="O49" s="1437">
        <f>LoadProfile!J47</f>
        <v>0</v>
      </c>
      <c r="P49" s="1431" t="str">
        <f>IF(LoadProfile!M47&lt;=0,"",LoadProfile!M47)</f>
        <v/>
      </c>
      <c r="Q49" s="1431" t="str">
        <f>IF(LoadProfile!O47&lt;=0,"",LoadProfile!O47)</f>
        <v/>
      </c>
      <c r="R49" s="1431" t="str">
        <f>IF(LoadProfile!Q47&lt;=0,"",LoadProfile!Q47)</f>
        <v/>
      </c>
      <c r="S49" s="1431" t="str">
        <f>IF(LoadProfile!S47&lt;=0,"",LoadProfile!S47)</f>
        <v/>
      </c>
      <c r="T49" s="1431" t="str">
        <f>IF(LoadProfile!U47&lt;=0,"",LoadProfile!U47)</f>
        <v/>
      </c>
      <c r="U49" s="1431" t="str">
        <f>IF(LoadProfile!W47&lt;=0,"",LoadProfile!W47)</f>
        <v/>
      </c>
      <c r="V49" s="1431" t="str">
        <f>IF(LoadProfile!Y47&lt;=0,"",LoadProfile!Y47)</f>
        <v/>
      </c>
      <c r="W49" s="1431" t="str">
        <f>IF(LoadProfile!AA47&lt;=0,"",LoadProfile!AA47)</f>
        <v/>
      </c>
      <c r="X49" s="1431" t="str">
        <f>IF(LoadProfile!AC47&lt;=0,"",LoadProfile!AC47)</f>
        <v/>
      </c>
      <c r="Y49" s="1431" t="str">
        <f>IF(LoadProfile!AE47&lt;=0,"",LoadProfile!AE47)</f>
        <v/>
      </c>
      <c r="Z49" s="1431" t="str">
        <f>IF(LoadProfile!AG47&lt;=0,"",LoadProfile!AG47)</f>
        <v/>
      </c>
      <c r="AA49" s="1566" t="str">
        <f>IF(LoadProfile!AH47&lt;=0,"",LoadProfile!AH47)</f>
        <v/>
      </c>
      <c r="AB49" s="1633"/>
    </row>
    <row r="50" spans="1:28" hidden="1" x14ac:dyDescent="0.2">
      <c r="A50" s="376" t="str">
        <f>LoadProfile!A48</f>
        <v>e</v>
      </c>
      <c r="B50" s="1560" t="str">
        <f>IFERROR(IF(OR(RIGHT(LoadProfile!B48,1)="y",RIGHT(LoadProfile!B48,3)="C02",RIGHT(LoadProfile!B48,3)="CO2")=TRUE,(_xlfn.CONCAT(LoadProfile!B48," ",VLOOKUP(C50,APPLICATION_Skid,2,FALSE))),LoadProfile!B48),LoadProfile!B48)</f>
        <v/>
      </c>
      <c r="C50" s="1436" t="e">
        <f>LoadProfile!C48</f>
        <v>#REF!</v>
      </c>
      <c r="D50" s="1436" t="e">
        <f>SUBSTITUTE(LoadProfile!D48,"**","")</f>
        <v>#REF!</v>
      </c>
      <c r="E50" s="1436" t="e" cm="1">
        <f t="array" ref="E50">IF(INDEX('Legend(Skid)'!$S$8:$S$9,ROW()-44)=0,"---",INDEX('Legend(Skid)'!$S$8:$S$9,ROW()-44))</f>
        <v>#REF!</v>
      </c>
      <c r="F50" s="1430" t="e">
        <f t="shared" si="0"/>
        <v>#REF!</v>
      </c>
      <c r="G50" s="1436" t="e" cm="1">
        <f t="array" ref="G50">IF(INDEX('Legend(Skid)'!$AD$8:$AD$9,ROW()-44)=0,"-",INDEX('Legend(Skid)'!$AD$8:$AD$9,ROW()-44))</f>
        <v>#REF!</v>
      </c>
      <c r="H50" s="1430" t="e">
        <f t="shared" si="1"/>
        <v>#REF!</v>
      </c>
      <c r="I50" s="1548"/>
      <c r="J50" s="1569" t="s">
        <v>1058</v>
      </c>
      <c r="K50" s="1437">
        <f>LoadProfile!F48</f>
        <v>0</v>
      </c>
      <c r="L50" s="1437">
        <f>LoadProfile!G48</f>
        <v>0</v>
      </c>
      <c r="M50" s="1437">
        <f>LoadProfile!H48</f>
        <v>0</v>
      </c>
      <c r="N50" s="1437" t="str">
        <f>IF(LoadProfile!I48&lt;=0,"--",LoadProfile!I48)</f>
        <v>--</v>
      </c>
      <c r="O50" s="1437">
        <f>LoadProfile!J48</f>
        <v>0</v>
      </c>
      <c r="P50" s="1431" t="str">
        <f>IF(LoadProfile!M48&lt;=0,"",LoadProfile!M48)</f>
        <v/>
      </c>
      <c r="Q50" s="1431" t="str">
        <f>IF(LoadProfile!O48&lt;=0,"",LoadProfile!O48)</f>
        <v/>
      </c>
      <c r="R50" s="1431" t="str">
        <f>IF(LoadProfile!Q48&lt;=0,"",LoadProfile!Q48)</f>
        <v/>
      </c>
      <c r="S50" s="1431" t="str">
        <f>IF(LoadProfile!S48&lt;=0,"",LoadProfile!S48)</f>
        <v/>
      </c>
      <c r="T50" s="1431" t="str">
        <f>IF(LoadProfile!U48&lt;=0,"",LoadProfile!U48)</f>
        <v/>
      </c>
      <c r="U50" s="1431" t="str">
        <f>IF(LoadProfile!W48&lt;=0,"",LoadProfile!W48)</f>
        <v/>
      </c>
      <c r="V50" s="1431" t="str">
        <f>IF(LoadProfile!Y48&lt;=0,"",LoadProfile!Y48)</f>
        <v/>
      </c>
      <c r="W50" s="1431" t="str">
        <f>IF(LoadProfile!AA48&lt;=0,"",LoadProfile!AA48)</f>
        <v/>
      </c>
      <c r="X50" s="1431" t="str">
        <f>IF(LoadProfile!AC48&lt;=0,"",LoadProfile!AC48)</f>
        <v/>
      </c>
      <c r="Y50" s="1431" t="str">
        <f>IF(LoadProfile!AE48&lt;=0,"",LoadProfile!AE48)</f>
        <v/>
      </c>
      <c r="Z50" s="1431" t="str">
        <f>IF(LoadProfile!AG48&lt;=0,"",LoadProfile!AG48)</f>
        <v/>
      </c>
      <c r="AA50" s="1566" t="str">
        <f>IF(LoadProfile!AH48&lt;=0,"",LoadProfile!AH48)</f>
        <v/>
      </c>
      <c r="AB50" s="1633"/>
    </row>
    <row r="51" spans="1:28" hidden="1" x14ac:dyDescent="0.2">
      <c r="A51" s="376" t="str">
        <f>LoadProfile!A49</f>
        <v>e</v>
      </c>
      <c r="B51" s="1560" t="str">
        <f>IFERROR(IF(OR(RIGHT(LoadProfile!B49,1)="y",RIGHT(LoadProfile!B49,3)="C02",RIGHT(LoadProfile!B49,3)="CO2")=TRUE,(_xlfn.CONCAT(LoadProfile!B49," ",VLOOKUP(C51,APPLICATION_Skid,2,FALSE))),LoadProfile!B49),LoadProfile!B49)</f>
        <v/>
      </c>
      <c r="C51" s="1436" t="e">
        <f>LoadProfile!C49</f>
        <v>#REF!</v>
      </c>
      <c r="D51" s="1436" t="e">
        <f>SUBSTITUTE(LoadProfile!D49,"**","")</f>
        <v>#REF!</v>
      </c>
      <c r="E51" s="1436" t="e" cm="1">
        <f t="array" ref="E51">IF(INDEX('Legend(Skid)'!$S$8:$S$9,ROW()-44)=0,"---",INDEX('Legend(Skid)'!$S$8:$S$9,ROW()-44))</f>
        <v>#REF!</v>
      </c>
      <c r="F51" s="1430" t="e">
        <f t="shared" si="0"/>
        <v>#REF!</v>
      </c>
      <c r="G51" s="1436" t="e" cm="1">
        <f t="array" ref="G51">IF(INDEX('Legend(Skid)'!$AD$8:$AD$9,ROW()-44)=0,"-",INDEX('Legend(Skid)'!$AD$8:$AD$9,ROW()-44))</f>
        <v>#REF!</v>
      </c>
      <c r="H51" s="1430" t="e">
        <f t="shared" si="1"/>
        <v>#REF!</v>
      </c>
      <c r="I51" s="1548"/>
      <c r="J51" s="1569" t="s">
        <v>1058</v>
      </c>
      <c r="K51" s="1437">
        <f>LoadProfile!F49</f>
        <v>0</v>
      </c>
      <c r="L51" s="1437">
        <f>LoadProfile!G49</f>
        <v>0</v>
      </c>
      <c r="M51" s="1437">
        <f>LoadProfile!H49</f>
        <v>0</v>
      </c>
      <c r="N51" s="1437" t="str">
        <f>IF(LoadProfile!I49&lt;=0,"--",LoadProfile!I49)</f>
        <v>--</v>
      </c>
      <c r="O51" s="1437">
        <f>LoadProfile!J49</f>
        <v>0</v>
      </c>
      <c r="P51" s="1431" t="str">
        <f>IF(LoadProfile!M49&lt;=0,"",LoadProfile!M49)</f>
        <v/>
      </c>
      <c r="Q51" s="1431" t="str">
        <f>IF(LoadProfile!O49&lt;=0,"",LoadProfile!O49)</f>
        <v/>
      </c>
      <c r="R51" s="1431" t="str">
        <f>IF(LoadProfile!Q49&lt;=0,"",LoadProfile!Q49)</f>
        <v/>
      </c>
      <c r="S51" s="1431" t="str">
        <f>IF(LoadProfile!S49&lt;=0,"",LoadProfile!S49)</f>
        <v/>
      </c>
      <c r="T51" s="1431" t="str">
        <f>IF(LoadProfile!U49&lt;=0,"",LoadProfile!U49)</f>
        <v/>
      </c>
      <c r="U51" s="1431" t="str">
        <f>IF(LoadProfile!W49&lt;=0,"",LoadProfile!W49)</f>
        <v/>
      </c>
      <c r="V51" s="1431" t="str">
        <f>IF(LoadProfile!Y49&lt;=0,"",LoadProfile!Y49)</f>
        <v/>
      </c>
      <c r="W51" s="1431" t="str">
        <f>IF(LoadProfile!AA49&lt;=0,"",LoadProfile!AA49)</f>
        <v/>
      </c>
      <c r="X51" s="1431" t="str">
        <f>IF(LoadProfile!AC49&lt;=0,"",LoadProfile!AC49)</f>
        <v/>
      </c>
      <c r="Y51" s="1431" t="str">
        <f>IF(LoadProfile!AE49&lt;=0,"",LoadProfile!AE49)</f>
        <v/>
      </c>
      <c r="Z51" s="1431" t="str">
        <f>IF(LoadProfile!AG49&lt;=0,"",LoadProfile!AG49)</f>
        <v/>
      </c>
      <c r="AA51" s="1566" t="str">
        <f>IF(LoadProfile!AH49&lt;=0,"",LoadProfile!AH49)</f>
        <v/>
      </c>
      <c r="AB51" s="1633"/>
    </row>
    <row r="52" spans="1:28" hidden="1" x14ac:dyDescent="0.2">
      <c r="A52" s="376" t="str">
        <f>LoadProfile!A50</f>
        <v>e</v>
      </c>
      <c r="B52" s="1560" t="str">
        <f>IFERROR(IF(OR(RIGHT(LoadProfile!B50,1)="y",RIGHT(LoadProfile!B50,3)="C02",RIGHT(LoadProfile!B50,3)="CO2")=TRUE,(_xlfn.CONCAT(LoadProfile!B50," ",VLOOKUP(C52,APPLICATION_Skid,2,FALSE))),LoadProfile!B50),LoadProfile!B50)</f>
        <v/>
      </c>
      <c r="C52" s="1436" t="e">
        <f>LoadProfile!C50</f>
        <v>#REF!</v>
      </c>
      <c r="D52" s="1436" t="e">
        <f>SUBSTITUTE(LoadProfile!D50,"**","")</f>
        <v>#REF!</v>
      </c>
      <c r="E52" s="1436" t="e" cm="1">
        <f t="array" ref="E52">IF(INDEX('Legend(Skid)'!$S$8:$S$9,ROW()-44)=0,"---",INDEX('Legend(Skid)'!$S$8:$S$9,ROW()-44))</f>
        <v>#REF!</v>
      </c>
      <c r="F52" s="1430" t="e">
        <f t="shared" si="0"/>
        <v>#REF!</v>
      </c>
      <c r="G52" s="1436" t="e" cm="1">
        <f t="array" ref="G52">IF(INDEX('Legend(Skid)'!$AD$8:$AD$9,ROW()-44)=0,"-",INDEX('Legend(Skid)'!$AD$8:$AD$9,ROW()-44))</f>
        <v>#REF!</v>
      </c>
      <c r="H52" s="1430" t="e">
        <f t="shared" si="1"/>
        <v>#REF!</v>
      </c>
      <c r="I52" s="1548"/>
      <c r="J52" s="1569" t="s">
        <v>1058</v>
      </c>
      <c r="K52" s="1437">
        <f>LoadProfile!F50</f>
        <v>0</v>
      </c>
      <c r="L52" s="1437">
        <f>LoadProfile!G50</f>
        <v>0</v>
      </c>
      <c r="M52" s="1437">
        <f>LoadProfile!H50</f>
        <v>0</v>
      </c>
      <c r="N52" s="1437" t="str">
        <f>IF(LoadProfile!I50&lt;=0,"--",LoadProfile!I50)</f>
        <v>--</v>
      </c>
      <c r="O52" s="1437">
        <f>LoadProfile!J50</f>
        <v>0</v>
      </c>
      <c r="P52" s="1431" t="str">
        <f>IF(LoadProfile!M50&lt;=0,"",LoadProfile!M50)</f>
        <v/>
      </c>
      <c r="Q52" s="1431" t="str">
        <f>IF(LoadProfile!O50&lt;=0,"",LoadProfile!O50)</f>
        <v/>
      </c>
      <c r="R52" s="1431" t="str">
        <f>IF(LoadProfile!Q50&lt;=0,"",LoadProfile!Q50)</f>
        <v/>
      </c>
      <c r="S52" s="1431" t="str">
        <f>IF(LoadProfile!S50&lt;=0,"",LoadProfile!S50)</f>
        <v/>
      </c>
      <c r="T52" s="1431" t="str">
        <f>IF(LoadProfile!U50&lt;=0,"",LoadProfile!U50)</f>
        <v/>
      </c>
      <c r="U52" s="1431" t="str">
        <f>IF(LoadProfile!W50&lt;=0,"",LoadProfile!W50)</f>
        <v/>
      </c>
      <c r="V52" s="1431" t="str">
        <f>IF(LoadProfile!Y50&lt;=0,"",LoadProfile!Y50)</f>
        <v/>
      </c>
      <c r="W52" s="1431" t="str">
        <f>IF(LoadProfile!AA50&lt;=0,"",LoadProfile!AA50)</f>
        <v/>
      </c>
      <c r="X52" s="1431" t="str">
        <f>IF(LoadProfile!AC50&lt;=0,"",LoadProfile!AC50)</f>
        <v/>
      </c>
      <c r="Y52" s="1431" t="str">
        <f>IF(LoadProfile!AE50&lt;=0,"",LoadProfile!AE50)</f>
        <v/>
      </c>
      <c r="Z52" s="1431" t="str">
        <f>IF(LoadProfile!AG50&lt;=0,"",LoadProfile!AG50)</f>
        <v/>
      </c>
      <c r="AA52" s="1566" t="str">
        <f>IF(LoadProfile!AH50&lt;=0,"",LoadProfile!AH50)</f>
        <v/>
      </c>
      <c r="AB52" s="1633"/>
    </row>
    <row r="53" spans="1:28" hidden="1" x14ac:dyDescent="0.2">
      <c r="A53" s="376" t="str">
        <f>LoadProfile!A51</f>
        <v>e</v>
      </c>
      <c r="B53" s="1560" t="str">
        <f>IFERROR(IF(OR(RIGHT(LoadProfile!B51,1)="y",RIGHT(LoadProfile!B51,3)="C02",RIGHT(LoadProfile!B51,3)="CO2")=TRUE,(_xlfn.CONCAT(LoadProfile!B51," ",VLOOKUP(C53,APPLICATION_Skid,2,FALSE))),LoadProfile!B51),LoadProfile!B51)</f>
        <v/>
      </c>
      <c r="C53" s="1436" t="e">
        <f>LoadProfile!C51</f>
        <v>#REF!</v>
      </c>
      <c r="D53" s="1436" t="e">
        <f>SUBSTITUTE(LoadProfile!D51,"**","")</f>
        <v>#REF!</v>
      </c>
      <c r="E53" s="1436" t="e" cm="1">
        <f t="array" ref="E53">IF(INDEX('Legend(Skid)'!$S$8:$S$9,ROW()-44)=0,"---",INDEX('Legend(Skid)'!$S$8:$S$9,ROW()-44))</f>
        <v>#REF!</v>
      </c>
      <c r="F53" s="1430" t="e">
        <f t="shared" si="0"/>
        <v>#REF!</v>
      </c>
      <c r="G53" s="1436" t="e" cm="1">
        <f t="array" ref="G53">IF(INDEX('Legend(Skid)'!$AD$8:$AD$9,ROW()-44)=0,"-",INDEX('Legend(Skid)'!$AD$8:$AD$9,ROW()-44))</f>
        <v>#REF!</v>
      </c>
      <c r="H53" s="1430" t="e">
        <f t="shared" si="1"/>
        <v>#REF!</v>
      </c>
      <c r="I53" s="1548"/>
      <c r="J53" s="1569" t="s">
        <v>1058</v>
      </c>
      <c r="K53" s="1437">
        <f>LoadProfile!F51</f>
        <v>0</v>
      </c>
      <c r="L53" s="1437">
        <f>LoadProfile!G51</f>
        <v>0</v>
      </c>
      <c r="M53" s="1437">
        <f>LoadProfile!H51</f>
        <v>0</v>
      </c>
      <c r="N53" s="1437" t="str">
        <f>IF(LoadProfile!I51&lt;=0,"--",LoadProfile!I51)</f>
        <v>--</v>
      </c>
      <c r="O53" s="1437">
        <f>LoadProfile!J51</f>
        <v>0</v>
      </c>
      <c r="P53" s="1431" t="str">
        <f>IF(LoadProfile!M51&lt;=0,"",LoadProfile!M51)</f>
        <v/>
      </c>
      <c r="Q53" s="1431" t="str">
        <f>IF(LoadProfile!O51&lt;=0,"",LoadProfile!O51)</f>
        <v/>
      </c>
      <c r="R53" s="1431" t="str">
        <f>IF(LoadProfile!Q51&lt;=0,"",LoadProfile!Q51)</f>
        <v/>
      </c>
      <c r="S53" s="1431" t="str">
        <f>IF(LoadProfile!S51&lt;=0,"",LoadProfile!S51)</f>
        <v/>
      </c>
      <c r="T53" s="1431" t="str">
        <f>IF(LoadProfile!U51&lt;=0,"",LoadProfile!U51)</f>
        <v/>
      </c>
      <c r="U53" s="1431" t="str">
        <f>IF(LoadProfile!W51&lt;=0,"",LoadProfile!W51)</f>
        <v/>
      </c>
      <c r="V53" s="1431" t="str">
        <f>IF(LoadProfile!Y51&lt;=0,"",LoadProfile!Y51)</f>
        <v/>
      </c>
      <c r="W53" s="1431" t="str">
        <f>IF(LoadProfile!AA51&lt;=0,"",LoadProfile!AA51)</f>
        <v/>
      </c>
      <c r="X53" s="1431" t="str">
        <f>IF(LoadProfile!AC51&lt;=0,"",LoadProfile!AC51)</f>
        <v/>
      </c>
      <c r="Y53" s="1431" t="str">
        <f>IF(LoadProfile!AE51&lt;=0,"",LoadProfile!AE51)</f>
        <v/>
      </c>
      <c r="Z53" s="1431" t="str">
        <f>IF(LoadProfile!AG51&lt;=0,"",LoadProfile!AG51)</f>
        <v/>
      </c>
      <c r="AA53" s="1566" t="str">
        <f>IF(LoadProfile!AH51&lt;=0,"",LoadProfile!AH51)</f>
        <v/>
      </c>
      <c r="AB53" s="1633"/>
    </row>
    <row r="54" spans="1:28" hidden="1" x14ac:dyDescent="0.2">
      <c r="A54" s="376" t="str">
        <f>LoadProfile!A52</f>
        <v>e</v>
      </c>
      <c r="B54" s="1560" t="str">
        <f>IFERROR(IF(OR(RIGHT(LoadProfile!B52,1)="y",RIGHT(LoadProfile!B52,3)="C02",RIGHT(LoadProfile!B52,3)="CO2")=TRUE,(_xlfn.CONCAT(LoadProfile!B52," ",VLOOKUP(C54,APPLICATION_Skid,2,FALSE))),LoadProfile!B52),LoadProfile!B52)</f>
        <v/>
      </c>
      <c r="C54" s="1436" t="e">
        <f>LoadProfile!C52</f>
        <v>#REF!</v>
      </c>
      <c r="D54" s="1436" t="e">
        <f>SUBSTITUTE(LoadProfile!D52,"**","")</f>
        <v>#REF!</v>
      </c>
      <c r="E54" s="1436" t="e" cm="1">
        <f t="array" ref="E54">IF(INDEX('Legend(Skid)'!$S$8:$S$9,ROW()-44)=0,"---",INDEX('Legend(Skid)'!$S$8:$S$9,ROW()-44))</f>
        <v>#REF!</v>
      </c>
      <c r="F54" s="1430" t="e">
        <f t="shared" si="0"/>
        <v>#REF!</v>
      </c>
      <c r="G54" s="1436" t="e" cm="1">
        <f t="array" ref="G54">IF(INDEX('Legend(Skid)'!$AD$8:$AD$9,ROW()-44)=0,"-",INDEX('Legend(Skid)'!$AD$8:$AD$9,ROW()-44))</f>
        <v>#REF!</v>
      </c>
      <c r="H54" s="1430" t="e">
        <f t="shared" si="1"/>
        <v>#REF!</v>
      </c>
      <c r="I54" s="1548"/>
      <c r="J54" s="1569" t="s">
        <v>1058</v>
      </c>
      <c r="K54" s="1437">
        <f>LoadProfile!F52</f>
        <v>0</v>
      </c>
      <c r="L54" s="1437">
        <f>LoadProfile!G52</f>
        <v>0</v>
      </c>
      <c r="M54" s="1437">
        <f>LoadProfile!H52</f>
        <v>0</v>
      </c>
      <c r="N54" s="1437" t="str">
        <f>IF(LoadProfile!I52&lt;=0,"--",LoadProfile!I52)</f>
        <v>--</v>
      </c>
      <c r="O54" s="1437">
        <f>LoadProfile!J52</f>
        <v>0</v>
      </c>
      <c r="P54" s="1431" t="str">
        <f>IF(LoadProfile!M52&lt;=0,"",LoadProfile!M52)</f>
        <v/>
      </c>
      <c r="Q54" s="1431" t="str">
        <f>IF(LoadProfile!O52&lt;=0,"",LoadProfile!O52)</f>
        <v/>
      </c>
      <c r="R54" s="1431" t="str">
        <f>IF(LoadProfile!Q52&lt;=0,"",LoadProfile!Q52)</f>
        <v/>
      </c>
      <c r="S54" s="1431" t="str">
        <f>IF(LoadProfile!S52&lt;=0,"",LoadProfile!S52)</f>
        <v/>
      </c>
      <c r="T54" s="1431" t="str">
        <f>IF(LoadProfile!U52&lt;=0,"",LoadProfile!U52)</f>
        <v/>
      </c>
      <c r="U54" s="1431" t="str">
        <f>IF(LoadProfile!W52&lt;=0,"",LoadProfile!W52)</f>
        <v/>
      </c>
      <c r="V54" s="1431" t="str">
        <f>IF(LoadProfile!Y52&lt;=0,"",LoadProfile!Y52)</f>
        <v/>
      </c>
      <c r="W54" s="1431" t="str">
        <f>IF(LoadProfile!AA52&lt;=0,"",LoadProfile!AA52)</f>
        <v/>
      </c>
      <c r="X54" s="1431" t="str">
        <f>IF(LoadProfile!AC52&lt;=0,"",LoadProfile!AC52)</f>
        <v/>
      </c>
      <c r="Y54" s="1431" t="str">
        <f>IF(LoadProfile!AE52&lt;=0,"",LoadProfile!AE52)</f>
        <v/>
      </c>
      <c r="Z54" s="1431" t="str">
        <f>IF(LoadProfile!AG52&lt;=0,"",LoadProfile!AG52)</f>
        <v/>
      </c>
      <c r="AA54" s="1566" t="str">
        <f>IF(LoadProfile!AH52&lt;=0,"",LoadProfile!AH52)</f>
        <v/>
      </c>
      <c r="AB54" s="1633"/>
    </row>
    <row r="55" spans="1:28" hidden="1" x14ac:dyDescent="0.2">
      <c r="A55" s="376" t="str">
        <f>LoadProfile!A53</f>
        <v>e</v>
      </c>
      <c r="B55" s="1560" t="str">
        <f>IFERROR(IF(OR(RIGHT(LoadProfile!B53,1)="y",RIGHT(LoadProfile!B53,3)="C02",RIGHT(LoadProfile!B53,3)="CO2")=TRUE,(_xlfn.CONCAT(LoadProfile!B53," ",VLOOKUP(C55,APPLICATION_Skid,2,FALSE))),LoadProfile!B53),LoadProfile!B53)</f>
        <v/>
      </c>
      <c r="C55" s="1436" t="e">
        <f>LoadProfile!C53</f>
        <v>#REF!</v>
      </c>
      <c r="D55" s="1436" t="e">
        <f>SUBSTITUTE(LoadProfile!D53,"**","")</f>
        <v>#REF!</v>
      </c>
      <c r="E55" s="1436" t="e" cm="1">
        <f t="array" ref="E55">IF(INDEX('Legend(Skid)'!$S$8:$S$9,ROW()-44)=0,"---",INDEX('Legend(Skid)'!$S$8:$S$9,ROW()-44))</f>
        <v>#REF!</v>
      </c>
      <c r="F55" s="1430" t="e">
        <f t="shared" si="0"/>
        <v>#REF!</v>
      </c>
      <c r="G55" s="1436" t="e" cm="1">
        <f t="array" ref="G55">IF(INDEX('Legend(Skid)'!$AD$8:$AD$9,ROW()-44)=0,"-",INDEX('Legend(Skid)'!$AD$8:$AD$9,ROW()-44))</f>
        <v>#REF!</v>
      </c>
      <c r="H55" s="1430" t="e">
        <f t="shared" si="1"/>
        <v>#REF!</v>
      </c>
      <c r="I55" s="1548"/>
      <c r="J55" s="1569" t="s">
        <v>1058</v>
      </c>
      <c r="K55" s="1437">
        <f>LoadProfile!F53</f>
        <v>0</v>
      </c>
      <c r="L55" s="1437">
        <f>LoadProfile!G53</f>
        <v>0</v>
      </c>
      <c r="M55" s="1437">
        <f>LoadProfile!H53</f>
        <v>0</v>
      </c>
      <c r="N55" s="1437" t="str">
        <f>IF(LoadProfile!I53&lt;=0,"--",LoadProfile!I53)</f>
        <v>--</v>
      </c>
      <c r="O55" s="1437">
        <f>LoadProfile!J53</f>
        <v>0</v>
      </c>
      <c r="P55" s="1431" t="str">
        <f>IF(LoadProfile!M53&lt;=0,"",LoadProfile!M53)</f>
        <v/>
      </c>
      <c r="Q55" s="1431" t="str">
        <f>IF(LoadProfile!O53&lt;=0,"",LoadProfile!O53)</f>
        <v/>
      </c>
      <c r="R55" s="1431" t="str">
        <f>IF(LoadProfile!Q53&lt;=0,"",LoadProfile!Q53)</f>
        <v/>
      </c>
      <c r="S55" s="1431" t="str">
        <f>IF(LoadProfile!S53&lt;=0,"",LoadProfile!S53)</f>
        <v/>
      </c>
      <c r="T55" s="1431" t="str">
        <f>IF(LoadProfile!U53&lt;=0,"",LoadProfile!U53)</f>
        <v/>
      </c>
      <c r="U55" s="1431" t="str">
        <f>IF(LoadProfile!W53&lt;=0,"",LoadProfile!W53)</f>
        <v/>
      </c>
      <c r="V55" s="1431" t="str">
        <f>IF(LoadProfile!Y53&lt;=0,"",LoadProfile!Y53)</f>
        <v/>
      </c>
      <c r="W55" s="1431" t="str">
        <f>IF(LoadProfile!AA53&lt;=0,"",LoadProfile!AA53)</f>
        <v/>
      </c>
      <c r="X55" s="1431" t="str">
        <f>IF(LoadProfile!AC53&lt;=0,"",LoadProfile!AC53)</f>
        <v/>
      </c>
      <c r="Y55" s="1431" t="str">
        <f>IF(LoadProfile!AE53&lt;=0,"",LoadProfile!AE53)</f>
        <v/>
      </c>
      <c r="Z55" s="1431" t="str">
        <f>IF(LoadProfile!AG53&lt;=0,"",LoadProfile!AG53)</f>
        <v/>
      </c>
      <c r="AA55" s="1566" t="str">
        <f>IF(LoadProfile!AH53&lt;=0,"",LoadProfile!AH53)</f>
        <v/>
      </c>
      <c r="AB55" s="1633"/>
    </row>
    <row r="56" spans="1:28" hidden="1" x14ac:dyDescent="0.2">
      <c r="A56" s="376" t="str">
        <f>LoadProfile!A54</f>
        <v>e</v>
      </c>
      <c r="B56" s="1560" t="str">
        <f>IFERROR(IF(OR(RIGHT(LoadProfile!B54,1)="y",RIGHT(LoadProfile!B54,3)="C02",RIGHT(LoadProfile!B54,3)="CO2")=TRUE,(_xlfn.CONCAT(LoadProfile!B54," ",VLOOKUP(C56,APPLICATION_Skid,2,FALSE))),LoadProfile!B54),LoadProfile!B54)</f>
        <v/>
      </c>
      <c r="C56" s="1436" t="e">
        <f>LoadProfile!C54</f>
        <v>#REF!</v>
      </c>
      <c r="D56" s="1436" t="e">
        <f>SUBSTITUTE(LoadProfile!D54,"**","")</f>
        <v>#REF!</v>
      </c>
      <c r="E56" s="1436" t="e" cm="1">
        <f t="array" ref="E56">IF(INDEX('Legend(Skid)'!$S$8:$S$9,ROW()-44)=0,"---",INDEX('Legend(Skid)'!$S$8:$S$9,ROW()-44))</f>
        <v>#REF!</v>
      </c>
      <c r="F56" s="1430" t="e">
        <f t="shared" si="0"/>
        <v>#REF!</v>
      </c>
      <c r="G56" s="1436" t="e" cm="1">
        <f t="array" ref="G56">IF(INDEX('Legend(Skid)'!$AD$8:$AD$9,ROW()-44)=0,"-",INDEX('Legend(Skid)'!$AD$8:$AD$9,ROW()-44))</f>
        <v>#REF!</v>
      </c>
      <c r="H56" s="1430" t="e">
        <f t="shared" si="1"/>
        <v>#REF!</v>
      </c>
      <c r="I56" s="1548"/>
      <c r="J56" s="1569" t="s">
        <v>1058</v>
      </c>
      <c r="K56" s="1437">
        <f>LoadProfile!F54</f>
        <v>0</v>
      </c>
      <c r="L56" s="1437">
        <f>LoadProfile!G54</f>
        <v>0</v>
      </c>
      <c r="M56" s="1437">
        <f>LoadProfile!H54</f>
        <v>0</v>
      </c>
      <c r="N56" s="1437" t="str">
        <f>IF(LoadProfile!I54&lt;=0,"--",LoadProfile!I54)</f>
        <v>--</v>
      </c>
      <c r="O56" s="1437">
        <f>LoadProfile!J54</f>
        <v>0</v>
      </c>
      <c r="P56" s="1431" t="str">
        <f>IF(LoadProfile!M54&lt;=0,"",LoadProfile!M54)</f>
        <v/>
      </c>
      <c r="Q56" s="1431" t="str">
        <f>IF(LoadProfile!O54&lt;=0,"",LoadProfile!O54)</f>
        <v/>
      </c>
      <c r="R56" s="1431" t="str">
        <f>IF(LoadProfile!Q54&lt;=0,"",LoadProfile!Q54)</f>
        <v/>
      </c>
      <c r="S56" s="1431" t="str">
        <f>IF(LoadProfile!S54&lt;=0,"",LoadProfile!S54)</f>
        <v/>
      </c>
      <c r="T56" s="1431" t="str">
        <f>IF(LoadProfile!U54&lt;=0,"",LoadProfile!U54)</f>
        <v/>
      </c>
      <c r="U56" s="1431" t="str">
        <f>IF(LoadProfile!W54&lt;=0,"",LoadProfile!W54)</f>
        <v/>
      </c>
      <c r="V56" s="1431" t="str">
        <f>IF(LoadProfile!Y54&lt;=0,"",LoadProfile!Y54)</f>
        <v/>
      </c>
      <c r="W56" s="1431" t="str">
        <f>IF(LoadProfile!AA54&lt;=0,"",LoadProfile!AA54)</f>
        <v/>
      </c>
      <c r="X56" s="1431" t="str">
        <f>IF(LoadProfile!AC54&lt;=0,"",LoadProfile!AC54)</f>
        <v/>
      </c>
      <c r="Y56" s="1431" t="str">
        <f>IF(LoadProfile!AE54&lt;=0,"",LoadProfile!AE54)</f>
        <v/>
      </c>
      <c r="Z56" s="1431" t="str">
        <f>IF(LoadProfile!AG54&lt;=0,"",LoadProfile!AG54)</f>
        <v/>
      </c>
      <c r="AA56" s="1566" t="str">
        <f>IF(LoadProfile!AH54&lt;=0,"",LoadProfile!AH54)</f>
        <v/>
      </c>
      <c r="AB56" s="1633"/>
    </row>
    <row r="57" spans="1:28" hidden="1" x14ac:dyDescent="0.2">
      <c r="A57" s="376" t="str">
        <f>LoadProfile!A55</f>
        <v>e</v>
      </c>
      <c r="B57" s="1560" t="str">
        <f>IFERROR(IF(OR(RIGHT(LoadProfile!B55,1)="y",RIGHT(LoadProfile!B55,3)="C02",RIGHT(LoadProfile!B55,3)="CO2")=TRUE,(_xlfn.CONCAT(LoadProfile!B55," ",VLOOKUP(C57,APPLICATION_Skid,2,FALSE))),LoadProfile!B55),LoadProfile!B55)</f>
        <v/>
      </c>
      <c r="C57" s="1436" t="e">
        <f>LoadProfile!C55</f>
        <v>#REF!</v>
      </c>
      <c r="D57" s="1436" t="e">
        <f>SUBSTITUTE(LoadProfile!D55,"**","")</f>
        <v>#REF!</v>
      </c>
      <c r="E57" s="1436" t="e" cm="1">
        <f t="array" ref="E57">IF(INDEX('Legend(Skid)'!$S$8:$S$9,ROW()-44)=0,"---",INDEX('Legend(Skid)'!$S$8:$S$9,ROW()-44))</f>
        <v>#REF!</v>
      </c>
      <c r="F57" s="1430" t="e">
        <f t="shared" si="0"/>
        <v>#REF!</v>
      </c>
      <c r="G57" s="1436" t="e" cm="1">
        <f t="array" ref="G57">IF(INDEX('Legend(Skid)'!$AD$8:$AD$9,ROW()-44)=0,"-",INDEX('Legend(Skid)'!$AD$8:$AD$9,ROW()-44))</f>
        <v>#REF!</v>
      </c>
      <c r="H57" s="1430" t="e">
        <f t="shared" si="1"/>
        <v>#REF!</v>
      </c>
      <c r="I57" s="1548"/>
      <c r="J57" s="1569" t="s">
        <v>1058</v>
      </c>
      <c r="K57" s="1437">
        <f>LoadProfile!F55</f>
        <v>0</v>
      </c>
      <c r="L57" s="1437">
        <f>LoadProfile!G55</f>
        <v>0</v>
      </c>
      <c r="M57" s="1437">
        <f>LoadProfile!H55</f>
        <v>0</v>
      </c>
      <c r="N57" s="1437" t="str">
        <f>IF(LoadProfile!I55&lt;=0,"--",LoadProfile!I55)</f>
        <v>--</v>
      </c>
      <c r="O57" s="1437">
        <f>LoadProfile!J55</f>
        <v>0</v>
      </c>
      <c r="P57" s="1431" t="str">
        <f>IF(LoadProfile!M55&lt;=0,"",LoadProfile!M55)</f>
        <v/>
      </c>
      <c r="Q57" s="1431" t="str">
        <f>IF(LoadProfile!O55&lt;=0,"",LoadProfile!O55)</f>
        <v/>
      </c>
      <c r="R57" s="1431" t="str">
        <f>IF(LoadProfile!Q55&lt;=0,"",LoadProfile!Q55)</f>
        <v/>
      </c>
      <c r="S57" s="1431" t="str">
        <f>IF(LoadProfile!S55&lt;=0,"",LoadProfile!S55)</f>
        <v/>
      </c>
      <c r="T57" s="1431" t="str">
        <f>IF(LoadProfile!U55&lt;=0,"",LoadProfile!U55)</f>
        <v/>
      </c>
      <c r="U57" s="1431" t="str">
        <f>IF(LoadProfile!W55&lt;=0,"",LoadProfile!W55)</f>
        <v/>
      </c>
      <c r="V57" s="1431" t="str">
        <f>IF(LoadProfile!Y55&lt;=0,"",LoadProfile!Y55)</f>
        <v/>
      </c>
      <c r="W57" s="1431" t="str">
        <f>IF(LoadProfile!AA55&lt;=0,"",LoadProfile!AA55)</f>
        <v/>
      </c>
      <c r="X57" s="1431" t="str">
        <f>IF(LoadProfile!AC55&lt;=0,"",LoadProfile!AC55)</f>
        <v/>
      </c>
      <c r="Y57" s="1431" t="str">
        <f>IF(LoadProfile!AE55&lt;=0,"",LoadProfile!AE55)</f>
        <v/>
      </c>
      <c r="Z57" s="1431" t="str">
        <f>IF(LoadProfile!AG55&lt;=0,"",LoadProfile!AG55)</f>
        <v/>
      </c>
      <c r="AA57" s="1566" t="str">
        <f>IF(LoadProfile!AH55&lt;=0,"",LoadProfile!AH55)</f>
        <v/>
      </c>
      <c r="AB57" s="1633"/>
    </row>
    <row r="58" spans="1:28" hidden="1" x14ac:dyDescent="0.2">
      <c r="A58" s="376" t="str">
        <f>LoadProfile!A56</f>
        <v>e</v>
      </c>
      <c r="B58" s="1560" t="str">
        <f>IFERROR(IF(OR(RIGHT(LoadProfile!B56,1)="y",RIGHT(LoadProfile!B56,3)="C02",RIGHT(LoadProfile!B56,3)="CO2")=TRUE,(_xlfn.CONCAT(LoadProfile!B56," ",VLOOKUP(C58,APPLICATION_Skid,2,FALSE))),LoadProfile!B56),LoadProfile!B56)</f>
        <v/>
      </c>
      <c r="C58" s="1436" t="e">
        <f>LoadProfile!C56</f>
        <v>#REF!</v>
      </c>
      <c r="D58" s="1436" t="e">
        <f>SUBSTITUTE(LoadProfile!D56,"**","")</f>
        <v>#REF!</v>
      </c>
      <c r="E58" s="1436" t="e" cm="1">
        <f t="array" ref="E58">IF(INDEX('Legend(Skid)'!$S$8:$S$9,ROW()-44)=0,"---",INDEX('Legend(Skid)'!$S$8:$S$9,ROW()-44))</f>
        <v>#REF!</v>
      </c>
      <c r="F58" s="1430" t="e">
        <f t="shared" si="0"/>
        <v>#REF!</v>
      </c>
      <c r="G58" s="1436" t="e" cm="1">
        <f t="array" ref="G58">IF(INDEX('Legend(Skid)'!$AD$8:$AD$9,ROW()-44)=0,"-",INDEX('Legend(Skid)'!$AD$8:$AD$9,ROW()-44))</f>
        <v>#REF!</v>
      </c>
      <c r="H58" s="1430" t="e">
        <f t="shared" si="1"/>
        <v>#REF!</v>
      </c>
      <c r="I58" s="1548"/>
      <c r="J58" s="1569" t="s">
        <v>1058</v>
      </c>
      <c r="K58" s="1437">
        <f>LoadProfile!F56</f>
        <v>0</v>
      </c>
      <c r="L58" s="1437">
        <f>LoadProfile!G56</f>
        <v>0</v>
      </c>
      <c r="M58" s="1437">
        <f>LoadProfile!H56</f>
        <v>0</v>
      </c>
      <c r="N58" s="1437" t="str">
        <f>IF(LoadProfile!I56&lt;=0,"--",LoadProfile!I56)</f>
        <v>--</v>
      </c>
      <c r="O58" s="1437">
        <f>LoadProfile!J56</f>
        <v>0</v>
      </c>
      <c r="P58" s="1431" t="str">
        <f>IF(LoadProfile!M56&lt;=0,"",LoadProfile!M56)</f>
        <v/>
      </c>
      <c r="Q58" s="1431" t="str">
        <f>IF(LoadProfile!O56&lt;=0,"",LoadProfile!O56)</f>
        <v/>
      </c>
      <c r="R58" s="1431" t="str">
        <f>IF(LoadProfile!Q56&lt;=0,"",LoadProfile!Q56)</f>
        <v/>
      </c>
      <c r="S58" s="1431" t="str">
        <f>IF(LoadProfile!S56&lt;=0,"",LoadProfile!S56)</f>
        <v/>
      </c>
      <c r="T58" s="1431" t="str">
        <f>IF(LoadProfile!U56&lt;=0,"",LoadProfile!U56)</f>
        <v/>
      </c>
      <c r="U58" s="1431" t="str">
        <f>IF(LoadProfile!W56&lt;=0,"",LoadProfile!W56)</f>
        <v/>
      </c>
      <c r="V58" s="1431" t="str">
        <f>IF(LoadProfile!Y56&lt;=0,"",LoadProfile!Y56)</f>
        <v/>
      </c>
      <c r="W58" s="1431" t="str">
        <f>IF(LoadProfile!AA56&lt;=0,"",LoadProfile!AA56)</f>
        <v/>
      </c>
      <c r="X58" s="1431" t="str">
        <f>IF(LoadProfile!AC56&lt;=0,"",LoadProfile!AC56)</f>
        <v/>
      </c>
      <c r="Y58" s="1431" t="str">
        <f>IF(LoadProfile!AE56&lt;=0,"",LoadProfile!AE56)</f>
        <v/>
      </c>
      <c r="Z58" s="1431" t="str">
        <f>IF(LoadProfile!AG56&lt;=0,"",LoadProfile!AG56)</f>
        <v/>
      </c>
      <c r="AA58" s="1566" t="str">
        <f>IF(LoadProfile!AH56&lt;=0,"",LoadProfile!AH56)</f>
        <v/>
      </c>
      <c r="AB58" s="1633"/>
    </row>
    <row r="59" spans="1:28" hidden="1" x14ac:dyDescent="0.2">
      <c r="A59" s="376" t="str">
        <f>LoadProfile!A57</f>
        <v>e</v>
      </c>
      <c r="B59" s="1560" t="str">
        <f>IFERROR(IF(OR(RIGHT(LoadProfile!B57,1)="y",RIGHT(LoadProfile!B57,3)="C02",RIGHT(LoadProfile!B57,3)="CO2")=TRUE,(_xlfn.CONCAT(LoadProfile!B57," ",VLOOKUP(C59,APPLICATION_Skid,2,FALSE))),LoadProfile!B57),LoadProfile!B57)</f>
        <v/>
      </c>
      <c r="C59" s="1436" t="e">
        <f>LoadProfile!C57</f>
        <v>#REF!</v>
      </c>
      <c r="D59" s="1436" t="e">
        <f>SUBSTITUTE(LoadProfile!D57,"**","")</f>
        <v>#REF!</v>
      </c>
      <c r="E59" s="1436" t="e" cm="1">
        <f t="array" ref="E59">IF(INDEX('Legend(Skid)'!$S$8:$S$9,ROW()-44)=0,"---",INDEX('Legend(Skid)'!$S$8:$S$9,ROW()-44))</f>
        <v>#REF!</v>
      </c>
      <c r="F59" s="1430" t="e">
        <f t="shared" si="0"/>
        <v>#REF!</v>
      </c>
      <c r="G59" s="1436" t="e" cm="1">
        <f t="array" ref="G59">IF(INDEX('Legend(Skid)'!$AD$8:$AD$9,ROW()-44)=0,"-",INDEX('Legend(Skid)'!$AD$8:$AD$9,ROW()-44))</f>
        <v>#REF!</v>
      </c>
      <c r="H59" s="1430" t="e">
        <f t="shared" si="1"/>
        <v>#REF!</v>
      </c>
      <c r="I59" s="1548"/>
      <c r="J59" s="1569" t="s">
        <v>1058</v>
      </c>
      <c r="K59" s="1437">
        <f>LoadProfile!F57</f>
        <v>0</v>
      </c>
      <c r="L59" s="1437">
        <f>LoadProfile!G57</f>
        <v>0</v>
      </c>
      <c r="M59" s="1437">
        <f>LoadProfile!H57</f>
        <v>0</v>
      </c>
      <c r="N59" s="1437" t="str">
        <f>IF(LoadProfile!I57&lt;=0,"--",LoadProfile!I57)</f>
        <v>--</v>
      </c>
      <c r="O59" s="1437">
        <f>LoadProfile!J57</f>
        <v>0</v>
      </c>
      <c r="P59" s="1431" t="str">
        <f>IF(LoadProfile!M57&lt;=0,"",LoadProfile!M57)</f>
        <v/>
      </c>
      <c r="Q59" s="1431" t="str">
        <f>IF(LoadProfile!O57&lt;=0,"",LoadProfile!O57)</f>
        <v/>
      </c>
      <c r="R59" s="1431" t="str">
        <f>IF(LoadProfile!Q57&lt;=0,"",LoadProfile!Q57)</f>
        <v/>
      </c>
      <c r="S59" s="1431" t="str">
        <f>IF(LoadProfile!S57&lt;=0,"",LoadProfile!S57)</f>
        <v/>
      </c>
      <c r="T59" s="1431" t="str">
        <f>IF(LoadProfile!U57&lt;=0,"",LoadProfile!U57)</f>
        <v/>
      </c>
      <c r="U59" s="1431" t="str">
        <f>IF(LoadProfile!W57&lt;=0,"",LoadProfile!W57)</f>
        <v/>
      </c>
      <c r="V59" s="1431" t="str">
        <f>IF(LoadProfile!Y57&lt;=0,"",LoadProfile!Y57)</f>
        <v/>
      </c>
      <c r="W59" s="1431" t="str">
        <f>IF(LoadProfile!AA57&lt;=0,"",LoadProfile!AA57)</f>
        <v/>
      </c>
      <c r="X59" s="1431" t="str">
        <f>IF(LoadProfile!AC57&lt;=0,"",LoadProfile!AC57)</f>
        <v/>
      </c>
      <c r="Y59" s="1431" t="str">
        <f>IF(LoadProfile!AE57&lt;=0,"",LoadProfile!AE57)</f>
        <v/>
      </c>
      <c r="Z59" s="1431" t="str">
        <f>IF(LoadProfile!AG57&lt;=0,"",LoadProfile!AG57)</f>
        <v/>
      </c>
      <c r="AA59" s="1566" t="str">
        <f>IF(LoadProfile!AH57&lt;=0,"",LoadProfile!AH57)</f>
        <v/>
      </c>
      <c r="AB59" s="1633"/>
    </row>
    <row r="60" spans="1:28" hidden="1" x14ac:dyDescent="0.2">
      <c r="A60" s="376" t="str">
        <f>LoadProfile!A58</f>
        <v>e</v>
      </c>
      <c r="B60" s="1560" t="str">
        <f>IFERROR(IF(OR(RIGHT(LoadProfile!B58,1)="y",RIGHT(LoadProfile!B58,3)="C02",RIGHT(LoadProfile!B58,3)="CO2")=TRUE,(_xlfn.CONCAT(LoadProfile!B58," ",VLOOKUP(C60,APPLICATION_Skid,2,FALSE))),LoadProfile!B58),LoadProfile!B58)</f>
        <v/>
      </c>
      <c r="C60" s="1436" t="e">
        <f>LoadProfile!C58</f>
        <v>#REF!</v>
      </c>
      <c r="D60" s="1436" t="e">
        <f>SUBSTITUTE(LoadProfile!D58,"**","")</f>
        <v>#REF!</v>
      </c>
      <c r="E60" s="1436" t="e" cm="1">
        <f t="array" ref="E60">IF(INDEX('Legend(Skid)'!$S$8:$S$9,ROW()-44)=0,"---",INDEX('Legend(Skid)'!$S$8:$S$9,ROW()-44))</f>
        <v>#REF!</v>
      </c>
      <c r="F60" s="1430" t="e">
        <f t="shared" si="0"/>
        <v>#REF!</v>
      </c>
      <c r="G60" s="1436" t="e" cm="1">
        <f t="array" ref="G60">IF(INDEX('Legend(Skid)'!$AD$8:$AD$9,ROW()-44)=0,"-",INDEX('Legend(Skid)'!$AD$8:$AD$9,ROW()-44))</f>
        <v>#REF!</v>
      </c>
      <c r="H60" s="1430" t="e">
        <f t="shared" si="1"/>
        <v>#REF!</v>
      </c>
      <c r="I60" s="1548"/>
      <c r="J60" s="1569" t="s">
        <v>1058</v>
      </c>
      <c r="K60" s="1437">
        <f>LoadProfile!F58</f>
        <v>0</v>
      </c>
      <c r="L60" s="1437">
        <f>LoadProfile!G58</f>
        <v>0</v>
      </c>
      <c r="M60" s="1437">
        <f>LoadProfile!H58</f>
        <v>0</v>
      </c>
      <c r="N60" s="1437" t="str">
        <f>IF(LoadProfile!I58&lt;=0,"--",LoadProfile!I58)</f>
        <v>--</v>
      </c>
      <c r="O60" s="1437">
        <f>LoadProfile!J58</f>
        <v>0</v>
      </c>
      <c r="P60" s="1431" t="str">
        <f>IF(LoadProfile!M58&lt;=0,"",LoadProfile!M58)</f>
        <v/>
      </c>
      <c r="Q60" s="1431" t="str">
        <f>IF(LoadProfile!O58&lt;=0,"",LoadProfile!O58)</f>
        <v/>
      </c>
      <c r="R60" s="1431" t="str">
        <f>IF(LoadProfile!Q58&lt;=0,"",LoadProfile!Q58)</f>
        <v/>
      </c>
      <c r="S60" s="1431" t="str">
        <f>IF(LoadProfile!S58&lt;=0,"",LoadProfile!S58)</f>
        <v/>
      </c>
      <c r="T60" s="1431" t="str">
        <f>IF(LoadProfile!U58&lt;=0,"",LoadProfile!U58)</f>
        <v/>
      </c>
      <c r="U60" s="1431" t="str">
        <f>IF(LoadProfile!W58&lt;=0,"",LoadProfile!W58)</f>
        <v/>
      </c>
      <c r="V60" s="1431" t="str">
        <f>IF(LoadProfile!Y58&lt;=0,"",LoadProfile!Y58)</f>
        <v/>
      </c>
      <c r="W60" s="1431" t="str">
        <f>IF(LoadProfile!AA58&lt;=0,"",LoadProfile!AA58)</f>
        <v/>
      </c>
      <c r="X60" s="1431" t="str">
        <f>IF(LoadProfile!AC58&lt;=0,"",LoadProfile!AC58)</f>
        <v/>
      </c>
      <c r="Y60" s="1431" t="str">
        <f>IF(LoadProfile!AE58&lt;=0,"",LoadProfile!AE58)</f>
        <v/>
      </c>
      <c r="Z60" s="1431" t="str">
        <f>IF(LoadProfile!AG58&lt;=0,"",LoadProfile!AG58)</f>
        <v/>
      </c>
      <c r="AA60" s="1566" t="str">
        <f>IF(LoadProfile!AH58&lt;=0,"",LoadProfile!AH58)</f>
        <v/>
      </c>
      <c r="AB60" s="1633"/>
    </row>
    <row r="61" spans="1:28" hidden="1" x14ac:dyDescent="0.2">
      <c r="A61" s="376" t="str">
        <f>LoadProfile!A59</f>
        <v>e</v>
      </c>
      <c r="B61" s="1560" t="str">
        <f>IFERROR(IF(OR(RIGHT(LoadProfile!B59,1)="y",RIGHT(LoadProfile!B59,3)="C02",RIGHT(LoadProfile!B59,3)="CO2")=TRUE,(_xlfn.CONCAT(LoadProfile!B59," ",VLOOKUP(C61,APPLICATION_Skid,2,FALSE))),LoadProfile!B59),LoadProfile!B59)</f>
        <v/>
      </c>
      <c r="C61" s="1436" t="e">
        <f>LoadProfile!C59</f>
        <v>#REF!</v>
      </c>
      <c r="D61" s="1436" t="e">
        <f>SUBSTITUTE(LoadProfile!D59,"**","")</f>
        <v>#REF!</v>
      </c>
      <c r="E61" s="1436" t="e" cm="1">
        <f t="array" ref="E61">IF(INDEX('Legend(Skid)'!$S$8:$S$9,ROW()-44)=0,"---",INDEX('Legend(Skid)'!$S$8:$S$9,ROW()-44))</f>
        <v>#REF!</v>
      </c>
      <c r="F61" s="1430" t="e">
        <f t="shared" si="0"/>
        <v>#REF!</v>
      </c>
      <c r="G61" s="1436" t="e" cm="1">
        <f t="array" ref="G61">IF(INDEX('Legend(Skid)'!$AD$8:$AD$9,ROW()-44)=0,"-",INDEX('Legend(Skid)'!$AD$8:$AD$9,ROW()-44))</f>
        <v>#REF!</v>
      </c>
      <c r="H61" s="1430" t="e">
        <f t="shared" si="1"/>
        <v>#REF!</v>
      </c>
      <c r="I61" s="1548"/>
      <c r="J61" s="1569" t="s">
        <v>1058</v>
      </c>
      <c r="K61" s="1437">
        <f>LoadProfile!F59</f>
        <v>0</v>
      </c>
      <c r="L61" s="1437">
        <f>LoadProfile!G59</f>
        <v>0</v>
      </c>
      <c r="M61" s="1437">
        <f>LoadProfile!H59</f>
        <v>0</v>
      </c>
      <c r="N61" s="1437" t="str">
        <f>IF(LoadProfile!I59&lt;=0,"--",LoadProfile!I59)</f>
        <v>--</v>
      </c>
      <c r="O61" s="1437">
        <f>LoadProfile!J59</f>
        <v>0</v>
      </c>
      <c r="P61" s="1431" t="str">
        <f>IF(LoadProfile!M59&lt;=0,"",LoadProfile!M59)</f>
        <v/>
      </c>
      <c r="Q61" s="1431" t="str">
        <f>IF(LoadProfile!O59&lt;=0,"",LoadProfile!O59)</f>
        <v/>
      </c>
      <c r="R61" s="1431" t="str">
        <f>IF(LoadProfile!Q59&lt;=0,"",LoadProfile!Q59)</f>
        <v/>
      </c>
      <c r="S61" s="1431" t="str">
        <f>IF(LoadProfile!S59&lt;=0,"",LoadProfile!S59)</f>
        <v/>
      </c>
      <c r="T61" s="1431" t="str">
        <f>IF(LoadProfile!U59&lt;=0,"",LoadProfile!U59)</f>
        <v/>
      </c>
      <c r="U61" s="1431" t="str">
        <f>IF(LoadProfile!W59&lt;=0,"",LoadProfile!W59)</f>
        <v/>
      </c>
      <c r="V61" s="1431" t="str">
        <f>IF(LoadProfile!Y59&lt;=0,"",LoadProfile!Y59)</f>
        <v/>
      </c>
      <c r="W61" s="1431" t="str">
        <f>IF(LoadProfile!AA59&lt;=0,"",LoadProfile!AA59)</f>
        <v/>
      </c>
      <c r="X61" s="1431" t="str">
        <f>IF(LoadProfile!AC59&lt;=0,"",LoadProfile!AC59)</f>
        <v/>
      </c>
      <c r="Y61" s="1431" t="str">
        <f>IF(LoadProfile!AE59&lt;=0,"",LoadProfile!AE59)</f>
        <v/>
      </c>
      <c r="Z61" s="1431" t="str">
        <f>IF(LoadProfile!AG59&lt;=0,"",LoadProfile!AG59)</f>
        <v/>
      </c>
      <c r="AA61" s="1566" t="str">
        <f>IF(LoadProfile!AH59&lt;=0,"",LoadProfile!AH59)</f>
        <v/>
      </c>
      <c r="AB61" s="1633"/>
    </row>
    <row r="62" spans="1:28" hidden="1" x14ac:dyDescent="0.2">
      <c r="A62" s="376" t="str">
        <f>LoadProfile!A60</f>
        <v>e</v>
      </c>
      <c r="B62" s="1560" t="str">
        <f>IFERROR(IF(OR(RIGHT(LoadProfile!B60,1)="y",RIGHT(LoadProfile!B60,3)="C02",RIGHT(LoadProfile!B60,3)="CO2")=TRUE,(_xlfn.CONCAT(LoadProfile!B60," ",VLOOKUP(C62,APPLICATION_Skid,2,FALSE))),LoadProfile!B60),LoadProfile!B60)</f>
        <v/>
      </c>
      <c r="C62" s="1436" t="e">
        <f>LoadProfile!C60</f>
        <v>#REF!</v>
      </c>
      <c r="D62" s="1436" t="e">
        <f>SUBSTITUTE(LoadProfile!D60,"**","")</f>
        <v>#REF!</v>
      </c>
      <c r="E62" s="1436" t="e" cm="1">
        <f t="array" ref="E62">IF(INDEX('Legend(Skid)'!$S$8:$S$9,ROW()-44)=0,"---",INDEX('Legend(Skid)'!$S$8:$S$9,ROW()-44))</f>
        <v>#REF!</v>
      </c>
      <c r="F62" s="1430" t="e">
        <f t="shared" si="0"/>
        <v>#REF!</v>
      </c>
      <c r="G62" s="1436" t="e" cm="1">
        <f t="array" ref="G62">IF(INDEX('Legend(Skid)'!$AD$8:$AD$9,ROW()-44)=0,"-",INDEX('Legend(Skid)'!$AD$8:$AD$9,ROW()-44))</f>
        <v>#REF!</v>
      </c>
      <c r="H62" s="1430" t="e">
        <f t="shared" si="1"/>
        <v>#REF!</v>
      </c>
      <c r="I62" s="1548"/>
      <c r="J62" s="1569" t="s">
        <v>1058</v>
      </c>
      <c r="K62" s="1437">
        <f>LoadProfile!F60</f>
        <v>0</v>
      </c>
      <c r="L62" s="1437">
        <f>LoadProfile!G60</f>
        <v>0</v>
      </c>
      <c r="M62" s="1437">
        <f>LoadProfile!H60</f>
        <v>0</v>
      </c>
      <c r="N62" s="1437" t="str">
        <f>IF(LoadProfile!I60&lt;=0,"--",LoadProfile!I60)</f>
        <v>--</v>
      </c>
      <c r="O62" s="1437">
        <f>LoadProfile!J60</f>
        <v>0</v>
      </c>
      <c r="P62" s="1431" t="str">
        <f>IF(LoadProfile!M60&lt;=0,"",LoadProfile!M60)</f>
        <v/>
      </c>
      <c r="Q62" s="1431" t="str">
        <f>IF(LoadProfile!O60&lt;=0,"",LoadProfile!O60)</f>
        <v/>
      </c>
      <c r="R62" s="1431" t="str">
        <f>IF(LoadProfile!Q60&lt;=0,"",LoadProfile!Q60)</f>
        <v/>
      </c>
      <c r="S62" s="1431" t="str">
        <f>IF(LoadProfile!S60&lt;=0,"",LoadProfile!S60)</f>
        <v/>
      </c>
      <c r="T62" s="1431" t="str">
        <f>IF(LoadProfile!U60&lt;=0,"",LoadProfile!U60)</f>
        <v/>
      </c>
      <c r="U62" s="1431" t="str">
        <f>IF(LoadProfile!W60&lt;=0,"",LoadProfile!W60)</f>
        <v/>
      </c>
      <c r="V62" s="1431" t="str">
        <f>IF(LoadProfile!Y60&lt;=0,"",LoadProfile!Y60)</f>
        <v/>
      </c>
      <c r="W62" s="1431" t="str">
        <f>IF(LoadProfile!AA60&lt;=0,"",LoadProfile!AA60)</f>
        <v/>
      </c>
      <c r="X62" s="1431" t="str">
        <f>IF(LoadProfile!AC60&lt;=0,"",LoadProfile!AC60)</f>
        <v/>
      </c>
      <c r="Y62" s="1431" t="str">
        <f>IF(LoadProfile!AE60&lt;=0,"",LoadProfile!AE60)</f>
        <v/>
      </c>
      <c r="Z62" s="1431" t="str">
        <f>IF(LoadProfile!AG60&lt;=0,"",LoadProfile!AG60)</f>
        <v/>
      </c>
      <c r="AA62" s="1566" t="str">
        <f>IF(LoadProfile!AH60&lt;=0,"",LoadProfile!AH60)</f>
        <v/>
      </c>
      <c r="AB62" s="1633"/>
    </row>
    <row r="63" spans="1:28" hidden="1" x14ac:dyDescent="0.2">
      <c r="A63" s="376" t="str">
        <f>LoadProfile!A61</f>
        <v>e</v>
      </c>
      <c r="B63" s="1560" t="str">
        <f>IFERROR(IF(OR(RIGHT(LoadProfile!B61,1)="y",RIGHT(LoadProfile!B61,3)="C02",RIGHT(LoadProfile!B61,3)="CO2")=TRUE,(_xlfn.CONCAT(LoadProfile!B61," ",VLOOKUP(C63,APPLICATION_Skid,2,FALSE))),LoadProfile!B61),LoadProfile!B61)</f>
        <v/>
      </c>
      <c r="C63" s="1436" t="e">
        <f>LoadProfile!C61</f>
        <v>#REF!</v>
      </c>
      <c r="D63" s="1436" t="e">
        <f>SUBSTITUTE(LoadProfile!D61,"**","")</f>
        <v>#REF!</v>
      </c>
      <c r="E63" s="1436" t="e" cm="1">
        <f t="array" ref="E63">IF(INDEX('Legend(Skid)'!$S$8:$S$9,ROW()-44)=0,"---",INDEX('Legend(Skid)'!$S$8:$S$9,ROW()-44))</f>
        <v>#REF!</v>
      </c>
      <c r="F63" s="1430" t="e">
        <f t="shared" si="0"/>
        <v>#REF!</v>
      </c>
      <c r="G63" s="1436" t="e" cm="1">
        <f t="array" ref="G63">IF(INDEX('Legend(Skid)'!$AD$8:$AD$9,ROW()-44)=0,"-",INDEX('Legend(Skid)'!$AD$8:$AD$9,ROW()-44))</f>
        <v>#REF!</v>
      </c>
      <c r="H63" s="1430" t="e">
        <f t="shared" si="1"/>
        <v>#REF!</v>
      </c>
      <c r="I63" s="1548"/>
      <c r="J63" s="1569" t="s">
        <v>1058</v>
      </c>
      <c r="K63" s="1437">
        <f>LoadProfile!F61</f>
        <v>0</v>
      </c>
      <c r="L63" s="1437">
        <f>LoadProfile!G61</f>
        <v>0</v>
      </c>
      <c r="M63" s="1437">
        <f>LoadProfile!H61</f>
        <v>0</v>
      </c>
      <c r="N63" s="1437" t="str">
        <f>IF(LoadProfile!I61&lt;=0,"--",LoadProfile!I61)</f>
        <v>--</v>
      </c>
      <c r="O63" s="1437">
        <f>LoadProfile!J61</f>
        <v>0</v>
      </c>
      <c r="P63" s="1431" t="str">
        <f>IF(LoadProfile!M61&lt;=0,"",LoadProfile!M61)</f>
        <v/>
      </c>
      <c r="Q63" s="1431" t="str">
        <f>IF(LoadProfile!O61&lt;=0,"",LoadProfile!O61)</f>
        <v/>
      </c>
      <c r="R63" s="1431" t="str">
        <f>IF(LoadProfile!Q61&lt;=0,"",LoadProfile!Q61)</f>
        <v/>
      </c>
      <c r="S63" s="1431" t="str">
        <f>IF(LoadProfile!S61&lt;=0,"",LoadProfile!S61)</f>
        <v/>
      </c>
      <c r="T63" s="1431" t="str">
        <f>IF(LoadProfile!U61&lt;=0,"",LoadProfile!U61)</f>
        <v/>
      </c>
      <c r="U63" s="1431" t="str">
        <f>IF(LoadProfile!W61&lt;=0,"",LoadProfile!W61)</f>
        <v/>
      </c>
      <c r="V63" s="1431" t="str">
        <f>IF(LoadProfile!Y61&lt;=0,"",LoadProfile!Y61)</f>
        <v/>
      </c>
      <c r="W63" s="1431" t="str">
        <f>IF(LoadProfile!AA61&lt;=0,"",LoadProfile!AA61)</f>
        <v/>
      </c>
      <c r="X63" s="1431" t="str">
        <f>IF(LoadProfile!AC61&lt;=0,"",LoadProfile!AC61)</f>
        <v/>
      </c>
      <c r="Y63" s="1431" t="str">
        <f>IF(LoadProfile!AE61&lt;=0,"",LoadProfile!AE61)</f>
        <v/>
      </c>
      <c r="Z63" s="1431" t="str">
        <f>IF(LoadProfile!AG61&lt;=0,"",LoadProfile!AG61)</f>
        <v/>
      </c>
      <c r="AA63" s="1566" t="str">
        <f>IF(LoadProfile!AH61&lt;=0,"",LoadProfile!AH61)</f>
        <v/>
      </c>
      <c r="AB63" s="1633"/>
    </row>
    <row r="64" spans="1:28" hidden="1" x14ac:dyDescent="0.2">
      <c r="A64" s="376" t="str">
        <f>LoadProfile!A62</f>
        <v>e</v>
      </c>
      <c r="B64" s="1560" t="str">
        <f>IFERROR(IF(OR(RIGHT(LoadProfile!B62,1)="y",RIGHT(LoadProfile!B62,3)="C02",RIGHT(LoadProfile!B62,3)="CO2")=TRUE,(_xlfn.CONCAT(LoadProfile!B62," ",VLOOKUP(C64,APPLICATION_Skid,2,FALSE))),LoadProfile!B62),LoadProfile!B62)</f>
        <v/>
      </c>
      <c r="C64" s="1436" t="e">
        <f>LoadProfile!C62</f>
        <v>#REF!</v>
      </c>
      <c r="D64" s="1436" t="e">
        <f>SUBSTITUTE(LoadProfile!D62,"**","")</f>
        <v>#REF!</v>
      </c>
      <c r="E64" s="1436" t="e" cm="1">
        <f t="array" ref="E64">IF(INDEX('Legend(Skid)'!$S$8:$S$9,ROW()-44)=0,"---",INDEX('Legend(Skid)'!$S$8:$S$9,ROW()-44))</f>
        <v>#REF!</v>
      </c>
      <c r="F64" s="1430" t="e">
        <f t="shared" si="0"/>
        <v>#REF!</v>
      </c>
      <c r="G64" s="1436" t="e" cm="1">
        <f t="array" ref="G64">IF(INDEX('Legend(Skid)'!$AD$8:$AD$9,ROW()-44)=0,"-",INDEX('Legend(Skid)'!$AD$8:$AD$9,ROW()-44))</f>
        <v>#REF!</v>
      </c>
      <c r="H64" s="1430" t="e">
        <f t="shared" si="1"/>
        <v>#REF!</v>
      </c>
      <c r="I64" s="1548"/>
      <c r="J64" s="1569" t="s">
        <v>1058</v>
      </c>
      <c r="K64" s="1437">
        <f>LoadProfile!F62</f>
        <v>0</v>
      </c>
      <c r="L64" s="1437">
        <f>LoadProfile!G62</f>
        <v>0</v>
      </c>
      <c r="M64" s="1437">
        <f>LoadProfile!H62</f>
        <v>0</v>
      </c>
      <c r="N64" s="1437" t="str">
        <f>IF(LoadProfile!I62&lt;=0,"--",LoadProfile!I62)</f>
        <v>--</v>
      </c>
      <c r="O64" s="1437">
        <f>LoadProfile!J62</f>
        <v>0</v>
      </c>
      <c r="P64" s="1431" t="str">
        <f>IF(LoadProfile!M62&lt;=0,"",LoadProfile!M62)</f>
        <v/>
      </c>
      <c r="Q64" s="1431" t="str">
        <f>IF(LoadProfile!O62&lt;=0,"",LoadProfile!O62)</f>
        <v/>
      </c>
      <c r="R64" s="1431" t="str">
        <f>IF(LoadProfile!Q62&lt;=0,"",LoadProfile!Q62)</f>
        <v/>
      </c>
      <c r="S64" s="1431" t="str">
        <f>IF(LoadProfile!S62&lt;=0,"",LoadProfile!S62)</f>
        <v/>
      </c>
      <c r="T64" s="1431" t="str">
        <f>IF(LoadProfile!U62&lt;=0,"",LoadProfile!U62)</f>
        <v/>
      </c>
      <c r="U64" s="1431" t="str">
        <f>IF(LoadProfile!W62&lt;=0,"",LoadProfile!W62)</f>
        <v/>
      </c>
      <c r="V64" s="1431" t="str">
        <f>IF(LoadProfile!Y62&lt;=0,"",LoadProfile!Y62)</f>
        <v/>
      </c>
      <c r="W64" s="1431" t="str">
        <f>IF(LoadProfile!AA62&lt;=0,"",LoadProfile!AA62)</f>
        <v/>
      </c>
      <c r="X64" s="1431" t="str">
        <f>IF(LoadProfile!AC62&lt;=0,"",LoadProfile!AC62)</f>
        <v/>
      </c>
      <c r="Y64" s="1431" t="str">
        <f>IF(LoadProfile!AE62&lt;=0,"",LoadProfile!AE62)</f>
        <v/>
      </c>
      <c r="Z64" s="1431" t="str">
        <f>IF(LoadProfile!AG62&lt;=0,"",LoadProfile!AG62)</f>
        <v/>
      </c>
      <c r="AA64" s="1566" t="str">
        <f>IF(LoadProfile!AH62&lt;=0,"",LoadProfile!AH62)</f>
        <v/>
      </c>
      <c r="AB64" s="1633"/>
    </row>
    <row r="65" spans="1:28" hidden="1" x14ac:dyDescent="0.2">
      <c r="A65" s="376" t="str">
        <f>LoadProfile!A63</f>
        <v>e</v>
      </c>
      <c r="B65" s="1560" t="str">
        <f>IFERROR(IF(OR(RIGHT(LoadProfile!B63,1)="y",RIGHT(LoadProfile!B63,3)="C02",RIGHT(LoadProfile!B63,3)="CO2")=TRUE,(_xlfn.CONCAT(LoadProfile!B63," ",VLOOKUP(C65,APPLICATION_Skid,2,FALSE))),LoadProfile!B63),LoadProfile!B63)</f>
        <v/>
      </c>
      <c r="C65" s="1436" t="e">
        <f>LoadProfile!C63</f>
        <v>#REF!</v>
      </c>
      <c r="D65" s="1436" t="e">
        <f>SUBSTITUTE(LoadProfile!D63,"**","")</f>
        <v>#REF!</v>
      </c>
      <c r="E65" s="1436" t="e" cm="1">
        <f t="array" ref="E65">IF(INDEX('Legend(Skid)'!$S$8:$S$9,ROW()-44)=0,"---",INDEX('Legend(Skid)'!$S$8:$S$9,ROW()-44))</f>
        <v>#REF!</v>
      </c>
      <c r="F65" s="1430" t="e">
        <f t="shared" si="0"/>
        <v>#REF!</v>
      </c>
      <c r="G65" s="1436" t="e" cm="1">
        <f t="array" ref="G65">IF(INDEX('Legend(Skid)'!$AD$8:$AD$9,ROW()-44)=0,"-",INDEX('Legend(Skid)'!$AD$8:$AD$9,ROW()-44))</f>
        <v>#REF!</v>
      </c>
      <c r="H65" s="1430" t="e">
        <f t="shared" si="1"/>
        <v>#REF!</v>
      </c>
      <c r="I65" s="1548"/>
      <c r="J65" s="1569" t="s">
        <v>1058</v>
      </c>
      <c r="K65" s="1437">
        <f>LoadProfile!F63</f>
        <v>0</v>
      </c>
      <c r="L65" s="1437">
        <f>LoadProfile!G63</f>
        <v>0</v>
      </c>
      <c r="M65" s="1437">
        <f>LoadProfile!H63</f>
        <v>0</v>
      </c>
      <c r="N65" s="1437" t="str">
        <f>IF(LoadProfile!I63&lt;=0,"--",LoadProfile!I63)</f>
        <v>--</v>
      </c>
      <c r="O65" s="1437">
        <f>LoadProfile!J63</f>
        <v>0</v>
      </c>
      <c r="P65" s="1431" t="str">
        <f>IF(LoadProfile!M63&lt;=0,"",LoadProfile!M63)</f>
        <v/>
      </c>
      <c r="Q65" s="1431" t="str">
        <f>IF(LoadProfile!O63&lt;=0,"",LoadProfile!O63)</f>
        <v/>
      </c>
      <c r="R65" s="1431" t="str">
        <f>IF(LoadProfile!Q63&lt;=0,"",LoadProfile!Q63)</f>
        <v/>
      </c>
      <c r="S65" s="1431" t="str">
        <f>IF(LoadProfile!S63&lt;=0,"",LoadProfile!S63)</f>
        <v/>
      </c>
      <c r="T65" s="1431" t="str">
        <f>IF(LoadProfile!U63&lt;=0,"",LoadProfile!U63)</f>
        <v/>
      </c>
      <c r="U65" s="1431" t="str">
        <f>IF(LoadProfile!W63&lt;=0,"",LoadProfile!W63)</f>
        <v/>
      </c>
      <c r="V65" s="1431" t="str">
        <f>IF(LoadProfile!Y63&lt;=0,"",LoadProfile!Y63)</f>
        <v/>
      </c>
      <c r="W65" s="1431" t="str">
        <f>IF(LoadProfile!AA63&lt;=0,"",LoadProfile!AA63)</f>
        <v/>
      </c>
      <c r="X65" s="1431" t="str">
        <f>IF(LoadProfile!AC63&lt;=0,"",LoadProfile!AC63)</f>
        <v/>
      </c>
      <c r="Y65" s="1431" t="str">
        <f>IF(LoadProfile!AE63&lt;=0,"",LoadProfile!AE63)</f>
        <v/>
      </c>
      <c r="Z65" s="1431" t="str">
        <f>IF(LoadProfile!AG63&lt;=0,"",LoadProfile!AG63)</f>
        <v/>
      </c>
      <c r="AA65" s="1566" t="str">
        <f>IF(LoadProfile!AH63&lt;=0,"",LoadProfile!AH63)</f>
        <v/>
      </c>
      <c r="AB65" s="1633"/>
    </row>
    <row r="66" spans="1:28" hidden="1" x14ac:dyDescent="0.2">
      <c r="A66" s="376" t="str">
        <f>LoadProfile!A64</f>
        <v>e</v>
      </c>
      <c r="B66" s="1560" t="str">
        <f>IFERROR(IF(OR(RIGHT(LoadProfile!B64,1)="y",RIGHT(LoadProfile!B64,3)="C02",RIGHT(LoadProfile!B64,3)="CO2")=TRUE,(_xlfn.CONCAT(LoadProfile!B64," ",VLOOKUP(C66,APPLICATION_Skid,2,FALSE))),LoadProfile!B64),LoadProfile!B64)</f>
        <v/>
      </c>
      <c r="C66" s="1436" t="e">
        <f>LoadProfile!C64</f>
        <v>#REF!</v>
      </c>
      <c r="D66" s="1436" t="e">
        <f>SUBSTITUTE(LoadProfile!D64,"**","")</f>
        <v>#REF!</v>
      </c>
      <c r="E66" s="1436" t="e" cm="1">
        <f t="array" ref="E66">IF(INDEX('Legend(Skid)'!$S$8:$S$9,ROW()-44)=0,"---",INDEX('Legend(Skid)'!$S$8:$S$9,ROW()-44))</f>
        <v>#REF!</v>
      </c>
      <c r="F66" s="1430" t="e">
        <f t="shared" si="0"/>
        <v>#REF!</v>
      </c>
      <c r="G66" s="1436" t="e" cm="1">
        <f t="array" ref="G66">IF(INDEX('Legend(Skid)'!$AD$8:$AD$9,ROW()-44)=0,"-",INDEX('Legend(Skid)'!$AD$8:$AD$9,ROW()-44))</f>
        <v>#REF!</v>
      </c>
      <c r="H66" s="1430" t="e">
        <f t="shared" si="1"/>
        <v>#REF!</v>
      </c>
      <c r="I66" s="1548"/>
      <c r="J66" s="1569" t="s">
        <v>1058</v>
      </c>
      <c r="K66" s="1437">
        <f>LoadProfile!F64</f>
        <v>0</v>
      </c>
      <c r="L66" s="1437">
        <f>LoadProfile!G64</f>
        <v>0</v>
      </c>
      <c r="M66" s="1437">
        <f>LoadProfile!H64</f>
        <v>0</v>
      </c>
      <c r="N66" s="1437" t="str">
        <f>IF(LoadProfile!I64&lt;=0,"--",LoadProfile!I64)</f>
        <v>--</v>
      </c>
      <c r="O66" s="1437">
        <f>LoadProfile!J64</f>
        <v>0</v>
      </c>
      <c r="P66" s="1431" t="str">
        <f>IF(LoadProfile!M64&lt;=0,"",LoadProfile!M64)</f>
        <v/>
      </c>
      <c r="Q66" s="1431" t="str">
        <f>IF(LoadProfile!O64&lt;=0,"",LoadProfile!O64)</f>
        <v/>
      </c>
      <c r="R66" s="1431" t="str">
        <f>IF(LoadProfile!Q64&lt;=0,"",LoadProfile!Q64)</f>
        <v/>
      </c>
      <c r="S66" s="1431" t="str">
        <f>IF(LoadProfile!S64&lt;=0,"",LoadProfile!S64)</f>
        <v/>
      </c>
      <c r="T66" s="1431" t="str">
        <f>IF(LoadProfile!U64&lt;=0,"",LoadProfile!U64)</f>
        <v/>
      </c>
      <c r="U66" s="1431" t="str">
        <f>IF(LoadProfile!W64&lt;=0,"",LoadProfile!W64)</f>
        <v/>
      </c>
      <c r="V66" s="1431" t="str">
        <f>IF(LoadProfile!Y64&lt;=0,"",LoadProfile!Y64)</f>
        <v/>
      </c>
      <c r="W66" s="1431" t="str">
        <f>IF(LoadProfile!AA64&lt;=0,"",LoadProfile!AA64)</f>
        <v/>
      </c>
      <c r="X66" s="1431" t="str">
        <f>IF(LoadProfile!AC64&lt;=0,"",LoadProfile!AC64)</f>
        <v/>
      </c>
      <c r="Y66" s="1431" t="str">
        <f>IF(LoadProfile!AE64&lt;=0,"",LoadProfile!AE64)</f>
        <v/>
      </c>
      <c r="Z66" s="1431" t="str">
        <f>IF(LoadProfile!AG64&lt;=0,"",LoadProfile!AG64)</f>
        <v/>
      </c>
      <c r="AA66" s="1566" t="str">
        <f>IF(LoadProfile!AH64&lt;=0,"",LoadProfile!AH64)</f>
        <v/>
      </c>
      <c r="AB66" s="1633"/>
    </row>
    <row r="67" spans="1:28" hidden="1" x14ac:dyDescent="0.2">
      <c r="A67" s="376" t="str">
        <f>LoadProfile!A65</f>
        <v>e</v>
      </c>
      <c r="B67" s="1560" t="str">
        <f>IFERROR(IF(OR(RIGHT(LoadProfile!B65,1)="y",RIGHT(LoadProfile!B65,3)="C02",RIGHT(LoadProfile!B65,3)="CO2")=TRUE,(_xlfn.CONCAT(LoadProfile!B65," ",VLOOKUP(C67,APPLICATION_Skid,2,FALSE))),LoadProfile!B65),LoadProfile!B65)</f>
        <v/>
      </c>
      <c r="C67" s="1436" t="e">
        <f>LoadProfile!C65</f>
        <v>#REF!</v>
      </c>
      <c r="D67" s="1436" t="e">
        <f>SUBSTITUTE(LoadProfile!D65,"**","")</f>
        <v>#REF!</v>
      </c>
      <c r="E67" s="1436" t="e" cm="1">
        <f t="array" ref="E67">IF(INDEX('Legend(Skid)'!$S$8:$S$9,ROW()-44)=0,"---",INDEX('Legend(Skid)'!$S$8:$S$9,ROW()-44))</f>
        <v>#REF!</v>
      </c>
      <c r="F67" s="1430" t="e">
        <f t="shared" si="0"/>
        <v>#REF!</v>
      </c>
      <c r="G67" s="1436" t="e" cm="1">
        <f t="array" ref="G67">IF(INDEX('Legend(Skid)'!$AD$8:$AD$9,ROW()-44)=0,"-",INDEX('Legend(Skid)'!$AD$8:$AD$9,ROW()-44))</f>
        <v>#REF!</v>
      </c>
      <c r="H67" s="1430" t="e">
        <f t="shared" si="1"/>
        <v>#REF!</v>
      </c>
      <c r="I67" s="1548"/>
      <c r="J67" s="1569" t="s">
        <v>1058</v>
      </c>
      <c r="K67" s="1437">
        <f>LoadProfile!F65</f>
        <v>0</v>
      </c>
      <c r="L67" s="1437">
        <f>LoadProfile!G65</f>
        <v>0</v>
      </c>
      <c r="M67" s="1437">
        <f>LoadProfile!H65</f>
        <v>0</v>
      </c>
      <c r="N67" s="1437" t="str">
        <f>IF(LoadProfile!I65&lt;=0,"--",LoadProfile!I65)</f>
        <v>--</v>
      </c>
      <c r="O67" s="1437">
        <f>LoadProfile!J65</f>
        <v>0</v>
      </c>
      <c r="P67" s="1431" t="str">
        <f>IF(LoadProfile!M65&lt;=0,"",LoadProfile!M65)</f>
        <v/>
      </c>
      <c r="Q67" s="1431" t="str">
        <f>IF(LoadProfile!O65&lt;=0,"",LoadProfile!O65)</f>
        <v/>
      </c>
      <c r="R67" s="1431" t="str">
        <f>IF(LoadProfile!Q65&lt;=0,"",LoadProfile!Q65)</f>
        <v/>
      </c>
      <c r="S67" s="1431" t="str">
        <f>IF(LoadProfile!S65&lt;=0,"",LoadProfile!S65)</f>
        <v/>
      </c>
      <c r="T67" s="1431" t="str">
        <f>IF(LoadProfile!U65&lt;=0,"",LoadProfile!U65)</f>
        <v/>
      </c>
      <c r="U67" s="1431" t="str">
        <f>IF(LoadProfile!W65&lt;=0,"",LoadProfile!W65)</f>
        <v/>
      </c>
      <c r="V67" s="1431" t="str">
        <f>IF(LoadProfile!Y65&lt;=0,"",LoadProfile!Y65)</f>
        <v/>
      </c>
      <c r="W67" s="1431" t="str">
        <f>IF(LoadProfile!AA65&lt;=0,"",LoadProfile!AA65)</f>
        <v/>
      </c>
      <c r="X67" s="1431" t="str">
        <f>IF(LoadProfile!AC65&lt;=0,"",LoadProfile!AC65)</f>
        <v/>
      </c>
      <c r="Y67" s="1431" t="str">
        <f>IF(LoadProfile!AE65&lt;=0,"",LoadProfile!AE65)</f>
        <v/>
      </c>
      <c r="Z67" s="1431" t="str">
        <f>IF(LoadProfile!AG65&lt;=0,"",LoadProfile!AG65)</f>
        <v/>
      </c>
      <c r="AA67" s="1566" t="str">
        <f>IF(LoadProfile!AH65&lt;=0,"",LoadProfile!AH65)</f>
        <v/>
      </c>
      <c r="AB67" s="1633"/>
    </row>
    <row r="68" spans="1:28" hidden="1" x14ac:dyDescent="0.2">
      <c r="A68" s="376" t="str">
        <f>LoadProfile!A66</f>
        <v>e</v>
      </c>
      <c r="B68" s="1560" t="str">
        <f>IFERROR(IF(OR(RIGHT(LoadProfile!B66,1)="y",RIGHT(LoadProfile!B66,3)="C02",RIGHT(LoadProfile!B66,3)="CO2")=TRUE,(_xlfn.CONCAT(LoadProfile!B66," ",VLOOKUP(C68,APPLICATION_Skid,2,FALSE))),LoadProfile!B66),LoadProfile!B66)</f>
        <v/>
      </c>
      <c r="C68" s="1436" t="e">
        <f>LoadProfile!C66</f>
        <v>#REF!</v>
      </c>
      <c r="D68" s="1436" t="e">
        <f>SUBSTITUTE(LoadProfile!D66,"**","")</f>
        <v>#REF!</v>
      </c>
      <c r="E68" s="1436" t="e" cm="1">
        <f t="array" ref="E68">IF(INDEX('Legend(Skid)'!$S$8:$S$9,ROW()-44)=0,"---",INDEX('Legend(Skid)'!$S$8:$S$9,ROW()-44))</f>
        <v>#REF!</v>
      </c>
      <c r="F68" s="1430" t="e">
        <f t="shared" si="0"/>
        <v>#REF!</v>
      </c>
      <c r="G68" s="1436" t="e" cm="1">
        <f t="array" ref="G68">IF(INDEX('Legend(Skid)'!$AD$8:$AD$9,ROW()-44)=0,"-",INDEX('Legend(Skid)'!$AD$8:$AD$9,ROW()-44))</f>
        <v>#REF!</v>
      </c>
      <c r="H68" s="1430" t="e">
        <f t="shared" si="1"/>
        <v>#REF!</v>
      </c>
      <c r="I68" s="1548"/>
      <c r="J68" s="1569" t="s">
        <v>1058</v>
      </c>
      <c r="K68" s="1437">
        <f>LoadProfile!F66</f>
        <v>0</v>
      </c>
      <c r="L68" s="1437">
        <f>LoadProfile!G66</f>
        <v>0</v>
      </c>
      <c r="M68" s="1437">
        <f>LoadProfile!H66</f>
        <v>0</v>
      </c>
      <c r="N68" s="1437" t="str">
        <f>IF(LoadProfile!I66&lt;=0,"--",LoadProfile!I66)</f>
        <v>--</v>
      </c>
      <c r="O68" s="1437">
        <f>LoadProfile!J66</f>
        <v>0</v>
      </c>
      <c r="P68" s="1431" t="str">
        <f>IF(LoadProfile!M66&lt;=0,"",LoadProfile!M66)</f>
        <v/>
      </c>
      <c r="Q68" s="1431" t="str">
        <f>IF(LoadProfile!O66&lt;=0,"",LoadProfile!O66)</f>
        <v/>
      </c>
      <c r="R68" s="1431" t="str">
        <f>IF(LoadProfile!Q66&lt;=0,"",LoadProfile!Q66)</f>
        <v/>
      </c>
      <c r="S68" s="1431" t="str">
        <f>IF(LoadProfile!S66&lt;=0,"",LoadProfile!S66)</f>
        <v/>
      </c>
      <c r="T68" s="1431" t="str">
        <f>IF(LoadProfile!U66&lt;=0,"",LoadProfile!U66)</f>
        <v/>
      </c>
      <c r="U68" s="1431" t="str">
        <f>IF(LoadProfile!W66&lt;=0,"",LoadProfile!W66)</f>
        <v/>
      </c>
      <c r="V68" s="1431" t="str">
        <f>IF(LoadProfile!Y66&lt;=0,"",LoadProfile!Y66)</f>
        <v/>
      </c>
      <c r="W68" s="1431" t="str">
        <f>IF(LoadProfile!AA66&lt;=0,"",LoadProfile!AA66)</f>
        <v/>
      </c>
      <c r="X68" s="1431" t="str">
        <f>IF(LoadProfile!AC66&lt;=0,"",LoadProfile!AC66)</f>
        <v/>
      </c>
      <c r="Y68" s="1431" t="str">
        <f>IF(LoadProfile!AE66&lt;=0,"",LoadProfile!AE66)</f>
        <v/>
      </c>
      <c r="Z68" s="1431" t="str">
        <f>IF(LoadProfile!AG66&lt;=0,"",LoadProfile!AG66)</f>
        <v/>
      </c>
      <c r="AA68" s="1566" t="str">
        <f>IF(LoadProfile!AH66&lt;=0,"",LoadProfile!AH66)</f>
        <v/>
      </c>
      <c r="AB68" s="1633"/>
    </row>
    <row r="69" spans="1:28" hidden="1" x14ac:dyDescent="0.2">
      <c r="A69" s="376" t="str">
        <f>LoadProfile!A67</f>
        <v>e</v>
      </c>
      <c r="B69" s="1560" t="str">
        <f>IFERROR(IF(OR(RIGHT(LoadProfile!B67,1)="y",RIGHT(LoadProfile!B67,3)="C02",RIGHT(LoadProfile!B67,3)="CO2")=TRUE,(_xlfn.CONCAT(LoadProfile!B67," ",VLOOKUP(C69,APPLICATION_Skid,2,FALSE))),LoadProfile!B67),LoadProfile!B67)</f>
        <v/>
      </c>
      <c r="C69" s="1436" t="e">
        <f>LoadProfile!C67</f>
        <v>#REF!</v>
      </c>
      <c r="D69" s="1436" t="e">
        <f>SUBSTITUTE(LoadProfile!D67,"**","")</f>
        <v>#REF!</v>
      </c>
      <c r="E69" s="1436" t="e" cm="1">
        <f t="array" ref="E69">IF(INDEX('Legend(Skid)'!$S$8:$S$9,ROW()-44)=0,"---",INDEX('Legend(Skid)'!$S$8:$S$9,ROW()-44))</f>
        <v>#REF!</v>
      </c>
      <c r="F69" s="1430" t="e">
        <f t="shared" si="0"/>
        <v>#REF!</v>
      </c>
      <c r="G69" s="1436" t="e" cm="1">
        <f t="array" ref="G69">IF(INDEX('Legend(Skid)'!$AD$8:$AD$9,ROW()-44)=0,"-",INDEX('Legend(Skid)'!$AD$8:$AD$9,ROW()-44))</f>
        <v>#REF!</v>
      </c>
      <c r="H69" s="1430" t="e">
        <f t="shared" si="1"/>
        <v>#REF!</v>
      </c>
      <c r="I69" s="1548"/>
      <c r="J69" s="1569" t="s">
        <v>1058</v>
      </c>
      <c r="K69" s="1437">
        <f>LoadProfile!F67</f>
        <v>0</v>
      </c>
      <c r="L69" s="1437">
        <f>LoadProfile!G67</f>
        <v>0</v>
      </c>
      <c r="M69" s="1437">
        <f>LoadProfile!H67</f>
        <v>0</v>
      </c>
      <c r="N69" s="1437" t="str">
        <f>IF(LoadProfile!I67&lt;=0,"--",LoadProfile!I67)</f>
        <v>--</v>
      </c>
      <c r="O69" s="1437">
        <f>LoadProfile!J67</f>
        <v>0</v>
      </c>
      <c r="P69" s="1431" t="str">
        <f>IF(LoadProfile!M67&lt;=0,"",LoadProfile!M67)</f>
        <v/>
      </c>
      <c r="Q69" s="1431" t="str">
        <f>IF(LoadProfile!O67&lt;=0,"",LoadProfile!O67)</f>
        <v/>
      </c>
      <c r="R69" s="1431" t="str">
        <f>IF(LoadProfile!Q67&lt;=0,"",LoadProfile!Q67)</f>
        <v/>
      </c>
      <c r="S69" s="1431" t="str">
        <f>IF(LoadProfile!S67&lt;=0,"",LoadProfile!S67)</f>
        <v/>
      </c>
      <c r="T69" s="1431" t="str">
        <f>IF(LoadProfile!U67&lt;=0,"",LoadProfile!U67)</f>
        <v/>
      </c>
      <c r="U69" s="1431" t="str">
        <f>IF(LoadProfile!W67&lt;=0,"",LoadProfile!W67)</f>
        <v/>
      </c>
      <c r="V69" s="1431" t="str">
        <f>IF(LoadProfile!Y67&lt;=0,"",LoadProfile!Y67)</f>
        <v/>
      </c>
      <c r="W69" s="1431" t="str">
        <f>IF(LoadProfile!AA67&lt;=0,"",LoadProfile!AA67)</f>
        <v/>
      </c>
      <c r="X69" s="1431" t="str">
        <f>IF(LoadProfile!AC67&lt;=0,"",LoadProfile!AC67)</f>
        <v/>
      </c>
      <c r="Y69" s="1431" t="str">
        <f>IF(LoadProfile!AE67&lt;=0,"",LoadProfile!AE67)</f>
        <v/>
      </c>
      <c r="Z69" s="1431" t="str">
        <f>IF(LoadProfile!AG67&lt;=0,"",LoadProfile!AG67)</f>
        <v/>
      </c>
      <c r="AA69" s="1566" t="str">
        <f>IF(LoadProfile!AH67&lt;=0,"",LoadProfile!AH67)</f>
        <v/>
      </c>
      <c r="AB69" s="1633"/>
    </row>
    <row r="70" spans="1:28" hidden="1" x14ac:dyDescent="0.2">
      <c r="A70" s="376" t="str">
        <f>LoadProfile!A68</f>
        <v>e</v>
      </c>
      <c r="B70" s="1560" t="str">
        <f>IFERROR(IF(OR(RIGHT(LoadProfile!B68,1)="y",RIGHT(LoadProfile!B68,3)="C02",RIGHT(LoadProfile!B68,3)="CO2")=TRUE,(_xlfn.CONCAT(LoadProfile!B68," ",VLOOKUP(C70,APPLICATION_Skid,2,FALSE))),LoadProfile!B68),LoadProfile!B68)</f>
        <v/>
      </c>
      <c r="C70" s="1436" t="e">
        <f>LoadProfile!C68</f>
        <v>#REF!</v>
      </c>
      <c r="D70" s="1436" t="e">
        <f>SUBSTITUTE(LoadProfile!D68,"**","")</f>
        <v>#REF!</v>
      </c>
      <c r="E70" s="1436" t="e" cm="1">
        <f t="array" ref="E70">IF(INDEX('Legend(Skid)'!$S$8:$S$9,ROW()-44)=0,"---",INDEX('Legend(Skid)'!$S$8:$S$9,ROW()-44))</f>
        <v>#REF!</v>
      </c>
      <c r="F70" s="1430" t="e">
        <f t="shared" si="0"/>
        <v>#REF!</v>
      </c>
      <c r="G70" s="1436" t="e" cm="1">
        <f t="array" ref="G70">IF(INDEX('Legend(Skid)'!$AD$8:$AD$9,ROW()-44)=0,"-",INDEX('Legend(Skid)'!$AD$8:$AD$9,ROW()-44))</f>
        <v>#REF!</v>
      </c>
      <c r="H70" s="1430" t="e">
        <f t="shared" si="1"/>
        <v>#REF!</v>
      </c>
      <c r="I70" s="1548"/>
      <c r="J70" s="1569" t="s">
        <v>1058</v>
      </c>
      <c r="K70" s="1437">
        <f>LoadProfile!F68</f>
        <v>0</v>
      </c>
      <c r="L70" s="1437">
        <f>LoadProfile!G68</f>
        <v>0</v>
      </c>
      <c r="M70" s="1437">
        <f>LoadProfile!H68</f>
        <v>0</v>
      </c>
      <c r="N70" s="1437" t="str">
        <f>IF(LoadProfile!I68&lt;=0,"--",LoadProfile!I68)</f>
        <v>--</v>
      </c>
      <c r="O70" s="1437">
        <f>LoadProfile!J68</f>
        <v>0</v>
      </c>
      <c r="P70" s="1431" t="str">
        <f>IF(LoadProfile!M68&lt;=0,"",LoadProfile!M68)</f>
        <v/>
      </c>
      <c r="Q70" s="1431" t="str">
        <f>IF(LoadProfile!O68&lt;=0,"",LoadProfile!O68)</f>
        <v/>
      </c>
      <c r="R70" s="1431" t="str">
        <f>IF(LoadProfile!Q68&lt;=0,"",LoadProfile!Q68)</f>
        <v/>
      </c>
      <c r="S70" s="1431" t="str">
        <f>IF(LoadProfile!S68&lt;=0,"",LoadProfile!S68)</f>
        <v/>
      </c>
      <c r="T70" s="1431" t="str">
        <f>IF(LoadProfile!U68&lt;=0,"",LoadProfile!U68)</f>
        <v/>
      </c>
      <c r="U70" s="1431" t="str">
        <f>IF(LoadProfile!W68&lt;=0,"",LoadProfile!W68)</f>
        <v/>
      </c>
      <c r="V70" s="1431" t="str">
        <f>IF(LoadProfile!Y68&lt;=0,"",LoadProfile!Y68)</f>
        <v/>
      </c>
      <c r="W70" s="1431" t="str">
        <f>IF(LoadProfile!AA68&lt;=0,"",LoadProfile!AA68)</f>
        <v/>
      </c>
      <c r="X70" s="1431" t="str">
        <f>IF(LoadProfile!AC68&lt;=0,"",LoadProfile!AC68)</f>
        <v/>
      </c>
      <c r="Y70" s="1431" t="str">
        <f>IF(LoadProfile!AE68&lt;=0,"",LoadProfile!AE68)</f>
        <v/>
      </c>
      <c r="Z70" s="1431" t="str">
        <f>IF(LoadProfile!AG68&lt;=0,"",LoadProfile!AG68)</f>
        <v/>
      </c>
      <c r="AA70" s="1566" t="str">
        <f>IF(LoadProfile!AH68&lt;=0,"",LoadProfile!AH68)</f>
        <v/>
      </c>
      <c r="AB70" s="1633"/>
    </row>
    <row r="71" spans="1:28" hidden="1" x14ac:dyDescent="0.2">
      <c r="A71" s="376" t="str">
        <f>LoadProfile!A69</f>
        <v>e</v>
      </c>
      <c r="B71" s="1560" t="str">
        <f>IFERROR(IF(OR(RIGHT(LoadProfile!B69,1)="y",RIGHT(LoadProfile!B69,3)="C02",RIGHT(LoadProfile!B69,3)="CO2")=TRUE,(_xlfn.CONCAT(LoadProfile!B69," ",VLOOKUP(C71,APPLICATION_Skid,2,FALSE))),LoadProfile!B69),LoadProfile!B69)</f>
        <v/>
      </c>
      <c r="C71" s="1436" t="e">
        <f>LoadProfile!C69</f>
        <v>#REF!</v>
      </c>
      <c r="D71" s="1436" t="e">
        <f>SUBSTITUTE(LoadProfile!D69,"**","")</f>
        <v>#REF!</v>
      </c>
      <c r="E71" s="1436" t="e" cm="1">
        <f t="array" ref="E71">IF(INDEX('Legend(Skid)'!$S$8:$S$9,ROW()-44)=0,"---",INDEX('Legend(Skid)'!$S$8:$S$9,ROW()-44))</f>
        <v>#REF!</v>
      </c>
      <c r="F71" s="1430" t="e">
        <f t="shared" si="0"/>
        <v>#REF!</v>
      </c>
      <c r="G71" s="1436" t="e" cm="1">
        <f t="array" ref="G71">IF(INDEX('Legend(Skid)'!$AD$8:$AD$9,ROW()-44)=0,"-",INDEX('Legend(Skid)'!$AD$8:$AD$9,ROW()-44))</f>
        <v>#REF!</v>
      </c>
      <c r="H71" s="1430" t="e">
        <f t="shared" si="1"/>
        <v>#REF!</v>
      </c>
      <c r="I71" s="1548"/>
      <c r="J71" s="1569" t="s">
        <v>1058</v>
      </c>
      <c r="K71" s="1437">
        <f>LoadProfile!F69</f>
        <v>0</v>
      </c>
      <c r="L71" s="1437">
        <f>LoadProfile!G69</f>
        <v>0</v>
      </c>
      <c r="M71" s="1437">
        <f>LoadProfile!H69</f>
        <v>0</v>
      </c>
      <c r="N71" s="1437" t="str">
        <f>IF(LoadProfile!I69&lt;=0,"--",LoadProfile!I69)</f>
        <v>--</v>
      </c>
      <c r="O71" s="1437">
        <f>LoadProfile!J69</f>
        <v>0</v>
      </c>
      <c r="P71" s="1431" t="str">
        <f>IF(LoadProfile!M69&lt;=0,"",LoadProfile!M69)</f>
        <v/>
      </c>
      <c r="Q71" s="1431" t="str">
        <f>IF(LoadProfile!O69&lt;=0,"",LoadProfile!O69)</f>
        <v/>
      </c>
      <c r="R71" s="1431" t="str">
        <f>IF(LoadProfile!Q69&lt;=0,"",LoadProfile!Q69)</f>
        <v/>
      </c>
      <c r="S71" s="1431" t="str">
        <f>IF(LoadProfile!S69&lt;=0,"",LoadProfile!S69)</f>
        <v/>
      </c>
      <c r="T71" s="1431" t="str">
        <f>IF(LoadProfile!U69&lt;=0,"",LoadProfile!U69)</f>
        <v/>
      </c>
      <c r="U71" s="1431" t="str">
        <f>IF(LoadProfile!W69&lt;=0,"",LoadProfile!W69)</f>
        <v/>
      </c>
      <c r="V71" s="1431" t="str">
        <f>IF(LoadProfile!Y69&lt;=0,"",LoadProfile!Y69)</f>
        <v/>
      </c>
      <c r="W71" s="1431" t="str">
        <f>IF(LoadProfile!AA69&lt;=0,"",LoadProfile!AA69)</f>
        <v/>
      </c>
      <c r="X71" s="1431" t="str">
        <f>IF(LoadProfile!AC69&lt;=0,"",LoadProfile!AC69)</f>
        <v/>
      </c>
      <c r="Y71" s="1431" t="str">
        <f>IF(LoadProfile!AE69&lt;=0,"",LoadProfile!AE69)</f>
        <v/>
      </c>
      <c r="Z71" s="1431" t="str">
        <f>IF(LoadProfile!AG69&lt;=0,"",LoadProfile!AG69)</f>
        <v/>
      </c>
      <c r="AA71" s="1566" t="str">
        <f>IF(LoadProfile!AH69&lt;=0,"",LoadProfile!AH69)</f>
        <v/>
      </c>
      <c r="AB71" s="1633"/>
    </row>
    <row r="72" spans="1:28" hidden="1" x14ac:dyDescent="0.2">
      <c r="A72" s="376" t="str">
        <f>LoadProfile!A70</f>
        <v>e</v>
      </c>
      <c r="B72" s="1560" t="str">
        <f>IFERROR(IF(OR(RIGHT(LoadProfile!B70,1)="y",RIGHT(LoadProfile!B70,3)="C02",RIGHT(LoadProfile!B70,3)="CO2")=TRUE,(_xlfn.CONCAT(LoadProfile!B70," ",VLOOKUP(C72,APPLICATION_Skid,2,FALSE))),LoadProfile!B70),LoadProfile!B70)</f>
        <v/>
      </c>
      <c r="C72" s="1436" t="e">
        <f>LoadProfile!C70</f>
        <v>#REF!</v>
      </c>
      <c r="D72" s="1436" t="e">
        <f>SUBSTITUTE(LoadProfile!D70,"**","")</f>
        <v>#REF!</v>
      </c>
      <c r="E72" s="1436" t="e" cm="1">
        <f t="array" ref="E72">IF(INDEX('Legend(Skid)'!$S$8:$S$9,ROW()-44)=0,"---",INDEX('Legend(Skid)'!$S$8:$S$9,ROW()-44))</f>
        <v>#REF!</v>
      </c>
      <c r="F72" s="1430" t="e">
        <f t="shared" si="0"/>
        <v>#REF!</v>
      </c>
      <c r="G72" s="1436" t="e" cm="1">
        <f t="array" ref="G72">IF(INDEX('Legend(Skid)'!$AD$8:$AD$9,ROW()-44)=0,"-",INDEX('Legend(Skid)'!$AD$8:$AD$9,ROW()-44))</f>
        <v>#REF!</v>
      </c>
      <c r="H72" s="1430" t="e">
        <f t="shared" si="1"/>
        <v>#REF!</v>
      </c>
      <c r="I72" s="1548"/>
      <c r="J72" s="1569" t="s">
        <v>1058</v>
      </c>
      <c r="K72" s="1437">
        <f>LoadProfile!F70</f>
        <v>0</v>
      </c>
      <c r="L72" s="1437">
        <f>LoadProfile!G70</f>
        <v>0</v>
      </c>
      <c r="M72" s="1437">
        <f>LoadProfile!H70</f>
        <v>0</v>
      </c>
      <c r="N72" s="1437" t="str">
        <f>IF(LoadProfile!I70&lt;=0,"--",LoadProfile!I70)</f>
        <v>--</v>
      </c>
      <c r="O72" s="1437">
        <f>LoadProfile!J70</f>
        <v>0</v>
      </c>
      <c r="P72" s="1431" t="str">
        <f>IF(LoadProfile!M70&lt;=0,"",LoadProfile!M70)</f>
        <v/>
      </c>
      <c r="Q72" s="1431" t="str">
        <f>IF(LoadProfile!O70&lt;=0,"",LoadProfile!O70)</f>
        <v/>
      </c>
      <c r="R72" s="1431" t="str">
        <f>IF(LoadProfile!Q70&lt;=0,"",LoadProfile!Q70)</f>
        <v/>
      </c>
      <c r="S72" s="1431" t="str">
        <f>IF(LoadProfile!S70&lt;=0,"",LoadProfile!S70)</f>
        <v/>
      </c>
      <c r="T72" s="1431" t="str">
        <f>IF(LoadProfile!U70&lt;=0,"",LoadProfile!U70)</f>
        <v/>
      </c>
      <c r="U72" s="1431" t="str">
        <f>IF(LoadProfile!W70&lt;=0,"",LoadProfile!W70)</f>
        <v/>
      </c>
      <c r="V72" s="1431" t="str">
        <f>IF(LoadProfile!Y70&lt;=0,"",LoadProfile!Y70)</f>
        <v/>
      </c>
      <c r="W72" s="1431" t="str">
        <f>IF(LoadProfile!AA70&lt;=0,"",LoadProfile!AA70)</f>
        <v/>
      </c>
      <c r="X72" s="1431" t="str">
        <f>IF(LoadProfile!AC70&lt;=0,"",LoadProfile!AC70)</f>
        <v/>
      </c>
      <c r="Y72" s="1431" t="str">
        <f>IF(LoadProfile!AE70&lt;=0,"",LoadProfile!AE70)</f>
        <v/>
      </c>
      <c r="Z72" s="1431" t="str">
        <f>IF(LoadProfile!AG70&lt;=0,"",LoadProfile!AG70)</f>
        <v/>
      </c>
      <c r="AA72" s="1566" t="str">
        <f>IF(LoadProfile!AH70&lt;=0,"",LoadProfile!AH70)</f>
        <v/>
      </c>
      <c r="AB72" s="1633"/>
    </row>
    <row r="73" spans="1:28" hidden="1" x14ac:dyDescent="0.2">
      <c r="A73" s="376" t="str">
        <f>LoadProfile!A71</f>
        <v>e</v>
      </c>
      <c r="B73" s="1560" t="str">
        <f>IFERROR(IF(OR(RIGHT(LoadProfile!B71,1)="y",RIGHT(LoadProfile!B71,3)="C02",RIGHT(LoadProfile!B71,3)="CO2")=TRUE,(_xlfn.CONCAT(LoadProfile!B71," ",VLOOKUP(C73,APPLICATION_Skid,2,FALSE))),LoadProfile!B71),LoadProfile!B71)</f>
        <v/>
      </c>
      <c r="C73" s="1436" t="e">
        <f>LoadProfile!C71</f>
        <v>#REF!</v>
      </c>
      <c r="D73" s="1436" t="e">
        <f>SUBSTITUTE(LoadProfile!D71,"**","")</f>
        <v>#REF!</v>
      </c>
      <c r="E73" s="1436" t="e" cm="1">
        <f t="array" ref="E73">IF(INDEX('Legend(Skid)'!$S$8:$S$9,ROW()-44)=0,"---",INDEX('Legend(Skid)'!$S$8:$S$9,ROW()-44))</f>
        <v>#REF!</v>
      </c>
      <c r="F73" s="1430" t="e">
        <f t="shared" si="0"/>
        <v>#REF!</v>
      </c>
      <c r="G73" s="1436" t="e" cm="1">
        <f t="array" ref="G73">IF(INDEX('Legend(Skid)'!$AD$8:$AD$9,ROW()-44)=0,"-",INDEX('Legend(Skid)'!$AD$8:$AD$9,ROW()-44))</f>
        <v>#REF!</v>
      </c>
      <c r="H73" s="1430" t="e">
        <f t="shared" si="1"/>
        <v>#REF!</v>
      </c>
      <c r="I73" s="1548"/>
      <c r="J73" s="1569" t="s">
        <v>1058</v>
      </c>
      <c r="K73" s="1437">
        <f>LoadProfile!F71</f>
        <v>0</v>
      </c>
      <c r="L73" s="1437">
        <f>LoadProfile!G71</f>
        <v>0</v>
      </c>
      <c r="M73" s="1437">
        <f>LoadProfile!H71</f>
        <v>0</v>
      </c>
      <c r="N73" s="1437" t="str">
        <f>IF(LoadProfile!I71&lt;=0,"--",LoadProfile!I71)</f>
        <v>--</v>
      </c>
      <c r="O73" s="1437">
        <f>LoadProfile!J71</f>
        <v>0</v>
      </c>
      <c r="P73" s="1431" t="str">
        <f>IF(LoadProfile!M71&lt;=0,"",LoadProfile!M71)</f>
        <v/>
      </c>
      <c r="Q73" s="1431" t="str">
        <f>IF(LoadProfile!O71&lt;=0,"",LoadProfile!O71)</f>
        <v/>
      </c>
      <c r="R73" s="1431" t="str">
        <f>IF(LoadProfile!Q71&lt;=0,"",LoadProfile!Q71)</f>
        <v/>
      </c>
      <c r="S73" s="1431" t="str">
        <f>IF(LoadProfile!S71&lt;=0,"",LoadProfile!S71)</f>
        <v/>
      </c>
      <c r="T73" s="1431" t="str">
        <f>IF(LoadProfile!U71&lt;=0,"",LoadProfile!U71)</f>
        <v/>
      </c>
      <c r="U73" s="1431" t="str">
        <f>IF(LoadProfile!W71&lt;=0,"",LoadProfile!W71)</f>
        <v/>
      </c>
      <c r="V73" s="1431" t="str">
        <f>IF(LoadProfile!Y71&lt;=0,"",LoadProfile!Y71)</f>
        <v/>
      </c>
      <c r="W73" s="1431" t="str">
        <f>IF(LoadProfile!AA71&lt;=0,"",LoadProfile!AA71)</f>
        <v/>
      </c>
      <c r="X73" s="1431" t="str">
        <f>IF(LoadProfile!AC71&lt;=0,"",LoadProfile!AC71)</f>
        <v/>
      </c>
      <c r="Y73" s="1431" t="str">
        <f>IF(LoadProfile!AE71&lt;=0,"",LoadProfile!AE71)</f>
        <v/>
      </c>
      <c r="Z73" s="1431" t="str">
        <f>IF(LoadProfile!AG71&lt;=0,"",LoadProfile!AG71)</f>
        <v/>
      </c>
      <c r="AA73" s="1566" t="str">
        <f>IF(LoadProfile!AH71&lt;=0,"",LoadProfile!AH71)</f>
        <v/>
      </c>
      <c r="AB73" s="1633"/>
    </row>
    <row r="74" spans="1:28" hidden="1" x14ac:dyDescent="0.2">
      <c r="A74" s="376" t="str">
        <f>LoadProfile!A72</f>
        <v>e</v>
      </c>
      <c r="B74" s="1560" t="str">
        <f>IFERROR(IF(OR(RIGHT(LoadProfile!B72,1)="y",RIGHT(LoadProfile!B72,3)="C02",RIGHT(LoadProfile!B72,3)="CO2")=TRUE,(_xlfn.CONCAT(LoadProfile!B72," ",VLOOKUP(C74,APPLICATION_Skid,2,FALSE))),LoadProfile!B72),LoadProfile!B72)</f>
        <v/>
      </c>
      <c r="C74" s="1436" t="e">
        <f>LoadProfile!C72</f>
        <v>#REF!</v>
      </c>
      <c r="D74" s="1436" t="e">
        <f>SUBSTITUTE(LoadProfile!D72,"**","")</f>
        <v>#REF!</v>
      </c>
      <c r="E74" s="1436" t="e" cm="1">
        <f t="array" ref="E74">IF(INDEX('Legend(Skid)'!$S$8:$S$9,ROW()-44)=0,"---",INDEX('Legend(Skid)'!$S$8:$S$9,ROW()-44))</f>
        <v>#REF!</v>
      </c>
      <c r="F74" s="1430" t="e">
        <f t="shared" si="0"/>
        <v>#REF!</v>
      </c>
      <c r="G74" s="1436" t="e" cm="1">
        <f t="array" ref="G74">IF(INDEX('Legend(Skid)'!$AD$8:$AD$9,ROW()-44)=0,"-",INDEX('Legend(Skid)'!$AD$8:$AD$9,ROW()-44))</f>
        <v>#REF!</v>
      </c>
      <c r="H74" s="1430" t="e">
        <f t="shared" si="1"/>
        <v>#REF!</v>
      </c>
      <c r="I74" s="1548"/>
      <c r="J74" s="1569" t="s">
        <v>1058</v>
      </c>
      <c r="K74" s="1437">
        <f>LoadProfile!F72</f>
        <v>0</v>
      </c>
      <c r="L74" s="1437">
        <f>LoadProfile!G72</f>
        <v>0</v>
      </c>
      <c r="M74" s="1437">
        <f>LoadProfile!H72</f>
        <v>0</v>
      </c>
      <c r="N74" s="1437" t="str">
        <f>IF(LoadProfile!I72&lt;=0,"--",LoadProfile!I72)</f>
        <v>--</v>
      </c>
      <c r="O74" s="1437">
        <f>LoadProfile!J72</f>
        <v>0</v>
      </c>
      <c r="P74" s="1431" t="str">
        <f>IF(LoadProfile!M72&lt;=0,"",LoadProfile!M72)</f>
        <v/>
      </c>
      <c r="Q74" s="1431" t="str">
        <f>IF(LoadProfile!O72&lt;=0,"",LoadProfile!O72)</f>
        <v/>
      </c>
      <c r="R74" s="1431" t="str">
        <f>IF(LoadProfile!Q72&lt;=0,"",LoadProfile!Q72)</f>
        <v/>
      </c>
      <c r="S74" s="1431" t="str">
        <f>IF(LoadProfile!S72&lt;=0,"",LoadProfile!S72)</f>
        <v/>
      </c>
      <c r="T74" s="1431" t="str">
        <f>IF(LoadProfile!U72&lt;=0,"",LoadProfile!U72)</f>
        <v/>
      </c>
      <c r="U74" s="1431" t="str">
        <f>IF(LoadProfile!W72&lt;=0,"",LoadProfile!W72)</f>
        <v/>
      </c>
      <c r="V74" s="1431" t="str">
        <f>IF(LoadProfile!Y72&lt;=0,"",LoadProfile!Y72)</f>
        <v/>
      </c>
      <c r="W74" s="1431" t="str">
        <f>IF(LoadProfile!AA72&lt;=0,"",LoadProfile!AA72)</f>
        <v/>
      </c>
      <c r="X74" s="1431" t="str">
        <f>IF(LoadProfile!AC72&lt;=0,"",LoadProfile!AC72)</f>
        <v/>
      </c>
      <c r="Y74" s="1431" t="str">
        <f>IF(LoadProfile!AE72&lt;=0,"",LoadProfile!AE72)</f>
        <v/>
      </c>
      <c r="Z74" s="1431" t="str">
        <f>IF(LoadProfile!AG72&lt;=0,"",LoadProfile!AG72)</f>
        <v/>
      </c>
      <c r="AA74" s="1566" t="str">
        <f>IF(LoadProfile!AH72&lt;=0,"",LoadProfile!AH72)</f>
        <v/>
      </c>
      <c r="AB74" s="1633"/>
    </row>
    <row r="75" spans="1:28" hidden="1" x14ac:dyDescent="0.2">
      <c r="A75" s="376" t="str">
        <f>LoadProfile!A73</f>
        <v>e</v>
      </c>
      <c r="B75" s="1560" t="str">
        <f>IFERROR(IF(OR(RIGHT(LoadProfile!B73,1)="y",RIGHT(LoadProfile!B73,3)="C02",RIGHT(LoadProfile!B73,3)="CO2")=TRUE,(_xlfn.CONCAT(LoadProfile!B73," ",VLOOKUP(C75,APPLICATION_Skid,2,FALSE))),LoadProfile!B73),LoadProfile!B73)</f>
        <v/>
      </c>
      <c r="C75" s="1436" t="e">
        <f>LoadProfile!C73</f>
        <v>#REF!</v>
      </c>
      <c r="D75" s="1436" t="e">
        <f>SUBSTITUTE(LoadProfile!D73,"**","")</f>
        <v>#REF!</v>
      </c>
      <c r="E75" s="1436" t="e" cm="1">
        <f t="array" ref="E75">IF(INDEX('Legend(Skid)'!$S$8:$S$9,ROW()-44)=0,"---",INDEX('Legend(Skid)'!$S$8:$S$9,ROW()-44))</f>
        <v>#REF!</v>
      </c>
      <c r="F75" s="1430" t="e">
        <f t="shared" si="0"/>
        <v>#REF!</v>
      </c>
      <c r="G75" s="1436" t="e" cm="1">
        <f t="array" ref="G75">IF(INDEX('Legend(Skid)'!$AD$8:$AD$9,ROW()-44)=0,"-",INDEX('Legend(Skid)'!$AD$8:$AD$9,ROW()-44))</f>
        <v>#REF!</v>
      </c>
      <c r="H75" s="1430" t="e">
        <f t="shared" si="1"/>
        <v>#REF!</v>
      </c>
      <c r="I75" s="1548"/>
      <c r="J75" s="1569" t="s">
        <v>1058</v>
      </c>
      <c r="K75" s="1437">
        <f>LoadProfile!F73</f>
        <v>0</v>
      </c>
      <c r="L75" s="1437">
        <f>LoadProfile!G73</f>
        <v>0</v>
      </c>
      <c r="M75" s="1437">
        <f>LoadProfile!H73</f>
        <v>0</v>
      </c>
      <c r="N75" s="1437" t="str">
        <f>IF(LoadProfile!I73&lt;=0,"--",LoadProfile!I73)</f>
        <v>--</v>
      </c>
      <c r="O75" s="1437">
        <f>LoadProfile!J73</f>
        <v>0</v>
      </c>
      <c r="P75" s="1431" t="str">
        <f>IF(LoadProfile!M73&lt;=0,"",LoadProfile!M73)</f>
        <v/>
      </c>
      <c r="Q75" s="1431" t="str">
        <f>IF(LoadProfile!O73&lt;=0,"",LoadProfile!O73)</f>
        <v/>
      </c>
      <c r="R75" s="1431" t="str">
        <f>IF(LoadProfile!Q73&lt;=0,"",LoadProfile!Q73)</f>
        <v/>
      </c>
      <c r="S75" s="1431" t="str">
        <f>IF(LoadProfile!S73&lt;=0,"",LoadProfile!S73)</f>
        <v/>
      </c>
      <c r="T75" s="1431" t="str">
        <f>IF(LoadProfile!U73&lt;=0,"",LoadProfile!U73)</f>
        <v/>
      </c>
      <c r="U75" s="1431" t="str">
        <f>IF(LoadProfile!W73&lt;=0,"",LoadProfile!W73)</f>
        <v/>
      </c>
      <c r="V75" s="1431" t="str">
        <f>IF(LoadProfile!Y73&lt;=0,"",LoadProfile!Y73)</f>
        <v/>
      </c>
      <c r="W75" s="1431" t="str">
        <f>IF(LoadProfile!AA73&lt;=0,"",LoadProfile!AA73)</f>
        <v/>
      </c>
      <c r="X75" s="1431" t="str">
        <f>IF(LoadProfile!AC73&lt;=0,"",LoadProfile!AC73)</f>
        <v/>
      </c>
      <c r="Y75" s="1431" t="str">
        <f>IF(LoadProfile!AE73&lt;=0,"",LoadProfile!AE73)</f>
        <v/>
      </c>
      <c r="Z75" s="1431" t="str">
        <f>IF(LoadProfile!AG73&lt;=0,"",LoadProfile!AG73)</f>
        <v/>
      </c>
      <c r="AA75" s="1566" t="str">
        <f>IF(LoadProfile!AH73&lt;=0,"",LoadProfile!AH73)</f>
        <v/>
      </c>
      <c r="AB75" s="1633"/>
    </row>
    <row r="76" spans="1:28" hidden="1" x14ac:dyDescent="0.2">
      <c r="A76" s="376" t="str">
        <f>LoadProfile!A74</f>
        <v>e</v>
      </c>
      <c r="B76" s="1560" t="str">
        <f>IFERROR(IF(OR(RIGHT(LoadProfile!B74,1)="y",RIGHT(LoadProfile!B74,3)="C02",RIGHT(LoadProfile!B74,3)="CO2")=TRUE,(_xlfn.CONCAT(LoadProfile!B74," ",VLOOKUP(C76,APPLICATION_Skid,2,FALSE))),LoadProfile!B74),LoadProfile!B74)</f>
        <v/>
      </c>
      <c r="C76" s="1436" t="e">
        <f>LoadProfile!C74</f>
        <v>#REF!</v>
      </c>
      <c r="D76" s="1436" t="e">
        <f>SUBSTITUTE(LoadProfile!D74,"**","")</f>
        <v>#REF!</v>
      </c>
      <c r="E76" s="1436" t="e" cm="1">
        <f t="array" ref="E76">IF(INDEX('Legend(Skid)'!$S$8:$S$9,ROW()-44)=0,"---",INDEX('Legend(Skid)'!$S$8:$S$9,ROW()-44))</f>
        <v>#REF!</v>
      </c>
      <c r="F76" s="1430" t="e">
        <f t="shared" si="0"/>
        <v>#REF!</v>
      </c>
      <c r="G76" s="1436" t="e" cm="1">
        <f t="array" ref="G76">IF(INDEX('Legend(Skid)'!$AD$8:$AD$9,ROW()-44)=0,"-",INDEX('Legend(Skid)'!$AD$8:$AD$9,ROW()-44))</f>
        <v>#REF!</v>
      </c>
      <c r="H76" s="1430" t="e">
        <f t="shared" si="1"/>
        <v>#REF!</v>
      </c>
      <c r="I76" s="1548"/>
      <c r="J76" s="1569" t="s">
        <v>1058</v>
      </c>
      <c r="K76" s="1437">
        <f>LoadProfile!F74</f>
        <v>0</v>
      </c>
      <c r="L76" s="1437">
        <f>LoadProfile!G74</f>
        <v>0</v>
      </c>
      <c r="M76" s="1437">
        <f>LoadProfile!H74</f>
        <v>0</v>
      </c>
      <c r="N76" s="1437" t="str">
        <f>IF(LoadProfile!I74&lt;=0,"--",LoadProfile!I74)</f>
        <v>--</v>
      </c>
      <c r="O76" s="1437">
        <f>LoadProfile!J74</f>
        <v>0</v>
      </c>
      <c r="P76" s="1431" t="str">
        <f>IF(LoadProfile!M74&lt;=0,"",LoadProfile!M74)</f>
        <v/>
      </c>
      <c r="Q76" s="1431" t="str">
        <f>IF(LoadProfile!O74&lt;=0,"",LoadProfile!O74)</f>
        <v/>
      </c>
      <c r="R76" s="1431" t="str">
        <f>IF(LoadProfile!Q74&lt;=0,"",LoadProfile!Q74)</f>
        <v/>
      </c>
      <c r="S76" s="1431" t="str">
        <f>IF(LoadProfile!S74&lt;=0,"",LoadProfile!S74)</f>
        <v/>
      </c>
      <c r="T76" s="1431" t="str">
        <f>IF(LoadProfile!U74&lt;=0,"",LoadProfile!U74)</f>
        <v/>
      </c>
      <c r="U76" s="1431" t="str">
        <f>IF(LoadProfile!W74&lt;=0,"",LoadProfile!W74)</f>
        <v/>
      </c>
      <c r="V76" s="1431" t="str">
        <f>IF(LoadProfile!Y74&lt;=0,"",LoadProfile!Y74)</f>
        <v/>
      </c>
      <c r="W76" s="1431" t="str">
        <f>IF(LoadProfile!AA74&lt;=0,"",LoadProfile!AA74)</f>
        <v/>
      </c>
      <c r="X76" s="1431" t="str">
        <f>IF(LoadProfile!AC74&lt;=0,"",LoadProfile!AC74)</f>
        <v/>
      </c>
      <c r="Y76" s="1431" t="str">
        <f>IF(LoadProfile!AE74&lt;=0,"",LoadProfile!AE74)</f>
        <v/>
      </c>
      <c r="Z76" s="1431" t="str">
        <f>IF(LoadProfile!AG74&lt;=0,"",LoadProfile!AG74)</f>
        <v/>
      </c>
      <c r="AA76" s="1566" t="str">
        <f>IF(LoadProfile!AH74&lt;=0,"",LoadProfile!AH74)</f>
        <v/>
      </c>
      <c r="AB76" s="1633"/>
    </row>
    <row r="77" spans="1:28" hidden="1" x14ac:dyDescent="0.2">
      <c r="A77" s="376" t="str">
        <f>LoadProfile!A75</f>
        <v>e</v>
      </c>
      <c r="B77" s="1560" t="str">
        <f>IFERROR(IF(OR(RIGHT(LoadProfile!B75,1)="y",RIGHT(LoadProfile!B75,3)="C02",RIGHT(LoadProfile!B75,3)="CO2")=TRUE,(_xlfn.CONCAT(LoadProfile!B75," ",VLOOKUP(C77,APPLICATION_Skid,2,FALSE))),LoadProfile!B75),LoadProfile!B75)</f>
        <v/>
      </c>
      <c r="C77" s="1436" t="e">
        <f>LoadProfile!C75</f>
        <v>#REF!</v>
      </c>
      <c r="D77" s="1436" t="e">
        <f>SUBSTITUTE(LoadProfile!D75,"**","")</f>
        <v>#REF!</v>
      </c>
      <c r="E77" s="1436" t="e" cm="1">
        <f t="array" ref="E77">IF(INDEX('Legend(Skid)'!$S$8:$S$9,ROW()-44)=0,"---",INDEX('Legend(Skid)'!$S$8:$S$9,ROW()-44))</f>
        <v>#REF!</v>
      </c>
      <c r="F77" s="1430" t="e">
        <f t="shared" si="0"/>
        <v>#REF!</v>
      </c>
      <c r="G77" s="1436" t="e" cm="1">
        <f t="array" ref="G77">IF(INDEX('Legend(Skid)'!$AD$8:$AD$9,ROW()-44)=0,"-",INDEX('Legend(Skid)'!$AD$8:$AD$9,ROW()-44))</f>
        <v>#REF!</v>
      </c>
      <c r="H77" s="1430" t="e">
        <f t="shared" si="1"/>
        <v>#REF!</v>
      </c>
      <c r="I77" s="1548"/>
      <c r="J77" s="1569" t="s">
        <v>1058</v>
      </c>
      <c r="K77" s="1437">
        <f>LoadProfile!F75</f>
        <v>0</v>
      </c>
      <c r="L77" s="1437">
        <f>LoadProfile!G75</f>
        <v>0</v>
      </c>
      <c r="M77" s="1437">
        <f>LoadProfile!H75</f>
        <v>0</v>
      </c>
      <c r="N77" s="1437" t="str">
        <f>IF(LoadProfile!I75&lt;=0,"--",LoadProfile!I75)</f>
        <v>--</v>
      </c>
      <c r="O77" s="1437">
        <f>LoadProfile!J75</f>
        <v>0</v>
      </c>
      <c r="P77" s="1431" t="str">
        <f>IF(LoadProfile!M75&lt;=0,"",LoadProfile!M75)</f>
        <v/>
      </c>
      <c r="Q77" s="1431" t="str">
        <f>IF(LoadProfile!O75&lt;=0,"",LoadProfile!O75)</f>
        <v/>
      </c>
      <c r="R77" s="1431" t="str">
        <f>IF(LoadProfile!Q75&lt;=0,"",LoadProfile!Q75)</f>
        <v/>
      </c>
      <c r="S77" s="1431" t="str">
        <f>IF(LoadProfile!S75&lt;=0,"",LoadProfile!S75)</f>
        <v/>
      </c>
      <c r="T77" s="1431" t="str">
        <f>IF(LoadProfile!U75&lt;=0,"",LoadProfile!U75)</f>
        <v/>
      </c>
      <c r="U77" s="1431" t="str">
        <f>IF(LoadProfile!W75&lt;=0,"",LoadProfile!W75)</f>
        <v/>
      </c>
      <c r="V77" s="1431" t="str">
        <f>IF(LoadProfile!Y75&lt;=0,"",LoadProfile!Y75)</f>
        <v/>
      </c>
      <c r="W77" s="1431" t="str">
        <f>IF(LoadProfile!AA75&lt;=0,"",LoadProfile!AA75)</f>
        <v/>
      </c>
      <c r="X77" s="1431" t="str">
        <f>IF(LoadProfile!AC75&lt;=0,"",LoadProfile!AC75)</f>
        <v/>
      </c>
      <c r="Y77" s="1431" t="str">
        <f>IF(LoadProfile!AE75&lt;=0,"",LoadProfile!AE75)</f>
        <v/>
      </c>
      <c r="Z77" s="1431" t="str">
        <f>IF(LoadProfile!AG75&lt;=0,"",LoadProfile!AG75)</f>
        <v/>
      </c>
      <c r="AA77" s="1566" t="str">
        <f>IF(LoadProfile!AH75&lt;=0,"",LoadProfile!AH75)</f>
        <v/>
      </c>
      <c r="AB77" s="1633"/>
    </row>
    <row r="78" spans="1:28" hidden="1" x14ac:dyDescent="0.2">
      <c r="A78" s="376" t="str">
        <f>LoadProfile!A76</f>
        <v>e</v>
      </c>
      <c r="B78" s="1560" t="str">
        <f>IFERROR(IF(OR(RIGHT(LoadProfile!B76,1)="y",RIGHT(LoadProfile!B76,3)="C02",RIGHT(LoadProfile!B76,3)="CO2")=TRUE,(_xlfn.CONCAT(LoadProfile!B76," ",VLOOKUP(C78,APPLICATION_Skid,2,FALSE))),LoadProfile!B76),LoadProfile!B76)</f>
        <v/>
      </c>
      <c r="C78" s="1436" t="e">
        <f>LoadProfile!C76</f>
        <v>#REF!</v>
      </c>
      <c r="D78" s="1436" t="e">
        <f>SUBSTITUTE(LoadProfile!D76,"**","")</f>
        <v>#REF!</v>
      </c>
      <c r="E78" s="1436" t="e" cm="1">
        <f t="array" ref="E78">IF(INDEX('Legend(Skid)'!$S$8:$S$9,ROW()-44)=0,"---",INDEX('Legend(Skid)'!$S$8:$S$9,ROW()-44))</f>
        <v>#REF!</v>
      </c>
      <c r="F78" s="1430" t="e">
        <f t="shared" si="0"/>
        <v>#REF!</v>
      </c>
      <c r="G78" s="1436" t="e" cm="1">
        <f t="array" ref="G78">IF(INDEX('Legend(Skid)'!$AD$8:$AD$9,ROW()-44)=0,"-",INDEX('Legend(Skid)'!$AD$8:$AD$9,ROW()-44))</f>
        <v>#REF!</v>
      </c>
      <c r="H78" s="1430" t="e">
        <f t="shared" si="1"/>
        <v>#REF!</v>
      </c>
      <c r="I78" s="1548"/>
      <c r="J78" s="1569" t="s">
        <v>1058</v>
      </c>
      <c r="K78" s="1437">
        <f>LoadProfile!F76</f>
        <v>0</v>
      </c>
      <c r="L78" s="1437">
        <f>LoadProfile!G76</f>
        <v>0</v>
      </c>
      <c r="M78" s="1437">
        <f>LoadProfile!H76</f>
        <v>0</v>
      </c>
      <c r="N78" s="1437" t="str">
        <f>IF(LoadProfile!I76&lt;=0,"--",LoadProfile!I76)</f>
        <v>--</v>
      </c>
      <c r="O78" s="1437">
        <f>LoadProfile!J76</f>
        <v>0</v>
      </c>
      <c r="P78" s="1431" t="str">
        <f>IF(LoadProfile!M76&lt;=0,"",LoadProfile!M76)</f>
        <v/>
      </c>
      <c r="Q78" s="1431" t="str">
        <f>IF(LoadProfile!O76&lt;=0,"",LoadProfile!O76)</f>
        <v/>
      </c>
      <c r="R78" s="1431" t="str">
        <f>IF(LoadProfile!Q76&lt;=0,"",LoadProfile!Q76)</f>
        <v/>
      </c>
      <c r="S78" s="1431" t="str">
        <f>IF(LoadProfile!S76&lt;=0,"",LoadProfile!S76)</f>
        <v/>
      </c>
      <c r="T78" s="1431" t="str">
        <f>IF(LoadProfile!U76&lt;=0,"",LoadProfile!U76)</f>
        <v/>
      </c>
      <c r="U78" s="1431" t="str">
        <f>IF(LoadProfile!W76&lt;=0,"",LoadProfile!W76)</f>
        <v/>
      </c>
      <c r="V78" s="1431" t="str">
        <f>IF(LoadProfile!Y76&lt;=0,"",LoadProfile!Y76)</f>
        <v/>
      </c>
      <c r="W78" s="1431" t="str">
        <f>IF(LoadProfile!AA76&lt;=0,"",LoadProfile!AA76)</f>
        <v/>
      </c>
      <c r="X78" s="1431" t="str">
        <f>IF(LoadProfile!AC76&lt;=0,"",LoadProfile!AC76)</f>
        <v/>
      </c>
      <c r="Y78" s="1431" t="str">
        <f>IF(LoadProfile!AE76&lt;=0,"",LoadProfile!AE76)</f>
        <v/>
      </c>
      <c r="Z78" s="1431" t="str">
        <f>IF(LoadProfile!AG76&lt;=0,"",LoadProfile!AG76)</f>
        <v/>
      </c>
      <c r="AA78" s="1566" t="str">
        <f>IF(LoadProfile!AH76&lt;=0,"",LoadProfile!AH76)</f>
        <v/>
      </c>
      <c r="AB78" s="1633"/>
    </row>
    <row r="79" spans="1:28" hidden="1" x14ac:dyDescent="0.2">
      <c r="A79" s="376" t="str">
        <f>LoadProfile!A77</f>
        <v>e</v>
      </c>
      <c r="B79" s="1560" t="str">
        <f>IFERROR(IF(OR(RIGHT(LoadProfile!B77,1)="y",RIGHT(LoadProfile!B77,3)="C02",RIGHT(LoadProfile!B77,3)="CO2")=TRUE,(_xlfn.CONCAT(LoadProfile!B77," ",VLOOKUP(C79,APPLICATION_Skid,2,FALSE))),LoadProfile!B77),LoadProfile!B77)</f>
        <v/>
      </c>
      <c r="C79" s="1436" t="e">
        <f>LoadProfile!C77</f>
        <v>#REF!</v>
      </c>
      <c r="D79" s="1436" t="e">
        <f>SUBSTITUTE(LoadProfile!D77,"**","")</f>
        <v>#REF!</v>
      </c>
      <c r="E79" s="1436" t="e" cm="1">
        <f t="array" ref="E79">IF(INDEX('Legend(Skid)'!$S$8:$S$9,ROW()-44)=0,"---",INDEX('Legend(Skid)'!$S$8:$S$9,ROW()-44))</f>
        <v>#REF!</v>
      </c>
      <c r="F79" s="1430" t="e">
        <f t="shared" si="0"/>
        <v>#REF!</v>
      </c>
      <c r="G79" s="1436" t="e" cm="1">
        <f t="array" ref="G79">IF(INDEX('Legend(Skid)'!$AD$8:$AD$9,ROW()-44)=0,"-",INDEX('Legend(Skid)'!$AD$8:$AD$9,ROW()-44))</f>
        <v>#REF!</v>
      </c>
      <c r="H79" s="1430" t="e">
        <f t="shared" si="1"/>
        <v>#REF!</v>
      </c>
      <c r="I79" s="1548"/>
      <c r="J79" s="1569" t="s">
        <v>1058</v>
      </c>
      <c r="K79" s="1437">
        <f>LoadProfile!F77</f>
        <v>0</v>
      </c>
      <c r="L79" s="1437">
        <f>LoadProfile!G77</f>
        <v>0</v>
      </c>
      <c r="M79" s="1437">
        <f>LoadProfile!H77</f>
        <v>0</v>
      </c>
      <c r="N79" s="1437" t="str">
        <f>IF(LoadProfile!I77&lt;=0,"--",LoadProfile!I77)</f>
        <v>--</v>
      </c>
      <c r="O79" s="1437">
        <f>LoadProfile!J77</f>
        <v>0</v>
      </c>
      <c r="P79" s="1431" t="str">
        <f>IF(LoadProfile!M77&lt;=0,"",LoadProfile!M77)</f>
        <v/>
      </c>
      <c r="Q79" s="1431" t="str">
        <f>IF(LoadProfile!O77&lt;=0,"",LoadProfile!O77)</f>
        <v/>
      </c>
      <c r="R79" s="1431" t="str">
        <f>IF(LoadProfile!Q77&lt;=0,"",LoadProfile!Q77)</f>
        <v/>
      </c>
      <c r="S79" s="1431" t="str">
        <f>IF(LoadProfile!S77&lt;=0,"",LoadProfile!S77)</f>
        <v/>
      </c>
      <c r="T79" s="1431" t="str">
        <f>IF(LoadProfile!U77&lt;=0,"",LoadProfile!U77)</f>
        <v/>
      </c>
      <c r="U79" s="1431" t="str">
        <f>IF(LoadProfile!W77&lt;=0,"",LoadProfile!W77)</f>
        <v/>
      </c>
      <c r="V79" s="1431" t="str">
        <f>IF(LoadProfile!Y77&lt;=0,"",LoadProfile!Y77)</f>
        <v/>
      </c>
      <c r="W79" s="1431" t="str">
        <f>IF(LoadProfile!AA77&lt;=0,"",LoadProfile!AA77)</f>
        <v/>
      </c>
      <c r="X79" s="1431" t="str">
        <f>IF(LoadProfile!AC77&lt;=0,"",LoadProfile!AC77)</f>
        <v/>
      </c>
      <c r="Y79" s="1431" t="str">
        <f>IF(LoadProfile!AE77&lt;=0,"",LoadProfile!AE77)</f>
        <v/>
      </c>
      <c r="Z79" s="1431" t="str">
        <f>IF(LoadProfile!AG77&lt;=0,"",LoadProfile!AG77)</f>
        <v/>
      </c>
      <c r="AA79" s="1566" t="str">
        <f>IF(LoadProfile!AH77&lt;=0,"",LoadProfile!AH77)</f>
        <v/>
      </c>
      <c r="AB79" s="1633"/>
    </row>
    <row r="80" spans="1:28" hidden="1" x14ac:dyDescent="0.2">
      <c r="A80" s="376" t="s">
        <v>559</v>
      </c>
      <c r="B80" s="1555" t="s">
        <v>832</v>
      </c>
      <c r="C80" s="376" t="s">
        <v>1163</v>
      </c>
      <c r="D80" s="376"/>
      <c r="E80" s="376" t="s">
        <v>1165</v>
      </c>
      <c r="F80" s="432"/>
      <c r="G80" s="376" t="s">
        <v>1165</v>
      </c>
      <c r="H80" s="376"/>
      <c r="I80" s="1556"/>
      <c r="J80" s="1557"/>
      <c r="K80" s="1558"/>
      <c r="L80" s="1558"/>
      <c r="M80" s="1558"/>
      <c r="N80" s="1558"/>
      <c r="O80" s="1558"/>
      <c r="P80" s="1559"/>
      <c r="Q80" s="1559"/>
      <c r="R80" s="1559"/>
      <c r="S80" s="1559"/>
      <c r="T80" s="1559"/>
      <c r="U80" s="1432"/>
      <c r="AB80" s="1633"/>
    </row>
    <row r="81" spans="1:28" hidden="1" x14ac:dyDescent="0.2">
      <c r="A81" s="376" t="str">
        <f>LoadProfile!A158</f>
        <v>x</v>
      </c>
      <c r="B81" s="1560">
        <f>LoadProfile!B158</f>
        <v>0</v>
      </c>
      <c r="C81" s="1436" t="str">
        <f>LoadProfile!C158</f>
        <v>See Legend</v>
      </c>
      <c r="D81" s="1436" t="e">
        <f>SUBSTITUTE(LoadProfile!D158,"**","")</f>
        <v>#REF!</v>
      </c>
      <c r="E81" s="1436" t="str">
        <f>IF(INDEX('Legend(DX)'!$S$11:$S$12,1)=0,"---",INDEX('Legend(DX)'!$S$11:$S$12,1))</f>
        <v>---</v>
      </c>
      <c r="F81" s="1430" t="str">
        <f>IF(G81="ETR","ETR",IF(G81="-","-",G81-2))</f>
        <v>-</v>
      </c>
      <c r="G81" s="1436" t="str">
        <f>IF(INDEX('Legend(DX)'!$AD$11:$AD$12,1)=0,"-",INDEX('Legend(DX)'!$AD$11:$AD$12,1))</f>
        <v>-</v>
      </c>
      <c r="H81" s="1430" t="str">
        <f>IF(G81="ETR","ETR",IF(G81="-","-",G81+2))</f>
        <v>-</v>
      </c>
      <c r="I81" s="1548"/>
      <c r="J81" s="1442" t="str">
        <f>IF(G81="ETR","ETR","")</f>
        <v/>
      </c>
      <c r="K81" s="1437">
        <f>LoadProfile!F158</f>
        <v>0</v>
      </c>
      <c r="L81" s="1437">
        <f>LoadProfile!G158</f>
        <v>0</v>
      </c>
      <c r="M81" s="1437">
        <f>LoadProfile!H158</f>
        <v>0</v>
      </c>
      <c r="N81" s="1437" t="str">
        <f>IF(LoadProfile!I158&lt;=0,"--",LoadProfile!I158)</f>
        <v>--</v>
      </c>
      <c r="O81" s="1437">
        <f>LoadProfile!J158</f>
        <v>0</v>
      </c>
      <c r="P81" s="1431" t="str">
        <f>IF(LoadProfile!M158&lt;=0,"",LoadProfile!M158)</f>
        <v/>
      </c>
      <c r="Q81" s="1431" t="str">
        <f>IF(LoadProfile!O158&lt;=0,"",LoadProfile!O158)</f>
        <v/>
      </c>
      <c r="R81" s="1431" t="str">
        <f>IF(LoadProfile!Q158&lt;=0,"",LoadProfile!Q158)</f>
        <v/>
      </c>
      <c r="S81" s="1431" t="str">
        <f>IF(LoadProfile!S158&lt;=0,"",LoadProfile!S158)</f>
        <v/>
      </c>
      <c r="T81" s="1431" t="str">
        <f>IF(LoadProfile!U158&lt;=0,"",LoadProfile!U158)</f>
        <v/>
      </c>
      <c r="U81" s="1431" t="str">
        <f>IF(LoadProfile!W158&lt;=0,"",LoadProfile!W158)</f>
        <v/>
      </c>
      <c r="V81" s="1431" t="str">
        <f>IF(LoadProfile!Y158&lt;=0,"",LoadProfile!Y158)</f>
        <v/>
      </c>
      <c r="W81" s="1431" t="str">
        <f>IF(LoadProfile!AA158&lt;=0,"",LoadProfile!AA158)</f>
        <v/>
      </c>
      <c r="X81" s="1431" t="str">
        <f>IF(LoadProfile!AC158&lt;=0,"",LoadProfile!AC158)</f>
        <v/>
      </c>
      <c r="Y81" s="1431" t="str">
        <f>IF(LoadProfile!AE158&lt;=0,"",LoadProfile!AE158)</f>
        <v/>
      </c>
      <c r="Z81" s="1431" t="str">
        <f>IF(LoadProfile!AG158&lt;=0,"",LoadProfile!AG158)</f>
        <v/>
      </c>
      <c r="AA81" s="1566" t="str">
        <f>IF(LoadProfile!AH158&lt;=0,"",LoadProfile!AH158)</f>
        <v/>
      </c>
      <c r="AB81" s="1633"/>
    </row>
    <row r="82" spans="1:28" hidden="1" x14ac:dyDescent="0.2">
      <c r="A82" s="376" t="str">
        <f>LoadProfile!A159</f>
        <v>x</v>
      </c>
      <c r="B82" s="1560">
        <f>LoadProfile!B159</f>
        <v>0</v>
      </c>
      <c r="C82" s="1436" t="str">
        <f>LoadProfile!C159</f>
        <v>See Legend</v>
      </c>
      <c r="D82" s="1436" t="e">
        <f>SUBSTITUTE(LoadProfile!D159,"**","")</f>
        <v>#REF!</v>
      </c>
      <c r="E82" s="1436" t="str">
        <f>IF(INDEX('Legend(DX)'!$S$11:$S$12,2)=0,"---",INDEX('Legend(DX)'!$S$11:$S$12,2))</f>
        <v>---</v>
      </c>
      <c r="F82" s="1430" t="str">
        <f t="shared" ref="F82:F130" si="3">IF(G82="ETR","ETR",IF(G82="-","-",G82-2))</f>
        <v>-</v>
      </c>
      <c r="G82" s="1436" t="str">
        <f>IF(INDEX('Legend(DX)'!$AD$11:$AD$12,2)=0,"-",INDEX('Legend(DX)'!$AD$11:$AD$12,2))</f>
        <v>-</v>
      </c>
      <c r="H82" s="1430" t="str">
        <f t="shared" ref="H82:H130" si="4">IF(G82="ETR","ETR",IF(G82="-","-",G82+2))</f>
        <v>-</v>
      </c>
      <c r="I82" s="1548"/>
      <c r="J82" s="1442" t="str">
        <f t="shared" ref="J82:J130" si="5">IF(G82="ETR","ETR","")</f>
        <v/>
      </c>
      <c r="K82" s="1437">
        <f>LoadProfile!F159</f>
        <v>0</v>
      </c>
      <c r="L82" s="1437">
        <f>LoadProfile!G159</f>
        <v>0</v>
      </c>
      <c r="M82" s="1437">
        <f>LoadProfile!H159</f>
        <v>0</v>
      </c>
      <c r="N82" s="1437" t="str">
        <f>IF(LoadProfile!I159&lt;=0,"--",LoadProfile!I159)</f>
        <v>--</v>
      </c>
      <c r="O82" s="1437">
        <f>LoadProfile!J159</f>
        <v>0</v>
      </c>
      <c r="P82" s="1431" t="str">
        <f>IF(LoadProfile!M159&lt;=0,"",LoadProfile!M159)</f>
        <v/>
      </c>
      <c r="Q82" s="1431" t="str">
        <f>IF(LoadProfile!O159&lt;=0,"",LoadProfile!O159)</f>
        <v/>
      </c>
      <c r="R82" s="1431" t="str">
        <f>IF(LoadProfile!Q159&lt;=0,"",LoadProfile!Q159)</f>
        <v/>
      </c>
      <c r="S82" s="1431" t="str">
        <f>IF(LoadProfile!S159&lt;=0,"",LoadProfile!S159)</f>
        <v/>
      </c>
      <c r="T82" s="1431" t="str">
        <f>IF(LoadProfile!U159&lt;=0,"",LoadProfile!U159)</f>
        <v/>
      </c>
      <c r="U82" s="1431" t="str">
        <f>IF(LoadProfile!W159&lt;=0,"",LoadProfile!W159)</f>
        <v/>
      </c>
      <c r="V82" s="1431" t="str">
        <f>IF(LoadProfile!Y159&lt;=0,"",LoadProfile!Y159)</f>
        <v/>
      </c>
      <c r="W82" s="1431" t="str">
        <f>IF(LoadProfile!AA159&lt;=0,"",LoadProfile!AA159)</f>
        <v/>
      </c>
      <c r="X82" s="1431" t="str">
        <f>IF(LoadProfile!AC159&lt;=0,"",LoadProfile!AC159)</f>
        <v/>
      </c>
      <c r="Y82" s="1431" t="str">
        <f>IF(LoadProfile!AE159&lt;=0,"",LoadProfile!AE159)</f>
        <v/>
      </c>
      <c r="Z82" s="1431" t="str">
        <f>IF(LoadProfile!AG159&lt;=0,"",LoadProfile!AG159)</f>
        <v/>
      </c>
      <c r="AA82" s="1566" t="str">
        <f>IF(LoadProfile!AH159&lt;=0,"",LoadProfile!AH159)</f>
        <v/>
      </c>
      <c r="AB82" s="1633"/>
    </row>
    <row r="83" spans="1:28" hidden="1" x14ac:dyDescent="0.2">
      <c r="A83" s="376" t="str">
        <f>LoadProfile!A160</f>
        <v>e</v>
      </c>
      <c r="B83" s="1560" t="str">
        <f>LoadProfile!B160</f>
        <v/>
      </c>
      <c r="C83" s="1436" t="e">
        <f>LoadProfile!C160</f>
        <v>#REF!</v>
      </c>
      <c r="D83" s="1436" t="e">
        <f>SUBSTITUTE(LoadProfile!D160,"**","")</f>
        <v>#REF!</v>
      </c>
      <c r="E83" s="1436" t="e">
        <f>IF(INDEX('Legend(DX)'!$S$11:$S$12,3)=0,"---",INDEX('Legend(DX)'!$S$11:$S$12,3))</f>
        <v>#REF!</v>
      </c>
      <c r="F83" s="1430" t="e">
        <f t="shared" si="3"/>
        <v>#REF!</v>
      </c>
      <c r="G83" s="1436" t="e">
        <f>IF(INDEX('Legend(DX)'!$AD$11:$AD$12,3)=0,"-",INDEX('Legend(DX)'!$AD$11:$AD$12,3))</f>
        <v>#REF!</v>
      </c>
      <c r="H83" s="1430" t="e">
        <f t="shared" si="4"/>
        <v>#REF!</v>
      </c>
      <c r="I83" s="1548"/>
      <c r="J83" s="1442" t="e">
        <f t="shared" si="5"/>
        <v>#REF!</v>
      </c>
      <c r="K83" s="1437">
        <f>LoadProfile!F160</f>
        <v>0</v>
      </c>
      <c r="L83" s="1437">
        <f>LoadProfile!G160</f>
        <v>0</v>
      </c>
      <c r="M83" s="1437">
        <f>LoadProfile!H160</f>
        <v>0</v>
      </c>
      <c r="N83" s="1437" t="str">
        <f>IF(LoadProfile!I160&lt;=0,"--",LoadProfile!I160)</f>
        <v>--</v>
      </c>
      <c r="O83" s="1437">
        <f>LoadProfile!J160</f>
        <v>0</v>
      </c>
      <c r="P83" s="1431" t="str">
        <f>IF(LoadProfile!M160&lt;=0,"",LoadProfile!M160)</f>
        <v/>
      </c>
      <c r="Q83" s="1431" t="str">
        <f>IF(LoadProfile!O160&lt;=0,"",LoadProfile!O160)</f>
        <v/>
      </c>
      <c r="R83" s="1431" t="str">
        <f>IF(LoadProfile!Q160&lt;=0,"",LoadProfile!Q160)</f>
        <v/>
      </c>
      <c r="S83" s="1431" t="str">
        <f>IF(LoadProfile!S160&lt;=0,"",LoadProfile!S160)</f>
        <v/>
      </c>
      <c r="T83" s="1431" t="str">
        <f>IF(LoadProfile!U160&lt;=0,"",LoadProfile!U160)</f>
        <v/>
      </c>
      <c r="U83" s="1431" t="str">
        <f>IF(LoadProfile!W160&lt;=0,"",LoadProfile!W160)</f>
        <v/>
      </c>
      <c r="V83" s="1431" t="str">
        <f>IF(LoadProfile!Y160&lt;=0,"",LoadProfile!Y160)</f>
        <v/>
      </c>
      <c r="W83" s="1431" t="str">
        <f>IF(LoadProfile!AA160&lt;=0,"",LoadProfile!AA160)</f>
        <v/>
      </c>
      <c r="X83" s="1431" t="str">
        <f>IF(LoadProfile!AC160&lt;=0,"",LoadProfile!AC160)</f>
        <v/>
      </c>
      <c r="Y83" s="1431" t="str">
        <f>IF(LoadProfile!AE160&lt;=0,"",LoadProfile!AE160)</f>
        <v/>
      </c>
      <c r="Z83" s="1431" t="str">
        <f>IF(LoadProfile!AG160&lt;=0,"",LoadProfile!AG160)</f>
        <v/>
      </c>
      <c r="AA83" s="1566" t="str">
        <f>IF(LoadProfile!AH160&lt;=0,"",LoadProfile!AH160)</f>
        <v/>
      </c>
      <c r="AB83" s="1633"/>
    </row>
    <row r="84" spans="1:28" hidden="1" x14ac:dyDescent="0.2">
      <c r="A84" s="376" t="str">
        <f>LoadProfile!A161</f>
        <v>e</v>
      </c>
      <c r="B84" s="1560" t="str">
        <f>LoadProfile!B161</f>
        <v/>
      </c>
      <c r="C84" s="1436" t="e">
        <f>LoadProfile!C161</f>
        <v>#REF!</v>
      </c>
      <c r="D84" s="1436" t="e">
        <f>SUBSTITUTE(LoadProfile!D161,"**","")</f>
        <v>#REF!</v>
      </c>
      <c r="E84" s="1436" t="e">
        <f>IF(INDEX('Legend(DX)'!$S$11:$S$12,4)=0,"---",INDEX('Legend(DX)'!$S$11:$S$12,4))</f>
        <v>#REF!</v>
      </c>
      <c r="F84" s="1430" t="e">
        <f t="shared" si="3"/>
        <v>#REF!</v>
      </c>
      <c r="G84" s="1436" t="e">
        <f>IF(INDEX('Legend(DX)'!$AD$11:$AD$12,4)=0,"-",INDEX('Legend(DX)'!$AD$11:$AD$12,4))</f>
        <v>#REF!</v>
      </c>
      <c r="H84" s="1430" t="e">
        <f t="shared" si="4"/>
        <v>#REF!</v>
      </c>
      <c r="I84" s="1548"/>
      <c r="J84" s="1442" t="e">
        <f t="shared" si="5"/>
        <v>#REF!</v>
      </c>
      <c r="K84" s="1437">
        <f>LoadProfile!F161</f>
        <v>0</v>
      </c>
      <c r="L84" s="1437">
        <f>LoadProfile!G161</f>
        <v>0</v>
      </c>
      <c r="M84" s="1437">
        <f>LoadProfile!H161</f>
        <v>0</v>
      </c>
      <c r="N84" s="1437" t="str">
        <f>IF(LoadProfile!I161&lt;=0,"--",LoadProfile!I161)</f>
        <v>--</v>
      </c>
      <c r="O84" s="1437">
        <f>LoadProfile!J161</f>
        <v>0</v>
      </c>
      <c r="P84" s="1431" t="str">
        <f>IF(LoadProfile!M161&lt;=0,"",LoadProfile!M161)</f>
        <v/>
      </c>
      <c r="Q84" s="1431" t="str">
        <f>IF(LoadProfile!O161&lt;=0,"",LoadProfile!O161)</f>
        <v/>
      </c>
      <c r="R84" s="1431" t="str">
        <f>IF(LoadProfile!Q161&lt;=0,"",LoadProfile!Q161)</f>
        <v/>
      </c>
      <c r="S84" s="1431" t="str">
        <f>IF(LoadProfile!S161&lt;=0,"",LoadProfile!S161)</f>
        <v/>
      </c>
      <c r="T84" s="1431" t="str">
        <f>IF(LoadProfile!U161&lt;=0,"",LoadProfile!U161)</f>
        <v/>
      </c>
      <c r="U84" s="1431" t="str">
        <f>IF(LoadProfile!W161&lt;=0,"",LoadProfile!W161)</f>
        <v/>
      </c>
      <c r="V84" s="1431" t="str">
        <f>IF(LoadProfile!Y161&lt;=0,"",LoadProfile!Y161)</f>
        <v/>
      </c>
      <c r="W84" s="1431" t="str">
        <f>IF(LoadProfile!AA161&lt;=0,"",LoadProfile!AA161)</f>
        <v/>
      </c>
      <c r="X84" s="1431" t="str">
        <f>IF(LoadProfile!AC161&lt;=0,"",LoadProfile!AC161)</f>
        <v/>
      </c>
      <c r="Y84" s="1431" t="str">
        <f>IF(LoadProfile!AE161&lt;=0,"",LoadProfile!AE161)</f>
        <v/>
      </c>
      <c r="Z84" s="1431" t="str">
        <f>IF(LoadProfile!AG161&lt;=0,"",LoadProfile!AG161)</f>
        <v/>
      </c>
      <c r="AA84" s="1566" t="str">
        <f>IF(LoadProfile!AH161&lt;=0,"",LoadProfile!AH161)</f>
        <v/>
      </c>
      <c r="AB84" s="1633"/>
    </row>
    <row r="85" spans="1:28" hidden="1" x14ac:dyDescent="0.2">
      <c r="A85" s="376" t="str">
        <f>LoadProfile!A162</f>
        <v>e</v>
      </c>
      <c r="B85" s="1560" t="str">
        <f>LoadProfile!B162</f>
        <v/>
      </c>
      <c r="C85" s="1436" t="e">
        <f>LoadProfile!C162</f>
        <v>#REF!</v>
      </c>
      <c r="D85" s="1436" t="e">
        <f>SUBSTITUTE(LoadProfile!D162,"**","")</f>
        <v>#REF!</v>
      </c>
      <c r="E85" s="1436" t="e">
        <f>IF(INDEX('Legend(DX)'!$S$11:$S$12,5)=0,"---",INDEX('Legend(DX)'!$S$11:$S$12,5))</f>
        <v>#REF!</v>
      </c>
      <c r="F85" s="1430" t="e">
        <f t="shared" si="3"/>
        <v>#REF!</v>
      </c>
      <c r="G85" s="1436" t="e">
        <f>IF(INDEX('Legend(DX)'!$AD$11:$AD$12,5)=0,"-",INDEX('Legend(DX)'!$AD$11:$AD$12,5))</f>
        <v>#REF!</v>
      </c>
      <c r="H85" s="1430" t="e">
        <f t="shared" si="4"/>
        <v>#REF!</v>
      </c>
      <c r="I85" s="1548"/>
      <c r="J85" s="1442" t="e">
        <f t="shared" si="5"/>
        <v>#REF!</v>
      </c>
      <c r="K85" s="1437">
        <f>LoadProfile!F162</f>
        <v>0</v>
      </c>
      <c r="L85" s="1437">
        <f>LoadProfile!G162</f>
        <v>0</v>
      </c>
      <c r="M85" s="1437">
        <f>LoadProfile!H162</f>
        <v>0</v>
      </c>
      <c r="N85" s="1437" t="str">
        <f>IF(LoadProfile!I162&lt;=0,"--",LoadProfile!I162)</f>
        <v>--</v>
      </c>
      <c r="O85" s="1437">
        <f>LoadProfile!J162</f>
        <v>0</v>
      </c>
      <c r="P85" s="1431" t="str">
        <f>IF(LoadProfile!M162&lt;=0,"",LoadProfile!M162)</f>
        <v/>
      </c>
      <c r="Q85" s="1431" t="str">
        <f>IF(LoadProfile!O162&lt;=0,"",LoadProfile!O162)</f>
        <v/>
      </c>
      <c r="R85" s="1431" t="str">
        <f>IF(LoadProfile!Q162&lt;=0,"",LoadProfile!Q162)</f>
        <v/>
      </c>
      <c r="S85" s="1431" t="str">
        <f>IF(LoadProfile!S162&lt;=0,"",LoadProfile!S162)</f>
        <v/>
      </c>
      <c r="T85" s="1431" t="str">
        <f>IF(LoadProfile!U162&lt;=0,"",LoadProfile!U162)</f>
        <v/>
      </c>
      <c r="U85" s="1431" t="str">
        <f>IF(LoadProfile!W162&lt;=0,"",LoadProfile!W162)</f>
        <v/>
      </c>
      <c r="V85" s="1431" t="str">
        <f>IF(LoadProfile!Y162&lt;=0,"",LoadProfile!Y162)</f>
        <v/>
      </c>
      <c r="W85" s="1431" t="str">
        <f>IF(LoadProfile!AA162&lt;=0,"",LoadProfile!AA162)</f>
        <v/>
      </c>
      <c r="X85" s="1431" t="str">
        <f>IF(LoadProfile!AC162&lt;=0,"",LoadProfile!AC162)</f>
        <v/>
      </c>
      <c r="Y85" s="1431" t="str">
        <f>IF(LoadProfile!AE162&lt;=0,"",LoadProfile!AE162)</f>
        <v/>
      </c>
      <c r="Z85" s="1431" t="str">
        <f>IF(LoadProfile!AG162&lt;=0,"",LoadProfile!AG162)</f>
        <v/>
      </c>
      <c r="AA85" s="1566" t="str">
        <f>IF(LoadProfile!AH162&lt;=0,"",LoadProfile!AH162)</f>
        <v/>
      </c>
      <c r="AB85" s="1633"/>
    </row>
    <row r="86" spans="1:28" hidden="1" x14ac:dyDescent="0.2">
      <c r="A86" s="376" t="str">
        <f>LoadProfile!A163</f>
        <v>e</v>
      </c>
      <c r="B86" s="1560" t="str">
        <f>LoadProfile!B163</f>
        <v/>
      </c>
      <c r="C86" s="1436" t="e">
        <f>LoadProfile!C163</f>
        <v>#REF!</v>
      </c>
      <c r="D86" s="1436" t="e">
        <f>SUBSTITUTE(LoadProfile!D163,"**","")</f>
        <v>#REF!</v>
      </c>
      <c r="E86" s="1436" t="e">
        <f>IF(INDEX('Legend(DX)'!$S$11:$S$12,6)=0,"---",INDEX('Legend(DX)'!$S$11:$S$12,6))</f>
        <v>#REF!</v>
      </c>
      <c r="F86" s="1430" t="e">
        <f t="shared" si="3"/>
        <v>#REF!</v>
      </c>
      <c r="G86" s="1436" t="e">
        <f>IF(INDEX('Legend(DX)'!$AD$11:$AD$12,6)=0,"-",INDEX('Legend(DX)'!$AD$11:$AD$12,6))</f>
        <v>#REF!</v>
      </c>
      <c r="H86" s="1430" t="e">
        <f t="shared" si="4"/>
        <v>#REF!</v>
      </c>
      <c r="I86" s="1548"/>
      <c r="J86" s="1442" t="e">
        <f t="shared" si="5"/>
        <v>#REF!</v>
      </c>
      <c r="K86" s="1437">
        <f>LoadProfile!F163</f>
        <v>0</v>
      </c>
      <c r="L86" s="1437">
        <f>LoadProfile!G163</f>
        <v>0</v>
      </c>
      <c r="M86" s="1437">
        <f>LoadProfile!H163</f>
        <v>0</v>
      </c>
      <c r="N86" s="1437" t="str">
        <f>IF(LoadProfile!I163&lt;=0,"--",LoadProfile!I163)</f>
        <v>--</v>
      </c>
      <c r="O86" s="1437">
        <f>LoadProfile!J163</f>
        <v>0</v>
      </c>
      <c r="P86" s="1431" t="str">
        <f>IF(LoadProfile!M163&lt;=0,"",LoadProfile!M163)</f>
        <v/>
      </c>
      <c r="Q86" s="1431" t="str">
        <f>IF(LoadProfile!O163&lt;=0,"",LoadProfile!O163)</f>
        <v/>
      </c>
      <c r="R86" s="1431" t="str">
        <f>IF(LoadProfile!Q163&lt;=0,"",LoadProfile!Q163)</f>
        <v/>
      </c>
      <c r="S86" s="1431" t="str">
        <f>IF(LoadProfile!S163&lt;=0,"",LoadProfile!S163)</f>
        <v/>
      </c>
      <c r="T86" s="1431" t="str">
        <f>IF(LoadProfile!U163&lt;=0,"",LoadProfile!U163)</f>
        <v/>
      </c>
      <c r="U86" s="1431" t="str">
        <f>IF(LoadProfile!W163&lt;=0,"",LoadProfile!W163)</f>
        <v/>
      </c>
      <c r="V86" s="1431" t="str">
        <f>IF(LoadProfile!Y163&lt;=0,"",LoadProfile!Y163)</f>
        <v/>
      </c>
      <c r="W86" s="1431" t="str">
        <f>IF(LoadProfile!AA163&lt;=0,"",LoadProfile!AA163)</f>
        <v/>
      </c>
      <c r="X86" s="1431" t="str">
        <f>IF(LoadProfile!AC163&lt;=0,"",LoadProfile!AC163)</f>
        <v/>
      </c>
      <c r="Y86" s="1431" t="str">
        <f>IF(LoadProfile!AE163&lt;=0,"",LoadProfile!AE163)</f>
        <v/>
      </c>
      <c r="Z86" s="1431" t="str">
        <f>IF(LoadProfile!AG163&lt;=0,"",LoadProfile!AG163)</f>
        <v/>
      </c>
      <c r="AA86" s="1566" t="str">
        <f>IF(LoadProfile!AH163&lt;=0,"",LoadProfile!AH163)</f>
        <v/>
      </c>
      <c r="AB86" s="1633"/>
    </row>
    <row r="87" spans="1:28" hidden="1" x14ac:dyDescent="0.2">
      <c r="A87" s="376" t="str">
        <f>LoadProfile!A164</f>
        <v>e</v>
      </c>
      <c r="B87" s="1560" t="str">
        <f>LoadProfile!B164</f>
        <v/>
      </c>
      <c r="C87" s="1436" t="e">
        <f>LoadProfile!C164</f>
        <v>#REF!</v>
      </c>
      <c r="D87" s="1436" t="e">
        <f>SUBSTITUTE(LoadProfile!D164,"**","")</f>
        <v>#REF!</v>
      </c>
      <c r="E87" s="1436" t="e">
        <f>IF(INDEX('Legend(DX)'!$S$11:$S$12,7)=0,"---",INDEX('Legend(DX)'!$S$11:$S$12,7))</f>
        <v>#REF!</v>
      </c>
      <c r="F87" s="1430" t="e">
        <f t="shared" si="3"/>
        <v>#REF!</v>
      </c>
      <c r="G87" s="1436" t="e">
        <f>IF(INDEX('Legend(DX)'!$AD$11:$AD$12,7)=0,"-",INDEX('Legend(DX)'!$AD$11:$AD$12,7))</f>
        <v>#REF!</v>
      </c>
      <c r="H87" s="1430" t="e">
        <f t="shared" si="4"/>
        <v>#REF!</v>
      </c>
      <c r="I87" s="1548"/>
      <c r="J87" s="1442" t="e">
        <f t="shared" si="5"/>
        <v>#REF!</v>
      </c>
      <c r="K87" s="1437">
        <f>LoadProfile!F164</f>
        <v>0</v>
      </c>
      <c r="L87" s="1437">
        <f>LoadProfile!G164</f>
        <v>0</v>
      </c>
      <c r="M87" s="1437">
        <f>LoadProfile!H164</f>
        <v>0</v>
      </c>
      <c r="N87" s="1437" t="str">
        <f>IF(LoadProfile!I164&lt;=0,"--",LoadProfile!I164)</f>
        <v>--</v>
      </c>
      <c r="O87" s="1437">
        <f>LoadProfile!J164</f>
        <v>0</v>
      </c>
      <c r="P87" s="1431" t="str">
        <f>IF(LoadProfile!M164&lt;=0,"",LoadProfile!M164)</f>
        <v/>
      </c>
      <c r="Q87" s="1431" t="str">
        <f>IF(LoadProfile!O164&lt;=0,"",LoadProfile!O164)</f>
        <v/>
      </c>
      <c r="R87" s="1431" t="str">
        <f>IF(LoadProfile!Q164&lt;=0,"",LoadProfile!Q164)</f>
        <v/>
      </c>
      <c r="S87" s="1431" t="str">
        <f>IF(LoadProfile!S164&lt;=0,"",LoadProfile!S164)</f>
        <v/>
      </c>
      <c r="T87" s="1431" t="str">
        <f>IF(LoadProfile!U164&lt;=0,"",LoadProfile!U164)</f>
        <v/>
      </c>
      <c r="U87" s="1431" t="str">
        <f>IF(LoadProfile!W164&lt;=0,"",LoadProfile!W164)</f>
        <v/>
      </c>
      <c r="V87" s="1431" t="str">
        <f>IF(LoadProfile!Y164&lt;=0,"",LoadProfile!Y164)</f>
        <v/>
      </c>
      <c r="W87" s="1431" t="str">
        <f>IF(LoadProfile!AA164&lt;=0,"",LoadProfile!AA164)</f>
        <v/>
      </c>
      <c r="X87" s="1431" t="str">
        <f>IF(LoadProfile!AC164&lt;=0,"",LoadProfile!AC164)</f>
        <v/>
      </c>
      <c r="Y87" s="1431" t="str">
        <f>IF(LoadProfile!AE164&lt;=0,"",LoadProfile!AE164)</f>
        <v/>
      </c>
      <c r="Z87" s="1431" t="str">
        <f>IF(LoadProfile!AG164&lt;=0,"",LoadProfile!AG164)</f>
        <v/>
      </c>
      <c r="AA87" s="1566" t="str">
        <f>IF(LoadProfile!AH164&lt;=0,"",LoadProfile!AH164)</f>
        <v/>
      </c>
      <c r="AB87" s="1633"/>
    </row>
    <row r="88" spans="1:28" hidden="1" x14ac:dyDescent="0.2">
      <c r="A88" s="376" t="str">
        <f>LoadProfile!A165</f>
        <v>e</v>
      </c>
      <c r="B88" s="1560" t="str">
        <f>LoadProfile!B165</f>
        <v/>
      </c>
      <c r="C88" s="1436" t="e">
        <f>LoadProfile!C165</f>
        <v>#REF!</v>
      </c>
      <c r="D88" s="1436" t="e">
        <f>SUBSTITUTE(LoadProfile!D165,"**","")</f>
        <v>#REF!</v>
      </c>
      <c r="E88" s="1436" t="e">
        <f>IF(INDEX('Legend(DX)'!$S$11:$S$12,8)=0,"---",INDEX('Legend(DX)'!$S$11:$S$12,8))</f>
        <v>#REF!</v>
      </c>
      <c r="F88" s="1430" t="e">
        <f t="shared" si="3"/>
        <v>#REF!</v>
      </c>
      <c r="G88" s="1436" t="e">
        <f>IF(INDEX('Legend(DX)'!$AD$11:$AD$12,8)=0,"-",INDEX('Legend(DX)'!$AD$11:$AD$12,8))</f>
        <v>#REF!</v>
      </c>
      <c r="H88" s="1430" t="e">
        <f t="shared" si="4"/>
        <v>#REF!</v>
      </c>
      <c r="I88" s="1548"/>
      <c r="J88" s="1442" t="e">
        <f t="shared" si="5"/>
        <v>#REF!</v>
      </c>
      <c r="K88" s="1437">
        <f>LoadProfile!F165</f>
        <v>0</v>
      </c>
      <c r="L88" s="1437">
        <f>LoadProfile!G165</f>
        <v>0</v>
      </c>
      <c r="M88" s="1437">
        <f>LoadProfile!H165</f>
        <v>0</v>
      </c>
      <c r="N88" s="1437" t="str">
        <f>IF(LoadProfile!I165&lt;=0,"--",LoadProfile!I165)</f>
        <v>--</v>
      </c>
      <c r="O88" s="1437">
        <f>LoadProfile!J165</f>
        <v>0</v>
      </c>
      <c r="P88" s="1431" t="str">
        <f>IF(LoadProfile!M165&lt;=0,"",LoadProfile!M165)</f>
        <v/>
      </c>
      <c r="Q88" s="1431" t="str">
        <f>IF(LoadProfile!O165&lt;=0,"",LoadProfile!O165)</f>
        <v/>
      </c>
      <c r="R88" s="1431" t="str">
        <f>IF(LoadProfile!Q165&lt;=0,"",LoadProfile!Q165)</f>
        <v/>
      </c>
      <c r="S88" s="1431" t="str">
        <f>IF(LoadProfile!S165&lt;=0,"",LoadProfile!S165)</f>
        <v/>
      </c>
      <c r="T88" s="1431" t="str">
        <f>IF(LoadProfile!U165&lt;=0,"",LoadProfile!U165)</f>
        <v/>
      </c>
      <c r="U88" s="1431" t="str">
        <f>IF(LoadProfile!W165&lt;=0,"",LoadProfile!W165)</f>
        <v/>
      </c>
      <c r="V88" s="1431" t="str">
        <f>IF(LoadProfile!Y165&lt;=0,"",LoadProfile!Y165)</f>
        <v/>
      </c>
      <c r="W88" s="1431" t="str">
        <f>IF(LoadProfile!AA165&lt;=0,"",LoadProfile!AA165)</f>
        <v/>
      </c>
      <c r="X88" s="1431" t="str">
        <f>IF(LoadProfile!AC165&lt;=0,"",LoadProfile!AC165)</f>
        <v/>
      </c>
      <c r="Y88" s="1431" t="str">
        <f>IF(LoadProfile!AE165&lt;=0,"",LoadProfile!AE165)</f>
        <v/>
      </c>
      <c r="Z88" s="1431" t="str">
        <f>IF(LoadProfile!AG165&lt;=0,"",LoadProfile!AG165)</f>
        <v/>
      </c>
      <c r="AA88" s="1566" t="str">
        <f>IF(LoadProfile!AH165&lt;=0,"",LoadProfile!AH165)</f>
        <v/>
      </c>
      <c r="AB88" s="1633"/>
    </row>
    <row r="89" spans="1:28" hidden="1" x14ac:dyDescent="0.2">
      <c r="A89" s="376" t="str">
        <f>LoadProfile!A166</f>
        <v>e</v>
      </c>
      <c r="B89" s="1560" t="str">
        <f>LoadProfile!B166</f>
        <v/>
      </c>
      <c r="C89" s="1436" t="e">
        <f>LoadProfile!C166</f>
        <v>#REF!</v>
      </c>
      <c r="D89" s="1436" t="e">
        <f>SUBSTITUTE(LoadProfile!D166,"**","")</f>
        <v>#REF!</v>
      </c>
      <c r="E89" s="1436" t="e">
        <f>IF(INDEX('Legend(DX)'!$S$11:$S$12,9)=0,"---",INDEX('Legend(DX)'!$S$11:$S$12,9))</f>
        <v>#REF!</v>
      </c>
      <c r="F89" s="1430" t="e">
        <f t="shared" si="3"/>
        <v>#REF!</v>
      </c>
      <c r="G89" s="1436" t="e">
        <f>IF(INDEX('Legend(DX)'!$AD$11:$AD$12,9)=0,"-",INDEX('Legend(DX)'!$AD$11:$AD$12,9))</f>
        <v>#REF!</v>
      </c>
      <c r="H89" s="1430" t="e">
        <f t="shared" si="4"/>
        <v>#REF!</v>
      </c>
      <c r="I89" s="1548"/>
      <c r="J89" s="1442" t="e">
        <f t="shared" si="5"/>
        <v>#REF!</v>
      </c>
      <c r="K89" s="1437">
        <f>LoadProfile!F166</f>
        <v>0</v>
      </c>
      <c r="L89" s="1437">
        <f>LoadProfile!G166</f>
        <v>0</v>
      </c>
      <c r="M89" s="1437">
        <f>LoadProfile!H166</f>
        <v>0</v>
      </c>
      <c r="N89" s="1437" t="str">
        <f>IF(LoadProfile!I166&lt;=0,"--",LoadProfile!I166)</f>
        <v>--</v>
      </c>
      <c r="O89" s="1437">
        <f>LoadProfile!J166</f>
        <v>0</v>
      </c>
      <c r="P89" s="1431" t="str">
        <f>IF(LoadProfile!M166&lt;=0,"",LoadProfile!M166)</f>
        <v/>
      </c>
      <c r="Q89" s="1431" t="str">
        <f>IF(LoadProfile!O166&lt;=0,"",LoadProfile!O166)</f>
        <v/>
      </c>
      <c r="R89" s="1431" t="str">
        <f>IF(LoadProfile!Q166&lt;=0,"",LoadProfile!Q166)</f>
        <v/>
      </c>
      <c r="S89" s="1431" t="str">
        <f>IF(LoadProfile!S166&lt;=0,"",LoadProfile!S166)</f>
        <v/>
      </c>
      <c r="T89" s="1431" t="str">
        <f>IF(LoadProfile!U166&lt;=0,"",LoadProfile!U166)</f>
        <v/>
      </c>
      <c r="U89" s="1431" t="str">
        <f>IF(LoadProfile!W166&lt;=0,"",LoadProfile!W166)</f>
        <v/>
      </c>
      <c r="V89" s="1431" t="str">
        <f>IF(LoadProfile!Y166&lt;=0,"",LoadProfile!Y166)</f>
        <v/>
      </c>
      <c r="W89" s="1431" t="str">
        <f>IF(LoadProfile!AA166&lt;=0,"",LoadProfile!AA166)</f>
        <v/>
      </c>
      <c r="X89" s="1431" t="str">
        <f>IF(LoadProfile!AC166&lt;=0,"",LoadProfile!AC166)</f>
        <v/>
      </c>
      <c r="Y89" s="1431" t="str">
        <f>IF(LoadProfile!AE166&lt;=0,"",LoadProfile!AE166)</f>
        <v/>
      </c>
      <c r="Z89" s="1431" t="str">
        <f>IF(LoadProfile!AG166&lt;=0,"",LoadProfile!AG166)</f>
        <v/>
      </c>
      <c r="AA89" s="1566" t="str">
        <f>IF(LoadProfile!AH166&lt;=0,"",LoadProfile!AH166)</f>
        <v/>
      </c>
      <c r="AB89" s="1633"/>
    </row>
    <row r="90" spans="1:28" hidden="1" x14ac:dyDescent="0.2">
      <c r="A90" s="376" t="str">
        <f>LoadProfile!A167</f>
        <v>e</v>
      </c>
      <c r="B90" s="1560" t="str">
        <f>LoadProfile!B167</f>
        <v/>
      </c>
      <c r="C90" s="1436" t="e">
        <f>LoadProfile!C167</f>
        <v>#REF!</v>
      </c>
      <c r="D90" s="1436" t="e">
        <f>SUBSTITUTE(LoadProfile!D167,"**","")</f>
        <v>#REF!</v>
      </c>
      <c r="E90" s="1436" t="e">
        <f>IF(INDEX('Legend(DX)'!$S$11:$S$12,10)=0,"---",INDEX('Legend(DX)'!$S$11:$S$12,10))</f>
        <v>#REF!</v>
      </c>
      <c r="F90" s="1430" t="e">
        <f t="shared" si="3"/>
        <v>#REF!</v>
      </c>
      <c r="G90" s="1436" t="e">
        <f>IF(INDEX('Legend(DX)'!$AD$11:$AD$12,10)=0,"-",INDEX('Legend(DX)'!$AD$11:$AD$12,10))</f>
        <v>#REF!</v>
      </c>
      <c r="H90" s="1430" t="e">
        <f t="shared" si="4"/>
        <v>#REF!</v>
      </c>
      <c r="I90" s="1548"/>
      <c r="J90" s="1442" t="e">
        <f t="shared" si="5"/>
        <v>#REF!</v>
      </c>
      <c r="K90" s="1437">
        <f>LoadProfile!F167</f>
        <v>0</v>
      </c>
      <c r="L90" s="1437">
        <f>LoadProfile!G167</f>
        <v>0</v>
      </c>
      <c r="M90" s="1437">
        <f>LoadProfile!H167</f>
        <v>0</v>
      </c>
      <c r="N90" s="1437" t="str">
        <f>IF(LoadProfile!I167&lt;=0,"--",LoadProfile!I167)</f>
        <v>--</v>
      </c>
      <c r="O90" s="1437">
        <f>LoadProfile!J167</f>
        <v>0</v>
      </c>
      <c r="P90" s="1431" t="str">
        <f>IF(LoadProfile!M167&lt;=0,"",LoadProfile!M167)</f>
        <v/>
      </c>
      <c r="Q90" s="1431" t="str">
        <f>IF(LoadProfile!O167&lt;=0,"",LoadProfile!O167)</f>
        <v/>
      </c>
      <c r="R90" s="1431" t="str">
        <f>IF(LoadProfile!Q167&lt;=0,"",LoadProfile!Q167)</f>
        <v/>
      </c>
      <c r="S90" s="1431" t="str">
        <f>IF(LoadProfile!S167&lt;=0,"",LoadProfile!S167)</f>
        <v/>
      </c>
      <c r="T90" s="1431" t="str">
        <f>IF(LoadProfile!U167&lt;=0,"",LoadProfile!U167)</f>
        <v/>
      </c>
      <c r="U90" s="1431" t="str">
        <f>IF(LoadProfile!W167&lt;=0,"",LoadProfile!W167)</f>
        <v/>
      </c>
      <c r="V90" s="1431" t="str">
        <f>IF(LoadProfile!Y167&lt;=0,"",LoadProfile!Y167)</f>
        <v/>
      </c>
      <c r="W90" s="1431" t="str">
        <f>IF(LoadProfile!AA167&lt;=0,"",LoadProfile!AA167)</f>
        <v/>
      </c>
      <c r="X90" s="1431" t="str">
        <f>IF(LoadProfile!AC167&lt;=0,"",LoadProfile!AC167)</f>
        <v/>
      </c>
      <c r="Y90" s="1431" t="str">
        <f>IF(LoadProfile!AE167&lt;=0,"",LoadProfile!AE167)</f>
        <v/>
      </c>
      <c r="Z90" s="1431" t="str">
        <f>IF(LoadProfile!AG167&lt;=0,"",LoadProfile!AG167)</f>
        <v/>
      </c>
      <c r="AA90" s="1566" t="str">
        <f>IF(LoadProfile!AH167&lt;=0,"",LoadProfile!AH167)</f>
        <v/>
      </c>
      <c r="AB90" s="1633"/>
    </row>
    <row r="91" spans="1:28" hidden="1" x14ac:dyDescent="0.2">
      <c r="A91" s="376" t="str">
        <f>LoadProfile!A168</f>
        <v>e</v>
      </c>
      <c r="B91" s="1560" t="str">
        <f>LoadProfile!B168</f>
        <v/>
      </c>
      <c r="C91" s="1436" t="e">
        <f>LoadProfile!C168</f>
        <v>#REF!</v>
      </c>
      <c r="D91" s="1436" t="e">
        <f>SUBSTITUTE(LoadProfile!D168,"**","")</f>
        <v>#REF!</v>
      </c>
      <c r="E91" s="1436" t="e">
        <f>IF(INDEX('Legend(DX)'!$S$11:$S$12,11)=0,"---",INDEX('Legend(DX)'!$S$11:$S$12,11))</f>
        <v>#REF!</v>
      </c>
      <c r="F91" s="1430" t="e">
        <f t="shared" si="3"/>
        <v>#REF!</v>
      </c>
      <c r="G91" s="1436" t="e">
        <f>IF(INDEX('Legend(DX)'!$AD$11:$AD$12,11)=0,"-",INDEX('Legend(DX)'!$AD$11:$AD$12,11))</f>
        <v>#REF!</v>
      </c>
      <c r="H91" s="1430" t="e">
        <f t="shared" si="4"/>
        <v>#REF!</v>
      </c>
      <c r="I91" s="1548"/>
      <c r="J91" s="1442" t="e">
        <f t="shared" si="5"/>
        <v>#REF!</v>
      </c>
      <c r="K91" s="1437">
        <f>LoadProfile!F168</f>
        <v>0</v>
      </c>
      <c r="L91" s="1437">
        <f>LoadProfile!G168</f>
        <v>0</v>
      </c>
      <c r="M91" s="1437">
        <f>LoadProfile!H168</f>
        <v>0</v>
      </c>
      <c r="N91" s="1437" t="str">
        <f>IF(LoadProfile!I168&lt;=0,"--",LoadProfile!I168)</f>
        <v>--</v>
      </c>
      <c r="O91" s="1437">
        <f>LoadProfile!J168</f>
        <v>0</v>
      </c>
      <c r="P91" s="1431" t="str">
        <f>IF(LoadProfile!M168&lt;=0,"",LoadProfile!M168)</f>
        <v/>
      </c>
      <c r="Q91" s="1431" t="str">
        <f>IF(LoadProfile!O168&lt;=0,"",LoadProfile!O168)</f>
        <v/>
      </c>
      <c r="R91" s="1431" t="str">
        <f>IF(LoadProfile!Q168&lt;=0,"",LoadProfile!Q168)</f>
        <v/>
      </c>
      <c r="S91" s="1431" t="str">
        <f>IF(LoadProfile!S168&lt;=0,"",LoadProfile!S168)</f>
        <v/>
      </c>
      <c r="T91" s="1431" t="str">
        <f>IF(LoadProfile!U168&lt;=0,"",LoadProfile!U168)</f>
        <v/>
      </c>
      <c r="U91" s="1431" t="str">
        <f>IF(LoadProfile!W168&lt;=0,"",LoadProfile!W168)</f>
        <v/>
      </c>
      <c r="V91" s="1431" t="str">
        <f>IF(LoadProfile!Y168&lt;=0,"",LoadProfile!Y168)</f>
        <v/>
      </c>
      <c r="W91" s="1431" t="str">
        <f>IF(LoadProfile!AA168&lt;=0,"",LoadProfile!AA168)</f>
        <v/>
      </c>
      <c r="X91" s="1431" t="str">
        <f>IF(LoadProfile!AC168&lt;=0,"",LoadProfile!AC168)</f>
        <v/>
      </c>
      <c r="Y91" s="1431" t="str">
        <f>IF(LoadProfile!AE168&lt;=0,"",LoadProfile!AE168)</f>
        <v/>
      </c>
      <c r="Z91" s="1431" t="str">
        <f>IF(LoadProfile!AG168&lt;=0,"",LoadProfile!AG168)</f>
        <v/>
      </c>
      <c r="AA91" s="1566" t="str">
        <f>IF(LoadProfile!AH168&lt;=0,"",LoadProfile!AH168)</f>
        <v/>
      </c>
      <c r="AB91" s="1633"/>
    </row>
    <row r="92" spans="1:28" hidden="1" x14ac:dyDescent="0.2">
      <c r="A92" s="376" t="str">
        <f>LoadProfile!A169</f>
        <v>e</v>
      </c>
      <c r="B92" s="1560" t="str">
        <f>LoadProfile!B169</f>
        <v/>
      </c>
      <c r="C92" s="1436" t="e">
        <f>LoadProfile!C169</f>
        <v>#REF!</v>
      </c>
      <c r="D92" s="1436" t="e">
        <f>SUBSTITUTE(LoadProfile!D169,"**","")</f>
        <v>#REF!</v>
      </c>
      <c r="E92" s="1436" t="e">
        <f>IF(INDEX('Legend(DX)'!$S$11:$S$12,12)=0,"---",INDEX('Legend(DX)'!$S$11:$S$12,12))</f>
        <v>#REF!</v>
      </c>
      <c r="F92" s="1430" t="e">
        <f t="shared" si="3"/>
        <v>#REF!</v>
      </c>
      <c r="G92" s="1436" t="e">
        <f>IF(INDEX('Legend(DX)'!$AD$11:$AD$12,12)=0,"-",INDEX('Legend(DX)'!$AD$11:$AD$12,12))</f>
        <v>#REF!</v>
      </c>
      <c r="H92" s="1430" t="e">
        <f t="shared" si="4"/>
        <v>#REF!</v>
      </c>
      <c r="I92" s="1548"/>
      <c r="J92" s="1442" t="e">
        <f t="shared" si="5"/>
        <v>#REF!</v>
      </c>
      <c r="K92" s="1437">
        <f>LoadProfile!F169</f>
        <v>0</v>
      </c>
      <c r="L92" s="1437">
        <f>LoadProfile!G169</f>
        <v>0</v>
      </c>
      <c r="M92" s="1437">
        <f>LoadProfile!H169</f>
        <v>0</v>
      </c>
      <c r="N92" s="1437" t="str">
        <f>IF(LoadProfile!I169&lt;=0,"--",LoadProfile!I169)</f>
        <v>--</v>
      </c>
      <c r="O92" s="1437">
        <f>LoadProfile!J169</f>
        <v>0</v>
      </c>
      <c r="P92" s="1431" t="str">
        <f>IF(LoadProfile!M169&lt;=0,"",LoadProfile!M169)</f>
        <v/>
      </c>
      <c r="Q92" s="1431" t="str">
        <f>IF(LoadProfile!O169&lt;=0,"",LoadProfile!O169)</f>
        <v/>
      </c>
      <c r="R92" s="1431" t="str">
        <f>IF(LoadProfile!Q169&lt;=0,"",LoadProfile!Q169)</f>
        <v/>
      </c>
      <c r="S92" s="1431" t="str">
        <f>IF(LoadProfile!S169&lt;=0,"",LoadProfile!S169)</f>
        <v/>
      </c>
      <c r="T92" s="1431" t="str">
        <f>IF(LoadProfile!U169&lt;=0,"",LoadProfile!U169)</f>
        <v/>
      </c>
      <c r="U92" s="1431" t="str">
        <f>IF(LoadProfile!W169&lt;=0,"",LoadProfile!W169)</f>
        <v/>
      </c>
      <c r="V92" s="1431" t="str">
        <f>IF(LoadProfile!Y169&lt;=0,"",LoadProfile!Y169)</f>
        <v/>
      </c>
      <c r="W92" s="1431" t="str">
        <f>IF(LoadProfile!AA169&lt;=0,"",LoadProfile!AA169)</f>
        <v/>
      </c>
      <c r="X92" s="1431" t="str">
        <f>IF(LoadProfile!AC169&lt;=0,"",LoadProfile!AC169)</f>
        <v/>
      </c>
      <c r="Y92" s="1431" t="str">
        <f>IF(LoadProfile!AE169&lt;=0,"",LoadProfile!AE169)</f>
        <v/>
      </c>
      <c r="Z92" s="1431" t="str">
        <f>IF(LoadProfile!AG169&lt;=0,"",LoadProfile!AG169)</f>
        <v/>
      </c>
      <c r="AA92" s="1566" t="str">
        <f>IF(LoadProfile!AH169&lt;=0,"",LoadProfile!AH169)</f>
        <v/>
      </c>
      <c r="AB92" s="1633"/>
    </row>
    <row r="93" spans="1:28" hidden="1" x14ac:dyDescent="0.2">
      <c r="A93" s="376" t="str">
        <f>LoadProfile!A170</f>
        <v>e</v>
      </c>
      <c r="B93" s="1560" t="str">
        <f>LoadProfile!B170</f>
        <v/>
      </c>
      <c r="C93" s="1436" t="e">
        <f>LoadProfile!C170</f>
        <v>#REF!</v>
      </c>
      <c r="D93" s="1436" t="e">
        <f>SUBSTITUTE(LoadProfile!D170,"**","")</f>
        <v>#REF!</v>
      </c>
      <c r="E93" s="1436" t="e">
        <f>IF(INDEX('Legend(DX)'!$S$11:$S$12,13)=0,"---",INDEX('Legend(DX)'!$S$11:$S$12,13))</f>
        <v>#REF!</v>
      </c>
      <c r="F93" s="1430" t="e">
        <f t="shared" si="3"/>
        <v>#REF!</v>
      </c>
      <c r="G93" s="1436" t="e">
        <f>IF(INDEX('Legend(DX)'!$AD$11:$AD$12,13)=0,"-",INDEX('Legend(DX)'!$AD$11:$AD$12,13))</f>
        <v>#REF!</v>
      </c>
      <c r="H93" s="1430" t="e">
        <f t="shared" si="4"/>
        <v>#REF!</v>
      </c>
      <c r="I93" s="1548"/>
      <c r="J93" s="1442" t="e">
        <f t="shared" si="5"/>
        <v>#REF!</v>
      </c>
      <c r="K93" s="1437">
        <f>LoadProfile!F170</f>
        <v>0</v>
      </c>
      <c r="L93" s="1437">
        <f>LoadProfile!G170</f>
        <v>0</v>
      </c>
      <c r="M93" s="1437">
        <f>LoadProfile!H170</f>
        <v>0</v>
      </c>
      <c r="N93" s="1437" t="str">
        <f>IF(LoadProfile!I170&lt;=0,"--",LoadProfile!I170)</f>
        <v>--</v>
      </c>
      <c r="O93" s="1437">
        <f>LoadProfile!J170</f>
        <v>0</v>
      </c>
      <c r="P93" s="1431" t="str">
        <f>IF(LoadProfile!M170&lt;=0,"",LoadProfile!M170)</f>
        <v/>
      </c>
      <c r="Q93" s="1431" t="str">
        <f>IF(LoadProfile!O170&lt;=0,"",LoadProfile!O170)</f>
        <v/>
      </c>
      <c r="R93" s="1431" t="str">
        <f>IF(LoadProfile!Q170&lt;=0,"",LoadProfile!Q170)</f>
        <v/>
      </c>
      <c r="S93" s="1431" t="str">
        <f>IF(LoadProfile!S170&lt;=0,"",LoadProfile!S170)</f>
        <v/>
      </c>
      <c r="T93" s="1431" t="str">
        <f>IF(LoadProfile!U170&lt;=0,"",LoadProfile!U170)</f>
        <v/>
      </c>
      <c r="U93" s="1431" t="str">
        <f>IF(LoadProfile!W170&lt;=0,"",LoadProfile!W170)</f>
        <v/>
      </c>
      <c r="V93" s="1431" t="str">
        <f>IF(LoadProfile!Y170&lt;=0,"",LoadProfile!Y170)</f>
        <v/>
      </c>
      <c r="W93" s="1431" t="str">
        <f>IF(LoadProfile!AA170&lt;=0,"",LoadProfile!AA170)</f>
        <v/>
      </c>
      <c r="X93" s="1431" t="str">
        <f>IF(LoadProfile!AC170&lt;=0,"",LoadProfile!AC170)</f>
        <v/>
      </c>
      <c r="Y93" s="1431" t="str">
        <f>IF(LoadProfile!AE170&lt;=0,"",LoadProfile!AE170)</f>
        <v/>
      </c>
      <c r="Z93" s="1431" t="str">
        <f>IF(LoadProfile!AG170&lt;=0,"",LoadProfile!AG170)</f>
        <v/>
      </c>
      <c r="AA93" s="1566" t="str">
        <f>IF(LoadProfile!AH170&lt;=0,"",LoadProfile!AH170)</f>
        <v/>
      </c>
      <c r="AB93" s="1633"/>
    </row>
    <row r="94" spans="1:28" hidden="1" x14ac:dyDescent="0.2">
      <c r="A94" s="376" t="str">
        <f>LoadProfile!A171</f>
        <v>e</v>
      </c>
      <c r="B94" s="1560" t="str">
        <f>LoadProfile!B171</f>
        <v/>
      </c>
      <c r="C94" s="1436" t="e">
        <f>LoadProfile!C171</f>
        <v>#REF!</v>
      </c>
      <c r="D94" s="1436" t="e">
        <f>SUBSTITUTE(LoadProfile!D171,"**","")</f>
        <v>#REF!</v>
      </c>
      <c r="E94" s="1436" t="e">
        <f>IF(INDEX('Legend(DX)'!$S$11:$S$12,14)=0,"---",INDEX('Legend(DX)'!$S$11:$S$12,14))</f>
        <v>#REF!</v>
      </c>
      <c r="F94" s="1430" t="e">
        <f t="shared" si="3"/>
        <v>#REF!</v>
      </c>
      <c r="G94" s="1436" t="e">
        <f>IF(INDEX('Legend(DX)'!$AD$11:$AD$12,14)=0,"-",INDEX('Legend(DX)'!$AD$11:$AD$12,14))</f>
        <v>#REF!</v>
      </c>
      <c r="H94" s="1430" t="e">
        <f t="shared" si="4"/>
        <v>#REF!</v>
      </c>
      <c r="I94" s="1548"/>
      <c r="J94" s="1442" t="e">
        <f t="shared" si="5"/>
        <v>#REF!</v>
      </c>
      <c r="K94" s="1437">
        <f>LoadProfile!F171</f>
        <v>0</v>
      </c>
      <c r="L94" s="1437">
        <f>LoadProfile!G171</f>
        <v>0</v>
      </c>
      <c r="M94" s="1437">
        <f>LoadProfile!H171</f>
        <v>0</v>
      </c>
      <c r="N94" s="1437" t="str">
        <f>IF(LoadProfile!I171&lt;=0,"--",LoadProfile!I171)</f>
        <v>--</v>
      </c>
      <c r="O94" s="1437">
        <f>LoadProfile!J171</f>
        <v>0</v>
      </c>
      <c r="P94" s="1431" t="str">
        <f>IF(LoadProfile!M171&lt;=0,"",LoadProfile!M171)</f>
        <v/>
      </c>
      <c r="Q94" s="1431" t="str">
        <f>IF(LoadProfile!O171&lt;=0,"",LoadProfile!O171)</f>
        <v/>
      </c>
      <c r="R94" s="1431" t="str">
        <f>IF(LoadProfile!Q171&lt;=0,"",LoadProfile!Q171)</f>
        <v/>
      </c>
      <c r="S94" s="1431" t="str">
        <f>IF(LoadProfile!S171&lt;=0,"",LoadProfile!S171)</f>
        <v/>
      </c>
      <c r="T94" s="1431" t="str">
        <f>IF(LoadProfile!U171&lt;=0,"",LoadProfile!U171)</f>
        <v/>
      </c>
      <c r="U94" s="1431" t="str">
        <f>IF(LoadProfile!W171&lt;=0,"",LoadProfile!W171)</f>
        <v/>
      </c>
      <c r="V94" s="1431" t="str">
        <f>IF(LoadProfile!Y171&lt;=0,"",LoadProfile!Y171)</f>
        <v/>
      </c>
      <c r="W94" s="1431" t="str">
        <f>IF(LoadProfile!AA171&lt;=0,"",LoadProfile!AA171)</f>
        <v/>
      </c>
      <c r="X94" s="1431" t="str">
        <f>IF(LoadProfile!AC171&lt;=0,"",LoadProfile!AC171)</f>
        <v/>
      </c>
      <c r="Y94" s="1431" t="str">
        <f>IF(LoadProfile!AE171&lt;=0,"",LoadProfile!AE171)</f>
        <v/>
      </c>
      <c r="Z94" s="1431" t="str">
        <f>IF(LoadProfile!AG171&lt;=0,"",LoadProfile!AG171)</f>
        <v/>
      </c>
      <c r="AA94" s="1566" t="str">
        <f>IF(LoadProfile!AH171&lt;=0,"",LoadProfile!AH171)</f>
        <v/>
      </c>
      <c r="AB94" s="1633"/>
    </row>
    <row r="95" spans="1:28" hidden="1" x14ac:dyDescent="0.2">
      <c r="A95" s="376" t="str">
        <f>LoadProfile!A172</f>
        <v>e</v>
      </c>
      <c r="B95" s="1560" t="str">
        <f>LoadProfile!B172</f>
        <v/>
      </c>
      <c r="C95" s="1436" t="e">
        <f>LoadProfile!C172</f>
        <v>#REF!</v>
      </c>
      <c r="D95" s="1436" t="e">
        <f>SUBSTITUTE(LoadProfile!D172,"**","")</f>
        <v>#REF!</v>
      </c>
      <c r="E95" s="1436" t="e">
        <f>IF(INDEX('Legend(DX)'!$S$11:$S$12,15)=0,"---",INDEX('Legend(DX)'!$S$11:$S$12,15))</f>
        <v>#REF!</v>
      </c>
      <c r="F95" s="1430" t="e">
        <f t="shared" si="3"/>
        <v>#REF!</v>
      </c>
      <c r="G95" s="1436" t="e">
        <f>IF(INDEX('Legend(DX)'!$AD$11:$AD$12,15)=0,"-",INDEX('Legend(DX)'!$AD$11:$AD$12,15))</f>
        <v>#REF!</v>
      </c>
      <c r="H95" s="1430" t="e">
        <f t="shared" si="4"/>
        <v>#REF!</v>
      </c>
      <c r="I95" s="1548"/>
      <c r="J95" s="1442" t="e">
        <f t="shared" si="5"/>
        <v>#REF!</v>
      </c>
      <c r="K95" s="1437">
        <f>LoadProfile!F172</f>
        <v>0</v>
      </c>
      <c r="L95" s="1437">
        <f>LoadProfile!G172</f>
        <v>0</v>
      </c>
      <c r="M95" s="1437">
        <f>LoadProfile!H172</f>
        <v>0</v>
      </c>
      <c r="N95" s="1437" t="str">
        <f>IF(LoadProfile!I172&lt;=0,"--",LoadProfile!I172)</f>
        <v>--</v>
      </c>
      <c r="O95" s="1437">
        <f>LoadProfile!J172</f>
        <v>0</v>
      </c>
      <c r="P95" s="1431" t="str">
        <f>IF(LoadProfile!M172&lt;=0,"",LoadProfile!M172)</f>
        <v/>
      </c>
      <c r="Q95" s="1431" t="str">
        <f>IF(LoadProfile!O172&lt;=0,"",LoadProfile!O172)</f>
        <v/>
      </c>
      <c r="R95" s="1431" t="str">
        <f>IF(LoadProfile!Q172&lt;=0,"",LoadProfile!Q172)</f>
        <v/>
      </c>
      <c r="S95" s="1431" t="str">
        <f>IF(LoadProfile!S172&lt;=0,"",LoadProfile!S172)</f>
        <v/>
      </c>
      <c r="T95" s="1431" t="str">
        <f>IF(LoadProfile!U172&lt;=0,"",LoadProfile!U172)</f>
        <v/>
      </c>
      <c r="U95" s="1431" t="str">
        <f>IF(LoadProfile!W172&lt;=0,"",LoadProfile!W172)</f>
        <v/>
      </c>
      <c r="V95" s="1431" t="str">
        <f>IF(LoadProfile!Y172&lt;=0,"",LoadProfile!Y172)</f>
        <v/>
      </c>
      <c r="W95" s="1431" t="str">
        <f>IF(LoadProfile!AA172&lt;=0,"",LoadProfile!AA172)</f>
        <v/>
      </c>
      <c r="X95" s="1431" t="str">
        <f>IF(LoadProfile!AC172&lt;=0,"",LoadProfile!AC172)</f>
        <v/>
      </c>
      <c r="Y95" s="1431" t="str">
        <f>IF(LoadProfile!AE172&lt;=0,"",LoadProfile!AE172)</f>
        <v/>
      </c>
      <c r="Z95" s="1431" t="str">
        <f>IF(LoadProfile!AG172&lt;=0,"",LoadProfile!AG172)</f>
        <v/>
      </c>
      <c r="AA95" s="1566" t="str">
        <f>IF(LoadProfile!AH172&lt;=0,"",LoadProfile!AH172)</f>
        <v/>
      </c>
      <c r="AB95" s="1633"/>
    </row>
    <row r="96" spans="1:28" hidden="1" x14ac:dyDescent="0.2">
      <c r="A96" s="376" t="str">
        <f>LoadProfile!A173</f>
        <v>e</v>
      </c>
      <c r="B96" s="1560" t="str">
        <f>LoadProfile!B173</f>
        <v/>
      </c>
      <c r="C96" s="1436" t="e">
        <f>LoadProfile!C173</f>
        <v>#REF!</v>
      </c>
      <c r="D96" s="1436" t="e">
        <f>SUBSTITUTE(LoadProfile!D173,"**","")</f>
        <v>#REF!</v>
      </c>
      <c r="E96" s="1436" t="e">
        <f>IF(INDEX('Legend(DX)'!$S$11:$S$12,16)=0,"---",INDEX('Legend(DX)'!$S$11:$S$12,16))</f>
        <v>#REF!</v>
      </c>
      <c r="F96" s="1430" t="e">
        <f t="shared" si="3"/>
        <v>#REF!</v>
      </c>
      <c r="G96" s="1436" t="e">
        <f>IF(INDEX('Legend(DX)'!$AD$11:$AD$12,16)=0,"-",INDEX('Legend(DX)'!$AD$11:$AD$12,16))</f>
        <v>#REF!</v>
      </c>
      <c r="H96" s="1430" t="e">
        <f t="shared" si="4"/>
        <v>#REF!</v>
      </c>
      <c r="I96" s="1548"/>
      <c r="J96" s="1442" t="e">
        <f t="shared" si="5"/>
        <v>#REF!</v>
      </c>
      <c r="K96" s="1437">
        <f>LoadProfile!F173</f>
        <v>0</v>
      </c>
      <c r="L96" s="1437">
        <f>LoadProfile!G173</f>
        <v>0</v>
      </c>
      <c r="M96" s="1437">
        <f>LoadProfile!H173</f>
        <v>0</v>
      </c>
      <c r="N96" s="1437" t="str">
        <f>IF(LoadProfile!I173&lt;=0,"--",LoadProfile!I173)</f>
        <v>--</v>
      </c>
      <c r="O96" s="1437">
        <f>LoadProfile!J173</f>
        <v>0</v>
      </c>
      <c r="P96" s="1431" t="str">
        <f>IF(LoadProfile!M173&lt;=0,"",LoadProfile!M173)</f>
        <v/>
      </c>
      <c r="Q96" s="1431" t="str">
        <f>IF(LoadProfile!O173&lt;=0,"",LoadProfile!O173)</f>
        <v/>
      </c>
      <c r="R96" s="1431" t="str">
        <f>IF(LoadProfile!Q173&lt;=0,"",LoadProfile!Q173)</f>
        <v/>
      </c>
      <c r="S96" s="1431" t="str">
        <f>IF(LoadProfile!S173&lt;=0,"",LoadProfile!S173)</f>
        <v/>
      </c>
      <c r="T96" s="1431" t="str">
        <f>IF(LoadProfile!U173&lt;=0,"",LoadProfile!U173)</f>
        <v/>
      </c>
      <c r="U96" s="1431" t="str">
        <f>IF(LoadProfile!W173&lt;=0,"",LoadProfile!W173)</f>
        <v/>
      </c>
      <c r="V96" s="1431" t="str">
        <f>IF(LoadProfile!Y173&lt;=0,"",LoadProfile!Y173)</f>
        <v/>
      </c>
      <c r="W96" s="1431" t="str">
        <f>IF(LoadProfile!AA173&lt;=0,"",LoadProfile!AA173)</f>
        <v/>
      </c>
      <c r="X96" s="1431" t="str">
        <f>IF(LoadProfile!AC173&lt;=0,"",LoadProfile!AC173)</f>
        <v/>
      </c>
      <c r="Y96" s="1431" t="str">
        <f>IF(LoadProfile!AE173&lt;=0,"",LoadProfile!AE173)</f>
        <v/>
      </c>
      <c r="Z96" s="1431" t="str">
        <f>IF(LoadProfile!AG173&lt;=0,"",LoadProfile!AG173)</f>
        <v/>
      </c>
      <c r="AA96" s="1566" t="str">
        <f>IF(LoadProfile!AH173&lt;=0,"",LoadProfile!AH173)</f>
        <v/>
      </c>
      <c r="AB96" s="1633"/>
    </row>
    <row r="97" spans="1:28" hidden="1" x14ac:dyDescent="0.2">
      <c r="A97" s="376" t="str">
        <f>LoadProfile!A174</f>
        <v>e</v>
      </c>
      <c r="B97" s="1560" t="str">
        <f>LoadProfile!B174</f>
        <v/>
      </c>
      <c r="C97" s="1436" t="e">
        <f>LoadProfile!C174</f>
        <v>#REF!</v>
      </c>
      <c r="D97" s="1436" t="e">
        <f>SUBSTITUTE(LoadProfile!D174,"**","")</f>
        <v>#REF!</v>
      </c>
      <c r="E97" s="1436" t="e">
        <f>IF(INDEX('Legend(DX)'!$S$11:$S$12,17)=0,"---",INDEX('Legend(DX)'!$S$11:$S$12,17))</f>
        <v>#REF!</v>
      </c>
      <c r="F97" s="1430" t="e">
        <f t="shared" si="3"/>
        <v>#REF!</v>
      </c>
      <c r="G97" s="1436" t="e">
        <f>IF(INDEX('Legend(DX)'!$AD$11:$AD$12,17)=0,"-",INDEX('Legend(DX)'!$AD$11:$AD$12,17))</f>
        <v>#REF!</v>
      </c>
      <c r="H97" s="1430" t="e">
        <f t="shared" si="4"/>
        <v>#REF!</v>
      </c>
      <c r="I97" s="1548"/>
      <c r="J97" s="1442" t="e">
        <f t="shared" si="5"/>
        <v>#REF!</v>
      </c>
      <c r="K97" s="1437">
        <f>LoadProfile!F174</f>
        <v>0</v>
      </c>
      <c r="L97" s="1437">
        <f>LoadProfile!G174</f>
        <v>0</v>
      </c>
      <c r="M97" s="1437">
        <f>LoadProfile!H174</f>
        <v>0</v>
      </c>
      <c r="N97" s="1437" t="str">
        <f>IF(LoadProfile!I174&lt;=0,"--",LoadProfile!I174)</f>
        <v>--</v>
      </c>
      <c r="O97" s="1437">
        <f>LoadProfile!J174</f>
        <v>0</v>
      </c>
      <c r="P97" s="1431" t="str">
        <f>IF(LoadProfile!M174&lt;=0,"",LoadProfile!M174)</f>
        <v/>
      </c>
      <c r="Q97" s="1431" t="str">
        <f>IF(LoadProfile!O174&lt;=0,"",LoadProfile!O174)</f>
        <v/>
      </c>
      <c r="R97" s="1431" t="str">
        <f>IF(LoadProfile!Q174&lt;=0,"",LoadProfile!Q174)</f>
        <v/>
      </c>
      <c r="S97" s="1431" t="str">
        <f>IF(LoadProfile!S174&lt;=0,"",LoadProfile!S174)</f>
        <v/>
      </c>
      <c r="T97" s="1431" t="str">
        <f>IF(LoadProfile!U174&lt;=0,"",LoadProfile!U174)</f>
        <v/>
      </c>
      <c r="U97" s="1431" t="str">
        <f>IF(LoadProfile!W174&lt;=0,"",LoadProfile!W174)</f>
        <v/>
      </c>
      <c r="V97" s="1431" t="str">
        <f>IF(LoadProfile!Y174&lt;=0,"",LoadProfile!Y174)</f>
        <v/>
      </c>
      <c r="W97" s="1431" t="str">
        <f>IF(LoadProfile!AA174&lt;=0,"",LoadProfile!AA174)</f>
        <v/>
      </c>
      <c r="X97" s="1431" t="str">
        <f>IF(LoadProfile!AC174&lt;=0,"",LoadProfile!AC174)</f>
        <v/>
      </c>
      <c r="Y97" s="1431" t="str">
        <f>IF(LoadProfile!AE174&lt;=0,"",LoadProfile!AE174)</f>
        <v/>
      </c>
      <c r="Z97" s="1431" t="str">
        <f>IF(LoadProfile!AG174&lt;=0,"",LoadProfile!AG174)</f>
        <v/>
      </c>
      <c r="AA97" s="1566" t="str">
        <f>IF(LoadProfile!AH174&lt;=0,"",LoadProfile!AH174)</f>
        <v/>
      </c>
      <c r="AB97" s="1633"/>
    </row>
    <row r="98" spans="1:28" hidden="1" x14ac:dyDescent="0.2">
      <c r="A98" s="376" t="str">
        <f>LoadProfile!A175</f>
        <v>e</v>
      </c>
      <c r="B98" s="1560" t="str">
        <f>LoadProfile!B175</f>
        <v/>
      </c>
      <c r="C98" s="1436" t="e">
        <f>LoadProfile!C175</f>
        <v>#REF!</v>
      </c>
      <c r="D98" s="1436" t="e">
        <f>SUBSTITUTE(LoadProfile!D175,"**","")</f>
        <v>#REF!</v>
      </c>
      <c r="E98" s="1436" t="e">
        <f>IF(INDEX('Legend(DX)'!$S$11:$S$12,18)=0,"---",INDEX('Legend(DX)'!$S$11:$S$12,18))</f>
        <v>#REF!</v>
      </c>
      <c r="F98" s="1430" t="e">
        <f t="shared" si="3"/>
        <v>#REF!</v>
      </c>
      <c r="G98" s="1436" t="e">
        <f>IF(INDEX('Legend(DX)'!$AD$11:$AD$12,18)=0,"-",INDEX('Legend(DX)'!$AD$11:$AD$12,18))</f>
        <v>#REF!</v>
      </c>
      <c r="H98" s="1430" t="e">
        <f t="shared" si="4"/>
        <v>#REF!</v>
      </c>
      <c r="I98" s="1548"/>
      <c r="J98" s="1442" t="e">
        <f t="shared" si="5"/>
        <v>#REF!</v>
      </c>
      <c r="K98" s="1437">
        <f>LoadProfile!F175</f>
        <v>0</v>
      </c>
      <c r="L98" s="1437">
        <f>LoadProfile!G175</f>
        <v>0</v>
      </c>
      <c r="M98" s="1437">
        <f>LoadProfile!H175</f>
        <v>0</v>
      </c>
      <c r="N98" s="1437" t="str">
        <f>IF(LoadProfile!I175&lt;=0,"--",LoadProfile!I175)</f>
        <v>--</v>
      </c>
      <c r="O98" s="1437">
        <f>LoadProfile!J175</f>
        <v>0</v>
      </c>
      <c r="P98" s="1431" t="str">
        <f>IF(LoadProfile!M175&lt;=0,"",LoadProfile!M175)</f>
        <v/>
      </c>
      <c r="Q98" s="1431" t="str">
        <f>IF(LoadProfile!O175&lt;=0,"",LoadProfile!O175)</f>
        <v/>
      </c>
      <c r="R98" s="1431" t="str">
        <f>IF(LoadProfile!Q175&lt;=0,"",LoadProfile!Q175)</f>
        <v/>
      </c>
      <c r="S98" s="1431" t="str">
        <f>IF(LoadProfile!S175&lt;=0,"",LoadProfile!S175)</f>
        <v/>
      </c>
      <c r="T98" s="1431" t="str">
        <f>IF(LoadProfile!U175&lt;=0,"",LoadProfile!U175)</f>
        <v/>
      </c>
      <c r="U98" s="1431" t="str">
        <f>IF(LoadProfile!W175&lt;=0,"",LoadProfile!W175)</f>
        <v/>
      </c>
      <c r="V98" s="1431" t="str">
        <f>IF(LoadProfile!Y175&lt;=0,"",LoadProfile!Y175)</f>
        <v/>
      </c>
      <c r="W98" s="1431" t="str">
        <f>IF(LoadProfile!AA175&lt;=0,"",LoadProfile!AA175)</f>
        <v/>
      </c>
      <c r="X98" s="1431" t="str">
        <f>IF(LoadProfile!AC175&lt;=0,"",LoadProfile!AC175)</f>
        <v/>
      </c>
      <c r="Y98" s="1431" t="str">
        <f>IF(LoadProfile!AE175&lt;=0,"",LoadProfile!AE175)</f>
        <v/>
      </c>
      <c r="Z98" s="1431" t="str">
        <f>IF(LoadProfile!AG175&lt;=0,"",LoadProfile!AG175)</f>
        <v/>
      </c>
      <c r="AA98" s="1566" t="str">
        <f>IF(LoadProfile!AH175&lt;=0,"",LoadProfile!AH175)</f>
        <v/>
      </c>
      <c r="AB98" s="1633"/>
    </row>
    <row r="99" spans="1:28" hidden="1" x14ac:dyDescent="0.2">
      <c r="A99" s="376" t="str">
        <f>LoadProfile!A176</f>
        <v>e</v>
      </c>
      <c r="B99" s="1560" t="str">
        <f>LoadProfile!B176</f>
        <v/>
      </c>
      <c r="C99" s="1436" t="e">
        <f>LoadProfile!C176</f>
        <v>#REF!</v>
      </c>
      <c r="D99" s="1436" t="e">
        <f>SUBSTITUTE(LoadProfile!D176,"**","")</f>
        <v>#REF!</v>
      </c>
      <c r="E99" s="1436" t="e">
        <f>IF(INDEX('Legend(DX)'!$S$11:$S$12,19)=0,"---",INDEX('Legend(DX)'!$S$11:$S$12,19))</f>
        <v>#REF!</v>
      </c>
      <c r="F99" s="1430" t="e">
        <f t="shared" si="3"/>
        <v>#REF!</v>
      </c>
      <c r="G99" s="1436" t="e">
        <f>IF(INDEX('Legend(DX)'!$AD$11:$AD$12,19)=0,"-",INDEX('Legend(DX)'!$AD$11:$AD$12,19))</f>
        <v>#REF!</v>
      </c>
      <c r="H99" s="1430" t="e">
        <f t="shared" si="4"/>
        <v>#REF!</v>
      </c>
      <c r="I99" s="1548"/>
      <c r="J99" s="1442" t="e">
        <f t="shared" si="5"/>
        <v>#REF!</v>
      </c>
      <c r="K99" s="1437">
        <f>LoadProfile!F176</f>
        <v>0</v>
      </c>
      <c r="L99" s="1437">
        <f>LoadProfile!G176</f>
        <v>0</v>
      </c>
      <c r="M99" s="1437">
        <f>LoadProfile!H176</f>
        <v>0</v>
      </c>
      <c r="N99" s="1437" t="str">
        <f>IF(LoadProfile!I176&lt;=0,"--",LoadProfile!I176)</f>
        <v>--</v>
      </c>
      <c r="O99" s="1437">
        <f>LoadProfile!J176</f>
        <v>0</v>
      </c>
      <c r="P99" s="1431" t="str">
        <f>IF(LoadProfile!M176&lt;=0,"",LoadProfile!M176)</f>
        <v/>
      </c>
      <c r="Q99" s="1431" t="str">
        <f>IF(LoadProfile!O176&lt;=0,"",LoadProfile!O176)</f>
        <v/>
      </c>
      <c r="R99" s="1431" t="str">
        <f>IF(LoadProfile!Q176&lt;=0,"",LoadProfile!Q176)</f>
        <v/>
      </c>
      <c r="S99" s="1431" t="str">
        <f>IF(LoadProfile!S176&lt;=0,"",LoadProfile!S176)</f>
        <v/>
      </c>
      <c r="T99" s="1431" t="str">
        <f>IF(LoadProfile!U176&lt;=0,"",LoadProfile!U176)</f>
        <v/>
      </c>
      <c r="U99" s="1431" t="str">
        <f>IF(LoadProfile!W176&lt;=0,"",LoadProfile!W176)</f>
        <v/>
      </c>
      <c r="V99" s="1431" t="str">
        <f>IF(LoadProfile!Y176&lt;=0,"",LoadProfile!Y176)</f>
        <v/>
      </c>
      <c r="W99" s="1431" t="str">
        <f>IF(LoadProfile!AA176&lt;=0,"",LoadProfile!AA176)</f>
        <v/>
      </c>
      <c r="X99" s="1431" t="str">
        <f>IF(LoadProfile!AC176&lt;=0,"",LoadProfile!AC176)</f>
        <v/>
      </c>
      <c r="Y99" s="1431" t="str">
        <f>IF(LoadProfile!AE176&lt;=0,"",LoadProfile!AE176)</f>
        <v/>
      </c>
      <c r="Z99" s="1431" t="str">
        <f>IF(LoadProfile!AG176&lt;=0,"",LoadProfile!AG176)</f>
        <v/>
      </c>
      <c r="AA99" s="1566" t="str">
        <f>IF(LoadProfile!AH176&lt;=0,"",LoadProfile!AH176)</f>
        <v/>
      </c>
      <c r="AB99" s="1633"/>
    </row>
    <row r="100" spans="1:28" hidden="1" x14ac:dyDescent="0.2">
      <c r="A100" s="376" t="str">
        <f>LoadProfile!A177</f>
        <v>e</v>
      </c>
      <c r="B100" s="1560" t="str">
        <f>LoadProfile!B177</f>
        <v/>
      </c>
      <c r="C100" s="1436" t="e">
        <f>LoadProfile!C177</f>
        <v>#REF!</v>
      </c>
      <c r="D100" s="1436" t="e">
        <f>SUBSTITUTE(LoadProfile!D177,"**","")</f>
        <v>#REF!</v>
      </c>
      <c r="E100" s="1436" t="e">
        <f>IF(INDEX('Legend(DX)'!$S$11:$S$12,20)=0,"---",INDEX('Legend(DX)'!$S$11:$S$12,20))</f>
        <v>#REF!</v>
      </c>
      <c r="F100" s="1430" t="e">
        <f t="shared" si="3"/>
        <v>#REF!</v>
      </c>
      <c r="G100" s="1436" t="e">
        <f>IF(INDEX('Legend(DX)'!$AD$11:$AD$12,20)=0,"-",INDEX('Legend(DX)'!$AD$11:$AD$12,20))</f>
        <v>#REF!</v>
      </c>
      <c r="H100" s="1430" t="e">
        <f t="shared" si="4"/>
        <v>#REF!</v>
      </c>
      <c r="I100" s="1548"/>
      <c r="J100" s="1442" t="e">
        <f t="shared" si="5"/>
        <v>#REF!</v>
      </c>
      <c r="K100" s="1437">
        <f>LoadProfile!F177</f>
        <v>0</v>
      </c>
      <c r="L100" s="1437">
        <f>LoadProfile!G177</f>
        <v>0</v>
      </c>
      <c r="M100" s="1437">
        <f>LoadProfile!H177</f>
        <v>0</v>
      </c>
      <c r="N100" s="1437" t="str">
        <f>IF(LoadProfile!I177&lt;=0,"--",LoadProfile!I177)</f>
        <v>--</v>
      </c>
      <c r="O100" s="1437">
        <f>LoadProfile!J177</f>
        <v>0</v>
      </c>
      <c r="P100" s="1431" t="str">
        <f>IF(LoadProfile!M177&lt;=0,"",LoadProfile!M177)</f>
        <v/>
      </c>
      <c r="Q100" s="1431" t="str">
        <f>IF(LoadProfile!O177&lt;=0,"",LoadProfile!O177)</f>
        <v/>
      </c>
      <c r="R100" s="1431" t="str">
        <f>IF(LoadProfile!Q177&lt;=0,"",LoadProfile!Q177)</f>
        <v/>
      </c>
      <c r="S100" s="1431" t="str">
        <f>IF(LoadProfile!S177&lt;=0,"",LoadProfile!S177)</f>
        <v/>
      </c>
      <c r="T100" s="1431" t="str">
        <f>IF(LoadProfile!U177&lt;=0,"",LoadProfile!U177)</f>
        <v/>
      </c>
      <c r="U100" s="1431" t="str">
        <f>IF(LoadProfile!W177&lt;=0,"",LoadProfile!W177)</f>
        <v/>
      </c>
      <c r="V100" s="1431" t="str">
        <f>IF(LoadProfile!Y177&lt;=0,"",LoadProfile!Y177)</f>
        <v/>
      </c>
      <c r="W100" s="1431" t="str">
        <f>IF(LoadProfile!AA177&lt;=0,"",LoadProfile!AA177)</f>
        <v/>
      </c>
      <c r="X100" s="1431" t="str">
        <f>IF(LoadProfile!AC177&lt;=0,"",LoadProfile!AC177)</f>
        <v/>
      </c>
      <c r="Y100" s="1431" t="str">
        <f>IF(LoadProfile!AE177&lt;=0,"",LoadProfile!AE177)</f>
        <v/>
      </c>
      <c r="Z100" s="1431" t="str">
        <f>IF(LoadProfile!AG177&lt;=0,"",LoadProfile!AG177)</f>
        <v/>
      </c>
      <c r="AA100" s="1566" t="str">
        <f>IF(LoadProfile!AH177&lt;=0,"",LoadProfile!AH177)</f>
        <v/>
      </c>
      <c r="AB100" s="1633"/>
    </row>
    <row r="101" spans="1:28" hidden="1" x14ac:dyDescent="0.2">
      <c r="A101" s="376" t="str">
        <f>LoadProfile!A178</f>
        <v>e</v>
      </c>
      <c r="B101" s="1560" t="str">
        <f>LoadProfile!B178</f>
        <v/>
      </c>
      <c r="C101" s="1436" t="e">
        <f>LoadProfile!C178</f>
        <v>#REF!</v>
      </c>
      <c r="D101" s="1436" t="e">
        <f>SUBSTITUTE(LoadProfile!D178,"**","")</f>
        <v>#REF!</v>
      </c>
      <c r="E101" s="1436" t="e">
        <f>IF(INDEX('Legend(DX)'!$S$11:$S$12,21)=0,"---",INDEX('Legend(DX)'!$S$11:$S$12,21))</f>
        <v>#REF!</v>
      </c>
      <c r="F101" s="1430" t="e">
        <f t="shared" si="3"/>
        <v>#REF!</v>
      </c>
      <c r="G101" s="1436" t="e">
        <f>IF(INDEX('Legend(DX)'!$AD$11:$AD$12,21)=0,"-",INDEX('Legend(DX)'!$AD$11:$AD$12,21))</f>
        <v>#REF!</v>
      </c>
      <c r="H101" s="1430" t="e">
        <f t="shared" si="4"/>
        <v>#REF!</v>
      </c>
      <c r="I101" s="1548"/>
      <c r="J101" s="1442" t="e">
        <f t="shared" si="5"/>
        <v>#REF!</v>
      </c>
      <c r="K101" s="1437">
        <f>LoadProfile!F178</f>
        <v>0</v>
      </c>
      <c r="L101" s="1437">
        <f>LoadProfile!G178</f>
        <v>0</v>
      </c>
      <c r="M101" s="1437">
        <f>LoadProfile!H178</f>
        <v>0</v>
      </c>
      <c r="N101" s="1437" t="str">
        <f>IF(LoadProfile!I178&lt;=0,"--",LoadProfile!I178)</f>
        <v>--</v>
      </c>
      <c r="O101" s="1437">
        <f>LoadProfile!J178</f>
        <v>0</v>
      </c>
      <c r="P101" s="1431" t="str">
        <f>IF(LoadProfile!M178&lt;=0,"",LoadProfile!M178)</f>
        <v/>
      </c>
      <c r="Q101" s="1431" t="str">
        <f>IF(LoadProfile!O178&lt;=0,"",LoadProfile!O178)</f>
        <v/>
      </c>
      <c r="R101" s="1431" t="str">
        <f>IF(LoadProfile!Q178&lt;=0,"",LoadProfile!Q178)</f>
        <v/>
      </c>
      <c r="S101" s="1431" t="str">
        <f>IF(LoadProfile!S178&lt;=0,"",LoadProfile!S178)</f>
        <v/>
      </c>
      <c r="T101" s="1431" t="str">
        <f>IF(LoadProfile!U178&lt;=0,"",LoadProfile!U178)</f>
        <v/>
      </c>
      <c r="U101" s="1431" t="str">
        <f>IF(LoadProfile!W178&lt;=0,"",LoadProfile!W178)</f>
        <v/>
      </c>
      <c r="V101" s="1431" t="str">
        <f>IF(LoadProfile!Y178&lt;=0,"",LoadProfile!Y178)</f>
        <v/>
      </c>
      <c r="W101" s="1431" t="str">
        <f>IF(LoadProfile!AA178&lt;=0,"",LoadProfile!AA178)</f>
        <v/>
      </c>
      <c r="X101" s="1431" t="str">
        <f>IF(LoadProfile!AC178&lt;=0,"",LoadProfile!AC178)</f>
        <v/>
      </c>
      <c r="Y101" s="1431" t="str">
        <f>IF(LoadProfile!AE178&lt;=0,"",LoadProfile!AE178)</f>
        <v/>
      </c>
      <c r="Z101" s="1431" t="str">
        <f>IF(LoadProfile!AG178&lt;=0,"",LoadProfile!AG178)</f>
        <v/>
      </c>
      <c r="AA101" s="1566" t="str">
        <f>IF(LoadProfile!AH178&lt;=0,"",LoadProfile!AH178)</f>
        <v/>
      </c>
      <c r="AB101" s="1633"/>
    </row>
    <row r="102" spans="1:28" hidden="1" x14ac:dyDescent="0.2">
      <c r="A102" s="376" t="str">
        <f>LoadProfile!A179</f>
        <v>e</v>
      </c>
      <c r="B102" s="1560" t="str">
        <f>LoadProfile!B179</f>
        <v/>
      </c>
      <c r="C102" s="1436" t="e">
        <f>LoadProfile!C179</f>
        <v>#REF!</v>
      </c>
      <c r="D102" s="1436" t="e">
        <f>SUBSTITUTE(LoadProfile!D179,"**","")</f>
        <v>#REF!</v>
      </c>
      <c r="E102" s="1436" t="e">
        <f>IF(INDEX('Legend(DX)'!$S$11:$S$12,22)=0,"---",INDEX('Legend(DX)'!$S$11:$S$12,22))</f>
        <v>#REF!</v>
      </c>
      <c r="F102" s="1430" t="e">
        <f t="shared" si="3"/>
        <v>#REF!</v>
      </c>
      <c r="G102" s="1436" t="e">
        <f>IF(INDEX('Legend(DX)'!$AD$11:$AD$12,22)=0,"-",INDEX('Legend(DX)'!$AD$11:$AD$12,22))</f>
        <v>#REF!</v>
      </c>
      <c r="H102" s="1430" t="e">
        <f t="shared" si="4"/>
        <v>#REF!</v>
      </c>
      <c r="I102" s="1548"/>
      <c r="J102" s="1442" t="e">
        <f t="shared" si="5"/>
        <v>#REF!</v>
      </c>
      <c r="K102" s="1437">
        <f>LoadProfile!F179</f>
        <v>0</v>
      </c>
      <c r="L102" s="1437">
        <f>LoadProfile!G179</f>
        <v>0</v>
      </c>
      <c r="M102" s="1437">
        <f>LoadProfile!H179</f>
        <v>0</v>
      </c>
      <c r="N102" s="1437" t="str">
        <f>IF(LoadProfile!I179&lt;=0,"--",LoadProfile!I179)</f>
        <v>--</v>
      </c>
      <c r="O102" s="1437">
        <f>LoadProfile!J179</f>
        <v>0</v>
      </c>
      <c r="P102" s="1431" t="str">
        <f>IF(LoadProfile!M179&lt;=0,"",LoadProfile!M179)</f>
        <v/>
      </c>
      <c r="Q102" s="1431" t="str">
        <f>IF(LoadProfile!O179&lt;=0,"",LoadProfile!O179)</f>
        <v/>
      </c>
      <c r="R102" s="1431" t="str">
        <f>IF(LoadProfile!Q179&lt;=0,"",LoadProfile!Q179)</f>
        <v/>
      </c>
      <c r="S102" s="1431" t="str">
        <f>IF(LoadProfile!S179&lt;=0,"",LoadProfile!S179)</f>
        <v/>
      </c>
      <c r="T102" s="1431" t="str">
        <f>IF(LoadProfile!U179&lt;=0,"",LoadProfile!U179)</f>
        <v/>
      </c>
      <c r="U102" s="1431" t="str">
        <f>IF(LoadProfile!W179&lt;=0,"",LoadProfile!W179)</f>
        <v/>
      </c>
      <c r="V102" s="1431" t="str">
        <f>IF(LoadProfile!Y179&lt;=0,"",LoadProfile!Y179)</f>
        <v/>
      </c>
      <c r="W102" s="1431" t="str">
        <f>IF(LoadProfile!AA179&lt;=0,"",LoadProfile!AA179)</f>
        <v/>
      </c>
      <c r="X102" s="1431" t="str">
        <f>IF(LoadProfile!AC179&lt;=0,"",LoadProfile!AC179)</f>
        <v/>
      </c>
      <c r="Y102" s="1431" t="str">
        <f>IF(LoadProfile!AE179&lt;=0,"",LoadProfile!AE179)</f>
        <v/>
      </c>
      <c r="Z102" s="1431" t="str">
        <f>IF(LoadProfile!AG179&lt;=0,"",LoadProfile!AG179)</f>
        <v/>
      </c>
      <c r="AA102" s="1566" t="str">
        <f>IF(LoadProfile!AH179&lt;=0,"",LoadProfile!AH179)</f>
        <v/>
      </c>
      <c r="AB102" s="1633"/>
    </row>
    <row r="103" spans="1:28" hidden="1" x14ac:dyDescent="0.2">
      <c r="A103" s="376" t="str">
        <f>LoadProfile!A180</f>
        <v>e</v>
      </c>
      <c r="B103" s="1560" t="str">
        <f>LoadProfile!B180</f>
        <v/>
      </c>
      <c r="C103" s="1436" t="e">
        <f>LoadProfile!C180</f>
        <v>#REF!</v>
      </c>
      <c r="D103" s="1436" t="e">
        <f>SUBSTITUTE(LoadProfile!D180,"**","")</f>
        <v>#REF!</v>
      </c>
      <c r="E103" s="1436" t="e">
        <f>IF(INDEX('Legend(DX)'!$S$11:$S$12,23)=0,"---",INDEX('Legend(DX)'!$S$11:$S$12,23))</f>
        <v>#REF!</v>
      </c>
      <c r="F103" s="1430" t="e">
        <f t="shared" si="3"/>
        <v>#REF!</v>
      </c>
      <c r="G103" s="1436" t="e">
        <f>IF(INDEX('Legend(DX)'!$AD$11:$AD$12,23)=0,"-",INDEX('Legend(DX)'!$AD$11:$AD$12,23))</f>
        <v>#REF!</v>
      </c>
      <c r="H103" s="1430" t="e">
        <f t="shared" si="4"/>
        <v>#REF!</v>
      </c>
      <c r="I103" s="1548"/>
      <c r="J103" s="1442" t="e">
        <f t="shared" si="5"/>
        <v>#REF!</v>
      </c>
      <c r="K103" s="1437">
        <f>LoadProfile!F180</f>
        <v>0</v>
      </c>
      <c r="L103" s="1437">
        <f>LoadProfile!G180</f>
        <v>0</v>
      </c>
      <c r="M103" s="1437">
        <f>LoadProfile!H180</f>
        <v>0</v>
      </c>
      <c r="N103" s="1437" t="str">
        <f>IF(LoadProfile!I180&lt;=0,"--",LoadProfile!I180)</f>
        <v>--</v>
      </c>
      <c r="O103" s="1437">
        <f>LoadProfile!J180</f>
        <v>0</v>
      </c>
      <c r="P103" s="1431" t="str">
        <f>IF(LoadProfile!M180&lt;=0,"",LoadProfile!M180)</f>
        <v/>
      </c>
      <c r="Q103" s="1431" t="str">
        <f>IF(LoadProfile!O180&lt;=0,"",LoadProfile!O180)</f>
        <v/>
      </c>
      <c r="R103" s="1431" t="str">
        <f>IF(LoadProfile!Q180&lt;=0,"",LoadProfile!Q180)</f>
        <v/>
      </c>
      <c r="S103" s="1431" t="str">
        <f>IF(LoadProfile!S180&lt;=0,"",LoadProfile!S180)</f>
        <v/>
      </c>
      <c r="T103" s="1431" t="str">
        <f>IF(LoadProfile!U180&lt;=0,"",LoadProfile!U180)</f>
        <v/>
      </c>
      <c r="U103" s="1431" t="str">
        <f>IF(LoadProfile!W180&lt;=0,"",LoadProfile!W180)</f>
        <v/>
      </c>
      <c r="V103" s="1431" t="str">
        <f>IF(LoadProfile!Y180&lt;=0,"",LoadProfile!Y180)</f>
        <v/>
      </c>
      <c r="W103" s="1431" t="str">
        <f>IF(LoadProfile!AA180&lt;=0,"",LoadProfile!AA180)</f>
        <v/>
      </c>
      <c r="X103" s="1431" t="str">
        <f>IF(LoadProfile!AC180&lt;=0,"",LoadProfile!AC180)</f>
        <v/>
      </c>
      <c r="Y103" s="1431" t="str">
        <f>IF(LoadProfile!AE180&lt;=0,"",LoadProfile!AE180)</f>
        <v/>
      </c>
      <c r="Z103" s="1431" t="str">
        <f>IF(LoadProfile!AG180&lt;=0,"",LoadProfile!AG180)</f>
        <v/>
      </c>
      <c r="AA103" s="1566" t="str">
        <f>IF(LoadProfile!AH180&lt;=0,"",LoadProfile!AH180)</f>
        <v/>
      </c>
      <c r="AB103" s="1633"/>
    </row>
    <row r="104" spans="1:28" hidden="1" x14ac:dyDescent="0.2">
      <c r="A104" s="376" t="str">
        <f>LoadProfile!A181</f>
        <v>e</v>
      </c>
      <c r="B104" s="1560" t="str">
        <f>LoadProfile!B181</f>
        <v/>
      </c>
      <c r="C104" s="1436" t="e">
        <f>LoadProfile!C181</f>
        <v>#REF!</v>
      </c>
      <c r="D104" s="1436" t="e">
        <f>SUBSTITUTE(LoadProfile!D181,"**","")</f>
        <v>#REF!</v>
      </c>
      <c r="E104" s="1436" t="e">
        <f>IF(INDEX('Legend(DX)'!$S$11:$S$12,24)=0,"---",INDEX('Legend(DX)'!$S$11:$S$12,24))</f>
        <v>#REF!</v>
      </c>
      <c r="F104" s="1430" t="e">
        <f t="shared" si="3"/>
        <v>#REF!</v>
      </c>
      <c r="G104" s="1436" t="e">
        <f>IF(INDEX('Legend(DX)'!$AD$11:$AD$12,24)=0,"-",INDEX('Legend(DX)'!$AD$11:$AD$12,24))</f>
        <v>#REF!</v>
      </c>
      <c r="H104" s="1430" t="e">
        <f t="shared" si="4"/>
        <v>#REF!</v>
      </c>
      <c r="I104" s="1548"/>
      <c r="J104" s="1442" t="e">
        <f t="shared" si="5"/>
        <v>#REF!</v>
      </c>
      <c r="K104" s="1437">
        <f>LoadProfile!F181</f>
        <v>0</v>
      </c>
      <c r="L104" s="1437">
        <f>LoadProfile!G181</f>
        <v>0</v>
      </c>
      <c r="M104" s="1437">
        <f>LoadProfile!H181</f>
        <v>0</v>
      </c>
      <c r="N104" s="1437" t="str">
        <f>IF(LoadProfile!I181&lt;=0,"--",LoadProfile!I181)</f>
        <v>--</v>
      </c>
      <c r="O104" s="1437">
        <f>LoadProfile!J181</f>
        <v>0</v>
      </c>
      <c r="P104" s="1431" t="str">
        <f>IF(LoadProfile!M181&lt;=0,"",LoadProfile!M181)</f>
        <v/>
      </c>
      <c r="Q104" s="1431" t="str">
        <f>IF(LoadProfile!O181&lt;=0,"",LoadProfile!O181)</f>
        <v/>
      </c>
      <c r="R104" s="1431" t="str">
        <f>IF(LoadProfile!Q181&lt;=0,"",LoadProfile!Q181)</f>
        <v/>
      </c>
      <c r="S104" s="1431" t="str">
        <f>IF(LoadProfile!S181&lt;=0,"",LoadProfile!S181)</f>
        <v/>
      </c>
      <c r="T104" s="1431" t="str">
        <f>IF(LoadProfile!U181&lt;=0,"",LoadProfile!U181)</f>
        <v/>
      </c>
      <c r="U104" s="1431" t="str">
        <f>IF(LoadProfile!W181&lt;=0,"",LoadProfile!W181)</f>
        <v/>
      </c>
      <c r="V104" s="1431" t="str">
        <f>IF(LoadProfile!Y181&lt;=0,"",LoadProfile!Y181)</f>
        <v/>
      </c>
      <c r="W104" s="1431" t="str">
        <f>IF(LoadProfile!AA181&lt;=0,"",LoadProfile!AA181)</f>
        <v/>
      </c>
      <c r="X104" s="1431" t="str">
        <f>IF(LoadProfile!AC181&lt;=0,"",LoadProfile!AC181)</f>
        <v/>
      </c>
      <c r="Y104" s="1431" t="str">
        <f>IF(LoadProfile!AE181&lt;=0,"",LoadProfile!AE181)</f>
        <v/>
      </c>
      <c r="Z104" s="1431" t="str">
        <f>IF(LoadProfile!AG181&lt;=0,"",LoadProfile!AG181)</f>
        <v/>
      </c>
      <c r="AA104" s="1566" t="str">
        <f>IF(LoadProfile!AH181&lt;=0,"",LoadProfile!AH181)</f>
        <v/>
      </c>
      <c r="AB104" s="1633"/>
    </row>
    <row r="105" spans="1:28" hidden="1" x14ac:dyDescent="0.2">
      <c r="A105" s="376" t="str">
        <f>LoadProfile!A182</f>
        <v>e</v>
      </c>
      <c r="B105" s="1560" t="str">
        <f>LoadProfile!B182</f>
        <v/>
      </c>
      <c r="C105" s="1436" t="e">
        <f>LoadProfile!C182</f>
        <v>#REF!</v>
      </c>
      <c r="D105" s="1436" t="e">
        <f>SUBSTITUTE(LoadProfile!D182,"**","")</f>
        <v>#REF!</v>
      </c>
      <c r="E105" s="1436" t="e">
        <f>IF(INDEX('Legend(DX)'!$S$11:$S$12,25)=0,"---",INDEX('Legend(DX)'!$S$11:$S$12,25))</f>
        <v>#REF!</v>
      </c>
      <c r="F105" s="1430" t="e">
        <f t="shared" si="3"/>
        <v>#REF!</v>
      </c>
      <c r="G105" s="1436" t="e">
        <f>IF(INDEX('Legend(DX)'!$AD$11:$AD$12,25)=0,"-",INDEX('Legend(DX)'!$AD$11:$AD$12,25))</f>
        <v>#REF!</v>
      </c>
      <c r="H105" s="1430" t="e">
        <f t="shared" si="4"/>
        <v>#REF!</v>
      </c>
      <c r="I105" s="1548"/>
      <c r="J105" s="1442" t="e">
        <f t="shared" si="5"/>
        <v>#REF!</v>
      </c>
      <c r="K105" s="1437">
        <f>LoadProfile!F182</f>
        <v>0</v>
      </c>
      <c r="L105" s="1437">
        <f>LoadProfile!G182</f>
        <v>0</v>
      </c>
      <c r="M105" s="1437">
        <f>LoadProfile!H182</f>
        <v>0</v>
      </c>
      <c r="N105" s="1437" t="str">
        <f>IF(LoadProfile!I182&lt;=0,"--",LoadProfile!I182)</f>
        <v>--</v>
      </c>
      <c r="O105" s="1437">
        <f>LoadProfile!J182</f>
        <v>0</v>
      </c>
      <c r="P105" s="1431" t="str">
        <f>IF(LoadProfile!M182&lt;=0,"",LoadProfile!M182)</f>
        <v/>
      </c>
      <c r="Q105" s="1431" t="str">
        <f>IF(LoadProfile!O182&lt;=0,"",LoadProfile!O182)</f>
        <v/>
      </c>
      <c r="R105" s="1431" t="str">
        <f>IF(LoadProfile!Q182&lt;=0,"",LoadProfile!Q182)</f>
        <v/>
      </c>
      <c r="S105" s="1431" t="str">
        <f>IF(LoadProfile!S182&lt;=0,"",LoadProfile!S182)</f>
        <v/>
      </c>
      <c r="T105" s="1431" t="str">
        <f>IF(LoadProfile!U182&lt;=0,"",LoadProfile!U182)</f>
        <v/>
      </c>
      <c r="U105" s="1431" t="str">
        <f>IF(LoadProfile!W182&lt;=0,"",LoadProfile!W182)</f>
        <v/>
      </c>
      <c r="V105" s="1431" t="str">
        <f>IF(LoadProfile!Y182&lt;=0,"",LoadProfile!Y182)</f>
        <v/>
      </c>
      <c r="W105" s="1431" t="str">
        <f>IF(LoadProfile!AA182&lt;=0,"",LoadProfile!AA182)</f>
        <v/>
      </c>
      <c r="X105" s="1431" t="str">
        <f>IF(LoadProfile!AC182&lt;=0,"",LoadProfile!AC182)</f>
        <v/>
      </c>
      <c r="Y105" s="1431" t="str">
        <f>IF(LoadProfile!AE182&lt;=0,"",LoadProfile!AE182)</f>
        <v/>
      </c>
      <c r="Z105" s="1431" t="str">
        <f>IF(LoadProfile!AG182&lt;=0,"",LoadProfile!AG182)</f>
        <v/>
      </c>
      <c r="AA105" s="1566" t="str">
        <f>IF(LoadProfile!AH182&lt;=0,"",LoadProfile!AH182)</f>
        <v/>
      </c>
      <c r="AB105" s="1633"/>
    </row>
    <row r="106" spans="1:28" hidden="1" x14ac:dyDescent="0.2">
      <c r="A106" s="376" t="str">
        <f>LoadProfile!A183</f>
        <v>e</v>
      </c>
      <c r="B106" s="1560" t="str">
        <f>LoadProfile!B183</f>
        <v/>
      </c>
      <c r="C106" s="1436" t="e">
        <f>LoadProfile!C183</f>
        <v>#REF!</v>
      </c>
      <c r="D106" s="1436" t="e">
        <f>SUBSTITUTE(LoadProfile!D183,"**","")</f>
        <v>#REF!</v>
      </c>
      <c r="E106" s="1436" t="e">
        <f>IF(INDEX('Legend(DX)'!$S$11:$S$12,26)=0,"---",INDEX('Legend(DX)'!$S$11:$S$12,26))</f>
        <v>#REF!</v>
      </c>
      <c r="F106" s="1430" t="e">
        <f t="shared" si="3"/>
        <v>#REF!</v>
      </c>
      <c r="G106" s="1436" t="e">
        <f>IF(INDEX('Legend(DX)'!$AD$11:$AD$12,26)=0,"-",INDEX('Legend(DX)'!$AD$11:$AD$12,26))</f>
        <v>#REF!</v>
      </c>
      <c r="H106" s="1430" t="e">
        <f t="shared" si="4"/>
        <v>#REF!</v>
      </c>
      <c r="I106" s="1548"/>
      <c r="J106" s="1442" t="e">
        <f t="shared" si="5"/>
        <v>#REF!</v>
      </c>
      <c r="K106" s="1437">
        <f>LoadProfile!F183</f>
        <v>0</v>
      </c>
      <c r="L106" s="1437">
        <f>LoadProfile!G183</f>
        <v>0</v>
      </c>
      <c r="M106" s="1437">
        <f>LoadProfile!H183</f>
        <v>0</v>
      </c>
      <c r="N106" s="1437" t="str">
        <f>IF(LoadProfile!I183&lt;=0,"--",LoadProfile!I183)</f>
        <v>--</v>
      </c>
      <c r="O106" s="1437">
        <f>LoadProfile!J183</f>
        <v>0</v>
      </c>
      <c r="P106" s="1431" t="str">
        <f>IF(LoadProfile!M183&lt;=0,"",LoadProfile!M183)</f>
        <v/>
      </c>
      <c r="Q106" s="1431" t="str">
        <f>IF(LoadProfile!O183&lt;=0,"",LoadProfile!O183)</f>
        <v/>
      </c>
      <c r="R106" s="1431" t="str">
        <f>IF(LoadProfile!Q183&lt;=0,"",LoadProfile!Q183)</f>
        <v/>
      </c>
      <c r="S106" s="1431" t="str">
        <f>IF(LoadProfile!S183&lt;=0,"",LoadProfile!S183)</f>
        <v/>
      </c>
      <c r="T106" s="1431" t="str">
        <f>IF(LoadProfile!U183&lt;=0,"",LoadProfile!U183)</f>
        <v/>
      </c>
      <c r="U106" s="1431" t="str">
        <f>IF(LoadProfile!W183&lt;=0,"",LoadProfile!W183)</f>
        <v/>
      </c>
      <c r="V106" s="1431" t="str">
        <f>IF(LoadProfile!Y183&lt;=0,"",LoadProfile!Y183)</f>
        <v/>
      </c>
      <c r="W106" s="1431" t="str">
        <f>IF(LoadProfile!AA183&lt;=0,"",LoadProfile!AA183)</f>
        <v/>
      </c>
      <c r="X106" s="1431" t="str">
        <f>IF(LoadProfile!AC183&lt;=0,"",LoadProfile!AC183)</f>
        <v/>
      </c>
      <c r="Y106" s="1431" t="str">
        <f>IF(LoadProfile!AE183&lt;=0,"",LoadProfile!AE183)</f>
        <v/>
      </c>
      <c r="Z106" s="1431" t="str">
        <f>IF(LoadProfile!AG183&lt;=0,"",LoadProfile!AG183)</f>
        <v/>
      </c>
      <c r="AA106" s="1566" t="str">
        <f>IF(LoadProfile!AH183&lt;=0,"",LoadProfile!AH183)</f>
        <v/>
      </c>
      <c r="AB106" s="1633"/>
    </row>
    <row r="107" spans="1:28" hidden="1" x14ac:dyDescent="0.2">
      <c r="A107" s="376" t="str">
        <f>LoadProfile!A184</f>
        <v>e</v>
      </c>
      <c r="B107" s="1560" t="str">
        <f>LoadProfile!B184</f>
        <v/>
      </c>
      <c r="C107" s="1436" t="e">
        <f>LoadProfile!C184</f>
        <v>#REF!</v>
      </c>
      <c r="D107" s="1436" t="e">
        <f>SUBSTITUTE(LoadProfile!D184,"**","")</f>
        <v>#REF!</v>
      </c>
      <c r="E107" s="1436" t="e">
        <f>IF(INDEX('Legend(DX)'!$S$11:$S$12,27)=0,"---",INDEX('Legend(DX)'!$S$11:$S$12,27))</f>
        <v>#REF!</v>
      </c>
      <c r="F107" s="1430" t="e">
        <f t="shared" si="3"/>
        <v>#REF!</v>
      </c>
      <c r="G107" s="1436" t="e">
        <f>IF(INDEX('Legend(DX)'!$AD$11:$AD$12,27)=0,"-",INDEX('Legend(DX)'!$AD$11:$AD$12,27))</f>
        <v>#REF!</v>
      </c>
      <c r="H107" s="1430" t="e">
        <f t="shared" si="4"/>
        <v>#REF!</v>
      </c>
      <c r="I107" s="1548"/>
      <c r="J107" s="1442" t="e">
        <f t="shared" si="5"/>
        <v>#REF!</v>
      </c>
      <c r="K107" s="1437">
        <f>LoadProfile!F184</f>
        <v>0</v>
      </c>
      <c r="L107" s="1437">
        <f>LoadProfile!G184</f>
        <v>0</v>
      </c>
      <c r="M107" s="1437">
        <f>LoadProfile!H184</f>
        <v>0</v>
      </c>
      <c r="N107" s="1437" t="str">
        <f>IF(LoadProfile!I184&lt;=0,"--",LoadProfile!I184)</f>
        <v>--</v>
      </c>
      <c r="O107" s="1437">
        <f>LoadProfile!J184</f>
        <v>0</v>
      </c>
      <c r="P107" s="1431" t="str">
        <f>IF(LoadProfile!M184&lt;=0,"",LoadProfile!M184)</f>
        <v/>
      </c>
      <c r="Q107" s="1431" t="str">
        <f>IF(LoadProfile!O184&lt;=0,"",LoadProfile!O184)</f>
        <v/>
      </c>
      <c r="R107" s="1431" t="str">
        <f>IF(LoadProfile!Q184&lt;=0,"",LoadProfile!Q184)</f>
        <v/>
      </c>
      <c r="S107" s="1431" t="str">
        <f>IF(LoadProfile!S184&lt;=0,"",LoadProfile!S184)</f>
        <v/>
      </c>
      <c r="T107" s="1431" t="str">
        <f>IF(LoadProfile!U184&lt;=0,"",LoadProfile!U184)</f>
        <v/>
      </c>
      <c r="U107" s="1431" t="str">
        <f>IF(LoadProfile!W184&lt;=0,"",LoadProfile!W184)</f>
        <v/>
      </c>
      <c r="V107" s="1431" t="str">
        <f>IF(LoadProfile!Y184&lt;=0,"",LoadProfile!Y184)</f>
        <v/>
      </c>
      <c r="W107" s="1431" t="str">
        <f>IF(LoadProfile!AA184&lt;=0,"",LoadProfile!AA184)</f>
        <v/>
      </c>
      <c r="X107" s="1431" t="str">
        <f>IF(LoadProfile!AC184&lt;=0,"",LoadProfile!AC184)</f>
        <v/>
      </c>
      <c r="Y107" s="1431" t="str">
        <f>IF(LoadProfile!AE184&lt;=0,"",LoadProfile!AE184)</f>
        <v/>
      </c>
      <c r="Z107" s="1431" t="str">
        <f>IF(LoadProfile!AG184&lt;=0,"",LoadProfile!AG184)</f>
        <v/>
      </c>
      <c r="AA107" s="1566" t="str">
        <f>IF(LoadProfile!AH184&lt;=0,"",LoadProfile!AH184)</f>
        <v/>
      </c>
      <c r="AB107" s="1633"/>
    </row>
    <row r="108" spans="1:28" hidden="1" x14ac:dyDescent="0.2">
      <c r="A108" s="376" t="str">
        <f>LoadProfile!A185</f>
        <v>e</v>
      </c>
      <c r="B108" s="1560" t="str">
        <f>LoadProfile!B185</f>
        <v/>
      </c>
      <c r="C108" s="1436" t="e">
        <f>LoadProfile!C185</f>
        <v>#REF!</v>
      </c>
      <c r="D108" s="1436" t="e">
        <f>SUBSTITUTE(LoadProfile!D185,"**","")</f>
        <v>#REF!</v>
      </c>
      <c r="E108" s="1436" t="e">
        <f>IF(INDEX('Legend(DX)'!$S$11:$S$12,28)=0,"---",INDEX('Legend(DX)'!$S$11:$S$12,28))</f>
        <v>#REF!</v>
      </c>
      <c r="F108" s="1430" t="e">
        <f t="shared" si="3"/>
        <v>#REF!</v>
      </c>
      <c r="G108" s="1436" t="e">
        <f>IF(INDEX('Legend(DX)'!$AD$11:$AD$12,28)=0,"-",INDEX('Legend(DX)'!$AD$11:$AD$12,28))</f>
        <v>#REF!</v>
      </c>
      <c r="H108" s="1430" t="e">
        <f t="shared" si="4"/>
        <v>#REF!</v>
      </c>
      <c r="I108" s="1548"/>
      <c r="J108" s="1442" t="e">
        <f t="shared" si="5"/>
        <v>#REF!</v>
      </c>
      <c r="K108" s="1437">
        <f>LoadProfile!F185</f>
        <v>0</v>
      </c>
      <c r="L108" s="1437">
        <f>LoadProfile!G185</f>
        <v>0</v>
      </c>
      <c r="M108" s="1437">
        <f>LoadProfile!H185</f>
        <v>0</v>
      </c>
      <c r="N108" s="1437" t="str">
        <f>IF(LoadProfile!I185&lt;=0,"--",LoadProfile!I185)</f>
        <v>--</v>
      </c>
      <c r="O108" s="1437">
        <f>LoadProfile!J185</f>
        <v>0</v>
      </c>
      <c r="P108" s="1431" t="str">
        <f>IF(LoadProfile!M185&lt;=0,"",LoadProfile!M185)</f>
        <v/>
      </c>
      <c r="Q108" s="1431" t="str">
        <f>IF(LoadProfile!O185&lt;=0,"",LoadProfile!O185)</f>
        <v/>
      </c>
      <c r="R108" s="1431" t="str">
        <f>IF(LoadProfile!Q185&lt;=0,"",LoadProfile!Q185)</f>
        <v/>
      </c>
      <c r="S108" s="1431" t="str">
        <f>IF(LoadProfile!S185&lt;=0,"",LoadProfile!S185)</f>
        <v/>
      </c>
      <c r="T108" s="1431" t="str">
        <f>IF(LoadProfile!U185&lt;=0,"",LoadProfile!U185)</f>
        <v/>
      </c>
      <c r="U108" s="1431" t="str">
        <f>IF(LoadProfile!W185&lt;=0,"",LoadProfile!W185)</f>
        <v/>
      </c>
      <c r="V108" s="1431" t="str">
        <f>IF(LoadProfile!Y185&lt;=0,"",LoadProfile!Y185)</f>
        <v/>
      </c>
      <c r="W108" s="1431" t="str">
        <f>IF(LoadProfile!AA185&lt;=0,"",LoadProfile!AA185)</f>
        <v/>
      </c>
      <c r="X108" s="1431" t="str">
        <f>IF(LoadProfile!AC185&lt;=0,"",LoadProfile!AC185)</f>
        <v/>
      </c>
      <c r="Y108" s="1431" t="str">
        <f>IF(LoadProfile!AE185&lt;=0,"",LoadProfile!AE185)</f>
        <v/>
      </c>
      <c r="Z108" s="1431" t="str">
        <f>IF(LoadProfile!AG185&lt;=0,"",LoadProfile!AG185)</f>
        <v/>
      </c>
      <c r="AA108" s="1566" t="str">
        <f>IF(LoadProfile!AH185&lt;=0,"",LoadProfile!AH185)</f>
        <v/>
      </c>
      <c r="AB108" s="1633"/>
    </row>
    <row r="109" spans="1:28" hidden="1" x14ac:dyDescent="0.2">
      <c r="A109" s="376" t="str">
        <f>LoadProfile!A186</f>
        <v>e</v>
      </c>
      <c r="B109" s="1560" t="str">
        <f>LoadProfile!B186</f>
        <v/>
      </c>
      <c r="C109" s="1436" t="e">
        <f>LoadProfile!C186</f>
        <v>#REF!</v>
      </c>
      <c r="D109" s="1436" t="e">
        <f>SUBSTITUTE(LoadProfile!D186,"**","")</f>
        <v>#REF!</v>
      </c>
      <c r="E109" s="1436" t="e">
        <f>IF(INDEX('Legend(DX)'!$S$11:$S$12,29)=0,"---",INDEX('Legend(DX)'!$S$11:$S$12,29))</f>
        <v>#REF!</v>
      </c>
      <c r="F109" s="1430" t="e">
        <f t="shared" si="3"/>
        <v>#REF!</v>
      </c>
      <c r="G109" s="1436" t="e">
        <f>IF(INDEX('Legend(DX)'!$AD$11:$AD$12,29)=0,"-",INDEX('Legend(DX)'!$AD$11:$AD$12,29))</f>
        <v>#REF!</v>
      </c>
      <c r="H109" s="1430" t="e">
        <f t="shared" si="4"/>
        <v>#REF!</v>
      </c>
      <c r="I109" s="1548"/>
      <c r="J109" s="1442" t="e">
        <f t="shared" si="5"/>
        <v>#REF!</v>
      </c>
      <c r="K109" s="1437">
        <f>LoadProfile!F186</f>
        <v>0</v>
      </c>
      <c r="L109" s="1437">
        <f>LoadProfile!G186</f>
        <v>0</v>
      </c>
      <c r="M109" s="1437">
        <f>LoadProfile!H186</f>
        <v>0</v>
      </c>
      <c r="N109" s="1437" t="str">
        <f>IF(LoadProfile!I186&lt;=0,"--",LoadProfile!I186)</f>
        <v>--</v>
      </c>
      <c r="O109" s="1437">
        <f>LoadProfile!J186</f>
        <v>0</v>
      </c>
      <c r="P109" s="1431" t="str">
        <f>IF(LoadProfile!M186&lt;=0,"",LoadProfile!M186)</f>
        <v/>
      </c>
      <c r="Q109" s="1431" t="str">
        <f>IF(LoadProfile!O186&lt;=0,"",LoadProfile!O186)</f>
        <v/>
      </c>
      <c r="R109" s="1431" t="str">
        <f>IF(LoadProfile!Q186&lt;=0,"",LoadProfile!Q186)</f>
        <v/>
      </c>
      <c r="S109" s="1431" t="str">
        <f>IF(LoadProfile!S186&lt;=0,"",LoadProfile!S186)</f>
        <v/>
      </c>
      <c r="T109" s="1431" t="str">
        <f>IF(LoadProfile!U186&lt;=0,"",LoadProfile!U186)</f>
        <v/>
      </c>
      <c r="U109" s="1431" t="str">
        <f>IF(LoadProfile!W186&lt;=0,"",LoadProfile!W186)</f>
        <v/>
      </c>
      <c r="V109" s="1431" t="str">
        <f>IF(LoadProfile!Y186&lt;=0,"",LoadProfile!Y186)</f>
        <v/>
      </c>
      <c r="W109" s="1431" t="str">
        <f>IF(LoadProfile!AA186&lt;=0,"",LoadProfile!AA186)</f>
        <v/>
      </c>
      <c r="X109" s="1431" t="str">
        <f>IF(LoadProfile!AC186&lt;=0,"",LoadProfile!AC186)</f>
        <v/>
      </c>
      <c r="Y109" s="1431" t="str">
        <f>IF(LoadProfile!AE186&lt;=0,"",LoadProfile!AE186)</f>
        <v/>
      </c>
      <c r="Z109" s="1431" t="str">
        <f>IF(LoadProfile!AG186&lt;=0,"",LoadProfile!AG186)</f>
        <v/>
      </c>
      <c r="AA109" s="1566" t="str">
        <f>IF(LoadProfile!AH186&lt;=0,"",LoadProfile!AH186)</f>
        <v/>
      </c>
      <c r="AB109" s="1633"/>
    </row>
    <row r="110" spans="1:28" hidden="1" x14ac:dyDescent="0.2">
      <c r="A110" s="376" t="str">
        <f>LoadProfile!A187</f>
        <v>e</v>
      </c>
      <c r="B110" s="1560" t="str">
        <f>LoadProfile!B187</f>
        <v/>
      </c>
      <c r="C110" s="1436" t="e">
        <f>LoadProfile!C187</f>
        <v>#REF!</v>
      </c>
      <c r="D110" s="1436" t="e">
        <f>SUBSTITUTE(LoadProfile!D187,"**","")</f>
        <v>#REF!</v>
      </c>
      <c r="E110" s="1436" t="e">
        <f>IF(INDEX('Legend(DX)'!$S$11:$S$12,30)=0,"---",INDEX('Legend(DX)'!$S$11:$S$12,30))</f>
        <v>#REF!</v>
      </c>
      <c r="F110" s="1430" t="e">
        <f t="shared" si="3"/>
        <v>#REF!</v>
      </c>
      <c r="G110" s="1436" t="e">
        <f>IF(INDEX('Legend(DX)'!$AD$11:$AD$12,30)=0,"-",INDEX('Legend(DX)'!$AD$11:$AD$12,30))</f>
        <v>#REF!</v>
      </c>
      <c r="H110" s="1430" t="e">
        <f t="shared" si="4"/>
        <v>#REF!</v>
      </c>
      <c r="I110" s="1548"/>
      <c r="J110" s="1442" t="e">
        <f t="shared" si="5"/>
        <v>#REF!</v>
      </c>
      <c r="K110" s="1437">
        <f>LoadProfile!F187</f>
        <v>0</v>
      </c>
      <c r="L110" s="1437">
        <f>LoadProfile!G187</f>
        <v>0</v>
      </c>
      <c r="M110" s="1437">
        <f>LoadProfile!H187</f>
        <v>0</v>
      </c>
      <c r="N110" s="1437" t="str">
        <f>IF(LoadProfile!I187&lt;=0,"--",LoadProfile!I187)</f>
        <v>--</v>
      </c>
      <c r="O110" s="1437">
        <f>LoadProfile!J187</f>
        <v>0</v>
      </c>
      <c r="P110" s="1431" t="str">
        <f>IF(LoadProfile!M187&lt;=0,"",LoadProfile!M187)</f>
        <v/>
      </c>
      <c r="Q110" s="1431" t="str">
        <f>IF(LoadProfile!O187&lt;=0,"",LoadProfile!O187)</f>
        <v/>
      </c>
      <c r="R110" s="1431" t="str">
        <f>IF(LoadProfile!Q187&lt;=0,"",LoadProfile!Q187)</f>
        <v/>
      </c>
      <c r="S110" s="1431" t="str">
        <f>IF(LoadProfile!S187&lt;=0,"",LoadProfile!S187)</f>
        <v/>
      </c>
      <c r="T110" s="1431" t="str">
        <f>IF(LoadProfile!U187&lt;=0,"",LoadProfile!U187)</f>
        <v/>
      </c>
      <c r="U110" s="1431" t="str">
        <f>IF(LoadProfile!W187&lt;=0,"",LoadProfile!W187)</f>
        <v/>
      </c>
      <c r="V110" s="1431" t="str">
        <f>IF(LoadProfile!Y187&lt;=0,"",LoadProfile!Y187)</f>
        <v/>
      </c>
      <c r="W110" s="1431" t="str">
        <f>IF(LoadProfile!AA187&lt;=0,"",LoadProfile!AA187)</f>
        <v/>
      </c>
      <c r="X110" s="1431" t="str">
        <f>IF(LoadProfile!AC187&lt;=0,"",LoadProfile!AC187)</f>
        <v/>
      </c>
      <c r="Y110" s="1431" t="str">
        <f>IF(LoadProfile!AE187&lt;=0,"",LoadProfile!AE187)</f>
        <v/>
      </c>
      <c r="Z110" s="1431" t="str">
        <f>IF(LoadProfile!AG187&lt;=0,"",LoadProfile!AG187)</f>
        <v/>
      </c>
      <c r="AA110" s="1566" t="str">
        <f>IF(LoadProfile!AH187&lt;=0,"",LoadProfile!AH187)</f>
        <v/>
      </c>
      <c r="AB110" s="1633"/>
    </row>
    <row r="111" spans="1:28" hidden="1" x14ac:dyDescent="0.2">
      <c r="A111" s="376" t="str">
        <f>LoadProfile!A188</f>
        <v>e</v>
      </c>
      <c r="B111" s="1560" t="str">
        <f>LoadProfile!B188</f>
        <v/>
      </c>
      <c r="C111" s="1436" t="e">
        <f>LoadProfile!C188</f>
        <v>#REF!</v>
      </c>
      <c r="D111" s="1436" t="e">
        <f>SUBSTITUTE(LoadProfile!D188,"**","")</f>
        <v>#REF!</v>
      </c>
      <c r="E111" s="1436" t="e">
        <f>IF(INDEX('Legend(DX)'!$S$11:$S$12,31)=0,"---",INDEX('Legend(DX)'!$S$11:$S$12,31))</f>
        <v>#REF!</v>
      </c>
      <c r="F111" s="1430" t="e">
        <f t="shared" si="3"/>
        <v>#REF!</v>
      </c>
      <c r="G111" s="1436" t="e">
        <f>IF(INDEX('Legend(DX)'!$AD$11:$AD$12,31)=0,"-",INDEX('Legend(DX)'!$AD$11:$AD$12,31))</f>
        <v>#REF!</v>
      </c>
      <c r="H111" s="1430" t="e">
        <f t="shared" si="4"/>
        <v>#REF!</v>
      </c>
      <c r="I111" s="1548"/>
      <c r="J111" s="1442" t="e">
        <f t="shared" si="5"/>
        <v>#REF!</v>
      </c>
      <c r="K111" s="1437">
        <f>LoadProfile!F188</f>
        <v>0</v>
      </c>
      <c r="L111" s="1437">
        <f>LoadProfile!G188</f>
        <v>0</v>
      </c>
      <c r="M111" s="1437">
        <f>LoadProfile!H188</f>
        <v>0</v>
      </c>
      <c r="N111" s="1437" t="str">
        <f>IF(LoadProfile!I188&lt;=0,"--",LoadProfile!I188)</f>
        <v>--</v>
      </c>
      <c r="O111" s="1437">
        <f>LoadProfile!J188</f>
        <v>0</v>
      </c>
      <c r="P111" s="1431" t="str">
        <f>IF(LoadProfile!M188&lt;=0,"",LoadProfile!M188)</f>
        <v/>
      </c>
      <c r="Q111" s="1431" t="str">
        <f>IF(LoadProfile!O188&lt;=0,"",LoadProfile!O188)</f>
        <v/>
      </c>
      <c r="R111" s="1431" t="str">
        <f>IF(LoadProfile!Q188&lt;=0,"",LoadProfile!Q188)</f>
        <v/>
      </c>
      <c r="S111" s="1431" t="str">
        <f>IF(LoadProfile!S188&lt;=0,"",LoadProfile!S188)</f>
        <v/>
      </c>
      <c r="T111" s="1431" t="str">
        <f>IF(LoadProfile!U188&lt;=0,"",LoadProfile!U188)</f>
        <v/>
      </c>
      <c r="U111" s="1431" t="str">
        <f>IF(LoadProfile!W188&lt;=0,"",LoadProfile!W188)</f>
        <v/>
      </c>
      <c r="V111" s="1431" t="str">
        <f>IF(LoadProfile!Y188&lt;=0,"",LoadProfile!Y188)</f>
        <v/>
      </c>
      <c r="W111" s="1431" t="str">
        <f>IF(LoadProfile!AA188&lt;=0,"",LoadProfile!AA188)</f>
        <v/>
      </c>
      <c r="X111" s="1431" t="str">
        <f>IF(LoadProfile!AC188&lt;=0,"",LoadProfile!AC188)</f>
        <v/>
      </c>
      <c r="Y111" s="1431" t="str">
        <f>IF(LoadProfile!AE188&lt;=0,"",LoadProfile!AE188)</f>
        <v/>
      </c>
      <c r="Z111" s="1431" t="str">
        <f>IF(LoadProfile!AG188&lt;=0,"",LoadProfile!AG188)</f>
        <v/>
      </c>
      <c r="AA111" s="1566" t="str">
        <f>IF(LoadProfile!AH188&lt;=0,"",LoadProfile!AH188)</f>
        <v/>
      </c>
      <c r="AB111" s="1633"/>
    </row>
    <row r="112" spans="1:28" hidden="1" x14ac:dyDescent="0.2">
      <c r="A112" s="376" t="str">
        <f>LoadProfile!A189</f>
        <v>e</v>
      </c>
      <c r="B112" s="1560" t="str">
        <f>LoadProfile!B189</f>
        <v/>
      </c>
      <c r="C112" s="1436" t="e">
        <f>LoadProfile!C189</f>
        <v>#REF!</v>
      </c>
      <c r="D112" s="1436" t="e">
        <f>SUBSTITUTE(LoadProfile!D189,"**","")</f>
        <v>#REF!</v>
      </c>
      <c r="E112" s="1436" t="e">
        <f>IF(INDEX('Legend(DX)'!$S$11:$S$12,32)=0,"---",INDEX('Legend(DX)'!$S$11:$S$12,32))</f>
        <v>#REF!</v>
      </c>
      <c r="F112" s="1430" t="e">
        <f t="shared" si="3"/>
        <v>#REF!</v>
      </c>
      <c r="G112" s="1436" t="e">
        <f>IF(INDEX('Legend(DX)'!$AD$11:$AD$12,32)=0,"-",INDEX('Legend(DX)'!$AD$11:$AD$12,32))</f>
        <v>#REF!</v>
      </c>
      <c r="H112" s="1430" t="e">
        <f t="shared" si="4"/>
        <v>#REF!</v>
      </c>
      <c r="I112" s="1548"/>
      <c r="J112" s="1442" t="e">
        <f t="shared" si="5"/>
        <v>#REF!</v>
      </c>
      <c r="K112" s="1437">
        <f>LoadProfile!F189</f>
        <v>0</v>
      </c>
      <c r="L112" s="1437">
        <f>LoadProfile!G189</f>
        <v>0</v>
      </c>
      <c r="M112" s="1437">
        <f>LoadProfile!H189</f>
        <v>0</v>
      </c>
      <c r="N112" s="1437" t="str">
        <f>IF(LoadProfile!I189&lt;=0,"--",LoadProfile!I189)</f>
        <v>--</v>
      </c>
      <c r="O112" s="1437">
        <f>LoadProfile!J189</f>
        <v>0</v>
      </c>
      <c r="P112" s="1431" t="str">
        <f>IF(LoadProfile!M189&lt;=0,"",LoadProfile!M189)</f>
        <v/>
      </c>
      <c r="Q112" s="1431" t="str">
        <f>IF(LoadProfile!O189&lt;=0,"",LoadProfile!O189)</f>
        <v/>
      </c>
      <c r="R112" s="1431" t="str">
        <f>IF(LoadProfile!Q189&lt;=0,"",LoadProfile!Q189)</f>
        <v/>
      </c>
      <c r="S112" s="1431" t="str">
        <f>IF(LoadProfile!S189&lt;=0,"",LoadProfile!S189)</f>
        <v/>
      </c>
      <c r="T112" s="1431" t="str">
        <f>IF(LoadProfile!U189&lt;=0,"",LoadProfile!U189)</f>
        <v/>
      </c>
      <c r="U112" s="1431" t="str">
        <f>IF(LoadProfile!W189&lt;=0,"",LoadProfile!W189)</f>
        <v/>
      </c>
      <c r="V112" s="1431" t="str">
        <f>IF(LoadProfile!Y189&lt;=0,"",LoadProfile!Y189)</f>
        <v/>
      </c>
      <c r="W112" s="1431" t="str">
        <f>IF(LoadProfile!AA189&lt;=0,"",LoadProfile!AA189)</f>
        <v/>
      </c>
      <c r="X112" s="1431" t="str">
        <f>IF(LoadProfile!AC189&lt;=0,"",LoadProfile!AC189)</f>
        <v/>
      </c>
      <c r="Y112" s="1431" t="str">
        <f>IF(LoadProfile!AE189&lt;=0,"",LoadProfile!AE189)</f>
        <v/>
      </c>
      <c r="Z112" s="1431" t="str">
        <f>IF(LoadProfile!AG189&lt;=0,"",LoadProfile!AG189)</f>
        <v/>
      </c>
      <c r="AA112" s="1566" t="str">
        <f>IF(LoadProfile!AH189&lt;=0,"",LoadProfile!AH189)</f>
        <v/>
      </c>
      <c r="AB112" s="1633"/>
    </row>
    <row r="113" spans="1:28" hidden="1" x14ac:dyDescent="0.2">
      <c r="A113" s="376" t="str">
        <f>LoadProfile!A190</f>
        <v>e</v>
      </c>
      <c r="B113" s="1560" t="str">
        <f>LoadProfile!B190</f>
        <v/>
      </c>
      <c r="C113" s="1436" t="e">
        <f>LoadProfile!C190</f>
        <v>#REF!</v>
      </c>
      <c r="D113" s="1436" t="e">
        <f>SUBSTITUTE(LoadProfile!D190,"**","")</f>
        <v>#REF!</v>
      </c>
      <c r="E113" s="1436" t="e">
        <f>IF(INDEX('Legend(DX)'!$S$11:$S$12,33)=0,"---",INDEX('Legend(DX)'!$S$11:$S$12,33))</f>
        <v>#REF!</v>
      </c>
      <c r="F113" s="1430" t="e">
        <f t="shared" si="3"/>
        <v>#REF!</v>
      </c>
      <c r="G113" s="1436" t="e">
        <f>IF(INDEX('Legend(DX)'!$AD$11:$AD$12,33)=0,"-",INDEX('Legend(DX)'!$AD$11:$AD$12,33))</f>
        <v>#REF!</v>
      </c>
      <c r="H113" s="1430" t="e">
        <f t="shared" si="4"/>
        <v>#REF!</v>
      </c>
      <c r="I113" s="1548"/>
      <c r="J113" s="1442" t="e">
        <f t="shared" si="5"/>
        <v>#REF!</v>
      </c>
      <c r="K113" s="1437">
        <f>LoadProfile!F190</f>
        <v>0</v>
      </c>
      <c r="L113" s="1437">
        <f>LoadProfile!G190</f>
        <v>0</v>
      </c>
      <c r="M113" s="1437">
        <f>LoadProfile!H190</f>
        <v>0</v>
      </c>
      <c r="N113" s="1437" t="str">
        <f>IF(LoadProfile!I190&lt;=0,"--",LoadProfile!I190)</f>
        <v>--</v>
      </c>
      <c r="O113" s="1437">
        <f>LoadProfile!J190</f>
        <v>0</v>
      </c>
      <c r="P113" s="1431" t="str">
        <f>IF(LoadProfile!M190&lt;=0,"",LoadProfile!M190)</f>
        <v/>
      </c>
      <c r="Q113" s="1431" t="str">
        <f>IF(LoadProfile!O190&lt;=0,"",LoadProfile!O190)</f>
        <v/>
      </c>
      <c r="R113" s="1431" t="str">
        <f>IF(LoadProfile!Q190&lt;=0,"",LoadProfile!Q190)</f>
        <v/>
      </c>
      <c r="S113" s="1431" t="str">
        <f>IF(LoadProfile!S190&lt;=0,"",LoadProfile!S190)</f>
        <v/>
      </c>
      <c r="T113" s="1431" t="str">
        <f>IF(LoadProfile!U190&lt;=0,"",LoadProfile!U190)</f>
        <v/>
      </c>
      <c r="U113" s="1431" t="str">
        <f>IF(LoadProfile!W190&lt;=0,"",LoadProfile!W190)</f>
        <v/>
      </c>
      <c r="V113" s="1431" t="str">
        <f>IF(LoadProfile!Y190&lt;=0,"",LoadProfile!Y190)</f>
        <v/>
      </c>
      <c r="W113" s="1431" t="str">
        <f>IF(LoadProfile!AA190&lt;=0,"",LoadProfile!AA190)</f>
        <v/>
      </c>
      <c r="X113" s="1431" t="str">
        <f>IF(LoadProfile!AC190&lt;=0,"",LoadProfile!AC190)</f>
        <v/>
      </c>
      <c r="Y113" s="1431" t="str">
        <f>IF(LoadProfile!AE190&lt;=0,"",LoadProfile!AE190)</f>
        <v/>
      </c>
      <c r="Z113" s="1431" t="str">
        <f>IF(LoadProfile!AG190&lt;=0,"",LoadProfile!AG190)</f>
        <v/>
      </c>
      <c r="AA113" s="1566" t="str">
        <f>IF(LoadProfile!AH190&lt;=0,"",LoadProfile!AH190)</f>
        <v/>
      </c>
      <c r="AB113" s="1633"/>
    </row>
    <row r="114" spans="1:28" hidden="1" x14ac:dyDescent="0.2">
      <c r="A114" s="376" t="str">
        <f>LoadProfile!A191</f>
        <v>e</v>
      </c>
      <c r="B114" s="1560" t="str">
        <f>LoadProfile!B191</f>
        <v/>
      </c>
      <c r="C114" s="1436" t="e">
        <f>LoadProfile!C191</f>
        <v>#REF!</v>
      </c>
      <c r="D114" s="1436" t="e">
        <f>SUBSTITUTE(LoadProfile!D191,"**","")</f>
        <v>#REF!</v>
      </c>
      <c r="E114" s="1436" t="e">
        <f>IF(INDEX('Legend(DX)'!$S$11:$S$12,34)=0,"---",INDEX('Legend(DX)'!$S$11:$S$12,34))</f>
        <v>#REF!</v>
      </c>
      <c r="F114" s="1430" t="e">
        <f t="shared" si="3"/>
        <v>#REF!</v>
      </c>
      <c r="G114" s="1436" t="e">
        <f>IF(INDEX('Legend(DX)'!$AD$11:$AD$12,34)=0,"-",INDEX('Legend(DX)'!$AD$11:$AD$12,34))</f>
        <v>#REF!</v>
      </c>
      <c r="H114" s="1430" t="e">
        <f t="shared" si="4"/>
        <v>#REF!</v>
      </c>
      <c r="I114" s="1548"/>
      <c r="J114" s="1442" t="e">
        <f t="shared" si="5"/>
        <v>#REF!</v>
      </c>
      <c r="K114" s="1437">
        <f>LoadProfile!F191</f>
        <v>0</v>
      </c>
      <c r="L114" s="1437">
        <f>LoadProfile!G191</f>
        <v>0</v>
      </c>
      <c r="M114" s="1437">
        <f>LoadProfile!H191</f>
        <v>0</v>
      </c>
      <c r="N114" s="1437" t="str">
        <f>IF(LoadProfile!I191&lt;=0,"--",LoadProfile!I191)</f>
        <v>--</v>
      </c>
      <c r="O114" s="1437">
        <f>LoadProfile!J191</f>
        <v>0</v>
      </c>
      <c r="P114" s="1431" t="str">
        <f>IF(LoadProfile!M191&lt;=0,"",LoadProfile!M191)</f>
        <v/>
      </c>
      <c r="Q114" s="1431" t="str">
        <f>IF(LoadProfile!O191&lt;=0,"",LoadProfile!O191)</f>
        <v/>
      </c>
      <c r="R114" s="1431" t="str">
        <f>IF(LoadProfile!Q191&lt;=0,"",LoadProfile!Q191)</f>
        <v/>
      </c>
      <c r="S114" s="1431" t="str">
        <f>IF(LoadProfile!S191&lt;=0,"",LoadProfile!S191)</f>
        <v/>
      </c>
      <c r="T114" s="1431" t="str">
        <f>IF(LoadProfile!U191&lt;=0,"",LoadProfile!U191)</f>
        <v/>
      </c>
      <c r="U114" s="1431" t="str">
        <f>IF(LoadProfile!W191&lt;=0,"",LoadProfile!W191)</f>
        <v/>
      </c>
      <c r="V114" s="1431" t="str">
        <f>IF(LoadProfile!Y191&lt;=0,"",LoadProfile!Y191)</f>
        <v/>
      </c>
      <c r="W114" s="1431" t="str">
        <f>IF(LoadProfile!AA191&lt;=0,"",LoadProfile!AA191)</f>
        <v/>
      </c>
      <c r="X114" s="1431" t="str">
        <f>IF(LoadProfile!AC191&lt;=0,"",LoadProfile!AC191)</f>
        <v/>
      </c>
      <c r="Y114" s="1431" t="str">
        <f>IF(LoadProfile!AE191&lt;=0,"",LoadProfile!AE191)</f>
        <v/>
      </c>
      <c r="Z114" s="1431" t="str">
        <f>IF(LoadProfile!AG191&lt;=0,"",LoadProfile!AG191)</f>
        <v/>
      </c>
      <c r="AA114" s="1566" t="str">
        <f>IF(LoadProfile!AH191&lt;=0,"",LoadProfile!AH191)</f>
        <v/>
      </c>
      <c r="AB114" s="1633"/>
    </row>
    <row r="115" spans="1:28" hidden="1" x14ac:dyDescent="0.2">
      <c r="A115" s="376" t="str">
        <f>LoadProfile!A192</f>
        <v>e</v>
      </c>
      <c r="B115" s="1560" t="str">
        <f>LoadProfile!B192</f>
        <v/>
      </c>
      <c r="C115" s="1436" t="e">
        <f>LoadProfile!C192</f>
        <v>#REF!</v>
      </c>
      <c r="D115" s="1436" t="e">
        <f>SUBSTITUTE(LoadProfile!D192,"**","")</f>
        <v>#REF!</v>
      </c>
      <c r="E115" s="1436" t="e">
        <f>IF(INDEX('Legend(DX)'!$S$11:$S$12,35)=0,"---",INDEX('Legend(DX)'!$S$11:$S$12,35))</f>
        <v>#REF!</v>
      </c>
      <c r="F115" s="1430" t="e">
        <f t="shared" si="3"/>
        <v>#REF!</v>
      </c>
      <c r="G115" s="1436" t="e">
        <f>IF(INDEX('Legend(DX)'!$AD$11:$AD$12,35)=0,"-",INDEX('Legend(DX)'!$AD$11:$AD$12,35))</f>
        <v>#REF!</v>
      </c>
      <c r="H115" s="1430" t="e">
        <f t="shared" si="4"/>
        <v>#REF!</v>
      </c>
      <c r="I115" s="1548"/>
      <c r="J115" s="1442" t="e">
        <f t="shared" si="5"/>
        <v>#REF!</v>
      </c>
      <c r="K115" s="1437">
        <f>LoadProfile!F192</f>
        <v>0</v>
      </c>
      <c r="L115" s="1437">
        <f>LoadProfile!G192</f>
        <v>0</v>
      </c>
      <c r="M115" s="1437">
        <f>LoadProfile!H192</f>
        <v>0</v>
      </c>
      <c r="N115" s="1437" t="str">
        <f>IF(LoadProfile!I192&lt;=0,"--",LoadProfile!I192)</f>
        <v>--</v>
      </c>
      <c r="O115" s="1437">
        <f>LoadProfile!J192</f>
        <v>0</v>
      </c>
      <c r="P115" s="1431" t="str">
        <f>IF(LoadProfile!M192&lt;=0,"",LoadProfile!M192)</f>
        <v/>
      </c>
      <c r="Q115" s="1431" t="str">
        <f>IF(LoadProfile!O192&lt;=0,"",LoadProfile!O192)</f>
        <v/>
      </c>
      <c r="R115" s="1431" t="str">
        <f>IF(LoadProfile!Q192&lt;=0,"",LoadProfile!Q192)</f>
        <v/>
      </c>
      <c r="S115" s="1431" t="str">
        <f>IF(LoadProfile!S192&lt;=0,"",LoadProfile!S192)</f>
        <v/>
      </c>
      <c r="T115" s="1431" t="str">
        <f>IF(LoadProfile!U192&lt;=0,"",LoadProfile!U192)</f>
        <v/>
      </c>
      <c r="U115" s="1431" t="str">
        <f>IF(LoadProfile!W192&lt;=0,"",LoadProfile!W192)</f>
        <v/>
      </c>
      <c r="V115" s="1431" t="str">
        <f>IF(LoadProfile!Y192&lt;=0,"",LoadProfile!Y192)</f>
        <v/>
      </c>
      <c r="W115" s="1431" t="str">
        <f>IF(LoadProfile!AA192&lt;=0,"",LoadProfile!AA192)</f>
        <v/>
      </c>
      <c r="X115" s="1431" t="str">
        <f>IF(LoadProfile!AC192&lt;=0,"",LoadProfile!AC192)</f>
        <v/>
      </c>
      <c r="Y115" s="1431" t="str">
        <f>IF(LoadProfile!AE192&lt;=0,"",LoadProfile!AE192)</f>
        <v/>
      </c>
      <c r="Z115" s="1431" t="str">
        <f>IF(LoadProfile!AG192&lt;=0,"",LoadProfile!AG192)</f>
        <v/>
      </c>
      <c r="AA115" s="1566" t="str">
        <f>IF(LoadProfile!AH192&lt;=0,"",LoadProfile!AH192)</f>
        <v/>
      </c>
      <c r="AB115" s="1633"/>
    </row>
    <row r="116" spans="1:28" hidden="1" x14ac:dyDescent="0.2">
      <c r="A116" s="376" t="str">
        <f>LoadProfile!A193</f>
        <v>e</v>
      </c>
      <c r="B116" s="1560" t="str">
        <f>LoadProfile!B193</f>
        <v/>
      </c>
      <c r="C116" s="1436" t="e">
        <f>LoadProfile!C193</f>
        <v>#REF!</v>
      </c>
      <c r="D116" s="1436" t="e">
        <f>SUBSTITUTE(LoadProfile!D193,"**","")</f>
        <v>#REF!</v>
      </c>
      <c r="E116" s="1436" t="e">
        <f>IF(INDEX('Legend(DX)'!$S$11:$S$12,36)=0,"---",INDEX('Legend(DX)'!$S$11:$S$12,36))</f>
        <v>#REF!</v>
      </c>
      <c r="F116" s="1430" t="e">
        <f t="shared" si="3"/>
        <v>#REF!</v>
      </c>
      <c r="G116" s="1436" t="e">
        <f>IF(INDEX('Legend(DX)'!$AD$11:$AD$12,36)=0,"-",INDEX('Legend(DX)'!$AD$11:$AD$12,36))</f>
        <v>#REF!</v>
      </c>
      <c r="H116" s="1430" t="e">
        <f t="shared" si="4"/>
        <v>#REF!</v>
      </c>
      <c r="I116" s="1548"/>
      <c r="J116" s="1442" t="e">
        <f t="shared" si="5"/>
        <v>#REF!</v>
      </c>
      <c r="K116" s="1437">
        <f>LoadProfile!F193</f>
        <v>0</v>
      </c>
      <c r="L116" s="1437">
        <f>LoadProfile!G193</f>
        <v>0</v>
      </c>
      <c r="M116" s="1437">
        <f>LoadProfile!H193</f>
        <v>0</v>
      </c>
      <c r="N116" s="1437" t="str">
        <f>IF(LoadProfile!I193&lt;=0,"--",LoadProfile!I193)</f>
        <v>--</v>
      </c>
      <c r="O116" s="1437">
        <f>LoadProfile!J193</f>
        <v>0</v>
      </c>
      <c r="P116" s="1431" t="str">
        <f>IF(LoadProfile!M193&lt;=0,"",LoadProfile!M193)</f>
        <v/>
      </c>
      <c r="Q116" s="1431" t="str">
        <f>IF(LoadProfile!O193&lt;=0,"",LoadProfile!O193)</f>
        <v/>
      </c>
      <c r="R116" s="1431" t="str">
        <f>IF(LoadProfile!Q193&lt;=0,"",LoadProfile!Q193)</f>
        <v/>
      </c>
      <c r="S116" s="1431" t="str">
        <f>IF(LoadProfile!S193&lt;=0,"",LoadProfile!S193)</f>
        <v/>
      </c>
      <c r="T116" s="1431" t="str">
        <f>IF(LoadProfile!U193&lt;=0,"",LoadProfile!U193)</f>
        <v/>
      </c>
      <c r="U116" s="1431" t="str">
        <f>IF(LoadProfile!W193&lt;=0,"",LoadProfile!W193)</f>
        <v/>
      </c>
      <c r="V116" s="1431" t="str">
        <f>IF(LoadProfile!Y193&lt;=0,"",LoadProfile!Y193)</f>
        <v/>
      </c>
      <c r="W116" s="1431" t="str">
        <f>IF(LoadProfile!AA193&lt;=0,"",LoadProfile!AA193)</f>
        <v/>
      </c>
      <c r="X116" s="1431" t="str">
        <f>IF(LoadProfile!AC193&lt;=0,"",LoadProfile!AC193)</f>
        <v/>
      </c>
      <c r="Y116" s="1431" t="str">
        <f>IF(LoadProfile!AE193&lt;=0,"",LoadProfile!AE193)</f>
        <v/>
      </c>
      <c r="Z116" s="1431" t="str">
        <f>IF(LoadProfile!AG193&lt;=0,"",LoadProfile!AG193)</f>
        <v/>
      </c>
      <c r="AA116" s="1566" t="str">
        <f>IF(LoadProfile!AH193&lt;=0,"",LoadProfile!AH193)</f>
        <v/>
      </c>
      <c r="AB116" s="1633"/>
    </row>
    <row r="117" spans="1:28" hidden="1" x14ac:dyDescent="0.2">
      <c r="A117" s="376" t="str">
        <f>LoadProfile!A194</f>
        <v>e</v>
      </c>
      <c r="B117" s="1560" t="str">
        <f>LoadProfile!B194</f>
        <v/>
      </c>
      <c r="C117" s="1436" t="e">
        <f>LoadProfile!C194</f>
        <v>#REF!</v>
      </c>
      <c r="D117" s="1436" t="e">
        <f>SUBSTITUTE(LoadProfile!D194,"**","")</f>
        <v>#REF!</v>
      </c>
      <c r="E117" s="1436" t="e">
        <f>IF(INDEX('Legend(DX)'!$S$11:$S$12,37)=0,"---",INDEX('Legend(DX)'!$S$11:$S$12,37))</f>
        <v>#REF!</v>
      </c>
      <c r="F117" s="1430" t="e">
        <f t="shared" si="3"/>
        <v>#REF!</v>
      </c>
      <c r="G117" s="1436" t="e">
        <f>IF(INDEX('Legend(DX)'!$AD$11:$AD$12,37)=0,"-",INDEX('Legend(DX)'!$AD$11:$AD$12,37))</f>
        <v>#REF!</v>
      </c>
      <c r="H117" s="1430" t="e">
        <f t="shared" si="4"/>
        <v>#REF!</v>
      </c>
      <c r="I117" s="1548"/>
      <c r="J117" s="1442" t="e">
        <f t="shared" si="5"/>
        <v>#REF!</v>
      </c>
      <c r="K117" s="1437">
        <f>LoadProfile!F194</f>
        <v>0</v>
      </c>
      <c r="L117" s="1437">
        <f>LoadProfile!G194</f>
        <v>0</v>
      </c>
      <c r="M117" s="1437">
        <f>LoadProfile!H194</f>
        <v>0</v>
      </c>
      <c r="N117" s="1437" t="str">
        <f>IF(LoadProfile!I194&lt;=0,"--",LoadProfile!I194)</f>
        <v>--</v>
      </c>
      <c r="O117" s="1437">
        <f>LoadProfile!J194</f>
        <v>0</v>
      </c>
      <c r="P117" s="1431" t="str">
        <f>IF(LoadProfile!M194&lt;=0,"",LoadProfile!M194)</f>
        <v/>
      </c>
      <c r="Q117" s="1431" t="str">
        <f>IF(LoadProfile!O194&lt;=0,"",LoadProfile!O194)</f>
        <v/>
      </c>
      <c r="R117" s="1431" t="str">
        <f>IF(LoadProfile!Q194&lt;=0,"",LoadProfile!Q194)</f>
        <v/>
      </c>
      <c r="S117" s="1431" t="str">
        <f>IF(LoadProfile!S194&lt;=0,"",LoadProfile!S194)</f>
        <v/>
      </c>
      <c r="T117" s="1431" t="str">
        <f>IF(LoadProfile!U194&lt;=0,"",LoadProfile!U194)</f>
        <v/>
      </c>
      <c r="U117" s="1431" t="str">
        <f>IF(LoadProfile!W194&lt;=0,"",LoadProfile!W194)</f>
        <v/>
      </c>
      <c r="V117" s="1431" t="str">
        <f>IF(LoadProfile!Y194&lt;=0,"",LoadProfile!Y194)</f>
        <v/>
      </c>
      <c r="W117" s="1431" t="str">
        <f>IF(LoadProfile!AA194&lt;=0,"",LoadProfile!AA194)</f>
        <v/>
      </c>
      <c r="X117" s="1431" t="str">
        <f>IF(LoadProfile!AC194&lt;=0,"",LoadProfile!AC194)</f>
        <v/>
      </c>
      <c r="Y117" s="1431" t="str">
        <f>IF(LoadProfile!AE194&lt;=0,"",LoadProfile!AE194)</f>
        <v/>
      </c>
      <c r="Z117" s="1431" t="str">
        <f>IF(LoadProfile!AG194&lt;=0,"",LoadProfile!AG194)</f>
        <v/>
      </c>
      <c r="AA117" s="1566" t="str">
        <f>IF(LoadProfile!AH194&lt;=0,"",LoadProfile!AH194)</f>
        <v/>
      </c>
      <c r="AB117" s="1633"/>
    </row>
    <row r="118" spans="1:28" hidden="1" x14ac:dyDescent="0.2">
      <c r="A118" s="376" t="str">
        <f>LoadProfile!A195</f>
        <v>e</v>
      </c>
      <c r="B118" s="1560" t="str">
        <f>LoadProfile!B195</f>
        <v/>
      </c>
      <c r="C118" s="1436" t="e">
        <f>LoadProfile!C195</f>
        <v>#REF!</v>
      </c>
      <c r="D118" s="1436" t="e">
        <f>SUBSTITUTE(LoadProfile!D195,"**","")</f>
        <v>#REF!</v>
      </c>
      <c r="E118" s="1436" t="e">
        <f>IF(INDEX('Legend(DX)'!$S$11:$S$12,38)=0,"---",INDEX('Legend(DX)'!$S$11:$S$12,38))</f>
        <v>#REF!</v>
      </c>
      <c r="F118" s="1430" t="e">
        <f t="shared" si="3"/>
        <v>#REF!</v>
      </c>
      <c r="G118" s="1436" t="e">
        <f>IF(INDEX('Legend(DX)'!$AD$11:$AD$12,38)=0,"-",INDEX('Legend(DX)'!$AD$11:$AD$12,38))</f>
        <v>#REF!</v>
      </c>
      <c r="H118" s="1430" t="e">
        <f t="shared" si="4"/>
        <v>#REF!</v>
      </c>
      <c r="I118" s="1548"/>
      <c r="J118" s="1442" t="e">
        <f t="shared" si="5"/>
        <v>#REF!</v>
      </c>
      <c r="K118" s="1437">
        <f>LoadProfile!F195</f>
        <v>0</v>
      </c>
      <c r="L118" s="1437">
        <f>LoadProfile!G195</f>
        <v>0</v>
      </c>
      <c r="M118" s="1437">
        <f>LoadProfile!H195</f>
        <v>0</v>
      </c>
      <c r="N118" s="1437" t="str">
        <f>IF(LoadProfile!I195&lt;=0,"--",LoadProfile!I195)</f>
        <v>--</v>
      </c>
      <c r="O118" s="1437">
        <f>LoadProfile!J195</f>
        <v>0</v>
      </c>
      <c r="P118" s="1431" t="str">
        <f>IF(LoadProfile!M195&lt;=0,"",LoadProfile!M195)</f>
        <v/>
      </c>
      <c r="Q118" s="1431" t="str">
        <f>IF(LoadProfile!O195&lt;=0,"",LoadProfile!O195)</f>
        <v/>
      </c>
      <c r="R118" s="1431" t="str">
        <f>IF(LoadProfile!Q195&lt;=0,"",LoadProfile!Q195)</f>
        <v/>
      </c>
      <c r="S118" s="1431" t="str">
        <f>IF(LoadProfile!S195&lt;=0,"",LoadProfile!S195)</f>
        <v/>
      </c>
      <c r="T118" s="1431" t="str">
        <f>IF(LoadProfile!U195&lt;=0,"",LoadProfile!U195)</f>
        <v/>
      </c>
      <c r="U118" s="1431" t="str">
        <f>IF(LoadProfile!W195&lt;=0,"",LoadProfile!W195)</f>
        <v/>
      </c>
      <c r="V118" s="1431" t="str">
        <f>IF(LoadProfile!Y195&lt;=0,"",LoadProfile!Y195)</f>
        <v/>
      </c>
      <c r="W118" s="1431" t="str">
        <f>IF(LoadProfile!AA195&lt;=0,"",LoadProfile!AA195)</f>
        <v/>
      </c>
      <c r="X118" s="1431" t="str">
        <f>IF(LoadProfile!AC195&lt;=0,"",LoadProfile!AC195)</f>
        <v/>
      </c>
      <c r="Y118" s="1431" t="str">
        <f>IF(LoadProfile!AE195&lt;=0,"",LoadProfile!AE195)</f>
        <v/>
      </c>
      <c r="Z118" s="1431" t="str">
        <f>IF(LoadProfile!AG195&lt;=0,"",LoadProfile!AG195)</f>
        <v/>
      </c>
      <c r="AA118" s="1566" t="str">
        <f>IF(LoadProfile!AH195&lt;=0,"",LoadProfile!AH195)</f>
        <v/>
      </c>
      <c r="AB118" s="1633"/>
    </row>
    <row r="119" spans="1:28" hidden="1" x14ac:dyDescent="0.2">
      <c r="A119" s="376" t="str">
        <f>LoadProfile!A196</f>
        <v>e</v>
      </c>
      <c r="B119" s="1560" t="str">
        <f>LoadProfile!B196</f>
        <v/>
      </c>
      <c r="C119" s="1436" t="e">
        <f>LoadProfile!C196</f>
        <v>#REF!</v>
      </c>
      <c r="D119" s="1436" t="e">
        <f>SUBSTITUTE(LoadProfile!D196,"**","")</f>
        <v>#REF!</v>
      </c>
      <c r="E119" s="1436" t="e">
        <f>IF(INDEX('Legend(DX)'!$S$11:$S$12,39)=0,"---",INDEX('Legend(DX)'!$S$11:$S$12,39))</f>
        <v>#REF!</v>
      </c>
      <c r="F119" s="1430" t="e">
        <f t="shared" si="3"/>
        <v>#REF!</v>
      </c>
      <c r="G119" s="1436" t="e">
        <f>IF(INDEX('Legend(DX)'!$AD$11:$AD$12,39)=0,"-",INDEX('Legend(DX)'!$AD$11:$AD$12,39))</f>
        <v>#REF!</v>
      </c>
      <c r="H119" s="1430" t="e">
        <f t="shared" si="4"/>
        <v>#REF!</v>
      </c>
      <c r="I119" s="1548"/>
      <c r="J119" s="1442" t="e">
        <f t="shared" si="5"/>
        <v>#REF!</v>
      </c>
      <c r="K119" s="1437">
        <f>LoadProfile!F196</f>
        <v>0</v>
      </c>
      <c r="L119" s="1437">
        <f>LoadProfile!G196</f>
        <v>0</v>
      </c>
      <c r="M119" s="1437">
        <f>LoadProfile!H196</f>
        <v>0</v>
      </c>
      <c r="N119" s="1437" t="str">
        <f>IF(LoadProfile!I196&lt;=0,"--",LoadProfile!I196)</f>
        <v>--</v>
      </c>
      <c r="O119" s="1437">
        <f>LoadProfile!J196</f>
        <v>0</v>
      </c>
      <c r="P119" s="1431" t="str">
        <f>IF(LoadProfile!M196&lt;=0,"",LoadProfile!M196)</f>
        <v/>
      </c>
      <c r="Q119" s="1431" t="str">
        <f>IF(LoadProfile!O196&lt;=0,"",LoadProfile!O196)</f>
        <v/>
      </c>
      <c r="R119" s="1431" t="str">
        <f>IF(LoadProfile!Q196&lt;=0,"",LoadProfile!Q196)</f>
        <v/>
      </c>
      <c r="S119" s="1431" t="str">
        <f>IF(LoadProfile!S196&lt;=0,"",LoadProfile!S196)</f>
        <v/>
      </c>
      <c r="T119" s="1431" t="str">
        <f>IF(LoadProfile!U196&lt;=0,"",LoadProfile!U196)</f>
        <v/>
      </c>
      <c r="U119" s="1431" t="str">
        <f>IF(LoadProfile!W196&lt;=0,"",LoadProfile!W196)</f>
        <v/>
      </c>
      <c r="V119" s="1431" t="str">
        <f>IF(LoadProfile!Y196&lt;=0,"",LoadProfile!Y196)</f>
        <v/>
      </c>
      <c r="W119" s="1431" t="str">
        <f>IF(LoadProfile!AA196&lt;=0,"",LoadProfile!AA196)</f>
        <v/>
      </c>
      <c r="X119" s="1431" t="str">
        <f>IF(LoadProfile!AC196&lt;=0,"",LoadProfile!AC196)</f>
        <v/>
      </c>
      <c r="Y119" s="1431" t="str">
        <f>IF(LoadProfile!AE196&lt;=0,"",LoadProfile!AE196)</f>
        <v/>
      </c>
      <c r="Z119" s="1431" t="str">
        <f>IF(LoadProfile!AG196&lt;=0,"",LoadProfile!AG196)</f>
        <v/>
      </c>
      <c r="AA119" s="1566" t="str">
        <f>IF(LoadProfile!AH196&lt;=0,"",LoadProfile!AH196)</f>
        <v/>
      </c>
      <c r="AB119" s="1633"/>
    </row>
    <row r="120" spans="1:28" hidden="1" x14ac:dyDescent="0.2">
      <c r="A120" s="376" t="str">
        <f>LoadProfile!A197</f>
        <v>e</v>
      </c>
      <c r="B120" s="1560" t="str">
        <f>LoadProfile!B197</f>
        <v/>
      </c>
      <c r="C120" s="1436" t="e">
        <f>LoadProfile!C197</f>
        <v>#REF!</v>
      </c>
      <c r="D120" s="1436" t="e">
        <f>SUBSTITUTE(LoadProfile!D197,"**","")</f>
        <v>#REF!</v>
      </c>
      <c r="E120" s="1436" t="e">
        <f>IF(INDEX('Legend(DX)'!$S$11:$S$12,40)=0,"---",INDEX('Legend(DX)'!$S$11:$S$12,40))</f>
        <v>#REF!</v>
      </c>
      <c r="F120" s="1430" t="e">
        <f t="shared" si="3"/>
        <v>#REF!</v>
      </c>
      <c r="G120" s="1436" t="e">
        <f>IF(INDEX('Legend(DX)'!$AD$11:$AD$12,40)=0,"-",INDEX('Legend(DX)'!$AD$11:$AD$12,40))</f>
        <v>#REF!</v>
      </c>
      <c r="H120" s="1430" t="e">
        <f t="shared" si="4"/>
        <v>#REF!</v>
      </c>
      <c r="I120" s="1548"/>
      <c r="J120" s="1442" t="e">
        <f t="shared" si="5"/>
        <v>#REF!</v>
      </c>
      <c r="K120" s="1437">
        <f>LoadProfile!F197</f>
        <v>0</v>
      </c>
      <c r="L120" s="1437">
        <f>LoadProfile!G197</f>
        <v>0</v>
      </c>
      <c r="M120" s="1437">
        <f>LoadProfile!H197</f>
        <v>0</v>
      </c>
      <c r="N120" s="1437" t="str">
        <f>IF(LoadProfile!I197&lt;=0,"--",LoadProfile!I197)</f>
        <v>--</v>
      </c>
      <c r="O120" s="1437">
        <f>LoadProfile!J197</f>
        <v>0</v>
      </c>
      <c r="P120" s="1431" t="str">
        <f>IF(LoadProfile!M197&lt;=0,"",LoadProfile!M197)</f>
        <v/>
      </c>
      <c r="Q120" s="1431" t="str">
        <f>IF(LoadProfile!O197&lt;=0,"",LoadProfile!O197)</f>
        <v/>
      </c>
      <c r="R120" s="1431" t="str">
        <f>IF(LoadProfile!Q197&lt;=0,"",LoadProfile!Q197)</f>
        <v/>
      </c>
      <c r="S120" s="1431" t="str">
        <f>IF(LoadProfile!S197&lt;=0,"",LoadProfile!S197)</f>
        <v/>
      </c>
      <c r="T120" s="1431" t="str">
        <f>IF(LoadProfile!U197&lt;=0,"",LoadProfile!U197)</f>
        <v/>
      </c>
      <c r="U120" s="1431" t="str">
        <f>IF(LoadProfile!W197&lt;=0,"",LoadProfile!W197)</f>
        <v/>
      </c>
      <c r="V120" s="1431" t="str">
        <f>IF(LoadProfile!Y197&lt;=0,"",LoadProfile!Y197)</f>
        <v/>
      </c>
      <c r="W120" s="1431" t="str">
        <f>IF(LoadProfile!AA197&lt;=0,"",LoadProfile!AA197)</f>
        <v/>
      </c>
      <c r="X120" s="1431" t="str">
        <f>IF(LoadProfile!AC197&lt;=0,"",LoadProfile!AC197)</f>
        <v/>
      </c>
      <c r="Y120" s="1431" t="str">
        <f>IF(LoadProfile!AE197&lt;=0,"",LoadProfile!AE197)</f>
        <v/>
      </c>
      <c r="Z120" s="1431" t="str">
        <f>IF(LoadProfile!AG197&lt;=0,"",LoadProfile!AG197)</f>
        <v/>
      </c>
      <c r="AA120" s="1566" t="str">
        <f>IF(LoadProfile!AH197&lt;=0,"",LoadProfile!AH197)</f>
        <v/>
      </c>
      <c r="AB120" s="1633"/>
    </row>
    <row r="121" spans="1:28" hidden="1" x14ac:dyDescent="0.2">
      <c r="A121" s="376" t="str">
        <f>LoadProfile!A198</f>
        <v>e</v>
      </c>
      <c r="B121" s="1560" t="str">
        <f>LoadProfile!B198</f>
        <v/>
      </c>
      <c r="C121" s="1436" t="e">
        <f>LoadProfile!C198</f>
        <v>#REF!</v>
      </c>
      <c r="D121" s="1436" t="e">
        <f>SUBSTITUTE(LoadProfile!D198,"**","")</f>
        <v>#REF!</v>
      </c>
      <c r="E121" s="1436" t="e">
        <f>IF(INDEX('Legend(DX)'!$S$11:$S$12,41)=0,"---",INDEX('Legend(DX)'!$S$11:$S$12,41))</f>
        <v>#REF!</v>
      </c>
      <c r="F121" s="1430" t="e">
        <f t="shared" si="3"/>
        <v>#REF!</v>
      </c>
      <c r="G121" s="1436" t="e">
        <f>IF(INDEX('Legend(DX)'!$AD$11:$AD$12,41)=0,"-",INDEX('Legend(DX)'!$AD$11:$AD$12,41))</f>
        <v>#REF!</v>
      </c>
      <c r="H121" s="1430" t="e">
        <f t="shared" si="4"/>
        <v>#REF!</v>
      </c>
      <c r="I121" s="1548"/>
      <c r="J121" s="1442" t="e">
        <f t="shared" si="5"/>
        <v>#REF!</v>
      </c>
      <c r="K121" s="1437">
        <f>LoadProfile!F198</f>
        <v>0</v>
      </c>
      <c r="L121" s="1437">
        <f>LoadProfile!G198</f>
        <v>0</v>
      </c>
      <c r="M121" s="1437">
        <f>LoadProfile!H198</f>
        <v>0</v>
      </c>
      <c r="N121" s="1437" t="str">
        <f>IF(LoadProfile!I198&lt;=0,"--",LoadProfile!I198)</f>
        <v>--</v>
      </c>
      <c r="O121" s="1437">
        <f>LoadProfile!J198</f>
        <v>0</v>
      </c>
      <c r="P121" s="1431" t="str">
        <f>IF(LoadProfile!M198&lt;=0,"",LoadProfile!M198)</f>
        <v/>
      </c>
      <c r="Q121" s="1431" t="str">
        <f>IF(LoadProfile!O198&lt;=0,"",LoadProfile!O198)</f>
        <v/>
      </c>
      <c r="R121" s="1431" t="str">
        <f>IF(LoadProfile!Q198&lt;=0,"",LoadProfile!Q198)</f>
        <v/>
      </c>
      <c r="S121" s="1431" t="str">
        <f>IF(LoadProfile!S198&lt;=0,"",LoadProfile!S198)</f>
        <v/>
      </c>
      <c r="T121" s="1431" t="str">
        <f>IF(LoadProfile!U198&lt;=0,"",LoadProfile!U198)</f>
        <v/>
      </c>
      <c r="U121" s="1431" t="str">
        <f>IF(LoadProfile!W198&lt;=0,"",LoadProfile!W198)</f>
        <v/>
      </c>
      <c r="V121" s="1431" t="str">
        <f>IF(LoadProfile!Y198&lt;=0,"",LoadProfile!Y198)</f>
        <v/>
      </c>
      <c r="W121" s="1431" t="str">
        <f>IF(LoadProfile!AA198&lt;=0,"",LoadProfile!AA198)</f>
        <v/>
      </c>
      <c r="X121" s="1431" t="str">
        <f>IF(LoadProfile!AC198&lt;=0,"",LoadProfile!AC198)</f>
        <v/>
      </c>
      <c r="Y121" s="1431" t="str">
        <f>IF(LoadProfile!AE198&lt;=0,"",LoadProfile!AE198)</f>
        <v/>
      </c>
      <c r="Z121" s="1431" t="str">
        <f>IF(LoadProfile!AG198&lt;=0,"",LoadProfile!AG198)</f>
        <v/>
      </c>
      <c r="AA121" s="1566" t="str">
        <f>IF(LoadProfile!AH198&lt;=0,"",LoadProfile!AH198)</f>
        <v/>
      </c>
      <c r="AB121" s="1633"/>
    </row>
    <row r="122" spans="1:28" hidden="1" x14ac:dyDescent="0.2">
      <c r="A122" s="376" t="str">
        <f>LoadProfile!A199</f>
        <v>e</v>
      </c>
      <c r="B122" s="1560" t="str">
        <f>LoadProfile!B199</f>
        <v/>
      </c>
      <c r="C122" s="1436" t="e">
        <f>LoadProfile!C199</f>
        <v>#REF!</v>
      </c>
      <c r="D122" s="1436" t="e">
        <f>SUBSTITUTE(LoadProfile!D199,"**","")</f>
        <v>#REF!</v>
      </c>
      <c r="E122" s="1436" t="e">
        <f>IF(INDEX('Legend(DX)'!$S$11:$S$12,42)=0,"---",INDEX('Legend(DX)'!$S$11:$S$12,42))</f>
        <v>#REF!</v>
      </c>
      <c r="F122" s="1430" t="e">
        <f t="shared" si="3"/>
        <v>#REF!</v>
      </c>
      <c r="G122" s="1436" t="e">
        <f>IF(INDEX('Legend(DX)'!$AD$11:$AD$12,42)=0,"-",INDEX('Legend(DX)'!$AD$11:$AD$12,42))</f>
        <v>#REF!</v>
      </c>
      <c r="H122" s="1430" t="e">
        <f t="shared" si="4"/>
        <v>#REF!</v>
      </c>
      <c r="I122" s="1548"/>
      <c r="J122" s="1442" t="e">
        <f t="shared" si="5"/>
        <v>#REF!</v>
      </c>
      <c r="K122" s="1437">
        <f>LoadProfile!F199</f>
        <v>0</v>
      </c>
      <c r="L122" s="1437">
        <f>LoadProfile!G199</f>
        <v>0</v>
      </c>
      <c r="M122" s="1437">
        <f>LoadProfile!H199</f>
        <v>0</v>
      </c>
      <c r="N122" s="1437" t="str">
        <f>IF(LoadProfile!I199&lt;=0,"--",LoadProfile!I199)</f>
        <v>--</v>
      </c>
      <c r="O122" s="1437">
        <f>LoadProfile!J199</f>
        <v>0</v>
      </c>
      <c r="P122" s="1431" t="str">
        <f>IF(LoadProfile!M199&lt;=0,"",LoadProfile!M199)</f>
        <v/>
      </c>
      <c r="Q122" s="1431" t="str">
        <f>IF(LoadProfile!O199&lt;=0,"",LoadProfile!O199)</f>
        <v/>
      </c>
      <c r="R122" s="1431" t="str">
        <f>IF(LoadProfile!Q199&lt;=0,"",LoadProfile!Q199)</f>
        <v/>
      </c>
      <c r="S122" s="1431" t="str">
        <f>IF(LoadProfile!S199&lt;=0,"",LoadProfile!S199)</f>
        <v/>
      </c>
      <c r="T122" s="1431" t="str">
        <f>IF(LoadProfile!U199&lt;=0,"",LoadProfile!U199)</f>
        <v/>
      </c>
      <c r="U122" s="1431" t="str">
        <f>IF(LoadProfile!W199&lt;=0,"",LoadProfile!W199)</f>
        <v/>
      </c>
      <c r="V122" s="1431" t="str">
        <f>IF(LoadProfile!Y199&lt;=0,"",LoadProfile!Y199)</f>
        <v/>
      </c>
      <c r="W122" s="1431" t="str">
        <f>IF(LoadProfile!AA199&lt;=0,"",LoadProfile!AA199)</f>
        <v/>
      </c>
      <c r="X122" s="1431" t="str">
        <f>IF(LoadProfile!AC199&lt;=0,"",LoadProfile!AC199)</f>
        <v/>
      </c>
      <c r="Y122" s="1431" t="str">
        <f>IF(LoadProfile!AE199&lt;=0,"",LoadProfile!AE199)</f>
        <v/>
      </c>
      <c r="Z122" s="1431" t="str">
        <f>IF(LoadProfile!AG199&lt;=0,"",LoadProfile!AG199)</f>
        <v/>
      </c>
      <c r="AA122" s="1566" t="str">
        <f>IF(LoadProfile!AH199&lt;=0,"",LoadProfile!AH199)</f>
        <v/>
      </c>
      <c r="AB122" s="1633"/>
    </row>
    <row r="123" spans="1:28" hidden="1" x14ac:dyDescent="0.2">
      <c r="A123" s="376" t="str">
        <f>LoadProfile!A200</f>
        <v>e</v>
      </c>
      <c r="B123" s="1560" t="str">
        <f>LoadProfile!B200</f>
        <v/>
      </c>
      <c r="C123" s="1436" t="e">
        <f>LoadProfile!C200</f>
        <v>#REF!</v>
      </c>
      <c r="D123" s="1436" t="e">
        <f>SUBSTITUTE(LoadProfile!D200,"**","")</f>
        <v>#REF!</v>
      </c>
      <c r="E123" s="1436" t="e">
        <f>IF(INDEX('Legend(DX)'!$S$11:$S$12,43)=0,"---",INDEX('Legend(DX)'!$S$11:$S$12,43))</f>
        <v>#REF!</v>
      </c>
      <c r="F123" s="1430" t="e">
        <f t="shared" si="3"/>
        <v>#REF!</v>
      </c>
      <c r="G123" s="1436" t="e">
        <f>IF(INDEX('Legend(DX)'!$AD$11:$AD$12,43)=0,"-",INDEX('Legend(DX)'!$AD$11:$AD$12,43))</f>
        <v>#REF!</v>
      </c>
      <c r="H123" s="1430" t="e">
        <f t="shared" si="4"/>
        <v>#REF!</v>
      </c>
      <c r="I123" s="1548"/>
      <c r="J123" s="1442" t="e">
        <f t="shared" si="5"/>
        <v>#REF!</v>
      </c>
      <c r="K123" s="1437">
        <f>LoadProfile!F200</f>
        <v>0</v>
      </c>
      <c r="L123" s="1437">
        <f>LoadProfile!G200</f>
        <v>0</v>
      </c>
      <c r="M123" s="1437">
        <f>LoadProfile!H200</f>
        <v>0</v>
      </c>
      <c r="N123" s="1437" t="str">
        <f>IF(LoadProfile!I200&lt;=0,"--",LoadProfile!I200)</f>
        <v>--</v>
      </c>
      <c r="O123" s="1437">
        <f>LoadProfile!J200</f>
        <v>0</v>
      </c>
      <c r="P123" s="1431" t="str">
        <f>IF(LoadProfile!M200&lt;=0,"",LoadProfile!M200)</f>
        <v/>
      </c>
      <c r="Q123" s="1431" t="str">
        <f>IF(LoadProfile!O200&lt;=0,"",LoadProfile!O200)</f>
        <v/>
      </c>
      <c r="R123" s="1431" t="str">
        <f>IF(LoadProfile!Q200&lt;=0,"",LoadProfile!Q200)</f>
        <v/>
      </c>
      <c r="S123" s="1431" t="str">
        <f>IF(LoadProfile!S200&lt;=0,"",LoadProfile!S200)</f>
        <v/>
      </c>
      <c r="T123" s="1431" t="str">
        <f>IF(LoadProfile!U200&lt;=0,"",LoadProfile!U200)</f>
        <v/>
      </c>
      <c r="U123" s="1431" t="str">
        <f>IF(LoadProfile!W200&lt;=0,"",LoadProfile!W200)</f>
        <v/>
      </c>
      <c r="V123" s="1431" t="str">
        <f>IF(LoadProfile!Y200&lt;=0,"",LoadProfile!Y200)</f>
        <v/>
      </c>
      <c r="W123" s="1431" t="str">
        <f>IF(LoadProfile!AA200&lt;=0,"",LoadProfile!AA200)</f>
        <v/>
      </c>
      <c r="X123" s="1431" t="str">
        <f>IF(LoadProfile!AC200&lt;=0,"",LoadProfile!AC200)</f>
        <v/>
      </c>
      <c r="Y123" s="1431" t="str">
        <f>IF(LoadProfile!AE200&lt;=0,"",LoadProfile!AE200)</f>
        <v/>
      </c>
      <c r="Z123" s="1431" t="str">
        <f>IF(LoadProfile!AG200&lt;=0,"",LoadProfile!AG200)</f>
        <v/>
      </c>
      <c r="AA123" s="1566" t="str">
        <f>IF(LoadProfile!AH200&lt;=0,"",LoadProfile!AH200)</f>
        <v/>
      </c>
      <c r="AB123" s="1633"/>
    </row>
    <row r="124" spans="1:28" hidden="1" x14ac:dyDescent="0.2">
      <c r="A124" s="376" t="str">
        <f>LoadProfile!A201</f>
        <v>e</v>
      </c>
      <c r="B124" s="1560" t="str">
        <f>LoadProfile!B201</f>
        <v/>
      </c>
      <c r="C124" s="1436" t="e">
        <f>LoadProfile!C201</f>
        <v>#REF!</v>
      </c>
      <c r="D124" s="1436" t="e">
        <f>SUBSTITUTE(LoadProfile!D201,"**","")</f>
        <v>#REF!</v>
      </c>
      <c r="E124" s="1436" t="e">
        <f>IF(INDEX('Legend(DX)'!$S$11:$S$12,44)=0,"---",INDEX('Legend(DX)'!$S$11:$S$12,44))</f>
        <v>#REF!</v>
      </c>
      <c r="F124" s="1430" t="e">
        <f t="shared" si="3"/>
        <v>#REF!</v>
      </c>
      <c r="G124" s="1436" t="e">
        <f>IF(INDEX('Legend(DX)'!$AD$11:$AD$12,44)=0,"-",INDEX('Legend(DX)'!$AD$11:$AD$12,44))</f>
        <v>#REF!</v>
      </c>
      <c r="H124" s="1430" t="e">
        <f t="shared" si="4"/>
        <v>#REF!</v>
      </c>
      <c r="I124" s="1548"/>
      <c r="J124" s="1442" t="e">
        <f t="shared" si="5"/>
        <v>#REF!</v>
      </c>
      <c r="K124" s="1437">
        <f>LoadProfile!F201</f>
        <v>0</v>
      </c>
      <c r="L124" s="1437">
        <f>LoadProfile!G201</f>
        <v>0</v>
      </c>
      <c r="M124" s="1437">
        <f>LoadProfile!H201</f>
        <v>0</v>
      </c>
      <c r="N124" s="1437" t="str">
        <f>IF(LoadProfile!I201&lt;=0,"--",LoadProfile!I201)</f>
        <v>--</v>
      </c>
      <c r="O124" s="1437">
        <f>LoadProfile!J201</f>
        <v>0</v>
      </c>
      <c r="P124" s="1431" t="str">
        <f>IF(LoadProfile!M201&lt;=0,"",LoadProfile!M201)</f>
        <v/>
      </c>
      <c r="Q124" s="1431" t="str">
        <f>IF(LoadProfile!O201&lt;=0,"",LoadProfile!O201)</f>
        <v/>
      </c>
      <c r="R124" s="1431" t="str">
        <f>IF(LoadProfile!Q201&lt;=0,"",LoadProfile!Q201)</f>
        <v/>
      </c>
      <c r="S124" s="1431" t="str">
        <f>IF(LoadProfile!S201&lt;=0,"",LoadProfile!S201)</f>
        <v/>
      </c>
      <c r="T124" s="1431" t="str">
        <f>IF(LoadProfile!U201&lt;=0,"",LoadProfile!U201)</f>
        <v/>
      </c>
      <c r="U124" s="1431" t="str">
        <f>IF(LoadProfile!W201&lt;=0,"",LoadProfile!W201)</f>
        <v/>
      </c>
      <c r="V124" s="1431" t="str">
        <f>IF(LoadProfile!Y201&lt;=0,"",LoadProfile!Y201)</f>
        <v/>
      </c>
      <c r="W124" s="1431" t="str">
        <f>IF(LoadProfile!AA201&lt;=0,"",LoadProfile!AA201)</f>
        <v/>
      </c>
      <c r="X124" s="1431" t="str">
        <f>IF(LoadProfile!AC201&lt;=0,"",LoadProfile!AC201)</f>
        <v/>
      </c>
      <c r="Y124" s="1431" t="str">
        <f>IF(LoadProfile!AE201&lt;=0,"",LoadProfile!AE201)</f>
        <v/>
      </c>
      <c r="Z124" s="1431" t="str">
        <f>IF(LoadProfile!AG201&lt;=0,"",LoadProfile!AG201)</f>
        <v/>
      </c>
      <c r="AA124" s="1566" t="str">
        <f>IF(LoadProfile!AH201&lt;=0,"",LoadProfile!AH201)</f>
        <v/>
      </c>
      <c r="AB124" s="1633"/>
    </row>
    <row r="125" spans="1:28" hidden="1" x14ac:dyDescent="0.2">
      <c r="A125" s="376" t="str">
        <f>LoadProfile!A202</f>
        <v>e</v>
      </c>
      <c r="B125" s="1560" t="str">
        <f>LoadProfile!B202</f>
        <v/>
      </c>
      <c r="C125" s="1436" t="e">
        <f>LoadProfile!C202</f>
        <v>#REF!</v>
      </c>
      <c r="D125" s="1436" t="e">
        <f>SUBSTITUTE(LoadProfile!D202,"**","")</f>
        <v>#REF!</v>
      </c>
      <c r="E125" s="1436" t="e">
        <f>IF(INDEX('Legend(DX)'!$S$11:$S$12,45)=0,"---",INDEX('Legend(DX)'!$S$11:$S$12,45))</f>
        <v>#REF!</v>
      </c>
      <c r="F125" s="1430" t="e">
        <f t="shared" si="3"/>
        <v>#REF!</v>
      </c>
      <c r="G125" s="1436" t="e">
        <f>IF(INDEX('Legend(DX)'!$AD$11:$AD$12,45)=0,"-",INDEX('Legend(DX)'!$AD$11:$AD$12,45))</f>
        <v>#REF!</v>
      </c>
      <c r="H125" s="1430" t="e">
        <f t="shared" si="4"/>
        <v>#REF!</v>
      </c>
      <c r="I125" s="1548"/>
      <c r="J125" s="1442" t="e">
        <f t="shared" si="5"/>
        <v>#REF!</v>
      </c>
      <c r="K125" s="1437">
        <f>LoadProfile!F202</f>
        <v>0</v>
      </c>
      <c r="L125" s="1437">
        <f>LoadProfile!G202</f>
        <v>0</v>
      </c>
      <c r="M125" s="1437">
        <f>LoadProfile!H202</f>
        <v>0</v>
      </c>
      <c r="N125" s="1437" t="str">
        <f>IF(LoadProfile!I202&lt;=0,"--",LoadProfile!I202)</f>
        <v>--</v>
      </c>
      <c r="O125" s="1437">
        <f>LoadProfile!J202</f>
        <v>0</v>
      </c>
      <c r="P125" s="1431" t="str">
        <f>IF(LoadProfile!M202&lt;=0,"",LoadProfile!M202)</f>
        <v/>
      </c>
      <c r="Q125" s="1431" t="str">
        <f>IF(LoadProfile!O202&lt;=0,"",LoadProfile!O202)</f>
        <v/>
      </c>
      <c r="R125" s="1431" t="str">
        <f>IF(LoadProfile!Q202&lt;=0,"",LoadProfile!Q202)</f>
        <v/>
      </c>
      <c r="S125" s="1431" t="str">
        <f>IF(LoadProfile!S202&lt;=0,"",LoadProfile!S202)</f>
        <v/>
      </c>
      <c r="T125" s="1431" t="str">
        <f>IF(LoadProfile!U202&lt;=0,"",LoadProfile!U202)</f>
        <v/>
      </c>
      <c r="U125" s="1431" t="str">
        <f>IF(LoadProfile!W202&lt;=0,"",LoadProfile!W202)</f>
        <v/>
      </c>
      <c r="V125" s="1431" t="str">
        <f>IF(LoadProfile!Y202&lt;=0,"",LoadProfile!Y202)</f>
        <v/>
      </c>
      <c r="W125" s="1431" t="str">
        <f>IF(LoadProfile!AA202&lt;=0,"",LoadProfile!AA202)</f>
        <v/>
      </c>
      <c r="X125" s="1431" t="str">
        <f>IF(LoadProfile!AC202&lt;=0,"",LoadProfile!AC202)</f>
        <v/>
      </c>
      <c r="Y125" s="1431" t="str">
        <f>IF(LoadProfile!AE202&lt;=0,"",LoadProfile!AE202)</f>
        <v/>
      </c>
      <c r="Z125" s="1431" t="str">
        <f>IF(LoadProfile!AG202&lt;=0,"",LoadProfile!AG202)</f>
        <v/>
      </c>
      <c r="AA125" s="1566" t="str">
        <f>IF(LoadProfile!AH202&lt;=0,"",LoadProfile!AH202)</f>
        <v/>
      </c>
      <c r="AB125" s="1633"/>
    </row>
    <row r="126" spans="1:28" hidden="1" x14ac:dyDescent="0.2">
      <c r="A126" s="376" t="str">
        <f>LoadProfile!A203</f>
        <v>e</v>
      </c>
      <c r="B126" s="1560" t="str">
        <f>LoadProfile!B203</f>
        <v/>
      </c>
      <c r="C126" s="1436" t="e">
        <f>LoadProfile!C203</f>
        <v>#REF!</v>
      </c>
      <c r="D126" s="1436" t="e">
        <f>SUBSTITUTE(LoadProfile!D203,"**","")</f>
        <v>#REF!</v>
      </c>
      <c r="E126" s="1436" t="e">
        <f>IF(INDEX('Legend(DX)'!$S$11:$S$12,46)=0,"---",INDEX('Legend(DX)'!$S$11:$S$12,46))</f>
        <v>#REF!</v>
      </c>
      <c r="F126" s="1430" t="e">
        <f t="shared" si="3"/>
        <v>#REF!</v>
      </c>
      <c r="G126" s="1436" t="e">
        <f>IF(INDEX('Legend(DX)'!$AD$11:$AD$12,46)=0,"-",INDEX('Legend(DX)'!$AD$11:$AD$12,46))</f>
        <v>#REF!</v>
      </c>
      <c r="H126" s="1430" t="e">
        <f t="shared" si="4"/>
        <v>#REF!</v>
      </c>
      <c r="I126" s="1548"/>
      <c r="J126" s="1442" t="e">
        <f t="shared" si="5"/>
        <v>#REF!</v>
      </c>
      <c r="K126" s="1437">
        <f>LoadProfile!F203</f>
        <v>0</v>
      </c>
      <c r="L126" s="1437">
        <f>LoadProfile!G203</f>
        <v>0</v>
      </c>
      <c r="M126" s="1437">
        <f>LoadProfile!H203</f>
        <v>0</v>
      </c>
      <c r="N126" s="1437" t="str">
        <f>IF(LoadProfile!I203&lt;=0,"--",LoadProfile!I203)</f>
        <v>--</v>
      </c>
      <c r="O126" s="1437">
        <f>LoadProfile!J203</f>
        <v>0</v>
      </c>
      <c r="P126" s="1431" t="str">
        <f>IF(LoadProfile!M203&lt;=0,"",LoadProfile!M203)</f>
        <v/>
      </c>
      <c r="Q126" s="1431" t="str">
        <f>IF(LoadProfile!O203&lt;=0,"",LoadProfile!O203)</f>
        <v/>
      </c>
      <c r="R126" s="1431" t="str">
        <f>IF(LoadProfile!Q203&lt;=0,"",LoadProfile!Q203)</f>
        <v/>
      </c>
      <c r="S126" s="1431" t="str">
        <f>IF(LoadProfile!S203&lt;=0,"",LoadProfile!S203)</f>
        <v/>
      </c>
      <c r="T126" s="1431" t="str">
        <f>IF(LoadProfile!U203&lt;=0,"",LoadProfile!U203)</f>
        <v/>
      </c>
      <c r="U126" s="1431" t="str">
        <f>IF(LoadProfile!W203&lt;=0,"",LoadProfile!W203)</f>
        <v/>
      </c>
      <c r="V126" s="1431" t="str">
        <f>IF(LoadProfile!Y203&lt;=0,"",LoadProfile!Y203)</f>
        <v/>
      </c>
      <c r="W126" s="1431" t="str">
        <f>IF(LoadProfile!AA203&lt;=0,"",LoadProfile!AA203)</f>
        <v/>
      </c>
      <c r="X126" s="1431" t="str">
        <f>IF(LoadProfile!AC203&lt;=0,"",LoadProfile!AC203)</f>
        <v/>
      </c>
      <c r="Y126" s="1431" t="str">
        <f>IF(LoadProfile!AE203&lt;=0,"",LoadProfile!AE203)</f>
        <v/>
      </c>
      <c r="Z126" s="1431" t="str">
        <f>IF(LoadProfile!AG203&lt;=0,"",LoadProfile!AG203)</f>
        <v/>
      </c>
      <c r="AA126" s="1566" t="str">
        <f>IF(LoadProfile!AH203&lt;=0,"",LoadProfile!AH203)</f>
        <v/>
      </c>
      <c r="AB126" s="1633"/>
    </row>
    <row r="127" spans="1:28" hidden="1" x14ac:dyDescent="0.2">
      <c r="A127" s="376" t="str">
        <f>LoadProfile!A204</f>
        <v>e</v>
      </c>
      <c r="B127" s="1560" t="str">
        <f>LoadProfile!B204</f>
        <v/>
      </c>
      <c r="C127" s="1436" t="e">
        <f>LoadProfile!C204</f>
        <v>#REF!</v>
      </c>
      <c r="D127" s="1436" t="e">
        <f>SUBSTITUTE(LoadProfile!D204,"**","")</f>
        <v>#REF!</v>
      </c>
      <c r="E127" s="1436" t="e">
        <f>IF(INDEX('Legend(DX)'!$S$11:$S$12,47)=0,"---",INDEX('Legend(DX)'!$S$11:$S$12,47))</f>
        <v>#REF!</v>
      </c>
      <c r="F127" s="1430" t="e">
        <f t="shared" si="3"/>
        <v>#REF!</v>
      </c>
      <c r="G127" s="1436" t="e">
        <f>IF(INDEX('Legend(DX)'!$AD$11:$AD$12,47)=0,"-",INDEX('Legend(DX)'!$AD$11:$AD$12,47))</f>
        <v>#REF!</v>
      </c>
      <c r="H127" s="1430" t="e">
        <f t="shared" si="4"/>
        <v>#REF!</v>
      </c>
      <c r="I127" s="1548"/>
      <c r="J127" s="1442" t="e">
        <f t="shared" si="5"/>
        <v>#REF!</v>
      </c>
      <c r="K127" s="1437">
        <f>LoadProfile!F204</f>
        <v>0</v>
      </c>
      <c r="L127" s="1437">
        <f>LoadProfile!G204</f>
        <v>0</v>
      </c>
      <c r="M127" s="1437">
        <f>LoadProfile!H204</f>
        <v>0</v>
      </c>
      <c r="N127" s="1437" t="str">
        <f>IF(LoadProfile!I204&lt;=0,"--",LoadProfile!I204)</f>
        <v>--</v>
      </c>
      <c r="O127" s="1437">
        <f>LoadProfile!J204</f>
        <v>0</v>
      </c>
      <c r="P127" s="1431" t="str">
        <f>IF(LoadProfile!M204&lt;=0,"",LoadProfile!M204)</f>
        <v/>
      </c>
      <c r="Q127" s="1431" t="str">
        <f>IF(LoadProfile!O204&lt;=0,"",LoadProfile!O204)</f>
        <v/>
      </c>
      <c r="R127" s="1431" t="str">
        <f>IF(LoadProfile!Q204&lt;=0,"",LoadProfile!Q204)</f>
        <v/>
      </c>
      <c r="S127" s="1431" t="str">
        <f>IF(LoadProfile!S204&lt;=0,"",LoadProfile!S204)</f>
        <v/>
      </c>
      <c r="T127" s="1431" t="str">
        <f>IF(LoadProfile!U204&lt;=0,"",LoadProfile!U204)</f>
        <v/>
      </c>
      <c r="U127" s="1431" t="str">
        <f>IF(LoadProfile!W204&lt;=0,"",LoadProfile!W204)</f>
        <v/>
      </c>
      <c r="V127" s="1431" t="str">
        <f>IF(LoadProfile!Y204&lt;=0,"",LoadProfile!Y204)</f>
        <v/>
      </c>
      <c r="W127" s="1431" t="str">
        <f>IF(LoadProfile!AA204&lt;=0,"",LoadProfile!AA204)</f>
        <v/>
      </c>
      <c r="X127" s="1431" t="str">
        <f>IF(LoadProfile!AC204&lt;=0,"",LoadProfile!AC204)</f>
        <v/>
      </c>
      <c r="Y127" s="1431" t="str">
        <f>IF(LoadProfile!AE204&lt;=0,"",LoadProfile!AE204)</f>
        <v/>
      </c>
      <c r="Z127" s="1431" t="str">
        <f>IF(LoadProfile!AG204&lt;=0,"",LoadProfile!AG204)</f>
        <v/>
      </c>
      <c r="AA127" s="1566" t="str">
        <f>IF(LoadProfile!AH204&lt;=0,"",LoadProfile!AH204)</f>
        <v/>
      </c>
      <c r="AB127" s="1633"/>
    </row>
    <row r="128" spans="1:28" hidden="1" x14ac:dyDescent="0.2">
      <c r="A128" s="376" t="str">
        <f>LoadProfile!A205</f>
        <v>e</v>
      </c>
      <c r="B128" s="1560" t="str">
        <f>LoadProfile!B205</f>
        <v/>
      </c>
      <c r="C128" s="1436" t="e">
        <f>LoadProfile!C205</f>
        <v>#REF!</v>
      </c>
      <c r="D128" s="1436" t="e">
        <f>SUBSTITUTE(LoadProfile!D205,"**","")</f>
        <v>#REF!</v>
      </c>
      <c r="E128" s="1436" t="e">
        <f>IF(INDEX('Legend(DX)'!$S$11:$S$12,48)=0,"---",INDEX('Legend(DX)'!$S$11:$S$12,48))</f>
        <v>#REF!</v>
      </c>
      <c r="F128" s="1430" t="e">
        <f t="shared" si="3"/>
        <v>#REF!</v>
      </c>
      <c r="G128" s="1436" t="e">
        <f>IF(INDEX('Legend(DX)'!$AD$11:$AD$12,48)=0,"-",INDEX('Legend(DX)'!$AD$11:$AD$12,48))</f>
        <v>#REF!</v>
      </c>
      <c r="H128" s="1430" t="e">
        <f t="shared" si="4"/>
        <v>#REF!</v>
      </c>
      <c r="I128" s="1548"/>
      <c r="J128" s="1442" t="e">
        <f t="shared" si="5"/>
        <v>#REF!</v>
      </c>
      <c r="K128" s="1437">
        <f>LoadProfile!F205</f>
        <v>0</v>
      </c>
      <c r="L128" s="1437">
        <f>LoadProfile!G205</f>
        <v>0</v>
      </c>
      <c r="M128" s="1437">
        <f>LoadProfile!H205</f>
        <v>0</v>
      </c>
      <c r="N128" s="1437" t="str">
        <f>IF(LoadProfile!I205&lt;=0,"--",LoadProfile!I205)</f>
        <v>--</v>
      </c>
      <c r="O128" s="1437">
        <f>LoadProfile!J205</f>
        <v>0</v>
      </c>
      <c r="P128" s="1431" t="str">
        <f>IF(LoadProfile!M205&lt;=0,"",LoadProfile!M205)</f>
        <v/>
      </c>
      <c r="Q128" s="1431" t="str">
        <f>IF(LoadProfile!O205&lt;=0,"",LoadProfile!O205)</f>
        <v/>
      </c>
      <c r="R128" s="1431" t="str">
        <f>IF(LoadProfile!Q205&lt;=0,"",LoadProfile!Q205)</f>
        <v/>
      </c>
      <c r="S128" s="1431" t="str">
        <f>IF(LoadProfile!S205&lt;=0,"",LoadProfile!S205)</f>
        <v/>
      </c>
      <c r="T128" s="1431" t="str">
        <f>IF(LoadProfile!U205&lt;=0,"",LoadProfile!U205)</f>
        <v/>
      </c>
      <c r="U128" s="1431" t="str">
        <f>IF(LoadProfile!W205&lt;=0,"",LoadProfile!W205)</f>
        <v/>
      </c>
      <c r="V128" s="1431" t="str">
        <f>IF(LoadProfile!Y205&lt;=0,"",LoadProfile!Y205)</f>
        <v/>
      </c>
      <c r="W128" s="1431" t="str">
        <f>IF(LoadProfile!AA205&lt;=0,"",LoadProfile!AA205)</f>
        <v/>
      </c>
      <c r="X128" s="1431" t="str">
        <f>IF(LoadProfile!AC205&lt;=0,"",LoadProfile!AC205)</f>
        <v/>
      </c>
      <c r="Y128" s="1431" t="str">
        <f>IF(LoadProfile!AE205&lt;=0,"",LoadProfile!AE205)</f>
        <v/>
      </c>
      <c r="Z128" s="1431" t="str">
        <f>IF(LoadProfile!AG205&lt;=0,"",LoadProfile!AG205)</f>
        <v/>
      </c>
      <c r="AA128" s="1566" t="str">
        <f>IF(LoadProfile!AH205&lt;=0,"",LoadProfile!AH205)</f>
        <v/>
      </c>
      <c r="AB128" s="1633"/>
    </row>
    <row r="129" spans="1:28" hidden="1" x14ac:dyDescent="0.2">
      <c r="A129" s="376" t="str">
        <f>LoadProfile!A206</f>
        <v>e</v>
      </c>
      <c r="B129" s="1560" t="str">
        <f>LoadProfile!B206</f>
        <v/>
      </c>
      <c r="C129" s="1436" t="e">
        <f>LoadProfile!C206</f>
        <v>#REF!</v>
      </c>
      <c r="D129" s="1436" t="e">
        <f>SUBSTITUTE(LoadProfile!D206,"**","")</f>
        <v>#REF!</v>
      </c>
      <c r="E129" s="1436" t="e">
        <f>IF(INDEX('Legend(DX)'!$S$11:$S$12,49)=0,"---",INDEX('Legend(DX)'!$S$11:$S$12,49))</f>
        <v>#REF!</v>
      </c>
      <c r="F129" s="1430" t="e">
        <f t="shared" si="3"/>
        <v>#REF!</v>
      </c>
      <c r="G129" s="1436" t="e">
        <f>IF(INDEX('Legend(DX)'!$AD$11:$AD$12,49)=0,"-",INDEX('Legend(DX)'!$AD$11:$AD$12,49))</f>
        <v>#REF!</v>
      </c>
      <c r="H129" s="1430" t="e">
        <f t="shared" si="4"/>
        <v>#REF!</v>
      </c>
      <c r="I129" s="1548"/>
      <c r="J129" s="1442" t="e">
        <f t="shared" si="5"/>
        <v>#REF!</v>
      </c>
      <c r="K129" s="1437">
        <f>LoadProfile!F206</f>
        <v>0</v>
      </c>
      <c r="L129" s="1437">
        <f>LoadProfile!G206</f>
        <v>0</v>
      </c>
      <c r="M129" s="1437">
        <f>LoadProfile!H206</f>
        <v>0</v>
      </c>
      <c r="N129" s="1437" t="str">
        <f>IF(LoadProfile!I206&lt;=0,"--",LoadProfile!I206)</f>
        <v>--</v>
      </c>
      <c r="O129" s="1437">
        <f>LoadProfile!J206</f>
        <v>0</v>
      </c>
      <c r="P129" s="1431" t="str">
        <f>IF(LoadProfile!M206&lt;=0,"",LoadProfile!M206)</f>
        <v/>
      </c>
      <c r="Q129" s="1431" t="str">
        <f>IF(LoadProfile!O206&lt;=0,"",LoadProfile!O206)</f>
        <v/>
      </c>
      <c r="R129" s="1431" t="str">
        <f>IF(LoadProfile!Q206&lt;=0,"",LoadProfile!Q206)</f>
        <v/>
      </c>
      <c r="S129" s="1431" t="str">
        <f>IF(LoadProfile!S206&lt;=0,"",LoadProfile!S206)</f>
        <v/>
      </c>
      <c r="T129" s="1431" t="str">
        <f>IF(LoadProfile!U206&lt;=0,"",LoadProfile!U206)</f>
        <v/>
      </c>
      <c r="U129" s="1431" t="str">
        <f>IF(LoadProfile!W206&lt;=0,"",LoadProfile!W206)</f>
        <v/>
      </c>
      <c r="V129" s="1431" t="str">
        <f>IF(LoadProfile!Y206&lt;=0,"",LoadProfile!Y206)</f>
        <v/>
      </c>
      <c r="W129" s="1431" t="str">
        <f>IF(LoadProfile!AA206&lt;=0,"",LoadProfile!AA206)</f>
        <v/>
      </c>
      <c r="X129" s="1431" t="str">
        <f>IF(LoadProfile!AC206&lt;=0,"",LoadProfile!AC206)</f>
        <v/>
      </c>
      <c r="Y129" s="1431" t="str">
        <f>IF(LoadProfile!AE206&lt;=0,"",LoadProfile!AE206)</f>
        <v/>
      </c>
      <c r="Z129" s="1431" t="str">
        <f>IF(LoadProfile!AG206&lt;=0,"",LoadProfile!AG206)</f>
        <v/>
      </c>
      <c r="AA129" s="1566" t="str">
        <f>IF(LoadProfile!AH206&lt;=0,"",LoadProfile!AH206)</f>
        <v/>
      </c>
      <c r="AB129" s="1633"/>
    </row>
    <row r="130" spans="1:28" hidden="1" x14ac:dyDescent="0.2">
      <c r="A130" s="376" t="str">
        <f>LoadProfile!A207</f>
        <v>e</v>
      </c>
      <c r="B130" s="1560" t="str">
        <f>LoadProfile!B207</f>
        <v/>
      </c>
      <c r="C130" s="1436" t="e">
        <f>LoadProfile!C207</f>
        <v>#REF!</v>
      </c>
      <c r="D130" s="1436" t="e">
        <f>SUBSTITUTE(LoadProfile!D207,"**","")</f>
        <v>#REF!</v>
      </c>
      <c r="E130" s="1436" t="e">
        <f>IF(INDEX('Legend(DX)'!$S$11:$S$12,50)=0,"---",INDEX('Legend(DX)'!$S$11:$S$12,50))</f>
        <v>#REF!</v>
      </c>
      <c r="F130" s="1430" t="e">
        <f t="shared" si="3"/>
        <v>#REF!</v>
      </c>
      <c r="G130" s="1436" t="e">
        <f>IF(INDEX('Legend(DX)'!$AD$11:$AD$12,50)=0,"-",INDEX('Legend(DX)'!$AD$11:$AD$12,50))</f>
        <v>#REF!</v>
      </c>
      <c r="H130" s="1430" t="e">
        <f t="shared" si="4"/>
        <v>#REF!</v>
      </c>
      <c r="I130" s="1548"/>
      <c r="J130" s="1442" t="e">
        <f t="shared" si="5"/>
        <v>#REF!</v>
      </c>
      <c r="K130" s="1437">
        <f>LoadProfile!F207</f>
        <v>0</v>
      </c>
      <c r="L130" s="1437">
        <f>LoadProfile!G207</f>
        <v>0</v>
      </c>
      <c r="M130" s="1437">
        <f>LoadProfile!H207</f>
        <v>0</v>
      </c>
      <c r="N130" s="1437" t="str">
        <f>IF(LoadProfile!I207&lt;=0,"--",LoadProfile!I207)</f>
        <v>--</v>
      </c>
      <c r="O130" s="1437">
        <f>LoadProfile!J207</f>
        <v>0</v>
      </c>
      <c r="P130" s="1431" t="str">
        <f>IF(LoadProfile!M207&lt;=0,"",LoadProfile!M207)</f>
        <v/>
      </c>
      <c r="Q130" s="1431" t="str">
        <f>IF(LoadProfile!O207&lt;=0,"",LoadProfile!O207)</f>
        <v/>
      </c>
      <c r="R130" s="1431" t="str">
        <f>IF(LoadProfile!Q207&lt;=0,"",LoadProfile!Q207)</f>
        <v/>
      </c>
      <c r="S130" s="1431" t="str">
        <f>IF(LoadProfile!S207&lt;=0,"",LoadProfile!S207)</f>
        <v/>
      </c>
      <c r="T130" s="1431" t="str">
        <f>IF(LoadProfile!U207&lt;=0,"",LoadProfile!U207)</f>
        <v/>
      </c>
      <c r="U130" s="1431" t="str">
        <f>IF(LoadProfile!W207&lt;=0,"",LoadProfile!W207)</f>
        <v/>
      </c>
      <c r="V130" s="1431" t="str">
        <f>IF(LoadProfile!Y207&lt;=0,"",LoadProfile!Y207)</f>
        <v/>
      </c>
      <c r="W130" s="1431" t="str">
        <f>IF(LoadProfile!AA207&lt;=0,"",LoadProfile!AA207)</f>
        <v/>
      </c>
      <c r="X130" s="1431" t="str">
        <f>IF(LoadProfile!AC207&lt;=0,"",LoadProfile!AC207)</f>
        <v/>
      </c>
      <c r="Y130" s="1431" t="str">
        <f>IF(LoadProfile!AE207&lt;=0,"",LoadProfile!AE207)</f>
        <v/>
      </c>
      <c r="Z130" s="1431" t="str">
        <f>IF(LoadProfile!AG207&lt;=0,"",LoadProfile!AG207)</f>
        <v/>
      </c>
      <c r="AA130" s="1566" t="str">
        <f>IF(LoadProfile!AH207&lt;=0,"",LoadProfile!AH207)</f>
        <v/>
      </c>
      <c r="AB130" s="1633"/>
    </row>
    <row r="131" spans="1:28" hidden="1" x14ac:dyDescent="0.2">
      <c r="A131" s="376" t="s">
        <v>559</v>
      </c>
      <c r="B131" s="1555" t="s">
        <v>834</v>
      </c>
      <c r="C131" s="376" t="s">
        <v>1164</v>
      </c>
      <c r="D131" s="376"/>
      <c r="E131" s="376" t="s">
        <v>1166</v>
      </c>
      <c r="F131" s="432"/>
      <c r="G131" s="376" t="s">
        <v>1166</v>
      </c>
      <c r="H131" s="376"/>
      <c r="I131" s="1556"/>
      <c r="J131" s="1557"/>
      <c r="K131" s="1558"/>
      <c r="L131" s="1558"/>
      <c r="M131" s="1558"/>
      <c r="N131" s="1558"/>
      <c r="O131" s="1558"/>
      <c r="P131" s="1559"/>
      <c r="Q131" s="1559"/>
      <c r="R131" s="1559"/>
      <c r="S131" s="1433"/>
      <c r="T131" s="1559"/>
      <c r="U131" s="1432"/>
      <c r="AB131" s="1633"/>
    </row>
    <row r="132" spans="1:28" hidden="1" x14ac:dyDescent="0.2">
      <c r="A132" s="376" t="str">
        <f>LoadProfile!A288</f>
        <v>x</v>
      </c>
      <c r="B132" s="1560">
        <f>LoadProfile!B288</f>
        <v>0</v>
      </c>
      <c r="C132" s="1436" t="str">
        <f>LoadProfile!C288</f>
        <v>See Legend</v>
      </c>
      <c r="D132" s="1436" t="str">
        <f>LoadProfile!D288</f>
        <v>---</v>
      </c>
      <c r="E132" s="1436" t="str">
        <f>IF(INDEX('Legend(DX)'!$S$14:$S$15,1)=0,"---",INDEX('Legend(DX)'!$S$14:$S$15,1))</f>
        <v>---</v>
      </c>
      <c r="F132" s="1430" t="str">
        <f>IF(G132="-","-",G132-2)</f>
        <v>-</v>
      </c>
      <c r="G132" s="1436" t="str">
        <f>IF(INDEX('Legend(DX)'!$AD$14:$AD$15,1)=0,"-",INDEX('Legend(DX)'!$AD$14:$AD$15,1))</f>
        <v>-</v>
      </c>
      <c r="H132" s="1430" t="str">
        <f t="shared" ref="H132:H145" si="6">IF(G132="-","-",G132+2)</f>
        <v>-</v>
      </c>
      <c r="I132" s="1548"/>
      <c r="J132" s="1442"/>
      <c r="K132" s="1437">
        <f>LoadProfile!F288</f>
        <v>0</v>
      </c>
      <c r="L132" s="1437">
        <f>LoadProfile!G288</f>
        <v>0</v>
      </c>
      <c r="M132" s="1437">
        <f>LoadProfile!H288</f>
        <v>0</v>
      </c>
      <c r="N132" s="1437" t="str">
        <f>IF(LoadProfile!I288&lt;=0,"--",LoadProfile!I288)</f>
        <v>--</v>
      </c>
      <c r="O132" s="1437">
        <f>LoadProfile!J288</f>
        <v>0</v>
      </c>
      <c r="P132" s="1431" t="str">
        <f>IF(LoadProfile!M288&lt;=0,"",LoadProfile!M288)</f>
        <v/>
      </c>
      <c r="Q132" s="1431" t="str">
        <f>IF(LoadProfile!O288&lt;=0,"",LoadProfile!O288)</f>
        <v/>
      </c>
      <c r="R132" s="1431" t="str">
        <f>IF(LoadProfile!Q288&lt;=0,"",LoadProfile!Q288)</f>
        <v/>
      </c>
      <c r="S132" s="1431" t="str">
        <f>IF(LoadProfile!S288&lt;=0,"",LoadProfile!S288)</f>
        <v/>
      </c>
      <c r="T132" s="1431" t="str">
        <f>IF(LoadProfile!U288&lt;=0,"",LoadProfile!U288)</f>
        <v/>
      </c>
      <c r="U132" s="1431" t="str">
        <f>IF(LoadProfile!W288&lt;=0,"",LoadProfile!W288)</f>
        <v/>
      </c>
      <c r="V132" s="1431" t="str">
        <f>IF(LoadProfile!Y288&lt;=0,"",LoadProfile!Y288)</f>
        <v/>
      </c>
      <c r="W132" s="1431" t="str">
        <f>IF(LoadProfile!AA288&lt;=0,"",LoadProfile!AA288)</f>
        <v/>
      </c>
      <c r="X132" s="1431" t="str">
        <f>IF(LoadProfile!AC288&lt;=0,"",LoadProfile!AC288)</f>
        <v/>
      </c>
      <c r="Y132" s="1431" t="str">
        <f>IF(LoadProfile!AE288&lt;=0,"",LoadProfile!AE288)</f>
        <v/>
      </c>
      <c r="Z132" s="1431" t="str">
        <f>IF(LoadProfile!AG288&lt;=0,"",LoadProfile!AG288)</f>
        <v/>
      </c>
      <c r="AA132" s="1566" t="str">
        <f>IF(LoadProfile!AH288&lt;=0,"",LoadProfile!AH288)</f>
        <v/>
      </c>
      <c r="AB132" s="1633"/>
    </row>
    <row r="133" spans="1:28" hidden="1" x14ac:dyDescent="0.2">
      <c r="A133" s="376" t="str">
        <f>LoadProfile!A289</f>
        <v>x</v>
      </c>
      <c r="B133" s="1560">
        <f>LoadProfile!B289</f>
        <v>0</v>
      </c>
      <c r="C133" s="1436" t="str">
        <f>LoadProfile!C289</f>
        <v>See Legend</v>
      </c>
      <c r="D133" s="1436" t="str">
        <f>LoadProfile!D289</f>
        <v>---</v>
      </c>
      <c r="E133" s="1436" t="str">
        <f>IF(INDEX('Legend(DX)'!$S$14:$S$15,2)=0,"---",INDEX('Legend(DX)'!$S$14:$S$15,2))</f>
        <v>---</v>
      </c>
      <c r="F133" s="1430" t="str">
        <f>IF(G133="-","-",G133-2)</f>
        <v>-</v>
      </c>
      <c r="G133" s="1436" t="str">
        <f>IF(INDEX('Legend(DX)'!$AD$14:$AD$15,2)=0,"-",INDEX('Legend(DX)'!$AD$14:$AD$15,2))</f>
        <v>-</v>
      </c>
      <c r="H133" s="1430" t="str">
        <f t="shared" si="6"/>
        <v>-</v>
      </c>
      <c r="I133" s="1548"/>
      <c r="J133" s="1442"/>
      <c r="K133" s="1437">
        <f>LoadProfile!F289</f>
        <v>0</v>
      </c>
      <c r="L133" s="1437">
        <f>LoadProfile!G289</f>
        <v>0</v>
      </c>
      <c r="M133" s="1437">
        <f>LoadProfile!H289</f>
        <v>0</v>
      </c>
      <c r="N133" s="1437" t="str">
        <f>IF(LoadProfile!I289&lt;=0,"--",LoadProfile!I289)</f>
        <v>--</v>
      </c>
      <c r="O133" s="1437">
        <f>LoadProfile!J289</f>
        <v>0</v>
      </c>
      <c r="P133" s="1431" t="str">
        <f>IF(LoadProfile!M289&lt;=0,"",LoadProfile!M289)</f>
        <v/>
      </c>
      <c r="Q133" s="1431" t="str">
        <f>IF(LoadProfile!O289&lt;=0,"",LoadProfile!O289)</f>
        <v/>
      </c>
      <c r="R133" s="1431" t="str">
        <f>IF(LoadProfile!Q289&lt;=0,"",LoadProfile!Q289)</f>
        <v/>
      </c>
      <c r="S133" s="1431" t="str">
        <f>IF(LoadProfile!S289&lt;=0,"",LoadProfile!S289)</f>
        <v/>
      </c>
      <c r="T133" s="1431" t="str">
        <f>IF(LoadProfile!U289&lt;=0,"",LoadProfile!U289)</f>
        <v/>
      </c>
      <c r="U133" s="1431" t="str">
        <f>IF(LoadProfile!W289&lt;=0,"",LoadProfile!W289)</f>
        <v/>
      </c>
      <c r="V133" s="1431" t="str">
        <f>IF(LoadProfile!Y289&lt;=0,"",LoadProfile!Y289)</f>
        <v/>
      </c>
      <c r="W133" s="1431" t="str">
        <f>IF(LoadProfile!AA289&lt;=0,"",LoadProfile!AA289)</f>
        <v/>
      </c>
      <c r="X133" s="1431" t="str">
        <f>IF(LoadProfile!AC289&lt;=0,"",LoadProfile!AC289)</f>
        <v/>
      </c>
      <c r="Y133" s="1431" t="str">
        <f>IF(LoadProfile!AE289&lt;=0,"",LoadProfile!AE289)</f>
        <v/>
      </c>
      <c r="Z133" s="1431" t="str">
        <f>IF(LoadProfile!AG289&lt;=0,"",LoadProfile!AG289)</f>
        <v/>
      </c>
      <c r="AA133" s="1566" t="str">
        <f>IF(LoadProfile!AH289&lt;=0,"",LoadProfile!AH289)</f>
        <v/>
      </c>
      <c r="AB133" s="1633"/>
    </row>
    <row r="134" spans="1:28" hidden="1" x14ac:dyDescent="0.2">
      <c r="A134" s="376" t="str">
        <f>LoadProfile!A290</f>
        <v>e</v>
      </c>
      <c r="B134" s="1560" t="str">
        <f>LoadProfile!B290</f>
        <v/>
      </c>
      <c r="C134" s="1436" t="e">
        <f>LoadProfile!C290</f>
        <v>#REF!</v>
      </c>
      <c r="D134" s="1436" t="e">
        <f>LoadProfile!D290</f>
        <v>#REF!</v>
      </c>
      <c r="E134" s="1436" t="e">
        <f>IF(INDEX('Legend(DX)'!$S$14:$S$15,3)=0,"---",INDEX('Legend(DX)'!$S$14:$S$15,3))</f>
        <v>#REF!</v>
      </c>
      <c r="F134" s="1430" t="e">
        <f t="shared" ref="F134:F181" si="7">IF(G134="-","-",G134-2)</f>
        <v>#REF!</v>
      </c>
      <c r="G134" s="1436" t="e">
        <f>IF(INDEX('Legend(DX)'!$AD$14:$AD$15,3)=0,"-",INDEX('Legend(DX)'!$AD$14:$AD$15,3))</f>
        <v>#REF!</v>
      </c>
      <c r="H134" s="1430" t="e">
        <f t="shared" si="6"/>
        <v>#REF!</v>
      </c>
      <c r="I134" s="1548"/>
      <c r="J134" s="1442"/>
      <c r="K134" s="1437">
        <f>LoadProfile!F290</f>
        <v>0</v>
      </c>
      <c r="L134" s="1437">
        <f>LoadProfile!G290</f>
        <v>0</v>
      </c>
      <c r="M134" s="1437">
        <f>LoadProfile!H290</f>
        <v>0</v>
      </c>
      <c r="N134" s="1437" t="str">
        <f>IF(LoadProfile!I290&lt;=0,"--",LoadProfile!I290)</f>
        <v>--</v>
      </c>
      <c r="O134" s="1437">
        <f>LoadProfile!J290</f>
        <v>0</v>
      </c>
      <c r="P134" s="1431" t="str">
        <f>IF(LoadProfile!M290&lt;=0,"",LoadProfile!M290)</f>
        <v/>
      </c>
      <c r="Q134" s="1431" t="str">
        <f>IF(LoadProfile!O290&lt;=0,"",LoadProfile!O290)</f>
        <v/>
      </c>
      <c r="R134" s="1431" t="str">
        <f>IF(LoadProfile!Q290&lt;=0,"",LoadProfile!Q290)</f>
        <v/>
      </c>
      <c r="S134" s="1431" t="str">
        <f>IF(LoadProfile!S290&lt;=0,"",LoadProfile!S290)</f>
        <v/>
      </c>
      <c r="T134" s="1431" t="str">
        <f>IF(LoadProfile!U290&lt;=0,"",LoadProfile!U290)</f>
        <v/>
      </c>
      <c r="U134" s="1431" t="str">
        <f>IF(LoadProfile!W290&lt;=0,"",LoadProfile!W290)</f>
        <v/>
      </c>
      <c r="V134" s="1431" t="str">
        <f>IF(LoadProfile!Y290&lt;=0,"",LoadProfile!Y290)</f>
        <v/>
      </c>
      <c r="W134" s="1431" t="str">
        <f>IF(LoadProfile!AA290&lt;=0,"",LoadProfile!AA290)</f>
        <v/>
      </c>
      <c r="X134" s="1431" t="str">
        <f>IF(LoadProfile!AC290&lt;=0,"",LoadProfile!AC290)</f>
        <v/>
      </c>
      <c r="Y134" s="1431" t="str">
        <f>IF(LoadProfile!AE290&lt;=0,"",LoadProfile!AE290)</f>
        <v/>
      </c>
      <c r="Z134" s="1431" t="str">
        <f>IF(LoadProfile!AG290&lt;=0,"",LoadProfile!AG290)</f>
        <v/>
      </c>
      <c r="AA134" s="1566" t="str">
        <f>IF(LoadProfile!AH290&lt;=0,"",LoadProfile!AH290)</f>
        <v/>
      </c>
      <c r="AB134" s="1633"/>
    </row>
    <row r="135" spans="1:28" hidden="1" x14ac:dyDescent="0.2">
      <c r="A135" s="376" t="str">
        <f>LoadProfile!A291</f>
        <v>e</v>
      </c>
      <c r="B135" s="1560" t="str">
        <f>LoadProfile!B291</f>
        <v/>
      </c>
      <c r="C135" s="1436" t="e">
        <f>LoadProfile!C291</f>
        <v>#REF!</v>
      </c>
      <c r="D135" s="1436" t="e">
        <f>LoadProfile!D291</f>
        <v>#REF!</v>
      </c>
      <c r="E135" s="1436" t="e">
        <f>IF(INDEX('Legend(DX)'!$S$14:$S$15,4)=0,"---",INDEX('Legend(DX)'!$S$14:$S$15,4))</f>
        <v>#REF!</v>
      </c>
      <c r="F135" s="1430" t="e">
        <f t="shared" si="7"/>
        <v>#REF!</v>
      </c>
      <c r="G135" s="1436" t="e">
        <f>IF(INDEX('Legend(DX)'!$AD$14:$AD$15,4)=0,"-",INDEX('Legend(DX)'!$AD$14:$AD$15,4))</f>
        <v>#REF!</v>
      </c>
      <c r="H135" s="1430" t="e">
        <f t="shared" si="6"/>
        <v>#REF!</v>
      </c>
      <c r="I135" s="1548"/>
      <c r="J135" s="1442"/>
      <c r="K135" s="1437">
        <f>LoadProfile!F291</f>
        <v>0</v>
      </c>
      <c r="L135" s="1437">
        <f>LoadProfile!G291</f>
        <v>0</v>
      </c>
      <c r="M135" s="1437">
        <f>LoadProfile!H291</f>
        <v>0</v>
      </c>
      <c r="N135" s="1437" t="str">
        <f>IF(LoadProfile!I291&lt;=0,"--",LoadProfile!I291)</f>
        <v>--</v>
      </c>
      <c r="O135" s="1437">
        <f>LoadProfile!J291</f>
        <v>0</v>
      </c>
      <c r="P135" s="1431" t="str">
        <f>IF(LoadProfile!M291&lt;=0,"",LoadProfile!M291)</f>
        <v/>
      </c>
      <c r="Q135" s="1431" t="str">
        <f>IF(LoadProfile!O291&lt;=0,"",LoadProfile!O291)</f>
        <v/>
      </c>
      <c r="R135" s="1431" t="str">
        <f>IF(LoadProfile!Q291&lt;=0,"",LoadProfile!Q291)</f>
        <v/>
      </c>
      <c r="S135" s="1431" t="str">
        <f>IF(LoadProfile!S291&lt;=0,"",LoadProfile!S291)</f>
        <v/>
      </c>
      <c r="T135" s="1431" t="str">
        <f>IF(LoadProfile!U291&lt;=0,"",LoadProfile!U291)</f>
        <v/>
      </c>
      <c r="U135" s="1431" t="str">
        <f>IF(LoadProfile!W291&lt;=0,"",LoadProfile!W291)</f>
        <v/>
      </c>
      <c r="V135" s="1431" t="str">
        <f>IF(LoadProfile!Y291&lt;=0,"",LoadProfile!Y291)</f>
        <v/>
      </c>
      <c r="W135" s="1431" t="str">
        <f>IF(LoadProfile!AA291&lt;=0,"",LoadProfile!AA291)</f>
        <v/>
      </c>
      <c r="X135" s="1431" t="str">
        <f>IF(LoadProfile!AC291&lt;=0,"",LoadProfile!AC291)</f>
        <v/>
      </c>
      <c r="Y135" s="1431" t="str">
        <f>IF(LoadProfile!AE291&lt;=0,"",LoadProfile!AE291)</f>
        <v/>
      </c>
      <c r="Z135" s="1431" t="str">
        <f>IF(LoadProfile!AG291&lt;=0,"",LoadProfile!AG291)</f>
        <v/>
      </c>
      <c r="AA135" s="1566" t="str">
        <f>IF(LoadProfile!AH291&lt;=0,"",LoadProfile!AH291)</f>
        <v/>
      </c>
      <c r="AB135" s="1633"/>
    </row>
    <row r="136" spans="1:28" hidden="1" x14ac:dyDescent="0.2">
      <c r="A136" s="376" t="str">
        <f>LoadProfile!A292</f>
        <v>e</v>
      </c>
      <c r="B136" s="1560" t="str">
        <f>LoadProfile!B292</f>
        <v/>
      </c>
      <c r="C136" s="1436" t="e">
        <f>LoadProfile!C292</f>
        <v>#REF!</v>
      </c>
      <c r="D136" s="1436" t="e">
        <f>LoadProfile!D292</f>
        <v>#REF!</v>
      </c>
      <c r="E136" s="1436" t="e">
        <f>IF(INDEX('Legend(DX)'!$S$14:$S$15,5)=0,"---",INDEX('Legend(DX)'!$S$14:$S$15,5))</f>
        <v>#REF!</v>
      </c>
      <c r="F136" s="1430" t="e">
        <f t="shared" si="7"/>
        <v>#REF!</v>
      </c>
      <c r="G136" s="1436" t="e">
        <f>IF(INDEX('Legend(DX)'!$AD$14:$AD$15,5)=0,"-",INDEX('Legend(DX)'!$AD$14:$AD$15,5))</f>
        <v>#REF!</v>
      </c>
      <c r="H136" s="1430" t="e">
        <f t="shared" si="6"/>
        <v>#REF!</v>
      </c>
      <c r="I136" s="1548"/>
      <c r="J136" s="1442"/>
      <c r="K136" s="1437">
        <f>LoadProfile!F292</f>
        <v>0</v>
      </c>
      <c r="L136" s="1437">
        <f>LoadProfile!G292</f>
        <v>0</v>
      </c>
      <c r="M136" s="1437">
        <f>LoadProfile!H292</f>
        <v>0</v>
      </c>
      <c r="N136" s="1437" t="str">
        <f>IF(LoadProfile!I292&lt;=0,"--",LoadProfile!I292)</f>
        <v>--</v>
      </c>
      <c r="O136" s="1437">
        <f>LoadProfile!J292</f>
        <v>0</v>
      </c>
      <c r="P136" s="1431" t="str">
        <f>IF(LoadProfile!M292&lt;=0,"",LoadProfile!M292)</f>
        <v/>
      </c>
      <c r="Q136" s="1431" t="str">
        <f>IF(LoadProfile!O292&lt;=0,"",LoadProfile!O292)</f>
        <v/>
      </c>
      <c r="R136" s="1431" t="str">
        <f>IF(LoadProfile!Q292&lt;=0,"",LoadProfile!Q292)</f>
        <v/>
      </c>
      <c r="S136" s="1431" t="str">
        <f>IF(LoadProfile!S292&lt;=0,"",LoadProfile!S292)</f>
        <v/>
      </c>
      <c r="T136" s="1431" t="str">
        <f>IF(LoadProfile!U292&lt;=0,"",LoadProfile!U292)</f>
        <v/>
      </c>
      <c r="U136" s="1431" t="str">
        <f>IF(LoadProfile!W292&lt;=0,"",LoadProfile!W292)</f>
        <v/>
      </c>
      <c r="V136" s="1431" t="str">
        <f>IF(LoadProfile!Y292&lt;=0,"",LoadProfile!Y292)</f>
        <v/>
      </c>
      <c r="W136" s="1431" t="str">
        <f>IF(LoadProfile!AA292&lt;=0,"",LoadProfile!AA292)</f>
        <v/>
      </c>
      <c r="X136" s="1431" t="str">
        <f>IF(LoadProfile!AC292&lt;=0,"",LoadProfile!AC292)</f>
        <v/>
      </c>
      <c r="Y136" s="1431" t="str">
        <f>IF(LoadProfile!AE292&lt;=0,"",LoadProfile!AE292)</f>
        <v/>
      </c>
      <c r="Z136" s="1431" t="str">
        <f>IF(LoadProfile!AG292&lt;=0,"",LoadProfile!AG292)</f>
        <v/>
      </c>
      <c r="AA136" s="1566" t="str">
        <f>IF(LoadProfile!AH292&lt;=0,"",LoadProfile!AH292)</f>
        <v/>
      </c>
      <c r="AB136" s="1633"/>
    </row>
    <row r="137" spans="1:28" hidden="1" x14ac:dyDescent="0.2">
      <c r="A137" s="376" t="str">
        <f>LoadProfile!A293</f>
        <v>e</v>
      </c>
      <c r="B137" s="1560" t="str">
        <f>LoadProfile!B293</f>
        <v/>
      </c>
      <c r="C137" s="1436" t="e">
        <f>LoadProfile!C293</f>
        <v>#REF!</v>
      </c>
      <c r="D137" s="1436" t="e">
        <f>LoadProfile!D293</f>
        <v>#REF!</v>
      </c>
      <c r="E137" s="1436" t="e">
        <f>IF(INDEX('Legend(DX)'!$S$14:$S$15,6)=0,"---",INDEX('Legend(DX)'!$S$14:$S$15,6))</f>
        <v>#REF!</v>
      </c>
      <c r="F137" s="1430" t="e">
        <f t="shared" si="7"/>
        <v>#REF!</v>
      </c>
      <c r="G137" s="1436" t="e">
        <f>IF(INDEX('Legend(DX)'!$AD$14:$AD$15,6)=0,"-",INDEX('Legend(DX)'!$AD$14:$AD$15,6))</f>
        <v>#REF!</v>
      </c>
      <c r="H137" s="1430" t="e">
        <f t="shared" si="6"/>
        <v>#REF!</v>
      </c>
      <c r="I137" s="1548"/>
      <c r="J137" s="1442"/>
      <c r="K137" s="1437">
        <f>LoadProfile!F293</f>
        <v>0</v>
      </c>
      <c r="L137" s="1437">
        <f>LoadProfile!G293</f>
        <v>0</v>
      </c>
      <c r="M137" s="1437">
        <f>LoadProfile!H293</f>
        <v>0</v>
      </c>
      <c r="N137" s="1437" t="str">
        <f>IF(LoadProfile!I293&lt;=0,"--",LoadProfile!I293)</f>
        <v>--</v>
      </c>
      <c r="O137" s="1437">
        <f>LoadProfile!J293</f>
        <v>0</v>
      </c>
      <c r="P137" s="1431" t="str">
        <f>IF(LoadProfile!M293&lt;=0,"",LoadProfile!M293)</f>
        <v/>
      </c>
      <c r="Q137" s="1431" t="str">
        <f>IF(LoadProfile!O293&lt;=0,"",LoadProfile!O293)</f>
        <v/>
      </c>
      <c r="R137" s="1431" t="str">
        <f>IF(LoadProfile!Q293&lt;=0,"",LoadProfile!Q293)</f>
        <v/>
      </c>
      <c r="S137" s="1431" t="str">
        <f>IF(LoadProfile!S293&lt;=0,"",LoadProfile!S293)</f>
        <v/>
      </c>
      <c r="T137" s="1431" t="str">
        <f>IF(LoadProfile!U293&lt;=0,"",LoadProfile!U293)</f>
        <v/>
      </c>
      <c r="U137" s="1431" t="str">
        <f>IF(LoadProfile!W293&lt;=0,"",LoadProfile!W293)</f>
        <v/>
      </c>
      <c r="V137" s="1431" t="str">
        <f>IF(LoadProfile!Y293&lt;=0,"",LoadProfile!Y293)</f>
        <v/>
      </c>
      <c r="W137" s="1431" t="str">
        <f>IF(LoadProfile!AA293&lt;=0,"",LoadProfile!AA293)</f>
        <v/>
      </c>
      <c r="X137" s="1431" t="str">
        <f>IF(LoadProfile!AC293&lt;=0,"",LoadProfile!AC293)</f>
        <v/>
      </c>
      <c r="Y137" s="1431" t="str">
        <f>IF(LoadProfile!AE293&lt;=0,"",LoadProfile!AE293)</f>
        <v/>
      </c>
      <c r="Z137" s="1431" t="str">
        <f>IF(LoadProfile!AG293&lt;=0,"",LoadProfile!AG293)</f>
        <v/>
      </c>
      <c r="AA137" s="1566" t="str">
        <f>IF(LoadProfile!AH293&lt;=0,"",LoadProfile!AH293)</f>
        <v/>
      </c>
      <c r="AB137" s="1633"/>
    </row>
    <row r="138" spans="1:28" hidden="1" x14ac:dyDescent="0.2">
      <c r="A138" s="376" t="str">
        <f>LoadProfile!A294</f>
        <v>e</v>
      </c>
      <c r="B138" s="1560" t="str">
        <f>LoadProfile!B294</f>
        <v/>
      </c>
      <c r="C138" s="1436" t="e">
        <f>LoadProfile!C294</f>
        <v>#REF!</v>
      </c>
      <c r="D138" s="1436" t="e">
        <f>LoadProfile!D294</f>
        <v>#REF!</v>
      </c>
      <c r="E138" s="1436" t="e">
        <f>IF(INDEX('Legend(DX)'!$S$14:$S$15,7)=0,"---",INDEX('Legend(DX)'!$S$14:$S$15,7))</f>
        <v>#REF!</v>
      </c>
      <c r="F138" s="1430" t="e">
        <f t="shared" si="7"/>
        <v>#REF!</v>
      </c>
      <c r="G138" s="1436" t="e">
        <f>IF(INDEX('Legend(DX)'!$AD$14:$AD$15,7)=0,"-",INDEX('Legend(DX)'!$AD$14:$AD$15,7))</f>
        <v>#REF!</v>
      </c>
      <c r="H138" s="1430" t="e">
        <f t="shared" si="6"/>
        <v>#REF!</v>
      </c>
      <c r="I138" s="1548"/>
      <c r="J138" s="1442"/>
      <c r="K138" s="1437">
        <f>LoadProfile!F294</f>
        <v>0</v>
      </c>
      <c r="L138" s="1437">
        <f>LoadProfile!G294</f>
        <v>0</v>
      </c>
      <c r="M138" s="1437">
        <f>LoadProfile!H294</f>
        <v>0</v>
      </c>
      <c r="N138" s="1437" t="str">
        <f>IF(LoadProfile!I294&lt;=0,"--",LoadProfile!I294)</f>
        <v>--</v>
      </c>
      <c r="O138" s="1437">
        <f>LoadProfile!J294</f>
        <v>0</v>
      </c>
      <c r="P138" s="1431" t="str">
        <f>IF(LoadProfile!M294&lt;=0,"",LoadProfile!M294)</f>
        <v/>
      </c>
      <c r="Q138" s="1431" t="str">
        <f>IF(LoadProfile!O294&lt;=0,"",LoadProfile!O294)</f>
        <v/>
      </c>
      <c r="R138" s="1431" t="str">
        <f>IF(LoadProfile!Q294&lt;=0,"",LoadProfile!Q294)</f>
        <v/>
      </c>
      <c r="S138" s="1431" t="str">
        <f>IF(LoadProfile!S294&lt;=0,"",LoadProfile!S294)</f>
        <v/>
      </c>
      <c r="T138" s="1431" t="str">
        <f>IF(LoadProfile!U294&lt;=0,"",LoadProfile!U294)</f>
        <v/>
      </c>
      <c r="U138" s="1431" t="str">
        <f>IF(LoadProfile!W294&lt;=0,"",LoadProfile!W294)</f>
        <v/>
      </c>
      <c r="V138" s="1431" t="str">
        <f>IF(LoadProfile!Y294&lt;=0,"",LoadProfile!Y294)</f>
        <v/>
      </c>
      <c r="W138" s="1431" t="str">
        <f>IF(LoadProfile!AA294&lt;=0,"",LoadProfile!AA294)</f>
        <v/>
      </c>
      <c r="X138" s="1431" t="str">
        <f>IF(LoadProfile!AC294&lt;=0,"",LoadProfile!AC294)</f>
        <v/>
      </c>
      <c r="Y138" s="1431" t="str">
        <f>IF(LoadProfile!AE294&lt;=0,"",LoadProfile!AE294)</f>
        <v/>
      </c>
      <c r="Z138" s="1431" t="str">
        <f>IF(LoadProfile!AG294&lt;=0,"",LoadProfile!AG294)</f>
        <v/>
      </c>
      <c r="AA138" s="1566" t="str">
        <f>IF(LoadProfile!AH294&lt;=0,"",LoadProfile!AH294)</f>
        <v/>
      </c>
      <c r="AB138" s="1633"/>
    </row>
    <row r="139" spans="1:28" hidden="1" x14ac:dyDescent="0.2">
      <c r="A139" s="376" t="str">
        <f>LoadProfile!A295</f>
        <v>e</v>
      </c>
      <c r="B139" s="1560" t="str">
        <f>LoadProfile!B295</f>
        <v/>
      </c>
      <c r="C139" s="1436" t="e">
        <f>LoadProfile!C295</f>
        <v>#REF!</v>
      </c>
      <c r="D139" s="1436" t="e">
        <f>LoadProfile!D295</f>
        <v>#REF!</v>
      </c>
      <c r="E139" s="1436" t="e">
        <f>IF(INDEX('Legend(DX)'!$S$14:$S$15,8)=0,"---",INDEX('Legend(DX)'!$S$14:$S$15,8))</f>
        <v>#REF!</v>
      </c>
      <c r="F139" s="1430" t="e">
        <f t="shared" si="7"/>
        <v>#REF!</v>
      </c>
      <c r="G139" s="1436" t="e">
        <f>IF(INDEX('Legend(DX)'!$AD$14:$AD$15,8)=0,"-",INDEX('Legend(DX)'!$AD$14:$AD$15,8))</f>
        <v>#REF!</v>
      </c>
      <c r="H139" s="1430" t="e">
        <f t="shared" si="6"/>
        <v>#REF!</v>
      </c>
      <c r="I139" s="1548"/>
      <c r="J139" s="1442"/>
      <c r="K139" s="1437">
        <f>LoadProfile!F295</f>
        <v>0</v>
      </c>
      <c r="L139" s="1437">
        <f>LoadProfile!G295</f>
        <v>0</v>
      </c>
      <c r="M139" s="1437">
        <f>LoadProfile!H295</f>
        <v>0</v>
      </c>
      <c r="N139" s="1437" t="str">
        <f>IF(LoadProfile!I295&lt;=0,"--",LoadProfile!I295)</f>
        <v>--</v>
      </c>
      <c r="O139" s="1437">
        <f>LoadProfile!J295</f>
        <v>0</v>
      </c>
      <c r="P139" s="1431" t="str">
        <f>IF(LoadProfile!M295&lt;=0,"",LoadProfile!M295)</f>
        <v/>
      </c>
      <c r="Q139" s="1431" t="str">
        <f>IF(LoadProfile!O295&lt;=0,"",LoadProfile!O295)</f>
        <v/>
      </c>
      <c r="R139" s="1431" t="str">
        <f>IF(LoadProfile!Q295&lt;=0,"",LoadProfile!Q295)</f>
        <v/>
      </c>
      <c r="S139" s="1431" t="str">
        <f>IF(LoadProfile!S295&lt;=0,"",LoadProfile!S295)</f>
        <v/>
      </c>
      <c r="T139" s="1431" t="str">
        <f>IF(LoadProfile!U295&lt;=0,"",LoadProfile!U295)</f>
        <v/>
      </c>
      <c r="U139" s="1431" t="str">
        <f>IF(LoadProfile!W295&lt;=0,"",LoadProfile!W295)</f>
        <v/>
      </c>
      <c r="V139" s="1431" t="str">
        <f>IF(LoadProfile!Y295&lt;=0,"",LoadProfile!Y295)</f>
        <v/>
      </c>
      <c r="W139" s="1431" t="str">
        <f>IF(LoadProfile!AA295&lt;=0,"",LoadProfile!AA295)</f>
        <v/>
      </c>
      <c r="X139" s="1431" t="str">
        <f>IF(LoadProfile!AC295&lt;=0,"",LoadProfile!AC295)</f>
        <v/>
      </c>
      <c r="Y139" s="1431" t="str">
        <f>IF(LoadProfile!AE295&lt;=0,"",LoadProfile!AE295)</f>
        <v/>
      </c>
      <c r="Z139" s="1431" t="str">
        <f>IF(LoadProfile!AG295&lt;=0,"",LoadProfile!AG295)</f>
        <v/>
      </c>
      <c r="AA139" s="1566" t="str">
        <f>IF(LoadProfile!AH295&lt;=0,"",LoadProfile!AH295)</f>
        <v/>
      </c>
      <c r="AB139" s="1633"/>
    </row>
    <row r="140" spans="1:28" hidden="1" x14ac:dyDescent="0.2">
      <c r="A140" s="376" t="str">
        <f>LoadProfile!A296</f>
        <v>e</v>
      </c>
      <c r="B140" s="1560" t="str">
        <f>LoadProfile!B296</f>
        <v/>
      </c>
      <c r="C140" s="1436" t="e">
        <f>LoadProfile!C296</f>
        <v>#REF!</v>
      </c>
      <c r="D140" s="1436" t="e">
        <f>LoadProfile!D296</f>
        <v>#REF!</v>
      </c>
      <c r="E140" s="1436" t="e">
        <f>IF(INDEX('Legend(DX)'!$S$14:$S$15,9)=0,"---",INDEX('Legend(DX)'!$S$14:$S$15,9))</f>
        <v>#REF!</v>
      </c>
      <c r="F140" s="1430" t="e">
        <f t="shared" si="7"/>
        <v>#REF!</v>
      </c>
      <c r="G140" s="1436" t="e">
        <f>IF(INDEX('Legend(DX)'!$AD$14:$AD$15,9)=0,"-",INDEX('Legend(DX)'!$AD$14:$AD$15,9))</f>
        <v>#REF!</v>
      </c>
      <c r="H140" s="1430" t="e">
        <f t="shared" si="6"/>
        <v>#REF!</v>
      </c>
      <c r="I140" s="1548"/>
      <c r="J140" s="1442"/>
      <c r="K140" s="1437">
        <f>LoadProfile!F296</f>
        <v>0</v>
      </c>
      <c r="L140" s="1437">
        <f>LoadProfile!G296</f>
        <v>0</v>
      </c>
      <c r="M140" s="1437">
        <f>LoadProfile!H296</f>
        <v>0</v>
      </c>
      <c r="N140" s="1437" t="str">
        <f>IF(LoadProfile!I296&lt;=0,"--",LoadProfile!I296)</f>
        <v>--</v>
      </c>
      <c r="O140" s="1437">
        <f>LoadProfile!J296</f>
        <v>0</v>
      </c>
      <c r="P140" s="1431" t="str">
        <f>IF(LoadProfile!M296&lt;=0,"",LoadProfile!M296)</f>
        <v/>
      </c>
      <c r="Q140" s="1431" t="str">
        <f>IF(LoadProfile!O296&lt;=0,"",LoadProfile!O296)</f>
        <v/>
      </c>
      <c r="R140" s="1431" t="str">
        <f>IF(LoadProfile!Q296&lt;=0,"",LoadProfile!Q296)</f>
        <v/>
      </c>
      <c r="S140" s="1431" t="str">
        <f>IF(LoadProfile!S296&lt;=0,"",LoadProfile!S296)</f>
        <v/>
      </c>
      <c r="T140" s="1431" t="str">
        <f>IF(LoadProfile!U296&lt;=0,"",LoadProfile!U296)</f>
        <v/>
      </c>
      <c r="U140" s="1431" t="str">
        <f>IF(LoadProfile!W296&lt;=0,"",LoadProfile!W296)</f>
        <v/>
      </c>
      <c r="V140" s="1431" t="str">
        <f>IF(LoadProfile!Y296&lt;=0,"",LoadProfile!Y296)</f>
        <v/>
      </c>
      <c r="W140" s="1431" t="str">
        <f>IF(LoadProfile!AA296&lt;=0,"",LoadProfile!AA296)</f>
        <v/>
      </c>
      <c r="X140" s="1431" t="str">
        <f>IF(LoadProfile!AC296&lt;=0,"",LoadProfile!AC296)</f>
        <v/>
      </c>
      <c r="Y140" s="1431" t="str">
        <f>IF(LoadProfile!AE296&lt;=0,"",LoadProfile!AE296)</f>
        <v/>
      </c>
      <c r="Z140" s="1431" t="str">
        <f>IF(LoadProfile!AG296&lt;=0,"",LoadProfile!AG296)</f>
        <v/>
      </c>
      <c r="AA140" s="1566" t="str">
        <f>IF(LoadProfile!AH296&lt;=0,"",LoadProfile!AH296)</f>
        <v/>
      </c>
      <c r="AB140" s="1633"/>
    </row>
    <row r="141" spans="1:28" hidden="1" x14ac:dyDescent="0.2">
      <c r="A141" s="376" t="str">
        <f>LoadProfile!A297</f>
        <v>e</v>
      </c>
      <c r="B141" s="1560" t="str">
        <f>LoadProfile!B297</f>
        <v/>
      </c>
      <c r="C141" s="1436" t="e">
        <f>LoadProfile!C297</f>
        <v>#REF!</v>
      </c>
      <c r="D141" s="1436" t="e">
        <f>LoadProfile!D297</f>
        <v>#REF!</v>
      </c>
      <c r="E141" s="1436" t="e">
        <f>IF(INDEX('Legend(DX)'!$S$14:$S$15,10)=0,"---",INDEX('Legend(DX)'!$S$14:$S$15,10))</f>
        <v>#REF!</v>
      </c>
      <c r="F141" s="1430" t="e">
        <f t="shared" si="7"/>
        <v>#REF!</v>
      </c>
      <c r="G141" s="1436" t="e">
        <f>IF(INDEX('Legend(DX)'!$AD$14:$AD$15,10)=0,"-",INDEX('Legend(DX)'!$AD$14:$AD$15,10))</f>
        <v>#REF!</v>
      </c>
      <c r="H141" s="1430" t="e">
        <f t="shared" si="6"/>
        <v>#REF!</v>
      </c>
      <c r="I141" s="1548"/>
      <c r="J141" s="1442"/>
      <c r="K141" s="1437">
        <f>LoadProfile!F297</f>
        <v>0</v>
      </c>
      <c r="L141" s="1437">
        <f>LoadProfile!G297</f>
        <v>0</v>
      </c>
      <c r="M141" s="1437">
        <f>LoadProfile!H297</f>
        <v>0</v>
      </c>
      <c r="N141" s="1437" t="str">
        <f>IF(LoadProfile!I297&lt;=0,"--",LoadProfile!I297)</f>
        <v>--</v>
      </c>
      <c r="O141" s="1437">
        <f>LoadProfile!J297</f>
        <v>0</v>
      </c>
      <c r="P141" s="1431" t="str">
        <f>IF(LoadProfile!M297&lt;=0,"",LoadProfile!M297)</f>
        <v/>
      </c>
      <c r="Q141" s="1431" t="str">
        <f>IF(LoadProfile!O297&lt;=0,"",LoadProfile!O297)</f>
        <v/>
      </c>
      <c r="R141" s="1431" t="str">
        <f>IF(LoadProfile!Q297&lt;=0,"",LoadProfile!Q297)</f>
        <v/>
      </c>
      <c r="S141" s="1431" t="str">
        <f>IF(LoadProfile!S297&lt;=0,"",LoadProfile!S297)</f>
        <v/>
      </c>
      <c r="T141" s="1431" t="str">
        <f>IF(LoadProfile!U297&lt;=0,"",LoadProfile!U297)</f>
        <v/>
      </c>
      <c r="U141" s="1431" t="str">
        <f>IF(LoadProfile!W297&lt;=0,"",LoadProfile!W297)</f>
        <v/>
      </c>
      <c r="V141" s="1431" t="str">
        <f>IF(LoadProfile!Y297&lt;=0,"",LoadProfile!Y297)</f>
        <v/>
      </c>
      <c r="W141" s="1431" t="str">
        <f>IF(LoadProfile!AA297&lt;=0,"",LoadProfile!AA297)</f>
        <v/>
      </c>
      <c r="X141" s="1431" t="str">
        <f>IF(LoadProfile!AC297&lt;=0,"",LoadProfile!AC297)</f>
        <v/>
      </c>
      <c r="Y141" s="1431" t="str">
        <f>IF(LoadProfile!AE297&lt;=0,"",LoadProfile!AE297)</f>
        <v/>
      </c>
      <c r="Z141" s="1431" t="str">
        <f>IF(LoadProfile!AG297&lt;=0,"",LoadProfile!AG297)</f>
        <v/>
      </c>
      <c r="AA141" s="1566" t="str">
        <f>IF(LoadProfile!AH297&lt;=0,"",LoadProfile!AH297)</f>
        <v/>
      </c>
      <c r="AB141" s="1633"/>
    </row>
    <row r="142" spans="1:28" hidden="1" x14ac:dyDescent="0.2">
      <c r="A142" s="376" t="str">
        <f>LoadProfile!A298</f>
        <v>e</v>
      </c>
      <c r="B142" s="1560" t="str">
        <f>LoadProfile!B298</f>
        <v/>
      </c>
      <c r="C142" s="1436" t="e">
        <f>LoadProfile!C298</f>
        <v>#REF!</v>
      </c>
      <c r="D142" s="1436" t="e">
        <f>LoadProfile!D298</f>
        <v>#REF!</v>
      </c>
      <c r="E142" s="1436" t="e">
        <f>IF(INDEX('Legend(DX)'!$S$14:$S$15,11)=0,"---",INDEX('Legend(DX)'!$S$14:$S$15,11))</f>
        <v>#REF!</v>
      </c>
      <c r="F142" s="1430" t="e">
        <f t="shared" si="7"/>
        <v>#REF!</v>
      </c>
      <c r="G142" s="1436" t="e">
        <f>IF(INDEX('Legend(DX)'!$AD$14:$AD$15,11)=0,"-",INDEX('Legend(DX)'!$AD$14:$AD$15,11))</f>
        <v>#REF!</v>
      </c>
      <c r="H142" s="1430" t="e">
        <f t="shared" si="6"/>
        <v>#REF!</v>
      </c>
      <c r="I142" s="1548"/>
      <c r="J142" s="1442"/>
      <c r="K142" s="1437">
        <f>LoadProfile!F298</f>
        <v>0</v>
      </c>
      <c r="L142" s="1437">
        <f>LoadProfile!G298</f>
        <v>0</v>
      </c>
      <c r="M142" s="1437">
        <f>LoadProfile!H298</f>
        <v>0</v>
      </c>
      <c r="N142" s="1437" t="str">
        <f>IF(LoadProfile!I298&lt;=0,"--",LoadProfile!I298)</f>
        <v>--</v>
      </c>
      <c r="O142" s="1437">
        <f>LoadProfile!J298</f>
        <v>0</v>
      </c>
      <c r="P142" s="1431" t="str">
        <f>IF(LoadProfile!M298&lt;=0,"",LoadProfile!M298)</f>
        <v/>
      </c>
      <c r="Q142" s="1431" t="str">
        <f>IF(LoadProfile!O298&lt;=0,"",LoadProfile!O298)</f>
        <v/>
      </c>
      <c r="R142" s="1431" t="str">
        <f>IF(LoadProfile!Q298&lt;=0,"",LoadProfile!Q298)</f>
        <v/>
      </c>
      <c r="S142" s="1431" t="str">
        <f>IF(LoadProfile!S298&lt;=0,"",LoadProfile!S298)</f>
        <v/>
      </c>
      <c r="T142" s="1431" t="str">
        <f>IF(LoadProfile!U298&lt;=0,"",LoadProfile!U298)</f>
        <v/>
      </c>
      <c r="U142" s="1431" t="str">
        <f>IF(LoadProfile!W298&lt;=0,"",LoadProfile!W298)</f>
        <v/>
      </c>
      <c r="V142" s="1431" t="str">
        <f>IF(LoadProfile!Y298&lt;=0,"",LoadProfile!Y298)</f>
        <v/>
      </c>
      <c r="W142" s="1431" t="str">
        <f>IF(LoadProfile!AA298&lt;=0,"",LoadProfile!AA298)</f>
        <v/>
      </c>
      <c r="X142" s="1431" t="str">
        <f>IF(LoadProfile!AC298&lt;=0,"",LoadProfile!AC298)</f>
        <v/>
      </c>
      <c r="Y142" s="1431" t="str">
        <f>IF(LoadProfile!AE298&lt;=0,"",LoadProfile!AE298)</f>
        <v/>
      </c>
      <c r="Z142" s="1431" t="str">
        <f>IF(LoadProfile!AG298&lt;=0,"",LoadProfile!AG298)</f>
        <v/>
      </c>
      <c r="AA142" s="1566" t="str">
        <f>IF(LoadProfile!AH298&lt;=0,"",LoadProfile!AH298)</f>
        <v/>
      </c>
      <c r="AB142" s="1633"/>
    </row>
    <row r="143" spans="1:28" hidden="1" x14ac:dyDescent="0.2">
      <c r="A143" s="376" t="str">
        <f>LoadProfile!A299</f>
        <v>e</v>
      </c>
      <c r="B143" s="1560" t="str">
        <f>LoadProfile!B299</f>
        <v/>
      </c>
      <c r="C143" s="1436" t="e">
        <f>LoadProfile!C299</f>
        <v>#REF!</v>
      </c>
      <c r="D143" s="1436" t="e">
        <f>LoadProfile!D299</f>
        <v>#REF!</v>
      </c>
      <c r="E143" s="1436" t="e">
        <f>IF(INDEX('Legend(DX)'!$S$14:$S$15,12)=0,"---",INDEX('Legend(DX)'!$S$14:$S$15,12))</f>
        <v>#REF!</v>
      </c>
      <c r="F143" s="1430" t="e">
        <f t="shared" si="7"/>
        <v>#REF!</v>
      </c>
      <c r="G143" s="1436" t="e">
        <f>IF(INDEX('Legend(DX)'!$AD$14:$AD$15,12)=0,"-",INDEX('Legend(DX)'!$AD$14:$AD$15,12))</f>
        <v>#REF!</v>
      </c>
      <c r="H143" s="1430" t="e">
        <f t="shared" si="6"/>
        <v>#REF!</v>
      </c>
      <c r="I143" s="1548"/>
      <c r="J143" s="1442"/>
      <c r="K143" s="1437">
        <f>LoadProfile!F299</f>
        <v>0</v>
      </c>
      <c r="L143" s="1437">
        <f>LoadProfile!G299</f>
        <v>0</v>
      </c>
      <c r="M143" s="1437">
        <f>LoadProfile!H299</f>
        <v>0</v>
      </c>
      <c r="N143" s="1437" t="str">
        <f>IF(LoadProfile!I299&lt;=0,"--",LoadProfile!I299)</f>
        <v>--</v>
      </c>
      <c r="O143" s="1437">
        <f>LoadProfile!J299</f>
        <v>0</v>
      </c>
      <c r="P143" s="1431" t="str">
        <f>IF(LoadProfile!M299&lt;=0,"",LoadProfile!M299)</f>
        <v/>
      </c>
      <c r="Q143" s="1431" t="str">
        <f>IF(LoadProfile!O299&lt;=0,"",LoadProfile!O299)</f>
        <v/>
      </c>
      <c r="R143" s="1431" t="str">
        <f>IF(LoadProfile!Q299&lt;=0,"",LoadProfile!Q299)</f>
        <v/>
      </c>
      <c r="S143" s="1431" t="str">
        <f>IF(LoadProfile!S299&lt;=0,"",LoadProfile!S299)</f>
        <v/>
      </c>
      <c r="T143" s="1431" t="str">
        <f>IF(LoadProfile!U299&lt;=0,"",LoadProfile!U299)</f>
        <v/>
      </c>
      <c r="U143" s="1431" t="str">
        <f>IF(LoadProfile!W299&lt;=0,"",LoadProfile!W299)</f>
        <v/>
      </c>
      <c r="V143" s="1431" t="str">
        <f>IF(LoadProfile!Y299&lt;=0,"",LoadProfile!Y299)</f>
        <v/>
      </c>
      <c r="W143" s="1431" t="str">
        <f>IF(LoadProfile!AA299&lt;=0,"",LoadProfile!AA299)</f>
        <v/>
      </c>
      <c r="X143" s="1431" t="str">
        <f>IF(LoadProfile!AC299&lt;=0,"",LoadProfile!AC299)</f>
        <v/>
      </c>
      <c r="Y143" s="1431" t="str">
        <f>IF(LoadProfile!AE299&lt;=0,"",LoadProfile!AE299)</f>
        <v/>
      </c>
      <c r="Z143" s="1431" t="str">
        <f>IF(LoadProfile!AG299&lt;=0,"",LoadProfile!AG299)</f>
        <v/>
      </c>
      <c r="AA143" s="1566" t="str">
        <f>IF(LoadProfile!AH299&lt;=0,"",LoadProfile!AH299)</f>
        <v/>
      </c>
      <c r="AB143" s="1633"/>
    </row>
    <row r="144" spans="1:28" hidden="1" x14ac:dyDescent="0.2">
      <c r="A144" s="376" t="str">
        <f>LoadProfile!A300</f>
        <v>e</v>
      </c>
      <c r="B144" s="1560" t="str">
        <f>LoadProfile!B300</f>
        <v/>
      </c>
      <c r="C144" s="1436" t="e">
        <f>LoadProfile!C300</f>
        <v>#REF!</v>
      </c>
      <c r="D144" s="1436" t="e">
        <f>LoadProfile!D300</f>
        <v>#REF!</v>
      </c>
      <c r="E144" s="1436" t="e">
        <f>IF(INDEX('Legend(DX)'!$S$14:$S$15,13)=0,"---",INDEX('Legend(DX)'!$S$14:$S$15,13))</f>
        <v>#REF!</v>
      </c>
      <c r="F144" s="1430" t="e">
        <f t="shared" si="7"/>
        <v>#REF!</v>
      </c>
      <c r="G144" s="1436" t="e">
        <f>IF(INDEX('Legend(DX)'!$AD$14:$AD$15,13)=0,"-",INDEX('Legend(DX)'!$AD$14:$AD$15,13))</f>
        <v>#REF!</v>
      </c>
      <c r="H144" s="1430" t="e">
        <f t="shared" si="6"/>
        <v>#REF!</v>
      </c>
      <c r="I144" s="1548"/>
      <c r="J144" s="1442"/>
      <c r="K144" s="1437">
        <f>LoadProfile!F300</f>
        <v>0</v>
      </c>
      <c r="L144" s="1437">
        <f>LoadProfile!G300</f>
        <v>0</v>
      </c>
      <c r="M144" s="1437">
        <f>LoadProfile!H300</f>
        <v>0</v>
      </c>
      <c r="N144" s="1437" t="str">
        <f>IF(LoadProfile!I300&lt;=0,"--",LoadProfile!I300)</f>
        <v>--</v>
      </c>
      <c r="O144" s="1437">
        <f>LoadProfile!J300</f>
        <v>0</v>
      </c>
      <c r="P144" s="1431" t="str">
        <f>IF(LoadProfile!M300&lt;=0,"",LoadProfile!M300)</f>
        <v/>
      </c>
      <c r="Q144" s="1431" t="str">
        <f>IF(LoadProfile!O300&lt;=0,"",LoadProfile!O300)</f>
        <v/>
      </c>
      <c r="R144" s="1431" t="str">
        <f>IF(LoadProfile!Q300&lt;=0,"",LoadProfile!Q300)</f>
        <v/>
      </c>
      <c r="S144" s="1431" t="str">
        <f>IF(LoadProfile!S300&lt;=0,"",LoadProfile!S300)</f>
        <v/>
      </c>
      <c r="T144" s="1431" t="str">
        <f>IF(LoadProfile!U300&lt;=0,"",LoadProfile!U300)</f>
        <v/>
      </c>
      <c r="U144" s="1431" t="str">
        <f>IF(LoadProfile!W300&lt;=0,"",LoadProfile!W300)</f>
        <v/>
      </c>
      <c r="V144" s="1431" t="str">
        <f>IF(LoadProfile!Y300&lt;=0,"",LoadProfile!Y300)</f>
        <v/>
      </c>
      <c r="W144" s="1431" t="str">
        <f>IF(LoadProfile!AA300&lt;=0,"",LoadProfile!AA300)</f>
        <v/>
      </c>
      <c r="X144" s="1431" t="str">
        <f>IF(LoadProfile!AC300&lt;=0,"",LoadProfile!AC300)</f>
        <v/>
      </c>
      <c r="Y144" s="1431" t="str">
        <f>IF(LoadProfile!AE300&lt;=0,"",LoadProfile!AE300)</f>
        <v/>
      </c>
      <c r="Z144" s="1431" t="str">
        <f>IF(LoadProfile!AG300&lt;=0,"",LoadProfile!AG300)</f>
        <v/>
      </c>
      <c r="AA144" s="1566" t="str">
        <f>IF(LoadProfile!AH300&lt;=0,"",LoadProfile!AH300)</f>
        <v/>
      </c>
      <c r="AB144" s="1633"/>
    </row>
    <row r="145" spans="1:28" hidden="1" x14ac:dyDescent="0.2">
      <c r="A145" s="376" t="str">
        <f>LoadProfile!A301</f>
        <v>e</v>
      </c>
      <c r="B145" s="1560" t="str">
        <f>LoadProfile!B301</f>
        <v/>
      </c>
      <c r="C145" s="1436" t="e">
        <f>LoadProfile!C301</f>
        <v>#REF!</v>
      </c>
      <c r="D145" s="1436" t="e">
        <f>LoadProfile!D301</f>
        <v>#REF!</v>
      </c>
      <c r="E145" s="1436" t="e">
        <f>IF(INDEX('Legend(DX)'!$S$14:$S$15,14)=0,"---",INDEX('Legend(DX)'!$S$14:$S$15,14))</f>
        <v>#REF!</v>
      </c>
      <c r="F145" s="1430" t="e">
        <f t="shared" si="7"/>
        <v>#REF!</v>
      </c>
      <c r="G145" s="1436" t="e">
        <f>IF(INDEX('Legend(DX)'!$AD$14:$AD$15,14)=0,"-",INDEX('Legend(DX)'!$AD$14:$AD$15,14))</f>
        <v>#REF!</v>
      </c>
      <c r="H145" s="1430" t="e">
        <f t="shared" si="6"/>
        <v>#REF!</v>
      </c>
      <c r="I145" s="1548"/>
      <c r="J145" s="1442"/>
      <c r="K145" s="1437">
        <f>LoadProfile!F301</f>
        <v>0</v>
      </c>
      <c r="L145" s="1437">
        <f>LoadProfile!G301</f>
        <v>0</v>
      </c>
      <c r="M145" s="1437">
        <f>LoadProfile!H301</f>
        <v>0</v>
      </c>
      <c r="N145" s="1437" t="str">
        <f>IF(LoadProfile!I301&lt;=0,"--",LoadProfile!I301)</f>
        <v>--</v>
      </c>
      <c r="O145" s="1437">
        <f>LoadProfile!J301</f>
        <v>0</v>
      </c>
      <c r="P145" s="1431" t="str">
        <f>IF(LoadProfile!M301&lt;=0,"",LoadProfile!M301)</f>
        <v/>
      </c>
      <c r="Q145" s="1431" t="str">
        <f>IF(LoadProfile!O301&lt;=0,"",LoadProfile!O301)</f>
        <v/>
      </c>
      <c r="R145" s="1431" t="str">
        <f>IF(LoadProfile!Q301&lt;=0,"",LoadProfile!Q301)</f>
        <v/>
      </c>
      <c r="S145" s="1431" t="str">
        <f>IF(LoadProfile!S301&lt;=0,"",LoadProfile!S301)</f>
        <v/>
      </c>
      <c r="T145" s="1431" t="str">
        <f>IF(LoadProfile!U301&lt;=0,"",LoadProfile!U301)</f>
        <v/>
      </c>
      <c r="U145" s="1431" t="str">
        <f>IF(LoadProfile!W301&lt;=0,"",LoadProfile!W301)</f>
        <v/>
      </c>
      <c r="V145" s="1431" t="str">
        <f>IF(LoadProfile!Y301&lt;=0,"",LoadProfile!Y301)</f>
        <v/>
      </c>
      <c r="W145" s="1431" t="str">
        <f>IF(LoadProfile!AA301&lt;=0,"",LoadProfile!AA301)</f>
        <v/>
      </c>
      <c r="X145" s="1431" t="str">
        <f>IF(LoadProfile!AC301&lt;=0,"",LoadProfile!AC301)</f>
        <v/>
      </c>
      <c r="Y145" s="1431" t="str">
        <f>IF(LoadProfile!AE301&lt;=0,"",LoadProfile!AE301)</f>
        <v/>
      </c>
      <c r="Z145" s="1431" t="str">
        <f>IF(LoadProfile!AG301&lt;=0,"",LoadProfile!AG301)</f>
        <v/>
      </c>
      <c r="AA145" s="1566" t="str">
        <f>IF(LoadProfile!AH301&lt;=0,"",LoadProfile!AH301)</f>
        <v/>
      </c>
      <c r="AB145" s="1633"/>
    </row>
    <row r="146" spans="1:28" hidden="1" x14ac:dyDescent="0.2">
      <c r="A146" s="376" t="str">
        <f>LoadProfile!A302</f>
        <v>e</v>
      </c>
      <c r="B146" s="1560" t="str">
        <f>LoadProfile!B302</f>
        <v/>
      </c>
      <c r="C146" s="1436" t="e">
        <f>LoadProfile!C302</f>
        <v>#REF!</v>
      </c>
      <c r="D146" s="1436" t="e">
        <f>LoadProfile!D302</f>
        <v>#REF!</v>
      </c>
      <c r="E146" s="1436" t="e">
        <f>IF(INDEX('Legend(DX)'!$S$14:$S$15,15)=0,"---",INDEX('Legend(DX)'!$S$14:$S$15,15))</f>
        <v>#REF!</v>
      </c>
      <c r="F146" s="1430" t="e">
        <f t="shared" si="7"/>
        <v>#REF!</v>
      </c>
      <c r="G146" s="1436" t="e">
        <f>IF(INDEX('Legend(DX)'!$AD$14:$AD$15,15)=0,"-",INDEX('Legend(DX)'!$AD$14:$AD$15,15))</f>
        <v>#REF!</v>
      </c>
      <c r="H146" s="1430" t="e">
        <f t="shared" ref="H146:H181" si="8">IF(G146="-","-",G146+2)</f>
        <v>#REF!</v>
      </c>
      <c r="I146" s="1548"/>
      <c r="J146" s="1442"/>
      <c r="K146" s="1437">
        <f>LoadProfile!F302</f>
        <v>0</v>
      </c>
      <c r="L146" s="1437">
        <f>LoadProfile!G302</f>
        <v>0</v>
      </c>
      <c r="M146" s="1437">
        <f>LoadProfile!H302</f>
        <v>0</v>
      </c>
      <c r="N146" s="1437" t="str">
        <f>IF(LoadProfile!I302&lt;=0,"--",LoadProfile!I302)</f>
        <v>--</v>
      </c>
      <c r="O146" s="1437">
        <f>LoadProfile!J302</f>
        <v>0</v>
      </c>
      <c r="P146" s="1431" t="str">
        <f>IF(LoadProfile!M302&lt;=0,"",LoadProfile!M302)</f>
        <v/>
      </c>
      <c r="Q146" s="1431" t="str">
        <f>IF(LoadProfile!O302&lt;=0,"",LoadProfile!O302)</f>
        <v/>
      </c>
      <c r="R146" s="1431" t="str">
        <f>IF(LoadProfile!Q302&lt;=0,"",LoadProfile!Q302)</f>
        <v/>
      </c>
      <c r="S146" s="1431" t="str">
        <f>IF(LoadProfile!S302&lt;=0,"",LoadProfile!S302)</f>
        <v/>
      </c>
      <c r="T146" s="1431" t="str">
        <f>IF(LoadProfile!U302&lt;=0,"",LoadProfile!U302)</f>
        <v/>
      </c>
      <c r="U146" s="1431" t="str">
        <f>IF(LoadProfile!W302&lt;=0,"",LoadProfile!W302)</f>
        <v/>
      </c>
      <c r="V146" s="1431" t="str">
        <f>IF(LoadProfile!Y302&lt;=0,"",LoadProfile!Y302)</f>
        <v/>
      </c>
      <c r="W146" s="1431" t="str">
        <f>IF(LoadProfile!AA302&lt;=0,"",LoadProfile!AA302)</f>
        <v/>
      </c>
      <c r="X146" s="1431" t="str">
        <f>IF(LoadProfile!AC302&lt;=0,"",LoadProfile!AC302)</f>
        <v/>
      </c>
      <c r="Y146" s="1431" t="str">
        <f>IF(LoadProfile!AE302&lt;=0,"",LoadProfile!AE302)</f>
        <v/>
      </c>
      <c r="Z146" s="1431" t="str">
        <f>IF(LoadProfile!AG302&lt;=0,"",LoadProfile!AG302)</f>
        <v/>
      </c>
      <c r="AA146" s="1566" t="str">
        <f>IF(LoadProfile!AH302&lt;=0,"",LoadProfile!AH302)</f>
        <v/>
      </c>
      <c r="AB146" s="1633"/>
    </row>
    <row r="147" spans="1:28" hidden="1" x14ac:dyDescent="0.2">
      <c r="A147" s="376" t="str">
        <f>LoadProfile!A303</f>
        <v>e</v>
      </c>
      <c r="B147" s="1560" t="str">
        <f>LoadProfile!B303</f>
        <v/>
      </c>
      <c r="C147" s="1436" t="e">
        <f>LoadProfile!C303</f>
        <v>#REF!</v>
      </c>
      <c r="D147" s="1436" t="e">
        <f>LoadProfile!D303</f>
        <v>#REF!</v>
      </c>
      <c r="E147" s="1436" t="e">
        <f>IF(INDEX('Legend(DX)'!$S$14:$S$15,16)=0,"---",INDEX('Legend(DX)'!$S$14:$S$15,16))</f>
        <v>#REF!</v>
      </c>
      <c r="F147" s="1430" t="e">
        <f t="shared" si="7"/>
        <v>#REF!</v>
      </c>
      <c r="G147" s="1436" t="e">
        <f>IF(INDEX('Legend(DX)'!$AD$14:$AD$15,16)=0,"-",INDEX('Legend(DX)'!$AD$14:$AD$15,16))</f>
        <v>#REF!</v>
      </c>
      <c r="H147" s="1430" t="e">
        <f t="shared" si="8"/>
        <v>#REF!</v>
      </c>
      <c r="I147" s="1548"/>
      <c r="J147" s="1442"/>
      <c r="K147" s="1437">
        <f>LoadProfile!F303</f>
        <v>0</v>
      </c>
      <c r="L147" s="1437">
        <f>LoadProfile!G303</f>
        <v>0</v>
      </c>
      <c r="M147" s="1437">
        <f>LoadProfile!H303</f>
        <v>0</v>
      </c>
      <c r="N147" s="1437" t="str">
        <f>IF(LoadProfile!I303&lt;=0,"--",LoadProfile!I303)</f>
        <v>--</v>
      </c>
      <c r="O147" s="1437">
        <f>LoadProfile!J303</f>
        <v>0</v>
      </c>
      <c r="P147" s="1431" t="str">
        <f>IF(LoadProfile!M303&lt;=0,"",LoadProfile!M303)</f>
        <v/>
      </c>
      <c r="Q147" s="1431" t="str">
        <f>IF(LoadProfile!O303&lt;=0,"",LoadProfile!O303)</f>
        <v/>
      </c>
      <c r="R147" s="1431" t="str">
        <f>IF(LoadProfile!Q303&lt;=0,"",LoadProfile!Q303)</f>
        <v/>
      </c>
      <c r="S147" s="1431" t="str">
        <f>IF(LoadProfile!S303&lt;=0,"",LoadProfile!S303)</f>
        <v/>
      </c>
      <c r="T147" s="1431" t="str">
        <f>IF(LoadProfile!U303&lt;=0,"",LoadProfile!U303)</f>
        <v/>
      </c>
      <c r="U147" s="1431" t="str">
        <f>IF(LoadProfile!W303&lt;=0,"",LoadProfile!W303)</f>
        <v/>
      </c>
      <c r="V147" s="1431" t="str">
        <f>IF(LoadProfile!Y303&lt;=0,"",LoadProfile!Y303)</f>
        <v/>
      </c>
      <c r="W147" s="1431" t="str">
        <f>IF(LoadProfile!AA303&lt;=0,"",LoadProfile!AA303)</f>
        <v/>
      </c>
      <c r="X147" s="1431" t="str">
        <f>IF(LoadProfile!AC303&lt;=0,"",LoadProfile!AC303)</f>
        <v/>
      </c>
      <c r="Y147" s="1431" t="str">
        <f>IF(LoadProfile!AE303&lt;=0,"",LoadProfile!AE303)</f>
        <v/>
      </c>
      <c r="Z147" s="1431" t="str">
        <f>IF(LoadProfile!AG303&lt;=0,"",LoadProfile!AG303)</f>
        <v/>
      </c>
      <c r="AA147" s="1566" t="str">
        <f>IF(LoadProfile!AH303&lt;=0,"",LoadProfile!AH303)</f>
        <v/>
      </c>
      <c r="AB147" s="1633"/>
    </row>
    <row r="148" spans="1:28" hidden="1" x14ac:dyDescent="0.2">
      <c r="A148" s="376" t="str">
        <f>LoadProfile!A304</f>
        <v>e</v>
      </c>
      <c r="B148" s="1560" t="str">
        <f>LoadProfile!B304</f>
        <v/>
      </c>
      <c r="C148" s="1436" t="e">
        <f>LoadProfile!C304</f>
        <v>#REF!</v>
      </c>
      <c r="D148" s="1436" t="e">
        <f>LoadProfile!D304</f>
        <v>#REF!</v>
      </c>
      <c r="E148" s="1436" t="e">
        <f>IF(INDEX('Legend(DX)'!$S$14:$S$15,17)=0,"---",INDEX('Legend(DX)'!$S$14:$S$15,17))</f>
        <v>#REF!</v>
      </c>
      <c r="F148" s="1430" t="e">
        <f t="shared" si="7"/>
        <v>#REF!</v>
      </c>
      <c r="G148" s="1436" t="e">
        <f>IF(INDEX('Legend(DX)'!$AD$14:$AD$15,17)=0,"-",INDEX('Legend(DX)'!$AD$14:$AD$15,17))</f>
        <v>#REF!</v>
      </c>
      <c r="H148" s="1430" t="e">
        <f t="shared" si="8"/>
        <v>#REF!</v>
      </c>
      <c r="I148" s="1548"/>
      <c r="J148" s="1442"/>
      <c r="K148" s="1437">
        <f>LoadProfile!F304</f>
        <v>0</v>
      </c>
      <c r="L148" s="1437">
        <f>LoadProfile!G304</f>
        <v>0</v>
      </c>
      <c r="M148" s="1437">
        <f>LoadProfile!H304</f>
        <v>0</v>
      </c>
      <c r="N148" s="1437" t="str">
        <f>IF(LoadProfile!I304&lt;=0,"--",LoadProfile!I304)</f>
        <v>--</v>
      </c>
      <c r="O148" s="1437">
        <f>LoadProfile!J304</f>
        <v>0</v>
      </c>
      <c r="P148" s="1431" t="str">
        <f>IF(LoadProfile!M304&lt;=0,"",LoadProfile!M304)</f>
        <v/>
      </c>
      <c r="Q148" s="1431" t="str">
        <f>IF(LoadProfile!O304&lt;=0,"",LoadProfile!O304)</f>
        <v/>
      </c>
      <c r="R148" s="1431" t="str">
        <f>IF(LoadProfile!Q304&lt;=0,"",LoadProfile!Q304)</f>
        <v/>
      </c>
      <c r="S148" s="1431" t="str">
        <f>IF(LoadProfile!S304&lt;=0,"",LoadProfile!S304)</f>
        <v/>
      </c>
      <c r="T148" s="1431" t="str">
        <f>IF(LoadProfile!U304&lt;=0,"",LoadProfile!U304)</f>
        <v/>
      </c>
      <c r="U148" s="1431" t="str">
        <f>IF(LoadProfile!W304&lt;=0,"",LoadProfile!W304)</f>
        <v/>
      </c>
      <c r="V148" s="1431" t="str">
        <f>IF(LoadProfile!Y304&lt;=0,"",LoadProfile!Y304)</f>
        <v/>
      </c>
      <c r="W148" s="1431" t="str">
        <f>IF(LoadProfile!AA304&lt;=0,"",LoadProfile!AA304)</f>
        <v/>
      </c>
      <c r="X148" s="1431" t="str">
        <f>IF(LoadProfile!AC304&lt;=0,"",LoadProfile!AC304)</f>
        <v/>
      </c>
      <c r="Y148" s="1431" t="str">
        <f>IF(LoadProfile!AE304&lt;=0,"",LoadProfile!AE304)</f>
        <v/>
      </c>
      <c r="Z148" s="1431" t="str">
        <f>IF(LoadProfile!AG304&lt;=0,"",LoadProfile!AG304)</f>
        <v/>
      </c>
      <c r="AA148" s="1566" t="str">
        <f>IF(LoadProfile!AH304&lt;=0,"",LoadProfile!AH304)</f>
        <v/>
      </c>
      <c r="AB148" s="1633"/>
    </row>
    <row r="149" spans="1:28" hidden="1" x14ac:dyDescent="0.2">
      <c r="A149" s="376" t="str">
        <f>LoadProfile!A305</f>
        <v>e</v>
      </c>
      <c r="B149" s="1560" t="str">
        <f>LoadProfile!B305</f>
        <v/>
      </c>
      <c r="C149" s="1436" t="e">
        <f>LoadProfile!C305</f>
        <v>#REF!</v>
      </c>
      <c r="D149" s="1436" t="e">
        <f>LoadProfile!D305</f>
        <v>#REF!</v>
      </c>
      <c r="E149" s="1436" t="e">
        <f>IF(INDEX('Legend(DX)'!$S$14:$S$15,18)=0,"---",INDEX('Legend(DX)'!$S$14:$S$15,18))</f>
        <v>#REF!</v>
      </c>
      <c r="F149" s="1430" t="e">
        <f t="shared" si="7"/>
        <v>#REF!</v>
      </c>
      <c r="G149" s="1436" t="e">
        <f>IF(INDEX('Legend(DX)'!$AD$14:$AD$15,18)=0,"-",INDEX('Legend(DX)'!$AD$14:$AD$15,18))</f>
        <v>#REF!</v>
      </c>
      <c r="H149" s="1430" t="e">
        <f t="shared" si="8"/>
        <v>#REF!</v>
      </c>
      <c r="I149" s="1548"/>
      <c r="J149" s="1442"/>
      <c r="K149" s="1437">
        <f>LoadProfile!F305</f>
        <v>0</v>
      </c>
      <c r="L149" s="1437">
        <f>LoadProfile!G305</f>
        <v>0</v>
      </c>
      <c r="M149" s="1437">
        <f>LoadProfile!H305</f>
        <v>0</v>
      </c>
      <c r="N149" s="1437" t="str">
        <f>IF(LoadProfile!I305&lt;=0,"--",LoadProfile!I305)</f>
        <v>--</v>
      </c>
      <c r="O149" s="1437">
        <f>LoadProfile!J305</f>
        <v>0</v>
      </c>
      <c r="P149" s="1431" t="str">
        <f>IF(LoadProfile!M305&lt;=0,"",LoadProfile!M305)</f>
        <v/>
      </c>
      <c r="Q149" s="1431" t="str">
        <f>IF(LoadProfile!O305&lt;=0,"",LoadProfile!O305)</f>
        <v/>
      </c>
      <c r="R149" s="1431" t="str">
        <f>IF(LoadProfile!Q305&lt;=0,"",LoadProfile!Q305)</f>
        <v/>
      </c>
      <c r="S149" s="1431" t="str">
        <f>IF(LoadProfile!S305&lt;=0,"",LoadProfile!S305)</f>
        <v/>
      </c>
      <c r="T149" s="1431" t="str">
        <f>IF(LoadProfile!U305&lt;=0,"",LoadProfile!U305)</f>
        <v/>
      </c>
      <c r="U149" s="1431" t="str">
        <f>IF(LoadProfile!W305&lt;=0,"",LoadProfile!W305)</f>
        <v/>
      </c>
      <c r="V149" s="1431" t="str">
        <f>IF(LoadProfile!Y305&lt;=0,"",LoadProfile!Y305)</f>
        <v/>
      </c>
      <c r="W149" s="1431" t="str">
        <f>IF(LoadProfile!AA305&lt;=0,"",LoadProfile!AA305)</f>
        <v/>
      </c>
      <c r="X149" s="1431" t="str">
        <f>IF(LoadProfile!AC305&lt;=0,"",LoadProfile!AC305)</f>
        <v/>
      </c>
      <c r="Y149" s="1431" t="str">
        <f>IF(LoadProfile!AE305&lt;=0,"",LoadProfile!AE305)</f>
        <v/>
      </c>
      <c r="Z149" s="1431" t="str">
        <f>IF(LoadProfile!AG305&lt;=0,"",LoadProfile!AG305)</f>
        <v/>
      </c>
      <c r="AA149" s="1566" t="str">
        <f>IF(LoadProfile!AH305&lt;=0,"",LoadProfile!AH305)</f>
        <v/>
      </c>
      <c r="AB149" s="1633"/>
    </row>
    <row r="150" spans="1:28" hidden="1" x14ac:dyDescent="0.2">
      <c r="A150" s="376" t="str">
        <f>LoadProfile!A306</f>
        <v>e</v>
      </c>
      <c r="B150" s="1560" t="str">
        <f>LoadProfile!B306</f>
        <v/>
      </c>
      <c r="C150" s="1436" t="e">
        <f>LoadProfile!C306</f>
        <v>#REF!</v>
      </c>
      <c r="D150" s="1436" t="e">
        <f>LoadProfile!D306</f>
        <v>#REF!</v>
      </c>
      <c r="E150" s="1436" t="e">
        <f>IF(INDEX('Legend(DX)'!$S$14:$S$15,19)=0,"---",INDEX('Legend(DX)'!$S$14:$S$15,19))</f>
        <v>#REF!</v>
      </c>
      <c r="F150" s="1430" t="e">
        <f t="shared" si="7"/>
        <v>#REF!</v>
      </c>
      <c r="G150" s="1436" t="e">
        <f>IF(INDEX('Legend(DX)'!$AD$14:$AD$15,19)=0,"-",INDEX('Legend(DX)'!$AD$14:$AD$15,19))</f>
        <v>#REF!</v>
      </c>
      <c r="H150" s="1430" t="e">
        <f t="shared" si="8"/>
        <v>#REF!</v>
      </c>
      <c r="I150" s="1548"/>
      <c r="J150" s="1442"/>
      <c r="K150" s="1437">
        <f>LoadProfile!F306</f>
        <v>0</v>
      </c>
      <c r="L150" s="1437">
        <f>LoadProfile!G306</f>
        <v>0</v>
      </c>
      <c r="M150" s="1437">
        <f>LoadProfile!H306</f>
        <v>0</v>
      </c>
      <c r="N150" s="1437" t="str">
        <f>IF(LoadProfile!I306&lt;=0,"--",LoadProfile!I306)</f>
        <v>--</v>
      </c>
      <c r="O150" s="1437">
        <f>LoadProfile!J306</f>
        <v>0</v>
      </c>
      <c r="P150" s="1431" t="str">
        <f>IF(LoadProfile!M306&lt;=0,"",LoadProfile!M306)</f>
        <v/>
      </c>
      <c r="Q150" s="1431" t="str">
        <f>IF(LoadProfile!O306&lt;=0,"",LoadProfile!O306)</f>
        <v/>
      </c>
      <c r="R150" s="1431" t="str">
        <f>IF(LoadProfile!Q306&lt;=0,"",LoadProfile!Q306)</f>
        <v/>
      </c>
      <c r="S150" s="1431" t="str">
        <f>IF(LoadProfile!S306&lt;=0,"",LoadProfile!S306)</f>
        <v/>
      </c>
      <c r="T150" s="1431" t="str">
        <f>IF(LoadProfile!U306&lt;=0,"",LoadProfile!U306)</f>
        <v/>
      </c>
      <c r="U150" s="1431" t="str">
        <f>IF(LoadProfile!W306&lt;=0,"",LoadProfile!W306)</f>
        <v/>
      </c>
      <c r="V150" s="1431" t="str">
        <f>IF(LoadProfile!Y306&lt;=0,"",LoadProfile!Y306)</f>
        <v/>
      </c>
      <c r="W150" s="1431" t="str">
        <f>IF(LoadProfile!AA306&lt;=0,"",LoadProfile!AA306)</f>
        <v/>
      </c>
      <c r="X150" s="1431" t="str">
        <f>IF(LoadProfile!AC306&lt;=0,"",LoadProfile!AC306)</f>
        <v/>
      </c>
      <c r="Y150" s="1431" t="str">
        <f>IF(LoadProfile!AE306&lt;=0,"",LoadProfile!AE306)</f>
        <v/>
      </c>
      <c r="Z150" s="1431" t="str">
        <f>IF(LoadProfile!AG306&lt;=0,"",LoadProfile!AG306)</f>
        <v/>
      </c>
      <c r="AA150" s="1566" t="str">
        <f>IF(LoadProfile!AH306&lt;=0,"",LoadProfile!AH306)</f>
        <v/>
      </c>
      <c r="AB150" s="1633"/>
    </row>
    <row r="151" spans="1:28" hidden="1" x14ac:dyDescent="0.2">
      <c r="A151" s="376" t="str">
        <f>LoadProfile!A307</f>
        <v>e</v>
      </c>
      <c r="B151" s="1560" t="str">
        <f>LoadProfile!B307</f>
        <v/>
      </c>
      <c r="C151" s="1436" t="e">
        <f>LoadProfile!C307</f>
        <v>#REF!</v>
      </c>
      <c r="D151" s="1436" t="e">
        <f>LoadProfile!D307</f>
        <v>#REF!</v>
      </c>
      <c r="E151" s="1436" t="e">
        <f>IF(INDEX('Legend(DX)'!$S$14:$S$15,20)=0,"---",INDEX('Legend(DX)'!$S$14:$S$15,20))</f>
        <v>#REF!</v>
      </c>
      <c r="F151" s="1430" t="e">
        <f t="shared" si="7"/>
        <v>#REF!</v>
      </c>
      <c r="G151" s="1436" t="e">
        <f>IF(INDEX('Legend(DX)'!$AD$14:$AD$15,20)=0,"-",INDEX('Legend(DX)'!$AD$14:$AD$15,20))</f>
        <v>#REF!</v>
      </c>
      <c r="H151" s="1430" t="e">
        <f t="shared" si="8"/>
        <v>#REF!</v>
      </c>
      <c r="I151" s="1548"/>
      <c r="J151" s="1442"/>
      <c r="K151" s="1437">
        <f>LoadProfile!F307</f>
        <v>0</v>
      </c>
      <c r="L151" s="1437">
        <f>LoadProfile!G307</f>
        <v>0</v>
      </c>
      <c r="M151" s="1437">
        <f>LoadProfile!H307</f>
        <v>0</v>
      </c>
      <c r="N151" s="1437" t="str">
        <f>IF(LoadProfile!I307&lt;=0,"--",LoadProfile!I307)</f>
        <v>--</v>
      </c>
      <c r="O151" s="1437">
        <f>LoadProfile!J307</f>
        <v>0</v>
      </c>
      <c r="P151" s="1431" t="str">
        <f>IF(LoadProfile!M307&lt;=0,"",LoadProfile!M307)</f>
        <v/>
      </c>
      <c r="Q151" s="1431" t="str">
        <f>IF(LoadProfile!O307&lt;=0,"",LoadProfile!O307)</f>
        <v/>
      </c>
      <c r="R151" s="1431" t="str">
        <f>IF(LoadProfile!Q307&lt;=0,"",LoadProfile!Q307)</f>
        <v/>
      </c>
      <c r="S151" s="1431" t="str">
        <f>IF(LoadProfile!S307&lt;=0,"",LoadProfile!S307)</f>
        <v/>
      </c>
      <c r="T151" s="1431" t="str">
        <f>IF(LoadProfile!U307&lt;=0,"",LoadProfile!U307)</f>
        <v/>
      </c>
      <c r="U151" s="1431" t="str">
        <f>IF(LoadProfile!W307&lt;=0,"",LoadProfile!W307)</f>
        <v/>
      </c>
      <c r="V151" s="1431" t="str">
        <f>IF(LoadProfile!Y307&lt;=0,"",LoadProfile!Y307)</f>
        <v/>
      </c>
      <c r="W151" s="1431" t="str">
        <f>IF(LoadProfile!AA307&lt;=0,"",LoadProfile!AA307)</f>
        <v/>
      </c>
      <c r="X151" s="1431" t="str">
        <f>IF(LoadProfile!AC307&lt;=0,"",LoadProfile!AC307)</f>
        <v/>
      </c>
      <c r="Y151" s="1431" t="str">
        <f>IF(LoadProfile!AE307&lt;=0,"",LoadProfile!AE307)</f>
        <v/>
      </c>
      <c r="Z151" s="1431" t="str">
        <f>IF(LoadProfile!AG307&lt;=0,"",LoadProfile!AG307)</f>
        <v/>
      </c>
      <c r="AA151" s="1566" t="str">
        <f>IF(LoadProfile!AH307&lt;=0,"",LoadProfile!AH307)</f>
        <v/>
      </c>
      <c r="AB151" s="1633"/>
    </row>
    <row r="152" spans="1:28" hidden="1" x14ac:dyDescent="0.2">
      <c r="A152" s="376" t="str">
        <f>LoadProfile!A308</f>
        <v>e</v>
      </c>
      <c r="B152" s="1560" t="str">
        <f>LoadProfile!B308</f>
        <v/>
      </c>
      <c r="C152" s="1436" t="e">
        <f>LoadProfile!C308</f>
        <v>#REF!</v>
      </c>
      <c r="D152" s="1436" t="e">
        <f>LoadProfile!D308</f>
        <v>#REF!</v>
      </c>
      <c r="E152" s="1436" t="e">
        <f>IF(INDEX('Legend(DX)'!$S$14:$S$15,21)=0,"---",INDEX('Legend(DX)'!$S$14:$S$15,21))</f>
        <v>#REF!</v>
      </c>
      <c r="F152" s="1430" t="e">
        <f t="shared" si="7"/>
        <v>#REF!</v>
      </c>
      <c r="G152" s="1436" t="e">
        <f>IF(INDEX('Legend(DX)'!$AD$14:$AD$15,21)=0,"-",INDEX('Legend(DX)'!$AD$14:$AD$15,21))</f>
        <v>#REF!</v>
      </c>
      <c r="H152" s="1430" t="e">
        <f t="shared" si="8"/>
        <v>#REF!</v>
      </c>
      <c r="I152" s="1548"/>
      <c r="J152" s="1442"/>
      <c r="K152" s="1437">
        <f>LoadProfile!F308</f>
        <v>0</v>
      </c>
      <c r="L152" s="1437">
        <f>LoadProfile!G308</f>
        <v>0</v>
      </c>
      <c r="M152" s="1437">
        <f>LoadProfile!H308</f>
        <v>0</v>
      </c>
      <c r="N152" s="1437" t="str">
        <f>IF(LoadProfile!I308&lt;=0,"--",LoadProfile!I308)</f>
        <v>--</v>
      </c>
      <c r="O152" s="1437">
        <f>LoadProfile!J308</f>
        <v>0</v>
      </c>
      <c r="P152" s="1431" t="str">
        <f>IF(LoadProfile!M308&lt;=0,"",LoadProfile!M308)</f>
        <v/>
      </c>
      <c r="Q152" s="1431" t="str">
        <f>IF(LoadProfile!O308&lt;=0,"",LoadProfile!O308)</f>
        <v/>
      </c>
      <c r="R152" s="1431" t="str">
        <f>IF(LoadProfile!Q308&lt;=0,"",LoadProfile!Q308)</f>
        <v/>
      </c>
      <c r="S152" s="1431" t="str">
        <f>IF(LoadProfile!S308&lt;=0,"",LoadProfile!S308)</f>
        <v/>
      </c>
      <c r="T152" s="1431" t="str">
        <f>IF(LoadProfile!U308&lt;=0,"",LoadProfile!U308)</f>
        <v/>
      </c>
      <c r="U152" s="1431" t="str">
        <f>IF(LoadProfile!W308&lt;=0,"",LoadProfile!W308)</f>
        <v/>
      </c>
      <c r="V152" s="1431" t="str">
        <f>IF(LoadProfile!Y308&lt;=0,"",LoadProfile!Y308)</f>
        <v/>
      </c>
      <c r="W152" s="1431" t="str">
        <f>IF(LoadProfile!AA308&lt;=0,"",LoadProfile!AA308)</f>
        <v/>
      </c>
      <c r="X152" s="1431" t="str">
        <f>IF(LoadProfile!AC308&lt;=0,"",LoadProfile!AC308)</f>
        <v/>
      </c>
      <c r="Y152" s="1431" t="str">
        <f>IF(LoadProfile!AE308&lt;=0,"",LoadProfile!AE308)</f>
        <v/>
      </c>
      <c r="Z152" s="1431" t="str">
        <f>IF(LoadProfile!AG308&lt;=0,"",LoadProfile!AG308)</f>
        <v/>
      </c>
      <c r="AA152" s="1566" t="str">
        <f>IF(LoadProfile!AH308&lt;=0,"",LoadProfile!AH308)</f>
        <v/>
      </c>
      <c r="AB152" s="1633"/>
    </row>
    <row r="153" spans="1:28" hidden="1" x14ac:dyDescent="0.2">
      <c r="A153" s="376" t="str">
        <f>LoadProfile!A309</f>
        <v>e</v>
      </c>
      <c r="B153" s="1560" t="str">
        <f>LoadProfile!B309</f>
        <v/>
      </c>
      <c r="C153" s="1436" t="e">
        <f>LoadProfile!C309</f>
        <v>#REF!</v>
      </c>
      <c r="D153" s="1436" t="e">
        <f>LoadProfile!D309</f>
        <v>#REF!</v>
      </c>
      <c r="E153" s="1436" t="e">
        <f>IF(INDEX('Legend(DX)'!$S$14:$S$15,22)=0,"---",INDEX('Legend(DX)'!$S$14:$S$15,22))</f>
        <v>#REF!</v>
      </c>
      <c r="F153" s="1430" t="e">
        <f t="shared" si="7"/>
        <v>#REF!</v>
      </c>
      <c r="G153" s="1436" t="e">
        <f>IF(INDEX('Legend(DX)'!$AD$14:$AD$15,22)=0,"-",INDEX('Legend(DX)'!$AD$14:$AD$15,22))</f>
        <v>#REF!</v>
      </c>
      <c r="H153" s="1430" t="e">
        <f t="shared" si="8"/>
        <v>#REF!</v>
      </c>
      <c r="I153" s="1548"/>
      <c r="J153" s="1442"/>
      <c r="K153" s="1437">
        <f>LoadProfile!F309</f>
        <v>0</v>
      </c>
      <c r="L153" s="1437">
        <f>LoadProfile!G309</f>
        <v>0</v>
      </c>
      <c r="M153" s="1437">
        <f>LoadProfile!H309</f>
        <v>0</v>
      </c>
      <c r="N153" s="1437" t="str">
        <f>IF(LoadProfile!I309&lt;=0,"--",LoadProfile!I309)</f>
        <v>--</v>
      </c>
      <c r="O153" s="1437">
        <f>LoadProfile!J309</f>
        <v>0</v>
      </c>
      <c r="P153" s="1431" t="str">
        <f>IF(LoadProfile!M309&lt;=0,"",LoadProfile!M309)</f>
        <v/>
      </c>
      <c r="Q153" s="1431" t="str">
        <f>IF(LoadProfile!O309&lt;=0,"",LoadProfile!O309)</f>
        <v/>
      </c>
      <c r="R153" s="1431" t="str">
        <f>IF(LoadProfile!Q309&lt;=0,"",LoadProfile!Q309)</f>
        <v/>
      </c>
      <c r="S153" s="1431" t="str">
        <f>IF(LoadProfile!S309&lt;=0,"",LoadProfile!S309)</f>
        <v/>
      </c>
      <c r="T153" s="1431" t="str">
        <f>IF(LoadProfile!U309&lt;=0,"",LoadProfile!U309)</f>
        <v/>
      </c>
      <c r="U153" s="1431" t="str">
        <f>IF(LoadProfile!W309&lt;=0,"",LoadProfile!W309)</f>
        <v/>
      </c>
      <c r="V153" s="1431" t="str">
        <f>IF(LoadProfile!Y309&lt;=0,"",LoadProfile!Y309)</f>
        <v/>
      </c>
      <c r="W153" s="1431" t="str">
        <f>IF(LoadProfile!AA309&lt;=0,"",LoadProfile!AA309)</f>
        <v/>
      </c>
      <c r="X153" s="1431" t="str">
        <f>IF(LoadProfile!AC309&lt;=0,"",LoadProfile!AC309)</f>
        <v/>
      </c>
      <c r="Y153" s="1431" t="str">
        <f>IF(LoadProfile!AE309&lt;=0,"",LoadProfile!AE309)</f>
        <v/>
      </c>
      <c r="Z153" s="1431" t="str">
        <f>IF(LoadProfile!AG309&lt;=0,"",LoadProfile!AG309)</f>
        <v/>
      </c>
      <c r="AA153" s="1566" t="str">
        <f>IF(LoadProfile!AH309&lt;=0,"",LoadProfile!AH309)</f>
        <v/>
      </c>
      <c r="AB153" s="1633"/>
    </row>
    <row r="154" spans="1:28" hidden="1" x14ac:dyDescent="0.2">
      <c r="A154" s="376" t="str">
        <f>LoadProfile!A310</f>
        <v>e</v>
      </c>
      <c r="B154" s="1560" t="str">
        <f>LoadProfile!B310</f>
        <v/>
      </c>
      <c r="C154" s="1436" t="e">
        <f>LoadProfile!C310</f>
        <v>#REF!</v>
      </c>
      <c r="D154" s="1436" t="e">
        <f>LoadProfile!D310</f>
        <v>#REF!</v>
      </c>
      <c r="E154" s="1436" t="e">
        <f>IF(INDEX('Legend(DX)'!$S$14:$S$15,23)=0,"---",INDEX('Legend(DX)'!$S$14:$S$15,23))</f>
        <v>#REF!</v>
      </c>
      <c r="F154" s="1430" t="e">
        <f t="shared" si="7"/>
        <v>#REF!</v>
      </c>
      <c r="G154" s="1436" t="e">
        <f>IF(INDEX('Legend(DX)'!$AD$14:$AD$15,23)=0,"-",INDEX('Legend(DX)'!$AD$14:$AD$15,23))</f>
        <v>#REF!</v>
      </c>
      <c r="H154" s="1430" t="e">
        <f t="shared" si="8"/>
        <v>#REF!</v>
      </c>
      <c r="I154" s="1548"/>
      <c r="J154" s="1442"/>
      <c r="K154" s="1437">
        <f>LoadProfile!F310</f>
        <v>0</v>
      </c>
      <c r="L154" s="1437">
        <f>LoadProfile!G310</f>
        <v>0</v>
      </c>
      <c r="M154" s="1437">
        <f>LoadProfile!H310</f>
        <v>0</v>
      </c>
      <c r="N154" s="1437" t="str">
        <f>IF(LoadProfile!I310&lt;=0,"--",LoadProfile!I310)</f>
        <v>--</v>
      </c>
      <c r="O154" s="1437">
        <f>LoadProfile!J310</f>
        <v>0</v>
      </c>
      <c r="P154" s="1431" t="str">
        <f>IF(LoadProfile!M310&lt;=0,"",LoadProfile!M310)</f>
        <v/>
      </c>
      <c r="Q154" s="1431" t="str">
        <f>IF(LoadProfile!O310&lt;=0,"",LoadProfile!O310)</f>
        <v/>
      </c>
      <c r="R154" s="1431" t="str">
        <f>IF(LoadProfile!Q310&lt;=0,"",LoadProfile!Q310)</f>
        <v/>
      </c>
      <c r="S154" s="1431" t="str">
        <f>IF(LoadProfile!S310&lt;=0,"",LoadProfile!S310)</f>
        <v/>
      </c>
      <c r="T154" s="1431" t="str">
        <f>IF(LoadProfile!U310&lt;=0,"",LoadProfile!U310)</f>
        <v/>
      </c>
      <c r="U154" s="1431" t="str">
        <f>IF(LoadProfile!W310&lt;=0,"",LoadProfile!W310)</f>
        <v/>
      </c>
      <c r="V154" s="1431" t="str">
        <f>IF(LoadProfile!Y310&lt;=0,"",LoadProfile!Y310)</f>
        <v/>
      </c>
      <c r="W154" s="1431" t="str">
        <f>IF(LoadProfile!AA310&lt;=0,"",LoadProfile!AA310)</f>
        <v/>
      </c>
      <c r="X154" s="1431" t="str">
        <f>IF(LoadProfile!AC310&lt;=0,"",LoadProfile!AC310)</f>
        <v/>
      </c>
      <c r="Y154" s="1431" t="str">
        <f>IF(LoadProfile!AE310&lt;=0,"",LoadProfile!AE310)</f>
        <v/>
      </c>
      <c r="Z154" s="1431" t="str">
        <f>IF(LoadProfile!AG310&lt;=0,"",LoadProfile!AG310)</f>
        <v/>
      </c>
      <c r="AA154" s="1566" t="str">
        <f>IF(LoadProfile!AH310&lt;=0,"",LoadProfile!AH310)</f>
        <v/>
      </c>
      <c r="AB154" s="1633"/>
    </row>
    <row r="155" spans="1:28" hidden="1" x14ac:dyDescent="0.2">
      <c r="A155" s="376" t="str">
        <f>LoadProfile!A311</f>
        <v>e</v>
      </c>
      <c r="B155" s="1560" t="str">
        <f>LoadProfile!B311</f>
        <v/>
      </c>
      <c r="C155" s="1436" t="e">
        <f>LoadProfile!C311</f>
        <v>#REF!</v>
      </c>
      <c r="D155" s="1436" t="e">
        <f>LoadProfile!D311</f>
        <v>#REF!</v>
      </c>
      <c r="E155" s="1436" t="e">
        <f>IF(INDEX('Legend(DX)'!$S$14:$S$15,24)=0,"---",INDEX('Legend(DX)'!$S$14:$S$15,24))</f>
        <v>#REF!</v>
      </c>
      <c r="F155" s="1430" t="e">
        <f t="shared" si="7"/>
        <v>#REF!</v>
      </c>
      <c r="G155" s="1436" t="e">
        <f>IF(INDEX('Legend(DX)'!$AD$14:$AD$15,24)=0,"-",INDEX('Legend(DX)'!$AD$14:$AD$15,24))</f>
        <v>#REF!</v>
      </c>
      <c r="H155" s="1430" t="e">
        <f t="shared" si="8"/>
        <v>#REF!</v>
      </c>
      <c r="I155" s="1548"/>
      <c r="J155" s="1442"/>
      <c r="K155" s="1437">
        <f>LoadProfile!F311</f>
        <v>0</v>
      </c>
      <c r="L155" s="1437">
        <f>LoadProfile!G311</f>
        <v>0</v>
      </c>
      <c r="M155" s="1437">
        <f>LoadProfile!H311</f>
        <v>0</v>
      </c>
      <c r="N155" s="1437" t="str">
        <f>IF(LoadProfile!I311&lt;=0,"--",LoadProfile!I311)</f>
        <v>--</v>
      </c>
      <c r="O155" s="1437">
        <f>LoadProfile!J311</f>
        <v>0</v>
      </c>
      <c r="P155" s="1431" t="str">
        <f>IF(LoadProfile!M311&lt;=0,"",LoadProfile!M311)</f>
        <v/>
      </c>
      <c r="Q155" s="1431" t="str">
        <f>IF(LoadProfile!O311&lt;=0,"",LoadProfile!O311)</f>
        <v/>
      </c>
      <c r="R155" s="1431" t="str">
        <f>IF(LoadProfile!Q311&lt;=0,"",LoadProfile!Q311)</f>
        <v/>
      </c>
      <c r="S155" s="1431" t="str">
        <f>IF(LoadProfile!S311&lt;=0,"",LoadProfile!S311)</f>
        <v/>
      </c>
      <c r="T155" s="1431" t="str">
        <f>IF(LoadProfile!U311&lt;=0,"",LoadProfile!U311)</f>
        <v/>
      </c>
      <c r="U155" s="1431" t="str">
        <f>IF(LoadProfile!W311&lt;=0,"",LoadProfile!W311)</f>
        <v/>
      </c>
      <c r="V155" s="1431" t="str">
        <f>IF(LoadProfile!Y311&lt;=0,"",LoadProfile!Y311)</f>
        <v/>
      </c>
      <c r="W155" s="1431" t="str">
        <f>IF(LoadProfile!AA311&lt;=0,"",LoadProfile!AA311)</f>
        <v/>
      </c>
      <c r="X155" s="1431" t="str">
        <f>IF(LoadProfile!AC311&lt;=0,"",LoadProfile!AC311)</f>
        <v/>
      </c>
      <c r="Y155" s="1431" t="str">
        <f>IF(LoadProfile!AE311&lt;=0,"",LoadProfile!AE311)</f>
        <v/>
      </c>
      <c r="Z155" s="1431" t="str">
        <f>IF(LoadProfile!AG311&lt;=0,"",LoadProfile!AG311)</f>
        <v/>
      </c>
      <c r="AA155" s="1566" t="str">
        <f>IF(LoadProfile!AH311&lt;=0,"",LoadProfile!AH311)</f>
        <v/>
      </c>
      <c r="AB155" s="1633"/>
    </row>
    <row r="156" spans="1:28" hidden="1" x14ac:dyDescent="0.2">
      <c r="A156" s="376" t="str">
        <f>LoadProfile!A312</f>
        <v>e</v>
      </c>
      <c r="B156" s="1560" t="str">
        <f>LoadProfile!B312</f>
        <v/>
      </c>
      <c r="C156" s="1436" t="e">
        <f>LoadProfile!C312</f>
        <v>#REF!</v>
      </c>
      <c r="D156" s="1436" t="e">
        <f>LoadProfile!D312</f>
        <v>#REF!</v>
      </c>
      <c r="E156" s="1436" t="e">
        <f>IF(INDEX('Legend(DX)'!$S$14:$S$15,25)=0,"---",INDEX('Legend(DX)'!$S$14:$S$15,25))</f>
        <v>#REF!</v>
      </c>
      <c r="F156" s="1430" t="e">
        <f t="shared" si="7"/>
        <v>#REF!</v>
      </c>
      <c r="G156" s="1436" t="e">
        <f>IF(INDEX('Legend(DX)'!$AD$14:$AD$15,25)=0,"-",INDEX('Legend(DX)'!$AD$14:$AD$15,25))</f>
        <v>#REF!</v>
      </c>
      <c r="H156" s="1430" t="e">
        <f t="shared" si="8"/>
        <v>#REF!</v>
      </c>
      <c r="I156" s="1548"/>
      <c r="J156" s="1442"/>
      <c r="K156" s="1437">
        <f>LoadProfile!F312</f>
        <v>0</v>
      </c>
      <c r="L156" s="1437">
        <f>LoadProfile!G312</f>
        <v>0</v>
      </c>
      <c r="M156" s="1437">
        <f>LoadProfile!H312</f>
        <v>0</v>
      </c>
      <c r="N156" s="1437" t="str">
        <f>IF(LoadProfile!I312&lt;=0,"--",LoadProfile!I312)</f>
        <v>--</v>
      </c>
      <c r="O156" s="1437">
        <f>LoadProfile!J312</f>
        <v>0</v>
      </c>
      <c r="P156" s="1431" t="str">
        <f>IF(LoadProfile!M312&lt;=0,"",LoadProfile!M312)</f>
        <v/>
      </c>
      <c r="Q156" s="1431" t="str">
        <f>IF(LoadProfile!O312&lt;=0,"",LoadProfile!O312)</f>
        <v/>
      </c>
      <c r="R156" s="1431" t="str">
        <f>IF(LoadProfile!Q312&lt;=0,"",LoadProfile!Q312)</f>
        <v/>
      </c>
      <c r="S156" s="1431" t="str">
        <f>IF(LoadProfile!S312&lt;=0,"",LoadProfile!S312)</f>
        <v/>
      </c>
      <c r="T156" s="1431" t="str">
        <f>IF(LoadProfile!U312&lt;=0,"",LoadProfile!U312)</f>
        <v/>
      </c>
      <c r="U156" s="1431" t="str">
        <f>IF(LoadProfile!W312&lt;=0,"",LoadProfile!W312)</f>
        <v/>
      </c>
      <c r="V156" s="1431" t="str">
        <f>IF(LoadProfile!Y312&lt;=0,"",LoadProfile!Y312)</f>
        <v/>
      </c>
      <c r="W156" s="1431" t="str">
        <f>IF(LoadProfile!AA312&lt;=0,"",LoadProfile!AA312)</f>
        <v/>
      </c>
      <c r="X156" s="1431" t="str">
        <f>IF(LoadProfile!AC312&lt;=0,"",LoadProfile!AC312)</f>
        <v/>
      </c>
      <c r="Y156" s="1431" t="str">
        <f>IF(LoadProfile!AE312&lt;=0,"",LoadProfile!AE312)</f>
        <v/>
      </c>
      <c r="Z156" s="1431" t="str">
        <f>IF(LoadProfile!AG312&lt;=0,"",LoadProfile!AG312)</f>
        <v/>
      </c>
      <c r="AA156" s="1566" t="str">
        <f>IF(LoadProfile!AH312&lt;=0,"",LoadProfile!AH312)</f>
        <v/>
      </c>
      <c r="AB156" s="1633"/>
    </row>
    <row r="157" spans="1:28" hidden="1" x14ac:dyDescent="0.2">
      <c r="A157" s="376" t="str">
        <f>LoadProfile!A313</f>
        <v>e</v>
      </c>
      <c r="B157" s="1560" t="str">
        <f>LoadProfile!B313</f>
        <v/>
      </c>
      <c r="C157" s="1436" t="e">
        <f>LoadProfile!C313</f>
        <v>#REF!</v>
      </c>
      <c r="D157" s="1436" t="e">
        <f>LoadProfile!D313</f>
        <v>#REF!</v>
      </c>
      <c r="E157" s="1436" t="e">
        <f>IF(INDEX('Legend(DX)'!$S$14:$S$15,26)=0,"---",INDEX('Legend(DX)'!$S$14:$S$15,26))</f>
        <v>#REF!</v>
      </c>
      <c r="F157" s="1430" t="e">
        <f t="shared" si="7"/>
        <v>#REF!</v>
      </c>
      <c r="G157" s="1436" t="e">
        <f>IF(INDEX('Legend(DX)'!$AD$14:$AD$15,26)=0,"-",INDEX('Legend(DX)'!$AD$14:$AD$15,26))</f>
        <v>#REF!</v>
      </c>
      <c r="H157" s="1430" t="e">
        <f t="shared" si="8"/>
        <v>#REF!</v>
      </c>
      <c r="I157" s="1548"/>
      <c r="J157" s="1442"/>
      <c r="K157" s="1437">
        <f>LoadProfile!F313</f>
        <v>0</v>
      </c>
      <c r="L157" s="1437">
        <f>LoadProfile!G313</f>
        <v>0</v>
      </c>
      <c r="M157" s="1437">
        <f>LoadProfile!H313</f>
        <v>0</v>
      </c>
      <c r="N157" s="1437" t="str">
        <f>IF(LoadProfile!I313&lt;=0,"--",LoadProfile!I313)</f>
        <v>--</v>
      </c>
      <c r="O157" s="1437">
        <f>LoadProfile!J313</f>
        <v>0</v>
      </c>
      <c r="P157" s="1431" t="str">
        <f>IF(LoadProfile!M313&lt;=0,"",LoadProfile!M313)</f>
        <v/>
      </c>
      <c r="Q157" s="1431" t="str">
        <f>IF(LoadProfile!O313&lt;=0,"",LoadProfile!O313)</f>
        <v/>
      </c>
      <c r="R157" s="1431" t="str">
        <f>IF(LoadProfile!Q313&lt;=0,"",LoadProfile!Q313)</f>
        <v/>
      </c>
      <c r="S157" s="1431" t="str">
        <f>IF(LoadProfile!S313&lt;=0,"",LoadProfile!S313)</f>
        <v/>
      </c>
      <c r="T157" s="1431" t="str">
        <f>IF(LoadProfile!U313&lt;=0,"",LoadProfile!U313)</f>
        <v/>
      </c>
      <c r="U157" s="1431" t="str">
        <f>IF(LoadProfile!W313&lt;=0,"",LoadProfile!W313)</f>
        <v/>
      </c>
      <c r="V157" s="1431" t="str">
        <f>IF(LoadProfile!Y313&lt;=0,"",LoadProfile!Y313)</f>
        <v/>
      </c>
      <c r="W157" s="1431" t="str">
        <f>IF(LoadProfile!AA313&lt;=0,"",LoadProfile!AA313)</f>
        <v/>
      </c>
      <c r="X157" s="1431" t="str">
        <f>IF(LoadProfile!AC313&lt;=0,"",LoadProfile!AC313)</f>
        <v/>
      </c>
      <c r="Y157" s="1431" t="str">
        <f>IF(LoadProfile!AE313&lt;=0,"",LoadProfile!AE313)</f>
        <v/>
      </c>
      <c r="Z157" s="1431" t="str">
        <f>IF(LoadProfile!AG313&lt;=0,"",LoadProfile!AG313)</f>
        <v/>
      </c>
      <c r="AA157" s="1566" t="str">
        <f>IF(LoadProfile!AH313&lt;=0,"",LoadProfile!AH313)</f>
        <v/>
      </c>
      <c r="AB157" s="1633"/>
    </row>
    <row r="158" spans="1:28" hidden="1" x14ac:dyDescent="0.2">
      <c r="A158" s="376" t="str">
        <f>LoadProfile!A314</f>
        <v>e</v>
      </c>
      <c r="B158" s="1560" t="str">
        <f>LoadProfile!B314</f>
        <v/>
      </c>
      <c r="C158" s="1436" t="e">
        <f>LoadProfile!C314</f>
        <v>#REF!</v>
      </c>
      <c r="D158" s="1436" t="e">
        <f>LoadProfile!D314</f>
        <v>#REF!</v>
      </c>
      <c r="E158" s="1436" t="e">
        <f>IF(INDEX('Legend(DX)'!$S$14:$S$15,27)=0,"---",INDEX('Legend(DX)'!$S$14:$S$15,27))</f>
        <v>#REF!</v>
      </c>
      <c r="F158" s="1430" t="e">
        <f t="shared" si="7"/>
        <v>#REF!</v>
      </c>
      <c r="G158" s="1436" t="e">
        <f>IF(INDEX('Legend(DX)'!$AD$14:$AD$15,27)=0,"-",INDEX('Legend(DX)'!$AD$14:$AD$15,27))</f>
        <v>#REF!</v>
      </c>
      <c r="H158" s="1430" t="e">
        <f t="shared" si="8"/>
        <v>#REF!</v>
      </c>
      <c r="I158" s="1548"/>
      <c r="J158" s="1442"/>
      <c r="K158" s="1437">
        <f>LoadProfile!F314</f>
        <v>0</v>
      </c>
      <c r="L158" s="1437">
        <f>LoadProfile!G314</f>
        <v>0</v>
      </c>
      <c r="M158" s="1437">
        <f>LoadProfile!H314</f>
        <v>0</v>
      </c>
      <c r="N158" s="1437" t="str">
        <f>IF(LoadProfile!I314&lt;=0,"--",LoadProfile!I314)</f>
        <v>--</v>
      </c>
      <c r="O158" s="1437">
        <f>LoadProfile!J314</f>
        <v>0</v>
      </c>
      <c r="P158" s="1431" t="str">
        <f>IF(LoadProfile!M314&lt;=0,"",LoadProfile!M314)</f>
        <v/>
      </c>
      <c r="Q158" s="1431" t="str">
        <f>IF(LoadProfile!O314&lt;=0,"",LoadProfile!O314)</f>
        <v/>
      </c>
      <c r="R158" s="1431" t="str">
        <f>IF(LoadProfile!Q314&lt;=0,"",LoadProfile!Q314)</f>
        <v/>
      </c>
      <c r="S158" s="1431" t="str">
        <f>IF(LoadProfile!S314&lt;=0,"",LoadProfile!S314)</f>
        <v/>
      </c>
      <c r="T158" s="1431" t="str">
        <f>IF(LoadProfile!U314&lt;=0,"",LoadProfile!U314)</f>
        <v/>
      </c>
      <c r="U158" s="1431" t="str">
        <f>IF(LoadProfile!W314&lt;=0,"",LoadProfile!W314)</f>
        <v/>
      </c>
      <c r="V158" s="1431" t="str">
        <f>IF(LoadProfile!Y314&lt;=0,"",LoadProfile!Y314)</f>
        <v/>
      </c>
      <c r="W158" s="1431" t="str">
        <f>IF(LoadProfile!AA314&lt;=0,"",LoadProfile!AA314)</f>
        <v/>
      </c>
      <c r="X158" s="1431" t="str">
        <f>IF(LoadProfile!AC314&lt;=0,"",LoadProfile!AC314)</f>
        <v/>
      </c>
      <c r="Y158" s="1431" t="str">
        <f>IF(LoadProfile!AE314&lt;=0,"",LoadProfile!AE314)</f>
        <v/>
      </c>
      <c r="Z158" s="1431" t="str">
        <f>IF(LoadProfile!AG314&lt;=0,"",LoadProfile!AG314)</f>
        <v/>
      </c>
      <c r="AA158" s="1566" t="str">
        <f>IF(LoadProfile!AH314&lt;=0,"",LoadProfile!AH314)</f>
        <v/>
      </c>
      <c r="AB158" s="1633"/>
    </row>
    <row r="159" spans="1:28" hidden="1" x14ac:dyDescent="0.2">
      <c r="A159" s="376" t="str">
        <f>LoadProfile!A315</f>
        <v>e</v>
      </c>
      <c r="B159" s="1560" t="str">
        <f>LoadProfile!B315</f>
        <v/>
      </c>
      <c r="C159" s="1436" t="e">
        <f>LoadProfile!C315</f>
        <v>#REF!</v>
      </c>
      <c r="D159" s="1436" t="e">
        <f>LoadProfile!D315</f>
        <v>#REF!</v>
      </c>
      <c r="E159" s="1436" t="e">
        <f>IF(INDEX('Legend(DX)'!$S$14:$S$15,28)=0,"---",INDEX('Legend(DX)'!$S$14:$S$15,28))</f>
        <v>#REF!</v>
      </c>
      <c r="F159" s="1430" t="e">
        <f t="shared" si="7"/>
        <v>#REF!</v>
      </c>
      <c r="G159" s="1436" t="e">
        <f>IF(INDEX('Legend(DX)'!$AD$14:$AD$15,28)=0,"-",INDEX('Legend(DX)'!$AD$14:$AD$15,28))</f>
        <v>#REF!</v>
      </c>
      <c r="H159" s="1430" t="e">
        <f t="shared" si="8"/>
        <v>#REF!</v>
      </c>
      <c r="I159" s="1548"/>
      <c r="J159" s="1442"/>
      <c r="K159" s="1437">
        <f>LoadProfile!F315</f>
        <v>0</v>
      </c>
      <c r="L159" s="1437">
        <f>LoadProfile!G315</f>
        <v>0</v>
      </c>
      <c r="M159" s="1437">
        <f>LoadProfile!H315</f>
        <v>0</v>
      </c>
      <c r="N159" s="1437" t="str">
        <f>IF(LoadProfile!I315&lt;=0,"--",LoadProfile!I315)</f>
        <v>--</v>
      </c>
      <c r="O159" s="1437">
        <f>LoadProfile!J315</f>
        <v>0</v>
      </c>
      <c r="P159" s="1431" t="str">
        <f>IF(LoadProfile!M315&lt;=0,"",LoadProfile!M315)</f>
        <v/>
      </c>
      <c r="Q159" s="1431" t="str">
        <f>IF(LoadProfile!O315&lt;=0,"",LoadProfile!O315)</f>
        <v/>
      </c>
      <c r="R159" s="1431" t="str">
        <f>IF(LoadProfile!Q315&lt;=0,"",LoadProfile!Q315)</f>
        <v/>
      </c>
      <c r="S159" s="1431" t="str">
        <f>IF(LoadProfile!S315&lt;=0,"",LoadProfile!S315)</f>
        <v/>
      </c>
      <c r="T159" s="1431" t="str">
        <f>IF(LoadProfile!U315&lt;=0,"",LoadProfile!U315)</f>
        <v/>
      </c>
      <c r="U159" s="1431" t="str">
        <f>IF(LoadProfile!W315&lt;=0,"",LoadProfile!W315)</f>
        <v/>
      </c>
      <c r="V159" s="1431" t="str">
        <f>IF(LoadProfile!Y315&lt;=0,"",LoadProfile!Y315)</f>
        <v/>
      </c>
      <c r="W159" s="1431" t="str">
        <f>IF(LoadProfile!AA315&lt;=0,"",LoadProfile!AA315)</f>
        <v/>
      </c>
      <c r="X159" s="1431" t="str">
        <f>IF(LoadProfile!AC315&lt;=0,"",LoadProfile!AC315)</f>
        <v/>
      </c>
      <c r="Y159" s="1431" t="str">
        <f>IF(LoadProfile!AE315&lt;=0,"",LoadProfile!AE315)</f>
        <v/>
      </c>
      <c r="Z159" s="1431" t="str">
        <f>IF(LoadProfile!AG315&lt;=0,"",LoadProfile!AG315)</f>
        <v/>
      </c>
      <c r="AA159" s="1566" t="str">
        <f>IF(LoadProfile!AH315&lt;=0,"",LoadProfile!AH315)</f>
        <v/>
      </c>
      <c r="AB159" s="1633"/>
    </row>
    <row r="160" spans="1:28" hidden="1" x14ac:dyDescent="0.2">
      <c r="A160" s="376" t="str">
        <f>LoadProfile!A316</f>
        <v>e</v>
      </c>
      <c r="B160" s="1560" t="str">
        <f>LoadProfile!B316</f>
        <v/>
      </c>
      <c r="C160" s="1436" t="e">
        <f>LoadProfile!C316</f>
        <v>#REF!</v>
      </c>
      <c r="D160" s="1436" t="e">
        <f>LoadProfile!D316</f>
        <v>#REF!</v>
      </c>
      <c r="E160" s="1436" t="e">
        <f>IF(INDEX('Legend(DX)'!$S$14:$S$15,29)=0,"---",INDEX('Legend(DX)'!$S$14:$S$15,29))</f>
        <v>#REF!</v>
      </c>
      <c r="F160" s="1430" t="e">
        <f t="shared" si="7"/>
        <v>#REF!</v>
      </c>
      <c r="G160" s="1436" t="e">
        <f>IF(INDEX('Legend(DX)'!$AD$14:$AD$15,29)=0,"-",INDEX('Legend(DX)'!$AD$14:$AD$15,29))</f>
        <v>#REF!</v>
      </c>
      <c r="H160" s="1430" t="e">
        <f t="shared" si="8"/>
        <v>#REF!</v>
      </c>
      <c r="I160" s="1548"/>
      <c r="J160" s="1442"/>
      <c r="K160" s="1437">
        <f>LoadProfile!F316</f>
        <v>0</v>
      </c>
      <c r="L160" s="1437">
        <f>LoadProfile!G316</f>
        <v>0</v>
      </c>
      <c r="M160" s="1437">
        <f>LoadProfile!H316</f>
        <v>0</v>
      </c>
      <c r="N160" s="1437" t="str">
        <f>IF(LoadProfile!I316&lt;=0,"--",LoadProfile!I316)</f>
        <v>--</v>
      </c>
      <c r="O160" s="1437">
        <f>LoadProfile!J316</f>
        <v>0</v>
      </c>
      <c r="P160" s="1431" t="str">
        <f>IF(LoadProfile!M316&lt;=0,"",LoadProfile!M316)</f>
        <v/>
      </c>
      <c r="Q160" s="1431" t="str">
        <f>IF(LoadProfile!O316&lt;=0,"",LoadProfile!O316)</f>
        <v/>
      </c>
      <c r="R160" s="1431" t="str">
        <f>IF(LoadProfile!Q316&lt;=0,"",LoadProfile!Q316)</f>
        <v/>
      </c>
      <c r="S160" s="1431" t="str">
        <f>IF(LoadProfile!S316&lt;=0,"",LoadProfile!S316)</f>
        <v/>
      </c>
      <c r="T160" s="1431" t="str">
        <f>IF(LoadProfile!U316&lt;=0,"",LoadProfile!U316)</f>
        <v/>
      </c>
      <c r="U160" s="1431" t="str">
        <f>IF(LoadProfile!W316&lt;=0,"",LoadProfile!W316)</f>
        <v/>
      </c>
      <c r="V160" s="1431" t="str">
        <f>IF(LoadProfile!Y316&lt;=0,"",LoadProfile!Y316)</f>
        <v/>
      </c>
      <c r="W160" s="1431" t="str">
        <f>IF(LoadProfile!AA316&lt;=0,"",LoadProfile!AA316)</f>
        <v/>
      </c>
      <c r="X160" s="1431" t="str">
        <f>IF(LoadProfile!AC316&lt;=0,"",LoadProfile!AC316)</f>
        <v/>
      </c>
      <c r="Y160" s="1431" t="str">
        <f>IF(LoadProfile!AE316&lt;=0,"",LoadProfile!AE316)</f>
        <v/>
      </c>
      <c r="Z160" s="1431" t="str">
        <f>IF(LoadProfile!AG316&lt;=0,"",LoadProfile!AG316)</f>
        <v/>
      </c>
      <c r="AA160" s="1566" t="str">
        <f>IF(LoadProfile!AH316&lt;=0,"",LoadProfile!AH316)</f>
        <v/>
      </c>
      <c r="AB160" s="1633"/>
    </row>
    <row r="161" spans="1:28" hidden="1" x14ac:dyDescent="0.2">
      <c r="A161" s="376" t="str">
        <f>LoadProfile!A317</f>
        <v>e</v>
      </c>
      <c r="B161" s="1560" t="str">
        <f>LoadProfile!B317</f>
        <v/>
      </c>
      <c r="C161" s="1436" t="e">
        <f>LoadProfile!C317</f>
        <v>#REF!</v>
      </c>
      <c r="D161" s="1436" t="e">
        <f>LoadProfile!D317</f>
        <v>#REF!</v>
      </c>
      <c r="E161" s="1436" t="e">
        <f>IF(INDEX('Legend(DX)'!$S$14:$S$15,30)=0,"---",INDEX('Legend(DX)'!$S$14:$S$15,30))</f>
        <v>#REF!</v>
      </c>
      <c r="F161" s="1430" t="e">
        <f t="shared" si="7"/>
        <v>#REF!</v>
      </c>
      <c r="G161" s="1436" t="e">
        <f>IF(INDEX('Legend(DX)'!$AD$14:$AD$15,30)=0,"-",INDEX('Legend(DX)'!$AD$14:$AD$15,30))</f>
        <v>#REF!</v>
      </c>
      <c r="H161" s="1430" t="e">
        <f t="shared" si="8"/>
        <v>#REF!</v>
      </c>
      <c r="I161" s="1548"/>
      <c r="J161" s="1442"/>
      <c r="K161" s="1437">
        <f>LoadProfile!F317</f>
        <v>0</v>
      </c>
      <c r="L161" s="1437">
        <f>LoadProfile!G317</f>
        <v>0</v>
      </c>
      <c r="M161" s="1437">
        <f>LoadProfile!H317</f>
        <v>0</v>
      </c>
      <c r="N161" s="1437" t="str">
        <f>IF(LoadProfile!I317&lt;=0,"--",LoadProfile!I317)</f>
        <v>--</v>
      </c>
      <c r="O161" s="1437">
        <f>LoadProfile!J317</f>
        <v>0</v>
      </c>
      <c r="P161" s="1431" t="str">
        <f>IF(LoadProfile!M317&lt;=0,"",LoadProfile!M317)</f>
        <v/>
      </c>
      <c r="Q161" s="1431" t="str">
        <f>IF(LoadProfile!O317&lt;=0,"",LoadProfile!O317)</f>
        <v/>
      </c>
      <c r="R161" s="1431" t="str">
        <f>IF(LoadProfile!Q317&lt;=0,"",LoadProfile!Q317)</f>
        <v/>
      </c>
      <c r="S161" s="1431" t="str">
        <f>IF(LoadProfile!S317&lt;=0,"",LoadProfile!S317)</f>
        <v/>
      </c>
      <c r="T161" s="1431" t="str">
        <f>IF(LoadProfile!U317&lt;=0,"",LoadProfile!U317)</f>
        <v/>
      </c>
      <c r="U161" s="1431" t="str">
        <f>IF(LoadProfile!W317&lt;=0,"",LoadProfile!W317)</f>
        <v/>
      </c>
      <c r="V161" s="1431" t="str">
        <f>IF(LoadProfile!Y317&lt;=0,"",LoadProfile!Y317)</f>
        <v/>
      </c>
      <c r="W161" s="1431" t="str">
        <f>IF(LoadProfile!AA317&lt;=0,"",LoadProfile!AA317)</f>
        <v/>
      </c>
      <c r="X161" s="1431" t="str">
        <f>IF(LoadProfile!AC317&lt;=0,"",LoadProfile!AC317)</f>
        <v/>
      </c>
      <c r="Y161" s="1431" t="str">
        <f>IF(LoadProfile!AE317&lt;=0,"",LoadProfile!AE317)</f>
        <v/>
      </c>
      <c r="Z161" s="1431" t="str">
        <f>IF(LoadProfile!AG317&lt;=0,"",LoadProfile!AG317)</f>
        <v/>
      </c>
      <c r="AA161" s="1566" t="str">
        <f>IF(LoadProfile!AH317&lt;=0,"",LoadProfile!AH317)</f>
        <v/>
      </c>
      <c r="AB161" s="1633"/>
    </row>
    <row r="162" spans="1:28" hidden="1" x14ac:dyDescent="0.2">
      <c r="A162" s="376" t="str">
        <f>LoadProfile!A318</f>
        <v>e</v>
      </c>
      <c r="B162" s="1560" t="str">
        <f>LoadProfile!B318</f>
        <v/>
      </c>
      <c r="C162" s="1436" t="e">
        <f>LoadProfile!C318</f>
        <v>#REF!</v>
      </c>
      <c r="D162" s="1436" t="e">
        <f>LoadProfile!D318</f>
        <v>#REF!</v>
      </c>
      <c r="E162" s="1436" t="e">
        <f>IF(INDEX('Legend(DX)'!$S$14:$S$15,31)=0,"---",INDEX('Legend(DX)'!$S$14:$S$15,31))</f>
        <v>#REF!</v>
      </c>
      <c r="F162" s="1430" t="e">
        <f t="shared" si="7"/>
        <v>#REF!</v>
      </c>
      <c r="G162" s="1436" t="e">
        <f>IF(INDEX('Legend(DX)'!$AD$14:$AD$15,31)=0,"-",INDEX('Legend(DX)'!$AD$14:$AD$15,31))</f>
        <v>#REF!</v>
      </c>
      <c r="H162" s="1430" t="e">
        <f t="shared" si="8"/>
        <v>#REF!</v>
      </c>
      <c r="I162" s="1548"/>
      <c r="J162" s="1442"/>
      <c r="K162" s="1437">
        <f>LoadProfile!F318</f>
        <v>0</v>
      </c>
      <c r="L162" s="1437">
        <f>LoadProfile!G318</f>
        <v>0</v>
      </c>
      <c r="M162" s="1437">
        <f>LoadProfile!H318</f>
        <v>0</v>
      </c>
      <c r="N162" s="1437" t="str">
        <f>IF(LoadProfile!I318&lt;=0,"--",LoadProfile!I318)</f>
        <v>--</v>
      </c>
      <c r="O162" s="1437">
        <f>LoadProfile!J318</f>
        <v>0</v>
      </c>
      <c r="P162" s="1431" t="str">
        <f>IF(LoadProfile!M318&lt;=0,"",LoadProfile!M318)</f>
        <v/>
      </c>
      <c r="Q162" s="1431" t="str">
        <f>IF(LoadProfile!O318&lt;=0,"",LoadProfile!O318)</f>
        <v/>
      </c>
      <c r="R162" s="1431" t="str">
        <f>IF(LoadProfile!Q318&lt;=0,"",LoadProfile!Q318)</f>
        <v/>
      </c>
      <c r="S162" s="1431" t="str">
        <f>IF(LoadProfile!S318&lt;=0,"",LoadProfile!S318)</f>
        <v/>
      </c>
      <c r="T162" s="1431" t="str">
        <f>IF(LoadProfile!U318&lt;=0,"",LoadProfile!U318)</f>
        <v/>
      </c>
      <c r="U162" s="1431" t="str">
        <f>IF(LoadProfile!W318&lt;=0,"",LoadProfile!W318)</f>
        <v/>
      </c>
      <c r="V162" s="1431" t="str">
        <f>IF(LoadProfile!Y318&lt;=0,"",LoadProfile!Y318)</f>
        <v/>
      </c>
      <c r="W162" s="1431" t="str">
        <f>IF(LoadProfile!AA318&lt;=0,"",LoadProfile!AA318)</f>
        <v/>
      </c>
      <c r="X162" s="1431" t="str">
        <f>IF(LoadProfile!AC318&lt;=0,"",LoadProfile!AC318)</f>
        <v/>
      </c>
      <c r="Y162" s="1431" t="str">
        <f>IF(LoadProfile!AE318&lt;=0,"",LoadProfile!AE318)</f>
        <v/>
      </c>
      <c r="Z162" s="1431" t="str">
        <f>IF(LoadProfile!AG318&lt;=0,"",LoadProfile!AG318)</f>
        <v/>
      </c>
      <c r="AA162" s="1566" t="str">
        <f>IF(LoadProfile!AH318&lt;=0,"",LoadProfile!AH318)</f>
        <v/>
      </c>
      <c r="AB162" s="1633"/>
    </row>
    <row r="163" spans="1:28" hidden="1" x14ac:dyDescent="0.2">
      <c r="A163" s="376" t="str">
        <f>LoadProfile!A319</f>
        <v>e</v>
      </c>
      <c r="B163" s="1560" t="str">
        <f>LoadProfile!B319</f>
        <v/>
      </c>
      <c r="C163" s="1436" t="e">
        <f>LoadProfile!C319</f>
        <v>#REF!</v>
      </c>
      <c r="D163" s="1436" t="e">
        <f>LoadProfile!D319</f>
        <v>#REF!</v>
      </c>
      <c r="E163" s="1436" t="e">
        <f>IF(INDEX('Legend(DX)'!$S$14:$S$15,32)=0,"---",INDEX('Legend(DX)'!$S$14:$S$15,32))</f>
        <v>#REF!</v>
      </c>
      <c r="F163" s="1430" t="e">
        <f t="shared" si="7"/>
        <v>#REF!</v>
      </c>
      <c r="G163" s="1436" t="e">
        <f>IF(INDEX('Legend(DX)'!$AD$14:$AD$15,32)=0,"-",INDEX('Legend(DX)'!$AD$14:$AD$15,32))</f>
        <v>#REF!</v>
      </c>
      <c r="H163" s="1430" t="e">
        <f t="shared" si="8"/>
        <v>#REF!</v>
      </c>
      <c r="I163" s="1548"/>
      <c r="J163" s="1442"/>
      <c r="K163" s="1437">
        <f>LoadProfile!F319</f>
        <v>0</v>
      </c>
      <c r="L163" s="1437">
        <f>LoadProfile!G319</f>
        <v>0</v>
      </c>
      <c r="M163" s="1437">
        <f>LoadProfile!H319</f>
        <v>0</v>
      </c>
      <c r="N163" s="1437" t="str">
        <f>IF(LoadProfile!I319&lt;=0,"--",LoadProfile!I319)</f>
        <v>--</v>
      </c>
      <c r="O163" s="1437">
        <f>LoadProfile!J319</f>
        <v>0</v>
      </c>
      <c r="P163" s="1431" t="str">
        <f>IF(LoadProfile!M319&lt;=0,"",LoadProfile!M319)</f>
        <v/>
      </c>
      <c r="Q163" s="1431" t="str">
        <f>IF(LoadProfile!O319&lt;=0,"",LoadProfile!O319)</f>
        <v/>
      </c>
      <c r="R163" s="1431" t="str">
        <f>IF(LoadProfile!Q319&lt;=0,"",LoadProfile!Q319)</f>
        <v/>
      </c>
      <c r="S163" s="1431" t="str">
        <f>IF(LoadProfile!S319&lt;=0,"",LoadProfile!S319)</f>
        <v/>
      </c>
      <c r="T163" s="1431" t="str">
        <f>IF(LoadProfile!U319&lt;=0,"",LoadProfile!U319)</f>
        <v/>
      </c>
      <c r="U163" s="1431" t="str">
        <f>IF(LoadProfile!W319&lt;=0,"",LoadProfile!W319)</f>
        <v/>
      </c>
      <c r="V163" s="1431" t="str">
        <f>IF(LoadProfile!Y319&lt;=0,"",LoadProfile!Y319)</f>
        <v/>
      </c>
      <c r="W163" s="1431" t="str">
        <f>IF(LoadProfile!AA319&lt;=0,"",LoadProfile!AA319)</f>
        <v/>
      </c>
      <c r="X163" s="1431" t="str">
        <f>IF(LoadProfile!AC319&lt;=0,"",LoadProfile!AC319)</f>
        <v/>
      </c>
      <c r="Y163" s="1431" t="str">
        <f>IF(LoadProfile!AE319&lt;=0,"",LoadProfile!AE319)</f>
        <v/>
      </c>
      <c r="Z163" s="1431" t="str">
        <f>IF(LoadProfile!AG319&lt;=0,"",LoadProfile!AG319)</f>
        <v/>
      </c>
      <c r="AA163" s="1566" t="str">
        <f>IF(LoadProfile!AH319&lt;=0,"",LoadProfile!AH319)</f>
        <v/>
      </c>
      <c r="AB163" s="1633"/>
    </row>
    <row r="164" spans="1:28" hidden="1" x14ac:dyDescent="0.2">
      <c r="A164" s="376" t="str">
        <f>LoadProfile!A320</f>
        <v>e</v>
      </c>
      <c r="B164" s="1560" t="str">
        <f>LoadProfile!B320</f>
        <v/>
      </c>
      <c r="C164" s="1436" t="e">
        <f>LoadProfile!C320</f>
        <v>#REF!</v>
      </c>
      <c r="D164" s="1436" t="e">
        <f>LoadProfile!D320</f>
        <v>#REF!</v>
      </c>
      <c r="E164" s="1436" t="e">
        <f>IF(INDEX('Legend(DX)'!$S$14:$S$15,33)=0,"---",INDEX('Legend(DX)'!$S$14:$S$15,33))</f>
        <v>#REF!</v>
      </c>
      <c r="F164" s="1430" t="e">
        <f t="shared" si="7"/>
        <v>#REF!</v>
      </c>
      <c r="G164" s="1436" t="e">
        <f>IF(INDEX('Legend(DX)'!$AD$14:$AD$15,33)=0,"-",INDEX('Legend(DX)'!$AD$14:$AD$15,33))</f>
        <v>#REF!</v>
      </c>
      <c r="H164" s="1430" t="e">
        <f t="shared" si="8"/>
        <v>#REF!</v>
      </c>
      <c r="I164" s="1548"/>
      <c r="J164" s="1442"/>
      <c r="K164" s="1437">
        <f>LoadProfile!F320</f>
        <v>0</v>
      </c>
      <c r="L164" s="1437">
        <f>LoadProfile!G320</f>
        <v>0</v>
      </c>
      <c r="M164" s="1437">
        <f>LoadProfile!H320</f>
        <v>0</v>
      </c>
      <c r="N164" s="1437" t="str">
        <f>IF(LoadProfile!I320&lt;=0,"--",LoadProfile!I320)</f>
        <v>--</v>
      </c>
      <c r="O164" s="1437">
        <f>LoadProfile!J320</f>
        <v>0</v>
      </c>
      <c r="P164" s="1431" t="str">
        <f>IF(LoadProfile!M320&lt;=0,"",LoadProfile!M320)</f>
        <v/>
      </c>
      <c r="Q164" s="1431" t="str">
        <f>IF(LoadProfile!O320&lt;=0,"",LoadProfile!O320)</f>
        <v/>
      </c>
      <c r="R164" s="1431" t="str">
        <f>IF(LoadProfile!Q320&lt;=0,"",LoadProfile!Q320)</f>
        <v/>
      </c>
      <c r="S164" s="1431" t="str">
        <f>IF(LoadProfile!S320&lt;=0,"",LoadProfile!S320)</f>
        <v/>
      </c>
      <c r="T164" s="1431" t="str">
        <f>IF(LoadProfile!U320&lt;=0,"",LoadProfile!U320)</f>
        <v/>
      </c>
      <c r="U164" s="1431" t="str">
        <f>IF(LoadProfile!W320&lt;=0,"",LoadProfile!W320)</f>
        <v/>
      </c>
      <c r="V164" s="1431" t="str">
        <f>IF(LoadProfile!Y320&lt;=0,"",LoadProfile!Y320)</f>
        <v/>
      </c>
      <c r="W164" s="1431" t="str">
        <f>IF(LoadProfile!AA320&lt;=0,"",LoadProfile!AA320)</f>
        <v/>
      </c>
      <c r="X164" s="1431" t="str">
        <f>IF(LoadProfile!AC320&lt;=0,"",LoadProfile!AC320)</f>
        <v/>
      </c>
      <c r="Y164" s="1431" t="str">
        <f>IF(LoadProfile!AE320&lt;=0,"",LoadProfile!AE320)</f>
        <v/>
      </c>
      <c r="Z164" s="1431" t="str">
        <f>IF(LoadProfile!AG320&lt;=0,"",LoadProfile!AG320)</f>
        <v/>
      </c>
      <c r="AA164" s="1566" t="str">
        <f>IF(LoadProfile!AH320&lt;=0,"",LoadProfile!AH320)</f>
        <v/>
      </c>
      <c r="AB164" s="1633"/>
    </row>
    <row r="165" spans="1:28" hidden="1" x14ac:dyDescent="0.2">
      <c r="A165" s="376" t="str">
        <f>LoadProfile!A321</f>
        <v>e</v>
      </c>
      <c r="B165" s="1560" t="str">
        <f>LoadProfile!B321</f>
        <v/>
      </c>
      <c r="C165" s="1436" t="e">
        <f>LoadProfile!C321</f>
        <v>#REF!</v>
      </c>
      <c r="D165" s="1436" t="e">
        <f>LoadProfile!D321</f>
        <v>#REF!</v>
      </c>
      <c r="E165" s="1436" t="e">
        <f>IF(INDEX('Legend(DX)'!$S$14:$S$15,34)=0,"---",INDEX('Legend(DX)'!$S$14:$S$15,34))</f>
        <v>#REF!</v>
      </c>
      <c r="F165" s="1430" t="e">
        <f t="shared" si="7"/>
        <v>#REF!</v>
      </c>
      <c r="G165" s="1436" t="e">
        <f>IF(INDEX('Legend(DX)'!$AD$14:$AD$15,34)=0,"-",INDEX('Legend(DX)'!$AD$14:$AD$15,34))</f>
        <v>#REF!</v>
      </c>
      <c r="H165" s="1430" t="e">
        <f t="shared" si="8"/>
        <v>#REF!</v>
      </c>
      <c r="I165" s="1548"/>
      <c r="J165" s="1442"/>
      <c r="K165" s="1437">
        <f>LoadProfile!F321</f>
        <v>0</v>
      </c>
      <c r="L165" s="1437">
        <f>LoadProfile!G321</f>
        <v>0</v>
      </c>
      <c r="M165" s="1437">
        <f>LoadProfile!H321</f>
        <v>0</v>
      </c>
      <c r="N165" s="1437" t="str">
        <f>IF(LoadProfile!I321&lt;=0,"--",LoadProfile!I321)</f>
        <v>--</v>
      </c>
      <c r="O165" s="1437">
        <f>LoadProfile!J321</f>
        <v>0</v>
      </c>
      <c r="P165" s="1431" t="str">
        <f>IF(LoadProfile!M321&lt;=0,"",LoadProfile!M321)</f>
        <v/>
      </c>
      <c r="Q165" s="1431" t="str">
        <f>IF(LoadProfile!O321&lt;=0,"",LoadProfile!O321)</f>
        <v/>
      </c>
      <c r="R165" s="1431" t="str">
        <f>IF(LoadProfile!Q321&lt;=0,"",LoadProfile!Q321)</f>
        <v/>
      </c>
      <c r="S165" s="1431" t="str">
        <f>IF(LoadProfile!S321&lt;=0,"",LoadProfile!S321)</f>
        <v/>
      </c>
      <c r="T165" s="1431" t="str">
        <f>IF(LoadProfile!U321&lt;=0,"",LoadProfile!U321)</f>
        <v/>
      </c>
      <c r="U165" s="1431" t="str">
        <f>IF(LoadProfile!W321&lt;=0,"",LoadProfile!W321)</f>
        <v/>
      </c>
      <c r="V165" s="1431" t="str">
        <f>IF(LoadProfile!Y321&lt;=0,"",LoadProfile!Y321)</f>
        <v/>
      </c>
      <c r="W165" s="1431" t="str">
        <f>IF(LoadProfile!AA321&lt;=0,"",LoadProfile!AA321)</f>
        <v/>
      </c>
      <c r="X165" s="1431" t="str">
        <f>IF(LoadProfile!AC321&lt;=0,"",LoadProfile!AC321)</f>
        <v/>
      </c>
      <c r="Y165" s="1431" t="str">
        <f>IF(LoadProfile!AE321&lt;=0,"",LoadProfile!AE321)</f>
        <v/>
      </c>
      <c r="Z165" s="1431" t="str">
        <f>IF(LoadProfile!AG321&lt;=0,"",LoadProfile!AG321)</f>
        <v/>
      </c>
      <c r="AA165" s="1566" t="str">
        <f>IF(LoadProfile!AH321&lt;=0,"",LoadProfile!AH321)</f>
        <v/>
      </c>
      <c r="AB165" s="1633"/>
    </row>
    <row r="166" spans="1:28" hidden="1" x14ac:dyDescent="0.2">
      <c r="A166" s="376" t="str">
        <f>LoadProfile!A322</f>
        <v>e</v>
      </c>
      <c r="B166" s="1560" t="str">
        <f>LoadProfile!B322</f>
        <v/>
      </c>
      <c r="C166" s="1436" t="e">
        <f>LoadProfile!C322</f>
        <v>#REF!</v>
      </c>
      <c r="D166" s="1436" t="e">
        <f>LoadProfile!D322</f>
        <v>#REF!</v>
      </c>
      <c r="E166" s="1436" t="e">
        <f>IF(INDEX('Legend(DX)'!$S$14:$S$15,35)=0,"---",INDEX('Legend(DX)'!$S$14:$S$15,35))</f>
        <v>#REF!</v>
      </c>
      <c r="F166" s="1430" t="e">
        <f t="shared" si="7"/>
        <v>#REF!</v>
      </c>
      <c r="G166" s="1436" t="e">
        <f>IF(INDEX('Legend(DX)'!$AD$14:$AD$15,35)=0,"-",INDEX('Legend(DX)'!$AD$14:$AD$15,35))</f>
        <v>#REF!</v>
      </c>
      <c r="H166" s="1430" t="e">
        <f t="shared" si="8"/>
        <v>#REF!</v>
      </c>
      <c r="I166" s="1548"/>
      <c r="J166" s="1442"/>
      <c r="K166" s="1437">
        <f>LoadProfile!F322</f>
        <v>0</v>
      </c>
      <c r="L166" s="1437">
        <f>LoadProfile!G322</f>
        <v>0</v>
      </c>
      <c r="M166" s="1437">
        <f>LoadProfile!H322</f>
        <v>0</v>
      </c>
      <c r="N166" s="1437" t="str">
        <f>IF(LoadProfile!I322&lt;=0,"--",LoadProfile!I322)</f>
        <v>--</v>
      </c>
      <c r="O166" s="1437">
        <f>LoadProfile!J322</f>
        <v>0</v>
      </c>
      <c r="P166" s="1431" t="str">
        <f>IF(LoadProfile!M322&lt;=0,"",LoadProfile!M322)</f>
        <v/>
      </c>
      <c r="Q166" s="1431" t="str">
        <f>IF(LoadProfile!O322&lt;=0,"",LoadProfile!O322)</f>
        <v/>
      </c>
      <c r="R166" s="1431" t="str">
        <f>IF(LoadProfile!Q322&lt;=0,"",LoadProfile!Q322)</f>
        <v/>
      </c>
      <c r="S166" s="1431" t="str">
        <f>IF(LoadProfile!S322&lt;=0,"",LoadProfile!S322)</f>
        <v/>
      </c>
      <c r="T166" s="1431" t="str">
        <f>IF(LoadProfile!U322&lt;=0,"",LoadProfile!U322)</f>
        <v/>
      </c>
      <c r="U166" s="1431" t="str">
        <f>IF(LoadProfile!W322&lt;=0,"",LoadProfile!W322)</f>
        <v/>
      </c>
      <c r="V166" s="1431" t="str">
        <f>IF(LoadProfile!Y322&lt;=0,"",LoadProfile!Y322)</f>
        <v/>
      </c>
      <c r="W166" s="1431" t="str">
        <f>IF(LoadProfile!AA322&lt;=0,"",LoadProfile!AA322)</f>
        <v/>
      </c>
      <c r="X166" s="1431" t="str">
        <f>IF(LoadProfile!AC322&lt;=0,"",LoadProfile!AC322)</f>
        <v/>
      </c>
      <c r="Y166" s="1431" t="str">
        <f>IF(LoadProfile!AE322&lt;=0,"",LoadProfile!AE322)</f>
        <v/>
      </c>
      <c r="Z166" s="1431" t="str">
        <f>IF(LoadProfile!AG322&lt;=0,"",LoadProfile!AG322)</f>
        <v/>
      </c>
      <c r="AA166" s="1566" t="str">
        <f>IF(LoadProfile!AH322&lt;=0,"",LoadProfile!AH322)</f>
        <v/>
      </c>
      <c r="AB166" s="1633"/>
    </row>
    <row r="167" spans="1:28" hidden="1" x14ac:dyDescent="0.2">
      <c r="A167" s="376" t="str">
        <f>LoadProfile!A323</f>
        <v>e</v>
      </c>
      <c r="B167" s="1560" t="str">
        <f>LoadProfile!B323</f>
        <v/>
      </c>
      <c r="C167" s="1436" t="e">
        <f>LoadProfile!C323</f>
        <v>#REF!</v>
      </c>
      <c r="D167" s="1436" t="e">
        <f>LoadProfile!D323</f>
        <v>#REF!</v>
      </c>
      <c r="E167" s="1436" t="e">
        <f>IF(INDEX('Legend(DX)'!$S$14:$S$15,36)=0,"---",INDEX('Legend(DX)'!$S$14:$S$15,36))</f>
        <v>#REF!</v>
      </c>
      <c r="F167" s="1430" t="e">
        <f t="shared" si="7"/>
        <v>#REF!</v>
      </c>
      <c r="G167" s="1436" t="e">
        <f>IF(INDEX('Legend(DX)'!$AD$14:$AD$15,36)=0,"-",INDEX('Legend(DX)'!$AD$14:$AD$15,36))</f>
        <v>#REF!</v>
      </c>
      <c r="H167" s="1430" t="e">
        <f t="shared" si="8"/>
        <v>#REF!</v>
      </c>
      <c r="I167" s="1548"/>
      <c r="J167" s="1442"/>
      <c r="K167" s="1437">
        <f>LoadProfile!F323</f>
        <v>0</v>
      </c>
      <c r="L167" s="1437">
        <f>LoadProfile!G323</f>
        <v>0</v>
      </c>
      <c r="M167" s="1437">
        <f>LoadProfile!H323</f>
        <v>0</v>
      </c>
      <c r="N167" s="1437" t="str">
        <f>IF(LoadProfile!I323&lt;=0,"--",LoadProfile!I323)</f>
        <v>--</v>
      </c>
      <c r="O167" s="1437">
        <f>LoadProfile!J323</f>
        <v>0</v>
      </c>
      <c r="P167" s="1431" t="str">
        <f>IF(LoadProfile!M323&lt;=0,"",LoadProfile!M323)</f>
        <v/>
      </c>
      <c r="Q167" s="1431" t="str">
        <f>IF(LoadProfile!O323&lt;=0,"",LoadProfile!O323)</f>
        <v/>
      </c>
      <c r="R167" s="1431" t="str">
        <f>IF(LoadProfile!Q323&lt;=0,"",LoadProfile!Q323)</f>
        <v/>
      </c>
      <c r="S167" s="1431" t="str">
        <f>IF(LoadProfile!S323&lt;=0,"",LoadProfile!S323)</f>
        <v/>
      </c>
      <c r="T167" s="1431" t="str">
        <f>IF(LoadProfile!U323&lt;=0,"",LoadProfile!U323)</f>
        <v/>
      </c>
      <c r="U167" s="1431" t="str">
        <f>IF(LoadProfile!W323&lt;=0,"",LoadProfile!W323)</f>
        <v/>
      </c>
      <c r="V167" s="1431" t="str">
        <f>IF(LoadProfile!Y323&lt;=0,"",LoadProfile!Y323)</f>
        <v/>
      </c>
      <c r="W167" s="1431" t="str">
        <f>IF(LoadProfile!AA323&lt;=0,"",LoadProfile!AA323)</f>
        <v/>
      </c>
      <c r="X167" s="1431" t="str">
        <f>IF(LoadProfile!AC323&lt;=0,"",LoadProfile!AC323)</f>
        <v/>
      </c>
      <c r="Y167" s="1431" t="str">
        <f>IF(LoadProfile!AE323&lt;=0,"",LoadProfile!AE323)</f>
        <v/>
      </c>
      <c r="Z167" s="1431" t="str">
        <f>IF(LoadProfile!AG323&lt;=0,"",LoadProfile!AG323)</f>
        <v/>
      </c>
      <c r="AA167" s="1566" t="str">
        <f>IF(LoadProfile!AH323&lt;=0,"",LoadProfile!AH323)</f>
        <v/>
      </c>
      <c r="AB167" s="1633"/>
    </row>
    <row r="168" spans="1:28" hidden="1" x14ac:dyDescent="0.2">
      <c r="A168" s="376" t="str">
        <f>LoadProfile!A324</f>
        <v>e</v>
      </c>
      <c r="B168" s="1560" t="str">
        <f>LoadProfile!B324</f>
        <v/>
      </c>
      <c r="C168" s="1436" t="e">
        <f>LoadProfile!C324</f>
        <v>#REF!</v>
      </c>
      <c r="D168" s="1436" t="e">
        <f>LoadProfile!D324</f>
        <v>#REF!</v>
      </c>
      <c r="E168" s="1436" t="e">
        <f>IF(INDEX('Legend(DX)'!$S$14:$S$15,37)=0,"---",INDEX('Legend(DX)'!$S$14:$S$15,37))</f>
        <v>#REF!</v>
      </c>
      <c r="F168" s="1430" t="e">
        <f t="shared" si="7"/>
        <v>#REF!</v>
      </c>
      <c r="G168" s="1436" t="e">
        <f>IF(INDEX('Legend(DX)'!$AD$14:$AD$15,37)=0,"-",INDEX('Legend(DX)'!$AD$14:$AD$15,37))</f>
        <v>#REF!</v>
      </c>
      <c r="H168" s="1430" t="e">
        <f t="shared" si="8"/>
        <v>#REF!</v>
      </c>
      <c r="I168" s="1548"/>
      <c r="J168" s="1442"/>
      <c r="K168" s="1437">
        <f>LoadProfile!F324</f>
        <v>0</v>
      </c>
      <c r="L168" s="1437">
        <f>LoadProfile!G324</f>
        <v>0</v>
      </c>
      <c r="M168" s="1437">
        <f>LoadProfile!H324</f>
        <v>0</v>
      </c>
      <c r="N168" s="1437" t="str">
        <f>IF(LoadProfile!I324&lt;=0,"--",LoadProfile!I324)</f>
        <v>--</v>
      </c>
      <c r="O168" s="1437">
        <f>LoadProfile!J324</f>
        <v>0</v>
      </c>
      <c r="P168" s="1431" t="str">
        <f>IF(LoadProfile!M324&lt;=0,"",LoadProfile!M324)</f>
        <v/>
      </c>
      <c r="Q168" s="1431" t="str">
        <f>IF(LoadProfile!O324&lt;=0,"",LoadProfile!O324)</f>
        <v/>
      </c>
      <c r="R168" s="1431" t="str">
        <f>IF(LoadProfile!Q324&lt;=0,"",LoadProfile!Q324)</f>
        <v/>
      </c>
      <c r="S168" s="1431" t="str">
        <f>IF(LoadProfile!S324&lt;=0,"",LoadProfile!S324)</f>
        <v/>
      </c>
      <c r="T168" s="1431" t="str">
        <f>IF(LoadProfile!U324&lt;=0,"",LoadProfile!U324)</f>
        <v/>
      </c>
      <c r="U168" s="1431" t="str">
        <f>IF(LoadProfile!W324&lt;=0,"",LoadProfile!W324)</f>
        <v/>
      </c>
      <c r="V168" s="1431" t="str">
        <f>IF(LoadProfile!Y324&lt;=0,"",LoadProfile!Y324)</f>
        <v/>
      </c>
      <c r="W168" s="1431" t="str">
        <f>IF(LoadProfile!AA324&lt;=0,"",LoadProfile!AA324)</f>
        <v/>
      </c>
      <c r="X168" s="1431" t="str">
        <f>IF(LoadProfile!AC324&lt;=0,"",LoadProfile!AC324)</f>
        <v/>
      </c>
      <c r="Y168" s="1431" t="str">
        <f>IF(LoadProfile!AE324&lt;=0,"",LoadProfile!AE324)</f>
        <v/>
      </c>
      <c r="Z168" s="1431" t="str">
        <f>IF(LoadProfile!AG324&lt;=0,"",LoadProfile!AG324)</f>
        <v/>
      </c>
      <c r="AA168" s="1566" t="str">
        <f>IF(LoadProfile!AH324&lt;=0,"",LoadProfile!AH324)</f>
        <v/>
      </c>
      <c r="AB168" s="1633"/>
    </row>
    <row r="169" spans="1:28" hidden="1" x14ac:dyDescent="0.2">
      <c r="A169" s="376" t="str">
        <f>LoadProfile!A325</f>
        <v>e</v>
      </c>
      <c r="B169" s="1560" t="str">
        <f>LoadProfile!B325</f>
        <v/>
      </c>
      <c r="C169" s="1436" t="e">
        <f>LoadProfile!C325</f>
        <v>#REF!</v>
      </c>
      <c r="D169" s="1436" t="e">
        <f>LoadProfile!D325</f>
        <v>#REF!</v>
      </c>
      <c r="E169" s="1436" t="e">
        <f>IF(INDEX('Legend(DX)'!$S$14:$S$15,38)=0,"---",INDEX('Legend(DX)'!$S$14:$S$15,38))</f>
        <v>#REF!</v>
      </c>
      <c r="F169" s="1430" t="e">
        <f t="shared" si="7"/>
        <v>#REF!</v>
      </c>
      <c r="G169" s="1436" t="e">
        <f>IF(INDEX('Legend(DX)'!$AD$14:$AD$15,38)=0,"-",INDEX('Legend(DX)'!$AD$14:$AD$15,38))</f>
        <v>#REF!</v>
      </c>
      <c r="H169" s="1430" t="e">
        <f t="shared" si="8"/>
        <v>#REF!</v>
      </c>
      <c r="I169" s="1548"/>
      <c r="J169" s="1442"/>
      <c r="K169" s="1437">
        <f>LoadProfile!F325</f>
        <v>0</v>
      </c>
      <c r="L169" s="1437">
        <f>LoadProfile!G325</f>
        <v>0</v>
      </c>
      <c r="M169" s="1437">
        <f>LoadProfile!H325</f>
        <v>0</v>
      </c>
      <c r="N169" s="1437" t="str">
        <f>IF(LoadProfile!I325&lt;=0,"--",LoadProfile!I325)</f>
        <v>--</v>
      </c>
      <c r="O169" s="1437">
        <f>LoadProfile!J325</f>
        <v>0</v>
      </c>
      <c r="P169" s="1431" t="str">
        <f>IF(LoadProfile!M325&lt;=0,"",LoadProfile!M325)</f>
        <v/>
      </c>
      <c r="Q169" s="1431" t="str">
        <f>IF(LoadProfile!O325&lt;=0,"",LoadProfile!O325)</f>
        <v/>
      </c>
      <c r="R169" s="1431" t="str">
        <f>IF(LoadProfile!Q325&lt;=0,"",LoadProfile!Q325)</f>
        <v/>
      </c>
      <c r="S169" s="1431" t="str">
        <f>IF(LoadProfile!S325&lt;=0,"",LoadProfile!S325)</f>
        <v/>
      </c>
      <c r="T169" s="1431" t="str">
        <f>IF(LoadProfile!U325&lt;=0,"",LoadProfile!U325)</f>
        <v/>
      </c>
      <c r="U169" s="1431" t="str">
        <f>IF(LoadProfile!W325&lt;=0,"",LoadProfile!W325)</f>
        <v/>
      </c>
      <c r="V169" s="1431" t="str">
        <f>IF(LoadProfile!Y325&lt;=0,"",LoadProfile!Y325)</f>
        <v/>
      </c>
      <c r="W169" s="1431" t="str">
        <f>IF(LoadProfile!AA325&lt;=0,"",LoadProfile!AA325)</f>
        <v/>
      </c>
      <c r="X169" s="1431" t="str">
        <f>IF(LoadProfile!AC325&lt;=0,"",LoadProfile!AC325)</f>
        <v/>
      </c>
      <c r="Y169" s="1431" t="str">
        <f>IF(LoadProfile!AE325&lt;=0,"",LoadProfile!AE325)</f>
        <v/>
      </c>
      <c r="Z169" s="1431" t="str">
        <f>IF(LoadProfile!AG325&lt;=0,"",LoadProfile!AG325)</f>
        <v/>
      </c>
      <c r="AA169" s="1566" t="str">
        <f>IF(LoadProfile!AH325&lt;=0,"",LoadProfile!AH325)</f>
        <v/>
      </c>
      <c r="AB169" s="1633"/>
    </row>
    <row r="170" spans="1:28" hidden="1" x14ac:dyDescent="0.2">
      <c r="A170" s="376" t="str">
        <f>LoadProfile!A326</f>
        <v>e</v>
      </c>
      <c r="B170" s="1560" t="str">
        <f>LoadProfile!B326</f>
        <v/>
      </c>
      <c r="C170" s="1436" t="e">
        <f>LoadProfile!C326</f>
        <v>#REF!</v>
      </c>
      <c r="D170" s="1436" t="e">
        <f>LoadProfile!D326</f>
        <v>#REF!</v>
      </c>
      <c r="E170" s="1436" t="e">
        <f>IF(INDEX('Legend(DX)'!$S$14:$S$15,39)=0,"---",INDEX('Legend(DX)'!$S$14:$S$15,39))</f>
        <v>#REF!</v>
      </c>
      <c r="F170" s="1430" t="e">
        <f t="shared" si="7"/>
        <v>#REF!</v>
      </c>
      <c r="G170" s="1436" t="e">
        <f>IF(INDEX('Legend(DX)'!$AD$14:$AD$15,39)=0,"-",INDEX('Legend(DX)'!$AD$14:$AD$15,39))</f>
        <v>#REF!</v>
      </c>
      <c r="H170" s="1430" t="e">
        <f t="shared" si="8"/>
        <v>#REF!</v>
      </c>
      <c r="I170" s="1548"/>
      <c r="J170" s="1442"/>
      <c r="K170" s="1437">
        <f>LoadProfile!F326</f>
        <v>0</v>
      </c>
      <c r="L170" s="1437">
        <f>LoadProfile!G326</f>
        <v>0</v>
      </c>
      <c r="M170" s="1437">
        <f>LoadProfile!H326</f>
        <v>0</v>
      </c>
      <c r="N170" s="1437" t="str">
        <f>IF(LoadProfile!I326&lt;=0,"--",LoadProfile!I326)</f>
        <v>--</v>
      </c>
      <c r="O170" s="1437">
        <f>LoadProfile!J326</f>
        <v>0</v>
      </c>
      <c r="P170" s="1431" t="str">
        <f>IF(LoadProfile!M326&lt;=0,"",LoadProfile!M326)</f>
        <v/>
      </c>
      <c r="Q170" s="1431" t="str">
        <f>IF(LoadProfile!O326&lt;=0,"",LoadProfile!O326)</f>
        <v/>
      </c>
      <c r="R170" s="1431" t="str">
        <f>IF(LoadProfile!Q326&lt;=0,"",LoadProfile!Q326)</f>
        <v/>
      </c>
      <c r="S170" s="1431" t="str">
        <f>IF(LoadProfile!S326&lt;=0,"",LoadProfile!S326)</f>
        <v/>
      </c>
      <c r="T170" s="1431" t="str">
        <f>IF(LoadProfile!U326&lt;=0,"",LoadProfile!U326)</f>
        <v/>
      </c>
      <c r="U170" s="1431" t="str">
        <f>IF(LoadProfile!W326&lt;=0,"",LoadProfile!W326)</f>
        <v/>
      </c>
      <c r="V170" s="1431" t="str">
        <f>IF(LoadProfile!Y326&lt;=0,"",LoadProfile!Y326)</f>
        <v/>
      </c>
      <c r="W170" s="1431" t="str">
        <f>IF(LoadProfile!AA326&lt;=0,"",LoadProfile!AA326)</f>
        <v/>
      </c>
      <c r="X170" s="1431" t="str">
        <f>IF(LoadProfile!AC326&lt;=0,"",LoadProfile!AC326)</f>
        <v/>
      </c>
      <c r="Y170" s="1431" t="str">
        <f>IF(LoadProfile!AE326&lt;=0,"",LoadProfile!AE326)</f>
        <v/>
      </c>
      <c r="Z170" s="1431" t="str">
        <f>IF(LoadProfile!AG326&lt;=0,"",LoadProfile!AG326)</f>
        <v/>
      </c>
      <c r="AA170" s="1566" t="str">
        <f>IF(LoadProfile!AH326&lt;=0,"",LoadProfile!AH326)</f>
        <v/>
      </c>
      <c r="AB170" s="1633"/>
    </row>
    <row r="171" spans="1:28" hidden="1" x14ac:dyDescent="0.2">
      <c r="A171" s="376" t="str">
        <f>LoadProfile!A327</f>
        <v>e</v>
      </c>
      <c r="B171" s="1560" t="str">
        <f>LoadProfile!B327</f>
        <v/>
      </c>
      <c r="C171" s="1436" t="e">
        <f>LoadProfile!C327</f>
        <v>#REF!</v>
      </c>
      <c r="D171" s="1436" t="e">
        <f>LoadProfile!D327</f>
        <v>#REF!</v>
      </c>
      <c r="E171" s="1436" t="e">
        <f>IF(INDEX('Legend(DX)'!$S$14:$S$15,40)=0,"---",INDEX('Legend(DX)'!$S$14:$S$15,40))</f>
        <v>#REF!</v>
      </c>
      <c r="F171" s="1430" t="e">
        <f t="shared" si="7"/>
        <v>#REF!</v>
      </c>
      <c r="G171" s="1436" t="e">
        <f>IF(INDEX('Legend(DX)'!$AD$14:$AD$15,40)=0,"-",INDEX('Legend(DX)'!$AD$14:$AD$15,40))</f>
        <v>#REF!</v>
      </c>
      <c r="H171" s="1430" t="e">
        <f t="shared" si="8"/>
        <v>#REF!</v>
      </c>
      <c r="I171" s="1548"/>
      <c r="J171" s="1442"/>
      <c r="K171" s="1437">
        <f>LoadProfile!F327</f>
        <v>0</v>
      </c>
      <c r="L171" s="1437">
        <f>LoadProfile!G327</f>
        <v>0</v>
      </c>
      <c r="M171" s="1437">
        <f>LoadProfile!H327</f>
        <v>0</v>
      </c>
      <c r="N171" s="1437" t="str">
        <f>IF(LoadProfile!I327&lt;=0,"--",LoadProfile!I327)</f>
        <v>--</v>
      </c>
      <c r="O171" s="1437">
        <f>LoadProfile!J327</f>
        <v>0</v>
      </c>
      <c r="P171" s="1431" t="str">
        <f>IF(LoadProfile!M327&lt;=0,"",LoadProfile!M327)</f>
        <v/>
      </c>
      <c r="Q171" s="1431" t="str">
        <f>IF(LoadProfile!O327&lt;=0,"",LoadProfile!O327)</f>
        <v/>
      </c>
      <c r="R171" s="1431" t="str">
        <f>IF(LoadProfile!Q327&lt;=0,"",LoadProfile!Q327)</f>
        <v/>
      </c>
      <c r="S171" s="1431" t="str">
        <f>IF(LoadProfile!S327&lt;=0,"",LoadProfile!S327)</f>
        <v/>
      </c>
      <c r="T171" s="1431" t="str">
        <f>IF(LoadProfile!U327&lt;=0,"",LoadProfile!U327)</f>
        <v/>
      </c>
      <c r="U171" s="1431" t="str">
        <f>IF(LoadProfile!W327&lt;=0,"",LoadProfile!W327)</f>
        <v/>
      </c>
      <c r="V171" s="1431" t="str">
        <f>IF(LoadProfile!Y327&lt;=0,"",LoadProfile!Y327)</f>
        <v/>
      </c>
      <c r="W171" s="1431" t="str">
        <f>IF(LoadProfile!AA327&lt;=0,"",LoadProfile!AA327)</f>
        <v/>
      </c>
      <c r="X171" s="1431" t="str">
        <f>IF(LoadProfile!AC327&lt;=0,"",LoadProfile!AC327)</f>
        <v/>
      </c>
      <c r="Y171" s="1431" t="str">
        <f>IF(LoadProfile!AE327&lt;=0,"",LoadProfile!AE327)</f>
        <v/>
      </c>
      <c r="Z171" s="1431" t="str">
        <f>IF(LoadProfile!AG327&lt;=0,"",LoadProfile!AG327)</f>
        <v/>
      </c>
      <c r="AA171" s="1566" t="str">
        <f>IF(LoadProfile!AH327&lt;=0,"",LoadProfile!AH327)</f>
        <v/>
      </c>
      <c r="AB171" s="1633"/>
    </row>
    <row r="172" spans="1:28" hidden="1" x14ac:dyDescent="0.2">
      <c r="A172" s="376" t="str">
        <f>LoadProfile!A328</f>
        <v>e</v>
      </c>
      <c r="B172" s="1560" t="str">
        <f>LoadProfile!B328</f>
        <v/>
      </c>
      <c r="C172" s="1436" t="e">
        <f>LoadProfile!C328</f>
        <v>#REF!</v>
      </c>
      <c r="D172" s="1436" t="e">
        <f>LoadProfile!D328</f>
        <v>#REF!</v>
      </c>
      <c r="E172" s="1436" t="e">
        <f>IF(INDEX('Legend(DX)'!$S$14:$S$15,41)=0,"---",INDEX('Legend(DX)'!$S$14:$S$15,41))</f>
        <v>#REF!</v>
      </c>
      <c r="F172" s="1430" t="e">
        <f t="shared" si="7"/>
        <v>#REF!</v>
      </c>
      <c r="G172" s="1436" t="e">
        <f>IF(INDEX('Legend(DX)'!$AD$14:$AD$15,41)=0,"-",INDEX('Legend(DX)'!$AD$14:$AD$15,41))</f>
        <v>#REF!</v>
      </c>
      <c r="H172" s="1430" t="e">
        <f t="shared" si="8"/>
        <v>#REF!</v>
      </c>
      <c r="I172" s="1548"/>
      <c r="J172" s="1442"/>
      <c r="K172" s="1437">
        <f>LoadProfile!F328</f>
        <v>0</v>
      </c>
      <c r="L172" s="1437">
        <f>LoadProfile!G328</f>
        <v>0</v>
      </c>
      <c r="M172" s="1437">
        <f>LoadProfile!H328</f>
        <v>0</v>
      </c>
      <c r="N172" s="1437" t="str">
        <f>IF(LoadProfile!I328&lt;=0,"--",LoadProfile!I328)</f>
        <v>--</v>
      </c>
      <c r="O172" s="1437">
        <f>LoadProfile!J328</f>
        <v>0</v>
      </c>
      <c r="P172" s="1431" t="str">
        <f>IF(LoadProfile!M328&lt;=0,"",LoadProfile!M328)</f>
        <v/>
      </c>
      <c r="Q172" s="1431" t="str">
        <f>IF(LoadProfile!O328&lt;=0,"",LoadProfile!O328)</f>
        <v/>
      </c>
      <c r="R172" s="1431" t="str">
        <f>IF(LoadProfile!Q328&lt;=0,"",LoadProfile!Q328)</f>
        <v/>
      </c>
      <c r="S172" s="1431" t="str">
        <f>IF(LoadProfile!S328&lt;=0,"",LoadProfile!S328)</f>
        <v/>
      </c>
      <c r="T172" s="1431" t="str">
        <f>IF(LoadProfile!U328&lt;=0,"",LoadProfile!U328)</f>
        <v/>
      </c>
      <c r="U172" s="1431" t="str">
        <f>IF(LoadProfile!W328&lt;=0,"",LoadProfile!W328)</f>
        <v/>
      </c>
      <c r="V172" s="1431" t="str">
        <f>IF(LoadProfile!Y328&lt;=0,"",LoadProfile!Y328)</f>
        <v/>
      </c>
      <c r="W172" s="1431" t="str">
        <f>IF(LoadProfile!AA328&lt;=0,"",LoadProfile!AA328)</f>
        <v/>
      </c>
      <c r="X172" s="1431" t="str">
        <f>IF(LoadProfile!AC328&lt;=0,"",LoadProfile!AC328)</f>
        <v/>
      </c>
      <c r="Y172" s="1431" t="str">
        <f>IF(LoadProfile!AE328&lt;=0,"",LoadProfile!AE328)</f>
        <v/>
      </c>
      <c r="Z172" s="1431" t="str">
        <f>IF(LoadProfile!AG328&lt;=0,"",LoadProfile!AG328)</f>
        <v/>
      </c>
      <c r="AA172" s="1566" t="str">
        <f>IF(LoadProfile!AH328&lt;=0,"",LoadProfile!AH328)</f>
        <v/>
      </c>
      <c r="AB172" s="1633"/>
    </row>
    <row r="173" spans="1:28" hidden="1" x14ac:dyDescent="0.2">
      <c r="A173" s="376" t="str">
        <f>LoadProfile!A329</f>
        <v>e</v>
      </c>
      <c r="B173" s="1560" t="str">
        <f>LoadProfile!B329</f>
        <v/>
      </c>
      <c r="C173" s="1436" t="e">
        <f>LoadProfile!C329</f>
        <v>#REF!</v>
      </c>
      <c r="D173" s="1436" t="e">
        <f>LoadProfile!D329</f>
        <v>#REF!</v>
      </c>
      <c r="E173" s="1436" t="e">
        <f>IF(INDEX('Legend(DX)'!$S$14:$S$15,42)=0,"---",INDEX('Legend(DX)'!$S$14:$S$15,42))</f>
        <v>#REF!</v>
      </c>
      <c r="F173" s="1430" t="e">
        <f t="shared" si="7"/>
        <v>#REF!</v>
      </c>
      <c r="G173" s="1436" t="e">
        <f>IF(INDEX('Legend(DX)'!$AD$14:$AD$15,42)=0,"-",INDEX('Legend(DX)'!$AD$14:$AD$15,42))</f>
        <v>#REF!</v>
      </c>
      <c r="H173" s="1430" t="e">
        <f t="shared" si="8"/>
        <v>#REF!</v>
      </c>
      <c r="I173" s="1548"/>
      <c r="J173" s="1442"/>
      <c r="K173" s="1437">
        <f>LoadProfile!F329</f>
        <v>0</v>
      </c>
      <c r="L173" s="1437">
        <f>LoadProfile!G329</f>
        <v>0</v>
      </c>
      <c r="M173" s="1437">
        <f>LoadProfile!H329</f>
        <v>0</v>
      </c>
      <c r="N173" s="1437" t="str">
        <f>IF(LoadProfile!I329&lt;=0,"--",LoadProfile!I329)</f>
        <v>--</v>
      </c>
      <c r="O173" s="1437">
        <f>LoadProfile!J329</f>
        <v>0</v>
      </c>
      <c r="P173" s="1431" t="str">
        <f>IF(LoadProfile!M329&lt;=0,"",LoadProfile!M329)</f>
        <v/>
      </c>
      <c r="Q173" s="1431" t="str">
        <f>IF(LoadProfile!O329&lt;=0,"",LoadProfile!O329)</f>
        <v/>
      </c>
      <c r="R173" s="1431" t="str">
        <f>IF(LoadProfile!Q329&lt;=0,"",LoadProfile!Q329)</f>
        <v/>
      </c>
      <c r="S173" s="1431" t="str">
        <f>IF(LoadProfile!S329&lt;=0,"",LoadProfile!S329)</f>
        <v/>
      </c>
      <c r="T173" s="1431" t="str">
        <f>IF(LoadProfile!U329&lt;=0,"",LoadProfile!U329)</f>
        <v/>
      </c>
      <c r="U173" s="1431" t="str">
        <f>IF(LoadProfile!W329&lt;=0,"",LoadProfile!W329)</f>
        <v/>
      </c>
      <c r="V173" s="1431" t="str">
        <f>IF(LoadProfile!Y329&lt;=0,"",LoadProfile!Y329)</f>
        <v/>
      </c>
      <c r="W173" s="1431" t="str">
        <f>IF(LoadProfile!AA329&lt;=0,"",LoadProfile!AA329)</f>
        <v/>
      </c>
      <c r="X173" s="1431" t="str">
        <f>IF(LoadProfile!AC329&lt;=0,"",LoadProfile!AC329)</f>
        <v/>
      </c>
      <c r="Y173" s="1431" t="str">
        <f>IF(LoadProfile!AE329&lt;=0,"",LoadProfile!AE329)</f>
        <v/>
      </c>
      <c r="Z173" s="1431" t="str">
        <f>IF(LoadProfile!AG329&lt;=0,"",LoadProfile!AG329)</f>
        <v/>
      </c>
      <c r="AA173" s="1566" t="str">
        <f>IF(LoadProfile!AH329&lt;=0,"",LoadProfile!AH329)</f>
        <v/>
      </c>
      <c r="AB173" s="1633"/>
    </row>
    <row r="174" spans="1:28" hidden="1" x14ac:dyDescent="0.2">
      <c r="A174" s="376" t="str">
        <f>LoadProfile!A330</f>
        <v>e</v>
      </c>
      <c r="B174" s="1560" t="str">
        <f>LoadProfile!B330</f>
        <v/>
      </c>
      <c r="C174" s="1436" t="e">
        <f>LoadProfile!C330</f>
        <v>#REF!</v>
      </c>
      <c r="D174" s="1436" t="e">
        <f>LoadProfile!D330</f>
        <v>#REF!</v>
      </c>
      <c r="E174" s="1436" t="e">
        <f>IF(INDEX('Legend(DX)'!$S$14:$S$15,43)=0,"---",INDEX('Legend(DX)'!$S$14:$S$15,43))</f>
        <v>#REF!</v>
      </c>
      <c r="F174" s="1430" t="e">
        <f t="shared" si="7"/>
        <v>#REF!</v>
      </c>
      <c r="G174" s="1436" t="e">
        <f>IF(INDEX('Legend(DX)'!$AD$14:$AD$15,43)=0,"-",INDEX('Legend(DX)'!$AD$14:$AD$15,43))</f>
        <v>#REF!</v>
      </c>
      <c r="H174" s="1430" t="e">
        <f t="shared" si="8"/>
        <v>#REF!</v>
      </c>
      <c r="I174" s="1548"/>
      <c r="J174" s="1442"/>
      <c r="K174" s="1437">
        <f>LoadProfile!F330</f>
        <v>0</v>
      </c>
      <c r="L174" s="1437">
        <f>LoadProfile!G330</f>
        <v>0</v>
      </c>
      <c r="M174" s="1437">
        <f>LoadProfile!H330</f>
        <v>0</v>
      </c>
      <c r="N174" s="1437" t="str">
        <f>IF(LoadProfile!I330&lt;=0,"--",LoadProfile!I330)</f>
        <v>--</v>
      </c>
      <c r="O174" s="1437">
        <f>LoadProfile!J330</f>
        <v>0</v>
      </c>
      <c r="P174" s="1431" t="str">
        <f>IF(LoadProfile!M330&lt;=0,"",LoadProfile!M330)</f>
        <v/>
      </c>
      <c r="Q174" s="1431" t="str">
        <f>IF(LoadProfile!O330&lt;=0,"",LoadProfile!O330)</f>
        <v/>
      </c>
      <c r="R174" s="1431" t="str">
        <f>IF(LoadProfile!Q330&lt;=0,"",LoadProfile!Q330)</f>
        <v/>
      </c>
      <c r="S174" s="1431" t="str">
        <f>IF(LoadProfile!S330&lt;=0,"",LoadProfile!S330)</f>
        <v/>
      </c>
      <c r="T174" s="1431" t="str">
        <f>IF(LoadProfile!U330&lt;=0,"",LoadProfile!U330)</f>
        <v/>
      </c>
      <c r="U174" s="1431" t="str">
        <f>IF(LoadProfile!W330&lt;=0,"",LoadProfile!W330)</f>
        <v/>
      </c>
      <c r="V174" s="1431" t="str">
        <f>IF(LoadProfile!Y330&lt;=0,"",LoadProfile!Y330)</f>
        <v/>
      </c>
      <c r="W174" s="1431" t="str">
        <f>IF(LoadProfile!AA330&lt;=0,"",LoadProfile!AA330)</f>
        <v/>
      </c>
      <c r="X174" s="1431" t="str">
        <f>IF(LoadProfile!AC330&lt;=0,"",LoadProfile!AC330)</f>
        <v/>
      </c>
      <c r="Y174" s="1431" t="str">
        <f>IF(LoadProfile!AE330&lt;=0,"",LoadProfile!AE330)</f>
        <v/>
      </c>
      <c r="Z174" s="1431" t="str">
        <f>IF(LoadProfile!AG330&lt;=0,"",LoadProfile!AG330)</f>
        <v/>
      </c>
      <c r="AA174" s="1566" t="str">
        <f>IF(LoadProfile!AH330&lt;=0,"",LoadProfile!AH330)</f>
        <v/>
      </c>
      <c r="AB174" s="1633"/>
    </row>
    <row r="175" spans="1:28" hidden="1" x14ac:dyDescent="0.2">
      <c r="A175" s="376" t="str">
        <f>LoadProfile!A331</f>
        <v>e</v>
      </c>
      <c r="B175" s="1560" t="str">
        <f>LoadProfile!B331</f>
        <v/>
      </c>
      <c r="C175" s="1436" t="e">
        <f>LoadProfile!C331</f>
        <v>#REF!</v>
      </c>
      <c r="D175" s="1436" t="e">
        <f>LoadProfile!D331</f>
        <v>#REF!</v>
      </c>
      <c r="E175" s="1436" t="e">
        <f>IF(INDEX('Legend(DX)'!$S$14:$S$15,44)=0,"---",INDEX('Legend(DX)'!$S$14:$S$15,44))</f>
        <v>#REF!</v>
      </c>
      <c r="F175" s="1430" t="e">
        <f t="shared" si="7"/>
        <v>#REF!</v>
      </c>
      <c r="G175" s="1436" t="e">
        <f>IF(INDEX('Legend(DX)'!$AD$14:$AD$15,44)=0,"-",INDEX('Legend(DX)'!$AD$14:$AD$15,44))</f>
        <v>#REF!</v>
      </c>
      <c r="H175" s="1430" t="e">
        <f t="shared" si="8"/>
        <v>#REF!</v>
      </c>
      <c r="I175" s="1548"/>
      <c r="J175" s="1442"/>
      <c r="K175" s="1437">
        <f>LoadProfile!F331</f>
        <v>0</v>
      </c>
      <c r="L175" s="1437">
        <f>LoadProfile!G331</f>
        <v>0</v>
      </c>
      <c r="M175" s="1437">
        <f>LoadProfile!H331</f>
        <v>0</v>
      </c>
      <c r="N175" s="1437" t="str">
        <f>IF(LoadProfile!I331&lt;=0,"--",LoadProfile!I331)</f>
        <v>--</v>
      </c>
      <c r="O175" s="1437">
        <f>LoadProfile!J331</f>
        <v>0</v>
      </c>
      <c r="P175" s="1431" t="str">
        <f>IF(LoadProfile!M331&lt;=0,"",LoadProfile!M331)</f>
        <v/>
      </c>
      <c r="Q175" s="1431" t="str">
        <f>IF(LoadProfile!O331&lt;=0,"",LoadProfile!O331)</f>
        <v/>
      </c>
      <c r="R175" s="1431" t="str">
        <f>IF(LoadProfile!Q331&lt;=0,"",LoadProfile!Q331)</f>
        <v/>
      </c>
      <c r="S175" s="1431" t="str">
        <f>IF(LoadProfile!S331&lt;=0,"",LoadProfile!S331)</f>
        <v/>
      </c>
      <c r="T175" s="1431" t="str">
        <f>IF(LoadProfile!U331&lt;=0,"",LoadProfile!U331)</f>
        <v/>
      </c>
      <c r="U175" s="1431" t="str">
        <f>IF(LoadProfile!W331&lt;=0,"",LoadProfile!W331)</f>
        <v/>
      </c>
      <c r="V175" s="1431" t="str">
        <f>IF(LoadProfile!Y331&lt;=0,"",LoadProfile!Y331)</f>
        <v/>
      </c>
      <c r="W175" s="1431" t="str">
        <f>IF(LoadProfile!AA331&lt;=0,"",LoadProfile!AA331)</f>
        <v/>
      </c>
      <c r="X175" s="1431" t="str">
        <f>IF(LoadProfile!AC331&lt;=0,"",LoadProfile!AC331)</f>
        <v/>
      </c>
      <c r="Y175" s="1431" t="str">
        <f>IF(LoadProfile!AE331&lt;=0,"",LoadProfile!AE331)</f>
        <v/>
      </c>
      <c r="Z175" s="1431" t="str">
        <f>IF(LoadProfile!AG331&lt;=0,"",LoadProfile!AG331)</f>
        <v/>
      </c>
      <c r="AA175" s="1566" t="str">
        <f>IF(LoadProfile!AH331&lt;=0,"",LoadProfile!AH331)</f>
        <v/>
      </c>
      <c r="AB175" s="1633"/>
    </row>
    <row r="176" spans="1:28" hidden="1" x14ac:dyDescent="0.2">
      <c r="A176" s="376" t="str">
        <f>LoadProfile!A332</f>
        <v>e</v>
      </c>
      <c r="B176" s="1560" t="str">
        <f>LoadProfile!B332</f>
        <v/>
      </c>
      <c r="C176" s="1436" t="e">
        <f>LoadProfile!C332</f>
        <v>#REF!</v>
      </c>
      <c r="D176" s="1436" t="e">
        <f>LoadProfile!D332</f>
        <v>#REF!</v>
      </c>
      <c r="E176" s="1436" t="e">
        <f>IF(INDEX('Legend(DX)'!$S$14:$S$15,45)=0,"---",INDEX('Legend(DX)'!$S$14:$S$15,45))</f>
        <v>#REF!</v>
      </c>
      <c r="F176" s="1430" t="e">
        <f t="shared" si="7"/>
        <v>#REF!</v>
      </c>
      <c r="G176" s="1436" t="e">
        <f>IF(INDEX('Legend(DX)'!$AD$14:$AD$15,45)=0,"-",INDEX('Legend(DX)'!$AD$14:$AD$15,45))</f>
        <v>#REF!</v>
      </c>
      <c r="H176" s="1430" t="e">
        <f t="shared" si="8"/>
        <v>#REF!</v>
      </c>
      <c r="I176" s="1548"/>
      <c r="J176" s="1442"/>
      <c r="K176" s="1437">
        <f>LoadProfile!F332</f>
        <v>0</v>
      </c>
      <c r="L176" s="1437">
        <f>LoadProfile!G332</f>
        <v>0</v>
      </c>
      <c r="M176" s="1437">
        <f>LoadProfile!H332</f>
        <v>0</v>
      </c>
      <c r="N176" s="1437" t="str">
        <f>IF(LoadProfile!I332&lt;=0,"--",LoadProfile!I332)</f>
        <v>--</v>
      </c>
      <c r="O176" s="1437">
        <f>LoadProfile!J332</f>
        <v>0</v>
      </c>
      <c r="P176" s="1431" t="str">
        <f>IF(LoadProfile!M332&lt;=0,"",LoadProfile!M332)</f>
        <v/>
      </c>
      <c r="Q176" s="1431" t="str">
        <f>IF(LoadProfile!O332&lt;=0,"",LoadProfile!O332)</f>
        <v/>
      </c>
      <c r="R176" s="1431" t="str">
        <f>IF(LoadProfile!Q332&lt;=0,"",LoadProfile!Q332)</f>
        <v/>
      </c>
      <c r="S176" s="1431" t="str">
        <f>IF(LoadProfile!S332&lt;=0,"",LoadProfile!S332)</f>
        <v/>
      </c>
      <c r="T176" s="1431" t="str">
        <f>IF(LoadProfile!U332&lt;=0,"",LoadProfile!U332)</f>
        <v/>
      </c>
      <c r="U176" s="1431" t="str">
        <f>IF(LoadProfile!W332&lt;=0,"",LoadProfile!W332)</f>
        <v/>
      </c>
      <c r="V176" s="1431" t="str">
        <f>IF(LoadProfile!Y332&lt;=0,"",LoadProfile!Y332)</f>
        <v/>
      </c>
      <c r="W176" s="1431" t="str">
        <f>IF(LoadProfile!AA332&lt;=0,"",LoadProfile!AA332)</f>
        <v/>
      </c>
      <c r="X176" s="1431" t="str">
        <f>IF(LoadProfile!AC332&lt;=0,"",LoadProfile!AC332)</f>
        <v/>
      </c>
      <c r="Y176" s="1431" t="str">
        <f>IF(LoadProfile!AE332&lt;=0,"",LoadProfile!AE332)</f>
        <v/>
      </c>
      <c r="Z176" s="1431" t="str">
        <f>IF(LoadProfile!AG332&lt;=0,"",LoadProfile!AG332)</f>
        <v/>
      </c>
      <c r="AA176" s="1566" t="str">
        <f>IF(LoadProfile!AH332&lt;=0,"",LoadProfile!AH332)</f>
        <v/>
      </c>
      <c r="AB176" s="1633"/>
    </row>
    <row r="177" spans="1:28" hidden="1" x14ac:dyDescent="0.2">
      <c r="A177" s="376" t="str">
        <f>LoadProfile!A333</f>
        <v>e</v>
      </c>
      <c r="B177" s="1560" t="str">
        <f>LoadProfile!B333</f>
        <v/>
      </c>
      <c r="C177" s="1436" t="e">
        <f>LoadProfile!C333</f>
        <v>#REF!</v>
      </c>
      <c r="D177" s="1436" t="e">
        <f>LoadProfile!D333</f>
        <v>#REF!</v>
      </c>
      <c r="E177" s="1436" t="e">
        <f>IF(INDEX('Legend(DX)'!$S$14:$S$15,46)=0,"---",INDEX('Legend(DX)'!$S$14:$S$15,46))</f>
        <v>#REF!</v>
      </c>
      <c r="F177" s="1430" t="e">
        <f t="shared" si="7"/>
        <v>#REF!</v>
      </c>
      <c r="G177" s="1436" t="e">
        <f>IF(INDEX('Legend(DX)'!$AD$14:$AD$15,46)=0,"-",INDEX('Legend(DX)'!$AD$14:$AD$15,46))</f>
        <v>#REF!</v>
      </c>
      <c r="H177" s="1430" t="e">
        <f t="shared" si="8"/>
        <v>#REF!</v>
      </c>
      <c r="I177" s="1548"/>
      <c r="J177" s="1442"/>
      <c r="K177" s="1437">
        <f>LoadProfile!F333</f>
        <v>0</v>
      </c>
      <c r="L177" s="1437">
        <f>LoadProfile!G333</f>
        <v>0</v>
      </c>
      <c r="M177" s="1437">
        <f>LoadProfile!H333</f>
        <v>0</v>
      </c>
      <c r="N177" s="1437" t="str">
        <f>IF(LoadProfile!I333&lt;=0,"--",LoadProfile!I333)</f>
        <v>--</v>
      </c>
      <c r="O177" s="1437">
        <f>LoadProfile!J333</f>
        <v>0</v>
      </c>
      <c r="P177" s="1431" t="str">
        <f>IF(LoadProfile!M333&lt;=0,"",LoadProfile!M333)</f>
        <v/>
      </c>
      <c r="Q177" s="1431" t="str">
        <f>IF(LoadProfile!O333&lt;=0,"",LoadProfile!O333)</f>
        <v/>
      </c>
      <c r="R177" s="1431" t="str">
        <f>IF(LoadProfile!Q333&lt;=0,"",LoadProfile!Q333)</f>
        <v/>
      </c>
      <c r="S177" s="1431" t="str">
        <f>IF(LoadProfile!S333&lt;=0,"",LoadProfile!S333)</f>
        <v/>
      </c>
      <c r="T177" s="1431" t="str">
        <f>IF(LoadProfile!U333&lt;=0,"",LoadProfile!U333)</f>
        <v/>
      </c>
      <c r="U177" s="1431" t="str">
        <f>IF(LoadProfile!W333&lt;=0,"",LoadProfile!W333)</f>
        <v/>
      </c>
      <c r="V177" s="1431" t="str">
        <f>IF(LoadProfile!Y333&lt;=0,"",LoadProfile!Y333)</f>
        <v/>
      </c>
      <c r="W177" s="1431" t="str">
        <f>IF(LoadProfile!AA333&lt;=0,"",LoadProfile!AA333)</f>
        <v/>
      </c>
      <c r="X177" s="1431" t="str">
        <f>IF(LoadProfile!AC333&lt;=0,"",LoadProfile!AC333)</f>
        <v/>
      </c>
      <c r="Y177" s="1431" t="str">
        <f>IF(LoadProfile!AE333&lt;=0,"",LoadProfile!AE333)</f>
        <v/>
      </c>
      <c r="Z177" s="1431" t="str">
        <f>IF(LoadProfile!AG333&lt;=0,"",LoadProfile!AG333)</f>
        <v/>
      </c>
      <c r="AA177" s="1566" t="str">
        <f>IF(LoadProfile!AH333&lt;=0,"",LoadProfile!AH333)</f>
        <v/>
      </c>
      <c r="AB177" s="1633"/>
    </row>
    <row r="178" spans="1:28" hidden="1" x14ac:dyDescent="0.2">
      <c r="A178" s="376" t="str">
        <f>LoadProfile!A334</f>
        <v>e</v>
      </c>
      <c r="B178" s="1560" t="str">
        <f>LoadProfile!B334</f>
        <v/>
      </c>
      <c r="C178" s="1436" t="e">
        <f>LoadProfile!C334</f>
        <v>#REF!</v>
      </c>
      <c r="D178" s="1436" t="e">
        <f>LoadProfile!D334</f>
        <v>#REF!</v>
      </c>
      <c r="E178" s="1436" t="e">
        <f>IF(INDEX('Legend(DX)'!$S$14:$S$15,47)=0,"---",INDEX('Legend(DX)'!$S$14:$S$15,47))</f>
        <v>#REF!</v>
      </c>
      <c r="F178" s="1430" t="e">
        <f t="shared" si="7"/>
        <v>#REF!</v>
      </c>
      <c r="G178" s="1436" t="e">
        <f>IF(INDEX('Legend(DX)'!$AD$14:$AD$15,47)=0,"-",INDEX('Legend(DX)'!$AD$14:$AD$15,47))</f>
        <v>#REF!</v>
      </c>
      <c r="H178" s="1430" t="e">
        <f t="shared" si="8"/>
        <v>#REF!</v>
      </c>
      <c r="I178" s="1548"/>
      <c r="J178" s="1442"/>
      <c r="K178" s="1437">
        <f>LoadProfile!F334</f>
        <v>0</v>
      </c>
      <c r="L178" s="1437">
        <f>LoadProfile!G334</f>
        <v>0</v>
      </c>
      <c r="M178" s="1437">
        <f>LoadProfile!H334</f>
        <v>0</v>
      </c>
      <c r="N178" s="1437" t="str">
        <f>IF(LoadProfile!I334&lt;=0,"--",LoadProfile!I334)</f>
        <v>--</v>
      </c>
      <c r="O178" s="1437">
        <f>LoadProfile!J334</f>
        <v>0</v>
      </c>
      <c r="P178" s="1431" t="str">
        <f>IF(LoadProfile!M334&lt;=0,"",LoadProfile!M334)</f>
        <v/>
      </c>
      <c r="Q178" s="1431" t="str">
        <f>IF(LoadProfile!O334&lt;=0,"",LoadProfile!O334)</f>
        <v/>
      </c>
      <c r="R178" s="1431" t="str">
        <f>IF(LoadProfile!Q334&lt;=0,"",LoadProfile!Q334)</f>
        <v/>
      </c>
      <c r="S178" s="1431" t="str">
        <f>IF(LoadProfile!S334&lt;=0,"",LoadProfile!S334)</f>
        <v/>
      </c>
      <c r="T178" s="1431" t="str">
        <f>IF(LoadProfile!U334&lt;=0,"",LoadProfile!U334)</f>
        <v/>
      </c>
      <c r="U178" s="1431" t="str">
        <f>IF(LoadProfile!W334&lt;=0,"",LoadProfile!W334)</f>
        <v/>
      </c>
      <c r="V178" s="1431" t="str">
        <f>IF(LoadProfile!Y334&lt;=0,"",LoadProfile!Y334)</f>
        <v/>
      </c>
      <c r="W178" s="1431" t="str">
        <f>IF(LoadProfile!AA334&lt;=0,"",LoadProfile!AA334)</f>
        <v/>
      </c>
      <c r="X178" s="1431" t="str">
        <f>IF(LoadProfile!AC334&lt;=0,"",LoadProfile!AC334)</f>
        <v/>
      </c>
      <c r="Y178" s="1431" t="str">
        <f>IF(LoadProfile!AE334&lt;=0,"",LoadProfile!AE334)</f>
        <v/>
      </c>
      <c r="Z178" s="1431" t="str">
        <f>IF(LoadProfile!AG334&lt;=0,"",LoadProfile!AG334)</f>
        <v/>
      </c>
      <c r="AA178" s="1566" t="str">
        <f>IF(LoadProfile!AH334&lt;=0,"",LoadProfile!AH334)</f>
        <v/>
      </c>
      <c r="AB178" s="1633"/>
    </row>
    <row r="179" spans="1:28" hidden="1" x14ac:dyDescent="0.2">
      <c r="A179" s="376" t="str">
        <f>LoadProfile!A335</f>
        <v>e</v>
      </c>
      <c r="B179" s="1560" t="str">
        <f>LoadProfile!B335</f>
        <v/>
      </c>
      <c r="C179" s="1436" t="e">
        <f>LoadProfile!C335</f>
        <v>#REF!</v>
      </c>
      <c r="D179" s="1436" t="e">
        <f>LoadProfile!D335</f>
        <v>#REF!</v>
      </c>
      <c r="E179" s="1436" t="e">
        <f>IF(INDEX('Legend(DX)'!$S$14:$S$15,48)=0,"---",INDEX('Legend(DX)'!$S$14:$S$15,48))</f>
        <v>#REF!</v>
      </c>
      <c r="F179" s="1430" t="e">
        <f t="shared" si="7"/>
        <v>#REF!</v>
      </c>
      <c r="G179" s="1436" t="e">
        <f>IF(INDEX('Legend(DX)'!$AD$14:$AD$15,48)=0,"-",INDEX('Legend(DX)'!$AD$14:$AD$15,48))</f>
        <v>#REF!</v>
      </c>
      <c r="H179" s="1430" t="e">
        <f t="shared" si="8"/>
        <v>#REF!</v>
      </c>
      <c r="I179" s="1548"/>
      <c r="J179" s="1442"/>
      <c r="K179" s="1437">
        <f>LoadProfile!F335</f>
        <v>0</v>
      </c>
      <c r="L179" s="1437">
        <f>LoadProfile!G335</f>
        <v>0</v>
      </c>
      <c r="M179" s="1437">
        <f>LoadProfile!H335</f>
        <v>0</v>
      </c>
      <c r="N179" s="1437" t="str">
        <f>IF(LoadProfile!I335&lt;=0,"--",LoadProfile!I335)</f>
        <v>--</v>
      </c>
      <c r="O179" s="1437">
        <f>LoadProfile!J335</f>
        <v>0</v>
      </c>
      <c r="P179" s="1431" t="str">
        <f>IF(LoadProfile!M335&lt;=0,"",LoadProfile!M335)</f>
        <v/>
      </c>
      <c r="Q179" s="1431" t="str">
        <f>IF(LoadProfile!O335&lt;=0,"",LoadProfile!O335)</f>
        <v/>
      </c>
      <c r="R179" s="1431" t="str">
        <f>IF(LoadProfile!Q335&lt;=0,"",LoadProfile!Q335)</f>
        <v/>
      </c>
      <c r="S179" s="1431" t="str">
        <f>IF(LoadProfile!S335&lt;=0,"",LoadProfile!S335)</f>
        <v/>
      </c>
      <c r="T179" s="1431" t="str">
        <f>IF(LoadProfile!U335&lt;=0,"",LoadProfile!U335)</f>
        <v/>
      </c>
      <c r="U179" s="1431" t="str">
        <f>IF(LoadProfile!W335&lt;=0,"",LoadProfile!W335)</f>
        <v/>
      </c>
      <c r="V179" s="1431" t="str">
        <f>IF(LoadProfile!Y335&lt;=0,"",LoadProfile!Y335)</f>
        <v/>
      </c>
      <c r="W179" s="1431" t="str">
        <f>IF(LoadProfile!AA335&lt;=0,"",LoadProfile!AA335)</f>
        <v/>
      </c>
      <c r="X179" s="1431" t="str">
        <f>IF(LoadProfile!AC335&lt;=0,"",LoadProfile!AC335)</f>
        <v/>
      </c>
      <c r="Y179" s="1431" t="str">
        <f>IF(LoadProfile!AE335&lt;=0,"",LoadProfile!AE335)</f>
        <v/>
      </c>
      <c r="Z179" s="1431" t="str">
        <f>IF(LoadProfile!AG335&lt;=0,"",LoadProfile!AG335)</f>
        <v/>
      </c>
      <c r="AA179" s="1566" t="str">
        <f>IF(LoadProfile!AH335&lt;=0,"",LoadProfile!AH335)</f>
        <v/>
      </c>
      <c r="AB179" s="1633"/>
    </row>
    <row r="180" spans="1:28" hidden="1" x14ac:dyDescent="0.2">
      <c r="A180" s="376" t="str">
        <f>LoadProfile!A336</f>
        <v>e</v>
      </c>
      <c r="B180" s="1560" t="str">
        <f>LoadProfile!B336</f>
        <v/>
      </c>
      <c r="C180" s="1436" t="e">
        <f>LoadProfile!C336</f>
        <v>#REF!</v>
      </c>
      <c r="D180" s="1436" t="e">
        <f>LoadProfile!D336</f>
        <v>#REF!</v>
      </c>
      <c r="E180" s="1436" t="e">
        <f>IF(INDEX('Legend(DX)'!$S$14:$S$15,49)=0,"---",INDEX('Legend(DX)'!$S$14:$S$15,49))</f>
        <v>#REF!</v>
      </c>
      <c r="F180" s="1430" t="e">
        <f t="shared" si="7"/>
        <v>#REF!</v>
      </c>
      <c r="G180" s="1436" t="e">
        <f>IF(INDEX('Legend(DX)'!$AD$14:$AD$15,49)=0,"-",INDEX('Legend(DX)'!$AD$14:$AD$15,49))</f>
        <v>#REF!</v>
      </c>
      <c r="H180" s="1430" t="e">
        <f t="shared" si="8"/>
        <v>#REF!</v>
      </c>
      <c r="I180" s="1548"/>
      <c r="J180" s="1442"/>
      <c r="K180" s="1437">
        <f>LoadProfile!F336</f>
        <v>0</v>
      </c>
      <c r="L180" s="1437">
        <f>LoadProfile!G336</f>
        <v>0</v>
      </c>
      <c r="M180" s="1437">
        <f>LoadProfile!H336</f>
        <v>0</v>
      </c>
      <c r="N180" s="1437" t="str">
        <f>IF(LoadProfile!I336&lt;=0,"--",LoadProfile!I336)</f>
        <v>--</v>
      </c>
      <c r="O180" s="1437">
        <f>LoadProfile!J336</f>
        <v>0</v>
      </c>
      <c r="P180" s="1431" t="str">
        <f>IF(LoadProfile!M336&lt;=0,"",LoadProfile!M336)</f>
        <v/>
      </c>
      <c r="Q180" s="1431" t="str">
        <f>IF(LoadProfile!O336&lt;=0,"",LoadProfile!O336)</f>
        <v/>
      </c>
      <c r="R180" s="1431" t="str">
        <f>IF(LoadProfile!Q336&lt;=0,"",LoadProfile!Q336)</f>
        <v/>
      </c>
      <c r="S180" s="1431" t="str">
        <f>IF(LoadProfile!S336&lt;=0,"",LoadProfile!S336)</f>
        <v/>
      </c>
      <c r="T180" s="1431" t="str">
        <f>IF(LoadProfile!U336&lt;=0,"",LoadProfile!U336)</f>
        <v/>
      </c>
      <c r="U180" s="1431" t="str">
        <f>IF(LoadProfile!W336&lt;=0,"",LoadProfile!W336)</f>
        <v/>
      </c>
      <c r="V180" s="1431" t="str">
        <f>IF(LoadProfile!Y336&lt;=0,"",LoadProfile!Y336)</f>
        <v/>
      </c>
      <c r="W180" s="1431" t="str">
        <f>IF(LoadProfile!AA336&lt;=0,"",LoadProfile!AA336)</f>
        <v/>
      </c>
      <c r="X180" s="1431" t="str">
        <f>IF(LoadProfile!AC336&lt;=0,"",LoadProfile!AC336)</f>
        <v/>
      </c>
      <c r="Y180" s="1431" t="str">
        <f>IF(LoadProfile!AE336&lt;=0,"",LoadProfile!AE336)</f>
        <v/>
      </c>
      <c r="Z180" s="1431" t="str">
        <f>IF(LoadProfile!AG336&lt;=0,"",LoadProfile!AG336)</f>
        <v/>
      </c>
      <c r="AA180" s="1566" t="str">
        <f>IF(LoadProfile!AH336&lt;=0,"",LoadProfile!AH336)</f>
        <v/>
      </c>
      <c r="AB180" s="1633"/>
    </row>
    <row r="181" spans="1:28" ht="13.5" hidden="1" thickBot="1" x14ac:dyDescent="0.25">
      <c r="A181" s="376" t="str">
        <f>LoadProfile!A337</f>
        <v>e</v>
      </c>
      <c r="B181" s="1561" t="str">
        <f>LoadProfile!B337</f>
        <v/>
      </c>
      <c r="C181" s="1452" t="e">
        <f>LoadProfile!C337</f>
        <v>#REF!</v>
      </c>
      <c r="D181" s="1452" t="e">
        <f>LoadProfile!D337</f>
        <v>#REF!</v>
      </c>
      <c r="E181" s="1452" t="e">
        <f>IF(INDEX('Legend(DX)'!$S$14:$S$15,50)=0,"---",INDEX('Legend(DX)'!$S$14:$S$15,50))</f>
        <v>#REF!</v>
      </c>
      <c r="F181" s="1453" t="e">
        <f t="shared" si="7"/>
        <v>#REF!</v>
      </c>
      <c r="G181" s="1452" t="e">
        <f>IF(INDEX('Legend(DX)'!$AD$14:$AD$15,50)=0,"-",INDEX('Legend(DX)'!$AD$14:$AD$15,50))</f>
        <v>#REF!</v>
      </c>
      <c r="H181" s="1453" t="e">
        <f t="shared" si="8"/>
        <v>#REF!</v>
      </c>
      <c r="I181" s="1549"/>
      <c r="J181" s="1454"/>
      <c r="K181" s="1455">
        <f>LoadProfile!F337</f>
        <v>0</v>
      </c>
      <c r="L181" s="1455">
        <f>LoadProfile!G337</f>
        <v>0</v>
      </c>
      <c r="M181" s="1455">
        <f>LoadProfile!H337</f>
        <v>0</v>
      </c>
      <c r="N181" s="1455" t="str">
        <f>IF(LoadProfile!I337&lt;=0,"--",LoadProfile!I337)</f>
        <v>--</v>
      </c>
      <c r="O181" s="1455">
        <f>LoadProfile!J337</f>
        <v>0</v>
      </c>
      <c r="P181" s="1456" t="str">
        <f>IF(LoadProfile!M337&lt;=0,"",LoadProfile!M337)</f>
        <v/>
      </c>
      <c r="Q181" s="1456" t="str">
        <f>IF(LoadProfile!O337&lt;=0,"",LoadProfile!O337)</f>
        <v/>
      </c>
      <c r="R181" s="1456" t="str">
        <f>IF(LoadProfile!Q337&lt;=0,"",LoadProfile!Q337)</f>
        <v/>
      </c>
      <c r="S181" s="1456" t="str">
        <f>IF(LoadProfile!S337&lt;=0,"",LoadProfile!S337)</f>
        <v/>
      </c>
      <c r="T181" s="1456" t="str">
        <f>IF(LoadProfile!U337&lt;=0,"",LoadProfile!U337)</f>
        <v/>
      </c>
      <c r="U181" s="1456" t="str">
        <f>IF(LoadProfile!W337&lt;=0,"",LoadProfile!W337)</f>
        <v/>
      </c>
      <c r="V181" s="1456" t="str">
        <f>IF(LoadProfile!Y337&lt;=0,"",LoadProfile!Y337)</f>
        <v/>
      </c>
      <c r="W181" s="1456" t="str">
        <f>IF(LoadProfile!AA337&lt;=0,"",LoadProfile!AA337)</f>
        <v/>
      </c>
      <c r="X181" s="1456" t="str">
        <f>IF(LoadProfile!AC337&lt;=0,"",LoadProfile!AC337)</f>
        <v/>
      </c>
      <c r="Y181" s="1456" t="str">
        <f>IF(LoadProfile!AE337&lt;=0,"",LoadProfile!AE337)</f>
        <v/>
      </c>
      <c r="Z181" s="1456" t="str">
        <f>IF(LoadProfile!AG337&lt;=0,"",LoadProfile!AG337)</f>
        <v/>
      </c>
      <c r="AA181" s="1567" t="str">
        <f>IF(LoadProfile!AH337&lt;=0,"",LoadProfile!AH337)</f>
        <v/>
      </c>
      <c r="AB181" s="1634"/>
    </row>
    <row r="182" spans="1:28" x14ac:dyDescent="0.2">
      <c r="A182" s="1434"/>
      <c r="B182" s="2040" t="s">
        <v>1376</v>
      </c>
      <c r="C182" s="2041"/>
      <c r="D182" s="2041"/>
      <c r="E182" s="2041"/>
      <c r="F182" s="2041"/>
      <c r="G182" s="2041"/>
      <c r="H182" s="2041"/>
      <c r="I182" s="2041"/>
      <c r="J182" s="2041"/>
      <c r="K182" s="2041"/>
      <c r="L182" s="2041"/>
      <c r="M182" s="2041"/>
      <c r="N182" s="2041"/>
      <c r="O182" s="2041"/>
      <c r="P182" s="2041"/>
      <c r="Q182" s="2041"/>
      <c r="R182" s="2041"/>
      <c r="S182" s="2041"/>
      <c r="T182" s="2041"/>
      <c r="U182" s="2041"/>
      <c r="V182" s="2041"/>
      <c r="W182" s="2041"/>
      <c r="X182" s="2041"/>
      <c r="Y182" s="2041"/>
      <c r="Z182" s="2041"/>
      <c r="AA182" s="2041"/>
      <c r="AB182" s="2042"/>
    </row>
    <row r="183" spans="1:28" hidden="1" x14ac:dyDescent="0.2">
      <c r="A183" s="1434" t="s">
        <v>1682</v>
      </c>
      <c r="B183" s="1627"/>
      <c r="C183" s="1628"/>
      <c r="D183" s="1628"/>
      <c r="E183" s="1628"/>
      <c r="F183" s="1628"/>
      <c r="G183" s="1628"/>
      <c r="H183" s="1628"/>
      <c r="I183" s="1628"/>
      <c r="J183" s="1628"/>
      <c r="K183" s="1628"/>
      <c r="L183" s="1628"/>
      <c r="M183" s="1628"/>
      <c r="N183" s="1628"/>
      <c r="O183" s="1628"/>
      <c r="P183" s="1628"/>
      <c r="Q183" s="1628"/>
      <c r="R183" s="1628"/>
      <c r="S183" s="1628"/>
      <c r="T183" s="1628"/>
      <c r="U183" s="1628"/>
      <c r="V183" s="1628"/>
      <c r="W183" s="1628"/>
      <c r="X183" s="1628"/>
      <c r="Y183" s="1628"/>
      <c r="Z183" s="1628"/>
      <c r="AA183" s="1628"/>
      <c r="AB183" s="1629"/>
    </row>
    <row r="184" spans="1:28" ht="12.75" customHeight="1" x14ac:dyDescent="0.2">
      <c r="A184" s="1434"/>
      <c r="B184" s="1562" t="s">
        <v>968</v>
      </c>
      <c r="C184" s="2037" t="s">
        <v>1394</v>
      </c>
      <c r="D184" s="2038"/>
      <c r="E184" s="2038"/>
      <c r="F184" s="2038"/>
      <c r="G184" s="2038"/>
      <c r="H184" s="2038"/>
      <c r="I184" s="2038"/>
      <c r="J184" s="2038"/>
      <c r="K184" s="2038"/>
      <c r="L184" s="2038"/>
      <c r="M184" s="2038"/>
      <c r="N184" s="2038"/>
      <c r="O184" s="2038"/>
      <c r="P184" s="2038"/>
      <c r="Q184" s="2038"/>
      <c r="R184" s="2038"/>
      <c r="S184" s="2038"/>
      <c r="T184" s="2038"/>
      <c r="U184" s="2038"/>
      <c r="V184" s="2038"/>
      <c r="W184" s="2038"/>
      <c r="X184" s="2038"/>
      <c r="Y184" s="2038"/>
      <c r="Z184" s="2038"/>
      <c r="AA184" s="2038"/>
      <c r="AB184" s="2039"/>
    </row>
    <row r="185" spans="1:28" x14ac:dyDescent="0.2">
      <c r="B185" s="1562" t="s">
        <v>969</v>
      </c>
      <c r="C185" s="2037" t="s">
        <v>1395</v>
      </c>
      <c r="D185" s="2038"/>
      <c r="E185" s="2038"/>
      <c r="F185" s="2038"/>
      <c r="G185" s="2038"/>
      <c r="H185" s="2038"/>
      <c r="I185" s="2038"/>
      <c r="J185" s="2038"/>
      <c r="K185" s="2038"/>
      <c r="L185" s="2038"/>
      <c r="M185" s="2038"/>
      <c r="N185" s="2038"/>
      <c r="O185" s="2038"/>
      <c r="P185" s="2038"/>
      <c r="Q185" s="2038"/>
      <c r="R185" s="2038"/>
      <c r="S185" s="2038"/>
      <c r="T185" s="2038"/>
      <c r="U185" s="2038"/>
      <c r="V185" s="2038"/>
      <c r="W185" s="2038"/>
      <c r="X185" s="2038"/>
      <c r="Y185" s="2038"/>
      <c r="Z185" s="2038"/>
      <c r="AA185" s="2038"/>
      <c r="AB185" s="2039"/>
    </row>
    <row r="186" spans="1:28" x14ac:dyDescent="0.2">
      <c r="B186" s="1562" t="s">
        <v>970</v>
      </c>
      <c r="C186" s="2037" t="s">
        <v>1396</v>
      </c>
      <c r="D186" s="2038"/>
      <c r="E186" s="2038"/>
      <c r="F186" s="2038"/>
      <c r="G186" s="2038"/>
      <c r="H186" s="2038"/>
      <c r="I186" s="2038"/>
      <c r="J186" s="2038"/>
      <c r="K186" s="2038"/>
      <c r="L186" s="2038"/>
      <c r="M186" s="2038"/>
      <c r="N186" s="2038"/>
      <c r="O186" s="2038"/>
      <c r="P186" s="2038"/>
      <c r="Q186" s="2038"/>
      <c r="R186" s="2038"/>
      <c r="S186" s="2038"/>
      <c r="T186" s="2038"/>
      <c r="U186" s="2038"/>
      <c r="V186" s="2038"/>
      <c r="W186" s="2038"/>
      <c r="X186" s="2038"/>
      <c r="Y186" s="2038"/>
      <c r="Z186" s="2038"/>
      <c r="AA186" s="2038"/>
      <c r="AB186" s="2039"/>
    </row>
    <row r="187" spans="1:28" x14ac:dyDescent="0.2">
      <c r="B187" s="1562" t="s">
        <v>971</v>
      </c>
      <c r="C187" s="2056" t="s">
        <v>1955</v>
      </c>
      <c r="D187" s="2038"/>
      <c r="E187" s="2038"/>
      <c r="F187" s="2038"/>
      <c r="G187" s="2038"/>
      <c r="H187" s="2038"/>
      <c r="I187" s="2038"/>
      <c r="J187" s="2038"/>
      <c r="K187" s="2038"/>
      <c r="L187" s="2038"/>
      <c r="M187" s="2038"/>
      <c r="N187" s="2038"/>
      <c r="O187" s="2038"/>
      <c r="P187" s="2038"/>
      <c r="Q187" s="2038"/>
      <c r="R187" s="2038"/>
      <c r="S187" s="2038"/>
      <c r="T187" s="2038"/>
      <c r="U187" s="2038"/>
      <c r="V187" s="2038"/>
      <c r="W187" s="2038"/>
      <c r="X187" s="2038"/>
      <c r="Y187" s="2038"/>
      <c r="Z187" s="2038"/>
      <c r="AA187" s="2038"/>
      <c r="AB187" s="2039"/>
    </row>
    <row r="188" spans="1:28" x14ac:dyDescent="0.2">
      <c r="B188" s="1562" t="s">
        <v>972</v>
      </c>
      <c r="C188" s="2037" t="str">
        <f>IF(LEFT('Legend(DX)'!$U$2,1)="N","Defrost controlled via KE2",IF(LEFT('Legend(DX)'!$U$2,1)="C","Defrost controlled via CC200",""))</f>
        <v/>
      </c>
      <c r="D188" s="2038"/>
      <c r="E188" s="2038"/>
      <c r="F188" s="2038"/>
      <c r="G188" s="2038"/>
      <c r="H188" s="2038"/>
      <c r="I188" s="2038"/>
      <c r="J188" s="2038"/>
      <c r="K188" s="2038"/>
      <c r="L188" s="2038"/>
      <c r="M188" s="2038"/>
      <c r="N188" s="2038"/>
      <c r="O188" s="2038"/>
      <c r="P188" s="2038"/>
      <c r="Q188" s="2038"/>
      <c r="R188" s="2038"/>
      <c r="S188" s="2038"/>
      <c r="T188" s="2038"/>
      <c r="U188" s="2038"/>
      <c r="V188" s="2038"/>
      <c r="W188" s="2038"/>
      <c r="X188" s="2038"/>
      <c r="Y188" s="2038"/>
      <c r="Z188" s="2038"/>
      <c r="AA188" s="2038"/>
      <c r="AB188" s="2039"/>
    </row>
    <row r="189" spans="1:28" x14ac:dyDescent="0.2">
      <c r="B189" s="2060" t="s">
        <v>1382</v>
      </c>
      <c r="C189" s="2061"/>
      <c r="D189" s="2061"/>
      <c r="E189" s="2061"/>
      <c r="F189" s="2061"/>
      <c r="G189" s="2061"/>
      <c r="H189" s="2061"/>
      <c r="I189" s="2061"/>
      <c r="J189" s="2061"/>
      <c r="K189" s="2061"/>
      <c r="L189" s="2061"/>
      <c r="M189" s="2061"/>
      <c r="N189" s="2061"/>
      <c r="O189" s="2061"/>
      <c r="P189" s="2061"/>
      <c r="Q189" s="2061"/>
      <c r="R189" s="2061"/>
      <c r="S189" s="2061"/>
      <c r="T189" s="2061"/>
      <c r="U189" s="2061"/>
      <c r="V189" s="2061"/>
      <c r="W189" s="2061"/>
      <c r="X189" s="2061"/>
      <c r="Y189" s="2061"/>
      <c r="Z189" s="2061"/>
      <c r="AA189" s="2061"/>
      <c r="AB189" s="2062"/>
    </row>
    <row r="190" spans="1:28" x14ac:dyDescent="0.2">
      <c r="B190" s="1563" t="s">
        <v>1390</v>
      </c>
      <c r="C190" s="2037" t="s">
        <v>1398</v>
      </c>
      <c r="D190" s="2038"/>
      <c r="E190" s="2038"/>
      <c r="F190" s="2038"/>
      <c r="G190" s="2038"/>
      <c r="H190" s="2038"/>
      <c r="I190" s="2038"/>
      <c r="J190" s="2038"/>
      <c r="K190" s="2038"/>
      <c r="L190" s="2038"/>
      <c r="M190" s="2038"/>
      <c r="N190" s="2038"/>
      <c r="O190" s="2038"/>
      <c r="P190" s="2038"/>
      <c r="Q190" s="2038"/>
      <c r="R190" s="2038"/>
      <c r="S190" s="2038"/>
      <c r="T190" s="2038"/>
      <c r="U190" s="2038"/>
      <c r="V190" s="2038"/>
      <c r="W190" s="2038"/>
      <c r="X190" s="2038"/>
      <c r="Y190" s="2038"/>
      <c r="Z190" s="2038"/>
      <c r="AA190" s="2038"/>
      <c r="AB190" s="2039"/>
    </row>
    <row r="191" spans="1:28" ht="13.5" thickBot="1" x14ac:dyDescent="0.25">
      <c r="B191" s="1564" t="s">
        <v>1383</v>
      </c>
      <c r="C191" s="2057" t="s">
        <v>1397</v>
      </c>
      <c r="D191" s="2058"/>
      <c r="E191" s="2058"/>
      <c r="F191" s="2058"/>
      <c r="G191" s="2058"/>
      <c r="H191" s="2058"/>
      <c r="I191" s="2058"/>
      <c r="J191" s="2058"/>
      <c r="K191" s="2058"/>
      <c r="L191" s="2058"/>
      <c r="M191" s="2058"/>
      <c r="N191" s="2058"/>
      <c r="O191" s="2058"/>
      <c r="P191" s="2058"/>
      <c r="Q191" s="2058"/>
      <c r="R191" s="2058"/>
      <c r="S191" s="2058"/>
      <c r="T191" s="2058"/>
      <c r="U191" s="2058"/>
      <c r="V191" s="2058"/>
      <c r="W191" s="2058"/>
      <c r="X191" s="2058"/>
      <c r="Y191" s="2058"/>
      <c r="Z191" s="2058"/>
      <c r="AA191" s="2058"/>
      <c r="AB191" s="2059"/>
    </row>
  </sheetData>
  <sheetProtection sheet="1" objects="1" scenarios="1"/>
  <mergeCells count="18">
    <mergeCell ref="C187:AB187"/>
    <mergeCell ref="C188:AB188"/>
    <mergeCell ref="C190:AB190"/>
    <mergeCell ref="C191:AB191"/>
    <mergeCell ref="B189:AB189"/>
    <mergeCell ref="AB3:AB8"/>
    <mergeCell ref="B2:AB2"/>
    <mergeCell ref="C184:AB184"/>
    <mergeCell ref="C185:AB185"/>
    <mergeCell ref="C186:AB186"/>
    <mergeCell ref="B182:AB182"/>
    <mergeCell ref="P3:AA7"/>
    <mergeCell ref="K5:O5"/>
    <mergeCell ref="F3:J3"/>
    <mergeCell ref="F4:J4"/>
    <mergeCell ref="F5:J5"/>
    <mergeCell ref="F6:J6"/>
    <mergeCell ref="F7:J7"/>
  </mergeCells>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243137" r:id="rId4" name="CaseEMSCommandButton1">
          <controlPr defaultSize="0" print="0" autoLine="0" autoPict="0" r:id="rId5">
            <anchor moveWithCells="1">
              <from>
                <xdr:col>0</xdr:col>
                <xdr:colOff>57150</xdr:colOff>
                <xdr:row>2</xdr:row>
                <xdr:rowOff>85725</xdr:rowOff>
              </from>
              <to>
                <xdr:col>0</xdr:col>
                <xdr:colOff>1228725</xdr:colOff>
                <xdr:row>4</xdr:row>
                <xdr:rowOff>76200</xdr:rowOff>
              </to>
            </anchor>
          </controlPr>
        </control>
      </mc:Choice>
      <mc:Fallback>
        <control shapeId="1243137" r:id="rId4" name="CaseEMSCommandButton1"/>
      </mc:Fallback>
    </mc:AlternateContent>
    <mc:AlternateContent xmlns:mc="http://schemas.openxmlformats.org/markup-compatibility/2006">
      <mc:Choice Requires="x14">
        <control shapeId="1243138" r:id="rId6" name="DTToggle">
          <controlPr defaultSize="0" autoLine="0" r:id="rId7">
            <anchor moveWithCells="1">
              <from>
                <xdr:col>0</xdr:col>
                <xdr:colOff>95250</xdr:colOff>
                <xdr:row>5</xdr:row>
                <xdr:rowOff>104775</xdr:rowOff>
              </from>
              <to>
                <xdr:col>0</xdr:col>
                <xdr:colOff>1228725</xdr:colOff>
                <xdr:row>7</xdr:row>
                <xdr:rowOff>180975</xdr:rowOff>
              </to>
            </anchor>
          </controlPr>
        </control>
      </mc:Choice>
      <mc:Fallback>
        <control shapeId="1243138" r:id="rId6" name="DTToggle"/>
      </mc:Fallback>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3DF6A-8D80-4CFE-87D0-E083E1C7EC4A}">
  <sheetPr codeName="Sheet24">
    <tabColor rgb="FF99CCFF"/>
    <pageSetUpPr fitToPage="1"/>
  </sheetPr>
  <dimension ref="A1:IS646"/>
  <sheetViews>
    <sheetView showGridLines="0" zoomScale="130" zoomScaleNormal="130" zoomScaleSheetLayoutView="50" workbookViewId="0">
      <pane xSplit="8" topLeftCell="I1" activePane="topRight" state="frozen"/>
      <selection pane="topRight" activeCell="U1" sqref="U1"/>
    </sheetView>
  </sheetViews>
  <sheetFormatPr defaultColWidth="0" defaultRowHeight="12" customHeight="1" x14ac:dyDescent="0.2"/>
  <cols>
    <col min="1" max="1" width="6.28515625" style="29" customWidth="1"/>
    <col min="2" max="2" width="7.7109375" style="29" customWidth="1"/>
    <col min="3" max="3" width="6.140625" style="29" customWidth="1"/>
    <col min="4" max="4" width="12.28515625" style="29" hidden="1" customWidth="1"/>
    <col min="5" max="5" width="2.140625" style="167" customWidth="1"/>
    <col min="6" max="6" width="13.28515625" style="29" bestFit="1" customWidth="1"/>
    <col min="7" max="7" width="3.5703125" style="294" customWidth="1"/>
    <col min="8" max="8" width="5.7109375" style="29" customWidth="1"/>
    <col min="9" max="9" width="3.42578125" style="29" customWidth="1"/>
    <col min="10" max="10" width="4.140625" style="29" customWidth="1"/>
    <col min="11" max="14" width="5.28515625" style="29" customWidth="1"/>
    <col min="15" max="16" width="3.7109375" style="29" customWidth="1"/>
    <col min="17" max="17" width="4.140625" style="29" customWidth="1"/>
    <col min="18" max="18" width="11.7109375" style="29" customWidth="1"/>
    <col min="19" max="19" width="11.42578125" style="29" customWidth="1"/>
    <col min="20" max="20" width="11" style="29" customWidth="1"/>
    <col min="21" max="21" width="9.42578125" style="29" customWidth="1"/>
    <col min="22" max="22" width="10" style="29" customWidth="1"/>
    <col min="23" max="23" width="12" style="29" bestFit="1" customWidth="1"/>
    <col min="24" max="24" width="9.28515625" style="29" customWidth="1"/>
    <col min="25" max="25" width="12.42578125" style="29" customWidth="1"/>
    <col min="26" max="27" width="9.28515625" style="29" customWidth="1"/>
    <col min="28" max="28" width="7.140625" style="29" customWidth="1"/>
    <col min="29" max="29" width="8" style="29" customWidth="1"/>
    <col min="30" max="30" width="5.7109375" style="29" customWidth="1"/>
    <col min="31" max="33" width="8.28515625" style="29" customWidth="1"/>
    <col min="34" max="34" width="9.85546875" style="29" customWidth="1"/>
    <col min="35" max="35" width="7" style="29" bestFit="1" customWidth="1"/>
    <col min="36" max="36" width="6.7109375" style="29" customWidth="1"/>
    <col min="37" max="38" width="3" style="29" customWidth="1"/>
    <col min="39" max="39" width="5.42578125" style="29" customWidth="1"/>
    <col min="40" max="41" width="6.140625" style="29" customWidth="1"/>
    <col min="42" max="42" width="9" style="29" customWidth="1"/>
    <col min="43" max="43" width="8.28515625" style="29" bestFit="1" customWidth="1"/>
    <col min="44" max="44" width="6.42578125" style="29" customWidth="1"/>
    <col min="45" max="45" width="20.7109375" style="29" customWidth="1"/>
    <col min="46" max="46" width="24.5703125" style="29" customWidth="1"/>
    <col min="47" max="47" width="3.7109375" style="893" customWidth="1"/>
    <col min="48" max="50" width="3.7109375" style="29" customWidth="1"/>
    <col min="51" max="51" width="3.85546875" style="29" customWidth="1"/>
    <col min="52" max="52" width="20.7109375" style="29" customWidth="1"/>
    <col min="53" max="53" width="3.7109375" style="29" customWidth="1"/>
    <col min="54" max="54" width="20.7109375" style="29" customWidth="1"/>
    <col min="55" max="55" width="20.5703125" style="29" customWidth="1"/>
    <col min="56" max="56" width="20.7109375" style="29" customWidth="1"/>
    <col min="57" max="57" width="16.42578125" style="29" bestFit="1" customWidth="1"/>
    <col min="58" max="58" width="20.42578125" style="29" bestFit="1" customWidth="1"/>
    <col min="59" max="59" width="5.140625" style="29" customWidth="1"/>
    <col min="60" max="60" width="5.5703125" style="29" customWidth="1"/>
    <col min="61" max="77" width="4.7109375" style="29" customWidth="1"/>
    <col min="78" max="112" width="5.28515625" style="29" customWidth="1"/>
    <col min="113" max="113" width="5.7109375" style="29" customWidth="1"/>
    <col min="114" max="117" width="5.28515625" style="29" customWidth="1"/>
    <col min="118" max="118" width="4.7109375" style="29" customWidth="1"/>
    <col min="119" max="119" width="6.7109375" style="29" customWidth="1"/>
    <col min="120" max="120" width="5.7109375" style="29" customWidth="1"/>
    <col min="121" max="121" width="6.7109375" style="29" customWidth="1"/>
    <col min="122" max="122" width="5.7109375" style="29" customWidth="1"/>
    <col min="123" max="123" width="6.7109375" style="29" customWidth="1"/>
    <col min="124" max="124" width="5.7109375" style="29" customWidth="1"/>
    <col min="125" max="125" width="11.7109375" style="29" customWidth="1"/>
    <col min="126" max="126" width="9.7109375" style="29" customWidth="1"/>
    <col min="127" max="127" width="8.85546875" style="29" customWidth="1"/>
    <col min="128" max="128" width="6.85546875" style="29" customWidth="1"/>
    <col min="129" max="131" width="4.7109375" style="29" customWidth="1"/>
    <col min="132" max="253" width="9.140625" style="29" customWidth="1"/>
    <col min="254" max="16384" width="4.7109375" style="29" hidden="1"/>
  </cols>
  <sheetData>
    <row r="1" spans="1:150" s="30" customFormat="1" ht="37.5" customHeight="1" thickBot="1" x14ac:dyDescent="0.25">
      <c r="A1" s="29"/>
      <c r="B1" s="29"/>
      <c r="C1" s="29"/>
      <c r="D1" s="29"/>
      <c r="E1" s="167"/>
      <c r="F1" s="29"/>
      <c r="G1" s="293"/>
      <c r="H1" s="517" t="s">
        <v>791</v>
      </c>
      <c r="I1" s="518"/>
      <c r="J1" s="518"/>
      <c r="K1" s="518"/>
      <c r="L1" s="519"/>
      <c r="M1" s="442" t="s">
        <v>580</v>
      </c>
      <c r="N1" s="443"/>
      <c r="O1" s="2072" t="str">
        <f>IF('Legend(DX)'!O1=0,"",'Legend(DX)'!O1)</f>
        <v/>
      </c>
      <c r="P1" s="2073"/>
      <c r="Q1" s="2074"/>
      <c r="R1" s="520" t="s">
        <v>579</v>
      </c>
      <c r="S1" s="521"/>
      <c r="T1" s="515" t="s">
        <v>1625</v>
      </c>
      <c r="U1" s="1227"/>
      <c r="V1" s="515" t="s">
        <v>1646</v>
      </c>
      <c r="W1" s="524"/>
      <c r="X1" s="515" t="s">
        <v>1667</v>
      </c>
      <c r="Y1" s="1573" t="str">
        <f>IF(W1="SG1",IF(LegendSG1LT=0,"",LegendSG1LT),IF(LegendSG2LT=0,"",LegendSG2LT))</f>
        <v/>
      </c>
      <c r="Z1" s="515" t="s">
        <v>1629</v>
      </c>
      <c r="AA1" s="1573" t="str">
        <f>IF(W1="SG1",IF(LegendSG1RGT=0,"",LegendSG1RGT),IF(LegendSG2RGT=0,"",LegendSG2RGT))</f>
        <v>N/A</v>
      </c>
      <c r="AB1" s="515" t="s">
        <v>895</v>
      </c>
      <c r="AC1" s="522" t="s">
        <v>896</v>
      </c>
      <c r="AD1" s="1700" t="str">
        <f>IF(OR($W$1="Fluid",$W$1="Water",$W$1="Evap Fluid"),"COND. SUPPLY TEMP :","EXTERIOR DRY BULB (DB)  :")</f>
        <v>EXTERIOR DRY BULB (DB)  :</v>
      </c>
      <c r="AE1" s="1701"/>
      <c r="AF1" s="1572" t="str">
        <f>IF('Legend(DX)'!AF1=0,"",'Legend(DX)'!AF1)</f>
        <v/>
      </c>
      <c r="AG1" s="1692" t="s">
        <v>1204</v>
      </c>
      <c r="AH1" s="1734"/>
      <c r="AI1" s="1613" t="str">
        <f>'Legend(DX)'!AI1</f>
        <v>2021</v>
      </c>
      <c r="AJ1" s="1692" t="s">
        <v>904</v>
      </c>
      <c r="AK1" s="1693"/>
      <c r="AL1" s="1694"/>
      <c r="AM1" s="1715"/>
      <c r="AN1" s="1716"/>
      <c r="AO1" s="1716"/>
      <c r="AP1" s="1717"/>
      <c r="AQ1" s="1692" t="str">
        <f>IF(LEFT($U$1,1)="g","FLUID GROUP #1  GLYCOL TEMPERATURE",IF(LEFT($U$1,1)="c","FLUID GROUP #1 CO2 TEMPERATURE",""))</f>
        <v/>
      </c>
      <c r="AR1" s="1693"/>
      <c r="AS1" s="1694"/>
      <c r="AT1" s="1576"/>
      <c r="AU1" s="1487"/>
      <c r="AV1" s="1488"/>
      <c r="AW1" s="1488"/>
      <c r="AZ1" s="1286"/>
      <c r="BA1" s="1286"/>
      <c r="BB1" s="1286"/>
      <c r="BC1" s="1286"/>
      <c r="BD1" s="1286"/>
      <c r="BE1" s="1286"/>
      <c r="BF1" s="1286"/>
      <c r="BG1" s="1286"/>
      <c r="BH1" s="1286"/>
      <c r="BI1" s="1286"/>
      <c r="BJ1" s="1286"/>
      <c r="BZ1" s="1286"/>
      <c r="CA1" s="1286"/>
      <c r="CB1" s="1750" t="s">
        <v>115</v>
      </c>
      <c r="CC1" s="1750"/>
      <c r="CD1" s="1750"/>
      <c r="CE1" s="1750"/>
      <c r="CF1" s="1750"/>
      <c r="CG1" s="1750"/>
      <c r="CH1" s="1750"/>
      <c r="CI1" s="1750"/>
      <c r="CJ1" s="1750"/>
      <c r="CK1" s="1750"/>
      <c r="CL1" s="1750"/>
      <c r="CM1" s="1750"/>
      <c r="CN1" s="1750"/>
      <c r="CO1" s="1750"/>
      <c r="CP1" s="1750"/>
      <c r="CQ1" s="1750"/>
      <c r="CR1" s="1750"/>
      <c r="CS1" s="1750"/>
      <c r="CT1" s="1750"/>
      <c r="CU1" s="1750"/>
      <c r="CV1" s="1750"/>
      <c r="CW1" s="1750"/>
      <c r="CX1" s="1750"/>
      <c r="CY1" s="1750"/>
      <c r="CZ1" s="1750"/>
      <c r="DA1" s="1750"/>
      <c r="DB1" s="1750"/>
      <c r="DC1" s="1750"/>
      <c r="DD1" s="1750"/>
      <c r="DE1" s="1750"/>
      <c r="DF1" s="1750"/>
      <c r="DG1" s="1750"/>
      <c r="DH1" s="1750"/>
      <c r="DI1" s="1750"/>
      <c r="DJ1" s="1750"/>
      <c r="DK1" s="1750"/>
      <c r="DL1" s="1750"/>
      <c r="DM1" s="1750"/>
      <c r="DN1" s="1750"/>
      <c r="DO1" s="1750"/>
      <c r="DP1" s="1750"/>
      <c r="DQ1" s="1750"/>
      <c r="DR1" s="1750"/>
      <c r="DS1" s="1750"/>
      <c r="DT1" s="1750"/>
      <c r="DU1" s="1750"/>
      <c r="DV1" s="1750"/>
      <c r="DW1" s="1750"/>
      <c r="DX1" s="1750"/>
      <c r="DY1" s="1750"/>
      <c r="DZ1" s="1750"/>
      <c r="EA1" s="1750"/>
      <c r="EB1" s="1286"/>
      <c r="EC1" s="1286"/>
      <c r="ED1" s="1286"/>
      <c r="EE1" s="1286"/>
      <c r="EF1" s="1286"/>
      <c r="EG1" s="1286"/>
      <c r="EH1" s="1286"/>
      <c r="EI1" s="1286"/>
      <c r="EJ1" s="1286"/>
      <c r="EK1" s="1286"/>
      <c r="EL1" s="1286"/>
      <c r="EM1" s="1286"/>
      <c r="EN1" s="1286"/>
      <c r="EO1" s="1286"/>
      <c r="EP1" s="1286"/>
      <c r="EQ1" s="1286"/>
      <c r="ER1" s="1286"/>
      <c r="ES1" s="1286"/>
      <c r="ET1" s="1286"/>
    </row>
    <row r="2" spans="1:150" ht="38.25" customHeight="1" thickBot="1" x14ac:dyDescent="0.25">
      <c r="B2" s="893">
        <v>0</v>
      </c>
      <c r="D2" s="1301" t="s">
        <v>1178</v>
      </c>
      <c r="H2" s="2066" t="str">
        <f>IF('Legend(DX)'!H2=0,"",'Legend(DX)'!H2)</f>
        <v/>
      </c>
      <c r="I2" s="2067"/>
      <c r="J2" s="2067"/>
      <c r="K2" s="2067"/>
      <c r="L2" s="2068"/>
      <c r="M2" s="442" t="s">
        <v>587</v>
      </c>
      <c r="N2" s="443"/>
      <c r="O2" s="2069" t="str">
        <f>IF('Legend(DX)'!O2=0,"",'Legend(DX)'!O2)</f>
        <v/>
      </c>
      <c r="P2" s="2070"/>
      <c r="Q2" s="2071"/>
      <c r="R2" s="1697" t="s">
        <v>1627</v>
      </c>
      <c r="S2" s="1717"/>
      <c r="T2" s="515" t="s">
        <v>1225</v>
      </c>
      <c r="U2" s="524"/>
      <c r="V2" s="525" t="s">
        <v>1666</v>
      </c>
      <c r="W2" s="1573" t="str">
        <f>IF(LegendSG1CT=0,"",LegendSG1CT)</f>
        <v/>
      </c>
      <c r="X2" s="515"/>
      <c r="Y2" s="1578"/>
      <c r="Z2" s="515"/>
      <c r="AA2" s="1578"/>
      <c r="AB2" s="515"/>
      <c r="AC2" s="1579"/>
      <c r="AD2" s="1700" t="s">
        <v>117</v>
      </c>
      <c r="AE2" s="1701"/>
      <c r="AF2" s="1573" t="str">
        <f>IF('Legend(DX)'!AF2=0,"",'Legend(DX)'!AF2)</f>
        <v/>
      </c>
      <c r="AG2" s="1692" t="s">
        <v>1021</v>
      </c>
      <c r="AH2" s="1734"/>
      <c r="AI2" s="1613" t="str">
        <f>'Legend(DX)'!AI2</f>
        <v>2021</v>
      </c>
      <c r="AJ2" s="1692" t="s">
        <v>905</v>
      </c>
      <c r="AK2" s="1693"/>
      <c r="AL2" s="1694"/>
      <c r="AM2" s="1715"/>
      <c r="AN2" s="1716"/>
      <c r="AO2" s="1716"/>
      <c r="AP2" s="1717"/>
      <c r="AQ2" s="1692"/>
      <c r="AR2" s="1693"/>
      <c r="AS2" s="1694"/>
      <c r="AT2" s="1512"/>
      <c r="AU2" s="1489"/>
      <c r="AV2" s="1490"/>
      <c r="AW2" s="1490"/>
      <c r="AZ2" s="1287"/>
      <c r="BA2" s="1287"/>
      <c r="BB2" s="1288"/>
      <c r="BC2" s="1288" t="s">
        <v>1169</v>
      </c>
      <c r="BD2" s="1287"/>
      <c r="BE2" s="1287"/>
      <c r="BF2" s="1287"/>
      <c r="BG2" s="1287"/>
      <c r="BH2" s="1287"/>
      <c r="BI2" s="1287"/>
      <c r="BJ2" s="1287"/>
      <c r="BZ2" s="1287"/>
      <c r="CA2" s="1287"/>
      <c r="CB2" s="1750"/>
      <c r="CC2" s="1750"/>
      <c r="CD2" s="1750"/>
      <c r="CE2" s="1750"/>
      <c r="CF2" s="1750"/>
      <c r="CG2" s="1750"/>
      <c r="CH2" s="1750"/>
      <c r="CI2" s="1750"/>
      <c r="CJ2" s="1750"/>
      <c r="CK2" s="1750"/>
      <c r="CL2" s="1750"/>
      <c r="CM2" s="1750"/>
      <c r="CN2" s="1750"/>
      <c r="CO2" s="1750"/>
      <c r="CP2" s="1750"/>
      <c r="CQ2" s="1750"/>
      <c r="CR2" s="1750"/>
      <c r="CS2" s="1750"/>
      <c r="CT2" s="1750"/>
      <c r="CU2" s="1750"/>
      <c r="CV2" s="1750"/>
      <c r="CW2" s="1750"/>
      <c r="CX2" s="1750"/>
      <c r="CY2" s="1750"/>
      <c r="CZ2" s="1750"/>
      <c r="DA2" s="1750"/>
      <c r="DB2" s="1750"/>
      <c r="DC2" s="1750"/>
      <c r="DD2" s="1750"/>
      <c r="DE2" s="1750"/>
      <c r="DF2" s="1750"/>
      <c r="DG2" s="1750"/>
      <c r="DH2" s="1750"/>
      <c r="DI2" s="1750"/>
      <c r="DJ2" s="1750"/>
      <c r="DK2" s="1750"/>
      <c r="DL2" s="1750"/>
      <c r="DM2" s="1750"/>
      <c r="DN2" s="1750"/>
      <c r="DO2" s="1750"/>
      <c r="DP2" s="1750"/>
      <c r="DQ2" s="1750"/>
      <c r="DR2" s="1750"/>
      <c r="DS2" s="1750"/>
      <c r="DT2" s="1750"/>
      <c r="DU2" s="1750"/>
      <c r="DV2" s="1750"/>
      <c r="DW2" s="1750"/>
      <c r="DX2" s="1750"/>
      <c r="DY2" s="1750"/>
      <c r="DZ2" s="1750"/>
      <c r="EA2" s="1750"/>
      <c r="EB2" s="1287"/>
      <c r="EC2" s="1287"/>
      <c r="ED2" s="1287"/>
      <c r="EE2" s="1287"/>
      <c r="EF2" s="1287"/>
      <c r="EG2" s="1287"/>
      <c r="EH2" s="1287"/>
      <c r="EI2" s="1287"/>
      <c r="EJ2" s="1287"/>
      <c r="EK2" s="1287"/>
      <c r="EL2" s="1287"/>
      <c r="EM2" s="1287"/>
      <c r="EN2" s="1287"/>
      <c r="EO2" s="1287"/>
      <c r="EP2" s="1287"/>
      <c r="EQ2" s="1287"/>
      <c r="ER2" s="1287"/>
      <c r="ES2" s="1287"/>
      <c r="ET2" s="1287"/>
    </row>
    <row r="3" spans="1:150" ht="39" customHeight="1" thickBot="1" x14ac:dyDescent="0.25">
      <c r="H3" s="2066" t="str">
        <f>'Legend(DX)'!H3</f>
        <v>Renovation</v>
      </c>
      <c r="I3" s="2067"/>
      <c r="J3" s="2067"/>
      <c r="K3" s="2067"/>
      <c r="L3" s="2068"/>
      <c r="M3" s="1692" t="s">
        <v>790</v>
      </c>
      <c r="N3" s="1734"/>
      <c r="O3" s="2075" t="str">
        <f>IF('Legend(DX)'!O3="Google Elevation","",'Legend(DX)'!O3)</f>
        <v/>
      </c>
      <c r="P3" s="2076"/>
      <c r="Q3" s="2077"/>
      <c r="R3" s="523" t="s">
        <v>601</v>
      </c>
      <c r="S3" s="1571" t="str">
        <f>'Legend(DX)'!S3</f>
        <v>DCE</v>
      </c>
      <c r="T3" s="515" t="s">
        <v>1626</v>
      </c>
      <c r="U3" s="1577" t="str">
        <f>IF(W1="SG1",IF(LegendSG1RSST=0,"",LegendSG1RSST),IF(LegendSG2RSST=0,"",LegendSG2RSST))</f>
        <v/>
      </c>
      <c r="V3" s="526" t="s">
        <v>1645</v>
      </c>
      <c r="W3" s="527"/>
      <c r="X3" s="515" t="s">
        <v>1647</v>
      </c>
      <c r="Y3" s="527"/>
      <c r="Z3" s="515"/>
      <c r="AA3" s="1578"/>
      <c r="AB3" s="515"/>
      <c r="AC3" s="1579"/>
      <c r="AD3" s="1700" t="s">
        <v>646</v>
      </c>
      <c r="AE3" s="1701"/>
      <c r="AF3" s="1573">
        <f>'Legend(DX)'!AF3</f>
        <v>75</v>
      </c>
      <c r="AG3" s="1723" t="s">
        <v>648</v>
      </c>
      <c r="AH3" s="1724"/>
      <c r="AI3" s="1573" t="str">
        <f>IF('Legend(DX)'!AI3=0,"",'Legend(DX)'!AI3)</f>
        <v/>
      </c>
      <c r="AJ3" s="1692" t="s">
        <v>906</v>
      </c>
      <c r="AK3" s="1693"/>
      <c r="AL3" s="1694"/>
      <c r="AM3" s="1715"/>
      <c r="AN3" s="1716"/>
      <c r="AO3" s="1716"/>
      <c r="AP3" s="1717"/>
      <c r="AQ3" s="1692" t="s">
        <v>1665</v>
      </c>
      <c r="AR3" s="1693"/>
      <c r="AS3" s="1694"/>
      <c r="AT3" s="1576"/>
      <c r="AU3" s="1487"/>
      <c r="AV3" s="1488"/>
      <c r="AW3" s="1488"/>
      <c r="AZ3" s="1287"/>
      <c r="BA3" s="1287"/>
      <c r="BB3" s="1287"/>
      <c r="BC3" s="1287"/>
      <c r="BD3" s="1287"/>
      <c r="BE3" s="1287"/>
      <c r="BF3" s="1287"/>
      <c r="BG3" s="1287"/>
      <c r="BH3" s="1287"/>
      <c r="BI3" s="1287"/>
      <c r="BJ3" s="1287"/>
      <c r="BZ3" s="1287"/>
      <c r="CA3" s="1287"/>
      <c r="CB3" s="1750"/>
      <c r="CC3" s="1750"/>
      <c r="CD3" s="1750"/>
      <c r="CE3" s="1750"/>
      <c r="CF3" s="1750"/>
      <c r="CG3" s="1750"/>
      <c r="CH3" s="1750"/>
      <c r="CI3" s="1750"/>
      <c r="CJ3" s="1750"/>
      <c r="CK3" s="1750"/>
      <c r="CL3" s="1750"/>
      <c r="CM3" s="1750"/>
      <c r="CN3" s="1750"/>
      <c r="CO3" s="1750"/>
      <c r="CP3" s="1750"/>
      <c r="CQ3" s="1750"/>
      <c r="CR3" s="1750"/>
      <c r="CS3" s="1750"/>
      <c r="CT3" s="1750"/>
      <c r="CU3" s="1750"/>
      <c r="CV3" s="1750"/>
      <c r="CW3" s="1750"/>
      <c r="CX3" s="1750"/>
      <c r="CY3" s="1750"/>
      <c r="CZ3" s="1750"/>
      <c r="DA3" s="1750"/>
      <c r="DB3" s="1750"/>
      <c r="DC3" s="1750"/>
      <c r="DD3" s="1750"/>
      <c r="DE3" s="1750"/>
      <c r="DF3" s="1750"/>
      <c r="DG3" s="1750"/>
      <c r="DH3" s="1750"/>
      <c r="DI3" s="1750"/>
      <c r="DJ3" s="1750"/>
      <c r="DK3" s="1750"/>
      <c r="DL3" s="1750"/>
      <c r="DM3" s="1750"/>
      <c r="DN3" s="1750"/>
      <c r="DO3" s="1750"/>
      <c r="DP3" s="1750"/>
      <c r="DQ3" s="1750"/>
      <c r="DR3" s="1750"/>
      <c r="DS3" s="1750"/>
      <c r="DT3" s="1750"/>
      <c r="DU3" s="1750"/>
      <c r="DV3" s="1750"/>
      <c r="DW3" s="1750"/>
      <c r="DX3" s="1750"/>
      <c r="DY3" s="1750"/>
      <c r="DZ3" s="1750"/>
      <c r="EA3" s="1750"/>
      <c r="EB3" s="1287"/>
      <c r="EC3" s="1287"/>
      <c r="ED3" s="1287"/>
      <c r="EE3" s="1287"/>
      <c r="EF3" s="1287"/>
      <c r="EG3" s="1287"/>
      <c r="EH3" s="1287"/>
      <c r="EI3" s="1287"/>
      <c r="EJ3" s="1287"/>
      <c r="EK3" s="1287"/>
      <c r="EL3" s="1287"/>
      <c r="EM3" s="1287"/>
      <c r="EN3" s="1287"/>
      <c r="EO3" s="1287"/>
      <c r="EP3" s="1287"/>
      <c r="EQ3" s="1287"/>
      <c r="ER3" s="1287"/>
      <c r="ES3" s="1287"/>
      <c r="ET3" s="1287"/>
    </row>
    <row r="4" spans="1:150" ht="42" customHeight="1" thickBot="1" x14ac:dyDescent="0.25">
      <c r="E4" s="445"/>
      <c r="F4" s="893" t="s">
        <v>908</v>
      </c>
      <c r="G4" s="445"/>
      <c r="H4" s="1787" t="s">
        <v>634</v>
      </c>
      <c r="I4" s="1788"/>
      <c r="J4" s="1714"/>
      <c r="K4" s="2063" t="str">
        <f>IF('Legend(DX)'!K4=0,"",'Legend(DX)'!K4)</f>
        <v/>
      </c>
      <c r="L4" s="2064"/>
      <c r="M4" s="1692" t="s">
        <v>703</v>
      </c>
      <c r="N4" s="1789"/>
      <c r="O4" s="2063" t="str">
        <f>IF('Legend(DX)'!O4=0,"",'Legend(DX)'!O4)</f>
        <v/>
      </c>
      <c r="P4" s="2065"/>
      <c r="Q4" s="2065"/>
      <c r="R4" s="523" t="s">
        <v>602</v>
      </c>
      <c r="S4" s="1571" t="str">
        <f>IF('Legend(DX)'!S4=0,"",'Legend(DX)'!S4)</f>
        <v/>
      </c>
      <c r="T4" s="515" t="s">
        <v>1678</v>
      </c>
      <c r="U4" s="1227"/>
      <c r="V4" s="525" t="s">
        <v>1628</v>
      </c>
      <c r="W4" s="1573" t="str">
        <f>IF('Legend(DX)'!U1=0,"",'Legend(DX)'!U1)</f>
        <v/>
      </c>
      <c r="X4" s="515"/>
      <c r="Y4" s="1610"/>
      <c r="Z4" s="525" t="str">
        <f>IF(LEFT($U$1,1)="c","System Circulation Rate","")</f>
        <v/>
      </c>
      <c r="AA4" s="1611" t="str">
        <f>IF(LEFT($U$1,1)="c",MAX(LegendSG1SCR_Skid),"")</f>
        <v/>
      </c>
      <c r="AB4" s="515"/>
      <c r="AC4" s="1579"/>
      <c r="AD4" s="1700" t="s">
        <v>647</v>
      </c>
      <c r="AE4" s="1701"/>
      <c r="AF4" s="1574">
        <f>'Legend(DX)'!AF4</f>
        <v>0.55000000000000004</v>
      </c>
      <c r="AG4" s="1787" t="s">
        <v>786</v>
      </c>
      <c r="AH4" s="1788"/>
      <c r="AI4" s="1573" t="str">
        <f>IF('Legend(DX)'!AI4=0,"",'Legend(DX)'!AI4)</f>
        <v/>
      </c>
      <c r="AJ4" s="1692" t="s">
        <v>907</v>
      </c>
      <c r="AK4" s="1693"/>
      <c r="AL4" s="1694"/>
      <c r="AM4" s="1715"/>
      <c r="AN4" s="1716"/>
      <c r="AO4" s="1716"/>
      <c r="AP4" s="1717"/>
      <c r="AQ4" s="1692" t="s">
        <v>1354</v>
      </c>
      <c r="AR4" s="1693"/>
      <c r="AS4" s="1694"/>
      <c r="AT4" s="1575" t="str">
        <f>IF('Legend(DX)'!AT4=0,"",'Legend(DX)'!AT4)</f>
        <v/>
      </c>
    </row>
    <row r="5" spans="1:150" ht="21.75" customHeight="1" thickBot="1" x14ac:dyDescent="0.25">
      <c r="D5" s="167" t="s">
        <v>200</v>
      </c>
      <c r="E5" s="445"/>
      <c r="F5" s="893" t="str">
        <f>"&gt;0"</f>
        <v>&gt;0</v>
      </c>
      <c r="G5" s="445"/>
      <c r="H5" s="1718" t="s">
        <v>18</v>
      </c>
      <c r="I5" s="1719"/>
      <c r="J5" s="1719"/>
      <c r="K5" s="1719"/>
      <c r="L5" s="1719"/>
      <c r="M5" s="1719"/>
      <c r="N5" s="1719"/>
      <c r="O5" s="1719"/>
      <c r="P5" s="1719"/>
      <c r="Q5" s="1719"/>
      <c r="R5" s="1719"/>
      <c r="S5" s="1719"/>
      <c r="T5" s="1719"/>
      <c r="U5" s="1719"/>
      <c r="V5" s="1719"/>
      <c r="W5" s="1719"/>
      <c r="X5" s="1719"/>
      <c r="Y5" s="1719"/>
      <c r="Z5" s="1719"/>
      <c r="AA5" s="1719"/>
      <c r="AB5" s="1719"/>
      <c r="AC5" s="1719"/>
      <c r="AD5" s="1719"/>
      <c r="AE5" s="1719"/>
      <c r="AF5" s="1719"/>
      <c r="AG5" s="1719"/>
      <c r="AH5" s="1778"/>
      <c r="AI5" s="1779"/>
      <c r="AJ5" s="1744" t="s">
        <v>575</v>
      </c>
      <c r="AK5" s="1778"/>
      <c r="AL5" s="1778"/>
      <c r="AM5" s="1778"/>
      <c r="AN5" s="1778"/>
      <c r="AO5" s="1778"/>
      <c r="AP5" s="1779"/>
      <c r="AQ5" s="1744" t="s">
        <v>17</v>
      </c>
      <c r="AR5" s="1745"/>
      <c r="AS5" s="1745"/>
      <c r="AT5" s="1746"/>
    </row>
    <row r="6" spans="1:150" s="33" customFormat="1" ht="12" customHeight="1" thickBot="1" x14ac:dyDescent="0.25">
      <c r="A6" s="1801" t="s">
        <v>93</v>
      </c>
      <c r="B6" s="1803" t="s">
        <v>377</v>
      </c>
      <c r="C6" s="1805" t="s">
        <v>402</v>
      </c>
      <c r="D6" s="1807" t="s">
        <v>256</v>
      </c>
      <c r="E6" s="447"/>
      <c r="F6" s="1679" t="s">
        <v>146</v>
      </c>
      <c r="G6" s="446"/>
      <c r="H6" s="1728" t="s">
        <v>560</v>
      </c>
      <c r="I6" s="1712" t="s">
        <v>1</v>
      </c>
      <c r="J6" s="1790"/>
      <c r="K6" s="1790"/>
      <c r="L6" s="1790"/>
      <c r="M6" s="1790"/>
      <c r="N6" s="1755"/>
      <c r="O6" s="1712" t="s">
        <v>702</v>
      </c>
      <c r="P6" s="1713"/>
      <c r="Q6" s="1714"/>
      <c r="R6" s="1688" t="s">
        <v>89</v>
      </c>
      <c r="S6" s="1688" t="s">
        <v>341</v>
      </c>
      <c r="T6" s="1688" t="s">
        <v>16</v>
      </c>
      <c r="U6" s="1689"/>
      <c r="V6" s="1679" t="s">
        <v>105</v>
      </c>
      <c r="W6" s="1679" t="str">
        <f>IF(LEFT($U$1,1)="G","UNIT COOLER MODEL #","EVAPORATOR MODEL #")</f>
        <v>EVAPORATOR MODEL #</v>
      </c>
      <c r="X6" s="1679" t="s">
        <v>781</v>
      </c>
      <c r="Y6" s="1679" t="str">
        <f>IF(LEFT($U$1,1)="c","System Circulation Rate","Evaporator Coil TXV / Distributer Nozzle")</f>
        <v>Evaporator Coil TXV / Distributer Nozzle</v>
      </c>
      <c r="Z6" s="1679" t="s">
        <v>908</v>
      </c>
      <c r="AA6" s="1679" t="s">
        <v>909</v>
      </c>
      <c r="AB6" s="1679" t="str">
        <f>IF(LEFT($U$1,1)="g","Coil Temp",IF(LEFT($U$1,1)="c","Coil Temp","Evap Temp"))</f>
        <v>Evap Temp</v>
      </c>
      <c r="AC6" s="1679" t="str">
        <f>IF(LEFT($U$1,1)="g","Flow (GPM)",IF(LEFT($U$1,1)="c","Fluid Temp","Suct. Temp"))</f>
        <v>Suct. Temp</v>
      </c>
      <c r="AD6" s="1679" t="s">
        <v>910</v>
      </c>
      <c r="AE6" s="1712" t="s">
        <v>565</v>
      </c>
      <c r="AF6" s="1790"/>
      <c r="AG6" s="1790"/>
      <c r="AH6" s="1755"/>
      <c r="AI6" s="513" t="s">
        <v>566</v>
      </c>
      <c r="AJ6" s="1712" t="s">
        <v>573</v>
      </c>
      <c r="AK6" s="1790"/>
      <c r="AL6" s="1755"/>
      <c r="AM6" s="1712" t="s">
        <v>567</v>
      </c>
      <c r="AN6" s="1755"/>
      <c r="AO6" s="513" t="s">
        <v>568</v>
      </c>
      <c r="AP6" s="513" t="s">
        <v>569</v>
      </c>
      <c r="AQ6" s="513" t="s">
        <v>835</v>
      </c>
      <c r="AR6" s="513"/>
      <c r="AS6" s="528"/>
      <c r="AT6" s="1732" t="s">
        <v>14</v>
      </c>
      <c r="AU6" s="447"/>
      <c r="BZ6" s="1751" t="s">
        <v>107</v>
      </c>
      <c r="CA6" s="1753" t="s">
        <v>108</v>
      </c>
      <c r="CB6" s="1753"/>
      <c r="CC6" s="1753"/>
      <c r="CD6" s="1754"/>
      <c r="CE6" s="1753" t="s">
        <v>206</v>
      </c>
      <c r="CF6" s="1753"/>
      <c r="CG6" s="1753"/>
      <c r="CH6" s="1754"/>
      <c r="CI6" s="1751" t="s">
        <v>109</v>
      </c>
      <c r="CJ6" s="1753"/>
      <c r="CK6" s="1753"/>
      <c r="CL6" s="1754"/>
      <c r="CM6" s="1747" t="s">
        <v>126</v>
      </c>
      <c r="CN6" s="1748"/>
      <c r="CO6" s="1748"/>
      <c r="CP6" s="1748"/>
      <c r="CQ6" s="1749"/>
      <c r="CR6" s="1751" t="s">
        <v>128</v>
      </c>
      <c r="CS6" s="1753"/>
      <c r="CT6" s="1753"/>
      <c r="CU6" s="1754"/>
      <c r="CV6" s="1751" t="s">
        <v>129</v>
      </c>
      <c r="CW6" s="1753"/>
      <c r="CX6" s="1753"/>
      <c r="CY6" s="1753"/>
      <c r="CZ6" s="1747" t="s">
        <v>130</v>
      </c>
      <c r="DA6" s="1748"/>
      <c r="DB6" s="1748"/>
      <c r="DC6" s="1748"/>
      <c r="DD6" s="1749"/>
      <c r="DE6" s="1747" t="s">
        <v>131</v>
      </c>
      <c r="DF6" s="1748"/>
      <c r="DG6" s="1748"/>
      <c r="DH6" s="1748"/>
      <c r="DI6" s="1749"/>
      <c r="DJ6" s="1751" t="s">
        <v>133</v>
      </c>
      <c r="DK6" s="1753"/>
      <c r="DL6" s="1753"/>
      <c r="DM6" s="1754"/>
      <c r="DO6" s="1758" t="s">
        <v>136</v>
      </c>
      <c r="DP6" s="1759"/>
      <c r="DQ6" s="1758" t="s">
        <v>137</v>
      </c>
      <c r="DR6" s="1825"/>
      <c r="DS6" s="1758" t="s">
        <v>139</v>
      </c>
      <c r="DT6" s="1759"/>
      <c r="DU6" s="1756" t="s">
        <v>216</v>
      </c>
      <c r="DV6" s="1756" t="s">
        <v>316</v>
      </c>
      <c r="DW6" s="1780" t="s">
        <v>351</v>
      </c>
      <c r="DX6" s="1781"/>
      <c r="DY6" s="1782"/>
      <c r="EB6" s="1741" t="s">
        <v>1127</v>
      </c>
      <c r="EC6" s="1742"/>
      <c r="ED6" s="1742"/>
      <c r="EE6" s="1743"/>
      <c r="EF6" s="1232"/>
      <c r="EG6" s="1741" t="s">
        <v>1128</v>
      </c>
      <c r="EH6" s="1742"/>
      <c r="EI6" s="1742"/>
      <c r="EJ6" s="1743"/>
      <c r="EK6" s="1232"/>
      <c r="EL6" s="1741" t="s">
        <v>1129</v>
      </c>
      <c r="EM6" s="1742"/>
      <c r="EN6" s="1742"/>
      <c r="EO6" s="1743"/>
      <c r="EQ6" s="1741" t="s">
        <v>1159</v>
      </c>
      <c r="ER6" s="1742"/>
      <c r="ES6" s="1742"/>
      <c r="ET6" s="1743"/>
    </row>
    <row r="7" spans="1:150" s="33" customFormat="1" ht="27" customHeight="1" thickBot="1" x14ac:dyDescent="0.25">
      <c r="A7" s="1802"/>
      <c r="B7" s="1804"/>
      <c r="C7" s="1806"/>
      <c r="D7" s="1808"/>
      <c r="E7" s="447"/>
      <c r="F7" s="1680"/>
      <c r="G7" s="446"/>
      <c r="H7" s="1729"/>
      <c r="I7" s="1019" t="s">
        <v>1032</v>
      </c>
      <c r="J7" s="1020" t="s">
        <v>1033</v>
      </c>
      <c r="K7" s="514" t="s">
        <v>19</v>
      </c>
      <c r="L7" s="514" t="s">
        <v>20</v>
      </c>
      <c r="M7" s="514" t="s">
        <v>22</v>
      </c>
      <c r="N7" s="514" t="s">
        <v>21</v>
      </c>
      <c r="O7" s="529" t="s">
        <v>576</v>
      </c>
      <c r="P7" s="529"/>
      <c r="Q7" s="529" t="s">
        <v>578</v>
      </c>
      <c r="R7" s="1690"/>
      <c r="S7" s="1690"/>
      <c r="T7" s="1690"/>
      <c r="U7" s="1691"/>
      <c r="V7" s="1708"/>
      <c r="W7" s="1687"/>
      <c r="X7" s="1687"/>
      <c r="Y7" s="1687"/>
      <c r="Z7" s="1680"/>
      <c r="AA7" s="1680"/>
      <c r="AB7" s="1687"/>
      <c r="AC7" s="1687"/>
      <c r="AD7" s="1687"/>
      <c r="AE7" s="530" t="str">
        <f>IF(LEFT($U$1,1)="g","ABV",IF(LEFT($U$1,1)="c","","EPR"))</f>
        <v>EPR</v>
      </c>
      <c r="AF7" s="531" t="s">
        <v>348</v>
      </c>
      <c r="AG7" s="532" t="str">
        <f>IF(OR(LEFT($U$1,1)="g",LEFT($U$1,1)="c"),"SLSV","LLSV")</f>
        <v>LLSV</v>
      </c>
      <c r="AH7" s="529" t="s">
        <v>572</v>
      </c>
      <c r="AI7" s="514" t="s">
        <v>563</v>
      </c>
      <c r="AJ7" s="514" t="s">
        <v>570</v>
      </c>
      <c r="AK7" s="1712" t="s">
        <v>571</v>
      </c>
      <c r="AL7" s="1755"/>
      <c r="AM7" s="514" t="s">
        <v>570</v>
      </c>
      <c r="AN7" s="529" t="s">
        <v>571</v>
      </c>
      <c r="AO7" s="514" t="s">
        <v>564</v>
      </c>
      <c r="AP7" s="514" t="s">
        <v>564</v>
      </c>
      <c r="AQ7" s="512" t="s">
        <v>911</v>
      </c>
      <c r="AR7" s="514" t="s">
        <v>1650</v>
      </c>
      <c r="AS7" s="533" t="s">
        <v>114</v>
      </c>
      <c r="AT7" s="1797"/>
      <c r="AU7" s="447"/>
      <c r="BZ7" s="1752"/>
      <c r="CA7" s="34" t="s">
        <v>19</v>
      </c>
      <c r="CB7" s="34" t="s">
        <v>20</v>
      </c>
      <c r="CC7" s="34" t="s">
        <v>22</v>
      </c>
      <c r="CD7" s="35" t="s">
        <v>21</v>
      </c>
      <c r="CE7" s="34" t="s">
        <v>19</v>
      </c>
      <c r="CF7" s="34" t="s">
        <v>20</v>
      </c>
      <c r="CG7" s="34" t="s">
        <v>22</v>
      </c>
      <c r="CH7" s="35" t="s">
        <v>21</v>
      </c>
      <c r="CI7" s="36" t="s">
        <v>19</v>
      </c>
      <c r="CJ7" s="34" t="s">
        <v>20</v>
      </c>
      <c r="CK7" s="34" t="s">
        <v>22</v>
      </c>
      <c r="CL7" s="35" t="s">
        <v>21</v>
      </c>
      <c r="CM7" s="36" t="s">
        <v>19</v>
      </c>
      <c r="CN7" s="34" t="s">
        <v>20</v>
      </c>
      <c r="CO7" s="34" t="s">
        <v>22</v>
      </c>
      <c r="CP7" s="34" t="s">
        <v>21</v>
      </c>
      <c r="CQ7" s="37" t="s">
        <v>127</v>
      </c>
      <c r="CR7" s="36" t="s">
        <v>19</v>
      </c>
      <c r="CS7" s="34" t="s">
        <v>20</v>
      </c>
      <c r="CT7" s="34" t="s">
        <v>22</v>
      </c>
      <c r="CU7" s="35" t="s">
        <v>21</v>
      </c>
      <c r="CV7" s="36" t="s">
        <v>19</v>
      </c>
      <c r="CW7" s="34" t="s">
        <v>20</v>
      </c>
      <c r="CX7" s="34" t="s">
        <v>22</v>
      </c>
      <c r="CY7" s="34" t="s">
        <v>21</v>
      </c>
      <c r="CZ7" s="36" t="s">
        <v>19</v>
      </c>
      <c r="DA7" s="34" t="s">
        <v>20</v>
      </c>
      <c r="DB7" s="34" t="s">
        <v>22</v>
      </c>
      <c r="DC7" s="34" t="s">
        <v>21</v>
      </c>
      <c r="DD7" s="38" t="s">
        <v>127</v>
      </c>
      <c r="DE7" s="36" t="s">
        <v>19</v>
      </c>
      <c r="DF7" s="34" t="s">
        <v>20</v>
      </c>
      <c r="DG7" s="34" t="s">
        <v>22</v>
      </c>
      <c r="DH7" s="34" t="s">
        <v>21</v>
      </c>
      <c r="DI7" s="38" t="s">
        <v>132</v>
      </c>
      <c r="DJ7" s="36" t="s">
        <v>19</v>
      </c>
      <c r="DK7" s="34" t="s">
        <v>20</v>
      </c>
      <c r="DL7" s="34" t="s">
        <v>22</v>
      </c>
      <c r="DM7" s="35" t="s">
        <v>21</v>
      </c>
      <c r="DO7" s="39" t="s">
        <v>135</v>
      </c>
      <c r="DP7" s="40" t="s">
        <v>127</v>
      </c>
      <c r="DQ7" s="39" t="s">
        <v>135</v>
      </c>
      <c r="DR7" s="41" t="s">
        <v>127</v>
      </c>
      <c r="DS7" s="39" t="s">
        <v>135</v>
      </c>
      <c r="DT7" s="40" t="s">
        <v>127</v>
      </c>
      <c r="DU7" s="1757"/>
      <c r="DV7" s="1786"/>
      <c r="DW7" s="1783"/>
      <c r="DX7" s="1784"/>
      <c r="DY7" s="1785"/>
      <c r="EB7" s="1233" t="s">
        <v>19</v>
      </c>
      <c r="EC7" s="1234" t="s">
        <v>20</v>
      </c>
      <c r="ED7" s="1234" t="s">
        <v>22</v>
      </c>
      <c r="EE7" s="1235" t="s">
        <v>21</v>
      </c>
      <c r="EF7" s="1232"/>
      <c r="EG7" s="1233" t="s">
        <v>19</v>
      </c>
      <c r="EH7" s="1234" t="s">
        <v>20</v>
      </c>
      <c r="EI7" s="1234" t="s">
        <v>22</v>
      </c>
      <c r="EJ7" s="1235" t="s">
        <v>21</v>
      </c>
      <c r="EK7" s="1232"/>
      <c r="EL7" s="1233" t="s">
        <v>19</v>
      </c>
      <c r="EM7" s="1234" t="s">
        <v>20</v>
      </c>
      <c r="EN7" s="1234" t="s">
        <v>22</v>
      </c>
      <c r="EO7" s="1235" t="s">
        <v>21</v>
      </c>
      <c r="EQ7" s="1233" t="s">
        <v>19</v>
      </c>
      <c r="ER7" s="1234" t="s">
        <v>20</v>
      </c>
      <c r="ES7" s="1234" t="s">
        <v>22</v>
      </c>
      <c r="ET7" s="1235" t="s">
        <v>21</v>
      </c>
    </row>
    <row r="8" spans="1:150" ht="12" customHeight="1" thickBot="1" x14ac:dyDescent="0.25">
      <c r="A8" s="554" t="s">
        <v>1624</v>
      </c>
      <c r="B8" s="555">
        <v>0</v>
      </c>
      <c r="C8" s="556" t="s">
        <v>134</v>
      </c>
      <c r="D8" s="168" t="s">
        <v>374</v>
      </c>
      <c r="E8" s="445"/>
      <c r="F8" s="553" t="s">
        <v>350</v>
      </c>
      <c r="G8" s="445" t="str">
        <f t="shared" ref="G8" si="0">IF(H8="","",H8)</f>
        <v/>
      </c>
      <c r="H8" s="850"/>
      <c r="I8" s="853"/>
      <c r="J8" s="853"/>
      <c r="K8" s="853"/>
      <c r="L8" s="852"/>
      <c r="M8" s="852"/>
      <c r="N8" s="853"/>
      <c r="O8" s="853"/>
      <c r="P8" s="853"/>
      <c r="Q8" s="853"/>
      <c r="R8" s="851"/>
      <c r="S8" s="851"/>
      <c r="T8" s="851"/>
      <c r="U8" s="864"/>
      <c r="V8" s="852"/>
      <c r="W8" s="853"/>
      <c r="X8" s="853"/>
      <c r="Y8" s="853"/>
      <c r="Z8" s="854">
        <v>0</v>
      </c>
      <c r="AA8" s="854">
        <v>0</v>
      </c>
      <c r="AB8" s="862"/>
      <c r="AC8" s="862"/>
      <c r="AD8" s="865"/>
      <c r="AE8" s="859"/>
      <c r="AF8" s="857"/>
      <c r="AG8" s="852"/>
      <c r="AH8" s="858"/>
      <c r="AI8" s="858"/>
      <c r="AJ8" s="857"/>
      <c r="AK8" s="851"/>
      <c r="AL8" s="852"/>
      <c r="AM8" s="857"/>
      <c r="AN8" s="853"/>
      <c r="AO8" s="857"/>
      <c r="AP8" s="857"/>
      <c r="AQ8" s="981"/>
      <c r="AR8" s="981"/>
      <c r="AS8" s="858"/>
      <c r="AT8" s="853"/>
      <c r="AU8" s="893" t="str">
        <f t="shared" ref="AU8:AU10" si="1">IF(H8="","",IF(OR(B8=0,B8="SUB-CKT"),IF(ISNA(MATCH(H8,LoopSegs_Skid,0)),H8,""),""))</f>
        <v/>
      </c>
      <c r="AV8" s="893" t="s">
        <v>1681</v>
      </c>
      <c r="BZ8" s="45" t="str">
        <f t="shared" ref="BZ8" si="2">IF($B$2&gt;0,"",IF($R8="","FT",IF($R8="Enter Case Model","FT",VLOOKUP($R8,model,2,FALSE))))</f>
        <v>FT</v>
      </c>
      <c r="CA8" s="46">
        <f t="shared" ref="CA8" si="3">IF($B$2&gt;0,"",IF(OR($K8="",$K8=0),0,IF($BZ8="FT",IF(ISNA(VLOOKUP(CONCATENATE($R8,4),master,2,FALSE)=TRUE),"DNE",VLOOKUP(CONCATENATE($R8,4),master,2,FALSE)),IF(ISNA(VLOOKUP(CONCATENATE($R8,2),master,2,FALSE)=TRUE),"DNE",VLOOKUP(CONCATENATE($R8,2),master,2,FALSE)))))</f>
        <v>0</v>
      </c>
      <c r="CB8" s="46">
        <f t="shared" ref="CB8" si="4">IF($B$2&gt;0,"",IF(OR($L8="",$L8=0),0,IF($BZ8="FT",IF(ISNA(VLOOKUP(CONCATENATE($R8,6),master,2,FALSE)=TRUE),"DNE",VLOOKUP(CONCATENATE($R8,6),master,2,FALSE)),IF(ISNA(VLOOKUP(CONCATENATE($R8,3),master,2,FALSE)=TRUE),"DNE",VLOOKUP(CONCATENATE($R8,3),master,2,FALSE)))))</f>
        <v>0</v>
      </c>
      <c r="CC8" s="46">
        <f t="shared" ref="CC8" si="5">IF($B$2&gt;0,"",IF(OR($M8="",$M8=0),0,IF($BZ8="FT",IF(ISNA(VLOOKUP(CONCATENATE($R8,8),master,2,FALSE)=TRUE),"DNE",VLOOKUP(CONCATENATE($R8,8),master,2,FALSE)),IF(ISNA(VLOOKUP(CONCATENATE($R8,4),master,2,FALSE)=TRUE),"DNE",VLOOKUP(CONCATENATE($R8,4),master,2,FALSE)))))</f>
        <v>0</v>
      </c>
      <c r="CD8" s="79">
        <f t="shared" ref="CD8" si="6">IF($B$2&gt;0,"",IF(OR($N8="",$N8=0),0,IF($BZ8="FT",IF(ISNA(VLOOKUP(CONCATENATE($R8,12),master,2,FALSE)=TRUE),"DNE",VLOOKUP(CONCATENATE($R8,12),master,2,FALSE)),IF(ISNA(VLOOKUP(CONCATENATE($R8,5),master,2,FALSE)=TRUE),"DNE",VLOOKUP(CONCATENATE($R8,5),master,2,FALSE)))))</f>
        <v>0</v>
      </c>
      <c r="CE8" s="81">
        <f t="shared" ref="CE8" si="7">IF($B$2&gt;0,"",IF(OR($CA8="DNE",$CA8=0),0,1))</f>
        <v>0</v>
      </c>
      <c r="CF8" s="79">
        <f t="shared" ref="CF8" si="8">IF($B$2&gt;0,"",IF(OR($CB8="DNE",$CB8=0),0,1))</f>
        <v>0</v>
      </c>
      <c r="CG8" s="46">
        <f t="shared" ref="CG8" si="9">IF($B$2&gt;0,"",IF(OR($CC8="DNE",$CC8=0),0,1))</f>
        <v>0</v>
      </c>
      <c r="CH8" s="82">
        <f t="shared" ref="CH8" si="10">IF($B$2&gt;0,"",IF(OR($CD8="DNE",$CD8=0),0,1))</f>
        <v>0</v>
      </c>
      <c r="CI8" s="80">
        <f t="shared" ref="CI8" si="11">IF($B$2&gt;0,"",IF(OR($K8="",$K8=0),0,IF($BZ8="FT",IF(ISNA(VLOOKUP(CONCATENATE($R8,4),master,6,FALSE)=TRUE),0,VLOOKUP(CONCATENATE($R8,4),master,6,FALSE)),IF(ISNA(VLOOKUP(CONCATENATE($R8,2),master,6,FALSE)=TRUE),0,VLOOKUP(CONCATENATE($R8,2),master,6,FALSE)))))</f>
        <v>0</v>
      </c>
      <c r="CJ8" s="47">
        <f t="shared" ref="CJ8" si="12">IF($B$2&gt;0,"",IF(OR($L8="",$L8=0),0,IF($BZ8="FT",IF(ISNA(VLOOKUP(CONCATENATE($R8,6),master,6,FALSE)=TRUE),0,VLOOKUP(CONCATENATE($R8,6),master,6,FALSE)),IF(ISNA(VLOOKUP(CONCATENATE($R8,3),master,6,FALSE)=TRUE),0,VLOOKUP(CONCATENATE($R8,3),master,6,FALSE)))))</f>
        <v>0</v>
      </c>
      <c r="CK8" s="47">
        <f t="shared" ref="CK8" si="13">IF($B$2&gt;0,"",IF(OR($M8="",$M8=0),0,IF($BZ8="FT",IF(ISNA(VLOOKUP(CONCATENATE($R8,8),master,6,FALSE)=TRUE),0,VLOOKUP(CONCATENATE($R8,8),master,6,FALSE)),IF(ISNA(VLOOKUP(CONCATENATE($R8,4),master,6,FALSE)=TRUE),0,VLOOKUP(CONCATENATE($R8,4),master,6,FALSE)))))</f>
        <v>0</v>
      </c>
      <c r="CL8" s="48">
        <f t="shared" ref="CL8" si="14">IF($B$2&gt;0,"",IF(OR($N8="",$N8=0),0,IF($BZ8="FT",IF(ISNA(VLOOKUP(CONCATENATE($R8,12),master,6,FALSE)=TRUE),0,VLOOKUP(CONCATENATE($R8,12),master,6,FALSE)),IF(ISNA(VLOOKUP(CONCATENATE($R8,5),master,6,FALSE)=TRUE),0,VLOOKUP(CONCATENATE($R8,5),master,6,FALSE)))))</f>
        <v>0</v>
      </c>
      <c r="CM8" s="49">
        <f t="shared" ref="CM8" si="15">IF($B$2&gt;0,"",IF(OR($K8="",$K8=0),0,IF($BZ8="FT",IF(ISNA(VLOOKUP(CONCATENATE($R8,4),master,MATCH(CONCATENATE($AN8,"_",$AM$6),master_header,0),FALSE)=TRUE),0,VLOOKUP(CONCATENATE($R8,4),master,MATCH(CONCATENATE($AN8,"_",$AM$6),master_header,0),FALSE)),IF(ISNA(VLOOKUP(CONCATENATE($R8,2),master,MATCH(CONCATENATE($AN8,"_",$AM$6),master_header,0),FALSE)=TRUE),0,VLOOKUP(CONCATENATE($R8,2),master,MATCH(CONCATENATE($AN8,"_",$AM$6),master_header,0),FALSE)))))</f>
        <v>0</v>
      </c>
      <c r="CN8" s="50">
        <f t="shared" ref="CN8" si="16">IF($B$2&gt;0,"",IF(OR($L8="",$L8=0),0,IF($BZ8="FT",IF(ISNA(VLOOKUP(CONCATENATE($R8,6),master,MATCH(CONCATENATE($AN8,"_",$AM$6),master_header,0),FALSE)=TRUE),0,VLOOKUP(CONCATENATE($R8,6),master,MATCH(CONCATENATE($AN8,"_",$AM$6),master_header,0),FALSE)),IF(ISNA(VLOOKUP(CONCATENATE($R8,3),master,MATCH(CONCATENATE($AN8,"_",$AM$6),master_header,0),FALSE)=TRUE),0,VLOOKUP(CONCATENATE($R8,3),master,MATCH(CONCATENATE($AN8,"_",$AM$6),master_header,0),FALSE)))))</f>
        <v>0</v>
      </c>
      <c r="CO8" s="50">
        <f t="shared" ref="CO8" si="17">IF($B$2&gt;0,"",IF(OR($M8="",$M8=0),0,IF($BZ8="FT",IF(ISNA(VLOOKUP(CONCATENATE($R8,8),master,MATCH(CONCATENATE($AN8,"_",$AM$6),master_header,0),FALSE)=TRUE),0,VLOOKUP(CONCATENATE($R8,8),master,MATCH(CONCATENATE($AN8,"_",$AM$6),master_header,0),FALSE)),IF(ISNA(VLOOKUP(CONCATENATE($R8,4),master,MATCH(CONCATENATE($AN8,"_",$AM$6),master_header,0),FALSE)=TRUE),0,VLOOKUP(CONCATENATE($R8,4),master,MATCH(CONCATENATE($AN8,"_",$AM$6),master_header,0),FALSE)))))</f>
        <v>0</v>
      </c>
      <c r="CP8" s="50">
        <f t="shared" ref="CP8" si="18">IF($B$2&gt;0,"",IF(OR($N8="",$N8=0),0,IF($BZ8="FT",IF(ISNA(VLOOKUP(CONCATENATE($R8,12),master,MATCH(CONCATENATE($AN8,"_",$AM$6),master_header,0),FALSE)=TRUE),0,VLOOKUP(CONCATENATE($R8,12),master,MATCH(CONCATENATE($AN8,"_",$AM$6),master_header,0),FALSE)),IF(ISNA(VLOOKUP(CONCATENATE($R8,5),master,MATCH(CONCATENATE($AN8,"_",$AM$6),master_header,0),FALSE)=TRUE),0,VLOOKUP(CONCATENATE($R8,5),master,MATCH(CONCATENATE($AN8,"_",$AM$6),master_header,0),FALSE)))))</f>
        <v>0</v>
      </c>
      <c r="CQ8" s="51">
        <f t="shared" ref="CQ8" si="19">IF($B$2&gt;0,"",$K8*$CM8+$L8*$CN8+$M8*$CO8+$N8*$CP8)</f>
        <v>0</v>
      </c>
      <c r="CR8" s="49">
        <f t="shared" ref="CR8" si="20">IF($B$2&gt;0,"",IF(OR($K8="",$K8=0),0,IF($BZ8="FT",IF(ISNA(VLOOKUP(CONCATENATE($R8,4),master,9,FALSE)=TRUE),0,VLOOKUP(CONCATENATE($R8,4),master,9,FALSE)),IF(ISNA(VLOOKUP(CONCATENATE($R8,2),master,9,FALSE)=TRUE),0,VLOOKUP(CONCATENATE($R8,2),master,9,FALSE)))))</f>
        <v>0</v>
      </c>
      <c r="CS8" s="50">
        <f t="shared" ref="CS8" si="21">IF($B$2&gt;0,"",IF(OR($L8="",$L8=0),0,IF($BZ8="FT",IF(ISNA(VLOOKUP(CONCATENATE($R8,6),master,9,FALSE)=TRUE),0,VLOOKUP(CONCATENATE($R8,6),master,9,FALSE)),IF(ISNA(VLOOKUP(CONCATENATE($R8,3),master,9,FALSE)=TRUE),0,VLOOKUP(CONCATENATE($R8,3),master,9,FALSE)))))</f>
        <v>0</v>
      </c>
      <c r="CT8" s="50">
        <f t="shared" ref="CT8" si="22">IF($B$2&gt;0,"",IF(OR($M8="",$M8=0),0,IF($BZ8="FT",IF(ISNA(VLOOKUP(CONCATENATE($R8,8),master,9,FALSE)=TRUE),0,VLOOKUP(CONCATENATE($R8,8),master,9,FALSE)),IF(ISNA(VLOOKUP(CONCATENATE($R8,4),master,9,FALSE)=TRUE),0,VLOOKUP(CONCATENATE($R8,4),master,9,FALSE)))))</f>
        <v>0</v>
      </c>
      <c r="CU8" s="52">
        <f t="shared" ref="CU8" si="23">IF($B$2&gt;0,"",IF(OR($N8="",$N8=0),0,IF($BZ8="FT",IF(ISNA(VLOOKUP(CONCATENATE($R8,12),master,9,FALSE)=TRUE),0,VLOOKUP(CONCATENATE($R8,12),master,9,FALSE)),IF(ISNA(VLOOKUP(CONCATENATE($R8,5),master,9,FALSE)=TRUE),0,VLOOKUP(CONCATENATE($R8,5),master,9,FALSE)))))</f>
        <v>0</v>
      </c>
      <c r="CV8" s="49">
        <f t="shared" ref="CV8" si="24">IF($B$2&gt;0,"",IF(OR($K8="",$K8=0),0,IF($BZ8="FT",IF(ISNA(VLOOKUP(CONCATENATE($R8,4),master,10,FALSE)=TRUE),0,VLOOKUP(CONCATENATE($R8,4),master,10,FALSE)),IF(ISNA(VLOOKUP(CONCATENATE($R8,2),master,10,FALSE)=TRUE),0,VLOOKUP(CONCATENATE($R8,2),master,10,FALSE)))))</f>
        <v>0</v>
      </c>
      <c r="CW8" s="50">
        <f t="shared" ref="CW8" si="25">IF($B$2&gt;0,"",IF(OR($L8="",$L8=0),0,IF($BZ8="FT",IF(ISNA(VLOOKUP(CONCATENATE($R8,6),master,10,FALSE)=TRUE),0,VLOOKUP(CONCATENATE($R8,6),master,10,FALSE)),IF(ISNA(VLOOKUP(CONCATENATE($R8,3),master,10,FALSE)=TRUE),0,VLOOKUP(CONCATENATE($R8,3),master,10,FALSE)))))</f>
        <v>0</v>
      </c>
      <c r="CX8" s="50">
        <f t="shared" ref="CX8" si="26">IF($B$2&gt;0,"",IF(OR($M8="",$M8=0),0,IF($BZ8="FT",IF(ISNA(VLOOKUP(CONCATENATE($R8,8),master,10,FALSE)=TRUE),0,VLOOKUP(CONCATENATE($R8,8),master,10,FALSE)),IF(ISNA(VLOOKUP(CONCATENATE($R8,4),master,10,FALSE)=TRUE),0,VLOOKUP(CONCATENATE($R8,4),master,10,FALSE)))))</f>
        <v>0</v>
      </c>
      <c r="CY8" s="50">
        <f t="shared" ref="CY8" si="27">IF($B$2&gt;0,"",IF(OR($N8="",$N8=0),0,IF($BZ8="FT",IF(ISNA(VLOOKUP(CONCATENATE($R8,12),master,10,FALSE)=TRUE),0,VLOOKUP(CONCATENATE($R8,12),master,10,FALSE)),IF(ISNA(VLOOKUP(CONCATENATE($R8,5),master,10,FALSE)=TRUE),0,VLOOKUP(CONCATENATE($R8,5),master,10,FALSE)))))</f>
        <v>0</v>
      </c>
      <c r="CZ8" s="49">
        <f t="shared" ref="CZ8" si="28">IF($B$2&gt;0,"",IF(OR($K8="",$K8=0),0,IF($BZ8="FT",IF(ISNA(VLOOKUP(CONCATENATE($R8,4),master,MATCH(CONCATENATE($AK8,"_",$AJ$6),master_header,0),FALSE)=TRUE),0,VLOOKUP(CONCATENATE($R8,4),master,MATCH(CONCATENATE($AK8,"_",$AJ$6),master_header,0),FALSE)),IF(ISNA(VLOOKUP(CONCATENATE($R8,2),master,MATCH(CONCATENATE($AK8,"_",$AJ$6),master_header,0),FALSE)=TRUE),0,VLOOKUP(CONCATENATE($R8,2),master,MATCH(CONCATENATE($AK8,"_",$AJ$6),master_header,0),FALSE)))))</f>
        <v>0</v>
      </c>
      <c r="DA8" s="50">
        <f t="shared" ref="DA8" si="29">IF($B$2&gt;0,"",IF(OR($L8="",$L8=0),0,IF($BZ8="FT",IF(ISNA(VLOOKUP(CONCATENATE($R8,6),master,MATCH(CONCATENATE($AK8,"_",$AJ$6),master_header,0),FALSE)=TRUE),0,VLOOKUP(CONCATENATE($R8,6),master,MATCH(CONCATENATE($AK8,"_",$AJ$6),master_header,0),FALSE)),IF(ISNA(VLOOKUP(CONCATENATE($R8,3),master,MATCH(CONCATENATE($AK8,"_",$AJ$6),master_header,0),FALSE)=TRUE),0,VLOOKUP(CONCATENATE($R8,3),master,MATCH(CONCATENATE($AK8,"_",$AJ$6),master_header,0),FALSE)))))</f>
        <v>0</v>
      </c>
      <c r="DB8" s="50">
        <f t="shared" ref="DB8" si="30">IF($B$2&gt;0,"",IF(OR($M8="",$M8=0),0,IF($BZ8="FT",IF(ISNA(VLOOKUP(CONCATENATE($R8,8),master,MATCH(CONCATENATE($AK8,"_",$AJ$6),master_header,0),FALSE)=TRUE),0,VLOOKUP(CONCATENATE($R8,8),master,MATCH(CONCATENATE($AK8,"_",$AJ$6),master_header,0),FALSE)),IF(ISNA(VLOOKUP(CONCATENATE($R8,4),master,MATCH(CONCATENATE($AK8,"_",$AJ$6),master_header,0),FALSE)=TRUE),0,VLOOKUP(CONCATENATE($R8,4),master,MATCH(CONCATENATE($AK8,"_",$AJ$6),master_header,0),FALSE)))))</f>
        <v>0</v>
      </c>
      <c r="DC8" s="50">
        <f t="shared" ref="DC8" si="31">IF($B$2&gt;0,"",IF(OR($N8="",$N8=0),0,IF($BZ8="FT",IF(ISNA(VLOOKUP(CONCATENATE($R8,12),master,MATCH(CONCATENATE($AK8,"_",$AJ$6),master_header,0),FALSE)=TRUE),0,VLOOKUP(CONCATENATE($R8,12),master,MATCH(CONCATENATE($AK8,"_",$AJ$6),master_header,0),FALSE)),IF(ISNA(VLOOKUP(CONCATENATE($R8,5),master,MATCH(CONCATENATE($AK8,"_",$AJ$6),master_header,0),FALSE)=TRUE),0,VLOOKUP(CONCATENATE($R8,5),master,MATCH(CONCATENATE($AK8,"_",$AJ$6),master_header,0),FALSE)))))</f>
        <v>0</v>
      </c>
      <c r="DD8" s="53" t="str">
        <f t="shared" ref="DD8" si="32">IF($B$2&gt;0,"",IF($AI8="EL",$K8*$CZ8+$L8*$DA8+$M8*$DB8+$N8*$DC8,"0.00"))</f>
        <v>0.00</v>
      </c>
      <c r="DE8" s="49">
        <f t="shared" ref="DE8" si="33">IF($B$2&gt;0,"",IF(OR($K8="",$K8=0),0,IF($BZ8="FT",IF(ISNA(VLOOKUP(CONCATENATE($R8,4),master,16,FALSE)=TRUE),0,VLOOKUP(CONCATENATE($R8,4),master,16,FALSE)),IF(ISNA(VLOOKUP(CONCATENATE($R8,2),master,16,FALSE)=TRUE),0,VLOOKUP(CONCATENATE($R8,2),master,16,FALSE)))))</f>
        <v>0</v>
      </c>
      <c r="DF8" s="50">
        <f t="shared" ref="DF8" si="34">IF($B$2&gt;0,"",IF(OR($L8="",$L8=0),0,IF($BZ8="FT",IF(ISNA(VLOOKUP(CONCATENATE($R8,6),master,16,FALSE)=TRUE),0,VLOOKUP(CONCATENATE($R8,6),master,16,FALSE)),IF(ISNA(VLOOKUP(CONCATENATE($R8,3),master,16,FALSE)=TRUE),0,VLOOKUP(CONCATENATE($R8,3),master,16,FALSE)))))</f>
        <v>0</v>
      </c>
      <c r="DG8" s="50">
        <f t="shared" ref="DG8" si="35">IF($B$2&gt;0,"",IF(OR($M8="",$M8=0),0,IF($BZ8="FT",IF(ISNA(VLOOKUP(CONCATENATE($R8,8),master,16,FALSE)=TRUE),0,VLOOKUP(CONCATENATE($R8,8),master,16,FALSE)),IF(ISNA(VLOOKUP(CONCATENATE($R8,4),master,16,FALSE)=TRUE),0,VLOOKUP(CONCATENATE($R8,4),master,16,FALSE)))))</f>
        <v>0</v>
      </c>
      <c r="DH8" s="50">
        <f t="shared" ref="DH8" si="36">IF($B$2&gt;0,"",IF(OR($N8="",$N8=0),0,IF($BZ8="FT",IF(ISNA(VLOOKUP(CONCATENATE($R8,12),master,16,FALSE)=TRUE),0,VLOOKUP(CONCATENATE($R8,12),master,16,FALSE)),IF(ISNA(VLOOKUP(CONCATENATE($R8,5),master,16,FALSE)=TRUE),0,VLOOKUP(CONCATENATE($R8,5),master,16,FALSE)))))</f>
        <v>0</v>
      </c>
      <c r="DI8" s="53">
        <f t="shared" ref="DI8" si="37">IF($B$2&gt;0,"",IF(OR($AI8="HG",$AI8="EL"),$K8*$DE8+$L8*$DF8+$M8*$DG8+$N8*$DH8,0))</f>
        <v>0</v>
      </c>
      <c r="DJ8" s="49">
        <f t="shared" ref="DJ8" si="38">IF($B$2&gt;0,"",IF(OR($K8="",$K8=0),0,IF($BZ8="FT",IF(ISNA(VLOOKUP(CONCATENATE($R8,4),master,15,FALSE)=TRUE),0,VLOOKUP(CONCATENATE($R8,4),master,15,FALSE)),IF(ISNA(VLOOKUP(CONCATENATE($R8,2),master,15,FALSE)=TRUE),0,VLOOKUP(CONCATENATE($R8,2),master,15,FALSE)))))</f>
        <v>0</v>
      </c>
      <c r="DK8" s="50">
        <f t="shared" ref="DK8" si="39">IF($B$2&gt;0,"",IF(OR($L8="",$L8=0),0,IF($BZ8="FT",IF(ISNA(VLOOKUP(CONCATENATE($R8,6),master,15,FALSE)=TRUE),0,VLOOKUP(CONCATENATE($R8,6),master,15,FALSE)),IF(ISNA(VLOOKUP(CONCATENATE($R8,3),master,15,FALSE)=TRUE),0,VLOOKUP(CONCATENATE($R8,3),master,15,FALSE)))))</f>
        <v>0</v>
      </c>
      <c r="DL8" s="50">
        <f t="shared" ref="DL8" si="40">IF($B$2&gt;0,"",IF(OR($M8="",$M8=0),0,IF($BZ8="FT",IF(ISNA(VLOOKUP(CONCATENATE($R8,8),master,15,FALSE)=TRUE),0,VLOOKUP(CONCATENATE($R8,8),master,15,FALSE)),IF(ISNA(VLOOKUP(CONCATENATE($R8,4),master,15,FALSE)=TRUE),0,VLOOKUP(CONCATENATE($R8,4),master,15,FALSE)))))</f>
        <v>0</v>
      </c>
      <c r="DM8" s="52">
        <f t="shared" ref="DM8" si="41">IF($B$2&gt;0,"",IF(OR($N8="",$N8=0),0,IF($BZ8="FT",IF(ISNA(VLOOKUP(CONCATENATE($R8,12),master,15,FALSE)=TRUE),0,VLOOKUP(CONCATENATE($R8,12),master,15,FALSE)),IF(ISNA(VLOOKUP(CONCATENATE($R8,5),master,15,FALSE)=TRUE),0,VLOOKUP(CONCATENATE($R8,5),master,15,FALSE)))))</f>
        <v>0</v>
      </c>
      <c r="DO8" s="49">
        <f t="shared" ref="DO8" si="42">IF($B$2&gt;0,"",IF(OR($V8="",$V8=0),0,IF(ISNA(VLOOKUP($W8,evapdx,MATCH(CONCATENATE($AK8,"_",$AJ$6),evapdx_header,0),FALSE)=TRUE),0,VLOOKUP($W8,evapdx,MATCH(CONCATENATE($AK8,"_",$AJ$6),evapdx_header,0),FALSE))))</f>
        <v>0</v>
      </c>
      <c r="DP8" s="54">
        <f t="shared" ref="DP8" si="43">IF($B$2&gt;0,"",$DO8*$V8)</f>
        <v>0</v>
      </c>
      <c r="DQ8" s="49">
        <f t="shared" ref="DQ8" si="44">IF($B$2&gt;0,"",IF(OR($V8="",$V8=0),0,IF(ISNA(VLOOKUP($W8,evapdx,MATCH(CONCATENATE($AK8,"_pan"),evapdx_header,0),FALSE)=TRUE),0,VLOOKUP($W8,evapdx,MATCH(CONCATENATE($AK8,"_pan"),evapdx_header,0),FALSE))))</f>
        <v>0</v>
      </c>
      <c r="DR8" s="52">
        <f t="shared" ref="DR8" si="45">IF($B$2&gt;0,"",$DQ8*$V8)</f>
        <v>0</v>
      </c>
      <c r="DS8" s="49">
        <f t="shared" ref="DS8" si="46">IF($B$2&gt;0,"",IF(OR($V8="",$V8=0),0,IF(ISNA(VLOOKUP($W8,evapdx,MATCH(CONCATENATE($AN8,"_",$AM$6),evapdx_header,0),FALSE)=TRUE),0,VLOOKUP($W8,evapdx,MATCH(CONCATENATE($AN8,"_",$AM$6),evapdx_header,0),FALSE))))</f>
        <v>0</v>
      </c>
      <c r="DT8" s="54">
        <f t="shared" ref="DT8" si="47">IF($B$2&gt;0,"",$DS8*$V8)</f>
        <v>0</v>
      </c>
      <c r="DU8" s="125" t="str">
        <f t="shared" ref="DU8" si="48">IF($B$2&gt;0,"",IF(OR($V8="",$V8=0),"Enter Def.",VLOOKUP($W8,evapdx,MATCH("defrost_type",evapdx_header,1),FALSE)))</f>
        <v>Enter Def.</v>
      </c>
      <c r="DV8" s="126" t="e">
        <f>IF($B$2&gt;0,"",VLOOKUP($H8,'Walk-in Load Calc'!$F$5:$Q$37,11,FALSE))</f>
        <v>#N/A</v>
      </c>
      <c r="DW8" s="135" t="s">
        <v>352</v>
      </c>
      <c r="DX8" s="136" t="s">
        <v>144</v>
      </c>
      <c r="DY8" s="137" t="str">
        <f>IF($B$2&gt;0,"",IF(OR($W8="Enter Evap. Model",$W8=""), "-",VLOOKUP($W8,'HEAT-X'!$U$9:$V$77,2,FALSE)))</f>
        <v>-</v>
      </c>
      <c r="EB8" s="49">
        <f t="shared" ref="EB8" si="49">IF($B$2&gt;0,"",IF(OR($K8="",$K8=0),0,IF($BZ8="FT",IF(ISNA(VLOOKUP(CONCATENATE($R8,4),master,21,FALSE)=TRUE),0,VLOOKUP(CONCATENATE($R8,4),master,21,FALSE)),IF(ISNA(VLOOKUP(CONCATENATE($R8,2),master,21,FALSE)=TRUE),0,VLOOKUP(CONCATENATE($R8,2),master,21,FALSE)))))</f>
        <v>0</v>
      </c>
      <c r="EC8" s="50">
        <f t="shared" ref="EC8" si="50">IF($B$2&gt;0,"",IF(OR($L8="",$L8=0),0,IF($BZ8="FT",IF(ISNA(VLOOKUP(CONCATENATE($R8,6),master,21,FALSE)=TRUE),0,VLOOKUP(CONCATENATE($R8,6),master,21,FALSE)),IF(ISNA(VLOOKUP(CONCATENATE($R8,3),master,21,FALSE)=TRUE),0,VLOOKUP(CONCATENATE($R8,3),master,21,FALSE)))))</f>
        <v>0</v>
      </c>
      <c r="ED8" s="50">
        <f t="shared" ref="ED8" si="51">IF($B$2&gt;0,"",IF(OR($M8="",$M8=0),0,IF($BZ8="FT",IF(ISNA(VLOOKUP(CONCATENATE($R8,8),master,21,FALSE)=TRUE),0,VLOOKUP(CONCATENATE($R8,8),master,21,FALSE)),IF(ISNA(VLOOKUP(CONCATENATE($R8,4),master,21,FALSE)=TRUE),0,VLOOKUP(CONCATENATE($R8,4),master,21,FALSE)))))</f>
        <v>0</v>
      </c>
      <c r="EE8" s="52">
        <f t="shared" ref="EE8" si="52">IF($B$2&gt;0,"",IF(OR($N8="",$N8=0),0,IF($BZ8="FT",IF(ISNA(VLOOKUP(CONCATENATE($R8,12),master,21,FALSE)=TRUE),0,VLOOKUP(CONCATENATE($R8,12),master,21,FALSE)),IF(ISNA(VLOOKUP(CONCATENATE($R8,5),master,21,FALSE)=TRUE),0,VLOOKUP(CONCATENATE($R8,5),master,21,FALSE)))))</f>
        <v>0</v>
      </c>
      <c r="EG8" s="49">
        <f t="shared" ref="EG8" si="53">IF($B$2&gt;0,"",IF(OR($K8="",$K8=0),0,IF($BZ8="FT",IF(ISNA(VLOOKUP(CONCATENATE($R8,4),master,22,FALSE)=TRUE),0,VLOOKUP(CONCATENATE($R8,4),master,22,FALSE)),IF(ISNA(VLOOKUP(CONCATENATE($R8,2),master,22,FALSE)=TRUE),0,VLOOKUP(CONCATENATE($R8,2),master,22,FALSE)))))</f>
        <v>0</v>
      </c>
      <c r="EH8" s="50">
        <f t="shared" ref="EH8" si="54">IF($B$2&gt;0,"",IF(OR($L8="",$L8=0),0,IF($BZ8="FT",IF(ISNA(VLOOKUP(CONCATENATE($R8,6),master,22,FALSE)=TRUE),0,VLOOKUP(CONCATENATE($R8,6),master,22,FALSE)),IF(ISNA(VLOOKUP(CONCATENATE($R8,3),master,22,FALSE)=TRUE),0,VLOOKUP(CONCATENATE($R8,3),master,22,FALSE)))))</f>
        <v>0</v>
      </c>
      <c r="EI8" s="50">
        <f t="shared" ref="EI8" si="55">IF($B$2&gt;0,"",IF(OR($M8="",$M8=0),0,IF($BZ8="FT",IF(ISNA(VLOOKUP(CONCATENATE($R8,8),master,22,FALSE)=TRUE),0,VLOOKUP(CONCATENATE($R8,8),master,22,FALSE)),IF(ISNA(VLOOKUP(CONCATENATE($R8,4),master,22,FALSE)=TRUE),0,VLOOKUP(CONCATENATE($R8,4),master,22,FALSE)))))</f>
        <v>0</v>
      </c>
      <c r="EJ8" s="52">
        <f t="shared" ref="EJ8" si="56">IF($B$2&gt;0,"",IF(OR($N8="",$N8=0),0,IF($BZ8="FT",IF(ISNA(VLOOKUP(CONCATENATE($R8,12),master,22,FALSE)=TRUE),0,VLOOKUP(CONCATENATE($R8,12),master,22,FALSE)),IF(ISNA(VLOOKUP(CONCATENATE($R8,5),master,22,FALSE)=TRUE),0,VLOOKUP(CONCATENATE($R8,5),master,22,FALSE)))))</f>
        <v>0</v>
      </c>
      <c r="EL8" s="49">
        <f t="shared" ref="EL8" si="57">IF($B$2&gt;0,"",IF(OR($K8="",$K8=0),0,IF($BZ8="FT",IF(ISNA(VLOOKUP(CONCATENATE($R8,4),master,23,FALSE)=TRUE),0,VLOOKUP(CONCATENATE($R8,4),master,23,FALSE)),IF(ISNA(VLOOKUP(CONCATENATE($R8,2),master,23,FALSE)=TRUE),0,VLOOKUP(CONCATENATE($R8,2),master,23,FALSE)))))</f>
        <v>0</v>
      </c>
      <c r="EM8" s="50">
        <f t="shared" ref="EM8" si="58">IF($B$2&gt;0,"",IF(OR($L8="",$L8=0),0,IF($BZ8="FT",IF(ISNA(VLOOKUP(CONCATENATE($R8,6),master,23,FALSE)=TRUE),0,VLOOKUP(CONCATENATE($R8,6),master,23,FALSE)),IF(ISNA(VLOOKUP(CONCATENATE($R8,3),master,23,FALSE)=TRUE),0,VLOOKUP(CONCATENATE($R8,3),master,23,FALSE)))))</f>
        <v>0</v>
      </c>
      <c r="EN8" s="50">
        <f t="shared" ref="EN8" si="59">IF($B$2&gt;0,"",IF(OR($M8="",$M8=0),0,IF($BZ8="FT",IF(ISNA(VLOOKUP(CONCATENATE($R8,8),master,23,FALSE)=TRUE),0,VLOOKUP(CONCATENATE($R8,8),master,23,FALSE)),IF(ISNA(VLOOKUP(CONCATENATE($R8,4),master,23,FALSE)=TRUE),0,VLOOKUP(CONCATENATE($R8,4),master,23,FALSE)))))</f>
        <v>0</v>
      </c>
      <c r="EO8" s="52">
        <f t="shared" ref="EO8" si="60">IF($B$2&gt;0,"",IF(OR($N8="",$N8=0),0,IF($BZ8="FT",IF(ISNA(VLOOKUP(CONCATENATE($R8,12),master,23,FALSE)=TRUE),0,VLOOKUP(CONCATENATE($R8,12),master,23,FALSE)),IF(ISNA(VLOOKUP(CONCATENATE($R8,5),master,23,FALSE)=TRUE),0,VLOOKUP(CONCATENATE($R8,5),master,23,FALSE)))))</f>
        <v>0</v>
      </c>
      <c r="EQ8" s="49">
        <f t="shared" ref="EQ8" si="61">IF($B$2&gt;0,"",IF(OR($K8="",$K8=0),0,IF($BZ8="FT",IF(ISNA(VLOOKUP(CONCATENATE($R8,4),master,6,FALSE)=TRUE),0,INDEX(master,MATCH((CONCATENATE($R8,4)),master_CONC,0),MATCH(CONCATENATE($U$1,"_",$AT$1),master_header,0))),IF(ISNA(VLOOKUP(CONCATENATE($R8,2),master,6,FALSE)=TRUE),0,INDEX(master,MATCH((CONCATENATE($R8,2)),master,0),MATCH(CONCATENATE($U$1,"_",$AT$1),master_header,0))))))</f>
        <v>0</v>
      </c>
      <c r="ER8" s="50">
        <f t="shared" ref="ER8" si="62">IF($B$2&gt;0,"",IF(OR($L8="",$L8=0),0,IF($BZ8="FT",IF(ISNA(VLOOKUP(CONCATENATE($R8,6),master,6,FALSE)=TRUE),0,INDEX(master,MATCH((CONCATENATE($R8,6)),master_CONC,0),MATCH(CONCATENATE($U$1,"_",$AT$1),master_header,0))),IF(ISNA(VLOOKUP(CONCATENATE($R8,3),master,6,FALSE)=TRUE),0,INDEX(master,MATCH((CONCATENATE($R8,3)),master,0),MATCH(CONCATENATE($U$1,"_",$AT$1),master_header,0))))))</f>
        <v>0</v>
      </c>
      <c r="ES8" s="50">
        <f t="shared" ref="ES8" si="63">IF($B$2&gt;0,"",IF(OR($M8="",$M8=0),0,IF($BZ8="FT",IF(ISNA(VLOOKUP(CONCATENATE($R8,8),master,6,FALSE)=TRUE),0,INDEX(master,MATCH((CONCATENATE($R8,8)),master_CONC,0),MATCH(CONCATENATE($U$1,"_",$AT$1),master_header,0))),IF(ISNA(VLOOKUP(CONCATENATE($R8,4),master,6,FALSE)=TRUE),0,INDEX(master,MATCH((CONCATENATE($R8,4)),master,0),MATCH(CONCATENATE($U$1,"_",$AT$1),master_header,0))))))</f>
        <v>0</v>
      </c>
      <c r="ET8" s="52">
        <f t="shared" ref="ET8" si="64">IF($B$2&gt;0,"",IF(OR($N8="",$N8=0),0,IF($BZ8="FT",IF(ISNA(VLOOKUP(CONCATENATE($R8,12),master,6,FALSE)=TRUE),0,INDEX(master,MATCH((CONCATENATE($R8,12)),master_CONC,0),MATCH(CONCATENATE($U$1,"_",$AT$1),master_header,0))),IF(ISNA(VLOOKUP(CONCATENATE($R8,5),master,6,FALSE)=TRUE),0,INDEX(master,MATCH((CONCATENATE($R8,5)),master,0),MATCH(CONCATENATE($U$1,"_",$AT$1),master_header,0))))))</f>
        <v>0</v>
      </c>
    </row>
    <row r="9" spans="1:150" ht="12" hidden="1" customHeight="1" thickBot="1" x14ac:dyDescent="0.25">
      <c r="A9" s="169"/>
      <c r="B9" s="184"/>
      <c r="C9" s="172"/>
      <c r="D9" s="171"/>
      <c r="E9" s="445"/>
      <c r="F9" s="171"/>
      <c r="G9" s="445" t="str">
        <f t="shared" ref="G9:G16" si="65">IF(H9="","",H9)</f>
        <v/>
      </c>
      <c r="H9" s="170"/>
      <c r="I9"/>
      <c r="J9"/>
      <c r="K9"/>
      <c r="L9"/>
      <c r="M9"/>
      <c r="N9"/>
      <c r="O9"/>
      <c r="P9"/>
      <c r="Q9"/>
      <c r="R9"/>
      <c r="S9"/>
      <c r="T9"/>
      <c r="U9"/>
      <c r="V9"/>
      <c r="W9"/>
      <c r="X9"/>
      <c r="Y9"/>
      <c r="Z9" s="326"/>
      <c r="AA9"/>
      <c r="AB9"/>
      <c r="AC9" s="534"/>
      <c r="AD9"/>
      <c r="AE9"/>
      <c r="AF9"/>
      <c r="AG9"/>
      <c r="AH9"/>
      <c r="AI9"/>
      <c r="AJ9"/>
      <c r="AK9"/>
      <c r="AL9"/>
      <c r="AM9"/>
      <c r="AN9"/>
      <c r="AO9"/>
      <c r="AP9"/>
      <c r="AQ9"/>
      <c r="AR9"/>
      <c r="AS9"/>
      <c r="AT9" s="183"/>
      <c r="AU9" s="1597" t="str">
        <f t="shared" si="1"/>
        <v/>
      </c>
    </row>
    <row r="10" spans="1:150" ht="12" customHeight="1" thickBot="1" x14ac:dyDescent="0.25">
      <c r="A10" s="516"/>
      <c r="B10" s="535" t="s">
        <v>403</v>
      </c>
      <c r="C10" s="536"/>
      <c r="D10" s="537"/>
      <c r="E10" s="445"/>
      <c r="F10" s="538"/>
      <c r="G10" s="445" t="str">
        <f t="shared" si="65"/>
        <v/>
      </c>
      <c r="H10" s="539"/>
      <c r="I10" s="540"/>
      <c r="J10" s="540"/>
      <c r="K10" s="540"/>
      <c r="L10" s="540"/>
      <c r="M10" s="540"/>
      <c r="N10" s="540"/>
      <c r="O10" s="540"/>
      <c r="P10" s="540"/>
      <c r="Q10" s="540"/>
      <c r="R10" s="540"/>
      <c r="S10" s="540"/>
      <c r="T10" s="540"/>
      <c r="U10" s="540"/>
      <c r="V10" s="541" t="str">
        <f>IF(LEFT($U$1,1)="g","FLUID GROUP #1  REQUIRED CAPACITY =    ","SUCTION GROUP #1  REQUIRED CAPACITY =    ")</f>
        <v xml:space="preserve">SUCTION GROUP #1  REQUIRED CAPACITY =    </v>
      </c>
      <c r="W10" s="540"/>
      <c r="X10" s="540"/>
      <c r="Y10" s="542"/>
      <c r="Z10" s="1438"/>
      <c r="AA10" s="1439">
        <f>SUM(AA8:AA9)</f>
        <v>0</v>
      </c>
      <c r="AB10" s="55" t="s">
        <v>106</v>
      </c>
      <c r="AC10" s="132">
        <f>IF(LEFT($U$1,1)="g",SUM(AC8:AC9)-DSUM(Z6:AC9,AC6,$F$4:$F$5),MIN(AC8:AC9))</f>
        <v>0</v>
      </c>
      <c r="AD10" s="543" t="str">
        <f>IF(LEFT($U$1,1)="g","(GPM) Flow",IF(LEFT($U$1,1)="c","(°F) Fluid Temperature", "(°F) Suction Temperature"))</f>
        <v>(°F) Suction Temperature</v>
      </c>
      <c r="AE10" s="544"/>
      <c r="AF10" s="545"/>
      <c r="AG10" s="546"/>
      <c r="AH10" s="547"/>
      <c r="AI10" s="546"/>
      <c r="AJ10" s="548"/>
      <c r="AK10" s="546"/>
      <c r="AL10" s="546"/>
      <c r="AM10" s="548"/>
      <c r="AN10" s="546"/>
      <c r="AO10" s="548"/>
      <c r="AP10" s="548"/>
      <c r="AQ10" s="546"/>
      <c r="AR10" s="546"/>
      <c r="AS10" s="546"/>
      <c r="AT10" s="549"/>
      <c r="AU10" s="893" t="str">
        <f t="shared" si="1"/>
        <v/>
      </c>
    </row>
    <row r="11" spans="1:150" ht="12" hidden="1" customHeight="1" thickBot="1" x14ac:dyDescent="0.25">
      <c r="A11" s="554"/>
      <c r="B11" s="555">
        <v>0</v>
      </c>
      <c r="C11" s="556" t="s">
        <v>134</v>
      </c>
      <c r="D11" s="867" t="s">
        <v>374</v>
      </c>
      <c r="E11" s="445">
        <v>2</v>
      </c>
      <c r="F11" s="553" t="s">
        <v>350</v>
      </c>
      <c r="G11" s="445" t="str">
        <f>IF(H11="","",H11)</f>
        <v/>
      </c>
      <c r="H11" s="850"/>
      <c r="I11" s="853"/>
      <c r="J11" s="853"/>
      <c r="K11" s="853"/>
      <c r="L11" s="852"/>
      <c r="M11" s="852"/>
      <c r="N11" s="853"/>
      <c r="O11" s="853"/>
      <c r="P11" s="853"/>
      <c r="Q11" s="853"/>
      <c r="R11" s="851"/>
      <c r="S11" s="851"/>
      <c r="T11" s="851"/>
      <c r="U11" s="864"/>
      <c r="V11" s="852"/>
      <c r="W11" s="853"/>
      <c r="X11" s="853"/>
      <c r="Y11" s="853"/>
      <c r="Z11" s="854">
        <v>0</v>
      </c>
      <c r="AA11" s="854">
        <v>0</v>
      </c>
      <c r="AB11" s="862"/>
      <c r="AC11" s="862"/>
      <c r="AD11" s="865"/>
      <c r="AE11" s="859"/>
      <c r="AF11" s="857"/>
      <c r="AG11" s="852"/>
      <c r="AH11" s="858"/>
      <c r="AI11" s="858"/>
      <c r="AJ11" s="857"/>
      <c r="AK11" s="851"/>
      <c r="AL11" s="852"/>
      <c r="AM11" s="857"/>
      <c r="AN11" s="853"/>
      <c r="AO11" s="857"/>
      <c r="AP11" s="857"/>
      <c r="AQ11" s="981"/>
      <c r="AR11" s="981"/>
      <c r="AS11" s="858"/>
      <c r="AT11" s="853"/>
      <c r="AU11" s="893" t="str">
        <f>IF(H11="","",IF(OR(B11=0,B11="SUB-CKT"),IF(ISNA(MATCH(H11,LoopSegs,0)),H11,""),""))</f>
        <v/>
      </c>
      <c r="AV11" s="893"/>
      <c r="BZ11" s="45" t="str">
        <f>IF($B$2&gt;0,"",IF($R11="","FT",IF($R11="Enter Case Model","FT",VLOOKUP($R11,model,2,FALSE))))</f>
        <v>FT</v>
      </c>
      <c r="CA11" s="46">
        <f>IF($B$2&gt;0,"",IF(OR($K11="",$K11=0),0,IF($BZ11="FT",IF(ISNA(VLOOKUP(CONCATENATE($R11,4),master,2,FALSE)=TRUE),"DNE",VLOOKUP(CONCATENATE($R11,4),master,2,FALSE)),IF(ISNA(VLOOKUP(CONCATENATE($R11,2),master,2,FALSE)=TRUE),"DNE",VLOOKUP(CONCATENATE($R11,2),master,2,FALSE)))))</f>
        <v>0</v>
      </c>
      <c r="CB11" s="46">
        <f>IF($B$2&gt;0,"",IF(OR($L11="",$L11=0),0,IF($BZ11="FT",IF(ISNA(VLOOKUP(CONCATENATE($R11,6),master,2,FALSE)=TRUE),"DNE",VLOOKUP(CONCATENATE($R11,6),master,2,FALSE)),IF(ISNA(VLOOKUP(CONCATENATE($R11,3),master,2,FALSE)=TRUE),"DNE",VLOOKUP(CONCATENATE($R11,3),master,2,FALSE)))))</f>
        <v>0</v>
      </c>
      <c r="CC11" s="46">
        <f>IF($B$2&gt;0,"",IF(OR($M11="",$M11=0),0,IF($BZ11="FT",IF(ISNA(VLOOKUP(CONCATENATE($R11,8),master,2,FALSE)=TRUE),"DNE",VLOOKUP(CONCATENATE($R11,8),master,2,FALSE)),IF(ISNA(VLOOKUP(CONCATENATE($R11,4),master,2,FALSE)=TRUE),"DNE",VLOOKUP(CONCATENATE($R11,4),master,2,FALSE)))))</f>
        <v>0</v>
      </c>
      <c r="CD11" s="79">
        <f>IF($B$2&gt;0,"",IF(OR($N11="",$N11=0),0,IF($BZ11="FT",IF(ISNA(VLOOKUP(CONCATENATE($R11,12),master,2,FALSE)=TRUE),"DNE",VLOOKUP(CONCATENATE($R11,12),master,2,FALSE)),IF(ISNA(VLOOKUP(CONCATENATE($R11,5),master,2,FALSE)=TRUE),"DNE",VLOOKUP(CONCATENATE($R11,5),master,2,FALSE)))))</f>
        <v>0</v>
      </c>
      <c r="CE11" s="81">
        <f>IF($B$2&gt;0,"",IF(OR($CA11="DNE",$CA11=0),0,1))</f>
        <v>0</v>
      </c>
      <c r="CF11" s="79">
        <f>IF($B$2&gt;0,"",IF(OR($CB11="DNE",$CB11=0),0,1))</f>
        <v>0</v>
      </c>
      <c r="CG11" s="46">
        <f>IF($B$2&gt;0,"",IF(OR($CC11="DNE",$CC11=0),0,1))</f>
        <v>0</v>
      </c>
      <c r="CH11" s="82">
        <f>IF($B$2&gt;0,"",IF(OR($CD11="DNE",$CD11=0),0,1))</f>
        <v>0</v>
      </c>
      <c r="CI11" s="80">
        <f>IF($B$2&gt;0,"",IF(OR($K11="",$K11=0),0,IF($BZ11="FT",IF(ISNA(VLOOKUP(CONCATENATE($R11,4),master,6,FALSE)=TRUE),0,VLOOKUP(CONCATENATE($R11,4),master,6,FALSE)),IF(ISNA(VLOOKUP(CONCATENATE($R11,2),master,6,FALSE)=TRUE),0,VLOOKUP(CONCATENATE($R11,2),master,6,FALSE)))))</f>
        <v>0</v>
      </c>
      <c r="CJ11" s="47">
        <f>IF($B$2&gt;0,"",IF(OR($L11="",$L11=0),0,IF($BZ11="FT",IF(ISNA(VLOOKUP(CONCATENATE($R11,6),master,6,FALSE)=TRUE),0,VLOOKUP(CONCATENATE($R11,6),master,6,FALSE)),IF(ISNA(VLOOKUP(CONCATENATE($R11,3),master,6,FALSE)=TRUE),0,VLOOKUP(CONCATENATE($R11,3),master,6,FALSE)))))</f>
        <v>0</v>
      </c>
      <c r="CK11" s="47">
        <f>IF($B$2&gt;0,"",IF(OR($M11="",$M11=0),0,IF($BZ11="FT",IF(ISNA(VLOOKUP(CONCATENATE($R11,8),master,6,FALSE)=TRUE),0,VLOOKUP(CONCATENATE($R11,8),master,6,FALSE)),IF(ISNA(VLOOKUP(CONCATENATE($R11,4),master,6,FALSE)=TRUE),0,VLOOKUP(CONCATENATE($R11,4),master,6,FALSE)))))</f>
        <v>0</v>
      </c>
      <c r="CL11" s="48">
        <f>IF($B$2&gt;0,"",IF(OR($N11="",$N11=0),0,IF($BZ11="FT",IF(ISNA(VLOOKUP(CONCATENATE($R11,12),master,6,FALSE)=TRUE),0,VLOOKUP(CONCATENATE($R11,12),master,6,FALSE)),IF(ISNA(VLOOKUP(CONCATENATE($R11,5),master,6,FALSE)=TRUE),0,VLOOKUP(CONCATENATE($R11,5),master,6,FALSE)))))</f>
        <v>0</v>
      </c>
      <c r="CM11" s="49">
        <f>IF($B$2&gt;0,"",IF(OR($K11="",$K11=0),0,IF($BZ11="FT",IF(ISNA(VLOOKUP(CONCATENATE($R11,4),master,MATCH(CONCATENATE($AN11,"_",$AM$6),master_header,0),FALSE)=TRUE),0,VLOOKUP(CONCATENATE($R11,4),master,MATCH(CONCATENATE($AN11,"_",$AM$6),master_header,0),FALSE)),IF(ISNA(VLOOKUP(CONCATENATE($R11,2),master,MATCH(CONCATENATE($AN11,"_",$AM$6),master_header,0),FALSE)=TRUE),0,VLOOKUP(CONCATENATE($R11,2),master,MATCH(CONCATENATE($AN11,"_",$AM$6),master_header,0),FALSE)))))</f>
        <v>0</v>
      </c>
      <c r="CN11" s="50">
        <f>IF($B$2&gt;0,"",IF(OR($L11="",$L11=0),0,IF($BZ11="FT",IF(ISNA(VLOOKUP(CONCATENATE($R11,6),master,MATCH(CONCATENATE($AN11,"_",$AM$6),master_header,0),FALSE)=TRUE),0,VLOOKUP(CONCATENATE($R11,6),master,MATCH(CONCATENATE($AN11,"_",$AM$6),master_header,0),FALSE)),IF(ISNA(VLOOKUP(CONCATENATE($R11,3),master,MATCH(CONCATENATE($AN11,"_",$AM$6),master_header,0),FALSE)=TRUE),0,VLOOKUP(CONCATENATE($R11,3),master,MATCH(CONCATENATE($AN11,"_",$AM$6),master_header,0),FALSE)))))</f>
        <v>0</v>
      </c>
      <c r="CO11" s="50">
        <f>IF($B$2&gt;0,"",IF(OR($M11="",$M11=0),0,IF($BZ11="FT",IF(ISNA(VLOOKUP(CONCATENATE($R11,8),master,MATCH(CONCATENATE($AN11,"_",$AM$6),master_header,0),FALSE)=TRUE),0,VLOOKUP(CONCATENATE($R11,8),master,MATCH(CONCATENATE($AN11,"_",$AM$6),master_header,0),FALSE)),IF(ISNA(VLOOKUP(CONCATENATE($R11,4),master,MATCH(CONCATENATE($AN11,"_",$AM$6),master_header,0),FALSE)=TRUE),0,VLOOKUP(CONCATENATE($R11,4),master,MATCH(CONCATENATE($AN11,"_",$AM$6),master_header,0),FALSE)))))</f>
        <v>0</v>
      </c>
      <c r="CP11" s="50">
        <f>IF($B$2&gt;0,"",IF(OR($N11="",$N11=0),0,IF($BZ11="FT",IF(ISNA(VLOOKUP(CONCATENATE($R11,12),master,MATCH(CONCATENATE($AN11,"_",$AM$6),master_header,0),FALSE)=TRUE),0,VLOOKUP(CONCATENATE($R11,12),master,MATCH(CONCATENATE($AN11,"_",$AM$6),master_header,0),FALSE)),IF(ISNA(VLOOKUP(CONCATENATE($R11,5),master,MATCH(CONCATENATE($AN11,"_",$AM$6),master_header,0),FALSE)=TRUE),0,VLOOKUP(CONCATENATE($R11,5),master,MATCH(CONCATENATE($AN11,"_",$AM$6),master_header,0),FALSE)))))</f>
        <v>0</v>
      </c>
      <c r="CQ11" s="51">
        <f>IF($B$2&gt;0,"",$K11*$CM11+$L11*$CN11+$M11*$CO11+$N11*$CP11)</f>
        <v>0</v>
      </c>
      <c r="CR11" s="49">
        <f>IF($B$2&gt;0,"",IF(OR($K11="",$K11=0),0,IF($BZ11="FT",IF(ISNA(VLOOKUP(CONCATENATE($R11,4),master,9,FALSE)=TRUE),0,VLOOKUP(CONCATENATE($R11,4),master,9,FALSE)),IF(ISNA(VLOOKUP(CONCATENATE($R11,2),master,9,FALSE)=TRUE),0,VLOOKUP(CONCATENATE($R11,2),master,9,FALSE)))))</f>
        <v>0</v>
      </c>
      <c r="CS11" s="50">
        <f>IF($B$2&gt;0,"",IF(OR($L11="",$L11=0),0,IF($BZ11="FT",IF(ISNA(VLOOKUP(CONCATENATE($R11,6),master,9,FALSE)=TRUE),0,VLOOKUP(CONCATENATE($R11,6),master,9,FALSE)),IF(ISNA(VLOOKUP(CONCATENATE($R11,3),master,9,FALSE)=TRUE),0,VLOOKUP(CONCATENATE($R11,3),master,9,FALSE)))))</f>
        <v>0</v>
      </c>
      <c r="CT11" s="50">
        <f>IF($B$2&gt;0,"",IF(OR($M11="",$M11=0),0,IF($BZ11="FT",IF(ISNA(VLOOKUP(CONCATENATE($R11,8),master,9,FALSE)=TRUE),0,VLOOKUP(CONCATENATE($R11,8),master,9,FALSE)),IF(ISNA(VLOOKUP(CONCATENATE($R11,4),master,9,FALSE)=TRUE),0,VLOOKUP(CONCATENATE($R11,4),master,9,FALSE)))))</f>
        <v>0</v>
      </c>
      <c r="CU11" s="52">
        <f>IF($B$2&gt;0,"",IF(OR($N11="",$N11=0),0,IF($BZ11="FT",IF(ISNA(VLOOKUP(CONCATENATE($R11,12),master,9,FALSE)=TRUE),0,VLOOKUP(CONCATENATE($R11,12),master,9,FALSE)),IF(ISNA(VLOOKUP(CONCATENATE($R11,5),master,9,FALSE)=TRUE),0,VLOOKUP(CONCATENATE($R11,5),master,9,FALSE)))))</f>
        <v>0</v>
      </c>
      <c r="CV11" s="49">
        <f>IF($B$2&gt;0,"",IF(OR($K11="",$K11=0),0,IF($BZ11="FT",IF(ISNA(VLOOKUP(CONCATENATE($R11,4),master,10,FALSE)=TRUE),0,VLOOKUP(CONCATENATE($R11,4),master,10,FALSE)),IF(ISNA(VLOOKUP(CONCATENATE($R11,2),master,10,FALSE)=TRUE),0,VLOOKUP(CONCATENATE($R11,2),master,10,FALSE)))))</f>
        <v>0</v>
      </c>
      <c r="CW11" s="50">
        <f>IF($B$2&gt;0,"",IF(OR($L11="",$L11=0),0,IF($BZ11="FT",IF(ISNA(VLOOKUP(CONCATENATE($R11,6),master,10,FALSE)=TRUE),0,VLOOKUP(CONCATENATE($R11,6),master,10,FALSE)),IF(ISNA(VLOOKUP(CONCATENATE($R11,3),master,10,FALSE)=TRUE),0,VLOOKUP(CONCATENATE($R11,3),master,10,FALSE)))))</f>
        <v>0</v>
      </c>
      <c r="CX11" s="50">
        <f>IF($B$2&gt;0,"",IF(OR($M11="",$M11=0),0,IF($BZ11="FT",IF(ISNA(VLOOKUP(CONCATENATE($R11,8),master,10,FALSE)=TRUE),0,VLOOKUP(CONCATENATE($R11,8),master,10,FALSE)),IF(ISNA(VLOOKUP(CONCATENATE($R11,4),master,10,FALSE)=TRUE),0,VLOOKUP(CONCATENATE($R11,4),master,10,FALSE)))))</f>
        <v>0</v>
      </c>
      <c r="CY11" s="50">
        <f>IF($B$2&gt;0,"",IF(OR($N11="",$N11=0),0,IF($BZ11="FT",IF(ISNA(VLOOKUP(CONCATENATE($R11,12),master,10,FALSE)=TRUE),0,VLOOKUP(CONCATENATE($R11,12),master,10,FALSE)),IF(ISNA(VLOOKUP(CONCATENATE($R11,5),master,10,FALSE)=TRUE),0,VLOOKUP(CONCATENATE($R11,5),master,10,FALSE)))))</f>
        <v>0</v>
      </c>
      <c r="CZ11" s="49">
        <f>IF($B$2&gt;0,"",IF(OR($K11="",$K11=0),0,IF($BZ11="FT",IF(ISNA(VLOOKUP(CONCATENATE($R11,4),master,MATCH(CONCATENATE($AK11,"_",$AJ$6),master_header,0),FALSE)=TRUE),0,VLOOKUP(CONCATENATE($R11,4),master,MATCH(CONCATENATE($AK11,"_",$AJ$6),master_header,0),FALSE)),IF(ISNA(VLOOKUP(CONCATENATE($R11,2),master,MATCH(CONCATENATE($AK11,"_",$AJ$6),master_header,0),FALSE)=TRUE),0,VLOOKUP(CONCATENATE($R11,2),master,MATCH(CONCATENATE($AK11,"_",$AJ$6),master_header,0),FALSE)))))</f>
        <v>0</v>
      </c>
      <c r="DA11" s="50">
        <f>IF($B$2&gt;0,"",IF(OR($L11="",$L11=0),0,IF($BZ11="FT",IF(ISNA(VLOOKUP(CONCATENATE($R11,6),master,MATCH(CONCATENATE($AK11,"_",$AJ$6),master_header,0),FALSE)=TRUE),0,VLOOKUP(CONCATENATE($R11,6),master,MATCH(CONCATENATE($AK11,"_",$AJ$6),master_header,0),FALSE)),IF(ISNA(VLOOKUP(CONCATENATE($R11,3),master,MATCH(CONCATENATE($AK11,"_",$AJ$6),master_header,0),FALSE)=TRUE),0,VLOOKUP(CONCATENATE($R11,3),master,MATCH(CONCATENATE($AK11,"_",$AJ$6),master_header,0),FALSE)))))</f>
        <v>0</v>
      </c>
      <c r="DB11" s="50">
        <f>IF($B$2&gt;0,"",IF(OR($M11="",$M11=0),0,IF($BZ11="FT",IF(ISNA(VLOOKUP(CONCATENATE($R11,8),master,MATCH(CONCATENATE($AK11,"_",$AJ$6),master_header,0),FALSE)=TRUE),0,VLOOKUP(CONCATENATE($R11,8),master,MATCH(CONCATENATE($AK11,"_",$AJ$6),master_header,0),FALSE)),IF(ISNA(VLOOKUP(CONCATENATE($R11,4),master,MATCH(CONCATENATE($AK11,"_",$AJ$6),master_header,0),FALSE)=TRUE),0,VLOOKUP(CONCATENATE($R11,4),master,MATCH(CONCATENATE($AK11,"_",$AJ$6),master_header,0),FALSE)))))</f>
        <v>0</v>
      </c>
      <c r="DC11" s="50">
        <f>IF($B$2&gt;0,"",IF(OR($N11="",$N11=0),0,IF($BZ11="FT",IF(ISNA(VLOOKUP(CONCATENATE($R11,12),master,MATCH(CONCATENATE($AK11,"_",$AJ$6),master_header,0),FALSE)=TRUE),0,VLOOKUP(CONCATENATE($R11,12),master,MATCH(CONCATENATE($AK11,"_",$AJ$6),master_header,0),FALSE)),IF(ISNA(VLOOKUP(CONCATENATE($R11,5),master,MATCH(CONCATENATE($AK11,"_",$AJ$6),master_header,0),FALSE)=TRUE),0,VLOOKUP(CONCATENATE($R11,5),master,MATCH(CONCATENATE($AK11,"_",$AJ$6),master_header,0),FALSE)))))</f>
        <v>0</v>
      </c>
      <c r="DD11" s="53">
        <f>IF($B$2&gt;0,"",IF($AI11="EL",$K11*$CZ11+$L11*$DA11+$M11*$DB11+$N11*$DC11,0))</f>
        <v>0</v>
      </c>
      <c r="DE11" s="49">
        <f>IF($B$2&gt;0,"",IF(OR($K11="",$K11=0),0,IF($BZ11="FT",IF(ISNA(VLOOKUP(CONCATENATE($R11,4),master,16,FALSE)=TRUE),0,VLOOKUP(CONCATENATE($R11,4),master,16,FALSE)),IF(ISNA(VLOOKUP(CONCATENATE($R11,2),master,16,FALSE)=TRUE),0,VLOOKUP(CONCATENATE($R11,2),master,16,FALSE)))))</f>
        <v>0</v>
      </c>
      <c r="DF11" s="50">
        <f>IF($B$2&gt;0,"",IF(OR($L11="",$L11=0),0,IF($BZ11="FT",IF(ISNA(VLOOKUP(CONCATENATE($R11,6),master,16,FALSE)=TRUE),0,VLOOKUP(CONCATENATE($R11,6),master,16,FALSE)),IF(ISNA(VLOOKUP(CONCATENATE($R11,3),master,16,FALSE)=TRUE),0,VLOOKUP(CONCATENATE($R11,3),master,16,FALSE)))))</f>
        <v>0</v>
      </c>
      <c r="DG11" s="50">
        <f>IF($B$2&gt;0,"",IF(OR($M11="",$M11=0),0,IF($BZ11="FT",IF(ISNA(VLOOKUP(CONCATENATE($R11,8),master,16,FALSE)=TRUE),0,VLOOKUP(CONCATENATE($R11,8),master,16,FALSE)),IF(ISNA(VLOOKUP(CONCATENATE($R11,4),master,16,FALSE)=TRUE),0,VLOOKUP(CONCATENATE($R11,4),master,16,FALSE)))))</f>
        <v>0</v>
      </c>
      <c r="DH11" s="50">
        <f>IF($B$2&gt;0,"",IF(OR($N11="",$N11=0),0,IF($BZ11="FT",IF(ISNA(VLOOKUP(CONCATENATE($R11,12),master,16,FALSE)=TRUE),0,VLOOKUP(CONCATENATE($R11,12),master,16,FALSE)),IF(ISNA(VLOOKUP(CONCATENATE($R11,5),master,16,FALSE)=TRUE),0,VLOOKUP(CONCATENATE($R11,5),master,16,FALSE)))))</f>
        <v>0</v>
      </c>
      <c r="DI11" s="53" t="str">
        <f>IF($B$2&gt;0,"",IF($AI11="HG",$K11*$DE11+$L11*$DF11+$M11*$DG11+$N11*$DH11,"0.00"))</f>
        <v>0.00</v>
      </c>
      <c r="DJ11" s="49">
        <f>IF($B$2&gt;0,"",IF(OR($K11="",$K11=0),0,IF($BZ11="FT",IF(ISNA(VLOOKUP(CONCATENATE($R11,4),master,15,FALSE)=TRUE),0,VLOOKUP(CONCATENATE($R11,4),master,15,FALSE)),IF(ISNA(VLOOKUP(CONCATENATE($R11,2),master,15,FALSE)=TRUE),0,VLOOKUP(CONCATENATE($R11,2),master,15,FALSE)))))</f>
        <v>0</v>
      </c>
      <c r="DK11" s="50">
        <f>IF($B$2&gt;0,"",IF(OR($L11="",$L11=0),0,IF($BZ11="FT",IF(ISNA(VLOOKUP(CONCATENATE($R11,6),master,15,FALSE)=TRUE),0,VLOOKUP(CONCATENATE($R11,6),master,15,FALSE)),IF(ISNA(VLOOKUP(CONCATENATE($R11,3),master,15,FALSE)=TRUE),0,VLOOKUP(CONCATENATE($R11,3),master,15,FALSE)))))</f>
        <v>0</v>
      </c>
      <c r="DL11" s="50">
        <f>IF($B$2&gt;0,"",IF(OR($M11="",$M11=0),0,IF($BZ11="FT",IF(ISNA(VLOOKUP(CONCATENATE($R11,8),master,15,FALSE)=TRUE),0,VLOOKUP(CONCATENATE($R11,8),master,15,FALSE)),IF(ISNA(VLOOKUP(CONCATENATE($R11,4),master,15,FALSE)=TRUE),0,VLOOKUP(CONCATENATE($R11,4),master,15,FALSE)))))</f>
        <v>0</v>
      </c>
      <c r="DM11" s="52">
        <f>IF($B$2&gt;0,"",IF(OR($N11="",$N11=0),0,IF($BZ11="FT",IF(ISNA(VLOOKUP(CONCATENATE($R11,12),master,15,FALSE)=TRUE),0,VLOOKUP(CONCATENATE($R11,12),master,15,FALSE)),IF(ISNA(VLOOKUP(CONCATENATE($R11,5),master,15,FALSE)=TRUE),0,VLOOKUP(CONCATENATE($R11,5),master,15,FALSE)))))</f>
        <v>0</v>
      </c>
      <c r="DO11" s="49">
        <f>IF($B$2&gt;0,"",IF(OR($V11="",$V11=0),0,IF(ISNA(VLOOKUP($W11,evapdx,MATCH(CONCATENATE($AK11,"_",$AJ$6),evapdx_header,0),FALSE)=TRUE),0,VLOOKUP($W11,evapdx,MATCH(CONCATENATE($AK11,"_",$AJ$6),evapdx_header,0),FALSE))))</f>
        <v>0</v>
      </c>
      <c r="DP11" s="54">
        <f>IF($B$2&gt;0,"",$DO11*$V11)</f>
        <v>0</v>
      </c>
      <c r="DQ11" s="49">
        <f>IF($B$2&gt;0,"",IF(OR($V11="",$V11=0),0,IF(ISNA(VLOOKUP($W11,evapdx,MATCH(CONCATENATE($AK11,"_pan"),evapdx_header,0),FALSE)=TRUE),0,VLOOKUP($W11,evapdx,MATCH(CONCATENATE($AK11,"_pan"),evapdx_header,0),FALSE))))</f>
        <v>0</v>
      </c>
      <c r="DR11" s="52">
        <f>IF($B$2&gt;0,"",$DQ11*$V11)</f>
        <v>0</v>
      </c>
      <c r="DS11" s="49">
        <f>IF($B$2&gt;0,"",IF(OR($V11="",$V11=0),0,IF(ISNA(VLOOKUP($W11,evapdx,MATCH(CONCATENATE($AN11,"_",$AM$6),evapdx_header,0),FALSE)=TRUE),0,VLOOKUP($W11,evapdx,MATCH(CONCATENATE($AN11,"_",$AM$6),evapdx_header,0),FALSE))))</f>
        <v>0</v>
      </c>
      <c r="DT11" s="54">
        <f>IF($B$2&gt;0,"",$DS11*$V11)</f>
        <v>0</v>
      </c>
      <c r="DU11" s="125" t="str">
        <f>IF($B$2&gt;0,"",IF(OR($V11="",$V11=0),"Enter Def.",VLOOKUP($W11,evapdx,MATCH("defrost_type",evapdx_header,1),FALSE)))</f>
        <v>Enter Def.</v>
      </c>
      <c r="DV11" s="126" t="e">
        <f>IF($B$2&gt;0,"",VLOOKUP($H11,'Walk-in Load Calc'!$F$5:$Q$37,11,FALSE))</f>
        <v>#N/A</v>
      </c>
      <c r="DW11" s="135" t="s">
        <v>352</v>
      </c>
      <c r="DX11" s="136" t="s">
        <v>144</v>
      </c>
      <c r="DY11" s="137" t="str">
        <f>IF($B$2&gt;0,"",IF(OR($W11="Enter Evap. Model",$W11=""), "-",VLOOKUP($W11,'HEAT-X'!$U$9:$V$77,2,FALSE)))</f>
        <v>-</v>
      </c>
      <c r="EB11" s="49">
        <f>IF($B$2&gt;0,"",IF(OR($K11="",$K11=0),0,IF($BZ11="FT",IF(ISNA(VLOOKUP(CONCATENATE($R11,4),master,21,FALSE)=TRUE),0,VLOOKUP(CONCATENATE($R11,4),master,21,FALSE)),IF(ISNA(VLOOKUP(CONCATENATE($R11,2),master,21,FALSE)=TRUE),0,VLOOKUP(CONCATENATE($R11,2),master,21,FALSE)))))</f>
        <v>0</v>
      </c>
      <c r="EC11" s="50">
        <f>IF($B$2&gt;0,"",IF(OR($L11="",$L11=0),0,IF($BZ11="FT",IF(ISNA(VLOOKUP(CONCATENATE($R11,6),master,21,FALSE)=TRUE),0,VLOOKUP(CONCATENATE($R11,6),master,21,FALSE)),IF(ISNA(VLOOKUP(CONCATENATE($R11,3),master,21,FALSE)=TRUE),0,VLOOKUP(CONCATENATE($R11,3),master,21,FALSE)))))</f>
        <v>0</v>
      </c>
      <c r="ED11" s="50">
        <f>IF($B$2&gt;0,"",IF(OR($M11="",$M11=0),0,IF($BZ11="FT",IF(ISNA(VLOOKUP(CONCATENATE($R11,8),master,21,FALSE)=TRUE),0,VLOOKUP(CONCATENATE($R11,8),master,21,FALSE)),IF(ISNA(VLOOKUP(CONCATENATE($R11,4),master,21,FALSE)=TRUE),0,VLOOKUP(CONCATENATE($R11,4),master,21,FALSE)))))</f>
        <v>0</v>
      </c>
      <c r="EE11" s="52">
        <f>IF($B$2&gt;0,"",IF(OR($N11="",$N11=0),0,IF($BZ11="FT",IF(ISNA(VLOOKUP(CONCATENATE($R11,12),master,21,FALSE)=TRUE),0,VLOOKUP(CONCATENATE($R11,12),master,21,FALSE)),IF(ISNA(VLOOKUP(CONCATENATE($R11,5),master,21,FALSE)=TRUE),0,VLOOKUP(CONCATENATE($R11,5),master,21,FALSE)))))</f>
        <v>0</v>
      </c>
      <c r="EG11" s="49">
        <f>IF($B$2&gt;0,"",IF(OR($K11="",$K11=0),0,IF($BZ11="FT",IF(ISNA(VLOOKUP(CONCATENATE($R11,4),master,22,FALSE)=TRUE),0,VLOOKUP(CONCATENATE($R11,4),master,22,FALSE)),IF(ISNA(VLOOKUP(CONCATENATE($R11,2),master,22,FALSE)=TRUE),0,VLOOKUP(CONCATENATE($R11,2),master,22,FALSE)))))</f>
        <v>0</v>
      </c>
      <c r="EH11" s="50">
        <f>IF($B$2&gt;0,"",IF(OR($L11="",$L11=0),0,IF($BZ11="FT",IF(ISNA(VLOOKUP(CONCATENATE($R11,6),master,22,FALSE)=TRUE),0,VLOOKUP(CONCATENATE($R11,6),master,22,FALSE)),IF(ISNA(VLOOKUP(CONCATENATE($R11,3),master,22,FALSE)=TRUE),0,VLOOKUP(CONCATENATE($R11,3),master,22,FALSE)))))</f>
        <v>0</v>
      </c>
      <c r="EI11" s="50">
        <f>IF($B$2&gt;0,"",IF(OR($M11="",$M11=0),0,IF($BZ11="FT",IF(ISNA(VLOOKUP(CONCATENATE($R11,8),master,22,FALSE)=TRUE),0,VLOOKUP(CONCATENATE($R11,8),master,22,FALSE)),IF(ISNA(VLOOKUP(CONCATENATE($R11,4),master,22,FALSE)=TRUE),0,VLOOKUP(CONCATENATE($R11,4),master,22,FALSE)))))</f>
        <v>0</v>
      </c>
      <c r="EJ11" s="52">
        <f>IF($B$2&gt;0,"",IF(OR($N11="",$N11=0),0,IF($BZ11="FT",IF(ISNA(VLOOKUP(CONCATENATE($R11,12),master,22,FALSE)=TRUE),0,VLOOKUP(CONCATENATE($R11,12),master,22,FALSE)),IF(ISNA(VLOOKUP(CONCATENATE($R11,5),master,22,FALSE)=TRUE),0,VLOOKUP(CONCATENATE($R11,5),master,22,FALSE)))))</f>
        <v>0</v>
      </c>
      <c r="EL11" s="49">
        <f>IF($B$2&gt;0,"",IF(OR($K11="",$K11=0),0,IF($BZ11="FT",IF(ISNA(VLOOKUP(CONCATENATE($R11,4),master,23,FALSE)=TRUE),0,VLOOKUP(CONCATENATE($R11,4),master,23,FALSE)),IF(ISNA(VLOOKUP(CONCATENATE($R11,2),master,23,FALSE)=TRUE),0,VLOOKUP(CONCATENATE($R11,2),master,23,FALSE)))))</f>
        <v>0</v>
      </c>
      <c r="EM11" s="50">
        <f>IF($B$2&gt;0,"",IF(OR($L11="",$L11=0),0,IF($BZ11="FT",IF(ISNA(VLOOKUP(CONCATENATE($R11,6),master,23,FALSE)=TRUE),0,VLOOKUP(CONCATENATE($R11,6),master,23,FALSE)),IF(ISNA(VLOOKUP(CONCATENATE($R11,3),master,23,FALSE)=TRUE),0,VLOOKUP(CONCATENATE($R11,3),master,23,FALSE)))))</f>
        <v>0</v>
      </c>
      <c r="EN11" s="50">
        <f>IF($B$2&gt;0,"",IF(OR($M11="",$M11=0),0,IF($BZ11="FT",IF(ISNA(VLOOKUP(CONCATENATE($R11,8),master,23,FALSE)=TRUE),0,VLOOKUP(CONCATENATE($R11,8),master,23,FALSE)),IF(ISNA(VLOOKUP(CONCATENATE($R11,4),master,23,FALSE)=TRUE),0,VLOOKUP(CONCATENATE($R11,4),master,23,FALSE)))))</f>
        <v>0</v>
      </c>
      <c r="EO11" s="52">
        <f>IF($B$2&gt;0,"",IF(OR($N11="",$N11=0),0,IF($BZ11="FT",IF(ISNA(VLOOKUP(CONCATENATE($R11,12),master,23,FALSE)=TRUE),0,VLOOKUP(CONCATENATE($R11,12),master,23,FALSE)),IF(ISNA(VLOOKUP(CONCATENATE($R11,5),master,23,FALSE)=TRUE),0,VLOOKUP(CONCATENATE($R11,5),master,23,FALSE)))))</f>
        <v>0</v>
      </c>
      <c r="EQ11" s="49">
        <f>IF($B$2&gt;0,"",IF(OR($K11="",$K11=0),0,IF($BZ11="FT",IF(ISNA(VLOOKUP(CONCATENATE($R11,4),master,6,FALSE)=TRUE),0,INDEX(master,MATCH((CONCATENATE($R11,4)),master_CONC,0),MATCH(CONCATENATE($U$1,"_",$AT$1),master_header,0))),IF(ISNA(VLOOKUP(CONCATENATE($R11,2),master,6,FALSE)=TRUE),0,INDEX(master,MATCH((CONCATENATE($R11,2)),master,0),MATCH(CONCATENATE($U$1,"_",$AT$1),master_header,0))))))</f>
        <v>0</v>
      </c>
      <c r="ER11" s="50">
        <f>IF($B$2&gt;0,"",IF(OR($L11="",$L11=0),0,IF($BZ11="FT",IF(ISNA(VLOOKUP(CONCATENATE($R11,6),master,6,FALSE)=TRUE),0,INDEX(master,MATCH((CONCATENATE($R11,6)),master_CONC,0),MATCH(CONCATENATE($U$1,"_",$AT$1),master_header,0))),IF(ISNA(VLOOKUP(CONCATENATE($R11,3),master,6,FALSE)=TRUE),0,INDEX(master,MATCH((CONCATENATE($R11,3)),master,0),MATCH(CONCATENATE($U$1,"_",$AT$1),master_header,0))))))</f>
        <v>0</v>
      </c>
      <c r="ES11" s="50">
        <f>IF($B$2&gt;0,"",IF(OR($M11="",$M11=0),0,IF($BZ11="FT",IF(ISNA(VLOOKUP(CONCATENATE($R11,8),master,6,FALSE)=TRUE),0,INDEX(master,MATCH((CONCATENATE($R11,8)),master_CONC,0),MATCH(CONCATENATE($U$1,"_",$AT$1),master_header,0))),IF(ISNA(VLOOKUP(CONCATENATE($R11,4),master,6,FALSE)=TRUE),0,INDEX(master,MATCH((CONCATENATE($R11,4)),master,0),MATCH(CONCATENATE($U$1,"_",$AT$1),master_header,0))))))</f>
        <v>0</v>
      </c>
      <c r="ET11" s="52">
        <f>IF($B$2&gt;0,"",IF(OR($N11="",$N11=0),0,IF($BZ11="FT",IF(ISNA(VLOOKUP(CONCATENATE($R11,12),master,6,FALSE)=TRUE),0,INDEX(master,MATCH((CONCATENATE($R11,12)),master_CONC,0),MATCH(CONCATENATE($U$1,"_",$AT$1),master_header,0))),IF(ISNA(VLOOKUP(CONCATENATE($R11,5),master,6,FALSE)=TRUE),0,INDEX(master,MATCH((CONCATENATE($R11,5)),master,0),MATCH(CONCATENATE($U$1,"_",$AT$1),master_header,0))))))</f>
        <v>0</v>
      </c>
    </row>
    <row r="12" spans="1:150" ht="12" hidden="1" customHeight="1" thickBot="1" x14ac:dyDescent="0.25">
      <c r="A12" s="169"/>
      <c r="B12" s="184"/>
      <c r="C12" s="172"/>
      <c r="D12" s="171"/>
      <c r="E12" s="445"/>
      <c r="F12" s="171"/>
      <c r="G12" s="445" t="str">
        <f t="shared" si="65"/>
        <v/>
      </c>
      <c r="H12" s="170"/>
      <c r="I12"/>
      <c r="J12"/>
      <c r="K12"/>
      <c r="L12"/>
      <c r="M12"/>
      <c r="N12"/>
      <c r="O12"/>
      <c r="P12"/>
      <c r="Q12"/>
      <c r="R12"/>
      <c r="S12"/>
      <c r="T12"/>
      <c r="U12"/>
      <c r="V12"/>
      <c r="W12"/>
      <c r="X12"/>
      <c r="Y12"/>
      <c r="Z12"/>
      <c r="AA12"/>
      <c r="AB12"/>
      <c r="AC12" s="534"/>
      <c r="AD12"/>
      <c r="AE12"/>
      <c r="AF12"/>
      <c r="AG12"/>
      <c r="AH12"/>
      <c r="AI12"/>
      <c r="AJ12"/>
      <c r="AK12"/>
      <c r="AL12"/>
      <c r="AM12"/>
      <c r="AN12"/>
      <c r="AO12"/>
      <c r="AP12"/>
      <c r="AQ12"/>
      <c r="AR12"/>
      <c r="AS12"/>
      <c r="AT12" s="183"/>
      <c r="AU12" s="893" t="str">
        <f t="shared" ref="AU12:AU16" si="66">IF(H12="","",IF(OR(B12=0,B12="SUB-CKT"),IF(ISNA(MATCH(H12,LoopSegs,0)),H12,""),""))</f>
        <v/>
      </c>
    </row>
    <row r="13" spans="1:150" ht="12" hidden="1" customHeight="1" thickBot="1" x14ac:dyDescent="0.25">
      <c r="A13" s="552"/>
      <c r="B13" s="535" t="s">
        <v>403</v>
      </c>
      <c r="C13" s="550" t="s">
        <v>1179</v>
      </c>
      <c r="D13" s="551"/>
      <c r="E13" s="445">
        <v>2</v>
      </c>
      <c r="F13" s="538"/>
      <c r="G13" s="445" t="str">
        <f t="shared" si="65"/>
        <v/>
      </c>
      <c r="H13" s="539"/>
      <c r="I13" s="540"/>
      <c r="J13" s="540"/>
      <c r="K13" s="540"/>
      <c r="L13" s="540"/>
      <c r="M13" s="540"/>
      <c r="N13" s="540"/>
      <c r="O13" s="540"/>
      <c r="P13" s="540"/>
      <c r="Q13" s="540"/>
      <c r="R13" s="540"/>
      <c r="S13" s="540"/>
      <c r="T13" s="540"/>
      <c r="U13" s="540"/>
      <c r="V13" s="541" t="str">
        <f>IF(LEFT($U$1,1)="g","FLUID GROUP #2  REQUIRED CAPACITY =    ","SUCTION GROUP #2  REQUIRED CAPACITY =    ")</f>
        <v xml:space="preserve">SUCTION GROUP #2  REQUIRED CAPACITY =    </v>
      </c>
      <c r="W13" s="540"/>
      <c r="X13" s="540"/>
      <c r="Y13" s="542"/>
      <c r="Z13" s="1438"/>
      <c r="AA13" s="1439">
        <f>SUM(AA11:AA12)</f>
        <v>0</v>
      </c>
      <c r="AB13" s="55" t="s">
        <v>106</v>
      </c>
      <c r="AC13" s="132">
        <f>IF(LEFT($U$1,1)="g",SUM(AC11:AC12)-DSUM(Z9:AC12,AC9,$F$4:$F$5)+LegendSG1RSST,MIN(AC11:AC12))</f>
        <v>0</v>
      </c>
      <c r="AD13" s="543" t="str">
        <f>IF(LEFT($U$1,1)="g","(GPM) Flow",IF(LEFT($U$1,1)="c","(°F) Fluid Temperature", "(°F) Suction Temperature"))</f>
        <v>(°F) Suction Temperature</v>
      </c>
      <c r="AE13" s="544"/>
      <c r="AF13" s="545"/>
      <c r="AG13" s="546"/>
      <c r="AH13" s="547"/>
      <c r="AI13" s="546"/>
      <c r="AJ13" s="548"/>
      <c r="AK13" s="546"/>
      <c r="AL13" s="546"/>
      <c r="AM13" s="548"/>
      <c r="AN13" s="546"/>
      <c r="AO13" s="548"/>
      <c r="AP13" s="548"/>
      <c r="AQ13" s="546"/>
      <c r="AR13" s="546"/>
      <c r="AS13" s="546"/>
      <c r="AT13" s="549"/>
      <c r="AU13" s="893" t="str">
        <f t="shared" si="66"/>
        <v/>
      </c>
    </row>
    <row r="14" spans="1:150" ht="12" hidden="1" customHeight="1" x14ac:dyDescent="0.2">
      <c r="A14" s="554"/>
      <c r="B14" s="555">
        <v>0</v>
      </c>
      <c r="C14" s="556" t="s">
        <v>134</v>
      </c>
      <c r="D14" s="867" t="s">
        <v>374</v>
      </c>
      <c r="E14" s="445">
        <v>3</v>
      </c>
      <c r="F14" s="553" t="s">
        <v>350</v>
      </c>
      <c r="G14" s="445" t="str">
        <f>IF(H14="","",H14)</f>
        <v/>
      </c>
      <c r="H14" s="850"/>
      <c r="I14" s="853"/>
      <c r="J14" s="853"/>
      <c r="K14" s="853"/>
      <c r="L14" s="852"/>
      <c r="M14" s="852"/>
      <c r="N14" s="853"/>
      <c r="O14" s="853"/>
      <c r="P14" s="853"/>
      <c r="Q14" s="853"/>
      <c r="R14" s="851"/>
      <c r="S14" s="851"/>
      <c r="T14" s="851"/>
      <c r="U14" s="864"/>
      <c r="V14" s="852"/>
      <c r="W14" s="853"/>
      <c r="X14" s="853"/>
      <c r="Y14" s="853"/>
      <c r="Z14" s="854">
        <v>0</v>
      </c>
      <c r="AA14" s="854">
        <v>0</v>
      </c>
      <c r="AB14" s="862"/>
      <c r="AC14" s="862"/>
      <c r="AD14" s="865"/>
      <c r="AE14" s="859"/>
      <c r="AF14" s="857"/>
      <c r="AG14" s="852"/>
      <c r="AH14" s="858"/>
      <c r="AI14" s="858"/>
      <c r="AJ14" s="857"/>
      <c r="AK14" s="851"/>
      <c r="AL14" s="852"/>
      <c r="AM14" s="857"/>
      <c r="AN14" s="853"/>
      <c r="AO14" s="857"/>
      <c r="AP14" s="857"/>
      <c r="AQ14" s="981"/>
      <c r="AR14" s="981"/>
      <c r="AS14" s="858"/>
      <c r="AT14" s="853"/>
      <c r="AU14" s="893" t="str">
        <f>IF(H14="","",IF(OR(B14=0,B14="SUB-CKT"),IF(ISNA(MATCH(H14,LoopSegs,0)),H14,""),""))</f>
        <v/>
      </c>
      <c r="AV14" s="893"/>
      <c r="BZ14" s="45" t="str">
        <f>IF($B$2&gt;0,"",IF($R14="","FT",IF($R14="Enter Case Model","FT",VLOOKUP($R14,model,2,FALSE))))</f>
        <v>FT</v>
      </c>
      <c r="CA14" s="46">
        <f>IF($B$2&gt;0,"",IF(OR($K14="",$K14=0),0,IF($BZ14="FT",IF(ISNA(VLOOKUP(CONCATENATE($R14,4),master,2,FALSE)=TRUE),"DNE",VLOOKUP(CONCATENATE($R14,4),master,2,FALSE)),IF(ISNA(VLOOKUP(CONCATENATE($R14,2),master,2,FALSE)=TRUE),"DNE",VLOOKUP(CONCATENATE($R14,2),master,2,FALSE)))))</f>
        <v>0</v>
      </c>
      <c r="CB14" s="46">
        <f>IF($B$2&gt;0,"",IF(OR($L14="",$L14=0),0,IF($BZ14="FT",IF(ISNA(VLOOKUP(CONCATENATE($R14,6),master,2,FALSE)=TRUE),"DNE",VLOOKUP(CONCATENATE($R14,6),master,2,FALSE)),IF(ISNA(VLOOKUP(CONCATENATE($R14,3),master,2,FALSE)=TRUE),"DNE",VLOOKUP(CONCATENATE($R14,3),master,2,FALSE)))))</f>
        <v>0</v>
      </c>
      <c r="CC14" s="46">
        <f>IF($B$2&gt;0,"",IF(OR($M14="",$M14=0),0,IF($BZ14="FT",IF(ISNA(VLOOKUP(CONCATENATE($R14,8),master,2,FALSE)=TRUE),"DNE",VLOOKUP(CONCATENATE($R14,8),master,2,FALSE)),IF(ISNA(VLOOKUP(CONCATENATE($R14,4),master,2,FALSE)=TRUE),"DNE",VLOOKUP(CONCATENATE($R14,4),master,2,FALSE)))))</f>
        <v>0</v>
      </c>
      <c r="CD14" s="79">
        <f>IF($B$2&gt;0,"",IF(OR($N14="",$N14=0),0,IF($BZ14="FT",IF(ISNA(VLOOKUP(CONCATENATE($R14,12),master,2,FALSE)=TRUE),"DNE",VLOOKUP(CONCATENATE($R14,12),master,2,FALSE)),IF(ISNA(VLOOKUP(CONCATENATE($R14,5),master,2,FALSE)=TRUE),"DNE",VLOOKUP(CONCATENATE($R14,5),master,2,FALSE)))))</f>
        <v>0</v>
      </c>
      <c r="CE14" s="81">
        <f>IF($B$2&gt;0,"",IF(OR($CA14="DNE",$CA14=0),0,1))</f>
        <v>0</v>
      </c>
      <c r="CF14" s="79">
        <f>IF($B$2&gt;0,"",IF(OR($CB14="DNE",$CB14=0),0,1))</f>
        <v>0</v>
      </c>
      <c r="CG14" s="46">
        <f>IF($B$2&gt;0,"",IF(OR($CC14="DNE",$CC14=0),0,1))</f>
        <v>0</v>
      </c>
      <c r="CH14" s="82">
        <f>IF($B$2&gt;0,"",IF(OR($CD14="DNE",$CD14=0),0,1))</f>
        <v>0</v>
      </c>
      <c r="CI14" s="80">
        <f>IF($B$2&gt;0,"",IF(OR($K14="",$K14=0),0,IF($BZ14="FT",IF(ISNA(VLOOKUP(CONCATENATE($R14,4),master,6,FALSE)=TRUE),0,VLOOKUP(CONCATENATE($R14,4),master,6,FALSE)),IF(ISNA(VLOOKUP(CONCATENATE($R14,2),master,6,FALSE)=TRUE),0,VLOOKUP(CONCATENATE($R14,2),master,6,FALSE)))))</f>
        <v>0</v>
      </c>
      <c r="CJ14" s="47">
        <f>IF($B$2&gt;0,"",IF(OR($L14="",$L14=0),0,IF($BZ14="FT",IF(ISNA(VLOOKUP(CONCATENATE($R14,6),master,6,FALSE)=TRUE),0,VLOOKUP(CONCATENATE($R14,6),master,6,FALSE)),IF(ISNA(VLOOKUP(CONCATENATE($R14,3),master,6,FALSE)=TRUE),0,VLOOKUP(CONCATENATE($R14,3),master,6,FALSE)))))</f>
        <v>0</v>
      </c>
      <c r="CK14" s="47">
        <f>IF($B$2&gt;0,"",IF(OR($M14="",$M14=0),0,IF($BZ14="FT",IF(ISNA(VLOOKUP(CONCATENATE($R14,8),master,6,FALSE)=TRUE),0,VLOOKUP(CONCATENATE($R14,8),master,6,FALSE)),IF(ISNA(VLOOKUP(CONCATENATE($R14,4),master,6,FALSE)=TRUE),0,VLOOKUP(CONCATENATE($R14,4),master,6,FALSE)))))</f>
        <v>0</v>
      </c>
      <c r="CL14" s="48">
        <f>IF($B$2&gt;0,"",IF(OR($N14="",$N14=0),0,IF($BZ14="FT",IF(ISNA(VLOOKUP(CONCATENATE($R14,12),master,6,FALSE)=TRUE),0,VLOOKUP(CONCATENATE($R14,12),master,6,FALSE)),IF(ISNA(VLOOKUP(CONCATENATE($R14,5),master,6,FALSE)=TRUE),0,VLOOKUP(CONCATENATE($R14,5),master,6,FALSE)))))</f>
        <v>0</v>
      </c>
      <c r="CM14" s="49">
        <f>IF($B$2&gt;0,"",IF(OR($K14="",$K14=0),0,IF($BZ14="FT",IF(ISNA(VLOOKUP(CONCATENATE($R14,4),master,MATCH(CONCATENATE($AN14,"_",$AM$6),master_header,0),FALSE)=TRUE),0,VLOOKUP(CONCATENATE($R14,4),master,MATCH(CONCATENATE($AN14,"_",$AM$6),master_header,0),FALSE)),IF(ISNA(VLOOKUP(CONCATENATE($R14,2),master,MATCH(CONCATENATE($AN14,"_",$AM$6),master_header,0),FALSE)=TRUE),0,VLOOKUP(CONCATENATE($R14,2),master,MATCH(CONCATENATE($AN14,"_",$AM$6),master_header,0),FALSE)))))</f>
        <v>0</v>
      </c>
      <c r="CN14" s="50">
        <f>IF($B$2&gt;0,"",IF(OR($L14="",$L14=0),0,IF($BZ14="FT",IF(ISNA(VLOOKUP(CONCATENATE($R14,6),master,MATCH(CONCATENATE($AN14,"_",$AM$6),master_header,0),FALSE)=TRUE),0,VLOOKUP(CONCATENATE($R14,6),master,MATCH(CONCATENATE($AN14,"_",$AM$6),master_header,0),FALSE)),IF(ISNA(VLOOKUP(CONCATENATE($R14,3),master,MATCH(CONCATENATE($AN14,"_",$AM$6),master_header,0),FALSE)=TRUE),0,VLOOKUP(CONCATENATE($R14,3),master,MATCH(CONCATENATE($AN14,"_",$AM$6),master_header,0),FALSE)))))</f>
        <v>0</v>
      </c>
      <c r="CO14" s="50">
        <f>IF($B$2&gt;0,"",IF(OR($M14="",$M14=0),0,IF($BZ14="FT",IF(ISNA(VLOOKUP(CONCATENATE($R14,8),master,MATCH(CONCATENATE($AN14,"_",$AM$6),master_header,0),FALSE)=TRUE),0,VLOOKUP(CONCATENATE($R14,8),master,MATCH(CONCATENATE($AN14,"_",$AM$6),master_header,0),FALSE)),IF(ISNA(VLOOKUP(CONCATENATE($R14,4),master,MATCH(CONCATENATE($AN14,"_",$AM$6),master_header,0),FALSE)=TRUE),0,VLOOKUP(CONCATENATE($R14,4),master,MATCH(CONCATENATE($AN14,"_",$AM$6),master_header,0),FALSE)))))</f>
        <v>0</v>
      </c>
      <c r="CP14" s="50">
        <f>IF($B$2&gt;0,"",IF(OR($N14="",$N14=0),0,IF($BZ14="FT",IF(ISNA(VLOOKUP(CONCATENATE($R14,12),master,MATCH(CONCATENATE($AN14,"_",$AM$6),master_header,0),FALSE)=TRUE),0,VLOOKUP(CONCATENATE($R14,12),master,MATCH(CONCATENATE($AN14,"_",$AM$6),master_header,0),FALSE)),IF(ISNA(VLOOKUP(CONCATENATE($R14,5),master,MATCH(CONCATENATE($AN14,"_",$AM$6),master_header,0),FALSE)=TRUE),0,VLOOKUP(CONCATENATE($R14,5),master,MATCH(CONCATENATE($AN14,"_",$AM$6),master_header,0),FALSE)))))</f>
        <v>0</v>
      </c>
      <c r="CQ14" s="51">
        <f>IF($B$2&gt;0,"",$K14*$CM14+$L14*$CN14+$M14*$CO14+$N14*$CP14)</f>
        <v>0</v>
      </c>
      <c r="CR14" s="49">
        <f>IF($B$2&gt;0,"",IF(OR($K14="",$K14=0),0,IF($BZ14="FT",IF(ISNA(VLOOKUP(CONCATENATE($R14,4),master,9,FALSE)=TRUE),0,VLOOKUP(CONCATENATE($R14,4),master,9,FALSE)),IF(ISNA(VLOOKUP(CONCATENATE($R14,2),master,9,FALSE)=TRUE),0,VLOOKUP(CONCATENATE($R14,2),master,9,FALSE)))))</f>
        <v>0</v>
      </c>
      <c r="CS14" s="50">
        <f>IF($B$2&gt;0,"",IF(OR($L14="",$L14=0),0,IF($BZ14="FT",IF(ISNA(VLOOKUP(CONCATENATE($R14,6),master,9,FALSE)=TRUE),0,VLOOKUP(CONCATENATE($R14,6),master,9,FALSE)),IF(ISNA(VLOOKUP(CONCATENATE($R14,3),master,9,FALSE)=TRUE),0,VLOOKUP(CONCATENATE($R14,3),master,9,FALSE)))))</f>
        <v>0</v>
      </c>
      <c r="CT14" s="50">
        <f>IF($B$2&gt;0,"",IF(OR($M14="",$M14=0),0,IF($BZ14="FT",IF(ISNA(VLOOKUP(CONCATENATE($R14,8),master,9,FALSE)=TRUE),0,VLOOKUP(CONCATENATE($R14,8),master,9,FALSE)),IF(ISNA(VLOOKUP(CONCATENATE($R14,4),master,9,FALSE)=TRUE),0,VLOOKUP(CONCATENATE($R14,4),master,9,FALSE)))))</f>
        <v>0</v>
      </c>
      <c r="CU14" s="52">
        <f>IF($B$2&gt;0,"",IF(OR($N14="",$N14=0),0,IF($BZ14="FT",IF(ISNA(VLOOKUP(CONCATENATE($R14,12),master,9,FALSE)=TRUE),0,VLOOKUP(CONCATENATE($R14,12),master,9,FALSE)),IF(ISNA(VLOOKUP(CONCATENATE($R14,5),master,9,FALSE)=TRUE),0,VLOOKUP(CONCATENATE($R14,5),master,9,FALSE)))))</f>
        <v>0</v>
      </c>
      <c r="CV14" s="49">
        <f>IF($B$2&gt;0,"",IF(OR($K14="",$K14=0),0,IF($BZ14="FT",IF(ISNA(VLOOKUP(CONCATENATE($R14,4),master,10,FALSE)=TRUE),0,VLOOKUP(CONCATENATE($R14,4),master,10,FALSE)),IF(ISNA(VLOOKUP(CONCATENATE($R14,2),master,10,FALSE)=TRUE),0,VLOOKUP(CONCATENATE($R14,2),master,10,FALSE)))))</f>
        <v>0</v>
      </c>
      <c r="CW14" s="50">
        <f>IF($B$2&gt;0,"",IF(OR($L14="",$L14=0),0,IF($BZ14="FT",IF(ISNA(VLOOKUP(CONCATENATE($R14,6),master,10,FALSE)=TRUE),0,VLOOKUP(CONCATENATE($R14,6),master,10,FALSE)),IF(ISNA(VLOOKUP(CONCATENATE($R14,3),master,10,FALSE)=TRUE),0,VLOOKUP(CONCATENATE($R14,3),master,10,FALSE)))))</f>
        <v>0</v>
      </c>
      <c r="CX14" s="50">
        <f>IF($B$2&gt;0,"",IF(OR($M14="",$M14=0),0,IF($BZ14="FT",IF(ISNA(VLOOKUP(CONCATENATE($R14,8),master,10,FALSE)=TRUE),0,VLOOKUP(CONCATENATE($R14,8),master,10,FALSE)),IF(ISNA(VLOOKUP(CONCATENATE($R14,4),master,10,FALSE)=TRUE),0,VLOOKUP(CONCATENATE($R14,4),master,10,FALSE)))))</f>
        <v>0</v>
      </c>
      <c r="CY14" s="50">
        <f>IF($B$2&gt;0,"",IF(OR($N14="",$N14=0),0,IF($BZ14="FT",IF(ISNA(VLOOKUP(CONCATENATE($R14,12),master,10,FALSE)=TRUE),0,VLOOKUP(CONCATENATE($R14,12),master,10,FALSE)),IF(ISNA(VLOOKUP(CONCATENATE($R14,5),master,10,FALSE)=TRUE),0,VLOOKUP(CONCATENATE($R14,5),master,10,FALSE)))))</f>
        <v>0</v>
      </c>
      <c r="CZ14" s="49">
        <f>IF($B$2&gt;0,"",IF(OR($K14="",$K14=0),0,IF($BZ14="FT",IF(ISNA(VLOOKUP(CONCATENATE($R14,4),master,MATCH(CONCATENATE($AK14,"_",$AJ$6),master_header,0),FALSE)=TRUE),0,VLOOKUP(CONCATENATE($R14,4),master,MATCH(CONCATENATE($AK14,"_",$AJ$6),master_header,0),FALSE)),IF(ISNA(VLOOKUP(CONCATENATE($R14,2),master,MATCH(CONCATENATE($AK14,"_",$AJ$6),master_header,0),FALSE)=TRUE),0,VLOOKUP(CONCATENATE($R14,2),master,MATCH(CONCATENATE($AK14,"_",$AJ$6),master_header,0),FALSE)))))</f>
        <v>0</v>
      </c>
      <c r="DA14" s="50">
        <f>IF($B$2&gt;0,"",IF(OR($L14="",$L14=0),0,IF($BZ14="FT",IF(ISNA(VLOOKUP(CONCATENATE($R14,6),master,MATCH(CONCATENATE($AK14,"_",$AJ$6),master_header,0),FALSE)=TRUE),0,VLOOKUP(CONCATENATE($R14,6),master,MATCH(CONCATENATE($AK14,"_",$AJ$6),master_header,0),FALSE)),IF(ISNA(VLOOKUP(CONCATENATE($R14,3),master,MATCH(CONCATENATE($AK14,"_",$AJ$6),master_header,0),FALSE)=TRUE),0,VLOOKUP(CONCATENATE($R14,3),master,MATCH(CONCATENATE($AK14,"_",$AJ$6),master_header,0),FALSE)))))</f>
        <v>0</v>
      </c>
      <c r="DB14" s="50">
        <f>IF($B$2&gt;0,"",IF(OR($M14="",$M14=0),0,IF($BZ14="FT",IF(ISNA(VLOOKUP(CONCATENATE($R14,8),master,MATCH(CONCATENATE($AK14,"_",$AJ$6),master_header,0),FALSE)=TRUE),0,VLOOKUP(CONCATENATE($R14,8),master,MATCH(CONCATENATE($AK14,"_",$AJ$6),master_header,0),FALSE)),IF(ISNA(VLOOKUP(CONCATENATE($R14,4),master,MATCH(CONCATENATE($AK14,"_",$AJ$6),master_header,0),FALSE)=TRUE),0,VLOOKUP(CONCATENATE($R14,4),master,MATCH(CONCATENATE($AK14,"_",$AJ$6),master_header,0),FALSE)))))</f>
        <v>0</v>
      </c>
      <c r="DC14" s="50">
        <f>IF($B$2&gt;0,"",IF(OR($N14="",$N14=0),0,IF($BZ14="FT",IF(ISNA(VLOOKUP(CONCATENATE($R14,12),master,MATCH(CONCATENATE($AK14,"_",$AJ$6),master_header,0),FALSE)=TRUE),0,VLOOKUP(CONCATENATE($R14,12),master,MATCH(CONCATENATE($AK14,"_",$AJ$6),master_header,0),FALSE)),IF(ISNA(VLOOKUP(CONCATENATE($R14,5),master,MATCH(CONCATENATE($AK14,"_",$AJ$6),master_header,0),FALSE)=TRUE),0,VLOOKUP(CONCATENATE($R14,5),master,MATCH(CONCATENATE($AK14,"_",$AJ$6),master_header,0),FALSE)))))</f>
        <v>0</v>
      </c>
      <c r="DD14" s="53" t="str">
        <f>IF($B$2&gt;0,"",IF($AI14="EL",$K14*$CZ14+$L14*$DA14+$M14*$DB14+$N14*$DC14,"0.00"))</f>
        <v>0.00</v>
      </c>
      <c r="DE14" s="49">
        <f>IF($B$2&gt;0,"",IF(OR($K14="",$K14=0),0,IF($BZ14="FT",IF(ISNA(VLOOKUP(CONCATENATE($R14,4),master,16,FALSE)=TRUE),0,VLOOKUP(CONCATENATE($R14,4),master,16,FALSE)),IF(ISNA(VLOOKUP(CONCATENATE($R14,2),master,16,FALSE)=TRUE),0,VLOOKUP(CONCATENATE($R14,2),master,16,FALSE)))))</f>
        <v>0</v>
      </c>
      <c r="DF14" s="50">
        <f>IF($B$2&gt;0,"",IF(OR($L14="",$L14=0),0,IF($BZ14="FT",IF(ISNA(VLOOKUP(CONCATENATE($R14,6),master,16,FALSE)=TRUE),0,VLOOKUP(CONCATENATE($R14,6),master,16,FALSE)),IF(ISNA(VLOOKUP(CONCATENATE($R14,3),master,16,FALSE)=TRUE),0,VLOOKUP(CONCATENATE($R14,3),master,16,FALSE)))))</f>
        <v>0</v>
      </c>
      <c r="DG14" s="50">
        <f>IF($B$2&gt;0,"",IF(OR($M14="",$M14=0),0,IF($BZ14="FT",IF(ISNA(VLOOKUP(CONCATENATE($R14,8),master,16,FALSE)=TRUE),0,VLOOKUP(CONCATENATE($R14,8),master,16,FALSE)),IF(ISNA(VLOOKUP(CONCATENATE($R14,4),master,16,FALSE)=TRUE),0,VLOOKUP(CONCATENATE($R14,4),master,16,FALSE)))))</f>
        <v>0</v>
      </c>
      <c r="DH14" s="50">
        <f>IF($B$2&gt;0,"",IF(OR($N14="",$N14=0),0,IF($BZ14="FT",IF(ISNA(VLOOKUP(CONCATENATE($R14,12),master,16,FALSE)=TRUE),0,VLOOKUP(CONCATENATE($R14,12),master,16,FALSE)),IF(ISNA(VLOOKUP(CONCATENATE($R14,5),master,16,FALSE)=TRUE),0,VLOOKUP(CONCATENATE($R14,5),master,16,FALSE)))))</f>
        <v>0</v>
      </c>
      <c r="DI14" s="53" t="str">
        <f>IF($B$2&gt;0,"",IF($AI14="HG",$K14*$DE14+$L14*$DF14+$M14*$DG14+$N14*$DH14,"0.00"))</f>
        <v>0.00</v>
      </c>
      <c r="DJ14" s="49">
        <f>IF($B$2&gt;0,"",IF(OR($K14="",$K14=0),0,IF($BZ14="FT",IF(ISNA(VLOOKUP(CONCATENATE($R14,4),master,15,FALSE)=TRUE),0,VLOOKUP(CONCATENATE($R14,4),master,15,FALSE)),IF(ISNA(VLOOKUP(CONCATENATE($R14,2),master,15,FALSE)=TRUE),0,VLOOKUP(CONCATENATE($R14,2),master,15,FALSE)))))</f>
        <v>0</v>
      </c>
      <c r="DK14" s="50">
        <f>IF($B$2&gt;0,"",IF(OR($L14="",$L14=0),0,IF($BZ14="FT",IF(ISNA(VLOOKUP(CONCATENATE($R14,6),master,15,FALSE)=TRUE),0,VLOOKUP(CONCATENATE($R14,6),master,15,FALSE)),IF(ISNA(VLOOKUP(CONCATENATE($R14,3),master,15,FALSE)=TRUE),0,VLOOKUP(CONCATENATE($R14,3),master,15,FALSE)))))</f>
        <v>0</v>
      </c>
      <c r="DL14" s="50">
        <f>IF($B$2&gt;0,"",IF(OR($M14="",$M14=0),0,IF($BZ14="FT",IF(ISNA(VLOOKUP(CONCATENATE($R14,8),master,15,FALSE)=TRUE),0,VLOOKUP(CONCATENATE($R14,8),master,15,FALSE)),IF(ISNA(VLOOKUP(CONCATENATE($R14,4),master,15,FALSE)=TRUE),0,VLOOKUP(CONCATENATE($R14,4),master,15,FALSE)))))</f>
        <v>0</v>
      </c>
      <c r="DM14" s="52">
        <f>IF($B$2&gt;0,"",IF(OR($N14="",$N14=0),0,IF($BZ14="FT",IF(ISNA(VLOOKUP(CONCATENATE($R14,12),master,15,FALSE)=TRUE),0,VLOOKUP(CONCATENATE($R14,12),master,15,FALSE)),IF(ISNA(VLOOKUP(CONCATENATE($R14,5),master,15,FALSE)=TRUE),0,VLOOKUP(CONCATENATE($R14,5),master,15,FALSE)))))</f>
        <v>0</v>
      </c>
      <c r="DO14" s="49">
        <f>IF($B$2&gt;0,"",IF(OR($V14="",$V14=0),0,IF(ISNA(VLOOKUP($W14,evapdx,MATCH(CONCATENATE($AK14,"_",$AJ$6),evapdx_header,0),FALSE)=TRUE),0,VLOOKUP($W14,evapdx,MATCH(CONCATENATE($AK14,"_",$AJ$6),evapdx_header,0),FALSE))))</f>
        <v>0</v>
      </c>
      <c r="DP14" s="54">
        <f>IF($B$2&gt;0,"",$DO14*$V14)</f>
        <v>0</v>
      </c>
      <c r="DQ14" s="49">
        <f>IF($B$2&gt;0,"",IF(OR($V14="",$V14=0),0,IF(ISNA(VLOOKUP($W14,evapdx,MATCH(CONCATENATE($AK14,"_pan"),evapdx_header,0),FALSE)=TRUE),0,VLOOKUP($W14,evapdx,MATCH(CONCATENATE($AK14,"_pan"),evapdx_header,0),FALSE))))</f>
        <v>0</v>
      </c>
      <c r="DR14" s="52">
        <f>IF($B$2&gt;0,"",$DQ14*$V14)</f>
        <v>0</v>
      </c>
      <c r="DS14" s="49">
        <f>IF($B$2&gt;0,"",IF(OR($V14="",$V14=0),0,IF(ISNA(VLOOKUP($W14,evapdx,MATCH(CONCATENATE($AN14,"_",$AM$6),evapdx_header,0),FALSE)=TRUE),0,VLOOKUP($W14,evapdx,MATCH(CONCATENATE($AN14,"_",$AM$6),evapdx_header,0),FALSE))))</f>
        <v>0</v>
      </c>
      <c r="DT14" s="54">
        <f>IF($B$2&gt;0,"",$DS14*$V14)</f>
        <v>0</v>
      </c>
      <c r="DU14" s="125" t="str">
        <f>IF($B$2&gt;0,"",IF(OR($V14="",$V14=0),"Enter Def.",VLOOKUP($W14,evapdx,MATCH("defrost_type",evapdx_header,1),FALSE)))</f>
        <v>Enter Def.</v>
      </c>
      <c r="DV14" s="126" t="e">
        <f>IF($B$2&gt;0,"",VLOOKUP($H14,'Walk-in Load Calc'!$F$5:$Q$37,11,FALSE))</f>
        <v>#N/A</v>
      </c>
      <c r="DW14" s="135" t="s">
        <v>352</v>
      </c>
      <c r="DX14" s="136" t="s">
        <v>144</v>
      </c>
      <c r="DY14" s="137" t="str">
        <f>IF($B$2&gt;0,"",IF(OR($W14="Enter Evap. Model",$W14=""), "-",VLOOKUP($W14,'HEAT-X'!$U$9:$V$77,2,FALSE)))</f>
        <v>-</v>
      </c>
      <c r="EB14" s="49">
        <f>IF($B$2&gt;0,"",IF(OR($K14="",$K14=0),0,IF($BZ14="FT",IF(ISNA(VLOOKUP(CONCATENATE($R14,4),master,21,FALSE)=TRUE),0,VLOOKUP(CONCATENATE($R14,4),master,21,FALSE)),IF(ISNA(VLOOKUP(CONCATENATE($R14,2),master,21,FALSE)=TRUE),0,VLOOKUP(CONCATENATE($R14,2),master,21,FALSE)))))</f>
        <v>0</v>
      </c>
      <c r="EC14" s="50">
        <f>IF($B$2&gt;0,"",IF(OR($L14="",$L14=0),0,IF($BZ14="FT",IF(ISNA(VLOOKUP(CONCATENATE($R14,6),master,21,FALSE)=TRUE),0,VLOOKUP(CONCATENATE($R14,6),master,21,FALSE)),IF(ISNA(VLOOKUP(CONCATENATE($R14,3),master,21,FALSE)=TRUE),0,VLOOKUP(CONCATENATE($R14,3),master,21,FALSE)))))</f>
        <v>0</v>
      </c>
      <c r="ED14" s="50">
        <f>IF($B$2&gt;0,"",IF(OR($M14="",$M14=0),0,IF($BZ14="FT",IF(ISNA(VLOOKUP(CONCATENATE($R14,8),master,21,FALSE)=TRUE),0,VLOOKUP(CONCATENATE($R14,8),master,21,FALSE)),IF(ISNA(VLOOKUP(CONCATENATE($R14,4),master,21,FALSE)=TRUE),0,VLOOKUP(CONCATENATE($R14,4),master,21,FALSE)))))</f>
        <v>0</v>
      </c>
      <c r="EE14" s="52">
        <f>IF($B$2&gt;0,"",IF(OR($N14="",$N14=0),0,IF($BZ14="FT",IF(ISNA(VLOOKUP(CONCATENATE($R14,12),master,21,FALSE)=TRUE),0,VLOOKUP(CONCATENATE($R14,12),master,21,FALSE)),IF(ISNA(VLOOKUP(CONCATENATE($R14,5),master,21,FALSE)=TRUE),0,VLOOKUP(CONCATENATE($R14,5),master,21,FALSE)))))</f>
        <v>0</v>
      </c>
      <c r="EG14" s="49">
        <f>IF($B$2&gt;0,"",IF(OR($K14="",$K14=0),0,IF($BZ14="FT",IF(ISNA(VLOOKUP(CONCATENATE($R14,4),master,22,FALSE)=TRUE),0,VLOOKUP(CONCATENATE($R14,4),master,22,FALSE)),IF(ISNA(VLOOKUP(CONCATENATE($R14,2),master,22,FALSE)=TRUE),0,VLOOKUP(CONCATENATE($R14,2),master,22,FALSE)))))</f>
        <v>0</v>
      </c>
      <c r="EH14" s="50">
        <f>IF($B$2&gt;0,"",IF(OR($L14="",$L14=0),0,IF($BZ14="FT",IF(ISNA(VLOOKUP(CONCATENATE($R14,6),master,22,FALSE)=TRUE),0,VLOOKUP(CONCATENATE($R14,6),master,22,FALSE)),IF(ISNA(VLOOKUP(CONCATENATE($R14,3),master,22,FALSE)=TRUE),0,VLOOKUP(CONCATENATE($R14,3),master,22,FALSE)))))</f>
        <v>0</v>
      </c>
      <c r="EI14" s="50">
        <f>IF($B$2&gt;0,"",IF(OR($M14="",$M14=0),0,IF($BZ14="FT",IF(ISNA(VLOOKUP(CONCATENATE($R14,8),master,22,FALSE)=TRUE),0,VLOOKUP(CONCATENATE($R14,8),master,22,FALSE)),IF(ISNA(VLOOKUP(CONCATENATE($R14,4),master,22,FALSE)=TRUE),0,VLOOKUP(CONCATENATE($R14,4),master,22,FALSE)))))</f>
        <v>0</v>
      </c>
      <c r="EJ14" s="52">
        <f>IF($B$2&gt;0,"",IF(OR($N14="",$N14=0),0,IF($BZ14="FT",IF(ISNA(VLOOKUP(CONCATENATE($R14,12),master,22,FALSE)=TRUE),0,VLOOKUP(CONCATENATE($R14,12),master,22,FALSE)),IF(ISNA(VLOOKUP(CONCATENATE($R14,5),master,22,FALSE)=TRUE),0,VLOOKUP(CONCATENATE($R14,5),master,22,FALSE)))))</f>
        <v>0</v>
      </c>
      <c r="EL14" s="49">
        <f>IF($B$2&gt;0,"",IF(OR($K14="",$K14=0),0,IF($BZ14="FT",IF(ISNA(VLOOKUP(CONCATENATE($R14,4),master,23,FALSE)=TRUE),0,VLOOKUP(CONCATENATE($R14,4),master,23,FALSE)),IF(ISNA(VLOOKUP(CONCATENATE($R14,2),master,23,FALSE)=TRUE),0,VLOOKUP(CONCATENATE($R14,2),master,23,FALSE)))))</f>
        <v>0</v>
      </c>
      <c r="EM14" s="50">
        <f>IF($B$2&gt;0,"",IF(OR($L14="",$L14=0),0,IF($BZ14="FT",IF(ISNA(VLOOKUP(CONCATENATE($R14,6),master,23,FALSE)=TRUE),0,VLOOKUP(CONCATENATE($R14,6),master,23,FALSE)),IF(ISNA(VLOOKUP(CONCATENATE($R14,3),master,23,FALSE)=TRUE),0,VLOOKUP(CONCATENATE($R14,3),master,23,FALSE)))))</f>
        <v>0</v>
      </c>
      <c r="EN14" s="50">
        <f>IF($B$2&gt;0,"",IF(OR($M14="",$M14=0),0,IF($BZ14="FT",IF(ISNA(VLOOKUP(CONCATENATE($R14,8),master,23,FALSE)=TRUE),0,VLOOKUP(CONCATENATE($R14,8),master,23,FALSE)),IF(ISNA(VLOOKUP(CONCATENATE($R14,4),master,23,FALSE)=TRUE),0,VLOOKUP(CONCATENATE($R14,4),master,23,FALSE)))))</f>
        <v>0</v>
      </c>
      <c r="EO14" s="52">
        <f>IF($B$2&gt;0,"",IF(OR($N14="",$N14=0),0,IF($BZ14="FT",IF(ISNA(VLOOKUP(CONCATENATE($R14,12),master,23,FALSE)=TRUE),0,VLOOKUP(CONCATENATE($R14,12),master,23,FALSE)),IF(ISNA(VLOOKUP(CONCATENATE($R14,5),master,23,FALSE)=TRUE),0,VLOOKUP(CONCATENATE($R14,5),master,23,FALSE)))))</f>
        <v>0</v>
      </c>
      <c r="EQ14" s="49">
        <f>IF($B$2&gt;0,"",IF(OR($K14="",$K14=0),0,IF($BZ14="FT",IF(ISNA(VLOOKUP(CONCATENATE($R14,4),master,6,FALSE)=TRUE),0,INDEX(master,MATCH((CONCATENATE($R14,4)),master_CONC,0),MATCH(CONCATENATE($U$1,"_",$AT$1),master_header,0))),IF(ISNA(VLOOKUP(CONCATENATE($R14,2),master,6,FALSE)=TRUE),0,INDEX(master,MATCH((CONCATENATE($R14,2)),master,0),MATCH(CONCATENATE($U$1,"_",$AT$1),master_header,0))))))</f>
        <v>0</v>
      </c>
      <c r="ER14" s="50">
        <f>IF($B$2&gt;0,"",IF(OR($L14="",$L14=0),0,IF($BZ14="FT",IF(ISNA(VLOOKUP(CONCATENATE($R14,6),master,6,FALSE)=TRUE),0,INDEX(master,MATCH((CONCATENATE($R14,6)),master_CONC,0),MATCH(CONCATENATE($U$1,"_",$AT$1),master_header,0))),IF(ISNA(VLOOKUP(CONCATENATE($R14,3),master,6,FALSE)=TRUE),0,INDEX(master,MATCH((CONCATENATE($R14,3)),master,0),MATCH(CONCATENATE($U$1,"_",$AT$1),master_header,0))))))</f>
        <v>0</v>
      </c>
      <c r="ES14" s="50">
        <f>IF($B$2&gt;0,"",IF(OR($M14="",$M14=0),0,IF($BZ14="FT",IF(ISNA(VLOOKUP(CONCATENATE($R14,8),master,6,FALSE)=TRUE),0,INDEX(master,MATCH((CONCATENATE($R14,8)),master_CONC,0),MATCH(CONCATENATE($U$1,"_",$AT$1),master_header,0))),IF(ISNA(VLOOKUP(CONCATENATE($R14,4),master,6,FALSE)=TRUE),0,INDEX(master,MATCH((CONCATENATE($R14,4)),master,0),MATCH(CONCATENATE($U$1,"_",$AT$1),master_header,0))))))</f>
        <v>0</v>
      </c>
      <c r="ET14" s="52">
        <f>IF($B$2&gt;0,"",IF(OR($N14="",$N14=0),0,IF($BZ14="FT",IF(ISNA(VLOOKUP(CONCATENATE($R14,12),master,6,FALSE)=TRUE),0,INDEX(master,MATCH((CONCATENATE($R14,12)),master_CONC,0),MATCH(CONCATENATE($U$1,"_",$AT$1),master_header,0))),IF(ISNA(VLOOKUP(CONCATENATE($R14,5),master,6,FALSE)=TRUE),0,INDEX(master,MATCH((CONCATENATE($R14,5)),master,0),MATCH(CONCATENATE($U$1,"_",$AT$1),master_header,0))))))</f>
        <v>0</v>
      </c>
    </row>
    <row r="15" spans="1:150" ht="12" hidden="1" customHeight="1" thickBot="1" x14ac:dyDescent="0.25">
      <c r="A15" s="169"/>
      <c r="B15" s="184"/>
      <c r="C15" s="172"/>
      <c r="D15" s="171"/>
      <c r="E15" s="445"/>
      <c r="F15" s="171"/>
      <c r="G15" s="445" t="str">
        <f t="shared" si="65"/>
        <v/>
      </c>
      <c r="H15" s="170"/>
      <c r="I15"/>
      <c r="J15"/>
      <c r="K15"/>
      <c r="L15"/>
      <c r="M15"/>
      <c r="N15"/>
      <c r="O15"/>
      <c r="P15"/>
      <c r="Q15"/>
      <c r="R15"/>
      <c r="S15"/>
      <c r="T15"/>
      <c r="U15"/>
      <c r="V15"/>
      <c r="W15"/>
      <c r="X15"/>
      <c r="Y15"/>
      <c r="Z15"/>
      <c r="AA15"/>
      <c r="AB15"/>
      <c r="AC15"/>
      <c r="AD15"/>
      <c r="AE15"/>
      <c r="AF15"/>
      <c r="AG15"/>
      <c r="AH15"/>
      <c r="AI15"/>
      <c r="AJ15"/>
      <c r="AK15"/>
      <c r="AL15"/>
      <c r="AM15"/>
      <c r="AN15"/>
      <c r="AO15"/>
      <c r="AP15"/>
      <c r="AQ15"/>
      <c r="AR15"/>
      <c r="AS15"/>
      <c r="AT15" s="183"/>
      <c r="AU15" s="893" t="str">
        <f t="shared" si="66"/>
        <v/>
      </c>
    </row>
    <row r="16" spans="1:150" ht="12" hidden="1" customHeight="1" thickBot="1" x14ac:dyDescent="0.25">
      <c r="A16" s="552"/>
      <c r="B16" s="535" t="s">
        <v>200</v>
      </c>
      <c r="C16" s="536"/>
      <c r="D16" s="551"/>
      <c r="E16" s="445">
        <v>3</v>
      </c>
      <c r="F16" s="538"/>
      <c r="G16" s="445" t="str">
        <f t="shared" si="65"/>
        <v/>
      </c>
      <c r="H16" s="539"/>
      <c r="I16" s="540"/>
      <c r="J16" s="540"/>
      <c r="K16" s="540"/>
      <c r="L16" s="540"/>
      <c r="M16" s="540"/>
      <c r="N16" s="540"/>
      <c r="O16" s="540"/>
      <c r="P16" s="540"/>
      <c r="Q16" s="540"/>
      <c r="R16" s="540"/>
      <c r="S16" s="540"/>
      <c r="T16" s="540"/>
      <c r="U16" s="540"/>
      <c r="V16" s="541" t="str">
        <f>IF(LEFT($U$1,1)="g","FLUID GROUP #3  REQUIRED CAPACITY =    ","SUCTION GROUP #3  REQUIRED CAPACITY =    ")</f>
        <v xml:space="preserve">SUCTION GROUP #3  REQUIRED CAPACITY =    </v>
      </c>
      <c r="W16" s="540"/>
      <c r="X16" s="540"/>
      <c r="Y16" s="542"/>
      <c r="Z16" s="1438"/>
      <c r="AA16" s="1439">
        <f>SUM(AA14:AA15)</f>
        <v>0</v>
      </c>
      <c r="AB16" s="55" t="s">
        <v>106</v>
      </c>
      <c r="AC16" s="132">
        <f>IF(LEFT($U$1,1)="g",SUM(AC14:AC15)-DSUM(Z12:AC15,AC12,$F$4:$F$5)+LegendSG2RSST,MIN(AC14:AC15))</f>
        <v>0</v>
      </c>
      <c r="AD16" s="543" t="str">
        <f>IF(LEFT($U$1,1)="g","(GPM) Flow",IF(LEFT($U$1,1)="c","(°F) Fluid Temperature", "(°F) Suction Temperature"))</f>
        <v>(°F) Suction Temperature</v>
      </c>
      <c r="AE16" s="544"/>
      <c r="AF16" s="545"/>
      <c r="AG16" s="546"/>
      <c r="AH16" s="547"/>
      <c r="AI16" s="546"/>
      <c r="AJ16" s="548"/>
      <c r="AK16" s="546"/>
      <c r="AL16" s="546"/>
      <c r="AM16" s="548"/>
      <c r="AN16" s="546"/>
      <c r="AO16" s="548"/>
      <c r="AP16" s="548"/>
      <c r="AQ16" s="546"/>
      <c r="AR16" s="546"/>
      <c r="AS16" s="546"/>
      <c r="AT16" s="549"/>
      <c r="AU16" s="893" t="str">
        <f t="shared" si="66"/>
        <v/>
      </c>
    </row>
    <row r="17" spans="2:46" ht="12" customHeight="1" thickBot="1" x14ac:dyDescent="0.25">
      <c r="E17" s="445"/>
      <c r="F17" s="31"/>
      <c r="G17" s="445"/>
      <c r="H17" s="1738"/>
      <c r="I17" s="1739"/>
      <c r="J17" s="1739"/>
      <c r="K17" s="1739"/>
      <c r="L17" s="1739"/>
      <c r="M17" s="1739"/>
      <c r="N17" s="1739"/>
      <c r="O17" s="1739"/>
      <c r="P17" s="1739"/>
      <c r="Q17" s="1739"/>
      <c r="R17" s="1739"/>
      <c r="S17" s="1739"/>
      <c r="T17" s="1739"/>
      <c r="U17" s="1739"/>
      <c r="V17" s="1739"/>
      <c r="W17" s="1739"/>
      <c r="X17" s="1739"/>
      <c r="Y17" s="1739"/>
      <c r="Z17" s="1739"/>
      <c r="AA17" s="1739"/>
      <c r="AB17" s="1739"/>
      <c r="AC17" s="1739"/>
      <c r="AD17" s="1739"/>
      <c r="AE17" s="1739"/>
      <c r="AF17" s="1739"/>
      <c r="AG17" s="1739"/>
      <c r="AH17" s="1739"/>
      <c r="AI17" s="1739"/>
      <c r="AJ17" s="1739"/>
      <c r="AK17" s="1739"/>
      <c r="AL17" s="1739"/>
      <c r="AM17" s="1739"/>
      <c r="AN17" s="1739"/>
      <c r="AO17" s="1739"/>
      <c r="AP17" s="1739"/>
      <c r="AQ17" s="1739"/>
      <c r="AR17" s="1739"/>
      <c r="AS17" s="1739"/>
      <c r="AT17" s="1740"/>
    </row>
    <row r="18" spans="2:46" ht="12" hidden="1" customHeight="1" thickBot="1" x14ac:dyDescent="0.25">
      <c r="E18" s="445"/>
      <c r="G18" s="445"/>
      <c r="H18" s="1718" t="s">
        <v>574</v>
      </c>
      <c r="I18" s="1719"/>
      <c r="J18" s="1719"/>
      <c r="K18" s="1719"/>
      <c r="L18" s="1719"/>
      <c r="M18" s="1719"/>
      <c r="N18" s="1719"/>
      <c r="O18" s="1719"/>
      <c r="P18" s="1719"/>
      <c r="Q18" s="1719"/>
      <c r="R18" s="1719"/>
      <c r="S18" s="1719"/>
      <c r="T18" s="1719"/>
      <c r="U18" s="1719"/>
      <c r="V18" s="1719"/>
      <c r="W18" s="1719"/>
      <c r="X18" s="1719"/>
      <c r="Y18" s="1719"/>
      <c r="Z18" s="1719"/>
      <c r="AA18" s="1719"/>
      <c r="AB18" s="1719"/>
      <c r="AC18" s="1719"/>
      <c r="AD18" s="1719"/>
      <c r="AE18" s="1719"/>
      <c r="AF18" s="1719"/>
      <c r="AG18" s="1719"/>
      <c r="AH18" s="1719"/>
      <c r="AI18" s="1719"/>
      <c r="AJ18" s="1720"/>
      <c r="AK18" s="1718"/>
      <c r="AL18" s="1719"/>
      <c r="AM18" s="1719"/>
      <c r="AN18" s="1719"/>
      <c r="AO18" s="1719"/>
      <c r="AP18" s="1719"/>
      <c r="AQ18" s="1719"/>
      <c r="AR18" s="1719"/>
      <c r="AS18" s="1719"/>
      <c r="AT18" s="1720"/>
    </row>
    <row r="19" spans="2:46" ht="12" hidden="1" customHeight="1" x14ac:dyDescent="0.2">
      <c r="E19" s="445"/>
      <c r="H19" s="1728" t="s">
        <v>342</v>
      </c>
      <c r="I19" s="1702" t="s">
        <v>0</v>
      </c>
      <c r="J19" s="1809"/>
      <c r="K19" s="1809"/>
      <c r="L19" s="1809"/>
      <c r="M19" s="1809"/>
      <c r="N19" s="1809"/>
      <c r="O19" s="1809"/>
      <c r="P19" s="1809"/>
      <c r="Q19" s="1810"/>
      <c r="R19" s="1688" t="s">
        <v>358</v>
      </c>
      <c r="S19" s="1679" t="s">
        <v>912</v>
      </c>
      <c r="T19" s="1679" t="s">
        <v>913</v>
      </c>
      <c r="U19" s="1679" t="s">
        <v>359</v>
      </c>
      <c r="V19" s="1679" t="s">
        <v>360</v>
      </c>
      <c r="W19" s="1679" t="s">
        <v>361</v>
      </c>
      <c r="X19" s="1688" t="s">
        <v>975</v>
      </c>
      <c r="Y19" s="1732"/>
      <c r="Z19" s="1688" t="s">
        <v>362</v>
      </c>
      <c r="AA19" s="1732"/>
      <c r="AB19" s="1702" t="s">
        <v>562</v>
      </c>
      <c r="AC19" s="1702" t="s">
        <v>561</v>
      </c>
      <c r="AD19" s="1688" t="s">
        <v>356</v>
      </c>
      <c r="AE19" s="1688" t="s">
        <v>357</v>
      </c>
      <c r="AF19" s="1679" t="s">
        <v>372</v>
      </c>
      <c r="AG19" s="1679" t="s">
        <v>373</v>
      </c>
      <c r="AH19" s="1721" t="s">
        <v>212</v>
      </c>
      <c r="AI19" s="1728" t="s">
        <v>631</v>
      </c>
      <c r="AJ19" s="1726" t="s">
        <v>363</v>
      </c>
      <c r="AK19" s="1688"/>
      <c r="AL19" s="1730"/>
      <c r="AM19" s="1688"/>
      <c r="AN19" s="1730"/>
      <c r="AO19" s="1688"/>
      <c r="AP19" s="1732"/>
      <c r="AQ19" s="1732"/>
      <c r="AR19" s="1679"/>
      <c r="AS19" s="1679"/>
      <c r="AT19" s="1732"/>
    </row>
    <row r="20" spans="2:46" ht="27" hidden="1" customHeight="1" thickBot="1" x14ac:dyDescent="0.25">
      <c r="H20" s="1729"/>
      <c r="I20" s="1703"/>
      <c r="J20" s="1811"/>
      <c r="K20" s="1811"/>
      <c r="L20" s="1811"/>
      <c r="M20" s="1811"/>
      <c r="N20" s="1811"/>
      <c r="O20" s="1811"/>
      <c r="P20" s="1811"/>
      <c r="Q20" s="1812"/>
      <c r="R20" s="1725"/>
      <c r="S20" s="1680"/>
      <c r="T20" s="1680"/>
      <c r="U20" s="1680"/>
      <c r="V20" s="1680"/>
      <c r="W20" s="1680"/>
      <c r="X20" s="1725"/>
      <c r="Y20" s="1733"/>
      <c r="Z20" s="1725"/>
      <c r="AA20" s="1733"/>
      <c r="AB20" s="1703"/>
      <c r="AC20" s="1703"/>
      <c r="AD20" s="1725"/>
      <c r="AE20" s="1725"/>
      <c r="AF20" s="1680"/>
      <c r="AG20" s="1680"/>
      <c r="AH20" s="1722"/>
      <c r="AI20" s="1729"/>
      <c r="AJ20" s="1727"/>
      <c r="AK20" s="1725"/>
      <c r="AL20" s="1731"/>
      <c r="AM20" s="1725"/>
      <c r="AN20" s="1731"/>
      <c r="AO20" s="1725"/>
      <c r="AP20" s="1733"/>
      <c r="AQ20" s="1733"/>
      <c r="AR20" s="1680"/>
      <c r="AS20" s="1680"/>
      <c r="AT20" s="1733"/>
    </row>
    <row r="21" spans="2:46" ht="12" hidden="1" customHeight="1" thickBot="1" x14ac:dyDescent="0.25">
      <c r="H21" s="562"/>
      <c r="I21" s="1791"/>
      <c r="J21" s="1792"/>
      <c r="K21" s="1792"/>
      <c r="L21" s="1792"/>
      <c r="M21" s="1792"/>
      <c r="N21" s="1792"/>
      <c r="O21" s="1792"/>
      <c r="P21" s="1792"/>
      <c r="Q21" s="1793"/>
      <c r="R21" s="1663"/>
      <c r="S21" s="564"/>
      <c r="T21" s="892"/>
      <c r="U21" s="59" t="str">
        <f t="shared" ref="U21:U28" si="67">IF($I21="","",IF(LEFT($U$1,1)="g",$AT$1-$W$4,LegendSG1RSST-$W$4))</f>
        <v/>
      </c>
      <c r="V21" s="43" t="str">
        <f>IF($I21="","",$W$2)</f>
        <v/>
      </c>
      <c r="W21" s="42" t="str">
        <f>IF(OR($T21="",$AB21=""),"",$AB21*3.413+$T21)</f>
        <v/>
      </c>
      <c r="X21" s="1668" t="s">
        <v>370</v>
      </c>
      <c r="Y21" s="1669"/>
      <c r="Z21" s="1670"/>
      <c r="AA21" s="1671"/>
      <c r="AB21" s="567"/>
      <c r="AC21" s="568"/>
      <c r="AD21" s="569"/>
      <c r="AE21" s="570"/>
      <c r="AF21" s="43" t="str">
        <f>IF(H21="","",$AA$1)</f>
        <v/>
      </c>
      <c r="AG21" s="43" t="str">
        <f>IF(H21="","",$Y$1)</f>
        <v/>
      </c>
      <c r="AH21" s="574"/>
      <c r="AI21" s="57" t="str">
        <f t="shared" ref="AI21:AI28" si="68">IF($S$29&lt;&gt;0,$S21/$S$29,"")</f>
        <v/>
      </c>
      <c r="AJ21" s="58"/>
      <c r="AK21" s="1760"/>
      <c r="AL21" s="1761"/>
      <c r="AM21" s="1769"/>
      <c r="AN21" s="1769"/>
      <c r="AO21" s="1772"/>
      <c r="AP21" s="1773"/>
      <c r="AQ21" s="1766"/>
      <c r="AR21" s="1769"/>
      <c r="AS21" s="1766"/>
      <c r="AT21" s="1769"/>
    </row>
    <row r="22" spans="2:46" ht="12" hidden="1" customHeight="1" x14ac:dyDescent="0.2">
      <c r="B22" s="878" t="s">
        <v>973</v>
      </c>
      <c r="C22" s="879"/>
      <c r="D22" s="879"/>
      <c r="E22" s="880"/>
      <c r="H22" s="563"/>
      <c r="I22" s="1656"/>
      <c r="J22" s="1657"/>
      <c r="K22" s="1657"/>
      <c r="L22" s="1657"/>
      <c r="M22" s="1657"/>
      <c r="N22" s="1657"/>
      <c r="O22" s="1657"/>
      <c r="P22" s="1657"/>
      <c r="Q22" s="1658"/>
      <c r="R22" s="1664"/>
      <c r="S22" s="559"/>
      <c r="T22" s="559"/>
      <c r="U22" s="59" t="str">
        <f t="shared" si="67"/>
        <v/>
      </c>
      <c r="V22" s="43" t="str">
        <f t="shared" ref="V22:V28" si="69">IF($I22="","",$W$2)</f>
        <v/>
      </c>
      <c r="W22" s="42" t="str">
        <f t="shared" ref="W22:W28" si="70">IF(OR($T22="",$AB22=""),"",$AB22*3.413+$T22)</f>
        <v/>
      </c>
      <c r="X22" s="1659" t="s">
        <v>370</v>
      </c>
      <c r="Y22" s="1660"/>
      <c r="Z22" s="1661"/>
      <c r="AA22" s="1662"/>
      <c r="AB22" s="571"/>
      <c r="AC22" s="572"/>
      <c r="AD22" s="571"/>
      <c r="AE22" s="572"/>
      <c r="AF22" s="43" t="str">
        <f t="shared" ref="AF22:AF28" si="71">IF(H22="","",$AA$1)</f>
        <v/>
      </c>
      <c r="AG22" s="43" t="str">
        <f t="shared" ref="AG22:AG28" si="72">IF(H22="","",$Y$1)</f>
        <v/>
      </c>
      <c r="AH22" s="559"/>
      <c r="AI22" s="60" t="str">
        <f t="shared" si="68"/>
        <v/>
      </c>
      <c r="AJ22" s="58"/>
      <c r="AK22" s="1762"/>
      <c r="AL22" s="1763"/>
      <c r="AM22" s="1770"/>
      <c r="AN22" s="1770"/>
      <c r="AO22" s="1774"/>
      <c r="AP22" s="1775"/>
      <c r="AQ22" s="1767"/>
      <c r="AR22" s="1770"/>
      <c r="AS22" s="1767"/>
      <c r="AT22" s="1770"/>
    </row>
    <row r="23" spans="2:46" ht="12" hidden="1" customHeight="1" x14ac:dyDescent="0.2">
      <c r="B23" s="875" t="s">
        <v>976</v>
      </c>
      <c r="C23" s="874"/>
      <c r="D23" s="874"/>
      <c r="E23" s="873"/>
      <c r="H23" s="563"/>
      <c r="I23" s="1656"/>
      <c r="J23" s="1657"/>
      <c r="K23" s="1657"/>
      <c r="L23" s="1657"/>
      <c r="M23" s="1657"/>
      <c r="N23" s="1657"/>
      <c r="O23" s="1657"/>
      <c r="P23" s="1657"/>
      <c r="Q23" s="1658"/>
      <c r="R23" s="1664"/>
      <c r="S23" s="559"/>
      <c r="T23" s="559"/>
      <c r="U23" s="59" t="str">
        <f t="shared" si="67"/>
        <v/>
      </c>
      <c r="V23" s="43" t="str">
        <f t="shared" si="69"/>
        <v/>
      </c>
      <c r="W23" s="42" t="str">
        <f t="shared" si="70"/>
        <v/>
      </c>
      <c r="X23" s="1659" t="s">
        <v>370</v>
      </c>
      <c r="Y23" s="1660"/>
      <c r="Z23" s="1661"/>
      <c r="AA23" s="1662"/>
      <c r="AB23" s="571"/>
      <c r="AC23" s="572"/>
      <c r="AD23" s="571"/>
      <c r="AE23" s="572"/>
      <c r="AF23" s="43" t="str">
        <f t="shared" si="71"/>
        <v/>
      </c>
      <c r="AG23" s="43" t="str">
        <f t="shared" si="72"/>
        <v/>
      </c>
      <c r="AH23" s="559"/>
      <c r="AI23" s="60" t="str">
        <f t="shared" si="68"/>
        <v/>
      </c>
      <c r="AJ23" s="58"/>
      <c r="AK23" s="1762"/>
      <c r="AL23" s="1763"/>
      <c r="AM23" s="1770"/>
      <c r="AN23" s="1770"/>
      <c r="AO23" s="1774"/>
      <c r="AP23" s="1775"/>
      <c r="AQ23" s="1767"/>
      <c r="AR23" s="1770"/>
      <c r="AS23" s="1767"/>
      <c r="AT23" s="1770"/>
    </row>
    <row r="24" spans="2:46" ht="12" hidden="1" customHeight="1" x14ac:dyDescent="0.2">
      <c r="B24" s="872" t="s">
        <v>977</v>
      </c>
      <c r="C24" s="871"/>
      <c r="D24" s="871"/>
      <c r="E24" s="870"/>
      <c r="H24" s="563"/>
      <c r="I24" s="1656"/>
      <c r="J24" s="1657"/>
      <c r="K24" s="1657"/>
      <c r="L24" s="1657"/>
      <c r="M24" s="1657"/>
      <c r="N24" s="1657"/>
      <c r="O24" s="1657"/>
      <c r="P24" s="1657"/>
      <c r="Q24" s="1658"/>
      <c r="R24" s="1664"/>
      <c r="S24" s="559"/>
      <c r="T24" s="559"/>
      <c r="U24" s="59" t="str">
        <f t="shared" si="67"/>
        <v/>
      </c>
      <c r="V24" s="43" t="str">
        <f t="shared" si="69"/>
        <v/>
      </c>
      <c r="W24" s="42" t="str">
        <f t="shared" si="70"/>
        <v/>
      </c>
      <c r="X24" s="1659" t="s">
        <v>370</v>
      </c>
      <c r="Y24" s="1660"/>
      <c r="Z24" s="1661"/>
      <c r="AA24" s="1662"/>
      <c r="AB24" s="571"/>
      <c r="AC24" s="572"/>
      <c r="AD24" s="571"/>
      <c r="AE24" s="572"/>
      <c r="AF24" s="43" t="str">
        <f t="shared" si="71"/>
        <v/>
      </c>
      <c r="AG24" s="43" t="str">
        <f t="shared" si="72"/>
        <v/>
      </c>
      <c r="AH24" s="559"/>
      <c r="AI24" s="60" t="str">
        <f t="shared" si="68"/>
        <v/>
      </c>
      <c r="AJ24" s="58"/>
      <c r="AK24" s="1762"/>
      <c r="AL24" s="1763"/>
      <c r="AM24" s="1770"/>
      <c r="AN24" s="1770"/>
      <c r="AO24" s="1774"/>
      <c r="AP24" s="1775"/>
      <c r="AQ24" s="1767"/>
      <c r="AR24" s="1770"/>
      <c r="AS24" s="1767"/>
      <c r="AT24" s="1770"/>
    </row>
    <row r="25" spans="2:46" ht="12" hidden="1" customHeight="1" x14ac:dyDescent="0.2">
      <c r="B25" s="881" t="s">
        <v>412</v>
      </c>
      <c r="C25" s="882"/>
      <c r="D25" s="882"/>
      <c r="E25" s="883"/>
      <c r="H25" s="563"/>
      <c r="I25" s="1656"/>
      <c r="J25" s="1657"/>
      <c r="K25" s="1657"/>
      <c r="L25" s="1657"/>
      <c r="M25" s="1657"/>
      <c r="N25" s="1657"/>
      <c r="O25" s="1657"/>
      <c r="P25" s="1657"/>
      <c r="Q25" s="1658"/>
      <c r="R25" s="1664"/>
      <c r="S25" s="559"/>
      <c r="T25" s="559"/>
      <c r="U25" s="59" t="str">
        <f t="shared" si="67"/>
        <v/>
      </c>
      <c r="V25" s="43" t="str">
        <f t="shared" si="69"/>
        <v/>
      </c>
      <c r="W25" s="42" t="str">
        <f t="shared" si="70"/>
        <v/>
      </c>
      <c r="X25" s="1659" t="s">
        <v>370</v>
      </c>
      <c r="Y25" s="1660"/>
      <c r="Z25" s="1661"/>
      <c r="AA25" s="1662"/>
      <c r="AB25" s="571"/>
      <c r="AC25" s="572"/>
      <c r="AD25" s="571"/>
      <c r="AE25" s="572"/>
      <c r="AF25" s="43" t="str">
        <f t="shared" si="71"/>
        <v/>
      </c>
      <c r="AG25" s="43" t="str">
        <f t="shared" si="72"/>
        <v/>
      </c>
      <c r="AH25" s="559"/>
      <c r="AI25" s="60" t="str">
        <f t="shared" si="68"/>
        <v/>
      </c>
      <c r="AJ25" s="58"/>
      <c r="AK25" s="1762"/>
      <c r="AL25" s="1763"/>
      <c r="AM25" s="1770"/>
      <c r="AN25" s="1770"/>
      <c r="AO25" s="1774"/>
      <c r="AP25" s="1775"/>
      <c r="AQ25" s="1767"/>
      <c r="AR25" s="1770"/>
      <c r="AS25" s="1767"/>
      <c r="AT25" s="1770"/>
    </row>
    <row r="26" spans="2:46" ht="12" hidden="1" customHeight="1" x14ac:dyDescent="0.2">
      <c r="B26" s="884" t="s">
        <v>550</v>
      </c>
      <c r="C26" s="885"/>
      <c r="D26" s="885"/>
      <c r="E26" s="886"/>
      <c r="H26" s="563"/>
      <c r="I26" s="1656"/>
      <c r="J26" s="1657"/>
      <c r="K26" s="1657"/>
      <c r="L26" s="1657"/>
      <c r="M26" s="1657"/>
      <c r="N26" s="1657"/>
      <c r="O26" s="1657"/>
      <c r="P26" s="1657"/>
      <c r="Q26" s="1658"/>
      <c r="R26" s="1664"/>
      <c r="S26" s="559"/>
      <c r="T26" s="559"/>
      <c r="U26" s="59" t="str">
        <f t="shared" si="67"/>
        <v/>
      </c>
      <c r="V26" s="43" t="str">
        <f t="shared" si="69"/>
        <v/>
      </c>
      <c r="W26" s="42" t="str">
        <f t="shared" si="70"/>
        <v/>
      </c>
      <c r="X26" s="1659" t="s">
        <v>370</v>
      </c>
      <c r="Y26" s="1660"/>
      <c r="Z26" s="1661"/>
      <c r="AA26" s="1662"/>
      <c r="AB26" s="571"/>
      <c r="AC26" s="572"/>
      <c r="AD26" s="571"/>
      <c r="AE26" s="572"/>
      <c r="AF26" s="43" t="str">
        <f t="shared" si="71"/>
        <v/>
      </c>
      <c r="AG26" s="43" t="str">
        <f t="shared" si="72"/>
        <v/>
      </c>
      <c r="AH26" s="559"/>
      <c r="AI26" s="60" t="str">
        <f t="shared" si="68"/>
        <v/>
      </c>
      <c r="AJ26" s="58"/>
      <c r="AK26" s="1762"/>
      <c r="AL26" s="1763"/>
      <c r="AM26" s="1770"/>
      <c r="AN26" s="1770"/>
      <c r="AO26" s="1774"/>
      <c r="AP26" s="1775"/>
      <c r="AQ26" s="1767"/>
      <c r="AR26" s="1770"/>
      <c r="AS26" s="1767"/>
      <c r="AT26" s="1770"/>
    </row>
    <row r="27" spans="2:46" ht="12" hidden="1" customHeight="1" thickBot="1" x14ac:dyDescent="0.25">
      <c r="B27" s="887" t="s">
        <v>413</v>
      </c>
      <c r="C27" s="888"/>
      <c r="D27" s="888"/>
      <c r="E27" s="889"/>
      <c r="H27" s="563"/>
      <c r="I27" s="1656"/>
      <c r="J27" s="1657"/>
      <c r="K27" s="1657"/>
      <c r="L27" s="1657"/>
      <c r="M27" s="1657"/>
      <c r="N27" s="1657"/>
      <c r="O27" s="1657"/>
      <c r="P27" s="1657"/>
      <c r="Q27" s="1658"/>
      <c r="R27" s="1664"/>
      <c r="S27" s="559"/>
      <c r="T27" s="559"/>
      <c r="U27" s="59" t="str">
        <f t="shared" si="67"/>
        <v/>
      </c>
      <c r="V27" s="43" t="str">
        <f t="shared" si="69"/>
        <v/>
      </c>
      <c r="W27" s="42" t="str">
        <f t="shared" si="70"/>
        <v/>
      </c>
      <c r="X27" s="1659" t="s">
        <v>370</v>
      </c>
      <c r="Y27" s="1660"/>
      <c r="Z27" s="1661"/>
      <c r="AA27" s="1662"/>
      <c r="AB27" s="571"/>
      <c r="AC27" s="572"/>
      <c r="AD27" s="571"/>
      <c r="AE27" s="572"/>
      <c r="AF27" s="43" t="str">
        <f t="shared" si="71"/>
        <v/>
      </c>
      <c r="AG27" s="43" t="str">
        <f t="shared" si="72"/>
        <v/>
      </c>
      <c r="AH27" s="559"/>
      <c r="AI27" s="60" t="str">
        <f t="shared" si="68"/>
        <v/>
      </c>
      <c r="AJ27" s="58"/>
      <c r="AK27" s="1762"/>
      <c r="AL27" s="1763"/>
      <c r="AM27" s="1770"/>
      <c r="AN27" s="1770"/>
      <c r="AO27" s="1774"/>
      <c r="AP27" s="1775"/>
      <c r="AQ27" s="1767"/>
      <c r="AR27" s="1770"/>
      <c r="AS27" s="1767"/>
      <c r="AT27" s="1770"/>
    </row>
    <row r="28" spans="2:46" ht="12" hidden="1" customHeight="1" thickBot="1" x14ac:dyDescent="0.25">
      <c r="E28" s="29"/>
      <c r="H28" s="563"/>
      <c r="I28" s="1656"/>
      <c r="J28" s="1657"/>
      <c r="K28" s="1657"/>
      <c r="L28" s="1657"/>
      <c r="M28" s="1657"/>
      <c r="N28" s="1657"/>
      <c r="O28" s="1657"/>
      <c r="P28" s="1657"/>
      <c r="Q28" s="1658"/>
      <c r="R28" s="1665"/>
      <c r="S28" s="559"/>
      <c r="T28" s="559"/>
      <c r="U28" s="59" t="str">
        <f t="shared" si="67"/>
        <v/>
      </c>
      <c r="V28" s="43" t="str">
        <f t="shared" si="69"/>
        <v/>
      </c>
      <c r="W28" s="42" t="str">
        <f t="shared" si="70"/>
        <v/>
      </c>
      <c r="X28" s="1659" t="s">
        <v>370</v>
      </c>
      <c r="Y28" s="1660"/>
      <c r="Z28" s="1661"/>
      <c r="AA28" s="1662"/>
      <c r="AB28" s="571"/>
      <c r="AC28" s="572"/>
      <c r="AD28" s="571"/>
      <c r="AE28" s="572"/>
      <c r="AF28" s="43" t="str">
        <f t="shared" si="71"/>
        <v/>
      </c>
      <c r="AG28" s="43" t="str">
        <f t="shared" si="72"/>
        <v/>
      </c>
      <c r="AH28" s="559"/>
      <c r="AI28" s="60" t="str">
        <f t="shared" si="68"/>
        <v/>
      </c>
      <c r="AJ28" s="58"/>
      <c r="AK28" s="1762"/>
      <c r="AL28" s="1763"/>
      <c r="AM28" s="1770"/>
      <c r="AN28" s="1770"/>
      <c r="AO28" s="1774"/>
      <c r="AP28" s="1775"/>
      <c r="AQ28" s="1767"/>
      <c r="AR28" s="1770"/>
      <c r="AS28" s="1767"/>
      <c r="AT28" s="1770"/>
    </row>
    <row r="29" spans="2:46" ht="17.25" hidden="1" customHeight="1" thickBot="1" x14ac:dyDescent="0.25">
      <c r="E29" s="29"/>
      <c r="F29" s="173"/>
      <c r="H29" s="175"/>
      <c r="I29" s="176"/>
      <c r="J29" s="176"/>
      <c r="K29" s="176"/>
      <c r="L29" s="176"/>
      <c r="M29" s="178" t="s">
        <v>407</v>
      </c>
      <c r="N29" s="176"/>
      <c r="O29" s="176"/>
      <c r="P29" s="176"/>
      <c r="Q29" s="177"/>
      <c r="R29" s="139">
        <f>Z10</f>
        <v>0</v>
      </c>
      <c r="S29" s="61">
        <f>IF(I21="",0,SUM(S21:S28))</f>
        <v>0</v>
      </c>
      <c r="T29" s="61">
        <f>IF(I21="",0,SUM(T21:T28))</f>
        <v>0</v>
      </c>
      <c r="U29" s="62" t="str">
        <f>IF($I21="","",IF(LEFT($U$1,1)="g",$AT$1-$W$4,LegendSG1RSST-$W$4))</f>
        <v/>
      </c>
      <c r="V29" s="63" t="str">
        <f>IF(OR($I21="",$W$2=""),"",$W$2)</f>
        <v/>
      </c>
      <c r="W29" s="64">
        <f>IF(OR(W21="",I21=""),0,SUM(W21:W28))</f>
        <v>0</v>
      </c>
      <c r="X29" s="1683" t="s">
        <v>15</v>
      </c>
      <c r="Y29" s="1684"/>
      <c r="Z29" s="1681">
        <f>IF($I21="",0,SUM(Z21:Z28))</f>
        <v>0</v>
      </c>
      <c r="AA29" s="1682"/>
      <c r="AB29" s="138">
        <f>IF($I21="",0,SUM(AB21:AB28))</f>
        <v>0</v>
      </c>
      <c r="AC29" s="138">
        <f>IF($I21="",0,SUM(AC21:AC28))</f>
        <v>0</v>
      </c>
      <c r="AD29" s="140">
        <f>IF(I21="",0,SUM(AD21:AD28))</f>
        <v>0</v>
      </c>
      <c r="AE29" s="138">
        <f>IF(AD29=0,AE21,(SUMPRODUCT(AD21:AD28,AE21:AE28))/AD29)</f>
        <v>0</v>
      </c>
      <c r="AF29" s="134" t="str">
        <f>IF(AA1="","",AA1)</f>
        <v>N/A</v>
      </c>
      <c r="AG29" s="131" t="str">
        <f>IF(Y1="","",Y1)</f>
        <v/>
      </c>
      <c r="AH29" s="133" t="str">
        <f>IF(I21="","",MAX(AH21:AH28))</f>
        <v/>
      </c>
      <c r="AI29" s="84" t="s">
        <v>15</v>
      </c>
      <c r="AJ29" s="66" t="str">
        <f>IF(R29=0,"",IF(T29&lt;&gt;0,T29/R29-1,S29/R29-1))</f>
        <v/>
      </c>
      <c r="AK29" s="1764"/>
      <c r="AL29" s="1765"/>
      <c r="AM29" s="1771"/>
      <c r="AN29" s="1771"/>
      <c r="AO29" s="1776"/>
      <c r="AP29" s="1777"/>
      <c r="AQ29" s="1768"/>
      <c r="AR29" s="1771"/>
      <c r="AS29" s="1768"/>
      <c r="AT29" s="1771"/>
    </row>
    <row r="30" spans="2:46" ht="12" hidden="1" customHeight="1" x14ac:dyDescent="0.2">
      <c r="E30" s="167">
        <v>2</v>
      </c>
      <c r="F30" s="173"/>
      <c r="H30" s="562"/>
      <c r="I30" s="1791"/>
      <c r="J30" s="1792"/>
      <c r="K30" s="1792"/>
      <c r="L30" s="1792"/>
      <c r="M30" s="1792"/>
      <c r="N30" s="1792"/>
      <c r="O30" s="1792"/>
      <c r="P30" s="1792"/>
      <c r="Q30" s="1793"/>
      <c r="R30" s="1663"/>
      <c r="S30" s="564"/>
      <c r="T30" s="892"/>
      <c r="U30" s="973" t="str">
        <f t="shared" ref="U30:U37" si="73">IF($I30="","",IF(LEFT($U$1,1)="g",$AT$2-$W$4,LegendSG2RSST-$W$4))</f>
        <v/>
      </c>
      <c r="V30" s="973" t="str">
        <f>IF($I30="","",$W$2)</f>
        <v/>
      </c>
      <c r="W30" s="974" t="str">
        <f>IF(OR($T30="",$AB30=""),"",$AB30*3.413+$T30)</f>
        <v/>
      </c>
      <c r="X30" s="1668" t="s">
        <v>370</v>
      </c>
      <c r="Y30" s="1669"/>
      <c r="Z30" s="1670"/>
      <c r="AA30" s="1671"/>
      <c r="AB30" s="567"/>
      <c r="AC30" s="568"/>
      <c r="AD30" s="569"/>
      <c r="AE30" s="570"/>
      <c r="AF30" s="973" t="str">
        <f>IF(H30="","",$AA$2)</f>
        <v/>
      </c>
      <c r="AG30" s="973" t="str">
        <f>IF(H30="","",$Y$2)</f>
        <v/>
      </c>
      <c r="AH30" s="574"/>
      <c r="AI30" s="57" t="str">
        <f t="shared" ref="AI30:AI37" si="74">IF($S$29&lt;&gt;0,$S30/$S$38,"")</f>
        <v/>
      </c>
      <c r="AJ30" s="174"/>
      <c r="AK30" s="1814"/>
      <c r="AL30" s="1815"/>
      <c r="AM30" s="1815"/>
      <c r="AN30" s="1815"/>
      <c r="AO30" s="1815"/>
      <c r="AP30" s="1815"/>
      <c r="AQ30" s="1815"/>
      <c r="AR30" s="1815"/>
      <c r="AS30" s="1815"/>
      <c r="AT30" s="1816"/>
    </row>
    <row r="31" spans="2:46" ht="12" hidden="1" customHeight="1" x14ac:dyDescent="0.2">
      <c r="E31" s="167">
        <v>2</v>
      </c>
      <c r="F31" s="173"/>
      <c r="H31" s="563"/>
      <c r="I31" s="1656"/>
      <c r="J31" s="1657"/>
      <c r="K31" s="1657"/>
      <c r="L31" s="1657"/>
      <c r="M31" s="1657"/>
      <c r="N31" s="1657"/>
      <c r="O31" s="1657"/>
      <c r="P31" s="1657"/>
      <c r="Q31" s="1658"/>
      <c r="R31" s="1664"/>
      <c r="S31" s="559"/>
      <c r="T31" s="559"/>
      <c r="U31" s="59" t="str">
        <f t="shared" si="73"/>
        <v/>
      </c>
      <c r="V31" s="43" t="str">
        <f t="shared" ref="V31:V37" si="75">IF($I31="","",$W$2)</f>
        <v/>
      </c>
      <c r="W31" s="42" t="str">
        <f t="shared" ref="W31:W37" si="76">IF(OR($T31="",$AB31=""),"",$AB31*3.413+$T31)</f>
        <v/>
      </c>
      <c r="X31" s="1659" t="s">
        <v>370</v>
      </c>
      <c r="Y31" s="1660"/>
      <c r="Z31" s="1661"/>
      <c r="AA31" s="1662"/>
      <c r="AB31" s="571"/>
      <c r="AC31" s="572"/>
      <c r="AD31" s="571"/>
      <c r="AE31" s="572"/>
      <c r="AF31" s="43" t="str">
        <f t="shared" ref="AF31:AF37" si="77">IF(H31="","",$AA$2)</f>
        <v/>
      </c>
      <c r="AG31" s="43" t="str">
        <f t="shared" ref="AG31:AG37" si="78">IF(H31="","",$Y$2)</f>
        <v/>
      </c>
      <c r="AH31" s="559"/>
      <c r="AI31" s="60" t="str">
        <f t="shared" si="74"/>
        <v/>
      </c>
      <c r="AJ31" s="58"/>
      <c r="AK31" s="1817"/>
      <c r="AL31" s="1818"/>
      <c r="AM31" s="1818"/>
      <c r="AN31" s="1818"/>
      <c r="AO31" s="1818"/>
      <c r="AP31" s="1818"/>
      <c r="AQ31" s="1818"/>
      <c r="AR31" s="1818"/>
      <c r="AS31" s="1818"/>
      <c r="AT31" s="1819"/>
    </row>
    <row r="32" spans="2:46" ht="12" hidden="1" customHeight="1" x14ac:dyDescent="0.2">
      <c r="E32" s="167">
        <v>2</v>
      </c>
      <c r="F32" s="173"/>
      <c r="H32" s="563"/>
      <c r="I32" s="1656"/>
      <c r="J32" s="1657"/>
      <c r="K32" s="1657"/>
      <c r="L32" s="1657"/>
      <c r="M32" s="1657"/>
      <c r="N32" s="1657"/>
      <c r="O32" s="1657"/>
      <c r="P32" s="1657"/>
      <c r="Q32" s="1658"/>
      <c r="R32" s="1664"/>
      <c r="S32" s="559"/>
      <c r="T32" s="559"/>
      <c r="U32" s="59" t="str">
        <f t="shared" si="73"/>
        <v/>
      </c>
      <c r="V32" s="43" t="str">
        <f t="shared" si="75"/>
        <v/>
      </c>
      <c r="W32" s="42" t="str">
        <f t="shared" si="76"/>
        <v/>
      </c>
      <c r="X32" s="1659" t="s">
        <v>370</v>
      </c>
      <c r="Y32" s="1660"/>
      <c r="Z32" s="1661"/>
      <c r="AA32" s="1662"/>
      <c r="AB32" s="571"/>
      <c r="AC32" s="572"/>
      <c r="AD32" s="571"/>
      <c r="AE32" s="572"/>
      <c r="AF32" s="43" t="str">
        <f t="shared" si="77"/>
        <v/>
      </c>
      <c r="AG32" s="43" t="str">
        <f t="shared" si="78"/>
        <v/>
      </c>
      <c r="AH32" s="559"/>
      <c r="AI32" s="60" t="str">
        <f t="shared" si="74"/>
        <v/>
      </c>
      <c r="AJ32" s="58"/>
      <c r="AK32" s="1817"/>
      <c r="AL32" s="1818"/>
      <c r="AM32" s="1818"/>
      <c r="AN32" s="1818"/>
      <c r="AO32" s="1818"/>
      <c r="AP32" s="1818"/>
      <c r="AQ32" s="1818"/>
      <c r="AR32" s="1818"/>
      <c r="AS32" s="1818"/>
      <c r="AT32" s="1819"/>
    </row>
    <row r="33" spans="5:46" ht="12" hidden="1" customHeight="1" x14ac:dyDescent="0.2">
      <c r="E33" s="167">
        <v>2</v>
      </c>
      <c r="F33" s="173"/>
      <c r="H33" s="563"/>
      <c r="I33" s="1656"/>
      <c r="J33" s="1657"/>
      <c r="K33" s="1657"/>
      <c r="L33" s="1657"/>
      <c r="M33" s="1657"/>
      <c r="N33" s="1657"/>
      <c r="O33" s="1657"/>
      <c r="P33" s="1657"/>
      <c r="Q33" s="1658"/>
      <c r="R33" s="1664"/>
      <c r="S33" s="559"/>
      <c r="T33" s="559"/>
      <c r="U33" s="59" t="str">
        <f t="shared" si="73"/>
        <v/>
      </c>
      <c r="V33" s="43" t="str">
        <f t="shared" si="75"/>
        <v/>
      </c>
      <c r="W33" s="42" t="str">
        <f t="shared" si="76"/>
        <v/>
      </c>
      <c r="X33" s="1659" t="s">
        <v>370</v>
      </c>
      <c r="Y33" s="1660"/>
      <c r="Z33" s="1661"/>
      <c r="AA33" s="1662"/>
      <c r="AB33" s="571"/>
      <c r="AC33" s="572"/>
      <c r="AD33" s="571"/>
      <c r="AE33" s="572"/>
      <c r="AF33" s="43" t="str">
        <f t="shared" si="77"/>
        <v/>
      </c>
      <c r="AG33" s="43" t="str">
        <f t="shared" si="78"/>
        <v/>
      </c>
      <c r="AH33" s="559"/>
      <c r="AI33" s="60" t="str">
        <f t="shared" si="74"/>
        <v/>
      </c>
      <c r="AJ33" s="58"/>
      <c r="AK33" s="1817"/>
      <c r="AL33" s="1818"/>
      <c r="AM33" s="1818"/>
      <c r="AN33" s="1818"/>
      <c r="AO33" s="1818"/>
      <c r="AP33" s="1818"/>
      <c r="AQ33" s="1818"/>
      <c r="AR33" s="1818"/>
      <c r="AS33" s="1818"/>
      <c r="AT33" s="1819"/>
    </row>
    <row r="34" spans="5:46" ht="12" hidden="1" customHeight="1" x14ac:dyDescent="0.2">
      <c r="E34" s="167">
        <v>2</v>
      </c>
      <c r="F34" s="173"/>
      <c r="H34" s="563"/>
      <c r="I34" s="1656"/>
      <c r="J34" s="1657"/>
      <c r="K34" s="1657"/>
      <c r="L34" s="1657"/>
      <c r="M34" s="1657"/>
      <c r="N34" s="1657"/>
      <c r="O34" s="1657"/>
      <c r="P34" s="1657"/>
      <c r="Q34" s="1658"/>
      <c r="R34" s="1664"/>
      <c r="S34" s="559"/>
      <c r="T34" s="559"/>
      <c r="U34" s="59" t="str">
        <f t="shared" si="73"/>
        <v/>
      </c>
      <c r="V34" s="43" t="str">
        <f t="shared" si="75"/>
        <v/>
      </c>
      <c r="W34" s="42" t="str">
        <f t="shared" si="76"/>
        <v/>
      </c>
      <c r="X34" s="1659" t="s">
        <v>370</v>
      </c>
      <c r="Y34" s="1660"/>
      <c r="Z34" s="1661"/>
      <c r="AA34" s="1662"/>
      <c r="AB34" s="571"/>
      <c r="AC34" s="572"/>
      <c r="AD34" s="571"/>
      <c r="AE34" s="572"/>
      <c r="AF34" s="43" t="str">
        <f t="shared" si="77"/>
        <v/>
      </c>
      <c r="AG34" s="43" t="str">
        <f t="shared" si="78"/>
        <v/>
      </c>
      <c r="AH34" s="559"/>
      <c r="AI34" s="60" t="str">
        <f t="shared" si="74"/>
        <v/>
      </c>
      <c r="AJ34" s="58"/>
      <c r="AK34" s="1817"/>
      <c r="AL34" s="1818"/>
      <c r="AM34" s="1818"/>
      <c r="AN34" s="1818"/>
      <c r="AO34" s="1818"/>
      <c r="AP34" s="1818"/>
      <c r="AQ34" s="1818"/>
      <c r="AR34" s="1818"/>
      <c r="AS34" s="1818"/>
      <c r="AT34" s="1819"/>
    </row>
    <row r="35" spans="5:46" ht="12" hidden="1" customHeight="1" x14ac:dyDescent="0.2">
      <c r="E35" s="167">
        <v>2</v>
      </c>
      <c r="F35" s="173"/>
      <c r="H35" s="563"/>
      <c r="I35" s="1656"/>
      <c r="J35" s="1657"/>
      <c r="K35" s="1657"/>
      <c r="L35" s="1657"/>
      <c r="M35" s="1657"/>
      <c r="N35" s="1657"/>
      <c r="O35" s="1657"/>
      <c r="P35" s="1657"/>
      <c r="Q35" s="1658"/>
      <c r="R35" s="1664"/>
      <c r="S35" s="559"/>
      <c r="T35" s="559"/>
      <c r="U35" s="59" t="str">
        <f t="shared" si="73"/>
        <v/>
      </c>
      <c r="V35" s="43" t="str">
        <f t="shared" si="75"/>
        <v/>
      </c>
      <c r="W35" s="42" t="str">
        <f t="shared" si="76"/>
        <v/>
      </c>
      <c r="X35" s="1659" t="s">
        <v>370</v>
      </c>
      <c r="Y35" s="1660"/>
      <c r="Z35" s="1661"/>
      <c r="AA35" s="1662"/>
      <c r="AB35" s="571"/>
      <c r="AC35" s="572"/>
      <c r="AD35" s="571"/>
      <c r="AE35" s="572"/>
      <c r="AF35" s="43" t="str">
        <f t="shared" si="77"/>
        <v/>
      </c>
      <c r="AG35" s="43" t="str">
        <f t="shared" si="78"/>
        <v/>
      </c>
      <c r="AH35" s="559"/>
      <c r="AI35" s="60" t="str">
        <f t="shared" si="74"/>
        <v/>
      </c>
      <c r="AJ35" s="58"/>
      <c r="AK35" s="1817"/>
      <c r="AL35" s="1818"/>
      <c r="AM35" s="1818"/>
      <c r="AN35" s="1818"/>
      <c r="AO35" s="1818"/>
      <c r="AP35" s="1818"/>
      <c r="AQ35" s="1818"/>
      <c r="AR35" s="1818"/>
      <c r="AS35" s="1818"/>
      <c r="AT35" s="1819"/>
    </row>
    <row r="36" spans="5:46" ht="12" hidden="1" customHeight="1" x14ac:dyDescent="0.2">
      <c r="E36" s="167">
        <v>2</v>
      </c>
      <c r="F36" s="173"/>
      <c r="H36" s="563"/>
      <c r="I36" s="1656"/>
      <c r="J36" s="1657"/>
      <c r="K36" s="1657"/>
      <c r="L36" s="1657"/>
      <c r="M36" s="1657"/>
      <c r="N36" s="1657"/>
      <c r="O36" s="1657"/>
      <c r="P36" s="1657"/>
      <c r="Q36" s="1658"/>
      <c r="R36" s="1664"/>
      <c r="S36" s="559"/>
      <c r="T36" s="559"/>
      <c r="U36" s="59" t="str">
        <f t="shared" si="73"/>
        <v/>
      </c>
      <c r="V36" s="43" t="str">
        <f t="shared" si="75"/>
        <v/>
      </c>
      <c r="W36" s="42" t="str">
        <f t="shared" si="76"/>
        <v/>
      </c>
      <c r="X36" s="1659" t="s">
        <v>370</v>
      </c>
      <c r="Y36" s="1660"/>
      <c r="Z36" s="1661"/>
      <c r="AA36" s="1662"/>
      <c r="AB36" s="571"/>
      <c r="AC36" s="572"/>
      <c r="AD36" s="571"/>
      <c r="AE36" s="572"/>
      <c r="AF36" s="43" t="str">
        <f t="shared" si="77"/>
        <v/>
      </c>
      <c r="AG36" s="43" t="str">
        <f t="shared" si="78"/>
        <v/>
      </c>
      <c r="AH36" s="559"/>
      <c r="AI36" s="60" t="str">
        <f t="shared" si="74"/>
        <v/>
      </c>
      <c r="AJ36" s="58"/>
      <c r="AK36" s="1817"/>
      <c r="AL36" s="1818"/>
      <c r="AM36" s="1818"/>
      <c r="AN36" s="1818"/>
      <c r="AO36" s="1818"/>
      <c r="AP36" s="1818"/>
      <c r="AQ36" s="1818"/>
      <c r="AR36" s="1818"/>
      <c r="AS36" s="1818"/>
      <c r="AT36" s="1819"/>
    </row>
    <row r="37" spans="5:46" ht="12" hidden="1" customHeight="1" thickBot="1" x14ac:dyDescent="0.25">
      <c r="E37" s="167">
        <v>2</v>
      </c>
      <c r="F37" s="173"/>
      <c r="H37" s="565"/>
      <c r="I37" s="1709"/>
      <c r="J37" s="1710"/>
      <c r="K37" s="1710"/>
      <c r="L37" s="1710"/>
      <c r="M37" s="1710"/>
      <c r="N37" s="1710"/>
      <c r="O37" s="1710"/>
      <c r="P37" s="1710"/>
      <c r="Q37" s="1711"/>
      <c r="R37" s="1665"/>
      <c r="S37" s="566"/>
      <c r="T37" s="566"/>
      <c r="U37" s="975" t="str">
        <f t="shared" si="73"/>
        <v/>
      </c>
      <c r="V37" s="976" t="str">
        <f t="shared" si="75"/>
        <v/>
      </c>
      <c r="W37" s="977" t="str">
        <f t="shared" si="76"/>
        <v/>
      </c>
      <c r="X37" s="1666" t="s">
        <v>370</v>
      </c>
      <c r="Y37" s="1667"/>
      <c r="Z37" s="1685"/>
      <c r="AA37" s="1686"/>
      <c r="AB37" s="1295"/>
      <c r="AC37" s="573"/>
      <c r="AD37" s="1295"/>
      <c r="AE37" s="573"/>
      <c r="AF37" s="976" t="str">
        <f t="shared" si="77"/>
        <v/>
      </c>
      <c r="AG37" s="976" t="str">
        <f t="shared" si="78"/>
        <v/>
      </c>
      <c r="AH37" s="566"/>
      <c r="AI37" s="372" t="str">
        <f t="shared" si="74"/>
        <v/>
      </c>
      <c r="AJ37" s="373"/>
      <c r="AK37" s="1817"/>
      <c r="AL37" s="1818"/>
      <c r="AM37" s="1818"/>
      <c r="AN37" s="1818"/>
      <c r="AO37" s="1818"/>
      <c r="AP37" s="1818"/>
      <c r="AQ37" s="1818"/>
      <c r="AR37" s="1818"/>
      <c r="AS37" s="1818"/>
      <c r="AT37" s="1819"/>
    </row>
    <row r="38" spans="5:46" ht="12" hidden="1" customHeight="1" thickBot="1" x14ac:dyDescent="0.25">
      <c r="E38" s="167">
        <v>2</v>
      </c>
      <c r="F38" s="173"/>
      <c r="H38" s="175"/>
      <c r="I38" s="176"/>
      <c r="J38" s="176"/>
      <c r="K38" s="176"/>
      <c r="L38" s="176"/>
      <c r="M38" s="178" t="s">
        <v>408</v>
      </c>
      <c r="N38" s="176"/>
      <c r="O38" s="176"/>
      <c r="P38" s="176"/>
      <c r="Q38" s="177"/>
      <c r="R38" s="139">
        <f>Z13</f>
        <v>0</v>
      </c>
      <c r="S38" s="61">
        <f>IF(I30="",0,SUM(S30:S37))</f>
        <v>0</v>
      </c>
      <c r="T38" s="61">
        <f>IF(I30="",0,SUM(T30:T37))</f>
        <v>0</v>
      </c>
      <c r="U38" s="62" t="str">
        <f>IF($I30="","",IF(LEFT($U$1,1)="g",$AT$2-$W$4,LegendSG2RSST-$W$4))</f>
        <v/>
      </c>
      <c r="V38" s="63" t="str">
        <f>IF(OR($I30="",$W$2=""),"",$W$2)</f>
        <v/>
      </c>
      <c r="W38" s="64">
        <f>IF(OR(W30="",I30=""),0,SUM(W30:W37))</f>
        <v>0</v>
      </c>
      <c r="X38" s="1683" t="s">
        <v>15</v>
      </c>
      <c r="Y38" s="1684"/>
      <c r="Z38" s="1681">
        <f>IF($I30="",0,SUM(Z30:Z37))</f>
        <v>0</v>
      </c>
      <c r="AA38" s="1682"/>
      <c r="AB38" s="138">
        <f>IF($I30="",0,SUM(AB30:AB37))</f>
        <v>0</v>
      </c>
      <c r="AC38" s="138">
        <f>IF($I30="",0,SUM(AC30:AC37))</f>
        <v>0</v>
      </c>
      <c r="AD38" s="140">
        <f>IF(I30="",0,SUM(AD30:AD37))</f>
        <v>0</v>
      </c>
      <c r="AE38" s="138">
        <f>IF(AD38=0,AE30,(SUMPRODUCT(AD30:AD37,AE30:AE37))/AD38)</f>
        <v>0</v>
      </c>
      <c r="AF38" s="134" t="str">
        <f>IF(AA2="","",AA2)</f>
        <v/>
      </c>
      <c r="AG38" s="131" t="str">
        <f>IF(Y2="","",Y2)</f>
        <v/>
      </c>
      <c r="AH38" s="133" t="str">
        <f>IF(I30="","",MAX(AH30:AH37))</f>
        <v/>
      </c>
      <c r="AI38" s="84" t="s">
        <v>15</v>
      </c>
      <c r="AJ38" s="66" t="str">
        <f>IF(R38=0,"",IF(T38&lt;&gt;0,T38/R38-1,S38/R38-1))</f>
        <v/>
      </c>
      <c r="AK38" s="1817"/>
      <c r="AL38" s="1818"/>
      <c r="AM38" s="1818"/>
      <c r="AN38" s="1818"/>
      <c r="AO38" s="1818"/>
      <c r="AP38" s="1818"/>
      <c r="AQ38" s="1818"/>
      <c r="AR38" s="1818"/>
      <c r="AS38" s="1818"/>
      <c r="AT38" s="1819"/>
    </row>
    <row r="39" spans="5:46" ht="12" hidden="1" customHeight="1" x14ac:dyDescent="0.2">
      <c r="E39" s="167">
        <v>3</v>
      </c>
      <c r="F39" s="173"/>
      <c r="H39" s="562"/>
      <c r="I39" s="1791"/>
      <c r="J39" s="1792"/>
      <c r="K39" s="1792"/>
      <c r="L39" s="1792"/>
      <c r="M39" s="1792"/>
      <c r="N39" s="1792"/>
      <c r="O39" s="1792"/>
      <c r="P39" s="1792"/>
      <c r="Q39" s="1793"/>
      <c r="R39" s="1663"/>
      <c r="S39" s="564"/>
      <c r="T39" s="892"/>
      <c r="U39" s="973" t="str">
        <f t="shared" ref="U39:U46" si="79">IF($I39="","",IF(LEFT($U$1,1)="g",$AT$3-$W$4,LegendSG3RSST-$W$4))</f>
        <v/>
      </c>
      <c r="V39" s="973" t="str">
        <f>IF($I39="","",$W$2)</f>
        <v/>
      </c>
      <c r="W39" s="974" t="str">
        <f>IF(OR($T39="",$AB39=""),"",$AB39*3.413+$T39)</f>
        <v/>
      </c>
      <c r="X39" s="1668" t="s">
        <v>370</v>
      </c>
      <c r="Y39" s="1669"/>
      <c r="Z39" s="1670"/>
      <c r="AA39" s="1671"/>
      <c r="AB39" s="567"/>
      <c r="AC39" s="568"/>
      <c r="AD39" s="569"/>
      <c r="AE39" s="570"/>
      <c r="AF39" s="973" t="str">
        <f>IF(H39="","",$AA$3)</f>
        <v/>
      </c>
      <c r="AG39" s="973" t="str">
        <f>IF(H39="","",$Y$3)</f>
        <v/>
      </c>
      <c r="AH39" s="574"/>
      <c r="AI39" s="57" t="str">
        <f t="shared" ref="AI39:AI46" si="80">IF($S$38&lt;&gt;0,$S39/$S$47,"")</f>
        <v/>
      </c>
      <c r="AJ39" s="174"/>
      <c r="AK39" s="1817"/>
      <c r="AL39" s="1818"/>
      <c r="AM39" s="1818"/>
      <c r="AN39" s="1818"/>
      <c r="AO39" s="1818"/>
      <c r="AP39" s="1818"/>
      <c r="AQ39" s="1818"/>
      <c r="AR39" s="1818"/>
      <c r="AS39" s="1818"/>
      <c r="AT39" s="1819"/>
    </row>
    <row r="40" spans="5:46" ht="12" hidden="1" customHeight="1" x14ac:dyDescent="0.2">
      <c r="E40" s="167">
        <v>3</v>
      </c>
      <c r="F40" s="173"/>
      <c r="H40" s="563"/>
      <c r="I40" s="1656"/>
      <c r="J40" s="1657"/>
      <c r="K40" s="1657"/>
      <c r="L40" s="1657"/>
      <c r="M40" s="1657"/>
      <c r="N40" s="1657"/>
      <c r="O40" s="1657"/>
      <c r="P40" s="1657"/>
      <c r="Q40" s="1658"/>
      <c r="R40" s="1664"/>
      <c r="S40" s="559"/>
      <c r="T40" s="559"/>
      <c r="U40" s="59" t="str">
        <f t="shared" si="79"/>
        <v/>
      </c>
      <c r="V40" s="43" t="str">
        <f t="shared" ref="V40:V46" si="81">IF($I40="","",$W$2)</f>
        <v/>
      </c>
      <c r="W40" s="42" t="str">
        <f t="shared" ref="W40:W46" si="82">IF(OR($T40="",$AB40=""),"",$AB40*3.413+$T40)</f>
        <v/>
      </c>
      <c r="X40" s="1659" t="s">
        <v>370</v>
      </c>
      <c r="Y40" s="1660"/>
      <c r="Z40" s="1661"/>
      <c r="AA40" s="1662"/>
      <c r="AB40" s="571"/>
      <c r="AC40" s="572"/>
      <c r="AD40" s="571"/>
      <c r="AE40" s="572"/>
      <c r="AF40" s="43" t="str">
        <f t="shared" ref="AF40:AF46" si="83">IF(H40="","",$AA$3)</f>
        <v/>
      </c>
      <c r="AG40" s="43" t="str">
        <f t="shared" ref="AG40:AG46" si="84">IF(H40="","",$Y$3)</f>
        <v/>
      </c>
      <c r="AH40" s="559"/>
      <c r="AI40" s="60" t="str">
        <f t="shared" si="80"/>
        <v/>
      </c>
      <c r="AJ40" s="58"/>
      <c r="AK40" s="1817"/>
      <c r="AL40" s="1818"/>
      <c r="AM40" s="1818"/>
      <c r="AN40" s="1818"/>
      <c r="AO40" s="1818"/>
      <c r="AP40" s="1818"/>
      <c r="AQ40" s="1818"/>
      <c r="AR40" s="1818"/>
      <c r="AS40" s="1818"/>
      <c r="AT40" s="1819"/>
    </row>
    <row r="41" spans="5:46" ht="12" hidden="1" customHeight="1" x14ac:dyDescent="0.2">
      <c r="E41" s="167">
        <v>3</v>
      </c>
      <c r="F41" s="173"/>
      <c r="H41" s="563"/>
      <c r="I41" s="1656"/>
      <c r="J41" s="1657"/>
      <c r="K41" s="1657"/>
      <c r="L41" s="1657"/>
      <c r="M41" s="1657"/>
      <c r="N41" s="1657"/>
      <c r="O41" s="1657"/>
      <c r="P41" s="1657"/>
      <c r="Q41" s="1658"/>
      <c r="R41" s="1664"/>
      <c r="S41" s="559"/>
      <c r="T41" s="559"/>
      <c r="U41" s="59" t="str">
        <f t="shared" si="79"/>
        <v/>
      </c>
      <c r="V41" s="43" t="str">
        <f t="shared" si="81"/>
        <v/>
      </c>
      <c r="W41" s="42" t="str">
        <f t="shared" si="82"/>
        <v/>
      </c>
      <c r="X41" s="1659" t="s">
        <v>370</v>
      </c>
      <c r="Y41" s="1660"/>
      <c r="Z41" s="1661"/>
      <c r="AA41" s="1662"/>
      <c r="AB41" s="571"/>
      <c r="AC41" s="572"/>
      <c r="AD41" s="571"/>
      <c r="AE41" s="572"/>
      <c r="AF41" s="43" t="str">
        <f t="shared" si="83"/>
        <v/>
      </c>
      <c r="AG41" s="43" t="str">
        <f t="shared" si="84"/>
        <v/>
      </c>
      <c r="AH41" s="559"/>
      <c r="AI41" s="60" t="str">
        <f t="shared" si="80"/>
        <v/>
      </c>
      <c r="AJ41" s="58"/>
      <c r="AK41" s="1817"/>
      <c r="AL41" s="1818"/>
      <c r="AM41" s="1818"/>
      <c r="AN41" s="1818"/>
      <c r="AO41" s="1818"/>
      <c r="AP41" s="1818"/>
      <c r="AQ41" s="1818"/>
      <c r="AR41" s="1818"/>
      <c r="AS41" s="1818"/>
      <c r="AT41" s="1819"/>
    </row>
    <row r="42" spans="5:46" ht="12" hidden="1" customHeight="1" x14ac:dyDescent="0.2">
      <c r="E42" s="167">
        <v>3</v>
      </c>
      <c r="F42" s="173"/>
      <c r="H42" s="563"/>
      <c r="I42" s="1656"/>
      <c r="J42" s="1657"/>
      <c r="K42" s="1657"/>
      <c r="L42" s="1657"/>
      <c r="M42" s="1657"/>
      <c r="N42" s="1657"/>
      <c r="O42" s="1657"/>
      <c r="P42" s="1657"/>
      <c r="Q42" s="1658"/>
      <c r="R42" s="1664"/>
      <c r="S42" s="559"/>
      <c r="T42" s="559"/>
      <c r="U42" s="59" t="str">
        <f t="shared" si="79"/>
        <v/>
      </c>
      <c r="V42" s="43" t="str">
        <f t="shared" si="81"/>
        <v/>
      </c>
      <c r="W42" s="42" t="str">
        <f t="shared" si="82"/>
        <v/>
      </c>
      <c r="X42" s="1659" t="s">
        <v>370</v>
      </c>
      <c r="Y42" s="1660"/>
      <c r="Z42" s="1661"/>
      <c r="AA42" s="1662"/>
      <c r="AB42" s="571"/>
      <c r="AC42" s="572"/>
      <c r="AD42" s="571"/>
      <c r="AE42" s="572"/>
      <c r="AF42" s="43" t="str">
        <f t="shared" si="83"/>
        <v/>
      </c>
      <c r="AG42" s="43" t="str">
        <f t="shared" si="84"/>
        <v/>
      </c>
      <c r="AH42" s="559"/>
      <c r="AI42" s="60" t="str">
        <f t="shared" si="80"/>
        <v/>
      </c>
      <c r="AJ42" s="58"/>
      <c r="AK42" s="1817"/>
      <c r="AL42" s="1818"/>
      <c r="AM42" s="1818"/>
      <c r="AN42" s="1818"/>
      <c r="AO42" s="1818"/>
      <c r="AP42" s="1818"/>
      <c r="AQ42" s="1818"/>
      <c r="AR42" s="1818"/>
      <c r="AS42" s="1818"/>
      <c r="AT42" s="1819"/>
    </row>
    <row r="43" spans="5:46" ht="12" hidden="1" customHeight="1" x14ac:dyDescent="0.2">
      <c r="E43" s="167">
        <v>3</v>
      </c>
      <c r="F43" s="173"/>
      <c r="H43" s="563"/>
      <c r="I43" s="1656"/>
      <c r="J43" s="1657"/>
      <c r="K43" s="1657"/>
      <c r="L43" s="1657"/>
      <c r="M43" s="1657"/>
      <c r="N43" s="1657"/>
      <c r="O43" s="1657"/>
      <c r="P43" s="1657"/>
      <c r="Q43" s="1658"/>
      <c r="R43" s="1664"/>
      <c r="S43" s="559"/>
      <c r="T43" s="559"/>
      <c r="U43" s="59" t="str">
        <f t="shared" si="79"/>
        <v/>
      </c>
      <c r="V43" s="43" t="str">
        <f t="shared" si="81"/>
        <v/>
      </c>
      <c r="W43" s="42" t="str">
        <f t="shared" si="82"/>
        <v/>
      </c>
      <c r="X43" s="1659" t="s">
        <v>370</v>
      </c>
      <c r="Y43" s="1660"/>
      <c r="Z43" s="1661"/>
      <c r="AA43" s="1662"/>
      <c r="AB43" s="571"/>
      <c r="AC43" s="572"/>
      <c r="AD43" s="571"/>
      <c r="AE43" s="572"/>
      <c r="AF43" s="43" t="str">
        <f t="shared" si="83"/>
        <v/>
      </c>
      <c r="AG43" s="43" t="str">
        <f t="shared" si="84"/>
        <v/>
      </c>
      <c r="AH43" s="559"/>
      <c r="AI43" s="60" t="str">
        <f t="shared" si="80"/>
        <v/>
      </c>
      <c r="AJ43" s="58"/>
      <c r="AK43" s="1817"/>
      <c r="AL43" s="1818"/>
      <c r="AM43" s="1818"/>
      <c r="AN43" s="1818"/>
      <c r="AO43" s="1818"/>
      <c r="AP43" s="1818"/>
      <c r="AQ43" s="1818"/>
      <c r="AR43" s="1818"/>
      <c r="AS43" s="1818"/>
      <c r="AT43" s="1819"/>
    </row>
    <row r="44" spans="5:46" ht="12" hidden="1" customHeight="1" x14ac:dyDescent="0.2">
      <c r="E44" s="167">
        <v>3</v>
      </c>
      <c r="F44" s="173"/>
      <c r="H44" s="563"/>
      <c r="I44" s="1656"/>
      <c r="J44" s="1657"/>
      <c r="K44" s="1657"/>
      <c r="L44" s="1657"/>
      <c r="M44" s="1657"/>
      <c r="N44" s="1657"/>
      <c r="O44" s="1657"/>
      <c r="P44" s="1657"/>
      <c r="Q44" s="1658"/>
      <c r="R44" s="1664"/>
      <c r="S44" s="559"/>
      <c r="T44" s="559"/>
      <c r="U44" s="59" t="str">
        <f t="shared" si="79"/>
        <v/>
      </c>
      <c r="V44" s="43" t="str">
        <f t="shared" si="81"/>
        <v/>
      </c>
      <c r="W44" s="42" t="str">
        <f t="shared" si="82"/>
        <v/>
      </c>
      <c r="X44" s="1659" t="s">
        <v>370</v>
      </c>
      <c r="Y44" s="1660"/>
      <c r="Z44" s="1661"/>
      <c r="AA44" s="1662"/>
      <c r="AB44" s="571"/>
      <c r="AC44" s="572"/>
      <c r="AD44" s="571"/>
      <c r="AE44" s="572"/>
      <c r="AF44" s="43" t="str">
        <f t="shared" si="83"/>
        <v/>
      </c>
      <c r="AG44" s="43" t="str">
        <f t="shared" si="84"/>
        <v/>
      </c>
      <c r="AH44" s="559"/>
      <c r="AI44" s="60" t="str">
        <f t="shared" si="80"/>
        <v/>
      </c>
      <c r="AJ44" s="58"/>
      <c r="AK44" s="1817"/>
      <c r="AL44" s="1818"/>
      <c r="AM44" s="1818"/>
      <c r="AN44" s="1818"/>
      <c r="AO44" s="1818"/>
      <c r="AP44" s="1818"/>
      <c r="AQ44" s="1818"/>
      <c r="AR44" s="1818"/>
      <c r="AS44" s="1818"/>
      <c r="AT44" s="1819"/>
    </row>
    <row r="45" spans="5:46" ht="12" hidden="1" customHeight="1" x14ac:dyDescent="0.2">
      <c r="E45" s="167">
        <v>3</v>
      </c>
      <c r="F45" s="173"/>
      <c r="H45" s="563"/>
      <c r="I45" s="1656"/>
      <c r="J45" s="1657"/>
      <c r="K45" s="1657"/>
      <c r="L45" s="1657"/>
      <c r="M45" s="1657"/>
      <c r="N45" s="1657"/>
      <c r="O45" s="1657"/>
      <c r="P45" s="1657"/>
      <c r="Q45" s="1658"/>
      <c r="R45" s="1664"/>
      <c r="S45" s="559"/>
      <c r="T45" s="559"/>
      <c r="U45" s="59" t="str">
        <f t="shared" si="79"/>
        <v/>
      </c>
      <c r="V45" s="43" t="str">
        <f t="shared" si="81"/>
        <v/>
      </c>
      <c r="W45" s="42" t="str">
        <f t="shared" si="82"/>
        <v/>
      </c>
      <c r="X45" s="1659" t="s">
        <v>370</v>
      </c>
      <c r="Y45" s="1660"/>
      <c r="Z45" s="1661"/>
      <c r="AA45" s="1662"/>
      <c r="AB45" s="571"/>
      <c r="AC45" s="572"/>
      <c r="AD45" s="571"/>
      <c r="AE45" s="572"/>
      <c r="AF45" s="43" t="str">
        <f t="shared" si="83"/>
        <v/>
      </c>
      <c r="AG45" s="43" t="str">
        <f t="shared" si="84"/>
        <v/>
      </c>
      <c r="AH45" s="559"/>
      <c r="AI45" s="60" t="str">
        <f t="shared" si="80"/>
        <v/>
      </c>
      <c r="AJ45" s="58"/>
      <c r="AK45" s="1817"/>
      <c r="AL45" s="1818"/>
      <c r="AM45" s="1818"/>
      <c r="AN45" s="1818"/>
      <c r="AO45" s="1818"/>
      <c r="AP45" s="1818"/>
      <c r="AQ45" s="1818"/>
      <c r="AR45" s="1818"/>
      <c r="AS45" s="1818"/>
      <c r="AT45" s="1819"/>
    </row>
    <row r="46" spans="5:46" ht="12" hidden="1" customHeight="1" thickBot="1" x14ac:dyDescent="0.25">
      <c r="E46" s="167">
        <v>3</v>
      </c>
      <c r="F46" s="173"/>
      <c r="H46" s="565"/>
      <c r="I46" s="1709"/>
      <c r="J46" s="1710"/>
      <c r="K46" s="1710"/>
      <c r="L46" s="1710"/>
      <c r="M46" s="1710"/>
      <c r="N46" s="1710"/>
      <c r="O46" s="1710"/>
      <c r="P46" s="1710"/>
      <c r="Q46" s="1711"/>
      <c r="R46" s="1665"/>
      <c r="S46" s="566"/>
      <c r="T46" s="566"/>
      <c r="U46" s="975" t="str">
        <f t="shared" si="79"/>
        <v/>
      </c>
      <c r="V46" s="976" t="str">
        <f t="shared" si="81"/>
        <v/>
      </c>
      <c r="W46" s="977" t="str">
        <f t="shared" si="82"/>
        <v/>
      </c>
      <c r="X46" s="1666" t="s">
        <v>370</v>
      </c>
      <c r="Y46" s="1667"/>
      <c r="Z46" s="1685"/>
      <c r="AA46" s="1686"/>
      <c r="AB46" s="1295"/>
      <c r="AC46" s="573"/>
      <c r="AD46" s="1295"/>
      <c r="AE46" s="573"/>
      <c r="AF46" s="976" t="str">
        <f t="shared" si="83"/>
        <v/>
      </c>
      <c r="AG46" s="976" t="str">
        <f t="shared" si="84"/>
        <v/>
      </c>
      <c r="AH46" s="566"/>
      <c r="AI46" s="372" t="str">
        <f t="shared" si="80"/>
        <v/>
      </c>
      <c r="AJ46" s="373"/>
      <c r="AK46" s="1817"/>
      <c r="AL46" s="1818"/>
      <c r="AM46" s="1818"/>
      <c r="AN46" s="1818"/>
      <c r="AO46" s="1818"/>
      <c r="AP46" s="1818"/>
      <c r="AQ46" s="1818"/>
      <c r="AR46" s="1818"/>
      <c r="AS46" s="1818"/>
      <c r="AT46" s="1819"/>
    </row>
    <row r="47" spans="5:46" ht="12" hidden="1" customHeight="1" thickBot="1" x14ac:dyDescent="0.25">
      <c r="E47" s="167">
        <v>3</v>
      </c>
      <c r="F47" s="173"/>
      <c r="H47" s="175"/>
      <c r="I47" s="176"/>
      <c r="J47" s="176"/>
      <c r="K47" s="176"/>
      <c r="L47" s="176"/>
      <c r="M47" s="178" t="s">
        <v>409</v>
      </c>
      <c r="N47" s="176"/>
      <c r="O47" s="176"/>
      <c r="P47" s="176"/>
      <c r="Q47" s="177"/>
      <c r="R47" s="139">
        <f>Z16</f>
        <v>0</v>
      </c>
      <c r="S47" s="61">
        <f>IF(I39="",0,SUM(S39:S46))</f>
        <v>0</v>
      </c>
      <c r="T47" s="61">
        <f>IF(I39="",0,SUM(T39:T46))</f>
        <v>0</v>
      </c>
      <c r="U47" s="62" t="str">
        <f>IF($I39="","",IF(LEFT($U$1,1)="g",$AT$3-$W$4,LegendSG3RSST-$W$4))</f>
        <v/>
      </c>
      <c r="V47" s="63" t="str">
        <f>IF(OR($I39="",$W$2=""),"",$W$2)</f>
        <v/>
      </c>
      <c r="W47" s="64">
        <f>IF(OR(W39="",I39=""),0,SUM(W39:W46))</f>
        <v>0</v>
      </c>
      <c r="X47" s="1683" t="s">
        <v>15</v>
      </c>
      <c r="Y47" s="1684"/>
      <c r="Z47" s="1681">
        <f>IF($I39="",0,SUM(Z39:Z46))</f>
        <v>0</v>
      </c>
      <c r="AA47" s="1682"/>
      <c r="AB47" s="138">
        <f>IF($I39="",0,SUM(AB39:AB46))</f>
        <v>0</v>
      </c>
      <c r="AC47" s="138">
        <f>IF($I39="",0,SUM(AC39:AC46))</f>
        <v>0</v>
      </c>
      <c r="AD47" s="140">
        <f>IF(I39="",0,SUM(AD39:AD46))</f>
        <v>0</v>
      </c>
      <c r="AE47" s="138">
        <f>IF(AD47=0,AE39,(SUMPRODUCT(AD39:AD46,AE39:AE46))/AD47)</f>
        <v>0</v>
      </c>
      <c r="AF47" s="134" t="str">
        <f>IF(AA3="","",AA3)</f>
        <v/>
      </c>
      <c r="AG47" s="131" t="str">
        <f>IF(Y3="","",Y3)</f>
        <v/>
      </c>
      <c r="AH47" s="133" t="str">
        <f>IF(I39="","",MAX(AH39:AH46))</f>
        <v/>
      </c>
      <c r="AI47" s="84" t="s">
        <v>15</v>
      </c>
      <c r="AJ47" s="66" t="str">
        <f>IF(R47=0,"",IF(T47&lt;&gt;0,T47/R47-1,S47/R47-1))</f>
        <v/>
      </c>
      <c r="AK47" s="1817"/>
      <c r="AL47" s="1818"/>
      <c r="AM47" s="1818"/>
      <c r="AN47" s="1818"/>
      <c r="AO47" s="1818"/>
      <c r="AP47" s="1818"/>
      <c r="AQ47" s="1818"/>
      <c r="AR47" s="1818"/>
      <c r="AS47" s="1818"/>
      <c r="AT47" s="1819"/>
    </row>
    <row r="48" spans="5:46" ht="12" hidden="1" customHeight="1" thickBot="1" x14ac:dyDescent="0.25">
      <c r="E48" s="167">
        <v>23</v>
      </c>
      <c r="F48" s="173"/>
      <c r="H48" s="1704"/>
      <c r="I48" s="1705"/>
      <c r="J48" s="1705"/>
      <c r="K48" s="1705"/>
      <c r="L48" s="1705"/>
      <c r="M48" s="1705"/>
      <c r="N48" s="1705"/>
      <c r="O48" s="1705"/>
      <c r="P48" s="1705"/>
      <c r="Q48" s="1705"/>
      <c r="R48" s="1705"/>
      <c r="S48" s="1705"/>
      <c r="T48" s="1705"/>
      <c r="U48" s="1706" t="s">
        <v>630</v>
      </c>
      <c r="V48" s="1707"/>
      <c r="W48" s="61">
        <f>W29+W38+W47</f>
        <v>0</v>
      </c>
      <c r="X48" s="1683" t="s">
        <v>15</v>
      </c>
      <c r="Y48" s="1684"/>
      <c r="Z48" s="1681">
        <f>+SUM(Z29+Z38+Z47)</f>
        <v>0</v>
      </c>
      <c r="AA48" s="1682"/>
      <c r="AB48" s="138">
        <f>+SUM(AB29+AB38+AB47)</f>
        <v>0</v>
      </c>
      <c r="AC48" s="138">
        <f>+SUM(AC29+AC38+AC47)</f>
        <v>0</v>
      </c>
      <c r="AD48" s="140">
        <f>+SUM(AD29+AD38+AD47)</f>
        <v>0</v>
      </c>
      <c r="AE48" s="65" t="s">
        <v>15</v>
      </c>
      <c r="AF48" s="1683" t="s">
        <v>15</v>
      </c>
      <c r="AG48" s="1813"/>
      <c r="AH48" s="1813"/>
      <c r="AI48" s="1684"/>
      <c r="AJ48" s="141" t="s">
        <v>15</v>
      </c>
      <c r="AK48" s="1820"/>
      <c r="AL48" s="1821"/>
      <c r="AM48" s="1821"/>
      <c r="AN48" s="1821"/>
      <c r="AO48" s="1821"/>
      <c r="AP48" s="1821"/>
      <c r="AQ48" s="1821"/>
      <c r="AR48" s="1821"/>
      <c r="AS48" s="1821"/>
      <c r="AT48" s="1822"/>
    </row>
    <row r="49" spans="6:46" ht="12" customHeight="1" x14ac:dyDescent="0.2">
      <c r="F49" s="173"/>
      <c r="H49" s="294"/>
      <c r="I49" s="294"/>
      <c r="J49" s="294"/>
      <c r="K49" s="294"/>
      <c r="L49" s="294"/>
      <c r="M49" s="294"/>
      <c r="N49" s="294"/>
      <c r="O49" s="294"/>
      <c r="P49" s="294"/>
      <c r="Q49" s="294"/>
      <c r="R49" s="294"/>
      <c r="S49" s="294"/>
      <c r="T49" s="294"/>
      <c r="U49" s="294"/>
      <c r="V49" s="294"/>
      <c r="W49" s="294"/>
      <c r="X49" s="294"/>
      <c r="Y49" s="294"/>
      <c r="Z49" s="294"/>
      <c r="AA49" s="294"/>
      <c r="AB49" s="294"/>
      <c r="AC49" s="294"/>
      <c r="AD49" s="294"/>
      <c r="AE49" s="294"/>
      <c r="AF49" s="294"/>
      <c r="AG49" s="294"/>
      <c r="AH49" s="294"/>
      <c r="AI49" s="294"/>
      <c r="AJ49" s="294"/>
      <c r="AK49" s="294"/>
      <c r="AL49" s="294"/>
      <c r="AM49" s="294"/>
      <c r="AN49" s="294"/>
      <c r="AO49" s="294"/>
      <c r="AP49" s="294"/>
      <c r="AQ49" s="294"/>
      <c r="AR49" s="294"/>
      <c r="AS49" s="294"/>
      <c r="AT49" s="294"/>
    </row>
    <row r="50" spans="6:46" ht="12" customHeight="1" x14ac:dyDescent="0.2">
      <c r="F50" s="173"/>
      <c r="H50" s="294"/>
      <c r="I50" s="294"/>
      <c r="J50" s="294"/>
      <c r="K50" s="294"/>
      <c r="L50" s="294"/>
      <c r="M50" s="294"/>
      <c r="N50" s="294"/>
      <c r="O50" s="294"/>
      <c r="P50" s="294"/>
      <c r="Q50" s="294"/>
      <c r="R50" s="294"/>
      <c r="S50" s="1446"/>
      <c r="T50" s="1446"/>
      <c r="U50" s="1447" t="str">
        <f>IF($I50="","",IF(LEFT($U$1,1)="g",$AT$2-$W$4,LegendSG2RSST-$W$4))</f>
        <v/>
      </c>
      <c r="V50" s="1447" t="str">
        <f>IF($I50="","",$W$2)</f>
        <v/>
      </c>
      <c r="W50" s="1448" t="str">
        <f>IF(OR($T50="",$AB50=""),"",$AB50*3.413+$T50)</f>
        <v/>
      </c>
      <c r="X50" s="294"/>
      <c r="Y50" s="294"/>
      <c r="Z50" s="445"/>
      <c r="AA50" s="445"/>
      <c r="AB50" s="294"/>
      <c r="AC50" s="294"/>
      <c r="AD50" s="294"/>
      <c r="AE50" s="294"/>
      <c r="AF50" s="294"/>
      <c r="AG50" s="294"/>
      <c r="AH50" s="294"/>
      <c r="AI50" s="294"/>
      <c r="AJ50" s="294"/>
      <c r="AK50" s="294"/>
      <c r="AL50" s="294"/>
      <c r="AM50" s="294"/>
      <c r="AN50" s="294"/>
      <c r="AO50" s="294"/>
      <c r="AP50" s="294"/>
      <c r="AQ50" s="294"/>
      <c r="AR50" s="294"/>
      <c r="AS50" s="294"/>
      <c r="AT50" s="294"/>
    </row>
    <row r="51" spans="6:46" ht="12" customHeight="1" x14ac:dyDescent="0.2">
      <c r="F51" s="173"/>
      <c r="H51" s="294"/>
      <c r="I51" s="294"/>
      <c r="J51" s="294"/>
      <c r="K51" s="294"/>
      <c r="L51" s="294"/>
      <c r="M51" s="294"/>
      <c r="N51" s="294"/>
      <c r="O51" s="294"/>
      <c r="P51" s="294"/>
      <c r="Q51" s="294"/>
      <c r="R51" s="294"/>
      <c r="S51" s="1446"/>
      <c r="T51" s="1446"/>
      <c r="U51" s="1447" t="str">
        <f>IF($I51="","",IF(LEFT($U$1,1)="g",$AT$2-$W$4,LegendSG2RSST-$W$4))</f>
        <v/>
      </c>
      <c r="V51" s="1447" t="str">
        <f>IF($I51="","",$W$2)</f>
        <v/>
      </c>
      <c r="W51" s="1448" t="str">
        <f>IF(OR($T51="",$AB51=""),"",$AB51*3.413+$T51)</f>
        <v/>
      </c>
      <c r="X51" s="294"/>
      <c r="Y51" s="294"/>
      <c r="Z51" s="445"/>
      <c r="AA51" s="445"/>
      <c r="AB51" s="294"/>
      <c r="AC51" s="294"/>
      <c r="AD51" s="294"/>
      <c r="AE51" s="294"/>
      <c r="AF51" s="294"/>
      <c r="AG51" s="294"/>
      <c r="AH51" s="294"/>
      <c r="AI51" s="294"/>
      <c r="AJ51" s="294"/>
      <c r="AK51" s="294"/>
      <c r="AL51" s="294"/>
      <c r="AM51" s="294"/>
      <c r="AN51" s="294"/>
      <c r="AO51" s="294"/>
      <c r="AP51" s="294"/>
      <c r="AQ51" s="294"/>
      <c r="AR51" s="294"/>
      <c r="AS51" s="294"/>
      <c r="AT51" s="294"/>
    </row>
    <row r="52" spans="6:46" ht="12" customHeight="1" x14ac:dyDescent="0.2">
      <c r="F52" s="173"/>
      <c r="H52" s="294"/>
      <c r="I52" s="294"/>
      <c r="J52" s="294"/>
      <c r="K52" s="294"/>
      <c r="L52" s="294"/>
      <c r="M52" s="294"/>
      <c r="N52" s="294"/>
      <c r="O52" s="294"/>
      <c r="P52" s="294"/>
      <c r="Q52" s="294"/>
      <c r="R52" s="294"/>
      <c r="S52" s="294"/>
      <c r="T52" s="294"/>
      <c r="U52" s="294"/>
      <c r="V52" s="294"/>
      <c r="W52" s="294"/>
      <c r="X52" s="294"/>
      <c r="Y52" s="294"/>
      <c r="Z52" s="294"/>
      <c r="AA52" s="294"/>
      <c r="AB52" s="294"/>
      <c r="AC52" s="294"/>
      <c r="AD52" s="294"/>
      <c r="AE52" s="294"/>
      <c r="AF52" s="294"/>
      <c r="AG52" s="294"/>
      <c r="AH52" s="294"/>
      <c r="AI52" s="294"/>
      <c r="AJ52" s="294"/>
      <c r="AK52" s="294"/>
      <c r="AL52" s="294"/>
      <c r="AM52" s="294"/>
      <c r="AN52" s="294"/>
      <c r="AO52" s="294"/>
      <c r="AP52" s="294"/>
      <c r="AQ52" s="294"/>
      <c r="AR52" s="294"/>
      <c r="AS52" s="294"/>
      <c r="AT52" s="294"/>
    </row>
    <row r="53" spans="6:46" ht="12" customHeight="1" x14ac:dyDescent="0.2">
      <c r="F53" s="173"/>
      <c r="H53" s="294"/>
      <c r="I53" s="294"/>
      <c r="J53" s="294"/>
      <c r="K53" s="294"/>
      <c r="L53" s="294"/>
      <c r="M53" s="294"/>
      <c r="N53" s="294"/>
      <c r="O53" s="294"/>
      <c r="P53" s="294"/>
      <c r="Q53" s="294"/>
      <c r="R53" s="294"/>
      <c r="S53" s="294"/>
      <c r="T53" s="294"/>
      <c r="U53" s="294"/>
      <c r="V53" s="294"/>
      <c r="W53" s="294"/>
      <c r="X53" s="294"/>
      <c r="Y53" s="294"/>
      <c r="Z53" s="294"/>
      <c r="AA53" s="294"/>
      <c r="AB53" s="294"/>
      <c r="AC53" s="294"/>
      <c r="AD53" s="294"/>
      <c r="AE53" s="294"/>
      <c r="AF53" s="294"/>
      <c r="AG53" s="294"/>
      <c r="AH53" s="294"/>
      <c r="AI53" s="294"/>
      <c r="AJ53" s="294"/>
      <c r="AK53" s="294"/>
      <c r="AL53" s="294"/>
      <c r="AM53" s="294"/>
      <c r="AN53" s="294"/>
      <c r="AO53" s="294"/>
      <c r="AP53" s="294"/>
      <c r="AQ53" s="294"/>
      <c r="AR53" s="294"/>
      <c r="AS53" s="294"/>
      <c r="AT53" s="294"/>
    </row>
    <row r="54" spans="6:46" ht="12" customHeight="1" x14ac:dyDescent="0.2">
      <c r="F54" s="173"/>
      <c r="H54" s="294"/>
      <c r="I54" s="294"/>
      <c r="J54" s="294"/>
      <c r="K54" s="294"/>
      <c r="L54" s="294"/>
      <c r="M54" s="294"/>
      <c r="N54" s="294"/>
      <c r="O54" s="294"/>
      <c r="P54" s="294"/>
      <c r="Q54" s="294"/>
      <c r="R54" s="294"/>
      <c r="S54" s="294"/>
      <c r="T54" s="294"/>
      <c r="U54" s="294"/>
      <c r="V54" s="294"/>
      <c r="W54" s="294"/>
      <c r="X54" s="294"/>
      <c r="Y54" s="294"/>
      <c r="Z54" s="294"/>
      <c r="AA54" s="294"/>
      <c r="AB54" s="294"/>
      <c r="AC54" s="294"/>
      <c r="AD54" s="294"/>
      <c r="AE54" s="294"/>
      <c r="AF54" s="294"/>
      <c r="AG54" s="294"/>
      <c r="AH54" s="294"/>
      <c r="AI54" s="294"/>
      <c r="AJ54" s="294"/>
      <c r="AK54" s="294"/>
      <c r="AL54" s="294"/>
      <c r="AM54" s="294"/>
      <c r="AN54" s="294"/>
      <c r="AO54" s="294"/>
      <c r="AP54" s="294"/>
      <c r="AQ54" s="294"/>
      <c r="AR54" s="294"/>
      <c r="AS54" s="294"/>
      <c r="AT54" s="294"/>
    </row>
    <row r="55" spans="6:46" ht="12" customHeight="1" x14ac:dyDescent="0.2">
      <c r="F55" s="173"/>
      <c r="H55" s="294"/>
      <c r="I55" s="294"/>
      <c r="J55" s="294"/>
      <c r="K55" s="294"/>
      <c r="L55" s="294"/>
      <c r="M55" s="294"/>
      <c r="N55" s="294"/>
      <c r="O55" s="294"/>
      <c r="P55" s="294"/>
      <c r="Q55" s="294"/>
      <c r="R55" s="294"/>
      <c r="S55" s="294"/>
      <c r="T55" s="294"/>
      <c r="U55" s="294"/>
      <c r="V55" s="294"/>
      <c r="W55" s="294"/>
      <c r="X55" s="294"/>
      <c r="Y55" s="294"/>
      <c r="Z55" s="294"/>
      <c r="AA55" s="294"/>
      <c r="AB55" s="294"/>
      <c r="AC55" s="294"/>
      <c r="AD55" s="294"/>
      <c r="AE55" s="294"/>
      <c r="AF55" s="294"/>
      <c r="AG55" s="294"/>
      <c r="AH55" s="294"/>
      <c r="AI55" s="294"/>
      <c r="AJ55" s="294"/>
      <c r="AK55" s="294"/>
      <c r="AL55" s="294"/>
      <c r="AM55" s="294"/>
      <c r="AN55" s="294"/>
      <c r="AO55" s="294"/>
      <c r="AP55" s="294"/>
      <c r="AQ55" s="294"/>
      <c r="AR55" s="294"/>
      <c r="AS55" s="294"/>
      <c r="AT55" s="294"/>
    </row>
    <row r="56" spans="6:46" ht="12" customHeight="1" x14ac:dyDescent="0.2">
      <c r="H56" s="294"/>
      <c r="I56" s="294"/>
      <c r="J56" s="294"/>
      <c r="K56" s="294"/>
      <c r="L56" s="294"/>
      <c r="M56" s="294"/>
      <c r="N56" s="294"/>
      <c r="O56" s="294"/>
      <c r="P56" s="294"/>
      <c r="Q56" s="294"/>
      <c r="R56" s="294"/>
      <c r="S56" s="294"/>
      <c r="T56" s="294"/>
      <c r="U56" s="294"/>
      <c r="V56" s="294"/>
      <c r="W56" s="294"/>
      <c r="X56" s="294"/>
      <c r="Y56" s="294"/>
      <c r="Z56" s="294"/>
      <c r="AA56" s="294"/>
      <c r="AB56" s="294"/>
      <c r="AC56" s="294"/>
      <c r="AD56" s="294"/>
      <c r="AE56" s="294"/>
      <c r="AF56" s="294"/>
      <c r="AG56" s="294"/>
      <c r="AH56" s="294"/>
      <c r="AI56" s="294"/>
      <c r="AJ56" s="294"/>
      <c r="AK56" s="294"/>
      <c r="AL56" s="294"/>
      <c r="AM56" s="294"/>
      <c r="AN56" s="294"/>
      <c r="AO56" s="294"/>
      <c r="AP56" s="294"/>
      <c r="AQ56" s="294"/>
      <c r="AR56" s="294"/>
      <c r="AS56" s="294"/>
      <c r="AT56" s="294"/>
    </row>
    <row r="57" spans="6:46" ht="12" customHeight="1" x14ac:dyDescent="0.2">
      <c r="H57" s="294"/>
      <c r="I57" s="294"/>
      <c r="J57" s="294"/>
      <c r="K57" s="294"/>
      <c r="L57" s="294"/>
      <c r="M57" s="294"/>
      <c r="N57" s="294"/>
      <c r="O57" s="294"/>
      <c r="P57" s="294"/>
      <c r="Q57" s="294"/>
      <c r="R57" s="294"/>
      <c r="S57" s="294"/>
      <c r="T57" s="294"/>
      <c r="U57" s="294"/>
      <c r="V57" s="294"/>
      <c r="W57" s="294"/>
      <c r="X57" s="294"/>
      <c r="Y57" s="294"/>
      <c r="Z57" s="294"/>
      <c r="AA57" s="294"/>
      <c r="AB57" s="294"/>
      <c r="AC57" s="294"/>
      <c r="AD57" s="294"/>
      <c r="AE57" s="294"/>
      <c r="AF57" s="294"/>
      <c r="AG57" s="294"/>
      <c r="AH57" s="294"/>
      <c r="AI57" s="294"/>
      <c r="AJ57" s="294"/>
      <c r="AK57" s="294"/>
      <c r="AL57" s="294"/>
      <c r="AM57" s="294"/>
      <c r="AN57" s="294"/>
      <c r="AO57" s="294"/>
      <c r="AP57" s="294"/>
      <c r="AQ57" s="294"/>
      <c r="AR57" s="294"/>
      <c r="AS57" s="294"/>
      <c r="AT57" s="294"/>
    </row>
    <row r="58" spans="6:46" ht="12" customHeight="1" x14ac:dyDescent="0.2">
      <c r="H58" s="294"/>
      <c r="I58" s="294"/>
      <c r="J58" s="294"/>
      <c r="K58" s="294"/>
      <c r="L58" s="294"/>
      <c r="M58" s="294"/>
      <c r="N58" s="294"/>
      <c r="O58" s="294"/>
      <c r="P58" s="294"/>
      <c r="Q58" s="294"/>
      <c r="R58" s="294"/>
      <c r="S58" s="294"/>
      <c r="T58" s="294"/>
      <c r="U58" s="294"/>
      <c r="V58" s="294"/>
      <c r="W58" s="294"/>
      <c r="X58" s="294"/>
      <c r="Y58" s="294"/>
      <c r="Z58" s="294"/>
      <c r="AA58" s="294"/>
      <c r="AB58" s="294"/>
      <c r="AC58" s="294"/>
      <c r="AD58" s="294"/>
      <c r="AE58" s="294"/>
      <c r="AF58" s="294"/>
      <c r="AG58" s="294"/>
      <c r="AH58" s="294"/>
      <c r="AI58" s="294"/>
      <c r="AJ58" s="294"/>
      <c r="AK58" s="294"/>
      <c r="AL58" s="294"/>
      <c r="AM58" s="294"/>
      <c r="AN58" s="294"/>
      <c r="AO58" s="294"/>
      <c r="AP58" s="294"/>
      <c r="AQ58" s="294"/>
      <c r="AR58" s="294"/>
      <c r="AS58" s="294"/>
      <c r="AT58" s="294"/>
    </row>
    <row r="59" spans="6:46" ht="12" customHeight="1" x14ac:dyDescent="0.2">
      <c r="H59" s="294"/>
      <c r="I59" s="294"/>
      <c r="J59" s="294"/>
      <c r="K59" s="294"/>
      <c r="L59" s="294"/>
      <c r="M59" s="294"/>
      <c r="N59" s="294"/>
      <c r="O59" s="294"/>
      <c r="P59" s="294"/>
      <c r="Q59" s="294"/>
      <c r="R59" s="294"/>
      <c r="S59" s="294"/>
      <c r="T59" s="294"/>
      <c r="U59" s="294"/>
      <c r="V59" s="294"/>
      <c r="W59" s="294"/>
      <c r="X59" s="294"/>
      <c r="Y59" s="294"/>
      <c r="Z59" s="294"/>
      <c r="AA59" s="294"/>
      <c r="AB59" s="294"/>
      <c r="AC59" s="294"/>
      <c r="AD59" s="294"/>
      <c r="AE59" s="294"/>
      <c r="AF59" s="294"/>
      <c r="AG59" s="294"/>
      <c r="AH59" s="294"/>
      <c r="AI59" s="294"/>
      <c r="AJ59" s="294"/>
      <c r="AK59" s="294"/>
      <c r="AL59" s="294"/>
      <c r="AM59" s="294"/>
      <c r="AN59" s="294"/>
      <c r="AO59" s="294"/>
      <c r="AP59" s="294"/>
      <c r="AQ59" s="294"/>
      <c r="AR59" s="294"/>
      <c r="AS59" s="294"/>
      <c r="AT59" s="294"/>
    </row>
    <row r="130" ht="12.75" x14ac:dyDescent="0.2"/>
    <row r="131" ht="12.75" x14ac:dyDescent="0.2"/>
    <row r="132" ht="12.75" x14ac:dyDescent="0.2"/>
    <row r="133" ht="12.75" x14ac:dyDescent="0.2"/>
    <row r="134" ht="12.75" x14ac:dyDescent="0.2"/>
    <row r="135" ht="12.75" x14ac:dyDescent="0.2"/>
    <row r="136" ht="12.75" x14ac:dyDescent="0.2"/>
    <row r="137" ht="12.75" x14ac:dyDescent="0.2"/>
    <row r="138" ht="12.75" x14ac:dyDescent="0.2"/>
    <row r="139" ht="12.75" x14ac:dyDescent="0.2"/>
    <row r="140" ht="12.75" x14ac:dyDescent="0.2"/>
    <row r="141" ht="12.75" x14ac:dyDescent="0.2"/>
    <row r="142" ht="12.75" x14ac:dyDescent="0.2"/>
    <row r="143" ht="12.75" x14ac:dyDescent="0.2"/>
    <row r="144" ht="12.75" x14ac:dyDescent="0.2"/>
    <row r="145" ht="12.75" x14ac:dyDescent="0.2"/>
    <row r="146" ht="12.75" x14ac:dyDescent="0.2"/>
    <row r="147" ht="12.75" x14ac:dyDescent="0.2"/>
    <row r="148" ht="12.75" x14ac:dyDescent="0.2"/>
    <row r="149" ht="12.75" x14ac:dyDescent="0.2"/>
    <row r="150" ht="12.75" x14ac:dyDescent="0.2"/>
    <row r="151" ht="12.75" x14ac:dyDescent="0.2"/>
    <row r="152" ht="12.75" x14ac:dyDescent="0.2"/>
    <row r="153" ht="12.75" x14ac:dyDescent="0.2"/>
    <row r="154" ht="12.75" x14ac:dyDescent="0.2"/>
    <row r="155" ht="12.75" x14ac:dyDescent="0.2"/>
    <row r="156" ht="12.75" x14ac:dyDescent="0.2"/>
    <row r="157" ht="12.75" x14ac:dyDescent="0.2"/>
    <row r="158" ht="12.75" x14ac:dyDescent="0.2"/>
    <row r="159" ht="12.75" x14ac:dyDescent="0.2"/>
    <row r="160" ht="12.75" x14ac:dyDescent="0.2"/>
    <row r="161" spans="52:62" ht="12.75" x14ac:dyDescent="0.2"/>
    <row r="162" spans="52:62" ht="12.75" x14ac:dyDescent="0.2"/>
    <row r="163" spans="52:62" ht="12.75" x14ac:dyDescent="0.2"/>
    <row r="164" spans="52:62" ht="12.75" x14ac:dyDescent="0.2"/>
    <row r="165" spans="52:62" ht="12.75" x14ac:dyDescent="0.2"/>
    <row r="166" spans="52:62" ht="12.75" x14ac:dyDescent="0.2"/>
    <row r="167" spans="52:62" ht="12.75" x14ac:dyDescent="0.2"/>
    <row r="168" spans="52:62" ht="12.75" x14ac:dyDescent="0.2"/>
    <row r="169" spans="52:62" ht="12.75" x14ac:dyDescent="0.2"/>
    <row r="170" spans="52:62" ht="12.75" x14ac:dyDescent="0.2"/>
    <row r="171" spans="52:62" ht="12.75" x14ac:dyDescent="0.2"/>
    <row r="172" spans="52:62" ht="12.75" x14ac:dyDescent="0.2"/>
    <row r="173" spans="52:62" ht="12.75" x14ac:dyDescent="0.2"/>
    <row r="174" spans="52:62" ht="12.75" x14ac:dyDescent="0.2"/>
    <row r="175" spans="52:62" ht="12.75" x14ac:dyDescent="0.2"/>
    <row r="176" spans="52:62" ht="12.75" x14ac:dyDescent="0.2">
      <c r="AZ176" s="32" t="s">
        <v>1360</v>
      </c>
      <c r="BB176" s="32" t="s">
        <v>1359</v>
      </c>
      <c r="BC176" s="32" t="s">
        <v>1357</v>
      </c>
      <c r="BD176" s="32" t="s">
        <v>1358</v>
      </c>
      <c r="BE176" s="32" t="s">
        <v>1608</v>
      </c>
      <c r="BF176" s="32" t="s">
        <v>1609</v>
      </c>
      <c r="BG176" s="32" t="s">
        <v>561</v>
      </c>
      <c r="BH176" s="32" t="s">
        <v>1641</v>
      </c>
      <c r="BI176" s="32" t="s">
        <v>1642</v>
      </c>
      <c r="BJ176" s="32" t="s">
        <v>1643</v>
      </c>
    </row>
    <row r="177" spans="52:62" ht="12" customHeight="1" x14ac:dyDescent="0.2">
      <c r="AZ177" s="29" t="s">
        <v>1356</v>
      </c>
      <c r="BB177" s="31">
        <v>6</v>
      </c>
      <c r="BC177" s="31">
        <v>1</v>
      </c>
      <c r="BD177" s="31">
        <v>10</v>
      </c>
      <c r="BE177" s="31">
        <v>45</v>
      </c>
      <c r="BF177" s="31">
        <v>750</v>
      </c>
      <c r="BG177" s="29">
        <v>8</v>
      </c>
      <c r="BH177" s="29" t="s">
        <v>1648</v>
      </c>
      <c r="BI177" s="29">
        <v>15</v>
      </c>
      <c r="BJ177" s="29">
        <v>15</v>
      </c>
    </row>
    <row r="178" spans="52:62" ht="12" customHeight="1" x14ac:dyDescent="0.2">
      <c r="AZ178" s="29" t="s">
        <v>1361</v>
      </c>
      <c r="BB178" s="31">
        <v>6</v>
      </c>
      <c r="BC178" s="31">
        <v>1</v>
      </c>
      <c r="BD178" s="31">
        <v>10</v>
      </c>
      <c r="BE178" s="31">
        <v>45</v>
      </c>
      <c r="BF178" s="31">
        <v>750</v>
      </c>
      <c r="BG178" s="29">
        <v>18</v>
      </c>
      <c r="BH178" s="29" t="s">
        <v>1649</v>
      </c>
      <c r="BI178" s="29">
        <v>21</v>
      </c>
      <c r="BJ178" s="29">
        <v>30</v>
      </c>
    </row>
    <row r="179" spans="52:62" ht="12" customHeight="1" x14ac:dyDescent="0.2">
      <c r="AZ179" s="29" t="s">
        <v>1362</v>
      </c>
      <c r="BB179" s="31">
        <v>3</v>
      </c>
      <c r="BC179" s="31">
        <v>20</v>
      </c>
      <c r="BD179" s="31">
        <v>95</v>
      </c>
      <c r="BE179" s="31">
        <v>10</v>
      </c>
      <c r="BF179" s="31">
        <v>35</v>
      </c>
      <c r="BG179" s="29">
        <v>18</v>
      </c>
      <c r="BH179" s="29" t="s">
        <v>1649</v>
      </c>
      <c r="BI179" s="29">
        <v>20</v>
      </c>
      <c r="BJ179" s="29">
        <v>30</v>
      </c>
    </row>
    <row r="180" spans="52:62" ht="12" customHeight="1" x14ac:dyDescent="0.2">
      <c r="AZ180" s="29" t="s">
        <v>1363</v>
      </c>
      <c r="BB180" s="31">
        <v>3</v>
      </c>
      <c r="BC180" s="31">
        <v>20</v>
      </c>
      <c r="BD180" s="31">
        <v>95</v>
      </c>
      <c r="BE180" s="31">
        <v>10</v>
      </c>
      <c r="BF180" s="31">
        <v>35</v>
      </c>
      <c r="BG180" s="29">
        <v>40</v>
      </c>
      <c r="BH180" s="29" t="s">
        <v>1649</v>
      </c>
      <c r="BI180" s="29">
        <v>45</v>
      </c>
      <c r="BJ180" s="29">
        <v>60</v>
      </c>
    </row>
    <row r="181" spans="52:62" ht="12" customHeight="1" x14ac:dyDescent="0.2">
      <c r="AZ181" s="29" t="s">
        <v>1364</v>
      </c>
      <c r="BB181" s="31">
        <v>3</v>
      </c>
      <c r="BC181" s="31">
        <v>32</v>
      </c>
      <c r="BD181" s="31">
        <v>160</v>
      </c>
      <c r="BE181" s="31">
        <v>21</v>
      </c>
      <c r="BF181" s="31">
        <v>40</v>
      </c>
      <c r="BG181" s="29">
        <v>25</v>
      </c>
      <c r="BH181" s="29" t="s">
        <v>1649</v>
      </c>
      <c r="BI181" s="29">
        <v>28</v>
      </c>
      <c r="BJ181" s="29">
        <v>30</v>
      </c>
    </row>
    <row r="182" spans="52:62" ht="12" customHeight="1" x14ac:dyDescent="0.2">
      <c r="AZ182" s="29" t="s">
        <v>1365</v>
      </c>
      <c r="BB182" s="31">
        <v>3</v>
      </c>
      <c r="BC182" s="31">
        <v>32</v>
      </c>
      <c r="BD182" s="31">
        <v>160</v>
      </c>
      <c r="BE182" s="31">
        <v>21</v>
      </c>
      <c r="BF182" s="31">
        <v>40</v>
      </c>
      <c r="BG182" s="29">
        <v>56</v>
      </c>
      <c r="BH182" s="29" t="s">
        <v>1648</v>
      </c>
      <c r="BI182" s="29">
        <v>62</v>
      </c>
      <c r="BJ182" s="29">
        <v>70</v>
      </c>
    </row>
    <row r="187" spans="52:62" ht="12" customHeight="1" x14ac:dyDescent="0.2">
      <c r="BB187" s="31"/>
      <c r="BC187" s="31"/>
      <c r="BD187" s="31"/>
    </row>
    <row r="188" spans="52:62" ht="12" customHeight="1" x14ac:dyDescent="0.2">
      <c r="BB188" s="31"/>
      <c r="BC188" s="31"/>
      <c r="BD188" s="31"/>
    </row>
    <row r="191" spans="52:62" ht="12" customHeight="1" x14ac:dyDescent="0.2">
      <c r="AZ191" s="32" t="s">
        <v>581</v>
      </c>
    </row>
    <row r="192" spans="52:62" ht="12" customHeight="1" x14ac:dyDescent="0.2">
      <c r="AZ192" s="33" t="s">
        <v>582</v>
      </c>
      <c r="BA192" s="33"/>
      <c r="BB192" s="33"/>
      <c r="BC192" s="33"/>
      <c r="BD192" s="33"/>
      <c r="BE192" s="33"/>
      <c r="BF192" s="33"/>
      <c r="BG192" s="33"/>
      <c r="BI192" s="71"/>
    </row>
    <row r="193" spans="52:59" ht="12.75" x14ac:dyDescent="0.2">
      <c r="AZ193" s="33" t="s">
        <v>583</v>
      </c>
      <c r="BA193" s="33"/>
      <c r="BB193" s="33"/>
      <c r="BC193" s="33"/>
      <c r="BD193" s="33"/>
      <c r="BE193" s="33"/>
      <c r="BF193" s="33"/>
      <c r="BG193" s="33"/>
    </row>
    <row r="194" spans="52:59" ht="12.75" x14ac:dyDescent="0.2">
      <c r="AZ194" s="44" t="s">
        <v>584</v>
      </c>
    </row>
    <row r="195" spans="52:59" ht="12.75" x14ac:dyDescent="0.2">
      <c r="AZ195" s="44" t="s">
        <v>353</v>
      </c>
    </row>
    <row r="196" spans="52:59" ht="12.75" x14ac:dyDescent="0.2"/>
    <row r="197" spans="52:59" ht="12.75" x14ac:dyDescent="0.2">
      <c r="AZ197" s="32" t="s">
        <v>596</v>
      </c>
      <c r="BD197" s="32" t="s">
        <v>1005</v>
      </c>
    </row>
    <row r="198" spans="52:59" ht="12.75" x14ac:dyDescent="0.2">
      <c r="AZ198" s="33" t="s">
        <v>1174</v>
      </c>
      <c r="BD198" s="44" t="s">
        <v>1182</v>
      </c>
    </row>
    <row r="199" spans="52:59" ht="12.75" x14ac:dyDescent="0.2">
      <c r="AZ199" s="33" t="s">
        <v>588</v>
      </c>
      <c r="BD199" s="44" t="s">
        <v>896</v>
      </c>
    </row>
    <row r="200" spans="52:59" ht="12.75" x14ac:dyDescent="0.2">
      <c r="AZ200" s="33" t="s">
        <v>1175</v>
      </c>
      <c r="BD200" s="44" t="s">
        <v>914</v>
      </c>
    </row>
    <row r="201" spans="52:59" ht="12.75" x14ac:dyDescent="0.2">
      <c r="AZ201" s="33" t="s">
        <v>589</v>
      </c>
      <c r="BD201" s="44" t="s">
        <v>915</v>
      </c>
    </row>
    <row r="202" spans="52:59" ht="12.75" x14ac:dyDescent="0.2">
      <c r="AZ202" s="44" t="s">
        <v>590</v>
      </c>
    </row>
    <row r="203" spans="52:59" ht="12.75" x14ac:dyDescent="0.2">
      <c r="AZ203" s="44" t="s">
        <v>1176</v>
      </c>
    </row>
    <row r="204" spans="52:59" ht="12.75" x14ac:dyDescent="0.2">
      <c r="AZ204" s="44" t="s">
        <v>591</v>
      </c>
    </row>
    <row r="205" spans="52:59" ht="12.75" x14ac:dyDescent="0.2">
      <c r="AZ205" s="44" t="s">
        <v>592</v>
      </c>
    </row>
    <row r="206" spans="52:59" ht="12.75" x14ac:dyDescent="0.2">
      <c r="AZ206" s="44" t="s">
        <v>987</v>
      </c>
      <c r="BD206" s="32" t="s">
        <v>140</v>
      </c>
    </row>
    <row r="207" spans="52:59" ht="12.75" x14ac:dyDescent="0.2">
      <c r="AZ207" s="44" t="s">
        <v>593</v>
      </c>
      <c r="BD207" s="71" t="s">
        <v>350</v>
      </c>
    </row>
    <row r="208" spans="52:59" ht="12.75" x14ac:dyDescent="0.2">
      <c r="AZ208" s="44" t="s">
        <v>594</v>
      </c>
      <c r="BD208" s="71" t="s">
        <v>141</v>
      </c>
    </row>
    <row r="209" spans="52:57" ht="12.75" x14ac:dyDescent="0.2">
      <c r="AZ209" s="44" t="s">
        <v>988</v>
      </c>
      <c r="BD209" s="71" t="s">
        <v>209</v>
      </c>
    </row>
    <row r="210" spans="52:57" ht="12.75" x14ac:dyDescent="0.2">
      <c r="AZ210" s="44" t="s">
        <v>595</v>
      </c>
      <c r="BD210" s="71" t="s">
        <v>210</v>
      </c>
    </row>
    <row r="211" spans="52:57" ht="12.75" x14ac:dyDescent="0.2">
      <c r="AZ211" s="44" t="s">
        <v>1020</v>
      </c>
      <c r="BD211" s="71" t="s">
        <v>211</v>
      </c>
    </row>
    <row r="212" spans="52:57" ht="12.75" x14ac:dyDescent="0.2">
      <c r="AZ212" s="44" t="s">
        <v>585</v>
      </c>
      <c r="BD212" s="71" t="s">
        <v>404</v>
      </c>
    </row>
    <row r="213" spans="52:57" ht="12.75" x14ac:dyDescent="0.2">
      <c r="AZ213" s="44" t="s">
        <v>586</v>
      </c>
      <c r="BD213" s="71" t="str">
        <f>IF(LEFT($U$1,1)="r","WALK-IN AUTO","")</f>
        <v/>
      </c>
    </row>
    <row r="214" spans="52:57" ht="12.75" x14ac:dyDescent="0.2">
      <c r="BD214" s="71"/>
    </row>
    <row r="215" spans="52:57" ht="12.75" x14ac:dyDescent="0.2"/>
    <row r="216" spans="52:57" ht="12.75" x14ac:dyDescent="0.2">
      <c r="AZ216" s="32" t="s">
        <v>597</v>
      </c>
    </row>
    <row r="217" spans="52:57" ht="12.75" x14ac:dyDescent="0.2">
      <c r="AZ217" s="44" t="s">
        <v>598</v>
      </c>
    </row>
    <row r="218" spans="52:57" ht="12.75" x14ac:dyDescent="0.2">
      <c r="AZ218" s="44" t="s">
        <v>599</v>
      </c>
      <c r="BC218" s="56"/>
      <c r="BD218" s="32" t="s">
        <v>90</v>
      </c>
      <c r="BE218" s="32" t="s">
        <v>1273</v>
      </c>
    </row>
    <row r="219" spans="52:57" ht="12.75" x14ac:dyDescent="0.2">
      <c r="AZ219" s="44" t="s">
        <v>600</v>
      </c>
      <c r="BD219" s="44" t="s">
        <v>1203</v>
      </c>
      <c r="BE219" s="44"/>
    </row>
    <row r="220" spans="52:57" ht="12.75" x14ac:dyDescent="0.2">
      <c r="AZ220" s="44" t="s">
        <v>916</v>
      </c>
      <c r="BD220" s="44" t="s">
        <v>1249</v>
      </c>
      <c r="BE220" s="44" t="s">
        <v>1274</v>
      </c>
    </row>
    <row r="221" spans="52:57" ht="12.75" x14ac:dyDescent="0.2">
      <c r="AZ221" s="44" t="s">
        <v>1202</v>
      </c>
      <c r="BD221" s="44" t="s">
        <v>1007</v>
      </c>
      <c r="BE221" s="44"/>
    </row>
    <row r="222" spans="52:57" ht="12.75" x14ac:dyDescent="0.2">
      <c r="AZ222" s="44" t="s">
        <v>1160</v>
      </c>
      <c r="BD222" s="44" t="s">
        <v>43</v>
      </c>
      <c r="BE222" s="44"/>
    </row>
    <row r="223" spans="52:57" ht="12.75" x14ac:dyDescent="0.2">
      <c r="AZ223" s="44" t="s">
        <v>1264</v>
      </c>
      <c r="BD223" s="44" t="s">
        <v>1240</v>
      </c>
      <c r="BE223" s="44"/>
    </row>
    <row r="224" spans="52:57" ht="12.75" x14ac:dyDescent="0.2">
      <c r="AZ224" s="44" t="s">
        <v>1161</v>
      </c>
      <c r="BD224" s="44" t="s">
        <v>44</v>
      </c>
      <c r="BE224" s="44"/>
    </row>
    <row r="225" spans="52:57" ht="12.75" x14ac:dyDescent="0.2">
      <c r="AZ225" s="44" t="s">
        <v>1627</v>
      </c>
      <c r="BD225" s="44" t="s">
        <v>1272</v>
      </c>
      <c r="BE225" s="44"/>
    </row>
    <row r="226" spans="52:57" ht="12.75" x14ac:dyDescent="0.2">
      <c r="AZ226" s="44" t="s">
        <v>1201</v>
      </c>
      <c r="BA226" s="44"/>
      <c r="BD226" s="44" t="s">
        <v>371</v>
      </c>
      <c r="BE226" s="44"/>
    </row>
    <row r="227" spans="52:57" ht="12.75" x14ac:dyDescent="0.2">
      <c r="BD227" s="44" t="s">
        <v>45</v>
      </c>
      <c r="BE227" s="44" t="s">
        <v>1275</v>
      </c>
    </row>
    <row r="228" spans="52:57" ht="12.75" x14ac:dyDescent="0.2">
      <c r="AZ228" s="32" t="s">
        <v>1002</v>
      </c>
      <c r="BD228" s="44" t="s">
        <v>1029</v>
      </c>
      <c r="BE228" s="44"/>
    </row>
    <row r="229" spans="52:57" ht="12.75" x14ac:dyDescent="0.2">
      <c r="AZ229" s="44" t="s">
        <v>917</v>
      </c>
      <c r="BD229" s="44" t="s">
        <v>66</v>
      </c>
      <c r="BE229" s="44"/>
    </row>
    <row r="230" spans="52:57" ht="12.75" x14ac:dyDescent="0.2">
      <c r="AZ230" s="44" t="s">
        <v>918</v>
      </c>
      <c r="BD230" s="44" t="s">
        <v>1244</v>
      </c>
      <c r="BE230" s="44" t="s">
        <v>1276</v>
      </c>
    </row>
    <row r="231" spans="52:57" ht="12.75" x14ac:dyDescent="0.2">
      <c r="AZ231" s="44" t="s">
        <v>898</v>
      </c>
      <c r="BD231" s="44" t="s">
        <v>1970</v>
      </c>
      <c r="BE231" s="44" t="s">
        <v>1973</v>
      </c>
    </row>
    <row r="232" spans="52:57" ht="12.75" x14ac:dyDescent="0.2">
      <c r="AZ232" s="44" t="s">
        <v>919</v>
      </c>
      <c r="BD232" s="44" t="s">
        <v>1971</v>
      </c>
      <c r="BE232" s="44" t="s">
        <v>1974</v>
      </c>
    </row>
    <row r="233" spans="52:57" ht="12.75" x14ac:dyDescent="0.2">
      <c r="AZ233" s="44" t="s">
        <v>920</v>
      </c>
      <c r="BD233" s="44" t="s">
        <v>1972</v>
      </c>
      <c r="BE233" s="44" t="s">
        <v>1975</v>
      </c>
    </row>
    <row r="234" spans="52:57" ht="12.75" x14ac:dyDescent="0.2">
      <c r="AZ234" s="44" t="s">
        <v>921</v>
      </c>
      <c r="BD234" s="44" t="s">
        <v>64</v>
      </c>
      <c r="BE234" s="44" t="s">
        <v>1277</v>
      </c>
    </row>
    <row r="235" spans="52:57" ht="12.75" x14ac:dyDescent="0.2">
      <c r="AZ235" s="44" t="s">
        <v>922</v>
      </c>
      <c r="BD235" s="44" t="s">
        <v>39</v>
      </c>
      <c r="BE235" s="44" t="s">
        <v>1307</v>
      </c>
    </row>
    <row r="236" spans="52:57" ht="12.75" x14ac:dyDescent="0.2">
      <c r="BD236" s="44" t="s">
        <v>67</v>
      </c>
      <c r="BE236" s="44"/>
    </row>
    <row r="237" spans="52:57" ht="12.75" x14ac:dyDescent="0.2">
      <c r="AZ237" s="32" t="s">
        <v>1003</v>
      </c>
      <c r="BD237" s="44" t="s">
        <v>59</v>
      </c>
      <c r="BE237" s="44" t="s">
        <v>1308</v>
      </c>
    </row>
    <row r="238" spans="52:57" ht="12.75" x14ac:dyDescent="0.2">
      <c r="AZ238" s="44" t="s">
        <v>923</v>
      </c>
      <c r="BD238" s="44" t="s">
        <v>41</v>
      </c>
      <c r="BE238" s="44" t="s">
        <v>1278</v>
      </c>
    </row>
    <row r="239" spans="52:57" ht="12.75" x14ac:dyDescent="0.2">
      <c r="AZ239" s="44" t="s">
        <v>900</v>
      </c>
      <c r="BB239" s="32" t="s">
        <v>609</v>
      </c>
      <c r="BD239" s="44" t="s">
        <v>47</v>
      </c>
      <c r="BE239" s="44" t="s">
        <v>1279</v>
      </c>
    </row>
    <row r="240" spans="52:57" ht="12.75" x14ac:dyDescent="0.2">
      <c r="BB240" s="44" t="s">
        <v>1095</v>
      </c>
      <c r="BD240" s="44" t="s">
        <v>35</v>
      </c>
      <c r="BE240" s="44" t="s">
        <v>1280</v>
      </c>
    </row>
    <row r="241" spans="52:57" ht="12.75" x14ac:dyDescent="0.2">
      <c r="AZ241" s="32" t="s">
        <v>606</v>
      </c>
      <c r="BB241" s="44" t="s">
        <v>1096</v>
      </c>
      <c r="BD241" s="44" t="s">
        <v>38</v>
      </c>
      <c r="BE241" s="44"/>
    </row>
    <row r="242" spans="52:57" ht="12.75" x14ac:dyDescent="0.2">
      <c r="AZ242" s="44" t="s">
        <v>603</v>
      </c>
      <c r="BB242" s="44" t="s">
        <v>1097</v>
      </c>
      <c r="BD242" s="44" t="s">
        <v>1014</v>
      </c>
      <c r="BE242" s="44" t="s">
        <v>1309</v>
      </c>
    </row>
    <row r="243" spans="52:57" ht="12.75" x14ac:dyDescent="0.2">
      <c r="AZ243" s="44" t="s">
        <v>604</v>
      </c>
      <c r="BB243" s="44" t="s">
        <v>1098</v>
      </c>
      <c r="BD243" s="44" t="s">
        <v>36</v>
      </c>
      <c r="BE243" s="44" t="s">
        <v>1281</v>
      </c>
    </row>
    <row r="244" spans="52:57" ht="12.75" x14ac:dyDescent="0.2">
      <c r="AZ244" s="44" t="s">
        <v>605</v>
      </c>
      <c r="BB244" s="44" t="s">
        <v>1099</v>
      </c>
      <c r="BD244" s="44" t="s">
        <v>1964</v>
      </c>
      <c r="BE244" s="44" t="s">
        <v>1965</v>
      </c>
    </row>
    <row r="245" spans="52:57" ht="12.75" x14ac:dyDescent="0.2">
      <c r="AZ245" s="44" t="s">
        <v>1263</v>
      </c>
      <c r="BB245" s="44" t="s">
        <v>1126</v>
      </c>
      <c r="BD245" s="44" t="s">
        <v>1966</v>
      </c>
      <c r="BE245" s="44" t="s">
        <v>1967</v>
      </c>
    </row>
    <row r="246" spans="52:57" ht="12.75" x14ac:dyDescent="0.2">
      <c r="AZ246" s="44" t="s">
        <v>607</v>
      </c>
      <c r="BB246" s="44" t="s">
        <v>1101</v>
      </c>
      <c r="BD246" s="44" t="s">
        <v>1968</v>
      </c>
      <c r="BE246" s="44" t="s">
        <v>1969</v>
      </c>
    </row>
    <row r="247" spans="52:57" ht="12.75" x14ac:dyDescent="0.2">
      <c r="AZ247" s="44" t="s">
        <v>608</v>
      </c>
      <c r="BD247" s="44" t="s">
        <v>40</v>
      </c>
      <c r="BE247" s="44" t="s">
        <v>1282</v>
      </c>
    </row>
    <row r="248" spans="52:57" ht="12.75" x14ac:dyDescent="0.2">
      <c r="BD248" s="44" t="s">
        <v>1238</v>
      </c>
      <c r="BE248" s="44"/>
    </row>
    <row r="249" spans="52:57" ht="12.75" x14ac:dyDescent="0.2">
      <c r="BD249" s="44" t="s">
        <v>37</v>
      </c>
      <c r="BE249" s="44" t="s">
        <v>1283</v>
      </c>
    </row>
    <row r="250" spans="52:57" ht="12.75" x14ac:dyDescent="0.2">
      <c r="BD250" s="44" t="s">
        <v>1015</v>
      </c>
      <c r="BE250" s="44" t="s">
        <v>1310</v>
      </c>
    </row>
    <row r="251" spans="52:57" ht="12.75" x14ac:dyDescent="0.2">
      <c r="BD251" s="44" t="s">
        <v>86</v>
      </c>
      <c r="BE251" s="44" t="s">
        <v>1283</v>
      </c>
    </row>
    <row r="252" spans="52:57" ht="12.75" x14ac:dyDescent="0.2">
      <c r="BD252" s="44" t="s">
        <v>1031</v>
      </c>
      <c r="BE252" s="44" t="s">
        <v>1284</v>
      </c>
    </row>
    <row r="253" spans="52:57" ht="12.75" x14ac:dyDescent="0.2">
      <c r="BD253" s="44" t="s">
        <v>1199</v>
      </c>
      <c r="BE253" s="44" t="s">
        <v>1285</v>
      </c>
    </row>
    <row r="254" spans="52:57" ht="12.75" x14ac:dyDescent="0.2">
      <c r="BD254" s="44" t="s">
        <v>1248</v>
      </c>
      <c r="BE254" s="44" t="s">
        <v>1286</v>
      </c>
    </row>
    <row r="255" spans="52:57" ht="12.75" x14ac:dyDescent="0.2">
      <c r="BD255" s="44" t="s">
        <v>1028</v>
      </c>
      <c r="BE255" s="44" t="s">
        <v>1287</v>
      </c>
    </row>
    <row r="256" spans="52:57" ht="12.75" x14ac:dyDescent="0.2">
      <c r="AZ256" s="32" t="s">
        <v>610</v>
      </c>
      <c r="BD256" s="44" t="s">
        <v>1198</v>
      </c>
      <c r="BE256" s="44" t="s">
        <v>1288</v>
      </c>
    </row>
    <row r="257" spans="52:57" ht="12.75" x14ac:dyDescent="0.2">
      <c r="AZ257" s="44" t="s">
        <v>611</v>
      </c>
      <c r="BD257" s="44" t="s">
        <v>1250</v>
      </c>
      <c r="BE257" s="44" t="s">
        <v>1289</v>
      </c>
    </row>
    <row r="258" spans="52:57" ht="12.75" x14ac:dyDescent="0.2">
      <c r="AZ258" s="44" t="s">
        <v>612</v>
      </c>
      <c r="BD258" s="44" t="s">
        <v>1239</v>
      </c>
      <c r="BE258" s="44"/>
    </row>
    <row r="259" spans="52:57" ht="12.75" x14ac:dyDescent="0.2">
      <c r="BD259" s="44" t="s">
        <v>1958</v>
      </c>
      <c r="BE259" s="44" t="s">
        <v>1959</v>
      </c>
    </row>
    <row r="260" spans="52:57" ht="12.75" x14ac:dyDescent="0.2">
      <c r="AZ260" s="32" t="s">
        <v>613</v>
      </c>
      <c r="BD260" s="44" t="s">
        <v>1960</v>
      </c>
      <c r="BE260" s="44" t="s">
        <v>1961</v>
      </c>
    </row>
    <row r="261" spans="52:57" ht="12.75" x14ac:dyDescent="0.2">
      <c r="AZ261" s="44" t="s">
        <v>616</v>
      </c>
      <c r="BD261" s="44" t="s">
        <v>1962</v>
      </c>
      <c r="BE261" s="44" t="s">
        <v>1963</v>
      </c>
    </row>
    <row r="262" spans="52:57" ht="12.75" x14ac:dyDescent="0.2">
      <c r="AZ262" s="44" t="s">
        <v>614</v>
      </c>
      <c r="BD262" s="44" t="s">
        <v>1243</v>
      </c>
      <c r="BE262" s="44" t="s">
        <v>1290</v>
      </c>
    </row>
    <row r="263" spans="52:57" ht="12.75" x14ac:dyDescent="0.2">
      <c r="AZ263" s="44" t="s">
        <v>615</v>
      </c>
      <c r="BD263" s="44" t="s">
        <v>48</v>
      </c>
      <c r="BE263" s="44" t="s">
        <v>1291</v>
      </c>
    </row>
    <row r="264" spans="52:57" ht="12.75" x14ac:dyDescent="0.2">
      <c r="AZ264" s="32" t="s">
        <v>617</v>
      </c>
      <c r="BD264" s="44" t="s">
        <v>49</v>
      </c>
      <c r="BE264" s="44" t="s">
        <v>1292</v>
      </c>
    </row>
    <row r="265" spans="52:57" ht="12.75" x14ac:dyDescent="0.2">
      <c r="AZ265" s="44" t="s">
        <v>603</v>
      </c>
      <c r="BD265" s="44" t="s">
        <v>1251</v>
      </c>
      <c r="BE265" s="44" t="s">
        <v>1284</v>
      </c>
    </row>
    <row r="266" spans="52:57" ht="12.75" x14ac:dyDescent="0.2">
      <c r="AZ266" s="44" t="s">
        <v>618</v>
      </c>
      <c r="BD266" s="44" t="s">
        <v>65</v>
      </c>
      <c r="BE266" s="44" t="s">
        <v>1293</v>
      </c>
    </row>
    <row r="267" spans="52:57" ht="12.75" x14ac:dyDescent="0.2">
      <c r="AZ267" s="44" t="s">
        <v>619</v>
      </c>
      <c r="BB267" s="32" t="s">
        <v>628</v>
      </c>
      <c r="BD267" s="44" t="s">
        <v>1006</v>
      </c>
      <c r="BE267" s="44" t="s">
        <v>1294</v>
      </c>
    </row>
    <row r="268" spans="52:57" ht="12.75" x14ac:dyDescent="0.2">
      <c r="AZ268" s="44" t="s">
        <v>238</v>
      </c>
      <c r="BB268" s="70" t="s">
        <v>134</v>
      </c>
      <c r="BD268" s="44" t="s">
        <v>42</v>
      </c>
      <c r="BE268" s="44" t="s">
        <v>1295</v>
      </c>
    </row>
    <row r="269" spans="52:57" ht="12.75" x14ac:dyDescent="0.2">
      <c r="AZ269" s="44" t="s">
        <v>616</v>
      </c>
      <c r="BB269" s="44" t="s">
        <v>124</v>
      </c>
      <c r="BD269" s="44" t="s">
        <v>1242</v>
      </c>
      <c r="BE269" s="44"/>
    </row>
    <row r="270" spans="52:57" ht="12.75" x14ac:dyDescent="0.2">
      <c r="AZ270" s="32" t="s">
        <v>621</v>
      </c>
      <c r="BB270" s="44" t="s">
        <v>125</v>
      </c>
      <c r="BD270" s="44" t="s">
        <v>1030</v>
      </c>
      <c r="BE270" s="44"/>
    </row>
    <row r="271" spans="52:57" ht="12.75" x14ac:dyDescent="0.2">
      <c r="AZ271" s="44" t="s">
        <v>620</v>
      </c>
      <c r="BB271" s="44" t="s">
        <v>138</v>
      </c>
      <c r="BD271" s="44" t="s">
        <v>399</v>
      </c>
      <c r="BE271" s="44"/>
    </row>
    <row r="272" spans="52:57" ht="12.75" x14ac:dyDescent="0.2">
      <c r="AZ272" s="44" t="s">
        <v>1366</v>
      </c>
      <c r="BB272" s="44" t="s">
        <v>354</v>
      </c>
      <c r="BD272" s="44" t="s">
        <v>401</v>
      </c>
      <c r="BE272" s="44"/>
    </row>
    <row r="273" spans="52:57" ht="12.75" x14ac:dyDescent="0.2">
      <c r="AZ273" s="44"/>
      <c r="BD273" s="44" t="s">
        <v>46</v>
      </c>
      <c r="BE273" s="44" t="s">
        <v>1296</v>
      </c>
    </row>
    <row r="274" spans="52:57" ht="12.75" x14ac:dyDescent="0.2">
      <c r="AZ274" s="44" t="s">
        <v>616</v>
      </c>
      <c r="BD274" s="44" t="s">
        <v>80</v>
      </c>
      <c r="BE274" s="44" t="s">
        <v>1297</v>
      </c>
    </row>
    <row r="275" spans="52:57" ht="12.75" x14ac:dyDescent="0.2">
      <c r="AZ275" s="32" t="s">
        <v>622</v>
      </c>
      <c r="BD275" s="44" t="s">
        <v>70</v>
      </c>
      <c r="BE275" s="44" t="s">
        <v>1298</v>
      </c>
    </row>
    <row r="276" spans="52:57" ht="12.75" x14ac:dyDescent="0.2">
      <c r="AZ276" s="69" t="s">
        <v>623</v>
      </c>
      <c r="BD276" s="44" t="s">
        <v>72</v>
      </c>
      <c r="BE276" s="44" t="s">
        <v>1299</v>
      </c>
    </row>
    <row r="277" spans="52:57" ht="12.75" x14ac:dyDescent="0.2">
      <c r="AZ277" s="69" t="s">
        <v>624</v>
      </c>
      <c r="BD277" s="44" t="s">
        <v>71</v>
      </c>
      <c r="BE277" s="44"/>
    </row>
    <row r="278" spans="52:57" ht="12.75" x14ac:dyDescent="0.2">
      <c r="AZ278" s="69" t="s">
        <v>711</v>
      </c>
      <c r="BD278" s="44" t="s">
        <v>73</v>
      </c>
      <c r="BE278" s="44"/>
    </row>
    <row r="279" spans="52:57" ht="12.75" x14ac:dyDescent="0.2">
      <c r="AZ279" s="44" t="s">
        <v>410</v>
      </c>
      <c r="BD279" s="44" t="s">
        <v>1234</v>
      </c>
      <c r="BE279" s="44" t="s">
        <v>1300</v>
      </c>
    </row>
    <row r="280" spans="52:57" ht="12.75" x14ac:dyDescent="0.2">
      <c r="BD280" s="44" t="s">
        <v>1235</v>
      </c>
      <c r="BE280" s="44" t="s">
        <v>1300</v>
      </c>
    </row>
    <row r="281" spans="52:57" ht="12.75" x14ac:dyDescent="0.2">
      <c r="AZ281" s="32" t="s">
        <v>627</v>
      </c>
      <c r="BB281" s="32" t="s">
        <v>370</v>
      </c>
      <c r="BD281" s="44" t="s">
        <v>68</v>
      </c>
      <c r="BE281" s="44" t="s">
        <v>1300</v>
      </c>
    </row>
    <row r="282" spans="52:57" ht="12.75" x14ac:dyDescent="0.2">
      <c r="AZ282" s="44" t="s">
        <v>625</v>
      </c>
      <c r="BB282" s="31" t="s">
        <v>367</v>
      </c>
      <c r="BD282" s="44" t="s">
        <v>83</v>
      </c>
      <c r="BE282" s="44" t="s">
        <v>1300</v>
      </c>
    </row>
    <row r="283" spans="52:57" ht="12" customHeight="1" x14ac:dyDescent="0.2">
      <c r="AZ283" s="44" t="s">
        <v>119</v>
      </c>
      <c r="BB283" s="31" t="s">
        <v>368</v>
      </c>
      <c r="BD283" s="44" t="s">
        <v>84</v>
      </c>
      <c r="BE283" s="44" t="s">
        <v>1300</v>
      </c>
    </row>
    <row r="284" spans="52:57" ht="12" customHeight="1" x14ac:dyDescent="0.2">
      <c r="AZ284" s="44" t="s">
        <v>626</v>
      </c>
      <c r="BB284" s="31" t="s">
        <v>32</v>
      </c>
      <c r="BD284" s="44" t="s">
        <v>1252</v>
      </c>
      <c r="BE284" s="44"/>
    </row>
    <row r="285" spans="52:57" ht="12" customHeight="1" x14ac:dyDescent="0.2">
      <c r="AZ285" s="44"/>
      <c r="BB285" s="31" t="s">
        <v>197</v>
      </c>
      <c r="BD285" s="44" t="s">
        <v>69</v>
      </c>
      <c r="BE285" s="44" t="s">
        <v>1301</v>
      </c>
    </row>
    <row r="286" spans="52:57" ht="12" customHeight="1" x14ac:dyDescent="0.2">
      <c r="BB286" s="31" t="s">
        <v>369</v>
      </c>
      <c r="BD286" s="44" t="s">
        <v>81</v>
      </c>
      <c r="BE286" s="44"/>
    </row>
    <row r="287" spans="52:57" ht="12" customHeight="1" x14ac:dyDescent="0.2">
      <c r="BD287" s="44" t="s">
        <v>79</v>
      </c>
      <c r="BE287" s="44"/>
    </row>
    <row r="288" spans="52:57" ht="12" customHeight="1" x14ac:dyDescent="0.2">
      <c r="BB288" s="32" t="s">
        <v>33</v>
      </c>
      <c r="BD288" s="44" t="s">
        <v>74</v>
      </c>
      <c r="BE288" s="44" t="s">
        <v>1302</v>
      </c>
    </row>
    <row r="289" spans="52:57" ht="12" customHeight="1" x14ac:dyDescent="0.2">
      <c r="AZ289" s="32" t="s">
        <v>628</v>
      </c>
      <c r="BB289" s="31" t="s">
        <v>144</v>
      </c>
      <c r="BD289" s="44" t="s">
        <v>1009</v>
      </c>
      <c r="BE289" s="44" t="s">
        <v>1302</v>
      </c>
    </row>
    <row r="290" spans="52:57" ht="12" customHeight="1" x14ac:dyDescent="0.2">
      <c r="AZ290" s="70" t="s">
        <v>134</v>
      </c>
      <c r="BB290" s="31" t="s">
        <v>143</v>
      </c>
      <c r="BD290" s="44" t="s">
        <v>1010</v>
      </c>
      <c r="BE290" s="44" t="s">
        <v>1302</v>
      </c>
    </row>
    <row r="291" spans="52:57" ht="12" customHeight="1" x14ac:dyDescent="0.2">
      <c r="AZ291" s="44" t="s">
        <v>1194</v>
      </c>
      <c r="BB291" s="31" t="s">
        <v>27</v>
      </c>
      <c r="BD291" s="44" t="s">
        <v>287</v>
      </c>
      <c r="BE291" s="44"/>
    </row>
    <row r="292" spans="52:57" ht="12" customHeight="1" x14ac:dyDescent="0.2">
      <c r="AZ292" s="44" t="s">
        <v>123</v>
      </c>
      <c r="BB292" s="31" t="s">
        <v>23</v>
      </c>
      <c r="BD292" s="44" t="s">
        <v>50</v>
      </c>
      <c r="BE292" s="44" t="s">
        <v>1303</v>
      </c>
    </row>
    <row r="293" spans="52:57" ht="12" customHeight="1" x14ac:dyDescent="0.2">
      <c r="AZ293" s="44" t="s">
        <v>124</v>
      </c>
      <c r="BB293" s="31" t="s">
        <v>28</v>
      </c>
      <c r="BD293" s="44" t="s">
        <v>75</v>
      </c>
      <c r="BE293" s="44"/>
    </row>
    <row r="294" spans="52:57" ht="12" customHeight="1" x14ac:dyDescent="0.2">
      <c r="AZ294" s="44" t="s">
        <v>138</v>
      </c>
      <c r="BB294" s="31" t="s">
        <v>24</v>
      </c>
      <c r="BD294" s="44" t="s">
        <v>77</v>
      </c>
      <c r="BE294" s="44" t="s">
        <v>1304</v>
      </c>
    </row>
    <row r="295" spans="52:57" ht="12" customHeight="1" x14ac:dyDescent="0.2">
      <c r="AZ295" s="32" t="s">
        <v>1004</v>
      </c>
      <c r="BB295" s="31" t="s">
        <v>25</v>
      </c>
      <c r="BD295" s="44" t="s">
        <v>1245</v>
      </c>
      <c r="BE295" s="44" t="s">
        <v>1305</v>
      </c>
    </row>
    <row r="296" spans="52:57" ht="12" customHeight="1" x14ac:dyDescent="0.2">
      <c r="AZ296" s="44" t="s">
        <v>1183</v>
      </c>
      <c r="BB296" s="31" t="s">
        <v>26</v>
      </c>
      <c r="BD296" s="44" t="s">
        <v>1246</v>
      </c>
      <c r="BE296" s="44" t="s">
        <v>1305</v>
      </c>
    </row>
    <row r="297" spans="52:57" ht="12" customHeight="1" x14ac:dyDescent="0.2">
      <c r="AZ297" s="44" t="s">
        <v>1184</v>
      </c>
      <c r="BB297" s="31" t="s">
        <v>29</v>
      </c>
      <c r="BD297" s="44" t="s">
        <v>76</v>
      </c>
      <c r="BE297" s="44" t="s">
        <v>1305</v>
      </c>
    </row>
    <row r="298" spans="52:57" ht="12" customHeight="1" x14ac:dyDescent="0.2">
      <c r="BB298" s="31" t="s">
        <v>30</v>
      </c>
      <c r="BD298" s="44" t="s">
        <v>51</v>
      </c>
      <c r="BE298" s="44" t="s">
        <v>1306</v>
      </c>
    </row>
    <row r="299" spans="52:57" ht="12" customHeight="1" x14ac:dyDescent="0.2">
      <c r="BB299" s="31" t="s">
        <v>31</v>
      </c>
      <c r="BD299" s="44" t="s">
        <v>1236</v>
      </c>
      <c r="BE299" s="44" t="s">
        <v>1311</v>
      </c>
    </row>
    <row r="300" spans="52:57" ht="12" customHeight="1" x14ac:dyDescent="0.2">
      <c r="AZ300" s="32" t="s">
        <v>632</v>
      </c>
      <c r="BD300" s="44" t="s">
        <v>78</v>
      </c>
      <c r="BE300" s="44" t="s">
        <v>1312</v>
      </c>
    </row>
    <row r="301" spans="52:57" ht="12" customHeight="1" x14ac:dyDescent="0.2">
      <c r="AZ301" s="31" t="s">
        <v>364</v>
      </c>
      <c r="BB301" s="74" t="s">
        <v>203</v>
      </c>
      <c r="BD301" s="44" t="s">
        <v>52</v>
      </c>
      <c r="BE301" s="44" t="s">
        <v>1313</v>
      </c>
    </row>
    <row r="302" spans="52:57" ht="12" customHeight="1" x14ac:dyDescent="0.2">
      <c r="AZ302" s="31" t="s">
        <v>365</v>
      </c>
      <c r="BB302" s="75" t="s">
        <v>205</v>
      </c>
      <c r="BD302" s="44" t="s">
        <v>82</v>
      </c>
      <c r="BE302" s="44"/>
    </row>
    <row r="303" spans="52:57" ht="12" customHeight="1" x14ac:dyDescent="0.2">
      <c r="AZ303" s="31" t="s">
        <v>704</v>
      </c>
      <c r="BB303" s="75" t="s">
        <v>1233</v>
      </c>
      <c r="BD303" s="44" t="s">
        <v>1011</v>
      </c>
      <c r="BE303" s="44"/>
    </row>
    <row r="304" spans="52:57" ht="12" customHeight="1" x14ac:dyDescent="0.2">
      <c r="BB304" s="75" t="s">
        <v>1206</v>
      </c>
      <c r="BD304" s="44" t="s">
        <v>1012</v>
      </c>
      <c r="BE304" s="44"/>
    </row>
    <row r="305" spans="52:57" ht="12" customHeight="1" x14ac:dyDescent="0.2">
      <c r="AZ305" s="32" t="s">
        <v>633</v>
      </c>
      <c r="BB305" s="75" t="s">
        <v>1196</v>
      </c>
      <c r="BD305" s="44" t="s">
        <v>1013</v>
      </c>
      <c r="BE305" s="44"/>
    </row>
    <row r="306" spans="52:57" ht="12" customHeight="1" x14ac:dyDescent="0.2">
      <c r="AZ306" s="31" t="s">
        <v>616</v>
      </c>
      <c r="BB306" s="75" t="s">
        <v>355</v>
      </c>
      <c r="BD306" s="44" t="s">
        <v>1270</v>
      </c>
      <c r="BE306" s="44"/>
    </row>
    <row r="307" spans="52:57" ht="12" customHeight="1" x14ac:dyDescent="0.2">
      <c r="AZ307" s="31">
        <v>-5</v>
      </c>
      <c r="BB307" s="75" t="s">
        <v>204</v>
      </c>
      <c r="BD307" s="44" t="s">
        <v>1271</v>
      </c>
      <c r="BE307" s="44"/>
    </row>
    <row r="308" spans="52:57" ht="12" customHeight="1" x14ac:dyDescent="0.2">
      <c r="AZ308" s="31">
        <v>-4</v>
      </c>
      <c r="BB308" s="76"/>
      <c r="BD308" s="44" t="s">
        <v>1683</v>
      </c>
      <c r="BE308" s="44"/>
    </row>
    <row r="309" spans="52:57" ht="12" customHeight="1" x14ac:dyDescent="0.2">
      <c r="AZ309" s="31">
        <v>-3</v>
      </c>
      <c r="BB309" s="77"/>
      <c r="BD309" s="44" t="s">
        <v>53</v>
      </c>
      <c r="BE309" s="44"/>
    </row>
    <row r="310" spans="52:57" ht="12" customHeight="1" x14ac:dyDescent="0.2">
      <c r="AZ310" s="31">
        <v>-2</v>
      </c>
      <c r="BD310" s="44" t="s">
        <v>1256</v>
      </c>
      <c r="BE310" s="44"/>
    </row>
    <row r="311" spans="52:57" ht="12" customHeight="1" x14ac:dyDescent="0.2">
      <c r="AZ311" s="31">
        <v>-1</v>
      </c>
      <c r="BD311" s="68" t="s">
        <v>87</v>
      </c>
      <c r="BE311" s="44"/>
    </row>
    <row r="312" spans="52:57" ht="12" customHeight="1" x14ac:dyDescent="0.2">
      <c r="AZ312" s="31">
        <v>0</v>
      </c>
      <c r="BD312" s="44" t="s">
        <v>62</v>
      </c>
      <c r="BE312" s="44" t="s">
        <v>1314</v>
      </c>
    </row>
    <row r="313" spans="52:57" ht="12" customHeight="1" x14ac:dyDescent="0.2">
      <c r="AZ313" s="31">
        <v>1</v>
      </c>
      <c r="BD313" s="44" t="s">
        <v>56</v>
      </c>
      <c r="BE313" s="44" t="s">
        <v>1315</v>
      </c>
    </row>
    <row r="314" spans="52:57" ht="12" customHeight="1" x14ac:dyDescent="0.2">
      <c r="AZ314" s="31">
        <v>2</v>
      </c>
      <c r="BD314" s="44" t="s">
        <v>85</v>
      </c>
      <c r="BE314" s="44" t="s">
        <v>1327</v>
      </c>
    </row>
    <row r="315" spans="52:57" ht="12" customHeight="1" x14ac:dyDescent="0.2">
      <c r="AZ315" s="31">
        <v>3</v>
      </c>
      <c r="BD315" s="44" t="s">
        <v>57</v>
      </c>
      <c r="BE315" s="44" t="s">
        <v>1316</v>
      </c>
    </row>
    <row r="316" spans="52:57" ht="12" customHeight="1" x14ac:dyDescent="0.2">
      <c r="AZ316" s="31">
        <v>4</v>
      </c>
      <c r="BD316" s="44" t="s">
        <v>1027</v>
      </c>
      <c r="BE316" s="44"/>
    </row>
    <row r="317" spans="52:57" ht="12" customHeight="1" x14ac:dyDescent="0.2">
      <c r="AZ317" s="31">
        <v>5</v>
      </c>
      <c r="BD317" s="44" t="s">
        <v>1177</v>
      </c>
      <c r="BE317" s="44"/>
    </row>
    <row r="318" spans="52:57" ht="12" customHeight="1" x14ac:dyDescent="0.2">
      <c r="AZ318" s="31">
        <v>6</v>
      </c>
      <c r="BD318" s="44" t="s">
        <v>54</v>
      </c>
      <c r="BE318" s="44"/>
    </row>
    <row r="319" spans="52:57" ht="12" customHeight="1" x14ac:dyDescent="0.2">
      <c r="AZ319" s="31">
        <v>7</v>
      </c>
      <c r="BD319" s="44" t="s">
        <v>1241</v>
      </c>
      <c r="BE319" s="44" t="s">
        <v>1314</v>
      </c>
    </row>
    <row r="320" spans="52:57" ht="12" customHeight="1" x14ac:dyDescent="0.2">
      <c r="AZ320" s="31">
        <v>8</v>
      </c>
      <c r="BD320" s="44" t="s">
        <v>1255</v>
      </c>
      <c r="BE320" s="44" t="s">
        <v>1317</v>
      </c>
    </row>
    <row r="321" spans="52:57" ht="12" customHeight="1" x14ac:dyDescent="0.2">
      <c r="AZ321" s="31">
        <v>9</v>
      </c>
      <c r="BD321" s="44" t="s">
        <v>61</v>
      </c>
      <c r="BE321" s="44" t="s">
        <v>1318</v>
      </c>
    </row>
    <row r="322" spans="52:57" ht="12" customHeight="1" x14ac:dyDescent="0.2">
      <c r="AZ322" s="31">
        <v>10</v>
      </c>
      <c r="BD322" s="44" t="s">
        <v>1025</v>
      </c>
      <c r="BE322" s="44"/>
    </row>
    <row r="323" spans="52:57" ht="12" customHeight="1" x14ac:dyDescent="0.2">
      <c r="AZ323" s="31">
        <v>11</v>
      </c>
      <c r="BD323" s="44" t="s">
        <v>1008</v>
      </c>
      <c r="BE323" s="44" t="s">
        <v>1319</v>
      </c>
    </row>
    <row r="324" spans="52:57" ht="12" customHeight="1" x14ac:dyDescent="0.2">
      <c r="AZ324" s="31">
        <v>12</v>
      </c>
      <c r="BB324" s="74" t="s">
        <v>1348</v>
      </c>
      <c r="BD324" s="44" t="s">
        <v>58</v>
      </c>
      <c r="BE324" s="44" t="s">
        <v>1319</v>
      </c>
    </row>
    <row r="325" spans="52:57" ht="12" customHeight="1" x14ac:dyDescent="0.2">
      <c r="AZ325" s="31">
        <v>13</v>
      </c>
      <c r="BB325" s="31" t="s">
        <v>1349</v>
      </c>
      <c r="BD325" s="44" t="s">
        <v>1022</v>
      </c>
      <c r="BE325" s="44" t="s">
        <v>1320</v>
      </c>
    </row>
    <row r="326" spans="52:57" ht="12" customHeight="1" x14ac:dyDescent="0.2">
      <c r="AZ326" s="31">
        <v>14</v>
      </c>
      <c r="BB326" s="31" t="s">
        <v>1350</v>
      </c>
      <c r="BD326" s="44" t="s">
        <v>1026</v>
      </c>
      <c r="BE326" s="44" t="s">
        <v>1320</v>
      </c>
    </row>
    <row r="327" spans="52:57" ht="12" customHeight="1" x14ac:dyDescent="0.2">
      <c r="AZ327" s="31">
        <v>15</v>
      </c>
      <c r="BB327" s="31" t="s">
        <v>1351</v>
      </c>
      <c r="BD327" s="44" t="s">
        <v>1247</v>
      </c>
      <c r="BE327" s="44" t="s">
        <v>1317</v>
      </c>
    </row>
    <row r="328" spans="52:57" ht="12" customHeight="1" x14ac:dyDescent="0.2">
      <c r="AZ328" s="31">
        <v>16</v>
      </c>
      <c r="BB328" s="31" t="s">
        <v>1352</v>
      </c>
      <c r="BD328" s="44" t="s">
        <v>1023</v>
      </c>
      <c r="BE328" s="44" t="s">
        <v>1321</v>
      </c>
    </row>
    <row r="329" spans="52:57" ht="12" customHeight="1" x14ac:dyDescent="0.2">
      <c r="AZ329" s="31">
        <v>17</v>
      </c>
      <c r="BB329" s="31" t="s">
        <v>1353</v>
      </c>
      <c r="BD329" s="44" t="s">
        <v>60</v>
      </c>
      <c r="BE329" s="44" t="s">
        <v>1322</v>
      </c>
    </row>
    <row r="330" spans="52:57" ht="12" customHeight="1" x14ac:dyDescent="0.2">
      <c r="AZ330" s="31">
        <v>18</v>
      </c>
      <c r="BB330" s="31" t="s">
        <v>1355</v>
      </c>
      <c r="BD330" s="44" t="s">
        <v>1024</v>
      </c>
      <c r="BE330" s="44" t="s">
        <v>1323</v>
      </c>
    </row>
    <row r="331" spans="52:57" ht="12" customHeight="1" x14ac:dyDescent="0.2">
      <c r="AZ331" s="31">
        <v>19</v>
      </c>
      <c r="BD331" s="44" t="s">
        <v>400</v>
      </c>
      <c r="BE331" s="44" t="s">
        <v>1324</v>
      </c>
    </row>
    <row r="332" spans="52:57" ht="12" customHeight="1" x14ac:dyDescent="0.2">
      <c r="AZ332" s="31">
        <v>20</v>
      </c>
      <c r="BD332" s="44" t="s">
        <v>282</v>
      </c>
      <c r="BE332" s="44" t="s">
        <v>1325</v>
      </c>
    </row>
    <row r="333" spans="52:57" ht="12" customHeight="1" x14ac:dyDescent="0.2">
      <c r="AZ333" s="31">
        <v>21</v>
      </c>
      <c r="BD333" s="44" t="s">
        <v>63</v>
      </c>
      <c r="BE333" s="44"/>
    </row>
    <row r="334" spans="52:57" ht="12" customHeight="1" x14ac:dyDescent="0.2">
      <c r="AZ334" s="31">
        <v>22</v>
      </c>
      <c r="BD334" s="44" t="s">
        <v>1237</v>
      </c>
      <c r="BE334" s="44" t="s">
        <v>1326</v>
      </c>
    </row>
    <row r="335" spans="52:57" ht="12" customHeight="1" x14ac:dyDescent="0.2">
      <c r="AZ335" s="31">
        <v>23</v>
      </c>
      <c r="BD335" s="44" t="s">
        <v>53</v>
      </c>
      <c r="BE335" s="44"/>
    </row>
    <row r="336" spans="52:57" ht="12" customHeight="1" x14ac:dyDescent="0.2">
      <c r="AZ336" s="31">
        <v>24</v>
      </c>
      <c r="BD336" s="68" t="s">
        <v>87</v>
      </c>
      <c r="BE336" s="44"/>
    </row>
    <row r="337" spans="52:57" ht="12" customHeight="1" x14ac:dyDescent="0.2">
      <c r="AZ337" s="31">
        <v>25</v>
      </c>
      <c r="BD337" s="44">
        <f>AM1</f>
        <v>0</v>
      </c>
      <c r="BE337" s="44"/>
    </row>
    <row r="338" spans="52:57" ht="12" customHeight="1" x14ac:dyDescent="0.2">
      <c r="AZ338" s="31">
        <v>26</v>
      </c>
      <c r="BD338" s="44">
        <f>AM2</f>
        <v>0</v>
      </c>
      <c r="BE338" s="44"/>
    </row>
    <row r="339" spans="52:57" ht="12" customHeight="1" x14ac:dyDescent="0.2">
      <c r="AZ339" s="31">
        <v>27</v>
      </c>
      <c r="BD339" s="44">
        <f>AM3</f>
        <v>0</v>
      </c>
      <c r="BE339" s="44"/>
    </row>
    <row r="340" spans="52:57" ht="12" customHeight="1" x14ac:dyDescent="0.2">
      <c r="AZ340" s="31">
        <v>28</v>
      </c>
      <c r="BD340" s="44">
        <f>AM4</f>
        <v>0</v>
      </c>
      <c r="BE340" s="44"/>
    </row>
    <row r="341" spans="52:57" ht="12" customHeight="1" x14ac:dyDescent="0.2">
      <c r="AZ341" s="31">
        <v>29</v>
      </c>
    </row>
    <row r="342" spans="52:57" ht="12" customHeight="1" x14ac:dyDescent="0.2">
      <c r="AZ342" s="31">
        <v>30</v>
      </c>
    </row>
    <row r="343" spans="52:57" ht="12" customHeight="1" x14ac:dyDescent="0.2">
      <c r="AZ343" s="31">
        <v>31</v>
      </c>
    </row>
    <row r="344" spans="52:57" ht="12" customHeight="1" x14ac:dyDescent="0.2">
      <c r="AZ344" s="31">
        <v>32</v>
      </c>
    </row>
    <row r="345" spans="52:57" ht="12" customHeight="1" x14ac:dyDescent="0.2">
      <c r="AZ345" s="31">
        <v>33</v>
      </c>
    </row>
    <row r="346" spans="52:57" ht="12" customHeight="1" x14ac:dyDescent="0.2">
      <c r="AZ346" s="31">
        <v>34</v>
      </c>
    </row>
    <row r="347" spans="52:57" ht="12" customHeight="1" x14ac:dyDescent="0.2">
      <c r="AZ347" s="31">
        <v>35</v>
      </c>
    </row>
    <row r="348" spans="52:57" ht="12" customHeight="1" x14ac:dyDescent="0.2">
      <c r="AZ348" s="31">
        <v>36</v>
      </c>
    </row>
    <row r="349" spans="52:57" ht="12" customHeight="1" x14ac:dyDescent="0.2">
      <c r="AZ349" s="31">
        <v>37</v>
      </c>
    </row>
    <row r="350" spans="52:57" ht="12" customHeight="1" x14ac:dyDescent="0.2">
      <c r="AZ350" s="31">
        <v>38</v>
      </c>
    </row>
    <row r="351" spans="52:57" ht="12" customHeight="1" x14ac:dyDescent="0.2">
      <c r="AZ351" s="31">
        <v>39</v>
      </c>
    </row>
    <row r="352" spans="52:57" ht="12" customHeight="1" x14ac:dyDescent="0.2">
      <c r="AZ352" s="31">
        <v>40</v>
      </c>
    </row>
    <row r="353" spans="52:52" ht="12" customHeight="1" x14ac:dyDescent="0.2">
      <c r="AZ353" s="31">
        <v>41</v>
      </c>
    </row>
    <row r="354" spans="52:52" ht="12" customHeight="1" x14ac:dyDescent="0.2">
      <c r="AZ354" s="31">
        <v>42</v>
      </c>
    </row>
    <row r="355" spans="52:52" ht="12" customHeight="1" x14ac:dyDescent="0.2">
      <c r="AZ355" s="31">
        <v>43</v>
      </c>
    </row>
    <row r="356" spans="52:52" ht="12" customHeight="1" x14ac:dyDescent="0.2">
      <c r="AZ356" s="31">
        <v>44</v>
      </c>
    </row>
    <row r="357" spans="52:52" ht="12" customHeight="1" x14ac:dyDescent="0.2">
      <c r="AZ357" s="31">
        <v>45</v>
      </c>
    </row>
    <row r="358" spans="52:52" ht="12" customHeight="1" x14ac:dyDescent="0.2">
      <c r="AZ358" s="31">
        <v>46</v>
      </c>
    </row>
    <row r="359" spans="52:52" ht="12" customHeight="1" x14ac:dyDescent="0.2">
      <c r="AZ359" s="31">
        <v>47</v>
      </c>
    </row>
    <row r="360" spans="52:52" ht="12" customHeight="1" x14ac:dyDescent="0.2">
      <c r="AZ360" s="31">
        <v>48</v>
      </c>
    </row>
    <row r="361" spans="52:52" ht="12" customHeight="1" x14ac:dyDescent="0.2">
      <c r="AZ361" s="31">
        <v>49</v>
      </c>
    </row>
    <row r="362" spans="52:52" ht="12" customHeight="1" x14ac:dyDescent="0.2">
      <c r="AZ362" s="31">
        <v>50</v>
      </c>
    </row>
    <row r="363" spans="52:52" ht="12" customHeight="1" x14ac:dyDescent="0.2">
      <c r="AZ363" s="31">
        <v>51</v>
      </c>
    </row>
    <row r="364" spans="52:52" ht="12" customHeight="1" x14ac:dyDescent="0.2">
      <c r="AZ364" s="31">
        <v>52</v>
      </c>
    </row>
    <row r="365" spans="52:52" ht="12" customHeight="1" x14ac:dyDescent="0.2">
      <c r="AZ365" s="31">
        <v>53</v>
      </c>
    </row>
    <row r="366" spans="52:52" ht="12" customHeight="1" x14ac:dyDescent="0.2">
      <c r="AZ366" s="31">
        <v>54</v>
      </c>
    </row>
    <row r="367" spans="52:52" ht="12" customHeight="1" x14ac:dyDescent="0.2">
      <c r="AZ367" s="31">
        <v>55</v>
      </c>
    </row>
    <row r="368" spans="52:52" ht="12" customHeight="1" x14ac:dyDescent="0.2">
      <c r="AZ368" s="31">
        <v>56</v>
      </c>
    </row>
    <row r="369" spans="52:56" ht="12" customHeight="1" x14ac:dyDescent="0.2">
      <c r="AZ369" s="31">
        <v>57</v>
      </c>
    </row>
    <row r="370" spans="52:56" ht="12" customHeight="1" x14ac:dyDescent="0.2">
      <c r="AZ370" s="31">
        <v>58</v>
      </c>
    </row>
    <row r="371" spans="52:56" ht="12" customHeight="1" x14ac:dyDescent="0.2">
      <c r="AZ371" s="31">
        <v>59</v>
      </c>
    </row>
    <row r="372" spans="52:56" ht="12" customHeight="1" x14ac:dyDescent="0.2">
      <c r="AZ372" s="31">
        <v>60</v>
      </c>
    </row>
    <row r="373" spans="52:56" ht="12" customHeight="1" x14ac:dyDescent="0.2">
      <c r="AZ373" s="31">
        <v>61</v>
      </c>
    </row>
    <row r="374" spans="52:56" ht="12" customHeight="1" x14ac:dyDescent="0.2">
      <c r="AZ374" s="31">
        <v>62</v>
      </c>
    </row>
    <row r="375" spans="52:56" ht="12" customHeight="1" x14ac:dyDescent="0.2">
      <c r="AZ375" s="31">
        <v>63</v>
      </c>
      <c r="BD375" s="32" t="s">
        <v>317</v>
      </c>
    </row>
    <row r="376" spans="52:56" ht="12" customHeight="1" x14ac:dyDescent="0.2">
      <c r="AZ376" s="31">
        <v>64</v>
      </c>
      <c r="BD376" s="31" t="s">
        <v>340</v>
      </c>
    </row>
    <row r="377" spans="52:56" ht="12" customHeight="1" x14ac:dyDescent="0.2">
      <c r="AZ377" s="31">
        <v>65</v>
      </c>
      <c r="BD377" s="31" t="s">
        <v>318</v>
      </c>
    </row>
    <row r="378" spans="52:56" ht="12" customHeight="1" x14ac:dyDescent="0.2">
      <c r="AZ378" s="31"/>
      <c r="BD378" s="31" t="s">
        <v>319</v>
      </c>
    </row>
    <row r="379" spans="52:56" ht="12" customHeight="1" x14ac:dyDescent="0.2">
      <c r="BD379" s="31" t="s">
        <v>320</v>
      </c>
    </row>
    <row r="380" spans="52:56" ht="12" customHeight="1" x14ac:dyDescent="0.2">
      <c r="BD380" s="31" t="s">
        <v>323</v>
      </c>
    </row>
    <row r="381" spans="52:56" ht="12" customHeight="1" x14ac:dyDescent="0.2">
      <c r="BD381" s="31" t="s">
        <v>321</v>
      </c>
    </row>
    <row r="382" spans="52:56" ht="12" customHeight="1" x14ac:dyDescent="0.2">
      <c r="BD382" s="31" t="s">
        <v>322</v>
      </c>
    </row>
    <row r="383" spans="52:56" ht="12" customHeight="1" x14ac:dyDescent="0.2">
      <c r="BD383" s="31" t="s">
        <v>324</v>
      </c>
    </row>
    <row r="384" spans="52:56" ht="12" customHeight="1" x14ac:dyDescent="0.2">
      <c r="BD384" s="31" t="s">
        <v>325</v>
      </c>
    </row>
    <row r="385" spans="56:56" ht="12" customHeight="1" x14ac:dyDescent="0.2">
      <c r="BD385" s="31" t="s">
        <v>326</v>
      </c>
    </row>
    <row r="386" spans="56:56" ht="12" customHeight="1" x14ac:dyDescent="0.2">
      <c r="BD386" s="31" t="s">
        <v>327</v>
      </c>
    </row>
    <row r="387" spans="56:56" ht="12" customHeight="1" x14ac:dyDescent="0.2">
      <c r="BD387" s="31" t="s">
        <v>328</v>
      </c>
    </row>
    <row r="388" spans="56:56" ht="12" customHeight="1" x14ac:dyDescent="0.2">
      <c r="BD388" s="31" t="s">
        <v>329</v>
      </c>
    </row>
    <row r="389" spans="56:56" ht="12" customHeight="1" x14ac:dyDescent="0.2">
      <c r="BD389" s="31" t="s">
        <v>330</v>
      </c>
    </row>
    <row r="390" spans="56:56" ht="12" customHeight="1" x14ac:dyDescent="0.2">
      <c r="BD390" s="31" t="s">
        <v>331</v>
      </c>
    </row>
    <row r="391" spans="56:56" ht="12" customHeight="1" x14ac:dyDescent="0.2">
      <c r="BD391" s="31" t="s">
        <v>332</v>
      </c>
    </row>
    <row r="392" spans="56:56" ht="12" customHeight="1" x14ac:dyDescent="0.2">
      <c r="BD392" s="31" t="s">
        <v>334</v>
      </c>
    </row>
    <row r="393" spans="56:56" ht="12" customHeight="1" x14ac:dyDescent="0.2">
      <c r="BD393" s="31" t="s">
        <v>333</v>
      </c>
    </row>
    <row r="394" spans="56:56" ht="12" customHeight="1" x14ac:dyDescent="0.2">
      <c r="BD394" s="31" t="s">
        <v>335</v>
      </c>
    </row>
    <row r="395" spans="56:56" ht="12" customHeight="1" x14ac:dyDescent="0.2">
      <c r="BD395" s="31" t="s">
        <v>336</v>
      </c>
    </row>
    <row r="396" spans="56:56" ht="12" customHeight="1" x14ac:dyDescent="0.2">
      <c r="BD396" s="31" t="s">
        <v>337</v>
      </c>
    </row>
    <row r="397" spans="56:56" ht="12" customHeight="1" x14ac:dyDescent="0.2">
      <c r="BD397" s="31" t="s">
        <v>338</v>
      </c>
    </row>
    <row r="398" spans="56:56" ht="12" customHeight="1" x14ac:dyDescent="0.2">
      <c r="BD398" s="31" t="s">
        <v>339</v>
      </c>
    </row>
    <row r="577" spans="1:150" ht="12" customHeight="1" x14ac:dyDescent="0.25">
      <c r="X577" s="1414"/>
    </row>
    <row r="578" spans="1:150" ht="12" customHeight="1" x14ac:dyDescent="0.25">
      <c r="X578" s="1414"/>
      <c r="BB578" s="33"/>
    </row>
    <row r="579" spans="1:150" ht="12" customHeight="1" x14ac:dyDescent="0.25">
      <c r="X579" s="1414"/>
      <c r="BB579" s="33"/>
    </row>
    <row r="580" spans="1:150" ht="12" customHeight="1" x14ac:dyDescent="0.25">
      <c r="X580" s="1414"/>
    </row>
    <row r="582" spans="1:150" ht="12" customHeight="1" x14ac:dyDescent="0.2">
      <c r="A582" s="153" t="s">
        <v>1172</v>
      </c>
    </row>
    <row r="583" spans="1:150" ht="12" customHeight="1" x14ac:dyDescent="0.2">
      <c r="A583" s="1287"/>
    </row>
    <row r="584" spans="1:150" ht="12" customHeight="1" x14ac:dyDescent="0.2">
      <c r="A584" s="1287"/>
    </row>
    <row r="585" spans="1:150" ht="12" customHeight="1" thickBot="1" x14ac:dyDescent="0.25">
      <c r="A585" s="1287"/>
    </row>
    <row r="586" spans="1:150" s="33" customFormat="1" ht="12" customHeight="1" thickBot="1" x14ac:dyDescent="0.25">
      <c r="A586" s="1801" t="s">
        <v>93</v>
      </c>
      <c r="B586" s="1803" t="s">
        <v>377</v>
      </c>
      <c r="C586" s="1805" t="s">
        <v>402</v>
      </c>
      <c r="D586" s="1807" t="s">
        <v>256</v>
      </c>
      <c r="E586" s="447"/>
      <c r="F586" s="1679" t="s">
        <v>146</v>
      </c>
      <c r="G586" s="446"/>
      <c r="H586" s="1728" t="s">
        <v>560</v>
      </c>
      <c r="I586" s="1712" t="s">
        <v>1</v>
      </c>
      <c r="J586" s="1790"/>
      <c r="K586" s="1790"/>
      <c r="L586" s="1790"/>
      <c r="M586" s="1790"/>
      <c r="N586" s="1755"/>
      <c r="O586" s="1712" t="s">
        <v>702</v>
      </c>
      <c r="P586" s="1713"/>
      <c r="Q586" s="1714"/>
      <c r="R586" s="1688" t="s">
        <v>89</v>
      </c>
      <c r="S586" s="1688" t="s">
        <v>341</v>
      </c>
      <c r="T586" s="1688" t="s">
        <v>16</v>
      </c>
      <c r="U586" s="1689"/>
      <c r="V586" s="1679" t="s">
        <v>105</v>
      </c>
      <c r="W586" s="1679" t="s">
        <v>366</v>
      </c>
      <c r="X586" s="1679" t="s">
        <v>781</v>
      </c>
      <c r="Y586" s="1679" t="s">
        <v>792</v>
      </c>
      <c r="Z586" s="1679" t="s">
        <v>908</v>
      </c>
      <c r="AA586" s="1679" t="s">
        <v>909</v>
      </c>
      <c r="AB586" s="1679" t="s">
        <v>104</v>
      </c>
      <c r="AC586" s="1679" t="s">
        <v>103</v>
      </c>
      <c r="AD586" s="1679" t="s">
        <v>910</v>
      </c>
      <c r="AE586" s="1712" t="s">
        <v>565</v>
      </c>
      <c r="AF586" s="1790"/>
      <c r="AG586" s="1790"/>
      <c r="AH586" s="1755"/>
      <c r="AI586" s="513" t="s">
        <v>566</v>
      </c>
      <c r="AJ586" s="1712" t="s">
        <v>573</v>
      </c>
      <c r="AK586" s="1790"/>
      <c r="AL586" s="1755"/>
      <c r="AM586" s="1712" t="s">
        <v>567</v>
      </c>
      <c r="AN586" s="1755"/>
      <c r="AO586" s="513" t="s">
        <v>568</v>
      </c>
      <c r="AP586" s="513" t="s">
        <v>569</v>
      </c>
      <c r="AQ586" s="513" t="s">
        <v>835</v>
      </c>
      <c r="AR586" s="513"/>
      <c r="AS586" s="528"/>
      <c r="AT586" s="1732" t="s">
        <v>14</v>
      </c>
      <c r="AU586" s="447"/>
      <c r="AZ586" s="29"/>
      <c r="BB586" s="29"/>
      <c r="BD586" s="29"/>
      <c r="BE586" s="29"/>
      <c r="BZ586" s="1751" t="s">
        <v>107</v>
      </c>
      <c r="CA586" s="1753" t="s">
        <v>108</v>
      </c>
      <c r="CB586" s="1753"/>
      <c r="CC586" s="1753"/>
      <c r="CD586" s="1754"/>
      <c r="CE586" s="1753" t="s">
        <v>206</v>
      </c>
      <c r="CF586" s="1753"/>
      <c r="CG586" s="1753"/>
      <c r="CH586" s="1754"/>
      <c r="CI586" s="1751" t="s">
        <v>109</v>
      </c>
      <c r="CJ586" s="1753"/>
      <c r="CK586" s="1753"/>
      <c r="CL586" s="1754"/>
      <c r="CM586" s="1747" t="s">
        <v>126</v>
      </c>
      <c r="CN586" s="1748"/>
      <c r="CO586" s="1748"/>
      <c r="CP586" s="1748"/>
      <c r="CQ586" s="1749"/>
      <c r="CR586" s="1751" t="s">
        <v>128</v>
      </c>
      <c r="CS586" s="1753"/>
      <c r="CT586" s="1753"/>
      <c r="CU586" s="1754"/>
      <c r="CV586" s="1751" t="s">
        <v>129</v>
      </c>
      <c r="CW586" s="1753"/>
      <c r="CX586" s="1753"/>
      <c r="CY586" s="1753"/>
      <c r="CZ586" s="1747" t="s">
        <v>130</v>
      </c>
      <c r="DA586" s="1748"/>
      <c r="DB586" s="1748"/>
      <c r="DC586" s="1748"/>
      <c r="DD586" s="1749"/>
      <c r="DE586" s="1747" t="s">
        <v>131</v>
      </c>
      <c r="DF586" s="1748"/>
      <c r="DG586" s="1748"/>
      <c r="DH586" s="1748"/>
      <c r="DI586" s="1749"/>
      <c r="DJ586" s="1751" t="s">
        <v>133</v>
      </c>
      <c r="DK586" s="1753"/>
      <c r="DL586" s="1753"/>
      <c r="DM586" s="1754"/>
      <c r="DO586" s="1758" t="s">
        <v>136</v>
      </c>
      <c r="DP586" s="1759"/>
      <c r="DQ586" s="1758" t="s">
        <v>137</v>
      </c>
      <c r="DR586" s="1825"/>
      <c r="DS586" s="1758" t="s">
        <v>139</v>
      </c>
      <c r="DT586" s="1759"/>
      <c r="DU586" s="1756" t="s">
        <v>216</v>
      </c>
      <c r="DV586" s="1756" t="s">
        <v>316</v>
      </c>
      <c r="DW586" s="1780" t="s">
        <v>351</v>
      </c>
      <c r="DX586" s="1781"/>
      <c r="DY586" s="1782"/>
      <c r="EB586" s="1741" t="s">
        <v>1127</v>
      </c>
      <c r="EC586" s="1742"/>
      <c r="ED586" s="1742"/>
      <c r="EE586" s="1743"/>
      <c r="EF586" s="1232"/>
      <c r="EG586" s="1741" t="s">
        <v>1128</v>
      </c>
      <c r="EH586" s="1742"/>
      <c r="EI586" s="1742"/>
      <c r="EJ586" s="1743"/>
      <c r="EK586" s="1232"/>
      <c r="EL586" s="1741" t="s">
        <v>1129</v>
      </c>
      <c r="EM586" s="1742"/>
      <c r="EN586" s="1742"/>
      <c r="EO586" s="1743"/>
      <c r="EQ586" s="1741" t="s">
        <v>1159</v>
      </c>
      <c r="ER586" s="1742"/>
      <c r="ES586" s="1742"/>
      <c r="ET586" s="1743"/>
    </row>
    <row r="587" spans="1:150" s="33" customFormat="1" ht="27" customHeight="1" thickBot="1" x14ac:dyDescent="0.25">
      <c r="A587" s="1802"/>
      <c r="B587" s="1804"/>
      <c r="C587" s="1806"/>
      <c r="D587" s="1808"/>
      <c r="E587" s="447"/>
      <c r="F587" s="1680"/>
      <c r="G587" s="446"/>
      <c r="H587" s="1729"/>
      <c r="I587" s="1019" t="s">
        <v>1032</v>
      </c>
      <c r="J587" s="1020" t="s">
        <v>1033</v>
      </c>
      <c r="K587" s="514" t="s">
        <v>19</v>
      </c>
      <c r="L587" s="514" t="s">
        <v>20</v>
      </c>
      <c r="M587" s="514" t="s">
        <v>22</v>
      </c>
      <c r="N587" s="514" t="s">
        <v>21</v>
      </c>
      <c r="O587" s="529" t="s">
        <v>576</v>
      </c>
      <c r="P587" s="529" t="s">
        <v>577</v>
      </c>
      <c r="Q587" s="529" t="s">
        <v>578</v>
      </c>
      <c r="R587" s="1690"/>
      <c r="S587" s="1690"/>
      <c r="T587" s="1690"/>
      <c r="U587" s="1691"/>
      <c r="V587" s="1708"/>
      <c r="W587" s="1687"/>
      <c r="X587" s="1687"/>
      <c r="Y587" s="1687"/>
      <c r="Z587" s="1680"/>
      <c r="AA587" s="1680"/>
      <c r="AB587" s="1687"/>
      <c r="AC587" s="1687"/>
      <c r="AD587" s="1687"/>
      <c r="AE587" s="530" t="s">
        <v>347</v>
      </c>
      <c r="AF587" s="531" t="s">
        <v>348</v>
      </c>
      <c r="AG587" s="532" t="s">
        <v>349</v>
      </c>
      <c r="AH587" s="529" t="s">
        <v>572</v>
      </c>
      <c r="AI587" s="514" t="s">
        <v>563</v>
      </c>
      <c r="AJ587" s="514" t="s">
        <v>570</v>
      </c>
      <c r="AK587" s="1712" t="s">
        <v>571</v>
      </c>
      <c r="AL587" s="1755"/>
      <c r="AM587" s="514" t="s">
        <v>570</v>
      </c>
      <c r="AN587" s="529" t="s">
        <v>571</v>
      </c>
      <c r="AO587" s="514" t="s">
        <v>564</v>
      </c>
      <c r="AP587" s="514" t="s">
        <v>564</v>
      </c>
      <c r="AQ587" s="512" t="s">
        <v>911</v>
      </c>
      <c r="AR587" s="514" t="s">
        <v>771</v>
      </c>
      <c r="AS587" s="533" t="s">
        <v>114</v>
      </c>
      <c r="AT587" s="1797"/>
      <c r="AU587" s="447"/>
      <c r="AZ587" s="29"/>
      <c r="BB587" s="29"/>
      <c r="BD587" s="29"/>
      <c r="BE587" s="29"/>
      <c r="BZ587" s="1752"/>
      <c r="CA587" s="34" t="s">
        <v>19</v>
      </c>
      <c r="CB587" s="34" t="s">
        <v>20</v>
      </c>
      <c r="CC587" s="34" t="s">
        <v>22</v>
      </c>
      <c r="CD587" s="35" t="s">
        <v>21</v>
      </c>
      <c r="CE587" s="34" t="s">
        <v>19</v>
      </c>
      <c r="CF587" s="34" t="s">
        <v>20</v>
      </c>
      <c r="CG587" s="34" t="s">
        <v>22</v>
      </c>
      <c r="CH587" s="35" t="s">
        <v>21</v>
      </c>
      <c r="CI587" s="36" t="s">
        <v>19</v>
      </c>
      <c r="CJ587" s="34" t="s">
        <v>20</v>
      </c>
      <c r="CK587" s="34" t="s">
        <v>22</v>
      </c>
      <c r="CL587" s="35" t="s">
        <v>21</v>
      </c>
      <c r="CM587" s="36" t="s">
        <v>19</v>
      </c>
      <c r="CN587" s="34" t="s">
        <v>20</v>
      </c>
      <c r="CO587" s="34" t="s">
        <v>22</v>
      </c>
      <c r="CP587" s="34" t="s">
        <v>21</v>
      </c>
      <c r="CQ587" s="37" t="s">
        <v>127</v>
      </c>
      <c r="CR587" s="36" t="s">
        <v>19</v>
      </c>
      <c r="CS587" s="34" t="s">
        <v>20</v>
      </c>
      <c r="CT587" s="34" t="s">
        <v>22</v>
      </c>
      <c r="CU587" s="35" t="s">
        <v>21</v>
      </c>
      <c r="CV587" s="36" t="s">
        <v>19</v>
      </c>
      <c r="CW587" s="34" t="s">
        <v>20</v>
      </c>
      <c r="CX587" s="34" t="s">
        <v>22</v>
      </c>
      <c r="CY587" s="34" t="s">
        <v>21</v>
      </c>
      <c r="CZ587" s="36" t="s">
        <v>19</v>
      </c>
      <c r="DA587" s="34" t="s">
        <v>20</v>
      </c>
      <c r="DB587" s="34" t="s">
        <v>22</v>
      </c>
      <c r="DC587" s="34" t="s">
        <v>21</v>
      </c>
      <c r="DD587" s="38" t="s">
        <v>127</v>
      </c>
      <c r="DE587" s="36" t="s">
        <v>19</v>
      </c>
      <c r="DF587" s="34" t="s">
        <v>20</v>
      </c>
      <c r="DG587" s="34" t="s">
        <v>22</v>
      </c>
      <c r="DH587" s="34" t="s">
        <v>21</v>
      </c>
      <c r="DI587" s="38" t="s">
        <v>132</v>
      </c>
      <c r="DJ587" s="36" t="s">
        <v>19</v>
      </c>
      <c r="DK587" s="34" t="s">
        <v>20</v>
      </c>
      <c r="DL587" s="34" t="s">
        <v>22</v>
      </c>
      <c r="DM587" s="35" t="s">
        <v>21</v>
      </c>
      <c r="DO587" s="39" t="s">
        <v>135</v>
      </c>
      <c r="DP587" s="40" t="s">
        <v>127</v>
      </c>
      <c r="DQ587" s="39" t="s">
        <v>135</v>
      </c>
      <c r="DR587" s="41" t="s">
        <v>127</v>
      </c>
      <c r="DS587" s="39" t="s">
        <v>135</v>
      </c>
      <c r="DT587" s="40" t="s">
        <v>127</v>
      </c>
      <c r="DU587" s="1757"/>
      <c r="DV587" s="1786"/>
      <c r="DW587" s="1783"/>
      <c r="DX587" s="1784"/>
      <c r="DY587" s="1785"/>
      <c r="EB587" s="1233" t="s">
        <v>19</v>
      </c>
      <c r="EC587" s="1234" t="s">
        <v>20</v>
      </c>
      <c r="ED587" s="1234" t="s">
        <v>22</v>
      </c>
      <c r="EE587" s="1235" t="s">
        <v>21</v>
      </c>
      <c r="EF587" s="1232"/>
      <c r="EG587" s="1233" t="s">
        <v>19</v>
      </c>
      <c r="EH587" s="1234" t="s">
        <v>20</v>
      </c>
      <c r="EI587" s="1234" t="s">
        <v>22</v>
      </c>
      <c r="EJ587" s="1235" t="s">
        <v>21</v>
      </c>
      <c r="EK587" s="1232"/>
      <c r="EL587" s="1233" t="s">
        <v>19</v>
      </c>
      <c r="EM587" s="1234" t="s">
        <v>20</v>
      </c>
      <c r="EN587" s="1234" t="s">
        <v>22</v>
      </c>
      <c r="EO587" s="1235" t="s">
        <v>21</v>
      </c>
      <c r="EQ587" s="1233" t="s">
        <v>19</v>
      </c>
      <c r="ER587" s="1234" t="s">
        <v>20</v>
      </c>
      <c r="ES587" s="1234" t="s">
        <v>22</v>
      </c>
      <c r="ET587" s="1235" t="s">
        <v>21</v>
      </c>
    </row>
    <row r="588" spans="1:150" ht="12" customHeight="1" x14ac:dyDescent="0.2">
      <c r="E588" s="445"/>
      <c r="G588" s="445"/>
      <c r="Z588" s="849"/>
      <c r="AA588" s="849"/>
    </row>
    <row r="589" spans="1:150" ht="12" customHeight="1" x14ac:dyDescent="0.2">
      <c r="A589" s="166"/>
      <c r="D589" s="72" t="s">
        <v>405</v>
      </c>
      <c r="E589" s="445"/>
      <c r="F589" s="553" t="s">
        <v>350</v>
      </c>
      <c r="G589" s="445" t="str">
        <f>IF(H589="","",H589)</f>
        <v/>
      </c>
      <c r="H589" s="850" t="str">
        <f>IF(OR(A589="",A589="CHILD FIXTURE"),"",A589)</f>
        <v/>
      </c>
      <c r="I589" s="853"/>
      <c r="J589" s="853"/>
      <c r="K589" s="853"/>
      <c r="L589" s="852"/>
      <c r="M589" s="852"/>
      <c r="N589" s="853"/>
      <c r="O589" s="853"/>
      <c r="P589" s="853"/>
      <c r="Q589" s="853"/>
      <c r="R589" s="851"/>
      <c r="S589" s="851"/>
      <c r="T589" s="1672" t="s">
        <v>404</v>
      </c>
      <c r="U589" s="1673"/>
      <c r="V589" s="852"/>
      <c r="W589" s="853"/>
      <c r="X589" s="853"/>
      <c r="Y589" s="853"/>
      <c r="Z589" s="854">
        <v>0</v>
      </c>
      <c r="AA589" s="854">
        <v>0</v>
      </c>
      <c r="AB589" s="855" t="s">
        <v>134</v>
      </c>
      <c r="AC589" s="560"/>
      <c r="AD589" s="856"/>
      <c r="AE589" s="845"/>
      <c r="AF589" s="857"/>
      <c r="AG589" s="844"/>
      <c r="AH589" s="858"/>
      <c r="AI589" s="858"/>
      <c r="AJ589" s="857"/>
      <c r="AK589" s="851"/>
      <c r="AL589" s="852"/>
      <c r="AM589" s="857"/>
      <c r="AN589" s="853"/>
      <c r="AO589" s="857"/>
      <c r="AP589" s="857"/>
      <c r="AQ589" s="1656" t="s">
        <v>406</v>
      </c>
      <c r="AR589" s="1657"/>
      <c r="AS589" s="1658"/>
      <c r="AT589" s="853"/>
      <c r="AU589" s="893" t="str">
        <f>IF(H589="","",IF(OR(B589=0,B589="SUB-CKT"),IF(ISNA(MATCH(H589,LoopSegs_Skid,0)),H589,""),""))</f>
        <v/>
      </c>
      <c r="AV589" s="893"/>
    </row>
    <row r="590" spans="1:150" ht="12" customHeight="1" x14ac:dyDescent="0.2">
      <c r="E590" s="445"/>
      <c r="G590" s="445"/>
      <c r="J590" s="78"/>
      <c r="Z590" s="849"/>
      <c r="AA590" s="849"/>
      <c r="AD590" s="67"/>
      <c r="AV590" s="893"/>
    </row>
    <row r="591" spans="1:150" ht="12" customHeight="1" x14ac:dyDescent="0.2">
      <c r="A591" s="166"/>
      <c r="D591" s="72" t="s">
        <v>145</v>
      </c>
      <c r="E591" s="445"/>
      <c r="F591" s="553" t="s">
        <v>350</v>
      </c>
      <c r="G591" s="445" t="str">
        <f>IF(H591="","",H591)</f>
        <v/>
      </c>
      <c r="H591" s="850" t="str">
        <f>IF(OR(A591="",A591="CHILD FIXTURE"),"",A591)</f>
        <v/>
      </c>
      <c r="I591" s="555" t="str">
        <f>IF(OR($R591="Enter Case Model",$R591=""),"",IF($BZ591="FT",$K591*4*$CE591+$L591*6*$CF591+$M591*8*$CG591+$N591*12*$CH591,$K591*2*$CE591+$L591*3*$CF591+$M591*4*$CG591+$N591*5*$CH591))</f>
        <v/>
      </c>
      <c r="J591" s="555" t="str">
        <f>IF(I591&lt;&gt;"",BZ591,"")</f>
        <v/>
      </c>
      <c r="K591" s="558"/>
      <c r="L591" s="844"/>
      <c r="M591" s="844"/>
      <c r="N591" s="558"/>
      <c r="O591" s="853"/>
      <c r="P591" s="853"/>
      <c r="Q591" s="853"/>
      <c r="R591" s="558" t="s">
        <v>147</v>
      </c>
      <c r="S591" s="851" t="str">
        <f>IF($R591="Enter Case Model","",VLOOKUP($R591,model1,3,FALSE))</f>
        <v/>
      </c>
      <c r="T591" s="1677" t="s">
        <v>90</v>
      </c>
      <c r="U591" s="1678"/>
      <c r="V591" s="860"/>
      <c r="W591" s="861"/>
      <c r="X591" s="861" t="s">
        <v>134</v>
      </c>
      <c r="Y591" s="861" t="str">
        <f>IF(OR($I591="",$I591=0),"",IF(LEFT($U$1,1)="c",VLOOKUP($R591,CIRC_RATE,18,FALSE),"-"))</f>
        <v/>
      </c>
      <c r="Z591" s="854">
        <v>0</v>
      </c>
      <c r="AA591" s="854">
        <f>IF(OR($I591="",$I591=0),0,$K591*$CI591+$L591*$CJ591+$M591*$CK591+$N591*$CL591)</f>
        <v>0</v>
      </c>
      <c r="AB591" s="862" t="str">
        <f>IF(OR($I591="",$I591=0),"",IF(OR(LEFT($U$1,1)="g",(LEFT($U$1,1)="c")),$AT$1,VLOOKUP($R591,model,4,FALSE)))</f>
        <v/>
      </c>
      <c r="AC591" s="862" t="str">
        <f>IF(OR($I591="",$I591=0),"",IF(LEFT($U$1,1)="g",$K591*$EQ591+$L591*$ER591+$M591*$ES591+$N591*$ET591,IF(LEFT($U$1,1)="c",$AT$1,VLOOKUP($R591,model,5,FALSE))))</f>
        <v/>
      </c>
      <c r="AD591" s="983" t="str">
        <f>IF(OR($I591="",$I591=0),"",VLOOKUP($R591,model,9,FALSE))</f>
        <v/>
      </c>
      <c r="AE591" s="845"/>
      <c r="AF591" s="559"/>
      <c r="AG591" s="844"/>
      <c r="AH591" s="561" t="s">
        <v>622</v>
      </c>
      <c r="AI591" s="561" t="s">
        <v>627</v>
      </c>
      <c r="AJ591" s="877" t="str">
        <f>IF(OR($R591="",$AK591="-",$I591="",$I591=0),"",IF(AND($R591&lt;&gt;"",$AI591="EL"),$DD591,IF(AND($R591&lt;&gt;"",$AI591="HG"),$DI591,0)))</f>
        <v/>
      </c>
      <c r="AK591" s="1677" t="s">
        <v>134</v>
      </c>
      <c r="AL591" s="1823"/>
      <c r="AM591" s="857" t="str">
        <f>IF(OR($I591="",$I591=0,$AN591="-"),"",IF($R591&lt;&gt;"",IF($CQ591&lt;$DI591,$DI591,$CQ591),0))</f>
        <v/>
      </c>
      <c r="AN591" s="558" t="s">
        <v>123</v>
      </c>
      <c r="AO591" s="857" t="str">
        <f>IF(OR($I591="",$I591=0),"",$K591*$CR591+$L591*$CS591+$M591*$CT591+$N591*$CU591)</f>
        <v/>
      </c>
      <c r="AP591" s="857" t="str">
        <f>IF(OR($J591="",$J591=0),"",$K591*$CV591+$L591*$CW591+$M591*$CX591+$N591*$CY591)</f>
        <v/>
      </c>
      <c r="AQ591" s="979">
        <f>IF(OR($I591="",$I591=0),0,IF(LEFT($U$1,1)="c",$K591*$EB591+$L591*$EC591+$M591*$ED591+$N591*$EE591,IF(LEFT($U$1,1)="g",$K591*$EG591+$L591*$EH591+$M591*$EI591+$N591*$EJ591,$K591*$EL591+$L591*$EM591+$M591*$EN591+$N591*$EO591)))</f>
        <v>0</v>
      </c>
      <c r="AR591" s="560"/>
      <c r="AS591" s="1471" t="str">
        <f>IF(OR($J591="",$J591=0),"---",VLOOKUP($R591,model,7,FALSE))</f>
        <v>---</v>
      </c>
      <c r="AT591" s="853" t="str">
        <f>IF($R591="Enter Case Model","",IF($R591="","",VLOOKUP($R591,model,3,FALSE)))</f>
        <v/>
      </c>
      <c r="AU591" s="893" t="str">
        <f>IF(H591="","",IF(OR(B591=0,B591="SUB-CKT"),IF(ISNA(MATCH(H591,LoopSegs_Skid,0)),H591,""),""))</f>
        <v/>
      </c>
      <c r="AV591" s="893"/>
    </row>
    <row r="592" spans="1:150" ht="12" customHeight="1" x14ac:dyDescent="0.2">
      <c r="E592" s="445"/>
      <c r="G592" s="445"/>
      <c r="Z592" s="849"/>
      <c r="AA592" s="849"/>
      <c r="AD592" s="67"/>
      <c r="AQ592" s="980"/>
      <c r="AR592" s="980"/>
      <c r="AS592" s="982"/>
      <c r="AV592" s="893"/>
    </row>
    <row r="593" spans="1:150" ht="12" customHeight="1" x14ac:dyDescent="0.2">
      <c r="A593" s="166"/>
      <c r="D593" s="72" t="s">
        <v>142</v>
      </c>
      <c r="E593" s="445"/>
      <c r="F593" s="553" t="s">
        <v>350</v>
      </c>
      <c r="G593" s="445" t="str">
        <f>IF(H593="","",H593)</f>
        <v/>
      </c>
      <c r="H593" s="850" t="str">
        <f>IF(OR(A593="",A593="CHILD FIXTURE"),"",A593)</f>
        <v/>
      </c>
      <c r="I593" s="1672"/>
      <c r="J593" s="1673"/>
      <c r="K593" s="853"/>
      <c r="L593" s="852"/>
      <c r="M593" s="852"/>
      <c r="N593" s="853"/>
      <c r="O593" s="999" t="e">
        <f>IF(ISNA($DV593)=TRUE,"",IF($DV593="-----","",VLOOKUP($H593,'Walk-in Load Calc'!$F$5:$Q$37,8,FALSE)))</f>
        <v>#N/A</v>
      </c>
      <c r="P593" s="999" t="e">
        <f>IF(ISNA($DV593)=TRUE,"",IF($DV593="-----","",VLOOKUP($H593,'Walk-in Load Calc'!$F$5:$Q$37,9,FALSE)))</f>
        <v>#N/A</v>
      </c>
      <c r="Q593" s="999" t="e">
        <f>IF(ISNA($DV593)=TRUE,"",IF($DV593="-----","",VLOOKUP($H593,'Walk-in Load Calc'!$F$5:$Q$37,10,FALSE)))</f>
        <v>#N/A</v>
      </c>
      <c r="R593" s="851"/>
      <c r="S593" s="851" t="str">
        <f>IF($W593="Enter Evap. Model","",VLOOKUP($W593,evapdx,23))</f>
        <v/>
      </c>
      <c r="T593" s="1672" t="str">
        <f>IF($H593="","",IF(ISNA($DV593)=TRUE,"Go to W/I Box Load Calculator",VLOOKUP($H593,'Walk-in Load Calc'!$F$5:$Q$37,2,FALSE)))</f>
        <v/>
      </c>
      <c r="U593" s="1824"/>
      <c r="V593" s="852">
        <v>1</v>
      </c>
      <c r="W593" s="558" t="s">
        <v>148</v>
      </c>
      <c r="X593" s="558" t="s">
        <v>352</v>
      </c>
      <c r="Y593" s="845"/>
      <c r="Z593" s="854">
        <v>0</v>
      </c>
      <c r="AA593" s="846" t="e">
        <f>IF(ISNA($DV593)=TRUE,0,IF($DV593="-----",0,VLOOKUP($H593,'Walk-in Load Calc'!$F$5:$Q$37,12,FALSE)))</f>
        <v>#N/A</v>
      </c>
      <c r="AB593" s="59" t="e">
        <f>IF(ISNA($DV593)=TRUE,"",IF($DV593="-----","",VLOOKUP($H593,'Walk-in Load Calc'!$F$5:$Q$37,3,FALSE)))</f>
        <v>#N/A</v>
      </c>
      <c r="AC593" s="59" t="e">
        <f>IF(ISNA($DV593)=TRUE,"",IF($DV593="-----","",VLOOKUP($H593,'Walk-in Load Calc'!$F$5:$Q$37,5,FALSE)))</f>
        <v>#N/A</v>
      </c>
      <c r="AD593" s="59" t="e">
        <f>IF(ISNA($DV593)=TRUE,"-",IF($DV593="-----","-",VLOOKUP($H593,'Walk-in Load Calc'!$F$5:$Q$37,4,FALSE)))</f>
        <v>#N/A</v>
      </c>
      <c r="AE593" s="845"/>
      <c r="AF593" s="559"/>
      <c r="AG593" s="844"/>
      <c r="AH593" s="561" t="s">
        <v>622</v>
      </c>
      <c r="AI593" s="561" t="s">
        <v>627</v>
      </c>
      <c r="AJ593" s="877" t="str">
        <f>IF(OR($W593="",$AK593="-"),"",IF(AND($W593&lt;&gt;"",$AI593="EL"),$DP593,IF(AND($W593&lt;&gt;"",$AI593="HG"),$DR593,0)))</f>
        <v/>
      </c>
      <c r="AK593" s="1677" t="s">
        <v>134</v>
      </c>
      <c r="AL593" s="1823"/>
      <c r="AM593" s="857" t="str">
        <f>IF(OR($W593="",$AN593="-"),"",IF($W593&lt;&gt;"",$DT593,0))</f>
        <v/>
      </c>
      <c r="AN593" s="558" t="s">
        <v>134</v>
      </c>
      <c r="AO593" s="857"/>
      <c r="AP593" s="857"/>
      <c r="AQ593" s="572"/>
      <c r="AR593" s="560"/>
      <c r="AS593" s="561"/>
      <c r="AT593" s="853"/>
      <c r="AU593" s="893" t="str">
        <f>IF(H593="","",IF(OR(B593=0,B593="SUB-CKT"),IF(ISNA(MATCH(H593,LoopSegs_Skid,0)),H593,""),""))</f>
        <v/>
      </c>
      <c r="AV593" s="893"/>
    </row>
    <row r="594" spans="1:150" ht="12" customHeight="1" x14ac:dyDescent="0.2">
      <c r="E594" s="445"/>
      <c r="G594" s="445"/>
      <c r="Z594" s="849"/>
      <c r="AA594" s="849"/>
      <c r="AD594" s="67"/>
      <c r="AQ594" s="980"/>
      <c r="AR594" s="980"/>
      <c r="AS594" s="982"/>
      <c r="AV594" s="893"/>
    </row>
    <row r="595" spans="1:150" ht="12" customHeight="1" x14ac:dyDescent="0.2">
      <c r="A595" s="166"/>
      <c r="D595" s="72" t="s">
        <v>207</v>
      </c>
      <c r="E595" s="445"/>
      <c r="F595" s="553" t="s">
        <v>350</v>
      </c>
      <c r="G595" s="445" t="str">
        <f>IF(H595="","",H595)</f>
        <v/>
      </c>
      <c r="H595" s="850" t="str">
        <f>IF(OR(A595="",A595="CHILD FIXTURE"),"",A595)</f>
        <v/>
      </c>
      <c r="I595" s="558"/>
      <c r="J595" s="558"/>
      <c r="K595" s="558"/>
      <c r="L595" s="844"/>
      <c r="M595" s="844"/>
      <c r="N595" s="558"/>
      <c r="O595" s="853"/>
      <c r="P595" s="853"/>
      <c r="Q595" s="853"/>
      <c r="R595" s="848"/>
      <c r="S595" s="848"/>
      <c r="T595" s="1677" t="s">
        <v>90</v>
      </c>
      <c r="U595" s="1678"/>
      <c r="V595" s="860"/>
      <c r="W595" s="861"/>
      <c r="X595" s="861" t="s">
        <v>134</v>
      </c>
      <c r="Y595" s="983" t="str">
        <f>IF(OR($I595="",$I595=0),"",IF(LEFT($U$1,1)="c",VLOOKUP($R595,CIRC_RATE,18,FALSE),"-"))</f>
        <v/>
      </c>
      <c r="Z595" s="854">
        <v>0</v>
      </c>
      <c r="AA595" s="847"/>
      <c r="AB595" s="560"/>
      <c r="AC595" s="560"/>
      <c r="AD595" s="876"/>
      <c r="AE595" s="845"/>
      <c r="AF595" s="559"/>
      <c r="AG595" s="844"/>
      <c r="AH595" s="561" t="s">
        <v>622</v>
      </c>
      <c r="AI595" s="561" t="s">
        <v>627</v>
      </c>
      <c r="AJ595" s="559"/>
      <c r="AK595" s="1677" t="s">
        <v>134</v>
      </c>
      <c r="AL595" s="1823"/>
      <c r="AM595" s="559"/>
      <c r="AN595" s="558" t="s">
        <v>134</v>
      </c>
      <c r="AO595" s="559"/>
      <c r="AP595" s="559"/>
      <c r="AQ595" s="572"/>
      <c r="AR595" s="560"/>
      <c r="AS595" s="561"/>
      <c r="AT595" s="558"/>
      <c r="AU595" s="893" t="str">
        <f>IF(H595="","",IF(OR(B595=0,B595="SUB-CKT"),IF(ISNA(MATCH(H595,LoopSegs_Skid,0)),H595,""),""))</f>
        <v/>
      </c>
      <c r="AV595" s="893"/>
      <c r="AZ595" s="33"/>
    </row>
    <row r="596" spans="1:150" ht="12" customHeight="1" x14ac:dyDescent="0.2">
      <c r="E596" s="445"/>
      <c r="G596" s="445"/>
      <c r="Z596" s="849"/>
      <c r="AA596" s="849"/>
      <c r="AD596" s="67"/>
      <c r="AQ596" s="980"/>
      <c r="AR596" s="980"/>
      <c r="AS596" s="982"/>
      <c r="AV596" s="893"/>
      <c r="AZ596" s="33"/>
      <c r="BE596" s="33"/>
    </row>
    <row r="597" spans="1:150" ht="12" customHeight="1" x14ac:dyDescent="0.2">
      <c r="A597" s="166"/>
      <c r="D597" s="72" t="s">
        <v>208</v>
      </c>
      <c r="E597" s="445"/>
      <c r="F597" s="553" t="s">
        <v>350</v>
      </c>
      <c r="G597" s="445" t="str">
        <f>IF(H597="","",H597)</f>
        <v/>
      </c>
      <c r="H597" s="850" t="str">
        <f>IF(OR(A597="",A597="CHILD FIXTURE"),"",A597)</f>
        <v/>
      </c>
      <c r="I597" s="1672"/>
      <c r="J597" s="1673"/>
      <c r="K597" s="853"/>
      <c r="L597" s="852"/>
      <c r="M597" s="852"/>
      <c r="N597" s="853"/>
      <c r="O597" s="558"/>
      <c r="P597" s="558"/>
      <c r="Q597" s="558"/>
      <c r="R597" s="851"/>
      <c r="S597" s="558"/>
      <c r="T597" s="1677" t="s">
        <v>90</v>
      </c>
      <c r="U597" s="1678"/>
      <c r="V597" s="852">
        <v>1</v>
      </c>
      <c r="W597" s="558"/>
      <c r="X597" s="558"/>
      <c r="Y597" s="845"/>
      <c r="Z597" s="854">
        <v>0</v>
      </c>
      <c r="AA597" s="847"/>
      <c r="AB597" s="560"/>
      <c r="AC597" s="560"/>
      <c r="AD597" s="863"/>
      <c r="AE597" s="845"/>
      <c r="AF597" s="559"/>
      <c r="AG597" s="844"/>
      <c r="AH597" s="561" t="s">
        <v>622</v>
      </c>
      <c r="AI597" s="561" t="s">
        <v>627</v>
      </c>
      <c r="AJ597" s="559"/>
      <c r="AK597" s="1677" t="s">
        <v>134</v>
      </c>
      <c r="AL597" s="1823"/>
      <c r="AM597" s="559"/>
      <c r="AN597" s="558" t="s">
        <v>134</v>
      </c>
      <c r="AO597" s="857"/>
      <c r="AP597" s="857"/>
      <c r="AQ597" s="572"/>
      <c r="AR597" s="560"/>
      <c r="AS597" s="561"/>
      <c r="AT597" s="558"/>
      <c r="AU597" s="893" t="str">
        <f>IF(H597="","",IF(OR(B597=0,B597="SUB-CKT"),IF(ISNA(MATCH(H597,LoopSegs_Skid,0)),H597,""),""))</f>
        <v/>
      </c>
      <c r="AV597" s="893"/>
      <c r="BE597" s="33"/>
    </row>
    <row r="598" spans="1:150" ht="12" customHeight="1" x14ac:dyDescent="0.2">
      <c r="E598" s="445"/>
      <c r="G598" s="445"/>
      <c r="Z598" s="849"/>
      <c r="AA598" s="849"/>
      <c r="AD598" s="67"/>
      <c r="AQ598" s="980"/>
      <c r="AR598" s="980"/>
      <c r="AS598" s="982"/>
      <c r="AV598" s="893"/>
    </row>
    <row r="599" spans="1:150" ht="12" customHeight="1" x14ac:dyDescent="0.2">
      <c r="A599" s="166"/>
      <c r="D599" s="72" t="s">
        <v>211</v>
      </c>
      <c r="E599" s="445"/>
      <c r="F599" s="553" t="s">
        <v>350</v>
      </c>
      <c r="G599" s="445" t="str">
        <f>IF(H599="","",H599)</f>
        <v/>
      </c>
      <c r="H599" s="850" t="str">
        <f>IF(OR(A599="",A599="CHILD FIXTURE"),"",A599)</f>
        <v/>
      </c>
      <c r="I599" s="558"/>
      <c r="J599" s="558"/>
      <c r="K599" s="558"/>
      <c r="L599" s="844"/>
      <c r="M599" s="844"/>
      <c r="N599" s="558"/>
      <c r="O599" s="558"/>
      <c r="P599" s="558"/>
      <c r="Q599" s="558"/>
      <c r="R599" s="848"/>
      <c r="S599" s="848"/>
      <c r="T599" s="1677" t="s">
        <v>90</v>
      </c>
      <c r="U599" s="1678"/>
      <c r="V599" s="844"/>
      <c r="W599" s="558"/>
      <c r="X599" s="558"/>
      <c r="Y599" s="845"/>
      <c r="Z599" s="854">
        <v>0</v>
      </c>
      <c r="AA599" s="847"/>
      <c r="AB599" s="560"/>
      <c r="AC599" s="560"/>
      <c r="AD599" s="863"/>
      <c r="AE599" s="845"/>
      <c r="AF599" s="559"/>
      <c r="AG599" s="844"/>
      <c r="AH599" s="561" t="s">
        <v>622</v>
      </c>
      <c r="AI599" s="561" t="s">
        <v>627</v>
      </c>
      <c r="AJ599" s="559"/>
      <c r="AK599" s="1677" t="s">
        <v>134</v>
      </c>
      <c r="AL599" s="1823"/>
      <c r="AM599" s="559"/>
      <c r="AN599" s="558" t="s">
        <v>134</v>
      </c>
      <c r="AO599" s="559"/>
      <c r="AP599" s="559"/>
      <c r="AQ599" s="572"/>
      <c r="AR599" s="560"/>
      <c r="AS599" s="561"/>
      <c r="AT599" s="558"/>
      <c r="AU599" s="893" t="str">
        <f>IF(H599="","",IF(OR(B599=0,B599="SUB-CKT"),IF(ISNA(MATCH(H599,LoopSegs_Skid,0)),H599,""),""))</f>
        <v/>
      </c>
      <c r="AV599" s="893"/>
    </row>
    <row r="600" spans="1:150" ht="12" customHeight="1" x14ac:dyDescent="0.2">
      <c r="E600" s="445"/>
      <c r="G600" s="445"/>
      <c r="Z600" s="849"/>
      <c r="AA600" s="849"/>
      <c r="AD600" s="67"/>
      <c r="AQ600" s="980"/>
      <c r="AR600" s="980"/>
      <c r="AS600" s="982"/>
      <c r="AV600" s="893"/>
    </row>
    <row r="601" spans="1:150" ht="12" customHeight="1" x14ac:dyDescent="0.2">
      <c r="A601" s="166"/>
      <c r="D601" s="72" t="s">
        <v>350</v>
      </c>
      <c r="E601" s="445"/>
      <c r="F601" s="553" t="s">
        <v>350</v>
      </c>
      <c r="G601" s="445" t="str">
        <f>IF(H601="","",H601)</f>
        <v/>
      </c>
      <c r="H601" s="850"/>
      <c r="I601" s="853"/>
      <c r="J601" s="853"/>
      <c r="K601" s="853"/>
      <c r="L601" s="852"/>
      <c r="M601" s="852"/>
      <c r="N601" s="853"/>
      <c r="O601" s="853"/>
      <c r="P601" s="853"/>
      <c r="Q601" s="853"/>
      <c r="R601" s="851"/>
      <c r="S601" s="851"/>
      <c r="T601" s="851"/>
      <c r="U601" s="864"/>
      <c r="V601" s="852"/>
      <c r="W601" s="853"/>
      <c r="X601" s="853"/>
      <c r="Y601" s="853"/>
      <c r="Z601" s="854">
        <v>0</v>
      </c>
      <c r="AA601" s="854">
        <v>0</v>
      </c>
      <c r="AB601" s="862"/>
      <c r="AC601" s="862"/>
      <c r="AD601" s="865"/>
      <c r="AE601" s="859"/>
      <c r="AF601" s="857"/>
      <c r="AG601" s="852"/>
      <c r="AH601" s="858"/>
      <c r="AI601" s="858"/>
      <c r="AJ601" s="857"/>
      <c r="AK601" s="851"/>
      <c r="AL601" s="852"/>
      <c r="AM601" s="857"/>
      <c r="AN601" s="853"/>
      <c r="AO601" s="857"/>
      <c r="AP601" s="857"/>
      <c r="AQ601" s="981"/>
      <c r="AR601" s="981"/>
      <c r="AS601" s="858"/>
      <c r="AT601" s="853"/>
      <c r="AU601" s="893" t="str">
        <f>IF(H601="","",IF(OR(B601=0,B601="SUB-CKT"),IF(ISNA(MATCH(H601,LoopSegs_Skid,0)),H601,""),""))</f>
        <v/>
      </c>
      <c r="AV601" s="893"/>
    </row>
    <row r="602" spans="1:150" ht="12" customHeight="1" x14ac:dyDescent="0.2">
      <c r="E602" s="445"/>
      <c r="G602" s="445"/>
      <c r="Z602" s="849"/>
      <c r="AA602" s="849"/>
      <c r="AD602" s="67"/>
      <c r="AQ602" s="980"/>
      <c r="AR602" s="980"/>
      <c r="AS602" s="982"/>
      <c r="AV602" s="893"/>
    </row>
    <row r="603" spans="1:150" ht="12" customHeight="1" x14ac:dyDescent="0.2">
      <c r="A603" s="554"/>
      <c r="B603" s="555">
        <v>0</v>
      </c>
      <c r="C603" s="556" t="s">
        <v>134</v>
      </c>
      <c r="D603" s="867" t="s">
        <v>374</v>
      </c>
      <c r="E603" s="445"/>
      <c r="F603" s="553" t="s">
        <v>350</v>
      </c>
      <c r="G603" s="445" t="str">
        <f>IF(H603="","",H603)</f>
        <v/>
      </c>
      <c r="H603" s="850"/>
      <c r="I603" s="853"/>
      <c r="J603" s="853"/>
      <c r="K603" s="853"/>
      <c r="L603" s="852"/>
      <c r="M603" s="852"/>
      <c r="N603" s="853"/>
      <c r="O603" s="853"/>
      <c r="P603" s="853"/>
      <c r="Q603" s="853"/>
      <c r="R603" s="851"/>
      <c r="S603" s="851"/>
      <c r="T603" s="851"/>
      <c r="U603" s="864"/>
      <c r="V603" s="852"/>
      <c r="W603" s="853"/>
      <c r="X603" s="853"/>
      <c r="Y603" s="853"/>
      <c r="Z603" s="854">
        <v>0</v>
      </c>
      <c r="AA603" s="854">
        <v>0</v>
      </c>
      <c r="AB603" s="862"/>
      <c r="AC603" s="862"/>
      <c r="AD603" s="865"/>
      <c r="AE603" s="859"/>
      <c r="AF603" s="857"/>
      <c r="AG603" s="852"/>
      <c r="AH603" s="858"/>
      <c r="AI603" s="858"/>
      <c r="AJ603" s="857"/>
      <c r="AK603" s="851"/>
      <c r="AL603" s="852"/>
      <c r="AM603" s="857"/>
      <c r="AN603" s="853"/>
      <c r="AO603" s="857"/>
      <c r="AP603" s="857"/>
      <c r="AQ603" s="981"/>
      <c r="AR603" s="981"/>
      <c r="AS603" s="858"/>
      <c r="AT603" s="853"/>
      <c r="AU603" s="893" t="str">
        <f>IF(H603="","",IF(OR(B603=0,B603="SUB-CKT"),IF(ISNA(MATCH(H603,LoopSegs_Skid,0)),H603,""),""))</f>
        <v/>
      </c>
      <c r="AV603" s="893"/>
      <c r="BZ603" s="45" t="str">
        <f>IF($B$2&gt;0,"",IF($R603="","FT",IF($R603="Enter Case Model","FT",VLOOKUP($R603,model,2,FALSE))))</f>
        <v>FT</v>
      </c>
      <c r="CA603" s="46">
        <f>IF($B$2&gt;0,"",IF(OR($K603="",$K603=0),0,IF($BZ603="FT",IF(ISNA(VLOOKUP(CONCATENATE($R603,4),master,2,FALSE)=TRUE),"DNE",VLOOKUP(CONCATENATE($R603,4),master,2,FALSE)),IF(ISNA(VLOOKUP(CONCATENATE($R603,2),master,2,FALSE)=TRUE),"DNE",VLOOKUP(CONCATENATE($R603,2),master,2,FALSE)))))</f>
        <v>0</v>
      </c>
      <c r="CB603" s="46">
        <f>IF($B$2&gt;0,"",IF(OR($L603="",$L603=0),0,IF($BZ603="FT",IF(ISNA(VLOOKUP(CONCATENATE($R603,6),master,2,FALSE)=TRUE),"DNE",VLOOKUP(CONCATENATE($R603,6),master,2,FALSE)),IF(ISNA(VLOOKUP(CONCATENATE($R603,3),master,2,FALSE)=TRUE),"DNE",VLOOKUP(CONCATENATE($R603,3),master,2,FALSE)))))</f>
        <v>0</v>
      </c>
      <c r="CC603" s="46">
        <f>IF($B$2&gt;0,"",IF(OR($M603="",$M603=0),0,IF($BZ603="FT",IF(ISNA(VLOOKUP(CONCATENATE($R603,8),master,2,FALSE)=TRUE),"DNE",VLOOKUP(CONCATENATE($R603,8),master,2,FALSE)),IF(ISNA(VLOOKUP(CONCATENATE($R603,4),master,2,FALSE)=TRUE),"DNE",VLOOKUP(CONCATENATE($R603,4),master,2,FALSE)))))</f>
        <v>0</v>
      </c>
      <c r="CD603" s="79">
        <f>IF($B$2&gt;0,"",IF(OR($N603="",$N603=0),0,IF($BZ603="FT",IF(ISNA(VLOOKUP(CONCATENATE($R603,12),master,2,FALSE)=TRUE),"DNE",VLOOKUP(CONCATENATE($R603,12),master,2,FALSE)),IF(ISNA(VLOOKUP(CONCATENATE($R603,5),master,2,FALSE)=TRUE),"DNE",VLOOKUP(CONCATENATE($R603,5),master,2,FALSE)))))</f>
        <v>0</v>
      </c>
      <c r="CE603" s="81">
        <f>IF($B$2&gt;0,"",IF(OR($CA603="DNE",$CA603=0),0,1))</f>
        <v>0</v>
      </c>
      <c r="CF603" s="79">
        <f>IF($B$2&gt;0,"",IF(OR($CB603="DNE",$CB603=0),0,1))</f>
        <v>0</v>
      </c>
      <c r="CG603" s="46">
        <f>IF($B$2&gt;0,"",IF(OR($CC603="DNE",$CC603=0),0,1))</f>
        <v>0</v>
      </c>
      <c r="CH603" s="82">
        <f>IF($B$2&gt;0,"",IF(OR($CD603="DNE",$CD603=0),0,1))</f>
        <v>0</v>
      </c>
      <c r="CI603" s="80">
        <f>IF($B$2&gt;0,"",IF(OR($K603="",$K603=0),0,IF($BZ603="FT",IF(ISNA(VLOOKUP(CONCATENATE($R603,4),master,6,FALSE)=TRUE),0,VLOOKUP(CONCATENATE($R603,4),master,6,FALSE)),IF(ISNA(VLOOKUP(CONCATENATE($R603,2),master,6,FALSE)=TRUE),0,VLOOKUP(CONCATENATE($R603,2),master,6,FALSE)))))</f>
        <v>0</v>
      </c>
      <c r="CJ603" s="47">
        <f>IF($B$2&gt;0,"",IF(OR($L603="",$L603=0),0,IF($BZ603="FT",IF(ISNA(VLOOKUP(CONCATENATE($R603,6),master,6,FALSE)=TRUE),0,VLOOKUP(CONCATENATE($R603,6),master,6,FALSE)),IF(ISNA(VLOOKUP(CONCATENATE($R603,3),master,6,FALSE)=TRUE),0,VLOOKUP(CONCATENATE($R603,3),master,6,FALSE)))))</f>
        <v>0</v>
      </c>
      <c r="CK603" s="47">
        <f>IF($B$2&gt;0,"",IF(OR($M603="",$M603=0),0,IF($BZ603="FT",IF(ISNA(VLOOKUP(CONCATENATE($R603,8),master,6,FALSE)=TRUE),0,VLOOKUP(CONCATENATE($R603,8),master,6,FALSE)),IF(ISNA(VLOOKUP(CONCATENATE($R603,4),master,6,FALSE)=TRUE),0,VLOOKUP(CONCATENATE($R603,4),master,6,FALSE)))))</f>
        <v>0</v>
      </c>
      <c r="CL603" s="48">
        <f>IF($B$2&gt;0,"",IF(OR($N603="",$N603=0),0,IF($BZ603="FT",IF(ISNA(VLOOKUP(CONCATENATE($R603,12),master,6,FALSE)=TRUE),0,VLOOKUP(CONCATENATE($R603,12),master,6,FALSE)),IF(ISNA(VLOOKUP(CONCATENATE($R603,5),master,6,FALSE)=TRUE),0,VLOOKUP(CONCATENATE($R603,5),master,6,FALSE)))))</f>
        <v>0</v>
      </c>
      <c r="CM603" s="49">
        <f>IF($B$2&gt;0,"",IF(OR($K603="",$K603=0),0,IF($BZ603="FT",IF(ISNA(VLOOKUP(CONCATENATE($R603,4),master,MATCH(CONCATENATE($AN603,"_",$AM$6),master_header,0),FALSE)=TRUE),0,VLOOKUP(CONCATENATE($R603,4),master,MATCH(CONCATENATE($AN603,"_",$AM$6),master_header,0),FALSE)),IF(ISNA(VLOOKUP(CONCATENATE($R603,2),master,MATCH(CONCATENATE($AN603,"_",$AM$6),master_header,0),FALSE)=TRUE),0,VLOOKUP(CONCATENATE($R603,2),master,MATCH(CONCATENATE($AN603,"_",$AM$6),master_header,0),FALSE)))))</f>
        <v>0</v>
      </c>
      <c r="CN603" s="50">
        <f>IF($B$2&gt;0,"",IF(OR($L603="",$L603=0),0,IF($BZ603="FT",IF(ISNA(VLOOKUP(CONCATENATE($R603,6),master,MATCH(CONCATENATE($AN603,"_",$AM$6),master_header,0),FALSE)=TRUE),0,VLOOKUP(CONCATENATE($R603,6),master,MATCH(CONCATENATE($AN603,"_",$AM$6),master_header,0),FALSE)),IF(ISNA(VLOOKUP(CONCATENATE($R603,3),master,MATCH(CONCATENATE($AN603,"_",$AM$6),master_header,0),FALSE)=TRUE),0,VLOOKUP(CONCATENATE($R603,3),master,MATCH(CONCATENATE($AN603,"_",$AM$6),master_header,0),FALSE)))))</f>
        <v>0</v>
      </c>
      <c r="CO603" s="50">
        <f>IF($B$2&gt;0,"",IF(OR($M603="",$M603=0),0,IF($BZ603="FT",IF(ISNA(VLOOKUP(CONCATENATE($R603,8),master,MATCH(CONCATENATE($AN603,"_",$AM$6),master_header,0),FALSE)=TRUE),0,VLOOKUP(CONCATENATE($R603,8),master,MATCH(CONCATENATE($AN603,"_",$AM$6),master_header,0),FALSE)),IF(ISNA(VLOOKUP(CONCATENATE($R603,4),master,MATCH(CONCATENATE($AN603,"_",$AM$6),master_header,0),FALSE)=TRUE),0,VLOOKUP(CONCATENATE($R603,4),master,MATCH(CONCATENATE($AN603,"_",$AM$6),master_header,0),FALSE)))))</f>
        <v>0</v>
      </c>
      <c r="CP603" s="50">
        <f>IF($B$2&gt;0,"",IF(OR($N603="",$N603=0),0,IF($BZ603="FT",IF(ISNA(VLOOKUP(CONCATENATE($R603,12),master,MATCH(CONCATENATE($AN603,"_",$AM$6),master_header,0),FALSE)=TRUE),0,VLOOKUP(CONCATENATE($R603,12),master,MATCH(CONCATENATE($AN603,"_",$AM$6),master_header,0),FALSE)),IF(ISNA(VLOOKUP(CONCATENATE($R603,5),master,MATCH(CONCATENATE($AN603,"_",$AM$6),master_header,0),FALSE)=TRUE),0,VLOOKUP(CONCATENATE($R603,5),master,MATCH(CONCATENATE($AN603,"_",$AM$6),master_header,0),FALSE)))))</f>
        <v>0</v>
      </c>
      <c r="CQ603" s="51">
        <f>IF($B$2&gt;0,"",$K603*$CM603+$L603*$CN603+$M603*$CO603+$N603*$CP603)</f>
        <v>0</v>
      </c>
      <c r="CR603" s="49">
        <f>IF($B$2&gt;0,"",IF(OR($K603="",$K603=0),0,IF($BZ603="FT",IF(ISNA(VLOOKUP(CONCATENATE($R603,4),master,9,FALSE)=TRUE),0,VLOOKUP(CONCATENATE($R603,4),master,9,FALSE)),IF(ISNA(VLOOKUP(CONCATENATE($R603,2),master,9,FALSE)=TRUE),0,VLOOKUP(CONCATENATE($R603,2),master,9,FALSE)))))</f>
        <v>0</v>
      </c>
      <c r="CS603" s="50">
        <f>IF($B$2&gt;0,"",IF(OR($L603="",$L603=0),0,IF($BZ603="FT",IF(ISNA(VLOOKUP(CONCATENATE($R603,6),master,9,FALSE)=TRUE),0,VLOOKUP(CONCATENATE($R603,6),master,9,FALSE)),IF(ISNA(VLOOKUP(CONCATENATE($R603,3),master,9,FALSE)=TRUE),0,VLOOKUP(CONCATENATE($R603,3),master,9,FALSE)))))</f>
        <v>0</v>
      </c>
      <c r="CT603" s="50">
        <f>IF($B$2&gt;0,"",IF(OR($M603="",$M603=0),0,IF($BZ603="FT",IF(ISNA(VLOOKUP(CONCATENATE($R603,8),master,9,FALSE)=TRUE),0,VLOOKUP(CONCATENATE($R603,8),master,9,FALSE)),IF(ISNA(VLOOKUP(CONCATENATE($R603,4),master,9,FALSE)=TRUE),0,VLOOKUP(CONCATENATE($R603,4),master,9,FALSE)))))</f>
        <v>0</v>
      </c>
      <c r="CU603" s="52">
        <f>IF($B$2&gt;0,"",IF(OR($N603="",$N603=0),0,IF($BZ603="FT",IF(ISNA(VLOOKUP(CONCATENATE($R603,12),master,9,FALSE)=TRUE),0,VLOOKUP(CONCATENATE($R603,12),master,9,FALSE)),IF(ISNA(VLOOKUP(CONCATENATE($R603,5),master,9,FALSE)=TRUE),0,VLOOKUP(CONCATENATE($R603,5),master,9,FALSE)))))</f>
        <v>0</v>
      </c>
      <c r="CV603" s="49">
        <f>IF($B$2&gt;0,"",IF(OR($K603="",$K603=0),0,IF($BZ603="FT",IF(ISNA(VLOOKUP(CONCATENATE($R603,4),master,10,FALSE)=TRUE),0,VLOOKUP(CONCATENATE($R603,4),master,10,FALSE)),IF(ISNA(VLOOKUP(CONCATENATE($R603,2),master,10,FALSE)=TRUE),0,VLOOKUP(CONCATENATE($R603,2),master,10,FALSE)))))</f>
        <v>0</v>
      </c>
      <c r="CW603" s="50">
        <f>IF($B$2&gt;0,"",IF(OR($L603="",$L603=0),0,IF($BZ603="FT",IF(ISNA(VLOOKUP(CONCATENATE($R603,6),master,10,FALSE)=TRUE),0,VLOOKUP(CONCATENATE($R603,6),master,10,FALSE)),IF(ISNA(VLOOKUP(CONCATENATE($R603,3),master,10,FALSE)=TRUE),0,VLOOKUP(CONCATENATE($R603,3),master,10,FALSE)))))</f>
        <v>0</v>
      </c>
      <c r="CX603" s="50">
        <f>IF($B$2&gt;0,"",IF(OR($M603="",$M603=0),0,IF($BZ603="FT",IF(ISNA(VLOOKUP(CONCATENATE($R603,8),master,10,FALSE)=TRUE),0,VLOOKUP(CONCATENATE($R603,8),master,10,FALSE)),IF(ISNA(VLOOKUP(CONCATENATE($R603,4),master,10,FALSE)=TRUE),0,VLOOKUP(CONCATENATE($R603,4),master,10,FALSE)))))</f>
        <v>0</v>
      </c>
      <c r="CY603" s="50">
        <f>IF($B$2&gt;0,"",IF(OR($N603="",$N603=0),0,IF($BZ603="FT",IF(ISNA(VLOOKUP(CONCATENATE($R603,12),master,10,FALSE)=TRUE),0,VLOOKUP(CONCATENATE($R603,12),master,10,FALSE)),IF(ISNA(VLOOKUP(CONCATENATE($R603,5),master,10,FALSE)=TRUE),0,VLOOKUP(CONCATENATE($R603,5),master,10,FALSE)))))</f>
        <v>0</v>
      </c>
      <c r="CZ603" s="49">
        <f>IF($B$2&gt;0,"",IF(OR($K603="",$K603=0),0,IF($BZ603="FT",IF(ISNA(VLOOKUP(CONCATENATE($R603,4),master,MATCH(CONCATENATE($AK603,"_",$AJ$6),master_header,0),FALSE)=TRUE),0,VLOOKUP(CONCATENATE($R603,4),master,MATCH(CONCATENATE($AK603,"_",$AJ$6),master_header,0),FALSE)),IF(ISNA(VLOOKUP(CONCATENATE($R603,2),master,MATCH(CONCATENATE($AK603,"_",$AJ$6),master_header,0),FALSE)=TRUE),0,VLOOKUP(CONCATENATE($R603,2),master,MATCH(CONCATENATE($AK603,"_",$AJ$6),master_header,0),FALSE)))))</f>
        <v>0</v>
      </c>
      <c r="DA603" s="50">
        <f>IF($B$2&gt;0,"",IF(OR($L603="",$L603=0),0,IF($BZ603="FT",IF(ISNA(VLOOKUP(CONCATENATE($R603,6),master,MATCH(CONCATENATE($AK603,"_",$AJ$6),master_header,0),FALSE)=TRUE),0,VLOOKUP(CONCATENATE($R603,6),master,MATCH(CONCATENATE($AK603,"_",$AJ$6),master_header,0),FALSE)),IF(ISNA(VLOOKUP(CONCATENATE($R603,3),master,MATCH(CONCATENATE($AK603,"_",$AJ$6),master_header,0),FALSE)=TRUE),0,VLOOKUP(CONCATENATE($R603,3),master,MATCH(CONCATENATE($AK603,"_",$AJ$6),master_header,0),FALSE)))))</f>
        <v>0</v>
      </c>
      <c r="DB603" s="50">
        <f>IF($B$2&gt;0,"",IF(OR($M603="",$M603=0),0,IF($BZ603="FT",IF(ISNA(VLOOKUP(CONCATENATE($R603,8),master,MATCH(CONCATENATE($AK603,"_",$AJ$6),master_header,0),FALSE)=TRUE),0,VLOOKUP(CONCATENATE($R603,8),master,MATCH(CONCATENATE($AK603,"_",$AJ$6),master_header,0),FALSE)),IF(ISNA(VLOOKUP(CONCATENATE($R603,4),master,MATCH(CONCATENATE($AK603,"_",$AJ$6),master_header,0),FALSE)=TRUE),0,VLOOKUP(CONCATENATE($R603,4),master,MATCH(CONCATENATE($AK603,"_",$AJ$6),master_header,0),FALSE)))))</f>
        <v>0</v>
      </c>
      <c r="DC603" s="50">
        <f>IF($B$2&gt;0,"",IF(OR($N603="",$N603=0),0,IF($BZ603="FT",IF(ISNA(VLOOKUP(CONCATENATE($R603,12),master,MATCH(CONCATENATE($AK603,"_",$AJ$6),master_header,0),FALSE)=TRUE),0,VLOOKUP(CONCATENATE($R603,12),master,MATCH(CONCATENATE($AK603,"_",$AJ$6),master_header,0),FALSE)),IF(ISNA(VLOOKUP(CONCATENATE($R603,5),master,MATCH(CONCATENATE($AK603,"_",$AJ$6),master_header,0),FALSE)=TRUE),0,VLOOKUP(CONCATENATE($R603,5),master,MATCH(CONCATENATE($AK603,"_",$AJ$6),master_header,0),FALSE)))))</f>
        <v>0</v>
      </c>
      <c r="DD603" s="53" t="str">
        <f>IF($B$2&gt;0,"",IF($AI603="EL",$K603*$CZ603+$L603*$DA603+$M603*$DB603+$N603*$DC603,"0.00"))</f>
        <v>0.00</v>
      </c>
      <c r="DE603" s="49">
        <f>IF($B$2&gt;0,"",IF(OR($K603="",$K603=0),0,IF($BZ603="FT",IF(ISNA(VLOOKUP(CONCATENATE($R603,4),master,16,FALSE)=TRUE),0,VLOOKUP(CONCATENATE($R603,4),master,16,FALSE)),IF(ISNA(VLOOKUP(CONCATENATE($R603,2),master,16,FALSE)=TRUE),0,VLOOKUP(CONCATENATE($R603,2),master,16,FALSE)))))</f>
        <v>0</v>
      </c>
      <c r="DF603" s="50">
        <f>IF($B$2&gt;0,"",IF(OR($L603="",$L603=0),0,IF($BZ603="FT",IF(ISNA(VLOOKUP(CONCATENATE($R603,6),master,16,FALSE)=TRUE),0,VLOOKUP(CONCATENATE($R603,6),master,16,FALSE)),IF(ISNA(VLOOKUP(CONCATENATE($R603,3),master,16,FALSE)=TRUE),0,VLOOKUP(CONCATENATE($R603,3),master,16,FALSE)))))</f>
        <v>0</v>
      </c>
      <c r="DG603" s="50">
        <f>IF($B$2&gt;0,"",IF(OR($M603="",$M603=0),0,IF($BZ603="FT",IF(ISNA(VLOOKUP(CONCATENATE($R603,8),master,16,FALSE)=TRUE),0,VLOOKUP(CONCATENATE($R603,8),master,16,FALSE)),IF(ISNA(VLOOKUP(CONCATENATE($R603,4),master,16,FALSE)=TRUE),0,VLOOKUP(CONCATENATE($R603,4),master,16,FALSE)))))</f>
        <v>0</v>
      </c>
      <c r="DH603" s="50">
        <f>IF($B$2&gt;0,"",IF(OR($N603="",$N603=0),0,IF($BZ603="FT",IF(ISNA(VLOOKUP(CONCATENATE($R603,12),master,16,FALSE)=TRUE),0,VLOOKUP(CONCATENATE($R603,12),master,16,FALSE)),IF(ISNA(VLOOKUP(CONCATENATE($R603,5),master,16,FALSE)=TRUE),0,VLOOKUP(CONCATENATE($R603,5),master,16,FALSE)))))</f>
        <v>0</v>
      </c>
      <c r="DI603" s="53">
        <f>IF($B$2&gt;0,"",IF(OR($AI603="HG",$AI603="EL"),$K603*$DE603+$L603*$DF603+$M603*$DG603+$N603*$DH603,0))</f>
        <v>0</v>
      </c>
      <c r="DJ603" s="49">
        <f>IF($B$2&gt;0,"",IF(OR($K603="",$K603=0),0,IF($BZ603="FT",IF(ISNA(VLOOKUP(CONCATENATE($R603,4),master,15,FALSE)=TRUE),0,VLOOKUP(CONCATENATE($R603,4),master,15,FALSE)),IF(ISNA(VLOOKUP(CONCATENATE($R603,2),master,15,FALSE)=TRUE),0,VLOOKUP(CONCATENATE($R603,2),master,15,FALSE)))))</f>
        <v>0</v>
      </c>
      <c r="DK603" s="50">
        <f>IF($B$2&gt;0,"",IF(OR($L603="",$L603=0),0,IF($BZ603="FT",IF(ISNA(VLOOKUP(CONCATENATE($R603,6),master,15,FALSE)=TRUE),0,VLOOKUP(CONCATENATE($R603,6),master,15,FALSE)),IF(ISNA(VLOOKUP(CONCATENATE($R603,3),master,15,FALSE)=TRUE),0,VLOOKUP(CONCATENATE($R603,3),master,15,FALSE)))))</f>
        <v>0</v>
      </c>
      <c r="DL603" s="50">
        <f>IF($B$2&gt;0,"",IF(OR($M603="",$M603=0),0,IF($BZ603="FT",IF(ISNA(VLOOKUP(CONCATENATE($R603,8),master,15,FALSE)=TRUE),0,VLOOKUP(CONCATENATE($R603,8),master,15,FALSE)),IF(ISNA(VLOOKUP(CONCATENATE($R603,4),master,15,FALSE)=TRUE),0,VLOOKUP(CONCATENATE($R603,4),master,15,FALSE)))))</f>
        <v>0</v>
      </c>
      <c r="DM603" s="52">
        <f>IF($B$2&gt;0,"",IF(OR($N603="",$N603=0),0,IF($BZ603="FT",IF(ISNA(VLOOKUP(CONCATENATE($R603,12),master,15,FALSE)=TRUE),0,VLOOKUP(CONCATENATE($R603,12),master,15,FALSE)),IF(ISNA(VLOOKUP(CONCATENATE($R603,5),master,15,FALSE)=TRUE),0,VLOOKUP(CONCATENATE($R603,5),master,15,FALSE)))))</f>
        <v>0</v>
      </c>
      <c r="DO603" s="49">
        <f>IF($B$2&gt;0,"",IF(OR($V603="",$V603=0),0,IF(ISNA(VLOOKUP($W603,evapdx,MATCH(CONCATENATE($AK603,"_",$AJ$6),evapdx_header,0),FALSE)=TRUE),0,VLOOKUP($W603,evapdx,MATCH(CONCATENATE($AK603,"_",$AJ$6),evapdx_header,0),FALSE))))</f>
        <v>0</v>
      </c>
      <c r="DP603" s="54">
        <f>IF($B$2&gt;0,"",$DO603*$V603)</f>
        <v>0</v>
      </c>
      <c r="DQ603" s="49">
        <f>IF($B$2&gt;0,"",IF(OR($V603="",$V603=0),0,IF(ISNA(VLOOKUP($W603,evapdx,MATCH(CONCATENATE($AK603,"_pan"),evapdx_header,0),FALSE)=TRUE),0,VLOOKUP($W603,evapdx,MATCH(CONCATENATE($AK603,"_pan"),evapdx_header,0),FALSE))))</f>
        <v>0</v>
      </c>
      <c r="DR603" s="52">
        <f>IF($B$2&gt;0,"",$DQ603*$V603)</f>
        <v>0</v>
      </c>
      <c r="DS603" s="49">
        <f>IF($B$2&gt;0,"",IF(OR($V603="",$V603=0),0,IF(ISNA(VLOOKUP($W603,evapdx,MATCH(CONCATENATE($AN603,"_",$AM$6),evapdx_header,0),FALSE)=TRUE),0,VLOOKUP($W603,evapdx,MATCH(CONCATENATE($AN603,"_",$AM$6),evapdx_header,0),FALSE))))</f>
        <v>0</v>
      </c>
      <c r="DT603" s="54">
        <f>IF($B$2&gt;0,"",$DS603*$V603)</f>
        <v>0</v>
      </c>
      <c r="DU603" s="125" t="str">
        <f>IF($B$2&gt;0,"",IF(OR($V603="",$V603=0),"Enter Def.",VLOOKUP($W603,evapdx,MATCH("defrost_type",evapdx_header,1),FALSE)))</f>
        <v>Enter Def.</v>
      </c>
      <c r="DV603" s="126" t="e">
        <f>IF($B$2&gt;0,"",VLOOKUP($H603,'Walk-in Load Calc'!$F$5:$Q$37,11,FALSE))</f>
        <v>#N/A</v>
      </c>
      <c r="DW603" s="135" t="s">
        <v>352</v>
      </c>
      <c r="DX603" s="136" t="s">
        <v>144</v>
      </c>
      <c r="DY603" s="137" t="str">
        <f>IF($B$2&gt;0,"",IF(OR($W603="Enter Evap. Model",$W603=""), "-",VLOOKUP($W603,'HEAT-X'!$U$9:$V$77,2,FALSE)))</f>
        <v>-</v>
      </c>
      <c r="EB603" s="49">
        <f>IF($B$2&gt;0,"",IF(OR($K603="",$K603=0),0,IF($BZ603="FT",IF(ISNA(VLOOKUP(CONCATENATE($R603,4),master,21,FALSE)=TRUE),0,VLOOKUP(CONCATENATE($R603,4),master,21,FALSE)),IF(ISNA(VLOOKUP(CONCATENATE($R603,2),master,21,FALSE)=TRUE),0,VLOOKUP(CONCATENATE($R603,2),master,21,FALSE)))))</f>
        <v>0</v>
      </c>
      <c r="EC603" s="50">
        <f>IF($B$2&gt;0,"",IF(OR($L603="",$L603=0),0,IF($BZ603="FT",IF(ISNA(VLOOKUP(CONCATENATE($R603,6),master,21,FALSE)=TRUE),0,VLOOKUP(CONCATENATE($R603,6),master,21,FALSE)),IF(ISNA(VLOOKUP(CONCATENATE($R603,3),master,21,FALSE)=TRUE),0,VLOOKUP(CONCATENATE($R603,3),master,21,FALSE)))))</f>
        <v>0</v>
      </c>
      <c r="ED603" s="50">
        <f>IF($B$2&gt;0,"",IF(OR($M603="",$M603=0),0,IF($BZ603="FT",IF(ISNA(VLOOKUP(CONCATENATE($R603,8),master,21,FALSE)=TRUE),0,VLOOKUP(CONCATENATE($R603,8),master,21,FALSE)),IF(ISNA(VLOOKUP(CONCATENATE($R603,4),master,21,FALSE)=TRUE),0,VLOOKUP(CONCATENATE($R603,4),master,21,FALSE)))))</f>
        <v>0</v>
      </c>
      <c r="EE603" s="52">
        <f>IF($B$2&gt;0,"",IF(OR($N603="",$N603=0),0,IF($BZ603="FT",IF(ISNA(VLOOKUP(CONCATENATE($R603,12),master,21,FALSE)=TRUE),0,VLOOKUP(CONCATENATE($R603,12),master,21,FALSE)),IF(ISNA(VLOOKUP(CONCATENATE($R603,5),master,21,FALSE)=TRUE),0,VLOOKUP(CONCATENATE($R603,5),master,21,FALSE)))))</f>
        <v>0</v>
      </c>
      <c r="EG603" s="49">
        <f>IF($B$2&gt;0,"",IF(OR($K603="",$K603=0),0,IF($BZ603="FT",IF(ISNA(VLOOKUP(CONCATENATE($R603,4),master,22,FALSE)=TRUE),0,VLOOKUP(CONCATENATE($R603,4),master,22,FALSE)),IF(ISNA(VLOOKUP(CONCATENATE($R603,2),master,22,FALSE)=TRUE),0,VLOOKUP(CONCATENATE($R603,2),master,22,FALSE)))))</f>
        <v>0</v>
      </c>
      <c r="EH603" s="50">
        <f>IF($B$2&gt;0,"",IF(OR($L603="",$L603=0),0,IF($BZ603="FT",IF(ISNA(VLOOKUP(CONCATENATE($R603,6),master,22,FALSE)=TRUE),0,VLOOKUP(CONCATENATE($R603,6),master,22,FALSE)),IF(ISNA(VLOOKUP(CONCATENATE($R603,3),master,22,FALSE)=TRUE),0,VLOOKUP(CONCATENATE($R603,3),master,22,FALSE)))))</f>
        <v>0</v>
      </c>
      <c r="EI603" s="50">
        <f>IF($B$2&gt;0,"",IF(OR($M603="",$M603=0),0,IF($BZ603="FT",IF(ISNA(VLOOKUP(CONCATENATE($R603,8),master,22,FALSE)=TRUE),0,VLOOKUP(CONCATENATE($R603,8),master,22,FALSE)),IF(ISNA(VLOOKUP(CONCATENATE($R603,4),master,22,FALSE)=TRUE),0,VLOOKUP(CONCATENATE($R603,4),master,22,FALSE)))))</f>
        <v>0</v>
      </c>
      <c r="EJ603" s="52">
        <f>IF($B$2&gt;0,"",IF(OR($N603="",$N603=0),0,IF($BZ603="FT",IF(ISNA(VLOOKUP(CONCATENATE($R603,12),master,22,FALSE)=TRUE),0,VLOOKUP(CONCATENATE($R603,12),master,22,FALSE)),IF(ISNA(VLOOKUP(CONCATENATE($R603,5),master,22,FALSE)=TRUE),0,VLOOKUP(CONCATENATE($R603,5),master,22,FALSE)))))</f>
        <v>0</v>
      </c>
      <c r="EL603" s="49">
        <f>IF($B$2&gt;0,"",IF(OR($K603="",$K603=0),0,IF($BZ603="FT",IF(ISNA(VLOOKUP(CONCATENATE($R603,4),master,23,FALSE)=TRUE),0,VLOOKUP(CONCATENATE($R603,4),master,23,FALSE)),IF(ISNA(VLOOKUP(CONCATENATE($R603,2),master,23,FALSE)=TRUE),0,VLOOKUP(CONCATENATE($R603,2),master,23,FALSE)))))</f>
        <v>0</v>
      </c>
      <c r="EM603" s="50">
        <f>IF($B$2&gt;0,"",IF(OR($L603="",$L603=0),0,IF($BZ603="FT",IF(ISNA(VLOOKUP(CONCATENATE($R603,6),master,23,FALSE)=TRUE),0,VLOOKUP(CONCATENATE($R603,6),master,23,FALSE)),IF(ISNA(VLOOKUP(CONCATENATE($R603,3),master,23,FALSE)=TRUE),0,VLOOKUP(CONCATENATE($R603,3),master,23,FALSE)))))</f>
        <v>0</v>
      </c>
      <c r="EN603" s="50">
        <f>IF($B$2&gt;0,"",IF(OR($M603="",$M603=0),0,IF($BZ603="FT",IF(ISNA(VLOOKUP(CONCATENATE($R603,8),master,23,FALSE)=TRUE),0,VLOOKUP(CONCATENATE($R603,8),master,23,FALSE)),IF(ISNA(VLOOKUP(CONCATENATE($R603,4),master,23,FALSE)=TRUE),0,VLOOKUP(CONCATENATE($R603,4),master,23,FALSE)))))</f>
        <v>0</v>
      </c>
      <c r="EO603" s="52">
        <f>IF($B$2&gt;0,"",IF(OR($N603="",$N603=0),0,IF($BZ603="FT",IF(ISNA(VLOOKUP(CONCATENATE($R603,12),master,23,FALSE)=TRUE),0,VLOOKUP(CONCATENATE($R603,12),master,23,FALSE)),IF(ISNA(VLOOKUP(CONCATENATE($R603,5),master,23,FALSE)=TRUE),0,VLOOKUP(CONCATENATE($R603,5),master,23,FALSE)))))</f>
        <v>0</v>
      </c>
      <c r="EQ603" s="49">
        <f>IF($B$2&gt;0,"",IF(OR($K603="",$K603=0),0,IF($BZ603="FT",IF(ISNA(VLOOKUP(CONCATENATE($R603,4),master,6,FALSE)=TRUE),0,INDEX(master,MATCH((CONCATENATE($R603,4)),master_CONC,0),MATCH(CONCATENATE($U$1,"_",$AT$1),master_header,0))),IF(ISNA(VLOOKUP(CONCATENATE($R603,2),master,6,FALSE)=TRUE),0,INDEX(master,MATCH((CONCATENATE($R603,2)),master,0),MATCH(CONCATENATE($U$1,"_",$AT$1),master_header,0))))))</f>
        <v>0</v>
      </c>
      <c r="ER603" s="50">
        <f>IF($B$2&gt;0,"",IF(OR($L603="",$L603=0),0,IF($BZ603="FT",IF(ISNA(VLOOKUP(CONCATENATE($R603,6),master,6,FALSE)=TRUE),0,INDEX(master,MATCH((CONCATENATE($R603,6)),master_CONC,0),MATCH(CONCATENATE($U$1,"_",$AT$1),master_header,0))),IF(ISNA(VLOOKUP(CONCATENATE($R603,3),master,6,FALSE)=TRUE),0,INDEX(master,MATCH((CONCATENATE($R603,3)),master,0),MATCH(CONCATENATE($U$1,"_",$AT$1),master_header,0))))))</f>
        <v>0</v>
      </c>
      <c r="ES603" s="50">
        <f>IF($B$2&gt;0,"",IF(OR($M603="",$M603=0),0,IF($BZ603="FT",IF(ISNA(VLOOKUP(CONCATENATE($R603,8),master,6,FALSE)=TRUE),0,INDEX(master,MATCH((CONCATENATE($R603,8)),master_CONC,0),MATCH(CONCATENATE($U$1,"_",$AT$1),master_header,0))),IF(ISNA(VLOOKUP(CONCATENATE($R603,4),master,6,FALSE)=TRUE),0,INDEX(master,MATCH((CONCATENATE($R603,4)),master,0),MATCH(CONCATENATE($U$1,"_",$AT$1),master_header,0))))))</f>
        <v>0</v>
      </c>
      <c r="ET603" s="52">
        <f>IF($B$2&gt;0,"",IF(OR($N603="",$N603=0),0,IF($BZ603="FT",IF(ISNA(VLOOKUP(CONCATENATE($R603,12),master,6,FALSE)=TRUE),0,INDEX(master,MATCH((CONCATENATE($R603,12)),master_CONC,0),MATCH(CONCATENATE($U$1,"_",$AT$1),master_header,0))),IF(ISNA(VLOOKUP(CONCATENATE($R603,5),master,6,FALSE)=TRUE),0,INDEX(master,MATCH((CONCATENATE($R603,5)),master,0),MATCH(CONCATENATE($U$1,"_",$AT$1),master_header,0))))))</f>
        <v>0</v>
      </c>
    </row>
    <row r="604" spans="1:150" ht="12" customHeight="1" x14ac:dyDescent="0.2">
      <c r="E604" s="445"/>
      <c r="G604" s="445"/>
      <c r="Z604" s="849"/>
      <c r="AA604" s="849"/>
      <c r="AD604" s="67"/>
      <c r="AQ604" s="980"/>
      <c r="AR604" s="980"/>
      <c r="AS604" s="982"/>
      <c r="AV604" s="893"/>
    </row>
    <row r="605" spans="1:150" ht="12" customHeight="1" x14ac:dyDescent="0.2">
      <c r="A605" s="866" t="s">
        <v>134</v>
      </c>
      <c r="B605" s="555" t="s">
        <v>375</v>
      </c>
      <c r="C605" s="557"/>
      <c r="D605" s="867" t="s">
        <v>376</v>
      </c>
      <c r="E605" s="445"/>
      <c r="F605" s="553" t="s">
        <v>350</v>
      </c>
      <c r="G605" s="445" t="str">
        <f>IF(H605="","",H605)</f>
        <v/>
      </c>
      <c r="H605" s="850"/>
      <c r="I605" s="853"/>
      <c r="J605" s="853"/>
      <c r="K605" s="853"/>
      <c r="L605" s="852"/>
      <c r="M605" s="852"/>
      <c r="N605" s="853"/>
      <c r="O605" s="853"/>
      <c r="P605" s="853"/>
      <c r="Q605" s="853"/>
      <c r="R605" s="851"/>
      <c r="S605" s="851"/>
      <c r="T605" s="851"/>
      <c r="U605" s="864"/>
      <c r="V605" s="852"/>
      <c r="W605" s="853"/>
      <c r="X605" s="853"/>
      <c r="Y605" s="853"/>
      <c r="Z605" s="1017">
        <v>0</v>
      </c>
      <c r="AA605" s="854">
        <v>0</v>
      </c>
      <c r="AB605" s="862"/>
      <c r="AC605" s="862"/>
      <c r="AD605" s="865"/>
      <c r="AE605" s="859"/>
      <c r="AF605" s="857"/>
      <c r="AG605" s="852"/>
      <c r="AH605" s="858"/>
      <c r="AI605" s="858"/>
      <c r="AJ605" s="857"/>
      <c r="AK605" s="851"/>
      <c r="AL605" s="852"/>
      <c r="AM605" s="857"/>
      <c r="AN605" s="853"/>
      <c r="AO605" s="857"/>
      <c r="AP605" s="857"/>
      <c r="AQ605" s="981"/>
      <c r="AR605" s="981"/>
      <c r="AS605" s="858"/>
      <c r="AT605" s="853"/>
      <c r="AU605" s="893" t="str">
        <f>IF(H605="","",IF(OR(B605=0,B605="SUB-CKT"),IF(ISNA(MATCH(H605,LoopSegs_Skid,0)),H605,""),""))</f>
        <v/>
      </c>
      <c r="AV605" s="893"/>
      <c r="BZ605" s="45" t="str">
        <f>IF($B$2&gt;0,"",IF($R605="","FT",IF($R605="Enter Case Model","FT",VLOOKUP($R605,model,2,FALSE))))</f>
        <v>FT</v>
      </c>
      <c r="CA605" s="46">
        <f>IF($B$2&gt;0,"",IF(OR($K605="",$K605=0),0,IF($BZ605="FT",IF(ISNA(VLOOKUP(CONCATENATE($R605,4),master,2,FALSE)=TRUE),"DNE",VLOOKUP(CONCATENATE($R605,4),master,2,FALSE)),IF(ISNA(VLOOKUP(CONCATENATE($R605,2),master,2,FALSE)=TRUE),"DNE",VLOOKUP(CONCATENATE($R605,2),master,2,FALSE)))))</f>
        <v>0</v>
      </c>
      <c r="CB605" s="46">
        <f>IF($B$2&gt;0,"",IF(OR($L605="",$L605=0),0,IF($BZ605="FT",IF(ISNA(VLOOKUP(CONCATENATE($R605,6),master,2,FALSE)=TRUE),"DNE",VLOOKUP(CONCATENATE($R605,6),master,2,FALSE)),IF(ISNA(VLOOKUP(CONCATENATE($R605,3),master,2,FALSE)=TRUE),"DNE",VLOOKUP(CONCATENATE($R605,3),master,2,FALSE)))))</f>
        <v>0</v>
      </c>
      <c r="CC605" s="46">
        <f>IF($B$2&gt;0,"",IF(OR($M605="",$M605=0),0,IF($BZ605="FT",IF(ISNA(VLOOKUP(CONCATENATE($R605,8),master,2,FALSE)=TRUE),"DNE",VLOOKUP(CONCATENATE($R605,8),master,2,FALSE)),IF(ISNA(VLOOKUP(CONCATENATE($R605,4),master,2,FALSE)=TRUE),"DNE",VLOOKUP(CONCATENATE($R605,4),master,2,FALSE)))))</f>
        <v>0</v>
      </c>
      <c r="CD605" s="79">
        <f>IF($B$2&gt;0,"",IF(OR($N605="",$N605=0),0,IF($BZ605="FT",IF(ISNA(VLOOKUP(CONCATENATE($R605,12),master,2,FALSE)=TRUE),"DNE",VLOOKUP(CONCATENATE($R605,12),master,2,FALSE)),IF(ISNA(VLOOKUP(CONCATENATE($R605,5),master,2,FALSE)=TRUE),"DNE",VLOOKUP(CONCATENATE($R605,5),master,2,FALSE)))))</f>
        <v>0</v>
      </c>
      <c r="CE605" s="81">
        <f>IF($B$2&gt;0,"",IF(OR($CA605="DNE",$CA605=0),0,1))</f>
        <v>0</v>
      </c>
      <c r="CF605" s="79">
        <f>IF($B$2&gt;0,"",IF(OR($CB605="DNE",$CB605=0),0,1))</f>
        <v>0</v>
      </c>
      <c r="CG605" s="46">
        <f>IF($B$2&gt;0,"",IF(OR($CC605="DNE",$CC605=0),0,1))</f>
        <v>0</v>
      </c>
      <c r="CH605" s="82">
        <f>IF($B$2&gt;0,"",IF(OR($CD605="DNE",$CD605=0),0,1))</f>
        <v>0</v>
      </c>
      <c r="CI605" s="80">
        <f>IF($B$2&gt;0,"",IF(OR($K605="",$K605=0),0,IF($BZ605="FT",IF(ISNA(VLOOKUP(CONCATENATE($R605,4),master,6,FALSE)=TRUE),0,VLOOKUP(CONCATENATE($R605,4),master,6,FALSE)),IF(ISNA(VLOOKUP(CONCATENATE($R605,2),master,6,FALSE)=TRUE),0,VLOOKUP(CONCATENATE($R605,2),master,6,FALSE)))))</f>
        <v>0</v>
      </c>
      <c r="CJ605" s="47">
        <f>IF($B$2&gt;0,"",IF(OR($L605="",$L605=0),0,IF($BZ605="FT",IF(ISNA(VLOOKUP(CONCATENATE($R605,6),master,6,FALSE)=TRUE),0,VLOOKUP(CONCATENATE($R605,6),master,6,FALSE)),IF(ISNA(VLOOKUP(CONCATENATE($R605,3),master,6,FALSE)=TRUE),0,VLOOKUP(CONCATENATE($R605,3),master,6,FALSE)))))</f>
        <v>0</v>
      </c>
      <c r="CK605" s="47">
        <f>IF($B$2&gt;0,"",IF(OR($M605="",$M605=0),0,IF($BZ605="FT",IF(ISNA(VLOOKUP(CONCATENATE($R605,8),master,6,FALSE)=TRUE),0,VLOOKUP(CONCATENATE($R605,8),master,6,FALSE)),IF(ISNA(VLOOKUP(CONCATENATE($R605,4),master,6,FALSE)=TRUE),0,VLOOKUP(CONCATENATE($R605,4),master,6,FALSE)))))</f>
        <v>0</v>
      </c>
      <c r="CL605" s="48">
        <f>IF($B$2&gt;0,"",IF(OR($N605="",$N605=0),0,IF($BZ605="FT",IF(ISNA(VLOOKUP(CONCATENATE($R605,12),master,6,FALSE)=TRUE),0,VLOOKUP(CONCATENATE($R605,12),master,6,FALSE)),IF(ISNA(VLOOKUP(CONCATENATE($R605,5),master,6,FALSE)=TRUE),0,VLOOKUP(CONCATENATE($R605,5),master,6,FALSE)))))</f>
        <v>0</v>
      </c>
      <c r="CM605" s="49">
        <f>IF($B$2&gt;0,"",IF(OR($K605="",$K605=0),0,IF($BZ605="FT",IF(ISNA(VLOOKUP(CONCATENATE($R605,4),master,MATCH(CONCATENATE($AN605,"_",$AM$6),master_header,0),FALSE)=TRUE),0,VLOOKUP(CONCATENATE($R605,4),master,MATCH(CONCATENATE($AN605,"_",$AM$6),master_header,0),FALSE)),IF(ISNA(VLOOKUP(CONCATENATE($R605,2),master,MATCH(CONCATENATE($AN605,"_",$AM$6),master_header,0),FALSE)=TRUE),0,VLOOKUP(CONCATENATE($R605,2),master,MATCH(CONCATENATE($AN605,"_",$AM$6),master_header,0),FALSE)))))</f>
        <v>0</v>
      </c>
      <c r="CN605" s="50">
        <f>IF($B$2&gt;0,"",IF(OR($L605="",$L605=0),0,IF($BZ605="FT",IF(ISNA(VLOOKUP(CONCATENATE($R605,6),master,MATCH(CONCATENATE($AN605,"_",$AM$6),master_header,0),FALSE)=TRUE),0,VLOOKUP(CONCATENATE($R605,6),master,MATCH(CONCATENATE($AN605,"_",$AM$6),master_header,0),FALSE)),IF(ISNA(VLOOKUP(CONCATENATE($R605,3),master,MATCH(CONCATENATE($AN605,"_",$AM$6),master_header,0),FALSE)=TRUE),0,VLOOKUP(CONCATENATE($R605,3),master,MATCH(CONCATENATE($AN605,"_",$AM$6),master_header,0),FALSE)))))</f>
        <v>0</v>
      </c>
      <c r="CO605" s="50">
        <f>IF($B$2&gt;0,"",IF(OR($M605="",$M605=0),0,IF($BZ605="FT",IF(ISNA(VLOOKUP(CONCATENATE($R605,8),master,MATCH(CONCATENATE($AN605,"_",$AM$6),master_header,0),FALSE)=TRUE),0,VLOOKUP(CONCATENATE($R605,8),master,MATCH(CONCATENATE($AN605,"_",$AM$6),master_header,0),FALSE)),IF(ISNA(VLOOKUP(CONCATENATE($R605,4),master,MATCH(CONCATENATE($AN605,"_",$AM$6),master_header,0),FALSE)=TRUE),0,VLOOKUP(CONCATENATE($R605,4),master,MATCH(CONCATENATE($AN605,"_",$AM$6),master_header,0),FALSE)))))</f>
        <v>0</v>
      </c>
      <c r="CP605" s="50">
        <f>IF($B$2&gt;0,"",IF(OR($N605="",$N605=0),0,IF($BZ605="FT",IF(ISNA(VLOOKUP(CONCATENATE($R605,12),master,MATCH(CONCATENATE($AN605,"_",$AM$6),master_header,0),FALSE)=TRUE),0,VLOOKUP(CONCATENATE($R605,12),master,MATCH(CONCATENATE($AN605,"_",$AM$6),master_header,0),FALSE)),IF(ISNA(VLOOKUP(CONCATENATE($R605,5),master,MATCH(CONCATENATE($AN605,"_",$AM$6),master_header,0),FALSE)=TRUE),0,VLOOKUP(CONCATENATE($R605,5),master,MATCH(CONCATENATE($AN605,"_",$AM$6),master_header,0),FALSE)))))</f>
        <v>0</v>
      </c>
      <c r="CQ605" s="51">
        <f>IF($B$2&gt;0,"",$K605*$CM605+$L605*$CN605+$M605*$CO605+$N605*$CP605)</f>
        <v>0</v>
      </c>
      <c r="CR605" s="49">
        <f>IF($B$2&gt;0,"",IF(OR($K605="",$K605=0),0,IF($BZ605="FT",IF(ISNA(VLOOKUP(CONCATENATE($R605,4),master,9,FALSE)=TRUE),0,VLOOKUP(CONCATENATE($R605,4),master,9,FALSE)),IF(ISNA(VLOOKUP(CONCATENATE($R605,2),master,9,FALSE)=TRUE),0,VLOOKUP(CONCATENATE($R605,2),master,9,FALSE)))))</f>
        <v>0</v>
      </c>
      <c r="CS605" s="50">
        <f>IF($B$2&gt;0,"",IF(OR($L605="",$L605=0),0,IF($BZ605="FT",IF(ISNA(VLOOKUP(CONCATENATE($R605,6),master,9,FALSE)=TRUE),0,VLOOKUP(CONCATENATE($R605,6),master,9,FALSE)),IF(ISNA(VLOOKUP(CONCATENATE($R605,3),master,9,FALSE)=TRUE),0,VLOOKUP(CONCATENATE($R605,3),master,9,FALSE)))))</f>
        <v>0</v>
      </c>
      <c r="CT605" s="50">
        <f>IF($B$2&gt;0,"",IF(OR($M605="",$M605=0),0,IF($BZ605="FT",IF(ISNA(VLOOKUP(CONCATENATE($R605,8),master,9,FALSE)=TRUE),0,VLOOKUP(CONCATENATE($R605,8),master,9,FALSE)),IF(ISNA(VLOOKUP(CONCATENATE($R605,4),master,9,FALSE)=TRUE),0,VLOOKUP(CONCATENATE($R605,4),master,9,FALSE)))))</f>
        <v>0</v>
      </c>
      <c r="CU605" s="52">
        <f>IF($B$2&gt;0,"",IF(OR($N605="",$N605=0),0,IF($BZ605="FT",IF(ISNA(VLOOKUP(CONCATENATE($R605,12),master,9,FALSE)=TRUE),0,VLOOKUP(CONCATENATE($R605,12),master,9,FALSE)),IF(ISNA(VLOOKUP(CONCATENATE($R605,5),master,9,FALSE)=TRUE),0,VLOOKUP(CONCATENATE($R605,5),master,9,FALSE)))))</f>
        <v>0</v>
      </c>
      <c r="CV605" s="49">
        <f>IF($B$2&gt;0,"",IF(OR($K605="",$K605=0),0,IF($BZ605="FT",IF(ISNA(VLOOKUP(CONCATENATE($R605,4),master,10,FALSE)=TRUE),0,VLOOKUP(CONCATENATE($R605,4),master,10,FALSE)),IF(ISNA(VLOOKUP(CONCATENATE($R605,2),master,10,FALSE)=TRUE),0,VLOOKUP(CONCATENATE($R605,2),master,10,FALSE)))))</f>
        <v>0</v>
      </c>
      <c r="CW605" s="50">
        <f>IF($B$2&gt;0,"",IF(OR($L605="",$L605=0),0,IF($BZ605="FT",IF(ISNA(VLOOKUP(CONCATENATE($R605,6),master,10,FALSE)=TRUE),0,VLOOKUP(CONCATENATE($R605,6),master,10,FALSE)),IF(ISNA(VLOOKUP(CONCATENATE($R605,3),master,10,FALSE)=TRUE),0,VLOOKUP(CONCATENATE($R605,3),master,10,FALSE)))))</f>
        <v>0</v>
      </c>
      <c r="CX605" s="50">
        <f>IF($B$2&gt;0,"",IF(OR($M605="",$M605=0),0,IF($BZ605="FT",IF(ISNA(VLOOKUP(CONCATENATE($R605,8),master,10,FALSE)=TRUE),0,VLOOKUP(CONCATENATE($R605,8),master,10,FALSE)),IF(ISNA(VLOOKUP(CONCATENATE($R605,4),master,10,FALSE)=TRUE),0,VLOOKUP(CONCATENATE($R605,4),master,10,FALSE)))))</f>
        <v>0</v>
      </c>
      <c r="CY605" s="50">
        <f>IF($B$2&gt;0,"",IF(OR($N605="",$N605=0),0,IF($BZ605="FT",IF(ISNA(VLOOKUP(CONCATENATE($R605,12),master,10,FALSE)=TRUE),0,VLOOKUP(CONCATENATE($R605,12),master,10,FALSE)),IF(ISNA(VLOOKUP(CONCATENATE($R605,5),master,10,FALSE)=TRUE),0,VLOOKUP(CONCATENATE($R605,5),master,10,FALSE)))))</f>
        <v>0</v>
      </c>
      <c r="CZ605" s="49">
        <f>IF($B$2&gt;0,"",IF(OR($K605="",$K605=0),0,IF($BZ605="FT",IF(ISNA(VLOOKUP(CONCATENATE($R605,4),master,MATCH(CONCATENATE($AK605,"_",$AJ$6),master_header,0),FALSE)=TRUE),0,VLOOKUP(CONCATENATE($R605,4),master,MATCH(CONCATENATE($AK605,"_",$AJ$6),master_header,0),FALSE)),IF(ISNA(VLOOKUP(CONCATENATE($R605,2),master,MATCH(CONCATENATE($AK605,"_",$AJ$6),master_header,0),FALSE)=TRUE),0,VLOOKUP(CONCATENATE($R605,2),master,MATCH(CONCATENATE($AK605,"_",$AJ$6),master_header,0),FALSE)))))</f>
        <v>0</v>
      </c>
      <c r="DA605" s="50">
        <f>IF($B$2&gt;0,"",IF(OR($L605="",$L605=0),0,IF($BZ605="FT",IF(ISNA(VLOOKUP(CONCATENATE($R605,6),master,MATCH(CONCATENATE($AK605,"_",$AJ$6),master_header,0),FALSE)=TRUE),0,VLOOKUP(CONCATENATE($R605,6),master,MATCH(CONCATENATE($AK605,"_",$AJ$6),master_header,0),FALSE)),IF(ISNA(VLOOKUP(CONCATENATE($R605,3),master,MATCH(CONCATENATE($AK605,"_",$AJ$6),master_header,0),FALSE)=TRUE),0,VLOOKUP(CONCATENATE($R605,3),master,MATCH(CONCATENATE($AK605,"_",$AJ$6),master_header,0),FALSE)))))</f>
        <v>0</v>
      </c>
      <c r="DB605" s="50">
        <f>IF($B$2&gt;0,"",IF(OR($M605="",$M605=0),0,IF($BZ605="FT",IF(ISNA(VLOOKUP(CONCATENATE($R605,8),master,MATCH(CONCATENATE($AK605,"_",$AJ$6),master_header,0),FALSE)=TRUE),0,VLOOKUP(CONCATENATE($R605,8),master,MATCH(CONCATENATE($AK605,"_",$AJ$6),master_header,0),FALSE)),IF(ISNA(VLOOKUP(CONCATENATE($R605,4),master,MATCH(CONCATENATE($AK605,"_",$AJ$6),master_header,0),FALSE)=TRUE),0,VLOOKUP(CONCATENATE($R605,4),master,MATCH(CONCATENATE($AK605,"_",$AJ$6),master_header,0),FALSE)))))</f>
        <v>0</v>
      </c>
      <c r="DC605" s="50">
        <f>IF($B$2&gt;0,"",IF(OR($N605="",$N605=0),0,IF($BZ605="FT",IF(ISNA(VLOOKUP(CONCATENATE($R605,12),master,MATCH(CONCATENATE($AK605,"_",$AJ$6),master_header,0),FALSE)=TRUE),0,VLOOKUP(CONCATENATE($R605,12),master,MATCH(CONCATENATE($AK605,"_",$AJ$6),master_header,0),FALSE)),IF(ISNA(VLOOKUP(CONCATENATE($R605,5),master,MATCH(CONCATENATE($AK605,"_",$AJ$6),master_header,0),FALSE)=TRUE),0,VLOOKUP(CONCATENATE($R605,5),master,MATCH(CONCATENATE($AK605,"_",$AJ$6),master_header,0),FALSE)))))</f>
        <v>0</v>
      </c>
      <c r="DD605" s="53" t="str">
        <f>IF($B$2&gt;0,"",IF($AI605="EL",$K605*$CZ605+$L605*$DA605+$M605*$DB605+$N605*$DC605,"0.00"))</f>
        <v>0.00</v>
      </c>
      <c r="DE605" s="49">
        <f>IF($B$2&gt;0,"",IF(OR($K605="",$K605=0),0,IF($BZ605="FT",IF(ISNA(VLOOKUP(CONCATENATE($R605,4),master,16,FALSE)=TRUE),0,VLOOKUP(CONCATENATE($R605,4),master,16,FALSE)),IF(ISNA(VLOOKUP(CONCATENATE($R605,2),master,16,FALSE)=TRUE),0,VLOOKUP(CONCATENATE($R605,2),master,16,FALSE)))))</f>
        <v>0</v>
      </c>
      <c r="DF605" s="50">
        <f>IF($B$2&gt;0,"",IF(OR($L605="",$L605=0),0,IF($BZ605="FT",IF(ISNA(VLOOKUP(CONCATENATE($R605,6),master,16,FALSE)=TRUE),0,VLOOKUP(CONCATENATE($R605,6),master,16,FALSE)),IF(ISNA(VLOOKUP(CONCATENATE($R605,3),master,16,FALSE)=TRUE),0,VLOOKUP(CONCATENATE($R605,3),master,16,FALSE)))))</f>
        <v>0</v>
      </c>
      <c r="DG605" s="50">
        <f>IF($B$2&gt;0,"",IF(OR($M605="",$M605=0),0,IF($BZ605="FT",IF(ISNA(VLOOKUP(CONCATENATE($R605,8),master,16,FALSE)=TRUE),0,VLOOKUP(CONCATENATE($R605,8),master,16,FALSE)),IF(ISNA(VLOOKUP(CONCATENATE($R605,4),master,16,FALSE)=TRUE),0,VLOOKUP(CONCATENATE($R605,4),master,16,FALSE)))))</f>
        <v>0</v>
      </c>
      <c r="DH605" s="50">
        <f>IF($B$2&gt;0,"",IF(OR($N605="",$N605=0),0,IF($BZ605="FT",IF(ISNA(VLOOKUP(CONCATENATE($R605,12),master,16,FALSE)=TRUE),0,VLOOKUP(CONCATENATE($R605,12),master,16,FALSE)),IF(ISNA(VLOOKUP(CONCATENATE($R605,5),master,16,FALSE)=TRUE),0,VLOOKUP(CONCATENATE($R605,5),master,16,FALSE)))))</f>
        <v>0</v>
      </c>
      <c r="DI605" s="53">
        <f>IF($B$2&gt;0,"",IF(OR($AI605="HG",$AI605="EL"),$K605*$DE605+$L605*$DF605+$M605*$DG605+$N605*$DH605,0))</f>
        <v>0</v>
      </c>
      <c r="DJ605" s="49">
        <f>IF($B$2&gt;0,"",IF(OR($K605="",$K605=0),0,IF($BZ605="FT",IF(ISNA(VLOOKUP(CONCATENATE($R605,4),master,15,FALSE)=TRUE),0,VLOOKUP(CONCATENATE($R605,4),master,15,FALSE)),IF(ISNA(VLOOKUP(CONCATENATE($R605,2),master,15,FALSE)=TRUE),0,VLOOKUP(CONCATENATE($R605,2),master,15,FALSE)))))</f>
        <v>0</v>
      </c>
      <c r="DK605" s="50">
        <f>IF($B$2&gt;0,"",IF(OR($L605="",$L605=0),0,IF($BZ605="FT",IF(ISNA(VLOOKUP(CONCATENATE($R605,6),master,15,FALSE)=TRUE),0,VLOOKUP(CONCATENATE($R605,6),master,15,FALSE)),IF(ISNA(VLOOKUP(CONCATENATE($R605,3),master,15,FALSE)=TRUE),0,VLOOKUP(CONCATENATE($R605,3),master,15,FALSE)))))</f>
        <v>0</v>
      </c>
      <c r="DL605" s="50">
        <f>IF($B$2&gt;0,"",IF(OR($M605="",$M605=0),0,IF($BZ605="FT",IF(ISNA(VLOOKUP(CONCATENATE($R605,8),master,15,FALSE)=TRUE),0,VLOOKUP(CONCATENATE($R605,8),master,15,FALSE)),IF(ISNA(VLOOKUP(CONCATENATE($R605,4),master,15,FALSE)=TRUE),0,VLOOKUP(CONCATENATE($R605,4),master,15,FALSE)))))</f>
        <v>0</v>
      </c>
      <c r="DM605" s="52">
        <f>IF($B$2&gt;0,"",IF(OR($N605="",$N605=0),0,IF($BZ605="FT",IF(ISNA(VLOOKUP(CONCATENATE($R605,12),master,15,FALSE)=TRUE),0,VLOOKUP(CONCATENATE($R605,12),master,15,FALSE)),IF(ISNA(VLOOKUP(CONCATENATE($R605,5),master,15,FALSE)=TRUE),0,VLOOKUP(CONCATENATE($R605,5),master,15,FALSE)))))</f>
        <v>0</v>
      </c>
      <c r="DO605" s="49">
        <f>IF($B$2&gt;0,"",IF(OR($V605="",$V605=0),0,IF(ISNA(VLOOKUP($W605,evapdx,MATCH(CONCATENATE($AK605,"_",$AJ$6),evapdx_header,0),FALSE)=TRUE),0,VLOOKUP($W605,evapdx,MATCH(CONCATENATE($AK605,"_",$AJ$6),evapdx_header,0),FALSE))))</f>
        <v>0</v>
      </c>
      <c r="DP605" s="54">
        <f>IF($B$2&gt;0,"",$DO605*$V605)</f>
        <v>0</v>
      </c>
      <c r="DQ605" s="49">
        <f>IF($B$2&gt;0,"",IF(OR($V605="",$V605=0),0,IF(ISNA(VLOOKUP($W605,evapdx,MATCH(CONCATENATE($AK605,"_pan"),evapdx_header,0),FALSE)=TRUE),0,VLOOKUP($W605,evapdx,MATCH(CONCATENATE($AK605,"_pan"),evapdx_header,0),FALSE))))</f>
        <v>0</v>
      </c>
      <c r="DR605" s="52">
        <f>IF($B$2&gt;0,"",$DQ605*$V605)</f>
        <v>0</v>
      </c>
      <c r="DS605" s="49">
        <f>IF($B$2&gt;0,"",IF(OR($V605="",$V605=0),0,IF(ISNA(VLOOKUP($W605,evapdx,MATCH(CONCATENATE($AN605,"_",$AM$6),evapdx_header,0),FALSE)=TRUE),0,VLOOKUP($W605,evapdx,MATCH(CONCATENATE($AN605,"_",$AM$6),evapdx_header,0),FALSE))))</f>
        <v>0</v>
      </c>
      <c r="DT605" s="54">
        <f>IF($B$2&gt;0,"",$DS605*$V605)</f>
        <v>0</v>
      </c>
      <c r="DU605" s="125" t="str">
        <f>IF($B$2&gt;0,"",IF(OR($V605="",$V605=0),"Enter Def.",VLOOKUP($W605,evapdx,MATCH("defrost_type",evapdx_header,1),FALSE)))</f>
        <v>Enter Def.</v>
      </c>
      <c r="DV605" s="126" t="e">
        <f>IF($B$2&gt;0,"",VLOOKUP($H605,'Walk-in Load Calc'!$F$5:$Q$37,11,FALSE))</f>
        <v>#N/A</v>
      </c>
      <c r="DW605" s="135" t="s">
        <v>352</v>
      </c>
      <c r="DX605" s="136" t="s">
        <v>144</v>
      </c>
      <c r="DY605" s="137" t="str">
        <f>IF($B$2&gt;0,"",IF(OR($W605="Enter Evap. Model",$W605=""), "-",VLOOKUP($W605,'HEAT-X'!$U$9:$V$77,2,FALSE)))</f>
        <v>-</v>
      </c>
      <c r="EB605" s="49">
        <f>IF($B$2&gt;0,"",IF(OR($K605="",$K605=0),0,IF($BZ605="FT",IF(ISNA(VLOOKUP(CONCATENATE($R605,4),master,21,FALSE)=TRUE),0,VLOOKUP(CONCATENATE($R605,4),master,21,FALSE)),IF(ISNA(VLOOKUP(CONCATENATE($R605,2),master,21,FALSE)=TRUE),0,VLOOKUP(CONCATENATE($R605,2),master,21,FALSE)))))</f>
        <v>0</v>
      </c>
      <c r="EC605" s="50">
        <f>IF($B$2&gt;0,"",IF(OR($L605="",$L605=0),0,IF($BZ605="FT",IF(ISNA(VLOOKUP(CONCATENATE($R605,6),master,21,FALSE)=TRUE),0,VLOOKUP(CONCATENATE($R605,6),master,21,FALSE)),IF(ISNA(VLOOKUP(CONCATENATE($R605,3),master,21,FALSE)=TRUE),0,VLOOKUP(CONCATENATE($R605,3),master,21,FALSE)))))</f>
        <v>0</v>
      </c>
      <c r="ED605" s="50">
        <f>IF($B$2&gt;0,"",IF(OR($M605="",$M605=0),0,IF($BZ605="FT",IF(ISNA(VLOOKUP(CONCATENATE($R605,8),master,21,FALSE)=TRUE),0,VLOOKUP(CONCATENATE($R605,8),master,21,FALSE)),IF(ISNA(VLOOKUP(CONCATENATE($R605,4),master,21,FALSE)=TRUE),0,VLOOKUP(CONCATENATE($R605,4),master,21,FALSE)))))</f>
        <v>0</v>
      </c>
      <c r="EE605" s="52">
        <f>IF($B$2&gt;0,"",IF(OR($N605="",$N605=0),0,IF($BZ605="FT",IF(ISNA(VLOOKUP(CONCATENATE($R605,12),master,21,FALSE)=TRUE),0,VLOOKUP(CONCATENATE($R605,12),master,21,FALSE)),IF(ISNA(VLOOKUP(CONCATENATE($R605,5),master,21,FALSE)=TRUE),0,VLOOKUP(CONCATENATE($R605,5),master,21,FALSE)))))</f>
        <v>0</v>
      </c>
      <c r="EG605" s="49">
        <f>IF($B$2&gt;0,"",IF(OR($K605="",$K605=0),0,IF($BZ605="FT",IF(ISNA(VLOOKUP(CONCATENATE($R605,4),master,22,FALSE)=TRUE),0,VLOOKUP(CONCATENATE($R605,4),master,22,FALSE)),IF(ISNA(VLOOKUP(CONCATENATE($R605,2),master,22,FALSE)=TRUE),0,VLOOKUP(CONCATENATE($R605,2),master,22,FALSE)))))</f>
        <v>0</v>
      </c>
      <c r="EH605" s="50">
        <f>IF($B$2&gt;0,"",IF(OR($L605="",$L605=0),0,IF($BZ605="FT",IF(ISNA(VLOOKUP(CONCATENATE($R605,6),master,22,FALSE)=TRUE),0,VLOOKUP(CONCATENATE($R605,6),master,22,FALSE)),IF(ISNA(VLOOKUP(CONCATENATE($R605,3),master,22,FALSE)=TRUE),0,VLOOKUP(CONCATENATE($R605,3),master,22,FALSE)))))</f>
        <v>0</v>
      </c>
      <c r="EI605" s="50">
        <f>IF($B$2&gt;0,"",IF(OR($M605="",$M605=0),0,IF($BZ605="FT",IF(ISNA(VLOOKUP(CONCATENATE($R605,8),master,22,FALSE)=TRUE),0,VLOOKUP(CONCATENATE($R605,8),master,22,FALSE)),IF(ISNA(VLOOKUP(CONCATENATE($R605,4),master,22,FALSE)=TRUE),0,VLOOKUP(CONCATENATE($R605,4),master,22,FALSE)))))</f>
        <v>0</v>
      </c>
      <c r="EJ605" s="52">
        <f>IF($B$2&gt;0,"",IF(OR($N605="",$N605=0),0,IF($BZ605="FT",IF(ISNA(VLOOKUP(CONCATENATE($R605,12),master,22,FALSE)=TRUE),0,VLOOKUP(CONCATENATE($R605,12),master,22,FALSE)),IF(ISNA(VLOOKUP(CONCATENATE($R605,5),master,22,FALSE)=TRUE),0,VLOOKUP(CONCATENATE($R605,5),master,22,FALSE)))))</f>
        <v>0</v>
      </c>
      <c r="EL605" s="49">
        <f>IF($B$2&gt;0,"",IF(OR($K605="",$K605=0),0,IF($BZ605="FT",IF(ISNA(VLOOKUP(CONCATENATE($R605,4),master,23,FALSE)=TRUE),0,VLOOKUP(CONCATENATE($R605,4),master,23,FALSE)),IF(ISNA(VLOOKUP(CONCATENATE($R605,2),master,23,FALSE)=TRUE),0,VLOOKUP(CONCATENATE($R605,2),master,23,FALSE)))))</f>
        <v>0</v>
      </c>
      <c r="EM605" s="50">
        <f>IF($B$2&gt;0,"",IF(OR($L605="",$L605=0),0,IF($BZ605="FT",IF(ISNA(VLOOKUP(CONCATENATE($R605,6),master,23,FALSE)=TRUE),0,VLOOKUP(CONCATENATE($R605,6),master,23,FALSE)),IF(ISNA(VLOOKUP(CONCATENATE($R605,3),master,23,FALSE)=TRUE),0,VLOOKUP(CONCATENATE($R605,3),master,23,FALSE)))))</f>
        <v>0</v>
      </c>
      <c r="EN605" s="50">
        <f>IF($B$2&gt;0,"",IF(OR($M605="",$M605=0),0,IF($BZ605="FT",IF(ISNA(VLOOKUP(CONCATENATE($R605,8),master,23,FALSE)=TRUE),0,VLOOKUP(CONCATENATE($R605,8),master,23,FALSE)),IF(ISNA(VLOOKUP(CONCATENATE($R605,4),master,23,FALSE)=TRUE),0,VLOOKUP(CONCATENATE($R605,4),master,23,FALSE)))))</f>
        <v>0</v>
      </c>
      <c r="EO605" s="52">
        <f>IF($B$2&gt;0,"",IF(OR($N605="",$N605=0),0,IF($BZ605="FT",IF(ISNA(VLOOKUP(CONCATENATE($R605,12),master,23,FALSE)=TRUE),0,VLOOKUP(CONCATENATE($R605,12),master,23,FALSE)),IF(ISNA(VLOOKUP(CONCATENATE($R605,5),master,23,FALSE)=TRUE),0,VLOOKUP(CONCATENATE($R605,5),master,23,FALSE)))))</f>
        <v>0</v>
      </c>
      <c r="EQ605" s="49">
        <f>IF($B$2&gt;0,"",IF(OR($K605="",$K605=0),0,IF($BZ605="FT",IF(ISNA(VLOOKUP(CONCATENATE($R605,4),master,6,FALSE)=TRUE),0,INDEX(master,MATCH((CONCATENATE($R605,4)),master_CONC,0),MATCH(CONCATENATE($U$1,"_",$AT$1),master_header,0))),IF(ISNA(VLOOKUP(CONCATENATE($R605,2),master,6,FALSE)=TRUE),0,INDEX(master,MATCH((CONCATENATE($R605,2)),master,0),MATCH(CONCATENATE($U$1,"_",$AT$1),master_header,0))))))</f>
        <v>0</v>
      </c>
      <c r="ER605" s="50">
        <f>IF($B$2&gt;0,"",IF(OR($L605="",$L605=0),0,IF($BZ605="FT",IF(ISNA(VLOOKUP(CONCATENATE($R605,6),master,6,FALSE)=TRUE),0,INDEX(master,MATCH((CONCATENATE($R605,6)),master_CONC,0),MATCH(CONCATENATE($U$1,"_",$AT$1),master_header,0))),IF(ISNA(VLOOKUP(CONCATENATE($R605,3),master,6,FALSE)=TRUE),0,INDEX(master,MATCH((CONCATENATE($R605,3)),master,0),MATCH(CONCATENATE($U$1,"_",$AT$1),master_header,0))))))</f>
        <v>0</v>
      </c>
      <c r="ES605" s="50">
        <f>IF($B$2&gt;0,"",IF(OR($M605="",$M605=0),0,IF($BZ605="FT",IF(ISNA(VLOOKUP(CONCATENATE($R605,8),master,6,FALSE)=TRUE),0,INDEX(master,MATCH((CONCATENATE($R605,8)),master_CONC,0),MATCH(CONCATENATE($U$1,"_",$AT$1),master_header,0))),IF(ISNA(VLOOKUP(CONCATENATE($R605,4),master,6,FALSE)=TRUE),0,INDEX(master,MATCH((CONCATENATE($R605,4)),master,0),MATCH(CONCATENATE($U$1,"_",$AT$1),master_header,0))))))</f>
        <v>0</v>
      </c>
      <c r="ET605" s="52">
        <f>IF($B$2&gt;0,"",IF(OR($N605="",$N605=0),0,IF($BZ605="FT",IF(ISNA(VLOOKUP(CONCATENATE($R605,12),master,6,FALSE)=TRUE),0,INDEX(master,MATCH((CONCATENATE($R605,12)),master_CONC,0),MATCH(CONCATENATE($U$1,"_",$AT$1),master_header,0))),IF(ISNA(VLOOKUP(CONCATENATE($R605,5),master,6,FALSE)=TRUE),0,INDEX(master,MATCH((CONCATENATE($R605,5)),master,0),MATCH(CONCATENATE($U$1,"_",$AT$1),master_header,0))))))</f>
        <v>0</v>
      </c>
    </row>
    <row r="606" spans="1:150" ht="12" customHeight="1" x14ac:dyDescent="0.2">
      <c r="E606" s="445"/>
      <c r="G606" s="445"/>
      <c r="Z606" s="849"/>
      <c r="AA606" s="849"/>
      <c r="AD606" s="67"/>
      <c r="AS606" s="982"/>
      <c r="AV606" s="893"/>
    </row>
    <row r="607" spans="1:150" ht="12" customHeight="1" x14ac:dyDescent="0.2">
      <c r="A607" s="166"/>
      <c r="D607" s="72" t="s">
        <v>378</v>
      </c>
      <c r="E607" s="445"/>
      <c r="F607" s="868" t="s">
        <v>15</v>
      </c>
      <c r="G607" s="445" t="str">
        <f>IF(H607="","",H607)</f>
        <v/>
      </c>
      <c r="H607" s="850" t="str">
        <f>IF(OR(A607="",A607="CHILD FIXTURE"),"",A607)</f>
        <v/>
      </c>
      <c r="I607" s="1674" t="s">
        <v>990</v>
      </c>
      <c r="J607" s="1675"/>
      <c r="K607" s="1675"/>
      <c r="L607" s="1675"/>
      <c r="M607" s="1675"/>
      <c r="N607" s="1676"/>
      <c r="O607" s="558"/>
      <c r="P607" s="558"/>
      <c r="Q607" s="558"/>
      <c r="R607" s="995"/>
      <c r="S607" s="995"/>
      <c r="T607" s="1677" t="s">
        <v>90</v>
      </c>
      <c r="U607" s="1678"/>
      <c r="V607" s="860"/>
      <c r="W607" s="861"/>
      <c r="X607" s="852"/>
      <c r="Y607" s="1672" t="s">
        <v>379</v>
      </c>
      <c r="Z607" s="1673"/>
      <c r="AA607" s="854">
        <v>0</v>
      </c>
      <c r="AB607" s="862"/>
      <c r="AC607" s="862"/>
      <c r="AD607" s="876"/>
      <c r="AE607" s="845"/>
      <c r="AF607" s="559"/>
      <c r="AG607" s="844"/>
      <c r="AH607" s="561" t="s">
        <v>622</v>
      </c>
      <c r="AI607" s="555"/>
      <c r="AJ607" s="997"/>
      <c r="AK607" s="1826"/>
      <c r="AL607" s="1827"/>
      <c r="AM607" s="997"/>
      <c r="AN607" s="555"/>
      <c r="AO607" s="997"/>
      <c r="AP607" s="997"/>
      <c r="AQ607" s="996"/>
      <c r="AR607" s="998" t="s">
        <v>414</v>
      </c>
      <c r="AS607" s="561" t="s">
        <v>991</v>
      </c>
      <c r="AT607" s="858" t="s">
        <v>414</v>
      </c>
      <c r="AU607" s="893" t="str">
        <f>IF(H607="","",IF(OR(B607=0,B607="SUB-CKT"),IF(ISNA(MATCH(H607,LoopSegs_Skid,0)),H607,""),""))</f>
        <v/>
      </c>
      <c r="AV607" s="893"/>
    </row>
    <row r="608" spans="1:150" ht="12" customHeight="1" x14ac:dyDescent="0.2">
      <c r="E608" s="445"/>
      <c r="G608" s="445"/>
      <c r="Z608" s="849"/>
      <c r="AA608" s="849"/>
      <c r="AV608" s="893"/>
    </row>
    <row r="609" spans="1:48" ht="12" customHeight="1" x14ac:dyDescent="0.2">
      <c r="E609" s="445"/>
      <c r="G609" s="445"/>
      <c r="Z609" s="849"/>
      <c r="AA609" s="849"/>
      <c r="AV609" s="893"/>
    </row>
    <row r="610" spans="1:48" ht="12" customHeight="1" x14ac:dyDescent="0.2">
      <c r="E610" s="445"/>
      <c r="G610" s="445"/>
      <c r="Z610" s="849"/>
      <c r="AA610" s="854">
        <v>0</v>
      </c>
      <c r="AV610" s="893"/>
    </row>
    <row r="611" spans="1:48" ht="12" customHeight="1" x14ac:dyDescent="0.2">
      <c r="E611" s="445"/>
      <c r="G611" s="445"/>
      <c r="Z611" s="849"/>
      <c r="AA611" s="849"/>
      <c r="AV611" s="893"/>
    </row>
    <row r="612" spans="1:48" ht="12" customHeight="1" x14ac:dyDescent="0.2">
      <c r="A612" s="554"/>
      <c r="B612" s="555">
        <v>0</v>
      </c>
      <c r="C612" s="556" t="s">
        <v>134</v>
      </c>
      <c r="D612" s="867" t="s">
        <v>374</v>
      </c>
      <c r="E612" s="445">
        <v>2</v>
      </c>
      <c r="F612" s="553" t="s">
        <v>350</v>
      </c>
      <c r="G612" s="445" t="str">
        <f>IF(H612="","",H612)</f>
        <v/>
      </c>
      <c r="H612" s="850"/>
      <c r="I612" s="853"/>
      <c r="J612" s="853"/>
      <c r="K612" s="853"/>
      <c r="L612" s="852"/>
      <c r="M612" s="852"/>
      <c r="N612" s="853"/>
      <c r="O612" s="853"/>
      <c r="P612" s="853"/>
      <c r="Q612" s="853"/>
      <c r="R612" s="851"/>
      <c r="S612" s="851"/>
      <c r="T612" s="851"/>
      <c r="U612" s="864"/>
      <c r="V612" s="852"/>
      <c r="W612" s="853"/>
      <c r="X612" s="853"/>
      <c r="Y612" s="853"/>
      <c r="Z612" s="854">
        <v>0</v>
      </c>
      <c r="AA612" s="854">
        <v>0</v>
      </c>
      <c r="AB612" s="862"/>
      <c r="AC612" s="862"/>
      <c r="AD612" s="865"/>
      <c r="AE612" s="859"/>
      <c r="AF612" s="857"/>
      <c r="AG612" s="852"/>
      <c r="AH612" s="858"/>
      <c r="AI612" s="858"/>
      <c r="AJ612" s="857"/>
      <c r="AK612" s="851"/>
      <c r="AL612" s="852"/>
      <c r="AM612" s="857"/>
      <c r="AN612" s="853"/>
      <c r="AO612" s="857"/>
      <c r="AP612" s="857"/>
      <c r="AQ612" s="981"/>
      <c r="AR612" s="981"/>
      <c r="AS612" s="858"/>
      <c r="AT612" s="853"/>
      <c r="AU612" s="893" t="str">
        <f>IF(H612="","",IF(OR(B612=0,B612="SUB-CKT"),IF(ISNA(MATCH(H612,LoopSegs_Skid,0)),H612,""),""))</f>
        <v/>
      </c>
      <c r="AV612" s="893"/>
    </row>
    <row r="613" spans="1:48" ht="12" customHeight="1" x14ac:dyDescent="0.2">
      <c r="E613" s="445"/>
      <c r="G613" s="445"/>
      <c r="Z613" s="849"/>
      <c r="AA613" s="849"/>
      <c r="AD613" s="67"/>
      <c r="AQ613" s="980"/>
      <c r="AR613" s="980"/>
      <c r="AS613" s="982"/>
      <c r="AV613" s="893"/>
    </row>
    <row r="614" spans="1:48" ht="12" customHeight="1" x14ac:dyDescent="0.2">
      <c r="A614" s="554"/>
      <c r="B614" s="555">
        <v>0</v>
      </c>
      <c r="C614" s="556" t="s">
        <v>134</v>
      </c>
      <c r="D614" s="867" t="s">
        <v>374</v>
      </c>
      <c r="E614" s="445">
        <v>3</v>
      </c>
      <c r="F614" s="553" t="s">
        <v>350</v>
      </c>
      <c r="G614" s="445" t="str">
        <f>IF(H614="","",H614)</f>
        <v/>
      </c>
      <c r="H614" s="850"/>
      <c r="I614" s="853"/>
      <c r="J614" s="853"/>
      <c r="K614" s="853"/>
      <c r="L614" s="852"/>
      <c r="M614" s="852"/>
      <c r="N614" s="853"/>
      <c r="O614" s="853"/>
      <c r="P614" s="853"/>
      <c r="Q614" s="853"/>
      <c r="R614" s="851"/>
      <c r="S614" s="851"/>
      <c r="T614" s="851"/>
      <c r="U614" s="864"/>
      <c r="V614" s="852"/>
      <c r="W614" s="853"/>
      <c r="X614" s="853"/>
      <c r="Y614" s="853"/>
      <c r="Z614" s="854">
        <v>0</v>
      </c>
      <c r="AA614" s="854">
        <v>0</v>
      </c>
      <c r="AB614" s="862"/>
      <c r="AC614" s="862"/>
      <c r="AD614" s="865"/>
      <c r="AE614" s="859"/>
      <c r="AF614" s="857"/>
      <c r="AG614" s="852"/>
      <c r="AH614" s="858"/>
      <c r="AI614" s="858"/>
      <c r="AJ614" s="857"/>
      <c r="AK614" s="851"/>
      <c r="AL614" s="852"/>
      <c r="AM614" s="857"/>
      <c r="AN614" s="853"/>
      <c r="AO614" s="857"/>
      <c r="AP614" s="857"/>
      <c r="AQ614" s="981"/>
      <c r="AR614" s="981"/>
      <c r="AS614" s="858"/>
      <c r="AT614" s="853"/>
      <c r="AU614" s="893" t="str">
        <f>IF(H614="","",IF(OR(B614=0,B614="SUB-CKT"),IF(ISNA(MATCH(H614,LoopSegs_Skid,0)),H614,""),""))</f>
        <v/>
      </c>
      <c r="AV614" s="893"/>
    </row>
    <row r="615" spans="1:48" ht="12" customHeight="1" x14ac:dyDescent="0.2">
      <c r="E615" s="445"/>
      <c r="G615" s="445"/>
      <c r="Z615" s="849"/>
      <c r="AA615" s="849"/>
    </row>
    <row r="616" spans="1:48" ht="12" customHeight="1" thickBot="1" x14ac:dyDescent="0.25">
      <c r="E616" s="445"/>
      <c r="G616" s="445"/>
      <c r="Z616" s="849"/>
      <c r="AA616" s="849"/>
    </row>
    <row r="617" spans="1:48" ht="12" customHeight="1" x14ac:dyDescent="0.2">
      <c r="G617" s="445"/>
      <c r="H617" s="562"/>
      <c r="I617" s="1791"/>
      <c r="J617" s="1792"/>
      <c r="K617" s="1792"/>
      <c r="L617" s="1792"/>
      <c r="M617" s="1792"/>
      <c r="N617" s="1792"/>
      <c r="O617" s="1792"/>
      <c r="P617" s="1792"/>
      <c r="Q617" s="1793"/>
      <c r="R617" s="1663"/>
      <c r="S617" s="564"/>
      <c r="T617" s="892"/>
      <c r="U617" s="973" t="str">
        <f t="shared" ref="U617:U624" si="85">IF($I617="","",IF(LEFT($U$1,1)="g",$AT$1-$W$4,LegendSG1RSST-$W$4))</f>
        <v/>
      </c>
      <c r="V617" s="973" t="str">
        <f>IF($I617="","",$W$2)</f>
        <v/>
      </c>
      <c r="W617" s="974" t="str">
        <f>IF(OR($T617="",$AB617=""),"",$AB617*3.413+$T617)</f>
        <v/>
      </c>
      <c r="X617" s="1668" t="s">
        <v>370</v>
      </c>
      <c r="Y617" s="1669"/>
      <c r="Z617" s="1670"/>
      <c r="AA617" s="1671"/>
      <c r="AB617" s="567"/>
      <c r="AC617" s="568"/>
      <c r="AD617" s="569"/>
      <c r="AE617" s="570"/>
      <c r="AF617" s="973" t="str">
        <f>IF(H617="","",$AA$1)</f>
        <v/>
      </c>
      <c r="AG617" s="973" t="str">
        <f>IF(H617="","",$Y$1)</f>
        <v/>
      </c>
      <c r="AH617" s="574"/>
      <c r="AI617" s="57" t="str">
        <f t="shared" ref="AI617:AI624" si="86">IF($S$29&lt;&gt;0,$S617/$S$29,"")</f>
        <v/>
      </c>
      <c r="AJ617" s="174"/>
    </row>
    <row r="618" spans="1:48" ht="12" customHeight="1" x14ac:dyDescent="0.2">
      <c r="H618" s="563"/>
      <c r="I618" s="1656"/>
      <c r="J618" s="1657"/>
      <c r="K618" s="1657"/>
      <c r="L618" s="1657"/>
      <c r="M618" s="1657"/>
      <c r="N618" s="1657"/>
      <c r="O618" s="1657"/>
      <c r="P618" s="1657"/>
      <c r="Q618" s="1658"/>
      <c r="R618" s="1664"/>
      <c r="S618" s="559"/>
      <c r="T618" s="559"/>
      <c r="U618" s="59" t="str">
        <f t="shared" si="85"/>
        <v/>
      </c>
      <c r="V618" s="43" t="str">
        <f t="shared" ref="V618:V624" si="87">IF($I618="","",$W$2)</f>
        <v/>
      </c>
      <c r="W618" s="42" t="str">
        <f t="shared" ref="W618:W624" si="88">IF(OR($T618="",$AB618=""),"",$AB618*3.413+$T618)</f>
        <v/>
      </c>
      <c r="X618" s="1659" t="s">
        <v>370</v>
      </c>
      <c r="Y618" s="1660"/>
      <c r="Z618" s="1661"/>
      <c r="AA618" s="1662"/>
      <c r="AB618" s="571"/>
      <c r="AC618" s="572"/>
      <c r="AD618" s="571"/>
      <c r="AE618" s="572"/>
      <c r="AF618" s="43" t="str">
        <f t="shared" ref="AF618:AF624" si="89">IF(H618="","",$AA$1)</f>
        <v/>
      </c>
      <c r="AG618" s="43" t="str">
        <f t="shared" ref="AG618:AG624" si="90">IF(H618="","",$Y$1)</f>
        <v/>
      </c>
      <c r="AH618" s="559"/>
      <c r="AI618" s="60" t="str">
        <f t="shared" si="86"/>
        <v/>
      </c>
      <c r="AJ618" s="58"/>
    </row>
    <row r="619" spans="1:48" ht="12" customHeight="1" x14ac:dyDescent="0.2">
      <c r="H619" s="563"/>
      <c r="I619" s="1656"/>
      <c r="J619" s="1657"/>
      <c r="K619" s="1657"/>
      <c r="L619" s="1657"/>
      <c r="M619" s="1657"/>
      <c r="N619" s="1657"/>
      <c r="O619" s="1657"/>
      <c r="P619" s="1657"/>
      <c r="Q619" s="1658"/>
      <c r="R619" s="1664"/>
      <c r="S619" s="559"/>
      <c r="T619" s="559"/>
      <c r="U619" s="59" t="str">
        <f t="shared" si="85"/>
        <v/>
      </c>
      <c r="V619" s="43" t="str">
        <f t="shared" si="87"/>
        <v/>
      </c>
      <c r="W619" s="42" t="str">
        <f t="shared" si="88"/>
        <v/>
      </c>
      <c r="X619" s="1659" t="s">
        <v>370</v>
      </c>
      <c r="Y619" s="1660"/>
      <c r="Z619" s="1661"/>
      <c r="AA619" s="1662"/>
      <c r="AB619" s="571"/>
      <c r="AC619" s="572"/>
      <c r="AD619" s="571"/>
      <c r="AE619" s="572"/>
      <c r="AF619" s="43" t="str">
        <f t="shared" si="89"/>
        <v/>
      </c>
      <c r="AG619" s="43" t="str">
        <f t="shared" si="90"/>
        <v/>
      </c>
      <c r="AH619" s="559"/>
      <c r="AI619" s="60" t="str">
        <f t="shared" si="86"/>
        <v/>
      </c>
      <c r="AJ619" s="58"/>
    </row>
    <row r="620" spans="1:48" ht="12" customHeight="1" x14ac:dyDescent="0.2">
      <c r="H620" s="563"/>
      <c r="I620" s="1656"/>
      <c r="J620" s="1657"/>
      <c r="K620" s="1657"/>
      <c r="L620" s="1657"/>
      <c r="M620" s="1657"/>
      <c r="N620" s="1657"/>
      <c r="O620" s="1657"/>
      <c r="P620" s="1657"/>
      <c r="Q620" s="1658"/>
      <c r="R620" s="1664"/>
      <c r="S620" s="559"/>
      <c r="T620" s="559"/>
      <c r="U620" s="59" t="str">
        <f t="shared" si="85"/>
        <v/>
      </c>
      <c r="V620" s="43" t="str">
        <f t="shared" si="87"/>
        <v/>
      </c>
      <c r="W620" s="42" t="str">
        <f t="shared" si="88"/>
        <v/>
      </c>
      <c r="X620" s="1659" t="s">
        <v>370</v>
      </c>
      <c r="Y620" s="1660"/>
      <c r="Z620" s="1661"/>
      <c r="AA620" s="1662"/>
      <c r="AB620" s="571"/>
      <c r="AC620" s="572"/>
      <c r="AD620" s="571"/>
      <c r="AE620" s="572"/>
      <c r="AF620" s="43" t="str">
        <f t="shared" si="89"/>
        <v/>
      </c>
      <c r="AG620" s="43" t="str">
        <f t="shared" si="90"/>
        <v/>
      </c>
      <c r="AH620" s="559"/>
      <c r="AI620" s="60" t="str">
        <f t="shared" si="86"/>
        <v/>
      </c>
      <c r="AJ620" s="58"/>
    </row>
    <row r="621" spans="1:48" ht="12" customHeight="1" x14ac:dyDescent="0.2">
      <c r="H621" s="563"/>
      <c r="I621" s="1656"/>
      <c r="J621" s="1657"/>
      <c r="K621" s="1657"/>
      <c r="L621" s="1657"/>
      <c r="M621" s="1657"/>
      <c r="N621" s="1657"/>
      <c r="O621" s="1657"/>
      <c r="P621" s="1657"/>
      <c r="Q621" s="1658"/>
      <c r="R621" s="1664"/>
      <c r="S621" s="559"/>
      <c r="T621" s="559"/>
      <c r="U621" s="59" t="str">
        <f t="shared" si="85"/>
        <v/>
      </c>
      <c r="V621" s="43" t="str">
        <f t="shared" si="87"/>
        <v/>
      </c>
      <c r="W621" s="42" t="str">
        <f t="shared" si="88"/>
        <v/>
      </c>
      <c r="X621" s="1659" t="s">
        <v>370</v>
      </c>
      <c r="Y621" s="1660"/>
      <c r="Z621" s="1661"/>
      <c r="AA621" s="1662"/>
      <c r="AB621" s="571"/>
      <c r="AC621" s="572"/>
      <c r="AD621" s="571"/>
      <c r="AE621" s="572"/>
      <c r="AF621" s="43" t="str">
        <f t="shared" si="89"/>
        <v/>
      </c>
      <c r="AG621" s="43" t="str">
        <f t="shared" si="90"/>
        <v/>
      </c>
      <c r="AH621" s="559"/>
      <c r="AI621" s="60" t="str">
        <f t="shared" si="86"/>
        <v/>
      </c>
      <c r="AJ621" s="58"/>
    </row>
    <row r="622" spans="1:48" ht="12" customHeight="1" x14ac:dyDescent="0.2">
      <c r="H622" s="563"/>
      <c r="I622" s="1656"/>
      <c r="J622" s="1657"/>
      <c r="K622" s="1657"/>
      <c r="L622" s="1657"/>
      <c r="M622" s="1657"/>
      <c r="N622" s="1657"/>
      <c r="O622" s="1657"/>
      <c r="P622" s="1657"/>
      <c r="Q622" s="1658"/>
      <c r="R622" s="1664"/>
      <c r="S622" s="559"/>
      <c r="T622" s="559"/>
      <c r="U622" s="59" t="str">
        <f t="shared" si="85"/>
        <v/>
      </c>
      <c r="V622" s="43" t="str">
        <f t="shared" si="87"/>
        <v/>
      </c>
      <c r="W622" s="42" t="str">
        <f t="shared" si="88"/>
        <v/>
      </c>
      <c r="X622" s="1659" t="s">
        <v>370</v>
      </c>
      <c r="Y622" s="1660"/>
      <c r="Z622" s="1661"/>
      <c r="AA622" s="1662"/>
      <c r="AB622" s="571"/>
      <c r="AC622" s="572"/>
      <c r="AD622" s="571"/>
      <c r="AE622" s="572"/>
      <c r="AF622" s="43" t="str">
        <f t="shared" si="89"/>
        <v/>
      </c>
      <c r="AG622" s="43" t="str">
        <f t="shared" si="90"/>
        <v/>
      </c>
      <c r="AH622" s="559"/>
      <c r="AI622" s="60" t="str">
        <f t="shared" si="86"/>
        <v/>
      </c>
      <c r="AJ622" s="58"/>
    </row>
    <row r="623" spans="1:48" ht="12" customHeight="1" x14ac:dyDescent="0.2">
      <c r="H623" s="563"/>
      <c r="I623" s="1656"/>
      <c r="J623" s="1657"/>
      <c r="K623" s="1657"/>
      <c r="L623" s="1657"/>
      <c r="M623" s="1657"/>
      <c r="N623" s="1657"/>
      <c r="O623" s="1657"/>
      <c r="P623" s="1657"/>
      <c r="Q623" s="1658"/>
      <c r="R623" s="1664"/>
      <c r="S623" s="559"/>
      <c r="T623" s="559"/>
      <c r="U623" s="59" t="str">
        <f t="shared" si="85"/>
        <v/>
      </c>
      <c r="V623" s="43" t="str">
        <f t="shared" si="87"/>
        <v/>
      </c>
      <c r="W623" s="42" t="str">
        <f t="shared" si="88"/>
        <v/>
      </c>
      <c r="X623" s="1659" t="s">
        <v>370</v>
      </c>
      <c r="Y623" s="1660"/>
      <c r="Z623" s="1661"/>
      <c r="AA623" s="1662"/>
      <c r="AB623" s="571"/>
      <c r="AC623" s="572"/>
      <c r="AD623" s="571"/>
      <c r="AE623" s="572"/>
      <c r="AF623" s="43" t="str">
        <f t="shared" si="89"/>
        <v/>
      </c>
      <c r="AG623" s="43" t="str">
        <f t="shared" si="90"/>
        <v/>
      </c>
      <c r="AH623" s="559"/>
      <c r="AI623" s="60" t="str">
        <f t="shared" si="86"/>
        <v/>
      </c>
      <c r="AJ623" s="58"/>
    </row>
    <row r="624" spans="1:48" ht="12" customHeight="1" thickBot="1" x14ac:dyDescent="0.25">
      <c r="H624" s="565"/>
      <c r="I624" s="1709"/>
      <c r="J624" s="1710"/>
      <c r="K624" s="1710"/>
      <c r="L624" s="1710"/>
      <c r="M624" s="1710"/>
      <c r="N624" s="1710"/>
      <c r="O624" s="1710"/>
      <c r="P624" s="1710"/>
      <c r="Q624" s="1711"/>
      <c r="R624" s="1665"/>
      <c r="S624" s="566"/>
      <c r="T624" s="566"/>
      <c r="U624" s="975" t="str">
        <f t="shared" si="85"/>
        <v/>
      </c>
      <c r="V624" s="976" t="str">
        <f t="shared" si="87"/>
        <v/>
      </c>
      <c r="W624" s="977" t="str">
        <f t="shared" si="88"/>
        <v/>
      </c>
      <c r="X624" s="1666" t="s">
        <v>370</v>
      </c>
      <c r="Y624" s="1667"/>
      <c r="Z624" s="1685"/>
      <c r="AA624" s="1686"/>
      <c r="AB624" s="1295"/>
      <c r="AC624" s="573"/>
      <c r="AD624" s="1295"/>
      <c r="AE624" s="573"/>
      <c r="AF624" s="976" t="str">
        <f t="shared" si="89"/>
        <v/>
      </c>
      <c r="AG624" s="976" t="str">
        <f t="shared" si="90"/>
        <v/>
      </c>
      <c r="AH624" s="566"/>
      <c r="AI624" s="372" t="str">
        <f t="shared" si="86"/>
        <v/>
      </c>
      <c r="AJ624" s="373"/>
    </row>
    <row r="625" spans="7:56" ht="12" customHeight="1" thickBot="1" x14ac:dyDescent="0.25"/>
    <row r="626" spans="7:56" ht="12" customHeight="1" x14ac:dyDescent="0.2">
      <c r="G626" s="445"/>
      <c r="H626" s="562"/>
      <c r="I626" s="1791"/>
      <c r="J626" s="1792"/>
      <c r="K626" s="1792"/>
      <c r="L626" s="1792"/>
      <c r="M626" s="1792"/>
      <c r="N626" s="1792"/>
      <c r="O626" s="1792"/>
      <c r="P626" s="1792"/>
      <c r="Q626" s="1793"/>
      <c r="R626" s="1663"/>
      <c r="S626" s="564"/>
      <c r="T626" s="892"/>
      <c r="U626" s="973" t="str">
        <f t="shared" ref="U626:U633" si="91">IF($I626="","",IF(LEFT($U$1,1)="g",$AT$2-$W$4,LegendSG2RSST-$W$4))</f>
        <v/>
      </c>
      <c r="V626" s="973" t="str">
        <f>IF($I626="","",$W$2)</f>
        <v/>
      </c>
      <c r="W626" s="974" t="str">
        <f>IF(OR($T626="",$AB626=""),"",$AB626*3.413+$T626)</f>
        <v/>
      </c>
      <c r="X626" s="1668" t="s">
        <v>370</v>
      </c>
      <c r="Y626" s="1669"/>
      <c r="Z626" s="1670"/>
      <c r="AA626" s="1671"/>
      <c r="AB626" s="567"/>
      <c r="AC626" s="568"/>
      <c r="AD626" s="569"/>
      <c r="AE626" s="570"/>
      <c r="AF626" s="973" t="str">
        <f>IF(H626="","",$AA$2)</f>
        <v/>
      </c>
      <c r="AG626" s="973" t="str">
        <f>IF(H626="","",$Y$2)</f>
        <v/>
      </c>
      <c r="AH626" s="574"/>
      <c r="AI626" s="57" t="str">
        <f t="shared" ref="AI626:AI633" si="92">IF($S$29&lt;&gt;0,$S626/$S$38,"")</f>
        <v/>
      </c>
      <c r="AJ626" s="174"/>
    </row>
    <row r="627" spans="7:56" ht="12" customHeight="1" x14ac:dyDescent="0.2">
      <c r="H627" s="563"/>
      <c r="I627" s="1656"/>
      <c r="J627" s="1657"/>
      <c r="K627" s="1657"/>
      <c r="L627" s="1657"/>
      <c r="M627" s="1657"/>
      <c r="N627" s="1657"/>
      <c r="O627" s="1657"/>
      <c r="P627" s="1657"/>
      <c r="Q627" s="1658"/>
      <c r="R627" s="1664"/>
      <c r="S627" s="559"/>
      <c r="T627" s="559"/>
      <c r="U627" s="59" t="str">
        <f t="shared" si="91"/>
        <v/>
      </c>
      <c r="V627" s="43" t="str">
        <f t="shared" ref="V627:V633" si="93">IF($I627="","",$W$2)</f>
        <v/>
      </c>
      <c r="W627" s="42" t="str">
        <f t="shared" ref="W627:W633" si="94">IF(OR($T627="",$AB627=""),"",$AB627*3.413+$T627)</f>
        <v/>
      </c>
      <c r="X627" s="1659" t="s">
        <v>370</v>
      </c>
      <c r="Y627" s="1660"/>
      <c r="Z627" s="1661"/>
      <c r="AA627" s="1662"/>
      <c r="AB627" s="571"/>
      <c r="AC627" s="572"/>
      <c r="AD627" s="571"/>
      <c r="AE627" s="572"/>
      <c r="AF627" s="43" t="str">
        <f t="shared" ref="AF627:AF633" si="95">IF(H627="","",$AA$2)</f>
        <v/>
      </c>
      <c r="AG627" s="43" t="str">
        <f t="shared" ref="AG627:AG633" si="96">IF(H627="","",$Y$2)</f>
        <v/>
      </c>
      <c r="AH627" s="559"/>
      <c r="AI627" s="60" t="str">
        <f t="shared" si="92"/>
        <v/>
      </c>
      <c r="AJ627" s="58"/>
    </row>
    <row r="628" spans="7:56" ht="12" customHeight="1" x14ac:dyDescent="0.2">
      <c r="H628" s="563"/>
      <c r="I628" s="1656"/>
      <c r="J628" s="1657"/>
      <c r="K628" s="1657"/>
      <c r="L628" s="1657"/>
      <c r="M628" s="1657"/>
      <c r="N628" s="1657"/>
      <c r="O628" s="1657"/>
      <c r="P628" s="1657"/>
      <c r="Q628" s="1658"/>
      <c r="R628" s="1664"/>
      <c r="S628" s="559"/>
      <c r="T628" s="559"/>
      <c r="U628" s="59" t="str">
        <f t="shared" si="91"/>
        <v/>
      </c>
      <c r="V628" s="43" t="str">
        <f t="shared" si="93"/>
        <v/>
      </c>
      <c r="W628" s="42" t="str">
        <f t="shared" si="94"/>
        <v/>
      </c>
      <c r="X628" s="1659" t="s">
        <v>370</v>
      </c>
      <c r="Y628" s="1660"/>
      <c r="Z628" s="1661"/>
      <c r="AA628" s="1662"/>
      <c r="AB628" s="571"/>
      <c r="AC628" s="572"/>
      <c r="AD628" s="571"/>
      <c r="AE628" s="572"/>
      <c r="AF628" s="43" t="str">
        <f t="shared" si="95"/>
        <v/>
      </c>
      <c r="AG628" s="43" t="str">
        <f t="shared" si="96"/>
        <v/>
      </c>
      <c r="AH628" s="559"/>
      <c r="AI628" s="60" t="str">
        <f t="shared" si="92"/>
        <v/>
      </c>
      <c r="AJ628" s="58"/>
    </row>
    <row r="629" spans="7:56" ht="12" customHeight="1" x14ac:dyDescent="0.2">
      <c r="H629" s="563"/>
      <c r="I629" s="1656"/>
      <c r="J629" s="1657"/>
      <c r="K629" s="1657"/>
      <c r="L629" s="1657"/>
      <c r="M629" s="1657"/>
      <c r="N629" s="1657"/>
      <c r="O629" s="1657"/>
      <c r="P629" s="1657"/>
      <c r="Q629" s="1658"/>
      <c r="R629" s="1664"/>
      <c r="S629" s="559"/>
      <c r="T629" s="559"/>
      <c r="U629" s="59" t="str">
        <f t="shared" si="91"/>
        <v/>
      </c>
      <c r="V629" s="43" t="str">
        <f t="shared" si="93"/>
        <v/>
      </c>
      <c r="W629" s="42" t="str">
        <f t="shared" si="94"/>
        <v/>
      </c>
      <c r="X629" s="1659" t="s">
        <v>370</v>
      </c>
      <c r="Y629" s="1660"/>
      <c r="Z629" s="1661"/>
      <c r="AA629" s="1662"/>
      <c r="AB629" s="571"/>
      <c r="AC629" s="572"/>
      <c r="AD629" s="571"/>
      <c r="AE629" s="572"/>
      <c r="AF629" s="43" t="str">
        <f t="shared" si="95"/>
        <v/>
      </c>
      <c r="AG629" s="43" t="str">
        <f t="shared" si="96"/>
        <v/>
      </c>
      <c r="AH629" s="559"/>
      <c r="AI629" s="60" t="str">
        <f t="shared" si="92"/>
        <v/>
      </c>
      <c r="AJ629" s="58"/>
    </row>
    <row r="630" spans="7:56" ht="12" customHeight="1" x14ac:dyDescent="0.2">
      <c r="H630" s="563"/>
      <c r="I630" s="1656"/>
      <c r="J630" s="1657"/>
      <c r="K630" s="1657"/>
      <c r="L630" s="1657"/>
      <c r="M630" s="1657"/>
      <c r="N630" s="1657"/>
      <c r="O630" s="1657"/>
      <c r="P630" s="1657"/>
      <c r="Q630" s="1658"/>
      <c r="R630" s="1664"/>
      <c r="S630" s="559"/>
      <c r="T630" s="559"/>
      <c r="U630" s="59" t="str">
        <f t="shared" si="91"/>
        <v/>
      </c>
      <c r="V630" s="43" t="str">
        <f t="shared" si="93"/>
        <v/>
      </c>
      <c r="W630" s="42" t="str">
        <f t="shared" si="94"/>
        <v/>
      </c>
      <c r="X630" s="1659" t="s">
        <v>370</v>
      </c>
      <c r="Y630" s="1660"/>
      <c r="Z630" s="1661"/>
      <c r="AA630" s="1662"/>
      <c r="AB630" s="571"/>
      <c r="AC630" s="572"/>
      <c r="AD630" s="571"/>
      <c r="AE630" s="572"/>
      <c r="AF630" s="43" t="str">
        <f t="shared" si="95"/>
        <v/>
      </c>
      <c r="AG630" s="43" t="str">
        <f t="shared" si="96"/>
        <v/>
      </c>
      <c r="AH630" s="559"/>
      <c r="AI630" s="60" t="str">
        <f t="shared" si="92"/>
        <v/>
      </c>
      <c r="AJ630" s="58"/>
    </row>
    <row r="631" spans="7:56" ht="12" customHeight="1" x14ac:dyDescent="0.2">
      <c r="H631" s="563"/>
      <c r="I631" s="1656"/>
      <c r="J631" s="1657"/>
      <c r="K631" s="1657"/>
      <c r="L631" s="1657"/>
      <c r="M631" s="1657"/>
      <c r="N631" s="1657"/>
      <c r="O631" s="1657"/>
      <c r="P631" s="1657"/>
      <c r="Q631" s="1658"/>
      <c r="R631" s="1664"/>
      <c r="S631" s="559"/>
      <c r="T631" s="559"/>
      <c r="U631" s="59" t="str">
        <f t="shared" si="91"/>
        <v/>
      </c>
      <c r="V631" s="43" t="str">
        <f t="shared" si="93"/>
        <v/>
      </c>
      <c r="W631" s="42" t="str">
        <f t="shared" si="94"/>
        <v/>
      </c>
      <c r="X631" s="1659" t="s">
        <v>370</v>
      </c>
      <c r="Y631" s="1660"/>
      <c r="Z631" s="1661"/>
      <c r="AA631" s="1662"/>
      <c r="AB631" s="571"/>
      <c r="AC631" s="572"/>
      <c r="AD631" s="571"/>
      <c r="AE631" s="572"/>
      <c r="AF631" s="43" t="str">
        <f t="shared" si="95"/>
        <v/>
      </c>
      <c r="AG631" s="43" t="str">
        <f t="shared" si="96"/>
        <v/>
      </c>
      <c r="AH631" s="559"/>
      <c r="AI631" s="60" t="str">
        <f t="shared" si="92"/>
        <v/>
      </c>
      <c r="AJ631" s="58"/>
    </row>
    <row r="632" spans="7:56" ht="12" customHeight="1" x14ac:dyDescent="0.2">
      <c r="H632" s="563"/>
      <c r="I632" s="1656"/>
      <c r="J632" s="1657"/>
      <c r="K632" s="1657"/>
      <c r="L632" s="1657"/>
      <c r="M632" s="1657"/>
      <c r="N632" s="1657"/>
      <c r="O632" s="1657"/>
      <c r="P632" s="1657"/>
      <c r="Q632" s="1658"/>
      <c r="R632" s="1664"/>
      <c r="S632" s="559"/>
      <c r="T632" s="559"/>
      <c r="U632" s="59" t="str">
        <f t="shared" si="91"/>
        <v/>
      </c>
      <c r="V632" s="43" t="str">
        <f t="shared" si="93"/>
        <v/>
      </c>
      <c r="W632" s="42" t="str">
        <f t="shared" si="94"/>
        <v/>
      </c>
      <c r="X632" s="1659" t="s">
        <v>370</v>
      </c>
      <c r="Y632" s="1660"/>
      <c r="Z632" s="1661"/>
      <c r="AA632" s="1662"/>
      <c r="AB632" s="571"/>
      <c r="AC632" s="572"/>
      <c r="AD632" s="571"/>
      <c r="AE632" s="572"/>
      <c r="AF632" s="43" t="str">
        <f t="shared" si="95"/>
        <v/>
      </c>
      <c r="AG632" s="43" t="str">
        <f t="shared" si="96"/>
        <v/>
      </c>
      <c r="AH632" s="559"/>
      <c r="AI632" s="60" t="str">
        <f t="shared" si="92"/>
        <v/>
      </c>
      <c r="AJ632" s="58"/>
    </row>
    <row r="633" spans="7:56" ht="12" customHeight="1" thickBot="1" x14ac:dyDescent="0.25">
      <c r="H633" s="565"/>
      <c r="I633" s="1709"/>
      <c r="J633" s="1710"/>
      <c r="K633" s="1710"/>
      <c r="L633" s="1710"/>
      <c r="M633" s="1710"/>
      <c r="N633" s="1710"/>
      <c r="O633" s="1710"/>
      <c r="P633" s="1710"/>
      <c r="Q633" s="1711"/>
      <c r="R633" s="1665"/>
      <c r="S633" s="566"/>
      <c r="T633" s="566"/>
      <c r="U633" s="975" t="str">
        <f t="shared" si="91"/>
        <v/>
      </c>
      <c r="V633" s="976" t="str">
        <f t="shared" si="93"/>
        <v/>
      </c>
      <c r="W633" s="977" t="str">
        <f t="shared" si="94"/>
        <v/>
      </c>
      <c r="X633" s="1666" t="s">
        <v>370</v>
      </c>
      <c r="Y633" s="1667"/>
      <c r="Z633" s="1685"/>
      <c r="AA633" s="1686"/>
      <c r="AB633" s="1295"/>
      <c r="AC633" s="573"/>
      <c r="AD633" s="1295"/>
      <c r="AE633" s="573"/>
      <c r="AF633" s="976" t="str">
        <f t="shared" si="95"/>
        <v/>
      </c>
      <c r="AG633" s="976" t="str">
        <f t="shared" si="96"/>
        <v/>
      </c>
      <c r="AH633" s="566"/>
      <c r="AI633" s="372" t="str">
        <f t="shared" si="92"/>
        <v/>
      </c>
      <c r="AJ633" s="373"/>
    </row>
    <row r="634" spans="7:56" ht="12" customHeight="1" thickBot="1" x14ac:dyDescent="0.25"/>
    <row r="635" spans="7:56" ht="12" customHeight="1" x14ac:dyDescent="0.2">
      <c r="G635" s="445"/>
      <c r="H635" s="562"/>
      <c r="I635" s="1791"/>
      <c r="J635" s="1792"/>
      <c r="K635" s="1792"/>
      <c r="L635" s="1792"/>
      <c r="M635" s="1792"/>
      <c r="N635" s="1792"/>
      <c r="O635" s="1792"/>
      <c r="P635" s="1792"/>
      <c r="Q635" s="1793"/>
      <c r="R635" s="1663"/>
      <c r="S635" s="564"/>
      <c r="T635" s="892"/>
      <c r="U635" s="973" t="str">
        <f t="shared" ref="U635:U642" si="97">IF($I635="","",IF(LEFT($U$1,1)="g",$AT$3-$W$4,LegendSG3RSST-$W$4))</f>
        <v/>
      </c>
      <c r="V635" s="973" t="str">
        <f>IF($I635="","",$W$2)</f>
        <v/>
      </c>
      <c r="W635" s="974" t="str">
        <f>IF(OR($T635="",$AB635=""),"",$AB635*3.413+$T635)</f>
        <v/>
      </c>
      <c r="X635" s="1668" t="s">
        <v>370</v>
      </c>
      <c r="Y635" s="1669"/>
      <c r="Z635" s="1670"/>
      <c r="AA635" s="1671"/>
      <c r="AB635" s="567"/>
      <c r="AC635" s="568"/>
      <c r="AD635" s="569"/>
      <c r="AE635" s="570"/>
      <c r="AF635" s="973" t="str">
        <f>IF(H635="","",$AA$3)</f>
        <v/>
      </c>
      <c r="AG635" s="973" t="str">
        <f>IF(H635="","",$Y$3)</f>
        <v/>
      </c>
      <c r="AH635" s="574"/>
      <c r="AI635" s="57" t="str">
        <f t="shared" ref="AI635:AI642" si="98">IF($S$38&lt;&gt;0,$S635/$S$47,"")</f>
        <v/>
      </c>
      <c r="AJ635" s="174"/>
    </row>
    <row r="636" spans="7:56" ht="12" customHeight="1" x14ac:dyDescent="0.2">
      <c r="H636" s="563"/>
      <c r="I636" s="1656"/>
      <c r="J636" s="1657"/>
      <c r="K636" s="1657"/>
      <c r="L636" s="1657"/>
      <c r="M636" s="1657"/>
      <c r="N636" s="1657"/>
      <c r="O636" s="1657"/>
      <c r="P636" s="1657"/>
      <c r="Q636" s="1658"/>
      <c r="R636" s="1664"/>
      <c r="S636" s="559"/>
      <c r="T636" s="559"/>
      <c r="U636" s="59" t="str">
        <f t="shared" si="97"/>
        <v/>
      </c>
      <c r="V636" s="43" t="str">
        <f t="shared" ref="V636:V642" si="99">IF($I636="","",$W$2)</f>
        <v/>
      </c>
      <c r="W636" s="42" t="str">
        <f t="shared" ref="W636:W642" si="100">IF(OR($T636="",$AB636=""),"",$AB636*3.413+$T636)</f>
        <v/>
      </c>
      <c r="X636" s="1659" t="s">
        <v>370</v>
      </c>
      <c r="Y636" s="1660"/>
      <c r="Z636" s="1661"/>
      <c r="AA636" s="1662"/>
      <c r="AB636" s="571"/>
      <c r="AC636" s="572"/>
      <c r="AD636" s="571"/>
      <c r="AE636" s="572"/>
      <c r="AF636" s="43" t="str">
        <f t="shared" ref="AF636:AF642" si="101">IF(H636="","",$AA$3)</f>
        <v/>
      </c>
      <c r="AG636" s="43" t="str">
        <f t="shared" ref="AG636:AG642" si="102">IF(H636="","",$Y$3)</f>
        <v/>
      </c>
      <c r="AH636" s="559"/>
      <c r="AI636" s="60" t="str">
        <f t="shared" si="98"/>
        <v/>
      </c>
      <c r="AJ636" s="58"/>
    </row>
    <row r="637" spans="7:56" ht="12" customHeight="1" x14ac:dyDescent="0.2">
      <c r="H637" s="563"/>
      <c r="I637" s="1656"/>
      <c r="J637" s="1657"/>
      <c r="K637" s="1657"/>
      <c r="L637" s="1657"/>
      <c r="M637" s="1657"/>
      <c r="N637" s="1657"/>
      <c r="O637" s="1657"/>
      <c r="P637" s="1657"/>
      <c r="Q637" s="1658"/>
      <c r="R637" s="1664"/>
      <c r="S637" s="559"/>
      <c r="T637" s="559"/>
      <c r="U637" s="59" t="str">
        <f t="shared" si="97"/>
        <v/>
      </c>
      <c r="V637" s="43" t="str">
        <f t="shared" si="99"/>
        <v/>
      </c>
      <c r="W637" s="42" t="str">
        <f t="shared" si="100"/>
        <v/>
      </c>
      <c r="X637" s="1659" t="s">
        <v>370</v>
      </c>
      <c r="Y637" s="1660"/>
      <c r="Z637" s="1661"/>
      <c r="AA637" s="1662"/>
      <c r="AB637" s="571"/>
      <c r="AC637" s="572"/>
      <c r="AD637" s="571"/>
      <c r="AE637" s="572"/>
      <c r="AF637" s="43" t="str">
        <f t="shared" si="101"/>
        <v/>
      </c>
      <c r="AG637" s="43" t="str">
        <f t="shared" si="102"/>
        <v/>
      </c>
      <c r="AH637" s="559"/>
      <c r="AI637" s="60" t="str">
        <f t="shared" si="98"/>
        <v/>
      </c>
      <c r="AJ637" s="58"/>
    </row>
    <row r="638" spans="7:56" ht="12" customHeight="1" x14ac:dyDescent="0.2">
      <c r="H638" s="563"/>
      <c r="I638" s="1656"/>
      <c r="J638" s="1657"/>
      <c r="K638" s="1657"/>
      <c r="L638" s="1657"/>
      <c r="M638" s="1657"/>
      <c r="N638" s="1657"/>
      <c r="O638" s="1657"/>
      <c r="P638" s="1657"/>
      <c r="Q638" s="1658"/>
      <c r="R638" s="1664"/>
      <c r="S638" s="559"/>
      <c r="T638" s="559"/>
      <c r="U638" s="59" t="str">
        <f t="shared" si="97"/>
        <v/>
      </c>
      <c r="V638" s="43" t="str">
        <f t="shared" si="99"/>
        <v/>
      </c>
      <c r="W638" s="42" t="str">
        <f t="shared" si="100"/>
        <v/>
      </c>
      <c r="X638" s="1659" t="s">
        <v>370</v>
      </c>
      <c r="Y638" s="1660"/>
      <c r="Z638" s="1661"/>
      <c r="AA638" s="1662"/>
      <c r="AB638" s="571"/>
      <c r="AC638" s="572"/>
      <c r="AD638" s="571"/>
      <c r="AE638" s="572"/>
      <c r="AF638" s="43" t="str">
        <f t="shared" si="101"/>
        <v/>
      </c>
      <c r="AG638" s="43" t="str">
        <f t="shared" si="102"/>
        <v/>
      </c>
      <c r="AH638" s="559"/>
      <c r="AI638" s="60" t="str">
        <f t="shared" si="98"/>
        <v/>
      </c>
      <c r="AJ638" s="58"/>
      <c r="BD638" s="33"/>
    </row>
    <row r="639" spans="7:56" ht="12" customHeight="1" x14ac:dyDescent="0.2">
      <c r="H639" s="563"/>
      <c r="I639" s="1656"/>
      <c r="J639" s="1657"/>
      <c r="K639" s="1657"/>
      <c r="L639" s="1657"/>
      <c r="M639" s="1657"/>
      <c r="N639" s="1657"/>
      <c r="O639" s="1657"/>
      <c r="P639" s="1657"/>
      <c r="Q639" s="1658"/>
      <c r="R639" s="1664"/>
      <c r="S639" s="559"/>
      <c r="T639" s="559"/>
      <c r="U639" s="59" t="str">
        <f t="shared" si="97"/>
        <v/>
      </c>
      <c r="V639" s="43" t="str">
        <f t="shared" si="99"/>
        <v/>
      </c>
      <c r="W639" s="42" t="str">
        <f t="shared" si="100"/>
        <v/>
      </c>
      <c r="X639" s="1659" t="s">
        <v>370</v>
      </c>
      <c r="Y639" s="1660"/>
      <c r="Z639" s="1661"/>
      <c r="AA639" s="1662"/>
      <c r="AB639" s="571"/>
      <c r="AC639" s="572"/>
      <c r="AD639" s="571"/>
      <c r="AE639" s="572"/>
      <c r="AF639" s="43" t="str">
        <f t="shared" si="101"/>
        <v/>
      </c>
      <c r="AG639" s="43" t="str">
        <f t="shared" si="102"/>
        <v/>
      </c>
      <c r="AH639" s="559"/>
      <c r="AI639" s="60" t="str">
        <f t="shared" si="98"/>
        <v/>
      </c>
      <c r="AJ639" s="58"/>
      <c r="BD639" s="33"/>
    </row>
    <row r="640" spans="7:56" ht="12" customHeight="1" x14ac:dyDescent="0.2">
      <c r="H640" s="563"/>
      <c r="I640" s="1656"/>
      <c r="J640" s="1657"/>
      <c r="K640" s="1657"/>
      <c r="L640" s="1657"/>
      <c r="M640" s="1657"/>
      <c r="N640" s="1657"/>
      <c r="O640" s="1657"/>
      <c r="P640" s="1657"/>
      <c r="Q640" s="1658"/>
      <c r="R640" s="1664"/>
      <c r="S640" s="559"/>
      <c r="T640" s="559"/>
      <c r="U640" s="59" t="str">
        <f t="shared" si="97"/>
        <v/>
      </c>
      <c r="V640" s="43" t="str">
        <f t="shared" si="99"/>
        <v/>
      </c>
      <c r="W640" s="42" t="str">
        <f t="shared" si="100"/>
        <v/>
      </c>
      <c r="X640" s="1659" t="s">
        <v>370</v>
      </c>
      <c r="Y640" s="1660"/>
      <c r="Z640" s="1661"/>
      <c r="AA640" s="1662"/>
      <c r="AB640" s="571"/>
      <c r="AC640" s="572"/>
      <c r="AD640" s="571"/>
      <c r="AE640" s="572"/>
      <c r="AF640" s="43" t="str">
        <f t="shared" si="101"/>
        <v/>
      </c>
      <c r="AG640" s="43" t="str">
        <f t="shared" si="102"/>
        <v/>
      </c>
      <c r="AH640" s="559"/>
      <c r="AI640" s="60" t="str">
        <f t="shared" si="98"/>
        <v/>
      </c>
      <c r="AJ640" s="58"/>
    </row>
    <row r="641" spans="1:36" ht="12" customHeight="1" x14ac:dyDescent="0.2">
      <c r="H641" s="563"/>
      <c r="I641" s="1656"/>
      <c r="J641" s="1657"/>
      <c r="K641" s="1657"/>
      <c r="L641" s="1657"/>
      <c r="M641" s="1657"/>
      <c r="N641" s="1657"/>
      <c r="O641" s="1657"/>
      <c r="P641" s="1657"/>
      <c r="Q641" s="1658"/>
      <c r="R641" s="1664"/>
      <c r="S641" s="559"/>
      <c r="T641" s="559"/>
      <c r="U641" s="59" t="str">
        <f t="shared" si="97"/>
        <v/>
      </c>
      <c r="V641" s="43" t="str">
        <f t="shared" si="99"/>
        <v/>
      </c>
      <c r="W641" s="42" t="str">
        <f t="shared" si="100"/>
        <v/>
      </c>
      <c r="X641" s="1659" t="s">
        <v>370</v>
      </c>
      <c r="Y641" s="1660"/>
      <c r="Z641" s="1661"/>
      <c r="AA641" s="1662"/>
      <c r="AB641" s="571"/>
      <c r="AC641" s="572"/>
      <c r="AD641" s="571"/>
      <c r="AE641" s="572"/>
      <c r="AF641" s="43" t="str">
        <f t="shared" si="101"/>
        <v/>
      </c>
      <c r="AG641" s="43" t="str">
        <f t="shared" si="102"/>
        <v/>
      </c>
      <c r="AH641" s="559"/>
      <c r="AI641" s="60" t="str">
        <f t="shared" si="98"/>
        <v/>
      </c>
      <c r="AJ641" s="58"/>
    </row>
    <row r="642" spans="1:36" ht="12" customHeight="1" thickBot="1" x14ac:dyDescent="0.25">
      <c r="H642" s="565"/>
      <c r="I642" s="1709"/>
      <c r="J642" s="1710"/>
      <c r="K642" s="1710"/>
      <c r="L642" s="1710"/>
      <c r="M642" s="1710"/>
      <c r="N642" s="1710"/>
      <c r="O642" s="1710"/>
      <c r="P642" s="1710"/>
      <c r="Q642" s="1711"/>
      <c r="R642" s="1665"/>
      <c r="S642" s="566"/>
      <c r="T642" s="566"/>
      <c r="U642" s="975" t="str">
        <f t="shared" si="97"/>
        <v/>
      </c>
      <c r="V642" s="976" t="str">
        <f t="shared" si="99"/>
        <v/>
      </c>
      <c r="W642" s="977" t="str">
        <f t="shared" si="100"/>
        <v/>
      </c>
      <c r="X642" s="1666" t="s">
        <v>370</v>
      </c>
      <c r="Y642" s="1667"/>
      <c r="Z642" s="1685"/>
      <c r="AA642" s="1686"/>
      <c r="AB642" s="1295"/>
      <c r="AC642" s="573"/>
      <c r="AD642" s="1295"/>
      <c r="AE642" s="573"/>
      <c r="AF642" s="976" t="str">
        <f t="shared" si="101"/>
        <v/>
      </c>
      <c r="AG642" s="976" t="str">
        <f t="shared" si="102"/>
        <v/>
      </c>
      <c r="AH642" s="566"/>
      <c r="AI642" s="372" t="str">
        <f t="shared" si="98"/>
        <v/>
      </c>
      <c r="AJ642" s="373"/>
    </row>
    <row r="643" spans="1:36" ht="12" customHeight="1" x14ac:dyDescent="0.2">
      <c r="A643" s="1287"/>
    </row>
    <row r="644" spans="1:36" ht="12" customHeight="1" x14ac:dyDescent="0.2">
      <c r="A644" s="1287"/>
    </row>
    <row r="645" spans="1:36" ht="12" customHeight="1" x14ac:dyDescent="0.2">
      <c r="A645" s="1287"/>
    </row>
    <row r="646" spans="1:36" ht="12" customHeight="1" x14ac:dyDescent="0.2">
      <c r="A646" s="153" t="s">
        <v>1173</v>
      </c>
    </row>
  </sheetData>
  <mergeCells count="341">
    <mergeCell ref="CB1:EA3"/>
    <mergeCell ref="H2:L2"/>
    <mergeCell ref="O2:Q2"/>
    <mergeCell ref="R2:S2"/>
    <mergeCell ref="AD2:AE2"/>
    <mergeCell ref="AG2:AH2"/>
    <mergeCell ref="AJ2:AL2"/>
    <mergeCell ref="AM2:AP2"/>
    <mergeCell ref="AQ2:AS2"/>
    <mergeCell ref="H3:L3"/>
    <mergeCell ref="O1:Q1"/>
    <mergeCell ref="AD1:AE1"/>
    <mergeCell ref="AG1:AH1"/>
    <mergeCell ref="AJ1:AL1"/>
    <mergeCell ref="AM1:AP1"/>
    <mergeCell ref="AQ1:AS1"/>
    <mergeCell ref="AQ3:AS3"/>
    <mergeCell ref="M3:N3"/>
    <mergeCell ref="O3:Q3"/>
    <mergeCell ref="AD3:AE3"/>
    <mergeCell ref="AG3:AH3"/>
    <mergeCell ref="AJ3:AL3"/>
    <mergeCell ref="AM3:AP3"/>
    <mergeCell ref="H4:J4"/>
    <mergeCell ref="K4:L4"/>
    <mergeCell ref="M4:N4"/>
    <mergeCell ref="O4:Q4"/>
    <mergeCell ref="AD4:AE4"/>
    <mergeCell ref="AG4:AH4"/>
    <mergeCell ref="AJ4:AL4"/>
    <mergeCell ref="AM4:AP4"/>
    <mergeCell ref="AQ4:AS4"/>
    <mergeCell ref="H5:AI5"/>
    <mergeCell ref="AJ5:AP5"/>
    <mergeCell ref="AQ5:AT5"/>
    <mergeCell ref="A6:A7"/>
    <mergeCell ref="B6:B7"/>
    <mergeCell ref="C6:C7"/>
    <mergeCell ref="D6:D7"/>
    <mergeCell ref="F6:F7"/>
    <mergeCell ref="H6:H7"/>
    <mergeCell ref="I6:N6"/>
    <mergeCell ref="X6:X7"/>
    <mergeCell ref="Y6:Y7"/>
    <mergeCell ref="Z6:Z7"/>
    <mergeCell ref="AA6:AA7"/>
    <mergeCell ref="AB6:AB7"/>
    <mergeCell ref="AC6:AC7"/>
    <mergeCell ref="O6:Q6"/>
    <mergeCell ref="R6:R7"/>
    <mergeCell ref="S6:S7"/>
    <mergeCell ref="T6:U7"/>
    <mergeCell ref="V6:V7"/>
    <mergeCell ref="W6:W7"/>
    <mergeCell ref="DQ6:DR6"/>
    <mergeCell ref="DS6:DT6"/>
    <mergeCell ref="CA6:CD6"/>
    <mergeCell ref="CE6:CH6"/>
    <mergeCell ref="CI6:CL6"/>
    <mergeCell ref="CM6:CQ6"/>
    <mergeCell ref="CR6:CU6"/>
    <mergeCell ref="CV6:CY6"/>
    <mergeCell ref="AD6:AD7"/>
    <mergeCell ref="AE6:AH6"/>
    <mergeCell ref="AJ6:AL6"/>
    <mergeCell ref="AM6:AN6"/>
    <mergeCell ref="AT6:AT7"/>
    <mergeCell ref="BZ6:BZ7"/>
    <mergeCell ref="W19:W20"/>
    <mergeCell ref="X19:Y20"/>
    <mergeCell ref="Z19:AA20"/>
    <mergeCell ref="AB19:AB20"/>
    <mergeCell ref="EQ6:ET6"/>
    <mergeCell ref="AK7:AL7"/>
    <mergeCell ref="H17:AT17"/>
    <mergeCell ref="H18:AJ18"/>
    <mergeCell ref="AK18:AT18"/>
    <mergeCell ref="H19:H20"/>
    <mergeCell ref="I19:Q20"/>
    <mergeCell ref="R19:R20"/>
    <mergeCell ref="S19:S20"/>
    <mergeCell ref="T19:T20"/>
    <mergeCell ref="DU6:DU7"/>
    <mergeCell ref="DV6:DV7"/>
    <mergeCell ref="DW6:DY7"/>
    <mergeCell ref="EB6:EE6"/>
    <mergeCell ref="EG6:EJ6"/>
    <mergeCell ref="EL6:EO6"/>
    <mergeCell ref="CZ6:DD6"/>
    <mergeCell ref="DE6:DI6"/>
    <mergeCell ref="DJ6:DM6"/>
    <mergeCell ref="DO6:DP6"/>
    <mergeCell ref="AR19:AR20"/>
    <mergeCell ref="AS19:AS20"/>
    <mergeCell ref="AT19:AT20"/>
    <mergeCell ref="I21:Q21"/>
    <mergeCell ref="R21:R28"/>
    <mergeCell ref="X21:Y21"/>
    <mergeCell ref="Z21:AA21"/>
    <mergeCell ref="AK21:AL29"/>
    <mergeCell ref="AM21:AN29"/>
    <mergeCell ref="AO21:AP29"/>
    <mergeCell ref="AI19:AI20"/>
    <mergeCell ref="AJ19:AJ20"/>
    <mergeCell ref="AK19:AL20"/>
    <mergeCell ref="AM19:AN20"/>
    <mergeCell ref="AO19:AP20"/>
    <mergeCell ref="AQ19:AQ20"/>
    <mergeCell ref="AC19:AC20"/>
    <mergeCell ref="AD19:AD20"/>
    <mergeCell ref="AE19:AE20"/>
    <mergeCell ref="AF19:AF20"/>
    <mergeCell ref="AG19:AG20"/>
    <mergeCell ref="AH19:AH20"/>
    <mergeCell ref="U19:U20"/>
    <mergeCell ref="V19:V20"/>
    <mergeCell ref="AQ21:AQ29"/>
    <mergeCell ref="AR21:AR29"/>
    <mergeCell ref="AS21:AS29"/>
    <mergeCell ref="AT21:AT29"/>
    <mergeCell ref="I22:Q22"/>
    <mergeCell ref="X22:Y22"/>
    <mergeCell ref="Z22:AA22"/>
    <mergeCell ref="I23:Q23"/>
    <mergeCell ref="X23:Y23"/>
    <mergeCell ref="Z23:AA23"/>
    <mergeCell ref="I26:Q26"/>
    <mergeCell ref="X26:Y26"/>
    <mergeCell ref="Z26:AA26"/>
    <mergeCell ref="I27:Q27"/>
    <mergeCell ref="X27:Y27"/>
    <mergeCell ref="Z27:AA27"/>
    <mergeCell ref="I24:Q24"/>
    <mergeCell ref="X24:Y24"/>
    <mergeCell ref="Z24:AA24"/>
    <mergeCell ref="I25:Q25"/>
    <mergeCell ref="X25:Y25"/>
    <mergeCell ref="Z25:AA25"/>
    <mergeCell ref="I28:Q28"/>
    <mergeCell ref="X28:Y28"/>
    <mergeCell ref="Z28:AA28"/>
    <mergeCell ref="X29:Y29"/>
    <mergeCell ref="Z29:AA29"/>
    <mergeCell ref="I30:Q30"/>
    <mergeCell ref="R30:R37"/>
    <mergeCell ref="X30:Y30"/>
    <mergeCell ref="Z30:AA30"/>
    <mergeCell ref="I34:Q34"/>
    <mergeCell ref="X34:Y34"/>
    <mergeCell ref="Z34:AA34"/>
    <mergeCell ref="I35:Q35"/>
    <mergeCell ref="X35:Y35"/>
    <mergeCell ref="Z35:AA35"/>
    <mergeCell ref="I36:Q36"/>
    <mergeCell ref="X36:Y36"/>
    <mergeCell ref="Z36:AA36"/>
    <mergeCell ref="AK30:AT48"/>
    <mergeCell ref="I31:Q31"/>
    <mergeCell ref="X31:Y31"/>
    <mergeCell ref="Z31:AA31"/>
    <mergeCell ref="I32:Q32"/>
    <mergeCell ref="X32:Y32"/>
    <mergeCell ref="Z32:AA32"/>
    <mergeCell ref="I33:Q33"/>
    <mergeCell ref="X33:Y33"/>
    <mergeCell ref="Z33:AA33"/>
    <mergeCell ref="I37:Q37"/>
    <mergeCell ref="X37:Y37"/>
    <mergeCell ref="Z37:AA37"/>
    <mergeCell ref="X38:Y38"/>
    <mergeCell ref="Z38:AA38"/>
    <mergeCell ref="I39:Q39"/>
    <mergeCell ref="R39:R46"/>
    <mergeCell ref="X39:Y39"/>
    <mergeCell ref="Z39:AA39"/>
    <mergeCell ref="I40:Q40"/>
    <mergeCell ref="I43:Q43"/>
    <mergeCell ref="X43:Y43"/>
    <mergeCell ref="Z43:AA43"/>
    <mergeCell ref="I44:Q44"/>
    <mergeCell ref="I46:Q46"/>
    <mergeCell ref="X46:Y46"/>
    <mergeCell ref="Z46:AA46"/>
    <mergeCell ref="X44:Y44"/>
    <mergeCell ref="Z44:AA44"/>
    <mergeCell ref="X40:Y40"/>
    <mergeCell ref="Z40:AA40"/>
    <mergeCell ref="I41:Q41"/>
    <mergeCell ref="X41:Y41"/>
    <mergeCell ref="Z41:AA41"/>
    <mergeCell ref="I42:Q42"/>
    <mergeCell ref="X42:Y42"/>
    <mergeCell ref="Z42:AA42"/>
    <mergeCell ref="I45:Q45"/>
    <mergeCell ref="X45:Y45"/>
    <mergeCell ref="Z45:AA45"/>
    <mergeCell ref="A586:A587"/>
    <mergeCell ref="B586:B587"/>
    <mergeCell ref="C586:C587"/>
    <mergeCell ref="D586:D587"/>
    <mergeCell ref="F586:F587"/>
    <mergeCell ref="H586:H587"/>
    <mergeCell ref="I586:N586"/>
    <mergeCell ref="O586:Q586"/>
    <mergeCell ref="R586:R587"/>
    <mergeCell ref="EG586:EJ586"/>
    <mergeCell ref="EL586:EO586"/>
    <mergeCell ref="EQ586:ET586"/>
    <mergeCell ref="AK587:AL587"/>
    <mergeCell ref="DJ586:DM586"/>
    <mergeCell ref="DO586:DP586"/>
    <mergeCell ref="DQ586:DR586"/>
    <mergeCell ref="DS586:DT586"/>
    <mergeCell ref="DU586:DU587"/>
    <mergeCell ref="DV586:DV587"/>
    <mergeCell ref="CI586:CL586"/>
    <mergeCell ref="CM586:CQ586"/>
    <mergeCell ref="CR586:CU586"/>
    <mergeCell ref="CV586:CY586"/>
    <mergeCell ref="CZ586:DD586"/>
    <mergeCell ref="DE586:DI586"/>
    <mergeCell ref="AJ586:AL586"/>
    <mergeCell ref="AM586:AN586"/>
    <mergeCell ref="AT586:AT587"/>
    <mergeCell ref="BZ586:BZ587"/>
    <mergeCell ref="CA586:CD586"/>
    <mergeCell ref="CE586:CH586"/>
    <mergeCell ref="AQ589:AS589"/>
    <mergeCell ref="T591:U591"/>
    <mergeCell ref="AK591:AL591"/>
    <mergeCell ref="I593:J593"/>
    <mergeCell ref="T593:U593"/>
    <mergeCell ref="AK593:AL593"/>
    <mergeCell ref="DW586:DY587"/>
    <mergeCell ref="EB586:EE586"/>
    <mergeCell ref="Z586:Z587"/>
    <mergeCell ref="AA586:AA587"/>
    <mergeCell ref="AB586:AB587"/>
    <mergeCell ref="AC586:AC587"/>
    <mergeCell ref="AD586:AD587"/>
    <mergeCell ref="AE586:AH586"/>
    <mergeCell ref="S586:S587"/>
    <mergeCell ref="T586:U587"/>
    <mergeCell ref="V586:V587"/>
    <mergeCell ref="W586:W587"/>
    <mergeCell ref="X586:X587"/>
    <mergeCell ref="Y586:Y587"/>
    <mergeCell ref="AK597:AL597"/>
    <mergeCell ref="T599:U599"/>
    <mergeCell ref="AK599:AL599"/>
    <mergeCell ref="Z618:AA618"/>
    <mergeCell ref="I619:Q619"/>
    <mergeCell ref="X619:Y619"/>
    <mergeCell ref="Z619:AA619"/>
    <mergeCell ref="I607:N607"/>
    <mergeCell ref="T607:U607"/>
    <mergeCell ref="Y607:Z607"/>
    <mergeCell ref="AK607:AL607"/>
    <mergeCell ref="I617:Q617"/>
    <mergeCell ref="R617:R624"/>
    <mergeCell ref="X617:Y617"/>
    <mergeCell ref="Z617:AA617"/>
    <mergeCell ref="I618:Q618"/>
    <mergeCell ref="X618:Y618"/>
    <mergeCell ref="I620:Q620"/>
    <mergeCell ref="X620:Y620"/>
    <mergeCell ref="Z620:AA620"/>
    <mergeCell ref="I623:Q623"/>
    <mergeCell ref="X623:Y623"/>
    <mergeCell ref="Z638:AA638"/>
    <mergeCell ref="I626:Q626"/>
    <mergeCell ref="R626:R633"/>
    <mergeCell ref="X626:Y626"/>
    <mergeCell ref="Z626:AA626"/>
    <mergeCell ref="I627:Q627"/>
    <mergeCell ref="X627:Y627"/>
    <mergeCell ref="Z627:AA627"/>
    <mergeCell ref="I628:Q628"/>
    <mergeCell ref="X628:Y628"/>
    <mergeCell ref="Z628:AA628"/>
    <mergeCell ref="I631:Q631"/>
    <mergeCell ref="X631:Y631"/>
    <mergeCell ref="Z631:AA631"/>
    <mergeCell ref="I632:Q632"/>
    <mergeCell ref="X632:Y632"/>
    <mergeCell ref="Z632:AA632"/>
    <mergeCell ref="I629:Q629"/>
    <mergeCell ref="X629:Y629"/>
    <mergeCell ref="Z629:AA629"/>
    <mergeCell ref="I630:Q630"/>
    <mergeCell ref="X630:Y630"/>
    <mergeCell ref="Z630:AA630"/>
    <mergeCell ref="I633:Q633"/>
    <mergeCell ref="Z633:AA633"/>
    <mergeCell ref="T595:U595"/>
    <mergeCell ref="AK595:AL595"/>
    <mergeCell ref="T589:U589"/>
    <mergeCell ref="AF48:AI48"/>
    <mergeCell ref="X47:Y47"/>
    <mergeCell ref="Z47:AA47"/>
    <mergeCell ref="H48:T48"/>
    <mergeCell ref="U48:V48"/>
    <mergeCell ref="X48:Y48"/>
    <mergeCell ref="Z48:AA48"/>
    <mergeCell ref="X633:Y633"/>
    <mergeCell ref="Z623:AA623"/>
    <mergeCell ref="I624:Q624"/>
    <mergeCell ref="X624:Y624"/>
    <mergeCell ref="Z624:AA624"/>
    <mergeCell ref="I621:Q621"/>
    <mergeCell ref="X621:Y621"/>
    <mergeCell ref="Z621:AA621"/>
    <mergeCell ref="I622:Q622"/>
    <mergeCell ref="X622:Y622"/>
    <mergeCell ref="Z622:AA622"/>
    <mergeCell ref="I597:J597"/>
    <mergeCell ref="T597:U597"/>
    <mergeCell ref="I635:Q635"/>
    <mergeCell ref="R635:R642"/>
    <mergeCell ref="X635:Y635"/>
    <mergeCell ref="Z635:AA635"/>
    <mergeCell ref="I636:Q636"/>
    <mergeCell ref="X636:Y636"/>
    <mergeCell ref="Z636:AA636"/>
    <mergeCell ref="I641:Q641"/>
    <mergeCell ref="X641:Y641"/>
    <mergeCell ref="Z641:AA641"/>
    <mergeCell ref="I642:Q642"/>
    <mergeCell ref="X642:Y642"/>
    <mergeCell ref="Z642:AA642"/>
    <mergeCell ref="I639:Q639"/>
    <mergeCell ref="X639:Y639"/>
    <mergeCell ref="Z639:AA639"/>
    <mergeCell ref="I640:Q640"/>
    <mergeCell ref="X640:Y640"/>
    <mergeCell ref="Z640:AA640"/>
    <mergeCell ref="I637:Q637"/>
    <mergeCell ref="X637:Y637"/>
    <mergeCell ref="Z637:AA637"/>
    <mergeCell ref="I638:Q638"/>
    <mergeCell ref="X638:Y638"/>
  </mergeCells>
  <conditionalFormatting sqref="L591">
    <cfRule type="cellIs" dxfId="388" priority="619" stopIfTrue="1" operator="equal">
      <formula>0</formula>
    </cfRule>
    <cfRule type="expression" dxfId="387" priority="620" stopIfTrue="1">
      <formula>IF($CB591="DNE",TRUE,FALSE)</formula>
    </cfRule>
  </conditionalFormatting>
  <conditionalFormatting sqref="M591">
    <cfRule type="cellIs" dxfId="386" priority="621" stopIfTrue="1" operator="equal">
      <formula>0</formula>
    </cfRule>
    <cfRule type="expression" dxfId="385" priority="622" stopIfTrue="1">
      <formula>IF($CC591="DNE",TRUE,FALSE)</formula>
    </cfRule>
  </conditionalFormatting>
  <conditionalFormatting sqref="K591">
    <cfRule type="cellIs" dxfId="384" priority="623" stopIfTrue="1" operator="equal">
      <formula>0</formula>
    </cfRule>
    <cfRule type="expression" dxfId="383" priority="624" stopIfTrue="1">
      <formula>IF($CA591="DNE",TRUE,FALSE)</formula>
    </cfRule>
  </conditionalFormatting>
  <conditionalFormatting sqref="N591">
    <cfRule type="cellIs" dxfId="382" priority="625" stopIfTrue="1" operator="equal">
      <formula>0</formula>
    </cfRule>
    <cfRule type="expression" dxfId="381" priority="626" stopIfTrue="1">
      <formula>IF($CD591="DNE",TRUE,FALSE)</formula>
    </cfRule>
  </conditionalFormatting>
  <conditionalFormatting sqref="L597 L593 L595 L599 L601 L603 L605 L589 L612 L614">
    <cfRule type="cellIs" dxfId="380" priority="627" stopIfTrue="1" operator="equal">
      <formula>0</formula>
    </cfRule>
    <cfRule type="expression" dxfId="379" priority="628" stopIfTrue="1">
      <formula>IF($CB588="DNE",TRUE,FALSE)</formula>
    </cfRule>
  </conditionalFormatting>
  <conditionalFormatting sqref="M597 M593 M595 M599 M601 M603 M605 M589 M612 M614">
    <cfRule type="cellIs" dxfId="378" priority="629" stopIfTrue="1" operator="equal">
      <formula>0</formula>
    </cfRule>
    <cfRule type="expression" dxfId="377" priority="630" stopIfTrue="1">
      <formula>IF($CC588="DNE",TRUE,FALSE)</formula>
    </cfRule>
  </conditionalFormatting>
  <conditionalFormatting sqref="K597 K593 K595 K599 K601 K603 K605 K589 K612 K614">
    <cfRule type="cellIs" dxfId="376" priority="631" stopIfTrue="1" operator="equal">
      <formula>0</formula>
    </cfRule>
    <cfRule type="expression" dxfId="375" priority="632" stopIfTrue="1">
      <formula>IF($CA588="DNE",TRUE,FALSE)</formula>
    </cfRule>
  </conditionalFormatting>
  <conditionalFormatting sqref="N597 N593 N595 N599 N601 N603 N605 N589 N612 N614">
    <cfRule type="cellIs" dxfId="374" priority="633" stopIfTrue="1" operator="equal">
      <formula>0</formula>
    </cfRule>
    <cfRule type="expression" dxfId="373" priority="634" stopIfTrue="1">
      <formula>IF($CD588="DNE",TRUE,FALSE)</formula>
    </cfRule>
  </conditionalFormatting>
  <conditionalFormatting sqref="AB21:AE28 AH21:AH28 Z21:Z28 S21:S28">
    <cfRule type="expression" dxfId="372" priority="635" stopIfTrue="1">
      <formula>IF($I21="",TRUE, FALSE)</formula>
    </cfRule>
  </conditionalFormatting>
  <conditionalFormatting sqref="X21:Y28">
    <cfRule type="expression" dxfId="371" priority="636" stopIfTrue="1">
      <formula>IF($I21="",TRUE, FALSE)</formula>
    </cfRule>
  </conditionalFormatting>
  <conditionalFormatting sqref="W21:W28">
    <cfRule type="expression" dxfId="370" priority="637" stopIfTrue="1">
      <formula>IF($I21="",TRUE, FALSE)</formula>
    </cfRule>
  </conditionalFormatting>
  <conditionalFormatting sqref="AI21:AI28">
    <cfRule type="cellIs" dxfId="369" priority="638" stopIfTrue="1" operator="equal">
      <formula>0</formula>
    </cfRule>
    <cfRule type="expression" dxfId="368" priority="639" stopIfTrue="1">
      <formula>IF($I21="",TRUE, FALSE)</formula>
    </cfRule>
  </conditionalFormatting>
  <conditionalFormatting sqref="AT593 AT591">
    <cfRule type="cellIs" dxfId="367" priority="640" stopIfTrue="1" operator="equal">
      <formula>"0"</formula>
    </cfRule>
  </conditionalFormatting>
  <conditionalFormatting sqref="AN601 AN614 AN612 AN603 AN605 AN589">
    <cfRule type="cellIs" dxfId="366" priority="641" stopIfTrue="1" operator="equal">
      <formula>"0"</formula>
    </cfRule>
  </conditionalFormatting>
  <conditionalFormatting sqref="AK21:AL29 AO21:AT29">
    <cfRule type="cellIs" dxfId="365" priority="642" stopIfTrue="1" operator="equal">
      <formula>0</formula>
    </cfRule>
  </conditionalFormatting>
  <conditionalFormatting sqref="AM21:AN29">
    <cfRule type="cellIs" dxfId="364" priority="643" stopIfTrue="1" operator="equal">
      <formula>"ENTER MANUFACTURER"</formula>
    </cfRule>
  </conditionalFormatting>
  <conditionalFormatting sqref="AJ591 AD591 AQ591:AS591 AJ593 O593:Q593 Y595">
    <cfRule type="expression" dxfId="363" priority="618" stopIfTrue="1">
      <formula>NOT( _xludf.isformula(O591))</formula>
    </cfRule>
  </conditionalFormatting>
  <conditionalFormatting sqref="Z626:Z633 S626:S633 AB626:AE633 AH626:AH633">
    <cfRule type="expression" dxfId="362" priority="617" stopIfTrue="1">
      <formula>IF($I626="",TRUE, FALSE)</formula>
    </cfRule>
  </conditionalFormatting>
  <conditionalFormatting sqref="X626:Y633">
    <cfRule type="expression" dxfId="361" priority="616" stopIfTrue="1">
      <formula>IF($I626="",TRUE, FALSE)</formula>
    </cfRule>
  </conditionalFormatting>
  <conditionalFormatting sqref="W626:W633">
    <cfRule type="expression" dxfId="360" priority="615" stopIfTrue="1">
      <formula>IF($I626="",TRUE, FALSE)</formula>
    </cfRule>
  </conditionalFormatting>
  <conditionalFormatting sqref="AI626:AI633">
    <cfRule type="cellIs" dxfId="359" priority="613" stopIfTrue="1" operator="equal">
      <formula>0</formula>
    </cfRule>
    <cfRule type="expression" dxfId="358" priority="614" stopIfTrue="1">
      <formula>IF($I626="",TRUE, FALSE)</formula>
    </cfRule>
  </conditionalFormatting>
  <conditionalFormatting sqref="AB617:AE624 AH617:AH624 Z617:Z624 S617:S624">
    <cfRule type="expression" dxfId="357" priority="612" stopIfTrue="1">
      <formula>IF($I617="",TRUE, FALSE)</formula>
    </cfRule>
  </conditionalFormatting>
  <conditionalFormatting sqref="X617:Y624">
    <cfRule type="expression" dxfId="356" priority="611" stopIfTrue="1">
      <formula>IF($I617="",TRUE, FALSE)</formula>
    </cfRule>
  </conditionalFormatting>
  <conditionalFormatting sqref="W617:W624">
    <cfRule type="expression" dxfId="355" priority="610" stopIfTrue="1">
      <formula>IF($I617="",TRUE, FALSE)</formula>
    </cfRule>
  </conditionalFormatting>
  <conditionalFormatting sqref="AI617:AI624">
    <cfRule type="cellIs" dxfId="354" priority="608" stopIfTrue="1" operator="equal">
      <formula>0</formula>
    </cfRule>
    <cfRule type="expression" dxfId="353" priority="609" stopIfTrue="1">
      <formula>IF($I617="",TRUE, FALSE)</formula>
    </cfRule>
  </conditionalFormatting>
  <conditionalFormatting sqref="Z635:Z642 S635:S642 AB635:AE642 AH635:AH642">
    <cfRule type="expression" dxfId="352" priority="607" stopIfTrue="1">
      <formula>IF($I635="",TRUE, FALSE)</formula>
    </cfRule>
  </conditionalFormatting>
  <conditionalFormatting sqref="X635:Y642">
    <cfRule type="expression" dxfId="351" priority="606" stopIfTrue="1">
      <formula>IF($I635="",TRUE, FALSE)</formula>
    </cfRule>
  </conditionalFormatting>
  <conditionalFormatting sqref="W635:W642">
    <cfRule type="expression" dxfId="350" priority="605" stopIfTrue="1">
      <formula>IF($I635="",TRUE, FALSE)</formula>
    </cfRule>
  </conditionalFormatting>
  <conditionalFormatting sqref="AI635:AI642">
    <cfRule type="cellIs" dxfId="349" priority="603" stopIfTrue="1" operator="equal">
      <formula>0</formula>
    </cfRule>
    <cfRule type="expression" dxfId="348" priority="604" stopIfTrue="1">
      <formula>IF($I635="",TRUE, FALSE)</formula>
    </cfRule>
  </conditionalFormatting>
  <conditionalFormatting sqref="AN607">
    <cfRule type="cellIs" dxfId="347" priority="600" stopIfTrue="1" operator="equal">
      <formula>0</formula>
    </cfRule>
    <cfRule type="cellIs" dxfId="346" priority="602" stopIfTrue="1" operator="equal">
      <formula>"0"</formula>
    </cfRule>
  </conditionalFormatting>
  <conditionalFormatting sqref="AI607 AK607:AL607">
    <cfRule type="cellIs" dxfId="345" priority="601" stopIfTrue="1" operator="equal">
      <formula>0</formula>
    </cfRule>
  </conditionalFormatting>
  <conditionalFormatting sqref="AA3">
    <cfRule type="expression" dxfId="344" priority="599" stopIfTrue="1">
      <formula>MIN(AB14:AB15)&gt;AA3</formula>
    </cfRule>
  </conditionalFormatting>
  <conditionalFormatting sqref="AF21:AF29 AF617:AF624">
    <cfRule type="cellIs" dxfId="343" priority="644" stopIfTrue="1" operator="equal">
      <formula>0</formula>
    </cfRule>
    <cfRule type="expression" dxfId="342" priority="645" stopIfTrue="1">
      <formula>IF($AA$1="R.G TEMP?",TRUE,FALSE)</formula>
    </cfRule>
  </conditionalFormatting>
  <conditionalFormatting sqref="AF626:AF633 AF30:AF38">
    <cfRule type="cellIs" dxfId="341" priority="595" stopIfTrue="1" operator="equal">
      <formula>0</formula>
    </cfRule>
    <cfRule type="expression" dxfId="340" priority="596" stopIfTrue="1">
      <formula>IF($AA$2="R.G TEMP?",TRUE,FALSE)</formula>
    </cfRule>
  </conditionalFormatting>
  <conditionalFormatting sqref="AF635:AF642 AF39:AF47">
    <cfRule type="cellIs" dxfId="339" priority="593" stopIfTrue="1" operator="equal">
      <formula>0</formula>
    </cfRule>
    <cfRule type="expression" dxfId="338" priority="594" stopIfTrue="1">
      <formula>IF($AA$3="R.G TEMP?",TRUE,FALSE)</formula>
    </cfRule>
  </conditionalFormatting>
  <conditionalFormatting sqref="AB617:AE624 AH617:AH624 Z617:Z624 S617:S624">
    <cfRule type="expression" dxfId="337" priority="592" stopIfTrue="1">
      <formula>IF($I617="",TRUE, FALSE)</formula>
    </cfRule>
  </conditionalFormatting>
  <conditionalFormatting sqref="X617:Y624">
    <cfRule type="expression" dxfId="336" priority="591" stopIfTrue="1">
      <formula>IF($I617="",TRUE, FALSE)</formula>
    </cfRule>
  </conditionalFormatting>
  <conditionalFormatting sqref="W617:W624">
    <cfRule type="expression" dxfId="335" priority="590" stopIfTrue="1">
      <formula>IF($I617="",TRUE, FALSE)</formula>
    </cfRule>
  </conditionalFormatting>
  <conditionalFormatting sqref="AI617:AI624">
    <cfRule type="cellIs" dxfId="334" priority="588" stopIfTrue="1" operator="equal">
      <formula>0</formula>
    </cfRule>
    <cfRule type="expression" dxfId="333" priority="589" stopIfTrue="1">
      <formula>IF($I617="",TRUE, FALSE)</formula>
    </cfRule>
  </conditionalFormatting>
  <conditionalFormatting sqref="Z626:Z633 S626:S633 AB626:AE633 AH626:AH633">
    <cfRule type="expression" dxfId="332" priority="587" stopIfTrue="1">
      <formula>IF($I626="",TRUE, FALSE)</formula>
    </cfRule>
  </conditionalFormatting>
  <conditionalFormatting sqref="X626:Y633">
    <cfRule type="expression" dxfId="331" priority="586" stopIfTrue="1">
      <formula>IF($I626="",TRUE, FALSE)</formula>
    </cfRule>
  </conditionalFormatting>
  <conditionalFormatting sqref="W626:W633">
    <cfRule type="expression" dxfId="330" priority="585" stopIfTrue="1">
      <formula>IF($I626="",TRUE, FALSE)</formula>
    </cfRule>
  </conditionalFormatting>
  <conditionalFormatting sqref="AI626:AI633">
    <cfRule type="cellIs" dxfId="329" priority="583" stopIfTrue="1" operator="equal">
      <formula>0</formula>
    </cfRule>
    <cfRule type="expression" dxfId="328" priority="584" stopIfTrue="1">
      <formula>IF($I626="",TRUE, FALSE)</formula>
    </cfRule>
  </conditionalFormatting>
  <conditionalFormatting sqref="Z635:Z642 S635:S642 AB635:AE642 AH635:AH642">
    <cfRule type="expression" dxfId="327" priority="582" stopIfTrue="1">
      <formula>IF($I635="",TRUE, FALSE)</formula>
    </cfRule>
  </conditionalFormatting>
  <conditionalFormatting sqref="X635:Y642">
    <cfRule type="expression" dxfId="326" priority="581" stopIfTrue="1">
      <formula>IF($I635="",TRUE, FALSE)</formula>
    </cfRule>
  </conditionalFormatting>
  <conditionalFormatting sqref="W635:W642">
    <cfRule type="expression" dxfId="325" priority="580" stopIfTrue="1">
      <formula>IF($I635="",TRUE, FALSE)</formula>
    </cfRule>
  </conditionalFormatting>
  <conditionalFormatting sqref="AI635:AI642">
    <cfRule type="cellIs" dxfId="324" priority="578" stopIfTrue="1" operator="equal">
      <formula>0</formula>
    </cfRule>
    <cfRule type="expression" dxfId="323" priority="579" stopIfTrue="1">
      <formula>IF($I635="",TRUE, FALSE)</formula>
    </cfRule>
  </conditionalFormatting>
  <conditionalFormatting sqref="O3">
    <cfRule type="expression" dxfId="322" priority="577" stopIfTrue="1">
      <formula>ISNUMBER($O$3)</formula>
    </cfRule>
  </conditionalFormatting>
  <conditionalFormatting sqref="AA2">
    <cfRule type="expression" dxfId="321" priority="646" stopIfTrue="1">
      <formula>MIN(AB11:AB12)&gt;AA2</formula>
    </cfRule>
  </conditionalFormatting>
  <conditionalFormatting sqref="S50">
    <cfRule type="expression" dxfId="320" priority="576" stopIfTrue="1">
      <formula>IF($I50="",TRUE, FALSE)</formula>
    </cfRule>
  </conditionalFormatting>
  <conditionalFormatting sqref="W50">
    <cfRule type="expression" dxfId="319" priority="575" stopIfTrue="1">
      <formula>IF($I50="",TRUE, FALSE)</formula>
    </cfRule>
  </conditionalFormatting>
  <conditionalFormatting sqref="S50">
    <cfRule type="expression" dxfId="318" priority="574" stopIfTrue="1">
      <formula>IF($I50="",TRUE, FALSE)</formula>
    </cfRule>
  </conditionalFormatting>
  <conditionalFormatting sqref="W50">
    <cfRule type="expression" dxfId="317" priority="573" stopIfTrue="1">
      <formula>IF($I50="",TRUE, FALSE)</formula>
    </cfRule>
  </conditionalFormatting>
  <conditionalFormatting sqref="S51">
    <cfRule type="expression" dxfId="316" priority="572" stopIfTrue="1">
      <formula>IF($I51="",TRUE, FALSE)</formula>
    </cfRule>
  </conditionalFormatting>
  <conditionalFormatting sqref="W51">
    <cfRule type="expression" dxfId="315" priority="571" stopIfTrue="1">
      <formula>IF($I51="",TRUE, FALSE)</formula>
    </cfRule>
  </conditionalFormatting>
  <conditionalFormatting sqref="S51">
    <cfRule type="expression" dxfId="314" priority="570" stopIfTrue="1">
      <formula>IF($I51="",TRUE, FALSE)</formula>
    </cfRule>
  </conditionalFormatting>
  <conditionalFormatting sqref="W51">
    <cfRule type="expression" dxfId="313" priority="569" stopIfTrue="1">
      <formula>IF($I51="",TRUE, FALSE)</formula>
    </cfRule>
  </conditionalFormatting>
  <conditionalFormatting sqref="L11">
    <cfRule type="cellIs" dxfId="312" priority="547" stopIfTrue="1" operator="equal">
      <formula>0</formula>
    </cfRule>
    <cfRule type="expression" dxfId="311" priority="548" stopIfTrue="1">
      <formula>IF($CB10="DNE",TRUE,FALSE)</formula>
    </cfRule>
  </conditionalFormatting>
  <conditionalFormatting sqref="M11">
    <cfRule type="cellIs" dxfId="310" priority="549" stopIfTrue="1" operator="equal">
      <formula>0</formula>
    </cfRule>
    <cfRule type="expression" dxfId="309" priority="550" stopIfTrue="1">
      <formula>IF($CC10="DNE",TRUE,FALSE)</formula>
    </cfRule>
  </conditionalFormatting>
  <conditionalFormatting sqref="K11">
    <cfRule type="cellIs" dxfId="308" priority="551" stopIfTrue="1" operator="equal">
      <formula>0</formula>
    </cfRule>
    <cfRule type="expression" dxfId="307" priority="552" stopIfTrue="1">
      <formula>IF($CA10="DNE",TRUE,FALSE)</formula>
    </cfRule>
  </conditionalFormatting>
  <conditionalFormatting sqref="N11">
    <cfRule type="cellIs" dxfId="306" priority="553" stopIfTrue="1" operator="equal">
      <formula>0</formula>
    </cfRule>
    <cfRule type="expression" dxfId="305" priority="554" stopIfTrue="1">
      <formula>IF($CD10="DNE",TRUE,FALSE)</formula>
    </cfRule>
  </conditionalFormatting>
  <conditionalFormatting sqref="AN11">
    <cfRule type="cellIs" dxfId="304" priority="555" stopIfTrue="1" operator="equal">
      <formula>"0"</formula>
    </cfRule>
  </conditionalFormatting>
  <conditionalFormatting sqref="L14">
    <cfRule type="cellIs" dxfId="303" priority="538" stopIfTrue="1" operator="equal">
      <formula>0</formula>
    </cfRule>
    <cfRule type="expression" dxfId="302" priority="539" stopIfTrue="1">
      <formula>IF($CB13="DNE",TRUE,FALSE)</formula>
    </cfRule>
  </conditionalFormatting>
  <conditionalFormatting sqref="M14">
    <cfRule type="cellIs" dxfId="301" priority="540" stopIfTrue="1" operator="equal">
      <formula>0</formula>
    </cfRule>
    <cfRule type="expression" dxfId="300" priority="541" stopIfTrue="1">
      <formula>IF($CC13="DNE",TRUE,FALSE)</formula>
    </cfRule>
  </conditionalFormatting>
  <conditionalFormatting sqref="K14">
    <cfRule type="cellIs" dxfId="299" priority="542" stopIfTrue="1" operator="equal">
      <formula>0</formula>
    </cfRule>
    <cfRule type="expression" dxfId="298" priority="543" stopIfTrue="1">
      <formula>IF($CA13="DNE",TRUE,FALSE)</formula>
    </cfRule>
  </conditionalFormatting>
  <conditionalFormatting sqref="N14">
    <cfRule type="cellIs" dxfId="297" priority="544" stopIfTrue="1" operator="equal">
      <formula>0</formula>
    </cfRule>
    <cfRule type="expression" dxfId="296" priority="545" stopIfTrue="1">
      <formula>IF($CD13="DNE",TRUE,FALSE)</formula>
    </cfRule>
  </conditionalFormatting>
  <conditionalFormatting sqref="AN14">
    <cfRule type="cellIs" dxfId="295" priority="546" stopIfTrue="1" operator="equal">
      <formula>"0"</formula>
    </cfRule>
  </conditionalFormatting>
  <conditionalFormatting sqref="Z30:Z37 S30:S37 AB30:AE37 AH30:AH37">
    <cfRule type="expression" dxfId="294" priority="537" stopIfTrue="1">
      <formula>IF($I30="",TRUE, FALSE)</formula>
    </cfRule>
  </conditionalFormatting>
  <conditionalFormatting sqref="X30:Y37">
    <cfRule type="expression" dxfId="293" priority="536" stopIfTrue="1">
      <formula>IF($I30="",TRUE, FALSE)</formula>
    </cfRule>
  </conditionalFormatting>
  <conditionalFormatting sqref="W30:W37">
    <cfRule type="expression" dxfId="292" priority="535" stopIfTrue="1">
      <formula>IF($I30="",TRUE, FALSE)</formula>
    </cfRule>
  </conditionalFormatting>
  <conditionalFormatting sqref="AI30:AI37">
    <cfRule type="cellIs" dxfId="291" priority="533" stopIfTrue="1" operator="equal">
      <formula>0</formula>
    </cfRule>
    <cfRule type="expression" dxfId="290" priority="534" stopIfTrue="1">
      <formula>IF($I30="",TRUE, FALSE)</formula>
    </cfRule>
  </conditionalFormatting>
  <conditionalFormatting sqref="Z30:Z37 S30:S37 AB30:AE37 AH30:AH37">
    <cfRule type="expression" dxfId="289" priority="532" stopIfTrue="1">
      <formula>IF($I30="",TRUE, FALSE)</formula>
    </cfRule>
  </conditionalFormatting>
  <conditionalFormatting sqref="X30:Y37">
    <cfRule type="expression" dxfId="288" priority="531" stopIfTrue="1">
      <formula>IF($I30="",TRUE, FALSE)</formula>
    </cfRule>
  </conditionalFormatting>
  <conditionalFormatting sqref="W30:W37">
    <cfRule type="expression" dxfId="287" priority="530" stopIfTrue="1">
      <formula>IF($I30="",TRUE, FALSE)</formula>
    </cfRule>
  </conditionalFormatting>
  <conditionalFormatting sqref="AI30:AI37">
    <cfRule type="cellIs" dxfId="286" priority="528" stopIfTrue="1" operator="equal">
      <formula>0</formula>
    </cfRule>
    <cfRule type="expression" dxfId="285" priority="529" stopIfTrue="1">
      <formula>IF($I30="",TRUE, FALSE)</formula>
    </cfRule>
  </conditionalFormatting>
  <conditionalFormatting sqref="Z39:Z46 S39:S46 AB39:AE46 AH39:AH46">
    <cfRule type="expression" dxfId="284" priority="527" stopIfTrue="1">
      <formula>IF($I39="",TRUE, FALSE)</formula>
    </cfRule>
  </conditionalFormatting>
  <conditionalFormatting sqref="X39:Y46">
    <cfRule type="expression" dxfId="283" priority="526" stopIfTrue="1">
      <formula>IF($I39="",TRUE, FALSE)</formula>
    </cfRule>
  </conditionalFormatting>
  <conditionalFormatting sqref="W39:W46">
    <cfRule type="expression" dxfId="282" priority="525" stopIfTrue="1">
      <formula>IF($I39="",TRUE, FALSE)</formula>
    </cfRule>
  </conditionalFormatting>
  <conditionalFormatting sqref="AI39:AI46">
    <cfRule type="cellIs" dxfId="281" priority="523" stopIfTrue="1" operator="equal">
      <formula>0</formula>
    </cfRule>
    <cfRule type="expression" dxfId="280" priority="524" stopIfTrue="1">
      <formula>IF($I39="",TRUE, FALSE)</formula>
    </cfRule>
  </conditionalFormatting>
  <conditionalFormatting sqref="Z39:Z46 S39:S46 AB39:AE46 AH39:AH46">
    <cfRule type="expression" dxfId="279" priority="522" stopIfTrue="1">
      <formula>IF($I39="",TRUE, FALSE)</formula>
    </cfRule>
  </conditionalFormatting>
  <conditionalFormatting sqref="X39:Y46">
    <cfRule type="expression" dxfId="278" priority="521" stopIfTrue="1">
      <formula>IF($I39="",TRUE, FALSE)</formula>
    </cfRule>
  </conditionalFormatting>
  <conditionalFormatting sqref="W39:W46">
    <cfRule type="expression" dxfId="277" priority="520" stopIfTrue="1">
      <formula>IF($I39="",TRUE, FALSE)</formula>
    </cfRule>
  </conditionalFormatting>
  <conditionalFormatting sqref="AI39:AI46">
    <cfRule type="cellIs" dxfId="276" priority="518" stopIfTrue="1" operator="equal">
      <formula>0</formula>
    </cfRule>
    <cfRule type="expression" dxfId="275" priority="519" stopIfTrue="1">
      <formula>IF($I39="",TRUE, FALSE)</formula>
    </cfRule>
  </conditionalFormatting>
  <conditionalFormatting sqref="AA4">
    <cfRule type="expression" dxfId="274" priority="84">
      <formula>LEFT($U$1,1)="c"</formula>
    </cfRule>
  </conditionalFormatting>
  <conditionalFormatting sqref="AA1">
    <cfRule type="expression" dxfId="273" priority="57860" stopIfTrue="1">
      <formula>MIN(AB8:AB9)&gt;AA1</formula>
    </cfRule>
  </conditionalFormatting>
  <conditionalFormatting sqref="L8">
    <cfRule type="cellIs" dxfId="272" priority="1" stopIfTrue="1" operator="equal">
      <formula>0</formula>
    </cfRule>
    <cfRule type="expression" dxfId="271" priority="2" stopIfTrue="1">
      <formula>IF($CB7="DNE",TRUE,FALSE)</formula>
    </cfRule>
  </conditionalFormatting>
  <conditionalFormatting sqref="M8">
    <cfRule type="cellIs" dxfId="270" priority="3" stopIfTrue="1" operator="equal">
      <formula>0</formula>
    </cfRule>
    <cfRule type="expression" dxfId="269" priority="4" stopIfTrue="1">
      <formula>IF($CC7="DNE",TRUE,FALSE)</formula>
    </cfRule>
  </conditionalFormatting>
  <conditionalFormatting sqref="K8">
    <cfRule type="cellIs" dxfId="268" priority="5" stopIfTrue="1" operator="equal">
      <formula>0</formula>
    </cfRule>
    <cfRule type="expression" dxfId="267" priority="6" stopIfTrue="1">
      <formula>IF($CA7="DNE",TRUE,FALSE)</formula>
    </cfRule>
  </conditionalFormatting>
  <conditionalFormatting sqref="N8">
    <cfRule type="cellIs" dxfId="266" priority="7" stopIfTrue="1" operator="equal">
      <formula>0</formula>
    </cfRule>
    <cfRule type="expression" dxfId="265" priority="8" stopIfTrue="1">
      <formula>IF($CD7="DNE",TRUE,FALSE)</formula>
    </cfRule>
  </conditionalFormatting>
  <conditionalFormatting sqref="AN8">
    <cfRule type="cellIs" dxfId="264" priority="9" stopIfTrue="1" operator="equal">
      <formula>"0"</formula>
    </cfRule>
  </conditionalFormatting>
  <dataValidations count="26">
    <dataValidation type="list" allowBlank="1" showInputMessage="1" showErrorMessage="1" sqref="AT3" xr:uid="{5838805C-3988-41A6-A1DE-71A1B17FD5C1}">
      <formula1>$AZ$177:$AZ$182</formula1>
    </dataValidation>
    <dataValidation type="list" allowBlank="1" showInputMessage="1" showErrorMessage="1" sqref="U4" xr:uid="{B55B2DB4-BA9D-4045-A48D-2E7DDF8F69D5}">
      <formula1>$BB$325:$BB$330</formula1>
    </dataValidation>
    <dataValidation type="list" allowBlank="1" showInputMessage="1" showErrorMessage="1" sqref="BA226" xr:uid="{8AC09C4C-CE97-4855-AF3F-388E9C71DFB0}">
      <formula1>$AZ$216:$AZ$224</formula1>
    </dataValidation>
    <dataValidation type="list" allowBlank="1" showInputMessage="1" showErrorMessage="1" sqref="U578" xr:uid="{DE5FC412-4EB0-4246-9BD2-BC364526289C}">
      <formula1>$S$576:$S$579</formula1>
    </dataValidation>
    <dataValidation type="list" allowBlank="1" showInputMessage="1" showErrorMessage="1" sqref="W574" xr:uid="{A7CE8321-A52F-470D-8877-02F0E17EA168}">
      <formula1>$S$577:$S$579</formula1>
    </dataValidation>
    <dataValidation type="list" allowBlank="1" showInputMessage="1" showErrorMessage="1" sqref="AC1" xr:uid="{DF7BEFAA-4972-4142-94D6-BAF2B2BF2AB4}">
      <formula1>$BD$197:$BD$201</formula1>
    </dataValidation>
    <dataValidation type="list" allowBlank="1" showInputMessage="1" showErrorMessage="1" sqref="U2" xr:uid="{6B133399-F713-41FD-BB0A-FD5215C56AA4}">
      <formula1>$AZ$270:$AZ$273</formula1>
    </dataValidation>
    <dataValidation type="list" allowBlank="1" showInputMessage="1" showErrorMessage="1" sqref="R591" xr:uid="{141819FF-B993-4542-991E-27ACDC789DDB}">
      <formula1>model1_1C</formula1>
    </dataValidation>
    <dataValidation type="list" allowBlank="1" showInputMessage="1" showErrorMessage="1" sqref="W593" xr:uid="{8BDC7C4C-F711-428C-BBC8-77299512089C}">
      <formula1>evapdx_1C</formula1>
    </dataValidation>
    <dataValidation type="list" allowBlank="1" showInputMessage="1" showErrorMessage="1" sqref="X21:Y28 X39:Y46 X635:Y642 X626:Y633 X617:Y624 X30:Y37" xr:uid="{D37F3E17-299A-445C-9B4A-E9337F91B0E9}">
      <formula1>$BB$281:$BB$287</formula1>
    </dataValidation>
    <dataValidation type="list" allowBlank="1" showInputMessage="1" showErrorMessage="1" sqref="AH591 AH595 AH607 AH597 AH599 AH593" xr:uid="{BD7607EC-BCA6-48A6-86E7-7BF543F494DB}">
      <formula1>$AZ$275:$AZ$280</formula1>
    </dataValidation>
    <dataValidation type="list" allowBlank="1" showInputMessage="1" showErrorMessage="1" sqref="F603 F8 F614 F589 F591 F595 F597 F599 F601 F605 F612 F11 F14" xr:uid="{830CC3E3-A20F-4CE4-A786-9FC815FE9E97}">
      <formula1>$BD$207:$BD$212</formula1>
    </dataValidation>
    <dataValidation type="custom" allowBlank="1" showInputMessage="1" showErrorMessage="1" errorTitle="INVALID ACTION" error="You can not change the content of this cell." sqref="A605" xr:uid="{24A213E6-5AA6-403F-9DD5-ABE5F134E1E5}">
      <formula1>IF(A605&lt;&gt;"-",TRUE,FALSE)</formula1>
    </dataValidation>
    <dataValidation type="list" allowBlank="1" showInputMessage="1" showErrorMessage="1" sqref="F593" xr:uid="{8BBBD874-A8CF-4B18-B175-C1FB4D16A883}">
      <formula1>$BD$207:$BD$213</formula1>
    </dataValidation>
    <dataValidation type="whole" operator="greaterThanOrEqual" allowBlank="1" showInputMessage="1" showErrorMessage="1" errorTitle="INVALID ENTRY" error="CASE QUANTITY HAS TO BE A WHOLE NUMBER GREATER THAN, OR EQUAL TO ZERO (0)." sqref="K597:N597 K612:N612 K614:N614 K603:N603 K605:N605 K591:N591 K593:N593 K595:N595 K599:N599 K601:N601 K589:N589 K11:N11 K14:N14 K8:N8" xr:uid="{D5320A84-2C26-4DFF-8D52-A0A16F2F94CA}">
      <formula1>0</formula1>
    </dataValidation>
    <dataValidation type="list" allowBlank="1" showInputMessage="1" showErrorMessage="1" sqref="AK591:AL591 AK595:AL595 AK597:AL597 AK599:AL599 AK593:AL593" xr:uid="{CEE6C07E-C214-4BAD-9E15-003BD9BBF1E2}">
      <formula1>$BB$268:$BB$272</formula1>
    </dataValidation>
    <dataValidation type="list" allowBlank="1" showInputMessage="1" showErrorMessage="1" sqref="AN591 AN597 AN599 AN595 AN593" xr:uid="{2E4C67BC-350A-4A8A-9FEB-7B731B11F361}">
      <formula1>$AZ$290:$AZ$293</formula1>
    </dataValidation>
    <dataValidation type="list" allowBlank="1" showInputMessage="1" showErrorMessage="1" sqref="AI591 AI597 AI599 AI595 AI593" xr:uid="{B7F93BE7-1F9E-4662-BE7A-35CE5027B920}">
      <formula1>$AZ$281:$AZ$285</formula1>
    </dataValidation>
    <dataValidation type="list" allowBlank="1" showInputMessage="1" showErrorMessage="1" sqref="X593" xr:uid="{13330818-F63F-4C04-A4A1-F777876EB4BF}">
      <formula1>$DW593:$DY593</formula1>
    </dataValidation>
    <dataValidation type="list" allowBlank="1" showInputMessage="1" showErrorMessage="1" sqref="R2:S2" xr:uid="{020C0E74-07E6-47DB-9922-4B99C4CEF66C}">
      <formula1>$AZ$216:$AZ$226</formula1>
    </dataValidation>
    <dataValidation type="list" allowBlank="1" showInputMessage="1" showErrorMessage="1" sqref="BA348" xr:uid="{BC3848BE-3072-41CE-AB38-AD5EFF023906}">
      <formula1>$BA$346:$BC$346</formula1>
    </dataValidation>
    <dataValidation type="list" allowBlank="1" showInputMessage="1" showErrorMessage="1" sqref="U1" xr:uid="{38A549DE-8565-4B0B-8E8C-F4F7765F7A99}">
      <formula1>$BB$239:$BB$245</formula1>
    </dataValidation>
    <dataValidation type="list" allowBlank="1" showInputMessage="1" showErrorMessage="1" sqref="Y3" xr:uid="{628F4C2C-BF32-447D-8818-E3CDD34CD916}">
      <formula1>"GROUND, ROOF"</formula1>
    </dataValidation>
    <dataValidation type="list" allowBlank="1" showInputMessage="1" showErrorMessage="1" sqref="W1" xr:uid="{645C4DC1-8177-4B4E-9414-56E524307145}">
      <formula1>"SG1, SG2"</formula1>
    </dataValidation>
    <dataValidation type="list" allowBlank="1" showInputMessage="1" showErrorMessage="1" sqref="W3" xr:uid="{C0A55BF2-4FE8-419E-8F48-77D53A23E4E9}">
      <formula1>"YES, NO"</formula1>
    </dataValidation>
    <dataValidation type="list" allowBlank="1" showInputMessage="1" showErrorMessage="1" sqref="T595:U595 T597:U597 T591:U591 T607:U607 T599:U599" xr:uid="{456010B6-49FB-4987-AC4E-3B78DC89A539}">
      <formula1>$BD$218:$BD$340</formula1>
    </dataValidation>
  </dataValidations>
  <printOptions horizontalCentered="1" verticalCentered="1"/>
  <pageMargins left="0.5" right="0.5" top="0.45" bottom="0.45" header="0.5" footer="0.5"/>
  <pageSetup paperSize="3" scale="10" orientation="landscape" horizontalDpi="300" verticalDpi="300" r:id="rId1"/>
  <headerFooter alignWithMargins="0"/>
  <colBreaks count="1" manualBreakCount="1">
    <brk id="46" max="60" man="1"/>
  </colBreaks>
  <drawing r:id="rId2"/>
  <legacyDrawing r:id="rId3"/>
  <controls>
    <mc:AlternateContent xmlns:mc="http://schemas.openxmlformats.org/markup-compatibility/2006">
      <mc:Choice Requires="x14">
        <control shapeId="6351873" r:id="rId4" name="CommandButton1">
          <controlPr defaultSize="0" print="0" autoLine="0" r:id="rId5">
            <anchor moveWithCells="1">
              <from>
                <xdr:col>0</xdr:col>
                <xdr:colOff>171450</xdr:colOff>
                <xdr:row>2</xdr:row>
                <xdr:rowOff>38100</xdr:rowOff>
              </from>
              <to>
                <xdr:col>2</xdr:col>
                <xdr:colOff>228600</xdr:colOff>
                <xdr:row>2</xdr:row>
                <xdr:rowOff>285750</xdr:rowOff>
              </to>
            </anchor>
          </controlPr>
        </control>
      </mc:Choice>
      <mc:Fallback>
        <control shapeId="6351873" r:id="rId4" name="CommandButton1"/>
      </mc:Fallback>
    </mc:AlternateContent>
    <mc:AlternateContent xmlns:mc="http://schemas.openxmlformats.org/markup-compatibility/2006">
      <mc:Choice Requires="x14">
        <control shapeId="6351876" r:id="rId6" name="CommandButton4">
          <controlPr defaultSize="0" print="0" autoLine="0" r:id="rId7">
            <anchor moveWithCells="1">
              <from>
                <xdr:col>0</xdr:col>
                <xdr:colOff>171450</xdr:colOff>
                <xdr:row>3</xdr:row>
                <xdr:rowOff>47625</xdr:rowOff>
              </from>
              <to>
                <xdr:col>2</xdr:col>
                <xdr:colOff>228600</xdr:colOff>
                <xdr:row>3</xdr:row>
                <xdr:rowOff>295275</xdr:rowOff>
              </to>
            </anchor>
          </controlPr>
        </control>
      </mc:Choice>
      <mc:Fallback>
        <control shapeId="6351876" r:id="rId6" name="CommandButton4"/>
      </mc:Fallback>
    </mc:AlternateContent>
    <mc:AlternateContent xmlns:mc="http://schemas.openxmlformats.org/markup-compatibility/2006">
      <mc:Choice Requires="x14">
        <control shapeId="6351880" r:id="rId8" name="BulkAdd">
          <controlPr defaultSize="0" print="0" autoLine="0" r:id="rId9">
            <anchor moveWithCells="1">
              <from>
                <xdr:col>0</xdr:col>
                <xdr:colOff>180975</xdr:colOff>
                <xdr:row>1</xdr:row>
                <xdr:rowOff>28575</xdr:rowOff>
              </from>
              <to>
                <xdr:col>2</xdr:col>
                <xdr:colOff>209550</xdr:colOff>
                <xdr:row>1</xdr:row>
                <xdr:rowOff>400050</xdr:rowOff>
              </to>
            </anchor>
          </controlPr>
        </control>
      </mc:Choice>
      <mc:Fallback>
        <control shapeId="6351880" r:id="rId8" name="BulkAdd"/>
      </mc:Fallback>
    </mc:AlternateContent>
  </controls>
  <tableParts count="2">
    <tablePart r:id="rId10"/>
    <tablePart r:id="rId11"/>
  </tablePart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2D01A-6C3A-4321-A9A3-7F3BC7591723}">
  <sheetPr codeName="Sheet36">
    <tabColor rgb="FF99CCFF"/>
    <pageSetUpPr fitToPage="1"/>
  </sheetPr>
  <dimension ref="A1:FG197"/>
  <sheetViews>
    <sheetView showGridLines="0" zoomScale="80" zoomScaleNormal="80" workbookViewId="0">
      <pane xSplit="7" topLeftCell="H1" activePane="topRight" state="frozen"/>
      <selection activeCell="H5" sqref="H5"/>
      <selection pane="topRight" activeCell="S4" sqref="S4"/>
    </sheetView>
  </sheetViews>
  <sheetFormatPr defaultRowHeight="12.75" x14ac:dyDescent="0.2"/>
  <cols>
    <col min="1" max="1" width="1.28515625" style="25" customWidth="1"/>
    <col min="2" max="2" width="19.42578125" style="25" customWidth="1"/>
    <col min="3" max="3" width="3" style="25" bestFit="1" customWidth="1"/>
    <col min="4" max="4" width="11.28515625" style="25" customWidth="1"/>
    <col min="5" max="5" width="11.7109375" style="25" customWidth="1"/>
    <col min="6" max="6" width="10.42578125" style="25" bestFit="1" customWidth="1"/>
    <col min="7" max="7" width="7.7109375" style="25" customWidth="1"/>
    <col min="8" max="8" width="13.140625" style="25" bestFit="1" customWidth="1"/>
    <col min="9" max="9" width="11.7109375" style="25" customWidth="1"/>
    <col min="10" max="11" width="11.7109375" style="25" hidden="1" customWidth="1"/>
    <col min="12" max="12" width="10" style="25" hidden="1" customWidth="1"/>
    <col min="13" max="15" width="12.42578125" style="25" hidden="1" customWidth="1"/>
    <col min="16" max="16" width="12.42578125" style="431" hidden="1" customWidth="1"/>
    <col min="17" max="17" width="9.42578125" style="25" hidden="1" customWidth="1"/>
    <col min="18" max="18" width="9.42578125" style="25" customWidth="1"/>
    <col min="19" max="19" width="11.7109375" style="25" customWidth="1"/>
    <col min="20" max="20" width="12" style="25" customWidth="1"/>
    <col min="21" max="21" width="9.28515625" style="25" bestFit="1" customWidth="1"/>
    <col min="22" max="22" width="18.7109375" style="25" bestFit="1" customWidth="1"/>
    <col min="23" max="23" width="10.85546875" style="25" hidden="1" customWidth="1"/>
    <col min="24" max="24" width="11.28515625" style="25" customWidth="1"/>
    <col min="25" max="25" width="11.28515625" style="25" bestFit="1" customWidth="1"/>
    <col min="26" max="26" width="9.5703125" style="25" hidden="1" customWidth="1"/>
    <col min="27" max="27" width="13.28515625" style="25" hidden="1" customWidth="1"/>
    <col min="28" max="28" width="10.7109375" style="25" hidden="1" customWidth="1"/>
    <col min="29" max="31" width="12.42578125" style="25" hidden="1" customWidth="1"/>
    <col min="32" max="32" width="12" style="25" hidden="1" customWidth="1"/>
    <col min="33" max="33" width="10.85546875" style="25" hidden="1" customWidth="1"/>
    <col min="34" max="34" width="9.140625" style="25" hidden="1" customWidth="1"/>
    <col min="35" max="35" width="11.42578125" style="25" hidden="1" customWidth="1"/>
    <col min="36" max="36" width="13.7109375" style="25" hidden="1" customWidth="1"/>
    <col min="37" max="37" width="12.42578125" style="25" hidden="1" customWidth="1"/>
    <col min="38" max="40" width="11.7109375" style="25" hidden="1" customWidth="1"/>
    <col min="41" max="41" width="11.85546875" style="25" hidden="1" customWidth="1"/>
    <col min="42" max="42" width="10.85546875" style="25" hidden="1" customWidth="1"/>
    <col min="43" max="43" width="9.140625" style="25" hidden="1" customWidth="1"/>
    <col min="44" max="44" width="12.28515625" style="25" hidden="1" customWidth="1"/>
    <col min="45" max="45" width="12.140625" style="25" hidden="1" customWidth="1"/>
    <col min="46" max="46" width="13.7109375" style="25" hidden="1" customWidth="1"/>
    <col min="47" max="47" width="10.85546875" style="25" hidden="1" customWidth="1"/>
    <col min="48" max="50" width="9.140625" style="25" hidden="1" customWidth="1"/>
    <col min="51" max="51" width="13.42578125" style="25" customWidth="1"/>
    <col min="52" max="53" width="11.28515625" style="25" customWidth="1"/>
    <col min="54" max="54" width="9.28515625" style="25" hidden="1" customWidth="1"/>
    <col min="55" max="55" width="13.28515625" style="25" hidden="1" customWidth="1"/>
    <col min="56" max="56" width="14.140625" style="25" hidden="1" customWidth="1"/>
    <col min="57" max="57" width="14.28515625" style="25" hidden="1" customWidth="1"/>
    <col min="58" max="58" width="10.42578125" style="25" hidden="1" customWidth="1"/>
    <col min="59" max="59" width="9.5703125" style="25" hidden="1" customWidth="1"/>
    <col min="60" max="60" width="12" style="25" hidden="1" customWidth="1"/>
    <col min="61" max="61" width="11" style="25" hidden="1" customWidth="1"/>
    <col min="62" max="62" width="8.5703125" style="25" hidden="1" customWidth="1"/>
    <col min="63" max="64" width="10.140625" style="25" hidden="1" customWidth="1"/>
    <col min="65" max="65" width="14.5703125" style="25" hidden="1" customWidth="1"/>
    <col min="66" max="66" width="12.42578125" style="25" hidden="1" customWidth="1"/>
    <col min="67" max="67" width="10.28515625" style="25" hidden="1" customWidth="1"/>
    <col min="68" max="68" width="12.85546875" style="25" customWidth="1"/>
    <col min="69" max="69" width="11.28515625" style="25" customWidth="1"/>
    <col min="70" max="70" width="11.28515625" style="25" bestFit="1" customWidth="1"/>
    <col min="71" max="71" width="11.140625" style="25" customWidth="1"/>
    <col min="72" max="72" width="12.42578125" style="25" bestFit="1" customWidth="1"/>
    <col min="73" max="73" width="14.42578125" style="25" customWidth="1"/>
    <col min="74" max="75" width="12.28515625" style="25" customWidth="1"/>
    <col min="76" max="76" width="12" style="213" bestFit="1" customWidth="1"/>
    <col min="77" max="77" width="10.5703125" style="25" customWidth="1"/>
    <col min="78" max="78" width="8.5703125" style="25" customWidth="1"/>
    <col min="79" max="79" width="9.85546875" style="213" hidden="1" customWidth="1"/>
    <col min="80" max="80" width="9.140625" style="25" hidden="1" customWidth="1"/>
    <col min="81" max="81" width="9.140625" style="213" hidden="1" customWidth="1"/>
    <col min="82" max="82" width="12.140625" style="213" customWidth="1"/>
    <col min="83" max="83" width="14.42578125" style="25" customWidth="1"/>
    <col min="84" max="84" width="51" style="25" customWidth="1"/>
    <col min="85" max="85" width="9.140625" style="25"/>
    <col min="86" max="88" width="9.140625" style="213" hidden="1" customWidth="1"/>
    <col min="89" max="89" width="9.140625" style="25" hidden="1" customWidth="1"/>
    <col min="90" max="94" width="9.140625" style="213" hidden="1" customWidth="1"/>
    <col min="95" max="111" width="9.140625" style="25" hidden="1" customWidth="1"/>
    <col min="112" max="113" width="9.140625" style="310" customWidth="1"/>
    <col min="114" max="114" width="15.85546875" style="310" customWidth="1"/>
    <col min="115" max="115" width="9.140625" style="310" customWidth="1"/>
    <col min="116" max="116" width="16.140625" style="310" customWidth="1"/>
    <col min="117" max="117" width="9.140625" style="310" customWidth="1"/>
    <col min="118" max="118" width="15.85546875" style="310" customWidth="1"/>
    <col min="119" max="119" width="9.140625" style="310" customWidth="1"/>
    <col min="120" max="120" width="9.140625" style="304" customWidth="1"/>
    <col min="121" max="121" width="9.140625" style="25" customWidth="1"/>
    <col min="122" max="122" width="12.42578125" style="25" hidden="1" customWidth="1"/>
    <col min="123" max="123" width="9.140625" style="25" hidden="1" customWidth="1"/>
    <col min="124" max="125" width="11.42578125" style="25" hidden="1" customWidth="1"/>
    <col min="126" max="126" width="9.140625" style="25" hidden="1" customWidth="1"/>
    <col min="127" max="127" width="10.42578125" style="25" hidden="1" customWidth="1"/>
    <col min="128" max="155" width="9.140625" style="25" hidden="1" customWidth="1"/>
    <col min="156" max="156" width="13.42578125" style="25" hidden="1" customWidth="1"/>
    <col min="157" max="163" width="9.140625" style="25" hidden="1" customWidth="1"/>
    <col min="164" max="16384" width="9.140625" style="25"/>
  </cols>
  <sheetData>
    <row r="1" spans="1:163" ht="7.5" customHeight="1" thickBot="1" x14ac:dyDescent="0.25">
      <c r="A1" s="25">
        <v>1</v>
      </c>
      <c r="BX1" s="25"/>
      <c r="BY1" s="213"/>
      <c r="DK1" s="440"/>
      <c r="DL1" s="440"/>
      <c r="EB1"/>
      <c r="EC1"/>
      <c r="ED1"/>
      <c r="EE1"/>
      <c r="EF1"/>
      <c r="EG1"/>
      <c r="EH1"/>
      <c r="EI1"/>
      <c r="EJ1"/>
      <c r="EK1"/>
      <c r="EL1"/>
      <c r="EM1"/>
      <c r="EN1"/>
      <c r="EO1"/>
      <c r="EP1"/>
      <c r="EQ1"/>
      <c r="ER1"/>
      <c r="ES1"/>
      <c r="ET1"/>
      <c r="EU1"/>
      <c r="EV1"/>
      <c r="EW1"/>
      <c r="EX1"/>
      <c r="EY1"/>
      <c r="EZ1"/>
    </row>
    <row r="2" spans="1:163" ht="54.75" customHeight="1" x14ac:dyDescent="0.25">
      <c r="A2" s="25">
        <v>1</v>
      </c>
      <c r="B2" s="327" t="str">
        <f>"Refrigerant: " &amp; CHAR(10) &amp; 'Legend(Skid)'!$U$1</f>
        <v xml:space="preserve">Refrigerant: 
</v>
      </c>
      <c r="D2" s="791" t="str">
        <f>IF(LEFT('Legend(Skid)'!$U$1,1)="G","Supply Fluid Temp",IF(LEFT('Legend(Skid)'!$U$1,1)="c","Fluid Temp","Rack SST"))</f>
        <v>Rack SST</v>
      </c>
      <c r="E2" s="791" t="s">
        <v>545</v>
      </c>
      <c r="F2" s="791" t="s">
        <v>556</v>
      </c>
      <c r="G2" s="791" t="s">
        <v>543</v>
      </c>
      <c r="H2" s="791" t="str">
        <f>IF(J4&gt;1,"Fluid Temp","Condensing Temp")</f>
        <v>Fluid Temp</v>
      </c>
      <c r="I2" s="791" t="s">
        <v>798</v>
      </c>
      <c r="J2" s="791" t="s">
        <v>1102</v>
      </c>
      <c r="L2" s="286"/>
      <c r="S2" s="791" t="s">
        <v>1092</v>
      </c>
      <c r="T2" s="791" t="s">
        <v>1093</v>
      </c>
      <c r="V2" s="284"/>
      <c r="W2" s="284"/>
      <c r="Y2" s="791" t="s">
        <v>535</v>
      </c>
      <c r="AB2" s="791" t="s">
        <v>541</v>
      </c>
      <c r="AC2" s="791" t="s">
        <v>540</v>
      </c>
      <c r="AR2" s="791" t="s">
        <v>539</v>
      </c>
      <c r="AS2" s="791" t="s">
        <v>538</v>
      </c>
      <c r="AT2" s="286"/>
      <c r="AU2" s="286"/>
      <c r="AV2" s="286"/>
      <c r="BA2" s="791" t="s">
        <v>535</v>
      </c>
      <c r="BD2" s="791" t="s">
        <v>537</v>
      </c>
      <c r="BE2" s="791" t="s">
        <v>536</v>
      </c>
      <c r="BF2" s="286"/>
      <c r="BN2" s="285"/>
      <c r="BP2" s="285"/>
      <c r="BR2" s="791" t="s">
        <v>535</v>
      </c>
      <c r="BS2" s="791" t="s">
        <v>534</v>
      </c>
      <c r="BT2" s="791" t="s">
        <v>533</v>
      </c>
      <c r="BX2" s="25"/>
      <c r="BY2" s="791" t="s">
        <v>1100</v>
      </c>
      <c r="CH2" s="1292" t="s">
        <v>1170</v>
      </c>
      <c r="CI2" s="1289"/>
      <c r="CJ2" s="1289"/>
      <c r="CK2" s="1290"/>
      <c r="CL2" s="1289"/>
      <c r="CM2" s="1289"/>
      <c r="CN2" s="1289"/>
      <c r="CO2" s="1289"/>
      <c r="CP2" s="1289"/>
      <c r="CQ2" s="1290"/>
      <c r="CR2" s="1290"/>
      <c r="CS2" s="1290"/>
      <c r="CT2" s="1290"/>
      <c r="CU2" s="1290"/>
      <c r="CV2" s="1290"/>
      <c r="CW2" s="1290"/>
      <c r="CX2" s="1290"/>
      <c r="CY2" s="1290"/>
      <c r="CZ2" s="1290"/>
      <c r="DA2" s="1290"/>
      <c r="DB2" s="1290"/>
      <c r="DC2" s="1290"/>
      <c r="DD2" s="1290"/>
      <c r="DE2" s="1290"/>
      <c r="DF2" s="1290"/>
      <c r="DG2" s="1290"/>
      <c r="DK2" s="440"/>
      <c r="DL2" s="440"/>
      <c r="DR2" s="1293" t="s">
        <v>799</v>
      </c>
      <c r="DS2" s="1289"/>
      <c r="DT2" s="1293" t="s">
        <v>800</v>
      </c>
      <c r="DU2" s="1293"/>
      <c r="DV2" s="1293" t="s">
        <v>801</v>
      </c>
      <c r="DW2" s="1293" t="s">
        <v>802</v>
      </c>
      <c r="DX2" s="1293" t="s">
        <v>803</v>
      </c>
      <c r="DY2" s="1294"/>
      <c r="DZ2" s="1291" t="s">
        <v>1170</v>
      </c>
      <c r="EA2" s="1289"/>
      <c r="EB2" s="1290"/>
      <c r="EC2" s="1290"/>
      <c r="ED2" s="1290"/>
      <c r="EE2" s="1290"/>
      <c r="EF2" s="1290"/>
      <c r="EG2" s="1290"/>
      <c r="EH2" s="1290"/>
      <c r="EI2" s="1290"/>
      <c r="EJ2" s="1290"/>
      <c r="EK2" s="1290"/>
      <c r="EL2" s="1290"/>
      <c r="EM2" s="1290"/>
      <c r="EN2" s="1290"/>
      <c r="EO2" s="1290"/>
      <c r="EP2" s="1290"/>
      <c r="EQ2" s="1290"/>
      <c r="ER2" s="1290"/>
      <c r="ES2" s="1290"/>
      <c r="ET2" s="1290"/>
      <c r="EU2" s="1290"/>
      <c r="EV2" s="1290"/>
      <c r="EW2" s="1290"/>
      <c r="EX2" s="1290"/>
      <c r="EY2" s="1290"/>
      <c r="EZ2" s="1290"/>
      <c r="FA2" s="1290"/>
      <c r="FB2" s="1290"/>
      <c r="FC2" s="1290"/>
      <c r="FD2" s="1290"/>
      <c r="FE2" s="1290"/>
      <c r="FF2" s="1290"/>
      <c r="FG2" s="1290"/>
    </row>
    <row r="3" spans="1:163" ht="13.5" thickBot="1" x14ac:dyDescent="0.25">
      <c r="A3" s="25">
        <v>1</v>
      </c>
      <c r="B3" s="790" t="str">
        <f>IF(($C$6)&gt;0,"LineSize Calculations Off",VLOOKUP('Legend(Skid)'!$U$1,Refrigerant,2,FALSE))</f>
        <v>LineSize Calculations Off</v>
      </c>
      <c r="C3" s="433">
        <f>IF(LEFT('Legend(Skid)'!$U$1,6)="Glycol",1,0)</f>
        <v>0</v>
      </c>
      <c r="D3" s="792" t="s">
        <v>459</v>
      </c>
      <c r="E3" s="792" t="s">
        <v>460</v>
      </c>
      <c r="F3" s="792" t="s">
        <v>459</v>
      </c>
      <c r="G3" s="792" t="s">
        <v>459</v>
      </c>
      <c r="H3" s="792" t="s">
        <v>459</v>
      </c>
      <c r="I3" s="792" t="s">
        <v>460</v>
      </c>
      <c r="J3" s="792"/>
      <c r="L3" s="277"/>
      <c r="S3" s="792" t="s">
        <v>459</v>
      </c>
      <c r="T3" s="792" t="s">
        <v>1094</v>
      </c>
      <c r="V3" s="284"/>
      <c r="W3" s="284"/>
      <c r="Y3" s="794"/>
      <c r="AB3" s="794" t="s">
        <v>457</v>
      </c>
      <c r="AC3" s="794" t="s">
        <v>457</v>
      </c>
      <c r="AR3" s="794" t="s">
        <v>457</v>
      </c>
      <c r="AS3" s="794" t="s">
        <v>457</v>
      </c>
      <c r="AT3" s="283"/>
      <c r="AU3" s="283"/>
      <c r="AV3" s="283"/>
      <c r="BA3" s="794"/>
      <c r="BD3" s="794" t="s">
        <v>457</v>
      </c>
      <c r="BE3" s="794" t="s">
        <v>457</v>
      </c>
      <c r="BF3" s="283"/>
      <c r="BN3" s="282"/>
      <c r="BP3" s="282"/>
      <c r="BR3" s="794"/>
      <c r="BS3" s="794" t="str">
        <f>IF($C$3&gt;0,"[fps]","[fpm]")</f>
        <v>[fpm]</v>
      </c>
      <c r="BT3" s="794" t="s">
        <v>532</v>
      </c>
      <c r="BX3" s="25"/>
      <c r="BY3" s="794"/>
      <c r="DK3" s="440"/>
      <c r="DL3" s="440"/>
      <c r="DR3" s="213"/>
      <c r="DS3" s="213"/>
      <c r="DT3" s="277"/>
      <c r="DU3" s="277"/>
      <c r="DV3" s="277"/>
      <c r="DW3" s="277"/>
      <c r="DX3" s="213"/>
      <c r="DY3" s="213"/>
      <c r="DZ3" s="213"/>
      <c r="EA3" s="213"/>
    </row>
    <row r="4" spans="1:163" ht="20.25" customHeight="1" thickBot="1" x14ac:dyDescent="0.25">
      <c r="A4" s="25">
        <v>1</v>
      </c>
      <c r="C4" s="433" t="str">
        <f>LEFT('Legend(Skid)'!$U$1,9)</f>
        <v/>
      </c>
      <c r="D4" s="281" t="str">
        <f>IF(($C$6)&gt;0,"",IF($C$3&gt;0,MIN('Legend(Skid)'!AB8:AB9),LegendSG1RSST_Skid))</f>
        <v/>
      </c>
      <c r="E4" s="280" t="str">
        <f>IF(($C$6)&gt;0,"",Pressure((B3),"TVAP","E",D4+0.5*DX4))</f>
        <v/>
      </c>
      <c r="F4" s="279" t="str">
        <f>IF(($C$6)&gt;0,"",IF(J4&gt;1,-1,-1*(MIN(LegendSG1EVT_Skid)-D4)))</f>
        <v/>
      </c>
      <c r="G4" s="278" t="str">
        <f>IF(($C$6)&gt;0,"",IF(LEFT('Legend(Skid)'!$U$1,1)="c",D4,IF(LegendSG1LT_Skid="",H4,LegendSG1LT_Skid)))</f>
        <v/>
      </c>
      <c r="H4" s="278" t="str">
        <f>IF(($C$6)&gt;0,"",IF(LEFT('Legend(Skid)'!$U$1,1)="c",D4,IF(LegendSG1CT_Skid="","",LegendSG1CT_Skid)))</f>
        <v/>
      </c>
      <c r="I4" s="278" t="str">
        <f>IF(($C$6)&gt;0,"",(Pressure($B$3,"tliq","e",$H$4)+Pressure($B$3,"tvap","e",$H$4))/2)</f>
        <v/>
      </c>
      <c r="J4" s="278" t="str">
        <f>IF(($C$6)&gt;0,"",IF(LEFT('Legend(Skid)'!$U$1,1)="C",MAX(LegendSG1SCR_Skid),1))</f>
        <v/>
      </c>
      <c r="L4" s="277"/>
      <c r="S4" s="1226"/>
      <c r="T4" s="1226"/>
      <c r="Y4" s="273">
        <v>1.3</v>
      </c>
      <c r="AB4" s="1445" t="str">
        <f>IF(($J$4)&gt;1,"",1200)</f>
        <v/>
      </c>
      <c r="AC4" s="272">
        <f>IF(($J$4)&gt;1,800,2000)</f>
        <v>800</v>
      </c>
      <c r="AR4" s="1445">
        <v>1200</v>
      </c>
      <c r="AS4" s="272">
        <f>IF(($J$4)&gt;1,800,2000)</f>
        <v>800</v>
      </c>
      <c r="AT4" s="276"/>
      <c r="AU4" s="276"/>
      <c r="AV4" s="276"/>
      <c r="BA4" s="273">
        <v>1.3</v>
      </c>
      <c r="BD4" s="1445" t="str">
        <f>IF(($J$4)&gt;1,"",500)</f>
        <v/>
      </c>
      <c r="BE4" s="1445" t="str">
        <f>IF(($J$4)&gt;1,"",1500)</f>
        <v/>
      </c>
      <c r="BF4" s="275"/>
      <c r="BN4" s="274"/>
      <c r="BP4" s="274"/>
      <c r="BR4" s="273">
        <f>IF($C$3&gt;0,2.6,1.3)</f>
        <v>1.3</v>
      </c>
      <c r="BS4" s="272">
        <f>IF($C$3&gt;0,4,IF(J4&gt;1,200,150))</f>
        <v>200</v>
      </c>
      <c r="BT4" s="271" t="str">
        <f>IF(($C$6)&gt;0,"",(Pressure(($B$3),"TLIQ","E",($H$4)))-(Pressure(($B$3),"TLIQ","E",(($H$4)-1))))</f>
        <v/>
      </c>
      <c r="BX4" s="25"/>
      <c r="BY4" s="273">
        <v>4</v>
      </c>
      <c r="CA4" s="213" t="s">
        <v>555</v>
      </c>
      <c r="CB4" s="25" t="s">
        <v>554</v>
      </c>
      <c r="CC4" s="213" t="s">
        <v>553</v>
      </c>
      <c r="DK4" s="440"/>
      <c r="DL4" s="440"/>
      <c r="DR4" s="1253" t="str">
        <f>IF(($C$6)&gt;0,"",TEMPERATURE($B$3,"pvap","e",($I$4))-TEMPERATURE($B$3,"pliq","e",($I$4)))</f>
        <v/>
      </c>
      <c r="DS4" s="213"/>
      <c r="DT4" s="1254" t="str">
        <f>IF(($C$6)&gt;0,"",(Pressure($B$3,"Tliq","e",($D$4))+Pressure($B$3,"Tvap","e",($D$4)))/2)</f>
        <v/>
      </c>
      <c r="DU4" s="1255"/>
      <c r="DV4" s="1256" t="str">
        <f>IF(($C$6)&gt;0,"",1-(Enthalpy($B$3,"pvap","e",($DT$4))-(IF(($G$4)+0.5*($DR$4)&gt;($H$4),Enthalpy($B$3,"Tliq","e",($G$4)),Enthalpy($B$3,"tp","e",($G$4),($I$4)))))/(Enthalpy($B$3,"pvap","e",($DT$4))-Enthalpy($B$3,"pliq","e",($DT$4))))</f>
        <v/>
      </c>
      <c r="DW4" s="1256" t="str">
        <f>IF(($C$6)&gt;0,"",TEMPERATURE($B$3,"pvap","e",($DT$4))-TEMPERATURE($B$3,"pliq","e",($DT$4)))</f>
        <v/>
      </c>
      <c r="DX4" s="1257" t="e">
        <f>(1-($DV$4))*($DW$4)</f>
        <v>#VALUE!</v>
      </c>
      <c r="DY4" s="213"/>
      <c r="DZ4" s="213"/>
      <c r="EA4" s="213"/>
    </row>
    <row r="5" spans="1:163" ht="13.5" thickBot="1" x14ac:dyDescent="0.25">
      <c r="A5" s="25">
        <v>1</v>
      </c>
      <c r="B5" s="292" t="s">
        <v>973</v>
      </c>
      <c r="D5" s="213"/>
      <c r="E5" s="213"/>
      <c r="F5" s="213"/>
      <c r="G5" s="213"/>
      <c r="H5" s="213"/>
      <c r="AB5" s="272">
        <f>IF(($J$4)&gt;1,180,700)</f>
        <v>180</v>
      </c>
      <c r="AR5" s="272">
        <v>700</v>
      </c>
      <c r="BD5" s="272">
        <f>IF(($J$4)&gt;1,180,250)</f>
        <v>180</v>
      </c>
      <c r="BE5" s="272">
        <f>IF(($J$4)&gt;1,800,1750)</f>
        <v>800</v>
      </c>
      <c r="BS5" s="1445" t="str">
        <f>IF($C$3&gt;0,"",IF(J4&gt;1,"",120))</f>
        <v/>
      </c>
      <c r="BX5" s="25"/>
      <c r="BY5" s="213"/>
      <c r="CH5" s="302" t="s">
        <v>152</v>
      </c>
      <c r="CI5" s="299"/>
      <c r="CJ5" s="299"/>
      <c r="CK5" s="300"/>
      <c r="CL5" s="299"/>
      <c r="CM5" s="299"/>
      <c r="CN5" s="299"/>
      <c r="CO5" s="301"/>
      <c r="CQ5" s="305"/>
      <c r="CR5" s="306" t="s">
        <v>153</v>
      </c>
      <c r="CS5" s="300"/>
      <c r="CT5" s="300"/>
      <c r="CU5" s="300"/>
      <c r="CV5" s="300"/>
      <c r="CW5" s="300"/>
      <c r="CX5" s="300"/>
      <c r="CY5" s="300"/>
      <c r="CZ5" s="300"/>
      <c r="DA5" s="300"/>
      <c r="DB5" s="300"/>
      <c r="DC5" s="307"/>
      <c r="DE5" s="309" t="s">
        <v>158</v>
      </c>
      <c r="DF5" s="306"/>
      <c r="DG5" s="306"/>
      <c r="DK5" s="440"/>
      <c r="DL5" s="440"/>
      <c r="DR5" s="213"/>
      <c r="DS5" s="213"/>
      <c r="DT5" s="213"/>
      <c r="DU5" s="213"/>
      <c r="DV5" s="320" t="s">
        <v>804</v>
      </c>
      <c r="DW5" s="213"/>
      <c r="DX5" s="213"/>
      <c r="DY5" s="213"/>
      <c r="DZ5" s="213"/>
      <c r="EA5" s="213"/>
      <c r="EB5" s="304" t="s">
        <v>1103</v>
      </c>
      <c r="FA5" s="302" t="s">
        <v>1257</v>
      </c>
      <c r="FB5" s="300"/>
      <c r="FC5" s="300"/>
      <c r="FD5" s="300"/>
      <c r="FE5" s="300"/>
      <c r="FF5" s="300"/>
      <c r="FG5" s="307"/>
    </row>
    <row r="6" spans="1:163" x14ac:dyDescent="0.2">
      <c r="A6" s="25">
        <v>1</v>
      </c>
      <c r="B6" s="291" t="s">
        <v>412</v>
      </c>
      <c r="C6" s="240">
        <f>E6</f>
        <v>1</v>
      </c>
      <c r="D6" s="290" t="s">
        <v>551</v>
      </c>
      <c r="E6" s="869">
        <v>1</v>
      </c>
      <c r="F6" s="221">
        <v>0</v>
      </c>
      <c r="G6" s="869">
        <v>1</v>
      </c>
      <c r="I6" s="433">
        <v>4</v>
      </c>
      <c r="J6" s="433">
        <v>6</v>
      </c>
      <c r="K6" s="433">
        <v>7</v>
      </c>
      <c r="L6" s="433">
        <v>8</v>
      </c>
      <c r="M6" s="433">
        <v>9</v>
      </c>
      <c r="N6" s="433">
        <v>10</v>
      </c>
      <c r="O6" s="433">
        <v>11</v>
      </c>
      <c r="P6" s="434">
        <v>12</v>
      </c>
      <c r="Q6" s="433">
        <v>13</v>
      </c>
      <c r="R6" s="433">
        <v>14</v>
      </c>
      <c r="S6" s="433">
        <v>15</v>
      </c>
      <c r="T6" s="433">
        <v>16</v>
      </c>
      <c r="U6" s="433">
        <v>17</v>
      </c>
      <c r="V6" s="433">
        <v>18</v>
      </c>
      <c r="W6" s="433">
        <v>19</v>
      </c>
      <c r="X6" s="433">
        <v>20</v>
      </c>
      <c r="Y6" s="433">
        <v>21</v>
      </c>
      <c r="Z6" s="433">
        <v>22</v>
      </c>
      <c r="AA6" s="433">
        <v>23</v>
      </c>
      <c r="AB6" s="433">
        <v>24</v>
      </c>
      <c r="AC6" s="433">
        <v>25</v>
      </c>
      <c r="AD6" s="433">
        <v>26</v>
      </c>
      <c r="AE6" s="433">
        <v>27</v>
      </c>
      <c r="AF6" s="433">
        <v>28</v>
      </c>
      <c r="AG6" s="433">
        <v>29</v>
      </c>
      <c r="AH6" s="433">
        <v>30</v>
      </c>
      <c r="AI6" s="433">
        <v>31</v>
      </c>
      <c r="AJ6" s="433">
        <v>32</v>
      </c>
      <c r="AK6" s="433">
        <v>33</v>
      </c>
      <c r="AL6" s="433">
        <v>34</v>
      </c>
      <c r="AM6" s="433">
        <v>35</v>
      </c>
      <c r="AN6" s="433">
        <v>36</v>
      </c>
      <c r="AO6" s="433">
        <v>37</v>
      </c>
      <c r="AP6" s="433">
        <v>38</v>
      </c>
      <c r="AQ6" s="433">
        <v>39</v>
      </c>
      <c r="AR6" s="433">
        <v>40</v>
      </c>
      <c r="AS6" s="433">
        <v>41</v>
      </c>
      <c r="AT6" s="433">
        <v>42</v>
      </c>
      <c r="AU6" s="433">
        <v>43</v>
      </c>
      <c r="AV6" s="433">
        <v>44</v>
      </c>
      <c r="AW6" s="433">
        <v>45</v>
      </c>
      <c r="AX6" s="433">
        <v>46</v>
      </c>
      <c r="AY6" s="433"/>
      <c r="AZ6" s="433">
        <v>47</v>
      </c>
      <c r="BA6" s="433">
        <v>48</v>
      </c>
      <c r="BB6" s="433">
        <v>49</v>
      </c>
      <c r="BC6" s="433">
        <v>50</v>
      </c>
      <c r="BD6" s="433">
        <v>51</v>
      </c>
      <c r="BE6" s="433">
        <v>52</v>
      </c>
      <c r="BF6" s="433">
        <v>53</v>
      </c>
      <c r="BG6" s="433">
        <v>54</v>
      </c>
      <c r="BH6" s="433">
        <v>55</v>
      </c>
      <c r="BI6" s="433">
        <v>56</v>
      </c>
      <c r="BJ6" s="433">
        <v>57</v>
      </c>
      <c r="BK6" s="433">
        <v>58</v>
      </c>
      <c r="BL6" s="433">
        <v>59</v>
      </c>
      <c r="BM6" s="433">
        <v>60</v>
      </c>
      <c r="BN6" s="433">
        <v>61</v>
      </c>
      <c r="BO6" s="433">
        <v>62</v>
      </c>
      <c r="BP6" s="433">
        <v>63</v>
      </c>
      <c r="BQ6" s="433">
        <v>64</v>
      </c>
      <c r="BR6" s="433">
        <v>65</v>
      </c>
      <c r="BS6" s="433">
        <v>66</v>
      </c>
      <c r="BT6" s="433">
        <v>67</v>
      </c>
      <c r="BU6" s="433">
        <v>68</v>
      </c>
      <c r="BV6" s="433">
        <v>69</v>
      </c>
      <c r="BW6" s="433">
        <v>70</v>
      </c>
      <c r="BX6" s="433">
        <v>71</v>
      </c>
      <c r="BY6" s="433">
        <v>72</v>
      </c>
      <c r="BZ6" s="433">
        <v>73</v>
      </c>
      <c r="CA6" s="978">
        <v>94</v>
      </c>
      <c r="CB6" s="433">
        <v>75</v>
      </c>
      <c r="CC6" s="433">
        <v>76</v>
      </c>
      <c r="CD6" s="433">
        <v>77</v>
      </c>
      <c r="CQ6" s="25" t="s">
        <v>157</v>
      </c>
      <c r="CR6" s="25" t="str">
        <f>IF(($G$4)=($H$4),(LiquidDensity(($B$3),"TLIQ","E",($G$4))),(Density(($B$3),"TP","E",($G$4),(Pressure(($B$3),"TLIQ","E",($H$4))))))</f>
        <v>#Inputs are missing</v>
      </c>
      <c r="DK6" s="440" t="s">
        <v>159</v>
      </c>
      <c r="DL6" s="440"/>
      <c r="DR6" s="213"/>
      <c r="DS6" s="213"/>
      <c r="DT6" s="213"/>
      <c r="DU6" s="213"/>
      <c r="DV6" s="213"/>
      <c r="DW6" s="213"/>
      <c r="DX6" s="213"/>
      <c r="DY6" s="213"/>
      <c r="DZ6" s="213"/>
      <c r="EA6" s="213"/>
      <c r="EB6" s="304" t="s">
        <v>1104</v>
      </c>
      <c r="FA6" s="304"/>
      <c r="FB6" s="304"/>
      <c r="FC6" s="304"/>
      <c r="FD6" s="304"/>
      <c r="FE6" s="304"/>
      <c r="FF6" s="304"/>
    </row>
    <row r="7" spans="1:163" ht="14.25" x14ac:dyDescent="0.2">
      <c r="A7" s="25">
        <v>1</v>
      </c>
      <c r="B7" s="289" t="s">
        <v>550</v>
      </c>
      <c r="D7" s="221"/>
      <c r="E7" s="221"/>
      <c r="F7" s="221"/>
      <c r="G7" s="221"/>
      <c r="I7" s="433">
        <v>6</v>
      </c>
      <c r="J7" s="433">
        <v>4</v>
      </c>
      <c r="K7" s="433">
        <v>5</v>
      </c>
      <c r="L7" s="433">
        <v>6</v>
      </c>
      <c r="M7" s="433">
        <v>7</v>
      </c>
      <c r="N7" s="433">
        <v>8</v>
      </c>
      <c r="O7" s="433">
        <v>9</v>
      </c>
      <c r="P7" s="434">
        <v>10</v>
      </c>
      <c r="Q7" s="433">
        <v>11</v>
      </c>
      <c r="R7" s="433">
        <v>12</v>
      </c>
      <c r="S7" s="433">
        <v>13</v>
      </c>
      <c r="T7" s="433">
        <v>14</v>
      </c>
      <c r="U7" s="433">
        <v>15</v>
      </c>
      <c r="V7" s="433">
        <v>16</v>
      </c>
      <c r="W7" s="433">
        <v>17</v>
      </c>
      <c r="X7" s="433">
        <v>18</v>
      </c>
      <c r="Y7" s="433">
        <v>19</v>
      </c>
      <c r="Z7" s="433">
        <v>20</v>
      </c>
      <c r="AA7" s="433">
        <v>21</v>
      </c>
      <c r="AB7" s="433">
        <v>22</v>
      </c>
      <c r="AC7" s="433">
        <v>23</v>
      </c>
      <c r="AD7" s="433">
        <v>24</v>
      </c>
      <c r="AE7" s="433">
        <v>25</v>
      </c>
      <c r="AF7" s="433">
        <v>26</v>
      </c>
      <c r="AG7" s="433">
        <v>27</v>
      </c>
      <c r="AH7" s="433">
        <v>28</v>
      </c>
      <c r="AI7" s="433">
        <v>29</v>
      </c>
      <c r="AJ7" s="433">
        <v>30</v>
      </c>
      <c r="AK7" s="433">
        <v>31</v>
      </c>
      <c r="AL7" s="433">
        <v>32</v>
      </c>
      <c r="AM7" s="433">
        <v>33</v>
      </c>
      <c r="AN7" s="433">
        <v>34</v>
      </c>
      <c r="AO7" s="433">
        <v>35</v>
      </c>
      <c r="AP7" s="433">
        <v>36</v>
      </c>
      <c r="AQ7" s="433">
        <v>37</v>
      </c>
      <c r="AR7" s="433">
        <v>38</v>
      </c>
      <c r="AS7" s="433">
        <v>39</v>
      </c>
      <c r="AT7" s="433">
        <v>40</v>
      </c>
      <c r="AU7" s="433">
        <v>41</v>
      </c>
      <c r="AV7" s="433">
        <v>42</v>
      </c>
      <c r="AW7" s="433">
        <v>43</v>
      </c>
      <c r="AX7" s="433">
        <v>44</v>
      </c>
      <c r="AY7" s="433"/>
      <c r="AZ7" s="433">
        <v>45</v>
      </c>
      <c r="BA7" s="433">
        <v>46</v>
      </c>
      <c r="BB7" s="433">
        <v>47</v>
      </c>
      <c r="BC7" s="433">
        <v>48</v>
      </c>
      <c r="BD7" s="433">
        <v>49</v>
      </c>
      <c r="BE7" s="433">
        <v>50</v>
      </c>
      <c r="BF7" s="433">
        <v>51</v>
      </c>
      <c r="BG7" s="433">
        <v>52</v>
      </c>
      <c r="BH7" s="433">
        <v>53</v>
      </c>
      <c r="BI7" s="433">
        <v>54</v>
      </c>
      <c r="BJ7" s="433">
        <v>55</v>
      </c>
      <c r="BK7" s="433">
        <v>56</v>
      </c>
      <c r="BL7" s="433">
        <v>57</v>
      </c>
      <c r="BM7" s="433">
        <v>58</v>
      </c>
      <c r="BN7" s="433">
        <v>59</v>
      </c>
      <c r="BO7" s="433">
        <v>60</v>
      </c>
      <c r="BP7" s="433">
        <v>61</v>
      </c>
      <c r="BQ7" s="433">
        <v>62</v>
      </c>
      <c r="BR7" s="433">
        <v>63</v>
      </c>
      <c r="BS7" s="433">
        <v>64</v>
      </c>
      <c r="BT7" s="433">
        <v>65</v>
      </c>
      <c r="BU7" s="433">
        <v>66</v>
      </c>
      <c r="BV7" s="433">
        <v>67</v>
      </c>
      <c r="BW7" s="433">
        <v>68</v>
      </c>
      <c r="BX7" s="433">
        <v>69</v>
      </c>
      <c r="BY7" s="433">
        <v>70</v>
      </c>
      <c r="BZ7" s="433">
        <v>71</v>
      </c>
      <c r="CA7" s="433">
        <v>72</v>
      </c>
      <c r="CB7" s="433">
        <v>73</v>
      </c>
      <c r="CC7" s="433">
        <v>74</v>
      </c>
      <c r="CD7" s="433">
        <v>75</v>
      </c>
      <c r="CH7" s="270" t="s">
        <v>531</v>
      </c>
      <c r="CI7" s="270" t="s">
        <v>530</v>
      </c>
      <c r="CJ7" s="270" t="s">
        <v>525</v>
      </c>
      <c r="CK7" s="270" t="s">
        <v>529</v>
      </c>
      <c r="CL7" s="270" t="s">
        <v>528</v>
      </c>
      <c r="CM7" s="270" t="s">
        <v>527</v>
      </c>
      <c r="CN7" s="270" t="s">
        <v>527</v>
      </c>
      <c r="DE7" s="304" t="s">
        <v>167</v>
      </c>
      <c r="DF7" s="304" t="s">
        <v>169</v>
      </c>
      <c r="DG7" s="304" t="s">
        <v>170</v>
      </c>
      <c r="DH7" s="310" t="s">
        <v>160</v>
      </c>
      <c r="DI7" s="310" t="s">
        <v>161</v>
      </c>
      <c r="DK7" s="440" t="s">
        <v>162</v>
      </c>
      <c r="DL7" s="440"/>
      <c r="DO7" s="310" t="s">
        <v>181</v>
      </c>
      <c r="DR7" s="213"/>
      <c r="DS7" s="213"/>
      <c r="DT7" s="213"/>
      <c r="DU7" s="213"/>
      <c r="DV7" s="213"/>
      <c r="DW7" s="213"/>
      <c r="DX7" s="213"/>
      <c r="DY7" s="213"/>
      <c r="DZ7" s="213"/>
      <c r="EA7" s="213"/>
      <c r="EB7" s="304" t="s">
        <v>1105</v>
      </c>
      <c r="FA7" s="304" t="s">
        <v>531</v>
      </c>
      <c r="FB7" s="304" t="s">
        <v>530</v>
      </c>
      <c r="FC7" s="304" t="s">
        <v>527</v>
      </c>
      <c r="FD7" s="304" t="s">
        <v>1258</v>
      </c>
      <c r="FE7" s="304" t="s">
        <v>1258</v>
      </c>
      <c r="FF7" s="304" t="s">
        <v>1260</v>
      </c>
      <c r="FG7" s="304" t="s">
        <v>1260</v>
      </c>
    </row>
    <row r="8" spans="1:163" ht="12.75" customHeight="1" thickBot="1" x14ac:dyDescent="0.25">
      <c r="A8" s="25">
        <v>1</v>
      </c>
      <c r="B8" s="288" t="s">
        <v>413</v>
      </c>
      <c r="C8" s="268"/>
      <c r="D8" s="221"/>
      <c r="E8" s="221"/>
      <c r="F8" s="221"/>
      <c r="G8" s="221"/>
      <c r="H8" s="221"/>
      <c r="I8" s="221"/>
      <c r="J8" s="221"/>
      <c r="K8" s="221"/>
      <c r="L8" s="221"/>
      <c r="M8" s="221"/>
      <c r="N8" s="221"/>
      <c r="O8" s="221"/>
      <c r="P8" s="223"/>
      <c r="Q8" s="221"/>
      <c r="R8" s="221"/>
      <c r="S8" s="221"/>
      <c r="T8" s="221"/>
      <c r="U8" s="221"/>
      <c r="V8" s="221"/>
      <c r="W8" s="439">
        <f>COUNTIF(W9:W154,"double")</f>
        <v>0</v>
      </c>
      <c r="X8" s="221"/>
      <c r="Y8" s="221"/>
      <c r="Z8" s="221"/>
      <c r="AA8" s="221"/>
      <c r="AB8" s="221"/>
      <c r="AC8" s="221"/>
      <c r="AD8" s="221"/>
      <c r="AE8" s="221"/>
      <c r="AF8" s="221"/>
      <c r="AG8" s="221"/>
      <c r="AH8" s="221"/>
      <c r="AI8" s="221"/>
      <c r="AJ8" s="221"/>
      <c r="AK8" s="221"/>
      <c r="AL8" s="221"/>
      <c r="AM8" s="221"/>
      <c r="AN8" s="221"/>
      <c r="AO8" s="221"/>
      <c r="AP8" s="221"/>
      <c r="AQ8" s="221"/>
      <c r="AR8" s="221"/>
      <c r="AS8" s="221"/>
      <c r="AT8" s="221"/>
      <c r="AU8" s="221"/>
      <c r="AV8" s="221"/>
      <c r="AW8" s="221"/>
      <c r="AX8" s="221"/>
      <c r="AY8" s="221"/>
      <c r="AZ8" s="221"/>
      <c r="BA8" s="221"/>
      <c r="BB8" s="221"/>
      <c r="BC8" s="221"/>
      <c r="BD8" s="221"/>
      <c r="BE8" s="221"/>
      <c r="BF8" s="221"/>
      <c r="BG8" s="221"/>
      <c r="BH8" s="221"/>
      <c r="BI8" s="221"/>
      <c r="BJ8" s="221"/>
      <c r="BK8" s="221"/>
      <c r="BL8" s="221"/>
      <c r="BM8" s="221"/>
      <c r="BN8" s="221"/>
      <c r="BO8" s="221"/>
      <c r="BP8" s="221"/>
      <c r="BQ8" s="221"/>
      <c r="BR8" s="221"/>
      <c r="BS8" s="221"/>
      <c r="BT8" s="221"/>
      <c r="BU8" s="221"/>
      <c r="BV8" s="221"/>
      <c r="BW8" s="221"/>
      <c r="BX8" s="221"/>
      <c r="BY8" s="221"/>
      <c r="BZ8" s="221"/>
      <c r="CA8" s="221">
        <v>74</v>
      </c>
      <c r="CB8" s="221">
        <v>75</v>
      </c>
      <c r="CC8" s="221">
        <v>76</v>
      </c>
      <c r="CD8" s="221"/>
      <c r="CE8" s="268"/>
      <c r="CH8" s="270" t="s">
        <v>526</v>
      </c>
      <c r="CI8" s="270" t="s">
        <v>526</v>
      </c>
      <c r="CM8" s="270" t="s">
        <v>526</v>
      </c>
      <c r="CN8" s="270" t="s">
        <v>525</v>
      </c>
      <c r="CO8" s="270" t="s">
        <v>524</v>
      </c>
      <c r="CP8" s="270"/>
      <c r="CR8" s="303">
        <v>0.375</v>
      </c>
      <c r="CS8" s="303">
        <v>0.5</v>
      </c>
      <c r="CT8" s="303">
        <v>0.625</v>
      </c>
      <c r="CU8" s="303">
        <v>0.875</v>
      </c>
      <c r="CV8" s="303">
        <v>1.125</v>
      </c>
      <c r="CW8" s="303">
        <v>1.375</v>
      </c>
      <c r="CX8" s="303">
        <v>1.625</v>
      </c>
      <c r="CY8" s="303">
        <v>2.125</v>
      </c>
      <c r="CZ8" s="303">
        <v>2.625</v>
      </c>
      <c r="DA8" s="303">
        <v>3.125</v>
      </c>
      <c r="DB8" s="303">
        <v>3.625</v>
      </c>
      <c r="DC8" s="303">
        <v>4.125</v>
      </c>
      <c r="DE8" s="304" t="s">
        <v>166</v>
      </c>
      <c r="DF8" s="304" t="s">
        <v>168</v>
      </c>
      <c r="DG8" s="304" t="s">
        <v>166</v>
      </c>
      <c r="DH8" s="310" t="s">
        <v>163</v>
      </c>
      <c r="DI8" s="310" t="s">
        <v>162</v>
      </c>
      <c r="DK8" s="440" t="s">
        <v>164</v>
      </c>
      <c r="DL8" s="440"/>
      <c r="DM8" s="310" t="s">
        <v>165</v>
      </c>
      <c r="DO8" s="310" t="s">
        <v>182</v>
      </c>
      <c r="DR8" s="1258" t="s">
        <v>805</v>
      </c>
      <c r="DS8" s="1258" t="s">
        <v>806</v>
      </c>
      <c r="DT8" s="1258" t="s">
        <v>807</v>
      </c>
      <c r="DU8" s="1258" t="s">
        <v>808</v>
      </c>
      <c r="DV8" s="1258" t="s">
        <v>809</v>
      </c>
      <c r="DW8" s="1258" t="s">
        <v>810</v>
      </c>
      <c r="DX8" s="1259" t="s">
        <v>801</v>
      </c>
      <c r="DY8" s="1259" t="s">
        <v>802</v>
      </c>
      <c r="DZ8" s="1259" t="s">
        <v>803</v>
      </c>
      <c r="EA8" s="213"/>
      <c r="EB8" s="320" t="s">
        <v>1106</v>
      </c>
      <c r="EC8" s="320" t="s">
        <v>1107</v>
      </c>
      <c r="ED8" s="320" t="s">
        <v>1108</v>
      </c>
      <c r="EE8" s="213" t="s">
        <v>1109</v>
      </c>
      <c r="EF8" s="213" t="s">
        <v>578</v>
      </c>
      <c r="EG8" s="213" t="s">
        <v>1110</v>
      </c>
      <c r="EH8" s="213" t="s">
        <v>1111</v>
      </c>
      <c r="EI8" s="320" t="s">
        <v>1112</v>
      </c>
      <c r="EJ8" s="320" t="s">
        <v>1113</v>
      </c>
      <c r="EK8" s="320" t="s">
        <v>473</v>
      </c>
      <c r="EL8" s="320" t="s">
        <v>1114</v>
      </c>
      <c r="EM8" s="320" t="s">
        <v>1115</v>
      </c>
      <c r="EN8" s="320" t="s">
        <v>1116</v>
      </c>
      <c r="EO8" s="320" t="s">
        <v>1116</v>
      </c>
      <c r="EP8" s="320"/>
      <c r="EQ8" s="320" t="s">
        <v>1108</v>
      </c>
      <c r="ER8" s="320" t="s">
        <v>1109</v>
      </c>
      <c r="ES8" s="320" t="s">
        <v>1111</v>
      </c>
      <c r="ET8" s="320" t="s">
        <v>1112</v>
      </c>
      <c r="EU8" s="320" t="s">
        <v>1113</v>
      </c>
      <c r="EV8" s="320" t="s">
        <v>473</v>
      </c>
      <c r="EW8" s="320" t="s">
        <v>1114</v>
      </c>
      <c r="EX8" s="320" t="s">
        <v>1115</v>
      </c>
      <c r="EY8" s="320" t="s">
        <v>1116</v>
      </c>
      <c r="EZ8" s="320" t="s">
        <v>1116</v>
      </c>
      <c r="FA8" s="304" t="s">
        <v>526</v>
      </c>
      <c r="FB8" s="304" t="s">
        <v>526</v>
      </c>
      <c r="FC8" s="304" t="s">
        <v>526</v>
      </c>
      <c r="FD8" s="304" t="s">
        <v>1259</v>
      </c>
      <c r="FE8" s="304" t="s">
        <v>1261</v>
      </c>
      <c r="FF8" s="304" t="s">
        <v>1259</v>
      </c>
      <c r="FG8" s="304" t="s">
        <v>1261</v>
      </c>
    </row>
    <row r="9" spans="1:163" ht="27" customHeight="1" thickBot="1" x14ac:dyDescent="0.25">
      <c r="A9" s="25">
        <v>1</v>
      </c>
      <c r="B9" s="213"/>
      <c r="D9" s="269" t="str">
        <f>IF($C$3&gt;0,"Fluid Group " &amp; H9,"Suction Group " &amp; H9)</f>
        <v>Suction Group 1</v>
      </c>
      <c r="E9" s="269"/>
      <c r="F9" s="269"/>
      <c r="G9" s="269"/>
      <c r="H9" s="268">
        <v>1</v>
      </c>
      <c r="I9" s="268">
        <v>3</v>
      </c>
      <c r="J9" s="268"/>
      <c r="K9" s="268"/>
      <c r="X9" s="1858" t="str">
        <f>IF($C$3&gt;0,"Vertical Fluid Line","Suction Riser Line")</f>
        <v>Suction Riser Line</v>
      </c>
      <c r="Y9" s="1859"/>
      <c r="Z9" s="1859"/>
      <c r="AA9" s="1859"/>
      <c r="AB9" s="1859"/>
      <c r="AC9" s="1859"/>
      <c r="AD9" s="1859"/>
      <c r="AE9" s="1859"/>
      <c r="AF9" s="1859"/>
      <c r="AG9" s="1859"/>
      <c r="AH9" s="1860"/>
      <c r="AI9" s="1858" t="s">
        <v>522</v>
      </c>
      <c r="AJ9" s="1859"/>
      <c r="AK9" s="1859"/>
      <c r="AL9" s="1859"/>
      <c r="AM9" s="1859"/>
      <c r="AN9" s="1859"/>
      <c r="AO9" s="1859"/>
      <c r="AP9" s="1859"/>
      <c r="AQ9" s="1859"/>
      <c r="AR9" s="1859"/>
      <c r="AS9" s="1859"/>
      <c r="AT9" s="1859"/>
      <c r="AU9" s="1859"/>
      <c r="AV9" s="1859"/>
      <c r="AW9" s="1859"/>
      <c r="AX9" s="1859"/>
      <c r="AY9" s="1457"/>
      <c r="AZ9" s="1858" t="str">
        <f>IF($C$3&gt;0,"Horiz. Fluid Line","Horizontal Suction Line")</f>
        <v>Horizontal Suction Line</v>
      </c>
      <c r="BA9" s="1859"/>
      <c r="BB9" s="1859"/>
      <c r="BC9" s="1859"/>
      <c r="BD9" s="1859"/>
      <c r="BE9" s="1859"/>
      <c r="BF9" s="1859"/>
      <c r="BG9" s="1859"/>
      <c r="BH9" s="1859"/>
      <c r="BI9" s="1859"/>
      <c r="BJ9" s="1860"/>
      <c r="BK9" s="1855" t="s">
        <v>520</v>
      </c>
      <c r="BL9" s="1857"/>
      <c r="BM9" s="1857"/>
      <c r="BN9" s="1857"/>
      <c r="BO9" s="1857"/>
      <c r="BP9" s="1856"/>
      <c r="BQ9" s="1855" t="s">
        <v>519</v>
      </c>
      <c r="BR9" s="1857"/>
      <c r="BS9" s="1857"/>
      <c r="BT9" s="1857"/>
      <c r="BU9" s="1857"/>
      <c r="BV9" s="1857"/>
      <c r="BW9" s="1857"/>
      <c r="BX9" s="1857"/>
      <c r="BY9" s="1857"/>
      <c r="BZ9" s="1856"/>
      <c r="CA9" s="795"/>
      <c r="CB9" s="796"/>
      <c r="CC9" s="797"/>
      <c r="CD9" s="798"/>
      <c r="CE9" s="1855" t="s">
        <v>518</v>
      </c>
      <c r="CF9" s="1856"/>
      <c r="DH9" s="1850" t="s">
        <v>1371</v>
      </c>
      <c r="DI9" s="1851"/>
      <c r="DJ9" s="1851"/>
      <c r="DK9" s="1851"/>
      <c r="DL9" s="1851"/>
      <c r="DM9" s="1851"/>
      <c r="DN9" s="1851"/>
      <c r="DO9" s="1852"/>
      <c r="DR9" s="213"/>
      <c r="DS9" s="213"/>
      <c r="DT9" s="213"/>
      <c r="DU9" s="213"/>
      <c r="DV9" s="213"/>
      <c r="DW9" s="213"/>
      <c r="DX9" s="213"/>
      <c r="DY9" s="213"/>
      <c r="DZ9" s="213"/>
      <c r="EA9" s="213"/>
      <c r="EB9" s="320" t="s">
        <v>1118</v>
      </c>
      <c r="EC9" s="320" t="s">
        <v>1119</v>
      </c>
      <c r="ED9" s="320" t="s">
        <v>1120</v>
      </c>
      <c r="EE9" s="320" t="s">
        <v>1120</v>
      </c>
      <c r="EF9" s="320"/>
      <c r="EG9" s="213"/>
      <c r="EH9" s="320" t="s">
        <v>1120</v>
      </c>
      <c r="EI9" s="320" t="s">
        <v>1120</v>
      </c>
      <c r="EJ9" s="320" t="s">
        <v>1120</v>
      </c>
      <c r="EK9" s="320" t="s">
        <v>1121</v>
      </c>
      <c r="EL9" s="320" t="s">
        <v>1121</v>
      </c>
      <c r="EM9" s="320" t="s">
        <v>1121</v>
      </c>
      <c r="EN9" s="320" t="s">
        <v>1121</v>
      </c>
      <c r="EO9" s="320" t="s">
        <v>1122</v>
      </c>
      <c r="EP9" s="320"/>
      <c r="EQ9" s="320" t="s">
        <v>1123</v>
      </c>
      <c r="ER9" s="320" t="s">
        <v>1123</v>
      </c>
      <c r="ES9" s="320" t="s">
        <v>1123</v>
      </c>
      <c r="ET9" s="320" t="s">
        <v>1123</v>
      </c>
      <c r="EU9" s="320" t="s">
        <v>1123</v>
      </c>
      <c r="EV9" s="320" t="s">
        <v>1123</v>
      </c>
      <c r="EW9" s="320" t="s">
        <v>1123</v>
      </c>
      <c r="EX9" s="320" t="s">
        <v>1123</v>
      </c>
      <c r="EY9" s="320" t="s">
        <v>1123</v>
      </c>
      <c r="EZ9" s="320" t="s">
        <v>1124</v>
      </c>
      <c r="FA9" s="304"/>
      <c r="FB9" s="304"/>
      <c r="FC9" s="304"/>
      <c r="FD9" s="304"/>
      <c r="FE9" s="304"/>
      <c r="FF9" s="304"/>
    </row>
    <row r="10" spans="1:163" s="213" customFormat="1" ht="63.75" x14ac:dyDescent="0.2">
      <c r="A10" s="213">
        <v>1</v>
      </c>
      <c r="B10" s="267"/>
      <c r="D10" s="799" t="s">
        <v>411</v>
      </c>
      <c r="E10" s="800" t="s">
        <v>517</v>
      </c>
      <c r="F10" s="800" t="s">
        <v>516</v>
      </c>
      <c r="G10" s="800" t="s">
        <v>515</v>
      </c>
      <c r="H10" s="800" t="s">
        <v>514</v>
      </c>
      <c r="I10" s="800" t="s">
        <v>513</v>
      </c>
      <c r="J10" s="800" t="str">
        <f>IF($C$3&gt;0,"","Segment SST")</f>
        <v>Segment SST</v>
      </c>
      <c r="K10" s="800" t="str">
        <f>IF($C$3&gt;0,"","Segment Suction Vapor Temp")</f>
        <v>Segment Suction Vapor Temp</v>
      </c>
      <c r="L10" s="800" t="str">
        <f>IF($C$3&gt;0,"","Return Gas Temp")</f>
        <v>Return Gas Temp</v>
      </c>
      <c r="M10" s="800" t="str">
        <f>IF($C$3&gt;0,"","Segment Suction Pressure")</f>
        <v>Segment Suction Pressure</v>
      </c>
      <c r="N10" s="800" t="str">
        <f>IF($C$3&gt;0,"","Evap Pressure")</f>
        <v>Evap Pressure</v>
      </c>
      <c r="O10" s="800" t="str">
        <f>IF($C$3&gt;0,"","Evap Temp Glide")</f>
        <v>Evap Temp Glide</v>
      </c>
      <c r="P10" s="801" t="str">
        <f>IF($C$3&gt;0,"","Evap Inlet Quality 1=100% Vapor")</f>
        <v>Evap Inlet Quality 1=100% Vapor</v>
      </c>
      <c r="Q10" s="800" t="str">
        <f>IF($C$3&gt;0,"","Evap Suction Outlet Enthalpy")</f>
        <v>Evap Suction Outlet Enthalpy</v>
      </c>
      <c r="R10" s="800" t="str">
        <f>IF($C$3&gt;0,"Flow","Liquid Enthalpy")</f>
        <v>Liquid Enthalpy</v>
      </c>
      <c r="S10" s="800" t="s">
        <v>507</v>
      </c>
      <c r="T10" s="800" t="s">
        <v>506</v>
      </c>
      <c r="U10" s="800" t="s">
        <v>356</v>
      </c>
      <c r="V10" s="800" t="s">
        <v>505</v>
      </c>
      <c r="W10" s="802" t="str">
        <f>IF($C$3&gt;0,"","Riser Type")</f>
        <v>Riser Type</v>
      </c>
      <c r="X10" s="803" t="s">
        <v>475</v>
      </c>
      <c r="Y10" s="804" t="s">
        <v>474</v>
      </c>
      <c r="Z10" s="805" t="s">
        <v>485</v>
      </c>
      <c r="AA10" s="805" t="s">
        <v>484</v>
      </c>
      <c r="AB10" s="805" t="s">
        <v>473</v>
      </c>
      <c r="AC10" s="805" t="s">
        <v>149</v>
      </c>
      <c r="AD10" s="805" t="s">
        <v>472</v>
      </c>
      <c r="AE10" s="805" t="s">
        <v>471</v>
      </c>
      <c r="AF10" s="805" t="s">
        <v>470</v>
      </c>
      <c r="AG10" s="805" t="s">
        <v>503</v>
      </c>
      <c r="AH10" s="806" t="s">
        <v>502</v>
      </c>
      <c r="AI10" s="803" t="s">
        <v>501</v>
      </c>
      <c r="AJ10" s="804" t="s">
        <v>500</v>
      </c>
      <c r="AK10" s="805" t="s">
        <v>499</v>
      </c>
      <c r="AL10" s="805" t="s">
        <v>498</v>
      </c>
      <c r="AM10" s="805" t="s">
        <v>497</v>
      </c>
      <c r="AN10" s="805" t="s">
        <v>496</v>
      </c>
      <c r="AO10" s="805" t="s">
        <v>495</v>
      </c>
      <c r="AP10" s="805" t="s">
        <v>494</v>
      </c>
      <c r="AQ10" s="805" t="s">
        <v>493</v>
      </c>
      <c r="AR10" s="805" t="s">
        <v>492</v>
      </c>
      <c r="AS10" s="805" t="s">
        <v>491</v>
      </c>
      <c r="AT10" s="805" t="s">
        <v>490</v>
      </c>
      <c r="AU10" s="805" t="s">
        <v>489</v>
      </c>
      <c r="AV10" s="805" t="s">
        <v>488</v>
      </c>
      <c r="AW10" s="805" t="s">
        <v>487</v>
      </c>
      <c r="AX10" s="805" t="s">
        <v>486</v>
      </c>
      <c r="AY10" s="1458" t="s">
        <v>1253</v>
      </c>
      <c r="AZ10" s="803" t="s">
        <v>475</v>
      </c>
      <c r="BA10" s="804" t="s">
        <v>474</v>
      </c>
      <c r="BB10" s="805" t="s">
        <v>485</v>
      </c>
      <c r="BC10" s="805" t="s">
        <v>484</v>
      </c>
      <c r="BD10" s="805" t="s">
        <v>473</v>
      </c>
      <c r="BE10" s="805" t="s">
        <v>149</v>
      </c>
      <c r="BF10" s="805" t="s">
        <v>472</v>
      </c>
      <c r="BG10" s="805" t="s">
        <v>471</v>
      </c>
      <c r="BH10" s="805" t="s">
        <v>470</v>
      </c>
      <c r="BI10" s="805" t="s">
        <v>483</v>
      </c>
      <c r="BJ10" s="806" t="s">
        <v>482</v>
      </c>
      <c r="BK10" s="807" t="s">
        <v>481</v>
      </c>
      <c r="BL10" s="804" t="s">
        <v>480</v>
      </c>
      <c r="BM10" s="804" t="s">
        <v>479</v>
      </c>
      <c r="BN10" s="805" t="s">
        <v>478</v>
      </c>
      <c r="BO10" s="805" t="s">
        <v>477</v>
      </c>
      <c r="BP10" s="806" t="s">
        <v>476</v>
      </c>
      <c r="BQ10" s="807" t="s">
        <v>475</v>
      </c>
      <c r="BR10" s="804" t="s">
        <v>474</v>
      </c>
      <c r="BS10" s="805" t="s">
        <v>473</v>
      </c>
      <c r="BT10" s="805" t="s">
        <v>480</v>
      </c>
      <c r="BU10" s="805" t="s">
        <v>479</v>
      </c>
      <c r="BV10" s="805" t="s">
        <v>472</v>
      </c>
      <c r="BW10" s="805" t="s">
        <v>471</v>
      </c>
      <c r="BX10" s="805" t="s">
        <v>470</v>
      </c>
      <c r="BY10" s="805" t="s">
        <v>469</v>
      </c>
      <c r="BZ10" s="806" t="s">
        <v>468</v>
      </c>
      <c r="CA10" s="808"/>
      <c r="CB10" s="809"/>
      <c r="CC10" s="810"/>
      <c r="CD10" s="811" t="s">
        <v>178</v>
      </c>
      <c r="CE10" s="1853" t="s">
        <v>467</v>
      </c>
      <c r="CF10" s="806" t="s">
        <v>466</v>
      </c>
      <c r="DH10" s="1496"/>
      <c r="DI10" s="1495"/>
      <c r="DJ10" s="1508" t="s">
        <v>1372</v>
      </c>
      <c r="DK10" s="1495"/>
      <c r="DL10" s="1508" t="s">
        <v>1373</v>
      </c>
      <c r="DM10" s="1495"/>
      <c r="DN10" s="1508" t="s">
        <v>1374</v>
      </c>
      <c r="DO10" s="1497"/>
      <c r="DP10" s="320"/>
      <c r="FA10" s="320"/>
      <c r="FB10" s="320"/>
      <c r="FC10" s="320"/>
      <c r="FD10" s="320"/>
      <c r="FE10" s="320"/>
      <c r="FF10" s="320"/>
    </row>
    <row r="11" spans="1:163" s="264" customFormat="1" ht="20.25" customHeight="1" thickBot="1" x14ac:dyDescent="0.25">
      <c r="A11" s="265">
        <v>1</v>
      </c>
      <c r="B11" s="266">
        <f>LegendSG1EVLT</f>
        <v>0</v>
      </c>
      <c r="C11" s="296" t="s">
        <v>151</v>
      </c>
      <c r="D11" s="428"/>
      <c r="E11" s="812"/>
      <c r="F11" s="812"/>
      <c r="G11" s="812"/>
      <c r="H11" s="813" t="s">
        <v>465</v>
      </c>
      <c r="I11" s="813" t="s">
        <v>459</v>
      </c>
      <c r="J11" s="813" t="str">
        <f>IF($C$3&gt;0,"","[ºF]")</f>
        <v>[ºF]</v>
      </c>
      <c r="K11" s="813" t="str">
        <f>IF($C$3&gt;0,"","[ºF]")</f>
        <v>[ºF]</v>
      </c>
      <c r="L11" s="813" t="str">
        <f>IF($C$3&gt;0,"","[ºF]")</f>
        <v>[ºF]</v>
      </c>
      <c r="M11" s="813" t="str">
        <f>IF($C$3&gt;0,"","[psia]")</f>
        <v>[psia]</v>
      </c>
      <c r="N11" s="813" t="str">
        <f>IF($C$3&gt;0,"","[psia]")</f>
        <v>[psia]</v>
      </c>
      <c r="O11" s="813" t="str">
        <f>IF($C$3&gt;0,"","[ºF]")</f>
        <v>[ºF]</v>
      </c>
      <c r="P11" s="814"/>
      <c r="Q11" s="813" t="str">
        <f>IF($C$3&gt;0,"","[Btu/lb]")</f>
        <v>[Btu/lb]</v>
      </c>
      <c r="R11" s="813" t="str">
        <f>IF($C$3&gt;0,"[GPM]","[Btu/lb]")</f>
        <v>[Btu/lb]</v>
      </c>
      <c r="S11" s="813" t="s">
        <v>462</v>
      </c>
      <c r="T11" s="813" t="str">
        <f>IF($C$3&gt;0,"[lbF/ft-sec]","[lbm/ft-sec]")</f>
        <v>[lbm/ft-sec]</v>
      </c>
      <c r="U11" s="813" t="s">
        <v>463</v>
      </c>
      <c r="V11" s="813"/>
      <c r="W11" s="815"/>
      <c r="X11" s="816" t="s">
        <v>458</v>
      </c>
      <c r="Y11" s="813" t="s">
        <v>458</v>
      </c>
      <c r="Z11" s="813" t="s">
        <v>462</v>
      </c>
      <c r="AA11" s="813" t="s">
        <v>461</v>
      </c>
      <c r="AB11" s="813" t="s">
        <v>457</v>
      </c>
      <c r="AC11" s="813" t="s">
        <v>456</v>
      </c>
      <c r="AD11" s="813"/>
      <c r="AE11" s="813"/>
      <c r="AF11" s="813" t="s">
        <v>455</v>
      </c>
      <c r="AG11" s="813" t="s">
        <v>455</v>
      </c>
      <c r="AH11" s="815" t="s">
        <v>454</v>
      </c>
      <c r="AI11" s="816"/>
      <c r="AJ11" s="813" t="s">
        <v>454</v>
      </c>
      <c r="AK11" s="813"/>
      <c r="AL11" s="813" t="s">
        <v>456</v>
      </c>
      <c r="AM11" s="813"/>
      <c r="AN11" s="813"/>
      <c r="AO11" s="813" t="s">
        <v>455</v>
      </c>
      <c r="AP11" s="813" t="s">
        <v>455</v>
      </c>
      <c r="AQ11" s="813" t="s">
        <v>454</v>
      </c>
      <c r="AR11" s="813" t="s">
        <v>457</v>
      </c>
      <c r="AS11" s="813" t="s">
        <v>463</v>
      </c>
      <c r="AT11" s="813" t="s">
        <v>455</v>
      </c>
      <c r="AU11" s="813" t="s">
        <v>455</v>
      </c>
      <c r="AV11" s="813" t="s">
        <v>454</v>
      </c>
      <c r="AW11" s="813" t="s">
        <v>457</v>
      </c>
      <c r="AX11" s="813" t="s">
        <v>463</v>
      </c>
      <c r="AY11" s="792" t="s">
        <v>458</v>
      </c>
      <c r="AZ11" s="816" t="s">
        <v>458</v>
      </c>
      <c r="BA11" s="813" t="s">
        <v>458</v>
      </c>
      <c r="BB11" s="813" t="s">
        <v>462</v>
      </c>
      <c r="BC11" s="813" t="s">
        <v>461</v>
      </c>
      <c r="BD11" s="813" t="s">
        <v>457</v>
      </c>
      <c r="BE11" s="813" t="s">
        <v>456</v>
      </c>
      <c r="BF11" s="813"/>
      <c r="BG11" s="813"/>
      <c r="BH11" s="813" t="s">
        <v>455</v>
      </c>
      <c r="BI11" s="813" t="s">
        <v>455</v>
      </c>
      <c r="BJ11" s="817" t="s">
        <v>454</v>
      </c>
      <c r="BK11" s="816" t="s">
        <v>456</v>
      </c>
      <c r="BL11" s="813" t="s">
        <v>456</v>
      </c>
      <c r="BM11" s="813" t="s">
        <v>456</v>
      </c>
      <c r="BN11" s="813" t="s">
        <v>459</v>
      </c>
      <c r="BO11" s="813" t="s">
        <v>460</v>
      </c>
      <c r="BP11" s="815" t="s">
        <v>459</v>
      </c>
      <c r="BQ11" s="816" t="s">
        <v>458</v>
      </c>
      <c r="BR11" s="813" t="s">
        <v>458</v>
      </c>
      <c r="BS11" s="813" t="str">
        <f>IF($C$3&gt;0,"[fps]","[fpm]")</f>
        <v>[fpm]</v>
      </c>
      <c r="BT11" s="813" t="str">
        <f>IF($C$3&gt;0,"[ft-H2O]","[psi]")</f>
        <v>[psi]</v>
      </c>
      <c r="BU11" s="813" t="str">
        <f>IF($C$3&gt;0,"[ft-H2O]","[psi]")</f>
        <v>[psi]</v>
      </c>
      <c r="BV11" s="813"/>
      <c r="BW11" s="813"/>
      <c r="BX11" s="813" t="s">
        <v>455</v>
      </c>
      <c r="BY11" s="813" t="s">
        <v>455</v>
      </c>
      <c r="BZ11" s="815" t="s">
        <v>454</v>
      </c>
      <c r="CA11" s="818"/>
      <c r="CB11" s="819"/>
      <c r="CC11" s="820"/>
      <c r="CD11" s="792" t="str">
        <f>IF($C$3&gt;0,"[gal]","[lb]")</f>
        <v>[lb]</v>
      </c>
      <c r="CE11" s="1854"/>
      <c r="CF11" s="815"/>
      <c r="DH11" s="1499"/>
      <c r="DI11" s="1494"/>
      <c r="DJ11" s="1494" t="s">
        <v>1375</v>
      </c>
      <c r="DK11" s="1494"/>
      <c r="DL11" s="1494" t="s">
        <v>1375</v>
      </c>
      <c r="DM11" s="1494"/>
      <c r="DN11" s="1494" t="s">
        <v>1375</v>
      </c>
      <c r="DO11" s="1500"/>
      <c r="DP11" s="321"/>
      <c r="DQ11" s="441"/>
      <c r="EC11" s="321" t="s">
        <v>462</v>
      </c>
      <c r="ED11" s="321" t="s">
        <v>458</v>
      </c>
      <c r="EN11" s="321" t="s">
        <v>456</v>
      </c>
      <c r="EO11" s="321" t="s">
        <v>456</v>
      </c>
      <c r="EQ11" s="321" t="s">
        <v>458</v>
      </c>
      <c r="EY11" s="321" t="s">
        <v>456</v>
      </c>
      <c r="EZ11" s="321" t="s">
        <v>456</v>
      </c>
      <c r="FA11" s="321"/>
      <c r="FB11" s="321"/>
      <c r="FC11" s="321"/>
      <c r="FD11" s="321"/>
      <c r="FE11" s="321"/>
      <c r="FF11" s="321"/>
    </row>
    <row r="12" spans="1:163" ht="13.5" thickTop="1" x14ac:dyDescent="0.2">
      <c r="A12" s="262" t="s">
        <v>374</v>
      </c>
      <c r="B12" s="262">
        <f>H9</f>
        <v>1</v>
      </c>
      <c r="C12" s="262">
        <f>$C$6</f>
        <v>1</v>
      </c>
      <c r="D12" s="429" t="s">
        <v>176</v>
      </c>
      <c r="E12" s="430" t="str">
        <f>"SG " &amp; H9</f>
        <v>SG 1</v>
      </c>
      <c r="F12" s="430">
        <v>0</v>
      </c>
      <c r="G12" s="263" t="s">
        <v>548</v>
      </c>
      <c r="H12" s="220" t="e">
        <f>SUM(#REF!)</f>
        <v>#REF!</v>
      </c>
      <c r="I12" s="258" t="e">
        <f>MIN(#REF!)</f>
        <v>#REF!</v>
      </c>
      <c r="J12" s="248" t="str">
        <f>IF($C$3&gt;0,"",IF(C12&gt;0,"",($D$4)))</f>
        <v/>
      </c>
      <c r="K12" s="248" t="e">
        <f>SUM(#REF!*#REF!)/$U$12</f>
        <v>#REF!</v>
      </c>
      <c r="L12" s="257" t="str">
        <f>IF($C$3&gt;0,"",IF(C12&gt;0,"",IF(($J$4)&gt;1,I12,LegendSG1RGT_Skid)))</f>
        <v/>
      </c>
      <c r="M12" s="248" t="str">
        <f>IF($C$3&gt;0,"",IF(C12&gt;0,"",DT12))</f>
        <v/>
      </c>
      <c r="N12" s="248"/>
      <c r="O12" s="248"/>
      <c r="P12" s="220"/>
      <c r="Q12" s="248"/>
      <c r="R12" s="220" t="str">
        <f>IF($C$3&gt;0,IF(S12=0,"",U12/(S12*60*0.13368)),"")</f>
        <v/>
      </c>
      <c r="S12" s="220"/>
      <c r="T12" s="250"/>
      <c r="U12" s="248" t="e">
        <f>SUM(#REF!)</f>
        <v>#REF!</v>
      </c>
      <c r="V12" s="257"/>
      <c r="W12" s="247"/>
      <c r="X12" s="312"/>
      <c r="Y12" s="246"/>
      <c r="Z12" s="218"/>
      <c r="AA12" s="250"/>
      <c r="AB12" s="219"/>
      <c r="AC12" s="220"/>
      <c r="AD12" s="219"/>
      <c r="AE12" s="218"/>
      <c r="AF12" s="245"/>
      <c r="AG12" s="245"/>
      <c r="AH12" s="298"/>
      <c r="AI12" s="253"/>
      <c r="AJ12" s="252"/>
      <c r="AK12" s="218"/>
      <c r="AL12" s="220"/>
      <c r="AM12" s="219"/>
      <c r="AN12" s="218"/>
      <c r="AO12" s="245"/>
      <c r="AP12" s="245"/>
      <c r="AQ12" s="251"/>
      <c r="AR12" s="219"/>
      <c r="AS12" s="248"/>
      <c r="AT12" s="245"/>
      <c r="AU12" s="245"/>
      <c r="AV12" s="251"/>
      <c r="AW12" s="219"/>
      <c r="AX12" s="248"/>
      <c r="AY12" s="1459"/>
      <c r="AZ12" s="438"/>
      <c r="BA12" s="246"/>
      <c r="BB12" s="218"/>
      <c r="BC12" s="250"/>
      <c r="BD12" s="219"/>
      <c r="BE12" s="220"/>
      <c r="BF12" s="219"/>
      <c r="BG12" s="218"/>
      <c r="BH12" s="245"/>
      <c r="BI12" s="245"/>
      <c r="BJ12" s="243"/>
      <c r="BK12" s="312"/>
      <c r="BL12" s="248"/>
      <c r="BM12" s="248"/>
      <c r="BN12" s="248"/>
      <c r="BO12" s="220"/>
      <c r="BP12" s="247"/>
      <c r="BQ12" s="287"/>
      <c r="BR12" s="246"/>
      <c r="BS12" s="220"/>
      <c r="BT12" s="220"/>
      <c r="BU12" s="220"/>
      <c r="BV12" s="219"/>
      <c r="BW12" s="218"/>
      <c r="BX12" s="245"/>
      <c r="BY12" s="245"/>
      <c r="BZ12" s="243"/>
      <c r="CA12" s="314" t="s">
        <v>177</v>
      </c>
      <c r="CC12" s="313">
        <v>0</v>
      </c>
      <c r="CD12" s="316"/>
      <c r="CE12" s="242"/>
      <c r="CF12" s="241"/>
      <c r="CH12" s="213">
        <f>IF(OR(AB12&lt;($AB$4),AB12&gt;($AC$4)),1,0)</f>
        <v>0</v>
      </c>
      <c r="CI12" s="213">
        <f>IF(OR(BD12&lt;($BD$4),BD12&gt;($BE$4)),1,0)</f>
        <v>0</v>
      </c>
      <c r="CJ12" s="213">
        <f>IF(BN12&lt;($F$4),1,0)</f>
        <v>0</v>
      </c>
      <c r="CK12" s="213">
        <f>IF(AND((LEFT('Legend(Skid)'!$U$1,1)="C"),BN12&gt;$F$4),0,IF(BO12&lt;($E$4),1,0))</f>
        <v>0</v>
      </c>
      <c r="CL12" s="213">
        <f>IF(AND((LEFT('Legend(Skid)'!$U$1,1)="C"),BN12&gt;$F$4),0,IF(BP12&lt;($D$4),1,0))</f>
        <v>0</v>
      </c>
      <c r="CM12" s="213">
        <f>IF(BS12&gt;($BS$4),1,0)</f>
        <v>0</v>
      </c>
      <c r="CN12" s="213">
        <f>IF(BU12&gt;($BT$4),1,0)</f>
        <v>0</v>
      </c>
      <c r="CO12" s="213">
        <f>SUM(CH12:CN12)</f>
        <v>0</v>
      </c>
      <c r="CQ12" s="304" t="s">
        <v>171</v>
      </c>
      <c r="CR12" s="213">
        <f t="shared" ref="CR12:DC12" si="0">IF($W12="Single",IF($AG12="",IF($AF12=CR$8,$X12,0),IF($AG12=CR$8,$X12,0)),0)</f>
        <v>0</v>
      </c>
      <c r="CS12" s="213">
        <f t="shared" si="0"/>
        <v>0</v>
      </c>
      <c r="CT12" s="213">
        <f t="shared" si="0"/>
        <v>0</v>
      </c>
      <c r="CU12" s="213">
        <f t="shared" si="0"/>
        <v>0</v>
      </c>
      <c r="CV12" s="213">
        <f t="shared" si="0"/>
        <v>0</v>
      </c>
      <c r="CW12" s="213">
        <f t="shared" si="0"/>
        <v>0</v>
      </c>
      <c r="CX12" s="213">
        <f t="shared" si="0"/>
        <v>0</v>
      </c>
      <c r="CY12" s="213">
        <f t="shared" si="0"/>
        <v>0</v>
      </c>
      <c r="CZ12" s="213">
        <f t="shared" si="0"/>
        <v>0</v>
      </c>
      <c r="DA12" s="213">
        <f t="shared" si="0"/>
        <v>0</v>
      </c>
      <c r="DB12" s="213">
        <f t="shared" si="0"/>
        <v>0</v>
      </c>
      <c r="DC12" s="213">
        <f t="shared" si="0"/>
        <v>0</v>
      </c>
      <c r="DE12" s="304" t="str">
        <f>IF(AG12="",IF(X12=0,TEXT(AF12,"# 0/0")&amp;"*",TEXT(AF12,"# 0/0")),IF(X12=0,TEXT(AG12,"# 0/0")&amp;"*",TEXT(AG12,"# 0/0")))</f>
        <v>0/1*</v>
      </c>
      <c r="DF12" s="25" t="str">
        <f>IF(AP12="",IF(X12=0,TEXT(AO12,"# 0/0")&amp;"*",TEXT(AO12,"# 0/0")),IF(X12=0,TEXT(AP12,"# 0/0")&amp;"*",TEXT(AP12,"# 0/0")))</f>
        <v>0/1*</v>
      </c>
      <c r="DG12" s="25" t="str">
        <f>IF(AU12="",IF(X12=0,TEXT(AT12,"# 0/0")&amp;"*",TEXT(AT12,"# 0/0")),IF(X12=0,TEXT(AU12,"# 0/0")&amp;"*",TEXT(AU12,"# 0/0")))</f>
        <v>0/1*</v>
      </c>
      <c r="DH12" s="1509" t="s">
        <v>1617</v>
      </c>
      <c r="DI12" s="1510" t="str">
        <f>IF($BI12="",TEXT($BH12, "# 0/0"),TEXT($BI12, "# 0/0"))</f>
        <v>0/1</v>
      </c>
      <c r="DJ12" s="1616"/>
      <c r="DK12" s="1510" t="str">
        <f>IF(W12="Double",DF12 &amp; " &amp; " &amp; DG12,DE12)</f>
        <v>0/1*</v>
      </c>
      <c r="DL12" s="1616"/>
      <c r="DM12" s="1510" t="str">
        <f>IF($BY12="",IF($C$3&gt;0,$BX12-0.125,TEXT($BX12, "# 0/0")),IF($C$3&gt;0,$BY12-0.125,TEXT($BY12, "# 0/0")))</f>
        <v>0/1</v>
      </c>
      <c r="DN12" s="1616"/>
      <c r="DO12" s="1511">
        <f>IF($C$3&gt;0,2*$BQ12,$BQ12)</f>
        <v>0</v>
      </c>
      <c r="DQ12" s="433"/>
      <c r="DR12" s="1253" t="str">
        <f>J12</f>
        <v/>
      </c>
      <c r="DS12" s="1253" t="str">
        <f>IF(C12&gt;0,"",(Pressure($B$3,"Tliq","e",$J12)+Pressure($B$3,"Tvap","e",$J12))/2)</f>
        <v/>
      </c>
      <c r="DT12" s="1253" t="str">
        <f>IF(C12&gt;0,"",Pressure($B$3,"tvap","e",$J12+0.5*$DZ12))</f>
        <v/>
      </c>
      <c r="DU12" s="1253" t="e">
        <f>I12</f>
        <v>#REF!</v>
      </c>
      <c r="DV12" s="1253" t="str">
        <f>IF(C12&gt;0,"",(Pressure($B$3,"Tliq","e",$I12)+Pressure($B$3,"Tvap","e",$I12))/2)</f>
        <v/>
      </c>
      <c r="DW12" s="1253" t="str">
        <f>IF(C12&gt;0,"",Pressure($B$3,"tvap","e",$I12+0.5*$DZ12))</f>
        <v/>
      </c>
      <c r="DX12" s="1260" t="str">
        <f>IF(C12&gt;0,"",1-(Enthalpy($B$3,"pvap","e",$DV12)-(IF($G$4+0.5*($DR$4)&gt;($H$4),Enthalpy($B$3,"Tliq","e",($G$4)),Enthalpy($B$3,"tp","e",($G$4),($I$4)))))/(Enthalpy($B$3,"pvap","e",$DV12)-Enthalpy($B$3,"pliq","e",$DV12)))</f>
        <v/>
      </c>
      <c r="DY12" s="1253" t="str">
        <f>IF(C12&gt;0,"",TEMPERATURE($B$3,"pvap","e",$DS12)-TEMPERATURE($B$3,"pliq","e",$DS12))</f>
        <v/>
      </c>
      <c r="DZ12" s="1253" t="e">
        <f>(1-$DX12)*$DY12</f>
        <v>#VALUE!</v>
      </c>
      <c r="EA12" s="1261"/>
      <c r="EB12" s="1262" t="e">
        <f>T12/AA12</f>
        <v>#DIV/0!</v>
      </c>
      <c r="EC12" s="1260" t="e">
        <f>1/(((1/($J$4))/Z12)+((1-(1/($J$4)))/S12))</f>
        <v>#VALUE!</v>
      </c>
      <c r="ED12" s="1263">
        <f>SQRT(AH12*4/PI())</f>
        <v>0</v>
      </c>
      <c r="EE12" s="1262" t="e">
        <f>(((U12/AH12)^2)*ED12)*(1/3600)*(1/3600)/(EC12*SurfaceTension($B$3,"TLIQ","E",I12))/32.174</f>
        <v>#REF!</v>
      </c>
      <c r="EF12" s="1260" t="e">
        <f>((S12/Z12)^0.91)*((AA12/T12)^0.19)*((1-(AA12/T12))^0.7)</f>
        <v>#DIV/0!</v>
      </c>
      <c r="EG12" s="1264" t="e">
        <f>((1/($J$4))^0.78)*((1-(1/($J$4)))^0.224)</f>
        <v>#VALUE!</v>
      </c>
      <c r="EH12" s="1260" t="e">
        <f>(1-(1/($J$4)))^2+(((1/($J$4))^2)*S12*AE12/(Z12*EM12))</f>
        <v>#VALUE!</v>
      </c>
      <c r="EI12" s="1262" t="e">
        <f>((U12/AH12)^2)*(1/3600)*(1/3600)/(32.174*ED12*(EC12^2))</f>
        <v>#REF!</v>
      </c>
      <c r="EJ12" s="1253" t="e">
        <f>EH12+(3.24*EG12*EF12/((EI12^0.045)*(EE12^0.035)))</f>
        <v>#VALUE!</v>
      </c>
      <c r="EK12" s="1260" t="e">
        <f>vel(U12,S12,AH12)</f>
        <v>#VALUE!</v>
      </c>
      <c r="EL12" s="1262" t="e">
        <f>(((EK12/60)*S12)/T12)*((VLOOKUP(IF(AG12="",AF12,AG12),'Pipe Data'!F$7:G$19,2,FALSE))/12)</f>
        <v>#VALUE!</v>
      </c>
      <c r="EM12" s="1264" t="e">
        <f>(0.25/(LOG(5.74/(EL12^0.9))+((VLOOKUP(IF(AG12="",AF12,AG12),'Pipe Data'!J$7:X$19,15,FALSE))/3.7))^2)</f>
        <v>#VALUE!</v>
      </c>
      <c r="EN12" s="1264" t="e">
        <f>pdrop(EM12,Y12,S12,EK12,IF(AG12="",AF12,AG12))</f>
        <v>#VALUE!</v>
      </c>
      <c r="EO12" s="1260" t="e">
        <f>EN12*EJ12</f>
        <v>#VALUE!</v>
      </c>
      <c r="EP12" s="1261"/>
      <c r="EQ12" s="1263">
        <f>SQRT(BJ12*4/PI())</f>
        <v>0</v>
      </c>
      <c r="ER12" s="1262" t="e">
        <f>(((U12/BJ12)^2)*EQ12)*(1/3600)*(1/3600)/(EC12*SurfaceTension($B$3,"TLIQ","E",I12))/32.174</f>
        <v>#REF!</v>
      </c>
      <c r="ES12" s="1260" t="e">
        <f>(1-(1/($J$4)))^2+(((1/($J$4))^2)*S12*BG12/(Z12*EM12))</f>
        <v>#VALUE!</v>
      </c>
      <c r="ET12" s="1253" t="e">
        <f>((U12/BJ12)^2)*(1/3600)*(1/3600)/(32.174*EQ12*(EC12^2))</f>
        <v>#REF!</v>
      </c>
      <c r="EU12" s="1260" t="e">
        <f>ES12+(3.24*EG12*EF12/((ET12^0.045)*(ER12^0.035)))</f>
        <v>#VALUE!</v>
      </c>
      <c r="EV12" s="1260" t="e">
        <f>vel(U12,S12,BJ12)</f>
        <v>#VALUE!</v>
      </c>
      <c r="EW12" s="1262" t="e">
        <f>(((EV12/60)*S12)/T12)*((VLOOKUP(IF(BI12="",BH12,BI12),'Pipe Data'!F$7:G$19,2,FALSE))/12)</f>
        <v>#VALUE!</v>
      </c>
      <c r="EX12" s="1264" t="e">
        <f>(0.25/(LOG(5.74/(EW12^0.9))+((VLOOKUP(IF(BI12="",BH12,BI12),'Pipe Data'!J$7:X$19,15,FALSE))/3.7))^2)</f>
        <v>#VALUE!</v>
      </c>
      <c r="EY12" s="1260" t="e">
        <f>pdrop(EX12,BA12,S12,EV12,IF(BI12="",BH12,BI12))</f>
        <v>#VALUE!</v>
      </c>
      <c r="EZ12" s="1260" t="e">
        <f>EY12*EU12</f>
        <v>#VALUE!</v>
      </c>
      <c r="FA12" s="213">
        <f>IF(AB12&lt;($AB$4),1,0)</f>
        <v>0</v>
      </c>
      <c r="FB12" s="304"/>
      <c r="FC12" s="304"/>
      <c r="FD12" s="304"/>
      <c r="FE12" s="304"/>
      <c r="FF12" s="304"/>
    </row>
    <row r="13" spans="1:163" ht="12.75" hidden="1" customHeight="1" x14ac:dyDescent="0.2">
      <c r="A13" s="240"/>
      <c r="B13" s="240"/>
      <c r="C13" s="240"/>
      <c r="D13" s="236"/>
      <c r="E13" s="235"/>
      <c r="F13" s="234"/>
      <c r="G13" s="234"/>
      <c r="H13" s="223"/>
      <c r="I13" s="224"/>
      <c r="J13" s="224"/>
      <c r="K13" s="224"/>
      <c r="L13" s="221"/>
      <c r="M13" s="223"/>
      <c r="N13" s="223"/>
      <c r="O13" s="223"/>
      <c r="P13" s="223"/>
      <c r="Q13" s="224"/>
      <c r="R13" s="223"/>
      <c r="S13" s="223"/>
      <c r="T13" s="227"/>
      <c r="U13" s="224"/>
      <c r="V13" s="224"/>
      <c r="W13" s="222"/>
      <c r="X13" s="229"/>
      <c r="Y13" s="221"/>
      <c r="Z13" s="221"/>
      <c r="AA13" s="221"/>
      <c r="AB13" s="221"/>
      <c r="AC13" s="221"/>
      <c r="AD13" s="221"/>
      <c r="AE13" s="221"/>
      <c r="AF13" s="221"/>
      <c r="AG13" s="221"/>
      <c r="AH13" s="226"/>
      <c r="AI13" s="239"/>
      <c r="AJ13" s="238"/>
      <c r="AK13" s="228"/>
      <c r="AL13" s="223"/>
      <c r="AM13" s="230"/>
      <c r="AN13" s="228"/>
      <c r="AO13" s="232"/>
      <c r="AQ13" s="231"/>
      <c r="AR13" s="230"/>
      <c r="AS13" s="224"/>
      <c r="AT13" s="232"/>
      <c r="AV13" s="231"/>
      <c r="AW13" s="230"/>
      <c r="AX13" s="224"/>
      <c r="AY13" s="1460"/>
      <c r="AZ13" s="229"/>
      <c r="BA13" s="221"/>
      <c r="BB13" s="228"/>
      <c r="BC13" s="227"/>
      <c r="BD13" s="227"/>
      <c r="BE13" s="227"/>
      <c r="BF13" s="227"/>
      <c r="BG13" s="227"/>
      <c r="BH13" s="227"/>
      <c r="BI13" s="227"/>
      <c r="BJ13" s="315"/>
      <c r="BK13" s="225"/>
      <c r="BL13" s="224"/>
      <c r="BM13" s="224"/>
      <c r="BN13" s="224"/>
      <c r="BO13" s="223"/>
      <c r="BP13" s="222"/>
      <c r="BQ13" s="229"/>
      <c r="BR13" s="221"/>
      <c r="BS13" s="221"/>
      <c r="BT13" s="221"/>
      <c r="BU13" s="221"/>
      <c r="BV13" s="221"/>
      <c r="BW13" s="221"/>
      <c r="BX13" s="221"/>
      <c r="BY13" s="221"/>
      <c r="BZ13" s="226"/>
      <c r="CA13" s="229"/>
      <c r="CC13" s="313"/>
      <c r="CD13" s="317"/>
      <c r="CE13" s="215"/>
      <c r="CF13" s="214"/>
      <c r="CQ13" s="304" t="s">
        <v>154</v>
      </c>
      <c r="CR13" s="213">
        <f t="shared" ref="CR13:DC13" si="1">IF($BI12="",IF($BH12=CR$8,$AZ12,0),IF($BI12=CR$8,$AZ12,0))</f>
        <v>0</v>
      </c>
      <c r="CS13" s="213">
        <f t="shared" si="1"/>
        <v>0</v>
      </c>
      <c r="CT13" s="213">
        <f t="shared" si="1"/>
        <v>0</v>
      </c>
      <c r="CU13" s="213">
        <f t="shared" si="1"/>
        <v>0</v>
      </c>
      <c r="CV13" s="213">
        <f t="shared" si="1"/>
        <v>0</v>
      </c>
      <c r="CW13" s="213">
        <f t="shared" si="1"/>
        <v>0</v>
      </c>
      <c r="CX13" s="213">
        <f t="shared" si="1"/>
        <v>0</v>
      </c>
      <c r="CY13" s="213">
        <f t="shared" si="1"/>
        <v>0</v>
      </c>
      <c r="CZ13" s="213">
        <f t="shared" si="1"/>
        <v>0</v>
      </c>
      <c r="DA13" s="213">
        <f t="shared" si="1"/>
        <v>0</v>
      </c>
      <c r="DB13" s="213">
        <f t="shared" si="1"/>
        <v>0</v>
      </c>
      <c r="DC13" s="213">
        <f t="shared" si="1"/>
        <v>0</v>
      </c>
      <c r="DH13" s="1503"/>
      <c r="DI13" s="320"/>
      <c r="DJ13" s="1617"/>
      <c r="DK13" s="320"/>
      <c r="DL13" s="1617"/>
      <c r="DM13" s="320"/>
      <c r="DN13" s="1617"/>
      <c r="DO13" s="1504"/>
      <c r="DQ13" s="433"/>
      <c r="DR13" s="1231"/>
      <c r="DS13" s="213"/>
      <c r="DT13" s="213"/>
      <c r="DU13" s="1231"/>
      <c r="DV13" s="1231"/>
      <c r="DW13" s="1231"/>
      <c r="DX13" s="444"/>
      <c r="DY13" s="1231"/>
      <c r="DZ13" s="1231"/>
      <c r="EA13" s="213"/>
      <c r="EB13" s="213"/>
      <c r="EC13" s="213"/>
      <c r="ED13" s="213"/>
      <c r="EE13" s="213"/>
      <c r="EF13" s="213"/>
      <c r="EG13" s="213"/>
      <c r="EH13" s="213"/>
      <c r="EI13" s="213"/>
      <c r="EJ13" s="213"/>
      <c r="EK13" s="213"/>
      <c r="EL13" s="213"/>
      <c r="EM13" s="213"/>
      <c r="EN13" s="213"/>
      <c r="EO13" s="213"/>
      <c r="EP13" s="213"/>
      <c r="EQ13" s="213"/>
      <c r="ER13" s="213"/>
      <c r="ES13" s="213"/>
      <c r="ET13" s="213"/>
      <c r="EU13" s="213"/>
      <c r="EV13" s="213"/>
      <c r="EW13" s="213"/>
      <c r="EX13" s="213"/>
      <c r="EY13" s="213"/>
      <c r="EZ13" s="213"/>
      <c r="FA13" s="304"/>
      <c r="FB13" s="304"/>
      <c r="FC13" s="304"/>
      <c r="FD13" s="304"/>
      <c r="FE13" s="304"/>
      <c r="FF13" s="304"/>
    </row>
    <row r="14" spans="1:163" ht="12.75" hidden="1" customHeight="1" x14ac:dyDescent="0.2">
      <c r="A14" s="240"/>
      <c r="B14" s="240"/>
      <c r="C14" s="240"/>
      <c r="D14" s="236"/>
      <c r="E14" s="235"/>
      <c r="F14" s="234"/>
      <c r="G14" s="234"/>
      <c r="H14" s="223"/>
      <c r="I14" s="224"/>
      <c r="J14" s="224"/>
      <c r="K14" s="224"/>
      <c r="L14" s="221"/>
      <c r="M14" s="223"/>
      <c r="N14" s="223"/>
      <c r="O14" s="223"/>
      <c r="P14" s="223"/>
      <c r="Q14" s="224"/>
      <c r="R14" s="223"/>
      <c r="S14" s="223"/>
      <c r="T14" s="227"/>
      <c r="U14" s="224"/>
      <c r="V14" s="224"/>
      <c r="W14" s="222"/>
      <c r="X14" s="229"/>
      <c r="Y14" s="221"/>
      <c r="Z14" s="221"/>
      <c r="AA14" s="221"/>
      <c r="AB14" s="221"/>
      <c r="AC14" s="221"/>
      <c r="AD14" s="221"/>
      <c r="AE14" s="221"/>
      <c r="AF14" s="221"/>
      <c r="AG14" s="221"/>
      <c r="AH14" s="226"/>
      <c r="AI14" s="239"/>
      <c r="AJ14" s="238"/>
      <c r="AK14" s="228"/>
      <c r="AL14" s="223"/>
      <c r="AM14" s="230"/>
      <c r="AN14" s="228"/>
      <c r="AO14" s="232"/>
      <c r="AQ14" s="231"/>
      <c r="AR14" s="230"/>
      <c r="AS14" s="224"/>
      <c r="AT14" s="232"/>
      <c r="AV14" s="231"/>
      <c r="AW14" s="230"/>
      <c r="AX14" s="224"/>
      <c r="AY14" s="1460"/>
      <c r="AZ14" s="229"/>
      <c r="BA14" s="221"/>
      <c r="BB14" s="228"/>
      <c r="BC14" s="227"/>
      <c r="BD14" s="227"/>
      <c r="BE14" s="227"/>
      <c r="BF14" s="227"/>
      <c r="BG14" s="227"/>
      <c r="BH14" s="227"/>
      <c r="BI14" s="227"/>
      <c r="BJ14" s="315"/>
      <c r="BK14" s="225"/>
      <c r="BL14" s="224"/>
      <c r="BM14" s="224"/>
      <c r="BN14" s="224"/>
      <c r="BO14" s="223"/>
      <c r="BP14" s="222"/>
      <c r="BQ14" s="229"/>
      <c r="BR14" s="221"/>
      <c r="BS14" s="221"/>
      <c r="BT14" s="221"/>
      <c r="BU14" s="221"/>
      <c r="BV14" s="221"/>
      <c r="BW14" s="221"/>
      <c r="BX14" s="221"/>
      <c r="BY14" s="221"/>
      <c r="BZ14" s="226"/>
      <c r="CA14" s="229"/>
      <c r="CC14" s="313"/>
      <c r="CD14" s="317"/>
      <c r="CE14" s="215"/>
      <c r="CF14" s="214"/>
      <c r="CQ14" s="304" t="s">
        <v>155</v>
      </c>
      <c r="CR14" s="213">
        <f t="shared" ref="CR14:DC14" si="2">IF($BY12="",IF($BX12=CR$8,$BQ12,0),IF($BY12=CR$8,$BQ12,0))</f>
        <v>0</v>
      </c>
      <c r="CS14" s="213">
        <f t="shared" si="2"/>
        <v>0</v>
      </c>
      <c r="CT14" s="213">
        <f t="shared" si="2"/>
        <v>0</v>
      </c>
      <c r="CU14" s="213">
        <f t="shared" si="2"/>
        <v>0</v>
      </c>
      <c r="CV14" s="213">
        <f t="shared" si="2"/>
        <v>0</v>
      </c>
      <c r="CW14" s="213">
        <f t="shared" si="2"/>
        <v>0</v>
      </c>
      <c r="CX14" s="213">
        <f t="shared" si="2"/>
        <v>0</v>
      </c>
      <c r="CY14" s="213">
        <f t="shared" si="2"/>
        <v>0</v>
      </c>
      <c r="CZ14" s="213">
        <f t="shared" si="2"/>
        <v>0</v>
      </c>
      <c r="DA14" s="213">
        <f t="shared" si="2"/>
        <v>0</v>
      </c>
      <c r="DB14" s="213">
        <f t="shared" si="2"/>
        <v>0</v>
      </c>
      <c r="DC14" s="213">
        <f t="shared" si="2"/>
        <v>0</v>
      </c>
      <c r="DH14" s="1503"/>
      <c r="DI14" s="320"/>
      <c r="DJ14" s="1617"/>
      <c r="DK14" s="320"/>
      <c r="DL14" s="1617"/>
      <c r="DM14" s="320"/>
      <c r="DN14" s="1617"/>
      <c r="DO14" s="1504"/>
      <c r="DQ14" s="433"/>
      <c r="DR14" s="1231"/>
      <c r="DS14" s="213"/>
      <c r="DT14" s="213"/>
      <c r="DU14" s="1231"/>
      <c r="DV14" s="1231"/>
      <c r="DW14" s="1231"/>
      <c r="DX14" s="444"/>
      <c r="DY14" s="1231"/>
      <c r="DZ14" s="1231"/>
      <c r="EA14" s="213"/>
      <c r="EB14" s="213"/>
      <c r="EC14" s="213"/>
      <c r="ED14" s="213"/>
      <c r="EE14" s="213"/>
      <c r="EF14" s="213"/>
      <c r="EG14" s="213"/>
      <c r="EH14" s="213"/>
      <c r="EI14" s="213"/>
      <c r="EJ14" s="213"/>
      <c r="EK14" s="213"/>
      <c r="EL14" s="213"/>
      <c r="EM14" s="213"/>
      <c r="EN14" s="213"/>
      <c r="EO14" s="213"/>
      <c r="EP14" s="213"/>
      <c r="EQ14" s="213"/>
      <c r="ER14" s="213"/>
      <c r="ES14" s="213"/>
      <c r="ET14" s="213"/>
      <c r="EU14" s="213"/>
      <c r="EV14" s="213"/>
      <c r="EW14" s="213"/>
      <c r="EX14" s="213"/>
      <c r="EY14" s="213"/>
      <c r="EZ14" s="213"/>
      <c r="FA14" s="304"/>
      <c r="FB14" s="304"/>
      <c r="FC14" s="304"/>
      <c r="FD14" s="304"/>
      <c r="FE14" s="304"/>
      <c r="FF14" s="304"/>
    </row>
    <row r="15" spans="1:163" ht="12.75" hidden="1" customHeight="1" x14ac:dyDescent="0.2">
      <c r="A15" s="240"/>
      <c r="B15" s="240"/>
      <c r="C15" s="240"/>
      <c r="D15" s="236"/>
      <c r="E15" s="235"/>
      <c r="F15" s="234"/>
      <c r="G15" s="234"/>
      <c r="H15" s="223"/>
      <c r="I15" s="224"/>
      <c r="J15" s="224"/>
      <c r="K15" s="224"/>
      <c r="L15" s="221"/>
      <c r="M15" s="223"/>
      <c r="N15" s="223"/>
      <c r="O15" s="223"/>
      <c r="P15" s="223"/>
      <c r="Q15" s="224"/>
      <c r="R15" s="223"/>
      <c r="S15" s="223"/>
      <c r="T15" s="227"/>
      <c r="U15" s="224"/>
      <c r="V15" s="224"/>
      <c r="W15" s="222"/>
      <c r="X15" s="229"/>
      <c r="Y15" s="221"/>
      <c r="Z15" s="221"/>
      <c r="AA15" s="221"/>
      <c r="AB15" s="221"/>
      <c r="AC15" s="221"/>
      <c r="AD15" s="221"/>
      <c r="AE15" s="221"/>
      <c r="AF15" s="221"/>
      <c r="AG15" s="221"/>
      <c r="AH15" s="226"/>
      <c r="AI15" s="239"/>
      <c r="AJ15" s="238"/>
      <c r="AK15" s="228"/>
      <c r="AL15" s="223"/>
      <c r="AM15" s="230"/>
      <c r="AN15" s="228"/>
      <c r="AO15" s="232"/>
      <c r="AQ15" s="231"/>
      <c r="AR15" s="230"/>
      <c r="AS15" s="224"/>
      <c r="AT15" s="232"/>
      <c r="AV15" s="231"/>
      <c r="AW15" s="230"/>
      <c r="AX15" s="224"/>
      <c r="AY15" s="1460"/>
      <c r="AZ15" s="229"/>
      <c r="BA15" s="221"/>
      <c r="BB15" s="228"/>
      <c r="BC15" s="227"/>
      <c r="BD15" s="227"/>
      <c r="BE15" s="227"/>
      <c r="BF15" s="227"/>
      <c r="BG15" s="227"/>
      <c r="BH15" s="227"/>
      <c r="BI15" s="227"/>
      <c r="BJ15" s="315"/>
      <c r="BK15" s="225"/>
      <c r="BL15" s="224"/>
      <c r="BM15" s="224"/>
      <c r="BN15" s="224"/>
      <c r="BO15" s="223"/>
      <c r="BP15" s="222"/>
      <c r="BQ15" s="229"/>
      <c r="BR15" s="221"/>
      <c r="BS15" s="221"/>
      <c r="BT15" s="221"/>
      <c r="BU15" s="221"/>
      <c r="BV15" s="221"/>
      <c r="BW15" s="221"/>
      <c r="BX15" s="221"/>
      <c r="BY15" s="221"/>
      <c r="BZ15" s="226"/>
      <c r="CA15" s="229"/>
      <c r="CC15" s="313"/>
      <c r="CD15" s="317"/>
      <c r="CE15" s="215"/>
      <c r="CF15" s="214"/>
      <c r="CQ15" s="25" t="s">
        <v>172</v>
      </c>
      <c r="CR15" s="213">
        <f t="shared" ref="CR15:DC15" si="3">IF($W12="double",IF($AP12="",IF($AO12=CR$8,$X12,0),IF($AP12=CR$8,$X12,0)),0)</f>
        <v>0</v>
      </c>
      <c r="CS15" s="213">
        <f t="shared" si="3"/>
        <v>0</v>
      </c>
      <c r="CT15" s="213">
        <f t="shared" si="3"/>
        <v>0</v>
      </c>
      <c r="CU15" s="213">
        <f t="shared" si="3"/>
        <v>0</v>
      </c>
      <c r="CV15" s="213">
        <f t="shared" si="3"/>
        <v>0</v>
      </c>
      <c r="CW15" s="213">
        <f t="shared" si="3"/>
        <v>0</v>
      </c>
      <c r="CX15" s="213">
        <f t="shared" si="3"/>
        <v>0</v>
      </c>
      <c r="CY15" s="213">
        <f t="shared" si="3"/>
        <v>0</v>
      </c>
      <c r="CZ15" s="213">
        <f t="shared" si="3"/>
        <v>0</v>
      </c>
      <c r="DA15" s="213">
        <f t="shared" si="3"/>
        <v>0</v>
      </c>
      <c r="DB15" s="213">
        <f t="shared" si="3"/>
        <v>0</v>
      </c>
      <c r="DC15" s="213">
        <f t="shared" si="3"/>
        <v>0</v>
      </c>
      <c r="DH15" s="1503"/>
      <c r="DI15" s="320"/>
      <c r="DJ15" s="1617"/>
      <c r="DK15" s="320"/>
      <c r="DL15" s="1617"/>
      <c r="DM15" s="320"/>
      <c r="DN15" s="1617"/>
      <c r="DO15" s="1504"/>
      <c r="DQ15" s="433"/>
      <c r="DR15" s="1231"/>
      <c r="DS15" s="213"/>
      <c r="DT15" s="213"/>
      <c r="DU15" s="1231"/>
      <c r="DV15" s="1231"/>
      <c r="DW15" s="1231"/>
      <c r="DX15" s="444"/>
      <c r="DY15" s="1231"/>
      <c r="DZ15" s="1231"/>
      <c r="EA15" s="213"/>
      <c r="EB15" s="213"/>
      <c r="EC15" s="213"/>
      <c r="ED15" s="213"/>
      <c r="EE15" s="213"/>
      <c r="EF15" s="213"/>
      <c r="EG15" s="213"/>
      <c r="EH15" s="213"/>
      <c r="EI15" s="213"/>
      <c r="EJ15" s="213"/>
      <c r="EK15" s="213"/>
      <c r="EL15" s="213"/>
      <c r="EM15" s="213"/>
      <c r="EN15" s="213"/>
      <c r="EO15" s="213"/>
      <c r="EP15" s="213"/>
      <c r="EQ15" s="213"/>
      <c r="ER15" s="213"/>
      <c r="ES15" s="213"/>
      <c r="ET15" s="213"/>
      <c r="EU15" s="213"/>
      <c r="EV15" s="213"/>
      <c r="EW15" s="213"/>
      <c r="EX15" s="213"/>
      <c r="EY15" s="213"/>
      <c r="EZ15" s="213"/>
      <c r="FA15" s="304"/>
      <c r="FB15" s="304"/>
      <c r="FC15" s="304"/>
      <c r="FD15" s="304"/>
      <c r="FE15" s="304"/>
      <c r="FF15" s="304"/>
    </row>
    <row r="16" spans="1:163" ht="12.75" hidden="1" customHeight="1" x14ac:dyDescent="0.2">
      <c r="A16" s="240"/>
      <c r="B16" s="240"/>
      <c r="C16" s="240"/>
      <c r="D16" s="236"/>
      <c r="E16" s="235"/>
      <c r="F16" s="234"/>
      <c r="G16" s="234"/>
      <c r="H16" s="223"/>
      <c r="I16" s="224"/>
      <c r="J16" s="224"/>
      <c r="K16" s="224"/>
      <c r="L16" s="221"/>
      <c r="M16" s="223"/>
      <c r="N16" s="223"/>
      <c r="O16" s="223"/>
      <c r="P16" s="223"/>
      <c r="Q16" s="224"/>
      <c r="R16" s="223"/>
      <c r="S16" s="223"/>
      <c r="T16" s="227"/>
      <c r="U16" s="224"/>
      <c r="V16" s="224"/>
      <c r="W16" s="222"/>
      <c r="X16" s="229"/>
      <c r="Y16" s="221"/>
      <c r="Z16" s="221"/>
      <c r="AA16" s="221"/>
      <c r="AB16" s="221"/>
      <c r="AC16" s="221"/>
      <c r="AD16" s="221"/>
      <c r="AE16" s="221"/>
      <c r="AF16" s="221"/>
      <c r="AG16" s="221"/>
      <c r="AH16" s="226"/>
      <c r="AI16" s="239"/>
      <c r="AJ16" s="238"/>
      <c r="AK16" s="228"/>
      <c r="AL16" s="223"/>
      <c r="AM16" s="230"/>
      <c r="AN16" s="228"/>
      <c r="AO16" s="232"/>
      <c r="AQ16" s="231"/>
      <c r="AR16" s="230"/>
      <c r="AS16" s="224"/>
      <c r="AT16" s="232"/>
      <c r="AV16" s="231"/>
      <c r="AW16" s="230"/>
      <c r="AX16" s="224"/>
      <c r="AY16" s="1460"/>
      <c r="AZ16" s="229"/>
      <c r="BA16" s="221"/>
      <c r="BB16" s="228"/>
      <c r="BC16" s="227"/>
      <c r="BD16" s="227"/>
      <c r="BE16" s="227"/>
      <c r="BF16" s="227"/>
      <c r="BG16" s="227"/>
      <c r="BH16" s="227"/>
      <c r="BI16" s="227"/>
      <c r="BJ16" s="315"/>
      <c r="BK16" s="225"/>
      <c r="BL16" s="224"/>
      <c r="BM16" s="224"/>
      <c r="BN16" s="224"/>
      <c r="BO16" s="223"/>
      <c r="BP16" s="222"/>
      <c r="BQ16" s="229"/>
      <c r="BR16" s="221"/>
      <c r="BS16" s="221"/>
      <c r="BT16" s="221"/>
      <c r="BU16" s="221"/>
      <c r="BV16" s="221"/>
      <c r="BW16" s="221"/>
      <c r="BX16" s="221"/>
      <c r="BY16" s="221"/>
      <c r="BZ16" s="226"/>
      <c r="CA16" s="229"/>
      <c r="CC16" s="313"/>
      <c r="CD16" s="317"/>
      <c r="CE16" s="215"/>
      <c r="CF16" s="214"/>
      <c r="CQ16" s="25" t="s">
        <v>173</v>
      </c>
      <c r="CR16" s="213">
        <f t="shared" ref="CR16:DC16" si="4">IF($W12="double",IF($AU12="",IF($AT12=CR$8,$X12,0),IF($AU12=CR$8,$X12,0)),0)</f>
        <v>0</v>
      </c>
      <c r="CS16" s="213">
        <f t="shared" si="4"/>
        <v>0</v>
      </c>
      <c r="CT16" s="213">
        <f t="shared" si="4"/>
        <v>0</v>
      </c>
      <c r="CU16" s="213">
        <f t="shared" si="4"/>
        <v>0</v>
      </c>
      <c r="CV16" s="213">
        <f t="shared" si="4"/>
        <v>0</v>
      </c>
      <c r="CW16" s="213">
        <f t="shared" si="4"/>
        <v>0</v>
      </c>
      <c r="CX16" s="213">
        <f t="shared" si="4"/>
        <v>0</v>
      </c>
      <c r="CY16" s="213">
        <f t="shared" si="4"/>
        <v>0</v>
      </c>
      <c r="CZ16" s="213">
        <f t="shared" si="4"/>
        <v>0</v>
      </c>
      <c r="DA16" s="213">
        <f t="shared" si="4"/>
        <v>0</v>
      </c>
      <c r="DB16" s="213">
        <f t="shared" si="4"/>
        <v>0</v>
      </c>
      <c r="DC16" s="213">
        <f t="shared" si="4"/>
        <v>0</v>
      </c>
      <c r="DH16" s="1503"/>
      <c r="DI16" s="320"/>
      <c r="DJ16" s="1617"/>
      <c r="DK16" s="320"/>
      <c r="DL16" s="1617"/>
      <c r="DM16" s="320"/>
      <c r="DN16" s="1617"/>
      <c r="DO16" s="1504"/>
      <c r="DQ16" s="433"/>
      <c r="DR16" s="1231"/>
      <c r="DS16" s="213"/>
      <c r="DT16" s="213"/>
      <c r="DU16" s="1231"/>
      <c r="DV16" s="1231"/>
      <c r="DW16" s="1231"/>
      <c r="DX16" s="444"/>
      <c r="DY16" s="1231"/>
      <c r="DZ16" s="1231"/>
      <c r="EA16" s="213"/>
      <c r="EB16" s="213"/>
      <c r="EC16" s="213"/>
      <c r="ED16" s="213"/>
      <c r="EE16" s="213"/>
      <c r="EF16" s="213"/>
      <c r="EG16" s="213"/>
      <c r="EH16" s="213"/>
      <c r="EI16" s="213"/>
      <c r="EJ16" s="213"/>
      <c r="EK16" s="213"/>
      <c r="EL16" s="213"/>
      <c r="EM16" s="213"/>
      <c r="EN16" s="213"/>
      <c r="EO16" s="213"/>
      <c r="EP16" s="213"/>
      <c r="EQ16" s="213"/>
      <c r="ER16" s="213"/>
      <c r="ES16" s="213"/>
      <c r="ET16" s="213"/>
      <c r="EU16" s="213"/>
      <c r="EV16" s="213"/>
      <c r="EW16" s="213"/>
      <c r="EX16" s="213"/>
      <c r="EY16" s="213"/>
      <c r="EZ16" s="213"/>
      <c r="FA16" s="304"/>
      <c r="FB16" s="304"/>
      <c r="FC16" s="304"/>
      <c r="FD16" s="304"/>
      <c r="FE16" s="304"/>
      <c r="FF16" s="304"/>
    </row>
    <row r="17" spans="1:163" ht="12.75" hidden="1" customHeight="1" x14ac:dyDescent="0.2">
      <c r="A17" s="240"/>
      <c r="B17" s="240"/>
      <c r="C17" s="240"/>
      <c r="D17" s="236"/>
      <c r="E17" s="235"/>
      <c r="F17" s="234"/>
      <c r="G17" s="234"/>
      <c r="H17" s="223"/>
      <c r="I17" s="224"/>
      <c r="J17" s="224"/>
      <c r="K17" s="224"/>
      <c r="L17" s="221"/>
      <c r="M17" s="223"/>
      <c r="N17" s="223"/>
      <c r="O17" s="223"/>
      <c r="P17" s="223"/>
      <c r="Q17" s="224"/>
      <c r="R17" s="223"/>
      <c r="S17" s="223"/>
      <c r="T17" s="227"/>
      <c r="U17" s="224"/>
      <c r="V17" s="224"/>
      <c r="W17" s="222"/>
      <c r="X17" s="229"/>
      <c r="Y17" s="221"/>
      <c r="Z17" s="221"/>
      <c r="AA17" s="221"/>
      <c r="AB17" s="221"/>
      <c r="AC17" s="221"/>
      <c r="AD17" s="221"/>
      <c r="AE17" s="221"/>
      <c r="AF17" s="221"/>
      <c r="AG17" s="221"/>
      <c r="AH17" s="226"/>
      <c r="AI17" s="239"/>
      <c r="AJ17" s="238"/>
      <c r="AK17" s="228"/>
      <c r="AL17" s="223"/>
      <c r="AM17" s="230"/>
      <c r="AN17" s="228"/>
      <c r="AO17" s="232"/>
      <c r="AQ17" s="231"/>
      <c r="AR17" s="230"/>
      <c r="AS17" s="224"/>
      <c r="AT17" s="232"/>
      <c r="AV17" s="231"/>
      <c r="AW17" s="230"/>
      <c r="AX17" s="224"/>
      <c r="AY17" s="1460"/>
      <c r="AZ17" s="229"/>
      <c r="BA17" s="221"/>
      <c r="BB17" s="228"/>
      <c r="BC17" s="227"/>
      <c r="BD17" s="227"/>
      <c r="BE17" s="227"/>
      <c r="BF17" s="227"/>
      <c r="BG17" s="227"/>
      <c r="BH17" s="227"/>
      <c r="BI17" s="227"/>
      <c r="BJ17" s="315"/>
      <c r="BK17" s="225"/>
      <c r="BL17" s="224"/>
      <c r="BM17" s="224"/>
      <c r="BN17" s="224"/>
      <c r="BO17" s="223"/>
      <c r="BP17" s="222"/>
      <c r="BQ17" s="229"/>
      <c r="BR17" s="221"/>
      <c r="BS17" s="221"/>
      <c r="BT17" s="221"/>
      <c r="BU17" s="221"/>
      <c r="BV17" s="221"/>
      <c r="BW17" s="221"/>
      <c r="BX17" s="221"/>
      <c r="BY17" s="221"/>
      <c r="BZ17" s="226"/>
      <c r="CA17" s="229"/>
      <c r="CC17" s="313"/>
      <c r="CD17" s="317"/>
      <c r="CE17" s="215"/>
      <c r="CF17" s="214"/>
      <c r="DH17" s="1503"/>
      <c r="DI17" s="320"/>
      <c r="DJ17" s="1617"/>
      <c r="DK17" s="320"/>
      <c r="DL17" s="1617"/>
      <c r="DM17" s="320"/>
      <c r="DN17" s="1617"/>
      <c r="DO17" s="1504"/>
      <c r="DQ17" s="433"/>
      <c r="DR17" s="1231"/>
      <c r="DS17" s="213"/>
      <c r="DT17" s="213"/>
      <c r="DU17" s="1231"/>
      <c r="DV17" s="1231"/>
      <c r="DW17" s="1231"/>
      <c r="DX17" s="444"/>
      <c r="DY17" s="1231"/>
      <c r="DZ17" s="1231"/>
      <c r="EA17" s="213"/>
      <c r="EB17" s="213"/>
      <c r="EC17" s="213"/>
      <c r="ED17" s="213"/>
      <c r="EE17" s="213"/>
      <c r="EF17" s="213"/>
      <c r="EG17" s="213"/>
      <c r="EH17" s="213"/>
      <c r="EI17" s="213"/>
      <c r="EJ17" s="213"/>
      <c r="EK17" s="213"/>
      <c r="EL17" s="213"/>
      <c r="EM17" s="213"/>
      <c r="EN17" s="213"/>
      <c r="EO17" s="213"/>
      <c r="EP17" s="213"/>
      <c r="EQ17" s="213"/>
      <c r="ER17" s="213"/>
      <c r="ES17" s="213"/>
      <c r="ET17" s="213"/>
      <c r="EU17" s="213"/>
      <c r="EV17" s="213"/>
      <c r="EW17" s="213"/>
      <c r="EX17" s="213"/>
      <c r="EY17" s="213"/>
      <c r="EZ17" s="213"/>
      <c r="FA17" s="304"/>
      <c r="FB17" s="304"/>
      <c r="FC17" s="304"/>
      <c r="FD17" s="304"/>
      <c r="FE17" s="304"/>
      <c r="FF17" s="304"/>
    </row>
    <row r="18" spans="1:163" ht="12.75" hidden="1" customHeight="1" x14ac:dyDescent="0.2">
      <c r="A18" s="240"/>
      <c r="B18" s="240"/>
      <c r="C18" s="240"/>
      <c r="D18" s="236"/>
      <c r="E18" s="235"/>
      <c r="F18" s="234"/>
      <c r="G18" s="234"/>
      <c r="H18" s="223"/>
      <c r="I18" s="224"/>
      <c r="J18" s="224"/>
      <c r="K18" s="224"/>
      <c r="L18" s="221"/>
      <c r="M18" s="223"/>
      <c r="N18" s="223"/>
      <c r="O18" s="223"/>
      <c r="P18" s="223"/>
      <c r="Q18" s="224"/>
      <c r="R18" s="223"/>
      <c r="S18" s="223"/>
      <c r="T18" s="227"/>
      <c r="U18" s="224"/>
      <c r="V18" s="224"/>
      <c r="W18" s="222"/>
      <c r="X18" s="229"/>
      <c r="Y18" s="221"/>
      <c r="Z18" s="221"/>
      <c r="AA18" s="221"/>
      <c r="AB18" s="221"/>
      <c r="AC18" s="221"/>
      <c r="AD18" s="221"/>
      <c r="AE18" s="221"/>
      <c r="AF18" s="221"/>
      <c r="AG18" s="221"/>
      <c r="AH18" s="226"/>
      <c r="AI18" s="239"/>
      <c r="AJ18" s="238"/>
      <c r="AK18" s="228"/>
      <c r="AL18" s="223"/>
      <c r="AM18" s="230"/>
      <c r="AN18" s="228"/>
      <c r="AO18" s="232"/>
      <c r="AQ18" s="231"/>
      <c r="AR18" s="230"/>
      <c r="AS18" s="224"/>
      <c r="AT18" s="232"/>
      <c r="AV18" s="231"/>
      <c r="AW18" s="230"/>
      <c r="AX18" s="224"/>
      <c r="AY18" s="1460"/>
      <c r="AZ18" s="229"/>
      <c r="BA18" s="221"/>
      <c r="BB18" s="228"/>
      <c r="BC18" s="227"/>
      <c r="BD18" s="227"/>
      <c r="BE18" s="227"/>
      <c r="BF18" s="227"/>
      <c r="BG18" s="227"/>
      <c r="BH18" s="227"/>
      <c r="BI18" s="227"/>
      <c r="BJ18" s="315"/>
      <c r="BK18" s="225"/>
      <c r="BL18" s="224"/>
      <c r="BM18" s="224"/>
      <c r="BN18" s="224"/>
      <c r="BO18" s="223"/>
      <c r="BP18" s="222"/>
      <c r="BQ18" s="229"/>
      <c r="BR18" s="221"/>
      <c r="BS18" s="221"/>
      <c r="BT18" s="221"/>
      <c r="BU18" s="221"/>
      <c r="BV18" s="221"/>
      <c r="BW18" s="221"/>
      <c r="BX18" s="221"/>
      <c r="BY18" s="221"/>
      <c r="BZ18" s="226"/>
      <c r="CA18" s="229"/>
      <c r="CC18" s="313"/>
      <c r="CD18" s="317"/>
      <c r="CE18" s="215"/>
      <c r="CF18" s="214"/>
      <c r="DH18" s="1503"/>
      <c r="DI18" s="320"/>
      <c r="DJ18" s="1617"/>
      <c r="DK18" s="320"/>
      <c r="DL18" s="1617"/>
      <c r="DM18" s="320"/>
      <c r="DN18" s="1617"/>
      <c r="DO18" s="1504"/>
      <c r="DQ18" s="433"/>
      <c r="DR18" s="1231"/>
      <c r="DS18" s="213"/>
      <c r="DT18" s="213"/>
      <c r="DU18" s="1231"/>
      <c r="DV18" s="1231"/>
      <c r="DW18" s="1231"/>
      <c r="DX18" s="444"/>
      <c r="DY18" s="1231"/>
      <c r="DZ18" s="1231"/>
      <c r="EA18" s="213"/>
      <c r="EB18" s="213"/>
      <c r="EC18" s="213"/>
      <c r="ED18" s="213"/>
      <c r="EE18" s="213"/>
      <c r="EF18" s="213"/>
      <c r="EG18" s="213"/>
      <c r="EH18" s="213"/>
      <c r="EI18" s="213"/>
      <c r="EJ18" s="213"/>
      <c r="EK18" s="213"/>
      <c r="EL18" s="213"/>
      <c r="EM18" s="213"/>
      <c r="EN18" s="213"/>
      <c r="EO18" s="213"/>
      <c r="EP18" s="213"/>
      <c r="EQ18" s="213"/>
      <c r="ER18" s="213"/>
      <c r="ES18" s="213"/>
      <c r="ET18" s="213"/>
      <c r="EU18" s="213"/>
      <c r="EV18" s="213"/>
      <c r="EW18" s="213"/>
      <c r="EX18" s="213"/>
      <c r="EY18" s="213"/>
      <c r="EZ18" s="213"/>
      <c r="FA18" s="304"/>
      <c r="FB18" s="304"/>
      <c r="FC18" s="304"/>
      <c r="FD18" s="304"/>
      <c r="FE18" s="304"/>
      <c r="FF18" s="304"/>
    </row>
    <row r="19" spans="1:163" ht="12.75" hidden="1" customHeight="1" x14ac:dyDescent="0.2">
      <c r="A19" s="240"/>
      <c r="B19" s="240"/>
      <c r="C19" s="240"/>
      <c r="D19" s="236"/>
      <c r="E19" s="235"/>
      <c r="F19" s="234"/>
      <c r="G19" s="234"/>
      <c r="H19" s="223"/>
      <c r="I19" s="224"/>
      <c r="J19" s="224"/>
      <c r="K19" s="224"/>
      <c r="L19" s="221"/>
      <c r="M19" s="223"/>
      <c r="N19" s="223"/>
      <c r="O19" s="223"/>
      <c r="P19" s="223"/>
      <c r="Q19" s="224"/>
      <c r="R19" s="223"/>
      <c r="S19" s="223"/>
      <c r="T19" s="227"/>
      <c r="U19" s="224"/>
      <c r="V19" s="224"/>
      <c r="W19" s="222"/>
      <c r="X19" s="229"/>
      <c r="Y19" s="221"/>
      <c r="Z19" s="221"/>
      <c r="AA19" s="221"/>
      <c r="AB19" s="221"/>
      <c r="AC19" s="221"/>
      <c r="AD19" s="221"/>
      <c r="AE19" s="221"/>
      <c r="AF19" s="221"/>
      <c r="AG19" s="221"/>
      <c r="AH19" s="226"/>
      <c r="AI19" s="239"/>
      <c r="AJ19" s="238"/>
      <c r="AK19" s="228"/>
      <c r="AL19" s="223"/>
      <c r="AM19" s="230"/>
      <c r="AN19" s="228"/>
      <c r="AO19" s="232"/>
      <c r="AQ19" s="231"/>
      <c r="AR19" s="230"/>
      <c r="AS19" s="224"/>
      <c r="AT19" s="232"/>
      <c r="AV19" s="231"/>
      <c r="AW19" s="230"/>
      <c r="AX19" s="224"/>
      <c r="AY19" s="1460"/>
      <c r="AZ19" s="229"/>
      <c r="BA19" s="221"/>
      <c r="BB19" s="228"/>
      <c r="BC19" s="227"/>
      <c r="BD19" s="227"/>
      <c r="BE19" s="227"/>
      <c r="BF19" s="227"/>
      <c r="BG19" s="227"/>
      <c r="BH19" s="227"/>
      <c r="BI19" s="227"/>
      <c r="BJ19" s="315"/>
      <c r="BK19" s="225"/>
      <c r="BL19" s="224"/>
      <c r="BM19" s="224"/>
      <c r="BN19" s="224"/>
      <c r="BO19" s="223"/>
      <c r="BP19" s="222"/>
      <c r="BQ19" s="229"/>
      <c r="BR19" s="221"/>
      <c r="BS19" s="221"/>
      <c r="BT19" s="221"/>
      <c r="BU19" s="221"/>
      <c r="BV19" s="221"/>
      <c r="BW19" s="221"/>
      <c r="BX19" s="221"/>
      <c r="BY19" s="221"/>
      <c r="BZ19" s="226"/>
      <c r="CA19" s="229"/>
      <c r="CC19" s="313"/>
      <c r="CD19" s="317"/>
      <c r="CE19" s="215"/>
      <c r="CF19" s="214"/>
      <c r="DH19" s="1503"/>
      <c r="DI19" s="320"/>
      <c r="DJ19" s="1617"/>
      <c r="DK19" s="320"/>
      <c r="DL19" s="1617"/>
      <c r="DM19" s="320"/>
      <c r="DN19" s="1617"/>
      <c r="DO19" s="1504"/>
      <c r="DQ19" s="433"/>
      <c r="DR19" s="1231"/>
      <c r="DS19" s="213"/>
      <c r="DT19" s="213"/>
      <c r="DU19" s="1231"/>
      <c r="DV19" s="1231"/>
      <c r="DW19" s="1231"/>
      <c r="DX19" s="444"/>
      <c r="DY19" s="1231"/>
      <c r="DZ19" s="1231"/>
      <c r="EA19" s="213"/>
      <c r="EB19" s="213"/>
      <c r="EC19" s="213"/>
      <c r="ED19" s="213"/>
      <c r="EE19" s="213"/>
      <c r="EF19" s="213"/>
      <c r="EG19" s="213"/>
      <c r="EH19" s="213"/>
      <c r="EI19" s="213"/>
      <c r="EJ19" s="213"/>
      <c r="EK19" s="213"/>
      <c r="EL19" s="213"/>
      <c r="EM19" s="213"/>
      <c r="EN19" s="213"/>
      <c r="EO19" s="213"/>
      <c r="EP19" s="213"/>
      <c r="EQ19" s="213"/>
      <c r="ER19" s="213"/>
      <c r="ES19" s="213"/>
      <c r="ET19" s="213"/>
      <c r="EU19" s="213"/>
      <c r="EV19" s="213"/>
      <c r="EW19" s="213"/>
      <c r="EX19" s="213"/>
      <c r="EY19" s="213"/>
      <c r="EZ19" s="213"/>
      <c r="FA19" s="304"/>
      <c r="FB19" s="304"/>
      <c r="FC19" s="304"/>
      <c r="FD19" s="304"/>
      <c r="FE19" s="304"/>
      <c r="FF19" s="304"/>
    </row>
    <row r="20" spans="1:163" ht="12.75" hidden="1" customHeight="1" x14ac:dyDescent="0.2">
      <c r="A20" s="240"/>
      <c r="B20" s="240"/>
      <c r="C20" s="240"/>
      <c r="D20" s="236"/>
      <c r="E20" s="235"/>
      <c r="F20" s="234"/>
      <c r="G20" s="234"/>
      <c r="H20" s="223"/>
      <c r="I20" s="224"/>
      <c r="J20" s="224"/>
      <c r="K20" s="224"/>
      <c r="L20" s="221"/>
      <c r="M20" s="223"/>
      <c r="N20" s="223"/>
      <c r="O20" s="223"/>
      <c r="P20" s="223"/>
      <c r="Q20" s="224"/>
      <c r="R20" s="223"/>
      <c r="S20" s="223"/>
      <c r="T20" s="227"/>
      <c r="U20" s="224"/>
      <c r="V20" s="224"/>
      <c r="W20" s="222"/>
      <c r="X20" s="229"/>
      <c r="Y20" s="221"/>
      <c r="Z20" s="221"/>
      <c r="AA20" s="221"/>
      <c r="AB20" s="221"/>
      <c r="AC20" s="221"/>
      <c r="AD20" s="221"/>
      <c r="AE20" s="221"/>
      <c r="AF20" s="221"/>
      <c r="AG20" s="221"/>
      <c r="AH20" s="226"/>
      <c r="AI20" s="239"/>
      <c r="AJ20" s="238"/>
      <c r="AK20" s="228"/>
      <c r="AL20" s="223"/>
      <c r="AM20" s="230"/>
      <c r="AN20" s="228"/>
      <c r="AO20" s="232"/>
      <c r="AQ20" s="231"/>
      <c r="AR20" s="230"/>
      <c r="AS20" s="224"/>
      <c r="AT20" s="232"/>
      <c r="AV20" s="231"/>
      <c r="AW20" s="230"/>
      <c r="AX20" s="224"/>
      <c r="AY20" s="1460"/>
      <c r="AZ20" s="229"/>
      <c r="BA20" s="221"/>
      <c r="BB20" s="228"/>
      <c r="BC20" s="227"/>
      <c r="BD20" s="227"/>
      <c r="BE20" s="227"/>
      <c r="BF20" s="227"/>
      <c r="BG20" s="227"/>
      <c r="BH20" s="227"/>
      <c r="BI20" s="227"/>
      <c r="BJ20" s="315"/>
      <c r="BK20" s="225"/>
      <c r="BL20" s="224"/>
      <c r="BM20" s="224"/>
      <c r="BN20" s="224"/>
      <c r="BO20" s="223"/>
      <c r="BP20" s="222"/>
      <c r="BQ20" s="229"/>
      <c r="BR20" s="221"/>
      <c r="BS20" s="221"/>
      <c r="BT20" s="221"/>
      <c r="BU20" s="221"/>
      <c r="BV20" s="221"/>
      <c r="BW20" s="221"/>
      <c r="BX20" s="221"/>
      <c r="BY20" s="221"/>
      <c r="BZ20" s="226"/>
      <c r="CA20" s="229"/>
      <c r="CC20" s="313"/>
      <c r="CD20" s="317"/>
      <c r="CE20" s="215"/>
      <c r="CF20" s="214"/>
      <c r="DH20" s="1503"/>
      <c r="DI20" s="320"/>
      <c r="DJ20" s="1617"/>
      <c r="DK20" s="320"/>
      <c r="DL20" s="1617"/>
      <c r="DM20" s="320"/>
      <c r="DN20" s="1617"/>
      <c r="DO20" s="1504"/>
      <c r="DQ20" s="433"/>
      <c r="DR20" s="1231"/>
      <c r="DS20" s="213"/>
      <c r="DT20" s="213"/>
      <c r="DU20" s="1231"/>
      <c r="DV20" s="1231"/>
      <c r="DW20" s="1231"/>
      <c r="DX20" s="444"/>
      <c r="DY20" s="1231"/>
      <c r="DZ20" s="1231"/>
      <c r="EA20" s="213"/>
      <c r="EB20" s="213"/>
      <c r="EC20" s="213"/>
      <c r="ED20" s="213"/>
      <c r="EE20" s="213"/>
      <c r="EF20" s="213"/>
      <c r="EG20" s="213"/>
      <c r="EH20" s="213"/>
      <c r="EI20" s="213"/>
      <c r="EJ20" s="213"/>
      <c r="EK20" s="213"/>
      <c r="EL20" s="213"/>
      <c r="EM20" s="213"/>
      <c r="EN20" s="213"/>
      <c r="EO20" s="213"/>
      <c r="EP20" s="213"/>
      <c r="EQ20" s="213"/>
      <c r="ER20" s="213"/>
      <c r="ES20" s="213"/>
      <c r="ET20" s="213"/>
      <c r="EU20" s="213"/>
      <c r="EV20" s="213"/>
      <c r="EW20" s="213"/>
      <c r="EX20" s="213"/>
      <c r="EY20" s="213"/>
      <c r="EZ20" s="213"/>
      <c r="FA20" s="304"/>
      <c r="FB20" s="304"/>
      <c r="FC20" s="304"/>
      <c r="FD20" s="304"/>
      <c r="FE20" s="304"/>
      <c r="FF20" s="304"/>
    </row>
    <row r="21" spans="1:163" ht="12.75" hidden="1" customHeight="1" x14ac:dyDescent="0.2">
      <c r="A21" s="240"/>
      <c r="B21" s="240"/>
      <c r="C21" s="240"/>
      <c r="D21" s="236"/>
      <c r="E21" s="235"/>
      <c r="F21" s="234"/>
      <c r="G21" s="234"/>
      <c r="H21" s="223"/>
      <c r="I21" s="224"/>
      <c r="J21" s="224"/>
      <c r="K21" s="224"/>
      <c r="L21" s="221"/>
      <c r="M21" s="223"/>
      <c r="N21" s="223"/>
      <c r="O21" s="223"/>
      <c r="P21" s="223"/>
      <c r="Q21" s="224"/>
      <c r="R21" s="223"/>
      <c r="S21" s="223"/>
      <c r="T21" s="227"/>
      <c r="U21" s="224"/>
      <c r="V21" s="224"/>
      <c r="W21" s="222"/>
      <c r="X21" s="229"/>
      <c r="Y21" s="221"/>
      <c r="Z21" s="221"/>
      <c r="AA21" s="221"/>
      <c r="AB21" s="221"/>
      <c r="AC21" s="221"/>
      <c r="AD21" s="221"/>
      <c r="AE21" s="221"/>
      <c r="AF21" s="221"/>
      <c r="AG21" s="221"/>
      <c r="AH21" s="226"/>
      <c r="AI21" s="239"/>
      <c r="AJ21" s="238"/>
      <c r="AK21" s="228"/>
      <c r="AL21" s="223"/>
      <c r="AM21" s="230"/>
      <c r="AN21" s="228"/>
      <c r="AO21" s="232"/>
      <c r="AQ21" s="231"/>
      <c r="AR21" s="230"/>
      <c r="AS21" s="224"/>
      <c r="AT21" s="232"/>
      <c r="AV21" s="231"/>
      <c r="AW21" s="230"/>
      <c r="AX21" s="224"/>
      <c r="AY21" s="1460"/>
      <c r="AZ21" s="229"/>
      <c r="BA21" s="221"/>
      <c r="BB21" s="228"/>
      <c r="BC21" s="227"/>
      <c r="BD21" s="227"/>
      <c r="BE21" s="227"/>
      <c r="BF21" s="227"/>
      <c r="BG21" s="227"/>
      <c r="BH21" s="227"/>
      <c r="BI21" s="227"/>
      <c r="BJ21" s="315"/>
      <c r="BK21" s="225"/>
      <c r="BL21" s="224"/>
      <c r="BM21" s="224"/>
      <c r="BN21" s="224"/>
      <c r="BO21" s="223"/>
      <c r="BP21" s="222"/>
      <c r="BQ21" s="229"/>
      <c r="BR21" s="221"/>
      <c r="BS21" s="221"/>
      <c r="BT21" s="221"/>
      <c r="BU21" s="221"/>
      <c r="BV21" s="221"/>
      <c r="BW21" s="221"/>
      <c r="BX21" s="221"/>
      <c r="BY21" s="221"/>
      <c r="BZ21" s="226"/>
      <c r="CA21" s="229"/>
      <c r="CC21" s="313"/>
      <c r="CD21" s="317"/>
      <c r="CE21" s="215"/>
      <c r="CF21" s="214"/>
      <c r="DH21" s="1503"/>
      <c r="DI21" s="320"/>
      <c r="DJ21" s="1617"/>
      <c r="DK21" s="320"/>
      <c r="DL21" s="1617"/>
      <c r="DM21" s="320"/>
      <c r="DN21" s="1617"/>
      <c r="DO21" s="1504"/>
      <c r="DQ21" s="433"/>
      <c r="DR21" s="1231"/>
      <c r="DS21" s="213"/>
      <c r="DT21" s="213"/>
      <c r="DU21" s="1231"/>
      <c r="DV21" s="1231"/>
      <c r="DW21" s="1231"/>
      <c r="DX21" s="444"/>
      <c r="DY21" s="1231"/>
      <c r="DZ21" s="1231"/>
      <c r="EA21" s="213"/>
      <c r="EB21" s="213"/>
      <c r="EC21" s="213"/>
      <c r="ED21" s="213"/>
      <c r="EE21" s="213"/>
      <c r="EF21" s="213"/>
      <c r="EG21" s="213"/>
      <c r="EH21" s="213"/>
      <c r="EI21" s="213"/>
      <c r="EJ21" s="213"/>
      <c r="EK21" s="213"/>
      <c r="EL21" s="213"/>
      <c r="EM21" s="213"/>
      <c r="EN21" s="213"/>
      <c r="EO21" s="213"/>
      <c r="EP21" s="213"/>
      <c r="EQ21" s="213"/>
      <c r="ER21" s="213"/>
      <c r="ES21" s="213"/>
      <c r="ET21" s="213"/>
      <c r="EU21" s="213"/>
      <c r="EV21" s="213"/>
      <c r="EW21" s="213"/>
      <c r="EX21" s="213"/>
      <c r="EY21" s="213"/>
      <c r="EZ21" s="213"/>
      <c r="FA21" s="304"/>
      <c r="FB21" s="304"/>
      <c r="FC21" s="304"/>
      <c r="FD21" s="304"/>
      <c r="FE21" s="304"/>
      <c r="FF21" s="304"/>
    </row>
    <row r="22" spans="1:163" ht="12.75" hidden="1" customHeight="1" x14ac:dyDescent="0.2">
      <c r="A22" s="240"/>
      <c r="B22" s="240"/>
      <c r="C22" s="240"/>
      <c r="D22" s="236"/>
      <c r="E22" s="235"/>
      <c r="F22" s="234"/>
      <c r="G22" s="234"/>
      <c r="H22" s="223"/>
      <c r="I22" s="224"/>
      <c r="J22" s="224"/>
      <c r="K22" s="224"/>
      <c r="L22" s="221"/>
      <c r="M22" s="223"/>
      <c r="N22" s="223"/>
      <c r="O22" s="223"/>
      <c r="P22" s="223"/>
      <c r="Q22" s="224"/>
      <c r="R22" s="223"/>
      <c r="S22" s="223"/>
      <c r="T22" s="227"/>
      <c r="U22" s="224"/>
      <c r="V22" s="224"/>
      <c r="W22" s="222"/>
      <c r="X22" s="229"/>
      <c r="Y22" s="221"/>
      <c r="Z22" s="221"/>
      <c r="AA22" s="221"/>
      <c r="AB22" s="221"/>
      <c r="AC22" s="221"/>
      <c r="AD22" s="221"/>
      <c r="AE22" s="221"/>
      <c r="AF22" s="221"/>
      <c r="AG22" s="221"/>
      <c r="AH22" s="226"/>
      <c r="AI22" s="239"/>
      <c r="AJ22" s="238"/>
      <c r="AK22" s="228"/>
      <c r="AL22" s="223"/>
      <c r="AM22" s="230"/>
      <c r="AN22" s="228"/>
      <c r="AO22" s="232"/>
      <c r="AQ22" s="231"/>
      <c r="AR22" s="230"/>
      <c r="AS22" s="224"/>
      <c r="AT22" s="232"/>
      <c r="AV22" s="231"/>
      <c r="AW22" s="230"/>
      <c r="AX22" s="224"/>
      <c r="AY22" s="1460"/>
      <c r="AZ22" s="229"/>
      <c r="BA22" s="221"/>
      <c r="BB22" s="228"/>
      <c r="BC22" s="227"/>
      <c r="BD22" s="227"/>
      <c r="BE22" s="227"/>
      <c r="BF22" s="227"/>
      <c r="BG22" s="227"/>
      <c r="BH22" s="227"/>
      <c r="BI22" s="227"/>
      <c r="BJ22" s="315"/>
      <c r="BK22" s="225"/>
      <c r="BL22" s="224"/>
      <c r="BM22" s="224"/>
      <c r="BN22" s="224"/>
      <c r="BO22" s="223"/>
      <c r="BP22" s="222"/>
      <c r="BQ22" s="229"/>
      <c r="BR22" s="221"/>
      <c r="BS22" s="221"/>
      <c r="BT22" s="221"/>
      <c r="BU22" s="221"/>
      <c r="BV22" s="221"/>
      <c r="BW22" s="221"/>
      <c r="BX22" s="221"/>
      <c r="BY22" s="221"/>
      <c r="BZ22" s="226"/>
      <c r="CA22" s="229"/>
      <c r="CC22" s="313"/>
      <c r="CD22" s="317"/>
      <c r="CE22" s="215"/>
      <c r="CF22" s="214"/>
      <c r="DH22" s="1503"/>
      <c r="DI22" s="320"/>
      <c r="DJ22" s="1617"/>
      <c r="DK22" s="320"/>
      <c r="DL22" s="1617"/>
      <c r="DM22" s="320"/>
      <c r="DN22" s="1617"/>
      <c r="DO22" s="1504"/>
      <c r="DQ22" s="433"/>
      <c r="DR22" s="1231"/>
      <c r="DS22" s="213"/>
      <c r="DT22" s="213"/>
      <c r="DU22" s="1231"/>
      <c r="DV22" s="1231"/>
      <c r="DW22" s="1231"/>
      <c r="DX22" s="444"/>
      <c r="DY22" s="1231"/>
      <c r="DZ22" s="1231"/>
      <c r="EA22" s="213"/>
      <c r="EB22" s="213"/>
      <c r="EC22" s="213"/>
      <c r="ED22" s="213"/>
      <c r="EE22" s="213"/>
      <c r="EF22" s="213"/>
      <c r="EG22" s="213"/>
      <c r="EH22" s="213"/>
      <c r="EI22" s="213"/>
      <c r="EJ22" s="213"/>
      <c r="EK22" s="213"/>
      <c r="EL22" s="213"/>
      <c r="EM22" s="213"/>
      <c r="EN22" s="213"/>
      <c r="EO22" s="213"/>
      <c r="EP22" s="213"/>
      <c r="EQ22" s="213"/>
      <c r="ER22" s="213"/>
      <c r="ES22" s="213"/>
      <c r="ET22" s="213"/>
      <c r="EU22" s="213"/>
      <c r="EV22" s="213"/>
      <c r="EW22" s="213"/>
      <c r="EX22" s="213"/>
      <c r="EY22" s="213"/>
      <c r="EZ22" s="213"/>
      <c r="FA22" s="304"/>
      <c r="FB22" s="304"/>
      <c r="FC22" s="304"/>
      <c r="FD22" s="304"/>
      <c r="FE22" s="304"/>
      <c r="FF22" s="304"/>
    </row>
    <row r="23" spans="1:163" ht="12.75" hidden="1" customHeight="1" x14ac:dyDescent="0.2">
      <c r="A23" s="240"/>
      <c r="B23" s="240"/>
      <c r="C23" s="240"/>
      <c r="D23" s="236"/>
      <c r="E23" s="235"/>
      <c r="F23" s="234"/>
      <c r="G23" s="234"/>
      <c r="H23" s="223"/>
      <c r="I23" s="224"/>
      <c r="J23" s="224"/>
      <c r="K23" s="224"/>
      <c r="L23" s="221"/>
      <c r="M23" s="223"/>
      <c r="N23" s="223"/>
      <c r="O23" s="223"/>
      <c r="P23" s="223"/>
      <c r="Q23" s="224"/>
      <c r="R23" s="223"/>
      <c r="S23" s="223"/>
      <c r="T23" s="227"/>
      <c r="U23" s="224"/>
      <c r="V23" s="224"/>
      <c r="W23" s="222"/>
      <c r="X23" s="229"/>
      <c r="Y23" s="221"/>
      <c r="Z23" s="221"/>
      <c r="AA23" s="221"/>
      <c r="AB23" s="221"/>
      <c r="AC23" s="221"/>
      <c r="AD23" s="221"/>
      <c r="AE23" s="221"/>
      <c r="AF23" s="221"/>
      <c r="AG23" s="221"/>
      <c r="AH23" s="226"/>
      <c r="AI23" s="239"/>
      <c r="AJ23" s="238"/>
      <c r="AK23" s="228"/>
      <c r="AL23" s="223"/>
      <c r="AM23" s="230"/>
      <c r="AN23" s="228"/>
      <c r="AO23" s="232"/>
      <c r="AQ23" s="231"/>
      <c r="AR23" s="230"/>
      <c r="AS23" s="224"/>
      <c r="AT23" s="232"/>
      <c r="AV23" s="231"/>
      <c r="AW23" s="230"/>
      <c r="AX23" s="224"/>
      <c r="AY23" s="1460"/>
      <c r="AZ23" s="229"/>
      <c r="BA23" s="221"/>
      <c r="BB23" s="228"/>
      <c r="BC23" s="227"/>
      <c r="BD23" s="227"/>
      <c r="BE23" s="227"/>
      <c r="BF23" s="227"/>
      <c r="BG23" s="227"/>
      <c r="BH23" s="227"/>
      <c r="BI23" s="227"/>
      <c r="BJ23" s="315"/>
      <c r="BK23" s="225"/>
      <c r="BL23" s="224"/>
      <c r="BM23" s="224"/>
      <c r="BN23" s="224"/>
      <c r="BO23" s="223"/>
      <c r="BP23" s="222"/>
      <c r="BQ23" s="229"/>
      <c r="BR23" s="221"/>
      <c r="BS23" s="221"/>
      <c r="BT23" s="221"/>
      <c r="BU23" s="221"/>
      <c r="BV23" s="221"/>
      <c r="BW23" s="221"/>
      <c r="BX23" s="221"/>
      <c r="BY23" s="221"/>
      <c r="BZ23" s="226"/>
      <c r="CA23" s="229"/>
      <c r="CC23" s="313"/>
      <c r="CD23" s="317"/>
      <c r="CE23" s="215"/>
      <c r="CF23" s="214"/>
      <c r="DH23" s="1503"/>
      <c r="DI23" s="320"/>
      <c r="DJ23" s="1617"/>
      <c r="DK23" s="320"/>
      <c r="DL23" s="1617"/>
      <c r="DM23" s="320"/>
      <c r="DN23" s="1617"/>
      <c r="DO23" s="1504"/>
      <c r="DQ23" s="433"/>
      <c r="DR23" s="1231"/>
      <c r="DS23" s="213"/>
      <c r="DT23" s="213"/>
      <c r="DU23" s="1231"/>
      <c r="DV23" s="1231"/>
      <c r="DW23" s="1231"/>
      <c r="DX23" s="444"/>
      <c r="DY23" s="1231"/>
      <c r="DZ23" s="1231"/>
      <c r="EA23" s="213"/>
      <c r="EB23" s="213"/>
      <c r="EC23" s="213"/>
      <c r="ED23" s="213"/>
      <c r="EE23" s="213"/>
      <c r="EF23" s="213"/>
      <c r="EG23" s="213"/>
      <c r="EH23" s="213"/>
      <c r="EI23" s="213"/>
      <c r="EJ23" s="213"/>
      <c r="EK23" s="213"/>
      <c r="EL23" s="213"/>
      <c r="EM23" s="213"/>
      <c r="EN23" s="213"/>
      <c r="EO23" s="213"/>
      <c r="EP23" s="213"/>
      <c r="EQ23" s="213"/>
      <c r="ER23" s="213"/>
      <c r="ES23" s="213"/>
      <c r="ET23" s="213"/>
      <c r="EU23" s="213"/>
      <c r="EV23" s="213"/>
      <c r="EW23" s="213"/>
      <c r="EX23" s="213"/>
      <c r="EY23" s="213"/>
      <c r="EZ23" s="213"/>
      <c r="FA23" s="304"/>
      <c r="FB23" s="304"/>
      <c r="FC23" s="304"/>
      <c r="FD23" s="304"/>
      <c r="FE23" s="304"/>
      <c r="FF23" s="304"/>
    </row>
    <row r="24" spans="1:163" ht="12.75" hidden="1" customHeight="1" x14ac:dyDescent="0.2">
      <c r="A24" s="240"/>
      <c r="B24" s="240"/>
      <c r="C24" s="240"/>
      <c r="D24" s="236"/>
      <c r="E24" s="235"/>
      <c r="F24" s="234"/>
      <c r="G24" s="234"/>
      <c r="H24" s="223"/>
      <c r="I24" s="224"/>
      <c r="J24" s="224"/>
      <c r="K24" s="224"/>
      <c r="L24" s="221"/>
      <c r="M24" s="223"/>
      <c r="N24" s="223"/>
      <c r="O24" s="223"/>
      <c r="P24" s="223"/>
      <c r="Q24" s="224"/>
      <c r="R24" s="223"/>
      <c r="S24" s="223"/>
      <c r="T24" s="227"/>
      <c r="U24" s="224"/>
      <c r="V24" s="224"/>
      <c r="W24" s="222"/>
      <c r="X24" s="229"/>
      <c r="Y24" s="221"/>
      <c r="Z24" s="221"/>
      <c r="AA24" s="221"/>
      <c r="AB24" s="221"/>
      <c r="AC24" s="221"/>
      <c r="AD24" s="221"/>
      <c r="AE24" s="221"/>
      <c r="AF24" s="221"/>
      <c r="AG24" s="221"/>
      <c r="AH24" s="226"/>
      <c r="AI24" s="229"/>
      <c r="AJ24" s="221"/>
      <c r="AK24" s="221"/>
      <c r="AL24" s="223"/>
      <c r="AM24" s="230"/>
      <c r="AN24" s="228"/>
      <c r="AO24" s="232"/>
      <c r="AQ24" s="231"/>
      <c r="AR24" s="230"/>
      <c r="AS24" s="224"/>
      <c r="AT24" s="232"/>
      <c r="AV24" s="231"/>
      <c r="AW24" s="230"/>
      <c r="AX24" s="224"/>
      <c r="AY24" s="1460"/>
      <c r="AZ24" s="229"/>
      <c r="BA24" s="221"/>
      <c r="BB24" s="228"/>
      <c r="BC24" s="227"/>
      <c r="BD24" s="221"/>
      <c r="BE24" s="221"/>
      <c r="BF24" s="221"/>
      <c r="BG24" s="221"/>
      <c r="BH24" s="221"/>
      <c r="BI24" s="221"/>
      <c r="BJ24" s="226"/>
      <c r="BK24" s="229"/>
      <c r="BL24" s="224"/>
      <c r="BM24" s="224"/>
      <c r="BN24" s="224"/>
      <c r="BO24" s="223"/>
      <c r="BP24" s="222"/>
      <c r="BQ24" s="229"/>
      <c r="BR24" s="221"/>
      <c r="BS24" s="221"/>
      <c r="BT24" s="221"/>
      <c r="BU24" s="221"/>
      <c r="BV24" s="221"/>
      <c r="BW24" s="221"/>
      <c r="BX24" s="221"/>
      <c r="BY24" s="221"/>
      <c r="BZ24" s="226"/>
      <c r="CA24" s="229"/>
      <c r="CC24" s="313"/>
      <c r="CD24" s="317"/>
      <c r="CE24" s="215"/>
      <c r="CF24" s="214"/>
      <c r="DH24" s="1503"/>
      <c r="DI24" s="320"/>
      <c r="DJ24" s="1617"/>
      <c r="DK24" s="320"/>
      <c r="DL24" s="1617"/>
      <c r="DM24" s="320"/>
      <c r="DN24" s="1617"/>
      <c r="DO24" s="1504"/>
      <c r="DQ24" s="433"/>
      <c r="DR24" s="1231"/>
      <c r="DS24" s="213"/>
      <c r="DT24" s="213"/>
      <c r="DU24" s="1231"/>
      <c r="DV24" s="1231"/>
      <c r="DW24" s="1231"/>
      <c r="DX24" s="444"/>
      <c r="DY24" s="1231"/>
      <c r="DZ24" s="1231"/>
      <c r="EA24" s="213"/>
      <c r="EB24" s="213"/>
      <c r="EC24" s="213"/>
      <c r="ED24" s="213"/>
      <c r="EE24" s="213"/>
      <c r="EF24" s="213"/>
      <c r="EG24" s="213"/>
      <c r="EH24" s="213"/>
      <c r="EI24" s="213"/>
      <c r="EJ24" s="213"/>
      <c r="EK24" s="213"/>
      <c r="EL24" s="213"/>
      <c r="EM24" s="213"/>
      <c r="EN24" s="213"/>
      <c r="EO24" s="213"/>
      <c r="EP24" s="213"/>
      <c r="EQ24" s="213"/>
      <c r="ER24" s="213"/>
      <c r="ES24" s="213"/>
      <c r="ET24" s="213"/>
      <c r="EU24" s="213"/>
      <c r="EV24" s="213"/>
      <c r="EW24" s="213"/>
      <c r="EX24" s="213"/>
      <c r="EY24" s="213"/>
      <c r="EZ24" s="213"/>
      <c r="FA24" s="304"/>
      <c r="FB24" s="304"/>
      <c r="FC24" s="304"/>
      <c r="FD24" s="304"/>
      <c r="FE24" s="304"/>
      <c r="FF24" s="304"/>
    </row>
    <row r="25" spans="1:163" ht="12.75" hidden="1" customHeight="1" x14ac:dyDescent="0.2">
      <c r="A25" s="240"/>
      <c r="B25" s="262">
        <f>B12</f>
        <v>1</v>
      </c>
      <c r="C25" s="262">
        <f>$C$6</f>
        <v>1</v>
      </c>
      <c r="D25" s="429" t="s">
        <v>1197</v>
      </c>
      <c r="E25" s="260"/>
      <c r="F25" s="259"/>
      <c r="G25" s="259"/>
      <c r="H25" s="220" t="str">
        <f>IF(C25&gt;0,"",IF(VLOOKUP(E25,LegendSG1CKTrows_Skid,20,FALSE)=0,VLOOKUP(E25,LegendSG1CKTrows_Skid,21,FALSE),VLOOKUP(E25,LegendSG1CKTrows_Skid,20,FALSE)))</f>
        <v/>
      </c>
      <c r="I25" s="258" t="str">
        <f>IF(C25&gt;0,"",VLOOKUP(E25,LegendSG1CKTrows_Skid,22,FALSE))</f>
        <v/>
      </c>
      <c r="J25" s="248" t="str">
        <f>IF($C$3&gt;0,"",IF(C25&gt;0,"",IF(($J$4)&gt;1,I25,IF(V25="@ System",I25+0.5*($F$4),IF(V25="@ Top Of Riser",I25+0.5*($F$4),IF(OR(V25="@ Fixture",V25="@ Bottom Of Riser"),($D$4)-0.5*($F$4),IF(AND(V25="None",D25="Loop"),($D$4)-0.5*($F$4),I25+0.5*($F$4))))))))</f>
        <v/>
      </c>
      <c r="K25" s="248" t="str">
        <f>IF($C$3&gt;0,"",IF(C25&gt;0,"",IF(($J$4)&gt;1,I25,IF(I25+0.5*DZ25+15&lt;L25,I25+0.5*DZ25+15,L25))))</f>
        <v/>
      </c>
      <c r="L25" s="257" t="str">
        <f>IF($C$3&gt;0,"",IF(C25&gt;0,"",IF(($J$4)&gt;1,I25,LegendSG1RGT_Skid)))</f>
        <v/>
      </c>
      <c r="M25" s="248" t="str">
        <f>IF($C$3&gt;0,"",IF(C25&gt;0,"",IF(($J$4)&gt;1,Pressure($B$3,"TQ","e",J25,1/($J$4)),DT25)))</f>
        <v/>
      </c>
      <c r="N25" s="248" t="str">
        <f>IF($C$3&gt;0,"",IF(C25&gt;0,"",IF(D25="Loop","n/a",IF(($J$4)&gt;1,Pressure($B$3,"TQ","e",J25,1/($J$4)),DW25))))</f>
        <v/>
      </c>
      <c r="O25" s="248" t="str">
        <f>IF($C$3&gt;0,"",IF(C25&gt;0,"",IF(D25="Loop","n/a",DZ25)))</f>
        <v/>
      </c>
      <c r="P25" s="220" t="str">
        <f>IF($C$3&gt;0,"",IF(C25&gt;0,"",IF(D25="Loop","n/a",IF(($J$4)&gt;1,0,DX25))))</f>
        <v/>
      </c>
      <c r="Q25" s="248" t="str">
        <f>IF($C$3&gt;0,"",IF(C25&gt;0,"",IF(D25="Loop","n/a",IF(($J$4)&gt;1,Enthalpy(($B$3),"QP","E",(1/($J$4)),N25),Enthalpy(($B$3),"TP","E",(I25+0.5*DZ25+'Legend(Skid)'!$Y$4),DW25)))))</f>
        <v/>
      </c>
      <c r="R25" s="220" t="str">
        <f>IF(C25&gt;0,"",IF($C$3&gt;0,IF(S25=0,"",U25/(S25*60*0.13368)),IF(($J$4)&gt;1,Enthalpy(($B$3),"TLIQ","E",I25),IF(($G$4+0.5*DZ25)&gt;($H$4),(Enthalpy(($B$3),"TLIQ","E",($G$4))),(Enthalpy(($B$3),"TP","E",($G$4),$I$4))))))</f>
        <v/>
      </c>
      <c r="S25" s="220" t="str">
        <f ca="1">IF(C25&gt;0,"",IF($C$3&gt;0,(VLOOKUP(($D$4),INDIRECT($C$4),3)+VLOOKUP(($S$4),INDIRECT($C$4),3))/2,IF(($J$4)&gt;1,LiquidDensity($B$3,"TLIQ","e",I25),IF(($G$4+0.5*DZ25)&gt;($H$4),(LiquidDensity(($B$3),"TLIQ","E",($G$4))),(Density(($B$3),"TP","E",($G$4),$I$4))))))</f>
        <v/>
      </c>
      <c r="T25" s="250" t="str">
        <f ca="1">IF(C25&gt;0,"",IF($C$3&gt;0,(VLOOKUP(($D$4),INDIRECT($C$4),6)+VLOOKUP(($S$4),INDIRECT($C$4),6))/2*0.000020885,IF(($J$4)&gt;1,Viscosity(($B$3),"TLIQ","E",I25),IF(($G$4+0.5*DZ25)&gt;($H$4),(Viscosity(($B$3),"TLIQ","E",($G$4))),(Viscosity(($B$3),"TP","E",($G$4),$I$4))))))</f>
        <v/>
      </c>
      <c r="U25" s="248" t="str">
        <f>IF(C25&gt;0,"",IF($C$3&gt;0,VLOOKUP(E25,LegendSG1CKTrows_Skid,23,FALSE)*60*S25*0.13368,H25*1000/(Q25-R25)))</f>
        <v/>
      </c>
      <c r="V25" s="256" t="str">
        <f>IF(C25&gt;0,"",VLOOKUP(E25,LegendSG1CKTrows_Skid,28,FALSE))</f>
        <v/>
      </c>
      <c r="W25" s="255" t="s">
        <v>369</v>
      </c>
      <c r="X25" s="254"/>
      <c r="Y25" s="246" t="str">
        <f>IF(C25&gt;0,"",X25*($Y$4))</f>
        <v/>
      </c>
      <c r="Z25" s="218" t="str">
        <f>IF(C25&gt;0,"",IF(($J$4)&gt;1,Density(($B$3),"TVAP","e",I25),Density(($B$3),"TP","E",K25,M25)))</f>
        <v/>
      </c>
      <c r="AA25" s="250" t="str">
        <f>IF(C25&gt;0,"",IF(($J$4)&gt;1,Viscosity(($B$3),"TVAP","E",I25),Viscosity(($B$3),"TP","E",K25,M25)))</f>
        <v/>
      </c>
      <c r="AB25" s="1014" t="str">
        <f>IF(C25&gt;0,"",IF(($J$4)&gt;1,vel(U25,EC25,AH25),vel(U25,Z25,AH25)))</f>
        <v/>
      </c>
      <c r="AC25" s="220" t="str">
        <f>IF(C25&gt;0,"",IF(($J$4)&gt;1,EO25,pdrop(AE25,Y25,Z25,AB25,IF(AG25="",AF25,AG25))))</f>
        <v/>
      </c>
      <c r="AD25" s="219" t="str">
        <f>IF(C25&gt;0,"",(((AB25/60)*Z25)/AA25)*(VLOOKUP(AF25,'Pipe Data'!F$7:G$19,2,FALSE))/12)</f>
        <v/>
      </c>
      <c r="AE25" s="218" t="str">
        <f>IF(C25&gt;0,"",(0.25/(LOG(5.74/(AD25^0.9))+((VLOOKUP(IF(AG25="",AF25,AG25),'Pipe Data'!J$7:X$19,15,FALSE))/3.7))^2))</f>
        <v/>
      </c>
      <c r="AF25" s="245" t="str">
        <f>IF(C25&gt;0,"",VLOOKUP(($AC$4),AB26:AF36,5,TRUE))</f>
        <v/>
      </c>
      <c r="AG25" s="244"/>
      <c r="AH25" s="298" t="str">
        <f>IF(C25&gt;0,"",IF(AND(AG25="",W25&lt;&gt;"Double"),parea(AF25),parea(AG25)))</f>
        <v/>
      </c>
      <c r="AI25" s="253" t="str">
        <f>IF(C25&gt;0,"",IF(W25="Single","",IF(OR(AG25=0.5,AG25=0.375),"",IF(AF25&lt;0.6,"",(((AR25/60)*Z25)/AA25)*((LOOKUP(IF(AP25="",AO25,AP25),'Pipe Data'!F$7:F$19,'Pipe Data'!G$7:G$19))/12)))))</f>
        <v/>
      </c>
      <c r="AJ25" s="252" t="str">
        <f>IF(C25&gt;0,"",IF(W25="Single","",IF(OR(AG25=0.5,AG25=0.375),"",IF(AF25&lt;0.6,"",(AQ25/AV25)^1.5))))</f>
        <v/>
      </c>
      <c r="AK25" s="218" t="str">
        <f>IF(C25&gt;0,"",IF(W25="Single","",IF(OR(AG25=0.5,AG25=0.375),"",IF(AF25&lt;0.6,"",(0.25/(LOG(5.74/(AI25^0.9))+((LOOKUP(IF(AP25="",AO25,AP25),'Pipe Data'!F$7:F$19,'Pipe Data'!X$7:X$19))/3.7))^2)))))</f>
        <v/>
      </c>
      <c r="AL25" s="220" t="str">
        <f>IF(C25&gt;0,"",IF(W25="Single","",IF(OR(AG25=0.5,AG25=0.375),"",IF(AF25&lt;0.6,"",pdrop(AK25,Y25,Z25,AR25,IF(AP25="",AO25,AP25))))))</f>
        <v/>
      </c>
      <c r="AM25" s="219" t="str">
        <f>IF(C25&gt;0,"",IF(W25="Single","",IF(OR(AG25=0.5,AG25=0.375),"",IF(AF25&lt;0.6,"",(((AW25/60)*Z25)/AA25)*((LOOKUP(IF(AU25="",AT25,AU25),'Pipe Data'!F$7:F$19,'Pipe Data'!G$7:G$19))/12)))))</f>
        <v/>
      </c>
      <c r="AN25" s="218" t="str">
        <f>IF(C25&gt;0,"",IF(W25="Single","",IF(OR(AG25=0.5,AG25=0.375),"",IF(AF25&lt;0.6,"",(0.25/(LOG(5.74/(AM25^0.9))+((LOOKUP(IF(AU25="",AT25,AU25),'Pipe Data'!F$7:F$19,'Pipe Data'!X$7:X$19))/3.7))^2)))))</f>
        <v/>
      </c>
      <c r="AO25" s="245" t="str">
        <f>IF(C25&gt;0,"",IF(W25="Single","",IF(OR(AG25=0.5,AG25=0.375),"",IF(AF25&lt;0.6,"",(IF(AG25="",VLOOKUP(AF25,'Pipe Data'!$J$9:$N$19,3,FALSE),VLOOKUP(AG25,'Pipe Data'!$J$9:$N$19,3,FALSE)))))))</f>
        <v/>
      </c>
      <c r="AP25" s="244"/>
      <c r="AQ25" s="251" t="str">
        <f>IF(C25&gt;0,"",IF(W25="Single","",IF(OR(AG25=0.5,AG25=0.375),"",IF(AF25&lt;0.6,"",IF(AP25="",parea(AO25),parea(AP25))))))</f>
        <v/>
      </c>
      <c r="AR25" s="219" t="str">
        <f>IF(C25&gt;0,"",IF(W25="Single","",IF(OR(AG25=0.5,AG25=0.375),"",IF(AF25&lt;0.6,"",((AS25/(Z25*AQ25))/60)))))</f>
        <v/>
      </c>
      <c r="AS25" s="248" t="str">
        <f>IF(C25&gt;0,"",IF(W25="Single","",IF(OR(AG25=0.5,AG25=0.375),"",IF(AF25&lt;0.6,"",(U25*AJ25)/(1+AJ25)))))</f>
        <v/>
      </c>
      <c r="AT25" s="245" t="str">
        <f>IF(C25&gt;0,"",IF(W25="Single","",IF(OR(AG25=0.5,AG25=0.375),"",IF(AF25&lt;0.6,"",(IF(AG25="",VLOOKUP(AF25,'Pipe Data'!$J$9:$N$19,5,FALSE),VLOOKUP(AG25,'Pipe Data'!$J$9:$N$19,5,FALSE)))))))</f>
        <v/>
      </c>
      <c r="AU25" s="244"/>
      <c r="AV25" s="251" t="str">
        <f>IF(C25&gt;0,"",IF(W25="Single","",IF(OR(AG25=0.5,AG25=0.375),"",IF(AF25&lt;0.6,"",IF(AU25="",parea(AT25),parea(AU25))))))</f>
        <v/>
      </c>
      <c r="AW25" s="219" t="str">
        <f>IF(C25&gt;0,"",IF(W25="Single","",IF(OR(AG25=0.5,AG25=0.375),"",IF(AF25&lt;0.6,"",((AX25/(Z25*AV25))/60)))))</f>
        <v/>
      </c>
      <c r="AX25" s="248" t="str">
        <f>IF(C25&gt;0,"",IF(W25="Single","",IF(OR(AG25=0.5,AG25=0.375),"",IF(AF25&lt;0.6,"",U25-AS25))))</f>
        <v/>
      </c>
      <c r="AY25" s="1461"/>
      <c r="AZ25" s="1463" t="str">
        <f>IF(AY25=0,"",AY25-X25)</f>
        <v/>
      </c>
      <c r="BA25" s="246" t="str">
        <f>IF(C25&gt;0,"",AZ25*($BA$4))</f>
        <v/>
      </c>
      <c r="BB25" s="218" t="str">
        <f>IF(C25&gt;0,"",IF(($J$4)&gt;1,Density(($B$3),"TVAP","e",I25),Density(($B$3),"TP","E",K25,M25)))</f>
        <v/>
      </c>
      <c r="BC25" s="250" t="str">
        <f>IF(C25&gt;0,"",IF(($J$4)&gt;1,Viscosity(($B$3),"TVAP","E",I25),Viscosity(($B$3),"TP","E",$K25,$M25)))</f>
        <v/>
      </c>
      <c r="BD25" s="219" t="str">
        <f>IF(C25&gt;0,"",IF(($J$4)&gt;1,vel(U25,EC25,BJ25),vel(U25,Z25,BJ25)))</f>
        <v/>
      </c>
      <c r="BE25" s="220" t="str">
        <f>IF(C25&gt;0,"",IF(($J$4)&gt;1,EZ25,pdrop(BG25,BA25,Z25,BD25,IF(BI25="",BH25,BI25))))</f>
        <v/>
      </c>
      <c r="BF25" s="219" t="str">
        <f>IF(C25&gt;0,"",(((BD25/60)*Z25)/BC25)*((VLOOKUP(IF(BI25="",BH25,BI25),'Pipe Data'!F$7:G$19,2,FALSE))/12))</f>
        <v/>
      </c>
      <c r="BG25" s="218" t="str">
        <f>IF(C25&gt;0,"",(0.25/(LOG(5.74/(BF25^0.9))+((VLOOKUP(BH25,'Pipe Data'!J$7:X$19,15,FALSE))/3.7))^2))</f>
        <v/>
      </c>
      <c r="BH25" s="245" t="str">
        <f>IF(C25&gt;0,"",VLOOKUP(1,BI26:BK36,3,FALSE))</f>
        <v/>
      </c>
      <c r="BI25" s="244"/>
      <c r="BJ25" s="243" t="str">
        <f>IF(C25&gt;0,"",IF(BI25="",parea(BH25),parea(BI25)))</f>
        <v/>
      </c>
      <c r="BK25" s="249" t="str">
        <f>IF(C25&gt;0,"",VLOOKUP(E25,LegendSG1CKTrows_Skid,26,FALSE))</f>
        <v/>
      </c>
      <c r="BL25" s="248" t="str">
        <f>IF(C25&gt;0,"",IF(W25="Single",AC25+BE25+BK25,AL25+BE25+BK25))</f>
        <v/>
      </c>
      <c r="BM25" s="248"/>
      <c r="BN25" s="248" t="str">
        <f>IF(C25&gt;0,"",IF(D25="Loop","n/a",BP25-I25))</f>
        <v/>
      </c>
      <c r="BO25" s="220" t="str">
        <f>IF(C25&gt;0,"",IF(D25="Loop","n/a",N25-BM25))</f>
        <v/>
      </c>
      <c r="BP25" s="247" t="str">
        <f>IF(C25&gt;0,"",IF(D25="Loop","n/a",TEMPERATURE(($B$3),"PVAP","E",BO25)-0.5*DZ25))</f>
        <v/>
      </c>
      <c r="BQ25" s="287" t="str">
        <f>IF(C25&gt;0,"",AZ25+X25)</f>
        <v/>
      </c>
      <c r="BR25" s="246" t="str">
        <f>IF(C25&gt;0,"",BQ25*($BR$4))</f>
        <v/>
      </c>
      <c r="BS25" s="220" t="str">
        <f>IF(C25&gt;0,"",IF($C$3&gt;0,vel(U25,S25,BZ25)/60,vel(U25,S25,BZ25)))</f>
        <v/>
      </c>
      <c r="BT25" s="220" t="str">
        <f>IF(C25&gt;0,"",IF($C$3&gt;0,2.31*pdrop(BW25,BR25,S25,60*BS25,IF(BY25="",BX25,BY25)),pdrop(BW25,BR25,S25,BS25,IF(BY25="",BX25,BY25))))</f>
        <v/>
      </c>
      <c r="BU25" s="220"/>
      <c r="BV25" s="219" t="str">
        <f>IF(C25&gt;0,"",IF($C$3&gt;0,(((BS25)*S25)/32.2/T25)*((VLOOKUP(IF(BY25="",BX25,BY25),'Pipe Data'!F$7:G$19,2,FALSE))/12),(((BS25/60)*S25)/T25)*((VLOOKUP(IF(BY25="",BX25,BY25),'Pipe Data'!F$7:G$19,2,FALSE))/12)))</f>
        <v/>
      </c>
      <c r="BW25" s="218" t="str">
        <f>IF(C25&gt;0,"",IF($C$3&gt;0,IF(BV25&lt;2100,64/BV25,(0.25/(LOG(5.74/(BV25^0.9))+((VLOOKUP(BX25,'Pipe Data'!J$7:X$19,15,FALSE))/3.7))^2)),(0.25/(LOG(5.74/(BV25^0.9))+((VLOOKUP(IF(BY25="",BX25,BY25),'Pipe Data'!J$7:X$19,15,FALSE))/3.7))^2)))</f>
        <v/>
      </c>
      <c r="BX25" s="245" t="str">
        <f>IF(C25&gt;0,"",VLOOKUP(0.25,BY26:CA36,3,TRUE))</f>
        <v/>
      </c>
      <c r="BY25" s="244"/>
      <c r="BZ25" s="243" t="str">
        <f>IF(C25&gt;0,"",IF(BY25="",parea(BX25),parea(BY25)))</f>
        <v/>
      </c>
      <c r="CA25" s="314"/>
      <c r="CC25" s="313">
        <v>0</v>
      </c>
      <c r="CD25" s="316" t="str">
        <f>IF(C25&gt;0,"",IF($C$3&gt;0,2*(BQ25*BZ25*7.481)+IF(D25="Loop",0,VLOOKUP(E25,'Legend(Skid)'!$H$8:$AT$16,36,FALSE)),S25*BQ25*BZ25+AZ25*BB25*BJ25+X25*Z25*(IF(W25&lt;&gt;"Double",AH25,AQ25+AV25))+IF(D25="Loop",0,VLOOKUP(E25,'Legend(Skid)'!$H$8:$AT$16,36,FALSE))))</f>
        <v/>
      </c>
      <c r="CE25" s="242"/>
      <c r="CF25" s="241"/>
      <c r="CH25" s="213">
        <f>IF(OR(AB25&lt;($AB$5),AB25&gt;($AC$4)),1,0)</f>
        <v>1</v>
      </c>
      <c r="CI25" s="213">
        <f>IF(OR(BD25&lt;($BD$5),BD25&gt;($BE$5)),1,0)</f>
        <v>1</v>
      </c>
      <c r="CJ25" s="213">
        <f>IF(BN25&lt;($F$4),1,0)</f>
        <v>0</v>
      </c>
      <c r="CK25" s="213">
        <f>IF(AND((LEFT('Legend(Skid)'!$U$1,1)="C"),BN25&gt;$F$4),0,IF(BO25&lt;($E$4),1,0))</f>
        <v>0</v>
      </c>
      <c r="CL25" s="213">
        <f>IF(AND((LEFT('Legend(Skid)'!$U$1,1)="C"),BN25&gt;$F$4),0,IF(BP25&lt;($D$4),1,0))</f>
        <v>0</v>
      </c>
      <c r="CM25" s="213">
        <f>IF(BS25&gt;($BS$4),1,0)</f>
        <v>1</v>
      </c>
      <c r="CN25" s="213">
        <f>IF(BU25&gt;($BT$4),1,0)</f>
        <v>0</v>
      </c>
      <c r="CO25" s="213">
        <f>SUM(CH25:CN25)</f>
        <v>3</v>
      </c>
      <c r="CQ25" s="304" t="s">
        <v>171</v>
      </c>
      <c r="CR25" s="213">
        <f t="shared" ref="CR25:DC25" si="5">IF($W25="Single",IF($AG25="",IF($AF25=CR$8,$X25,0),IF($AG25=CR$8,$X25,0)),0)</f>
        <v>0</v>
      </c>
      <c r="CS25" s="213">
        <f t="shared" si="5"/>
        <v>0</v>
      </c>
      <c r="CT25" s="213">
        <f t="shared" si="5"/>
        <v>0</v>
      </c>
      <c r="CU25" s="213">
        <f t="shared" si="5"/>
        <v>0</v>
      </c>
      <c r="CV25" s="213">
        <f t="shared" si="5"/>
        <v>0</v>
      </c>
      <c r="CW25" s="213">
        <f t="shared" si="5"/>
        <v>0</v>
      </c>
      <c r="CX25" s="213">
        <f t="shared" si="5"/>
        <v>0</v>
      </c>
      <c r="CY25" s="213">
        <f t="shared" si="5"/>
        <v>0</v>
      </c>
      <c r="CZ25" s="213">
        <f t="shared" si="5"/>
        <v>0</v>
      </c>
      <c r="DA25" s="213">
        <f t="shared" si="5"/>
        <v>0</v>
      </c>
      <c r="DB25" s="213">
        <f t="shared" si="5"/>
        <v>0</v>
      </c>
      <c r="DC25" s="213">
        <f t="shared" si="5"/>
        <v>0</v>
      </c>
      <c r="DE25" s="304" t="str">
        <f>IF(AG25="",IF(X25=0,TEXT(AF25,"# 0/0")&amp;"^",TEXT(AF25,"# 0/0")),IF(X25=0,TEXT(AG25,"# 0/0")&amp;"^",TEXT(AG25,"# 0/0")))</f>
        <v>^</v>
      </c>
      <c r="DF25" s="25" t="str">
        <f>IF(AP25="",IF(X25=0,TEXT(AO25,"# 0/0")&amp;"^",TEXT(AO25,"# 0/0")),IF(X25=0,TEXT(AP25,"# 0/0")&amp;"^",TEXT(AP25,"# 0/0")))</f>
        <v>^</v>
      </c>
      <c r="DG25" s="25" t="str">
        <f>IF(AU25="",IF(X25=0,TEXT(AT25,"# 0/0")&amp;"^",TEXT(AT25,"# 0/0")),IF(X25=0,TEXT(AU25,"# 0/0")&amp;"^",TEXT(AU25,"# 0/0")))</f>
        <v>^</v>
      </c>
      <c r="DH25" s="1568">
        <f>E25</f>
        <v>0</v>
      </c>
      <c r="DI25" s="1498" t="str">
        <f>IF($BI25="",TEXT($BH25, "# 0/0"),TEXT($BI25, "# 0/0"))</f>
        <v/>
      </c>
      <c r="DJ25" s="1614"/>
      <c r="DK25" s="1498" t="str">
        <f>IF($C$3&gt;0,R25,IF(W25="Double",DF25 &amp; " &amp; " &amp; DG25,DE25))</f>
        <v>^</v>
      </c>
      <c r="DL25" s="1614"/>
      <c r="DM25" s="1498" t="str">
        <f>IF($BY25="",IF($C$3&gt;0,$BX25-0.125,TEXT($BX25, "# 0/0")),IF($C$3&gt;0,$BY25-0.125,TEXT($BY25, "# 0/0")))</f>
        <v/>
      </c>
      <c r="DN25" s="1614"/>
      <c r="DO25" s="1502" t="str">
        <f>IF($C$3&gt;0,2*$BQ25,$BQ25)</f>
        <v/>
      </c>
      <c r="DQ25" s="433"/>
      <c r="DR25" s="1253" t="str">
        <f>J25</f>
        <v/>
      </c>
      <c r="DS25" s="1253" t="str">
        <f>IF(C25&gt;0,"",(Pressure($B$3,"Tliq","e",$J25)+Pressure($B$3,"Tvap","e",$J25))/2)</f>
        <v/>
      </c>
      <c r="DT25" s="1253" t="str">
        <f>IF(C25&gt;0,"",Pressure($B$3,"tvap","e",$J25+0.5*$DZ25))</f>
        <v/>
      </c>
      <c r="DU25" s="1253" t="str">
        <f>I25</f>
        <v/>
      </c>
      <c r="DV25" s="1253" t="str">
        <f>IF(C25&gt;0,"",(Pressure($B$3,"Tliq","e",$I25)+Pressure($B$3,"Tvap","e",$I25))/2)</f>
        <v/>
      </c>
      <c r="DW25" s="1253" t="str">
        <f>IF(C25&gt;0,"",Pressure($B$3,"tvap","e",$I25+0.5*$DZ25))</f>
        <v/>
      </c>
      <c r="DX25" s="1260" t="str">
        <f>IF(C25&gt;0,"",1-(Enthalpy($B$3,"pvap","e",$DV25)-(IF($G$4+0.5*($DR$4)&gt;($H$4),Enthalpy($B$3,"Tliq","e",($G$4)),Enthalpy($B$3,"tp","e",($G$4),($I$4)))))/(Enthalpy($B$3,"pvap","e",$DV25)-Enthalpy($B$3,"pliq","e",$DV25)))</f>
        <v/>
      </c>
      <c r="DY25" s="1253" t="str">
        <f>IF(C25&gt;0,"",TEMPERATURE($B$3,"pvap","e",$DS25)-TEMPERATURE($B$3,"pliq","e",$DS25))</f>
        <v/>
      </c>
      <c r="DZ25" s="1253" t="e">
        <f>IF($B$3="R744", 0.001,((1-$DX25)*$DY25))</f>
        <v>#VALUE!</v>
      </c>
      <c r="EA25" s="1261"/>
      <c r="EB25" s="1262" t="e">
        <f ca="1">T25/AA25</f>
        <v>#VALUE!</v>
      </c>
      <c r="EC25" s="1260" t="e">
        <f ca="1">1/(((1/($J$4))/Z25)+((1-(1/($J$4)))/S25))</f>
        <v>#VALUE!</v>
      </c>
      <c r="ED25" s="1263" t="e">
        <f>SQRT(AH25*4/PI())</f>
        <v>#VALUE!</v>
      </c>
      <c r="EE25" s="1262" t="e">
        <f ca="1">(((U25/AH25)^2)*ED25)*(1/3600)*(1/3600)/(EC25*SurfaceTension($B$3,"TLIQ","E",I25))/32.174</f>
        <v>#VALUE!</v>
      </c>
      <c r="EF25" s="1260" t="e">
        <f ca="1">((S25/Z25)^0.91)*((AA25/T25)^0.19)*((1-(AA25/T25))^0.7)</f>
        <v>#VALUE!</v>
      </c>
      <c r="EG25" s="1264" t="e">
        <f>((1/($J$4))^0.78)*((1-(1/($J$4)))^0.224)</f>
        <v>#VALUE!</v>
      </c>
      <c r="EH25" s="1260" t="e">
        <f ca="1">(1-(1/($J$4)))^2+(((1/($J$4))^2)*S25*AE25/(Z25*EM25))</f>
        <v>#VALUE!</v>
      </c>
      <c r="EI25" s="1262" t="e">
        <f ca="1">((U25/AH25)^2)*(1/3600)*(1/3600)/(32.174*ED25*(EC25^2))</f>
        <v>#VALUE!</v>
      </c>
      <c r="EJ25" s="1253" t="e">
        <f ca="1">EH25+(3.24*EG25*EF25/((EI25^0.045)*(EE25^0.035)))</f>
        <v>#VALUE!</v>
      </c>
      <c r="EK25" s="1260" t="e">
        <f>vel(U25,S25,AH25)</f>
        <v>#VALUE!</v>
      </c>
      <c r="EL25" s="1262" t="e">
        <f ca="1">(((EK25/60)*S25)/T25)*((VLOOKUP(IF(AG25="",AF25,AG25),'Pipe Data'!F$7:G$19,2,FALSE))/12)</f>
        <v>#VALUE!</v>
      </c>
      <c r="EM25" s="1264" t="e">
        <f ca="1">(0.25/(LOG(5.74/(EL25^0.9))+((VLOOKUP(IF(AG25="",AF25,AG25),'Pipe Data'!J$7:X$19,15,FALSE))/3.7))^2)</f>
        <v>#VALUE!</v>
      </c>
      <c r="EN25" s="1264" t="e">
        <f ca="1">pdrop(EM25,Y25,S25,EK25,IF(AG25="",AF25,AG25))</f>
        <v>#VALUE!</v>
      </c>
      <c r="EO25" s="1260" t="e">
        <f ca="1">EN25*EJ25</f>
        <v>#VALUE!</v>
      </c>
      <c r="EP25" s="1261"/>
      <c r="EQ25" s="1263" t="e">
        <f>SQRT(BJ25*4/PI())</f>
        <v>#VALUE!</v>
      </c>
      <c r="ER25" s="1262" t="e">
        <f ca="1">(((U25/BJ25)^2)*EQ25)*(1/3600)*(1/3600)/(EC25*SurfaceTension($B$3,"TLIQ","E",I25))/32.174</f>
        <v>#VALUE!</v>
      </c>
      <c r="ES25" s="1260" t="e">
        <f ca="1">(1-(1/($J$4)))^2+(((1/($J$4))^2)*S25*BG25/(Z25*EM25))</f>
        <v>#VALUE!</v>
      </c>
      <c r="ET25" s="1253" t="e">
        <f ca="1">((U25/BJ25)^2)*(1/3600)*(1/3600)/(32.174*EQ25*(EC25^2))</f>
        <v>#VALUE!</v>
      </c>
      <c r="EU25" s="1260" t="e">
        <f ca="1">ES25+(3.24*EG25*EF25/((ET25^0.045)*(ER25^0.035)))</f>
        <v>#VALUE!</v>
      </c>
      <c r="EV25" s="1260" t="e">
        <f>vel(U25,S25,BJ25)</f>
        <v>#VALUE!</v>
      </c>
      <c r="EW25" s="1262" t="e">
        <f ca="1">(((EV25/60)*S25)/T25)*((VLOOKUP(IF(BI25="",BH25,BI25),'Pipe Data'!F$7:G$19,2,FALSE))/12)</f>
        <v>#VALUE!</v>
      </c>
      <c r="EX25" s="1264" t="e">
        <f ca="1">(0.25/(LOG(5.74/(EW25^0.9))+((VLOOKUP(IF(BI25="",BH25,BI25),'Pipe Data'!J$7:X$19,15,FALSE))/3.7))^2)</f>
        <v>#VALUE!</v>
      </c>
      <c r="EY25" s="1260" t="e">
        <f ca="1">pdrop(EX25,BA25,S25,EV25,IF(BI25="",BH25,BI25))</f>
        <v>#VALUE!</v>
      </c>
      <c r="EZ25" s="1260" t="e">
        <f ca="1">EY25*EU25</f>
        <v>#VALUE!</v>
      </c>
      <c r="FA25" s="213">
        <f>IF($J$4&gt;1,0,IF(AND(AB25&gt;$AB$5,AB25&lt;($AB$4)),1,0))</f>
        <v>0</v>
      </c>
      <c r="FB25" s="304">
        <f>IF($J$4&gt;1,0,IF(OR(AND(BD25&gt;$BD$5,BD25&lt;($BD$4)),AND(BD25&lt;$BE$5,BD25&gt;($BE$4))),1,0))</f>
        <v>0</v>
      </c>
      <c r="FC25" s="304">
        <f>IF(AND(BS25&lt;$BS$4,BS25&gt;($BS$5)),1,0)</f>
        <v>0</v>
      </c>
      <c r="FD25" s="213">
        <f>IF(AND(AR25&gt;$AR$5,AR25&lt;($AR$4)),1,0)</f>
        <v>0</v>
      </c>
      <c r="FE25" s="304">
        <f>IF(OR(AR25&lt;($AR$5),AR25&gt;($AS$4)),1,0)</f>
        <v>1</v>
      </c>
      <c r="FF25" s="213">
        <f>IF(AND(AW25&gt;$AR$5,AW25&lt;($AR$4)),1,0)</f>
        <v>0</v>
      </c>
      <c r="FG25" s="304">
        <f>IF(OR(AW25&lt;($AR$5),AW25&gt;($AS$4)),1,0)</f>
        <v>1</v>
      </c>
    </row>
    <row r="26" spans="1:163" ht="12.75" hidden="1" customHeight="1" x14ac:dyDescent="0.2">
      <c r="A26" s="240"/>
      <c r="B26" s="240"/>
      <c r="C26" s="240"/>
      <c r="D26" s="236"/>
      <c r="E26" s="235"/>
      <c r="F26" s="234"/>
      <c r="G26" s="234"/>
      <c r="H26" s="221"/>
      <c r="I26" s="221"/>
      <c r="J26" s="221"/>
      <c r="K26" s="221"/>
      <c r="L26" s="221"/>
      <c r="M26" s="223"/>
      <c r="N26" s="223"/>
      <c r="O26" s="223"/>
      <c r="P26" s="223"/>
      <c r="Q26" s="224"/>
      <c r="R26" s="223"/>
      <c r="S26" s="223"/>
      <c r="T26" s="227"/>
      <c r="U26" s="224"/>
      <c r="V26" s="224"/>
      <c r="W26" s="222"/>
      <c r="X26" s="229"/>
      <c r="Y26" s="221"/>
      <c r="Z26" s="228"/>
      <c r="AA26" s="227"/>
      <c r="AB26" s="219" t="str">
        <f>IF(C25&gt;0,"",IF(($J$4)&gt;1,vel(U25,EC25,AH26),vel(U25,Z25,AH26)))</f>
        <v/>
      </c>
      <c r="AC26" s="220" t="str">
        <f>IF(C25&gt;0,"",pdrop(AE26,Y25,Z25,AB26,AF26))</f>
        <v/>
      </c>
      <c r="AD26" s="219" t="str">
        <f>IF(C25&gt;0,"",(((AB26/60)*Z25)/AA25)*(VLOOKUP(AF26,'Pipe Data'!F$7:G$19,2,FALSE))/12)</f>
        <v/>
      </c>
      <c r="AE26" s="218" t="str">
        <f>IF(C25&gt;0,"",(0.25/(LOG(5.74/(AD26^0.9))+((VLOOKUP(AF26,'Pipe Data'!J$7:X$19,15,FALSE))/3.7))^2))</f>
        <v/>
      </c>
      <c r="AF26" s="216">
        <v>4.125</v>
      </c>
      <c r="AH26" s="217">
        <v>8.1138442517193113E-2</v>
      </c>
      <c r="AI26" s="239"/>
      <c r="AJ26" s="238"/>
      <c r="AK26" s="228"/>
      <c r="AL26" s="223"/>
      <c r="AM26" s="230"/>
      <c r="AN26" s="228"/>
      <c r="AO26" s="232"/>
      <c r="AQ26" s="231"/>
      <c r="AR26" s="230"/>
      <c r="AS26" s="224"/>
      <c r="AT26" s="232"/>
      <c r="AV26" s="231"/>
      <c r="AW26" s="230"/>
      <c r="AX26" s="224"/>
      <c r="AY26" s="1460"/>
      <c r="AZ26" s="229"/>
      <c r="BA26" s="221"/>
      <c r="BB26" s="228"/>
      <c r="BC26" s="227"/>
      <c r="BD26" s="219" t="str">
        <f>IF(C25&gt;0,"",IF(($J$4)&gt;1,vel(U25,EC25,BJ26),vel(U25,Z25,BJ26)))</f>
        <v/>
      </c>
      <c r="BE26" s="220" t="str">
        <f>IF(C25&gt;0,"",IF(($J$4)&gt;1,EZ25,pdrop(BG26,BA25,Z25,BD26,BH26)))</f>
        <v/>
      </c>
      <c r="BF26" s="219" t="str">
        <f>IF(C25&gt;0,"",(((BD26/60)*Z25)/$AA$12)*((VLOOKUP(BH26,'Pipe Data'!F$7:G$19,2,FALSE))/12))</f>
        <v/>
      </c>
      <c r="BG26" s="218" t="str">
        <f>IF(C25&gt;0,"",(0.25/(LOG(5.74/(BF26^0.9))+((VLOOKUP(BH26,'Pipe Data'!J$7:X$19,15,FALSE))/3.7))^2))</f>
        <v/>
      </c>
      <c r="BH26" s="216">
        <v>4.125</v>
      </c>
      <c r="BI26" s="25">
        <f t="shared" ref="BI26:BI36" si="6">IF($J$4&gt;1,IF(BD26&gt;($BD$5),1,0),IF(BD26&gt;($BD$4),1,0))</f>
        <v>1</v>
      </c>
      <c r="BJ26" s="217">
        <v>8.1138442517193113E-2</v>
      </c>
      <c r="BK26" s="237">
        <v>4.125</v>
      </c>
      <c r="BL26" s="224"/>
      <c r="BM26" s="224"/>
      <c r="BN26" s="224"/>
      <c r="BO26" s="223"/>
      <c r="BP26" s="222"/>
      <c r="BQ26" s="229"/>
      <c r="BR26" s="221"/>
      <c r="BS26" s="219" t="str">
        <f>IF(C25&gt;0,"",IF($C$3&gt;0,vel(U25,S25,BZ26)/60,vel(U25,S25,BZ26)))</f>
        <v/>
      </c>
      <c r="BT26" s="220" t="str">
        <f>IF(C25&gt;0,"",IF($C$3&gt;0,2.31*pdrop(BW26,BR25,S25,60*BS26,BX26),pdrop(BW26,BR25,S25,BS26,BX26)))</f>
        <v/>
      </c>
      <c r="BU26" s="220"/>
      <c r="BV26" s="219" t="str">
        <f>IF(C25&gt;0,"",IF($C$3&gt;0,(((BS26)*S25)/32.2/T25)*((VLOOKUP(BX26,'Pipe Data'!F$7:G$19,2,FALSE))/12),(((BS26/60)*S25)/T25)*((VLOOKUP(BX26,'Pipe Data'!F$7:G$19,2,FALSE))/12)))</f>
        <v/>
      </c>
      <c r="BW26" s="218" t="str">
        <f>IF(C25&gt;0,"",IF($C$3&gt;0,IF(BV26&lt;2100,64/BV26,(0.25/(LOG(5.74/(BV26^0.9))+((VLOOKUP(BX26,'Pipe Data'!J$7:X$19,15,FALSE))/3.7))^2)),(0.25/(LOG(5.74/(BV26^0.9))+((VLOOKUP(BX26,'Pipe Data'!J$7:X$19,15,FALSE))/3.7))^2)))</f>
        <v/>
      </c>
      <c r="BX26" s="216">
        <v>4.125</v>
      </c>
      <c r="BY26" s="25" t="str">
        <f>IF(C25&gt;0,"",IF($C$3&gt;0,IF(BT26/BR25&lt;=$BY$4/100,0,1),IF(AND(BS26&lt;($BS$4),BT26&lt;($BT$4)),0,1)))</f>
        <v/>
      </c>
      <c r="BZ26" s="217">
        <v>8.1138442517193113E-2</v>
      </c>
      <c r="CA26" s="237">
        <v>4.125</v>
      </c>
      <c r="CC26" s="313"/>
      <c r="CD26" s="317"/>
      <c r="CE26" s="215"/>
      <c r="CF26" s="214"/>
      <c r="CQ26" s="304" t="s">
        <v>154</v>
      </c>
      <c r="CR26" s="213">
        <f t="shared" ref="CR26:DC26" si="7">IF($BI25="",IF($BH25=CR$8,$AZ25,0),IF($BI25=CR$8,$AZ25,0))</f>
        <v>0</v>
      </c>
      <c r="CS26" s="213">
        <f t="shared" si="7"/>
        <v>0</v>
      </c>
      <c r="CT26" s="213">
        <f t="shared" si="7"/>
        <v>0</v>
      </c>
      <c r="CU26" s="213">
        <f t="shared" si="7"/>
        <v>0</v>
      </c>
      <c r="CV26" s="213">
        <f t="shared" si="7"/>
        <v>0</v>
      </c>
      <c r="CW26" s="213">
        <f t="shared" si="7"/>
        <v>0</v>
      </c>
      <c r="CX26" s="213">
        <f t="shared" si="7"/>
        <v>0</v>
      </c>
      <c r="CY26" s="213">
        <f t="shared" si="7"/>
        <v>0</v>
      </c>
      <c r="CZ26" s="213">
        <f t="shared" si="7"/>
        <v>0</v>
      </c>
      <c r="DA26" s="213">
        <f t="shared" si="7"/>
        <v>0</v>
      </c>
      <c r="DB26" s="213">
        <f t="shared" si="7"/>
        <v>0</v>
      </c>
      <c r="DC26" s="213">
        <f t="shared" si="7"/>
        <v>0</v>
      </c>
      <c r="DH26" s="1503"/>
      <c r="DI26" s="320"/>
      <c r="DJ26" s="1617"/>
      <c r="DK26" s="320"/>
      <c r="DL26" s="1617"/>
      <c r="DM26" s="320"/>
      <c r="DN26" s="1617"/>
      <c r="DO26" s="1504"/>
      <c r="DQ26" s="433"/>
      <c r="DR26" s="1231"/>
      <c r="DS26" s="213"/>
      <c r="DT26" s="213"/>
      <c r="DU26" s="213"/>
      <c r="DV26" s="213"/>
      <c r="DW26" s="213"/>
      <c r="DX26" s="213"/>
      <c r="DY26" s="213"/>
      <c r="DZ26" s="213"/>
      <c r="EA26" s="213"/>
      <c r="EB26" s="213"/>
      <c r="EC26" s="213"/>
      <c r="ED26" s="213"/>
      <c r="EE26" s="213"/>
      <c r="EF26" s="213"/>
      <c r="EG26" s="213"/>
      <c r="EH26" s="213"/>
      <c r="EI26" s="213"/>
      <c r="EJ26" s="213"/>
      <c r="EK26" s="213"/>
      <c r="EL26" s="213"/>
      <c r="EM26" s="213"/>
      <c r="EN26" s="213"/>
      <c r="EO26" s="213"/>
      <c r="EP26" s="213"/>
      <c r="EQ26" s="213"/>
      <c r="ER26" s="213"/>
      <c r="ES26" s="213"/>
      <c r="ET26" s="213"/>
      <c r="EU26" s="213"/>
      <c r="EV26" s="213"/>
      <c r="EW26" s="213"/>
      <c r="EX26" s="213"/>
      <c r="EY26" s="213"/>
      <c r="EZ26" s="213"/>
    </row>
    <row r="27" spans="1:163" ht="12.75" hidden="1" customHeight="1" x14ac:dyDescent="0.2">
      <c r="D27" s="236"/>
      <c r="E27" s="235"/>
      <c r="F27" s="234"/>
      <c r="G27" s="234"/>
      <c r="H27" s="221"/>
      <c r="I27" s="221"/>
      <c r="J27" s="221"/>
      <c r="K27" s="221"/>
      <c r="L27" s="221"/>
      <c r="M27" s="223"/>
      <c r="N27" s="223"/>
      <c r="O27" s="223"/>
      <c r="P27" s="223"/>
      <c r="Q27" s="224"/>
      <c r="R27" s="223"/>
      <c r="S27" s="223"/>
      <c r="T27" s="227"/>
      <c r="U27" s="224"/>
      <c r="V27" s="224"/>
      <c r="W27" s="222"/>
      <c r="X27" s="229"/>
      <c r="Y27" s="221"/>
      <c r="Z27" s="228"/>
      <c r="AA27" s="227"/>
      <c r="AB27" s="219" t="str">
        <f>IF(C25&gt;0,"",IF(($J$4)&gt;1,vel(U25,EC25,AH27),vel(U25,Z25,AH27)))</f>
        <v/>
      </c>
      <c r="AC27" s="220" t="str">
        <f>IF(C25&gt;0,"",pdrop(AE27,Y25,Z25,AB27,AF27))</f>
        <v/>
      </c>
      <c r="AD27" s="219" t="str">
        <f>IF(C25&gt;0,"",(((AB27/60)*Z25)/AA25)*(VLOOKUP(AF27,'Pipe Data'!F$7:G$19,2,FALSE))/12)</f>
        <v/>
      </c>
      <c r="AE27" s="218" t="str">
        <f>IF(C25&gt;0,"",(0.25/(LOG(5.74/(AD27^0.9))+((VLOOKUP(AF27,'Pipe Data'!J$7:X$19,15,FALSE))/3.7))^2))</f>
        <v/>
      </c>
      <c r="AF27" s="216">
        <v>3.625</v>
      </c>
      <c r="AH27" s="217">
        <v>6.2494922713852256E-2</v>
      </c>
      <c r="AI27" s="239"/>
      <c r="AJ27" s="238"/>
      <c r="AK27" s="228"/>
      <c r="AL27" s="223"/>
      <c r="AM27" s="230"/>
      <c r="AN27" s="228"/>
      <c r="AO27" s="232"/>
      <c r="AQ27" s="231"/>
      <c r="AR27" s="230"/>
      <c r="AS27" s="224"/>
      <c r="AT27" s="232"/>
      <c r="AV27" s="231"/>
      <c r="AW27" s="230"/>
      <c r="AX27" s="224"/>
      <c r="AY27" s="1460"/>
      <c r="AZ27" s="229"/>
      <c r="BA27" s="221"/>
      <c r="BB27" s="228"/>
      <c r="BC27" s="227"/>
      <c r="BD27" s="219" t="str">
        <f>IF(C25&gt;0,"",IF(($J$4)&gt;1,vel(U25,EC25,BJ27),vel(U25,Z25,BJ27)))</f>
        <v/>
      </c>
      <c r="BE27" s="220" t="str">
        <f>IF(C25&gt;0,"",IF(($J$4)&gt;1,EZ25,pdrop(BG27,BA25,Z25,BD27,BH27)))</f>
        <v/>
      </c>
      <c r="BF27" s="219" t="str">
        <f>IF(C25&gt;0,"",(((BD27/60)*Z25)/$AA$12)*((VLOOKUP(BH27,'Pipe Data'!F$7:G$19,2,FALSE))/12))</f>
        <v/>
      </c>
      <c r="BG27" s="218" t="str">
        <f>IF(C25&gt;0,"",(0.25/(LOG(5.74/(BF27^0.9))+((VLOOKUP(BH27,'Pipe Data'!J$7:X$19,15,FALSE))/3.7))^2))</f>
        <v/>
      </c>
      <c r="BH27" s="216">
        <v>3.625</v>
      </c>
      <c r="BI27" s="25">
        <f t="shared" si="6"/>
        <v>1</v>
      </c>
      <c r="BJ27" s="217">
        <v>6.2494922713852256E-2</v>
      </c>
      <c r="BK27" s="237">
        <v>3.625</v>
      </c>
      <c r="BL27" s="224"/>
      <c r="BM27" s="224"/>
      <c r="BN27" s="224"/>
      <c r="BO27" s="223"/>
      <c r="BP27" s="222"/>
      <c r="BQ27" s="229"/>
      <c r="BR27" s="221"/>
      <c r="BS27" s="219" t="str">
        <f>IF(C25&gt;0,"",IF($C$3&gt;0,vel(U25,S25,BZ27)/60,vel(U25,S25,BZ27)))</f>
        <v/>
      </c>
      <c r="BT27" s="220" t="str">
        <f>IF(C25&gt;0,"",IF($C$3&gt;0,2.31*pdrop(BW27,BR25,S25,60*BS27,BX27),pdrop(BW27,BR25,S25,BS27,BX27)))</f>
        <v/>
      </c>
      <c r="BU27" s="220"/>
      <c r="BV27" s="219" t="str">
        <f>IF(C25&gt;0,"",IF($C$3&gt;0,(((BS27)*S25)/32.2/T25)*((VLOOKUP(BX27,'Pipe Data'!F$7:G$19,2,FALSE))/12),(((BS27/60)*S25)/T25)*((VLOOKUP(BX27,'Pipe Data'!F$7:G$19,2,FALSE))/12)))</f>
        <v/>
      </c>
      <c r="BW27" s="218" t="str">
        <f>IF(C25&gt;0,"",IF($C$3&gt;0,IF(BV27&lt;2100,64/BV27,(0.25/(LOG(5.74/(BV27^0.9))+((VLOOKUP(BX27,'Pipe Data'!J$7:X$19,15,FALSE))/3.7))^2)),(0.25/(LOG(5.74/(BV27^0.9))+((VLOOKUP(BX27,'Pipe Data'!J$7:X$19,15,FALSE))/3.7))^2)))</f>
        <v/>
      </c>
      <c r="BX27" s="216">
        <v>3.625</v>
      </c>
      <c r="BY27" s="25" t="str">
        <f>IF(C25&gt;0,"",IF($C$3&gt;0,IF(BT27/BR25&lt;=$BY$4/100,0,1),IF(AND(BS27&lt;($BS$4),BT27&lt;($BT$4)),0,1)))</f>
        <v/>
      </c>
      <c r="BZ27" s="217">
        <v>6.2494922713852256E-2</v>
      </c>
      <c r="CA27" s="237">
        <v>3.625</v>
      </c>
      <c r="CC27" s="313"/>
      <c r="CD27" s="317"/>
      <c r="CE27" s="215"/>
      <c r="CF27" s="214"/>
      <c r="CQ27" s="304" t="s">
        <v>155</v>
      </c>
      <c r="CR27" s="213">
        <f t="shared" ref="CR27:DC27" si="8">IF($BY25="",IF($BX25=CR$8,$BQ25,0),IF($BY25=CR$8,$BQ25,0))</f>
        <v>0</v>
      </c>
      <c r="CS27" s="213">
        <f t="shared" si="8"/>
        <v>0</v>
      </c>
      <c r="CT27" s="213">
        <f t="shared" si="8"/>
        <v>0</v>
      </c>
      <c r="CU27" s="213">
        <f t="shared" si="8"/>
        <v>0</v>
      </c>
      <c r="CV27" s="213">
        <f t="shared" si="8"/>
        <v>0</v>
      </c>
      <c r="CW27" s="213">
        <f t="shared" si="8"/>
        <v>0</v>
      </c>
      <c r="CX27" s="213">
        <f t="shared" si="8"/>
        <v>0</v>
      </c>
      <c r="CY27" s="213">
        <f t="shared" si="8"/>
        <v>0</v>
      </c>
      <c r="CZ27" s="213">
        <f t="shared" si="8"/>
        <v>0</v>
      </c>
      <c r="DA27" s="213">
        <f t="shared" si="8"/>
        <v>0</v>
      </c>
      <c r="DB27" s="213">
        <f t="shared" si="8"/>
        <v>0</v>
      </c>
      <c r="DC27" s="213">
        <f t="shared" si="8"/>
        <v>0</v>
      </c>
      <c r="DH27" s="1503"/>
      <c r="DI27" s="320"/>
      <c r="DJ27" s="1617"/>
      <c r="DK27" s="320"/>
      <c r="DL27" s="1617"/>
      <c r="DM27" s="320"/>
      <c r="DN27" s="1617"/>
      <c r="DO27" s="1504"/>
      <c r="DQ27" s="433"/>
      <c r="DR27" s="1231"/>
      <c r="DS27" s="213"/>
      <c r="DT27" s="213"/>
      <c r="DU27" s="213"/>
      <c r="DV27" s="213"/>
      <c r="DW27" s="213"/>
      <c r="DX27" s="213"/>
      <c r="DY27" s="213"/>
      <c r="DZ27" s="213"/>
      <c r="EA27" s="213"/>
      <c r="EB27" s="213"/>
      <c r="EC27" s="213"/>
      <c r="ED27" s="213"/>
      <c r="EE27" s="213"/>
      <c r="EF27" s="213"/>
      <c r="EG27" s="213"/>
      <c r="EH27" s="213"/>
      <c r="EI27" s="213"/>
      <c r="EJ27" s="213"/>
      <c r="EK27" s="213"/>
      <c r="EL27" s="213"/>
      <c r="EM27" s="213"/>
      <c r="EN27" s="213"/>
      <c r="EO27" s="213"/>
      <c r="EP27" s="213"/>
      <c r="EQ27" s="213"/>
      <c r="ER27" s="213"/>
      <c r="ES27" s="213"/>
      <c r="ET27" s="213"/>
      <c r="EU27" s="213"/>
      <c r="EV27" s="213"/>
      <c r="EW27" s="213"/>
      <c r="EX27" s="213"/>
      <c r="EY27" s="213"/>
      <c r="EZ27" s="213"/>
    </row>
    <row r="28" spans="1:163" ht="12.75" hidden="1" customHeight="1" x14ac:dyDescent="0.2">
      <c r="D28" s="236"/>
      <c r="E28" s="235"/>
      <c r="F28" s="234"/>
      <c r="G28" s="234"/>
      <c r="H28" s="221"/>
      <c r="I28" s="221"/>
      <c r="J28" s="221"/>
      <c r="K28" s="221"/>
      <c r="L28" s="221"/>
      <c r="M28" s="223"/>
      <c r="N28" s="223"/>
      <c r="O28" s="223"/>
      <c r="P28" s="223"/>
      <c r="Q28" s="224"/>
      <c r="R28" s="223"/>
      <c r="S28" s="223"/>
      <c r="T28" s="227"/>
      <c r="U28" s="224"/>
      <c r="V28" s="224"/>
      <c r="W28" s="222"/>
      <c r="X28" s="229"/>
      <c r="Y28" s="221"/>
      <c r="Z28" s="228"/>
      <c r="AA28" s="227"/>
      <c r="AB28" s="219" t="str">
        <f>IF(C25&gt;0,"",IF(($J$4)&gt;1,vel(U25,EC25,AH28),vel(U25,Z25,AH28)))</f>
        <v/>
      </c>
      <c r="AC28" s="220" t="str">
        <f>IF(C25&gt;0,"",pdrop(AE28,Y25,Z25,AB28,AF28))</f>
        <v/>
      </c>
      <c r="AD28" s="219" t="str">
        <f>IF(C25&gt;0,"",(((AB28/60)*Z25)/AA25)*(VLOOKUP(AF28,'Pipe Data'!F$7:G$19,2,FALSE))/12)</f>
        <v/>
      </c>
      <c r="AE28" s="218" t="str">
        <f>IF(C25&gt;0,"",(0.25/(LOG(5.74/(AD28^0.9))+((VLOOKUP(AF28,'Pipe Data'!J$7:X$19,15,FALSE))/3.7))^2))</f>
        <v/>
      </c>
      <c r="AF28" s="216">
        <v>3.125</v>
      </c>
      <c r="AH28" s="217">
        <v>4.6091140306364464E-2</v>
      </c>
      <c r="AI28" s="239"/>
      <c r="AJ28" s="238"/>
      <c r="AK28" s="228"/>
      <c r="AL28" s="223"/>
      <c r="AM28" s="230"/>
      <c r="AN28" s="228"/>
      <c r="AO28" s="232"/>
      <c r="AQ28" s="231"/>
      <c r="AR28" s="230"/>
      <c r="AS28" s="224"/>
      <c r="AT28" s="232"/>
      <c r="AV28" s="231"/>
      <c r="AW28" s="230"/>
      <c r="AX28" s="224"/>
      <c r="AY28" s="1460"/>
      <c r="AZ28" s="229"/>
      <c r="BA28" s="221"/>
      <c r="BB28" s="228"/>
      <c r="BC28" s="227"/>
      <c r="BD28" s="219" t="str">
        <f>IF(C25&gt;0,"",IF(($J$4)&gt;1,vel(U25,EC25,BJ28),vel(U25,Z25,BJ28)))</f>
        <v/>
      </c>
      <c r="BE28" s="220" t="str">
        <f>IF(C25&gt;0,"",IF(($J$4)&gt;1,EZ25,pdrop(BG28,BA25,Z25,BD28,BH28)))</f>
        <v/>
      </c>
      <c r="BF28" s="219" t="str">
        <f>IF(C25&gt;0,"",(((BD28/60)*Z25)/$AA$12)*((VLOOKUP(BH28,'Pipe Data'!F$7:G$19,2,FALSE))/12))</f>
        <v/>
      </c>
      <c r="BG28" s="218" t="str">
        <f>IF(C25&gt;0,"",(0.25/(LOG(5.74/(BF28^0.9))+((VLOOKUP(BH28,'Pipe Data'!J$7:X$19,15,FALSE))/3.7))^2))</f>
        <v/>
      </c>
      <c r="BH28" s="216">
        <v>3.125</v>
      </c>
      <c r="BI28" s="25">
        <f t="shared" si="6"/>
        <v>1</v>
      </c>
      <c r="BJ28" s="217">
        <v>4.6091140306364464E-2</v>
      </c>
      <c r="BK28" s="237">
        <v>3.125</v>
      </c>
      <c r="BL28" s="224"/>
      <c r="BM28" s="224"/>
      <c r="BN28" s="224"/>
      <c r="BO28" s="223"/>
      <c r="BP28" s="222"/>
      <c r="BQ28" s="229"/>
      <c r="BR28" s="221"/>
      <c r="BS28" s="219" t="str">
        <f>IF(C25&gt;0,"",IF($C$3&gt;0,vel(U25,S25,BZ28)/60,vel(U25,S25,BZ28)))</f>
        <v/>
      </c>
      <c r="BT28" s="220" t="str">
        <f>IF(C25&gt;0,"",IF($C$3&gt;0,2.31*pdrop(BW28,BR25,S25,60*BS28,BX28),pdrop(BW28,BR25,S25,BS28,BX28)))</f>
        <v/>
      </c>
      <c r="BU28" s="220"/>
      <c r="BV28" s="219" t="str">
        <f>IF(C25&gt;0,"",IF($C$3&gt;0,(((BS28)*S25)/32.2/T25)*((VLOOKUP(BX28,'Pipe Data'!F$7:G$19,2,FALSE))/12),(((BS28/60)*S25)/T25)*((VLOOKUP(BX28,'Pipe Data'!F$7:G$19,2,FALSE))/12)))</f>
        <v/>
      </c>
      <c r="BW28" s="218" t="str">
        <f>IF(C25&gt;0,"",IF($C$3&gt;0,IF(BV28&lt;2100,64/BV28,(0.25/(LOG(5.74/(BV28^0.9))+((VLOOKUP(BX28,'Pipe Data'!J$7:X$19,15,FALSE))/3.7))^2)),(0.25/(LOG(5.74/(BV28^0.9))+((VLOOKUP(BX28,'Pipe Data'!J$7:X$19,15,FALSE))/3.7))^2)))</f>
        <v/>
      </c>
      <c r="BX28" s="216">
        <v>3.125</v>
      </c>
      <c r="BY28" s="25" t="str">
        <f>IF(C25&gt;0,"",IF($C$3&gt;0,IF(BT28/BR25&lt;=$BY$4/100,0,1),IF(AND(BS28&lt;($BS$4),BT28&lt;($BT$4)),0,1)))</f>
        <v/>
      </c>
      <c r="BZ28" s="217">
        <v>4.6091140306364464E-2</v>
      </c>
      <c r="CA28" s="237">
        <v>3.125</v>
      </c>
      <c r="CC28" s="313"/>
      <c r="CD28" s="317"/>
      <c r="CE28" s="215"/>
      <c r="CF28" s="214"/>
      <c r="CQ28" s="25" t="s">
        <v>172</v>
      </c>
      <c r="CR28" s="213">
        <f t="shared" ref="CR28:DC28" si="9">IF($W25="double",IF($AP25="",IF($AO25=CR$8,$X25,0),IF($AP25=CR$8,$X25,0)),0)</f>
        <v>0</v>
      </c>
      <c r="CS28" s="213">
        <f t="shared" si="9"/>
        <v>0</v>
      </c>
      <c r="CT28" s="213">
        <f t="shared" si="9"/>
        <v>0</v>
      </c>
      <c r="CU28" s="213">
        <f t="shared" si="9"/>
        <v>0</v>
      </c>
      <c r="CV28" s="213">
        <f t="shared" si="9"/>
        <v>0</v>
      </c>
      <c r="CW28" s="213">
        <f t="shared" si="9"/>
        <v>0</v>
      </c>
      <c r="CX28" s="213">
        <f t="shared" si="9"/>
        <v>0</v>
      </c>
      <c r="CY28" s="213">
        <f t="shared" si="9"/>
        <v>0</v>
      </c>
      <c r="CZ28" s="213">
        <f t="shared" si="9"/>
        <v>0</v>
      </c>
      <c r="DA28" s="213">
        <f t="shared" si="9"/>
        <v>0</v>
      </c>
      <c r="DB28" s="213">
        <f t="shared" si="9"/>
        <v>0</v>
      </c>
      <c r="DC28" s="213">
        <f t="shared" si="9"/>
        <v>0</v>
      </c>
      <c r="DH28" s="1503"/>
      <c r="DI28" s="320"/>
      <c r="DJ28" s="1617"/>
      <c r="DK28" s="320"/>
      <c r="DL28" s="1617"/>
      <c r="DM28" s="320"/>
      <c r="DN28" s="1617"/>
      <c r="DO28" s="1504"/>
      <c r="DQ28" s="433"/>
      <c r="DR28" s="1231"/>
      <c r="DS28" s="213"/>
      <c r="DT28" s="213"/>
      <c r="DU28" s="213"/>
      <c r="DV28" s="213"/>
      <c r="DW28" s="213"/>
      <c r="DX28" s="213"/>
      <c r="DY28" s="213"/>
      <c r="DZ28" s="213"/>
      <c r="EA28" s="213"/>
      <c r="EB28" s="213"/>
      <c r="EC28" s="213"/>
      <c r="ED28" s="213"/>
      <c r="EE28" s="213"/>
      <c r="EF28" s="213"/>
      <c r="EG28" s="213"/>
      <c r="EH28" s="213"/>
      <c r="EI28" s="213"/>
      <c r="EJ28" s="213"/>
      <c r="EK28" s="213"/>
      <c r="EL28" s="213"/>
      <c r="EM28" s="213"/>
      <c r="EN28" s="213"/>
      <c r="EO28" s="213"/>
      <c r="EP28" s="213"/>
      <c r="EQ28" s="213"/>
      <c r="ER28" s="213"/>
      <c r="ES28" s="213"/>
      <c r="ET28" s="213"/>
      <c r="EU28" s="213"/>
      <c r="EV28" s="213"/>
      <c r="EW28" s="213"/>
      <c r="EX28" s="213"/>
      <c r="EY28" s="213"/>
      <c r="EZ28" s="213"/>
    </row>
    <row r="29" spans="1:163" ht="12.75" hidden="1" customHeight="1" x14ac:dyDescent="0.2">
      <c r="D29" s="236"/>
      <c r="E29" s="235"/>
      <c r="F29" s="234"/>
      <c r="G29" s="234"/>
      <c r="H29" s="221"/>
      <c r="I29" s="221"/>
      <c r="J29" s="221"/>
      <c r="K29" s="221"/>
      <c r="L29" s="221"/>
      <c r="M29" s="223"/>
      <c r="N29" s="223"/>
      <c r="O29" s="223"/>
      <c r="P29" s="223"/>
      <c r="Q29" s="224"/>
      <c r="R29" s="223"/>
      <c r="S29" s="223"/>
      <c r="T29" s="227"/>
      <c r="U29" s="224"/>
      <c r="V29" s="224"/>
      <c r="W29" s="222"/>
      <c r="X29" s="229"/>
      <c r="Y29" s="221"/>
      <c r="Z29" s="228"/>
      <c r="AA29" s="227"/>
      <c r="AB29" s="219" t="str">
        <f>IF(C25&gt;0,"",IF(($J$4)&gt;1,vel(U25,EC25,AH29),vel(U25,Z25,AH29)))</f>
        <v/>
      </c>
      <c r="AC29" s="220" t="str">
        <f>IF(C25&gt;0,"",pdrop(AE29,Y25,Z25,AB29,AF29))</f>
        <v/>
      </c>
      <c r="AD29" s="219" t="str">
        <f>IF(C25&gt;0,"",(((AB29/60)*Z25)/AA25)*(VLOOKUP(AF29,'Pipe Data'!F$7:G$19,2,FALSE))/12)</f>
        <v/>
      </c>
      <c r="AE29" s="218" t="str">
        <f>IF(C25&gt;0,"",(0.25/(LOG(5.74/(AD29^0.9))+((VLOOKUP(AF29,'Pipe Data'!J$7:X$19,15,FALSE))/3.7))^2))</f>
        <v/>
      </c>
      <c r="AF29" s="216">
        <v>2.625</v>
      </c>
      <c r="AH29" s="217">
        <v>3.2338905731737741E-2</v>
      </c>
      <c r="AI29" s="239"/>
      <c r="AJ29" s="238"/>
      <c r="AK29" s="228"/>
      <c r="AL29" s="223"/>
      <c r="AM29" s="230"/>
      <c r="AN29" s="228"/>
      <c r="AO29" s="232"/>
      <c r="AQ29" s="231"/>
      <c r="AR29" s="230"/>
      <c r="AS29" s="224"/>
      <c r="AT29" s="232"/>
      <c r="AV29" s="231"/>
      <c r="AW29" s="230"/>
      <c r="AX29" s="224"/>
      <c r="AY29" s="1460"/>
      <c r="AZ29" s="229"/>
      <c r="BA29" s="221"/>
      <c r="BB29" s="228"/>
      <c r="BC29" s="227"/>
      <c r="BD29" s="219" t="str">
        <f>IF(C25&gt;0,"",IF(($J$4)&gt;1,vel(U25,EC25,BJ29),vel(U25,Z25,BJ29)))</f>
        <v/>
      </c>
      <c r="BE29" s="220" t="str">
        <f>IF(C25&gt;0,"",IF(($J$4)&gt;1,EZ25,pdrop(BG29,BA25,Z25,BD29,BH29)))</f>
        <v/>
      </c>
      <c r="BF29" s="219" t="str">
        <f>IF(C25&gt;0,"",(((BD29/60)*Z25)/$AA$12)*((VLOOKUP(BH29,'Pipe Data'!F$7:G$19,2,FALSE))/12))</f>
        <v/>
      </c>
      <c r="BG29" s="218" t="str">
        <f>IF(C25&gt;0,"",(0.25/(LOG(5.74/(BF29^0.9))+((VLOOKUP(BH29,'Pipe Data'!J$7:X$19,15,FALSE))/3.7))^2))</f>
        <v/>
      </c>
      <c r="BH29" s="216">
        <v>2.625</v>
      </c>
      <c r="BI29" s="25">
        <f t="shared" si="6"/>
        <v>1</v>
      </c>
      <c r="BJ29" s="217">
        <v>3.2338905731737741E-2</v>
      </c>
      <c r="BK29" s="237">
        <v>2.625</v>
      </c>
      <c r="BL29" s="224"/>
      <c r="BM29" s="224"/>
      <c r="BN29" s="224"/>
      <c r="BO29" s="223"/>
      <c r="BP29" s="222"/>
      <c r="BQ29" s="229"/>
      <c r="BR29" s="221"/>
      <c r="BS29" s="219" t="str">
        <f>IF(C25&gt;0,"",IF($C$3&gt;0,vel(U25,S25,BZ29)/60,vel(U25,S25,BZ29)))</f>
        <v/>
      </c>
      <c r="BT29" s="220" t="str">
        <f>IF(C25&gt;0,"",IF($C$3&gt;0,2.31*pdrop(BW29,BR25,S25,60*BS29,BX29),pdrop(BW29,BR25,S25,BS29,BX29)))</f>
        <v/>
      </c>
      <c r="BU29" s="220"/>
      <c r="BV29" s="219" t="str">
        <f>IF(C25&gt;0,"",IF($C$3&gt;0,(((BS29)*S25)/32.2/T25)*((VLOOKUP(BX29,'Pipe Data'!F$7:G$19,2,FALSE))/12),(((BS29/60)*S25)/T25)*((VLOOKUP(BX29,'Pipe Data'!F$7:G$19,2,FALSE))/12)))</f>
        <v/>
      </c>
      <c r="BW29" s="218" t="str">
        <f>IF(C25&gt;0,"",IF($C$3&gt;0,IF(BV29&lt;2100,64/BV29,(0.25/(LOG(5.74/(BV29^0.9))+((VLOOKUP(BX29,'Pipe Data'!J$7:X$19,15,FALSE))/3.7))^2)),(0.25/(LOG(5.74/(BV29^0.9))+((VLOOKUP(BX29,'Pipe Data'!J$7:X$19,15,FALSE))/3.7))^2)))</f>
        <v/>
      </c>
      <c r="BX29" s="216">
        <v>2.625</v>
      </c>
      <c r="BY29" s="25" t="str">
        <f>IF(C25&gt;0,"",IF($C$3&gt;0,IF(BT29/BR25&lt;=$BY$4/100,0,1),IF(AND(BS29&lt;($BS$4),BT29&lt;($BT$4)),0,1)))</f>
        <v/>
      </c>
      <c r="BZ29" s="217">
        <v>3.2338905731737741E-2</v>
      </c>
      <c r="CA29" s="237">
        <v>2.625</v>
      </c>
      <c r="CC29" s="313"/>
      <c r="CD29" s="317"/>
      <c r="CE29" s="215"/>
      <c r="CF29" s="214"/>
      <c r="CQ29" s="25" t="s">
        <v>173</v>
      </c>
      <c r="CR29" s="213">
        <f t="shared" ref="CR29:DC29" si="10">IF($W25="double",IF($AU25="",IF($AT25=CR$8,$X25,0),IF($AU25=CR$8,$X25,0)),0)</f>
        <v>0</v>
      </c>
      <c r="CS29" s="213">
        <f t="shared" si="10"/>
        <v>0</v>
      </c>
      <c r="CT29" s="213">
        <f t="shared" si="10"/>
        <v>0</v>
      </c>
      <c r="CU29" s="213">
        <f t="shared" si="10"/>
        <v>0</v>
      </c>
      <c r="CV29" s="213">
        <f t="shared" si="10"/>
        <v>0</v>
      </c>
      <c r="CW29" s="213">
        <f t="shared" si="10"/>
        <v>0</v>
      </c>
      <c r="CX29" s="213">
        <f t="shared" si="10"/>
        <v>0</v>
      </c>
      <c r="CY29" s="213">
        <f t="shared" si="10"/>
        <v>0</v>
      </c>
      <c r="CZ29" s="213">
        <f t="shared" si="10"/>
        <v>0</v>
      </c>
      <c r="DA29" s="213">
        <f t="shared" si="10"/>
        <v>0</v>
      </c>
      <c r="DB29" s="213">
        <f t="shared" si="10"/>
        <v>0</v>
      </c>
      <c r="DC29" s="213">
        <f t="shared" si="10"/>
        <v>0</v>
      </c>
      <c r="DH29" s="1503"/>
      <c r="DI29" s="320"/>
      <c r="DJ29" s="1617"/>
      <c r="DK29" s="320"/>
      <c r="DL29" s="1617"/>
      <c r="DM29" s="320"/>
      <c r="DN29" s="1617"/>
      <c r="DO29" s="1504"/>
      <c r="DQ29" s="433"/>
      <c r="DR29" s="1231"/>
      <c r="DS29" s="213"/>
      <c r="DT29" s="213"/>
      <c r="DU29" s="213"/>
      <c r="DV29" s="213"/>
      <c r="DW29" s="213"/>
      <c r="DX29" s="213"/>
      <c r="DY29" s="213"/>
      <c r="DZ29" s="213"/>
      <c r="EA29" s="213"/>
      <c r="EB29" s="213"/>
      <c r="EC29" s="213"/>
      <c r="ED29" s="213"/>
      <c r="EE29" s="213"/>
      <c r="EF29" s="213"/>
      <c r="EG29" s="213"/>
      <c r="EH29" s="213"/>
      <c r="EI29" s="213"/>
      <c r="EJ29" s="213"/>
      <c r="EK29" s="213"/>
      <c r="EL29" s="213"/>
      <c r="EM29" s="213"/>
      <c r="EN29" s="213"/>
      <c r="EO29" s="213"/>
      <c r="EP29" s="213"/>
      <c r="EQ29" s="213"/>
      <c r="ER29" s="213"/>
      <c r="ES29" s="213"/>
      <c r="ET29" s="213"/>
      <c r="EU29" s="213"/>
      <c r="EV29" s="213"/>
      <c r="EW29" s="213"/>
      <c r="EX29" s="213"/>
      <c r="EY29" s="213"/>
      <c r="EZ29" s="213"/>
    </row>
    <row r="30" spans="1:163" ht="12.75" hidden="1" customHeight="1" x14ac:dyDescent="0.2">
      <c r="D30" s="236"/>
      <c r="E30" s="235"/>
      <c r="F30" s="234"/>
      <c r="G30" s="234"/>
      <c r="H30" s="221"/>
      <c r="I30" s="221"/>
      <c r="J30" s="221"/>
      <c r="K30" s="221"/>
      <c r="L30" s="221"/>
      <c r="M30" s="223"/>
      <c r="N30" s="223"/>
      <c r="O30" s="223"/>
      <c r="P30" s="223"/>
      <c r="Q30" s="224"/>
      <c r="R30" s="223"/>
      <c r="S30" s="223"/>
      <c r="T30" s="227"/>
      <c r="U30" s="224"/>
      <c r="V30" s="224"/>
      <c r="W30" s="222"/>
      <c r="X30" s="229"/>
      <c r="Y30" s="221"/>
      <c r="Z30" s="228"/>
      <c r="AA30" s="227"/>
      <c r="AB30" s="219" t="str">
        <f>IF(C25&gt;0,"",IF(($J$4)&gt;1,vel(U25,EC25,AH30),vel(U25,Z25,AH30)))</f>
        <v/>
      </c>
      <c r="AC30" s="220" t="str">
        <f>IF(C25&gt;0,"",pdrop(AE30,Y25,Z25,AB30,AF30))</f>
        <v/>
      </c>
      <c r="AD30" s="219" t="str">
        <f>IF(C25&gt;0,"",(((AB30/60)*Z25)/AA25)*(VLOOKUP(AF30,'Pipe Data'!F$7:G$19,2,FALSE))/12)</f>
        <v/>
      </c>
      <c r="AE30" s="218" t="str">
        <f>IF(C25&gt;0,"",(0.25/(LOG(5.74/(AD30^0.9))+((VLOOKUP(AF30,'Pipe Data'!J$7:X$19,15,FALSE))/3.7))^2))</f>
        <v/>
      </c>
      <c r="AF30" s="216">
        <v>2.125</v>
      </c>
      <c r="AH30" s="217">
        <v>2.0931302841008911E-2</v>
      </c>
      <c r="AI30" s="239"/>
      <c r="AJ30" s="238"/>
      <c r="AK30" s="228"/>
      <c r="AL30" s="223"/>
      <c r="AM30" s="230"/>
      <c r="AN30" s="228"/>
      <c r="AO30" s="232"/>
      <c r="AQ30" s="231"/>
      <c r="AR30" s="230"/>
      <c r="AS30" s="224"/>
      <c r="AT30" s="232"/>
      <c r="AV30" s="231"/>
      <c r="AW30" s="230"/>
      <c r="AX30" s="224"/>
      <c r="AY30" s="1460"/>
      <c r="AZ30" s="229"/>
      <c r="BA30" s="221"/>
      <c r="BB30" s="228"/>
      <c r="BC30" s="227"/>
      <c r="BD30" s="219" t="str">
        <f>IF(C25&gt;0,"",IF(($J$4)&gt;1,vel(U25,EC25,BJ30),vel(U25,Z25,BJ30)))</f>
        <v/>
      </c>
      <c r="BE30" s="220" t="str">
        <f>IF(C25&gt;0,"",IF(($J$4)&gt;1,EZ25,pdrop(BG30,BA25,Z25,BD30,BH30)))</f>
        <v/>
      </c>
      <c r="BF30" s="219" t="str">
        <f>IF(C25&gt;0,"",(((BD30/60)*Z25)/$AA$12)*((VLOOKUP(BH30,'Pipe Data'!F$7:G$19,2,FALSE))/12))</f>
        <v/>
      </c>
      <c r="BG30" s="218" t="str">
        <f>IF(C25&gt;0,"",(0.25/(LOG(5.74/(BF30^0.9))+((VLOOKUP(BH30,'Pipe Data'!J$7:X$19,15,FALSE))/3.7))^2))</f>
        <v/>
      </c>
      <c r="BH30" s="216">
        <v>2.125</v>
      </c>
      <c r="BI30" s="25">
        <f t="shared" si="6"/>
        <v>1</v>
      </c>
      <c r="BJ30" s="217">
        <v>2.0931302841008911E-2</v>
      </c>
      <c r="BK30" s="237">
        <v>2.125</v>
      </c>
      <c r="BL30" s="224"/>
      <c r="BM30" s="224"/>
      <c r="BN30" s="224"/>
      <c r="BO30" s="223"/>
      <c r="BP30" s="222"/>
      <c r="BQ30" s="229"/>
      <c r="BR30" s="221"/>
      <c r="BS30" s="219" t="str">
        <f>IF(C25&gt;0,"",IF($C$3&gt;0,vel(U25,S25,BZ30)/60,vel(U25,S25,BZ30)))</f>
        <v/>
      </c>
      <c r="BT30" s="220" t="str">
        <f>IF(C25&gt;0,"",IF($C$3&gt;0,2.31*pdrop(BW30,BR25,S25,60*BS30,BX30),pdrop(BW30,BR25,S25,BS30,BX30)))</f>
        <v/>
      </c>
      <c r="BU30" s="220"/>
      <c r="BV30" s="219" t="str">
        <f>IF(C25&gt;0,"",IF($C$3&gt;0,(((BS30)*S25)/32.2/T25)*((VLOOKUP(BX30,'Pipe Data'!F$7:G$19,2,FALSE))/12),(((BS30/60)*S25)/T25)*((VLOOKUP(BX30,'Pipe Data'!F$7:G$19,2,FALSE))/12)))</f>
        <v/>
      </c>
      <c r="BW30" s="218" t="str">
        <f>IF(C25&gt;0,"",IF($C$3&gt;0,IF(BV30&lt;2100,64/BV30,(0.25/(LOG(5.74/(BV30^0.9))+((VLOOKUP(BX30,'Pipe Data'!J$7:X$19,15,FALSE))/3.7))^2)),(0.25/(LOG(5.74/(BV30^0.9))+((VLOOKUP(BX30,'Pipe Data'!J$7:X$19,15,FALSE))/3.7))^2)))</f>
        <v/>
      </c>
      <c r="BX30" s="216">
        <v>2.125</v>
      </c>
      <c r="BY30" s="25" t="str">
        <f>IF(C25&gt;0,"",IF($C$3&gt;0,IF(BT30/BR25&lt;=$BY$4/100,0,1),IF(AND(BS30&lt;($BS$4),BT30&lt;($BT$4)),0,1)))</f>
        <v/>
      </c>
      <c r="BZ30" s="217">
        <v>2.0931302841008911E-2</v>
      </c>
      <c r="CA30" s="237">
        <v>2.125</v>
      </c>
      <c r="CC30" s="313"/>
      <c r="CD30" s="317"/>
      <c r="CE30" s="215"/>
      <c r="CF30" s="214"/>
      <c r="DH30" s="1503"/>
      <c r="DI30" s="320"/>
      <c r="DJ30" s="1617"/>
      <c r="DK30" s="320"/>
      <c r="DL30" s="1617"/>
      <c r="DM30" s="320"/>
      <c r="DN30" s="1617"/>
      <c r="DO30" s="1504"/>
      <c r="DQ30" s="433"/>
      <c r="DR30" s="1231"/>
      <c r="DS30" s="213"/>
      <c r="DT30" s="213"/>
      <c r="DU30" s="213"/>
      <c r="DV30" s="213"/>
      <c r="DW30" s="213"/>
      <c r="DX30" s="213"/>
      <c r="DY30" s="213"/>
      <c r="DZ30" s="213"/>
      <c r="EA30" s="213"/>
      <c r="EB30" s="213"/>
      <c r="EC30" s="213"/>
      <c r="ED30" s="213"/>
      <c r="EE30" s="213"/>
      <c r="EF30" s="213"/>
      <c r="EG30" s="213"/>
      <c r="EH30" s="213"/>
      <c r="EI30" s="213"/>
      <c r="EJ30" s="213"/>
      <c r="EK30" s="213"/>
      <c r="EL30" s="213"/>
      <c r="EM30" s="213"/>
      <c r="EN30" s="213"/>
      <c r="EO30" s="213"/>
      <c r="EP30" s="213"/>
      <c r="EQ30" s="213"/>
      <c r="ER30" s="213"/>
      <c r="ES30" s="213"/>
      <c r="ET30" s="213"/>
      <c r="EU30" s="213"/>
      <c r="EV30" s="213"/>
      <c r="EW30" s="213"/>
      <c r="EX30" s="213"/>
      <c r="EY30" s="213"/>
      <c r="EZ30" s="213"/>
    </row>
    <row r="31" spans="1:163" ht="12.75" hidden="1" customHeight="1" x14ac:dyDescent="0.2">
      <c r="D31" s="236"/>
      <c r="E31" s="235"/>
      <c r="F31" s="234"/>
      <c r="G31" s="234"/>
      <c r="H31" s="221"/>
      <c r="I31" s="221"/>
      <c r="J31" s="221"/>
      <c r="K31" s="221"/>
      <c r="L31" s="221"/>
      <c r="M31" s="223"/>
      <c r="N31" s="223"/>
      <c r="O31" s="223"/>
      <c r="P31" s="223"/>
      <c r="Q31" s="224"/>
      <c r="R31" s="223"/>
      <c r="S31" s="223"/>
      <c r="T31" s="227"/>
      <c r="U31" s="224"/>
      <c r="V31" s="224"/>
      <c r="W31" s="222"/>
      <c r="X31" s="229"/>
      <c r="Y31" s="221"/>
      <c r="Z31" s="228"/>
      <c r="AA31" s="227"/>
      <c r="AB31" s="219" t="str">
        <f>IF(C25&gt;0,"",IF(($J$4)&gt;1,vel(U25,EC25,AH31),vel(U25,Z25,AH31)))</f>
        <v/>
      </c>
      <c r="AC31" s="220" t="str">
        <f>IF(C25&gt;0,"",pdrop(AE31,Y25,Z25,AB31,AF31))</f>
        <v/>
      </c>
      <c r="AD31" s="219" t="str">
        <f>IF(C25&gt;0,"",(((AB31/60)*Z25)/AA25)*(VLOOKUP(AF31,'Pipe Data'!F$7:G$19,2,FALSE))/12)</f>
        <v/>
      </c>
      <c r="AE31" s="218" t="str">
        <f>IF(C25&gt;0,"",(0.25/(LOG(5.74/(AD31^0.9))+((VLOOKUP(AF31,'Pipe Data'!J$7:X$19,15,FALSE))/3.7))^2))</f>
        <v/>
      </c>
      <c r="AF31" s="216">
        <v>1.625</v>
      </c>
      <c r="AH31" s="217">
        <v>1.2353794965620174E-2</v>
      </c>
      <c r="AI31" s="239"/>
      <c r="AJ31" s="238"/>
      <c r="AK31" s="228"/>
      <c r="AL31" s="223"/>
      <c r="AM31" s="230"/>
      <c r="AN31" s="228"/>
      <c r="AO31" s="232"/>
      <c r="AQ31" s="231"/>
      <c r="AR31" s="230"/>
      <c r="AS31" s="224"/>
      <c r="AT31" s="232"/>
      <c r="AV31" s="231"/>
      <c r="AW31" s="230"/>
      <c r="AX31" s="224"/>
      <c r="AY31" s="1460"/>
      <c r="AZ31" s="229"/>
      <c r="BA31" s="221"/>
      <c r="BB31" s="228"/>
      <c r="BC31" s="227"/>
      <c r="BD31" s="219" t="str">
        <f>IF(C25&gt;0,"",IF(($J$4)&gt;1,vel(U25,EC25,BJ31),vel(U25,Z25,BJ31)))</f>
        <v/>
      </c>
      <c r="BE31" s="220" t="str">
        <f>IF(C25&gt;0,"",IF(($J$4)&gt;1,EZ25,pdrop(BG31,BA25,Z25,BD31,BH31)))</f>
        <v/>
      </c>
      <c r="BF31" s="219" t="str">
        <f>IF(C25&gt;0,"",(((BD31/60)*Z25)/$AA$12)*((VLOOKUP(BH31,'Pipe Data'!F$7:G$19,2,FALSE))/12))</f>
        <v/>
      </c>
      <c r="BG31" s="218" t="str">
        <f>IF(C25&gt;0,"",(0.25/(LOG(5.74/(BF31^0.9))+((VLOOKUP(BH31,'Pipe Data'!J$7:X$19,15,FALSE))/3.7))^2))</f>
        <v/>
      </c>
      <c r="BH31" s="216">
        <v>1.625</v>
      </c>
      <c r="BI31" s="25">
        <f t="shared" si="6"/>
        <v>1</v>
      </c>
      <c r="BJ31" s="217">
        <v>1.2353794965620174E-2</v>
      </c>
      <c r="BK31" s="237">
        <v>1.625</v>
      </c>
      <c r="BL31" s="224"/>
      <c r="BM31" s="224"/>
      <c r="BN31" s="224"/>
      <c r="BO31" s="223"/>
      <c r="BP31" s="222"/>
      <c r="BQ31" s="229"/>
      <c r="BR31" s="221"/>
      <c r="BS31" s="219" t="str">
        <f>IF(C25&gt;0,"",IF($C$3&gt;0,vel(U25,S25,BZ31)/60,vel(U25,S25,BZ31)))</f>
        <v/>
      </c>
      <c r="BT31" s="220" t="str">
        <f>IF(C25&gt;0,"",IF($C$3&gt;0,2.31*pdrop(BW31,BR25,S25,60*BS31,BX31),pdrop(BW31,BR25,S25,BS31,BX31)))</f>
        <v/>
      </c>
      <c r="BU31" s="220"/>
      <c r="BV31" s="219" t="str">
        <f>IF(C25&gt;0,"",IF($C$3&gt;0,(((BS31)*S25)/32.2/T25)*((VLOOKUP(BX31,'Pipe Data'!F$7:G$19,2,FALSE))/12),(((BS31/60)*S25)/T25)*((VLOOKUP(BX31,'Pipe Data'!F$7:G$19,2,FALSE))/12)))</f>
        <v/>
      </c>
      <c r="BW31" s="218" t="str">
        <f>IF(C25&gt;0,"",IF($C$3&gt;0,IF(BV31&lt;2100,64/BV31,(0.25/(LOG(5.74/(BV31^0.9))+((VLOOKUP(BX31,'Pipe Data'!J$7:X$19,15,FALSE))/3.7))^2)),(0.25/(LOG(5.74/(BV31^0.9))+((VLOOKUP(BX31,'Pipe Data'!J$7:X$19,15,FALSE))/3.7))^2)))</f>
        <v/>
      </c>
      <c r="BX31" s="216">
        <v>1.625</v>
      </c>
      <c r="BY31" s="25" t="str">
        <f>IF(C25&gt;0,"",IF($C$3&gt;0,IF(BT31/BR25&lt;=$BY$4/100,0,1),IF(AND(BS31&lt;($BS$4),BT31&lt;($BT$4)),0,1)))</f>
        <v/>
      </c>
      <c r="BZ31" s="217">
        <v>1.2353794965620174E-2</v>
      </c>
      <c r="CA31" s="237">
        <v>1.625</v>
      </c>
      <c r="CC31" s="313"/>
      <c r="CD31" s="317"/>
      <c r="CE31" s="215"/>
      <c r="CF31" s="214"/>
      <c r="DH31" s="1503"/>
      <c r="DI31" s="320"/>
      <c r="DJ31" s="1617"/>
      <c r="DK31" s="320"/>
      <c r="DL31" s="1617"/>
      <c r="DM31" s="320"/>
      <c r="DN31" s="1617"/>
      <c r="DO31" s="1504"/>
      <c r="DQ31" s="433"/>
      <c r="DR31" s="1231"/>
      <c r="DS31" s="213"/>
      <c r="DT31" s="213"/>
      <c r="DU31" s="213"/>
      <c r="DV31" s="213"/>
      <c r="DW31" s="213"/>
      <c r="DX31" s="213"/>
      <c r="DY31" s="213"/>
      <c r="DZ31" s="213"/>
      <c r="EA31" s="213"/>
      <c r="EB31" s="213"/>
      <c r="EC31" s="213"/>
      <c r="ED31" s="213"/>
      <c r="EE31" s="213"/>
      <c r="EF31" s="213"/>
      <c r="EG31" s="213"/>
      <c r="EH31" s="213"/>
      <c r="EI31" s="213"/>
      <c r="EJ31" s="213"/>
      <c r="EK31" s="213"/>
      <c r="EL31" s="213"/>
      <c r="EM31" s="213"/>
      <c r="EN31" s="213"/>
      <c r="EO31" s="213"/>
      <c r="EP31" s="213"/>
      <c r="EQ31" s="213"/>
      <c r="ER31" s="213"/>
      <c r="ES31" s="213"/>
      <c r="ET31" s="213"/>
      <c r="EU31" s="213"/>
      <c r="EV31" s="213"/>
      <c r="EW31" s="213"/>
      <c r="EX31" s="213"/>
      <c r="EY31" s="213"/>
      <c r="EZ31" s="213"/>
    </row>
    <row r="32" spans="1:163" ht="12.75" hidden="1" customHeight="1" x14ac:dyDescent="0.2">
      <c r="D32" s="236"/>
      <c r="E32" s="235"/>
      <c r="F32" s="234"/>
      <c r="G32" s="234"/>
      <c r="H32" s="221"/>
      <c r="I32" s="221"/>
      <c r="J32" s="221"/>
      <c r="K32" s="221"/>
      <c r="L32" s="221"/>
      <c r="M32" s="223"/>
      <c r="N32" s="223"/>
      <c r="O32" s="223"/>
      <c r="P32" s="223"/>
      <c r="Q32" s="224"/>
      <c r="R32" s="223"/>
      <c r="S32" s="223"/>
      <c r="T32" s="227"/>
      <c r="U32" s="224"/>
      <c r="V32" s="224"/>
      <c r="W32" s="222"/>
      <c r="X32" s="229"/>
      <c r="Y32" s="221"/>
      <c r="Z32" s="228"/>
      <c r="AA32" s="227"/>
      <c r="AB32" s="219" t="str">
        <f>IF(C25&gt;0,"",IF(($J$4)&gt;1,vel(U25,EC25,AH32),vel(U25,Z25,AH32)))</f>
        <v/>
      </c>
      <c r="AC32" s="220" t="str">
        <f>IF(C25&gt;0,"",pdrop(AE32,Y25,Z25,AB32,AF32))</f>
        <v/>
      </c>
      <c r="AD32" s="219" t="str">
        <f>IF(C25&gt;0,"",(((AB32/60)*Z25)/AA25)*(VLOOKUP(AF32,'Pipe Data'!F$7:G$19,2,FALSE))/12)</f>
        <v/>
      </c>
      <c r="AE32" s="218" t="str">
        <f>IF(C25&gt;0,"",(0.25/(LOG(5.74/(AD32^0.9))+((VLOOKUP(AF32,'Pipe Data'!J$7:X$19,15,FALSE))/3.7))^2))</f>
        <v/>
      </c>
      <c r="AF32" s="216">
        <v>1.375</v>
      </c>
      <c r="AH32" s="217">
        <v>8.7278734446019548E-3</v>
      </c>
      <c r="AI32" s="239"/>
      <c r="AJ32" s="238"/>
      <c r="AK32" s="228"/>
      <c r="AL32" s="223"/>
      <c r="AM32" s="230"/>
      <c r="AN32" s="228"/>
      <c r="AO32" s="232"/>
      <c r="AQ32" s="231"/>
      <c r="AR32" s="230"/>
      <c r="AS32" s="224"/>
      <c r="AT32" s="232"/>
      <c r="AV32" s="231"/>
      <c r="AW32" s="230"/>
      <c r="AX32" s="224"/>
      <c r="AY32" s="1460"/>
      <c r="AZ32" s="229"/>
      <c r="BA32" s="221"/>
      <c r="BB32" s="228"/>
      <c r="BC32" s="227"/>
      <c r="BD32" s="219" t="str">
        <f>IF(C25&gt;0,"",IF(($J$4)&gt;1,vel(U25,EC25,BJ32),vel(U25,Z25,BJ32)))</f>
        <v/>
      </c>
      <c r="BE32" s="220" t="str">
        <f>IF(C25&gt;0,"",IF(($J$4)&gt;1,EZ25,pdrop(BG32,BA25,Z25,BD32,BH32)))</f>
        <v/>
      </c>
      <c r="BF32" s="219" t="str">
        <f>IF(C25&gt;0,"",(((BD32/60)*Z25)/$AA$12)*((VLOOKUP(BH32,'Pipe Data'!F$7:G$19,2,FALSE))/12))</f>
        <v/>
      </c>
      <c r="BG32" s="218" t="str">
        <f>IF(C25&gt;0,"",(0.25/(LOG(5.74/(BF32^0.9))+((VLOOKUP(BH32,'Pipe Data'!J$7:X$19,15,FALSE))/3.7))^2))</f>
        <v/>
      </c>
      <c r="BH32" s="216">
        <v>1.375</v>
      </c>
      <c r="BI32" s="25">
        <f t="shared" si="6"/>
        <v>1</v>
      </c>
      <c r="BJ32" s="217">
        <v>8.7278734446019548E-3</v>
      </c>
      <c r="BK32" s="237">
        <v>1.375</v>
      </c>
      <c r="BL32" s="224"/>
      <c r="BM32" s="224"/>
      <c r="BN32" s="224"/>
      <c r="BO32" s="223"/>
      <c r="BP32" s="222"/>
      <c r="BQ32" s="229"/>
      <c r="BR32" s="221"/>
      <c r="BS32" s="219" t="str">
        <f>IF(C25&gt;0,"",IF($C$3&gt;0,vel(U25,S25,BZ32)/60,vel(U25,S25,BZ32)))</f>
        <v/>
      </c>
      <c r="BT32" s="220" t="str">
        <f>IF(C25&gt;0,"",IF($C$3&gt;0,2.31*pdrop(BW32,BR25,S25,60*BS32,BX32),pdrop(BW32,BR25,S25,BS32,BX32)))</f>
        <v/>
      </c>
      <c r="BU32" s="220"/>
      <c r="BV32" s="219" t="str">
        <f>IF(C25&gt;0,"",IF($C$3&gt;0,(((BS32)*S25)/32.2/T25)*((VLOOKUP(BX32,'Pipe Data'!F$7:G$19,2,FALSE))/12),(((BS32/60)*S25)/T25)*((VLOOKUP(BX32,'Pipe Data'!F$7:G$19,2,FALSE))/12)))</f>
        <v/>
      </c>
      <c r="BW32" s="218" t="str">
        <f>IF(C25&gt;0,"",IF($C$3&gt;0,IF(BV32&lt;2100,64/BV32,(0.25/(LOG(5.74/(BV32^0.9))+((VLOOKUP(BX32,'Pipe Data'!J$7:X$19,15,FALSE))/3.7))^2)),(0.25/(LOG(5.74/(BV32^0.9))+((VLOOKUP(BX32,'Pipe Data'!J$7:X$19,15,FALSE))/3.7))^2)))</f>
        <v/>
      </c>
      <c r="BX32" s="216">
        <v>1.375</v>
      </c>
      <c r="BY32" s="25" t="str">
        <f>IF(C25&gt;0,"",IF($C$3&gt;0,IF(BT32/BR25&lt;=$BY$4/100,0,1),IF(AND(BS32&lt;($BS$4),BT32&lt;($BT$4)),0,1)))</f>
        <v/>
      </c>
      <c r="BZ32" s="217">
        <v>8.7278734446019548E-3</v>
      </c>
      <c r="CA32" s="237">
        <v>1.375</v>
      </c>
      <c r="CC32" s="313"/>
      <c r="CD32" s="317"/>
      <c r="CE32" s="215"/>
      <c r="CF32" s="214"/>
      <c r="DH32" s="1503"/>
      <c r="DI32" s="320"/>
      <c r="DJ32" s="1617"/>
      <c r="DK32" s="320"/>
      <c r="DL32" s="1617"/>
      <c r="DM32" s="320"/>
      <c r="DN32" s="1617"/>
      <c r="DO32" s="1504"/>
      <c r="DQ32" s="433"/>
      <c r="DR32" s="1231"/>
      <c r="DS32" s="213"/>
      <c r="DT32" s="213"/>
      <c r="DU32" s="213"/>
      <c r="DV32" s="213"/>
      <c r="DW32" s="213"/>
      <c r="DX32" s="213"/>
      <c r="DY32" s="213"/>
      <c r="DZ32" s="213"/>
      <c r="EA32" s="213"/>
      <c r="EB32" s="213"/>
      <c r="EC32" s="213"/>
      <c r="ED32" s="213"/>
      <c r="EE32" s="213"/>
      <c r="EF32" s="213"/>
      <c r="EG32" s="213"/>
      <c r="EH32" s="213"/>
      <c r="EI32" s="213"/>
      <c r="EJ32" s="213"/>
      <c r="EK32" s="213"/>
      <c r="EL32" s="213"/>
      <c r="EM32" s="213"/>
      <c r="EN32" s="213"/>
      <c r="EO32" s="213"/>
      <c r="EP32" s="213"/>
      <c r="EQ32" s="213"/>
      <c r="ER32" s="213"/>
      <c r="ES32" s="213"/>
      <c r="ET32" s="213"/>
      <c r="EU32" s="213"/>
      <c r="EV32" s="213"/>
      <c r="EW32" s="213"/>
      <c r="EX32" s="213"/>
      <c r="EY32" s="213"/>
      <c r="EZ32" s="213"/>
    </row>
    <row r="33" spans="1:157" ht="12.75" hidden="1" customHeight="1" x14ac:dyDescent="0.2">
      <c r="D33" s="236"/>
      <c r="E33" s="235"/>
      <c r="F33" s="234"/>
      <c r="G33" s="234"/>
      <c r="H33" s="221"/>
      <c r="I33" s="221"/>
      <c r="J33" s="221"/>
      <c r="K33" s="221"/>
      <c r="L33" s="221"/>
      <c r="M33" s="223"/>
      <c r="N33" s="223"/>
      <c r="O33" s="223"/>
      <c r="P33" s="223"/>
      <c r="Q33" s="224"/>
      <c r="R33" s="223"/>
      <c r="S33" s="223"/>
      <c r="T33" s="227"/>
      <c r="U33" s="224"/>
      <c r="V33" s="224"/>
      <c r="W33" s="222"/>
      <c r="X33" s="229"/>
      <c r="Y33" s="221"/>
      <c r="Z33" s="228"/>
      <c r="AA33" s="227"/>
      <c r="AB33" s="219" t="str">
        <f>IF(C25&gt;0,"",IF(($J$4)&gt;1,vel(U25,EC25,AH33),vel(U25,Z25,AH33)))</f>
        <v/>
      </c>
      <c r="AC33" s="220" t="str">
        <f>IF(C25&gt;0,"",pdrop(AE33,Y25,Z25,AB33,AF33))</f>
        <v/>
      </c>
      <c r="AD33" s="219" t="str">
        <f>IF(C25&gt;0,"",(((AB33/60)*Z25)/AA25)*(VLOOKUP(AF33,'Pipe Data'!F$7:G$19,2,FALSE))/12)</f>
        <v/>
      </c>
      <c r="AE33" s="218" t="str">
        <f>IF(C25&gt;0,"",(0.25/(LOG(5.74/(AD33^0.9))+((VLOOKUP(AF33,'Pipe Data'!J$7:X$19,15,FALSE))/3.7))^2))</f>
        <v/>
      </c>
      <c r="AF33" s="216">
        <v>1.125</v>
      </c>
      <c r="AH33" s="217">
        <v>5.7302704543016935E-3</v>
      </c>
      <c r="AI33" s="239"/>
      <c r="AJ33" s="238"/>
      <c r="AK33" s="228"/>
      <c r="AL33" s="223"/>
      <c r="AM33" s="230"/>
      <c r="AN33" s="228"/>
      <c r="AO33" s="232"/>
      <c r="AQ33" s="231"/>
      <c r="AR33" s="230"/>
      <c r="AS33" s="224"/>
      <c r="AT33" s="232"/>
      <c r="AV33" s="231"/>
      <c r="AW33" s="230"/>
      <c r="AX33" s="224"/>
      <c r="AY33" s="1460"/>
      <c r="AZ33" s="229"/>
      <c r="BA33" s="221"/>
      <c r="BB33" s="228"/>
      <c r="BC33" s="227"/>
      <c r="BD33" s="219" t="str">
        <f>IF(C25&gt;0,"",IF(($J$4)&gt;1,vel(U25,EC25,BJ33),vel(U25,Z25,BJ33)))</f>
        <v/>
      </c>
      <c r="BE33" s="220" t="str">
        <f>IF(C25&gt;0,"",IF(($J$4)&gt;1,EZ25,pdrop(BG33,BA25,Z25,BD33,BH33)))</f>
        <v/>
      </c>
      <c r="BF33" s="219" t="str">
        <f>IF(C25&gt;0,"",(((BD33/60)*Z25)/$AA$12)*((VLOOKUP(BH33,'Pipe Data'!F$7:G$19,2,FALSE))/12))</f>
        <v/>
      </c>
      <c r="BG33" s="218" t="str">
        <f>IF(C25&gt;0,"",(0.25/(LOG(5.74/(BF33^0.9))+((VLOOKUP(BH33,'Pipe Data'!J$7:X$19,15,FALSE))/3.7))^2))</f>
        <v/>
      </c>
      <c r="BH33" s="216">
        <v>1.125</v>
      </c>
      <c r="BI33" s="25">
        <f t="shared" si="6"/>
        <v>1</v>
      </c>
      <c r="BJ33" s="217">
        <v>5.7302704543016935E-3</v>
      </c>
      <c r="BK33" s="237">
        <v>1.125</v>
      </c>
      <c r="BL33" s="224"/>
      <c r="BM33" s="224"/>
      <c r="BN33" s="224"/>
      <c r="BO33" s="223"/>
      <c r="BP33" s="222"/>
      <c r="BQ33" s="229"/>
      <c r="BR33" s="221"/>
      <c r="BS33" s="219" t="str">
        <f>IF(C25&gt;0,"",IF($C$3&gt;0,vel(U25,S25,BZ33)/60,vel(U25,S25,BZ33)))</f>
        <v/>
      </c>
      <c r="BT33" s="220" t="str">
        <f>IF(C25&gt;0,"",IF($C$3&gt;0,2.31*pdrop(BW33,BR25,S25,60*BS33,BX33),pdrop(BW33,BR25,S25,BS33,BX33)))</f>
        <v/>
      </c>
      <c r="BU33" s="220"/>
      <c r="BV33" s="219" t="str">
        <f>IF(C25&gt;0,"",IF($C$3&gt;0,(((BS33)*S25)/32.2/T25)*((VLOOKUP(BX33,'Pipe Data'!F$7:G$19,2,FALSE))/12),(((BS33/60)*S25)/T25)*((VLOOKUP(BX33,'Pipe Data'!F$7:G$19,2,FALSE))/12)))</f>
        <v/>
      </c>
      <c r="BW33" s="218" t="str">
        <f>IF(C25&gt;0,"",IF($C$3&gt;0,IF(BV33&lt;2100,64/BV33,(0.25/(LOG(5.74/(BV33^0.9))+((VLOOKUP(BX33,'Pipe Data'!J$7:X$19,15,FALSE))/3.7))^2)),(0.25/(LOG(5.74/(BV33^0.9))+((VLOOKUP(BX33,'Pipe Data'!J$7:X$19,15,FALSE))/3.7))^2)))</f>
        <v/>
      </c>
      <c r="BX33" s="216">
        <v>1.125</v>
      </c>
      <c r="BY33" s="25" t="str">
        <f>IF(C25&gt;0,"",IF($C$3&gt;0,IF(BT33/BR25&lt;=$BY$4/100,0,1),IF(AND(BS33&lt;($BS$4),BT33&lt;($BT$4)),0,1)))</f>
        <v/>
      </c>
      <c r="BZ33" s="217">
        <v>5.7302704543016935E-3</v>
      </c>
      <c r="CA33" s="237">
        <v>1.125</v>
      </c>
      <c r="CC33" s="313"/>
      <c r="CD33" s="317"/>
      <c r="CE33" s="215"/>
      <c r="CF33" s="214"/>
      <c r="DH33" s="1503"/>
      <c r="DI33" s="320"/>
      <c r="DJ33" s="1617"/>
      <c r="DK33" s="320"/>
      <c r="DL33" s="1617"/>
      <c r="DM33" s="320"/>
      <c r="DN33" s="1617"/>
      <c r="DO33" s="1504"/>
      <c r="DQ33" s="433"/>
      <c r="DR33" s="1231"/>
      <c r="DS33" s="213"/>
      <c r="DT33" s="213"/>
      <c r="DU33" s="213"/>
      <c r="DV33" s="213"/>
      <c r="DW33" s="213"/>
      <c r="DX33" s="213"/>
      <c r="DY33" s="213"/>
      <c r="DZ33" s="213"/>
      <c r="EA33" s="213"/>
      <c r="EB33" s="213"/>
      <c r="EC33" s="213"/>
      <c r="ED33" s="213"/>
      <c r="EE33" s="213"/>
      <c r="EF33" s="213"/>
      <c r="EG33" s="213"/>
      <c r="EH33" s="213"/>
      <c r="EI33" s="213"/>
      <c r="EJ33" s="213"/>
      <c r="EK33" s="213"/>
      <c r="EL33" s="213"/>
      <c r="EM33" s="213"/>
      <c r="EN33" s="213"/>
      <c r="EO33" s="213"/>
      <c r="EP33" s="213"/>
      <c r="EQ33" s="213"/>
      <c r="ER33" s="213"/>
      <c r="ES33" s="213"/>
      <c r="ET33" s="213"/>
      <c r="EU33" s="213"/>
      <c r="EV33" s="213"/>
      <c r="EW33" s="213"/>
      <c r="EX33" s="213"/>
      <c r="EY33" s="213"/>
      <c r="EZ33" s="213"/>
    </row>
    <row r="34" spans="1:157" ht="12.75" hidden="1" customHeight="1" x14ac:dyDescent="0.2">
      <c r="D34" s="236"/>
      <c r="E34" s="235"/>
      <c r="F34" s="234"/>
      <c r="G34" s="234"/>
      <c r="H34" s="221"/>
      <c r="I34" s="221"/>
      <c r="J34" s="221"/>
      <c r="K34" s="221"/>
      <c r="L34" s="221"/>
      <c r="M34" s="223"/>
      <c r="N34" s="223"/>
      <c r="O34" s="223"/>
      <c r="P34" s="223"/>
      <c r="Q34" s="224"/>
      <c r="R34" s="223"/>
      <c r="S34" s="223"/>
      <c r="T34" s="227"/>
      <c r="U34" s="224"/>
      <c r="V34" s="224"/>
      <c r="W34" s="222"/>
      <c r="X34" s="229"/>
      <c r="Y34" s="221"/>
      <c r="Z34" s="228"/>
      <c r="AA34" s="227"/>
      <c r="AB34" s="219" t="str">
        <f>IF(C25&gt;0,"",IF(($J$4)&gt;1,vel(U25,EC25,AH34),vel(U25,Z25,AH34)))</f>
        <v/>
      </c>
      <c r="AC34" s="220" t="str">
        <f>IF(C25&gt;0,"",pdrop(AE34,Y25,Z25,AB34,AF34))</f>
        <v/>
      </c>
      <c r="AD34" s="219" t="str">
        <f>IF(C25&gt;0,"",(((AB34/60)*Z25)/AA25)*(VLOOKUP(AF34,'Pipe Data'!F$7:G$19,2,FALSE))/12)</f>
        <v/>
      </c>
      <c r="AE34" s="218" t="str">
        <f>IF(C25&gt;0,"",(0.25/(LOG(5.74/(AD34^0.9))+((VLOOKUP(AF34,'Pipe Data'!J$7:X$19,15,FALSE))/3.7))^2))</f>
        <v/>
      </c>
      <c r="AF34" s="216">
        <v>0.875</v>
      </c>
      <c r="AH34" s="217">
        <v>3.3609859947193927E-3</v>
      </c>
      <c r="AI34" s="239"/>
      <c r="AJ34" s="238"/>
      <c r="AK34" s="228"/>
      <c r="AL34" s="223"/>
      <c r="AM34" s="230"/>
      <c r="AN34" s="228"/>
      <c r="AO34" s="232"/>
      <c r="AQ34" s="231"/>
      <c r="AR34" s="230"/>
      <c r="AS34" s="224"/>
      <c r="AT34" s="232"/>
      <c r="AV34" s="231"/>
      <c r="AW34" s="230"/>
      <c r="AX34" s="224"/>
      <c r="AY34" s="1460"/>
      <c r="AZ34" s="229"/>
      <c r="BA34" s="221"/>
      <c r="BB34" s="228"/>
      <c r="BC34" s="227"/>
      <c r="BD34" s="219" t="str">
        <f>IF(C25&gt;0,"",IF(($J$4)&gt;1,vel(U25,EC25,BJ34),vel(U25,Z25,BJ34)))</f>
        <v/>
      </c>
      <c r="BE34" s="220" t="str">
        <f>IF(C25&gt;0,"",IF(($J$4)&gt;1,EZ25,pdrop(BG34,BA25,Z25,BD34,BH34)))</f>
        <v/>
      </c>
      <c r="BF34" s="219" t="str">
        <f>IF(C25&gt;0,"",(((BD34/60)*Z25)/$AA$12)*((VLOOKUP(BH34,'Pipe Data'!F$7:G$19,2,FALSE))/12))</f>
        <v/>
      </c>
      <c r="BG34" s="218" t="str">
        <f>IF(C25&gt;0,"",(0.25/(LOG(5.74/(BF34^0.9))+((VLOOKUP(BH34,'Pipe Data'!J$7:X$19,15,FALSE))/3.7))^2))</f>
        <v/>
      </c>
      <c r="BH34" s="216">
        <v>0.875</v>
      </c>
      <c r="BI34" s="25">
        <f t="shared" si="6"/>
        <v>1</v>
      </c>
      <c r="BJ34" s="217">
        <v>3.3609859947193927E-3</v>
      </c>
      <c r="BK34" s="237">
        <v>0.875</v>
      </c>
      <c r="BL34" s="224"/>
      <c r="BM34" s="224"/>
      <c r="BN34" s="224"/>
      <c r="BO34" s="223"/>
      <c r="BP34" s="222"/>
      <c r="BQ34" s="229"/>
      <c r="BR34" s="221"/>
      <c r="BS34" s="219" t="str">
        <f>IF(C25&gt;0,"",IF($C$3&gt;0,vel(U25,S25,BZ34)/60,vel(U25,S25,BZ34)))</f>
        <v/>
      </c>
      <c r="BT34" s="220" t="str">
        <f>IF(C25&gt;0,"",IF($C$3&gt;0,2.31*pdrop(BW34,BR25,S25,60*BS34,BX34),pdrop(BW34,BR25,S25,BS34,BX34)))</f>
        <v/>
      </c>
      <c r="BU34" s="220"/>
      <c r="BV34" s="219" t="str">
        <f>IF(C25&gt;0,"",IF($C$3&gt;0,(((BS34)*S25)/32.2/T25)*((VLOOKUP(BX34,'Pipe Data'!F$7:G$19,2,FALSE))/12),(((BS34/60)*S25)/T25)*((VLOOKUP(BX34,'Pipe Data'!F$7:G$19,2,FALSE))/12)))</f>
        <v/>
      </c>
      <c r="BW34" s="218" t="str">
        <f>IF(C25&gt;0,"",IF($C$3&gt;0,IF(BV34&lt;2100,64/BV34,(0.25/(LOG(5.74/(BV34^0.9))+((VLOOKUP(BX34,'Pipe Data'!J$7:X$19,15,FALSE))/3.7))^2)),(0.25/(LOG(5.74/(BV34^0.9))+((VLOOKUP(BX34,'Pipe Data'!J$7:X$19,15,FALSE))/3.7))^2)))</f>
        <v/>
      </c>
      <c r="BX34" s="216">
        <v>0.875</v>
      </c>
      <c r="BY34" s="25" t="str">
        <f>IF(C25&gt;0,"",IF($C$3&gt;0,IF(BT34/BR25&lt;=$BY$4/100,0,1),IF(AND(BS34&lt;($BS$4),BT34&lt;($BT$4)),0,1)))</f>
        <v/>
      </c>
      <c r="BZ34" s="217">
        <v>3.3609859947193927E-3</v>
      </c>
      <c r="CA34" s="237">
        <v>0.875</v>
      </c>
      <c r="CC34" s="313"/>
      <c r="CD34" s="317"/>
      <c r="CE34" s="215"/>
      <c r="CF34" s="214"/>
      <c r="DH34" s="1503"/>
      <c r="DI34" s="320"/>
      <c r="DJ34" s="1617"/>
      <c r="DK34" s="320"/>
      <c r="DL34" s="1617"/>
      <c r="DM34" s="320"/>
      <c r="DN34" s="1617"/>
      <c r="DO34" s="1504"/>
      <c r="DQ34" s="433"/>
      <c r="DR34" s="1231"/>
      <c r="DS34" s="213"/>
      <c r="DT34" s="213"/>
      <c r="DU34" s="213"/>
      <c r="DV34" s="213"/>
      <c r="DW34" s="213"/>
      <c r="DX34" s="213"/>
      <c r="DY34" s="213"/>
      <c r="DZ34" s="213"/>
      <c r="EA34" s="213"/>
      <c r="EB34" s="213"/>
      <c r="EC34" s="213"/>
      <c r="ED34" s="213"/>
      <c r="EE34" s="213"/>
      <c r="EF34" s="213"/>
      <c r="EG34" s="213"/>
      <c r="EH34" s="213"/>
      <c r="EI34" s="213"/>
      <c r="EJ34" s="213"/>
      <c r="EK34" s="213"/>
      <c r="EL34" s="213"/>
      <c r="EM34" s="213"/>
      <c r="EN34" s="213"/>
      <c r="EO34" s="213"/>
      <c r="EP34" s="213"/>
      <c r="EQ34" s="213"/>
      <c r="ER34" s="213"/>
      <c r="ES34" s="213"/>
      <c r="ET34" s="213"/>
      <c r="EU34" s="213"/>
      <c r="EV34" s="213"/>
      <c r="EW34" s="213"/>
      <c r="EX34" s="213"/>
      <c r="EY34" s="213"/>
      <c r="EZ34" s="213"/>
    </row>
    <row r="35" spans="1:157" ht="12.75" hidden="1" customHeight="1" x14ac:dyDescent="0.2">
      <c r="D35" s="236"/>
      <c r="E35" s="235"/>
      <c r="F35" s="234"/>
      <c r="G35" s="234"/>
      <c r="H35" s="221"/>
      <c r="I35" s="221"/>
      <c r="J35" s="221"/>
      <c r="K35" s="221"/>
      <c r="L35" s="221"/>
      <c r="M35" s="223"/>
      <c r="N35" s="223"/>
      <c r="O35" s="223"/>
      <c r="P35" s="223"/>
      <c r="Q35" s="224"/>
      <c r="R35" s="223"/>
      <c r="S35" s="223"/>
      <c r="T35" s="227"/>
      <c r="U35" s="224"/>
      <c r="V35" s="224"/>
      <c r="W35" s="222"/>
      <c r="X35" s="229"/>
      <c r="Y35" s="221"/>
      <c r="Z35" s="228"/>
      <c r="AA35" s="227"/>
      <c r="AB35" s="219" t="str">
        <f>IF(C25&gt;0,"",IF(($J$4)&gt;1,vel(U25,EC25,AH35),vel(U25,Z25,AH35)))</f>
        <v/>
      </c>
      <c r="AC35" s="220" t="str">
        <f>IF(C25&gt;0,"",pdrop(AE35,Y25,Z25,AB35,AF35))</f>
        <v/>
      </c>
      <c r="AD35" s="219" t="str">
        <f>IF(C25&gt;0,"",(((AB35/60)*Z25)/AA25)*(VLOOKUP(AF35,'Pipe Data'!F$7:G$19,2,FALSE))/12)</f>
        <v/>
      </c>
      <c r="AE35" s="218" t="str">
        <f>IF(C25&gt;0,"",(0.25/(LOG(5.74/(AD35^0.9))+((VLOOKUP(AF35,'Pipe Data'!J$7:X$19,15,FALSE))/3.7))^2))</f>
        <v/>
      </c>
      <c r="AF35" s="216">
        <v>0.625</v>
      </c>
      <c r="AH35" s="217">
        <v>1.6200200658550491E-3</v>
      </c>
      <c r="AI35" s="239"/>
      <c r="AJ35" s="238"/>
      <c r="AK35" s="228"/>
      <c r="AL35" s="223"/>
      <c r="AM35" s="230"/>
      <c r="AN35" s="228"/>
      <c r="AO35" s="232"/>
      <c r="AQ35" s="231"/>
      <c r="AR35" s="230"/>
      <c r="AS35" s="224"/>
      <c r="AT35" s="232"/>
      <c r="AV35" s="231"/>
      <c r="AW35" s="230"/>
      <c r="AX35" s="224"/>
      <c r="AY35" s="1460"/>
      <c r="AZ35" s="229"/>
      <c r="BA35" s="221"/>
      <c r="BB35" s="228"/>
      <c r="BC35" s="227"/>
      <c r="BD35" s="219" t="str">
        <f>IF(C25&gt;0,"",IF(($J$4)&gt;1,vel(U25,EC25,BJ35),vel(U25,Z25,BJ35)))</f>
        <v/>
      </c>
      <c r="BE35" s="220" t="str">
        <f>IF(C25&gt;0,"",IF(($J$4)&gt;1,EZ25,pdrop(BG35,BA25,Z25,BD35,BH35)))</f>
        <v/>
      </c>
      <c r="BF35" s="219" t="str">
        <f>IF(C25&gt;0,"",(((BD35/60)*Z25)/$AA$12)*((VLOOKUP(BH35,'Pipe Data'!F$7:G$19,2,FALSE))/12))</f>
        <v/>
      </c>
      <c r="BG35" s="218" t="str">
        <f>IF(C25&gt;0,"",(0.25/(LOG(5.74/(BF35^0.9))+((VLOOKUP(BH35,'Pipe Data'!J$7:X$19,15,FALSE))/3.7))^2))</f>
        <v/>
      </c>
      <c r="BH35" s="216">
        <v>0.625</v>
      </c>
      <c r="BI35" s="25">
        <f t="shared" si="6"/>
        <v>1</v>
      </c>
      <c r="BJ35" s="217">
        <v>1.6200200658550491E-3</v>
      </c>
      <c r="BK35" s="237">
        <v>0.625</v>
      </c>
      <c r="BL35" s="224"/>
      <c r="BM35" s="224"/>
      <c r="BN35" s="224"/>
      <c r="BO35" s="223"/>
      <c r="BP35" s="222"/>
      <c r="BQ35" s="229"/>
      <c r="BR35" s="221"/>
      <c r="BS35" s="219" t="str">
        <f>IF(C25&gt;0,"",IF($C$3&gt;0,vel(U25,S25,BZ35)/60,vel(U25,S25,BZ35)))</f>
        <v/>
      </c>
      <c r="BT35" s="220" t="str">
        <f>IF(C25&gt;0,"",IF($C$3&gt;0,2.31*pdrop(BW35,BR25,S25,60*BS35,BX35),pdrop(BW35,BR25,S25,BS35,BX35)))</f>
        <v/>
      </c>
      <c r="BU35" s="220"/>
      <c r="BV35" s="219" t="str">
        <f>IF(C25&gt;0,"",IF($C$3&gt;0,(((BS35)*S25)/32.2/T25)*((VLOOKUP(BX35,'Pipe Data'!F$7:G$19,2,FALSE))/12),(((BS35/60)*S25)/T25)*((VLOOKUP(BX35,'Pipe Data'!F$7:G$19,2,FALSE))/12)))</f>
        <v/>
      </c>
      <c r="BW35" s="218" t="str">
        <f>IF(C25&gt;0,"",IF($C$3&gt;0,IF(BV35&lt;2100,64/BV35,(0.25/(LOG(5.74/(BV35^0.9))+((VLOOKUP(BX35,'Pipe Data'!J$7:X$19,15,FALSE))/3.7))^2)),(0.25/(LOG(5.74/(BV35^0.9))+((VLOOKUP(BX35,'Pipe Data'!J$7:X$19,15,FALSE))/3.7))^2)))</f>
        <v/>
      </c>
      <c r="BX35" s="216">
        <v>0.625</v>
      </c>
      <c r="BY35" s="25" t="str">
        <f>IF(C25&gt;0,"",IF($C$3&gt;0,IF(BT35/BR25&lt;=$BY$4/100,0,1),IF(AND(BS35&lt;($BS$4),BT35&lt;($BT$4)),0,1)))</f>
        <v/>
      </c>
      <c r="BZ35" s="217">
        <v>1.6200200658550491E-3</v>
      </c>
      <c r="CA35" s="237">
        <v>0.625</v>
      </c>
      <c r="CC35" s="313"/>
      <c r="CD35" s="317"/>
      <c r="CE35" s="215"/>
      <c r="CF35" s="214"/>
      <c r="DH35" s="1503"/>
      <c r="DI35" s="320"/>
      <c r="DJ35" s="1617"/>
      <c r="DK35" s="320"/>
      <c r="DL35" s="1617"/>
      <c r="DM35" s="320"/>
      <c r="DN35" s="1617"/>
      <c r="DO35" s="1504"/>
      <c r="DQ35" s="433"/>
      <c r="DR35" s="1231"/>
      <c r="DS35" s="213"/>
      <c r="DT35" s="213"/>
      <c r="DU35" s="213"/>
      <c r="DV35" s="213"/>
      <c r="DW35" s="213"/>
      <c r="DX35" s="213"/>
      <c r="DY35" s="213"/>
      <c r="DZ35" s="213"/>
      <c r="EA35" s="213"/>
      <c r="EB35" s="213"/>
      <c r="EC35" s="213"/>
      <c r="ED35" s="213"/>
      <c r="EE35" s="213"/>
      <c r="EF35" s="213"/>
      <c r="EG35" s="213"/>
      <c r="EH35" s="213"/>
      <c r="EI35" s="213"/>
      <c r="EJ35" s="213"/>
      <c r="EK35" s="213"/>
      <c r="EL35" s="213"/>
      <c r="EM35" s="213"/>
      <c r="EN35" s="213"/>
      <c r="EO35" s="213"/>
      <c r="EP35" s="213"/>
      <c r="EQ35" s="213"/>
      <c r="ER35" s="213"/>
      <c r="ES35" s="213"/>
      <c r="ET35" s="213"/>
      <c r="EU35" s="213"/>
      <c r="EV35" s="213"/>
      <c r="EW35" s="213"/>
      <c r="EX35" s="213"/>
      <c r="EY35" s="213"/>
      <c r="EZ35" s="213"/>
    </row>
    <row r="36" spans="1:157" ht="12.75" hidden="1" customHeight="1" x14ac:dyDescent="0.2">
      <c r="D36" s="236"/>
      <c r="E36" s="235"/>
      <c r="F36" s="234"/>
      <c r="G36" s="234"/>
      <c r="H36" s="221"/>
      <c r="I36" s="221"/>
      <c r="J36" s="221"/>
      <c r="K36" s="221"/>
      <c r="L36" s="221"/>
      <c r="M36" s="223"/>
      <c r="N36" s="223"/>
      <c r="O36" s="223"/>
      <c r="P36" s="223"/>
      <c r="Q36" s="224"/>
      <c r="R36" s="223"/>
      <c r="S36" s="223"/>
      <c r="T36" s="227"/>
      <c r="U36" s="224"/>
      <c r="V36" s="224"/>
      <c r="W36" s="222"/>
      <c r="X36" s="229"/>
      <c r="Y36" s="221"/>
      <c r="Z36" s="228"/>
      <c r="AA36" s="227"/>
      <c r="AB36" s="219" t="str">
        <f>IF(C25&gt;0,"",IF(($J$4)&gt;1,vel(U25,EC25,AH36),vel(U25,Z25,AH36)))</f>
        <v/>
      </c>
      <c r="AC36" s="220" t="str">
        <f>IF(C25&gt;0,"",pdrop(AE36,Y25,Z25,AB36,AF36))</f>
        <v/>
      </c>
      <c r="AD36" s="219" t="str">
        <f>IF(C25&gt;0,"",(((AB36/60)*Z25)/AA25)*(VLOOKUP(AF36,'Pipe Data'!F$7:G$19,2,FALSE))/12)</f>
        <v/>
      </c>
      <c r="AE36" s="218" t="str">
        <f>IF(C25&gt;0,"",(0.25/(LOG(5.74/(AD36^0.9))+((VLOOKUP(AF36,'Pipe Data'!J$7:X$19,15,FALSE))/3.7))^2))</f>
        <v/>
      </c>
      <c r="AF36" s="216">
        <v>0.5</v>
      </c>
      <c r="AH36" s="217">
        <v>1.0084730584179735E-3</v>
      </c>
      <c r="AI36" s="239"/>
      <c r="AJ36" s="238"/>
      <c r="AK36" s="228"/>
      <c r="AL36" s="223"/>
      <c r="AM36" s="230"/>
      <c r="AN36" s="228"/>
      <c r="AO36" s="232"/>
      <c r="AQ36" s="231"/>
      <c r="AR36" s="230"/>
      <c r="AS36" s="224"/>
      <c r="AT36" s="232"/>
      <c r="AV36" s="231"/>
      <c r="AW36" s="230"/>
      <c r="AX36" s="224"/>
      <c r="AY36" s="1460"/>
      <c r="AZ36" s="229"/>
      <c r="BA36" s="221"/>
      <c r="BB36" s="228"/>
      <c r="BC36" s="227"/>
      <c r="BD36" s="219" t="str">
        <f>IF(C25&gt;0,"",IF(($J$4)&gt;1,vel(U25,EC25,BJ36),vel(U25,Z25,BJ36)))</f>
        <v/>
      </c>
      <c r="BE36" s="220" t="str">
        <f>IF(C25&gt;0,"",IF(($J$4)&gt;1,EZ25,pdrop(BG36,BA25,Z25,BD36,BH36)))</f>
        <v/>
      </c>
      <c r="BF36" s="219" t="str">
        <f>IF(C25&gt;0,"",(((BD36/60)*Z25)/$AA$12)*((VLOOKUP(BH36,'Pipe Data'!F$7:G$19,2,FALSE))/12))</f>
        <v/>
      </c>
      <c r="BG36" s="218" t="str">
        <f>IF(C25&gt;0,"",(0.25/(LOG(5.74/(BF36^0.9))+((VLOOKUP(BH36,'Pipe Data'!J$7:X$19,15,FALSE))/3.7))^2))</f>
        <v/>
      </c>
      <c r="BH36" s="216">
        <v>0.5</v>
      </c>
      <c r="BI36" s="25">
        <f t="shared" si="6"/>
        <v>1</v>
      </c>
      <c r="BJ36" s="217">
        <v>1.0084730584179735E-3</v>
      </c>
      <c r="BK36" s="237">
        <v>0.5</v>
      </c>
      <c r="BL36" s="224"/>
      <c r="BM36" s="224"/>
      <c r="BN36" s="224"/>
      <c r="BO36" s="223"/>
      <c r="BP36" s="222"/>
      <c r="BQ36" s="229"/>
      <c r="BR36" s="221"/>
      <c r="BS36" s="219" t="str">
        <f>IF(C25&gt;0,"",IF($C$3&gt;0,vel(U25,S25,BZ36)/60,vel(U25,S25,BZ36)))</f>
        <v/>
      </c>
      <c r="BT36" s="220" t="str">
        <f>IF(C25&gt;0,"",IF($C$3&gt;0,2.31*pdrop(BW36,BR25,S25,60*BS36,BX36),pdrop(BW36,BR25,S25,BS36,BX36)))</f>
        <v/>
      </c>
      <c r="BU36" s="220"/>
      <c r="BV36" s="219" t="str">
        <f>IF(C25&gt;0,"",IF($C$3&gt;0,(((BS36)*S25)/32.2/T25)*((VLOOKUP(BX36,'Pipe Data'!F$7:G$19,2,FALSE))/12),(((BS36/60)*S25)/T25)*((VLOOKUP(BX36,'Pipe Data'!F$7:G$19,2,FALSE))/12)))</f>
        <v/>
      </c>
      <c r="BW36" s="218" t="str">
        <f>IF(C25&gt;0,"",IF($C$3&gt;0,IF(BV36&lt;2100,64/BV36,(0.25/(LOG(5.74/(BV36^0.9))+((VLOOKUP(BX36,'Pipe Data'!J$7:X$19,15,FALSE))/3.7))^2)),(0.25/(LOG(5.74/(BV36^0.9))+((VLOOKUP(BX36,'Pipe Data'!J$7:X$19,15,FALSE))/3.7))^2)))</f>
        <v/>
      </c>
      <c r="BX36" s="216">
        <v>0.5</v>
      </c>
      <c r="BY36" s="25" t="str">
        <f>IF(C25&gt;0,"",IF($C$3&gt;0,IF(BT36/BR25&lt;=$BY$4/100,0,1),IF(AND(BS36&lt;($BS$4),BT36&lt;($BT$4)),0,1)))</f>
        <v/>
      </c>
      <c r="BZ36" s="217">
        <v>1.0084730584179735E-3</v>
      </c>
      <c r="CA36" s="237">
        <v>0.5</v>
      </c>
      <c r="CC36" s="313"/>
      <c r="CD36" s="317"/>
      <c r="CE36" s="215"/>
      <c r="CF36" s="214"/>
      <c r="DH36" s="1503"/>
      <c r="DI36" s="320"/>
      <c r="DJ36" s="1617"/>
      <c r="DK36" s="320"/>
      <c r="DL36" s="1617"/>
      <c r="DM36" s="320"/>
      <c r="DN36" s="1617"/>
      <c r="DO36" s="1504"/>
      <c r="DQ36" s="433"/>
      <c r="DR36" s="1231"/>
      <c r="DS36" s="213"/>
      <c r="DT36" s="213"/>
      <c r="DU36" s="213"/>
      <c r="DV36" s="213"/>
      <c r="DW36" s="213"/>
      <c r="DX36" s="213"/>
      <c r="DY36" s="213"/>
      <c r="DZ36" s="213"/>
      <c r="EA36" s="213"/>
      <c r="EB36" s="213"/>
      <c r="EC36" s="213"/>
      <c r="ED36" s="213"/>
      <c r="EE36" s="213"/>
      <c r="EF36" s="213"/>
      <c r="EG36" s="213"/>
      <c r="EH36" s="213"/>
      <c r="EI36" s="213"/>
      <c r="EJ36" s="213"/>
      <c r="EK36" s="213"/>
      <c r="EL36" s="213"/>
      <c r="EM36" s="213"/>
      <c r="EN36" s="213"/>
      <c r="EO36" s="213"/>
      <c r="EP36" s="213"/>
      <c r="EQ36" s="213"/>
      <c r="ER36" s="213"/>
      <c r="ES36" s="213"/>
      <c r="ET36" s="213"/>
      <c r="EU36" s="213"/>
      <c r="EV36" s="213"/>
      <c r="EW36" s="213"/>
      <c r="EX36" s="213"/>
      <c r="EY36" s="213"/>
      <c r="EZ36" s="213"/>
    </row>
    <row r="37" spans="1:157" ht="12.75" hidden="1" customHeight="1" x14ac:dyDescent="0.2">
      <c r="D37" s="236"/>
      <c r="E37" s="235"/>
      <c r="F37" s="234"/>
      <c r="G37" s="234"/>
      <c r="H37" s="221"/>
      <c r="I37" s="221"/>
      <c r="J37" s="221"/>
      <c r="K37" s="221"/>
      <c r="L37" s="221"/>
      <c r="M37" s="223"/>
      <c r="N37" s="223"/>
      <c r="O37" s="223"/>
      <c r="P37" s="223"/>
      <c r="Q37" s="224"/>
      <c r="R37" s="223"/>
      <c r="S37" s="223"/>
      <c r="T37" s="227"/>
      <c r="U37" s="224"/>
      <c r="V37" s="224"/>
      <c r="W37" s="222"/>
      <c r="X37" s="229"/>
      <c r="Y37" s="221"/>
      <c r="Z37" s="228"/>
      <c r="AA37" s="227"/>
      <c r="AB37" s="219" t="str">
        <f>IF(C25&gt;0,"",IF(($J$4)&gt;1,vel(U25,EC25,AH37),vel(U25,Z25,AH37)))</f>
        <v/>
      </c>
      <c r="AC37" s="220" t="str">
        <f>IF(C25&gt;0,"",pdrop(AE37,Y25,Z25,AB37,AF37))</f>
        <v/>
      </c>
      <c r="AD37" s="219" t="str">
        <f>IF(C25&gt;0,"",(((AB37/60)*Z25)/AA25)*(VLOOKUP(AF37,'Pipe Data'!F$7:G$19,2,FALSE))/12)</f>
        <v/>
      </c>
      <c r="AE37" s="218" t="str">
        <f>IF(C25&gt;0,"",(0.25/(LOG(5.74/(AD37^0.9))+((VLOOKUP(AF37,'Pipe Data'!J$7:X$19,15,FALSE))/3.7))^2))</f>
        <v/>
      </c>
      <c r="AF37" s="216">
        <v>0.375</v>
      </c>
      <c r="AH37" s="217">
        <v>5.4118842196605418E-4</v>
      </c>
      <c r="AI37" s="229"/>
      <c r="AJ37" s="221"/>
      <c r="AK37" s="221"/>
      <c r="AL37" s="223"/>
      <c r="AM37" s="230"/>
      <c r="AN37" s="228"/>
      <c r="AO37" s="232"/>
      <c r="AQ37" s="231"/>
      <c r="AR37" s="230"/>
      <c r="AS37" s="224"/>
      <c r="AT37" s="232"/>
      <c r="AV37" s="231"/>
      <c r="AW37" s="230"/>
      <c r="AX37" s="224"/>
      <c r="AY37" s="1460"/>
      <c r="AZ37" s="229"/>
      <c r="BA37" s="221"/>
      <c r="BB37" s="228"/>
      <c r="BC37" s="227"/>
      <c r="BD37" s="221"/>
      <c r="BE37" s="221"/>
      <c r="BF37" s="221"/>
      <c r="BG37" s="221"/>
      <c r="BH37" s="221"/>
      <c r="BI37" s="221"/>
      <c r="BJ37" s="226"/>
      <c r="BK37" s="229"/>
      <c r="BL37" s="224"/>
      <c r="BM37" s="224"/>
      <c r="BN37" s="224"/>
      <c r="BO37" s="223"/>
      <c r="BP37" s="222"/>
      <c r="BQ37" s="229"/>
      <c r="BR37" s="221"/>
      <c r="BS37" s="219" t="str">
        <f>IF(C25&gt;0,"",IF($C$3&gt;0,vel(U25,S25,BZ37)/60,vel(U25,S25,BZ37)))</f>
        <v/>
      </c>
      <c r="BT37" s="220" t="str">
        <f>IF(C25&gt;0,"",IF($C$3&gt;0,2.31*pdrop(BW37,BR25,S25,60*BS37,BX37),pdrop(BW37,BR25,S25,BS37,BX37)))</f>
        <v/>
      </c>
      <c r="BU37" s="220"/>
      <c r="BV37" s="219" t="str">
        <f>IF(C25&gt;0,"",IF($C$3&gt;0,(((BS37)*S25)/32.2/T25)*((VLOOKUP(BX37,'Pipe Data'!F$7:G$19,2,FALSE))/12),(((BS37/60)*S25)/T25)*((VLOOKUP(BX37,'Pipe Data'!F$7:G$19,2,FALSE))/12)))</f>
        <v/>
      </c>
      <c r="BW37" s="218" t="str">
        <f>IF(C25&gt;0,"",IF($C$3&gt;0,IF(BV37&lt;2100,64/BV37,(0.25/(LOG(5.74/(BV37^0.9))+((VLOOKUP(BX37,'Pipe Data'!J$7:X$19,15,FALSE))/3.7))^2)),(0.25/(LOG(5.74/(BV37^0.9))+((VLOOKUP(BX37,'Pipe Data'!J$7:X$19,15,FALSE))/3.7))^2)))</f>
        <v/>
      </c>
      <c r="BX37" s="216">
        <v>0.375</v>
      </c>
      <c r="BY37" s="25" t="str">
        <f>IF(C25&gt;0,"",IF($C$3&gt;0,IF(BT37/BR25&lt;=$BY$4/100,0,1),IF(AND(BS37&lt;($BS$4),BT37&lt;($BT$4)),0,1)))</f>
        <v/>
      </c>
      <c r="BZ37" s="217">
        <v>5.4118842196605418E-4</v>
      </c>
      <c r="CA37" s="237">
        <v>0.375</v>
      </c>
      <c r="CC37" s="313"/>
      <c r="CD37" s="317"/>
      <c r="CE37" s="215"/>
      <c r="CF37" s="214"/>
      <c r="DH37" s="1503"/>
      <c r="DI37" s="320"/>
      <c r="DJ37" s="1617"/>
      <c r="DK37" s="320"/>
      <c r="DL37" s="1617"/>
      <c r="DM37" s="320"/>
      <c r="DN37" s="1617"/>
      <c r="DO37" s="1504"/>
      <c r="DQ37" s="433"/>
      <c r="DR37" s="1231"/>
      <c r="DS37" s="213"/>
      <c r="DT37" s="213"/>
      <c r="DU37" s="213"/>
      <c r="DV37" s="213"/>
      <c r="DW37" s="213"/>
      <c r="DX37" s="213"/>
      <c r="DY37" s="213"/>
      <c r="DZ37" s="213"/>
      <c r="EA37" s="213"/>
      <c r="EB37" s="213"/>
      <c r="EC37" s="213"/>
      <c r="ED37" s="213"/>
      <c r="EE37" s="213"/>
      <c r="EF37" s="213"/>
      <c r="EG37" s="213"/>
      <c r="EH37" s="213"/>
      <c r="EI37" s="213"/>
      <c r="EJ37" s="213"/>
      <c r="EK37" s="213"/>
      <c r="EL37" s="213"/>
      <c r="EM37" s="213"/>
      <c r="EN37" s="213"/>
      <c r="EO37" s="213"/>
      <c r="EP37" s="213"/>
      <c r="EQ37" s="213"/>
      <c r="ER37" s="213"/>
      <c r="ES37" s="213"/>
      <c r="ET37" s="213"/>
      <c r="EU37" s="213"/>
      <c r="EV37" s="213"/>
      <c r="EW37" s="213"/>
      <c r="EX37" s="213"/>
      <c r="EY37" s="213"/>
      <c r="EZ37" s="213"/>
    </row>
    <row r="38" spans="1:157" ht="13.5" thickBot="1" x14ac:dyDescent="0.25">
      <c r="A38" s="25">
        <v>1</v>
      </c>
      <c r="D38" s="821"/>
      <c r="E38" s="822"/>
      <c r="F38" s="823"/>
      <c r="G38" s="823"/>
      <c r="H38" s="824"/>
      <c r="I38" s="825"/>
      <c r="J38" s="825"/>
      <c r="K38" s="825"/>
      <c r="L38" s="826"/>
      <c r="M38" s="824"/>
      <c r="N38" s="824"/>
      <c r="O38" s="824"/>
      <c r="P38" s="824"/>
      <c r="Q38" s="825"/>
      <c r="R38" s="824"/>
      <c r="S38" s="824"/>
      <c r="T38" s="827"/>
      <c r="U38" s="825"/>
      <c r="V38" s="825"/>
      <c r="W38" s="828"/>
      <c r="X38" s="829"/>
      <c r="Y38" s="826"/>
      <c r="Z38" s="830"/>
      <c r="AA38" s="827"/>
      <c r="AB38" s="831"/>
      <c r="AC38" s="824"/>
      <c r="AD38" s="831"/>
      <c r="AE38" s="830"/>
      <c r="AF38" s="832"/>
      <c r="AG38" s="832"/>
      <c r="AH38" s="833"/>
      <c r="AI38" s="834"/>
      <c r="AJ38" s="835"/>
      <c r="AK38" s="830"/>
      <c r="AL38" s="824"/>
      <c r="AM38" s="831"/>
      <c r="AN38" s="830"/>
      <c r="AO38" s="832"/>
      <c r="AP38" s="832"/>
      <c r="AQ38" s="836"/>
      <c r="AR38" s="831"/>
      <c r="AS38" s="825"/>
      <c r="AT38" s="832"/>
      <c r="AU38" s="832"/>
      <c r="AV38" s="836"/>
      <c r="AW38" s="831"/>
      <c r="AX38" s="825"/>
      <c r="AY38" s="1462"/>
      <c r="AZ38" s="829"/>
      <c r="BA38" s="826"/>
      <c r="BB38" s="830"/>
      <c r="BC38" s="827"/>
      <c r="BD38" s="831"/>
      <c r="BE38" s="824"/>
      <c r="BF38" s="831"/>
      <c r="BG38" s="830"/>
      <c r="BH38" s="832"/>
      <c r="BI38" s="832"/>
      <c r="BJ38" s="833"/>
      <c r="BK38" s="837"/>
      <c r="BL38" s="825"/>
      <c r="BM38" s="825"/>
      <c r="BN38" s="825"/>
      <c r="BO38" s="824"/>
      <c r="BP38" s="828"/>
      <c r="BQ38" s="829"/>
      <c r="BR38" s="826"/>
      <c r="BS38" s="831"/>
      <c r="BT38" s="824"/>
      <c r="BU38" s="824"/>
      <c r="BV38" s="831"/>
      <c r="BW38" s="830"/>
      <c r="BX38" s="832"/>
      <c r="BY38" s="832"/>
      <c r="BZ38" s="833"/>
      <c r="CA38" s="838"/>
      <c r="CB38" s="839"/>
      <c r="CC38" s="840"/>
      <c r="CD38" s="841"/>
      <c r="CE38" s="842"/>
      <c r="CF38" s="843"/>
      <c r="DH38" s="1505"/>
      <c r="DI38" s="1506"/>
      <c r="DJ38" s="1618"/>
      <c r="DK38" s="1506"/>
      <c r="DL38" s="1618"/>
      <c r="DM38" s="1506"/>
      <c r="DN38" s="1618"/>
      <c r="DO38" s="1507"/>
      <c r="DQ38" s="433"/>
      <c r="DR38" s="213"/>
      <c r="DS38" s="213"/>
      <c r="DT38" s="213"/>
      <c r="DU38" s="213"/>
      <c r="DV38" s="213"/>
      <c r="DW38" s="213"/>
      <c r="DX38" s="213"/>
      <c r="DY38" s="213"/>
      <c r="DZ38" s="213"/>
      <c r="EA38" s="213"/>
      <c r="EB38" s="1228"/>
      <c r="EC38" s="444"/>
      <c r="ED38" s="1229"/>
      <c r="EE38" s="1228"/>
      <c r="EF38" s="444"/>
      <c r="EG38" s="1230"/>
      <c r="EH38" s="444"/>
      <c r="EI38" s="1228"/>
      <c r="EJ38" s="1231"/>
      <c r="EK38" s="444"/>
      <c r="EL38" s="1228"/>
      <c r="EM38" s="1230"/>
      <c r="EN38" s="1230"/>
      <c r="EO38" s="444"/>
      <c r="EP38" s="213"/>
      <c r="EQ38" s="1229"/>
      <c r="ER38" s="1228"/>
      <c r="ES38" s="444"/>
      <c r="ET38" s="1231"/>
      <c r="EU38" s="444"/>
      <c r="EV38" s="444"/>
      <c r="EW38" s="1228"/>
      <c r="EX38" s="1230"/>
      <c r="EY38" s="444"/>
      <c r="EZ38" s="444"/>
      <c r="FA38" s="213"/>
    </row>
    <row r="39" spans="1:157" x14ac:dyDescent="0.2">
      <c r="A39" s="25">
        <v>1</v>
      </c>
      <c r="DH39" s="440"/>
      <c r="DI39" s="440"/>
      <c r="DJ39" s="1619"/>
      <c r="DK39" s="440"/>
      <c r="DL39" s="1619"/>
      <c r="DM39" s="440"/>
      <c r="DN39" s="1619"/>
      <c r="DO39" s="440"/>
      <c r="DP39" s="433"/>
      <c r="DQ39" s="433"/>
      <c r="DR39" s="213"/>
      <c r="DS39" s="213"/>
      <c r="DT39" s="213"/>
      <c r="DU39" s="213"/>
      <c r="DV39" s="213"/>
      <c r="DW39" s="213"/>
      <c r="DX39" s="213"/>
      <c r="DY39" s="213"/>
      <c r="DZ39" s="213"/>
      <c r="EA39" s="213"/>
      <c r="EQ39" s="213"/>
      <c r="ER39" s="213"/>
      <c r="ES39" s="213"/>
      <c r="ET39" s="213"/>
      <c r="EU39" s="213"/>
      <c r="EV39" s="213"/>
      <c r="EW39" s="213"/>
      <c r="EX39" s="213"/>
      <c r="EY39" s="213"/>
      <c r="EZ39" s="213"/>
    </row>
    <row r="40" spans="1:157" x14ac:dyDescent="0.2">
      <c r="A40" s="25">
        <v>1</v>
      </c>
      <c r="DJ40" s="1620"/>
      <c r="DK40" s="440"/>
      <c r="DL40" s="1619"/>
      <c r="DN40" s="1620"/>
    </row>
    <row r="41" spans="1:157" ht="7.5" hidden="1" customHeight="1" thickBot="1" x14ac:dyDescent="0.25">
      <c r="A41" s="25">
        <v>1</v>
      </c>
      <c r="BX41" s="25"/>
      <c r="BY41" s="213"/>
      <c r="DJ41" s="1620"/>
      <c r="DK41" s="440"/>
      <c r="DL41" s="1619"/>
      <c r="DN41" s="1620"/>
    </row>
    <row r="42" spans="1:157" ht="54.75" hidden="1" customHeight="1" x14ac:dyDescent="0.25">
      <c r="A42" s="25">
        <v>1</v>
      </c>
      <c r="B42" s="327" t="str">
        <f>"Refrigerant: " &amp; CHAR(10) &amp; 'Legend(DX)'!$U$1</f>
        <v xml:space="preserve">Refrigerant: 
</v>
      </c>
      <c r="D42" s="791" t="str">
        <f>IF(LEFT('Legend(DX)'!$U$1,1)="G","Supply Fluid Temp",IF(LEFT('Legend(DX)'!$U$1,1)="c","Fluid Temp","Rack SST"))</f>
        <v>Rack SST</v>
      </c>
      <c r="E42" s="791" t="s">
        <v>545</v>
      </c>
      <c r="F42" s="791" t="s">
        <v>544</v>
      </c>
      <c r="G42" s="791" t="s">
        <v>543</v>
      </c>
      <c r="H42" s="791" t="s">
        <v>542</v>
      </c>
      <c r="I42" s="791" t="s">
        <v>798</v>
      </c>
      <c r="J42" s="791" t="s">
        <v>1102</v>
      </c>
      <c r="L42" s="286"/>
      <c r="S42" s="791" t="s">
        <v>1092</v>
      </c>
      <c r="T42" s="791" t="s">
        <v>1093</v>
      </c>
      <c r="V42" s="284"/>
      <c r="W42" s="284"/>
      <c r="Y42" s="791" t="s">
        <v>535</v>
      </c>
      <c r="AB42" s="791" t="s">
        <v>541</v>
      </c>
      <c r="AC42" s="791" t="s">
        <v>540</v>
      </c>
      <c r="AR42" s="791" t="s">
        <v>539</v>
      </c>
      <c r="AS42" s="791" t="s">
        <v>538</v>
      </c>
      <c r="AT42" s="286"/>
      <c r="AU42" s="286"/>
      <c r="AV42" s="286"/>
      <c r="BA42" s="791" t="s">
        <v>535</v>
      </c>
      <c r="BD42" s="791" t="s">
        <v>537</v>
      </c>
      <c r="BE42" s="791" t="s">
        <v>536</v>
      </c>
      <c r="BF42" s="286"/>
      <c r="BN42" s="285"/>
      <c r="BP42" s="285"/>
      <c r="BR42" s="791" t="s">
        <v>535</v>
      </c>
      <c r="BS42" s="791" t="s">
        <v>534</v>
      </c>
      <c r="BT42" s="791" t="s">
        <v>533</v>
      </c>
      <c r="BX42" s="25"/>
      <c r="BY42" s="791" t="s">
        <v>1100</v>
      </c>
      <c r="DJ42" s="1620"/>
      <c r="DK42" s="440"/>
      <c r="DL42" s="1619"/>
      <c r="DN42" s="1620"/>
      <c r="DR42" s="286" t="s">
        <v>799</v>
      </c>
      <c r="DS42" s="213"/>
      <c r="DT42" s="286" t="s">
        <v>800</v>
      </c>
      <c r="DU42" s="286"/>
      <c r="DV42" s="286" t="s">
        <v>801</v>
      </c>
      <c r="DW42" s="286" t="s">
        <v>802</v>
      </c>
      <c r="DX42" s="286" t="s">
        <v>803</v>
      </c>
      <c r="DY42" s="213"/>
      <c r="DZ42" s="213"/>
      <c r="EA42" s="213"/>
      <c r="EQ42" s="213"/>
      <c r="ER42" s="213"/>
      <c r="ES42" s="213"/>
      <c r="ET42" s="213"/>
      <c r="EU42" s="213"/>
      <c r="EV42" s="213"/>
      <c r="EW42" s="213"/>
      <c r="EX42" s="213"/>
      <c r="EY42" s="213"/>
      <c r="EZ42" s="213"/>
    </row>
    <row r="43" spans="1:157" ht="13.5" hidden="1" thickBot="1" x14ac:dyDescent="0.25">
      <c r="A43" s="25">
        <v>1</v>
      </c>
      <c r="B43" s="790" t="str">
        <f>IF(($C$6)&gt;0,"LineSize Calculations Off",VLOOKUP('Legend(DX)'!$U$1,Refrigerant,2,FALSE))</f>
        <v>LineSize Calculations Off</v>
      </c>
      <c r="D43" s="792" t="s">
        <v>459</v>
      </c>
      <c r="E43" s="792" t="s">
        <v>460</v>
      </c>
      <c r="F43" s="792" t="s">
        <v>459</v>
      </c>
      <c r="G43" s="792" t="s">
        <v>459</v>
      </c>
      <c r="H43" s="792" t="s">
        <v>459</v>
      </c>
      <c r="I43" s="792" t="s">
        <v>460</v>
      </c>
      <c r="J43" s="792"/>
      <c r="L43" s="277"/>
      <c r="S43" s="792" t="s">
        <v>459</v>
      </c>
      <c r="T43" s="792" t="s">
        <v>1094</v>
      </c>
      <c r="V43" s="284"/>
      <c r="W43" s="284"/>
      <c r="Y43" s="794"/>
      <c r="AB43" s="794" t="s">
        <v>457</v>
      </c>
      <c r="AC43" s="794" t="s">
        <v>457</v>
      </c>
      <c r="AR43" s="794" t="s">
        <v>457</v>
      </c>
      <c r="AS43" s="794" t="s">
        <v>457</v>
      </c>
      <c r="AT43" s="283"/>
      <c r="AU43" s="283"/>
      <c r="AV43" s="283"/>
      <c r="BA43" s="794"/>
      <c r="BD43" s="794" t="s">
        <v>457</v>
      </c>
      <c r="BE43" s="794" t="s">
        <v>457</v>
      </c>
      <c r="BF43" s="283"/>
      <c r="BN43" s="282"/>
      <c r="BP43" s="282"/>
      <c r="BR43" s="794"/>
      <c r="BS43" s="794" t="str">
        <f>IF($C$3&gt;0,"[fps]","[fpm]")</f>
        <v>[fpm]</v>
      </c>
      <c r="BT43" s="794" t="s">
        <v>532</v>
      </c>
      <c r="BX43" s="25"/>
      <c r="BY43" s="794"/>
      <c r="DJ43" s="1620"/>
      <c r="DK43" s="440"/>
      <c r="DL43" s="1619"/>
      <c r="DN43" s="1620"/>
      <c r="DR43" s="213"/>
      <c r="DS43" s="213"/>
      <c r="DT43" s="277"/>
      <c r="DU43" s="277"/>
      <c r="DV43" s="277"/>
      <c r="DW43" s="277"/>
      <c r="DX43" s="213"/>
      <c r="DY43" s="213"/>
      <c r="DZ43" s="213"/>
      <c r="EA43" s="213"/>
      <c r="EQ43" s="213"/>
      <c r="ER43" s="213"/>
      <c r="ES43" s="213"/>
      <c r="ET43" s="213"/>
      <c r="EU43" s="213"/>
      <c r="EV43" s="213"/>
      <c r="EW43" s="213"/>
      <c r="EX43" s="213"/>
      <c r="EY43" s="213"/>
      <c r="EZ43" s="213"/>
    </row>
    <row r="44" spans="1:157" ht="20.25" hidden="1" customHeight="1" thickBot="1" x14ac:dyDescent="0.25">
      <c r="A44" s="25">
        <v>1</v>
      </c>
      <c r="D44" s="281" t="str">
        <f>IF(($C$6)&gt;0,"",IF($C$3&gt;0,MIN('Legend(DX)'!AB11:AB12),LegendSG2RSST))</f>
        <v/>
      </c>
      <c r="E44" s="280" t="str">
        <f>IF(($C$6)&gt;0,"",Pressure((B43),"TVAP","E",D44+0.5*DX44))</f>
        <v/>
      </c>
      <c r="F44" s="279"/>
      <c r="G44" s="278" t="str">
        <f>IF(($C$6)&gt;0,"",IF(LEFT('Legend(DX)'!$U$1,1)="c",D44,IF(LegendSG2LT="",H44,LegendSG2LT)))</f>
        <v/>
      </c>
      <c r="H44" s="278" t="str">
        <f>IF(($C$6)&gt;0,"",IF(LEFT('Legend(DX)'!$U$1,1)="c",D44,IF(LegendSG1CT="","",LegendSG1CT)))</f>
        <v/>
      </c>
      <c r="I44" s="278" t="str">
        <f>IF(($C$6)&gt;0,"",(Pressure($B$43,"tliq","e",$H$44)+Pressure($B$43,"tvap","e",$H$44))/2)</f>
        <v/>
      </c>
      <c r="J44" s="278" t="str">
        <f>IF(($C$6)&gt;0,"",IF(LEFT('Legend(DX)'!$U$1,1)="C",MAX(LegendSG1SCR),1))</f>
        <v/>
      </c>
      <c r="L44" s="277"/>
      <c r="S44" s="1226"/>
      <c r="T44" s="1226"/>
      <c r="Y44" s="273">
        <v>1.3</v>
      </c>
      <c r="AB44" s="1445">
        <v>1200</v>
      </c>
      <c r="AC44" s="272">
        <f>IF(($J$4)&gt;1,800,2000)</f>
        <v>800</v>
      </c>
      <c r="AR44" s="1445">
        <v>1200</v>
      </c>
      <c r="AS44" s="272">
        <f>IF(($J$4)&gt;1,800,2000)</f>
        <v>800</v>
      </c>
      <c r="AT44" s="276"/>
      <c r="AU44" s="276"/>
      <c r="AV44" s="276"/>
      <c r="BA44" s="273">
        <v>1.3</v>
      </c>
      <c r="BD44" s="1445">
        <f>IF(($J$4)&gt;1,200,500)</f>
        <v>200</v>
      </c>
      <c r="BE44" s="1445">
        <v>1500</v>
      </c>
      <c r="BF44" s="275"/>
      <c r="BN44" s="274"/>
      <c r="BP44" s="274"/>
      <c r="BR44" s="273">
        <f>IF($C$3&gt;0,2.6,1.3)</f>
        <v>1.3</v>
      </c>
      <c r="BS44" s="272">
        <v>150</v>
      </c>
      <c r="BT44" s="271" t="str">
        <f>IF(($C$6)&gt;0,"",(Pressure(($B$43),"TLIQ","E",($H$44)))-(Pressure(($B$43),"TLIQ","E",(($H$44)-1))))</f>
        <v/>
      </c>
      <c r="BX44" s="25"/>
      <c r="BY44" s="273">
        <v>4</v>
      </c>
      <c r="CH44" s="270" t="s">
        <v>531</v>
      </c>
      <c r="CI44" s="270" t="s">
        <v>530</v>
      </c>
      <c r="CJ44" s="270" t="s">
        <v>525</v>
      </c>
      <c r="CK44" s="270" t="s">
        <v>529</v>
      </c>
      <c r="CL44" s="270" t="s">
        <v>528</v>
      </c>
      <c r="CM44" s="270" t="s">
        <v>527</v>
      </c>
      <c r="CN44" s="270" t="s">
        <v>527</v>
      </c>
      <c r="DJ44" s="1620"/>
      <c r="DK44" s="440"/>
      <c r="DL44" s="1619"/>
      <c r="DN44" s="1620"/>
      <c r="DR44" s="1253" t="str">
        <f>IF(($C$6)&gt;0,"",TEMPERATURE($B$3,"pvap","e",($I$44))-TEMPERATURE($B$3,"pliq","e",($I$44)))</f>
        <v/>
      </c>
      <c r="DS44" s="213"/>
      <c r="DT44" s="1254" t="str">
        <f>IF(($C$6)&gt;0,"",(Pressure($B$3,"Tliq","e",($D$44))+Pressure($B$3,"Tvap","e",($D$44)))/2)</f>
        <v/>
      </c>
      <c r="DU44" s="1255"/>
      <c r="DV44" s="1256" t="str">
        <f>IF(($C$6)&gt;0,"",1-(Enthalpy($B$43,"pvap","e",($DT$44))-(IF(($G$44)+0.5*($DR$44)&gt;($H$44),Enthalpy($B$43,"Tliq","e",($G$44)),Enthalpy($B$43,"tp","e",($G$44),($I$44)))))/(Enthalpy($B$43,"pvap","e",($DT$44))-Enthalpy($B$43,"pliq","e",($DT$44))))</f>
        <v/>
      </c>
      <c r="DW44" s="1256" t="str">
        <f>IF(($C$6)&gt;0,"",TEMPERATURE($B$3,"pvap","e",($DT$44))-TEMPERATURE($B$3,"pliq","e",($DT$44)))</f>
        <v/>
      </c>
      <c r="DX44" s="1257" t="e">
        <f>(1-($DV$44))*($DW$44)</f>
        <v>#VALUE!</v>
      </c>
      <c r="DY44" s="213"/>
      <c r="DZ44" s="213"/>
      <c r="EA44" s="213"/>
      <c r="EQ44" s="213"/>
      <c r="ER44" s="213"/>
      <c r="ES44" s="213"/>
      <c r="ET44" s="213"/>
      <c r="EU44" s="213"/>
      <c r="EV44" s="213"/>
      <c r="EW44" s="213"/>
      <c r="EX44" s="213"/>
      <c r="EY44" s="213"/>
      <c r="EZ44" s="213"/>
    </row>
    <row r="45" spans="1:157" ht="13.5" hidden="1" thickBot="1" x14ac:dyDescent="0.25">
      <c r="A45" s="25">
        <v>1</v>
      </c>
      <c r="B45" s="213"/>
      <c r="D45" s="213"/>
      <c r="E45" s="213"/>
      <c r="F45" s="213"/>
      <c r="G45" s="213"/>
      <c r="H45" s="213"/>
      <c r="AB45" s="272">
        <v>700</v>
      </c>
      <c r="AR45" s="272">
        <v>700</v>
      </c>
      <c r="BD45" s="272">
        <v>250</v>
      </c>
      <c r="BE45" s="272">
        <v>1750</v>
      </c>
      <c r="BS45" s="1445">
        <v>120</v>
      </c>
      <c r="BX45" s="25"/>
      <c r="BY45" s="213"/>
      <c r="CH45" s="270" t="s">
        <v>526</v>
      </c>
      <c r="CI45" s="270" t="s">
        <v>526</v>
      </c>
      <c r="CM45" s="270" t="s">
        <v>526</v>
      </c>
      <c r="CN45" s="270" t="s">
        <v>525</v>
      </c>
      <c r="CO45" s="270" t="s">
        <v>524</v>
      </c>
      <c r="CP45" s="270"/>
      <c r="DJ45" s="1620"/>
      <c r="DK45" s="440"/>
      <c r="DL45" s="1619"/>
      <c r="DN45" s="1620"/>
      <c r="DR45" s="213"/>
      <c r="DS45" s="213"/>
      <c r="DT45" s="213"/>
      <c r="DU45" s="213"/>
      <c r="DV45" s="320" t="s">
        <v>804</v>
      </c>
      <c r="DW45" s="213"/>
      <c r="DX45" s="213"/>
      <c r="DY45" s="213"/>
      <c r="DZ45" s="213"/>
      <c r="EA45" s="213"/>
      <c r="EQ45" s="213"/>
      <c r="ER45" s="213"/>
      <c r="ES45" s="213"/>
      <c r="ET45" s="213"/>
      <c r="EU45" s="213"/>
      <c r="EV45" s="213"/>
      <c r="EW45" s="213"/>
      <c r="EX45" s="213"/>
      <c r="EY45" s="213"/>
      <c r="EZ45" s="213"/>
    </row>
    <row r="46" spans="1:157" ht="27" hidden="1" customHeight="1" thickBot="1" x14ac:dyDescent="0.25">
      <c r="A46" s="25">
        <v>1</v>
      </c>
      <c r="B46" s="213"/>
      <c r="D46" s="269" t="str">
        <f>IF($C$3&gt;0,"Fluid Group " &amp; H46,"Suction Group " &amp; H46)</f>
        <v>Suction Group 2</v>
      </c>
      <c r="E46" s="269"/>
      <c r="F46" s="269"/>
      <c r="G46" s="269"/>
      <c r="H46" s="268">
        <v>2</v>
      </c>
      <c r="I46" s="268"/>
      <c r="J46" s="268"/>
      <c r="K46" s="268"/>
      <c r="X46" s="1858" t="s">
        <v>523</v>
      </c>
      <c r="Y46" s="1859"/>
      <c r="Z46" s="1859"/>
      <c r="AA46" s="1859"/>
      <c r="AB46" s="1859"/>
      <c r="AC46" s="1859"/>
      <c r="AD46" s="1859"/>
      <c r="AE46" s="1859"/>
      <c r="AF46" s="1859"/>
      <c r="AG46" s="1859"/>
      <c r="AH46" s="1860"/>
      <c r="AI46" s="1858" t="s">
        <v>522</v>
      </c>
      <c r="AJ46" s="1859"/>
      <c r="AK46" s="1859"/>
      <c r="AL46" s="1859"/>
      <c r="AM46" s="1859"/>
      <c r="AN46" s="1859"/>
      <c r="AO46" s="1859"/>
      <c r="AP46" s="1859"/>
      <c r="AQ46" s="1859"/>
      <c r="AR46" s="1859"/>
      <c r="AS46" s="1859"/>
      <c r="AT46" s="1859"/>
      <c r="AU46" s="1859"/>
      <c r="AV46" s="1859"/>
      <c r="AW46" s="1859"/>
      <c r="AX46" s="1860"/>
      <c r="AY46" s="1416"/>
      <c r="AZ46" s="1858" t="s">
        <v>521</v>
      </c>
      <c r="BA46" s="1859"/>
      <c r="BB46" s="1859"/>
      <c r="BC46" s="1859"/>
      <c r="BD46" s="1859"/>
      <c r="BE46" s="1859"/>
      <c r="BF46" s="1859"/>
      <c r="BG46" s="1859"/>
      <c r="BH46" s="1859"/>
      <c r="BI46" s="1859"/>
      <c r="BJ46" s="1860"/>
      <c r="BK46" s="1855" t="s">
        <v>520</v>
      </c>
      <c r="BL46" s="1857"/>
      <c r="BM46" s="1857"/>
      <c r="BN46" s="1857"/>
      <c r="BO46" s="1857"/>
      <c r="BP46" s="1856"/>
      <c r="BQ46" s="1857" t="s">
        <v>519</v>
      </c>
      <c r="BR46" s="1857"/>
      <c r="BS46" s="1857"/>
      <c r="BT46" s="1857"/>
      <c r="BU46" s="1857"/>
      <c r="BV46" s="1857"/>
      <c r="BW46" s="1857"/>
      <c r="BX46" s="1857"/>
      <c r="BY46" s="1857"/>
      <c r="BZ46" s="1856"/>
      <c r="CA46" s="795"/>
      <c r="CB46" s="796"/>
      <c r="CC46" s="797"/>
      <c r="CD46" s="798"/>
      <c r="CE46" s="1855" t="s">
        <v>518</v>
      </c>
      <c r="CF46" s="1856"/>
      <c r="DJ46" s="1620"/>
      <c r="DK46" s="440"/>
      <c r="DL46" s="1619"/>
      <c r="DN46" s="1620"/>
      <c r="DR46" s="213"/>
      <c r="DS46" s="213"/>
      <c r="DT46" s="213"/>
      <c r="DU46" s="213"/>
      <c r="DV46" s="213"/>
      <c r="DW46" s="213"/>
      <c r="DX46" s="213"/>
      <c r="DY46" s="213"/>
      <c r="DZ46" s="213"/>
      <c r="EA46" s="213"/>
      <c r="EQ46" s="213"/>
      <c r="ER46" s="213"/>
      <c r="ES46" s="213"/>
      <c r="ET46" s="213"/>
      <c r="EU46" s="213"/>
      <c r="EV46" s="213"/>
      <c r="EW46" s="213"/>
      <c r="EX46" s="213"/>
      <c r="EY46" s="213"/>
      <c r="EZ46" s="213"/>
    </row>
    <row r="47" spans="1:157" s="213" customFormat="1" ht="63.75" hidden="1" x14ac:dyDescent="0.2">
      <c r="A47" s="213">
        <v>1</v>
      </c>
      <c r="B47" s="267"/>
      <c r="D47" s="799" t="s">
        <v>411</v>
      </c>
      <c r="E47" s="800" t="s">
        <v>517</v>
      </c>
      <c r="F47" s="800" t="s">
        <v>516</v>
      </c>
      <c r="G47" s="800" t="s">
        <v>515</v>
      </c>
      <c r="H47" s="800" t="s">
        <v>514</v>
      </c>
      <c r="I47" s="800" t="s">
        <v>513</v>
      </c>
      <c r="J47" s="800" t="str">
        <f>IF($C$3&gt;0,"","Segment SST")</f>
        <v>Segment SST</v>
      </c>
      <c r="K47" s="800" t="str">
        <f>IF($C$3&gt;0,"","Segment Suction Vapor Temp")</f>
        <v>Segment Suction Vapor Temp</v>
      </c>
      <c r="L47" s="800" t="str">
        <f>IF($C$3&gt;0,"","Return Gas Temp")</f>
        <v>Return Gas Temp</v>
      </c>
      <c r="M47" s="800" t="str">
        <f>IF($C$3&gt;0,"","Segment Suction Pressure")</f>
        <v>Segment Suction Pressure</v>
      </c>
      <c r="N47" s="800" t="str">
        <f>IF($C$3&gt;0,"","Evap Pressure")</f>
        <v>Evap Pressure</v>
      </c>
      <c r="O47" s="800" t="str">
        <f>IF($C$3&gt;0,"","Evap Temp Glide")</f>
        <v>Evap Temp Glide</v>
      </c>
      <c r="P47" s="801" t="str">
        <f>IF($C$3&gt;0,"","Evap Inlet Quality 1=100% Vapor")</f>
        <v>Evap Inlet Quality 1=100% Vapor</v>
      </c>
      <c r="Q47" s="800" t="str">
        <f>IF($C$3&gt;0,"","Evap Suction Outlet Enthalpy")</f>
        <v>Evap Suction Outlet Enthalpy</v>
      </c>
      <c r="R47" s="800" t="str">
        <f>IF($C$3&gt;0,"Flow","Liquid Enthalpy")</f>
        <v>Liquid Enthalpy</v>
      </c>
      <c r="S47" s="800" t="s">
        <v>507</v>
      </c>
      <c r="T47" s="800" t="s">
        <v>506</v>
      </c>
      <c r="U47" s="800" t="s">
        <v>356</v>
      </c>
      <c r="V47" s="800" t="s">
        <v>505</v>
      </c>
      <c r="W47" s="802" t="str">
        <f>IF($C$3&gt;0,"","Riser Type")</f>
        <v>Riser Type</v>
      </c>
      <c r="X47" s="803" t="s">
        <v>475</v>
      </c>
      <c r="Y47" s="804" t="s">
        <v>474</v>
      </c>
      <c r="Z47" s="805" t="s">
        <v>485</v>
      </c>
      <c r="AA47" s="805" t="s">
        <v>484</v>
      </c>
      <c r="AB47" s="805" t="s">
        <v>473</v>
      </c>
      <c r="AC47" s="805" t="s">
        <v>149</v>
      </c>
      <c r="AD47" s="805" t="s">
        <v>472</v>
      </c>
      <c r="AE47" s="805" t="s">
        <v>471</v>
      </c>
      <c r="AF47" s="805" t="s">
        <v>470</v>
      </c>
      <c r="AG47" s="805" t="s">
        <v>503</v>
      </c>
      <c r="AH47" s="806" t="s">
        <v>502</v>
      </c>
      <c r="AI47" s="803" t="s">
        <v>501</v>
      </c>
      <c r="AJ47" s="804" t="s">
        <v>500</v>
      </c>
      <c r="AK47" s="805" t="s">
        <v>499</v>
      </c>
      <c r="AL47" s="805" t="s">
        <v>498</v>
      </c>
      <c r="AM47" s="805" t="s">
        <v>497</v>
      </c>
      <c r="AN47" s="805" t="s">
        <v>496</v>
      </c>
      <c r="AO47" s="805" t="s">
        <v>495</v>
      </c>
      <c r="AP47" s="805" t="s">
        <v>494</v>
      </c>
      <c r="AQ47" s="805" t="s">
        <v>493</v>
      </c>
      <c r="AR47" s="805" t="s">
        <v>492</v>
      </c>
      <c r="AS47" s="805" t="s">
        <v>491</v>
      </c>
      <c r="AT47" s="805" t="s">
        <v>490</v>
      </c>
      <c r="AU47" s="805" t="s">
        <v>489</v>
      </c>
      <c r="AV47" s="805" t="s">
        <v>488</v>
      </c>
      <c r="AW47" s="805" t="s">
        <v>487</v>
      </c>
      <c r="AX47" s="806" t="s">
        <v>486</v>
      </c>
      <c r="AY47" s="805" t="s">
        <v>1253</v>
      </c>
      <c r="AZ47" s="803" t="s">
        <v>475</v>
      </c>
      <c r="BA47" s="804" t="s">
        <v>474</v>
      </c>
      <c r="BB47" s="805" t="s">
        <v>485</v>
      </c>
      <c r="BC47" s="805" t="s">
        <v>484</v>
      </c>
      <c r="BD47" s="805" t="s">
        <v>473</v>
      </c>
      <c r="BE47" s="805" t="s">
        <v>149</v>
      </c>
      <c r="BF47" s="805" t="s">
        <v>472</v>
      </c>
      <c r="BG47" s="805" t="s">
        <v>471</v>
      </c>
      <c r="BH47" s="805" t="s">
        <v>470</v>
      </c>
      <c r="BI47" s="805" t="s">
        <v>483</v>
      </c>
      <c r="BJ47" s="806" t="s">
        <v>482</v>
      </c>
      <c r="BK47" s="807" t="s">
        <v>481</v>
      </c>
      <c r="BL47" s="804" t="s">
        <v>480</v>
      </c>
      <c r="BM47" s="804" t="s">
        <v>479</v>
      </c>
      <c r="BN47" s="805" t="s">
        <v>478</v>
      </c>
      <c r="BO47" s="805" t="s">
        <v>477</v>
      </c>
      <c r="BP47" s="806" t="s">
        <v>476</v>
      </c>
      <c r="BQ47" s="804" t="s">
        <v>475</v>
      </c>
      <c r="BR47" s="804" t="s">
        <v>474</v>
      </c>
      <c r="BS47" s="805" t="s">
        <v>473</v>
      </c>
      <c r="BT47" s="805" t="s">
        <v>149</v>
      </c>
      <c r="BU47" s="805" t="s">
        <v>479</v>
      </c>
      <c r="BV47" s="805" t="s">
        <v>472</v>
      </c>
      <c r="BW47" s="805" t="s">
        <v>471</v>
      </c>
      <c r="BX47" s="805" t="s">
        <v>470</v>
      </c>
      <c r="BY47" s="805" t="s">
        <v>469</v>
      </c>
      <c r="BZ47" s="806" t="s">
        <v>468</v>
      </c>
      <c r="CA47" s="808"/>
      <c r="CB47" s="809"/>
      <c r="CC47" s="810"/>
      <c r="CD47" s="811" t="s">
        <v>178</v>
      </c>
      <c r="CE47" s="1853" t="s">
        <v>467</v>
      </c>
      <c r="CF47" s="806" t="s">
        <v>466</v>
      </c>
      <c r="DH47" s="310"/>
      <c r="DI47" s="310"/>
      <c r="DJ47" s="1620"/>
      <c r="DK47" s="440"/>
      <c r="DL47" s="1619"/>
      <c r="DM47" s="310"/>
      <c r="DN47" s="1620"/>
      <c r="DO47" s="310"/>
      <c r="DP47" s="320"/>
      <c r="DR47" s="264"/>
      <c r="DS47" s="264"/>
      <c r="DT47" s="264"/>
      <c r="DU47" s="264"/>
      <c r="DV47" s="264"/>
      <c r="DW47" s="264"/>
      <c r="DX47" s="264"/>
      <c r="DY47" s="264"/>
      <c r="DZ47" s="264"/>
      <c r="EA47" s="264"/>
      <c r="EB47" s="25"/>
      <c r="EC47" s="25"/>
      <c r="ED47" s="25"/>
      <c r="EE47" s="25"/>
      <c r="EF47" s="25"/>
      <c r="EG47" s="25"/>
      <c r="EH47" s="25"/>
      <c r="EI47" s="25"/>
      <c r="EJ47" s="25"/>
      <c r="EK47" s="25"/>
      <c r="EL47" s="25"/>
      <c r="EM47" s="25"/>
      <c r="EN47" s="25"/>
      <c r="EO47" s="25"/>
      <c r="EP47" s="25"/>
    </row>
    <row r="48" spans="1:157" s="264" customFormat="1" ht="20.25" hidden="1" customHeight="1" thickBot="1" x14ac:dyDescent="0.25">
      <c r="A48" s="265">
        <v>1</v>
      </c>
      <c r="B48" s="266">
        <f>LegendSG2EVLT</f>
        <v>0</v>
      </c>
      <c r="C48" s="296" t="s">
        <v>151</v>
      </c>
      <c r="D48" s="428"/>
      <c r="E48" s="812"/>
      <c r="F48" s="812"/>
      <c r="G48" s="812"/>
      <c r="H48" s="813" t="s">
        <v>465</v>
      </c>
      <c r="I48" s="813" t="s">
        <v>459</v>
      </c>
      <c r="J48" s="813" t="str">
        <f>IF($C$3&gt;0,"","[ºF]")</f>
        <v>[ºF]</v>
      </c>
      <c r="K48" s="813" t="str">
        <f>IF($C$3&gt;0,"","[ºF]")</f>
        <v>[ºF]</v>
      </c>
      <c r="L48" s="813" t="str">
        <f>IF($C$3&gt;0,"","[ºF]")</f>
        <v>[ºF]</v>
      </c>
      <c r="M48" s="813" t="str">
        <f>IF($C$3&gt;0,"","[psia]")</f>
        <v>[psia]</v>
      </c>
      <c r="N48" s="813" t="str">
        <f>IF($C$3&gt;0,"","[psia]")</f>
        <v>[psia]</v>
      </c>
      <c r="O48" s="813" t="str">
        <f>IF($C$3&gt;0,"","[ºF]")</f>
        <v>[ºF]</v>
      </c>
      <c r="P48" s="814"/>
      <c r="Q48" s="813" t="str">
        <f>IF($C$3&gt;0,"","[Btu/lb]")</f>
        <v>[Btu/lb]</v>
      </c>
      <c r="R48" s="813" t="str">
        <f>IF($C$3&gt;0,"[GPM]","[Btu/lb]")</f>
        <v>[Btu/lb]</v>
      </c>
      <c r="S48" s="813" t="s">
        <v>462</v>
      </c>
      <c r="T48" s="813" t="s">
        <v>461</v>
      </c>
      <c r="U48" s="813" t="s">
        <v>463</v>
      </c>
      <c r="V48" s="813"/>
      <c r="W48" s="815"/>
      <c r="X48" s="816" t="s">
        <v>458</v>
      </c>
      <c r="Y48" s="813" t="s">
        <v>458</v>
      </c>
      <c r="Z48" s="813" t="s">
        <v>462</v>
      </c>
      <c r="AA48" s="813" t="s">
        <v>461</v>
      </c>
      <c r="AB48" s="813" t="s">
        <v>457</v>
      </c>
      <c r="AC48" s="813" t="s">
        <v>456</v>
      </c>
      <c r="AD48" s="813"/>
      <c r="AE48" s="813"/>
      <c r="AF48" s="813" t="s">
        <v>455</v>
      </c>
      <c r="AG48" s="813" t="s">
        <v>455</v>
      </c>
      <c r="AH48" s="815" t="s">
        <v>454</v>
      </c>
      <c r="AI48" s="816"/>
      <c r="AJ48" s="813" t="s">
        <v>454</v>
      </c>
      <c r="AK48" s="813"/>
      <c r="AL48" s="813" t="s">
        <v>456</v>
      </c>
      <c r="AM48" s="813"/>
      <c r="AN48" s="813"/>
      <c r="AO48" s="813" t="s">
        <v>455</v>
      </c>
      <c r="AP48" s="813" t="s">
        <v>455</v>
      </c>
      <c r="AQ48" s="813" t="s">
        <v>454</v>
      </c>
      <c r="AR48" s="813" t="s">
        <v>457</v>
      </c>
      <c r="AS48" s="813" t="s">
        <v>463</v>
      </c>
      <c r="AT48" s="813" t="s">
        <v>455</v>
      </c>
      <c r="AU48" s="813" t="s">
        <v>455</v>
      </c>
      <c r="AV48" s="813" t="s">
        <v>454</v>
      </c>
      <c r="AW48" s="813" t="s">
        <v>457</v>
      </c>
      <c r="AX48" s="815" t="s">
        <v>463</v>
      </c>
      <c r="AY48" s="813" t="s">
        <v>458</v>
      </c>
      <c r="AZ48" s="816" t="s">
        <v>458</v>
      </c>
      <c r="BA48" s="813" t="s">
        <v>458</v>
      </c>
      <c r="BB48" s="813" t="s">
        <v>462</v>
      </c>
      <c r="BC48" s="813" t="s">
        <v>461</v>
      </c>
      <c r="BD48" s="813" t="s">
        <v>457</v>
      </c>
      <c r="BE48" s="813" t="s">
        <v>456</v>
      </c>
      <c r="BF48" s="813"/>
      <c r="BG48" s="813"/>
      <c r="BH48" s="813" t="s">
        <v>455</v>
      </c>
      <c r="BI48" s="813" t="s">
        <v>455</v>
      </c>
      <c r="BJ48" s="817" t="s">
        <v>454</v>
      </c>
      <c r="BK48" s="816" t="s">
        <v>456</v>
      </c>
      <c r="BL48" s="813" t="s">
        <v>456</v>
      </c>
      <c r="BM48" s="813" t="s">
        <v>456</v>
      </c>
      <c r="BN48" s="813" t="s">
        <v>459</v>
      </c>
      <c r="BO48" s="813" t="s">
        <v>460</v>
      </c>
      <c r="BP48" s="815" t="s">
        <v>459</v>
      </c>
      <c r="BQ48" s="813" t="s">
        <v>458</v>
      </c>
      <c r="BR48" s="813" t="s">
        <v>458</v>
      </c>
      <c r="BS48" s="813" t="s">
        <v>457</v>
      </c>
      <c r="BT48" s="813" t="str">
        <f>IF($C$3&gt;0,"[ft-H2O]","[psi]")</f>
        <v>[psi]</v>
      </c>
      <c r="BU48" s="813" t="str">
        <f>IF($C$3&gt;0,"[ft-H2O]","[psi]")</f>
        <v>[psi]</v>
      </c>
      <c r="BV48" s="813"/>
      <c r="BW48" s="813"/>
      <c r="BX48" s="813" t="s">
        <v>455</v>
      </c>
      <c r="BY48" s="813" t="s">
        <v>455</v>
      </c>
      <c r="BZ48" s="815" t="s">
        <v>454</v>
      </c>
      <c r="CA48" s="818"/>
      <c r="CB48" s="819"/>
      <c r="CC48" s="820"/>
      <c r="CD48" s="792" t="s">
        <v>179</v>
      </c>
      <c r="CE48" s="1854"/>
      <c r="CF48" s="815"/>
      <c r="DH48" s="311"/>
      <c r="DI48" s="311"/>
      <c r="DJ48" s="1621"/>
      <c r="DK48" s="441"/>
      <c r="DL48" s="1622"/>
      <c r="DM48" s="311"/>
      <c r="DN48" s="1621"/>
      <c r="DO48" s="311"/>
      <c r="DP48" s="321"/>
      <c r="DR48" s="213"/>
      <c r="DS48" s="213"/>
      <c r="DT48" s="213"/>
      <c r="DU48" s="213"/>
      <c r="DV48" s="213"/>
      <c r="DW48" s="213"/>
      <c r="DX48" s="213"/>
      <c r="DY48" s="213"/>
      <c r="DZ48" s="213"/>
      <c r="EA48" s="213"/>
      <c r="EB48" s="25"/>
      <c r="EC48" s="25"/>
      <c r="ED48" s="25"/>
      <c r="EE48" s="25"/>
      <c r="EF48" s="25"/>
      <c r="EG48" s="25"/>
      <c r="EH48" s="25"/>
      <c r="EI48" s="25"/>
      <c r="EJ48" s="25"/>
      <c r="EK48" s="25"/>
      <c r="EL48" s="25"/>
      <c r="EM48" s="25"/>
      <c r="EN48" s="25"/>
      <c r="EO48" s="25"/>
      <c r="EP48" s="25"/>
      <c r="EQ48" s="213"/>
      <c r="ER48" s="213"/>
      <c r="ES48" s="213"/>
      <c r="ET48" s="213"/>
      <c r="EU48" s="213"/>
      <c r="EV48" s="213"/>
      <c r="EW48" s="213"/>
      <c r="EX48" s="213"/>
      <c r="EY48" s="213"/>
      <c r="EZ48" s="213"/>
    </row>
    <row r="49" spans="1:163" hidden="1" x14ac:dyDescent="0.2">
      <c r="A49" s="262" t="s">
        <v>374</v>
      </c>
      <c r="B49" s="262">
        <f>H46</f>
        <v>2</v>
      </c>
      <c r="C49" s="262">
        <f>$C$6</f>
        <v>1</v>
      </c>
      <c r="D49" s="429" t="s">
        <v>176</v>
      </c>
      <c r="E49" s="430" t="str">
        <f>"SG " &amp; H46</f>
        <v>SG 2</v>
      </c>
      <c r="F49" s="430">
        <v>0</v>
      </c>
      <c r="G49" s="263" t="s">
        <v>548</v>
      </c>
      <c r="H49" s="220"/>
      <c r="I49" s="258"/>
      <c r="J49" s="248" t="str">
        <f>IF(C49&gt;0,"",($D$44))</f>
        <v/>
      </c>
      <c r="K49" s="248"/>
      <c r="L49" s="257" t="str">
        <f>IF($C$3&gt;0,"",IF(C49&gt;0,"",IF(($J$44)&gt;1,I49,LegendSG2RGT)))</f>
        <v/>
      </c>
      <c r="M49" s="248" t="str">
        <f>IF(C49&gt;0,"",DT49)</f>
        <v/>
      </c>
      <c r="N49" s="248"/>
      <c r="O49" s="248"/>
      <c r="P49" s="220"/>
      <c r="Q49" s="248"/>
      <c r="R49" s="220" t="str">
        <f>IF($C$3&gt;0,IF(S49=0,"",U49/(S49*60*0.13368)),"")</f>
        <v/>
      </c>
      <c r="S49" s="220"/>
      <c r="T49" s="250"/>
      <c r="U49" s="248"/>
      <c r="V49" s="257"/>
      <c r="W49" s="247"/>
      <c r="X49" s="312"/>
      <c r="Y49" s="246"/>
      <c r="Z49" s="218"/>
      <c r="AA49" s="250"/>
      <c r="AB49" s="219"/>
      <c r="AC49" s="220"/>
      <c r="AD49" s="219"/>
      <c r="AE49" s="218"/>
      <c r="AF49" s="245"/>
      <c r="AG49" s="245"/>
      <c r="AH49" s="298"/>
      <c r="AI49" s="253"/>
      <c r="AJ49" s="252"/>
      <c r="AK49" s="218"/>
      <c r="AL49" s="220"/>
      <c r="AM49" s="219"/>
      <c r="AN49" s="218"/>
      <c r="AO49" s="245"/>
      <c r="AP49" s="245"/>
      <c r="AQ49" s="251"/>
      <c r="AR49" s="219"/>
      <c r="AS49" s="248"/>
      <c r="AT49" s="245"/>
      <c r="AU49" s="245"/>
      <c r="AV49" s="251"/>
      <c r="AW49" s="219"/>
      <c r="AX49" s="247"/>
      <c r="AY49" s="248"/>
      <c r="AZ49" s="438"/>
      <c r="BA49" s="246"/>
      <c r="BB49" s="218"/>
      <c r="BC49" s="250"/>
      <c r="BD49" s="219"/>
      <c r="BE49" s="220"/>
      <c r="BF49" s="219"/>
      <c r="BG49" s="218"/>
      <c r="BH49" s="245"/>
      <c r="BI49" s="245"/>
      <c r="BJ49" s="243"/>
      <c r="BK49" s="312"/>
      <c r="BL49" s="248"/>
      <c r="BM49" s="248"/>
      <c r="BN49" s="248"/>
      <c r="BO49" s="220"/>
      <c r="BP49" s="247"/>
      <c r="BQ49" s="287"/>
      <c r="BR49" s="246"/>
      <c r="BS49" s="220"/>
      <c r="BT49" s="220"/>
      <c r="BU49" s="220"/>
      <c r="BV49" s="219"/>
      <c r="BW49" s="218"/>
      <c r="BX49" s="245"/>
      <c r="BY49" s="245"/>
      <c r="BZ49" s="243"/>
      <c r="CA49" s="314" t="s">
        <v>547</v>
      </c>
      <c r="CC49" s="313">
        <v>0</v>
      </c>
      <c r="CD49" s="318"/>
      <c r="CE49" s="242"/>
      <c r="CF49" s="241"/>
      <c r="CH49" s="213">
        <f>IF(OR(AB49&lt;($AB$44),AB49&gt;($AC$44)),1,0)</f>
        <v>1</v>
      </c>
      <c r="CI49" s="213">
        <f>IF(OR(BD49&lt;($BD$44),BD49&gt;($BE$44)),1,0)</f>
        <v>1</v>
      </c>
      <c r="CJ49" s="213">
        <f>IF(BN49&lt;($F$44),1,0)</f>
        <v>0</v>
      </c>
      <c r="CK49" s="213">
        <f>IF(AND((LEFT('Legend(DX)'!$U$1,1)="C"),BN49&gt;$F$44),0,IF(BO49&lt;($E$44),1,0))</f>
        <v>0</v>
      </c>
      <c r="CL49" s="213">
        <f>IF(AND((LEFT('Legend(DX)'!$U$1,1)="C"),BN49&gt;$F$44),0,IF(BP49&lt;($D$44),1,0))</f>
        <v>0</v>
      </c>
      <c r="CM49" s="213">
        <f>IF(BS49&gt;($BS$44),1,0)</f>
        <v>0</v>
      </c>
      <c r="CN49" s="213">
        <f>IF(BU49&gt;($BT$44),1,0)</f>
        <v>0</v>
      </c>
      <c r="CO49" s="213">
        <f>SUM(CH49:CN49)</f>
        <v>2</v>
      </c>
      <c r="CQ49" s="304" t="s">
        <v>171</v>
      </c>
      <c r="CR49" s="213">
        <f t="shared" ref="CR49:DC49" si="11">IF($W49="Single",IF($AG49="",IF($AF49=CR$8,$X49,0),IF($AG49=CR$8,$X49,0)),0)</f>
        <v>0</v>
      </c>
      <c r="CS49" s="213">
        <f t="shared" si="11"/>
        <v>0</v>
      </c>
      <c r="CT49" s="213">
        <f t="shared" si="11"/>
        <v>0</v>
      </c>
      <c r="CU49" s="213">
        <f t="shared" si="11"/>
        <v>0</v>
      </c>
      <c r="CV49" s="213">
        <f t="shared" si="11"/>
        <v>0</v>
      </c>
      <c r="CW49" s="213">
        <f t="shared" si="11"/>
        <v>0</v>
      </c>
      <c r="CX49" s="213">
        <f t="shared" si="11"/>
        <v>0</v>
      </c>
      <c r="CY49" s="213">
        <f t="shared" si="11"/>
        <v>0</v>
      </c>
      <c r="CZ49" s="213">
        <f t="shared" si="11"/>
        <v>0</v>
      </c>
      <c r="DA49" s="213">
        <f t="shared" si="11"/>
        <v>0</v>
      </c>
      <c r="DB49" s="213">
        <f t="shared" si="11"/>
        <v>0</v>
      </c>
      <c r="DC49" s="213">
        <f t="shared" si="11"/>
        <v>0</v>
      </c>
      <c r="DE49" s="304" t="str">
        <f>IF(AG49="",IF(X49=0,TEXT(AF49,"# 0/0")&amp;"*",TEXT(AF49,"# 0/0")),IF(X49=0,TEXT(AG49,"# 0/0")&amp;"*",TEXT(AG49,"# 0/0")))</f>
        <v>0/1*</v>
      </c>
      <c r="DF49" s="25" t="str">
        <f>IF(AP49="",IF(X49=0,TEXT(AO49,"# 0/0")&amp;"*",TEXT(AO49,"# 0/0")),IF(X49=0,TEXT(AP49,"# 0/0")&amp;"*",TEXT(AP49,"# 0/0")))</f>
        <v>0/1*</v>
      </c>
      <c r="DG49" s="25" t="str">
        <f>IF(AU49="",IF(X49=0,TEXT(AT49,"# 0/0")&amp;"*",TEXT(AT49,"# 0/0")),IF(X49=0,TEXT(AU49,"# 0/0")&amp;"*",TEXT(AU49,"# 0/0")))</f>
        <v>0/1*</v>
      </c>
      <c r="DH49" s="329" t="s">
        <v>1618</v>
      </c>
      <c r="DI49" s="310">
        <f>IF($BI49="",$BH49,$BI49)</f>
        <v>0</v>
      </c>
      <c r="DJ49" s="1620"/>
      <c r="DK49" s="440" t="str">
        <f>IF(W49="Double",DF49 &amp; " &amp; " &amp; DG49,DE49)</f>
        <v>0/1*</v>
      </c>
      <c r="DL49" s="1619"/>
      <c r="DM49" s="310">
        <f>IF($BY49="",IF($C$3&gt;0,$BX49-0.125,$BX49),IF($C$3&gt;0,$BY49-0.125,$BY49))</f>
        <v>0</v>
      </c>
      <c r="DN49" s="1620"/>
      <c r="DO49" s="310">
        <f>IF($C$3&gt;0,2*$BQ49,$BQ49)</f>
        <v>0</v>
      </c>
      <c r="DR49" s="1253" t="str">
        <f>J49</f>
        <v/>
      </c>
      <c r="DS49" s="1253" t="str">
        <f>IF(C49&gt;0,"",(Pressure($B$3,"Tliq","e",$J49)+Pressure($B$3,"Tvap","e",$J49))/2)</f>
        <v/>
      </c>
      <c r="DT49" s="1253" t="str">
        <f>IF(C49&gt;0,"",Pressure($B$3,"tvap","e",$J49+0.5*$DZ49))</f>
        <v/>
      </c>
      <c r="DU49" s="1253">
        <f>I49</f>
        <v>0</v>
      </c>
      <c r="DV49" s="1253" t="str">
        <f>IF(C49&gt;0,"",(Pressure($B$3,"Tliq","e",$I49)+Pressure($B$3,"Tvap","e",$I49))/2)</f>
        <v/>
      </c>
      <c r="DW49" s="1253" t="str">
        <f>IF(C49&gt;0,"",Pressure($B$3,"tvap","e",$I49+0.5*$DZ49))</f>
        <v/>
      </c>
      <c r="DX49" s="1260" t="str">
        <f>IF(C49&gt;0,"",1-(Enthalpy($B$3,"pvap","e",$DV49)-(IF($G$4+0.5*($DR$44)&gt;($H$44),Enthalpy($B$3,"Tliq","e",($G$44)),Enthalpy($B$3,"tp","e",($G$44),($I$44)))))/(Enthalpy($B$3,"pvap","e",$DV49)-Enthalpy($B$3,"pliq","e",$DV49)))</f>
        <v/>
      </c>
      <c r="DY49" s="1253" t="str">
        <f>IF(C49&gt;0,"",TEMPERATURE($B$3,"pvap","e",$DS49)-TEMPERATURE($B$3,"pliq","e",$DS49))</f>
        <v/>
      </c>
      <c r="DZ49" s="1253" t="e">
        <f>(1-$DX49)*$DY49</f>
        <v>#VALUE!</v>
      </c>
      <c r="EA49" s="1261"/>
      <c r="EB49" s="1262" t="e">
        <f>T49/AA49</f>
        <v>#DIV/0!</v>
      </c>
      <c r="EC49" s="1260" t="e">
        <f>1/(((1/($J$44))/Z49)+((1-(1/($J$44)))/S49))</f>
        <v>#VALUE!</v>
      </c>
      <c r="ED49" s="1263">
        <f>SQRT(AH49*4/PI())</f>
        <v>0</v>
      </c>
      <c r="EE49" s="1262" t="e">
        <f>(((U49/AH49)^2)*ED49)*(1/3600)*(1/3600)/(EC49*SurfaceTension($B$3,"TLIQ","E",I49))/32.174</f>
        <v>#DIV/0!</v>
      </c>
      <c r="EF49" s="1260" t="e">
        <f>((S49/Z49)^0.91)*((AA49/T49)^0.19)*((1-(AA49/T49))^0.7)</f>
        <v>#DIV/0!</v>
      </c>
      <c r="EG49" s="1264" t="e">
        <f>((1/($J$44))^0.78)*((1-(1/($J$44)))^0.224)</f>
        <v>#VALUE!</v>
      </c>
      <c r="EH49" s="1260" t="e">
        <f>(1-(1/($J$44)))^2+(((1/($J$44))^2)*S49*AE49/(Z49*EM49))</f>
        <v>#VALUE!</v>
      </c>
      <c r="EI49" s="1262" t="e">
        <f>((U49/AH49)^2)*(1/3600)*(1/3600)/(32.174*ED49*(EC49^2))</f>
        <v>#DIV/0!</v>
      </c>
      <c r="EJ49" s="1253" t="e">
        <f>EH49+(3.24*EG49*EF49/((EI49^0.045)*(EE49^0.035)))</f>
        <v>#VALUE!</v>
      </c>
      <c r="EK49" s="1260" t="e">
        <f>vel(U49,S49,AH49)</f>
        <v>#VALUE!</v>
      </c>
      <c r="EL49" s="1262" t="e">
        <f>(((EK49/60)*S49)/T49)*((VLOOKUP(IF(AG49="",AF49,AG49),'Pipe Data'!F$7:G$19,2,FALSE))/12)</f>
        <v>#VALUE!</v>
      </c>
      <c r="EM49" s="1264" t="e">
        <f>(0.25/(LOG(5.74/(EL49^0.9))+((VLOOKUP(IF(AG49="",AF49,AG49),'Pipe Data'!J$7:X$19,15,FALSE))/3.7))^2)</f>
        <v>#VALUE!</v>
      </c>
      <c r="EN49" s="1264" t="e">
        <f>pdrop(EM49,Y49,S49,EK49,IF(AG49="",AF49,AG49))</f>
        <v>#VALUE!</v>
      </c>
      <c r="EO49" s="1260" t="e">
        <f>EN49*EJ49</f>
        <v>#VALUE!</v>
      </c>
      <c r="EP49" s="1261"/>
      <c r="EQ49" s="1263">
        <f>SQRT(BJ49*4/PI())</f>
        <v>0</v>
      </c>
      <c r="ER49" s="1262" t="e">
        <f>(((U49/BJ49)^2)*EQ49)*(1/3600)*(1/3600)/(EC49*SurfaceTension($B$3,"TLIQ","E",I49))/32.174</f>
        <v>#DIV/0!</v>
      </c>
      <c r="ES49" s="1260" t="e">
        <f>(1-(1/($J$44)))^2+(((1/($J$44))^2)*S49*BG49/(Z49*EM49))</f>
        <v>#VALUE!</v>
      </c>
      <c r="ET49" s="1253" t="e">
        <f>((U49/BJ49)^2)*(1/3600)*(1/3600)/(32.174*EQ49*(EC49^2))</f>
        <v>#DIV/0!</v>
      </c>
      <c r="EU49" s="1260" t="e">
        <f>ES49+(3.24*EG49*EF49/((ET49^0.045)*(ER49^0.035)))</f>
        <v>#VALUE!</v>
      </c>
      <c r="EV49" s="1260" t="e">
        <f>vel(U49,S49,BJ49)</f>
        <v>#VALUE!</v>
      </c>
      <c r="EW49" s="1262" t="e">
        <f>(((EV49/60)*S49)/T49)*((VLOOKUP(IF(BI49="",BH49,BI49),'Pipe Data'!F$7:G$19,2,FALSE))/12)</f>
        <v>#VALUE!</v>
      </c>
      <c r="EX49" s="1264" t="e">
        <f>(0.25/(LOG(5.74/(EW49^0.9))+((VLOOKUP(IF(BI49="",BH49,BI49),'Pipe Data'!J$7:X$19,15,FALSE))/3.7))^2)</f>
        <v>#VALUE!</v>
      </c>
      <c r="EY49" s="1260" t="e">
        <f>pdrop(EX49,BA49,S49,EV49,IF(BI49="",BH49,BI49))</f>
        <v>#VALUE!</v>
      </c>
      <c r="EZ49" s="1260" t="e">
        <f>EY49*EU49</f>
        <v>#VALUE!</v>
      </c>
    </row>
    <row r="50" spans="1:163" ht="12.75" hidden="1" customHeight="1" x14ac:dyDescent="0.2">
      <c r="A50" s="240"/>
      <c r="B50" s="240"/>
      <c r="C50" s="240"/>
      <c r="D50" s="236"/>
      <c r="E50" s="235"/>
      <c r="F50" s="234"/>
      <c r="G50" s="234"/>
      <c r="H50" s="223"/>
      <c r="I50" s="224"/>
      <c r="J50" s="224"/>
      <c r="K50" s="224"/>
      <c r="L50" s="221"/>
      <c r="M50" s="223"/>
      <c r="N50" s="223"/>
      <c r="O50" s="223"/>
      <c r="P50" s="223"/>
      <c r="Q50" s="224"/>
      <c r="R50" s="223"/>
      <c r="S50" s="223"/>
      <c r="T50" s="227"/>
      <c r="U50" s="224"/>
      <c r="V50" s="224"/>
      <c r="W50" s="222"/>
      <c r="X50" s="229"/>
      <c r="Y50" s="221"/>
      <c r="Z50" s="221"/>
      <c r="AA50" s="221"/>
      <c r="AB50" s="221"/>
      <c r="AC50" s="221"/>
      <c r="AD50" s="221"/>
      <c r="AE50" s="221"/>
      <c r="AF50" s="221"/>
      <c r="AG50" s="221"/>
      <c r="AH50" s="226"/>
      <c r="AI50" s="239"/>
      <c r="AJ50" s="238"/>
      <c r="AK50" s="228"/>
      <c r="AL50" s="223"/>
      <c r="AM50" s="230"/>
      <c r="AN50" s="228"/>
      <c r="AO50" s="232"/>
      <c r="AQ50" s="231"/>
      <c r="AR50" s="230"/>
      <c r="AS50" s="224"/>
      <c r="AT50" s="232"/>
      <c r="AV50" s="231"/>
      <c r="AW50" s="230"/>
      <c r="AX50" s="222"/>
      <c r="AY50" s="224"/>
      <c r="AZ50" s="229"/>
      <c r="BA50" s="221"/>
      <c r="BB50" s="228"/>
      <c r="BC50" s="227"/>
      <c r="BD50" s="227"/>
      <c r="BE50" s="227"/>
      <c r="BF50" s="227"/>
      <c r="BG50" s="227"/>
      <c r="BH50" s="227"/>
      <c r="BI50" s="227"/>
      <c r="BJ50" s="315"/>
      <c r="BK50" s="225"/>
      <c r="BL50" s="224"/>
      <c r="BM50" s="224"/>
      <c r="BN50" s="224"/>
      <c r="BO50" s="223"/>
      <c r="BP50" s="222"/>
      <c r="BQ50" s="229"/>
      <c r="BR50" s="221"/>
      <c r="BS50" s="221"/>
      <c r="BT50" s="221"/>
      <c r="BU50" s="221"/>
      <c r="BV50" s="221"/>
      <c r="BW50" s="221"/>
      <c r="BX50" s="221"/>
      <c r="BY50" s="221"/>
      <c r="BZ50" s="226"/>
      <c r="CA50" s="229"/>
      <c r="CC50" s="313"/>
      <c r="CD50" s="317"/>
      <c r="CE50" s="215"/>
      <c r="CF50" s="214"/>
      <c r="CQ50" s="304" t="s">
        <v>154</v>
      </c>
      <c r="CR50" s="213">
        <f t="shared" ref="CR50:DC50" si="12">IF($BI49="",IF($BH49=CR$8,$AZ49,0),IF($BI49=CR$8,$AZ49,0))</f>
        <v>0</v>
      </c>
      <c r="CS50" s="213">
        <f t="shared" si="12"/>
        <v>0</v>
      </c>
      <c r="CT50" s="213">
        <f t="shared" si="12"/>
        <v>0</v>
      </c>
      <c r="CU50" s="213">
        <f t="shared" si="12"/>
        <v>0</v>
      </c>
      <c r="CV50" s="213">
        <f t="shared" si="12"/>
        <v>0</v>
      </c>
      <c r="CW50" s="213">
        <f t="shared" si="12"/>
        <v>0</v>
      </c>
      <c r="CX50" s="213">
        <f t="shared" si="12"/>
        <v>0</v>
      </c>
      <c r="CY50" s="213">
        <f t="shared" si="12"/>
        <v>0</v>
      </c>
      <c r="CZ50" s="213">
        <f t="shared" si="12"/>
        <v>0</v>
      </c>
      <c r="DA50" s="213">
        <f t="shared" si="12"/>
        <v>0</v>
      </c>
      <c r="DB50" s="213">
        <f t="shared" si="12"/>
        <v>0</v>
      </c>
      <c r="DC50" s="213">
        <f t="shared" si="12"/>
        <v>0</v>
      </c>
      <c r="DJ50" s="1620"/>
      <c r="DK50" s="440"/>
      <c r="DL50" s="1619"/>
      <c r="DN50" s="1620"/>
      <c r="DR50" s="1231"/>
      <c r="DS50" s="1231"/>
      <c r="DT50" s="1231"/>
      <c r="DU50" s="1231"/>
      <c r="DV50" s="1231"/>
      <c r="DW50" s="1231"/>
      <c r="DX50" s="444"/>
      <c r="DY50" s="1231"/>
      <c r="DZ50" s="1231"/>
      <c r="EA50" s="213"/>
      <c r="EB50" s="213"/>
      <c r="EC50" s="213"/>
      <c r="ED50" s="213"/>
      <c r="EE50" s="213"/>
      <c r="EF50" s="213"/>
      <c r="EG50" s="213"/>
      <c r="EH50" s="213"/>
      <c r="EI50" s="213"/>
      <c r="EJ50" s="213"/>
      <c r="EK50" s="213"/>
      <c r="EL50" s="213"/>
      <c r="EM50" s="213"/>
      <c r="EN50" s="213"/>
      <c r="EO50" s="213"/>
      <c r="EP50" s="213"/>
      <c r="EQ50" s="213"/>
      <c r="ER50" s="213"/>
      <c r="ES50" s="213"/>
      <c r="ET50" s="213"/>
      <c r="EU50" s="213"/>
      <c r="EV50" s="213"/>
      <c r="EW50" s="213"/>
      <c r="EX50" s="213"/>
      <c r="EY50" s="213"/>
      <c r="EZ50" s="213"/>
    </row>
    <row r="51" spans="1:163" ht="12.75" hidden="1" customHeight="1" x14ac:dyDescent="0.2">
      <c r="A51" s="240"/>
      <c r="B51" s="240"/>
      <c r="C51" s="240"/>
      <c r="D51" s="236"/>
      <c r="E51" s="235"/>
      <c r="F51" s="234"/>
      <c r="G51" s="234"/>
      <c r="H51" s="223"/>
      <c r="I51" s="224"/>
      <c r="J51" s="224"/>
      <c r="K51" s="224"/>
      <c r="L51" s="221"/>
      <c r="M51" s="223"/>
      <c r="N51" s="223"/>
      <c r="O51" s="223"/>
      <c r="P51" s="223"/>
      <c r="Q51" s="224"/>
      <c r="R51" s="223"/>
      <c r="S51" s="223"/>
      <c r="T51" s="227"/>
      <c r="U51" s="224"/>
      <c r="V51" s="224"/>
      <c r="W51" s="222"/>
      <c r="X51" s="229"/>
      <c r="Y51" s="221"/>
      <c r="Z51" s="221"/>
      <c r="AA51" s="221"/>
      <c r="AB51" s="221"/>
      <c r="AC51" s="221"/>
      <c r="AD51" s="221"/>
      <c r="AE51" s="221"/>
      <c r="AF51" s="221"/>
      <c r="AG51" s="221"/>
      <c r="AH51" s="226"/>
      <c r="AI51" s="239"/>
      <c r="AJ51" s="238"/>
      <c r="AK51" s="228"/>
      <c r="AL51" s="223"/>
      <c r="AM51" s="230"/>
      <c r="AN51" s="228"/>
      <c r="AO51" s="232"/>
      <c r="AQ51" s="231"/>
      <c r="AR51" s="230"/>
      <c r="AS51" s="224"/>
      <c r="AT51" s="232"/>
      <c r="AV51" s="231"/>
      <c r="AW51" s="230"/>
      <c r="AX51" s="222"/>
      <c r="AY51" s="224"/>
      <c r="AZ51" s="229"/>
      <c r="BA51" s="221"/>
      <c r="BB51" s="228"/>
      <c r="BC51" s="227"/>
      <c r="BD51" s="227"/>
      <c r="BE51" s="227"/>
      <c r="BF51" s="227"/>
      <c r="BG51" s="227"/>
      <c r="BH51" s="227"/>
      <c r="BI51" s="227"/>
      <c r="BJ51" s="315"/>
      <c r="BK51" s="225"/>
      <c r="BL51" s="224"/>
      <c r="BM51" s="224"/>
      <c r="BN51" s="224"/>
      <c r="BO51" s="223"/>
      <c r="BP51" s="222"/>
      <c r="BQ51" s="229"/>
      <c r="BR51" s="221"/>
      <c r="BS51" s="221"/>
      <c r="BT51" s="221"/>
      <c r="BU51" s="221"/>
      <c r="BV51" s="221"/>
      <c r="BW51" s="221"/>
      <c r="BX51" s="221"/>
      <c r="BY51" s="221"/>
      <c r="BZ51" s="226"/>
      <c r="CA51" s="229"/>
      <c r="CC51" s="313"/>
      <c r="CD51" s="317"/>
      <c r="CE51" s="215"/>
      <c r="CF51" s="214"/>
      <c r="CQ51" s="304" t="s">
        <v>155</v>
      </c>
      <c r="CR51" s="213">
        <f t="shared" ref="CR51:DC51" si="13">IF($BY49="",IF($BX49=CR$8,$BQ49,0),IF($BY49=CR$8,$BQ49,0))</f>
        <v>0</v>
      </c>
      <c r="CS51" s="213">
        <f t="shared" si="13"/>
        <v>0</v>
      </c>
      <c r="CT51" s="213">
        <f t="shared" si="13"/>
        <v>0</v>
      </c>
      <c r="CU51" s="213">
        <f t="shared" si="13"/>
        <v>0</v>
      </c>
      <c r="CV51" s="213">
        <f t="shared" si="13"/>
        <v>0</v>
      </c>
      <c r="CW51" s="213">
        <f t="shared" si="13"/>
        <v>0</v>
      </c>
      <c r="CX51" s="213">
        <f t="shared" si="13"/>
        <v>0</v>
      </c>
      <c r="CY51" s="213">
        <f t="shared" si="13"/>
        <v>0</v>
      </c>
      <c r="CZ51" s="213">
        <f t="shared" si="13"/>
        <v>0</v>
      </c>
      <c r="DA51" s="213">
        <f t="shared" si="13"/>
        <v>0</v>
      </c>
      <c r="DB51" s="213">
        <f t="shared" si="13"/>
        <v>0</v>
      </c>
      <c r="DC51" s="213">
        <f t="shared" si="13"/>
        <v>0</v>
      </c>
      <c r="DJ51" s="1620"/>
      <c r="DK51" s="440"/>
      <c r="DL51" s="1619"/>
      <c r="DN51" s="1620"/>
      <c r="DR51" s="1231"/>
      <c r="DS51" s="1231"/>
      <c r="DT51" s="1231"/>
      <c r="DU51" s="1231"/>
      <c r="DV51" s="1231"/>
      <c r="DW51" s="1231"/>
      <c r="DX51" s="444"/>
      <c r="DY51" s="1231"/>
      <c r="DZ51" s="1231"/>
      <c r="EA51" s="213"/>
      <c r="EB51" s="213"/>
      <c r="EC51" s="213"/>
      <c r="ED51" s="213"/>
      <c r="EE51" s="213"/>
      <c r="EF51" s="213"/>
      <c r="EG51" s="213"/>
      <c r="EH51" s="213"/>
      <c r="EI51" s="213"/>
      <c r="EJ51" s="213"/>
      <c r="EK51" s="213"/>
      <c r="EL51" s="213"/>
      <c r="EM51" s="213"/>
      <c r="EN51" s="213"/>
      <c r="EO51" s="213"/>
      <c r="EP51" s="213"/>
      <c r="EQ51" s="213"/>
      <c r="ER51" s="213"/>
      <c r="ES51" s="213"/>
      <c r="ET51" s="213"/>
      <c r="EU51" s="213"/>
      <c r="EV51" s="213"/>
      <c r="EW51" s="213"/>
      <c r="EX51" s="213"/>
      <c r="EY51" s="213"/>
      <c r="EZ51" s="213"/>
    </row>
    <row r="52" spans="1:163" ht="12.75" hidden="1" customHeight="1" x14ac:dyDescent="0.2">
      <c r="A52" s="240"/>
      <c r="B52" s="240"/>
      <c r="C52" s="240"/>
      <c r="D52" s="236"/>
      <c r="E52" s="235"/>
      <c r="F52" s="234"/>
      <c r="G52" s="234"/>
      <c r="H52" s="223"/>
      <c r="I52" s="224"/>
      <c r="J52" s="224"/>
      <c r="K52" s="224"/>
      <c r="L52" s="221"/>
      <c r="M52" s="223"/>
      <c r="N52" s="223"/>
      <c r="O52" s="223"/>
      <c r="P52" s="223"/>
      <c r="Q52" s="224"/>
      <c r="R52" s="223"/>
      <c r="S52" s="223"/>
      <c r="T52" s="227"/>
      <c r="U52" s="224"/>
      <c r="V52" s="224"/>
      <c r="W52" s="222"/>
      <c r="X52" s="229"/>
      <c r="Y52" s="221"/>
      <c r="Z52" s="221"/>
      <c r="AA52" s="221"/>
      <c r="AB52" s="221"/>
      <c r="AC52" s="221"/>
      <c r="AD52" s="221"/>
      <c r="AE52" s="221"/>
      <c r="AF52" s="221"/>
      <c r="AG52" s="221"/>
      <c r="AH52" s="226"/>
      <c r="AI52" s="239"/>
      <c r="AJ52" s="238"/>
      <c r="AK52" s="228"/>
      <c r="AL52" s="223"/>
      <c r="AM52" s="230"/>
      <c r="AN52" s="228"/>
      <c r="AO52" s="232"/>
      <c r="AQ52" s="231"/>
      <c r="AR52" s="230"/>
      <c r="AS52" s="224"/>
      <c r="AT52" s="232"/>
      <c r="AV52" s="231"/>
      <c r="AW52" s="230"/>
      <c r="AX52" s="222"/>
      <c r="AY52" s="224"/>
      <c r="AZ52" s="229"/>
      <c r="BA52" s="221"/>
      <c r="BB52" s="228"/>
      <c r="BC52" s="227"/>
      <c r="BD52" s="227"/>
      <c r="BE52" s="227"/>
      <c r="BF52" s="227"/>
      <c r="BG52" s="227"/>
      <c r="BH52" s="227"/>
      <c r="BI52" s="227"/>
      <c r="BJ52" s="315"/>
      <c r="BK52" s="225"/>
      <c r="BL52" s="224"/>
      <c r="BM52" s="224"/>
      <c r="BN52" s="224"/>
      <c r="BO52" s="223"/>
      <c r="BP52" s="222"/>
      <c r="BQ52" s="229"/>
      <c r="BR52" s="221"/>
      <c r="BS52" s="221"/>
      <c r="BT52" s="221"/>
      <c r="BU52" s="221"/>
      <c r="BV52" s="221"/>
      <c r="BW52" s="221"/>
      <c r="BX52" s="221"/>
      <c r="BY52" s="221"/>
      <c r="BZ52" s="226"/>
      <c r="CA52" s="229"/>
      <c r="CC52" s="313"/>
      <c r="CD52" s="317"/>
      <c r="CE52" s="215"/>
      <c r="CF52" s="214"/>
      <c r="CQ52" s="25" t="s">
        <v>172</v>
      </c>
      <c r="CR52" s="213">
        <f t="shared" ref="CR52:DC52" si="14">IF($W49="double",IF($AP49="",IF($AO49=CR$8,$X49,0),IF($AP49=CR$8,$X49,0)),0)</f>
        <v>0</v>
      </c>
      <c r="CS52" s="213">
        <f t="shared" si="14"/>
        <v>0</v>
      </c>
      <c r="CT52" s="213">
        <f t="shared" si="14"/>
        <v>0</v>
      </c>
      <c r="CU52" s="213">
        <f t="shared" si="14"/>
        <v>0</v>
      </c>
      <c r="CV52" s="213">
        <f t="shared" si="14"/>
        <v>0</v>
      </c>
      <c r="CW52" s="213">
        <f t="shared" si="14"/>
        <v>0</v>
      </c>
      <c r="CX52" s="213">
        <f t="shared" si="14"/>
        <v>0</v>
      </c>
      <c r="CY52" s="213">
        <f t="shared" si="14"/>
        <v>0</v>
      </c>
      <c r="CZ52" s="213">
        <f t="shared" si="14"/>
        <v>0</v>
      </c>
      <c r="DA52" s="213">
        <f t="shared" si="14"/>
        <v>0</v>
      </c>
      <c r="DB52" s="213">
        <f t="shared" si="14"/>
        <v>0</v>
      </c>
      <c r="DC52" s="213">
        <f t="shared" si="14"/>
        <v>0</v>
      </c>
      <c r="DJ52" s="1620"/>
      <c r="DK52" s="440"/>
      <c r="DL52" s="1619"/>
      <c r="DN52" s="1620"/>
      <c r="DR52" s="1231"/>
      <c r="DS52" s="1231"/>
      <c r="DT52" s="1231"/>
      <c r="DU52" s="1231"/>
      <c r="DV52" s="1231"/>
      <c r="DW52" s="1231"/>
      <c r="DX52" s="444"/>
      <c r="DY52" s="1231"/>
      <c r="DZ52" s="1231"/>
      <c r="EA52" s="213"/>
      <c r="EB52" s="213"/>
      <c r="EC52" s="213"/>
      <c r="ED52" s="213"/>
      <c r="EE52" s="213"/>
      <c r="EF52" s="213"/>
      <c r="EG52" s="213"/>
      <c r="EH52" s="213"/>
      <c r="EI52" s="213"/>
      <c r="EJ52" s="213"/>
      <c r="EK52" s="213"/>
      <c r="EL52" s="213"/>
      <c r="EM52" s="213"/>
      <c r="EN52" s="213"/>
      <c r="EO52" s="213"/>
      <c r="EP52" s="213"/>
      <c r="EQ52" s="213"/>
      <c r="ER52" s="213"/>
      <c r="ES52" s="213"/>
      <c r="ET52" s="213"/>
      <c r="EU52" s="213"/>
      <c r="EV52" s="213"/>
      <c r="EW52" s="213"/>
      <c r="EX52" s="213"/>
      <c r="EY52" s="213"/>
      <c r="EZ52" s="213"/>
    </row>
    <row r="53" spans="1:163" ht="12.75" hidden="1" customHeight="1" x14ac:dyDescent="0.2">
      <c r="A53" s="240"/>
      <c r="B53" s="240"/>
      <c r="C53" s="240"/>
      <c r="D53" s="236"/>
      <c r="E53" s="235"/>
      <c r="F53" s="234"/>
      <c r="G53" s="234"/>
      <c r="H53" s="223"/>
      <c r="I53" s="224"/>
      <c r="J53" s="224"/>
      <c r="K53" s="224"/>
      <c r="L53" s="221"/>
      <c r="M53" s="223"/>
      <c r="N53" s="223"/>
      <c r="O53" s="223"/>
      <c r="P53" s="223"/>
      <c r="Q53" s="224"/>
      <c r="R53" s="223"/>
      <c r="S53" s="223"/>
      <c r="T53" s="227"/>
      <c r="U53" s="224"/>
      <c r="V53" s="224"/>
      <c r="W53" s="222"/>
      <c r="X53" s="229"/>
      <c r="Y53" s="221"/>
      <c r="Z53" s="221"/>
      <c r="AA53" s="221"/>
      <c r="AB53" s="221"/>
      <c r="AC53" s="221"/>
      <c r="AD53" s="221"/>
      <c r="AE53" s="221"/>
      <c r="AF53" s="221"/>
      <c r="AG53" s="221"/>
      <c r="AH53" s="226"/>
      <c r="AI53" s="239"/>
      <c r="AJ53" s="238"/>
      <c r="AK53" s="228"/>
      <c r="AL53" s="223"/>
      <c r="AM53" s="230"/>
      <c r="AN53" s="228"/>
      <c r="AO53" s="232"/>
      <c r="AQ53" s="231"/>
      <c r="AR53" s="230"/>
      <c r="AS53" s="224"/>
      <c r="AT53" s="232"/>
      <c r="AV53" s="231"/>
      <c r="AW53" s="230"/>
      <c r="AX53" s="222"/>
      <c r="AY53" s="224"/>
      <c r="AZ53" s="229"/>
      <c r="BA53" s="221"/>
      <c r="BB53" s="228"/>
      <c r="BC53" s="227"/>
      <c r="BD53" s="227"/>
      <c r="BE53" s="227"/>
      <c r="BF53" s="227"/>
      <c r="BG53" s="227"/>
      <c r="BH53" s="227"/>
      <c r="BI53" s="227"/>
      <c r="BJ53" s="315"/>
      <c r="BK53" s="225"/>
      <c r="BL53" s="224"/>
      <c r="BM53" s="224"/>
      <c r="BN53" s="224"/>
      <c r="BO53" s="223"/>
      <c r="BP53" s="222"/>
      <c r="BQ53" s="229"/>
      <c r="BR53" s="221"/>
      <c r="BS53" s="221"/>
      <c r="BT53" s="221"/>
      <c r="BU53" s="221"/>
      <c r="BV53" s="221"/>
      <c r="BW53" s="221"/>
      <c r="BX53" s="221"/>
      <c r="BY53" s="221"/>
      <c r="BZ53" s="226"/>
      <c r="CA53" s="229"/>
      <c r="CC53" s="313"/>
      <c r="CD53" s="317"/>
      <c r="CE53" s="215"/>
      <c r="CF53" s="214"/>
      <c r="CQ53" s="25" t="s">
        <v>173</v>
      </c>
      <c r="CR53" s="213">
        <f t="shared" ref="CR53:DC53" si="15">IF($W49="double",IF($AU49="",IF($AT49=CR$8,$X49,0),IF($AU49=CR$8,$X49,0)),0)</f>
        <v>0</v>
      </c>
      <c r="CS53" s="213">
        <f t="shared" si="15"/>
        <v>0</v>
      </c>
      <c r="CT53" s="213">
        <f t="shared" si="15"/>
        <v>0</v>
      </c>
      <c r="CU53" s="213">
        <f t="shared" si="15"/>
        <v>0</v>
      </c>
      <c r="CV53" s="213">
        <f t="shared" si="15"/>
        <v>0</v>
      </c>
      <c r="CW53" s="213">
        <f t="shared" si="15"/>
        <v>0</v>
      </c>
      <c r="CX53" s="213">
        <f t="shared" si="15"/>
        <v>0</v>
      </c>
      <c r="CY53" s="213">
        <f t="shared" si="15"/>
        <v>0</v>
      </c>
      <c r="CZ53" s="213">
        <f t="shared" si="15"/>
        <v>0</v>
      </c>
      <c r="DA53" s="213">
        <f t="shared" si="15"/>
        <v>0</v>
      </c>
      <c r="DB53" s="213">
        <f t="shared" si="15"/>
        <v>0</v>
      </c>
      <c r="DC53" s="213">
        <f t="shared" si="15"/>
        <v>0</v>
      </c>
      <c r="DJ53" s="1620"/>
      <c r="DK53" s="440"/>
      <c r="DL53" s="1619"/>
      <c r="DN53" s="1620"/>
      <c r="DR53" s="1231"/>
      <c r="DS53" s="1231"/>
      <c r="DT53" s="1231"/>
      <c r="DU53" s="1231"/>
      <c r="DV53" s="1231"/>
      <c r="DW53" s="1231"/>
      <c r="DX53" s="444"/>
      <c r="DY53" s="1231"/>
      <c r="DZ53" s="1231"/>
      <c r="EA53" s="213"/>
      <c r="EB53" s="213"/>
      <c r="EC53" s="213"/>
      <c r="ED53" s="213"/>
      <c r="EE53" s="213"/>
      <c r="EF53" s="213"/>
      <c r="EG53" s="213"/>
      <c r="EH53" s="213"/>
      <c r="EI53" s="213"/>
      <c r="EJ53" s="213"/>
      <c r="EK53" s="213"/>
      <c r="EL53" s="213"/>
      <c r="EM53" s="213"/>
      <c r="EN53" s="213"/>
      <c r="EO53" s="213"/>
      <c r="EP53" s="213"/>
      <c r="EQ53" s="213"/>
      <c r="ER53" s="213"/>
      <c r="ES53" s="213"/>
      <c r="ET53" s="213"/>
      <c r="EU53" s="213"/>
      <c r="EV53" s="213"/>
      <c r="EW53" s="213"/>
      <c r="EX53" s="213"/>
      <c r="EY53" s="213"/>
      <c r="EZ53" s="213"/>
    </row>
    <row r="54" spans="1:163" ht="12.75" hidden="1" customHeight="1" x14ac:dyDescent="0.2">
      <c r="A54" s="240"/>
      <c r="B54" s="240"/>
      <c r="C54" s="240"/>
      <c r="D54" s="236"/>
      <c r="E54" s="235"/>
      <c r="F54" s="234"/>
      <c r="G54" s="234"/>
      <c r="H54" s="223"/>
      <c r="I54" s="224"/>
      <c r="J54" s="224"/>
      <c r="K54" s="224"/>
      <c r="L54" s="221"/>
      <c r="M54" s="223"/>
      <c r="N54" s="223"/>
      <c r="O54" s="223"/>
      <c r="P54" s="223"/>
      <c r="Q54" s="224"/>
      <c r="R54" s="223"/>
      <c r="S54" s="223"/>
      <c r="T54" s="227"/>
      <c r="U54" s="224"/>
      <c r="V54" s="224"/>
      <c r="W54" s="222"/>
      <c r="X54" s="229"/>
      <c r="Y54" s="221"/>
      <c r="Z54" s="221"/>
      <c r="AA54" s="221"/>
      <c r="AB54" s="221"/>
      <c r="AC54" s="221"/>
      <c r="AD54" s="221"/>
      <c r="AE54" s="221"/>
      <c r="AF54" s="221"/>
      <c r="AG54" s="221"/>
      <c r="AH54" s="226"/>
      <c r="AI54" s="239"/>
      <c r="AJ54" s="238"/>
      <c r="AK54" s="228"/>
      <c r="AL54" s="223"/>
      <c r="AM54" s="230"/>
      <c r="AN54" s="228"/>
      <c r="AO54" s="232"/>
      <c r="AQ54" s="231"/>
      <c r="AR54" s="230"/>
      <c r="AS54" s="224"/>
      <c r="AT54" s="232"/>
      <c r="AV54" s="231"/>
      <c r="AW54" s="230"/>
      <c r="AX54" s="222"/>
      <c r="AY54" s="224"/>
      <c r="AZ54" s="229"/>
      <c r="BA54" s="221"/>
      <c r="BB54" s="228"/>
      <c r="BC54" s="227"/>
      <c r="BD54" s="227"/>
      <c r="BE54" s="227"/>
      <c r="BF54" s="227"/>
      <c r="BG54" s="227"/>
      <c r="BH54" s="227"/>
      <c r="BI54" s="227"/>
      <c r="BJ54" s="315"/>
      <c r="BK54" s="225"/>
      <c r="BL54" s="224"/>
      <c r="BM54" s="224"/>
      <c r="BN54" s="224"/>
      <c r="BO54" s="223"/>
      <c r="BP54" s="222"/>
      <c r="BQ54" s="229"/>
      <c r="BR54" s="221"/>
      <c r="BS54" s="221"/>
      <c r="BT54" s="221"/>
      <c r="BU54" s="221"/>
      <c r="BV54" s="221"/>
      <c r="BW54" s="221"/>
      <c r="BX54" s="221"/>
      <c r="BY54" s="221"/>
      <c r="BZ54" s="226"/>
      <c r="CA54" s="229"/>
      <c r="CC54" s="313"/>
      <c r="CD54" s="317"/>
      <c r="CE54" s="215"/>
      <c r="CF54" s="214"/>
      <c r="DJ54" s="1620"/>
      <c r="DK54" s="440"/>
      <c r="DL54" s="1619"/>
      <c r="DN54" s="1620"/>
      <c r="DR54" s="1231"/>
      <c r="DS54" s="1231"/>
      <c r="DT54" s="1231"/>
      <c r="DU54" s="1231"/>
      <c r="DV54" s="1231"/>
      <c r="DW54" s="1231"/>
      <c r="DX54" s="444"/>
      <c r="DY54" s="1231"/>
      <c r="DZ54" s="1231"/>
      <c r="EA54" s="213"/>
      <c r="EB54" s="213"/>
      <c r="EC54" s="213"/>
      <c r="ED54" s="213"/>
      <c r="EE54" s="213"/>
      <c r="EF54" s="213"/>
      <c r="EG54" s="213"/>
      <c r="EH54" s="213"/>
      <c r="EI54" s="213"/>
      <c r="EJ54" s="213"/>
      <c r="EK54" s="213"/>
      <c r="EL54" s="213"/>
      <c r="EM54" s="213"/>
      <c r="EN54" s="213"/>
      <c r="EO54" s="213"/>
      <c r="EP54" s="213"/>
      <c r="EQ54" s="213"/>
      <c r="ER54" s="213"/>
      <c r="ES54" s="213"/>
      <c r="ET54" s="213"/>
      <c r="EU54" s="213"/>
      <c r="EV54" s="213"/>
      <c r="EW54" s="213"/>
      <c r="EX54" s="213"/>
      <c r="EY54" s="213"/>
      <c r="EZ54" s="213"/>
    </row>
    <row r="55" spans="1:163" ht="12.75" hidden="1" customHeight="1" x14ac:dyDescent="0.2">
      <c r="A55" s="240"/>
      <c r="B55" s="240"/>
      <c r="C55" s="240"/>
      <c r="D55" s="236"/>
      <c r="E55" s="235"/>
      <c r="F55" s="234"/>
      <c r="G55" s="234"/>
      <c r="H55" s="223"/>
      <c r="I55" s="224"/>
      <c r="J55" s="224"/>
      <c r="K55" s="224"/>
      <c r="L55" s="221"/>
      <c r="M55" s="223"/>
      <c r="N55" s="223"/>
      <c r="O55" s="223"/>
      <c r="P55" s="223"/>
      <c r="Q55" s="224"/>
      <c r="R55" s="223"/>
      <c r="S55" s="223"/>
      <c r="T55" s="227"/>
      <c r="U55" s="224"/>
      <c r="V55" s="224"/>
      <c r="W55" s="222"/>
      <c r="X55" s="229"/>
      <c r="Y55" s="221"/>
      <c r="Z55" s="221"/>
      <c r="AA55" s="221"/>
      <c r="AB55" s="221"/>
      <c r="AC55" s="221"/>
      <c r="AD55" s="221"/>
      <c r="AE55" s="221"/>
      <c r="AF55" s="221"/>
      <c r="AG55" s="221"/>
      <c r="AH55" s="226"/>
      <c r="AI55" s="239"/>
      <c r="AJ55" s="238"/>
      <c r="AK55" s="228"/>
      <c r="AL55" s="223"/>
      <c r="AM55" s="230"/>
      <c r="AN55" s="228"/>
      <c r="AO55" s="232"/>
      <c r="AQ55" s="231"/>
      <c r="AR55" s="230"/>
      <c r="AS55" s="224"/>
      <c r="AT55" s="232"/>
      <c r="AV55" s="231"/>
      <c r="AW55" s="230"/>
      <c r="AX55" s="222"/>
      <c r="AY55" s="224"/>
      <c r="AZ55" s="229"/>
      <c r="BA55" s="221"/>
      <c r="BB55" s="228"/>
      <c r="BC55" s="227"/>
      <c r="BD55" s="227"/>
      <c r="BE55" s="227"/>
      <c r="BF55" s="227"/>
      <c r="BG55" s="227"/>
      <c r="BH55" s="227"/>
      <c r="BI55" s="227"/>
      <c r="BJ55" s="315"/>
      <c r="BK55" s="225"/>
      <c r="BL55" s="224"/>
      <c r="BM55" s="224"/>
      <c r="BN55" s="224"/>
      <c r="BO55" s="223"/>
      <c r="BP55" s="222"/>
      <c r="BQ55" s="229"/>
      <c r="BR55" s="221"/>
      <c r="BS55" s="221"/>
      <c r="BT55" s="221"/>
      <c r="BU55" s="221"/>
      <c r="BV55" s="221"/>
      <c r="BW55" s="221"/>
      <c r="BX55" s="221"/>
      <c r="BY55" s="221"/>
      <c r="BZ55" s="226"/>
      <c r="CA55" s="229"/>
      <c r="CC55" s="313"/>
      <c r="CD55" s="317"/>
      <c r="CE55" s="215"/>
      <c r="CF55" s="214"/>
      <c r="DJ55" s="1620"/>
      <c r="DK55" s="440"/>
      <c r="DL55" s="1619"/>
      <c r="DN55" s="1620"/>
      <c r="DR55" s="1231"/>
      <c r="DS55" s="1231"/>
      <c r="DT55" s="1231"/>
      <c r="DU55" s="1231"/>
      <c r="DV55" s="1231"/>
      <c r="DW55" s="1231"/>
      <c r="DX55" s="444"/>
      <c r="DY55" s="1231"/>
      <c r="DZ55" s="1231"/>
      <c r="EA55" s="213"/>
      <c r="EB55" s="213"/>
      <c r="EC55" s="213"/>
      <c r="ED55" s="213"/>
      <c r="EE55" s="213"/>
      <c r="EF55" s="213"/>
      <c r="EG55" s="213"/>
      <c r="EH55" s="213"/>
      <c r="EI55" s="213"/>
      <c r="EJ55" s="213"/>
      <c r="EK55" s="213"/>
      <c r="EL55" s="213"/>
      <c r="EM55" s="213"/>
      <c r="EN55" s="213"/>
      <c r="EO55" s="213"/>
      <c r="EP55" s="213"/>
      <c r="EQ55" s="213"/>
      <c r="ER55" s="213"/>
      <c r="ES55" s="213"/>
      <c r="ET55" s="213"/>
      <c r="EU55" s="213"/>
      <c r="EV55" s="213"/>
      <c r="EW55" s="213"/>
      <c r="EX55" s="213"/>
      <c r="EY55" s="213"/>
      <c r="EZ55" s="213"/>
    </row>
    <row r="56" spans="1:163" ht="12.75" hidden="1" customHeight="1" x14ac:dyDescent="0.2">
      <c r="A56" s="240"/>
      <c r="B56" s="240"/>
      <c r="C56" s="240"/>
      <c r="D56" s="236"/>
      <c r="E56" s="235"/>
      <c r="F56" s="234"/>
      <c r="G56" s="234"/>
      <c r="H56" s="223"/>
      <c r="I56" s="224"/>
      <c r="J56" s="224"/>
      <c r="K56" s="224"/>
      <c r="L56" s="221"/>
      <c r="M56" s="223"/>
      <c r="N56" s="223"/>
      <c r="O56" s="223"/>
      <c r="P56" s="223"/>
      <c r="Q56" s="224"/>
      <c r="R56" s="223"/>
      <c r="S56" s="223"/>
      <c r="T56" s="227"/>
      <c r="U56" s="224"/>
      <c r="V56" s="224"/>
      <c r="W56" s="222"/>
      <c r="X56" s="229"/>
      <c r="Y56" s="221"/>
      <c r="Z56" s="221"/>
      <c r="AA56" s="221"/>
      <c r="AB56" s="221"/>
      <c r="AC56" s="221"/>
      <c r="AD56" s="221"/>
      <c r="AE56" s="221"/>
      <c r="AF56" s="221"/>
      <c r="AG56" s="221"/>
      <c r="AH56" s="226"/>
      <c r="AI56" s="239"/>
      <c r="AJ56" s="238"/>
      <c r="AK56" s="228"/>
      <c r="AL56" s="223"/>
      <c r="AM56" s="230"/>
      <c r="AN56" s="228"/>
      <c r="AO56" s="232"/>
      <c r="AQ56" s="231"/>
      <c r="AR56" s="230"/>
      <c r="AS56" s="224"/>
      <c r="AT56" s="232"/>
      <c r="AV56" s="231"/>
      <c r="AW56" s="230"/>
      <c r="AX56" s="222"/>
      <c r="AY56" s="224"/>
      <c r="AZ56" s="229"/>
      <c r="BA56" s="221"/>
      <c r="BB56" s="228"/>
      <c r="BC56" s="227"/>
      <c r="BD56" s="227"/>
      <c r="BE56" s="227"/>
      <c r="BF56" s="227"/>
      <c r="BG56" s="227"/>
      <c r="BH56" s="227"/>
      <c r="BI56" s="227"/>
      <c r="BJ56" s="315"/>
      <c r="BK56" s="225"/>
      <c r="BL56" s="224"/>
      <c r="BM56" s="224"/>
      <c r="BN56" s="224"/>
      <c r="BO56" s="223"/>
      <c r="BP56" s="222"/>
      <c r="BQ56" s="229"/>
      <c r="BR56" s="221"/>
      <c r="BS56" s="221"/>
      <c r="BT56" s="221"/>
      <c r="BU56" s="221"/>
      <c r="BV56" s="221"/>
      <c r="BW56" s="221"/>
      <c r="BX56" s="221"/>
      <c r="BY56" s="221"/>
      <c r="BZ56" s="226"/>
      <c r="CA56" s="229"/>
      <c r="CC56" s="313"/>
      <c r="CD56" s="317"/>
      <c r="CE56" s="215"/>
      <c r="CF56" s="214"/>
      <c r="DJ56" s="1620"/>
      <c r="DK56" s="440"/>
      <c r="DL56" s="1619"/>
      <c r="DN56" s="1620"/>
      <c r="DR56" s="1231"/>
      <c r="DS56" s="1231"/>
      <c r="DT56" s="1231"/>
      <c r="DU56" s="1231"/>
      <c r="DV56" s="1231"/>
      <c r="DW56" s="1231"/>
      <c r="DX56" s="444"/>
      <c r="DY56" s="1231"/>
      <c r="DZ56" s="1231"/>
      <c r="EA56" s="213"/>
      <c r="EB56" s="213"/>
      <c r="EC56" s="213"/>
      <c r="ED56" s="213"/>
      <c r="EE56" s="213"/>
      <c r="EF56" s="213"/>
      <c r="EG56" s="213"/>
      <c r="EH56" s="213"/>
      <c r="EI56" s="213"/>
      <c r="EJ56" s="213"/>
      <c r="EK56" s="213"/>
      <c r="EL56" s="213"/>
      <c r="EM56" s="213"/>
      <c r="EN56" s="213"/>
      <c r="EO56" s="213"/>
      <c r="EP56" s="213"/>
      <c r="EQ56" s="213"/>
      <c r="ER56" s="213"/>
      <c r="ES56" s="213"/>
      <c r="ET56" s="213"/>
      <c r="EU56" s="213"/>
      <c r="EV56" s="213"/>
      <c r="EW56" s="213"/>
      <c r="EX56" s="213"/>
      <c r="EY56" s="213"/>
      <c r="EZ56" s="213"/>
    </row>
    <row r="57" spans="1:163" ht="12.75" hidden="1" customHeight="1" x14ac:dyDescent="0.2">
      <c r="A57" s="240"/>
      <c r="B57" s="240"/>
      <c r="C57" s="240"/>
      <c r="D57" s="236"/>
      <c r="E57" s="235"/>
      <c r="F57" s="234"/>
      <c r="G57" s="234"/>
      <c r="H57" s="223"/>
      <c r="I57" s="224"/>
      <c r="J57" s="224"/>
      <c r="K57" s="224"/>
      <c r="L57" s="221"/>
      <c r="M57" s="223"/>
      <c r="N57" s="223"/>
      <c r="O57" s="223"/>
      <c r="P57" s="223"/>
      <c r="Q57" s="224"/>
      <c r="R57" s="223"/>
      <c r="S57" s="223"/>
      <c r="T57" s="227"/>
      <c r="U57" s="224"/>
      <c r="V57" s="224"/>
      <c r="W57" s="222"/>
      <c r="X57" s="229"/>
      <c r="Y57" s="221"/>
      <c r="Z57" s="221"/>
      <c r="AA57" s="221"/>
      <c r="AB57" s="221"/>
      <c r="AC57" s="221"/>
      <c r="AD57" s="221"/>
      <c r="AE57" s="221"/>
      <c r="AF57" s="221"/>
      <c r="AG57" s="221"/>
      <c r="AH57" s="226"/>
      <c r="AI57" s="239"/>
      <c r="AJ57" s="238"/>
      <c r="AK57" s="228"/>
      <c r="AL57" s="223"/>
      <c r="AM57" s="230"/>
      <c r="AN57" s="228"/>
      <c r="AO57" s="232"/>
      <c r="AQ57" s="231"/>
      <c r="AR57" s="230"/>
      <c r="AS57" s="224"/>
      <c r="AT57" s="232"/>
      <c r="AV57" s="231"/>
      <c r="AW57" s="230"/>
      <c r="AX57" s="222"/>
      <c r="AY57" s="224"/>
      <c r="AZ57" s="229"/>
      <c r="BA57" s="221"/>
      <c r="BB57" s="228"/>
      <c r="BC57" s="227"/>
      <c r="BD57" s="227"/>
      <c r="BE57" s="227"/>
      <c r="BF57" s="227"/>
      <c r="BG57" s="227"/>
      <c r="BH57" s="227"/>
      <c r="BI57" s="227"/>
      <c r="BJ57" s="315"/>
      <c r="BK57" s="225"/>
      <c r="BL57" s="224"/>
      <c r="BM57" s="224"/>
      <c r="BN57" s="224"/>
      <c r="BO57" s="223"/>
      <c r="BP57" s="222"/>
      <c r="BQ57" s="229"/>
      <c r="BR57" s="221"/>
      <c r="BS57" s="221"/>
      <c r="BT57" s="221"/>
      <c r="BU57" s="221"/>
      <c r="BV57" s="221"/>
      <c r="BW57" s="221"/>
      <c r="BX57" s="221"/>
      <c r="BY57" s="221"/>
      <c r="BZ57" s="226"/>
      <c r="CA57" s="229"/>
      <c r="CC57" s="313"/>
      <c r="CD57" s="317"/>
      <c r="CE57" s="215"/>
      <c r="CF57" s="214"/>
      <c r="DJ57" s="1620"/>
      <c r="DK57" s="440"/>
      <c r="DL57" s="1619"/>
      <c r="DN57" s="1620"/>
      <c r="DR57" s="1231"/>
      <c r="DS57" s="1231"/>
      <c r="DT57" s="1231"/>
      <c r="DU57" s="1231"/>
      <c r="DV57" s="1231"/>
      <c r="DW57" s="1231"/>
      <c r="DX57" s="444"/>
      <c r="DY57" s="1231"/>
      <c r="DZ57" s="1231"/>
      <c r="EA57" s="213"/>
      <c r="EB57" s="213"/>
      <c r="EC57" s="213"/>
      <c r="ED57" s="213"/>
      <c r="EE57" s="213"/>
      <c r="EF57" s="213"/>
      <c r="EG57" s="213"/>
      <c r="EH57" s="213"/>
      <c r="EI57" s="213"/>
      <c r="EJ57" s="213"/>
      <c r="EK57" s="213"/>
      <c r="EL57" s="213"/>
      <c r="EM57" s="213"/>
      <c r="EN57" s="213"/>
      <c r="EO57" s="213"/>
      <c r="EP57" s="213"/>
      <c r="EQ57" s="213"/>
      <c r="ER57" s="213"/>
      <c r="ES57" s="213"/>
      <c r="ET57" s="213"/>
      <c r="EU57" s="213"/>
      <c r="EV57" s="213"/>
      <c r="EW57" s="213"/>
      <c r="EX57" s="213"/>
      <c r="EY57" s="213"/>
      <c r="EZ57" s="213"/>
    </row>
    <row r="58" spans="1:163" ht="12.75" hidden="1" customHeight="1" x14ac:dyDescent="0.2">
      <c r="A58" s="240"/>
      <c r="B58" s="240"/>
      <c r="C58" s="240"/>
      <c r="D58" s="236"/>
      <c r="E58" s="235"/>
      <c r="F58" s="234"/>
      <c r="G58" s="234"/>
      <c r="H58" s="223"/>
      <c r="I58" s="224"/>
      <c r="J58" s="224"/>
      <c r="K58" s="224"/>
      <c r="L58" s="221"/>
      <c r="M58" s="223"/>
      <c r="N58" s="223"/>
      <c r="O58" s="223"/>
      <c r="P58" s="223"/>
      <c r="Q58" s="224"/>
      <c r="R58" s="223"/>
      <c r="S58" s="223"/>
      <c r="T58" s="227"/>
      <c r="U58" s="224"/>
      <c r="V58" s="224"/>
      <c r="W58" s="222"/>
      <c r="X58" s="229"/>
      <c r="Y58" s="221"/>
      <c r="Z58" s="221"/>
      <c r="AA58" s="221"/>
      <c r="AB58" s="221"/>
      <c r="AC58" s="221"/>
      <c r="AD58" s="221"/>
      <c r="AE58" s="221"/>
      <c r="AF58" s="221"/>
      <c r="AG58" s="221"/>
      <c r="AH58" s="226"/>
      <c r="AI58" s="239"/>
      <c r="AJ58" s="238"/>
      <c r="AK58" s="228"/>
      <c r="AL58" s="223"/>
      <c r="AM58" s="230"/>
      <c r="AN58" s="228"/>
      <c r="AO58" s="232"/>
      <c r="AQ58" s="231"/>
      <c r="AR58" s="230"/>
      <c r="AS58" s="224"/>
      <c r="AT58" s="232"/>
      <c r="AV58" s="231"/>
      <c r="AW58" s="230"/>
      <c r="AX58" s="222"/>
      <c r="AY58" s="224"/>
      <c r="AZ58" s="229"/>
      <c r="BA58" s="221"/>
      <c r="BB58" s="228"/>
      <c r="BC58" s="227"/>
      <c r="BD58" s="227"/>
      <c r="BE58" s="227"/>
      <c r="BF58" s="227"/>
      <c r="BG58" s="227"/>
      <c r="BH58" s="227"/>
      <c r="BI58" s="227"/>
      <c r="BJ58" s="315"/>
      <c r="BK58" s="225"/>
      <c r="BL58" s="224"/>
      <c r="BM58" s="224"/>
      <c r="BN58" s="224"/>
      <c r="BO58" s="223"/>
      <c r="BP58" s="222"/>
      <c r="BQ58" s="229"/>
      <c r="BR58" s="221"/>
      <c r="BS58" s="221"/>
      <c r="BT58" s="221"/>
      <c r="BU58" s="221"/>
      <c r="BV58" s="221"/>
      <c r="BW58" s="221"/>
      <c r="BX58" s="221"/>
      <c r="BY58" s="221"/>
      <c r="BZ58" s="226"/>
      <c r="CA58" s="229"/>
      <c r="CC58" s="313"/>
      <c r="CD58" s="317"/>
      <c r="CE58" s="215"/>
      <c r="CF58" s="214"/>
      <c r="DJ58" s="1620"/>
      <c r="DK58" s="440"/>
      <c r="DL58" s="1619"/>
      <c r="DN58" s="1620"/>
      <c r="DR58" s="1231"/>
      <c r="DS58" s="1231"/>
      <c r="DT58" s="1231"/>
      <c r="DU58" s="1231"/>
      <c r="DV58" s="1231"/>
      <c r="DW58" s="1231"/>
      <c r="DX58" s="444"/>
      <c r="DY58" s="1231"/>
      <c r="DZ58" s="1231"/>
      <c r="EA58" s="213"/>
      <c r="EB58" s="213"/>
      <c r="EC58" s="213"/>
      <c r="ED58" s="213"/>
      <c r="EE58" s="213"/>
      <c r="EF58" s="213"/>
      <c r="EG58" s="213"/>
      <c r="EH58" s="213"/>
      <c r="EI58" s="213"/>
      <c r="EJ58" s="213"/>
      <c r="EK58" s="213"/>
      <c r="EL58" s="213"/>
      <c r="EM58" s="213"/>
      <c r="EN58" s="213"/>
      <c r="EO58" s="213"/>
      <c r="EP58" s="213"/>
      <c r="EQ58" s="213"/>
      <c r="ER58" s="213"/>
      <c r="ES58" s="213"/>
      <c r="ET58" s="213"/>
      <c r="EU58" s="213"/>
      <c r="EV58" s="213"/>
      <c r="EW58" s="213"/>
      <c r="EX58" s="213"/>
      <c r="EY58" s="213"/>
      <c r="EZ58" s="213"/>
    </row>
    <row r="59" spans="1:163" ht="12.75" hidden="1" customHeight="1" x14ac:dyDescent="0.2">
      <c r="A59" s="240"/>
      <c r="B59" s="240"/>
      <c r="C59" s="240"/>
      <c r="D59" s="236"/>
      <c r="E59" s="235"/>
      <c r="F59" s="234"/>
      <c r="G59" s="234"/>
      <c r="H59" s="223"/>
      <c r="I59" s="224"/>
      <c r="J59" s="224"/>
      <c r="K59" s="224"/>
      <c r="L59" s="221"/>
      <c r="M59" s="223"/>
      <c r="N59" s="223"/>
      <c r="O59" s="223"/>
      <c r="P59" s="223"/>
      <c r="Q59" s="224"/>
      <c r="R59" s="223"/>
      <c r="S59" s="223"/>
      <c r="T59" s="227"/>
      <c r="U59" s="224"/>
      <c r="V59" s="224"/>
      <c r="W59" s="222"/>
      <c r="X59" s="229"/>
      <c r="Y59" s="221"/>
      <c r="Z59" s="221"/>
      <c r="AA59" s="221"/>
      <c r="AB59" s="221"/>
      <c r="AC59" s="221"/>
      <c r="AD59" s="221"/>
      <c r="AE59" s="221"/>
      <c r="AF59" s="221"/>
      <c r="AG59" s="221"/>
      <c r="AH59" s="226"/>
      <c r="AI59" s="239"/>
      <c r="AJ59" s="238"/>
      <c r="AK59" s="228"/>
      <c r="AL59" s="223"/>
      <c r="AM59" s="230"/>
      <c r="AN59" s="228"/>
      <c r="AO59" s="232"/>
      <c r="AQ59" s="231"/>
      <c r="AR59" s="230"/>
      <c r="AS59" s="224"/>
      <c r="AT59" s="232"/>
      <c r="AV59" s="231"/>
      <c r="AW59" s="230"/>
      <c r="AX59" s="222"/>
      <c r="AY59" s="224"/>
      <c r="AZ59" s="229"/>
      <c r="BA59" s="221"/>
      <c r="BB59" s="228"/>
      <c r="BC59" s="227"/>
      <c r="BD59" s="227"/>
      <c r="BE59" s="227"/>
      <c r="BF59" s="227"/>
      <c r="BG59" s="227"/>
      <c r="BH59" s="227"/>
      <c r="BI59" s="227"/>
      <c r="BJ59" s="315"/>
      <c r="BK59" s="225"/>
      <c r="BL59" s="224"/>
      <c r="BM59" s="224"/>
      <c r="BN59" s="224"/>
      <c r="BO59" s="223"/>
      <c r="BP59" s="222"/>
      <c r="BQ59" s="229"/>
      <c r="BR59" s="221"/>
      <c r="BS59" s="221"/>
      <c r="BT59" s="221"/>
      <c r="BU59" s="221"/>
      <c r="BV59" s="221"/>
      <c r="BW59" s="221"/>
      <c r="BX59" s="221"/>
      <c r="BY59" s="221"/>
      <c r="BZ59" s="226"/>
      <c r="CA59" s="229"/>
      <c r="CC59" s="313"/>
      <c r="CD59" s="317"/>
      <c r="CE59" s="215"/>
      <c r="CF59" s="214"/>
      <c r="DJ59" s="1620"/>
      <c r="DK59" s="440"/>
      <c r="DL59" s="1619"/>
      <c r="DN59" s="1620"/>
      <c r="DR59" s="1231"/>
      <c r="DS59" s="1231"/>
      <c r="DT59" s="1231"/>
      <c r="DU59" s="1231"/>
      <c r="DV59" s="1231"/>
      <c r="DW59" s="1231"/>
      <c r="DX59" s="444"/>
      <c r="DY59" s="1231"/>
      <c r="DZ59" s="1231"/>
      <c r="EA59" s="213"/>
      <c r="EB59" s="213"/>
      <c r="EC59" s="213"/>
      <c r="ED59" s="213"/>
      <c r="EE59" s="213"/>
      <c r="EF59" s="213"/>
      <c r="EG59" s="213"/>
      <c r="EH59" s="213"/>
      <c r="EI59" s="213"/>
      <c r="EJ59" s="213"/>
      <c r="EK59" s="213"/>
      <c r="EL59" s="213"/>
      <c r="EM59" s="213"/>
      <c r="EN59" s="213"/>
      <c r="EO59" s="213"/>
      <c r="EP59" s="213"/>
      <c r="EQ59" s="213"/>
      <c r="ER59" s="213"/>
      <c r="ES59" s="213"/>
      <c r="ET59" s="213"/>
      <c r="EU59" s="213"/>
      <c r="EV59" s="213"/>
      <c r="EW59" s="213"/>
      <c r="EX59" s="213"/>
      <c r="EY59" s="213"/>
      <c r="EZ59" s="213"/>
    </row>
    <row r="60" spans="1:163" ht="12.75" hidden="1" customHeight="1" x14ac:dyDescent="0.2">
      <c r="A60" s="240"/>
      <c r="B60" s="240"/>
      <c r="C60" s="240"/>
      <c r="D60" s="236"/>
      <c r="E60" s="235"/>
      <c r="F60" s="234"/>
      <c r="G60" s="234"/>
      <c r="H60" s="223"/>
      <c r="I60" s="224"/>
      <c r="J60" s="224"/>
      <c r="K60" s="224"/>
      <c r="L60" s="221"/>
      <c r="M60" s="223"/>
      <c r="N60" s="223"/>
      <c r="O60" s="223"/>
      <c r="P60" s="223"/>
      <c r="Q60" s="224"/>
      <c r="R60" s="223"/>
      <c r="S60" s="223"/>
      <c r="T60" s="227"/>
      <c r="U60" s="224"/>
      <c r="V60" s="224"/>
      <c r="W60" s="222"/>
      <c r="X60" s="229"/>
      <c r="Y60" s="221"/>
      <c r="Z60" s="221"/>
      <c r="AA60" s="221"/>
      <c r="AB60" s="221"/>
      <c r="AC60" s="221"/>
      <c r="AD60" s="221"/>
      <c r="AE60" s="221"/>
      <c r="AF60" s="221"/>
      <c r="AG60" s="221"/>
      <c r="AH60" s="226"/>
      <c r="AI60" s="239"/>
      <c r="AJ60" s="238"/>
      <c r="AK60" s="228"/>
      <c r="AL60" s="223"/>
      <c r="AM60" s="230"/>
      <c r="AN60" s="228"/>
      <c r="AO60" s="232"/>
      <c r="AQ60" s="231"/>
      <c r="AR60" s="230"/>
      <c r="AS60" s="224"/>
      <c r="AT60" s="232"/>
      <c r="AV60" s="231"/>
      <c r="AW60" s="230"/>
      <c r="AX60" s="222"/>
      <c r="AY60" s="224"/>
      <c r="AZ60" s="229"/>
      <c r="BA60" s="221"/>
      <c r="BB60" s="228"/>
      <c r="BC60" s="227"/>
      <c r="BD60" s="227"/>
      <c r="BE60" s="227"/>
      <c r="BF60" s="227"/>
      <c r="BG60" s="227"/>
      <c r="BH60" s="227"/>
      <c r="BI60" s="227"/>
      <c r="BJ60" s="315"/>
      <c r="BK60" s="225"/>
      <c r="BL60" s="224"/>
      <c r="BM60" s="224"/>
      <c r="BN60" s="224"/>
      <c r="BO60" s="223"/>
      <c r="BP60" s="222"/>
      <c r="BQ60" s="229"/>
      <c r="BR60" s="221"/>
      <c r="BS60" s="221"/>
      <c r="BT60" s="221"/>
      <c r="BU60" s="221"/>
      <c r="BV60" s="221"/>
      <c r="BW60" s="221"/>
      <c r="BX60" s="221"/>
      <c r="BY60" s="221"/>
      <c r="BZ60" s="226"/>
      <c r="CA60" s="229"/>
      <c r="CC60" s="313"/>
      <c r="CD60" s="317"/>
      <c r="CE60" s="215"/>
      <c r="CF60" s="214"/>
      <c r="DJ60" s="1620"/>
      <c r="DK60" s="440"/>
      <c r="DL60" s="1619"/>
      <c r="DN60" s="1620"/>
      <c r="DR60" s="1231"/>
      <c r="DS60" s="1231"/>
      <c r="DT60" s="1231"/>
      <c r="DU60" s="1231"/>
      <c r="DV60" s="1231"/>
      <c r="DW60" s="1231"/>
      <c r="DX60" s="444"/>
      <c r="DY60" s="1231"/>
      <c r="DZ60" s="1231"/>
      <c r="EA60" s="213"/>
      <c r="EB60" s="213"/>
      <c r="EC60" s="213"/>
      <c r="ED60" s="213"/>
      <c r="EE60" s="213"/>
      <c r="EF60" s="213"/>
      <c r="EG60" s="213"/>
      <c r="EH60" s="213"/>
      <c r="EI60" s="213"/>
      <c r="EJ60" s="213"/>
      <c r="EK60" s="213"/>
      <c r="EL60" s="213"/>
      <c r="EM60" s="213"/>
      <c r="EN60" s="213"/>
      <c r="EO60" s="213"/>
      <c r="EP60" s="213"/>
      <c r="EQ60" s="213"/>
      <c r="ER60" s="213"/>
      <c r="ES60" s="213"/>
      <c r="ET60" s="213"/>
      <c r="EU60" s="213"/>
      <c r="EV60" s="213"/>
      <c r="EW60" s="213"/>
      <c r="EX60" s="213"/>
      <c r="EY60" s="213"/>
      <c r="EZ60" s="213"/>
    </row>
    <row r="61" spans="1:163" ht="12.75" hidden="1" customHeight="1" x14ac:dyDescent="0.2">
      <c r="A61" s="240"/>
      <c r="B61" s="240"/>
      <c r="C61" s="240"/>
      <c r="D61" s="236"/>
      <c r="E61" s="235"/>
      <c r="F61" s="234"/>
      <c r="G61" s="234"/>
      <c r="H61" s="223"/>
      <c r="I61" s="224"/>
      <c r="J61" s="224"/>
      <c r="K61" s="224"/>
      <c r="L61" s="221"/>
      <c r="M61" s="223"/>
      <c r="N61" s="223"/>
      <c r="O61" s="223"/>
      <c r="P61" s="223"/>
      <c r="Q61" s="224"/>
      <c r="R61" s="223"/>
      <c r="S61" s="223"/>
      <c r="T61" s="227"/>
      <c r="U61" s="224"/>
      <c r="V61" s="224"/>
      <c r="W61" s="222"/>
      <c r="X61" s="229"/>
      <c r="Y61" s="221"/>
      <c r="Z61" s="221"/>
      <c r="AA61" s="221"/>
      <c r="AB61" s="221"/>
      <c r="AC61" s="221"/>
      <c r="AD61" s="221"/>
      <c r="AE61" s="221"/>
      <c r="AF61" s="221"/>
      <c r="AG61" s="221"/>
      <c r="AH61" s="226"/>
      <c r="AI61" s="229"/>
      <c r="AJ61" s="221"/>
      <c r="AK61" s="221"/>
      <c r="AL61" s="223"/>
      <c r="AM61" s="230"/>
      <c r="AN61" s="228"/>
      <c r="AO61" s="232"/>
      <c r="AQ61" s="231"/>
      <c r="AR61" s="230"/>
      <c r="AS61" s="224"/>
      <c r="AT61" s="232"/>
      <c r="AV61" s="231"/>
      <c r="AW61" s="230"/>
      <c r="AX61" s="222"/>
      <c r="AY61" s="224"/>
      <c r="AZ61" s="229"/>
      <c r="BA61" s="221"/>
      <c r="BB61" s="228"/>
      <c r="BC61" s="227"/>
      <c r="BD61" s="221"/>
      <c r="BE61" s="221"/>
      <c r="BF61" s="221"/>
      <c r="BG61" s="221"/>
      <c r="BH61" s="221"/>
      <c r="BI61" s="221"/>
      <c r="BJ61" s="226"/>
      <c r="BK61" s="229"/>
      <c r="BL61" s="224"/>
      <c r="BM61" s="224"/>
      <c r="BN61" s="224"/>
      <c r="BO61" s="223"/>
      <c r="BP61" s="222"/>
      <c r="BQ61" s="229"/>
      <c r="BR61" s="221"/>
      <c r="BS61" s="221"/>
      <c r="BT61" s="221"/>
      <c r="BU61" s="221"/>
      <c r="BV61" s="221"/>
      <c r="BW61" s="221"/>
      <c r="BX61" s="221"/>
      <c r="BY61" s="221"/>
      <c r="BZ61" s="226"/>
      <c r="CA61" s="229"/>
      <c r="CC61" s="313"/>
      <c r="CD61" s="317"/>
      <c r="CE61" s="215"/>
      <c r="CF61" s="214"/>
      <c r="DJ61" s="1620"/>
      <c r="DK61" s="440"/>
      <c r="DL61" s="1619"/>
      <c r="DN61" s="1620"/>
      <c r="DR61" s="1231"/>
      <c r="DS61" s="1231"/>
      <c r="DT61" s="1231"/>
      <c r="DU61" s="1231"/>
      <c r="DV61" s="1231"/>
      <c r="DW61" s="1231"/>
      <c r="DX61" s="444"/>
      <c r="DY61" s="1231"/>
      <c r="DZ61" s="1231"/>
      <c r="EA61" s="213"/>
      <c r="EB61" s="213"/>
      <c r="EC61" s="213"/>
      <c r="ED61" s="213"/>
      <c r="EE61" s="213"/>
      <c r="EF61" s="213"/>
      <c r="EG61" s="213"/>
      <c r="EH61" s="213"/>
      <c r="EI61" s="213"/>
      <c r="EJ61" s="213"/>
      <c r="EK61" s="213"/>
      <c r="EL61" s="213"/>
      <c r="EM61" s="213"/>
      <c r="EN61" s="213"/>
      <c r="EO61" s="213"/>
      <c r="EP61" s="213"/>
      <c r="EQ61" s="213"/>
      <c r="ER61" s="213"/>
      <c r="ES61" s="213"/>
      <c r="ET61" s="213"/>
      <c r="EU61" s="213"/>
      <c r="EV61" s="213"/>
      <c r="EW61" s="213"/>
      <c r="EX61" s="213"/>
      <c r="EY61" s="213"/>
      <c r="EZ61" s="213"/>
    </row>
    <row r="62" spans="1:163" ht="12.75" hidden="1" customHeight="1" x14ac:dyDescent="0.2">
      <c r="A62" s="240"/>
      <c r="B62" s="262">
        <f>B49</f>
        <v>2</v>
      </c>
      <c r="C62" s="262">
        <f>$C$6</f>
        <v>1</v>
      </c>
      <c r="D62" s="429"/>
      <c r="E62" s="260"/>
      <c r="F62" s="259"/>
      <c r="G62" s="259"/>
      <c r="H62" s="220" t="str">
        <f>IF(C62&gt;0,"",IF(VLOOKUP(E62,LegendSG2CKTrows,20,FALSE)=0,VLOOKUP(E62,LegendSG2CKTrows,21,FALSE),VLOOKUP(E62,LegendSG2CKTrows,20,FALSE)))</f>
        <v/>
      </c>
      <c r="I62" s="258" t="str">
        <f>IF(C62&gt;0,"",VLOOKUP(E62,LegendSG2CKTrows,22,FALSE))</f>
        <v/>
      </c>
      <c r="J62" s="248" t="str">
        <f>IF($C$3&gt;0,"",IF(C62&gt;0,"",IF(($J$44)&gt;1,I62,IF(V62="@ System",I62+0.5*($F$44),IF(V62="@ Top Of Riser",I62+0.5*($F$44),IF(OR(V62="@ Fixture",V62="@ Bottom Of Riser"),($D$44)-0.5*($F$44),IF(AND(V62="None",D62="Loop"),($D$44)-0.5*($F$44),I62+0.5*($F$44))))))))</f>
        <v/>
      </c>
      <c r="K62" s="248" t="str">
        <f>IF($C$3&gt;0,"",IF(C62&gt;0,"",IF(($J$44)&gt;1,I62,IF(I62+0.5*DZ62+15&lt;L62,I62+0.5*DZ62+15,L62))))</f>
        <v/>
      </c>
      <c r="L62" s="257" t="str">
        <f>IF($C$3&gt;0,"",IF(C62&gt;0,"",IF(($J$44)&gt;1,I62,LegendSG2RGT)))</f>
        <v/>
      </c>
      <c r="M62" s="248" t="str">
        <f>IF($C$3&gt;0,"",IF(C62&gt;0,"",IF(($J$44)&gt;1,Pressure($B$3,"TQ","e",J62,1/($J$44)),DT62)))</f>
        <v/>
      </c>
      <c r="N62" s="248" t="str">
        <f>IF($C$3&gt;0,"",IF(C62&gt;0,"",IF(D62="Loop","n/a",IF(($J$44)&gt;1,Pressure($B$3,"TQ","e",J62,1/($J$44)),DW62))))</f>
        <v/>
      </c>
      <c r="O62" s="248" t="str">
        <f>IF($C$3&gt;0,"",IF(C62&gt;0,"",IF(D62="Loop","n/a",DZ62)))</f>
        <v/>
      </c>
      <c r="P62" s="220" t="str">
        <f>IF($C$3&gt;0,"",IF(C62&gt;0,"",IF(D62="Loop","n/a",IF(($J$44)&gt;1,0,DX62))))</f>
        <v/>
      </c>
      <c r="Q62" s="248" t="str">
        <f>IF($C$3&gt;0,"",IF(C62&gt;0,"",IF(D62="Loop","n/a",IF(($J$44)&gt;1,Enthalpy(($B$3),"QP","E",(1/($J$44)),N62),Enthalpy(($B$3),"TP","E",(I62+0.5*DZ62+'Legend(DX)'!$Y$4),DW62)))))</f>
        <v/>
      </c>
      <c r="R62" s="220" t="str">
        <f>IF(C62&gt;0,"",IF($C$3&gt;0,IF(S62=0,"",U62/(S62*60*0.13368)),IF(($J$44)&gt;1,Enthalpy(($B$3),"TLIQ","E",I62),IF(($G$4+0.5*DZ62)&gt;($H$44),(Enthalpy(($B$3),"TLIQ","E",($G$44))),(Enthalpy(($B$3),"TP","E",($G$44),$I$44))))))</f>
        <v/>
      </c>
      <c r="S62" s="220" t="str">
        <f ca="1">IF(C62&gt;0,"",IF($C$3&gt;0,(VLOOKUP(($D$44),INDIRECT($C$44),3)+VLOOKUP(($S$44),INDIRECT($C$44),3))/2,IF(($J$44)&gt;1,LiquidDensity($B$3,"TLIQ","e",I62),IF(($G$4+0.5*DZ62)&gt;($H$44),(LiquidDensity(($B$3),"TLIQ","E",($G$44))),(Density(($B$3),"TP","E",($G$44),$I$44))))))</f>
        <v/>
      </c>
      <c r="T62" s="250" t="str">
        <f ca="1">IF(C62&gt;0,"",IF($C$3&gt;0,(VLOOKUP(($D$44),INDIRECT($C$44),6)+VLOOKUP(($S$44),INDIRECT($C$44),6))/2*0.000020885,IF(($J$44)&gt;1,Viscosity(($B$3),"TLIQ","E",I62),IF(($G$4+0.5*DZ62)&gt;($H$44),(Viscosity(($B$3),"TLIQ","E",($G$44))),(Viscosity(($B$3),"TP","E",($G$44),$I$44))))))</f>
        <v/>
      </c>
      <c r="U62" s="248" t="str">
        <f>IF(C62&gt;0,"",IF($C$3&gt;0,VLOOKUP(E62,LegendSG2CKTrows,23,FALSE)*60*S62*0.13368,H62*1000/(Q62-R62)))</f>
        <v/>
      </c>
      <c r="V62" s="256" t="str">
        <f>IF(C62&gt;0,"",VLOOKUP(E62,LegendSG2CKTrows,28,FALSE))</f>
        <v/>
      </c>
      <c r="W62" s="255" t="s">
        <v>369</v>
      </c>
      <c r="X62" s="254"/>
      <c r="Y62" s="246" t="str">
        <f>IF(C62&gt;0,"",X62*($Y$44))</f>
        <v/>
      </c>
      <c r="Z62" s="218" t="str">
        <f>IF(C62&gt;0,"",IF(($J$44)&gt;1,Density(($B$3),"TVAP","e",I62),Density(($B$3),"TP","E",K62,M62)))</f>
        <v/>
      </c>
      <c r="AA62" s="250" t="str">
        <f>IF(C62&gt;0,"",IF(($J$44)&gt;1,Viscosity(($B$3),"TVAP","E",I62),Viscosity(($B$3),"TP","E",K62,M62)))</f>
        <v/>
      </c>
      <c r="AB62" s="1014" t="str">
        <f>IF(C62&gt;0,"",IF(($J$44)&gt;1,vel(U62,EC62,AH62),vel(U62,Z62,AH62)))</f>
        <v/>
      </c>
      <c r="AC62" s="220" t="str">
        <f>IF(C62&gt;0,"",IF(($J$44)&gt;1,EO62,pdrop(AE62,Y62,Z62,AB62,IF(AG62="",AF62,AG62))))</f>
        <v/>
      </c>
      <c r="AD62" s="219" t="str">
        <f>IF(C62&gt;0,"",(((AB62/60)*Z62)/AA62)*(VLOOKUP(AF62,'Pipe Data'!F$7:G$19,2,FALSE))/12)</f>
        <v/>
      </c>
      <c r="AE62" s="218" t="str">
        <f>IF(C62&gt;0,"",(0.25/(LOG(5.74/(AD62^0.9))+((VLOOKUP(IF(AG62="",AF62,AG62),'Pipe Data'!J$7:X$19,15,FALSE))/3.7))^2))</f>
        <v/>
      </c>
      <c r="AF62" s="245" t="str">
        <f>IF(C62&gt;0,"",VLOOKUP(($AC$44),AB63:AF73,5,TRUE))</f>
        <v/>
      </c>
      <c r="AG62" s="244"/>
      <c r="AH62" s="298" t="str">
        <f>IF(C62&gt;0,"",IF(AND(AG62="",W62&lt;&gt;"Double"),parea(AF62),parea(AG62)))</f>
        <v/>
      </c>
      <c r="AI62" s="253" t="str">
        <f>IF(C62&gt;0,"",IF(W62="Single","",IF(OR(AG62=0.5,AG62=0.375),"",IF(AF62&lt;0.6,"",(((AR62/60)*Z62)/AA62)*((LOOKUP(IF(AP62="",AO62,AP62),'Pipe Data'!F$7:F$19,'Pipe Data'!G$7:G$19))/12)))))</f>
        <v/>
      </c>
      <c r="AJ62" s="252" t="str">
        <f>IF(C62&gt;0,"",IF(W62="Single","",IF(OR(AG62=0.5,AG62=0.375),"",IF(AF62&lt;0.6,"",(AQ62/AV62)^1.5))))</f>
        <v/>
      </c>
      <c r="AK62" s="218" t="str">
        <f>IF(C62&gt;0,"",IF(W62="Single","",IF(OR(AG62=0.5,AG62=0.375),"",IF(AF62&lt;0.6,"",(0.25/(LOG(5.74/(AI62^0.9))+((LOOKUP(IF(AP62="",AO62,AP62),'Pipe Data'!F$7:F$19,'Pipe Data'!X$7:X$19))/3.7))^2)))))</f>
        <v/>
      </c>
      <c r="AL62" s="220" t="str">
        <f>IF(C62&gt;0,"",IF(W62="Single","",IF(OR(AG62=0.5,AG62=0.375),"",IF(AF62&lt;0.6,"",pdrop(AK62,Y62,Z62,AR62,IF(AP62="",AO62,AP62))))))</f>
        <v/>
      </c>
      <c r="AM62" s="219" t="str">
        <f>IF(C62&gt;0,"",IF(W62="Single","",IF(OR(AG62=0.5,AG62=0.375),"",IF(AF62&lt;0.6,"",(((AW62/60)*Z62)/AA62)*((LOOKUP(IF(AU62="",AT62,AU62),'Pipe Data'!F$7:F$19,'Pipe Data'!G$7:G$19))/12)))))</f>
        <v/>
      </c>
      <c r="AN62" s="218" t="str">
        <f>IF(C62&gt;0,"",IF(W62="Single","",IF(OR(AG62=0.5,AG62=0.375),"",IF(AF62&lt;0.6,"",(0.25/(LOG(5.74/(AM62^0.9))+((LOOKUP(IF(AU62="",AT62,AU62),'Pipe Data'!F$7:F$19,'Pipe Data'!X$7:X$19))/3.7))^2)))))</f>
        <v/>
      </c>
      <c r="AO62" s="245" t="str">
        <f>IF(C62&gt;0,"",IF(W62="Single","",IF(OR(AG62=0.5,AG62=0.375),"",IF(AF62&lt;0.6,"",(IF(AG62="",VLOOKUP(AF62,'Pipe Data'!$J$9:$N$19,3,FALSE),VLOOKUP(AG62,'Pipe Data'!$J$9:$N$19,3,FALSE)))))))</f>
        <v/>
      </c>
      <c r="AP62" s="244"/>
      <c r="AQ62" s="251" t="str">
        <f>IF(C62&gt;0,"",IF(W62="Single","",IF(OR(AG62=0.5,AG62=0.375),"",IF(AF62&lt;0.6,"",IF(AP62="",parea(AO62),parea(AP62))))))</f>
        <v/>
      </c>
      <c r="AR62" s="219" t="str">
        <f>IF(C62&gt;0,"",IF(W62="Single","",IF(OR(AG62=0.5,AG62=0.375),"",IF(AF62&lt;0.6,"",((AS62/(Z62*AQ62))/60)))))</f>
        <v/>
      </c>
      <c r="AS62" s="248" t="str">
        <f>IF(C62&gt;0,"",IF(W62="Single","",IF(OR(AG62=0.5,AG62=0.375),"",IF(AF62&lt;0.6,"",(U62*AJ62)/(1+AJ62)))))</f>
        <v/>
      </c>
      <c r="AT62" s="245" t="str">
        <f>IF(C62&gt;0,"",IF(W62="Single","",IF(OR(AG62=0.5,AG62=0.375),"",IF(AF62&lt;0.6,"",(IF(AG62="",VLOOKUP(AF62,'Pipe Data'!$J$9:$N$19,5,FALSE),VLOOKUP(AG62,'Pipe Data'!$J$9:$N$19,5,FALSE)))))))</f>
        <v/>
      </c>
      <c r="AU62" s="244"/>
      <c r="AV62" s="251" t="str">
        <f>IF(C62&gt;0,"",IF(W62="Single","",IF(OR(AG62=0.5,AG62=0.375),"",IF(AF62&lt;0.6,"",IF(AU62="",parea(AT62),parea(AU62))))))</f>
        <v/>
      </c>
      <c r="AW62" s="219" t="str">
        <f>IF(C62&gt;0,"",IF(W62="Single","",IF(OR(AG62=0.5,AG62=0.375),"",IF(AF62&lt;0.6,"",((AX62/(Z62*AV62))/60)))))</f>
        <v/>
      </c>
      <c r="AX62" s="247" t="str">
        <f>IF(C62&gt;0,"",IF(W62="Single","",IF(OR(AG62=0.5,AG62=0.375),"",IF(AF62&lt;0.6,"",U62-AS62))))</f>
        <v/>
      </c>
      <c r="AY62" s="1451"/>
      <c r="AZ62" s="1463" t="str">
        <f>IF(AY62=0,"",AY62-X62)</f>
        <v/>
      </c>
      <c r="BA62" s="246" t="str">
        <f>IF(C62&gt;0,"",AZ62*($BA$44))</f>
        <v/>
      </c>
      <c r="BB62" s="218" t="str">
        <f>IF(C62&gt;0,"",IF(($J$44)&gt;1,Density(($B$3),"TVAP","e",I62),Density(($B$3),"TP","E",K62,M62)))</f>
        <v/>
      </c>
      <c r="BC62" s="250" t="str">
        <f>IF(C62&gt;0,"",IF(($J$44)&gt;1,Viscosity(($B$3),"TVAP","E",I62),Viscosity(($B$3),"TP","E",$K62,$M62)))</f>
        <v/>
      </c>
      <c r="BD62" s="219" t="str">
        <f>IF(C62&gt;0,"",IF(($J$44)&gt;1,vel(U62,EC62,BJ62),vel(U62,Z62,BJ62)))</f>
        <v/>
      </c>
      <c r="BE62" s="220" t="str">
        <f>IF(C62&gt;0,"",IF(($J$44)&gt;1,EZ62,pdrop(BG62,BA62,Z62,BD62,IF(BI62="",BH62,BI62))))</f>
        <v/>
      </c>
      <c r="BF62" s="219" t="str">
        <f>IF(C62&gt;0,"",(((BD62/60)*Z62)/BC62)*((VLOOKUP(IF(BI62="",BH62,BI62),'Pipe Data'!F$7:G$19,2,FALSE))/12))</f>
        <v/>
      </c>
      <c r="BG62" s="218" t="str">
        <f>IF(C62&gt;0,"",(0.25/(LOG(5.74/(BF62^0.9))+((VLOOKUP(BH62,'Pipe Data'!J$7:X$19,15,FALSE))/3.7))^2))</f>
        <v/>
      </c>
      <c r="BH62" s="245" t="str">
        <f>IF(C62&gt;0,"",VLOOKUP(1,BI63:BK73,3,FALSE))</f>
        <v/>
      </c>
      <c r="BI62" s="244"/>
      <c r="BJ62" s="243" t="str">
        <f>IF(C62&gt;0,"",IF(BI62="",parea(BH62),parea(BI62)))</f>
        <v/>
      </c>
      <c r="BK62" s="249" t="str">
        <f>IF(C62&gt;0,"",VLOOKUP(E62,LegendSG2CKTrows,26,FALSE))</f>
        <v/>
      </c>
      <c r="BL62" s="248" t="str">
        <f>IF(C62&gt;0,"",IF(W62&lt;&gt;"Double",AC62+BE62+BK62,AL62+BE62+BK62))</f>
        <v/>
      </c>
      <c r="BM62" s="248"/>
      <c r="BN62" s="248" t="str">
        <f>IF(C62&gt;0,"",IF(D62="Loop","n/a",BP62-I62))</f>
        <v/>
      </c>
      <c r="BO62" s="220" t="str">
        <f>IF(C62&gt;0,"",IF(D62="Loop","n/a",N62-BM62))</f>
        <v/>
      </c>
      <c r="BP62" s="247" t="str">
        <f>IF(C62&gt;0,"",IF(D62="Loop","n/a",TEMPERATURE(($B$3),"PVAP","E",BO62)-0.5*DZ62))</f>
        <v/>
      </c>
      <c r="BQ62" s="246" t="str">
        <f>IF(C62&gt;0,"",AZ62+X62)</f>
        <v/>
      </c>
      <c r="BR62" s="246" t="str">
        <f>IF(C62&gt;0,"",BQ62*($BR$44))</f>
        <v/>
      </c>
      <c r="BS62" s="220" t="str">
        <f>IF(C62&gt;0,"",IF($C$3&gt;0,2.45,vel(U62,S62,BZ62)))</f>
        <v/>
      </c>
      <c r="BT62" s="220" t="str">
        <f>IF(C62&gt;0,"",IF($C$3&gt;0,2.31*pdrop(BW62,BR62,S62,60*BS62,IF(BY62="",BX62,BY62)),pdrop(BW62,BR62,S62,BS62,IF(BY62="",BX62,BY62))))</f>
        <v/>
      </c>
      <c r="BU62" s="220"/>
      <c r="BV62" s="219" t="str">
        <f>IF(C62&gt;0,"",IF($C$3&gt;0,(((BS62)*S62)/32.2/T62)*((VLOOKUP(IF(BY62="",BX62,BY62),'Pipe Data'!F$7:G$19,2,FALSE))/12),(((BS62/60)*S62)/T62)*((VLOOKUP(IF(BY62="",BX62,BY62),'Pipe Data'!F$7:G$19,2,FALSE))/12)))</f>
        <v/>
      </c>
      <c r="BW62" s="218" t="str">
        <f>IF(C62&gt;0,"",IF($C$3&gt;0,IF(BV62&lt;2100,64/BV62,(0.25/(LOG(5.74/(BV62^0.9))+((VLOOKUP(BX62,'Pipe Data'!J$7:X$19,15,FALSE))/3.7))^2)),(0.25/(LOG(5.74/(BV62^0.9))+((VLOOKUP(IF(BY62="",BX62,BY62),'Pipe Data'!J$7:X$19,15,FALSE))/3.7))^2)))</f>
        <v/>
      </c>
      <c r="BX62" s="245" t="str">
        <f>IF(C62&gt;0,"",VLOOKUP(0.25,BY63:CA73,3,TRUE))</f>
        <v/>
      </c>
      <c r="BY62" s="244"/>
      <c r="BZ62" s="243" t="str">
        <f>IF(C62&gt;0,"",IF(BY62="",parea(BX62),parea(BY62)))</f>
        <v/>
      </c>
      <c r="CA62" s="314"/>
      <c r="CC62" s="313">
        <v>0</v>
      </c>
      <c r="CD62" s="316" t="str">
        <f>IF(C62&gt;0,"",IF($C$3&gt;0,BQ62*BZ62*7.481+IF(D62="Loop",0,VLOOKUP(E62,'Legend(DX)'!$H$8:$AT$16,36,FALSE)),S62*BQ62*BZ62+AZ62*BB62*BJ62+X62*Z62*(IF(W62&lt;&gt;"Double",AH62,AQ62+AV62))+IF(D62="Loop",0,VLOOKUP(E62,'Legend(DX)'!$H$8:$AT$16,36,FALSE))))</f>
        <v/>
      </c>
      <c r="CE62" s="242"/>
      <c r="CF62" s="241"/>
      <c r="CH62" s="213">
        <f>IF(OR(AB62&lt;($AB$44),AB62&gt;($AC$44)),1,0)</f>
        <v>1</v>
      </c>
      <c r="CI62" s="213">
        <f>IF(OR(BD62&lt;($BD$44),BD62&gt;($BE$44)),1,0)</f>
        <v>1</v>
      </c>
      <c r="CJ62" s="213">
        <f>IF(BN62&lt;($F$44),1,0)</f>
        <v>0</v>
      </c>
      <c r="CK62" s="213">
        <f>IF(AND((LEFT('Legend(DX)'!$U$1,1)="C"),BN62&gt;$F$44),0,IF(BO62&lt;($E$44),1,0))</f>
        <v>0</v>
      </c>
      <c r="CL62" s="213">
        <f>IF(AND((LEFT('Legend(DX)'!$U$1,1)="C"),BN62&gt;$F$44),0,IF(BP62&lt;($D$44),1,0))</f>
        <v>0</v>
      </c>
      <c r="CM62" s="213">
        <f>IF(BS62&gt;($BS$44),1,0)</f>
        <v>1</v>
      </c>
      <c r="CN62" s="213">
        <f>IF(BU62&gt;($BT$44),1,0)</f>
        <v>0</v>
      </c>
      <c r="CO62" s="213">
        <f>SUM(CH62:CN62)</f>
        <v>3</v>
      </c>
      <c r="CQ62" s="304" t="s">
        <v>171</v>
      </c>
      <c r="CR62" s="213">
        <f t="shared" ref="CR62:DC62" si="16">IF($W62="Single",IF($AG62="",IF($AF62=CR$8,$X62,0),IF($AG62=CR$8,$X62,0)),0)</f>
        <v>0</v>
      </c>
      <c r="CS62" s="213">
        <f t="shared" si="16"/>
        <v>0</v>
      </c>
      <c r="CT62" s="213">
        <f t="shared" si="16"/>
        <v>0</v>
      </c>
      <c r="CU62" s="213">
        <f t="shared" si="16"/>
        <v>0</v>
      </c>
      <c r="CV62" s="213">
        <f t="shared" si="16"/>
        <v>0</v>
      </c>
      <c r="CW62" s="213">
        <f t="shared" si="16"/>
        <v>0</v>
      </c>
      <c r="CX62" s="213">
        <f t="shared" si="16"/>
        <v>0</v>
      </c>
      <c r="CY62" s="213">
        <f t="shared" si="16"/>
        <v>0</v>
      </c>
      <c r="CZ62" s="213">
        <f t="shared" si="16"/>
        <v>0</v>
      </c>
      <c r="DA62" s="213">
        <f t="shared" si="16"/>
        <v>0</v>
      </c>
      <c r="DB62" s="213">
        <f t="shared" si="16"/>
        <v>0</v>
      </c>
      <c r="DC62" s="213">
        <f t="shared" si="16"/>
        <v>0</v>
      </c>
      <c r="DE62" s="304" t="str">
        <f>IF(AG62="",IF(X62=0,TEXT(AF62,"# 0/0")&amp;"*",TEXT(AF62,"# 0/0")),IF(X62=0,TEXT(AG62,"# 0/0")&amp;"*",TEXT(AG62,"# 0/0")))</f>
        <v>*</v>
      </c>
      <c r="DF62" s="25" t="str">
        <f>IF(AP62="",IF(X62=0,TEXT(AO62,"# 0/0")&amp;"*",TEXT(AO62,"# 0/0")),IF(X62=0,TEXT(AP62,"# 0/0")&amp;"*",TEXT(AP62,"# 0/0")))</f>
        <v>*</v>
      </c>
      <c r="DG62" s="25" t="str">
        <f>IF(AU62="",IF(X62=0,TEXT(AT62,"# 0/0")&amp;"*",TEXT(AT62,"# 0/0")),IF(X62=0,TEXT(AU62,"# 0/0")&amp;"*",TEXT(AU62,"# 0/0")))</f>
        <v>*</v>
      </c>
      <c r="DH62" s="1444" t="s">
        <v>1619</v>
      </c>
      <c r="DI62" s="440" t="str">
        <f>IF($BI62="",TEXT($BH62, "# 0/0"),TEXT($BI62, "# 0/0"))</f>
        <v/>
      </c>
      <c r="DJ62" s="1619"/>
      <c r="DK62" s="440" t="str">
        <f>IF($C$3&gt;0,R62,IF(W62="Double",DF62 &amp; " &amp; " &amp; DG62,DE62))</f>
        <v>*</v>
      </c>
      <c r="DL62" s="1619"/>
      <c r="DM62" s="440" t="str">
        <f>IF($BY62="",IF($C$3&gt;0,$BX62-0.125,TEXT($BX62, "# 0/0")),IF($C$3&gt;0,$BY62-0.125,TEXT($BY62, "# 0/0")))</f>
        <v/>
      </c>
      <c r="DN62" s="1619"/>
      <c r="DO62" s="440" t="str">
        <f>IF($C$3&gt;0,2*$BQ62,$BQ62)</f>
        <v/>
      </c>
      <c r="DP62" s="433"/>
      <c r="DQ62" s="433"/>
      <c r="DR62" s="1253" t="str">
        <f>J62</f>
        <v/>
      </c>
      <c r="DS62" s="1253" t="str">
        <f>IF(C62&gt;0,"",(Pressure($B$3,"Tliq","e",$J62)+Pressure($B$3,"Tvap","e",$J62))/2)</f>
        <v/>
      </c>
      <c r="DT62" s="1253" t="str">
        <f>IF(C62&gt;0,"",Pressure($B$3,"tvap","e",$J62+0.5*$DZ62))</f>
        <v/>
      </c>
      <c r="DU62" s="1253" t="str">
        <f>I62</f>
        <v/>
      </c>
      <c r="DV62" s="1253" t="str">
        <f>IF(C62&gt;0,"",(Pressure($B$3,"Tliq","e",$I62)+Pressure($B$3,"Tvap","e",$I62))/2)</f>
        <v/>
      </c>
      <c r="DW62" s="1253" t="str">
        <f>IF(C62&gt;0,"",Pressure($B$3,"tvap","e",$I62+0.5*$DZ62))</f>
        <v/>
      </c>
      <c r="DX62" s="1260" t="str">
        <f>IF(C62&gt;0,"",1-(Enthalpy($B$3,"pvap","e",$DV62)-(IF($G$4+0.5*($DR$44)&gt;($H$44),Enthalpy($B$3,"Tliq","e",($G$44)),Enthalpy($B$3,"tp","e",($G$44),($I$44)))))/(Enthalpy($B$3,"pvap","e",$DV62)-Enthalpy($B$3,"pliq","e",$DV62)))</f>
        <v/>
      </c>
      <c r="DY62" s="1253" t="str">
        <f>IF(C62&gt;0,"",TEMPERATURE($B$3,"pvap","e",$DS62)-TEMPERATURE($B$3,"pliq","e",$DS62))</f>
        <v/>
      </c>
      <c r="DZ62" s="1253" t="e">
        <f>IF($B$3="R744",0.001,(1-$DX62)*$DY62)</f>
        <v>#VALUE!</v>
      </c>
      <c r="EA62" s="1261"/>
      <c r="EB62" s="1262" t="e">
        <f ca="1">T62/AA62</f>
        <v>#VALUE!</v>
      </c>
      <c r="EC62" s="1260" t="e">
        <f ca="1">1/(((1/($J$44))/Z62)+((1-(1/($J$44)))/S62))</f>
        <v>#VALUE!</v>
      </c>
      <c r="ED62" s="1263" t="e">
        <f>SQRT(AH62*4/PI())</f>
        <v>#VALUE!</v>
      </c>
      <c r="EE62" s="1262" t="e">
        <f ca="1">(((U62/AH62)^2)*ED62)*(1/3600)*(1/3600)/(EC62*SurfaceTension($B$3,"TLIQ","E",I62))/32.174</f>
        <v>#VALUE!</v>
      </c>
      <c r="EF62" s="1260" t="e">
        <f ca="1">((S62/Z62)^0.91)*((AA62/T62)^0.19)*((1-(AA62/T62))^0.7)</f>
        <v>#VALUE!</v>
      </c>
      <c r="EG62" s="1264" t="e">
        <f>((1/($J$44))^0.78)*((1-(1/($J$44)))^0.224)</f>
        <v>#VALUE!</v>
      </c>
      <c r="EH62" s="1260" t="e">
        <f ca="1">(1-(1/($J$44)))^2+(((1/($J$44))^2)*S62*AE62/(Z62*EM62))</f>
        <v>#VALUE!</v>
      </c>
      <c r="EI62" s="1262" t="e">
        <f ca="1">((U62/AH62)^2)*(1/3600)*(1/3600)/(32.174*ED62*(EC62^2))</f>
        <v>#VALUE!</v>
      </c>
      <c r="EJ62" s="1253" t="e">
        <f ca="1">EH62+(3.24*EG62*EF62/((EI62^0.045)*(EE62^0.035)))</f>
        <v>#VALUE!</v>
      </c>
      <c r="EK62" s="1260" t="e">
        <f>vel(U62,S62,AH62)</f>
        <v>#VALUE!</v>
      </c>
      <c r="EL62" s="1262" t="e">
        <f ca="1">(((EK62/60)*S62)/T62)*((VLOOKUP(IF(AG62="",AF62,AG62),'Pipe Data'!F$7:G$19,2,FALSE))/12)</f>
        <v>#VALUE!</v>
      </c>
      <c r="EM62" s="1264" t="e">
        <f ca="1">(0.25/(LOG(5.74/(EL62^0.9))+((VLOOKUP(IF(AG62="",AF62,AG62),'Pipe Data'!J$7:X$19,15,FALSE))/3.7))^2)</f>
        <v>#VALUE!</v>
      </c>
      <c r="EN62" s="1264" t="e">
        <f ca="1">pdrop(EM62,Y62,S62,EK62,IF(AG62="",AF62,AG62))</f>
        <v>#VALUE!</v>
      </c>
      <c r="EO62" s="1260" t="e">
        <f ca="1">EN62*EJ62</f>
        <v>#VALUE!</v>
      </c>
      <c r="EP62" s="1261"/>
      <c r="EQ62" s="1263" t="e">
        <f>SQRT(BJ62*4/PI())</f>
        <v>#VALUE!</v>
      </c>
      <c r="ER62" s="1262" t="e">
        <f ca="1">(((U62/BJ62)^2)*EQ62)*(1/3600)*(1/3600)/(EC62*SurfaceTension($B$3,"TLIQ","E",I62))/32.174</f>
        <v>#VALUE!</v>
      </c>
      <c r="ES62" s="1260" t="e">
        <f ca="1">(1-(1/($J$44)))^2+(((1/($J$44))^2)*S62*BG62/(Z62*EM62))</f>
        <v>#VALUE!</v>
      </c>
      <c r="ET62" s="1253" t="e">
        <f ca="1">((U62/BJ62)^2)*(1/3600)*(1/3600)/(32.174*EQ62*(EC62^2))</f>
        <v>#VALUE!</v>
      </c>
      <c r="EU62" s="1260" t="e">
        <f ca="1">ES62+(3.24*EG62*EF62/((ET62^0.045)*(ER62^0.035)))</f>
        <v>#VALUE!</v>
      </c>
      <c r="EV62" s="1260" t="e">
        <f>vel(U62,S62,BJ62)</f>
        <v>#VALUE!</v>
      </c>
      <c r="EW62" s="1262" t="e">
        <f ca="1">(((EV62/60)*S62)/T62)*((VLOOKUP(IF(BI62="",BH62,BI62),'Pipe Data'!F$7:G$19,2,FALSE))/12)</f>
        <v>#VALUE!</v>
      </c>
      <c r="EX62" s="1264" t="e">
        <f ca="1">(0.25/(LOG(5.74/(EW62^0.9))+((VLOOKUP(IF(BI62="",BH62,BI62),'Pipe Data'!J$7:X$19,15,FALSE))/3.7))^2)</f>
        <v>#VALUE!</v>
      </c>
      <c r="EY62" s="1260" t="e">
        <f ca="1">pdrop(EX62,BA62,S62,EV62,IF(BI62="",BH62,BI62))</f>
        <v>#VALUE!</v>
      </c>
      <c r="EZ62" s="1260" t="e">
        <f ca="1">EY62*EU62</f>
        <v>#VALUE!</v>
      </c>
      <c r="FA62" s="213">
        <f>IF(AND(AB62&gt;$AB$5,AB62&lt;($AB$4)),1,0)</f>
        <v>0</v>
      </c>
      <c r="FB62" s="304">
        <f>IF(OR(AND(BD62&gt;$BD$5,BD62&lt;($BD$4)),AND(BD62&lt;$BE$5,BD62&gt;($BE$4))),1,0)</f>
        <v>0</v>
      </c>
      <c r="FC62" s="304">
        <f>IF(AND(BS62&lt;$BS$4,BS62&gt;($BS$5)),1,0)</f>
        <v>0</v>
      </c>
      <c r="FD62" s="213">
        <f>IF(AND(AR62&gt;$AR$5,AR62&lt;($AR$4)),1,0)</f>
        <v>0</v>
      </c>
      <c r="FE62" s="304">
        <f>IF(OR(AR62&lt;($AR$5),AR62&gt;($AS$4)),1,0)</f>
        <v>1</v>
      </c>
      <c r="FF62" s="213">
        <f>IF(AND(AW62&gt;$AR$5,AW62&lt;($AR$4)),1,0)</f>
        <v>0</v>
      </c>
      <c r="FG62" s="304">
        <f>IF(OR(AW62&lt;($AR$5),AW62&gt;($AS$4)),1,0)</f>
        <v>1</v>
      </c>
    </row>
    <row r="63" spans="1:163" ht="12.75" hidden="1" customHeight="1" x14ac:dyDescent="0.2">
      <c r="A63" s="240"/>
      <c r="B63" s="240"/>
      <c r="C63" s="240"/>
      <c r="D63" s="236"/>
      <c r="E63" s="235"/>
      <c r="F63" s="234"/>
      <c r="G63" s="234"/>
      <c r="H63" s="221"/>
      <c r="I63" s="221"/>
      <c r="J63" s="221"/>
      <c r="K63" s="221"/>
      <c r="L63" s="221"/>
      <c r="M63" s="223"/>
      <c r="N63" s="223"/>
      <c r="O63" s="223"/>
      <c r="P63" s="223"/>
      <c r="Q63" s="224"/>
      <c r="R63" s="223"/>
      <c r="S63" s="223"/>
      <c r="T63" s="227"/>
      <c r="U63" s="224"/>
      <c r="V63" s="224"/>
      <c r="W63" s="222"/>
      <c r="X63" s="229"/>
      <c r="Y63" s="221"/>
      <c r="Z63" s="228"/>
      <c r="AA63" s="227"/>
      <c r="AB63" s="219" t="str">
        <f>IF(C62&gt;0,"",IF(($J$44)&gt;1,vel(U62,EC62,AH63),vel(U62,Z62,AH63)))</f>
        <v/>
      </c>
      <c r="AC63" s="220" t="str">
        <f>IF(C62&gt;0,"",pdrop(AE63,Y62,Z62,AB63,AF63))</f>
        <v/>
      </c>
      <c r="AD63" s="219" t="str">
        <f>IF(C62&gt;0,"",(((AB63/60)*Z62)/AA62)*(VLOOKUP(AF63,'Pipe Data'!F$7:G$19,2,FALSE))/12)</f>
        <v/>
      </c>
      <c r="AE63" s="218" t="str">
        <f>IF(C62&gt;0,"",(0.25/(LOG(5.74/(AD63^0.9))+((VLOOKUP(AF63,'Pipe Data'!J$7:X$19,15,FALSE))/3.7))^2))</f>
        <v/>
      </c>
      <c r="AF63" s="216">
        <v>4.125</v>
      </c>
      <c r="AH63" s="217">
        <v>8.1138442517193113E-2</v>
      </c>
      <c r="AI63" s="239"/>
      <c r="AJ63" s="238"/>
      <c r="AK63" s="228"/>
      <c r="AL63" s="223"/>
      <c r="AM63" s="230"/>
      <c r="AN63" s="228"/>
      <c r="AO63" s="232"/>
      <c r="AQ63" s="231"/>
      <c r="AR63" s="230"/>
      <c r="AS63" s="224"/>
      <c r="AT63" s="232"/>
      <c r="AV63" s="231"/>
      <c r="AW63" s="230"/>
      <c r="AX63" s="222"/>
      <c r="AY63" s="224"/>
      <c r="AZ63" s="229"/>
      <c r="BA63" s="221"/>
      <c r="BB63" s="228"/>
      <c r="BC63" s="227"/>
      <c r="BD63" s="219" t="str">
        <f>IF(C62&gt;0,"",IF(($J$44)&gt;1,vel(U62,EC62,BJ63),vel(U62,Z62,BJ63)))</f>
        <v/>
      </c>
      <c r="BE63" s="220" t="str">
        <f>IF(C62&gt;0,"",IF(($J$44)&gt;1,EZ62,pdrop(BG63,BA62,Z62,BD63,BH63)))</f>
        <v/>
      </c>
      <c r="BF63" s="219" t="str">
        <f>IF(C62&gt;0,"",(((BD63/60)*Z62)/$AA$12)*((VLOOKUP(BH63,'Pipe Data'!F$7:G$19,2,FALSE))/12))</f>
        <v/>
      </c>
      <c r="BG63" s="218" t="str">
        <f>IF(C62&gt;0,"",(0.25/(LOG(5.74/(BF63^0.9))+((VLOOKUP(BH63,'Pipe Data'!J$7:X$19,15,FALSE))/3.7))^2))</f>
        <v/>
      </c>
      <c r="BH63" s="216">
        <v>4.125</v>
      </c>
      <c r="BI63" s="25">
        <f t="shared" ref="BI63:BI72" si="17">IF(BD63&gt;($BD$44),1,0)</f>
        <v>1</v>
      </c>
      <c r="BJ63" s="217">
        <v>8.1138442517193113E-2</v>
      </c>
      <c r="BK63" s="237">
        <v>4.125</v>
      </c>
      <c r="BL63" s="224"/>
      <c r="BM63" s="224"/>
      <c r="BN63" s="224"/>
      <c r="BO63" s="223"/>
      <c r="BP63" s="222"/>
      <c r="BQ63" s="221"/>
      <c r="BR63" s="221"/>
      <c r="BS63" s="219" t="str">
        <f>IF(C62&gt;0,"",IF($C$3&gt;0,vel(U62,S62,BZ63)/60,vel(U62,S62,BZ63)))</f>
        <v/>
      </c>
      <c r="BT63" s="220" t="str">
        <f>IF(C62&gt;0,"",IF($C$3&gt;0,2.31*pdrop(BW63,BR62,S62,60*BS63,BX63),pdrop(BW63,BR62,S62,BS63,BX63)))</f>
        <v/>
      </c>
      <c r="BU63" s="220"/>
      <c r="BV63" s="219" t="str">
        <f>IF(C62&gt;0,"",IF($C$3&gt;0,(((BS63)*S62)/32.2/T62)*((VLOOKUP(BX63,'Pipe Data'!F$7:G$19,2,FALSE))/12),(((BS63/60)*S62)/T62)*((VLOOKUP(BX63,'Pipe Data'!F$7:G$19,2,FALSE))/12)))</f>
        <v/>
      </c>
      <c r="BW63" s="218" t="str">
        <f>IF(C62&gt;0,"",IF($C$3&gt;0,IF(BV63&lt;2100,64/BV63,(0.25/(LOG(5.74/(BV63^0.9))+((VLOOKUP(BX63,'Pipe Data'!J$7:X$19,15,FALSE))/3.7))^2)),(0.25/(LOG(5.74/(BV63^0.9))+((VLOOKUP(BX63,'Pipe Data'!J$7:X$19,15,FALSE))/3.7))^2)))</f>
        <v/>
      </c>
      <c r="BX63" s="216">
        <v>4.125</v>
      </c>
      <c r="BY63" s="25" t="str">
        <f>IF(C62&gt;0,"",IF($C$3&gt;0,IF(BT63/BR62&lt;=$BY$44/100,0,1),IF(AND(BS63&lt;($BS$44),BT63&lt;($BT$44)),0,1)))</f>
        <v/>
      </c>
      <c r="BZ63" s="217">
        <v>8.1138442517193113E-2</v>
      </c>
      <c r="CA63" s="237">
        <v>4.125</v>
      </c>
      <c r="CC63" s="313"/>
      <c r="CD63" s="317"/>
      <c r="CE63" s="215"/>
      <c r="CF63" s="214"/>
      <c r="CQ63" s="304" t="s">
        <v>154</v>
      </c>
      <c r="CR63" s="213">
        <f t="shared" ref="CR63:DC63" si="18">IF($BI62="",IF($BH62=CR$8,$AZ62,0),IF($BI62=CR$8,$AZ62,0))</f>
        <v>0</v>
      </c>
      <c r="CS63" s="213">
        <f t="shared" si="18"/>
        <v>0</v>
      </c>
      <c r="CT63" s="213">
        <f t="shared" si="18"/>
        <v>0</v>
      </c>
      <c r="CU63" s="213">
        <f t="shared" si="18"/>
        <v>0</v>
      </c>
      <c r="CV63" s="213">
        <f t="shared" si="18"/>
        <v>0</v>
      </c>
      <c r="CW63" s="213">
        <f t="shared" si="18"/>
        <v>0</v>
      </c>
      <c r="CX63" s="213">
        <f t="shared" si="18"/>
        <v>0</v>
      </c>
      <c r="CY63" s="213">
        <f t="shared" si="18"/>
        <v>0</v>
      </c>
      <c r="CZ63" s="213">
        <f t="shared" si="18"/>
        <v>0</v>
      </c>
      <c r="DA63" s="213">
        <f t="shared" si="18"/>
        <v>0</v>
      </c>
      <c r="DB63" s="213">
        <f t="shared" si="18"/>
        <v>0</v>
      </c>
      <c r="DC63" s="213">
        <f t="shared" si="18"/>
        <v>0</v>
      </c>
      <c r="DJ63" s="1620"/>
      <c r="DK63" s="440"/>
      <c r="DL63" s="1619"/>
      <c r="DN63" s="1620"/>
      <c r="DR63" s="1231"/>
      <c r="DS63" s="213"/>
      <c r="DT63" s="213"/>
      <c r="DU63" s="213"/>
      <c r="DV63" s="213"/>
      <c r="DW63" s="213"/>
      <c r="DX63" s="213"/>
      <c r="DY63" s="213"/>
      <c r="DZ63" s="213"/>
      <c r="EA63" s="213"/>
      <c r="EB63" s="213"/>
      <c r="EC63" s="213"/>
      <c r="ED63" s="213"/>
      <c r="EE63" s="213"/>
      <c r="EF63" s="213"/>
      <c r="EG63" s="213"/>
      <c r="EH63" s="213"/>
      <c r="EI63" s="213"/>
      <c r="EJ63" s="213"/>
      <c r="EK63" s="213"/>
      <c r="EL63" s="213"/>
      <c r="EM63" s="213"/>
      <c r="EN63" s="213"/>
      <c r="EO63" s="213"/>
      <c r="EP63" s="213"/>
      <c r="EQ63" s="213"/>
      <c r="ER63" s="213"/>
      <c r="ES63" s="213"/>
      <c r="ET63" s="213"/>
      <c r="EU63" s="213"/>
      <c r="EV63" s="213"/>
      <c r="EW63" s="213"/>
      <c r="EX63" s="213"/>
      <c r="EY63" s="213"/>
      <c r="EZ63" s="213"/>
    </row>
    <row r="64" spans="1:163" ht="12.75" hidden="1" customHeight="1" x14ac:dyDescent="0.2">
      <c r="D64" s="236"/>
      <c r="E64" s="235"/>
      <c r="F64" s="234"/>
      <c r="G64" s="234"/>
      <c r="H64" s="221"/>
      <c r="I64" s="221"/>
      <c r="J64" s="221"/>
      <c r="K64" s="221"/>
      <c r="L64" s="221"/>
      <c r="M64" s="223"/>
      <c r="N64" s="223"/>
      <c r="O64" s="223"/>
      <c r="P64" s="223"/>
      <c r="Q64" s="224"/>
      <c r="R64" s="223"/>
      <c r="S64" s="223"/>
      <c r="T64" s="227"/>
      <c r="U64" s="224"/>
      <c r="V64" s="224"/>
      <c r="W64" s="222"/>
      <c r="X64" s="229"/>
      <c r="Y64" s="221"/>
      <c r="Z64" s="228"/>
      <c r="AA64" s="227"/>
      <c r="AB64" s="219" t="str">
        <f>IF(C62&gt;0,"",IF(($J$44)&gt;1,vel(U62,EC62,AH64),vel(U62,Z62,AH64)))</f>
        <v/>
      </c>
      <c r="AC64" s="220" t="str">
        <f>IF(C62&gt;0,"",pdrop(AE64,Y62,Z62,AB64,AF64))</f>
        <v/>
      </c>
      <c r="AD64" s="219" t="str">
        <f>IF(C62&gt;0,"",(((AB64/60)*Z62)/AA62)*(VLOOKUP(AF64,'Pipe Data'!F$7:G$19,2,FALSE))/12)</f>
        <v/>
      </c>
      <c r="AE64" s="218" t="str">
        <f>IF(C62&gt;0,"",(0.25/(LOG(5.74/(AD64^0.9))+((VLOOKUP(AF64,'Pipe Data'!J$7:X$19,15,FALSE))/3.7))^2))</f>
        <v/>
      </c>
      <c r="AF64" s="216">
        <v>3.625</v>
      </c>
      <c r="AH64" s="217">
        <v>6.2494922713852256E-2</v>
      </c>
      <c r="AI64" s="239"/>
      <c r="AJ64" s="238"/>
      <c r="AK64" s="228"/>
      <c r="AL64" s="223"/>
      <c r="AM64" s="230"/>
      <c r="AN64" s="228"/>
      <c r="AO64" s="232"/>
      <c r="AQ64" s="231"/>
      <c r="AR64" s="230"/>
      <c r="AS64" s="224"/>
      <c r="AT64" s="232"/>
      <c r="AV64" s="231"/>
      <c r="AW64" s="230"/>
      <c r="AX64" s="222"/>
      <c r="AY64" s="224"/>
      <c r="AZ64" s="229"/>
      <c r="BA64" s="221"/>
      <c r="BB64" s="228"/>
      <c r="BC64" s="227"/>
      <c r="BD64" s="219" t="str">
        <f>IF(C62&gt;0,"",IF(($J$44)&gt;1,vel(U62,EC62,BJ64),vel(U62,Z62,BJ64)))</f>
        <v/>
      </c>
      <c r="BE64" s="220" t="str">
        <f>IF(C62&gt;0,"",IF(($J$44)&gt;1,EZ62,pdrop(BG64,BA62,Z62,BD64,BH64)))</f>
        <v/>
      </c>
      <c r="BF64" s="219" t="str">
        <f>IF(C62&gt;0,"",(((BD64/60)*Z62)/$AA$12)*((VLOOKUP(BH64,'Pipe Data'!F$7:G$19,2,FALSE))/12))</f>
        <v/>
      </c>
      <c r="BG64" s="218" t="str">
        <f>IF(C62&gt;0,"",(0.25/(LOG(5.74/(BF64^0.9))+((VLOOKUP(BH64,'Pipe Data'!J$7:X$19,15,FALSE))/3.7))^2))</f>
        <v/>
      </c>
      <c r="BH64" s="216">
        <v>3.625</v>
      </c>
      <c r="BI64" s="25">
        <f t="shared" si="17"/>
        <v>1</v>
      </c>
      <c r="BJ64" s="217">
        <v>6.2494922713852256E-2</v>
      </c>
      <c r="BK64" s="237">
        <v>3.625</v>
      </c>
      <c r="BL64" s="224"/>
      <c r="BM64" s="224"/>
      <c r="BN64" s="224"/>
      <c r="BO64" s="223"/>
      <c r="BP64" s="222"/>
      <c r="BQ64" s="221"/>
      <c r="BR64" s="221"/>
      <c r="BS64" s="219" t="str">
        <f>IF(C62&gt;0,"",IF($C$3&gt;0,vel(U62,S62,BZ64)/60,vel(U62,S62,BZ64)))</f>
        <v/>
      </c>
      <c r="BT64" s="220" t="str">
        <f>IF(C62&gt;0,"",IF($C$3&gt;0,2.31*pdrop(BW64,BR62,S62,60*BS64,BX64),pdrop(BW64,BR62,S62,BS64,BX64)))</f>
        <v/>
      </c>
      <c r="BU64" s="220"/>
      <c r="BV64" s="219" t="str">
        <f>IF(C62&gt;0,"",IF($C$3&gt;0,(((BS64)*S62)/32.2/T62)*((VLOOKUP(BX64,'Pipe Data'!F$7:G$19,2,FALSE))/12),(((BS64/60)*S62)/T62)*((VLOOKUP(BX64,'Pipe Data'!F$7:G$19,2,FALSE))/12)))</f>
        <v/>
      </c>
      <c r="BW64" s="218" t="str">
        <f>IF(C62&gt;0,"",IF($C$3&gt;0,IF(BV64&lt;2100,64/BV64,(0.25/(LOG(5.74/(BV64^0.9))+((VLOOKUP(BX64,'Pipe Data'!J$7:X$19,15,FALSE))/3.7))^2)),(0.25/(LOG(5.74/(BV64^0.9))+((VLOOKUP(BX64,'Pipe Data'!J$7:X$19,15,FALSE))/3.7))^2)))</f>
        <v/>
      </c>
      <c r="BX64" s="216">
        <v>3.625</v>
      </c>
      <c r="BY64" s="25" t="str">
        <f>IF(C62&gt;0,"",IF($C$3&gt;0,IF(BT64/BR62&lt;=$BY$44/100,0,1),IF(AND(BS64&lt;($BS$44),BT64&lt;($BT$44)),0,1)))</f>
        <v/>
      </c>
      <c r="BZ64" s="217">
        <v>6.2494922713852256E-2</v>
      </c>
      <c r="CA64" s="237">
        <v>3.625</v>
      </c>
      <c r="CC64" s="313"/>
      <c r="CD64" s="317"/>
      <c r="CE64" s="215"/>
      <c r="CF64" s="214"/>
      <c r="CQ64" s="304" t="s">
        <v>155</v>
      </c>
      <c r="CR64" s="213">
        <f t="shared" ref="CR64:DC64" si="19">IF($BY62="",IF($BX62=CR$8,$BQ62,0),IF($BY62=CR$8,$BQ62,0))</f>
        <v>0</v>
      </c>
      <c r="CS64" s="213">
        <f t="shared" si="19"/>
        <v>0</v>
      </c>
      <c r="CT64" s="213">
        <f t="shared" si="19"/>
        <v>0</v>
      </c>
      <c r="CU64" s="213">
        <f t="shared" si="19"/>
        <v>0</v>
      </c>
      <c r="CV64" s="213">
        <f t="shared" si="19"/>
        <v>0</v>
      </c>
      <c r="CW64" s="213">
        <f t="shared" si="19"/>
        <v>0</v>
      </c>
      <c r="CX64" s="213">
        <f t="shared" si="19"/>
        <v>0</v>
      </c>
      <c r="CY64" s="213">
        <f t="shared" si="19"/>
        <v>0</v>
      </c>
      <c r="CZ64" s="213">
        <f t="shared" si="19"/>
        <v>0</v>
      </c>
      <c r="DA64" s="213">
        <f t="shared" si="19"/>
        <v>0</v>
      </c>
      <c r="DB64" s="213">
        <f t="shared" si="19"/>
        <v>0</v>
      </c>
      <c r="DC64" s="213">
        <f t="shared" si="19"/>
        <v>0</v>
      </c>
      <c r="DJ64" s="1620"/>
      <c r="DK64" s="440"/>
      <c r="DL64" s="1619"/>
      <c r="DN64" s="1620"/>
      <c r="DR64" s="1231"/>
      <c r="DS64" s="213"/>
      <c r="DT64" s="213"/>
      <c r="DU64" s="213"/>
      <c r="DV64" s="213"/>
      <c r="DW64" s="213"/>
      <c r="DX64" s="213"/>
      <c r="DY64" s="213"/>
      <c r="DZ64" s="213"/>
      <c r="EA64" s="213"/>
      <c r="EB64" s="213"/>
      <c r="EC64" s="213"/>
      <c r="ED64" s="213"/>
      <c r="EE64" s="213"/>
      <c r="EF64" s="213"/>
      <c r="EG64" s="213"/>
      <c r="EH64" s="213"/>
      <c r="EI64" s="213"/>
      <c r="EJ64" s="213"/>
      <c r="EK64" s="213"/>
      <c r="EL64" s="213"/>
      <c r="EM64" s="213"/>
      <c r="EN64" s="213"/>
      <c r="EO64" s="213"/>
      <c r="EP64" s="213"/>
      <c r="EQ64" s="213"/>
      <c r="ER64" s="213"/>
      <c r="ES64" s="213"/>
      <c r="ET64" s="213"/>
      <c r="EU64" s="213"/>
      <c r="EV64" s="213"/>
      <c r="EW64" s="213"/>
      <c r="EX64" s="213"/>
      <c r="EY64" s="213"/>
      <c r="EZ64" s="213"/>
    </row>
    <row r="65" spans="1:156" ht="12.75" hidden="1" customHeight="1" x14ac:dyDescent="0.2">
      <c r="D65" s="236"/>
      <c r="E65" s="235"/>
      <c r="F65" s="234"/>
      <c r="G65" s="234"/>
      <c r="H65" s="221"/>
      <c r="I65" s="221"/>
      <c r="J65" s="221"/>
      <c r="K65" s="221"/>
      <c r="L65" s="221"/>
      <c r="M65" s="223"/>
      <c r="N65" s="223"/>
      <c r="O65" s="223"/>
      <c r="P65" s="223"/>
      <c r="Q65" s="224"/>
      <c r="R65" s="223"/>
      <c r="S65" s="223"/>
      <c r="T65" s="227"/>
      <c r="U65" s="224"/>
      <c r="V65" s="224"/>
      <c r="W65" s="222"/>
      <c r="X65" s="229"/>
      <c r="Y65" s="221"/>
      <c r="Z65" s="228"/>
      <c r="AA65" s="227"/>
      <c r="AB65" s="219" t="str">
        <f>IF(C62&gt;0,"",IF(($J$44)&gt;1,vel(U62,EC62,AH65),vel(U62,Z62,AH65)))</f>
        <v/>
      </c>
      <c r="AC65" s="220" t="str">
        <f>IF(C62&gt;0,"",pdrop(AE65,Y62,Z62,AB65,AF65))</f>
        <v/>
      </c>
      <c r="AD65" s="219" t="str">
        <f>IF(C62&gt;0,"",(((AB65/60)*Z62)/AA62)*(VLOOKUP(AF65,'Pipe Data'!F$7:G$19,2,FALSE))/12)</f>
        <v/>
      </c>
      <c r="AE65" s="218" t="str">
        <f>IF(C62&gt;0,"",(0.25/(LOG(5.74/(AD65^0.9))+((VLOOKUP(AF65,'Pipe Data'!J$7:X$19,15,FALSE))/3.7))^2))</f>
        <v/>
      </c>
      <c r="AF65" s="216">
        <v>3.125</v>
      </c>
      <c r="AH65" s="217">
        <v>4.6091140306364464E-2</v>
      </c>
      <c r="AI65" s="239"/>
      <c r="AJ65" s="238"/>
      <c r="AK65" s="228"/>
      <c r="AL65" s="223"/>
      <c r="AM65" s="230"/>
      <c r="AN65" s="228"/>
      <c r="AO65" s="232"/>
      <c r="AQ65" s="231"/>
      <c r="AR65" s="230"/>
      <c r="AS65" s="224"/>
      <c r="AT65" s="232"/>
      <c r="AV65" s="231"/>
      <c r="AW65" s="230"/>
      <c r="AX65" s="222"/>
      <c r="AY65" s="224"/>
      <c r="AZ65" s="229"/>
      <c r="BA65" s="221"/>
      <c r="BB65" s="228"/>
      <c r="BC65" s="227"/>
      <c r="BD65" s="219" t="str">
        <f>IF(C62&gt;0,"",IF(($J$44)&gt;1,vel(U62,EC62,BJ65),vel(U62,Z62,BJ65)))</f>
        <v/>
      </c>
      <c r="BE65" s="220" t="str">
        <f>IF(C62&gt;0,"",IF(($J$44)&gt;1,EZ62,pdrop(BG65,BA62,Z62,BD65,BH65)))</f>
        <v/>
      </c>
      <c r="BF65" s="219" t="str">
        <f>IF(C62&gt;0,"",(((BD65/60)*Z62)/$AA$12)*((VLOOKUP(BH65,'Pipe Data'!F$7:G$19,2,FALSE))/12))</f>
        <v/>
      </c>
      <c r="BG65" s="218" t="str">
        <f>IF(C62&gt;0,"",(0.25/(LOG(5.74/(BF65^0.9))+((VLOOKUP(BH65,'Pipe Data'!J$7:X$19,15,FALSE))/3.7))^2))</f>
        <v/>
      </c>
      <c r="BH65" s="216">
        <v>3.125</v>
      </c>
      <c r="BI65" s="25">
        <f t="shared" si="17"/>
        <v>1</v>
      </c>
      <c r="BJ65" s="217">
        <v>4.6091140306364464E-2</v>
      </c>
      <c r="BK65" s="237">
        <v>3.125</v>
      </c>
      <c r="BL65" s="224"/>
      <c r="BM65" s="224"/>
      <c r="BN65" s="224"/>
      <c r="BO65" s="223"/>
      <c r="BP65" s="222"/>
      <c r="BQ65" s="221"/>
      <c r="BR65" s="221"/>
      <c r="BS65" s="219" t="str">
        <f>IF(C62&gt;0,"",IF($C$3&gt;0,vel(U62,S62,BZ65)/60,vel(U62,S62,BZ65)))</f>
        <v/>
      </c>
      <c r="BT65" s="220" t="str">
        <f>IF(C62&gt;0,"",IF($C$3&gt;0,2.31*pdrop(BW65,BR62,S62,60*BS65,BX65),pdrop(BW65,BR62,S62,BS65,BX65)))</f>
        <v/>
      </c>
      <c r="BU65" s="220"/>
      <c r="BV65" s="219" t="str">
        <f>IF(C62&gt;0,"",IF($C$3&gt;0,(((BS65)*S62)/32.2/T62)*((VLOOKUP(BX65,'Pipe Data'!F$7:G$19,2,FALSE))/12),(((BS65/60)*S62)/T62)*((VLOOKUP(BX65,'Pipe Data'!F$7:G$19,2,FALSE))/12)))</f>
        <v/>
      </c>
      <c r="BW65" s="218" t="str">
        <f>IF(C62&gt;0,"",IF($C$3&gt;0,IF(BV65&lt;2100,64/BV65,(0.25/(LOG(5.74/(BV65^0.9))+((VLOOKUP(BX65,'Pipe Data'!J$7:X$19,15,FALSE))/3.7))^2)),(0.25/(LOG(5.74/(BV65^0.9))+((VLOOKUP(BX65,'Pipe Data'!J$7:X$19,15,FALSE))/3.7))^2)))</f>
        <v/>
      </c>
      <c r="BX65" s="216">
        <v>3.125</v>
      </c>
      <c r="BY65" s="25" t="str">
        <f>IF(C62&gt;0,"",IF($C$3&gt;0,IF(BT65/BR62&lt;=$BY$44/100,0,1),IF(AND(BS65&lt;($BS$44),BT65&lt;($BT$44)),0,1)))</f>
        <v/>
      </c>
      <c r="BZ65" s="217">
        <v>4.6091140306364464E-2</v>
      </c>
      <c r="CA65" s="237">
        <v>3.125</v>
      </c>
      <c r="CC65" s="313"/>
      <c r="CD65" s="317"/>
      <c r="CE65" s="215"/>
      <c r="CF65" s="214"/>
      <c r="CQ65" s="25" t="s">
        <v>172</v>
      </c>
      <c r="CR65" s="213">
        <f t="shared" ref="CR65:DC65" si="20">IF($W62="double",IF($AP62="",IF($AO62=CR$8,$X62,0),IF($AP62=CR$8,$X62,0)),0)</f>
        <v>0</v>
      </c>
      <c r="CS65" s="213">
        <f t="shared" si="20"/>
        <v>0</v>
      </c>
      <c r="CT65" s="213">
        <f t="shared" si="20"/>
        <v>0</v>
      </c>
      <c r="CU65" s="213">
        <f t="shared" si="20"/>
        <v>0</v>
      </c>
      <c r="CV65" s="213">
        <f t="shared" si="20"/>
        <v>0</v>
      </c>
      <c r="CW65" s="213">
        <f t="shared" si="20"/>
        <v>0</v>
      </c>
      <c r="CX65" s="213">
        <f t="shared" si="20"/>
        <v>0</v>
      </c>
      <c r="CY65" s="213">
        <f t="shared" si="20"/>
        <v>0</v>
      </c>
      <c r="CZ65" s="213">
        <f t="shared" si="20"/>
        <v>0</v>
      </c>
      <c r="DA65" s="213">
        <f t="shared" si="20"/>
        <v>0</v>
      </c>
      <c r="DB65" s="213">
        <f t="shared" si="20"/>
        <v>0</v>
      </c>
      <c r="DC65" s="213">
        <f t="shared" si="20"/>
        <v>0</v>
      </c>
      <c r="DJ65" s="1620"/>
      <c r="DK65" s="440"/>
      <c r="DL65" s="1619"/>
      <c r="DN65" s="1620"/>
      <c r="DR65" s="1231"/>
      <c r="DS65" s="213"/>
      <c r="DT65" s="213"/>
      <c r="DU65" s="213"/>
      <c r="DV65" s="213"/>
      <c r="DW65" s="213"/>
      <c r="DX65" s="213"/>
      <c r="DY65" s="213"/>
      <c r="DZ65" s="213"/>
      <c r="EA65" s="213"/>
      <c r="EB65" s="213"/>
      <c r="EC65" s="213"/>
      <c r="ED65" s="213"/>
      <c r="EE65" s="213"/>
      <c r="EF65" s="213"/>
      <c r="EG65" s="213"/>
      <c r="EH65" s="213"/>
      <c r="EI65" s="213"/>
      <c r="EJ65" s="213"/>
      <c r="EK65" s="213"/>
      <c r="EL65" s="213"/>
      <c r="EM65" s="213"/>
      <c r="EN65" s="213"/>
      <c r="EO65" s="213"/>
      <c r="EP65" s="213"/>
      <c r="EQ65" s="213"/>
      <c r="ER65" s="213"/>
      <c r="ES65" s="213"/>
      <c r="ET65" s="213"/>
      <c r="EU65" s="213"/>
      <c r="EV65" s="213"/>
      <c r="EW65" s="213"/>
      <c r="EX65" s="213"/>
      <c r="EY65" s="213"/>
      <c r="EZ65" s="213"/>
    </row>
    <row r="66" spans="1:156" ht="12.75" hidden="1" customHeight="1" x14ac:dyDescent="0.2">
      <c r="D66" s="236"/>
      <c r="E66" s="235"/>
      <c r="F66" s="234"/>
      <c r="G66" s="234"/>
      <c r="H66" s="221"/>
      <c r="I66" s="221"/>
      <c r="J66" s="221"/>
      <c r="K66" s="221"/>
      <c r="L66" s="221"/>
      <c r="M66" s="223"/>
      <c r="N66" s="223"/>
      <c r="O66" s="223"/>
      <c r="P66" s="223"/>
      <c r="Q66" s="224"/>
      <c r="R66" s="223"/>
      <c r="S66" s="223"/>
      <c r="T66" s="227"/>
      <c r="U66" s="224"/>
      <c r="V66" s="224"/>
      <c r="W66" s="222"/>
      <c r="X66" s="229"/>
      <c r="Y66" s="221"/>
      <c r="Z66" s="228"/>
      <c r="AA66" s="227"/>
      <c r="AB66" s="219" t="str">
        <f>IF(C62&gt;0,"",IF(($J$44)&gt;1,vel(U62,EC62,AH66),vel(U62,Z62,AH66)))</f>
        <v/>
      </c>
      <c r="AC66" s="220" t="str">
        <f>IF(C62&gt;0,"",pdrop(AE66,Y62,Z62,AB66,AF66))</f>
        <v/>
      </c>
      <c r="AD66" s="219" t="str">
        <f>IF(C62&gt;0,"",(((AB66/60)*Z62)/AA62)*(VLOOKUP(AF66,'Pipe Data'!F$7:G$19,2,FALSE))/12)</f>
        <v/>
      </c>
      <c r="AE66" s="218" t="str">
        <f>IF(C62&gt;0,"",(0.25/(LOG(5.74/(AD66^0.9))+((VLOOKUP(AF66,'Pipe Data'!J$7:X$19,15,FALSE))/3.7))^2))</f>
        <v/>
      </c>
      <c r="AF66" s="216">
        <v>2.625</v>
      </c>
      <c r="AH66" s="217">
        <v>3.2338905731737741E-2</v>
      </c>
      <c r="AI66" s="239"/>
      <c r="AJ66" s="238"/>
      <c r="AK66" s="228"/>
      <c r="AL66" s="223"/>
      <c r="AM66" s="230"/>
      <c r="AN66" s="228"/>
      <c r="AO66" s="232"/>
      <c r="AQ66" s="231"/>
      <c r="AR66" s="230"/>
      <c r="AS66" s="224"/>
      <c r="AT66" s="232"/>
      <c r="AV66" s="231"/>
      <c r="AW66" s="230"/>
      <c r="AX66" s="222"/>
      <c r="AY66" s="224"/>
      <c r="AZ66" s="229"/>
      <c r="BA66" s="221"/>
      <c r="BB66" s="228"/>
      <c r="BC66" s="227"/>
      <c r="BD66" s="219" t="str">
        <f>IF(C62&gt;0,"",IF(($J$44)&gt;1,vel(U62,EC62,BJ66),vel(U62,Z62,BJ66)))</f>
        <v/>
      </c>
      <c r="BE66" s="220" t="str">
        <f>IF(C62&gt;0,"",IF(($J$44)&gt;1,EZ62,pdrop(BG66,BA62,Z62,BD66,BH66)))</f>
        <v/>
      </c>
      <c r="BF66" s="219" t="str">
        <f>IF(C62&gt;0,"",(((BD66/60)*Z62)/$AA$12)*((VLOOKUP(BH66,'Pipe Data'!F$7:G$19,2,FALSE))/12))</f>
        <v/>
      </c>
      <c r="BG66" s="218" t="str">
        <f>IF(C62&gt;0,"",(0.25/(LOG(5.74/(BF66^0.9))+((VLOOKUP(BH66,'Pipe Data'!J$7:X$19,15,FALSE))/3.7))^2))</f>
        <v/>
      </c>
      <c r="BH66" s="216">
        <v>2.625</v>
      </c>
      <c r="BI66" s="25">
        <f t="shared" si="17"/>
        <v>1</v>
      </c>
      <c r="BJ66" s="217">
        <v>3.2338905731737741E-2</v>
      </c>
      <c r="BK66" s="237">
        <v>2.625</v>
      </c>
      <c r="BL66" s="224"/>
      <c r="BM66" s="224"/>
      <c r="BN66" s="224"/>
      <c r="BO66" s="223"/>
      <c r="BP66" s="222"/>
      <c r="BQ66" s="221"/>
      <c r="BR66" s="221"/>
      <c r="BS66" s="219" t="str">
        <f>IF(C62&gt;0,"",IF($C$3&gt;0,vel(U62,S62,BZ66)/60,vel(U62,S62,BZ66)))</f>
        <v/>
      </c>
      <c r="BT66" s="220" t="str">
        <f>IF(C62&gt;0,"",IF($C$3&gt;0,2.31*pdrop(BW66,BR62,S62,60*BS66,BX66),pdrop(BW66,BR62,S62,BS66,BX66)))</f>
        <v/>
      </c>
      <c r="BU66" s="220"/>
      <c r="BV66" s="219" t="str">
        <f>IF(C62&gt;0,"",IF($C$3&gt;0,(((BS66)*S62)/32.2/T62)*((VLOOKUP(BX66,'Pipe Data'!F$7:G$19,2,FALSE))/12),(((BS66/60)*S62)/T62)*((VLOOKUP(BX66,'Pipe Data'!F$7:G$19,2,FALSE))/12)))</f>
        <v/>
      </c>
      <c r="BW66" s="218" t="str">
        <f>IF(C62&gt;0,"",IF($C$3&gt;0,IF(BV66&lt;2100,64/BV66,(0.25/(LOG(5.74/(BV66^0.9))+((VLOOKUP(BX66,'Pipe Data'!J$7:X$19,15,FALSE))/3.7))^2)),(0.25/(LOG(5.74/(BV66^0.9))+((VLOOKUP(BX66,'Pipe Data'!J$7:X$19,15,FALSE))/3.7))^2)))</f>
        <v/>
      </c>
      <c r="BX66" s="216">
        <v>2.625</v>
      </c>
      <c r="BY66" s="25" t="str">
        <f>IF(C62&gt;0,"",IF($C$3&gt;0,IF(BT66/BR62&lt;=$BY$44/100,0,1),IF(AND(BS66&lt;($BS$44),BT66&lt;($BT$44)),0,1)))</f>
        <v/>
      </c>
      <c r="BZ66" s="217">
        <v>3.2338905731737741E-2</v>
      </c>
      <c r="CA66" s="237">
        <v>2.625</v>
      </c>
      <c r="CC66" s="313"/>
      <c r="CD66" s="317"/>
      <c r="CE66" s="215"/>
      <c r="CF66" s="214"/>
      <c r="CQ66" s="25" t="s">
        <v>173</v>
      </c>
      <c r="CR66" s="213">
        <f t="shared" ref="CR66:DC66" si="21">IF($W62="double",IF($AU62="",IF($AT62=CR$8,$X62,0),IF($AU62=CR$8,$X62,0)),0)</f>
        <v>0</v>
      </c>
      <c r="CS66" s="213">
        <f t="shared" si="21"/>
        <v>0</v>
      </c>
      <c r="CT66" s="213">
        <f t="shared" si="21"/>
        <v>0</v>
      </c>
      <c r="CU66" s="213">
        <f t="shared" si="21"/>
        <v>0</v>
      </c>
      <c r="CV66" s="213">
        <f t="shared" si="21"/>
        <v>0</v>
      </c>
      <c r="CW66" s="213">
        <f t="shared" si="21"/>
        <v>0</v>
      </c>
      <c r="CX66" s="213">
        <f t="shared" si="21"/>
        <v>0</v>
      </c>
      <c r="CY66" s="213">
        <f t="shared" si="21"/>
        <v>0</v>
      </c>
      <c r="CZ66" s="213">
        <f t="shared" si="21"/>
        <v>0</v>
      </c>
      <c r="DA66" s="213">
        <f t="shared" si="21"/>
        <v>0</v>
      </c>
      <c r="DB66" s="213">
        <f t="shared" si="21"/>
        <v>0</v>
      </c>
      <c r="DC66" s="213">
        <f t="shared" si="21"/>
        <v>0</v>
      </c>
      <c r="DJ66" s="1620"/>
      <c r="DK66" s="440"/>
      <c r="DL66" s="1619"/>
      <c r="DN66" s="1620"/>
      <c r="DR66" s="1231"/>
      <c r="DS66" s="213"/>
      <c r="DT66" s="213"/>
      <c r="DU66" s="213"/>
      <c r="DV66" s="213"/>
      <c r="DW66" s="213"/>
      <c r="DX66" s="213"/>
      <c r="DY66" s="213"/>
      <c r="DZ66" s="213"/>
      <c r="EA66" s="213"/>
      <c r="EB66" s="213"/>
      <c r="EC66" s="213"/>
      <c r="ED66" s="213"/>
      <c r="EE66" s="213"/>
      <c r="EF66" s="213"/>
      <c r="EG66" s="213"/>
      <c r="EH66" s="213"/>
      <c r="EI66" s="213"/>
      <c r="EJ66" s="213"/>
      <c r="EK66" s="213"/>
      <c r="EL66" s="213"/>
      <c r="EM66" s="213"/>
      <c r="EN66" s="213"/>
      <c r="EO66" s="213"/>
      <c r="EP66" s="213"/>
      <c r="EQ66" s="213"/>
      <c r="ER66" s="213"/>
      <c r="ES66" s="213"/>
      <c r="ET66" s="213"/>
      <c r="EU66" s="213"/>
      <c r="EV66" s="213"/>
      <c r="EW66" s="213"/>
      <c r="EX66" s="213"/>
      <c r="EY66" s="213"/>
      <c r="EZ66" s="213"/>
    </row>
    <row r="67" spans="1:156" ht="12.75" hidden="1" customHeight="1" x14ac:dyDescent="0.2">
      <c r="D67" s="236"/>
      <c r="E67" s="235"/>
      <c r="F67" s="234"/>
      <c r="G67" s="234"/>
      <c r="H67" s="221"/>
      <c r="I67" s="221"/>
      <c r="J67" s="221"/>
      <c r="K67" s="221"/>
      <c r="L67" s="221"/>
      <c r="M67" s="223"/>
      <c r="N67" s="223"/>
      <c r="O67" s="223"/>
      <c r="P67" s="223"/>
      <c r="Q67" s="224"/>
      <c r="R67" s="223"/>
      <c r="S67" s="223"/>
      <c r="T67" s="227"/>
      <c r="U67" s="224"/>
      <c r="V67" s="224"/>
      <c r="W67" s="222"/>
      <c r="X67" s="229"/>
      <c r="Y67" s="221"/>
      <c r="Z67" s="228"/>
      <c r="AA67" s="227"/>
      <c r="AB67" s="219" t="str">
        <f>IF(C62&gt;0,"",IF(($J$44)&gt;1,vel(U62,EC62,AH67),vel(U62,Z62,AH67)))</f>
        <v/>
      </c>
      <c r="AC67" s="220" t="str">
        <f>IF(C62&gt;0,"",pdrop(AE67,Y62,Z62,AB67,AF67))</f>
        <v/>
      </c>
      <c r="AD67" s="219" t="str">
        <f>IF(C62&gt;0,"",(((AB67/60)*Z62)/AA62)*(VLOOKUP(AF67,'Pipe Data'!F$7:G$19,2,FALSE))/12)</f>
        <v/>
      </c>
      <c r="AE67" s="218" t="str">
        <f>IF(C62&gt;0,"",(0.25/(LOG(5.74/(AD67^0.9))+((VLOOKUP(AF67,'Pipe Data'!J$7:X$19,15,FALSE))/3.7))^2))</f>
        <v/>
      </c>
      <c r="AF67" s="216">
        <v>2.125</v>
      </c>
      <c r="AH67" s="217">
        <v>2.0931302841008911E-2</v>
      </c>
      <c r="AI67" s="239"/>
      <c r="AJ67" s="238"/>
      <c r="AK67" s="228"/>
      <c r="AL67" s="223"/>
      <c r="AM67" s="230"/>
      <c r="AN67" s="228"/>
      <c r="AO67" s="232"/>
      <c r="AQ67" s="231"/>
      <c r="AR67" s="230"/>
      <c r="AS67" s="224"/>
      <c r="AT67" s="232"/>
      <c r="AV67" s="231"/>
      <c r="AW67" s="230"/>
      <c r="AX67" s="222"/>
      <c r="AY67" s="224"/>
      <c r="AZ67" s="229"/>
      <c r="BA67" s="221"/>
      <c r="BB67" s="228"/>
      <c r="BC67" s="227"/>
      <c r="BD67" s="219" t="str">
        <f>IF(C62&gt;0,"",IF(($J$44)&gt;1,vel(U62,EC62,BJ67),vel(U62,Z62,BJ67)))</f>
        <v/>
      </c>
      <c r="BE67" s="220" t="str">
        <f>IF(C62&gt;0,"",IF(($J$44)&gt;1,EZ62,pdrop(BG67,BA62,Z62,BD67,BH67)))</f>
        <v/>
      </c>
      <c r="BF67" s="219" t="str">
        <f>IF(C62&gt;0,"",(((BD67/60)*Z62)/$AA$12)*((VLOOKUP(BH67,'Pipe Data'!F$7:G$19,2,FALSE))/12))</f>
        <v/>
      </c>
      <c r="BG67" s="218" t="str">
        <f>IF(C62&gt;0,"",(0.25/(LOG(5.74/(BF67^0.9))+((VLOOKUP(BH67,'Pipe Data'!J$7:X$19,15,FALSE))/3.7))^2))</f>
        <v/>
      </c>
      <c r="BH67" s="216">
        <v>2.125</v>
      </c>
      <c r="BI67" s="25">
        <f t="shared" si="17"/>
        <v>1</v>
      </c>
      <c r="BJ67" s="217">
        <v>2.0931302841008911E-2</v>
      </c>
      <c r="BK67" s="237">
        <v>2.125</v>
      </c>
      <c r="BL67" s="224"/>
      <c r="BM67" s="224"/>
      <c r="BN67" s="224"/>
      <c r="BO67" s="223"/>
      <c r="BP67" s="222"/>
      <c r="BQ67" s="221"/>
      <c r="BR67" s="221"/>
      <c r="BS67" s="219" t="str">
        <f>IF(C62&gt;0,"",IF($C$3&gt;0,vel(U62,S62,BZ67)/60,vel(U62,S62,BZ67)))</f>
        <v/>
      </c>
      <c r="BT67" s="220" t="str">
        <f>IF(C62&gt;0,"",IF($C$3&gt;0,2.31*pdrop(BW67,BR62,S62,60*BS67,BX67),pdrop(BW67,BR62,S62,BS67,BX67)))</f>
        <v/>
      </c>
      <c r="BU67" s="220"/>
      <c r="BV67" s="219" t="str">
        <f>IF(C62&gt;0,"",IF($C$3&gt;0,(((BS67)*S62)/32.2/T62)*((VLOOKUP(BX67,'Pipe Data'!F$7:G$19,2,FALSE))/12),(((BS67/60)*S62)/T62)*((VLOOKUP(BX67,'Pipe Data'!F$7:G$19,2,FALSE))/12)))</f>
        <v/>
      </c>
      <c r="BW67" s="218" t="str">
        <f>IF(C62&gt;0,"",IF($C$3&gt;0,IF(BV67&lt;2100,64/BV67,(0.25/(LOG(5.74/(BV67^0.9))+((VLOOKUP(BX67,'Pipe Data'!J$7:X$19,15,FALSE))/3.7))^2)),(0.25/(LOG(5.74/(BV67^0.9))+((VLOOKUP(BX67,'Pipe Data'!J$7:X$19,15,FALSE))/3.7))^2)))</f>
        <v/>
      </c>
      <c r="BX67" s="216">
        <v>2.125</v>
      </c>
      <c r="BY67" s="25" t="str">
        <f>IF(C62&gt;0,"",IF($C$3&gt;0,IF(BT67/BR62&lt;=$BY$44/100,0,1),IF(AND(BS67&lt;($BS$44),BT67&lt;($BT$44)),0,1)))</f>
        <v/>
      </c>
      <c r="BZ67" s="217">
        <v>2.0931302841008911E-2</v>
      </c>
      <c r="CA67" s="237">
        <v>2.125</v>
      </c>
      <c r="CC67" s="313"/>
      <c r="CD67" s="317"/>
      <c r="CE67" s="215"/>
      <c r="CF67" s="214"/>
      <c r="DJ67" s="1620"/>
      <c r="DK67" s="440"/>
      <c r="DL67" s="1619"/>
      <c r="DN67" s="1620"/>
      <c r="DR67" s="1231"/>
      <c r="DS67" s="213"/>
      <c r="DT67" s="213"/>
      <c r="DU67" s="213"/>
      <c r="DV67" s="213"/>
      <c r="DW67" s="213"/>
      <c r="DX67" s="213"/>
      <c r="DY67" s="213"/>
      <c r="DZ67" s="213"/>
      <c r="EA67" s="213"/>
      <c r="EB67" s="213"/>
      <c r="EC67" s="213"/>
      <c r="ED67" s="213"/>
      <c r="EE67" s="213"/>
      <c r="EF67" s="213"/>
      <c r="EG67" s="213"/>
      <c r="EH67" s="213"/>
      <c r="EI67" s="213"/>
      <c r="EJ67" s="213"/>
      <c r="EK67" s="213"/>
      <c r="EL67" s="213"/>
      <c r="EM67" s="213"/>
      <c r="EN67" s="213"/>
      <c r="EO67" s="213"/>
      <c r="EP67" s="213"/>
      <c r="EQ67" s="213"/>
      <c r="ER67" s="213"/>
      <c r="ES67" s="213"/>
      <c r="ET67" s="213"/>
      <c r="EU67" s="213"/>
      <c r="EV67" s="213"/>
      <c r="EW67" s="213"/>
      <c r="EX67" s="213"/>
      <c r="EY67" s="213"/>
      <c r="EZ67" s="213"/>
    </row>
    <row r="68" spans="1:156" ht="12.75" hidden="1" customHeight="1" x14ac:dyDescent="0.2">
      <c r="D68" s="236"/>
      <c r="E68" s="235"/>
      <c r="F68" s="234"/>
      <c r="G68" s="234"/>
      <c r="H68" s="221"/>
      <c r="I68" s="221"/>
      <c r="J68" s="221"/>
      <c r="K68" s="221"/>
      <c r="L68" s="221"/>
      <c r="M68" s="223"/>
      <c r="N68" s="223"/>
      <c r="O68" s="223"/>
      <c r="P68" s="223"/>
      <c r="Q68" s="224"/>
      <c r="R68" s="223"/>
      <c r="S68" s="223"/>
      <c r="T68" s="227"/>
      <c r="U68" s="224"/>
      <c r="V68" s="224"/>
      <c r="W68" s="222"/>
      <c r="X68" s="229"/>
      <c r="Y68" s="221"/>
      <c r="Z68" s="228"/>
      <c r="AA68" s="227"/>
      <c r="AB68" s="219" t="str">
        <f>IF(C62&gt;0,"",IF(($J$44)&gt;1,vel(U62,EC62,AH68),vel(U62,Z62,AH68)))</f>
        <v/>
      </c>
      <c r="AC68" s="220" t="str">
        <f>IF(C62&gt;0,"",pdrop(AE68,Y62,Z62,AB68,AF68))</f>
        <v/>
      </c>
      <c r="AD68" s="219" t="str">
        <f>IF(C62&gt;0,"",(((AB68/60)*Z62)/AA62)*(VLOOKUP(AF68,'Pipe Data'!F$7:G$19,2,FALSE))/12)</f>
        <v/>
      </c>
      <c r="AE68" s="218" t="str">
        <f>IF(C62&gt;0,"",(0.25/(LOG(5.74/(AD68^0.9))+((VLOOKUP(AF68,'Pipe Data'!J$7:X$19,15,FALSE))/3.7))^2))</f>
        <v/>
      </c>
      <c r="AF68" s="216">
        <v>1.625</v>
      </c>
      <c r="AH68" s="217">
        <v>1.2353794965620174E-2</v>
      </c>
      <c r="AI68" s="239"/>
      <c r="AJ68" s="238"/>
      <c r="AK68" s="228"/>
      <c r="AL68" s="223"/>
      <c r="AM68" s="230"/>
      <c r="AN68" s="228"/>
      <c r="AO68" s="232"/>
      <c r="AQ68" s="231"/>
      <c r="AR68" s="230"/>
      <c r="AS68" s="224"/>
      <c r="AT68" s="232"/>
      <c r="AV68" s="231"/>
      <c r="AW68" s="230"/>
      <c r="AX68" s="222"/>
      <c r="AY68" s="224"/>
      <c r="AZ68" s="229"/>
      <c r="BA68" s="221"/>
      <c r="BB68" s="228"/>
      <c r="BC68" s="227"/>
      <c r="BD68" s="219" t="str">
        <f>IF(C62&gt;0,"",IF(($J$44)&gt;1,vel(U62,EC62,BJ68),vel(U62,Z62,BJ68)))</f>
        <v/>
      </c>
      <c r="BE68" s="220" t="str">
        <f>IF(C62&gt;0,"",IF(($J$44)&gt;1,EZ62,pdrop(BG68,BA62,Z62,BD68,BH68)))</f>
        <v/>
      </c>
      <c r="BF68" s="219" t="str">
        <f>IF(C62&gt;0,"",(((BD68/60)*Z62)/$AA$12)*((VLOOKUP(BH68,'Pipe Data'!F$7:G$19,2,FALSE))/12))</f>
        <v/>
      </c>
      <c r="BG68" s="218" t="str">
        <f>IF(C62&gt;0,"",(0.25/(LOG(5.74/(BF68^0.9))+((VLOOKUP(BH68,'Pipe Data'!J$7:X$19,15,FALSE))/3.7))^2))</f>
        <v/>
      </c>
      <c r="BH68" s="216">
        <v>1.625</v>
      </c>
      <c r="BI68" s="25">
        <f t="shared" si="17"/>
        <v>1</v>
      </c>
      <c r="BJ68" s="217">
        <v>1.2353794965620174E-2</v>
      </c>
      <c r="BK68" s="237">
        <v>1.625</v>
      </c>
      <c r="BL68" s="224"/>
      <c r="BM68" s="224"/>
      <c r="BN68" s="224"/>
      <c r="BO68" s="223"/>
      <c r="BP68" s="222"/>
      <c r="BQ68" s="221"/>
      <c r="BR68" s="221"/>
      <c r="BS68" s="219" t="str">
        <f>IF(C62&gt;0,"",IF($C$3&gt;0,vel(U62,S62,BZ68)/60,vel(U62,S62,BZ68)))</f>
        <v/>
      </c>
      <c r="BT68" s="220" t="str">
        <f>IF(C62&gt;0,"",IF($C$3&gt;0,2.31*pdrop(BW68,BR62,S62,60*BS68,BX68),pdrop(BW68,BR62,S62,BS68,BX68)))</f>
        <v/>
      </c>
      <c r="BU68" s="220"/>
      <c r="BV68" s="219" t="str">
        <f>IF(C62&gt;0,"",IF($C$3&gt;0,(((BS68)*S62)/32.2/T62)*((VLOOKUP(BX68,'Pipe Data'!F$7:G$19,2,FALSE))/12),(((BS68/60)*S62)/T62)*((VLOOKUP(BX68,'Pipe Data'!F$7:G$19,2,FALSE))/12)))</f>
        <v/>
      </c>
      <c r="BW68" s="218" t="str">
        <f>IF(C62&gt;0,"",IF($C$3&gt;0,IF(BV68&lt;2100,64/BV68,(0.25/(LOG(5.74/(BV68^0.9))+((VLOOKUP(BX68,'Pipe Data'!J$7:X$19,15,FALSE))/3.7))^2)),(0.25/(LOG(5.74/(BV68^0.9))+((VLOOKUP(BX68,'Pipe Data'!J$7:X$19,15,FALSE))/3.7))^2)))</f>
        <v/>
      </c>
      <c r="BX68" s="216">
        <v>1.625</v>
      </c>
      <c r="BY68" s="25" t="str">
        <f>IF(C62&gt;0,"",IF($C$3&gt;0,IF(BT68/BR62&lt;=$BY$44/100,0,1),IF(AND(BS68&lt;($BS$44),BT68&lt;($BT$44)),0,1)))</f>
        <v/>
      </c>
      <c r="BZ68" s="217">
        <v>1.2353794965620174E-2</v>
      </c>
      <c r="CA68" s="237">
        <v>1.625</v>
      </c>
      <c r="CC68" s="313"/>
      <c r="CD68" s="317"/>
      <c r="CE68" s="215"/>
      <c r="CF68" s="214"/>
      <c r="DJ68" s="1620"/>
      <c r="DK68" s="440"/>
      <c r="DL68" s="1619"/>
      <c r="DN68" s="1620"/>
      <c r="DR68" s="1231"/>
      <c r="DS68" s="213"/>
      <c r="DT68" s="213"/>
      <c r="DU68" s="213"/>
      <c r="DV68" s="213"/>
      <c r="DW68" s="213"/>
      <c r="DX68" s="213"/>
      <c r="DY68" s="213"/>
      <c r="DZ68" s="213"/>
      <c r="EA68" s="213"/>
      <c r="EB68" s="213"/>
      <c r="EC68" s="213"/>
      <c r="ED68" s="213"/>
      <c r="EE68" s="213"/>
      <c r="EF68" s="213"/>
      <c r="EG68" s="213"/>
      <c r="EH68" s="213"/>
      <c r="EI68" s="213"/>
      <c r="EJ68" s="213"/>
      <c r="EK68" s="213"/>
      <c r="EL68" s="213"/>
      <c r="EM68" s="213"/>
      <c r="EN68" s="213"/>
      <c r="EO68" s="213"/>
      <c r="EP68" s="213"/>
      <c r="EQ68" s="213"/>
      <c r="ER68" s="213"/>
      <c r="ES68" s="213"/>
      <c r="ET68" s="213"/>
      <c r="EU68" s="213"/>
      <c r="EV68" s="213"/>
      <c r="EW68" s="213"/>
      <c r="EX68" s="213"/>
      <c r="EY68" s="213"/>
      <c r="EZ68" s="213"/>
    </row>
    <row r="69" spans="1:156" ht="12.75" hidden="1" customHeight="1" x14ac:dyDescent="0.2">
      <c r="D69" s="236"/>
      <c r="E69" s="235"/>
      <c r="F69" s="234"/>
      <c r="G69" s="234"/>
      <c r="H69" s="221"/>
      <c r="I69" s="221"/>
      <c r="J69" s="221"/>
      <c r="K69" s="221"/>
      <c r="L69" s="221"/>
      <c r="M69" s="223"/>
      <c r="N69" s="223"/>
      <c r="O69" s="223"/>
      <c r="P69" s="223"/>
      <c r="Q69" s="224"/>
      <c r="R69" s="223"/>
      <c r="S69" s="223"/>
      <c r="T69" s="227"/>
      <c r="U69" s="224"/>
      <c r="V69" s="224"/>
      <c r="W69" s="222"/>
      <c r="X69" s="229"/>
      <c r="Y69" s="221"/>
      <c r="Z69" s="228"/>
      <c r="AA69" s="227"/>
      <c r="AB69" s="219" t="str">
        <f>IF(C62&gt;0,"",IF(($J$44)&gt;1,vel(U62,EC62,AH69),vel(U62,Z62,AH69)))</f>
        <v/>
      </c>
      <c r="AC69" s="220" t="str">
        <f>IF(C62&gt;0,"",pdrop(AE69,Y62,Z62,AB69,AF69))</f>
        <v/>
      </c>
      <c r="AD69" s="219" t="str">
        <f>IF(C62&gt;0,"",(((AB69/60)*Z62)/AA62)*(VLOOKUP(AF69,'Pipe Data'!F$7:G$19,2,FALSE))/12)</f>
        <v/>
      </c>
      <c r="AE69" s="218" t="str">
        <f>IF(C62&gt;0,"",(0.25/(LOG(5.74/(AD69^0.9))+((VLOOKUP(AF69,'Pipe Data'!J$7:X$19,15,FALSE))/3.7))^2))</f>
        <v/>
      </c>
      <c r="AF69" s="216">
        <v>1.375</v>
      </c>
      <c r="AH69" s="217">
        <v>8.7278734446019548E-3</v>
      </c>
      <c r="AI69" s="239"/>
      <c r="AJ69" s="238"/>
      <c r="AK69" s="228"/>
      <c r="AL69" s="223"/>
      <c r="AM69" s="230"/>
      <c r="AN69" s="228"/>
      <c r="AO69" s="232"/>
      <c r="AQ69" s="231"/>
      <c r="AR69" s="230"/>
      <c r="AS69" s="224"/>
      <c r="AT69" s="232"/>
      <c r="AV69" s="231"/>
      <c r="AW69" s="230"/>
      <c r="AX69" s="222"/>
      <c r="AY69" s="224"/>
      <c r="AZ69" s="229"/>
      <c r="BA69" s="221"/>
      <c r="BB69" s="228"/>
      <c r="BC69" s="227"/>
      <c r="BD69" s="219" t="str">
        <f>IF(C62&gt;0,"",IF(($J$44)&gt;1,vel(U62,EC62,BJ69),vel(U62,Z62,BJ69)))</f>
        <v/>
      </c>
      <c r="BE69" s="220" t="str">
        <f>IF(C62&gt;0,"",IF(($J$44)&gt;1,EZ62,pdrop(BG69,BA62,Z62,BD69,BH69)))</f>
        <v/>
      </c>
      <c r="BF69" s="219" t="str">
        <f>IF(C62&gt;0,"",(((BD69/60)*Z62)/$AA$12)*((VLOOKUP(BH69,'Pipe Data'!F$7:G$19,2,FALSE))/12))</f>
        <v/>
      </c>
      <c r="BG69" s="218" t="str">
        <f>IF(C62&gt;0,"",(0.25/(LOG(5.74/(BF69^0.9))+((VLOOKUP(BH69,'Pipe Data'!J$7:X$19,15,FALSE))/3.7))^2))</f>
        <v/>
      </c>
      <c r="BH69" s="216">
        <v>1.375</v>
      </c>
      <c r="BI69" s="25">
        <f t="shared" si="17"/>
        <v>1</v>
      </c>
      <c r="BJ69" s="217">
        <v>8.7278734446019548E-3</v>
      </c>
      <c r="BK69" s="237">
        <v>1.375</v>
      </c>
      <c r="BL69" s="224"/>
      <c r="BM69" s="224"/>
      <c r="BN69" s="224"/>
      <c r="BO69" s="223"/>
      <c r="BP69" s="222"/>
      <c r="BQ69" s="221"/>
      <c r="BR69" s="221"/>
      <c r="BS69" s="219" t="str">
        <f>IF(C62&gt;0,"",IF($C$3&gt;0,vel(U62,S62,BZ69)/60,vel(U62,S62,BZ69)))</f>
        <v/>
      </c>
      <c r="BT69" s="220" t="str">
        <f>IF(C62&gt;0,"",IF($C$3&gt;0,2.31*pdrop(BW69,BR62,S62,60*BS69,BX69),pdrop(BW69,BR62,S62,BS69,BX69)))</f>
        <v/>
      </c>
      <c r="BU69" s="220"/>
      <c r="BV69" s="219" t="str">
        <f>IF(C62&gt;0,"",IF($C$3&gt;0,(((BS69)*S62)/32.2/T62)*((VLOOKUP(BX69,'Pipe Data'!F$7:G$19,2,FALSE))/12),(((BS69/60)*S62)/T62)*((VLOOKUP(BX69,'Pipe Data'!F$7:G$19,2,FALSE))/12)))</f>
        <v/>
      </c>
      <c r="BW69" s="218" t="str">
        <f>IF(C62&gt;0,"",IF($C$3&gt;0,IF(BV69&lt;2100,64/BV69,(0.25/(LOG(5.74/(BV69^0.9))+((VLOOKUP(BX69,'Pipe Data'!J$7:X$19,15,FALSE))/3.7))^2)),(0.25/(LOG(5.74/(BV69^0.9))+((VLOOKUP(BX69,'Pipe Data'!J$7:X$19,15,FALSE))/3.7))^2)))</f>
        <v/>
      </c>
      <c r="BX69" s="216">
        <v>1.375</v>
      </c>
      <c r="BY69" s="25" t="str">
        <f>IF(C62&gt;0,"",IF($C$3&gt;0,IF(BT69/BR62&lt;=$BY$44/100,0,1),IF(AND(BS69&lt;($BS$44),BT69&lt;($BT$44)),0,1)))</f>
        <v/>
      </c>
      <c r="BZ69" s="217">
        <v>8.7278734446019548E-3</v>
      </c>
      <c r="CA69" s="237">
        <v>1.375</v>
      </c>
      <c r="CC69" s="313"/>
      <c r="CD69" s="317"/>
      <c r="CE69" s="215"/>
      <c r="CF69" s="214"/>
      <c r="DJ69" s="1620"/>
      <c r="DK69" s="440"/>
      <c r="DL69" s="1619"/>
      <c r="DN69" s="1620"/>
      <c r="DR69" s="1231"/>
      <c r="DS69" s="213"/>
      <c r="DT69" s="213"/>
      <c r="DU69" s="213"/>
      <c r="DV69" s="213"/>
      <c r="DW69" s="213"/>
      <c r="DX69" s="213"/>
      <c r="DY69" s="213"/>
      <c r="DZ69" s="213"/>
      <c r="EA69" s="213"/>
      <c r="EB69" s="213"/>
      <c r="EC69" s="213"/>
      <c r="ED69" s="213"/>
      <c r="EE69" s="213"/>
      <c r="EF69" s="213"/>
      <c r="EG69" s="213"/>
      <c r="EH69" s="213"/>
      <c r="EI69" s="213"/>
      <c r="EJ69" s="213"/>
      <c r="EK69" s="213"/>
      <c r="EL69" s="213"/>
      <c r="EM69" s="213"/>
      <c r="EN69" s="213"/>
      <c r="EO69" s="213"/>
      <c r="EP69" s="213"/>
      <c r="EQ69" s="213"/>
      <c r="ER69" s="213"/>
      <c r="ES69" s="213"/>
      <c r="ET69" s="213"/>
      <c r="EU69" s="213"/>
      <c r="EV69" s="213"/>
      <c r="EW69" s="213"/>
      <c r="EX69" s="213"/>
      <c r="EY69" s="213"/>
      <c r="EZ69" s="213"/>
    </row>
    <row r="70" spans="1:156" ht="12.75" hidden="1" customHeight="1" x14ac:dyDescent="0.2">
      <c r="D70" s="236"/>
      <c r="E70" s="235"/>
      <c r="F70" s="234"/>
      <c r="G70" s="234"/>
      <c r="H70" s="221"/>
      <c r="I70" s="221"/>
      <c r="J70" s="221"/>
      <c r="K70" s="221"/>
      <c r="L70" s="221"/>
      <c r="M70" s="223"/>
      <c r="N70" s="223"/>
      <c r="O70" s="223"/>
      <c r="P70" s="223"/>
      <c r="Q70" s="224"/>
      <c r="R70" s="223"/>
      <c r="S70" s="223"/>
      <c r="T70" s="227"/>
      <c r="U70" s="224"/>
      <c r="V70" s="224"/>
      <c r="W70" s="222"/>
      <c r="X70" s="229"/>
      <c r="Y70" s="221"/>
      <c r="Z70" s="228"/>
      <c r="AA70" s="227"/>
      <c r="AB70" s="219" t="str">
        <f>IF(C62&gt;0,"",IF(($J$44)&gt;1,vel(U62,EC62,AH70),vel(U62,Z62,AH70)))</f>
        <v/>
      </c>
      <c r="AC70" s="220" t="str">
        <f>IF(C62&gt;0,"",pdrop(AE70,Y62,Z62,AB70,AF70))</f>
        <v/>
      </c>
      <c r="AD70" s="219" t="str">
        <f>IF(C62&gt;0,"",(((AB70/60)*Z62)/AA62)*(VLOOKUP(AF70,'Pipe Data'!F$7:G$19,2,FALSE))/12)</f>
        <v/>
      </c>
      <c r="AE70" s="218" t="str">
        <f>IF(C62&gt;0,"",(0.25/(LOG(5.74/(AD70^0.9))+((VLOOKUP(AF70,'Pipe Data'!J$7:X$19,15,FALSE))/3.7))^2))</f>
        <v/>
      </c>
      <c r="AF70" s="216">
        <v>1.125</v>
      </c>
      <c r="AH70" s="217">
        <v>5.7302704543016935E-3</v>
      </c>
      <c r="AI70" s="239"/>
      <c r="AJ70" s="238"/>
      <c r="AK70" s="228"/>
      <c r="AL70" s="223"/>
      <c r="AM70" s="230"/>
      <c r="AN70" s="228"/>
      <c r="AO70" s="232"/>
      <c r="AQ70" s="231"/>
      <c r="AR70" s="230"/>
      <c r="AS70" s="224"/>
      <c r="AT70" s="232"/>
      <c r="AV70" s="231"/>
      <c r="AW70" s="230"/>
      <c r="AX70" s="222"/>
      <c r="AY70" s="224"/>
      <c r="AZ70" s="229"/>
      <c r="BA70" s="221"/>
      <c r="BB70" s="228"/>
      <c r="BC70" s="227"/>
      <c r="BD70" s="219" t="str">
        <f>IF(C62&gt;0,"",IF(($J$44)&gt;1,vel(U62,EC62,BJ70),vel(U62,Z62,BJ70)))</f>
        <v/>
      </c>
      <c r="BE70" s="220" t="str">
        <f>IF(C62&gt;0,"",IF(($J$44)&gt;1,EZ62,pdrop(BG70,BA62,Z62,BD70,BH70)))</f>
        <v/>
      </c>
      <c r="BF70" s="219" t="str">
        <f>IF(C62&gt;0,"",(((BD70/60)*Z62)/$AA$12)*((VLOOKUP(BH70,'Pipe Data'!F$7:G$19,2,FALSE))/12))</f>
        <v/>
      </c>
      <c r="BG70" s="218" t="str">
        <f>IF(C62&gt;0,"",(0.25/(LOG(5.74/(BF70^0.9))+((VLOOKUP(BH70,'Pipe Data'!J$7:X$19,15,FALSE))/3.7))^2))</f>
        <v/>
      </c>
      <c r="BH70" s="216">
        <v>1.125</v>
      </c>
      <c r="BI70" s="25">
        <f t="shared" si="17"/>
        <v>1</v>
      </c>
      <c r="BJ70" s="217">
        <v>5.7302704543016935E-3</v>
      </c>
      <c r="BK70" s="237">
        <v>1.125</v>
      </c>
      <c r="BL70" s="224"/>
      <c r="BM70" s="224"/>
      <c r="BN70" s="224"/>
      <c r="BO70" s="223"/>
      <c r="BP70" s="222"/>
      <c r="BQ70" s="221"/>
      <c r="BR70" s="221"/>
      <c r="BS70" s="219" t="str">
        <f>IF(C62&gt;0,"",IF($C$3&gt;0,vel(U62,S62,BZ70)/60,vel(U62,S62,BZ70)))</f>
        <v/>
      </c>
      <c r="BT70" s="220" t="str">
        <f>IF(C62&gt;0,"",IF($C$3&gt;0,2.31*pdrop(BW70,BR62,S62,60*BS70,BX70),pdrop(BW70,BR62,S62,BS70,BX70)))</f>
        <v/>
      </c>
      <c r="BU70" s="220"/>
      <c r="BV70" s="219" t="str">
        <f>IF(C62&gt;0,"",IF($C$3&gt;0,(((BS70)*S62)/32.2/T62)*((VLOOKUP(BX70,'Pipe Data'!F$7:G$19,2,FALSE))/12),(((BS70/60)*S62)/T62)*((VLOOKUP(BX70,'Pipe Data'!F$7:G$19,2,FALSE))/12)))</f>
        <v/>
      </c>
      <c r="BW70" s="218" t="str">
        <f>IF(C62&gt;0,"",IF($C$3&gt;0,IF(BV70&lt;2100,64/BV70,(0.25/(LOG(5.74/(BV70^0.9))+((VLOOKUP(BX70,'Pipe Data'!J$7:X$19,15,FALSE))/3.7))^2)),(0.25/(LOG(5.74/(BV70^0.9))+((VLOOKUP(BX70,'Pipe Data'!J$7:X$19,15,FALSE))/3.7))^2)))</f>
        <v/>
      </c>
      <c r="BX70" s="216">
        <v>1.125</v>
      </c>
      <c r="BY70" s="25" t="str">
        <f>IF(C62&gt;0,"",IF($C$3&gt;0,IF(BT70/BR62&lt;=$BY$44/100,0,1),IF(AND(BS70&lt;($BS$44),BT70&lt;($BT$44)),0,1)))</f>
        <v/>
      </c>
      <c r="BZ70" s="217">
        <v>5.7302704543016935E-3</v>
      </c>
      <c r="CA70" s="237">
        <v>1.125</v>
      </c>
      <c r="CC70" s="313"/>
      <c r="CD70" s="317"/>
      <c r="CE70" s="215"/>
      <c r="CF70" s="214"/>
      <c r="DJ70" s="1620"/>
      <c r="DK70" s="440"/>
      <c r="DL70" s="1619"/>
      <c r="DN70" s="1620"/>
      <c r="DR70" s="1231"/>
      <c r="DS70" s="213"/>
      <c r="DT70" s="213"/>
      <c r="DU70" s="213"/>
      <c r="DV70" s="213"/>
      <c r="DW70" s="213"/>
      <c r="DX70" s="213"/>
      <c r="DY70" s="213"/>
      <c r="DZ70" s="213"/>
      <c r="EA70" s="213"/>
      <c r="EB70" s="213"/>
      <c r="EC70" s="213"/>
      <c r="ED70" s="213"/>
      <c r="EE70" s="213"/>
      <c r="EF70" s="213"/>
      <c r="EG70" s="213"/>
      <c r="EH70" s="213"/>
      <c r="EI70" s="213"/>
      <c r="EJ70" s="213"/>
      <c r="EK70" s="213"/>
      <c r="EL70" s="213"/>
      <c r="EM70" s="213"/>
      <c r="EN70" s="213"/>
      <c r="EO70" s="213"/>
      <c r="EP70" s="213"/>
      <c r="EQ70" s="213"/>
      <c r="ER70" s="213"/>
      <c r="ES70" s="213"/>
      <c r="ET70" s="213"/>
      <c r="EU70" s="213"/>
      <c r="EV70" s="213"/>
      <c r="EW70" s="213"/>
      <c r="EX70" s="213"/>
      <c r="EY70" s="213"/>
      <c r="EZ70" s="213"/>
    </row>
    <row r="71" spans="1:156" ht="12.75" hidden="1" customHeight="1" x14ac:dyDescent="0.2">
      <c r="D71" s="236"/>
      <c r="E71" s="235"/>
      <c r="F71" s="234"/>
      <c r="G71" s="234"/>
      <c r="H71" s="221"/>
      <c r="I71" s="221"/>
      <c r="J71" s="221"/>
      <c r="K71" s="221"/>
      <c r="L71" s="221"/>
      <c r="M71" s="223"/>
      <c r="N71" s="223"/>
      <c r="O71" s="223"/>
      <c r="P71" s="223"/>
      <c r="Q71" s="224"/>
      <c r="R71" s="223"/>
      <c r="S71" s="223"/>
      <c r="T71" s="227"/>
      <c r="U71" s="224"/>
      <c r="V71" s="224"/>
      <c r="W71" s="222"/>
      <c r="X71" s="229"/>
      <c r="Y71" s="221"/>
      <c r="Z71" s="228"/>
      <c r="AA71" s="227"/>
      <c r="AB71" s="219" t="str">
        <f>IF(C62&gt;0,"",IF(($J$44)&gt;1,vel(U62,EC62,AH71),vel(U62,Z62,AH71)))</f>
        <v/>
      </c>
      <c r="AC71" s="220" t="str">
        <f>IF(C62&gt;0,"",pdrop(AE71,Y62,Z62,AB71,AF71))</f>
        <v/>
      </c>
      <c r="AD71" s="219" t="str">
        <f>IF(C62&gt;0,"",(((AB71/60)*Z62)/AA62)*(VLOOKUP(AF71,'Pipe Data'!F$7:G$19,2,FALSE))/12)</f>
        <v/>
      </c>
      <c r="AE71" s="218" t="str">
        <f>IF(C62&gt;0,"",(0.25/(LOG(5.74/(AD71^0.9))+((VLOOKUP(AF71,'Pipe Data'!J$7:X$19,15,FALSE))/3.7))^2))</f>
        <v/>
      </c>
      <c r="AF71" s="216">
        <v>0.875</v>
      </c>
      <c r="AH71" s="217">
        <v>3.3609859947193927E-3</v>
      </c>
      <c r="AI71" s="239"/>
      <c r="AJ71" s="238"/>
      <c r="AK71" s="228"/>
      <c r="AL71" s="223"/>
      <c r="AM71" s="230"/>
      <c r="AN71" s="228"/>
      <c r="AO71" s="232"/>
      <c r="AQ71" s="231"/>
      <c r="AR71" s="230"/>
      <c r="AS71" s="224"/>
      <c r="AT71" s="232"/>
      <c r="AV71" s="231"/>
      <c r="AW71" s="230"/>
      <c r="AX71" s="222"/>
      <c r="AY71" s="224"/>
      <c r="AZ71" s="229"/>
      <c r="BA71" s="221"/>
      <c r="BB71" s="228"/>
      <c r="BC71" s="227"/>
      <c r="BD71" s="219" t="str">
        <f>IF(C62&gt;0,"",IF(($J$44)&gt;1,vel(U62,EC62,BJ71),vel(U62,Z62,BJ71)))</f>
        <v/>
      </c>
      <c r="BE71" s="220" t="str">
        <f>IF(C62&gt;0,"",IF(($J$44)&gt;1,EZ62,pdrop(BG71,BA62,Z62,BD71,BH71)))</f>
        <v/>
      </c>
      <c r="BF71" s="219" t="str">
        <f>IF(C62&gt;0,"",(((BD71/60)*Z62)/$AA$12)*((VLOOKUP(BH71,'Pipe Data'!F$7:G$19,2,FALSE))/12))</f>
        <v/>
      </c>
      <c r="BG71" s="218" t="str">
        <f>IF(C62&gt;0,"",(0.25/(LOG(5.74/(BF71^0.9))+((VLOOKUP(BH71,'Pipe Data'!J$7:X$19,15,FALSE))/3.7))^2))</f>
        <v/>
      </c>
      <c r="BH71" s="216">
        <v>0.875</v>
      </c>
      <c r="BI71" s="25">
        <f t="shared" si="17"/>
        <v>1</v>
      </c>
      <c r="BJ71" s="217">
        <v>3.3609859947193927E-3</v>
      </c>
      <c r="BK71" s="237">
        <v>0.875</v>
      </c>
      <c r="BL71" s="224"/>
      <c r="BM71" s="224"/>
      <c r="BN71" s="224"/>
      <c r="BO71" s="223"/>
      <c r="BP71" s="222"/>
      <c r="BQ71" s="221"/>
      <c r="BR71" s="221"/>
      <c r="BS71" s="219" t="str">
        <f>IF(C62&gt;0,"",IF($C$3&gt;0,vel(U62,S62,BZ71)/60,vel(U62,S62,BZ71)))</f>
        <v/>
      </c>
      <c r="BT71" s="220" t="str">
        <f>IF(C62&gt;0,"",IF($C$3&gt;0,2.31*pdrop(BW71,BR62,S62,60*BS71,BX71),pdrop(BW71,BR62,S62,BS71,BX71)))</f>
        <v/>
      </c>
      <c r="BU71" s="220"/>
      <c r="BV71" s="219" t="str">
        <f>IF(C62&gt;0,"",IF($C$3&gt;0,(((BS71)*S62)/32.2/T62)*((VLOOKUP(BX71,'Pipe Data'!F$7:G$19,2,FALSE))/12),(((BS71/60)*S62)/T62)*((VLOOKUP(BX71,'Pipe Data'!F$7:G$19,2,FALSE))/12)))</f>
        <v/>
      </c>
      <c r="BW71" s="218" t="str">
        <f>IF(C62&gt;0,"",IF($C$3&gt;0,IF(BV71&lt;2100,64/BV71,(0.25/(LOG(5.74/(BV71^0.9))+((VLOOKUP(BX71,'Pipe Data'!J$7:X$19,15,FALSE))/3.7))^2)),(0.25/(LOG(5.74/(BV71^0.9))+((VLOOKUP(BX71,'Pipe Data'!J$7:X$19,15,FALSE))/3.7))^2)))</f>
        <v/>
      </c>
      <c r="BX71" s="216">
        <v>0.875</v>
      </c>
      <c r="BY71" s="25" t="str">
        <f>IF(C62&gt;0,"",IF($C$3&gt;0,IF(BT71/BR62&lt;=$BY$44/100,0,1),IF(AND(BS71&lt;($BS$44),BT71&lt;($BT$44)),0,1)))</f>
        <v/>
      </c>
      <c r="BZ71" s="217">
        <v>3.3609859947193927E-3</v>
      </c>
      <c r="CA71" s="237">
        <v>0.875</v>
      </c>
      <c r="CC71" s="313"/>
      <c r="CD71" s="317"/>
      <c r="CE71" s="215"/>
      <c r="CF71" s="214"/>
      <c r="DJ71" s="1620"/>
      <c r="DK71" s="440"/>
      <c r="DL71" s="1619"/>
      <c r="DN71" s="1620"/>
      <c r="DR71" s="1231"/>
      <c r="DS71" s="213"/>
      <c r="DT71" s="213"/>
      <c r="DU71" s="213"/>
      <c r="DV71" s="213"/>
      <c r="DW71" s="213"/>
      <c r="DX71" s="213"/>
      <c r="DY71" s="213"/>
      <c r="DZ71" s="213"/>
      <c r="EA71" s="213"/>
      <c r="EB71" s="213"/>
      <c r="EC71" s="213"/>
      <c r="ED71" s="213"/>
      <c r="EE71" s="213"/>
      <c r="EF71" s="213"/>
      <c r="EG71" s="213"/>
      <c r="EH71" s="213"/>
      <c r="EI71" s="213"/>
      <c r="EJ71" s="213"/>
      <c r="EK71" s="213"/>
      <c r="EL71" s="213"/>
      <c r="EM71" s="213"/>
      <c r="EN71" s="213"/>
      <c r="EO71" s="213"/>
      <c r="EP71" s="213"/>
      <c r="EQ71" s="213"/>
      <c r="ER71" s="213"/>
      <c r="ES71" s="213"/>
      <c r="ET71" s="213"/>
      <c r="EU71" s="213"/>
      <c r="EV71" s="213"/>
      <c r="EW71" s="213"/>
      <c r="EX71" s="213"/>
      <c r="EY71" s="213"/>
      <c r="EZ71" s="213"/>
    </row>
    <row r="72" spans="1:156" ht="12.75" hidden="1" customHeight="1" x14ac:dyDescent="0.2">
      <c r="D72" s="236"/>
      <c r="E72" s="235"/>
      <c r="F72" s="234"/>
      <c r="G72" s="234"/>
      <c r="H72" s="221"/>
      <c r="I72" s="221"/>
      <c r="J72" s="221"/>
      <c r="K72" s="221"/>
      <c r="L72" s="221"/>
      <c r="M72" s="223"/>
      <c r="N72" s="223"/>
      <c r="O72" s="223"/>
      <c r="P72" s="223"/>
      <c r="Q72" s="224"/>
      <c r="R72" s="223"/>
      <c r="S72" s="223"/>
      <c r="T72" s="227"/>
      <c r="U72" s="224"/>
      <c r="V72" s="224"/>
      <c r="W72" s="222"/>
      <c r="X72" s="229"/>
      <c r="Y72" s="221"/>
      <c r="Z72" s="228"/>
      <c r="AA72" s="227"/>
      <c r="AB72" s="219" t="str">
        <f>IF(C62&gt;0,"",IF(($J$44)&gt;1,vel(U62,EC62,AH72),vel(U62,Z62,AH72)))</f>
        <v/>
      </c>
      <c r="AC72" s="220" t="str">
        <f>IF(C62&gt;0,"",pdrop(AE72,Y62,Z62,AB72,AF72))</f>
        <v/>
      </c>
      <c r="AD72" s="219" t="str">
        <f>IF(C62&gt;0,"",(((AB72/60)*Z62)/AA62)*(VLOOKUP(AF72,'Pipe Data'!F$7:G$19,2,FALSE))/12)</f>
        <v/>
      </c>
      <c r="AE72" s="218" t="str">
        <f>IF(C62&gt;0,"",(0.25/(LOG(5.74/(AD72^0.9))+((VLOOKUP(AF72,'Pipe Data'!J$7:X$19,15,FALSE))/3.7))^2))</f>
        <v/>
      </c>
      <c r="AF72" s="216">
        <v>0.625</v>
      </c>
      <c r="AH72" s="217">
        <v>1.6200200658550491E-3</v>
      </c>
      <c r="AI72" s="239"/>
      <c r="AJ72" s="238"/>
      <c r="AK72" s="228"/>
      <c r="AL72" s="223"/>
      <c r="AM72" s="230"/>
      <c r="AN72" s="228"/>
      <c r="AO72" s="232"/>
      <c r="AQ72" s="231"/>
      <c r="AR72" s="230"/>
      <c r="AS72" s="224"/>
      <c r="AT72" s="232"/>
      <c r="AV72" s="231"/>
      <c r="AW72" s="230"/>
      <c r="AX72" s="222"/>
      <c r="AY72" s="224"/>
      <c r="AZ72" s="229"/>
      <c r="BA72" s="221"/>
      <c r="BB72" s="228"/>
      <c r="BC72" s="227"/>
      <c r="BD72" s="219" t="str">
        <f>IF(C62&gt;0,"",IF(($J$44)&gt;1,vel(U62,EC62,BJ72),vel(U62,Z62,BJ72)))</f>
        <v/>
      </c>
      <c r="BE72" s="220" t="str">
        <f>IF(C62&gt;0,"",IF(($J$44)&gt;1,EZ62,pdrop(BG72,BA62,Z62,BD72,BH72)))</f>
        <v/>
      </c>
      <c r="BF72" s="219" t="str">
        <f>IF(C62&gt;0,"",(((BD72/60)*Z62)/$AA$12)*((VLOOKUP(BH72,'Pipe Data'!F$7:G$19,2,FALSE))/12))</f>
        <v/>
      </c>
      <c r="BG72" s="218" t="str">
        <f>IF(C62&gt;0,"",(0.25/(LOG(5.74/(BF72^0.9))+((VLOOKUP(BH72,'Pipe Data'!J$7:X$19,15,FALSE))/3.7))^2))</f>
        <v/>
      </c>
      <c r="BH72" s="216">
        <v>0.625</v>
      </c>
      <c r="BI72" s="25">
        <f t="shared" si="17"/>
        <v>1</v>
      </c>
      <c r="BJ72" s="217">
        <v>1.6200200658550491E-3</v>
      </c>
      <c r="BK72" s="237">
        <v>0.625</v>
      </c>
      <c r="BL72" s="224"/>
      <c r="BM72" s="224"/>
      <c r="BN72" s="224"/>
      <c r="BO72" s="223"/>
      <c r="BP72" s="222"/>
      <c r="BQ72" s="221"/>
      <c r="BR72" s="221"/>
      <c r="BS72" s="219" t="str">
        <f>IF(C62&gt;0,"",IF($C$3&gt;0,vel(U62,S62,BZ72)/60,vel(U62,S62,BZ72)))</f>
        <v/>
      </c>
      <c r="BT72" s="220" t="str">
        <f>IF(C62&gt;0,"",IF($C$3&gt;0,2.31*pdrop(BW72,BR62,S62,60*BS72,BX72),pdrop(BW72,BR62,S62,BS72,BX72)))</f>
        <v/>
      </c>
      <c r="BU72" s="220"/>
      <c r="BV72" s="219" t="str">
        <f>IF(C62&gt;0,"",IF($C$3&gt;0,(((BS72)*S62)/32.2/T62)*((VLOOKUP(BX72,'Pipe Data'!F$7:G$19,2,FALSE))/12),(((BS72/60)*S62)/T62)*((VLOOKUP(BX72,'Pipe Data'!F$7:G$19,2,FALSE))/12)))</f>
        <v/>
      </c>
      <c r="BW72" s="218" t="str">
        <f>IF(C62&gt;0,"",IF($C$3&gt;0,IF(BV72&lt;2100,64/BV72,(0.25/(LOG(5.74/(BV72^0.9))+((VLOOKUP(BX72,'Pipe Data'!J$7:X$19,15,FALSE))/3.7))^2)),(0.25/(LOG(5.74/(BV72^0.9))+((VLOOKUP(BX72,'Pipe Data'!J$7:X$19,15,FALSE))/3.7))^2)))</f>
        <v/>
      </c>
      <c r="BX72" s="216">
        <v>0.625</v>
      </c>
      <c r="BY72" s="25" t="str">
        <f>IF(C62&gt;0,"",IF($C$3&gt;0,IF(BT72/BR62&lt;=$BY$44/100,0,1),IF(AND(BS72&lt;($BS$44),BT72&lt;($BT$44)),0,1)))</f>
        <v/>
      </c>
      <c r="BZ72" s="217">
        <v>1.6200200658550491E-3</v>
      </c>
      <c r="CA72" s="237">
        <v>0.625</v>
      </c>
      <c r="CC72" s="313"/>
      <c r="CD72" s="317"/>
      <c r="CE72" s="215"/>
      <c r="CF72" s="214"/>
      <c r="DJ72" s="1620"/>
      <c r="DK72" s="440"/>
      <c r="DL72" s="1619"/>
      <c r="DN72" s="1620"/>
      <c r="DR72" s="1231"/>
      <c r="DS72" s="213"/>
      <c r="DT72" s="213"/>
      <c r="DU72" s="213"/>
      <c r="DV72" s="213"/>
      <c r="DW72" s="213"/>
      <c r="DX72" s="213"/>
      <c r="DY72" s="213"/>
      <c r="DZ72" s="213"/>
      <c r="EA72" s="213"/>
      <c r="EB72" s="213"/>
      <c r="EC72" s="213"/>
      <c r="ED72" s="213"/>
      <c r="EE72" s="213"/>
      <c r="EF72" s="213"/>
      <c r="EG72" s="213"/>
      <c r="EH72" s="213"/>
      <c r="EI72" s="213"/>
      <c r="EJ72" s="213"/>
      <c r="EK72" s="213"/>
      <c r="EL72" s="213"/>
      <c r="EM72" s="213"/>
      <c r="EN72" s="213"/>
      <c r="EO72" s="213"/>
      <c r="EP72" s="213"/>
      <c r="EQ72" s="213"/>
      <c r="ER72" s="213"/>
      <c r="ES72" s="213"/>
      <c r="ET72" s="213"/>
      <c r="EU72" s="213"/>
      <c r="EV72" s="213"/>
      <c r="EW72" s="213"/>
      <c r="EX72" s="213"/>
      <c r="EY72" s="213"/>
      <c r="EZ72" s="213"/>
    </row>
    <row r="73" spans="1:156" ht="12.75" hidden="1" customHeight="1" x14ac:dyDescent="0.2">
      <c r="D73" s="236"/>
      <c r="E73" s="235"/>
      <c r="F73" s="234"/>
      <c r="G73" s="234"/>
      <c r="H73" s="221"/>
      <c r="I73" s="221"/>
      <c r="J73" s="221"/>
      <c r="K73" s="221"/>
      <c r="L73" s="221"/>
      <c r="M73" s="223"/>
      <c r="N73" s="223"/>
      <c r="O73" s="223"/>
      <c r="P73" s="223"/>
      <c r="Q73" s="224"/>
      <c r="R73" s="223"/>
      <c r="S73" s="223"/>
      <c r="T73" s="227"/>
      <c r="U73" s="224"/>
      <c r="V73" s="224"/>
      <c r="W73" s="222"/>
      <c r="X73" s="229"/>
      <c r="Y73" s="221"/>
      <c r="Z73" s="228"/>
      <c r="AA73" s="227"/>
      <c r="AB73" s="219" t="str">
        <f>IF(C62&gt;0,"",IF(($J$44)&gt;1,vel(U62,EC62,AH73),vel(U62,Z62,AH73)))</f>
        <v/>
      </c>
      <c r="AC73" s="220" t="str">
        <f>IF(C62&gt;0,"",pdrop(AE73,Y62,Z62,AB73,AF73))</f>
        <v/>
      </c>
      <c r="AD73" s="219" t="str">
        <f>IF(C62&gt;0,"",(((AB73/60)*Z62)/AA62)*(VLOOKUP(AF73,'Pipe Data'!F$7:G$19,2,FALSE))/12)</f>
        <v/>
      </c>
      <c r="AE73" s="218" t="str">
        <f>IF(C62&gt;0,"",(0.25/(LOG(5.74/(AD73^0.9))+((VLOOKUP(AF73,'Pipe Data'!J$7:X$19,15,FALSE))/3.7))^2))</f>
        <v/>
      </c>
      <c r="AF73" s="216">
        <v>0.5</v>
      </c>
      <c r="AH73" s="217">
        <v>1.0084730584179735E-3</v>
      </c>
      <c r="AI73" s="239"/>
      <c r="AJ73" s="238"/>
      <c r="AK73" s="228"/>
      <c r="AL73" s="223"/>
      <c r="AM73" s="230"/>
      <c r="AN73" s="228"/>
      <c r="AO73" s="232"/>
      <c r="AQ73" s="231"/>
      <c r="AR73" s="230"/>
      <c r="AS73" s="224"/>
      <c r="AT73" s="232"/>
      <c r="AV73" s="231"/>
      <c r="AW73" s="230"/>
      <c r="AX73" s="222"/>
      <c r="AY73" s="224"/>
      <c r="AZ73" s="229"/>
      <c r="BA73" s="221"/>
      <c r="BB73" s="228"/>
      <c r="BC73" s="227"/>
      <c r="BD73" s="219" t="str">
        <f>IF(C62&gt;0,"",IF(($J$44)&gt;1,vel(U62,EC62,BJ73),vel(U62,Z62,BJ73)))</f>
        <v/>
      </c>
      <c r="BE73" s="220" t="str">
        <f>IF(C62&gt;0,"",IF(($J$44)&gt;1,EZ62,pdrop(BG73,BA62,Z62,BD73,BH73)))</f>
        <v/>
      </c>
      <c r="BF73" s="219" t="str">
        <f>IF(C62&gt;0,"",(((BD73/60)*Z62)/$AA$12)*((VLOOKUP(BH73,'Pipe Data'!F$7:G$19,2,FALSE))/12))</f>
        <v/>
      </c>
      <c r="BG73" s="218" t="str">
        <f>IF(C62&gt;0,"",(0.25/(LOG(5.74/(BF73^0.9))+((VLOOKUP(BH73,'Pipe Data'!J$7:X$19,15,FALSE))/3.7))^2))</f>
        <v/>
      </c>
      <c r="BH73" s="216">
        <v>0.5</v>
      </c>
      <c r="BI73" s="25">
        <v>1</v>
      </c>
      <c r="BJ73" s="217">
        <v>1.0084730584179735E-3</v>
      </c>
      <c r="BK73" s="237">
        <v>0.5</v>
      </c>
      <c r="BL73" s="224"/>
      <c r="BM73" s="224"/>
      <c r="BN73" s="224"/>
      <c r="BO73" s="223"/>
      <c r="BP73" s="222"/>
      <c r="BQ73" s="221"/>
      <c r="BR73" s="221"/>
      <c r="BS73" s="219" t="str">
        <f>IF(C62&gt;0,"",IF($C$3&gt;0,vel(U62,S62,BZ73)/60,vel(U62,S62,BZ73)))</f>
        <v/>
      </c>
      <c r="BT73" s="220" t="str">
        <f>IF(C62&gt;0,"",IF($C$3&gt;0,2.31*pdrop(BW73,BR62,S62,60*BS73,BX73),pdrop(BW73,BR62,S62,BS73,BX73)))</f>
        <v/>
      </c>
      <c r="BU73" s="220"/>
      <c r="BV73" s="219" t="str">
        <f>IF(C62&gt;0,"",IF($C$3&gt;0,(((BS73)*S62)/32.2/T62)*((VLOOKUP(BX73,'Pipe Data'!F$7:G$19,2,FALSE))/12),(((BS73/60)*S62)/T62)*((VLOOKUP(BX73,'Pipe Data'!F$7:G$19,2,FALSE))/12)))</f>
        <v/>
      </c>
      <c r="BW73" s="218" t="str">
        <f>IF(C62&gt;0,"",IF($C$3&gt;0,IF(BV73&lt;2100,64/BV73,(0.25/(LOG(5.74/(BV73^0.9))+((VLOOKUP(BX73,'Pipe Data'!J$7:X$19,15,FALSE))/3.7))^2)),(0.25/(LOG(5.74/(BV73^0.9))+((VLOOKUP(BX73,'Pipe Data'!J$7:X$19,15,FALSE))/3.7))^2)))</f>
        <v/>
      </c>
      <c r="BX73" s="216">
        <v>0.5</v>
      </c>
      <c r="BY73" s="25" t="str">
        <f>IF(C62&gt;0,"",IF($C$3&gt;0,IF(BT73/BR62&lt;=$BY$44/100,0,1),IF(AND(BS73&lt;($BS$44),BT73&lt;($BT$44)),0,1)))</f>
        <v/>
      </c>
      <c r="BZ73" s="217">
        <v>1.0084730584179735E-3</v>
      </c>
      <c r="CA73" s="237">
        <v>0.5</v>
      </c>
      <c r="CC73" s="313"/>
      <c r="CD73" s="317"/>
      <c r="CE73" s="215"/>
      <c r="CF73" s="214"/>
      <c r="DJ73" s="1620"/>
      <c r="DK73" s="440"/>
      <c r="DL73" s="1619"/>
      <c r="DN73" s="1620"/>
      <c r="DR73" s="1231"/>
      <c r="DS73" s="213"/>
      <c r="DT73" s="213"/>
      <c r="DU73" s="213"/>
      <c r="DV73" s="213"/>
      <c r="DW73" s="213"/>
      <c r="DX73" s="213"/>
      <c r="DY73" s="213"/>
      <c r="DZ73" s="213"/>
      <c r="EA73" s="213"/>
      <c r="EB73" s="213"/>
      <c r="EC73" s="213"/>
      <c r="ED73" s="213"/>
      <c r="EE73" s="213"/>
      <c r="EF73" s="213"/>
      <c r="EG73" s="213"/>
      <c r="EH73" s="213"/>
      <c r="EI73" s="213"/>
      <c r="EJ73" s="213"/>
      <c r="EK73" s="213"/>
      <c r="EL73" s="213"/>
      <c r="EM73" s="213"/>
      <c r="EN73" s="213"/>
      <c r="EO73" s="213"/>
      <c r="EP73" s="213"/>
      <c r="EQ73" s="213"/>
      <c r="ER73" s="213"/>
      <c r="ES73" s="213"/>
      <c r="ET73" s="213"/>
      <c r="EU73" s="213"/>
      <c r="EV73" s="213"/>
      <c r="EW73" s="213"/>
      <c r="EX73" s="213"/>
      <c r="EY73" s="213"/>
      <c r="EZ73" s="213"/>
    </row>
    <row r="74" spans="1:156" ht="12.75" hidden="1" customHeight="1" x14ac:dyDescent="0.2">
      <c r="D74" s="236"/>
      <c r="E74" s="235"/>
      <c r="F74" s="234"/>
      <c r="G74" s="234"/>
      <c r="H74" s="221"/>
      <c r="I74" s="221"/>
      <c r="J74" s="221"/>
      <c r="K74" s="221"/>
      <c r="L74" s="221"/>
      <c r="M74" s="223"/>
      <c r="N74" s="223"/>
      <c r="O74" s="223"/>
      <c r="P74" s="223"/>
      <c r="Q74" s="224"/>
      <c r="R74" s="223"/>
      <c r="S74" s="223"/>
      <c r="T74" s="227"/>
      <c r="U74" s="224"/>
      <c r="V74" s="224"/>
      <c r="W74" s="222"/>
      <c r="X74" s="229"/>
      <c r="Y74" s="221"/>
      <c r="Z74" s="228"/>
      <c r="AA74" s="227"/>
      <c r="AB74" s="219" t="str">
        <f>IF(C62&gt;0,"",IF(($J$44)&gt;1,vel(U62,EC62,AH74),vel(U62,Z62,AH74)))</f>
        <v/>
      </c>
      <c r="AC74" s="220" t="str">
        <f>IF(C62&gt;0,"",pdrop(AE74,Y62,Z62,AB74,AF74))</f>
        <v/>
      </c>
      <c r="AD74" s="219" t="str">
        <f>IF(C62&gt;0,"",(((AB74/60)*Z62)/AA62)*(VLOOKUP(AF74,'Pipe Data'!F$7:G$19,2,FALSE))/12)</f>
        <v/>
      </c>
      <c r="AE74" s="218" t="str">
        <f>IF(C62&gt;0,"",(0.25/(LOG(5.74/(AD74^0.9))+((VLOOKUP(AF74,'Pipe Data'!J$7:X$19,15,FALSE))/3.7))^2))</f>
        <v/>
      </c>
      <c r="AF74" s="216">
        <v>0.375</v>
      </c>
      <c r="AH74" s="217">
        <v>5.4118842196605418E-4</v>
      </c>
      <c r="AI74" s="229"/>
      <c r="AJ74" s="221"/>
      <c r="AK74" s="221"/>
      <c r="AL74" s="223"/>
      <c r="AM74" s="230"/>
      <c r="AN74" s="228"/>
      <c r="AO74" s="232"/>
      <c r="AQ74" s="231"/>
      <c r="AR74" s="230"/>
      <c r="AS74" s="224"/>
      <c r="AT74" s="232"/>
      <c r="AV74" s="231"/>
      <c r="AW74" s="230"/>
      <c r="AX74" s="222"/>
      <c r="AY74" s="224"/>
      <c r="AZ74" s="229"/>
      <c r="BA74" s="221"/>
      <c r="BB74" s="228"/>
      <c r="BC74" s="227"/>
      <c r="BD74" s="221"/>
      <c r="BE74" s="221"/>
      <c r="BF74" s="221"/>
      <c r="BG74" s="221"/>
      <c r="BH74" s="221"/>
      <c r="BI74" s="221"/>
      <c r="BJ74" s="226"/>
      <c r="BK74" s="225"/>
      <c r="BL74" s="224"/>
      <c r="BM74" s="224"/>
      <c r="BN74" s="224"/>
      <c r="BO74" s="223"/>
      <c r="BP74" s="222"/>
      <c r="BQ74" s="221"/>
      <c r="BR74" s="221"/>
      <c r="BS74" s="219" t="str">
        <f>IF(C62&gt;0,"",IF($C$3&gt;0,vel(U62,S62,BZ74)/60,vel(U62,S62,BZ74)))</f>
        <v/>
      </c>
      <c r="BT74" s="220" t="str">
        <f>IF(C62&gt;0,"",IF($C$3&gt;0,2.31*pdrop(BW74,BR62,S62,60*BS74,BX74),pdrop(BW74,BR62,S62,BS74,BX74)))</f>
        <v/>
      </c>
      <c r="BU74" s="220"/>
      <c r="BV74" s="219" t="str">
        <f>IF(C62&gt;0,"",IF($C$3&gt;0,(((BS74)*S62)/32.2/T62)*((VLOOKUP(BX74,'Pipe Data'!F$7:G$19,2,FALSE))/12),(((BS74/60)*S62)/T62)*((VLOOKUP(BX74,'Pipe Data'!F$7:G$19,2,FALSE))/12)))</f>
        <v/>
      </c>
      <c r="BW74" s="218" t="str">
        <f>IF(C62&gt;0,"",IF($C$3&gt;0,IF(BV74&lt;2100,64/BV74,(0.25/(LOG(5.74/(BV74^0.9))+((VLOOKUP(BX74,'Pipe Data'!J$7:X$19,15,FALSE))/3.7))^2)),(0.25/(LOG(5.74/(BV74^0.9))+((VLOOKUP(BX74,'Pipe Data'!J$7:X$19,15,FALSE))/3.7))^2)))</f>
        <v/>
      </c>
      <c r="BX74" s="216">
        <v>0.375</v>
      </c>
      <c r="BY74" s="25" t="str">
        <f>IF(C62&gt;0,"",IF($C$3&gt;0,IF(BT74/BR62&lt;=$BY$44/100,0,1),IF(AND(BS74&lt;($BS$44),BT74&lt;($BT$44)),0,1)))</f>
        <v/>
      </c>
      <c r="BZ74" s="217">
        <v>5.4118842196605418E-4</v>
      </c>
      <c r="CA74" s="237">
        <v>0.375</v>
      </c>
      <c r="CC74" s="313"/>
      <c r="CD74" s="317"/>
      <c r="CE74" s="215"/>
      <c r="CF74" s="214"/>
      <c r="DJ74" s="1620"/>
      <c r="DK74" s="440"/>
      <c r="DL74" s="1619"/>
      <c r="DN74" s="1620"/>
      <c r="DR74" s="1231"/>
      <c r="DS74" s="213"/>
      <c r="DT74" s="213"/>
      <c r="DU74" s="213"/>
      <c r="DV74" s="213"/>
      <c r="DW74" s="213"/>
      <c r="DX74" s="213"/>
      <c r="DY74" s="213"/>
      <c r="DZ74" s="213"/>
      <c r="EA74" s="213"/>
      <c r="EB74" s="213"/>
      <c r="EC74" s="213"/>
      <c r="ED74" s="213"/>
      <c r="EE74" s="213"/>
      <c r="EF74" s="213"/>
      <c r="EG74" s="213"/>
      <c r="EH74" s="213"/>
      <c r="EI74" s="213"/>
      <c r="EJ74" s="213"/>
      <c r="EK74" s="213"/>
      <c r="EL74" s="213"/>
      <c r="EM74" s="213"/>
      <c r="EN74" s="213"/>
      <c r="EO74" s="213"/>
      <c r="EP74" s="213"/>
      <c r="EQ74" s="213"/>
      <c r="ER74" s="213"/>
      <c r="ES74" s="213"/>
      <c r="ET74" s="213"/>
      <c r="EU74" s="213"/>
      <c r="EV74" s="213"/>
      <c r="EW74" s="213"/>
      <c r="EX74" s="213"/>
      <c r="EY74" s="213"/>
      <c r="EZ74" s="213"/>
    </row>
    <row r="75" spans="1:156" ht="13.5" hidden="1" thickBot="1" x14ac:dyDescent="0.25">
      <c r="A75" s="25">
        <v>1</v>
      </c>
      <c r="D75" s="821"/>
      <c r="E75" s="822"/>
      <c r="F75" s="823"/>
      <c r="G75" s="823"/>
      <c r="H75" s="824"/>
      <c r="I75" s="825"/>
      <c r="J75" s="825"/>
      <c r="K75" s="825"/>
      <c r="L75" s="826"/>
      <c r="M75" s="824"/>
      <c r="N75" s="824"/>
      <c r="O75" s="824"/>
      <c r="P75" s="824"/>
      <c r="Q75" s="825"/>
      <c r="R75" s="824"/>
      <c r="S75" s="824"/>
      <c r="T75" s="827"/>
      <c r="U75" s="825"/>
      <c r="V75" s="825"/>
      <c r="W75" s="828"/>
      <c r="X75" s="829"/>
      <c r="Y75" s="826"/>
      <c r="Z75" s="830"/>
      <c r="AA75" s="827"/>
      <c r="AB75" s="831"/>
      <c r="AC75" s="824"/>
      <c r="AD75" s="831"/>
      <c r="AE75" s="830"/>
      <c r="AF75" s="832"/>
      <c r="AG75" s="832"/>
      <c r="AH75" s="833"/>
      <c r="AI75" s="834"/>
      <c r="AJ75" s="835"/>
      <c r="AK75" s="830"/>
      <c r="AL75" s="824"/>
      <c r="AM75" s="831"/>
      <c r="AN75" s="830"/>
      <c r="AO75" s="832"/>
      <c r="AP75" s="832"/>
      <c r="AQ75" s="836"/>
      <c r="AR75" s="831"/>
      <c r="AS75" s="825"/>
      <c r="AT75" s="832"/>
      <c r="AU75" s="832"/>
      <c r="AV75" s="836"/>
      <c r="AW75" s="831"/>
      <c r="AX75" s="828"/>
      <c r="AY75" s="825"/>
      <c r="AZ75" s="829"/>
      <c r="BA75" s="826"/>
      <c r="BB75" s="830"/>
      <c r="BC75" s="827"/>
      <c r="BD75" s="831"/>
      <c r="BE75" s="824"/>
      <c r="BF75" s="831"/>
      <c r="BG75" s="830"/>
      <c r="BH75" s="832"/>
      <c r="BI75" s="832"/>
      <c r="BJ75" s="833"/>
      <c r="BK75" s="837"/>
      <c r="BL75" s="825"/>
      <c r="BM75" s="825"/>
      <c r="BN75" s="825"/>
      <c r="BO75" s="824"/>
      <c r="BP75" s="828"/>
      <c r="BQ75" s="826"/>
      <c r="BR75" s="826"/>
      <c r="BS75" s="831"/>
      <c r="BT75" s="824"/>
      <c r="BU75" s="824"/>
      <c r="BV75" s="831"/>
      <c r="BW75" s="830"/>
      <c r="BX75" s="832"/>
      <c r="BY75" s="832"/>
      <c r="BZ75" s="833"/>
      <c r="CA75" s="838"/>
      <c r="CB75" s="839"/>
      <c r="CC75" s="840"/>
      <c r="CD75" s="841"/>
      <c r="CE75" s="842"/>
      <c r="CF75" s="843"/>
      <c r="DJ75" s="1620"/>
      <c r="DK75" s="440"/>
      <c r="DL75" s="1619"/>
      <c r="DN75" s="1620"/>
      <c r="EB75"/>
      <c r="EC75"/>
      <c r="ED75"/>
      <c r="EE75"/>
      <c r="EF75"/>
      <c r="EG75"/>
      <c r="EH75"/>
      <c r="EI75"/>
      <c r="EJ75"/>
      <c r="EK75"/>
      <c r="EL75"/>
      <c r="EM75"/>
      <c r="EN75"/>
      <c r="EO75"/>
      <c r="EP75"/>
      <c r="EQ75"/>
      <c r="ER75"/>
      <c r="ES75"/>
      <c r="ET75"/>
      <c r="EU75"/>
      <c r="EV75"/>
      <c r="EW75"/>
      <c r="EX75"/>
      <c r="EY75"/>
      <c r="EZ75"/>
    </row>
    <row r="76" spans="1:156" hidden="1" x14ac:dyDescent="0.2">
      <c r="A76" s="25">
        <v>1</v>
      </c>
      <c r="DJ76" s="1620"/>
      <c r="DK76" s="440"/>
      <c r="DL76" s="1619"/>
      <c r="DN76" s="1620"/>
      <c r="EB76"/>
      <c r="EC76"/>
      <c r="ED76"/>
      <c r="EE76"/>
      <c r="EF76"/>
      <c r="EG76"/>
      <c r="EH76"/>
      <c r="EI76"/>
      <c r="EJ76"/>
      <c r="EK76"/>
      <c r="EL76"/>
      <c r="EM76"/>
      <c r="EN76"/>
      <c r="EO76"/>
      <c r="EP76"/>
      <c r="EQ76"/>
      <c r="ER76"/>
      <c r="ES76"/>
      <c r="ET76"/>
      <c r="EU76"/>
      <c r="EV76"/>
      <c r="EW76"/>
      <c r="EX76"/>
      <c r="EY76"/>
      <c r="EZ76"/>
    </row>
    <row r="77" spans="1:156" hidden="1" x14ac:dyDescent="0.2">
      <c r="A77" s="25">
        <v>1</v>
      </c>
      <c r="DJ77" s="1620"/>
      <c r="DK77" s="440"/>
      <c r="DL77" s="1619"/>
      <c r="DN77" s="1620"/>
      <c r="EB77"/>
      <c r="EC77"/>
      <c r="ED77"/>
      <c r="EE77"/>
      <c r="EF77"/>
      <c r="EG77"/>
      <c r="EH77"/>
      <c r="EI77"/>
      <c r="EJ77"/>
      <c r="EK77"/>
      <c r="EL77"/>
      <c r="EM77"/>
      <c r="EN77"/>
      <c r="EO77"/>
      <c r="EP77"/>
      <c r="EQ77"/>
      <c r="ER77"/>
      <c r="ES77"/>
      <c r="ET77"/>
      <c r="EU77"/>
      <c r="EV77"/>
      <c r="EW77"/>
      <c r="EX77"/>
      <c r="EY77"/>
      <c r="EZ77"/>
    </row>
    <row r="78" spans="1:156" ht="7.5" hidden="1" customHeight="1" thickBot="1" x14ac:dyDescent="0.25">
      <c r="A78" s="25">
        <v>1</v>
      </c>
      <c r="BX78" s="25"/>
      <c r="BY78" s="213"/>
      <c r="DJ78" s="1620"/>
      <c r="DK78" s="440"/>
      <c r="DL78" s="1619"/>
      <c r="DN78" s="1620"/>
      <c r="EB78"/>
      <c r="EC78"/>
      <c r="ED78"/>
      <c r="EE78"/>
      <c r="EF78"/>
      <c r="EG78"/>
      <c r="EH78"/>
      <c r="EI78"/>
      <c r="EJ78"/>
      <c r="EK78"/>
      <c r="EL78"/>
      <c r="EM78"/>
      <c r="EN78"/>
      <c r="EO78"/>
      <c r="EP78"/>
      <c r="EQ78"/>
      <c r="ER78"/>
      <c r="ES78"/>
      <c r="ET78"/>
      <c r="EU78"/>
      <c r="EV78"/>
      <c r="EW78"/>
      <c r="EX78"/>
      <c r="EY78"/>
      <c r="EZ78"/>
    </row>
    <row r="79" spans="1:156" ht="54.75" hidden="1" customHeight="1" x14ac:dyDescent="0.25">
      <c r="A79" s="25">
        <v>1</v>
      </c>
      <c r="B79" s="327" t="str">
        <f>"Refrigerant: " &amp; CHAR(10) &amp; 'Legend(DX)'!$U$1</f>
        <v xml:space="preserve">Refrigerant: 
</v>
      </c>
      <c r="D79" s="791" t="str">
        <f>IF(LEFT('Legend(DX)'!$U$1,1)="G","Supply Fluid Temp",IF(LEFT('Legend(DX)'!$U$1,1)="c","Fluid Temp","Rack SST"))</f>
        <v>Rack SST</v>
      </c>
      <c r="E79" s="791" t="s">
        <v>545</v>
      </c>
      <c r="F79" s="791" t="s">
        <v>544</v>
      </c>
      <c r="G79" s="791" t="s">
        <v>543</v>
      </c>
      <c r="H79" s="791" t="s">
        <v>542</v>
      </c>
      <c r="I79" s="791" t="s">
        <v>798</v>
      </c>
      <c r="L79" s="286"/>
      <c r="S79" s="791" t="s">
        <v>1092</v>
      </c>
      <c r="T79" s="791" t="s">
        <v>1093</v>
      </c>
      <c r="V79" s="284"/>
      <c r="W79" s="284"/>
      <c r="Y79" s="791" t="s">
        <v>535</v>
      </c>
      <c r="AB79" s="791" t="s">
        <v>541</v>
      </c>
      <c r="AC79" s="791" t="s">
        <v>540</v>
      </c>
      <c r="AR79" s="791" t="s">
        <v>539</v>
      </c>
      <c r="AS79" s="791" t="s">
        <v>538</v>
      </c>
      <c r="AT79" s="286"/>
      <c r="AU79" s="286"/>
      <c r="AV79" s="286"/>
      <c r="BA79" s="791" t="s">
        <v>535</v>
      </c>
      <c r="BD79" s="791" t="s">
        <v>537</v>
      </c>
      <c r="BE79" s="791" t="s">
        <v>536</v>
      </c>
      <c r="BF79" s="286"/>
      <c r="BN79" s="285"/>
      <c r="BP79" s="285"/>
      <c r="BR79" s="791" t="s">
        <v>535</v>
      </c>
      <c r="BS79" s="791" t="s">
        <v>534</v>
      </c>
      <c r="BT79" s="791" t="s">
        <v>533</v>
      </c>
      <c r="BX79" s="25"/>
      <c r="BY79" s="791" t="s">
        <v>1100</v>
      </c>
      <c r="DJ79" s="1620"/>
      <c r="DK79" s="440"/>
      <c r="DL79" s="1619"/>
      <c r="DN79" s="1620"/>
      <c r="DR79" s="286" t="s">
        <v>799</v>
      </c>
      <c r="DS79" s="213"/>
      <c r="DT79" s="286" t="s">
        <v>800</v>
      </c>
      <c r="DU79" s="286"/>
      <c r="DV79" s="286" t="s">
        <v>801</v>
      </c>
      <c r="DW79" s="286" t="s">
        <v>802</v>
      </c>
      <c r="DX79" s="286" t="s">
        <v>803</v>
      </c>
      <c r="DY79" s="213"/>
      <c r="DZ79" s="213"/>
      <c r="EA79" s="213"/>
      <c r="EQ79" s="213"/>
      <c r="ER79" s="213"/>
      <c r="ES79" s="213"/>
      <c r="ET79" s="213"/>
      <c r="EU79" s="213"/>
      <c r="EV79" s="213"/>
      <c r="EW79" s="213"/>
      <c r="EX79" s="213"/>
      <c r="EY79" s="213"/>
      <c r="EZ79" s="213"/>
    </row>
    <row r="80" spans="1:156" ht="13.5" hidden="1" thickBot="1" x14ac:dyDescent="0.25">
      <c r="A80" s="25">
        <v>1</v>
      </c>
      <c r="B80" s="790" t="str">
        <f>IF(($C$6)&gt;0,"LineSize Calculations Off",VLOOKUP('Legend(DX)'!$U$1,Refrigerant,2,FALSE))</f>
        <v>LineSize Calculations Off</v>
      </c>
      <c r="D80" s="792" t="s">
        <v>459</v>
      </c>
      <c r="E80" s="792" t="s">
        <v>460</v>
      </c>
      <c r="F80" s="792" t="s">
        <v>459</v>
      </c>
      <c r="G80" s="792" t="s">
        <v>459</v>
      </c>
      <c r="H80" s="792" t="s">
        <v>459</v>
      </c>
      <c r="I80" s="792" t="s">
        <v>460</v>
      </c>
      <c r="L80" s="277"/>
      <c r="S80" s="792" t="s">
        <v>459</v>
      </c>
      <c r="T80" s="792" t="s">
        <v>1094</v>
      </c>
      <c r="V80" s="284"/>
      <c r="W80" s="284"/>
      <c r="Y80" s="794"/>
      <c r="AB80" s="794" t="s">
        <v>457</v>
      </c>
      <c r="AC80" s="794" t="s">
        <v>457</v>
      </c>
      <c r="AR80" s="794" t="s">
        <v>457</v>
      </c>
      <c r="AS80" s="794" t="s">
        <v>457</v>
      </c>
      <c r="AT80" s="283"/>
      <c r="AU80" s="283"/>
      <c r="AV80" s="283"/>
      <c r="BA80" s="794"/>
      <c r="BD80" s="794" t="s">
        <v>457</v>
      </c>
      <c r="BE80" s="794" t="s">
        <v>457</v>
      </c>
      <c r="BF80" s="283"/>
      <c r="BN80" s="282"/>
      <c r="BP80" s="282"/>
      <c r="BR80" s="794"/>
      <c r="BS80" s="794" t="str">
        <f>IF($C$3&gt;0,"[fps]","[fpm]")</f>
        <v>[fpm]</v>
      </c>
      <c r="BT80" s="794" t="s">
        <v>532</v>
      </c>
      <c r="BX80" s="25"/>
      <c r="BY80" s="794"/>
      <c r="DJ80" s="1620"/>
      <c r="DK80" s="440"/>
      <c r="DL80" s="1619"/>
      <c r="DN80" s="1620"/>
      <c r="DR80" s="213"/>
      <c r="DS80" s="213"/>
      <c r="DT80" s="277"/>
      <c r="DU80" s="277"/>
      <c r="DV80" s="277"/>
      <c r="DW80" s="277"/>
      <c r="DX80" s="213"/>
      <c r="DY80" s="213"/>
      <c r="DZ80" s="213"/>
      <c r="EA80" s="213"/>
      <c r="EQ80" s="213"/>
      <c r="ER80" s="213"/>
      <c r="ES80" s="213"/>
      <c r="ET80" s="213"/>
      <c r="EU80" s="213"/>
      <c r="EV80" s="213"/>
      <c r="EW80" s="213"/>
      <c r="EX80" s="213"/>
      <c r="EY80" s="213"/>
      <c r="EZ80" s="213"/>
    </row>
    <row r="81" spans="1:156" ht="20.25" hidden="1" customHeight="1" thickBot="1" x14ac:dyDescent="0.25">
      <c r="A81" s="25">
        <v>1</v>
      </c>
      <c r="D81" s="281" t="str">
        <f>IF(($C$6)&gt;0,"",IF($C$3&gt;0,MIN('Legend(DX)'!AB14:AB15),LegendSG3RSST))</f>
        <v/>
      </c>
      <c r="E81" s="280" t="str">
        <f>IF(($C$6)&gt;0,"",Pressure((B80),"TVAP","E",D81+0.5*DX81))</f>
        <v/>
      </c>
      <c r="F81" s="279"/>
      <c r="G81" s="278" t="str">
        <f>IF(($C$6)&gt;0,"",IF(LEFT('Legend(DX)'!$U$1,1)="c",D81,IF(LegendSG3LT="",H81,LegendSG3LT)))</f>
        <v/>
      </c>
      <c r="H81" s="278" t="str">
        <f>IF(($C$6)&gt;0,"",IF(LEFT('Legend(DX)'!$U$1,1)="c",D81,IF(LegendSG1CT="","",LegendSG1CT)))</f>
        <v/>
      </c>
      <c r="I81" s="278" t="str">
        <f>IF(($C$6)&gt;0,"",(Pressure($B$80,"tliq","e",$H$81)+Pressure($B$80,"tvap","e",$H$81))/2)</f>
        <v/>
      </c>
      <c r="L81" s="277"/>
      <c r="S81" s="1226"/>
      <c r="T81" s="1226"/>
      <c r="Y81" s="273">
        <v>1.3</v>
      </c>
      <c r="AB81" s="1445">
        <v>1200</v>
      </c>
      <c r="AC81" s="272">
        <f>IF(($J$4)&gt;1,800,2000)</f>
        <v>800</v>
      </c>
      <c r="AR81" s="1445">
        <v>1200</v>
      </c>
      <c r="AS81" s="272">
        <f>IF(($J$4)&gt;1,800,2000)</f>
        <v>800</v>
      </c>
      <c r="AT81" s="276"/>
      <c r="AU81" s="276"/>
      <c r="AV81" s="276"/>
      <c r="BA81" s="273">
        <v>1.3</v>
      </c>
      <c r="BD81" s="1445">
        <f>IF(($J$4)&gt;1,200,500)</f>
        <v>200</v>
      </c>
      <c r="BE81" s="1445">
        <v>1500</v>
      </c>
      <c r="BF81" s="275"/>
      <c r="BN81" s="274"/>
      <c r="BP81" s="274"/>
      <c r="BR81" s="273">
        <f>IF($C$3&gt;0,2.6,1.3)</f>
        <v>1.3</v>
      </c>
      <c r="BS81" s="272">
        <v>150</v>
      </c>
      <c r="BT81" s="271" t="str">
        <f>IF(($C$6)&gt;0,"",(Pressure(($B$80),"TLIQ","E",($H$81)))-(Pressure(($B$80),"TLIQ","E",(($H$81)-1))))</f>
        <v/>
      </c>
      <c r="BX81" s="25"/>
      <c r="BY81" s="273">
        <v>4</v>
      </c>
      <c r="CH81" s="270" t="s">
        <v>531</v>
      </c>
      <c r="CI81" s="270" t="s">
        <v>530</v>
      </c>
      <c r="CJ81" s="270" t="s">
        <v>525</v>
      </c>
      <c r="CK81" s="270" t="s">
        <v>529</v>
      </c>
      <c r="CL81" s="270" t="s">
        <v>528</v>
      </c>
      <c r="CM81" s="270" t="s">
        <v>527</v>
      </c>
      <c r="CN81" s="270" t="s">
        <v>527</v>
      </c>
      <c r="DJ81" s="1620"/>
      <c r="DK81" s="440"/>
      <c r="DL81" s="1619"/>
      <c r="DN81" s="1620"/>
      <c r="DR81" s="1253" t="str">
        <f>IF(($C$6)&gt;0,"",TEMPERATURE($B$3,"pvap","e",($I$81))-TEMPERATURE($B$3,"pliq","e",($I$81)))</f>
        <v/>
      </c>
      <c r="DS81" s="213"/>
      <c r="DT81" s="1254" t="str">
        <f>IF(($C$6)&gt;0,"",(Pressure($B$3,"Tliq","e",($D$81))+Pressure($B$3,"Tvap","e",($D$81)))/2)</f>
        <v/>
      </c>
      <c r="DU81" s="1255"/>
      <c r="DV81" s="1256" t="str">
        <f>IF(($C$6)&gt;0,"",1-(Enthalpy($B$80,"pvap","e",($DT$81))-(IF(($G$81)+0.5*($DR$81)&gt;($H$81),Enthalpy($B$80,"Tliq","e",($G$81)),Enthalpy($B$80,"tp","e",($G$81),($I$81)))))/(Enthalpy($B$80,"pvap","e",($DT$81))-Enthalpy($B$80,"pliq","e",($DT$81))))</f>
        <v/>
      </c>
      <c r="DW81" s="1256" t="str">
        <f>IF(($C$6)&gt;0,"",TEMPERATURE($B$3,"pvap","e",($DT$81))-TEMPERATURE($B$3,"pliq","e",($DT$81)))</f>
        <v/>
      </c>
      <c r="DX81" s="1257" t="e">
        <f>(1-($DV$81))*($DW$81)</f>
        <v>#VALUE!</v>
      </c>
      <c r="DY81" s="213"/>
      <c r="DZ81" s="213"/>
      <c r="EA81" s="213"/>
      <c r="EQ81" s="213"/>
      <c r="ER81" s="213"/>
      <c r="ES81" s="213"/>
      <c r="ET81" s="213"/>
      <c r="EU81" s="213"/>
      <c r="EV81" s="213"/>
      <c r="EW81" s="213"/>
      <c r="EX81" s="213"/>
      <c r="EY81" s="213"/>
      <c r="EZ81" s="213"/>
    </row>
    <row r="82" spans="1:156" ht="13.5" hidden="1" thickBot="1" x14ac:dyDescent="0.25">
      <c r="A82" s="25">
        <v>1</v>
      </c>
      <c r="B82" s="213"/>
      <c r="D82" s="213"/>
      <c r="E82" s="213"/>
      <c r="F82" s="213"/>
      <c r="G82" s="213"/>
      <c r="H82" s="213"/>
      <c r="AB82" s="272">
        <v>700</v>
      </c>
      <c r="AR82" s="272">
        <v>700</v>
      </c>
      <c r="BD82" s="272">
        <v>250</v>
      </c>
      <c r="BE82" s="272">
        <v>1750</v>
      </c>
      <c r="BS82" s="1445">
        <v>120</v>
      </c>
      <c r="BX82" s="25"/>
      <c r="BY82" s="213"/>
      <c r="CH82" s="270" t="s">
        <v>526</v>
      </c>
      <c r="CI82" s="270" t="s">
        <v>526</v>
      </c>
      <c r="CM82" s="270" t="s">
        <v>526</v>
      </c>
      <c r="CN82" s="270" t="s">
        <v>525</v>
      </c>
      <c r="CO82" s="270" t="s">
        <v>524</v>
      </c>
      <c r="CP82" s="270"/>
      <c r="DJ82" s="1620"/>
      <c r="DK82" s="440"/>
      <c r="DL82" s="1619"/>
      <c r="DN82" s="1620"/>
      <c r="DR82" s="213"/>
      <c r="DS82" s="213"/>
      <c r="DT82" s="213"/>
      <c r="DU82" s="213"/>
      <c r="DV82" s="320" t="s">
        <v>804</v>
      </c>
      <c r="DW82" s="213"/>
      <c r="DX82" s="213"/>
      <c r="DY82" s="213"/>
      <c r="DZ82" s="213"/>
      <c r="EA82" s="213"/>
      <c r="EQ82" s="213"/>
      <c r="ER82" s="213"/>
      <c r="ES82" s="213"/>
      <c r="ET82" s="213"/>
      <c r="EU82" s="213"/>
      <c r="EV82" s="213"/>
      <c r="EW82" s="213"/>
      <c r="EX82" s="213"/>
      <c r="EY82" s="213"/>
      <c r="EZ82" s="213"/>
    </row>
    <row r="83" spans="1:156" ht="27" hidden="1" customHeight="1" thickBot="1" x14ac:dyDescent="0.25">
      <c r="A83" s="25">
        <v>1</v>
      </c>
      <c r="B83" s="213"/>
      <c r="D83" s="269" t="str">
        <f>IF($C$3&gt;0,"Fluid Group " &amp; H83,"Suction Group " &amp; H83)</f>
        <v>Suction Group 3</v>
      </c>
      <c r="E83" s="269"/>
      <c r="F83" s="269"/>
      <c r="G83" s="269"/>
      <c r="H83" s="268">
        <v>3</v>
      </c>
      <c r="I83" s="268"/>
      <c r="J83" s="268"/>
      <c r="K83" s="268"/>
      <c r="X83" s="1858" t="s">
        <v>523</v>
      </c>
      <c r="Y83" s="1859"/>
      <c r="Z83" s="1859"/>
      <c r="AA83" s="1859"/>
      <c r="AB83" s="1859"/>
      <c r="AC83" s="1859"/>
      <c r="AD83" s="1859"/>
      <c r="AE83" s="1859"/>
      <c r="AF83" s="1859"/>
      <c r="AG83" s="1859"/>
      <c r="AH83" s="1860"/>
      <c r="AI83" s="1858" t="s">
        <v>522</v>
      </c>
      <c r="AJ83" s="1859"/>
      <c r="AK83" s="1859"/>
      <c r="AL83" s="1859"/>
      <c r="AM83" s="1859"/>
      <c r="AN83" s="1859"/>
      <c r="AO83" s="1859"/>
      <c r="AP83" s="1859"/>
      <c r="AQ83" s="1859"/>
      <c r="AR83" s="1859"/>
      <c r="AS83" s="1859"/>
      <c r="AT83" s="1859"/>
      <c r="AU83" s="1859"/>
      <c r="AV83" s="1859"/>
      <c r="AW83" s="1859"/>
      <c r="AX83" s="1860"/>
      <c r="AY83" s="1416"/>
      <c r="AZ83" s="1858" t="s">
        <v>521</v>
      </c>
      <c r="BA83" s="1859"/>
      <c r="BB83" s="1859"/>
      <c r="BC83" s="1859"/>
      <c r="BD83" s="1859"/>
      <c r="BE83" s="1859"/>
      <c r="BF83" s="1859"/>
      <c r="BG83" s="1859"/>
      <c r="BH83" s="1859"/>
      <c r="BI83" s="1859"/>
      <c r="BJ83" s="1860"/>
      <c r="BK83" s="1855" t="s">
        <v>520</v>
      </c>
      <c r="BL83" s="1857"/>
      <c r="BM83" s="1857"/>
      <c r="BN83" s="1857"/>
      <c r="BO83" s="1857"/>
      <c r="BP83" s="1856"/>
      <c r="BQ83" s="1857" t="s">
        <v>519</v>
      </c>
      <c r="BR83" s="1857"/>
      <c r="BS83" s="1857"/>
      <c r="BT83" s="1857"/>
      <c r="BU83" s="1857"/>
      <c r="BV83" s="1857"/>
      <c r="BW83" s="1857"/>
      <c r="BX83" s="1857"/>
      <c r="BY83" s="1857"/>
      <c r="BZ83" s="1856"/>
      <c r="CA83" s="795"/>
      <c r="CB83" s="796"/>
      <c r="CC83" s="797"/>
      <c r="CD83" s="798"/>
      <c r="CE83" s="1855" t="s">
        <v>518</v>
      </c>
      <c r="CF83" s="1856"/>
      <c r="DJ83" s="1620"/>
      <c r="DK83" s="440"/>
      <c r="DL83" s="1619"/>
      <c r="DN83" s="1620"/>
      <c r="DR83" s="213"/>
      <c r="DS83" s="213"/>
      <c r="DT83" s="213"/>
      <c r="DU83" s="213"/>
      <c r="DV83" s="213"/>
      <c r="DW83" s="213"/>
      <c r="DX83" s="213"/>
      <c r="DY83" s="213"/>
      <c r="DZ83" s="213"/>
      <c r="EA83" s="213"/>
      <c r="EQ83" s="213"/>
      <c r="ER83" s="213"/>
      <c r="ES83" s="213"/>
      <c r="ET83" s="213"/>
      <c r="EU83" s="213"/>
      <c r="EV83" s="213"/>
      <c r="EW83" s="213"/>
      <c r="EX83" s="213"/>
      <c r="EY83" s="213"/>
      <c r="EZ83" s="213"/>
    </row>
    <row r="84" spans="1:156" s="213" customFormat="1" ht="63.75" hidden="1" x14ac:dyDescent="0.2">
      <c r="A84" s="213">
        <v>1</v>
      </c>
      <c r="B84" s="267"/>
      <c r="D84" s="799" t="s">
        <v>411</v>
      </c>
      <c r="E84" s="800" t="s">
        <v>517</v>
      </c>
      <c r="F84" s="800" t="s">
        <v>516</v>
      </c>
      <c r="G84" s="800" t="s">
        <v>515</v>
      </c>
      <c r="H84" s="800" t="s">
        <v>514</v>
      </c>
      <c r="I84" s="800" t="s">
        <v>513</v>
      </c>
      <c r="J84" s="800" t="str">
        <f>IF($C$3&gt;0,"","Segment SST")</f>
        <v>Segment SST</v>
      </c>
      <c r="K84" s="800" t="str">
        <f>IF($C$3&gt;0,"","Segment Suction Vapor Temp")</f>
        <v>Segment Suction Vapor Temp</v>
      </c>
      <c r="L84" s="800" t="str">
        <f>IF($C$3&gt;0,"","Return Gas Temp")</f>
        <v>Return Gas Temp</v>
      </c>
      <c r="M84" s="800" t="str">
        <f>IF($C$3&gt;0,"","Segment Suction Pressure")</f>
        <v>Segment Suction Pressure</v>
      </c>
      <c r="N84" s="800" t="str">
        <f>IF($C$3&gt;0,"","Evap Pressure")</f>
        <v>Evap Pressure</v>
      </c>
      <c r="O84" s="800" t="str">
        <f>IF($C$3&gt;0,"","Evap Temp Glide")</f>
        <v>Evap Temp Glide</v>
      </c>
      <c r="P84" s="801" t="str">
        <f>IF($C$3&gt;0,"","Evap Inlet Quality 1=100% Vapor")</f>
        <v>Evap Inlet Quality 1=100% Vapor</v>
      </c>
      <c r="Q84" s="800" t="str">
        <f>IF($C$3&gt;0,"","Evap Suction Outlet Enthalpy")</f>
        <v>Evap Suction Outlet Enthalpy</v>
      </c>
      <c r="R84" s="800" t="str">
        <f>IF($C$3&gt;0,"Flow","Liquid Enthalpy")</f>
        <v>Liquid Enthalpy</v>
      </c>
      <c r="S84" s="800" t="s">
        <v>507</v>
      </c>
      <c r="T84" s="800" t="s">
        <v>506</v>
      </c>
      <c r="U84" s="800" t="s">
        <v>356</v>
      </c>
      <c r="V84" s="800" t="s">
        <v>505</v>
      </c>
      <c r="W84" s="802" t="str">
        <f>IF($C$3&gt;0,"","Riser Type")</f>
        <v>Riser Type</v>
      </c>
      <c r="X84" s="803" t="s">
        <v>475</v>
      </c>
      <c r="Y84" s="804" t="s">
        <v>474</v>
      </c>
      <c r="Z84" s="805" t="s">
        <v>485</v>
      </c>
      <c r="AA84" s="805" t="s">
        <v>484</v>
      </c>
      <c r="AB84" s="805" t="s">
        <v>473</v>
      </c>
      <c r="AC84" s="805" t="s">
        <v>149</v>
      </c>
      <c r="AD84" s="805" t="s">
        <v>472</v>
      </c>
      <c r="AE84" s="805" t="s">
        <v>471</v>
      </c>
      <c r="AF84" s="805" t="s">
        <v>470</v>
      </c>
      <c r="AG84" s="805" t="s">
        <v>503</v>
      </c>
      <c r="AH84" s="806" t="s">
        <v>502</v>
      </c>
      <c r="AI84" s="803" t="s">
        <v>501</v>
      </c>
      <c r="AJ84" s="804" t="s">
        <v>500</v>
      </c>
      <c r="AK84" s="805" t="s">
        <v>499</v>
      </c>
      <c r="AL84" s="805" t="s">
        <v>498</v>
      </c>
      <c r="AM84" s="805" t="s">
        <v>497</v>
      </c>
      <c r="AN84" s="805" t="s">
        <v>496</v>
      </c>
      <c r="AO84" s="805" t="s">
        <v>495</v>
      </c>
      <c r="AP84" s="805" t="s">
        <v>494</v>
      </c>
      <c r="AQ84" s="805" t="s">
        <v>493</v>
      </c>
      <c r="AR84" s="805" t="s">
        <v>492</v>
      </c>
      <c r="AS84" s="805" t="s">
        <v>491</v>
      </c>
      <c r="AT84" s="805" t="s">
        <v>490</v>
      </c>
      <c r="AU84" s="805" t="s">
        <v>489</v>
      </c>
      <c r="AV84" s="805" t="s">
        <v>488</v>
      </c>
      <c r="AW84" s="805" t="s">
        <v>487</v>
      </c>
      <c r="AX84" s="806" t="s">
        <v>486</v>
      </c>
      <c r="AY84" s="805" t="s">
        <v>1253</v>
      </c>
      <c r="AZ84" s="803" t="s">
        <v>475</v>
      </c>
      <c r="BA84" s="804" t="s">
        <v>474</v>
      </c>
      <c r="BB84" s="805" t="s">
        <v>485</v>
      </c>
      <c r="BC84" s="805" t="s">
        <v>484</v>
      </c>
      <c r="BD84" s="805" t="s">
        <v>473</v>
      </c>
      <c r="BE84" s="805" t="s">
        <v>149</v>
      </c>
      <c r="BF84" s="805" t="s">
        <v>472</v>
      </c>
      <c r="BG84" s="805" t="s">
        <v>471</v>
      </c>
      <c r="BH84" s="805" t="s">
        <v>470</v>
      </c>
      <c r="BI84" s="805" t="s">
        <v>483</v>
      </c>
      <c r="BJ84" s="806" t="s">
        <v>482</v>
      </c>
      <c r="BK84" s="807" t="s">
        <v>481</v>
      </c>
      <c r="BL84" s="804" t="s">
        <v>480</v>
      </c>
      <c r="BM84" s="804" t="s">
        <v>479</v>
      </c>
      <c r="BN84" s="805" t="s">
        <v>478</v>
      </c>
      <c r="BO84" s="805" t="s">
        <v>477</v>
      </c>
      <c r="BP84" s="806" t="s">
        <v>476</v>
      </c>
      <c r="BQ84" s="804" t="s">
        <v>475</v>
      </c>
      <c r="BR84" s="804" t="s">
        <v>474</v>
      </c>
      <c r="BS84" s="805" t="s">
        <v>473</v>
      </c>
      <c r="BT84" s="805" t="s">
        <v>149</v>
      </c>
      <c r="BU84" s="805" t="s">
        <v>479</v>
      </c>
      <c r="BV84" s="805" t="s">
        <v>472</v>
      </c>
      <c r="BW84" s="805" t="s">
        <v>471</v>
      </c>
      <c r="BX84" s="805" t="s">
        <v>470</v>
      </c>
      <c r="BY84" s="805" t="s">
        <v>469</v>
      </c>
      <c r="BZ84" s="806" t="s">
        <v>468</v>
      </c>
      <c r="CA84" s="808"/>
      <c r="CB84" s="809"/>
      <c r="CC84" s="810"/>
      <c r="CD84" s="811" t="s">
        <v>178</v>
      </c>
      <c r="CE84" s="1853" t="s">
        <v>467</v>
      </c>
      <c r="CF84" s="806" t="s">
        <v>466</v>
      </c>
      <c r="DH84" s="310"/>
      <c r="DI84" s="310"/>
      <c r="DJ84" s="1620"/>
      <c r="DK84" s="440"/>
      <c r="DL84" s="1619"/>
      <c r="DM84" s="310"/>
      <c r="DN84" s="1620"/>
      <c r="DO84" s="310"/>
      <c r="DP84" s="320"/>
      <c r="DR84" s="264"/>
      <c r="DS84" s="264"/>
      <c r="DT84" s="264"/>
      <c r="DU84" s="264"/>
      <c r="DV84" s="264"/>
      <c r="DW84" s="264"/>
      <c r="DX84" s="264"/>
      <c r="DY84" s="264"/>
      <c r="DZ84" s="264"/>
      <c r="EA84" s="264"/>
      <c r="EB84" s="25"/>
      <c r="EC84" s="25"/>
      <c r="ED84" s="25"/>
      <c r="EE84" s="25"/>
      <c r="EF84" s="25"/>
      <c r="EG84" s="25"/>
      <c r="EH84" s="25"/>
      <c r="EI84" s="25"/>
      <c r="EJ84" s="25"/>
      <c r="EK84" s="25"/>
      <c r="EL84" s="25"/>
      <c r="EM84" s="25"/>
      <c r="EN84" s="25"/>
      <c r="EO84" s="25"/>
      <c r="EP84" s="25"/>
    </row>
    <row r="85" spans="1:156" s="264" customFormat="1" ht="20.25" hidden="1" customHeight="1" thickBot="1" x14ac:dyDescent="0.25">
      <c r="A85" s="265">
        <v>1</v>
      </c>
      <c r="B85" s="266">
        <f>LegendSG3EVLT</f>
        <v>0</v>
      </c>
      <c r="C85" s="296" t="s">
        <v>151</v>
      </c>
      <c r="D85" s="428"/>
      <c r="E85" s="812"/>
      <c r="F85" s="812"/>
      <c r="G85" s="812"/>
      <c r="H85" s="813" t="s">
        <v>465</v>
      </c>
      <c r="I85" s="813" t="s">
        <v>459</v>
      </c>
      <c r="J85" s="813" t="str">
        <f>IF($C$3&gt;0,"","[ºF]")</f>
        <v>[ºF]</v>
      </c>
      <c r="K85" s="813" t="str">
        <f>IF($C$3&gt;0,"","[ºF]")</f>
        <v>[ºF]</v>
      </c>
      <c r="L85" s="813" t="str">
        <f>IF($C$3&gt;0,"","[ºF]")</f>
        <v>[ºF]</v>
      </c>
      <c r="M85" s="813" t="str">
        <f>IF($C$3&gt;0,"","[psia]")</f>
        <v>[psia]</v>
      </c>
      <c r="N85" s="813" t="str">
        <f>IF($C$3&gt;0,"","[psia]")</f>
        <v>[psia]</v>
      </c>
      <c r="O85" s="813" t="str">
        <f>IF($C$3&gt;0,"","[ºF]")</f>
        <v>[ºF]</v>
      </c>
      <c r="P85" s="814"/>
      <c r="Q85" s="813" t="str">
        <f>IF($C$3&gt;0,"","[Btu/lb]")</f>
        <v>[Btu/lb]</v>
      </c>
      <c r="R85" s="813" t="str">
        <f>IF($C$3&gt;0,"[GPM]","[Btu/lb]")</f>
        <v>[Btu/lb]</v>
      </c>
      <c r="S85" s="813" t="s">
        <v>462</v>
      </c>
      <c r="T85" s="813" t="s">
        <v>461</v>
      </c>
      <c r="U85" s="813" t="s">
        <v>463</v>
      </c>
      <c r="V85" s="813"/>
      <c r="W85" s="815"/>
      <c r="X85" s="816" t="s">
        <v>458</v>
      </c>
      <c r="Y85" s="813" t="s">
        <v>458</v>
      </c>
      <c r="Z85" s="813" t="s">
        <v>462</v>
      </c>
      <c r="AA85" s="813" t="s">
        <v>461</v>
      </c>
      <c r="AB85" s="813" t="s">
        <v>457</v>
      </c>
      <c r="AC85" s="813" t="s">
        <v>456</v>
      </c>
      <c r="AD85" s="813"/>
      <c r="AE85" s="813"/>
      <c r="AF85" s="813" t="s">
        <v>455</v>
      </c>
      <c r="AG85" s="813" t="s">
        <v>455</v>
      </c>
      <c r="AH85" s="815" t="s">
        <v>454</v>
      </c>
      <c r="AI85" s="816"/>
      <c r="AJ85" s="813" t="s">
        <v>454</v>
      </c>
      <c r="AK85" s="813"/>
      <c r="AL85" s="813" t="s">
        <v>456</v>
      </c>
      <c r="AM85" s="813"/>
      <c r="AN85" s="813"/>
      <c r="AO85" s="813" t="s">
        <v>455</v>
      </c>
      <c r="AP85" s="813" t="s">
        <v>455</v>
      </c>
      <c r="AQ85" s="813" t="s">
        <v>454</v>
      </c>
      <c r="AR85" s="813" t="s">
        <v>457</v>
      </c>
      <c r="AS85" s="813" t="s">
        <v>463</v>
      </c>
      <c r="AT85" s="813" t="s">
        <v>455</v>
      </c>
      <c r="AU85" s="813" t="s">
        <v>455</v>
      </c>
      <c r="AV85" s="813" t="s">
        <v>454</v>
      </c>
      <c r="AW85" s="813" t="s">
        <v>457</v>
      </c>
      <c r="AX85" s="815" t="s">
        <v>463</v>
      </c>
      <c r="AY85" s="813" t="s">
        <v>458</v>
      </c>
      <c r="AZ85" s="816" t="s">
        <v>458</v>
      </c>
      <c r="BA85" s="813" t="s">
        <v>458</v>
      </c>
      <c r="BB85" s="813" t="s">
        <v>462</v>
      </c>
      <c r="BC85" s="813" t="s">
        <v>461</v>
      </c>
      <c r="BD85" s="813" t="s">
        <v>457</v>
      </c>
      <c r="BE85" s="813" t="s">
        <v>456</v>
      </c>
      <c r="BF85" s="813"/>
      <c r="BG85" s="813"/>
      <c r="BH85" s="813" t="s">
        <v>455</v>
      </c>
      <c r="BI85" s="813" t="s">
        <v>455</v>
      </c>
      <c r="BJ85" s="817" t="s">
        <v>454</v>
      </c>
      <c r="BK85" s="816" t="s">
        <v>456</v>
      </c>
      <c r="BL85" s="813" t="s">
        <v>456</v>
      </c>
      <c r="BM85" s="813" t="s">
        <v>456</v>
      </c>
      <c r="BN85" s="813" t="s">
        <v>459</v>
      </c>
      <c r="BO85" s="813" t="s">
        <v>460</v>
      </c>
      <c r="BP85" s="815" t="s">
        <v>459</v>
      </c>
      <c r="BQ85" s="813" t="s">
        <v>458</v>
      </c>
      <c r="BR85" s="813" t="s">
        <v>458</v>
      </c>
      <c r="BS85" s="813" t="s">
        <v>457</v>
      </c>
      <c r="BT85" s="813" t="str">
        <f>IF($C$3&gt;0,"[ft-H2O]","[psi]")</f>
        <v>[psi]</v>
      </c>
      <c r="BU85" s="813" t="str">
        <f>IF($C$3&gt;0,"[ft-H2O]","[psi]")</f>
        <v>[psi]</v>
      </c>
      <c r="BV85" s="813"/>
      <c r="BW85" s="813"/>
      <c r="BX85" s="813" t="s">
        <v>455</v>
      </c>
      <c r="BY85" s="813" t="s">
        <v>455</v>
      </c>
      <c r="BZ85" s="815" t="s">
        <v>454</v>
      </c>
      <c r="CA85" s="818"/>
      <c r="CB85" s="819"/>
      <c r="CC85" s="820"/>
      <c r="CD85" s="792" t="s">
        <v>179</v>
      </c>
      <c r="CE85" s="1854"/>
      <c r="CF85" s="815"/>
      <c r="DH85" s="311"/>
      <c r="DI85" s="311"/>
      <c r="DJ85" s="1621"/>
      <c r="DK85" s="441"/>
      <c r="DL85" s="1622"/>
      <c r="DM85" s="311"/>
      <c r="DN85" s="1621"/>
      <c r="DO85" s="311"/>
      <c r="DP85" s="321"/>
      <c r="DR85" s="213"/>
      <c r="DS85" s="213"/>
      <c r="DT85" s="213"/>
      <c r="DU85" s="213"/>
      <c r="DV85" s="213"/>
      <c r="DW85" s="213"/>
      <c r="DX85" s="213"/>
      <c r="DY85" s="213"/>
      <c r="DZ85" s="213"/>
      <c r="EA85" s="213"/>
      <c r="EB85" s="25"/>
      <c r="EC85" s="25"/>
      <c r="ED85" s="25"/>
      <c r="EE85" s="25"/>
      <c r="EF85" s="25"/>
      <c r="EG85" s="25"/>
      <c r="EH85" s="25"/>
      <c r="EI85" s="25"/>
      <c r="EJ85" s="25"/>
      <c r="EK85" s="25"/>
      <c r="EL85" s="25"/>
      <c r="EM85" s="25"/>
      <c r="EN85" s="25"/>
      <c r="EO85" s="25"/>
      <c r="EP85" s="25"/>
      <c r="EQ85" s="213"/>
      <c r="ER85" s="213"/>
      <c r="ES85" s="213"/>
      <c r="ET85" s="213"/>
      <c r="EU85" s="213"/>
      <c r="EV85" s="213"/>
      <c r="EW85" s="213"/>
      <c r="EX85" s="213"/>
      <c r="EY85" s="213"/>
      <c r="EZ85" s="213"/>
    </row>
    <row r="86" spans="1:156" hidden="1" x14ac:dyDescent="0.2">
      <c r="A86" s="262" t="s">
        <v>374</v>
      </c>
      <c r="B86" s="262">
        <f>H83</f>
        <v>3</v>
      </c>
      <c r="C86" s="262">
        <f>$C$6</f>
        <v>1</v>
      </c>
      <c r="D86" s="429" t="s">
        <v>176</v>
      </c>
      <c r="E86" s="430" t="str">
        <f>"SG " &amp; H83</f>
        <v>SG 3</v>
      </c>
      <c r="F86" s="430">
        <v>0</v>
      </c>
      <c r="G86" s="263" t="s">
        <v>548</v>
      </c>
      <c r="H86" s="220"/>
      <c r="I86" s="258"/>
      <c r="J86" s="248" t="str">
        <f>IF(C86&gt;0,"",($D$81))</f>
        <v/>
      </c>
      <c r="K86" s="248"/>
      <c r="L86" s="257" t="str">
        <f>IF($C$3&gt;0,"",IF(C86&gt;0,"",IF(($J$81)&gt;1,I86,LegendSG3RGT)))</f>
        <v/>
      </c>
      <c r="M86" s="248" t="str">
        <f>IF(C86&gt;0,"",DT86)</f>
        <v/>
      </c>
      <c r="N86" s="248"/>
      <c r="O86" s="248"/>
      <c r="P86" s="220"/>
      <c r="Q86" s="248"/>
      <c r="R86" s="220" t="str">
        <f>IF($C$3&gt;0,IF(S86=0,"",U86/(S86*60*0.13368)),"")</f>
        <v/>
      </c>
      <c r="S86" s="220"/>
      <c r="T86" s="250"/>
      <c r="U86" s="248"/>
      <c r="V86" s="257"/>
      <c r="W86" s="247"/>
      <c r="X86" s="312"/>
      <c r="Y86" s="246"/>
      <c r="Z86" s="218"/>
      <c r="AA86" s="250"/>
      <c r="AB86" s="219"/>
      <c r="AC86" s="220"/>
      <c r="AD86" s="219"/>
      <c r="AE86" s="218"/>
      <c r="AF86" s="245"/>
      <c r="AG86" s="245"/>
      <c r="AH86" s="298"/>
      <c r="AI86" s="253"/>
      <c r="AJ86" s="252"/>
      <c r="AK86" s="218"/>
      <c r="AL86" s="220"/>
      <c r="AM86" s="219"/>
      <c r="AN86" s="218"/>
      <c r="AO86" s="245"/>
      <c r="AP86" s="245"/>
      <c r="AQ86" s="251"/>
      <c r="AR86" s="219"/>
      <c r="AS86" s="248"/>
      <c r="AT86" s="245"/>
      <c r="AU86" s="245"/>
      <c r="AV86" s="251"/>
      <c r="AW86" s="219"/>
      <c r="AX86" s="247"/>
      <c r="AY86" s="248"/>
      <c r="AZ86" s="438"/>
      <c r="BA86" s="246"/>
      <c r="BB86" s="218"/>
      <c r="BC86" s="250"/>
      <c r="BD86" s="219"/>
      <c r="BE86" s="220"/>
      <c r="BF86" s="219"/>
      <c r="BG86" s="218"/>
      <c r="BH86" s="245"/>
      <c r="BI86" s="245"/>
      <c r="BJ86" s="243"/>
      <c r="BK86" s="312"/>
      <c r="BL86" s="248"/>
      <c r="BM86" s="248"/>
      <c r="BN86" s="248"/>
      <c r="BO86" s="220"/>
      <c r="BP86" s="247"/>
      <c r="BQ86" s="287"/>
      <c r="BR86" s="246"/>
      <c r="BS86" s="220"/>
      <c r="BT86" s="220"/>
      <c r="BU86" s="220"/>
      <c r="BV86" s="219"/>
      <c r="BW86" s="218"/>
      <c r="BX86" s="245"/>
      <c r="BY86" s="245"/>
      <c r="BZ86" s="243"/>
      <c r="CA86" s="314" t="s">
        <v>150</v>
      </c>
      <c r="CC86" s="313">
        <v>0</v>
      </c>
      <c r="CD86" s="318"/>
      <c r="CE86" s="242"/>
      <c r="CF86" s="241"/>
      <c r="CH86" s="213">
        <f>IF(OR(AB86&lt;($AB$81),AB86&gt;($AC$81)),1,0)</f>
        <v>1</v>
      </c>
      <c r="CI86" s="213">
        <f>IF(OR(BD86&lt;($BD$81),BD86&gt;($BE$81)),1,0)</f>
        <v>1</v>
      </c>
      <c r="CJ86" s="213">
        <f>IF(BN86&lt;($F$81),1,0)</f>
        <v>0</v>
      </c>
      <c r="CK86" s="213">
        <f>IF(AND((LEFT('Legend(DX)'!$U$1,1)="C"),BN86&gt;$F$81),0,IF(BO86&lt;($E$81),1,0))</f>
        <v>0</v>
      </c>
      <c r="CL86" s="213">
        <f>IF(AND((LEFT('Legend(DX)'!$U$1,1)="C"),BN86&gt;$F$81),0,IF(BP86&lt;($D$81),1,0))</f>
        <v>0</v>
      </c>
      <c r="CM86" s="213">
        <f>IF(BS86&gt;($BS$81),1,0)</f>
        <v>0</v>
      </c>
      <c r="CN86" s="213">
        <f>IF(BU86&gt;($BT$81),1,0)</f>
        <v>0</v>
      </c>
      <c r="CO86" s="213">
        <f>SUM(CH86:CN86)</f>
        <v>2</v>
      </c>
      <c r="CQ86" s="304" t="s">
        <v>171</v>
      </c>
      <c r="CR86" s="213">
        <f t="shared" ref="CR86:DC86" si="22">IF($W86="Single",IF($AG86="",IF($AF86=CR$8,$X86,0),IF($AG86=CR$8,$X86,0)),0)</f>
        <v>0</v>
      </c>
      <c r="CS86" s="213">
        <f t="shared" si="22"/>
        <v>0</v>
      </c>
      <c r="CT86" s="213">
        <f t="shared" si="22"/>
        <v>0</v>
      </c>
      <c r="CU86" s="213">
        <f t="shared" si="22"/>
        <v>0</v>
      </c>
      <c r="CV86" s="213">
        <f t="shared" si="22"/>
        <v>0</v>
      </c>
      <c r="CW86" s="213">
        <f t="shared" si="22"/>
        <v>0</v>
      </c>
      <c r="CX86" s="213">
        <f t="shared" si="22"/>
        <v>0</v>
      </c>
      <c r="CY86" s="213">
        <f t="shared" si="22"/>
        <v>0</v>
      </c>
      <c r="CZ86" s="213">
        <f t="shared" si="22"/>
        <v>0</v>
      </c>
      <c r="DA86" s="213">
        <f t="shared" si="22"/>
        <v>0</v>
      </c>
      <c r="DB86" s="213">
        <f t="shared" si="22"/>
        <v>0</v>
      </c>
      <c r="DC86" s="213">
        <f t="shared" si="22"/>
        <v>0</v>
      </c>
      <c r="DE86" s="304" t="str">
        <f>IF(AG86="",IF(X86=0,TEXT(AF86,"# 0/0")&amp;"*",TEXT(AF86,"# 0/0")),IF(X86=0,TEXT(AG86,"# 0/0")&amp;"*",TEXT(AG86,"# 0/0")))</f>
        <v>0/1*</v>
      </c>
      <c r="DF86" s="25" t="str">
        <f>IF(AP86="",IF(X86=0,TEXT(AO86,"# 0/0")&amp;"*",TEXT(AO86,"# 0/0")),IF(X86=0,TEXT(AP86,"# 0/0")&amp;"*",TEXT(AP86,"# 0/0")))</f>
        <v>0/1*</v>
      </c>
      <c r="DG86" s="25" t="str">
        <f>IF(AU86="",IF(X86=0,TEXT(AT86,"# 0/0")&amp;"*",TEXT(AT86,"# 0/0")),IF(X86=0,TEXT(AU86,"# 0/0")&amp;"*",TEXT(AU86,"# 0/0")))</f>
        <v>0/1*</v>
      </c>
      <c r="DH86" s="329" t="s">
        <v>1620</v>
      </c>
      <c r="DI86" s="310">
        <f>IF($BI86="",$BH86,$BI86)</f>
        <v>0</v>
      </c>
      <c r="DJ86" s="1620"/>
      <c r="DK86" s="440" t="str">
        <f>IF(W86="Double",DF86 &amp; " &amp; " &amp; DG86,DE86)</f>
        <v>0/1*</v>
      </c>
      <c r="DL86" s="1619"/>
      <c r="DM86" s="310">
        <f>IF($BY86="",IF($C$3&gt;0,$BX86-0.125,$BX86),IF($C$3&gt;0,$BY86-0.125,$BY86))</f>
        <v>0</v>
      </c>
      <c r="DN86" s="1620"/>
      <c r="DO86" s="310">
        <f>IF($C$3&gt;0,2*$BQ86,$BQ86)</f>
        <v>0</v>
      </c>
      <c r="DR86" s="1253" t="str">
        <f>J86</f>
        <v/>
      </c>
      <c r="DS86" s="1253" t="str">
        <f>IF(C86&gt;0,"",(Pressure($B$3,"Tliq","e",$J86)+Pressure($B$3,"Tvap","e",$J86))/2)</f>
        <v/>
      </c>
      <c r="DT86" s="1253" t="str">
        <f>IF(C86&gt;0,"",Pressure($B$3,"tvap","e",$J86+0.5*$DZ86))</f>
        <v/>
      </c>
      <c r="DU86" s="1253">
        <f>I86</f>
        <v>0</v>
      </c>
      <c r="DV86" s="1253" t="str">
        <f>IF(C86&gt;0,"",(Pressure($B$3,"Tliq","e",$I86)+Pressure($B$3,"Tvap","e",$I86))/2)</f>
        <v/>
      </c>
      <c r="DW86" s="1253" t="str">
        <f>IF(C86&gt;0,"",Pressure($B$3,"tvap","e",$I86+0.5*$DZ86))</f>
        <v/>
      </c>
      <c r="DX86" s="1260" t="str">
        <f>IF(C86&gt;0,"",1-(Enthalpy($B$3,"pvap","e",$DV86)-(IF($G$4+0.5*($DR$81)&gt;($H$81),Enthalpy($B$3,"Tliq","e",($G$81)),Enthalpy($B$3,"tp","e",($G$81),($I$81)))))/(Enthalpy($B$3,"pvap","e",$DV86)-Enthalpy($B$3,"pliq","e",$DV86)))</f>
        <v/>
      </c>
      <c r="DY86" s="1253" t="str">
        <f>IF(C86&gt;0,"",TEMPERATURE($B$3,"pvap","e",$DS86)-TEMPERATURE($B$3,"pliq","e",$DS86))</f>
        <v/>
      </c>
      <c r="DZ86" s="1253" t="e">
        <f>(1-$DX86)*$DY86</f>
        <v>#VALUE!</v>
      </c>
      <c r="EA86" s="1261"/>
      <c r="EB86" s="1262" t="e">
        <f>T86/AA86</f>
        <v>#DIV/0!</v>
      </c>
      <c r="EC86" s="1260" t="e">
        <f>1/(((1/($J$81))/Z86)+((1-(1/($J$81)))/S86))</f>
        <v>#DIV/0!</v>
      </c>
      <c r="ED86" s="1263">
        <f>SQRT(AH86*4/PI())</f>
        <v>0</v>
      </c>
      <c r="EE86" s="1262" t="e">
        <f>(((U86/AH86)^2)*ED86)*(1/3600)*(1/3600)/(EC86*SurfaceTension($B$3,"TLIQ","E",I86))/32.174</f>
        <v>#DIV/0!</v>
      </c>
      <c r="EF86" s="1260" t="e">
        <f>((S86/Z86)^0.91)*((AA86/T86)^0.19)*((1-(AA86/T86))^0.7)</f>
        <v>#DIV/0!</v>
      </c>
      <c r="EG86" s="1264" t="e">
        <f>((1/($J$81))^0.78)*((1-(1/($J$81)))^0.224)</f>
        <v>#DIV/0!</v>
      </c>
      <c r="EH86" s="1260" t="e">
        <f>(1-(1/($J$81)))^2+(((1/($J$81))^2)*S86*AE86/(Z86*EM86))</f>
        <v>#DIV/0!</v>
      </c>
      <c r="EI86" s="1262" t="e">
        <f>((U86/AH86)^2)*(1/3600)*(1/3600)/(32.174*ED86*(EC86^2))</f>
        <v>#DIV/0!</v>
      </c>
      <c r="EJ86" s="1253" t="e">
        <f>EH86+(3.24*EG86*EF86/((EI86^0.045)*(EE86^0.035)))</f>
        <v>#DIV/0!</v>
      </c>
      <c r="EK86" s="1260" t="e">
        <f>vel(U86,S86,AH86)</f>
        <v>#VALUE!</v>
      </c>
      <c r="EL86" s="1262" t="e">
        <f>(((EK86/60)*S86)/T86)*((VLOOKUP(IF(AG86="",AF86,AG86),'Pipe Data'!F$7:G$19,2,FALSE))/12)</f>
        <v>#VALUE!</v>
      </c>
      <c r="EM86" s="1264" t="e">
        <f>(0.25/(LOG(5.74/(EL86^0.9))+((VLOOKUP(IF(AG86="",AF86,AG86),'Pipe Data'!J$7:X$19,15,FALSE))/3.7))^2)</f>
        <v>#VALUE!</v>
      </c>
      <c r="EN86" s="1264" t="e">
        <f>pdrop(EM86,Y86,S86,EK86,IF(AG86="",AF86,AG86))</f>
        <v>#VALUE!</v>
      </c>
      <c r="EO86" s="1260" t="e">
        <f>EN86*EJ86</f>
        <v>#VALUE!</v>
      </c>
      <c r="EP86" s="1261"/>
      <c r="EQ86" s="1263">
        <f>SQRT(BJ86*4/PI())</f>
        <v>0</v>
      </c>
      <c r="ER86" s="1262" t="e">
        <f>(((U86/BJ86)^2)*EQ86)*(1/3600)*(1/3600)/(EC86*SurfaceTension($B$3,"TLIQ","E",I86))/32.174</f>
        <v>#DIV/0!</v>
      </c>
      <c r="ES86" s="1260" t="e">
        <f>(1-(1/($J$81)))^2+(((1/($J$81))^2)*S86*BG86/(Z86*EM86))</f>
        <v>#DIV/0!</v>
      </c>
      <c r="ET86" s="1253" t="e">
        <f>((U86/BJ86)^2)*(1/3600)*(1/3600)/(32.174*EQ86*(EC86^2))</f>
        <v>#DIV/0!</v>
      </c>
      <c r="EU86" s="1260" t="e">
        <f>ES86+(3.24*EG86*EF86/((ET86^0.045)*(ER86^0.035)))</f>
        <v>#DIV/0!</v>
      </c>
      <c r="EV86" s="1260" t="e">
        <f>vel(U86,S86,BJ86)</f>
        <v>#VALUE!</v>
      </c>
      <c r="EW86" s="1262" t="e">
        <f>(((EV86/60)*S86)/T86)*((VLOOKUP(IF(BI86="",BH86,BI86),'Pipe Data'!F$7:G$19,2,FALSE))/12)</f>
        <v>#VALUE!</v>
      </c>
      <c r="EX86" s="1264" t="e">
        <f>(0.25/(LOG(5.74/(EW86^0.9))+((VLOOKUP(IF(BI86="",BH86,BI86),'Pipe Data'!J$7:X$19,15,FALSE))/3.7))^2)</f>
        <v>#VALUE!</v>
      </c>
      <c r="EY86" s="1260" t="e">
        <f>pdrop(EX86,BA86,S86,EV86,IF(BI86="",BH86,BI86))</f>
        <v>#VALUE!</v>
      </c>
      <c r="EZ86" s="1260" t="e">
        <f>EY86*EU86</f>
        <v>#VALUE!</v>
      </c>
    </row>
    <row r="87" spans="1:156" ht="12.75" hidden="1" customHeight="1" x14ac:dyDescent="0.2">
      <c r="A87" s="240"/>
      <c r="B87" s="240"/>
      <c r="C87" s="240"/>
      <c r="D87" s="236"/>
      <c r="E87" s="235"/>
      <c r="F87" s="234"/>
      <c r="G87" s="234"/>
      <c r="H87" s="223"/>
      <c r="I87" s="224"/>
      <c r="J87" s="224"/>
      <c r="K87" s="224"/>
      <c r="L87" s="221"/>
      <c r="M87" s="223"/>
      <c r="N87" s="223"/>
      <c r="O87" s="223"/>
      <c r="P87" s="223"/>
      <c r="Q87" s="224"/>
      <c r="R87" s="223"/>
      <c r="S87" s="223"/>
      <c r="T87" s="227"/>
      <c r="U87" s="224"/>
      <c r="V87" s="224"/>
      <c r="W87" s="222"/>
      <c r="X87" s="229"/>
      <c r="Y87" s="221"/>
      <c r="Z87" s="221"/>
      <c r="AA87" s="221"/>
      <c r="AB87" s="221"/>
      <c r="AC87" s="221"/>
      <c r="AD87" s="221"/>
      <c r="AE87" s="221"/>
      <c r="AF87" s="221"/>
      <c r="AG87" s="221"/>
      <c r="AH87" s="226"/>
      <c r="AI87" s="239"/>
      <c r="AJ87" s="238"/>
      <c r="AK87" s="228"/>
      <c r="AL87" s="223"/>
      <c r="AM87" s="230"/>
      <c r="AN87" s="228"/>
      <c r="AO87" s="232"/>
      <c r="AQ87" s="231"/>
      <c r="AR87" s="230"/>
      <c r="AS87" s="224"/>
      <c r="AT87" s="232"/>
      <c r="AV87" s="231"/>
      <c r="AW87" s="230"/>
      <c r="AX87" s="222"/>
      <c r="AY87" s="224"/>
      <c r="AZ87" s="229"/>
      <c r="BA87" s="221"/>
      <c r="BB87" s="228"/>
      <c r="BC87" s="227"/>
      <c r="BD87" s="227"/>
      <c r="BE87" s="227"/>
      <c r="BF87" s="227"/>
      <c r="BG87" s="227"/>
      <c r="BH87" s="227"/>
      <c r="BI87" s="227"/>
      <c r="BJ87" s="315"/>
      <c r="BK87" s="225"/>
      <c r="BL87" s="224"/>
      <c r="BM87" s="224"/>
      <c r="BN87" s="224"/>
      <c r="BO87" s="223"/>
      <c r="BP87" s="222"/>
      <c r="BQ87" s="229"/>
      <c r="BR87" s="221"/>
      <c r="BS87" s="221"/>
      <c r="BT87" s="221"/>
      <c r="BU87" s="221"/>
      <c r="BV87" s="221"/>
      <c r="BW87" s="221"/>
      <c r="BX87" s="221"/>
      <c r="BY87" s="221"/>
      <c r="BZ87" s="226"/>
      <c r="CA87" s="229"/>
      <c r="CC87" s="313"/>
      <c r="CD87" s="317"/>
      <c r="CE87" s="215"/>
      <c r="CF87" s="214"/>
      <c r="CQ87" s="304" t="s">
        <v>154</v>
      </c>
      <c r="CR87" s="213">
        <f t="shared" ref="CR87:DC87" si="23">IF($BI86="",IF($BH86=CR$8,$AZ86,0),IF($BI86=CR$8,$AZ86,0))</f>
        <v>0</v>
      </c>
      <c r="CS87" s="213">
        <f t="shared" si="23"/>
        <v>0</v>
      </c>
      <c r="CT87" s="213">
        <f t="shared" si="23"/>
        <v>0</v>
      </c>
      <c r="CU87" s="213">
        <f t="shared" si="23"/>
        <v>0</v>
      </c>
      <c r="CV87" s="213">
        <f t="shared" si="23"/>
        <v>0</v>
      </c>
      <c r="CW87" s="213">
        <f t="shared" si="23"/>
        <v>0</v>
      </c>
      <c r="CX87" s="213">
        <f t="shared" si="23"/>
        <v>0</v>
      </c>
      <c r="CY87" s="213">
        <f t="shared" si="23"/>
        <v>0</v>
      </c>
      <c r="CZ87" s="213">
        <f t="shared" si="23"/>
        <v>0</v>
      </c>
      <c r="DA87" s="213">
        <f t="shared" si="23"/>
        <v>0</v>
      </c>
      <c r="DB87" s="213">
        <f t="shared" si="23"/>
        <v>0</v>
      </c>
      <c r="DC87" s="213">
        <f t="shared" si="23"/>
        <v>0</v>
      </c>
      <c r="DJ87" s="1620"/>
      <c r="DK87" s="440"/>
      <c r="DL87" s="1619"/>
      <c r="DN87" s="1620"/>
      <c r="DR87" s="1231"/>
      <c r="DS87" s="1231"/>
      <c r="DT87" s="1231"/>
      <c r="DU87" s="1231"/>
      <c r="DV87" s="1231"/>
      <c r="DW87" s="1231"/>
      <c r="DX87" s="444"/>
      <c r="DY87" s="1231"/>
      <c r="DZ87" s="1231"/>
      <c r="EA87" s="213"/>
      <c r="EB87" s="213"/>
      <c r="EC87" s="213"/>
      <c r="ED87" s="213"/>
      <c r="EE87" s="213"/>
      <c r="EF87" s="213"/>
      <c r="EG87" s="213"/>
      <c r="EH87" s="213"/>
      <c r="EI87" s="213"/>
      <c r="EJ87" s="213"/>
      <c r="EK87" s="213"/>
      <c r="EL87" s="213"/>
      <c r="EM87" s="213"/>
      <c r="EN87" s="213"/>
      <c r="EO87" s="213"/>
      <c r="EP87" s="213"/>
      <c r="EQ87" s="213"/>
      <c r="ER87" s="213"/>
      <c r="ES87" s="213"/>
      <c r="ET87" s="213"/>
      <c r="EU87" s="213"/>
      <c r="EV87" s="213"/>
      <c r="EW87" s="213"/>
      <c r="EX87" s="213"/>
      <c r="EY87" s="213"/>
      <c r="EZ87" s="213"/>
    </row>
    <row r="88" spans="1:156" ht="12.75" hidden="1" customHeight="1" x14ac:dyDescent="0.2">
      <c r="A88" s="240"/>
      <c r="B88" s="240"/>
      <c r="C88" s="240"/>
      <c r="D88" s="236"/>
      <c r="E88" s="235"/>
      <c r="F88" s="234"/>
      <c r="G88" s="234"/>
      <c r="H88" s="223"/>
      <c r="I88" s="224"/>
      <c r="J88" s="224"/>
      <c r="K88" s="224"/>
      <c r="L88" s="221"/>
      <c r="M88" s="223"/>
      <c r="N88" s="223"/>
      <c r="O88" s="223"/>
      <c r="P88" s="223"/>
      <c r="Q88" s="224"/>
      <c r="R88" s="223"/>
      <c r="S88" s="223"/>
      <c r="T88" s="227"/>
      <c r="U88" s="224"/>
      <c r="V88" s="224"/>
      <c r="W88" s="222"/>
      <c r="X88" s="229"/>
      <c r="Y88" s="221"/>
      <c r="Z88" s="221"/>
      <c r="AA88" s="221"/>
      <c r="AB88" s="221"/>
      <c r="AC88" s="221"/>
      <c r="AD88" s="221"/>
      <c r="AE88" s="221"/>
      <c r="AF88" s="221"/>
      <c r="AG88" s="221"/>
      <c r="AH88" s="226"/>
      <c r="AI88" s="239"/>
      <c r="AJ88" s="238"/>
      <c r="AK88" s="228"/>
      <c r="AL88" s="223"/>
      <c r="AM88" s="230"/>
      <c r="AN88" s="228"/>
      <c r="AO88" s="232"/>
      <c r="AQ88" s="231"/>
      <c r="AR88" s="230"/>
      <c r="AS88" s="224"/>
      <c r="AT88" s="232"/>
      <c r="AV88" s="231"/>
      <c r="AW88" s="230"/>
      <c r="AX88" s="222"/>
      <c r="AY88" s="224"/>
      <c r="AZ88" s="229"/>
      <c r="BA88" s="221"/>
      <c r="BB88" s="228"/>
      <c r="BC88" s="227"/>
      <c r="BD88" s="227"/>
      <c r="BE88" s="227"/>
      <c r="BF88" s="227"/>
      <c r="BG88" s="227"/>
      <c r="BH88" s="227"/>
      <c r="BI88" s="227"/>
      <c r="BJ88" s="315"/>
      <c r="BK88" s="225"/>
      <c r="BL88" s="224"/>
      <c r="BM88" s="224"/>
      <c r="BN88" s="224"/>
      <c r="BO88" s="223"/>
      <c r="BP88" s="222"/>
      <c r="BQ88" s="229"/>
      <c r="BR88" s="221"/>
      <c r="BS88" s="221"/>
      <c r="BT88" s="221"/>
      <c r="BU88" s="221"/>
      <c r="BV88" s="221"/>
      <c r="BW88" s="221"/>
      <c r="BX88" s="221"/>
      <c r="BY88" s="221"/>
      <c r="BZ88" s="226"/>
      <c r="CA88" s="229"/>
      <c r="CC88" s="313"/>
      <c r="CD88" s="317"/>
      <c r="CE88" s="215"/>
      <c r="CF88" s="214"/>
      <c r="CQ88" s="304" t="s">
        <v>155</v>
      </c>
      <c r="CR88" s="213">
        <f t="shared" ref="CR88:DC88" si="24">IF($BY86="",IF($BX86=CR$8,$BQ86,0),IF($BY86=CR$8,$BQ86,0))</f>
        <v>0</v>
      </c>
      <c r="CS88" s="213">
        <f t="shared" si="24"/>
        <v>0</v>
      </c>
      <c r="CT88" s="213">
        <f t="shared" si="24"/>
        <v>0</v>
      </c>
      <c r="CU88" s="213">
        <f t="shared" si="24"/>
        <v>0</v>
      </c>
      <c r="CV88" s="213">
        <f t="shared" si="24"/>
        <v>0</v>
      </c>
      <c r="CW88" s="213">
        <f t="shared" si="24"/>
        <v>0</v>
      </c>
      <c r="CX88" s="213">
        <f t="shared" si="24"/>
        <v>0</v>
      </c>
      <c r="CY88" s="213">
        <f t="shared" si="24"/>
        <v>0</v>
      </c>
      <c r="CZ88" s="213">
        <f t="shared" si="24"/>
        <v>0</v>
      </c>
      <c r="DA88" s="213">
        <f t="shared" si="24"/>
        <v>0</v>
      </c>
      <c r="DB88" s="213">
        <f t="shared" si="24"/>
        <v>0</v>
      </c>
      <c r="DC88" s="213">
        <f t="shared" si="24"/>
        <v>0</v>
      </c>
      <c r="DJ88" s="1620"/>
      <c r="DK88" s="440"/>
      <c r="DL88" s="1619"/>
      <c r="DN88" s="1620"/>
      <c r="DR88" s="1231"/>
      <c r="DS88" s="1231"/>
      <c r="DT88" s="1231"/>
      <c r="DU88" s="1231"/>
      <c r="DV88" s="1231"/>
      <c r="DW88" s="1231"/>
      <c r="DX88" s="444"/>
      <c r="DY88" s="1231"/>
      <c r="DZ88" s="1231"/>
      <c r="EA88" s="213"/>
      <c r="EB88" s="213"/>
      <c r="EC88" s="213"/>
      <c r="ED88" s="213"/>
      <c r="EE88" s="213"/>
      <c r="EF88" s="213"/>
      <c r="EG88" s="213"/>
      <c r="EH88" s="213"/>
      <c r="EI88" s="213"/>
      <c r="EJ88" s="213"/>
      <c r="EK88" s="213"/>
      <c r="EL88" s="213"/>
      <c r="EM88" s="213"/>
      <c r="EN88" s="213"/>
      <c r="EO88" s="213"/>
      <c r="EP88" s="213"/>
      <c r="EQ88" s="213"/>
      <c r="ER88" s="213"/>
      <c r="ES88" s="213"/>
      <c r="ET88" s="213"/>
      <c r="EU88" s="213"/>
      <c r="EV88" s="213"/>
      <c r="EW88" s="213"/>
      <c r="EX88" s="213"/>
      <c r="EY88" s="213"/>
      <c r="EZ88" s="213"/>
    </row>
    <row r="89" spans="1:156" ht="12.75" hidden="1" customHeight="1" x14ac:dyDescent="0.2">
      <c r="A89" s="240"/>
      <c r="B89" s="240"/>
      <c r="C89" s="240"/>
      <c r="D89" s="236"/>
      <c r="E89" s="235"/>
      <c r="F89" s="234"/>
      <c r="G89" s="234"/>
      <c r="H89" s="223"/>
      <c r="I89" s="224"/>
      <c r="J89" s="224"/>
      <c r="K89" s="224"/>
      <c r="L89" s="221"/>
      <c r="M89" s="223"/>
      <c r="N89" s="223"/>
      <c r="O89" s="223"/>
      <c r="P89" s="223"/>
      <c r="Q89" s="224"/>
      <c r="R89" s="223"/>
      <c r="S89" s="223"/>
      <c r="T89" s="227"/>
      <c r="U89" s="224"/>
      <c r="V89" s="224"/>
      <c r="W89" s="222"/>
      <c r="X89" s="229"/>
      <c r="Y89" s="221"/>
      <c r="Z89" s="221"/>
      <c r="AA89" s="221"/>
      <c r="AB89" s="221"/>
      <c r="AC89" s="221"/>
      <c r="AD89" s="221"/>
      <c r="AE89" s="221"/>
      <c r="AF89" s="221"/>
      <c r="AG89" s="221"/>
      <c r="AH89" s="226"/>
      <c r="AI89" s="239"/>
      <c r="AJ89" s="238"/>
      <c r="AK89" s="228"/>
      <c r="AL89" s="223"/>
      <c r="AM89" s="230"/>
      <c r="AN89" s="228"/>
      <c r="AO89" s="232"/>
      <c r="AQ89" s="231"/>
      <c r="AR89" s="230"/>
      <c r="AS89" s="224"/>
      <c r="AT89" s="232"/>
      <c r="AV89" s="231"/>
      <c r="AW89" s="230"/>
      <c r="AX89" s="222"/>
      <c r="AY89" s="224"/>
      <c r="AZ89" s="229"/>
      <c r="BA89" s="221"/>
      <c r="BB89" s="228"/>
      <c r="BC89" s="227"/>
      <c r="BD89" s="227"/>
      <c r="BE89" s="227"/>
      <c r="BF89" s="227"/>
      <c r="BG89" s="227"/>
      <c r="BH89" s="227"/>
      <c r="BI89" s="227"/>
      <c r="BJ89" s="315"/>
      <c r="BK89" s="225"/>
      <c r="BL89" s="224"/>
      <c r="BM89" s="224"/>
      <c r="BN89" s="224"/>
      <c r="BO89" s="223"/>
      <c r="BP89" s="222"/>
      <c r="BQ89" s="229"/>
      <c r="BR89" s="221"/>
      <c r="BS89" s="221"/>
      <c r="BT89" s="221"/>
      <c r="BU89" s="221"/>
      <c r="BV89" s="221"/>
      <c r="BW89" s="221"/>
      <c r="BX89" s="221"/>
      <c r="BY89" s="221"/>
      <c r="BZ89" s="226"/>
      <c r="CA89" s="229"/>
      <c r="CC89" s="313"/>
      <c r="CD89" s="317"/>
      <c r="CE89" s="215"/>
      <c r="CF89" s="214"/>
      <c r="CQ89" s="25" t="s">
        <v>172</v>
      </c>
      <c r="CR89" s="213">
        <f t="shared" ref="CR89:DC89" si="25">IF($W86="double",IF($AP86="",IF($AO86=CR$8,$X86,0),IF($AP86=CR$8,$X86,0)),0)</f>
        <v>0</v>
      </c>
      <c r="CS89" s="213">
        <f t="shared" si="25"/>
        <v>0</v>
      </c>
      <c r="CT89" s="213">
        <f t="shared" si="25"/>
        <v>0</v>
      </c>
      <c r="CU89" s="213">
        <f t="shared" si="25"/>
        <v>0</v>
      </c>
      <c r="CV89" s="213">
        <f t="shared" si="25"/>
        <v>0</v>
      </c>
      <c r="CW89" s="213">
        <f t="shared" si="25"/>
        <v>0</v>
      </c>
      <c r="CX89" s="213">
        <f t="shared" si="25"/>
        <v>0</v>
      </c>
      <c r="CY89" s="213">
        <f t="shared" si="25"/>
        <v>0</v>
      </c>
      <c r="CZ89" s="213">
        <f t="shared" si="25"/>
        <v>0</v>
      </c>
      <c r="DA89" s="213">
        <f t="shared" si="25"/>
        <v>0</v>
      </c>
      <c r="DB89" s="213">
        <f t="shared" si="25"/>
        <v>0</v>
      </c>
      <c r="DC89" s="213">
        <f t="shared" si="25"/>
        <v>0</v>
      </c>
      <c r="DJ89" s="1620"/>
      <c r="DK89" s="440"/>
      <c r="DL89" s="1619"/>
      <c r="DN89" s="1620"/>
      <c r="DR89" s="1231"/>
      <c r="DS89" s="1231"/>
      <c r="DT89" s="1231"/>
      <c r="DU89" s="1231"/>
      <c r="DV89" s="1231"/>
      <c r="DW89" s="1231"/>
      <c r="DX89" s="444"/>
      <c r="DY89" s="1231"/>
      <c r="DZ89" s="1231"/>
      <c r="EA89" s="213"/>
      <c r="EB89" s="213"/>
      <c r="EC89" s="213"/>
      <c r="ED89" s="213"/>
      <c r="EE89" s="213"/>
      <c r="EF89" s="213"/>
      <c r="EG89" s="213"/>
      <c r="EH89" s="213"/>
      <c r="EI89" s="213"/>
      <c r="EJ89" s="213"/>
      <c r="EK89" s="213"/>
      <c r="EL89" s="213"/>
      <c r="EM89" s="213"/>
      <c r="EN89" s="213"/>
      <c r="EO89" s="213"/>
      <c r="EP89" s="213"/>
      <c r="EQ89" s="213"/>
      <c r="ER89" s="213"/>
      <c r="ES89" s="213"/>
      <c r="ET89" s="213"/>
      <c r="EU89" s="213"/>
      <c r="EV89" s="213"/>
      <c r="EW89" s="213"/>
      <c r="EX89" s="213"/>
      <c r="EY89" s="213"/>
      <c r="EZ89" s="213"/>
    </row>
    <row r="90" spans="1:156" ht="12.75" hidden="1" customHeight="1" x14ac:dyDescent="0.2">
      <c r="A90" s="240"/>
      <c r="B90" s="240"/>
      <c r="C90" s="240"/>
      <c r="D90" s="236"/>
      <c r="E90" s="235"/>
      <c r="F90" s="234"/>
      <c r="G90" s="234"/>
      <c r="H90" s="223"/>
      <c r="I90" s="224"/>
      <c r="J90" s="224"/>
      <c r="K90" s="224"/>
      <c r="L90" s="221"/>
      <c r="M90" s="223"/>
      <c r="N90" s="223"/>
      <c r="O90" s="223"/>
      <c r="P90" s="223"/>
      <c r="Q90" s="224"/>
      <c r="R90" s="223"/>
      <c r="S90" s="223"/>
      <c r="T90" s="227"/>
      <c r="U90" s="224"/>
      <c r="V90" s="224"/>
      <c r="W90" s="222"/>
      <c r="X90" s="229"/>
      <c r="Y90" s="221"/>
      <c r="Z90" s="221"/>
      <c r="AA90" s="221"/>
      <c r="AB90" s="221"/>
      <c r="AC90" s="221"/>
      <c r="AD90" s="221"/>
      <c r="AE90" s="221"/>
      <c r="AF90" s="221"/>
      <c r="AG90" s="221"/>
      <c r="AH90" s="226"/>
      <c r="AI90" s="239"/>
      <c r="AJ90" s="238"/>
      <c r="AK90" s="228"/>
      <c r="AL90" s="223"/>
      <c r="AM90" s="230"/>
      <c r="AN90" s="228"/>
      <c r="AO90" s="232"/>
      <c r="AQ90" s="231"/>
      <c r="AR90" s="230"/>
      <c r="AS90" s="224"/>
      <c r="AT90" s="232"/>
      <c r="AV90" s="231"/>
      <c r="AW90" s="230"/>
      <c r="AX90" s="222"/>
      <c r="AY90" s="224"/>
      <c r="AZ90" s="229"/>
      <c r="BA90" s="221"/>
      <c r="BB90" s="228"/>
      <c r="BC90" s="227"/>
      <c r="BD90" s="227"/>
      <c r="BE90" s="227"/>
      <c r="BF90" s="227"/>
      <c r="BG90" s="227"/>
      <c r="BH90" s="227"/>
      <c r="BI90" s="227"/>
      <c r="BJ90" s="315"/>
      <c r="BK90" s="225"/>
      <c r="BL90" s="224"/>
      <c r="BM90" s="224"/>
      <c r="BN90" s="224"/>
      <c r="BO90" s="223"/>
      <c r="BP90" s="222"/>
      <c r="BQ90" s="229"/>
      <c r="BR90" s="221"/>
      <c r="BS90" s="221"/>
      <c r="BT90" s="221"/>
      <c r="BU90" s="221"/>
      <c r="BV90" s="221"/>
      <c r="BW90" s="221"/>
      <c r="BX90" s="221"/>
      <c r="BY90" s="221"/>
      <c r="BZ90" s="226"/>
      <c r="CA90" s="229"/>
      <c r="CC90" s="313"/>
      <c r="CD90" s="317"/>
      <c r="CE90" s="215"/>
      <c r="CF90" s="214"/>
      <c r="CQ90" s="25" t="s">
        <v>173</v>
      </c>
      <c r="CR90" s="213">
        <f t="shared" ref="CR90:DC90" si="26">IF($W86="double",IF($AU86="",IF($AT86=CR$8,$X86,0),IF($AU86=CR$8,$X86,0)),0)</f>
        <v>0</v>
      </c>
      <c r="CS90" s="213">
        <f t="shared" si="26"/>
        <v>0</v>
      </c>
      <c r="CT90" s="213">
        <f t="shared" si="26"/>
        <v>0</v>
      </c>
      <c r="CU90" s="213">
        <f t="shared" si="26"/>
        <v>0</v>
      </c>
      <c r="CV90" s="213">
        <f t="shared" si="26"/>
        <v>0</v>
      </c>
      <c r="CW90" s="213">
        <f t="shared" si="26"/>
        <v>0</v>
      </c>
      <c r="CX90" s="213">
        <f t="shared" si="26"/>
        <v>0</v>
      </c>
      <c r="CY90" s="213">
        <f t="shared" si="26"/>
        <v>0</v>
      </c>
      <c r="CZ90" s="213">
        <f t="shared" si="26"/>
        <v>0</v>
      </c>
      <c r="DA90" s="213">
        <f t="shared" si="26"/>
        <v>0</v>
      </c>
      <c r="DB90" s="213">
        <f t="shared" si="26"/>
        <v>0</v>
      </c>
      <c r="DC90" s="213">
        <f t="shared" si="26"/>
        <v>0</v>
      </c>
      <c r="DJ90" s="1620"/>
      <c r="DK90" s="440"/>
      <c r="DL90" s="1619"/>
      <c r="DN90" s="1620"/>
      <c r="DR90" s="1231"/>
      <c r="DS90" s="1231"/>
      <c r="DT90" s="1231"/>
      <c r="DU90" s="1231"/>
      <c r="DV90" s="1231"/>
      <c r="DW90" s="1231"/>
      <c r="DX90" s="444"/>
      <c r="DY90" s="1231"/>
      <c r="DZ90" s="1231"/>
      <c r="EA90" s="213"/>
      <c r="EB90" s="213"/>
      <c r="EC90" s="213"/>
      <c r="ED90" s="213"/>
      <c r="EE90" s="213"/>
      <c r="EF90" s="213"/>
      <c r="EG90" s="213"/>
      <c r="EH90" s="213"/>
      <c r="EI90" s="213"/>
      <c r="EJ90" s="213"/>
      <c r="EK90" s="213"/>
      <c r="EL90" s="213"/>
      <c r="EM90" s="213"/>
      <c r="EN90" s="213"/>
      <c r="EO90" s="213"/>
      <c r="EP90" s="213"/>
      <c r="EQ90" s="213"/>
      <c r="ER90" s="213"/>
      <c r="ES90" s="213"/>
      <c r="ET90" s="213"/>
      <c r="EU90" s="213"/>
      <c r="EV90" s="213"/>
      <c r="EW90" s="213"/>
      <c r="EX90" s="213"/>
      <c r="EY90" s="213"/>
      <c r="EZ90" s="213"/>
    </row>
    <row r="91" spans="1:156" ht="12.75" hidden="1" customHeight="1" x14ac:dyDescent="0.2">
      <c r="A91" s="240"/>
      <c r="B91" s="240"/>
      <c r="C91" s="240"/>
      <c r="D91" s="236"/>
      <c r="E91" s="235"/>
      <c r="F91" s="234"/>
      <c r="G91" s="234"/>
      <c r="H91" s="223"/>
      <c r="I91" s="224"/>
      <c r="J91" s="224"/>
      <c r="K91" s="224"/>
      <c r="L91" s="221"/>
      <c r="M91" s="223"/>
      <c r="N91" s="223"/>
      <c r="O91" s="223"/>
      <c r="P91" s="223"/>
      <c r="Q91" s="224"/>
      <c r="R91" s="223"/>
      <c r="S91" s="223"/>
      <c r="T91" s="227"/>
      <c r="U91" s="224"/>
      <c r="V91" s="224"/>
      <c r="W91" s="222"/>
      <c r="X91" s="229"/>
      <c r="Y91" s="221"/>
      <c r="Z91" s="221"/>
      <c r="AA91" s="221"/>
      <c r="AB91" s="221"/>
      <c r="AC91" s="221"/>
      <c r="AD91" s="221"/>
      <c r="AE91" s="221"/>
      <c r="AF91" s="221"/>
      <c r="AG91" s="221"/>
      <c r="AH91" s="226"/>
      <c r="AI91" s="239"/>
      <c r="AJ91" s="238"/>
      <c r="AK91" s="228"/>
      <c r="AL91" s="223"/>
      <c r="AM91" s="230"/>
      <c r="AN91" s="228"/>
      <c r="AO91" s="232"/>
      <c r="AQ91" s="231"/>
      <c r="AR91" s="230"/>
      <c r="AS91" s="224"/>
      <c r="AT91" s="232"/>
      <c r="AV91" s="231"/>
      <c r="AW91" s="230"/>
      <c r="AX91" s="222"/>
      <c r="AY91" s="224"/>
      <c r="AZ91" s="229"/>
      <c r="BA91" s="221"/>
      <c r="BB91" s="228"/>
      <c r="BC91" s="227"/>
      <c r="BD91" s="227"/>
      <c r="BE91" s="227"/>
      <c r="BF91" s="227"/>
      <c r="BG91" s="227"/>
      <c r="BH91" s="227"/>
      <c r="BI91" s="227"/>
      <c r="BJ91" s="315"/>
      <c r="BK91" s="225"/>
      <c r="BL91" s="224"/>
      <c r="BM91" s="224"/>
      <c r="BN91" s="224"/>
      <c r="BO91" s="223"/>
      <c r="BP91" s="222"/>
      <c r="BQ91" s="229"/>
      <c r="BR91" s="221"/>
      <c r="BS91" s="221"/>
      <c r="BT91" s="221"/>
      <c r="BU91" s="221"/>
      <c r="BV91" s="221"/>
      <c r="BW91" s="221"/>
      <c r="BX91" s="221"/>
      <c r="BY91" s="221"/>
      <c r="BZ91" s="226"/>
      <c r="CA91" s="229"/>
      <c r="CC91" s="313"/>
      <c r="CD91" s="317"/>
      <c r="CE91" s="215"/>
      <c r="CF91" s="214"/>
      <c r="DJ91" s="1620"/>
      <c r="DK91" s="440"/>
      <c r="DL91" s="1619"/>
      <c r="DN91" s="1620"/>
      <c r="DR91" s="1231"/>
      <c r="DS91" s="1231"/>
      <c r="DT91" s="1231"/>
      <c r="DU91" s="1231"/>
      <c r="DV91" s="1231"/>
      <c r="DW91" s="1231"/>
      <c r="DX91" s="444"/>
      <c r="DY91" s="1231"/>
      <c r="DZ91" s="1231"/>
      <c r="EA91" s="213"/>
      <c r="EB91" s="213"/>
      <c r="EC91" s="213"/>
      <c r="ED91" s="213"/>
      <c r="EE91" s="213"/>
      <c r="EF91" s="213"/>
      <c r="EG91" s="213"/>
      <c r="EH91" s="213"/>
      <c r="EI91" s="213"/>
      <c r="EJ91" s="213"/>
      <c r="EK91" s="213"/>
      <c r="EL91" s="213"/>
      <c r="EM91" s="213"/>
      <c r="EN91" s="213"/>
      <c r="EO91" s="213"/>
      <c r="EP91" s="213"/>
      <c r="EQ91" s="213"/>
      <c r="ER91" s="213"/>
      <c r="ES91" s="213"/>
      <c r="ET91" s="213"/>
      <c r="EU91" s="213"/>
      <c r="EV91" s="213"/>
      <c r="EW91" s="213"/>
      <c r="EX91" s="213"/>
      <c r="EY91" s="213"/>
      <c r="EZ91" s="213"/>
    </row>
    <row r="92" spans="1:156" ht="12.75" hidden="1" customHeight="1" x14ac:dyDescent="0.2">
      <c r="A92" s="240"/>
      <c r="B92" s="240"/>
      <c r="C92" s="240"/>
      <c r="D92" s="236"/>
      <c r="E92" s="235"/>
      <c r="F92" s="234"/>
      <c r="G92" s="234"/>
      <c r="H92" s="223"/>
      <c r="I92" s="224"/>
      <c r="J92" s="224"/>
      <c r="K92" s="224"/>
      <c r="L92" s="221"/>
      <c r="M92" s="223"/>
      <c r="N92" s="223"/>
      <c r="O92" s="223"/>
      <c r="P92" s="223"/>
      <c r="Q92" s="224"/>
      <c r="R92" s="223"/>
      <c r="S92" s="223"/>
      <c r="T92" s="227"/>
      <c r="U92" s="224"/>
      <c r="V92" s="224"/>
      <c r="W92" s="222"/>
      <c r="X92" s="229"/>
      <c r="Y92" s="221"/>
      <c r="Z92" s="221"/>
      <c r="AA92" s="221"/>
      <c r="AB92" s="221"/>
      <c r="AC92" s="221"/>
      <c r="AD92" s="221"/>
      <c r="AE92" s="221"/>
      <c r="AF92" s="221"/>
      <c r="AG92" s="221"/>
      <c r="AH92" s="226"/>
      <c r="AI92" s="239"/>
      <c r="AJ92" s="238"/>
      <c r="AK92" s="228"/>
      <c r="AL92" s="223"/>
      <c r="AM92" s="230"/>
      <c r="AN92" s="228"/>
      <c r="AO92" s="232"/>
      <c r="AQ92" s="231"/>
      <c r="AR92" s="230"/>
      <c r="AS92" s="224"/>
      <c r="AT92" s="232"/>
      <c r="AV92" s="231"/>
      <c r="AW92" s="230"/>
      <c r="AX92" s="222"/>
      <c r="AY92" s="224"/>
      <c r="AZ92" s="229"/>
      <c r="BA92" s="221"/>
      <c r="BB92" s="228"/>
      <c r="BC92" s="227"/>
      <c r="BD92" s="227"/>
      <c r="BE92" s="227"/>
      <c r="BF92" s="227"/>
      <c r="BG92" s="227"/>
      <c r="BH92" s="227"/>
      <c r="BI92" s="227"/>
      <c r="BJ92" s="315"/>
      <c r="BK92" s="225"/>
      <c r="BL92" s="224"/>
      <c r="BM92" s="224"/>
      <c r="BN92" s="224"/>
      <c r="BO92" s="223"/>
      <c r="BP92" s="222"/>
      <c r="BQ92" s="229"/>
      <c r="BR92" s="221"/>
      <c r="BS92" s="221"/>
      <c r="BT92" s="221"/>
      <c r="BU92" s="221"/>
      <c r="BV92" s="221"/>
      <c r="BW92" s="221"/>
      <c r="BX92" s="221"/>
      <c r="BY92" s="221"/>
      <c r="BZ92" s="226"/>
      <c r="CA92" s="229"/>
      <c r="CC92" s="313"/>
      <c r="CD92" s="317"/>
      <c r="CE92" s="215"/>
      <c r="CF92" s="214"/>
      <c r="DJ92" s="1620"/>
      <c r="DK92" s="440"/>
      <c r="DL92" s="1619"/>
      <c r="DN92" s="1620"/>
      <c r="DR92" s="1231"/>
      <c r="DS92" s="1231"/>
      <c r="DT92" s="1231"/>
      <c r="DU92" s="1231"/>
      <c r="DV92" s="1231"/>
      <c r="DW92" s="1231"/>
      <c r="DX92" s="444"/>
      <c r="DY92" s="1231"/>
      <c r="DZ92" s="1231"/>
      <c r="EA92" s="213"/>
      <c r="EB92" s="213"/>
      <c r="EC92" s="213"/>
      <c r="ED92" s="213"/>
      <c r="EE92" s="213"/>
      <c r="EF92" s="213"/>
      <c r="EG92" s="213"/>
      <c r="EH92" s="213"/>
      <c r="EI92" s="213"/>
      <c r="EJ92" s="213"/>
      <c r="EK92" s="213"/>
      <c r="EL92" s="213"/>
      <c r="EM92" s="213"/>
      <c r="EN92" s="213"/>
      <c r="EO92" s="213"/>
      <c r="EP92" s="213"/>
      <c r="EQ92" s="213"/>
      <c r="ER92" s="213"/>
      <c r="ES92" s="213"/>
      <c r="ET92" s="213"/>
      <c r="EU92" s="213"/>
      <c r="EV92" s="213"/>
      <c r="EW92" s="213"/>
      <c r="EX92" s="213"/>
      <c r="EY92" s="213"/>
      <c r="EZ92" s="213"/>
    </row>
    <row r="93" spans="1:156" ht="12.75" hidden="1" customHeight="1" x14ac:dyDescent="0.2">
      <c r="A93" s="240"/>
      <c r="B93" s="240"/>
      <c r="C93" s="240"/>
      <c r="D93" s="236"/>
      <c r="E93" s="235"/>
      <c r="F93" s="234"/>
      <c r="G93" s="234"/>
      <c r="H93" s="223"/>
      <c r="I93" s="224"/>
      <c r="J93" s="224"/>
      <c r="K93" s="224"/>
      <c r="L93" s="221"/>
      <c r="M93" s="223"/>
      <c r="N93" s="223"/>
      <c r="O93" s="223"/>
      <c r="P93" s="223"/>
      <c r="Q93" s="224"/>
      <c r="R93" s="223"/>
      <c r="S93" s="223"/>
      <c r="T93" s="227"/>
      <c r="U93" s="224"/>
      <c r="V93" s="224"/>
      <c r="W93" s="222"/>
      <c r="X93" s="229"/>
      <c r="Y93" s="221"/>
      <c r="Z93" s="221"/>
      <c r="AA93" s="221"/>
      <c r="AB93" s="221"/>
      <c r="AC93" s="221"/>
      <c r="AD93" s="221"/>
      <c r="AE93" s="221"/>
      <c r="AF93" s="221"/>
      <c r="AG93" s="221"/>
      <c r="AH93" s="226"/>
      <c r="AI93" s="239"/>
      <c r="AJ93" s="238"/>
      <c r="AK93" s="228"/>
      <c r="AL93" s="223"/>
      <c r="AM93" s="230"/>
      <c r="AN93" s="228"/>
      <c r="AO93" s="232"/>
      <c r="AQ93" s="231"/>
      <c r="AR93" s="230"/>
      <c r="AS93" s="224"/>
      <c r="AT93" s="232"/>
      <c r="AV93" s="231"/>
      <c r="AW93" s="230"/>
      <c r="AX93" s="222"/>
      <c r="AY93" s="224"/>
      <c r="AZ93" s="229"/>
      <c r="BA93" s="221"/>
      <c r="BB93" s="228"/>
      <c r="BC93" s="227"/>
      <c r="BD93" s="227"/>
      <c r="BE93" s="227"/>
      <c r="BF93" s="227"/>
      <c r="BG93" s="227"/>
      <c r="BH93" s="227"/>
      <c r="BI93" s="227"/>
      <c r="BJ93" s="315"/>
      <c r="BK93" s="225"/>
      <c r="BL93" s="224"/>
      <c r="BM93" s="224"/>
      <c r="BN93" s="224"/>
      <c r="BO93" s="223"/>
      <c r="BP93" s="222"/>
      <c r="BQ93" s="229"/>
      <c r="BR93" s="221"/>
      <c r="BS93" s="221"/>
      <c r="BT93" s="221"/>
      <c r="BU93" s="221"/>
      <c r="BV93" s="221"/>
      <c r="BW93" s="221"/>
      <c r="BX93" s="221"/>
      <c r="BY93" s="221"/>
      <c r="BZ93" s="226"/>
      <c r="CA93" s="229"/>
      <c r="CC93" s="313"/>
      <c r="CD93" s="317"/>
      <c r="CE93" s="215"/>
      <c r="CF93" s="214"/>
      <c r="DJ93" s="1620"/>
      <c r="DK93" s="440"/>
      <c r="DL93" s="1619"/>
      <c r="DN93" s="1620"/>
      <c r="DR93" s="1231"/>
      <c r="DS93" s="1231"/>
      <c r="DT93" s="1231"/>
      <c r="DU93" s="1231"/>
      <c r="DV93" s="1231"/>
      <c r="DW93" s="1231"/>
      <c r="DX93" s="444"/>
      <c r="DY93" s="1231"/>
      <c r="DZ93" s="1231"/>
      <c r="EA93" s="213"/>
      <c r="EB93" s="213"/>
      <c r="EC93" s="213"/>
      <c r="ED93" s="213"/>
      <c r="EE93" s="213"/>
      <c r="EF93" s="213"/>
      <c r="EG93" s="213"/>
      <c r="EH93" s="213"/>
      <c r="EI93" s="213"/>
      <c r="EJ93" s="213"/>
      <c r="EK93" s="213"/>
      <c r="EL93" s="213"/>
      <c r="EM93" s="213"/>
      <c r="EN93" s="213"/>
      <c r="EO93" s="213"/>
      <c r="EP93" s="213"/>
      <c r="EQ93" s="213"/>
      <c r="ER93" s="213"/>
      <c r="ES93" s="213"/>
      <c r="ET93" s="213"/>
      <c r="EU93" s="213"/>
      <c r="EV93" s="213"/>
      <c r="EW93" s="213"/>
      <c r="EX93" s="213"/>
      <c r="EY93" s="213"/>
      <c r="EZ93" s="213"/>
    </row>
    <row r="94" spans="1:156" ht="12.75" hidden="1" customHeight="1" x14ac:dyDescent="0.2">
      <c r="A94" s="240"/>
      <c r="B94" s="240"/>
      <c r="C94" s="240"/>
      <c r="D94" s="236"/>
      <c r="E94" s="235"/>
      <c r="F94" s="234"/>
      <c r="G94" s="234"/>
      <c r="H94" s="223"/>
      <c r="I94" s="224"/>
      <c r="J94" s="224"/>
      <c r="K94" s="224"/>
      <c r="L94" s="221"/>
      <c r="M94" s="223"/>
      <c r="N94" s="223"/>
      <c r="O94" s="223"/>
      <c r="P94" s="223"/>
      <c r="Q94" s="224"/>
      <c r="R94" s="223"/>
      <c r="S94" s="223"/>
      <c r="T94" s="227"/>
      <c r="U94" s="224"/>
      <c r="V94" s="224"/>
      <c r="W94" s="222"/>
      <c r="X94" s="229"/>
      <c r="Y94" s="221"/>
      <c r="Z94" s="221"/>
      <c r="AA94" s="221"/>
      <c r="AB94" s="221"/>
      <c r="AC94" s="221"/>
      <c r="AD94" s="221"/>
      <c r="AE94" s="221"/>
      <c r="AF94" s="221"/>
      <c r="AG94" s="221"/>
      <c r="AH94" s="226"/>
      <c r="AI94" s="239"/>
      <c r="AJ94" s="238"/>
      <c r="AK94" s="228"/>
      <c r="AL94" s="223"/>
      <c r="AM94" s="230"/>
      <c r="AN94" s="228"/>
      <c r="AO94" s="232"/>
      <c r="AQ94" s="231"/>
      <c r="AR94" s="230"/>
      <c r="AS94" s="224"/>
      <c r="AT94" s="232"/>
      <c r="AV94" s="231"/>
      <c r="AW94" s="230"/>
      <c r="AX94" s="222"/>
      <c r="AY94" s="224"/>
      <c r="AZ94" s="229"/>
      <c r="BA94" s="221"/>
      <c r="BB94" s="228"/>
      <c r="BC94" s="227"/>
      <c r="BD94" s="227"/>
      <c r="BE94" s="227"/>
      <c r="BF94" s="227"/>
      <c r="BG94" s="227"/>
      <c r="BH94" s="227"/>
      <c r="BI94" s="227"/>
      <c r="BJ94" s="315"/>
      <c r="BK94" s="225"/>
      <c r="BL94" s="224"/>
      <c r="BM94" s="224"/>
      <c r="BN94" s="224"/>
      <c r="BO94" s="223"/>
      <c r="BP94" s="222"/>
      <c r="BQ94" s="229"/>
      <c r="BR94" s="221"/>
      <c r="BS94" s="221"/>
      <c r="BT94" s="221"/>
      <c r="BU94" s="221"/>
      <c r="BV94" s="221"/>
      <c r="BW94" s="221"/>
      <c r="BX94" s="221"/>
      <c r="BY94" s="221"/>
      <c r="BZ94" s="226"/>
      <c r="CA94" s="229"/>
      <c r="CC94" s="313"/>
      <c r="CD94" s="317"/>
      <c r="CE94" s="215"/>
      <c r="CF94" s="214"/>
      <c r="DJ94" s="1620"/>
      <c r="DK94" s="440"/>
      <c r="DL94" s="1619"/>
      <c r="DN94" s="1620"/>
      <c r="DR94" s="1231"/>
      <c r="DS94" s="1231"/>
      <c r="DT94" s="1231"/>
      <c r="DU94" s="1231"/>
      <c r="DV94" s="1231"/>
      <c r="DW94" s="1231"/>
      <c r="DX94" s="444"/>
      <c r="DY94" s="1231"/>
      <c r="DZ94" s="1231"/>
      <c r="EA94" s="213"/>
      <c r="EB94" s="213"/>
      <c r="EC94" s="213"/>
      <c r="ED94" s="213"/>
      <c r="EE94" s="213"/>
      <c r="EF94" s="213"/>
      <c r="EG94" s="213"/>
      <c r="EH94" s="213"/>
      <c r="EI94" s="213"/>
      <c r="EJ94" s="213"/>
      <c r="EK94" s="213"/>
      <c r="EL94" s="213"/>
      <c r="EM94" s="213"/>
      <c r="EN94" s="213"/>
      <c r="EO94" s="213"/>
      <c r="EP94" s="213"/>
      <c r="EQ94" s="213"/>
      <c r="ER94" s="213"/>
      <c r="ES94" s="213"/>
      <c r="ET94" s="213"/>
      <c r="EU94" s="213"/>
      <c r="EV94" s="213"/>
      <c r="EW94" s="213"/>
      <c r="EX94" s="213"/>
      <c r="EY94" s="213"/>
      <c r="EZ94" s="213"/>
    </row>
    <row r="95" spans="1:156" ht="12.75" hidden="1" customHeight="1" x14ac:dyDescent="0.2">
      <c r="A95" s="240"/>
      <c r="B95" s="240"/>
      <c r="C95" s="240"/>
      <c r="D95" s="236"/>
      <c r="E95" s="235"/>
      <c r="F95" s="234"/>
      <c r="G95" s="234"/>
      <c r="H95" s="223"/>
      <c r="I95" s="224"/>
      <c r="J95" s="224"/>
      <c r="K95" s="224"/>
      <c r="L95" s="221"/>
      <c r="M95" s="223"/>
      <c r="N95" s="223"/>
      <c r="O95" s="223"/>
      <c r="P95" s="223"/>
      <c r="Q95" s="224"/>
      <c r="R95" s="223"/>
      <c r="S95" s="223"/>
      <c r="T95" s="227"/>
      <c r="U95" s="224"/>
      <c r="V95" s="224"/>
      <c r="W95" s="222"/>
      <c r="X95" s="229"/>
      <c r="Y95" s="221"/>
      <c r="Z95" s="221"/>
      <c r="AA95" s="221"/>
      <c r="AB95" s="221"/>
      <c r="AC95" s="221"/>
      <c r="AD95" s="221"/>
      <c r="AE95" s="221"/>
      <c r="AF95" s="221"/>
      <c r="AG95" s="221"/>
      <c r="AH95" s="226"/>
      <c r="AI95" s="239"/>
      <c r="AJ95" s="238"/>
      <c r="AK95" s="228"/>
      <c r="AL95" s="223"/>
      <c r="AM95" s="230"/>
      <c r="AN95" s="228"/>
      <c r="AO95" s="232"/>
      <c r="AQ95" s="231"/>
      <c r="AR95" s="230"/>
      <c r="AS95" s="224"/>
      <c r="AT95" s="232"/>
      <c r="AV95" s="231"/>
      <c r="AW95" s="230"/>
      <c r="AX95" s="222"/>
      <c r="AY95" s="224"/>
      <c r="AZ95" s="229"/>
      <c r="BA95" s="221"/>
      <c r="BB95" s="228"/>
      <c r="BC95" s="227"/>
      <c r="BD95" s="227"/>
      <c r="BE95" s="227"/>
      <c r="BF95" s="227"/>
      <c r="BG95" s="227"/>
      <c r="BH95" s="227"/>
      <c r="BI95" s="227"/>
      <c r="BJ95" s="315"/>
      <c r="BK95" s="225"/>
      <c r="BL95" s="224"/>
      <c r="BM95" s="224"/>
      <c r="BN95" s="224"/>
      <c r="BO95" s="223"/>
      <c r="BP95" s="222"/>
      <c r="BQ95" s="229"/>
      <c r="BR95" s="221"/>
      <c r="BS95" s="221"/>
      <c r="BT95" s="221"/>
      <c r="BU95" s="221"/>
      <c r="BV95" s="221"/>
      <c r="BW95" s="221"/>
      <c r="BX95" s="221"/>
      <c r="BY95" s="221"/>
      <c r="BZ95" s="226"/>
      <c r="CA95" s="229"/>
      <c r="CC95" s="313"/>
      <c r="CD95" s="317"/>
      <c r="CE95" s="215"/>
      <c r="CF95" s="214"/>
      <c r="DJ95" s="1620"/>
      <c r="DK95" s="440"/>
      <c r="DL95" s="1619"/>
      <c r="DN95" s="1620"/>
      <c r="DR95" s="1231"/>
      <c r="DS95" s="1231"/>
      <c r="DT95" s="1231"/>
      <c r="DU95" s="1231"/>
      <c r="DV95" s="1231"/>
      <c r="DW95" s="1231"/>
      <c r="DX95" s="444"/>
      <c r="DY95" s="1231"/>
      <c r="DZ95" s="1231"/>
      <c r="EA95" s="213"/>
      <c r="EB95" s="213"/>
      <c r="EC95" s="213"/>
      <c r="ED95" s="213"/>
      <c r="EE95" s="213"/>
      <c r="EF95" s="213"/>
      <c r="EG95" s="213"/>
      <c r="EH95" s="213"/>
      <c r="EI95" s="213"/>
      <c r="EJ95" s="213"/>
      <c r="EK95" s="213"/>
      <c r="EL95" s="213"/>
      <c r="EM95" s="213"/>
      <c r="EN95" s="213"/>
      <c r="EO95" s="213"/>
      <c r="EP95" s="213"/>
      <c r="EQ95" s="213"/>
      <c r="ER95" s="213"/>
      <c r="ES95" s="213"/>
      <c r="ET95" s="213"/>
      <c r="EU95" s="213"/>
      <c r="EV95" s="213"/>
      <c r="EW95" s="213"/>
      <c r="EX95" s="213"/>
      <c r="EY95" s="213"/>
      <c r="EZ95" s="213"/>
    </row>
    <row r="96" spans="1:156" ht="12.75" hidden="1" customHeight="1" x14ac:dyDescent="0.2">
      <c r="A96" s="240"/>
      <c r="B96" s="240"/>
      <c r="C96" s="240"/>
      <c r="D96" s="236"/>
      <c r="E96" s="235"/>
      <c r="F96" s="234"/>
      <c r="G96" s="234"/>
      <c r="H96" s="223"/>
      <c r="I96" s="224"/>
      <c r="J96" s="224"/>
      <c r="K96" s="224"/>
      <c r="L96" s="221"/>
      <c r="M96" s="223"/>
      <c r="N96" s="223"/>
      <c r="O96" s="223"/>
      <c r="P96" s="223"/>
      <c r="Q96" s="224"/>
      <c r="R96" s="223"/>
      <c r="S96" s="223"/>
      <c r="T96" s="227"/>
      <c r="U96" s="224"/>
      <c r="V96" s="224"/>
      <c r="W96" s="222"/>
      <c r="X96" s="229"/>
      <c r="Y96" s="221"/>
      <c r="Z96" s="221"/>
      <c r="AA96" s="221"/>
      <c r="AB96" s="221"/>
      <c r="AC96" s="221"/>
      <c r="AD96" s="221"/>
      <c r="AE96" s="221"/>
      <c r="AF96" s="221"/>
      <c r="AG96" s="221"/>
      <c r="AH96" s="226"/>
      <c r="AI96" s="239"/>
      <c r="AJ96" s="238"/>
      <c r="AK96" s="228"/>
      <c r="AL96" s="223"/>
      <c r="AM96" s="230"/>
      <c r="AN96" s="228"/>
      <c r="AO96" s="232"/>
      <c r="AQ96" s="231"/>
      <c r="AR96" s="230"/>
      <c r="AS96" s="224"/>
      <c r="AT96" s="232"/>
      <c r="AV96" s="231"/>
      <c r="AW96" s="230"/>
      <c r="AX96" s="222"/>
      <c r="AY96" s="224"/>
      <c r="AZ96" s="229"/>
      <c r="BA96" s="221"/>
      <c r="BB96" s="228"/>
      <c r="BC96" s="227"/>
      <c r="BD96" s="227"/>
      <c r="BE96" s="227"/>
      <c r="BF96" s="227"/>
      <c r="BG96" s="227"/>
      <c r="BH96" s="227"/>
      <c r="BI96" s="227"/>
      <c r="BJ96" s="315"/>
      <c r="BK96" s="225"/>
      <c r="BL96" s="224"/>
      <c r="BM96" s="224"/>
      <c r="BN96" s="224"/>
      <c r="BO96" s="223"/>
      <c r="BP96" s="222"/>
      <c r="BQ96" s="229"/>
      <c r="BR96" s="221"/>
      <c r="BS96" s="221"/>
      <c r="BT96" s="221"/>
      <c r="BU96" s="221"/>
      <c r="BV96" s="221"/>
      <c r="BW96" s="221"/>
      <c r="BX96" s="221"/>
      <c r="BY96" s="221"/>
      <c r="BZ96" s="226"/>
      <c r="CA96" s="229"/>
      <c r="CC96" s="313"/>
      <c r="CD96" s="317"/>
      <c r="CE96" s="215"/>
      <c r="CF96" s="214"/>
      <c r="DJ96" s="1620"/>
      <c r="DK96" s="440"/>
      <c r="DL96" s="1619"/>
      <c r="DN96" s="1620"/>
      <c r="DR96" s="1231"/>
      <c r="DS96" s="1231"/>
      <c r="DT96" s="1231"/>
      <c r="DU96" s="1231"/>
      <c r="DV96" s="1231"/>
      <c r="DW96" s="1231"/>
      <c r="DX96" s="444"/>
      <c r="DY96" s="1231"/>
      <c r="DZ96" s="1231"/>
      <c r="EA96" s="213"/>
      <c r="EB96" s="213"/>
      <c r="EC96" s="213"/>
      <c r="ED96" s="213"/>
      <c r="EE96" s="213"/>
      <c r="EF96" s="213"/>
      <c r="EG96" s="213"/>
      <c r="EH96" s="213"/>
      <c r="EI96" s="213"/>
      <c r="EJ96" s="213"/>
      <c r="EK96" s="213"/>
      <c r="EL96" s="213"/>
      <c r="EM96" s="213"/>
      <c r="EN96" s="213"/>
      <c r="EO96" s="213"/>
      <c r="EP96" s="213"/>
      <c r="EQ96" s="213"/>
      <c r="ER96" s="213"/>
      <c r="ES96" s="213"/>
      <c r="ET96" s="213"/>
      <c r="EU96" s="213"/>
      <c r="EV96" s="213"/>
      <c r="EW96" s="213"/>
      <c r="EX96" s="213"/>
      <c r="EY96" s="213"/>
      <c r="EZ96" s="213"/>
    </row>
    <row r="97" spans="1:163" ht="12.75" hidden="1" customHeight="1" x14ac:dyDescent="0.2">
      <c r="A97" s="240"/>
      <c r="B97" s="240"/>
      <c r="C97" s="240"/>
      <c r="D97" s="236"/>
      <c r="E97" s="235"/>
      <c r="F97" s="234"/>
      <c r="G97" s="234"/>
      <c r="H97" s="223"/>
      <c r="I97" s="224"/>
      <c r="J97" s="224"/>
      <c r="K97" s="224"/>
      <c r="L97" s="221"/>
      <c r="M97" s="223"/>
      <c r="N97" s="223"/>
      <c r="O97" s="223"/>
      <c r="P97" s="223"/>
      <c r="Q97" s="224"/>
      <c r="R97" s="223"/>
      <c r="S97" s="223"/>
      <c r="T97" s="227"/>
      <c r="U97" s="224"/>
      <c r="V97" s="224"/>
      <c r="W97" s="222"/>
      <c r="X97" s="229"/>
      <c r="Y97" s="221"/>
      <c r="Z97" s="221"/>
      <c r="AA97" s="221"/>
      <c r="AB97" s="221"/>
      <c r="AC97" s="221"/>
      <c r="AD97" s="221"/>
      <c r="AE97" s="221"/>
      <c r="AF97" s="221"/>
      <c r="AG97" s="221"/>
      <c r="AH97" s="226"/>
      <c r="AI97" s="239"/>
      <c r="AJ97" s="238"/>
      <c r="AK97" s="228"/>
      <c r="AL97" s="223"/>
      <c r="AM97" s="230"/>
      <c r="AN97" s="228"/>
      <c r="AO97" s="232"/>
      <c r="AQ97" s="231"/>
      <c r="AR97" s="230"/>
      <c r="AS97" s="224"/>
      <c r="AT97" s="232"/>
      <c r="AV97" s="231"/>
      <c r="AW97" s="230"/>
      <c r="AX97" s="222"/>
      <c r="AY97" s="224"/>
      <c r="AZ97" s="229"/>
      <c r="BA97" s="221"/>
      <c r="BB97" s="228"/>
      <c r="BC97" s="227"/>
      <c r="BD97" s="227"/>
      <c r="BE97" s="227"/>
      <c r="BF97" s="227"/>
      <c r="BG97" s="227"/>
      <c r="BH97" s="227"/>
      <c r="BI97" s="227"/>
      <c r="BJ97" s="315"/>
      <c r="BK97" s="225"/>
      <c r="BL97" s="224"/>
      <c r="BM97" s="224"/>
      <c r="BN97" s="224"/>
      <c r="BO97" s="223"/>
      <c r="BP97" s="222"/>
      <c r="BQ97" s="229"/>
      <c r="BR97" s="221"/>
      <c r="BS97" s="221"/>
      <c r="BT97" s="221"/>
      <c r="BU97" s="221"/>
      <c r="BV97" s="221"/>
      <c r="BW97" s="221"/>
      <c r="BX97" s="221"/>
      <c r="BY97" s="221"/>
      <c r="BZ97" s="226"/>
      <c r="CA97" s="229"/>
      <c r="CC97" s="313"/>
      <c r="CD97" s="317"/>
      <c r="CE97" s="215"/>
      <c r="CF97" s="214"/>
      <c r="DJ97" s="1620"/>
      <c r="DK97" s="440"/>
      <c r="DL97" s="1619"/>
      <c r="DN97" s="1620"/>
      <c r="DR97" s="1231"/>
      <c r="DS97" s="1231"/>
      <c r="DT97" s="1231"/>
      <c r="DU97" s="1231"/>
      <c r="DV97" s="1231"/>
      <c r="DW97" s="1231"/>
      <c r="DX97" s="444"/>
      <c r="DY97" s="1231"/>
      <c r="DZ97" s="1231"/>
      <c r="EA97" s="213"/>
      <c r="EB97" s="213"/>
      <c r="EC97" s="213"/>
      <c r="ED97" s="213"/>
      <c r="EE97" s="213"/>
      <c r="EF97" s="213"/>
      <c r="EG97" s="213"/>
      <c r="EH97" s="213"/>
      <c r="EI97" s="213"/>
      <c r="EJ97" s="213"/>
      <c r="EK97" s="213"/>
      <c r="EL97" s="213"/>
      <c r="EM97" s="213"/>
      <c r="EN97" s="213"/>
      <c r="EO97" s="213"/>
      <c r="EP97" s="213"/>
      <c r="EQ97" s="213"/>
      <c r="ER97" s="213"/>
      <c r="ES97" s="213"/>
      <c r="ET97" s="213"/>
      <c r="EU97" s="213"/>
      <c r="EV97" s="213"/>
      <c r="EW97" s="213"/>
      <c r="EX97" s="213"/>
      <c r="EY97" s="213"/>
      <c r="EZ97" s="213"/>
    </row>
    <row r="98" spans="1:163" ht="12.75" hidden="1" customHeight="1" x14ac:dyDescent="0.2">
      <c r="A98" s="240"/>
      <c r="B98" s="240"/>
      <c r="C98" s="240"/>
      <c r="D98" s="236"/>
      <c r="E98" s="235"/>
      <c r="F98" s="234"/>
      <c r="G98" s="234"/>
      <c r="H98" s="223"/>
      <c r="I98" s="224"/>
      <c r="J98" s="224"/>
      <c r="K98" s="224"/>
      <c r="L98" s="221"/>
      <c r="M98" s="223"/>
      <c r="N98" s="223"/>
      <c r="O98" s="223"/>
      <c r="P98" s="223"/>
      <c r="Q98" s="224"/>
      <c r="R98" s="223"/>
      <c r="S98" s="223"/>
      <c r="T98" s="227"/>
      <c r="U98" s="224"/>
      <c r="V98" s="224"/>
      <c r="W98" s="222"/>
      <c r="X98" s="229"/>
      <c r="Y98" s="221"/>
      <c r="Z98" s="221"/>
      <c r="AA98" s="221"/>
      <c r="AB98" s="221"/>
      <c r="AC98" s="221"/>
      <c r="AD98" s="221"/>
      <c r="AE98" s="221"/>
      <c r="AF98" s="221"/>
      <c r="AG98" s="221"/>
      <c r="AH98" s="226"/>
      <c r="AI98" s="229"/>
      <c r="AJ98" s="221"/>
      <c r="AK98" s="221"/>
      <c r="AL98" s="223"/>
      <c r="AM98" s="230"/>
      <c r="AN98" s="228"/>
      <c r="AO98" s="232"/>
      <c r="AQ98" s="231"/>
      <c r="AR98" s="230"/>
      <c r="AS98" s="224"/>
      <c r="AT98" s="232"/>
      <c r="AV98" s="231"/>
      <c r="AW98" s="230"/>
      <c r="AX98" s="222"/>
      <c r="AY98" s="224"/>
      <c r="AZ98" s="229"/>
      <c r="BA98" s="221"/>
      <c r="BB98" s="228"/>
      <c r="BC98" s="227"/>
      <c r="BD98" s="221"/>
      <c r="BE98" s="221"/>
      <c r="BF98" s="221"/>
      <c r="BG98" s="221"/>
      <c r="BH98" s="221"/>
      <c r="BI98" s="221"/>
      <c r="BJ98" s="226"/>
      <c r="BK98" s="229"/>
      <c r="BL98" s="224"/>
      <c r="BM98" s="224"/>
      <c r="BN98" s="224"/>
      <c r="BO98" s="223"/>
      <c r="BP98" s="222"/>
      <c r="BQ98" s="229"/>
      <c r="BR98" s="221"/>
      <c r="BS98" s="221"/>
      <c r="BT98" s="221"/>
      <c r="BU98" s="221"/>
      <c r="BV98" s="221"/>
      <c r="BW98" s="221"/>
      <c r="BX98" s="221"/>
      <c r="BY98" s="221"/>
      <c r="BZ98" s="226"/>
      <c r="CA98" s="229"/>
      <c r="CC98" s="313"/>
      <c r="CD98" s="317"/>
      <c r="CE98" s="215"/>
      <c r="CF98" s="214"/>
      <c r="DJ98" s="1620"/>
      <c r="DK98" s="440"/>
      <c r="DL98" s="1619"/>
      <c r="DN98" s="1620"/>
      <c r="DR98" s="1231"/>
      <c r="DS98" s="1231"/>
      <c r="DT98" s="1231"/>
      <c r="DU98" s="1231"/>
      <c r="DV98" s="1231"/>
      <c r="DW98" s="1231"/>
      <c r="DX98" s="444"/>
      <c r="DY98" s="1231"/>
      <c r="DZ98" s="1231"/>
      <c r="EA98" s="213"/>
      <c r="EB98" s="213"/>
      <c r="EC98" s="213"/>
      <c r="ED98" s="213"/>
      <c r="EE98" s="213"/>
      <c r="EF98" s="213"/>
      <c r="EG98" s="213"/>
      <c r="EH98" s="213"/>
      <c r="EI98" s="213"/>
      <c r="EJ98" s="213"/>
      <c r="EK98" s="213"/>
      <c r="EL98" s="213"/>
      <c r="EM98" s="213"/>
      <c r="EN98" s="213"/>
      <c r="EO98" s="213"/>
      <c r="EP98" s="213"/>
      <c r="EQ98" s="213"/>
      <c r="ER98" s="213"/>
      <c r="ES98" s="213"/>
      <c r="ET98" s="213"/>
      <c r="EU98" s="213"/>
      <c r="EV98" s="213"/>
      <c r="EW98" s="213"/>
      <c r="EX98" s="213"/>
      <c r="EY98" s="213"/>
      <c r="EZ98" s="213"/>
    </row>
    <row r="99" spans="1:163" ht="12.75" hidden="1" customHeight="1" x14ac:dyDescent="0.2">
      <c r="A99" s="262"/>
      <c r="B99" s="262">
        <f>B86</f>
        <v>3</v>
      </c>
      <c r="C99" s="262">
        <f>$C$6</f>
        <v>1</v>
      </c>
      <c r="D99" s="429"/>
      <c r="E99" s="260"/>
      <c r="F99" s="259"/>
      <c r="G99" s="259"/>
      <c r="H99" s="220" t="str">
        <f>IF(C99&gt;0,"",IF(VLOOKUP(E99,LegendSG3CKTrows,20,FALSE)=0,VLOOKUP(E99,LegendSG3CKTrows,21,FALSE),VLOOKUP(E99,LegendSG3CKTrows,20,FALSE)))</f>
        <v/>
      </c>
      <c r="I99" s="258" t="str">
        <f>IF(C99&gt;0,"",VLOOKUP(E99,LegendSG3CKTrows,22,FALSE))</f>
        <v/>
      </c>
      <c r="J99" s="248" t="str">
        <f>IF($C$3&gt;0,"",IF(C99&gt;0,"",IF(($J$81)&gt;1,I99,IF(V99="@ System",I99+0.5*($F$81),IF(V99="@ Top Of Riser",I99+0.5*($F$81),IF(OR(V99="@ Fixture",V99="@ Bottom Of Riser"),($D$81)-0.5*($F$81),IF(AND(V99="None",D99="Loop"),($D$81)-0.5*($F$81),I99+0.5*($F$81))))))))</f>
        <v/>
      </c>
      <c r="K99" s="248" t="str">
        <f>IF($C$3&gt;0,"",IF(C99&gt;0,"",IF(($J$81)&gt;1,I99,IF(I99+0.5*DZ99+15&lt;L99,I99+0.5*DZ99+15,L99))))</f>
        <v/>
      </c>
      <c r="L99" s="257" t="str">
        <f>IF($C$3&gt;0,"",IF(C99&gt;0,"",IF(($J$81)&gt;1,I99,LegendSG3RGT)))</f>
        <v/>
      </c>
      <c r="M99" s="248" t="str">
        <f>IF($C$3&gt;0,"",IF(C99&gt;0,"",IF(($J$81)&gt;1,Pressure($B$3,"TQ","e",J99,1/($J$81)),DT99)))</f>
        <v/>
      </c>
      <c r="N99" s="248" t="str">
        <f>IF($C$3&gt;0,"",IF(C99&gt;0,"",IF(D99="Loop","n/a",IF(($J$81)&gt;1,Pressure($B$3,"TQ","e",J99,1/($J$81)),DW99))))</f>
        <v/>
      </c>
      <c r="O99" s="248" t="str">
        <f>IF($C$3&gt;0,"",IF(C99&gt;0,"",IF(D99="Loop","n/a",DZ99)))</f>
        <v/>
      </c>
      <c r="P99" s="220" t="str">
        <f>IF($C$3&gt;0,"",IF(C99&gt;0,"",IF(D99="Loop","n/a",IF(($J$81)&gt;1,0,DX99))))</f>
        <v/>
      </c>
      <c r="Q99" s="248" t="str">
        <f>IF($C$3&gt;0,"",IF(C99&gt;0,"",IF(D99="Loop","n/a",IF(($J$81)&gt;1,Enthalpy(($B$3),"QP","E",(1/($J$81)),N99),Enthalpy(($B$3),"TP","E",(I99+0.5*DZ99+'Legend(DX)'!$Y$4),DW99)))))</f>
        <v/>
      </c>
      <c r="R99" s="220" t="str">
        <f>IF(C99&gt;0,"",IF($C$3&gt;0,IF(S99=0,"",U99/(S99*60*0.13368)),IF(($J$81)&gt;1,Enthalpy(($B$3),"TLIQ","E",I99),IF(($G$4+0.5*DZ99)&gt;($H$81),(Enthalpy(($B$3),"TLIQ","E",($G$81))),(Enthalpy(($B$3),"TP","E",($G$81),$I$81))))))</f>
        <v/>
      </c>
      <c r="S99" s="220" t="str">
        <f ca="1">IF(C99&gt;0,"",IF($C$3&gt;0,(VLOOKUP(($D$81),INDIRECT($C$81),3)+VLOOKUP(($S$81),INDIRECT($C$81),3))/2,IF(($J$81)&gt;1,LiquidDensity($B$3,"TLIQ","e",I99),IF(($G$4+0.5*DZ99)&gt;($H$81),(LiquidDensity(($B$3),"TLIQ","E",($G$81))),(Density(($B$3),"TP","E",($G$81),$I$81))))))</f>
        <v/>
      </c>
      <c r="T99" s="250" t="str">
        <f ca="1">IF(C99&gt;0,"",IF($C$3&gt;0,(VLOOKUP(($D$81),INDIRECT($C$81),6)+VLOOKUP(($S$81),INDIRECT($C$81),6))/2*0.000020885,IF(($J$81)&gt;1,Viscosity(($B$3),"TLIQ","E",I99),IF(($G$4+0.5*DZ99)&gt;($H$81),(Viscosity(($B$3),"TLIQ","E",($G$81))),(Viscosity(($B$3),"TP","E",($G$81),$I$81))))))</f>
        <v/>
      </c>
      <c r="U99" s="248" t="str">
        <f>IF(C99&gt;0,"",IF($C$3&gt;0,VLOOKUP(E99,LegendSG3CKTrows,23,FALSE)*60*S99*0.13368,H99*1000/(Q99-R99)))</f>
        <v/>
      </c>
      <c r="V99" s="256" t="str">
        <f>IF(C99&gt;0,"",VLOOKUP(E99,LegendSG3CKTrows,28,FALSE))</f>
        <v/>
      </c>
      <c r="W99" s="255" t="s">
        <v>369</v>
      </c>
      <c r="X99" s="254"/>
      <c r="Y99" s="246" t="str">
        <f>IF(C99&gt;0,"",X99*($Y$81))</f>
        <v/>
      </c>
      <c r="Z99" s="218" t="str">
        <f>IF(C99&gt;0,"",IF(($J$81)&gt;1,Density(($B$3),"TVAP","e",I99),Density(($B$3),"TP","E",K99,M99)))</f>
        <v/>
      </c>
      <c r="AA99" s="250" t="str">
        <f>IF(C99&gt;0,"",IF(($J$81)&gt;1,Viscosity(($B$3),"TVAP","E",I99),Viscosity(($B$3),"TP","E",K99,M99)))</f>
        <v/>
      </c>
      <c r="AB99" s="1014" t="str">
        <f>IF(C99&gt;0,"",IF(($J$81)&gt;1,vel(U99,EC99,AH99),vel(U99,Z99,AH99)))</f>
        <v/>
      </c>
      <c r="AC99" s="220" t="str">
        <f>IF(C99&gt;0,"",IF(($J$81)&gt;1,EO99,pdrop(AE99,Y99,Z99,AB99,IF(AG99="",AF99,AG99))))</f>
        <v/>
      </c>
      <c r="AD99" s="219" t="str">
        <f>IF(C99&gt;0,"",(((AB99/60)*Z99)/AA99)*(VLOOKUP(AF99,'Pipe Data'!F$7:G$19,2,FALSE))/12)</f>
        <v/>
      </c>
      <c r="AE99" s="218" t="str">
        <f>IF(C99&gt;0,"",(0.25/(LOG(5.74/(AD99^0.9))+((VLOOKUP(IF(AG99="",AF99,AG99),'Pipe Data'!J$7:X$19,15,FALSE))/3.7))^2))</f>
        <v/>
      </c>
      <c r="AF99" s="245" t="str">
        <f>IF(C99&gt;0,"",VLOOKUP(($AC$81),AB100:AF110,5,TRUE))</f>
        <v/>
      </c>
      <c r="AG99" s="244"/>
      <c r="AH99" s="298" t="str">
        <f>IF(C99&gt;0,"",IF(AND(AG99="",W99&lt;&gt;"Double"),parea(AF99),parea(AG99)))</f>
        <v/>
      </c>
      <c r="AI99" s="253" t="str">
        <f>IF(C99&gt;0,"",IF(W99="Single","",IF(OR(AG99=0.5,AG99=0.375),"",IF(AF99&lt;0.6,"",(((AR99/60)*Z99)/AA99)*((LOOKUP(IF(AP99="",AO99,AP99),'Pipe Data'!F$7:F$19,'Pipe Data'!G$7:G$19))/12)))))</f>
        <v/>
      </c>
      <c r="AJ99" s="252" t="str">
        <f>IF(C99&gt;0,"",IF(W99="Single","",IF(OR(AG99=0.5,AG99=0.375),"",IF(AF99&lt;0.6,"",(AQ99/AV99)^1.5))))</f>
        <v/>
      </c>
      <c r="AK99" s="218" t="str">
        <f>IF(C99&gt;0,"",IF(W99="Single","",IF(OR(AG99=0.5,AG99=0.375),"",IF(AF99&lt;0.6,"",(0.25/(LOG(5.74/(AI99^0.9))+((LOOKUP(IF(AP99="",AO99,AP99),'Pipe Data'!F$7:F$19,'Pipe Data'!X$7:X$19))/3.7))^2)))))</f>
        <v/>
      </c>
      <c r="AL99" s="220" t="str">
        <f>IF(C99&gt;0,"",IF(W99="Single","",IF(OR(AG99=0.5,AG99=0.375),"",IF(AF99&lt;0.6,"",pdrop(AK99,Y99,Z99,AR99,IF(AP99="",AO99,AP99))))))</f>
        <v/>
      </c>
      <c r="AM99" s="219" t="str">
        <f>IF(C99&gt;0,"",IF(W99="Single","",IF(OR(AG99=0.5,AG99=0.375),"",IF(AF99&lt;0.6,"",(((AW99/60)*Z99)/AA99)*((LOOKUP(IF(AU99="",AT99,AU99),'Pipe Data'!F$7:F$19,'Pipe Data'!G$7:G$19))/12)))))</f>
        <v/>
      </c>
      <c r="AN99" s="218" t="str">
        <f>IF(C99&gt;0,"",IF(W99="Single","",IF(OR(AG99=0.5,AG99=0.375),"",IF(AF99&lt;0.6,"",(0.25/(LOG(5.74/(AM99^0.9))+((LOOKUP(IF(AU99="",AT99,AU99),'Pipe Data'!F$7:F$19,'Pipe Data'!X$7:X$19))/3.7))^2)))))</f>
        <v/>
      </c>
      <c r="AO99" s="245" t="str">
        <f>IF(C99&gt;0,"",IF(W99="Single","",IF(OR(AG99=0.5,AG99=0.375),"",IF(AF99&lt;0.6,"",(IF(AG99="",VLOOKUP(AF99,'Pipe Data'!$J$9:$N$19,3,FALSE),VLOOKUP(AG99,'Pipe Data'!$J$9:$N$19,3,FALSE)))))))</f>
        <v/>
      </c>
      <c r="AP99" s="244"/>
      <c r="AQ99" s="251" t="str">
        <f>IF(C99&gt;0,"",IF(W99="Single","",IF(OR(AG99=0.5,AG99=0.375),"",IF(AF99&lt;0.6,"",IF(AP99="",parea(AO99),parea(AP99))))))</f>
        <v/>
      </c>
      <c r="AR99" s="219" t="str">
        <f>IF(C99&gt;0,"",IF(W99="Single","",IF(OR(AG99=0.5,AG99=0.375),"",IF(AF99&lt;0.6,"",((AS99/(Z99*AQ99))/60)))))</f>
        <v/>
      </c>
      <c r="AS99" s="248" t="str">
        <f>IF(C99&gt;0,"",IF(W99="Single","",IF(OR(AG99=0.5,AG99=0.375),"",IF(AF99&lt;0.6,"",(U99*AJ99)/(1+AJ99)))))</f>
        <v/>
      </c>
      <c r="AT99" s="245" t="str">
        <f>IF(C99&gt;0,"",IF(W99="Single","",IF(OR(AG99=0.5,AG99=0.375),"",IF(AF99&lt;0.6,"",(IF(AG99="",VLOOKUP(AF99,'Pipe Data'!$J$9:$N$19,5,FALSE),VLOOKUP(AG99,'Pipe Data'!$J$9:$N$19,5,FALSE)))))))</f>
        <v/>
      </c>
      <c r="AU99" s="244"/>
      <c r="AV99" s="251" t="str">
        <f>IF(C99&gt;0,"",IF(W99="Single","",IF(OR(AG99=0.5,AG99=0.375),"",IF(AF99&lt;0.6,"",IF(AU99="",parea(AT99),parea(AU99))))))</f>
        <v/>
      </c>
      <c r="AW99" s="219" t="str">
        <f>IF(C99&gt;0,"",IF(W99="Single","",IF(OR(AG99=0.5,AG99=0.375),"",IF(AF99&lt;0.6,"",((AX99/(Z99*AV99))/60)))))</f>
        <v/>
      </c>
      <c r="AX99" s="247" t="str">
        <f>IF(C99&gt;0,"",IF(W99="Single","",IF(OR(AG99=0.5,AG99=0.375),"",IF(AF99&lt;0.6,"",U99-AS99))))</f>
        <v/>
      </c>
      <c r="AY99" s="1441"/>
      <c r="AZ99" s="1440" t="str">
        <f>IF(AY99+X99=0,"",AY99-X99)</f>
        <v/>
      </c>
      <c r="BA99" s="246" t="str">
        <f>IF(C99&gt;0,"",AZ99*($BA$81))</f>
        <v/>
      </c>
      <c r="BB99" s="218" t="str">
        <f>IF(C99&gt;0,"",IF(($J$81)&gt;1,Density(($B$3),"TVAP","e",I99),Density(($B$3),"TP","E",K99,M99)))</f>
        <v/>
      </c>
      <c r="BC99" s="250" t="str">
        <f>IF(C99&gt;0,"",IF(($J$81)&gt;1,Viscosity(($B$3),"TVAP","E",I99),Viscosity(($B$3),"TP","E",$K99,$M99)))</f>
        <v/>
      </c>
      <c r="BD99" s="219" t="str">
        <f>IF(C99&gt;0,"",IF(($J$81)&gt;1,vel(U99,EC99,BJ99),vel(U99,Z99,BJ99)))</f>
        <v/>
      </c>
      <c r="BE99" s="220" t="str">
        <f>IF(C99&gt;0,"",IF(($J$81)&gt;1,EZ99,pdrop(BG99,BA99,Z99,BD99,IF(BI99="",BH99,BI99))))</f>
        <v/>
      </c>
      <c r="BF99" s="219" t="str">
        <f>IF(C99&gt;0,"",(((BD99/60)*Z99)/BC99)*((VLOOKUP(IF(BI99="",BH99,BI99),'Pipe Data'!F$7:G$19,2,FALSE))/12))</f>
        <v/>
      </c>
      <c r="BG99" s="218" t="str">
        <f>IF(C99&gt;0,"",(0.25/(LOG(5.74/(BF99^0.9))+((VLOOKUP(BH99,'Pipe Data'!J$7:X$19,15,FALSE))/3.7))^2))</f>
        <v/>
      </c>
      <c r="BH99" s="245" t="str">
        <f>IF(C99&gt;0,"",VLOOKUP(1,BI100:BK110,3,FALSE))</f>
        <v/>
      </c>
      <c r="BI99" s="244"/>
      <c r="BJ99" s="243" t="str">
        <f>IF(C99&gt;0,"",IF(BI99="",parea(BH99),parea(BI99)))</f>
        <v/>
      </c>
      <c r="BK99" s="249" t="str">
        <f>IF(C99&gt;0,"",VLOOKUP(E99,LegendSG3CKTrows,26,FALSE))</f>
        <v/>
      </c>
      <c r="BL99" s="248" t="str">
        <f>IF(C99&gt;0,"",IF(W99&lt;&gt;"Double",AC99+BE99+BK99,AL99+BE99+BK99))</f>
        <v/>
      </c>
      <c r="BM99" s="248"/>
      <c r="BN99" s="248" t="str">
        <f>IF(C99&gt;0,"",IF(D99="Loop","n/a",BP99-I99))</f>
        <v/>
      </c>
      <c r="BO99" s="220" t="str">
        <f>IF(C99&gt;0,"",IF(D99="Loop","n/a",N99-BM99))</f>
        <v/>
      </c>
      <c r="BP99" s="247" t="str">
        <f>IF(C99&gt;0,"",IF(D99="Loop","n/a",TEMPERATURE(($B$3),"PVAP","E",BO99)-0.5*DZ99))</f>
        <v/>
      </c>
      <c r="BQ99" s="246" t="str">
        <f>IF(C99&gt;0,"",AZ99+X99)</f>
        <v/>
      </c>
      <c r="BR99" s="246" t="str">
        <f>IF(C99&gt;0,"",BQ99*($BR$81))</f>
        <v/>
      </c>
      <c r="BS99" s="220" t="str">
        <f>IF(C99&gt;0,"",IF($C$3&gt;0,2.45,vel(U99,S99,BZ99)))</f>
        <v/>
      </c>
      <c r="BT99" s="220" t="str">
        <f>IF(C99&gt;0,"",IF($C$3&gt;0,2.31*pdrop(BW99,BR99,S99,60*BS99,IF(BY99="",BX99,BY99)),pdrop(BW99,BR99,S99,BS99,IF(BY99="",BX99,BY99))))</f>
        <v/>
      </c>
      <c r="BU99" s="220"/>
      <c r="BV99" s="219" t="str">
        <f>IF(C99&gt;0,"",IF($C$3&gt;0,(((BS99)*S99)/32.2/T99)*((VLOOKUP(IF(BY99="",BX99,BY99),'Pipe Data'!F$7:G$19,2,FALSE))/12),(((BS99/60)*S99)/T99)*((VLOOKUP(IF(BY99="",BX99,BY99),'Pipe Data'!F$7:G$19,2,FALSE))/12)))</f>
        <v/>
      </c>
      <c r="BW99" s="218" t="str">
        <f>IF(C99&gt;0,"",IF($C$3&gt;0,IF(BV99&lt;2100,64/BV99,(0.25/(LOG(5.74/(BV99^0.9))+((VLOOKUP(BX99,'Pipe Data'!J$7:X$19,15,FALSE))/3.7))^2)),(0.25/(LOG(5.74/(BV99^0.9))+((VLOOKUP(IF(BY99="",BX99,BY99),'Pipe Data'!J$7:X$19,15,FALSE))/3.7))^2)))</f>
        <v/>
      </c>
      <c r="BX99" s="245" t="str">
        <f>IF(C99&gt;0,"",VLOOKUP(0.25,BY100:CA110,3,TRUE))</f>
        <v/>
      </c>
      <c r="BY99" s="244"/>
      <c r="BZ99" s="243" t="str">
        <f>IF(C99&gt;0,"",IF(BY99="",parea(BX99),parea(BY99)))</f>
        <v/>
      </c>
      <c r="CA99" s="314"/>
      <c r="CC99" s="313">
        <v>0</v>
      </c>
      <c r="CD99" s="316" t="str">
        <f>IF(C99&gt;0,"",IF($C$3&gt;0,BQ99*BZ99*7.481+IF(D99="Loop",0,VLOOKUP(E99,'Legend(DX)'!$H$8:$AT$16,36,FALSE)),S99*BQ99*BZ99+AZ99*BB99*BJ99+X99*Z99*(IF(W99&lt;&gt;"Double",AH99,AQ99+AV99))+IF(D99="Loop",0,VLOOKUP(E99,'Legend(DX)'!$H$8:$AT$16,36,FALSE))))</f>
        <v/>
      </c>
      <c r="CE99" s="242"/>
      <c r="CF99" s="241"/>
      <c r="CH99" s="213">
        <f>IF(OR(AB99&lt;($AB$81),AB99&gt;($AC$81)),1,0)</f>
        <v>1</v>
      </c>
      <c r="CI99" s="213">
        <f>IF(OR(BD99&lt;($BD$81),BD99&gt;($BE$81)),1,0)</f>
        <v>1</v>
      </c>
      <c r="CJ99" s="213">
        <f>IF(BN99&lt;($F$81),1,0)</f>
        <v>0</v>
      </c>
      <c r="CK99" s="213">
        <f>IF(AND((LEFT('Legend(DX)'!$U$1,1)="C"),BN99&gt;$F$81),0,IF(BO99&lt;($E$81),1,0))</f>
        <v>0</v>
      </c>
      <c r="CL99" s="213">
        <f>IF(AND((LEFT('Legend(DX)'!$U$1,1)="C"),BN99&gt;$F$81),0,IF(BP99&lt;($D$81),1,0))</f>
        <v>0</v>
      </c>
      <c r="CM99" s="213">
        <f>IF(BS99&gt;($BS$81),1,0)</f>
        <v>1</v>
      </c>
      <c r="CN99" s="213">
        <f>IF(BU99&gt;($BT$81),1,0)</f>
        <v>0</v>
      </c>
      <c r="CO99" s="213">
        <f>SUM(CH99:CN99)</f>
        <v>3</v>
      </c>
      <c r="CQ99" s="304" t="s">
        <v>171</v>
      </c>
      <c r="CR99" s="213">
        <f t="shared" ref="CR99:DC99" si="27">IF($W99="Single",IF($AG99="",IF($AF99=CR$8,$X99,0),IF($AG99=CR$8,$X99,0)),0)</f>
        <v>0</v>
      </c>
      <c r="CS99" s="213">
        <f t="shared" si="27"/>
        <v>0</v>
      </c>
      <c r="CT99" s="213">
        <f t="shared" si="27"/>
        <v>0</v>
      </c>
      <c r="CU99" s="213">
        <f t="shared" si="27"/>
        <v>0</v>
      </c>
      <c r="CV99" s="213">
        <f t="shared" si="27"/>
        <v>0</v>
      </c>
      <c r="CW99" s="213">
        <f t="shared" si="27"/>
        <v>0</v>
      </c>
      <c r="CX99" s="213">
        <f t="shared" si="27"/>
        <v>0</v>
      </c>
      <c r="CY99" s="213">
        <f t="shared" si="27"/>
        <v>0</v>
      </c>
      <c r="CZ99" s="213">
        <f t="shared" si="27"/>
        <v>0</v>
      </c>
      <c r="DA99" s="213">
        <f t="shared" si="27"/>
        <v>0</v>
      </c>
      <c r="DB99" s="213">
        <f t="shared" si="27"/>
        <v>0</v>
      </c>
      <c r="DC99" s="213">
        <f t="shared" si="27"/>
        <v>0</v>
      </c>
      <c r="DE99" s="304" t="str">
        <f>IF(AG99="",IF(X99=0,TEXT(AF99,"# 0/0")&amp;"*",TEXT(AF99,"# 0/0")),IF(X99=0,TEXT(AG99,"# 0/0")&amp;"*",TEXT(AG99,"# 0/0")))</f>
        <v>*</v>
      </c>
      <c r="DF99" s="25" t="str">
        <f>IF(AP99="",IF(X99=0,TEXT(AO99,"# 0/0")&amp;"*",TEXT(AO99,"# 0/0")),IF(X99=0,TEXT(AP99,"# 0/0")&amp;"*",TEXT(AP99,"# 0/0")))</f>
        <v>*</v>
      </c>
      <c r="DG99" s="25" t="str">
        <f>IF(AU99="",IF(X99=0,TEXT(AT99,"# 0/0")&amp;"*",TEXT(AT99,"# 0/0")),IF(X99=0,TEXT(AU99,"# 0/0")&amp;"*",TEXT(AU99,"# 0/0")))</f>
        <v>*</v>
      </c>
      <c r="DH99" s="329" t="s">
        <v>1621</v>
      </c>
      <c r="DI99" s="310" t="str">
        <f>IF($BI99="",$BH99,$BI99)</f>
        <v/>
      </c>
      <c r="DJ99" s="1620"/>
      <c r="DK99" s="440" t="str">
        <f>IF($C$3&gt;0,R99,IF(W99="Double",DF99 &amp; " &amp; " &amp; DG99,DE99))</f>
        <v>*</v>
      </c>
      <c r="DL99" s="1619"/>
      <c r="DM99" s="310" t="str">
        <f>IF($BY99="",IF($C$3&gt;0,$BX99-0.125,$BX99),IF($C$3&gt;0,$BY99-0.125,$BY99))</f>
        <v/>
      </c>
      <c r="DN99" s="1620"/>
      <c r="DO99" s="310" t="str">
        <f>IF($C$3&gt;0,2*$BQ99,$BQ99)</f>
        <v/>
      </c>
      <c r="DR99" s="1253" t="str">
        <f>J99</f>
        <v/>
      </c>
      <c r="DS99" s="1253" t="str">
        <f>IF(C99&gt;0,"",(Pressure($B$3,"Tliq","e",$J99)+Pressure($B$3,"Tvap","e",$J99))/2)</f>
        <v/>
      </c>
      <c r="DT99" s="1253" t="str">
        <f>IF(C99&gt;0,"",Pressure($B$3,"tvap","e",$J99+0.5*$DZ99))</f>
        <v/>
      </c>
      <c r="DU99" s="1253" t="str">
        <f>I99</f>
        <v/>
      </c>
      <c r="DV99" s="1253" t="str">
        <f>IF(C99&gt;0,"",(Pressure($B$3,"Tliq","e",$I99)+Pressure($B$3,"Tvap","e",$I99))/2)</f>
        <v/>
      </c>
      <c r="DW99" s="1253" t="str">
        <f>IF(C99&gt;0,"",Pressure($B$3,"tvap","e",$I99+0.5*$DZ99))</f>
        <v/>
      </c>
      <c r="DX99" s="1260" t="str">
        <f>IF(C99&gt;0,"",1-(Enthalpy($B$3,"pvap","e",$DV99)-(IF($G$4+0.5*($DR$81)&gt;($H$81),Enthalpy($B$3,"Tliq","e",($G$81)),Enthalpy($B$3,"tp","e",($G$81),($I$81)))))/(Enthalpy($B$3,"pvap","e",$DV99)-Enthalpy($B$3,"pliq","e",$DV99)))</f>
        <v/>
      </c>
      <c r="DY99" s="1253" t="str">
        <f>IF(C99&gt;0,"",TEMPERATURE($B$3,"pvap","e",$DS99)-TEMPERATURE($B$3,"pliq","e",$DS99))</f>
        <v/>
      </c>
      <c r="DZ99" s="1253" t="e">
        <f>IF($B$3="R744",0.001,(1-$DX99)*$DY99)</f>
        <v>#VALUE!</v>
      </c>
      <c r="EA99" s="1261"/>
      <c r="EB99" s="1262" t="e">
        <f ca="1">T99/AA99</f>
        <v>#VALUE!</v>
      </c>
      <c r="EC99" s="1260" t="e">
        <f ca="1">1/(((1/($J$81))/Z99)+((1-(1/($J$81)))/S99))</f>
        <v>#DIV/0!</v>
      </c>
      <c r="ED99" s="1263" t="e">
        <f>SQRT(AH99*4/PI())</f>
        <v>#VALUE!</v>
      </c>
      <c r="EE99" s="1262" t="e">
        <f ca="1">(((U99/AH99)^2)*ED99)*(1/3600)*(1/3600)/(EC99*SurfaceTension($B$3,"TLIQ","E",I99))/32.174</f>
        <v>#VALUE!</v>
      </c>
      <c r="EF99" s="1260" t="e">
        <f ca="1">((S99/Z99)^0.91)*((AA99/T99)^0.19)*((1-(AA99/T99))^0.7)</f>
        <v>#VALUE!</v>
      </c>
      <c r="EG99" s="1264" t="e">
        <f>((1/($J$81))^0.78)*((1-(1/($J$81)))^0.224)</f>
        <v>#DIV/0!</v>
      </c>
      <c r="EH99" s="1260" t="e">
        <f ca="1">(1-(1/($J$81)))^2+(((1/($J$81))^2)*S99*AE99/(Z99*EM99))</f>
        <v>#DIV/0!</v>
      </c>
      <c r="EI99" s="1262" t="e">
        <f ca="1">((U99/AH99)^2)*(1/3600)*(1/3600)/(32.174*ED99*(EC99^2))</f>
        <v>#VALUE!</v>
      </c>
      <c r="EJ99" s="1253" t="e">
        <f ca="1">EH99+(3.24*EG99*EF99/((EI99^0.045)*(EE99^0.035)))</f>
        <v>#DIV/0!</v>
      </c>
      <c r="EK99" s="1260" t="e">
        <f>vel(U99,S99,AH99)</f>
        <v>#VALUE!</v>
      </c>
      <c r="EL99" s="1262" t="e">
        <f ca="1">(((EK99/60)*S99)/T99)*((VLOOKUP(IF(AG99="",AF99,AG99),'Pipe Data'!F$7:G$19,2,FALSE))/12)</f>
        <v>#VALUE!</v>
      </c>
      <c r="EM99" s="1264" t="e">
        <f ca="1">(0.25/(LOG(5.74/(EL99^0.9))+((VLOOKUP(IF(AG99="",AF99,AG99),'Pipe Data'!J$7:X$19,15,FALSE))/3.7))^2)</f>
        <v>#VALUE!</v>
      </c>
      <c r="EN99" s="1264" t="e">
        <f ca="1">pdrop(EM99,Y99,S99,EK99,IF(AG99="",AF99,AG99))</f>
        <v>#VALUE!</v>
      </c>
      <c r="EO99" s="1260" t="e">
        <f ca="1">EN99*EJ99</f>
        <v>#VALUE!</v>
      </c>
      <c r="EP99" s="1261"/>
      <c r="EQ99" s="1263" t="e">
        <f>SQRT(BJ99*4/PI())</f>
        <v>#VALUE!</v>
      </c>
      <c r="ER99" s="1262" t="e">
        <f ca="1">(((U99/BJ99)^2)*EQ99)*(1/3600)*(1/3600)/(EC99*SurfaceTension($B$3,"TLIQ","E",I99))/32.174</f>
        <v>#VALUE!</v>
      </c>
      <c r="ES99" s="1260" t="e">
        <f ca="1">(1-(1/($J$81)))^2+(((1/($J$81))^2)*S99*BG99/(Z99*EM99))</f>
        <v>#DIV/0!</v>
      </c>
      <c r="ET99" s="1253" t="e">
        <f ca="1">((U99/BJ99)^2)*(1/3600)*(1/3600)/(32.174*EQ99*(EC99^2))</f>
        <v>#VALUE!</v>
      </c>
      <c r="EU99" s="1260" t="e">
        <f ca="1">ES99+(3.24*EG99*EF99/((ET99^0.045)*(ER99^0.035)))</f>
        <v>#DIV/0!</v>
      </c>
      <c r="EV99" s="1260" t="e">
        <f>vel(U99,S99,BJ99)</f>
        <v>#VALUE!</v>
      </c>
      <c r="EW99" s="1262" t="e">
        <f ca="1">(((EV99/60)*S99)/T99)*((VLOOKUP(IF(BI99="",BH99,BI99),'Pipe Data'!F$7:G$19,2,FALSE))/12)</f>
        <v>#VALUE!</v>
      </c>
      <c r="EX99" s="1264" t="e">
        <f ca="1">(0.25/(LOG(5.74/(EW99^0.9))+((VLOOKUP(IF(BI99="",BH99,BI99),'Pipe Data'!J$7:X$19,15,FALSE))/3.7))^2)</f>
        <v>#VALUE!</v>
      </c>
      <c r="EY99" s="1260" t="e">
        <f ca="1">pdrop(EX99,BA99,S99,EV99,IF(BI99="",BH99,BI99))</f>
        <v>#VALUE!</v>
      </c>
      <c r="EZ99" s="1260" t="e">
        <f ca="1">EY99*EU99</f>
        <v>#VALUE!</v>
      </c>
      <c r="FA99" s="213">
        <f>IF(AND(AB99&gt;$AB$5,AB99&lt;($AB$4)),1,0)</f>
        <v>0</v>
      </c>
      <c r="FB99" s="304">
        <f>IF(OR(AND(BD99&gt;$BD$5,BD99&lt;($BD$4)),AND(BD99&lt;$BE$5,BD99&gt;($BE$4))),1,0)</f>
        <v>0</v>
      </c>
      <c r="FC99" s="304">
        <f>IF(AND(BS99&lt;$BS$4,BS99&gt;($BS$5)),1,0)</f>
        <v>0</v>
      </c>
      <c r="FD99" s="213">
        <f>IF(AND(AR99&gt;$AR$5,AR99&lt;($AR$4)),1,0)</f>
        <v>0</v>
      </c>
      <c r="FE99" s="304">
        <f>IF(OR(AR99&lt;($AR$5),AR99&gt;($AS$4)),1,0)</f>
        <v>1</v>
      </c>
      <c r="FF99" s="213">
        <f>IF(AND(AW99&gt;$AR$5,AW99&lt;($AR$4)),1,0)</f>
        <v>0</v>
      </c>
      <c r="FG99" s="304">
        <f>IF(OR(AW99&lt;($AR$5),AW99&gt;($AS$4)),1,0)</f>
        <v>1</v>
      </c>
    </row>
    <row r="100" spans="1:163" ht="12.75" hidden="1" customHeight="1" x14ac:dyDescent="0.2">
      <c r="A100" s="240"/>
      <c r="B100" s="240"/>
      <c r="C100" s="240"/>
      <c r="D100" s="236"/>
      <c r="E100" s="235"/>
      <c r="F100" s="234"/>
      <c r="G100" s="234"/>
      <c r="H100" s="221"/>
      <c r="I100" s="221"/>
      <c r="J100" s="221"/>
      <c r="K100" s="221"/>
      <c r="L100" s="221"/>
      <c r="M100" s="223"/>
      <c r="N100" s="223"/>
      <c r="O100" s="223"/>
      <c r="P100" s="223"/>
      <c r="Q100" s="224"/>
      <c r="R100" s="223"/>
      <c r="S100" s="223"/>
      <c r="T100" s="227"/>
      <c r="U100" s="224"/>
      <c r="V100" s="224"/>
      <c r="W100" s="222"/>
      <c r="X100" s="229"/>
      <c r="Y100" s="221"/>
      <c r="Z100" s="228"/>
      <c r="AA100" s="227"/>
      <c r="AB100" s="219" t="str">
        <f>IF(C99&gt;0,"",IF(($J$81)&gt;1,vel(U99,EC99,AH100),vel(U99,Z99,AH100)))</f>
        <v/>
      </c>
      <c r="AC100" s="220" t="str">
        <f>IF(C99&gt;0,"",pdrop(AE100,Y99,Z99,AB100,AF100))</f>
        <v/>
      </c>
      <c r="AD100" s="219" t="str">
        <f>IF(C99&gt;0,"",(((AB100/60)*Z99)/AA99)*(VLOOKUP(AF100,'Pipe Data'!F$7:G$19,2,FALSE))/12)</f>
        <v/>
      </c>
      <c r="AE100" s="218" t="str">
        <f>IF(C99&gt;0,"",(0.25/(LOG(5.74/(AD100^0.9))+((VLOOKUP(AF100,'Pipe Data'!J$7:X$19,15,FALSE))/3.7))^2))</f>
        <v/>
      </c>
      <c r="AF100" s="216">
        <v>4.125</v>
      </c>
      <c r="AH100" s="217">
        <v>8.1138442517193113E-2</v>
      </c>
      <c r="AI100" s="239"/>
      <c r="AJ100" s="238"/>
      <c r="AK100" s="228"/>
      <c r="AL100" s="223"/>
      <c r="AM100" s="230"/>
      <c r="AN100" s="228"/>
      <c r="AO100" s="232"/>
      <c r="AQ100" s="231"/>
      <c r="AR100" s="230"/>
      <c r="AS100" s="224"/>
      <c r="AT100" s="232"/>
      <c r="AV100" s="231"/>
      <c r="AW100" s="230"/>
      <c r="AX100" s="222"/>
      <c r="AY100" s="224"/>
      <c r="AZ100" s="229"/>
      <c r="BA100" s="221"/>
      <c r="BB100" s="228"/>
      <c r="BC100" s="227"/>
      <c r="BD100" s="219" t="str">
        <f>IF(C99&gt;0,"",IF(($J$81)&gt;1,vel(U99,EC99,BJ100),vel(U99,Z99,BJ100)))</f>
        <v/>
      </c>
      <c r="BE100" s="220" t="str">
        <f>IF(C99&gt;0,"",IF(($J$81)&gt;1,EZ99,pdrop(BG100,BA99,Z99,BD100,BH100)))</f>
        <v/>
      </c>
      <c r="BF100" s="219" t="str">
        <f>IF(C99&gt;0,"",(((BD100/60)*Z99)/$AA$12)*((VLOOKUP(BH100,'Pipe Data'!F$7:G$19,2,FALSE))/12))</f>
        <v/>
      </c>
      <c r="BG100" s="218" t="str">
        <f>IF(C99&gt;0,"",(0.25/(LOG(5.74/(BF100^0.9))+((VLOOKUP(BH100,'Pipe Data'!J$7:X$19,15,FALSE))/3.7))^2))</f>
        <v/>
      </c>
      <c r="BH100" s="216">
        <v>4.125</v>
      </c>
      <c r="BI100" s="25">
        <f t="shared" ref="BI100:BI109" si="28">IF(BD100&gt;($BD$81),1,0)</f>
        <v>1</v>
      </c>
      <c r="BJ100" s="217">
        <v>8.1138442517193113E-2</v>
      </c>
      <c r="BK100" s="237">
        <v>4.125</v>
      </c>
      <c r="BL100" s="224"/>
      <c r="BM100" s="224"/>
      <c r="BN100" s="224"/>
      <c r="BO100" s="223"/>
      <c r="BP100" s="222"/>
      <c r="BQ100" s="221"/>
      <c r="BR100" s="221"/>
      <c r="BS100" s="219" t="str">
        <f>IF(C99&gt;0,"",IF($C$3&gt;0,vel(U99,S99,BZ100)/60,vel(U99,S99,BZ100)))</f>
        <v/>
      </c>
      <c r="BT100" s="220" t="str">
        <f>IF(C99&gt;0,"",IF($C$3&gt;0,2.31*pdrop(BW100,BR99,S99,60*BS100,BX100),pdrop(BW100,BR99,S99,BS100,BX100)))</f>
        <v/>
      </c>
      <c r="BU100" s="220"/>
      <c r="BV100" s="219" t="str">
        <f>IF(C99&gt;0,"",IF($C$3&gt;0,(((BS100)*S99)/32.2/T99)*((VLOOKUP(BX100,'Pipe Data'!F$7:G$19,2,FALSE))/12),(((BS100/60)*S99)/T99)*((VLOOKUP(BX100,'Pipe Data'!F$7:G$19,2,FALSE))/12)))</f>
        <v/>
      </c>
      <c r="BW100" s="218" t="str">
        <f>IF(C99&gt;0,"",IF($C$3&gt;0,IF(BV100&lt;2100,64/BV100,(0.25/(LOG(5.74/(BV100^0.9))+((VLOOKUP(BX100,'Pipe Data'!J$7:X$19,15,FALSE))/3.7))^2)),(0.25/(LOG(5.74/(BV100^0.9))+((VLOOKUP(BX100,'Pipe Data'!J$7:X$19,15,FALSE))/3.7))^2)))</f>
        <v/>
      </c>
      <c r="BX100" s="216">
        <v>4.125</v>
      </c>
      <c r="BY100" s="25" t="str">
        <f>IF(C99&gt;0,"",IF($C$3&gt;0,IF(BT100/BR99&lt;=$BY$81/100,0,1),IF(AND(BS100&lt;($BS$81),BT100&lt;($BT$81)),0,1)))</f>
        <v/>
      </c>
      <c r="BZ100" s="217">
        <v>8.1138442517193113E-2</v>
      </c>
      <c r="CA100" s="237">
        <v>4.125</v>
      </c>
      <c r="CC100" s="313"/>
      <c r="CD100" s="317"/>
      <c r="CE100" s="215"/>
      <c r="CF100" s="214"/>
      <c r="CQ100" s="304" t="s">
        <v>154</v>
      </c>
      <c r="CR100" s="213">
        <f t="shared" ref="CR100:DC100" si="29">IF($BI99="",IF($BH99=CR$8,$AZ99,0),IF($BI99=CR$8,$AZ99,0))</f>
        <v>0</v>
      </c>
      <c r="CS100" s="213">
        <f t="shared" si="29"/>
        <v>0</v>
      </c>
      <c r="CT100" s="213">
        <f t="shared" si="29"/>
        <v>0</v>
      </c>
      <c r="CU100" s="213">
        <f t="shared" si="29"/>
        <v>0</v>
      </c>
      <c r="CV100" s="213">
        <f t="shared" si="29"/>
        <v>0</v>
      </c>
      <c r="CW100" s="213">
        <f t="shared" si="29"/>
        <v>0</v>
      </c>
      <c r="CX100" s="213">
        <f t="shared" si="29"/>
        <v>0</v>
      </c>
      <c r="CY100" s="213">
        <f t="shared" si="29"/>
        <v>0</v>
      </c>
      <c r="CZ100" s="213">
        <f t="shared" si="29"/>
        <v>0</v>
      </c>
      <c r="DA100" s="213">
        <f t="shared" si="29"/>
        <v>0</v>
      </c>
      <c r="DB100" s="213">
        <f t="shared" si="29"/>
        <v>0</v>
      </c>
      <c r="DC100" s="213">
        <f t="shared" si="29"/>
        <v>0</v>
      </c>
      <c r="DJ100" s="1620"/>
      <c r="DK100" s="440"/>
      <c r="DL100" s="1619"/>
      <c r="DN100" s="1620"/>
      <c r="DR100" s="1231"/>
      <c r="DS100" s="213"/>
      <c r="DT100" s="213"/>
      <c r="DU100" s="213"/>
      <c r="DV100" s="213"/>
      <c r="DW100" s="213"/>
      <c r="DX100" s="213"/>
      <c r="DY100" s="213"/>
      <c r="DZ100" s="213"/>
      <c r="EA100" s="213"/>
      <c r="EB100" s="213"/>
      <c r="EC100" s="213"/>
      <c r="ED100" s="213"/>
      <c r="EE100" s="213"/>
      <c r="EF100" s="213"/>
      <c r="EG100" s="213"/>
      <c r="EH100" s="213"/>
      <c r="EI100" s="213"/>
      <c r="EJ100" s="213"/>
      <c r="EK100" s="213"/>
      <c r="EL100" s="213"/>
      <c r="EM100" s="213"/>
      <c r="EN100" s="213"/>
      <c r="EO100" s="213"/>
      <c r="EP100" s="213"/>
      <c r="EQ100" s="213"/>
      <c r="ER100" s="213"/>
      <c r="ES100" s="213"/>
      <c r="ET100" s="213"/>
      <c r="EU100" s="213"/>
      <c r="EV100" s="213"/>
      <c r="EW100" s="213"/>
      <c r="EX100" s="213"/>
      <c r="EY100" s="213"/>
      <c r="EZ100" s="213"/>
    </row>
    <row r="101" spans="1:163" ht="12.75" hidden="1" customHeight="1" x14ac:dyDescent="0.2">
      <c r="D101" s="236"/>
      <c r="E101" s="235"/>
      <c r="F101" s="234"/>
      <c r="G101" s="234"/>
      <c r="H101" s="221"/>
      <c r="I101" s="221"/>
      <c r="J101" s="221"/>
      <c r="K101" s="221"/>
      <c r="L101" s="221"/>
      <c r="M101" s="223"/>
      <c r="N101" s="223"/>
      <c r="O101" s="223"/>
      <c r="P101" s="223"/>
      <c r="Q101" s="224"/>
      <c r="R101" s="223"/>
      <c r="S101" s="223"/>
      <c r="T101" s="227"/>
      <c r="U101" s="224"/>
      <c r="V101" s="224"/>
      <c r="W101" s="222"/>
      <c r="X101" s="229"/>
      <c r="Y101" s="221"/>
      <c r="Z101" s="228"/>
      <c r="AA101" s="227"/>
      <c r="AB101" s="219" t="str">
        <f>IF(C99&gt;0,"",IF(($J$81)&gt;1,vel(U99,EC99,AH101),vel(U99,Z99,AH101)))</f>
        <v/>
      </c>
      <c r="AC101" s="220" t="str">
        <f>IF(C99&gt;0,"",pdrop(AE101,Y99,Z99,AB101,AF101))</f>
        <v/>
      </c>
      <c r="AD101" s="219" t="str">
        <f>IF(C99&gt;0,"",(((AB101/60)*Z99)/AA99)*(VLOOKUP(AF101,'Pipe Data'!F$7:G$19,2,FALSE))/12)</f>
        <v/>
      </c>
      <c r="AE101" s="218" t="str">
        <f>IF(C99&gt;0,"",(0.25/(LOG(5.74/(AD101^0.9))+((VLOOKUP(AF101,'Pipe Data'!J$7:X$19,15,FALSE))/3.7))^2))</f>
        <v/>
      </c>
      <c r="AF101" s="216">
        <v>3.625</v>
      </c>
      <c r="AH101" s="217">
        <v>6.2494922713852256E-2</v>
      </c>
      <c r="AI101" s="239"/>
      <c r="AJ101" s="238"/>
      <c r="AK101" s="228"/>
      <c r="AL101" s="223"/>
      <c r="AM101" s="230"/>
      <c r="AN101" s="228"/>
      <c r="AO101" s="232"/>
      <c r="AQ101" s="231"/>
      <c r="AR101" s="230"/>
      <c r="AS101" s="224"/>
      <c r="AT101" s="232"/>
      <c r="AV101" s="231"/>
      <c r="AW101" s="230"/>
      <c r="AX101" s="222"/>
      <c r="AY101" s="224"/>
      <c r="AZ101" s="229"/>
      <c r="BA101" s="221"/>
      <c r="BB101" s="228"/>
      <c r="BC101" s="227"/>
      <c r="BD101" s="219" t="str">
        <f>IF(C99&gt;0,"",IF(($J$81)&gt;1,vel(U99,EC99,BJ101),vel(U99,Z99,BJ101)))</f>
        <v/>
      </c>
      <c r="BE101" s="220" t="str">
        <f>IF(C99&gt;0,"",IF(($J$81)&gt;1,EZ99,pdrop(BG101,BA99,Z99,BD101,BH101)))</f>
        <v/>
      </c>
      <c r="BF101" s="219" t="str">
        <f>IF(C99&gt;0,"",(((BD101/60)*Z99)/$AA$12)*((VLOOKUP(BH101,'Pipe Data'!F$7:G$19,2,FALSE))/12))</f>
        <v/>
      </c>
      <c r="BG101" s="218" t="str">
        <f>IF(C99&gt;0,"",(0.25/(LOG(5.74/(BF101^0.9))+((VLOOKUP(BH101,'Pipe Data'!J$7:X$19,15,FALSE))/3.7))^2))</f>
        <v/>
      </c>
      <c r="BH101" s="216">
        <v>3.625</v>
      </c>
      <c r="BI101" s="25">
        <f t="shared" si="28"/>
        <v>1</v>
      </c>
      <c r="BJ101" s="217">
        <v>6.2494922713852256E-2</v>
      </c>
      <c r="BK101" s="237">
        <v>3.625</v>
      </c>
      <c r="BL101" s="224"/>
      <c r="BM101" s="224"/>
      <c r="BN101" s="224"/>
      <c r="BO101" s="223"/>
      <c r="BP101" s="222"/>
      <c r="BQ101" s="221"/>
      <c r="BR101" s="221"/>
      <c r="BS101" s="219" t="str">
        <f>IF(C99&gt;0,"",IF($C$3&gt;0,vel(U99,S99,BZ101)/60,vel(U99,S99,BZ101)))</f>
        <v/>
      </c>
      <c r="BT101" s="220" t="str">
        <f>IF(C99&gt;0,"",IF($C$3&gt;0,2.31*pdrop(BW101,BR99,S99,60*BS101,BX101),pdrop(BW101,BR99,S99,BS101,BX101)))</f>
        <v/>
      </c>
      <c r="BU101" s="220"/>
      <c r="BV101" s="219" t="str">
        <f>IF(C99&gt;0,"",IF($C$3&gt;0,(((BS101)*S99)/32.2/T99)*((VLOOKUP(BX101,'Pipe Data'!F$7:G$19,2,FALSE))/12),(((BS101/60)*S99)/T99)*((VLOOKUP(BX101,'Pipe Data'!F$7:G$19,2,FALSE))/12)))</f>
        <v/>
      </c>
      <c r="BW101" s="218" t="str">
        <f>IF(C99&gt;0,"",IF($C$3&gt;0,IF(BV101&lt;2100,64/BV101,(0.25/(LOG(5.74/(BV101^0.9))+((VLOOKUP(BX101,'Pipe Data'!J$7:X$19,15,FALSE))/3.7))^2)),(0.25/(LOG(5.74/(BV101^0.9))+((VLOOKUP(BX101,'Pipe Data'!J$7:X$19,15,FALSE))/3.7))^2)))</f>
        <v/>
      </c>
      <c r="BX101" s="216">
        <v>3.625</v>
      </c>
      <c r="BY101" s="25" t="str">
        <f>IF(C99&gt;0,"",IF($C$3&gt;0,IF(BT101/BR99&lt;=$BY$81/100,0,1),IF(AND(BS101&lt;($BS$81),BT101&lt;($BT$81)),0,1)))</f>
        <v/>
      </c>
      <c r="BZ101" s="217">
        <v>6.2494922713852256E-2</v>
      </c>
      <c r="CA101" s="237">
        <v>3.625</v>
      </c>
      <c r="CC101" s="313"/>
      <c r="CD101" s="317"/>
      <c r="CE101" s="215"/>
      <c r="CF101" s="214"/>
      <c r="CQ101" s="304" t="s">
        <v>155</v>
      </c>
      <c r="CR101" s="213">
        <f t="shared" ref="CR101:DC101" si="30">IF($BY99="",IF($BX99=CR$8,$BQ99,0),IF($BY99=CR$8,$BQ99,0))</f>
        <v>0</v>
      </c>
      <c r="CS101" s="213">
        <f t="shared" si="30"/>
        <v>0</v>
      </c>
      <c r="CT101" s="213">
        <f t="shared" si="30"/>
        <v>0</v>
      </c>
      <c r="CU101" s="213">
        <f t="shared" si="30"/>
        <v>0</v>
      </c>
      <c r="CV101" s="213">
        <f t="shared" si="30"/>
        <v>0</v>
      </c>
      <c r="CW101" s="213">
        <f t="shared" si="30"/>
        <v>0</v>
      </c>
      <c r="CX101" s="213">
        <f t="shared" si="30"/>
        <v>0</v>
      </c>
      <c r="CY101" s="213">
        <f t="shared" si="30"/>
        <v>0</v>
      </c>
      <c r="CZ101" s="213">
        <f t="shared" si="30"/>
        <v>0</v>
      </c>
      <c r="DA101" s="213">
        <f t="shared" si="30"/>
        <v>0</v>
      </c>
      <c r="DB101" s="213">
        <f t="shared" si="30"/>
        <v>0</v>
      </c>
      <c r="DC101" s="213">
        <f t="shared" si="30"/>
        <v>0</v>
      </c>
      <c r="DJ101" s="1620"/>
      <c r="DK101" s="440"/>
      <c r="DL101" s="1619"/>
      <c r="DN101" s="1620"/>
      <c r="DR101" s="1231"/>
      <c r="DS101" s="213"/>
      <c r="DT101" s="213"/>
      <c r="DU101" s="213"/>
      <c r="DV101" s="213"/>
      <c r="DW101" s="213"/>
      <c r="DX101" s="213"/>
      <c r="DY101" s="213"/>
      <c r="DZ101" s="213"/>
      <c r="EA101" s="213"/>
      <c r="EB101" s="213"/>
      <c r="EC101" s="213"/>
      <c r="ED101" s="213"/>
      <c r="EE101" s="213"/>
      <c r="EF101" s="213"/>
      <c r="EG101" s="213"/>
      <c r="EH101" s="213"/>
      <c r="EI101" s="213"/>
      <c r="EJ101" s="213"/>
      <c r="EK101" s="213"/>
      <c r="EL101" s="213"/>
      <c r="EM101" s="213"/>
      <c r="EN101" s="213"/>
      <c r="EO101" s="213"/>
      <c r="EP101" s="213"/>
      <c r="EQ101" s="213"/>
      <c r="ER101" s="213"/>
      <c r="ES101" s="213"/>
      <c r="ET101" s="213"/>
      <c r="EU101" s="213"/>
      <c r="EV101" s="213"/>
      <c r="EW101" s="213"/>
      <c r="EX101" s="213"/>
      <c r="EY101" s="213"/>
      <c r="EZ101" s="213"/>
    </row>
    <row r="102" spans="1:163" ht="12.75" hidden="1" customHeight="1" x14ac:dyDescent="0.2">
      <c r="D102" s="236"/>
      <c r="E102" s="235"/>
      <c r="F102" s="234"/>
      <c r="G102" s="234"/>
      <c r="H102" s="221"/>
      <c r="I102" s="221"/>
      <c r="J102" s="221"/>
      <c r="K102" s="221"/>
      <c r="L102" s="221"/>
      <c r="M102" s="223"/>
      <c r="N102" s="223"/>
      <c r="O102" s="223"/>
      <c r="P102" s="223"/>
      <c r="Q102" s="224"/>
      <c r="R102" s="223"/>
      <c r="S102" s="223"/>
      <c r="T102" s="227"/>
      <c r="U102" s="224"/>
      <c r="V102" s="224"/>
      <c r="W102" s="222"/>
      <c r="X102" s="229"/>
      <c r="Y102" s="221"/>
      <c r="Z102" s="228"/>
      <c r="AA102" s="227"/>
      <c r="AB102" s="219" t="str">
        <f>IF(C99&gt;0,"",IF(($J$81)&gt;1,vel(U99,EC99,AH102),vel(U99,Z99,AH102)))</f>
        <v/>
      </c>
      <c r="AC102" s="220" t="str">
        <f>IF(C99&gt;0,"",pdrop(AE102,Y99,Z99,AB102,AF102))</f>
        <v/>
      </c>
      <c r="AD102" s="219" t="str">
        <f>IF(C99&gt;0,"",(((AB102/60)*Z99)/AA99)*(VLOOKUP(AF102,'Pipe Data'!F$7:G$19,2,FALSE))/12)</f>
        <v/>
      </c>
      <c r="AE102" s="218" t="str">
        <f>IF(C99&gt;0,"",(0.25/(LOG(5.74/(AD102^0.9))+((VLOOKUP(AF102,'Pipe Data'!J$7:X$19,15,FALSE))/3.7))^2))</f>
        <v/>
      </c>
      <c r="AF102" s="216">
        <v>3.125</v>
      </c>
      <c r="AH102" s="217">
        <v>4.6091140306364464E-2</v>
      </c>
      <c r="AI102" s="239"/>
      <c r="AJ102" s="238"/>
      <c r="AK102" s="228"/>
      <c r="AL102" s="223"/>
      <c r="AM102" s="230"/>
      <c r="AN102" s="228"/>
      <c r="AO102" s="232"/>
      <c r="AQ102" s="231"/>
      <c r="AR102" s="230"/>
      <c r="AS102" s="224"/>
      <c r="AT102" s="232"/>
      <c r="AV102" s="231"/>
      <c r="AW102" s="230"/>
      <c r="AX102" s="222"/>
      <c r="AY102" s="224"/>
      <c r="AZ102" s="229"/>
      <c r="BA102" s="221"/>
      <c r="BB102" s="228"/>
      <c r="BC102" s="227"/>
      <c r="BD102" s="219" t="str">
        <f>IF(C99&gt;0,"",IF(($J$81)&gt;1,vel(U99,EC99,BJ102),vel(U99,Z99,BJ102)))</f>
        <v/>
      </c>
      <c r="BE102" s="220" t="str">
        <f>IF(C99&gt;0,"",IF(($J$81)&gt;1,EZ99,pdrop(BG102,BA99,Z99,BD102,BH102)))</f>
        <v/>
      </c>
      <c r="BF102" s="219" t="str">
        <f>IF(C99&gt;0,"",(((BD102/60)*Z99)/$AA$12)*((VLOOKUP(BH102,'Pipe Data'!F$7:G$19,2,FALSE))/12))</f>
        <v/>
      </c>
      <c r="BG102" s="218" t="str">
        <f>IF(C99&gt;0,"",(0.25/(LOG(5.74/(BF102^0.9))+((VLOOKUP(BH102,'Pipe Data'!J$7:X$19,15,FALSE))/3.7))^2))</f>
        <v/>
      </c>
      <c r="BH102" s="216">
        <v>3.125</v>
      </c>
      <c r="BI102" s="25">
        <f t="shared" si="28"/>
        <v>1</v>
      </c>
      <c r="BJ102" s="217">
        <v>4.6091140306364464E-2</v>
      </c>
      <c r="BK102" s="237">
        <v>3.125</v>
      </c>
      <c r="BL102" s="224"/>
      <c r="BM102" s="224"/>
      <c r="BN102" s="224"/>
      <c r="BO102" s="223"/>
      <c r="BP102" s="222"/>
      <c r="BQ102" s="221"/>
      <c r="BR102" s="221"/>
      <c r="BS102" s="219" t="str">
        <f>IF(C99&gt;0,"",IF($C$3&gt;0,vel(U99,S99,BZ102)/60,vel(U99,S99,BZ102)))</f>
        <v/>
      </c>
      <c r="BT102" s="220" t="str">
        <f>IF(C99&gt;0,"",IF($C$3&gt;0,2.31*pdrop(BW102,BR99,S99,60*BS102,BX102),pdrop(BW102,BR99,S99,BS102,BX102)))</f>
        <v/>
      </c>
      <c r="BU102" s="220"/>
      <c r="BV102" s="219" t="str">
        <f>IF(C99&gt;0,"",IF($C$3&gt;0,(((BS102)*S99)/32.2/T99)*((VLOOKUP(BX102,'Pipe Data'!F$7:G$19,2,FALSE))/12),(((BS102/60)*S99)/T99)*((VLOOKUP(BX102,'Pipe Data'!F$7:G$19,2,FALSE))/12)))</f>
        <v/>
      </c>
      <c r="BW102" s="218" t="str">
        <f>IF(C99&gt;0,"",IF($C$3&gt;0,IF(BV102&lt;2100,64/BV102,(0.25/(LOG(5.74/(BV102^0.9))+((VLOOKUP(BX102,'Pipe Data'!J$7:X$19,15,FALSE))/3.7))^2)),(0.25/(LOG(5.74/(BV102^0.9))+((VLOOKUP(BX102,'Pipe Data'!J$7:X$19,15,FALSE))/3.7))^2)))</f>
        <v/>
      </c>
      <c r="BX102" s="216">
        <v>3.125</v>
      </c>
      <c r="BY102" s="25" t="str">
        <f>IF(C99&gt;0,"",IF($C$3&gt;0,IF(BT102/BR99&lt;=$BY$81/100,0,1),IF(AND(BS102&lt;($BS$81),BT102&lt;($BT$81)),0,1)))</f>
        <v/>
      </c>
      <c r="BZ102" s="217">
        <v>4.6091140306364464E-2</v>
      </c>
      <c r="CA102" s="237">
        <v>3.125</v>
      </c>
      <c r="CC102" s="313"/>
      <c r="CD102" s="317"/>
      <c r="CE102" s="215"/>
      <c r="CF102" s="214"/>
      <c r="CQ102" s="25" t="s">
        <v>172</v>
      </c>
      <c r="CR102" s="213">
        <f t="shared" ref="CR102:DC102" si="31">IF($W99="double",IF($AP99="",IF($AO99=CR$8,$X99,0),IF($AP99=CR$8,$X99,0)),0)</f>
        <v>0</v>
      </c>
      <c r="CS102" s="213">
        <f t="shared" si="31"/>
        <v>0</v>
      </c>
      <c r="CT102" s="213">
        <f t="shared" si="31"/>
        <v>0</v>
      </c>
      <c r="CU102" s="213">
        <f t="shared" si="31"/>
        <v>0</v>
      </c>
      <c r="CV102" s="213">
        <f t="shared" si="31"/>
        <v>0</v>
      </c>
      <c r="CW102" s="213">
        <f t="shared" si="31"/>
        <v>0</v>
      </c>
      <c r="CX102" s="213">
        <f t="shared" si="31"/>
        <v>0</v>
      </c>
      <c r="CY102" s="213">
        <f t="shared" si="31"/>
        <v>0</v>
      </c>
      <c r="CZ102" s="213">
        <f t="shared" si="31"/>
        <v>0</v>
      </c>
      <c r="DA102" s="213">
        <f t="shared" si="31"/>
        <v>0</v>
      </c>
      <c r="DB102" s="213">
        <f t="shared" si="31"/>
        <v>0</v>
      </c>
      <c r="DC102" s="213">
        <f t="shared" si="31"/>
        <v>0</v>
      </c>
      <c r="DJ102" s="1620"/>
      <c r="DK102" s="440"/>
      <c r="DL102" s="1619"/>
      <c r="DN102" s="1620"/>
      <c r="DR102" s="1231"/>
      <c r="DS102" s="213"/>
      <c r="DT102" s="213"/>
      <c r="DU102" s="213"/>
      <c r="DV102" s="213"/>
      <c r="DW102" s="213"/>
      <c r="DX102" s="213"/>
      <c r="DY102" s="213"/>
      <c r="DZ102" s="213"/>
      <c r="EA102" s="213"/>
      <c r="EB102" s="213"/>
      <c r="EC102" s="213"/>
      <c r="ED102" s="213"/>
      <c r="EE102" s="213"/>
      <c r="EF102" s="213"/>
      <c r="EG102" s="213"/>
      <c r="EH102" s="213"/>
      <c r="EI102" s="213"/>
      <c r="EJ102" s="213"/>
      <c r="EK102" s="213"/>
      <c r="EL102" s="213"/>
      <c r="EM102" s="213"/>
      <c r="EN102" s="213"/>
      <c r="EO102" s="213"/>
      <c r="EP102" s="213"/>
      <c r="EQ102" s="213"/>
      <c r="ER102" s="213"/>
      <c r="ES102" s="213"/>
      <c r="ET102" s="213"/>
      <c r="EU102" s="213"/>
      <c r="EV102" s="213"/>
      <c r="EW102" s="213"/>
      <c r="EX102" s="213"/>
      <c r="EY102" s="213"/>
      <c r="EZ102" s="213"/>
    </row>
    <row r="103" spans="1:163" ht="12.75" hidden="1" customHeight="1" x14ac:dyDescent="0.2">
      <c r="D103" s="236"/>
      <c r="E103" s="235"/>
      <c r="F103" s="234"/>
      <c r="G103" s="234"/>
      <c r="H103" s="221"/>
      <c r="I103" s="221"/>
      <c r="J103" s="221"/>
      <c r="K103" s="221"/>
      <c r="L103" s="221"/>
      <c r="M103" s="223"/>
      <c r="N103" s="223"/>
      <c r="O103" s="223"/>
      <c r="P103" s="223"/>
      <c r="Q103" s="224"/>
      <c r="R103" s="223"/>
      <c r="S103" s="223"/>
      <c r="T103" s="227"/>
      <c r="U103" s="224"/>
      <c r="V103" s="224"/>
      <c r="W103" s="222"/>
      <c r="X103" s="229"/>
      <c r="Y103" s="221"/>
      <c r="Z103" s="228"/>
      <c r="AA103" s="227"/>
      <c r="AB103" s="219" t="str">
        <f>IF(C99&gt;0,"",IF(($J$81)&gt;1,vel(U99,EC99,AH103),vel(U99,Z99,AH103)))</f>
        <v/>
      </c>
      <c r="AC103" s="220" t="str">
        <f>IF(C99&gt;0,"",pdrop(AE103,Y99,Z99,AB103,AF103))</f>
        <v/>
      </c>
      <c r="AD103" s="219" t="str">
        <f>IF(C99&gt;0,"",(((AB103/60)*Z99)/AA99)*(VLOOKUP(AF103,'Pipe Data'!F$7:G$19,2,FALSE))/12)</f>
        <v/>
      </c>
      <c r="AE103" s="218" t="str">
        <f>IF(C99&gt;0,"",(0.25/(LOG(5.74/(AD103^0.9))+((VLOOKUP(AF103,'Pipe Data'!J$7:X$19,15,FALSE))/3.7))^2))</f>
        <v/>
      </c>
      <c r="AF103" s="216">
        <v>2.625</v>
      </c>
      <c r="AH103" s="217">
        <v>3.2338905731737741E-2</v>
      </c>
      <c r="AI103" s="239"/>
      <c r="AJ103" s="238"/>
      <c r="AK103" s="228"/>
      <c r="AL103" s="223"/>
      <c r="AM103" s="230"/>
      <c r="AN103" s="228"/>
      <c r="AO103" s="232"/>
      <c r="AQ103" s="231"/>
      <c r="AR103" s="230"/>
      <c r="AS103" s="224"/>
      <c r="AT103" s="232"/>
      <c r="AV103" s="231"/>
      <c r="AW103" s="230"/>
      <c r="AX103" s="222"/>
      <c r="AY103" s="224"/>
      <c r="AZ103" s="229"/>
      <c r="BA103" s="221"/>
      <c r="BB103" s="228"/>
      <c r="BC103" s="227"/>
      <c r="BD103" s="219" t="str">
        <f>IF(C99&gt;0,"",IF(($J$81)&gt;1,vel(U99,EC99,BJ103),vel(U99,Z99,BJ103)))</f>
        <v/>
      </c>
      <c r="BE103" s="220" t="str">
        <f>IF(C99&gt;0,"",IF(($J$81)&gt;1,EZ99,pdrop(BG103,BA99,Z99,BD103,BH103)))</f>
        <v/>
      </c>
      <c r="BF103" s="219" t="str">
        <f>IF(C99&gt;0,"",(((BD103/60)*Z99)/$AA$12)*((VLOOKUP(BH103,'Pipe Data'!F$7:G$19,2,FALSE))/12))</f>
        <v/>
      </c>
      <c r="BG103" s="218" t="str">
        <f>IF(C99&gt;0,"",(0.25/(LOG(5.74/(BF103^0.9))+((VLOOKUP(BH103,'Pipe Data'!J$7:X$19,15,FALSE))/3.7))^2))</f>
        <v/>
      </c>
      <c r="BH103" s="216">
        <v>2.625</v>
      </c>
      <c r="BI103" s="25">
        <f t="shared" si="28"/>
        <v>1</v>
      </c>
      <c r="BJ103" s="217">
        <v>3.2338905731737741E-2</v>
      </c>
      <c r="BK103" s="237">
        <v>2.625</v>
      </c>
      <c r="BL103" s="224"/>
      <c r="BM103" s="224"/>
      <c r="BN103" s="224"/>
      <c r="BO103" s="223"/>
      <c r="BP103" s="222"/>
      <c r="BQ103" s="221"/>
      <c r="BR103" s="221"/>
      <c r="BS103" s="219" t="str">
        <f>IF(C99&gt;0,"",IF($C$3&gt;0,vel(U99,S99,BZ103)/60,vel(U99,S99,BZ103)))</f>
        <v/>
      </c>
      <c r="BT103" s="220" t="str">
        <f>IF(C99&gt;0,"",IF($C$3&gt;0,2.31*pdrop(BW103,BR99,S99,60*BS103,BX103),pdrop(BW103,BR99,S99,BS103,BX103)))</f>
        <v/>
      </c>
      <c r="BU103" s="220"/>
      <c r="BV103" s="219" t="str">
        <f>IF(C99&gt;0,"",IF($C$3&gt;0,(((BS103)*S99)/32.2/T99)*((VLOOKUP(BX103,'Pipe Data'!F$7:G$19,2,FALSE))/12),(((BS103/60)*S99)/T99)*((VLOOKUP(BX103,'Pipe Data'!F$7:G$19,2,FALSE))/12)))</f>
        <v/>
      </c>
      <c r="BW103" s="218" t="str">
        <f>IF(C99&gt;0,"",IF($C$3&gt;0,IF(BV103&lt;2100,64/BV103,(0.25/(LOG(5.74/(BV103^0.9))+((VLOOKUP(BX103,'Pipe Data'!J$7:X$19,15,FALSE))/3.7))^2)),(0.25/(LOG(5.74/(BV103^0.9))+((VLOOKUP(BX103,'Pipe Data'!J$7:X$19,15,FALSE))/3.7))^2)))</f>
        <v/>
      </c>
      <c r="BX103" s="216">
        <v>2.625</v>
      </c>
      <c r="BY103" s="25" t="str">
        <f>IF(C99&gt;0,"",IF($C$3&gt;0,IF(BT103/BR99&lt;=$BY$81/100,0,1),IF(AND(BS103&lt;($BS$81),BT103&lt;($BT$81)),0,1)))</f>
        <v/>
      </c>
      <c r="BZ103" s="217">
        <v>3.2338905731737741E-2</v>
      </c>
      <c r="CA103" s="237">
        <v>2.625</v>
      </c>
      <c r="CC103" s="313"/>
      <c r="CD103" s="317"/>
      <c r="CE103" s="215"/>
      <c r="CF103" s="214"/>
      <c r="CQ103" s="25" t="s">
        <v>173</v>
      </c>
      <c r="CR103" s="213">
        <f t="shared" ref="CR103:DC103" si="32">IF($W99="double",IF($AU99="",IF($AT99=CR$8,$X99,0),IF($AU99=CR$8,$X99,0)),0)</f>
        <v>0</v>
      </c>
      <c r="CS103" s="213">
        <f t="shared" si="32"/>
        <v>0</v>
      </c>
      <c r="CT103" s="213">
        <f t="shared" si="32"/>
        <v>0</v>
      </c>
      <c r="CU103" s="213">
        <f t="shared" si="32"/>
        <v>0</v>
      </c>
      <c r="CV103" s="213">
        <f t="shared" si="32"/>
        <v>0</v>
      </c>
      <c r="CW103" s="213">
        <f t="shared" si="32"/>
        <v>0</v>
      </c>
      <c r="CX103" s="213">
        <f t="shared" si="32"/>
        <v>0</v>
      </c>
      <c r="CY103" s="213">
        <f t="shared" si="32"/>
        <v>0</v>
      </c>
      <c r="CZ103" s="213">
        <f t="shared" si="32"/>
        <v>0</v>
      </c>
      <c r="DA103" s="213">
        <f t="shared" si="32"/>
        <v>0</v>
      </c>
      <c r="DB103" s="213">
        <f t="shared" si="32"/>
        <v>0</v>
      </c>
      <c r="DC103" s="213">
        <f t="shared" si="32"/>
        <v>0</v>
      </c>
      <c r="DJ103" s="1620"/>
      <c r="DK103" s="440"/>
      <c r="DL103" s="1619"/>
      <c r="DN103" s="1620"/>
      <c r="DR103" s="1231"/>
      <c r="DS103" s="213"/>
      <c r="DT103" s="213"/>
      <c r="DU103" s="213"/>
      <c r="DV103" s="213"/>
      <c r="DW103" s="213"/>
      <c r="DX103" s="213"/>
      <c r="DY103" s="213"/>
      <c r="DZ103" s="213"/>
      <c r="EA103" s="213"/>
      <c r="EB103" s="213"/>
      <c r="EC103" s="213"/>
      <c r="ED103" s="213"/>
      <c r="EE103" s="213"/>
      <c r="EF103" s="213"/>
      <c r="EG103" s="213"/>
      <c r="EH103" s="213"/>
      <c r="EI103" s="213"/>
      <c r="EJ103" s="213"/>
      <c r="EK103" s="213"/>
      <c r="EL103" s="213"/>
      <c r="EM103" s="213"/>
      <c r="EN103" s="213"/>
      <c r="EO103" s="213"/>
      <c r="EP103" s="213"/>
      <c r="EQ103" s="213"/>
      <c r="ER103" s="213"/>
      <c r="ES103" s="213"/>
      <c r="ET103" s="213"/>
      <c r="EU103" s="213"/>
      <c r="EV103" s="213"/>
      <c r="EW103" s="213"/>
      <c r="EX103" s="213"/>
      <c r="EY103" s="213"/>
      <c r="EZ103" s="213"/>
    </row>
    <row r="104" spans="1:163" ht="12.75" hidden="1" customHeight="1" x14ac:dyDescent="0.2">
      <c r="D104" s="236"/>
      <c r="E104" s="235"/>
      <c r="F104" s="234"/>
      <c r="G104" s="234"/>
      <c r="H104" s="221"/>
      <c r="I104" s="221"/>
      <c r="J104" s="221"/>
      <c r="K104" s="221"/>
      <c r="L104" s="221"/>
      <c r="M104" s="223"/>
      <c r="N104" s="223"/>
      <c r="O104" s="223"/>
      <c r="P104" s="223"/>
      <c r="Q104" s="224"/>
      <c r="R104" s="223"/>
      <c r="S104" s="223"/>
      <c r="T104" s="227"/>
      <c r="U104" s="224"/>
      <c r="V104" s="224"/>
      <c r="W104" s="222"/>
      <c r="X104" s="229"/>
      <c r="Y104" s="221"/>
      <c r="Z104" s="228"/>
      <c r="AA104" s="227"/>
      <c r="AB104" s="219" t="str">
        <f>IF(C99&gt;0,"",IF(($J$81)&gt;1,vel(U99,EC99,AH104),vel(U99,Z99,AH104)))</f>
        <v/>
      </c>
      <c r="AC104" s="220" t="str">
        <f>IF(C99&gt;0,"",pdrop(AE104,Y99,Z99,AB104,AF104))</f>
        <v/>
      </c>
      <c r="AD104" s="219" t="str">
        <f>IF(C99&gt;0,"",(((AB104/60)*Z99)/AA99)*(VLOOKUP(AF104,'Pipe Data'!F$7:G$19,2,FALSE))/12)</f>
        <v/>
      </c>
      <c r="AE104" s="218" t="str">
        <f>IF(C99&gt;0,"",(0.25/(LOG(5.74/(AD104^0.9))+((VLOOKUP(AF104,'Pipe Data'!J$7:X$19,15,FALSE))/3.7))^2))</f>
        <v/>
      </c>
      <c r="AF104" s="216">
        <v>2.125</v>
      </c>
      <c r="AH104" s="217">
        <v>2.0931302841008911E-2</v>
      </c>
      <c r="AI104" s="239"/>
      <c r="AJ104" s="238"/>
      <c r="AK104" s="228"/>
      <c r="AL104" s="223"/>
      <c r="AM104" s="230"/>
      <c r="AN104" s="228"/>
      <c r="AO104" s="232"/>
      <c r="AQ104" s="231"/>
      <c r="AR104" s="230"/>
      <c r="AS104" s="224"/>
      <c r="AT104" s="232"/>
      <c r="AV104" s="231"/>
      <c r="AW104" s="230"/>
      <c r="AX104" s="222"/>
      <c r="AY104" s="224"/>
      <c r="AZ104" s="229"/>
      <c r="BA104" s="221"/>
      <c r="BB104" s="228"/>
      <c r="BC104" s="227"/>
      <c r="BD104" s="219" t="str">
        <f>IF(C99&gt;0,"",IF(($J$81)&gt;1,vel(U99,EC99,BJ104),vel(U99,Z99,BJ104)))</f>
        <v/>
      </c>
      <c r="BE104" s="220" t="str">
        <f>IF(C99&gt;0,"",IF(($J$81)&gt;1,EZ99,pdrop(BG104,BA99,Z99,BD104,BH104)))</f>
        <v/>
      </c>
      <c r="BF104" s="219" t="str">
        <f>IF(C99&gt;0,"",(((BD104/60)*Z99)/$AA$12)*((VLOOKUP(BH104,'Pipe Data'!F$7:G$19,2,FALSE))/12))</f>
        <v/>
      </c>
      <c r="BG104" s="218" t="str">
        <f>IF(C99&gt;0,"",(0.25/(LOG(5.74/(BF104^0.9))+((VLOOKUP(BH104,'Pipe Data'!J$7:X$19,15,FALSE))/3.7))^2))</f>
        <v/>
      </c>
      <c r="BH104" s="216">
        <v>2.125</v>
      </c>
      <c r="BI104" s="25">
        <f t="shared" si="28"/>
        <v>1</v>
      </c>
      <c r="BJ104" s="217">
        <v>2.0931302841008911E-2</v>
      </c>
      <c r="BK104" s="237">
        <v>2.125</v>
      </c>
      <c r="BL104" s="224"/>
      <c r="BM104" s="224"/>
      <c r="BN104" s="224"/>
      <c r="BO104" s="223"/>
      <c r="BP104" s="222"/>
      <c r="BQ104" s="221"/>
      <c r="BR104" s="221"/>
      <c r="BS104" s="219" t="str">
        <f>IF(C99&gt;0,"",IF($C$3&gt;0,vel(U99,S99,BZ104)/60,vel(U99,S99,BZ104)))</f>
        <v/>
      </c>
      <c r="BT104" s="220" t="str">
        <f>IF(C99&gt;0,"",IF($C$3&gt;0,2.31*pdrop(BW104,BR99,S99,60*BS104,BX104),pdrop(BW104,BR99,S99,BS104,BX104)))</f>
        <v/>
      </c>
      <c r="BU104" s="220"/>
      <c r="BV104" s="219" t="str">
        <f>IF(C99&gt;0,"",IF($C$3&gt;0,(((BS104)*S99)/32.2/T99)*((VLOOKUP(BX104,'Pipe Data'!F$7:G$19,2,FALSE))/12),(((BS104/60)*S99)/T99)*((VLOOKUP(BX104,'Pipe Data'!F$7:G$19,2,FALSE))/12)))</f>
        <v/>
      </c>
      <c r="BW104" s="218" t="str">
        <f>IF(C99&gt;0,"",IF($C$3&gt;0,IF(BV104&lt;2100,64/BV104,(0.25/(LOG(5.74/(BV104^0.9))+((VLOOKUP(BX104,'Pipe Data'!J$7:X$19,15,FALSE))/3.7))^2)),(0.25/(LOG(5.74/(BV104^0.9))+((VLOOKUP(BX104,'Pipe Data'!J$7:X$19,15,FALSE))/3.7))^2)))</f>
        <v/>
      </c>
      <c r="BX104" s="216">
        <v>2.125</v>
      </c>
      <c r="BY104" s="25" t="str">
        <f>IF(C99&gt;0,"",IF($C$3&gt;0,IF(BT104/BR99&lt;=$BY$81/100,0,1),IF(AND(BS104&lt;($BS$81),BT104&lt;($BT$81)),0,1)))</f>
        <v/>
      </c>
      <c r="BZ104" s="217">
        <v>2.0931302841008911E-2</v>
      </c>
      <c r="CA104" s="237">
        <v>2.125</v>
      </c>
      <c r="CC104" s="313"/>
      <c r="CD104" s="317"/>
      <c r="CE104" s="215"/>
      <c r="CF104" s="214"/>
      <c r="DJ104" s="1620"/>
      <c r="DK104" s="440"/>
      <c r="DL104" s="1619"/>
      <c r="DN104" s="1620"/>
      <c r="DR104" s="1231"/>
      <c r="DS104" s="213"/>
      <c r="DT104" s="213"/>
      <c r="DU104" s="213"/>
      <c r="DV104" s="213"/>
      <c r="DW104" s="213"/>
      <c r="DX104" s="213"/>
      <c r="DY104" s="213"/>
      <c r="DZ104" s="213"/>
      <c r="EA104" s="213"/>
      <c r="EB104" s="213"/>
      <c r="EC104" s="213"/>
      <c r="ED104" s="213"/>
      <c r="EE104" s="213"/>
      <c r="EF104" s="213"/>
      <c r="EG104" s="213"/>
      <c r="EH104" s="213"/>
      <c r="EI104" s="213"/>
      <c r="EJ104" s="213"/>
      <c r="EK104" s="213"/>
      <c r="EL104" s="213"/>
      <c r="EM104" s="213"/>
      <c r="EN104" s="213"/>
      <c r="EO104" s="213"/>
      <c r="EP104" s="213"/>
      <c r="EQ104" s="213"/>
      <c r="ER104" s="213"/>
      <c r="ES104" s="213"/>
      <c r="ET104" s="213"/>
      <c r="EU104" s="213"/>
      <c r="EV104" s="213"/>
      <c r="EW104" s="213"/>
      <c r="EX104" s="213"/>
      <c r="EY104" s="213"/>
      <c r="EZ104" s="213"/>
    </row>
    <row r="105" spans="1:163" ht="12.75" hidden="1" customHeight="1" x14ac:dyDescent="0.2">
      <c r="D105" s="236"/>
      <c r="E105" s="235"/>
      <c r="F105" s="234"/>
      <c r="G105" s="234"/>
      <c r="H105" s="221"/>
      <c r="I105" s="221"/>
      <c r="J105" s="221"/>
      <c r="K105" s="221"/>
      <c r="L105" s="221"/>
      <c r="M105" s="223"/>
      <c r="N105" s="223"/>
      <c r="O105" s="223"/>
      <c r="P105" s="223"/>
      <c r="Q105" s="224"/>
      <c r="R105" s="223"/>
      <c r="S105" s="223"/>
      <c r="T105" s="227"/>
      <c r="U105" s="224"/>
      <c r="V105" s="224"/>
      <c r="W105" s="222"/>
      <c r="X105" s="229"/>
      <c r="Y105" s="221"/>
      <c r="Z105" s="228"/>
      <c r="AA105" s="227"/>
      <c r="AB105" s="219" t="str">
        <f>IF(C99&gt;0,"",IF(($J$81)&gt;1,vel(U99,EC99,AH105),vel(U99,Z99,AH105)))</f>
        <v/>
      </c>
      <c r="AC105" s="220" t="str">
        <f>IF(C99&gt;0,"",pdrop(AE105,Y99,Z99,AB105,AF105))</f>
        <v/>
      </c>
      <c r="AD105" s="219" t="str">
        <f>IF(C99&gt;0,"",(((AB105/60)*Z99)/AA99)*(VLOOKUP(AF105,'Pipe Data'!F$7:G$19,2,FALSE))/12)</f>
        <v/>
      </c>
      <c r="AE105" s="218" t="str">
        <f>IF(C99&gt;0,"",(0.25/(LOG(5.74/(AD105^0.9))+((VLOOKUP(AF105,'Pipe Data'!J$7:X$19,15,FALSE))/3.7))^2))</f>
        <v/>
      </c>
      <c r="AF105" s="216">
        <v>1.625</v>
      </c>
      <c r="AH105" s="217">
        <v>1.2353794965620174E-2</v>
      </c>
      <c r="AI105" s="239"/>
      <c r="AJ105" s="238"/>
      <c r="AK105" s="228"/>
      <c r="AL105" s="223"/>
      <c r="AM105" s="230"/>
      <c r="AN105" s="228"/>
      <c r="AO105" s="232"/>
      <c r="AQ105" s="231"/>
      <c r="AR105" s="230"/>
      <c r="AS105" s="224"/>
      <c r="AT105" s="232"/>
      <c r="AV105" s="231"/>
      <c r="AW105" s="230"/>
      <c r="AX105" s="222"/>
      <c r="AY105" s="224"/>
      <c r="AZ105" s="229"/>
      <c r="BA105" s="221"/>
      <c r="BB105" s="228"/>
      <c r="BC105" s="227"/>
      <c r="BD105" s="219" t="str">
        <f>IF(C99&gt;0,"",IF(($J$81)&gt;1,vel(U99,EC99,BJ105),vel(U99,Z99,BJ105)))</f>
        <v/>
      </c>
      <c r="BE105" s="220" t="str">
        <f>IF(C99&gt;0,"",IF(($J$81)&gt;1,EZ99,pdrop(BG105,BA99,Z99,BD105,BH105)))</f>
        <v/>
      </c>
      <c r="BF105" s="219" t="str">
        <f>IF(C99&gt;0,"",(((BD105/60)*Z99)/$AA$12)*((VLOOKUP(BH105,'Pipe Data'!F$7:G$19,2,FALSE))/12))</f>
        <v/>
      </c>
      <c r="BG105" s="218" t="str">
        <f>IF(C99&gt;0,"",(0.25/(LOG(5.74/(BF105^0.9))+((VLOOKUP(BH105,'Pipe Data'!J$7:X$19,15,FALSE))/3.7))^2))</f>
        <v/>
      </c>
      <c r="BH105" s="216">
        <v>1.625</v>
      </c>
      <c r="BI105" s="25">
        <f t="shared" si="28"/>
        <v>1</v>
      </c>
      <c r="BJ105" s="217">
        <v>1.2353794965620174E-2</v>
      </c>
      <c r="BK105" s="237">
        <v>1.625</v>
      </c>
      <c r="BL105" s="224"/>
      <c r="BM105" s="224"/>
      <c r="BN105" s="224"/>
      <c r="BO105" s="223"/>
      <c r="BP105" s="222"/>
      <c r="BQ105" s="221"/>
      <c r="BR105" s="221"/>
      <c r="BS105" s="219" t="str">
        <f>IF(C99&gt;0,"",IF($C$3&gt;0,vel(U99,S99,BZ105)/60,vel(U99,S99,BZ105)))</f>
        <v/>
      </c>
      <c r="BT105" s="220" t="str">
        <f>IF(C99&gt;0,"",IF($C$3&gt;0,2.31*pdrop(BW105,BR99,S99,60*BS105,BX105),pdrop(BW105,BR99,S99,BS105,BX105)))</f>
        <v/>
      </c>
      <c r="BU105" s="220"/>
      <c r="BV105" s="219" t="str">
        <f>IF(C99&gt;0,"",IF($C$3&gt;0,(((BS105)*S99)/32.2/T99)*((VLOOKUP(BX105,'Pipe Data'!F$7:G$19,2,FALSE))/12),(((BS105/60)*S99)/T99)*((VLOOKUP(BX105,'Pipe Data'!F$7:G$19,2,FALSE))/12)))</f>
        <v/>
      </c>
      <c r="BW105" s="218" t="str">
        <f>IF(C99&gt;0,"",IF($C$3&gt;0,IF(BV105&lt;2100,64/BV105,(0.25/(LOG(5.74/(BV105^0.9))+((VLOOKUP(BX105,'Pipe Data'!J$7:X$19,15,FALSE))/3.7))^2)),(0.25/(LOG(5.74/(BV105^0.9))+((VLOOKUP(BX105,'Pipe Data'!J$7:X$19,15,FALSE))/3.7))^2)))</f>
        <v/>
      </c>
      <c r="BX105" s="216">
        <v>1.625</v>
      </c>
      <c r="BY105" s="25" t="str">
        <f>IF(C99&gt;0,"",IF($C$3&gt;0,IF(BT105/BR99&lt;=$BY$81/100,0,1),IF(AND(BS105&lt;($BS$81),BT105&lt;($BT$81)),0,1)))</f>
        <v/>
      </c>
      <c r="BZ105" s="217">
        <v>1.2353794965620174E-2</v>
      </c>
      <c r="CA105" s="237">
        <v>1.625</v>
      </c>
      <c r="CC105" s="313"/>
      <c r="CD105" s="317"/>
      <c r="CE105" s="215"/>
      <c r="CF105" s="214"/>
      <c r="DJ105" s="1620"/>
      <c r="DK105" s="440"/>
      <c r="DL105" s="1619"/>
      <c r="DN105" s="1620"/>
      <c r="DR105" s="1231"/>
      <c r="DS105" s="213"/>
      <c r="DT105" s="213"/>
      <c r="DU105" s="213"/>
      <c r="DV105" s="213"/>
      <c r="DW105" s="213"/>
      <c r="DX105" s="213"/>
      <c r="DY105" s="213"/>
      <c r="DZ105" s="213"/>
      <c r="EA105" s="213"/>
      <c r="EB105" s="213"/>
      <c r="EC105" s="213"/>
      <c r="ED105" s="213"/>
      <c r="EE105" s="213"/>
      <c r="EF105" s="213"/>
      <c r="EG105" s="213"/>
      <c r="EH105" s="213"/>
      <c r="EI105" s="213"/>
      <c r="EJ105" s="213"/>
      <c r="EK105" s="213"/>
      <c r="EL105" s="213"/>
      <c r="EM105" s="213"/>
      <c r="EN105" s="213"/>
      <c r="EO105" s="213"/>
      <c r="EP105" s="213"/>
      <c r="EQ105" s="213"/>
      <c r="ER105" s="213"/>
      <c r="ES105" s="213"/>
      <c r="ET105" s="213"/>
      <c r="EU105" s="213"/>
      <c r="EV105" s="213"/>
      <c r="EW105" s="213"/>
      <c r="EX105" s="213"/>
      <c r="EY105" s="213"/>
      <c r="EZ105" s="213"/>
    </row>
    <row r="106" spans="1:163" ht="12.75" hidden="1" customHeight="1" x14ac:dyDescent="0.2">
      <c r="D106" s="236"/>
      <c r="E106" s="235"/>
      <c r="F106" s="234"/>
      <c r="G106" s="234"/>
      <c r="H106" s="221"/>
      <c r="I106" s="221"/>
      <c r="J106" s="221"/>
      <c r="K106" s="221"/>
      <c r="L106" s="221"/>
      <c r="M106" s="223"/>
      <c r="N106" s="223"/>
      <c r="O106" s="223"/>
      <c r="P106" s="223"/>
      <c r="Q106" s="224"/>
      <c r="R106" s="223"/>
      <c r="S106" s="223"/>
      <c r="T106" s="227"/>
      <c r="U106" s="224"/>
      <c r="V106" s="224"/>
      <c r="W106" s="222"/>
      <c r="X106" s="229"/>
      <c r="Y106" s="221"/>
      <c r="Z106" s="228"/>
      <c r="AA106" s="227"/>
      <c r="AB106" s="219" t="str">
        <f>IF(C99&gt;0,"",IF(($J$81)&gt;1,vel(U99,EC99,AH106),vel(U99,Z99,AH106)))</f>
        <v/>
      </c>
      <c r="AC106" s="220" t="str">
        <f>IF(C99&gt;0,"",pdrop(AE106,Y99,Z99,AB106,AF106))</f>
        <v/>
      </c>
      <c r="AD106" s="219" t="str">
        <f>IF(C99&gt;0,"",(((AB106/60)*Z99)/AA99)*(VLOOKUP(AF106,'Pipe Data'!F$7:G$19,2,FALSE))/12)</f>
        <v/>
      </c>
      <c r="AE106" s="218" t="str">
        <f>IF(C99&gt;0,"",(0.25/(LOG(5.74/(AD106^0.9))+((VLOOKUP(AF106,'Pipe Data'!J$7:X$19,15,FALSE))/3.7))^2))</f>
        <v/>
      </c>
      <c r="AF106" s="216">
        <v>1.375</v>
      </c>
      <c r="AH106" s="217">
        <v>8.7278734446019548E-3</v>
      </c>
      <c r="AI106" s="239"/>
      <c r="AJ106" s="238"/>
      <c r="AK106" s="228"/>
      <c r="AL106" s="223"/>
      <c r="AM106" s="230"/>
      <c r="AN106" s="228"/>
      <c r="AO106" s="232"/>
      <c r="AQ106" s="231"/>
      <c r="AR106" s="230"/>
      <c r="AS106" s="224"/>
      <c r="AT106" s="232"/>
      <c r="AV106" s="231"/>
      <c r="AW106" s="230"/>
      <c r="AX106" s="222"/>
      <c r="AY106" s="224"/>
      <c r="AZ106" s="229"/>
      <c r="BA106" s="221"/>
      <c r="BB106" s="228"/>
      <c r="BC106" s="227"/>
      <c r="BD106" s="219" t="str">
        <f>IF(C99&gt;0,"",IF(($J$81)&gt;1,vel(U99,EC99,BJ106),vel(U99,Z99,BJ106)))</f>
        <v/>
      </c>
      <c r="BE106" s="220" t="str">
        <f>IF(C99&gt;0,"",IF(($J$81)&gt;1,EZ99,pdrop(BG106,BA99,Z99,BD106,BH106)))</f>
        <v/>
      </c>
      <c r="BF106" s="219" t="str">
        <f>IF(C99&gt;0,"",(((BD106/60)*Z99)/$AA$12)*((VLOOKUP(BH106,'Pipe Data'!F$7:G$19,2,FALSE))/12))</f>
        <v/>
      </c>
      <c r="BG106" s="218" t="str">
        <f>IF(C99&gt;0,"",(0.25/(LOG(5.74/(BF106^0.9))+((VLOOKUP(BH106,'Pipe Data'!J$7:X$19,15,FALSE))/3.7))^2))</f>
        <v/>
      </c>
      <c r="BH106" s="216">
        <v>1.375</v>
      </c>
      <c r="BI106" s="25">
        <f t="shared" si="28"/>
        <v>1</v>
      </c>
      <c r="BJ106" s="217">
        <v>8.7278734446019548E-3</v>
      </c>
      <c r="BK106" s="237">
        <v>1.375</v>
      </c>
      <c r="BL106" s="224"/>
      <c r="BM106" s="224"/>
      <c r="BN106" s="224"/>
      <c r="BO106" s="223"/>
      <c r="BP106" s="222"/>
      <c r="BQ106" s="221"/>
      <c r="BR106" s="221"/>
      <c r="BS106" s="219" t="str">
        <f>IF(C99&gt;0,"",IF($C$3&gt;0,vel(U99,S99,BZ106)/60,vel(U99,S99,BZ106)))</f>
        <v/>
      </c>
      <c r="BT106" s="220" t="str">
        <f>IF(C99&gt;0,"",IF($C$3&gt;0,2.31*pdrop(BW106,BR99,S99,60*BS106,BX106),pdrop(BW106,BR99,S99,BS106,BX106)))</f>
        <v/>
      </c>
      <c r="BU106" s="220"/>
      <c r="BV106" s="219" t="str">
        <f>IF(C99&gt;0,"",IF($C$3&gt;0,(((BS106)*S99)/32.2/T99)*((VLOOKUP(BX106,'Pipe Data'!F$7:G$19,2,FALSE))/12),(((BS106/60)*S99)/T99)*((VLOOKUP(BX106,'Pipe Data'!F$7:G$19,2,FALSE))/12)))</f>
        <v/>
      </c>
      <c r="BW106" s="218" t="str">
        <f>IF(C99&gt;0,"",IF($C$3&gt;0,IF(BV106&lt;2100,64/BV106,(0.25/(LOG(5.74/(BV106^0.9))+((VLOOKUP(BX106,'Pipe Data'!J$7:X$19,15,FALSE))/3.7))^2)),(0.25/(LOG(5.74/(BV106^0.9))+((VLOOKUP(BX106,'Pipe Data'!J$7:X$19,15,FALSE))/3.7))^2)))</f>
        <v/>
      </c>
      <c r="BX106" s="216">
        <v>1.375</v>
      </c>
      <c r="BY106" s="25" t="str">
        <f>IF(C99&gt;0,"",IF($C$3&gt;0,IF(BT106/BR99&lt;=$BY$81/100,0,1),IF(AND(BS106&lt;($BS$81),BT106&lt;($BT$81)),0,1)))</f>
        <v/>
      </c>
      <c r="BZ106" s="217">
        <v>8.7278734446019548E-3</v>
      </c>
      <c r="CA106" s="237">
        <v>1.375</v>
      </c>
      <c r="CC106" s="313"/>
      <c r="CD106" s="317"/>
      <c r="CE106" s="215"/>
      <c r="CF106" s="214"/>
      <c r="DJ106" s="1620"/>
      <c r="DK106" s="440"/>
      <c r="DL106" s="1619"/>
      <c r="DN106" s="1620"/>
      <c r="DR106" s="1231"/>
      <c r="DS106" s="213"/>
      <c r="DT106" s="213"/>
      <c r="DU106" s="213"/>
      <c r="DV106" s="213"/>
      <c r="DW106" s="213"/>
      <c r="DX106" s="213"/>
      <c r="DY106" s="213"/>
      <c r="DZ106" s="213"/>
      <c r="EA106" s="213"/>
      <c r="EB106" s="213"/>
      <c r="EC106" s="213"/>
      <c r="ED106" s="213"/>
      <c r="EE106" s="213"/>
      <c r="EF106" s="213"/>
      <c r="EG106" s="213"/>
      <c r="EH106" s="213"/>
      <c r="EI106" s="213"/>
      <c r="EJ106" s="213"/>
      <c r="EK106" s="213"/>
      <c r="EL106" s="213"/>
      <c r="EM106" s="213"/>
      <c r="EN106" s="213"/>
      <c r="EO106" s="213"/>
      <c r="EP106" s="213"/>
      <c r="EQ106" s="213"/>
      <c r="ER106" s="213"/>
      <c r="ES106" s="213"/>
      <c r="ET106" s="213"/>
      <c r="EU106" s="213"/>
      <c r="EV106" s="213"/>
      <c r="EW106" s="213"/>
      <c r="EX106" s="213"/>
      <c r="EY106" s="213"/>
      <c r="EZ106" s="213"/>
    </row>
    <row r="107" spans="1:163" ht="12.75" hidden="1" customHeight="1" x14ac:dyDescent="0.2">
      <c r="D107" s="236"/>
      <c r="E107" s="235"/>
      <c r="F107" s="234"/>
      <c r="G107" s="234"/>
      <c r="H107" s="221"/>
      <c r="I107" s="221"/>
      <c r="J107" s="221"/>
      <c r="K107" s="221"/>
      <c r="L107" s="221"/>
      <c r="M107" s="223"/>
      <c r="N107" s="223"/>
      <c r="O107" s="223"/>
      <c r="P107" s="223"/>
      <c r="Q107" s="224"/>
      <c r="R107" s="223"/>
      <c r="S107" s="223"/>
      <c r="T107" s="227"/>
      <c r="U107" s="224"/>
      <c r="V107" s="224"/>
      <c r="W107" s="222"/>
      <c r="X107" s="229"/>
      <c r="Y107" s="221"/>
      <c r="Z107" s="228"/>
      <c r="AA107" s="227"/>
      <c r="AB107" s="219" t="str">
        <f>IF(C99&gt;0,"",IF(($J$81)&gt;1,vel(U99,EC99,AH107),vel(U99,Z99,AH107)))</f>
        <v/>
      </c>
      <c r="AC107" s="220" t="str">
        <f>IF(C99&gt;0,"",pdrop(AE107,Y99,Z99,AB107,AF107))</f>
        <v/>
      </c>
      <c r="AD107" s="219" t="str">
        <f>IF(C99&gt;0,"",(((AB107/60)*Z99)/AA99)*(VLOOKUP(AF107,'Pipe Data'!F$7:G$19,2,FALSE))/12)</f>
        <v/>
      </c>
      <c r="AE107" s="218" t="str">
        <f>IF(C99&gt;0,"",(0.25/(LOG(5.74/(AD107^0.9))+((VLOOKUP(AF107,'Pipe Data'!J$7:X$19,15,FALSE))/3.7))^2))</f>
        <v/>
      </c>
      <c r="AF107" s="216">
        <v>1.125</v>
      </c>
      <c r="AH107" s="217">
        <v>5.7302704543016935E-3</v>
      </c>
      <c r="AI107" s="239"/>
      <c r="AJ107" s="238"/>
      <c r="AK107" s="228"/>
      <c r="AL107" s="223"/>
      <c r="AM107" s="230"/>
      <c r="AN107" s="228"/>
      <c r="AO107" s="232"/>
      <c r="AQ107" s="231"/>
      <c r="AR107" s="230"/>
      <c r="AS107" s="224"/>
      <c r="AT107" s="232"/>
      <c r="AV107" s="231"/>
      <c r="AW107" s="230"/>
      <c r="AX107" s="222"/>
      <c r="AY107" s="224"/>
      <c r="AZ107" s="229"/>
      <c r="BA107" s="221"/>
      <c r="BB107" s="228"/>
      <c r="BC107" s="227"/>
      <c r="BD107" s="219" t="str">
        <f>IF(C99&gt;0,"",IF(($J$81)&gt;1,vel(U99,EC99,BJ107),vel(U99,Z99,BJ107)))</f>
        <v/>
      </c>
      <c r="BE107" s="220" t="str">
        <f>IF(C99&gt;0,"",IF(($J$81)&gt;1,EZ99,pdrop(BG107,BA99,Z99,BD107,BH107)))</f>
        <v/>
      </c>
      <c r="BF107" s="219" t="str">
        <f>IF(C99&gt;0,"",(((BD107/60)*Z99)/$AA$12)*((VLOOKUP(BH107,'Pipe Data'!F$7:G$19,2,FALSE))/12))</f>
        <v/>
      </c>
      <c r="BG107" s="218" t="str">
        <f>IF(C99&gt;0,"",(0.25/(LOG(5.74/(BF107^0.9))+((VLOOKUP(BH107,'Pipe Data'!J$7:X$19,15,FALSE))/3.7))^2))</f>
        <v/>
      </c>
      <c r="BH107" s="216">
        <v>1.125</v>
      </c>
      <c r="BI107" s="25">
        <f t="shared" si="28"/>
        <v>1</v>
      </c>
      <c r="BJ107" s="217">
        <v>5.7302704543016935E-3</v>
      </c>
      <c r="BK107" s="237">
        <v>1.125</v>
      </c>
      <c r="BL107" s="224"/>
      <c r="BM107" s="224"/>
      <c r="BN107" s="224"/>
      <c r="BO107" s="223"/>
      <c r="BP107" s="222"/>
      <c r="BQ107" s="221"/>
      <c r="BR107" s="221"/>
      <c r="BS107" s="219" t="str">
        <f>IF(C99&gt;0,"",IF($C$3&gt;0,vel(U99,S99,BZ107)/60,vel(U99,S99,BZ107)))</f>
        <v/>
      </c>
      <c r="BT107" s="220" t="str">
        <f>IF(C99&gt;0,"",IF($C$3&gt;0,2.31*pdrop(BW107,BR99,S99,60*BS107,BX107),pdrop(BW107,BR99,S99,BS107,BX107)))</f>
        <v/>
      </c>
      <c r="BU107" s="220"/>
      <c r="BV107" s="219" t="str">
        <f>IF(C99&gt;0,"",IF($C$3&gt;0,(((BS107)*S99)/32.2/T99)*((VLOOKUP(BX107,'Pipe Data'!F$7:G$19,2,FALSE))/12),(((BS107/60)*S99)/T99)*((VLOOKUP(BX107,'Pipe Data'!F$7:G$19,2,FALSE))/12)))</f>
        <v/>
      </c>
      <c r="BW107" s="218" t="str">
        <f>IF(C99&gt;0,"",IF($C$3&gt;0,IF(BV107&lt;2100,64/BV107,(0.25/(LOG(5.74/(BV107^0.9))+((VLOOKUP(BX107,'Pipe Data'!J$7:X$19,15,FALSE))/3.7))^2)),(0.25/(LOG(5.74/(BV107^0.9))+((VLOOKUP(BX107,'Pipe Data'!J$7:X$19,15,FALSE))/3.7))^2)))</f>
        <v/>
      </c>
      <c r="BX107" s="216">
        <v>1.125</v>
      </c>
      <c r="BY107" s="25" t="str">
        <f>IF(C99&gt;0,"",IF($C$3&gt;0,IF(BT107/BR99&lt;=$BY$81/100,0,1),IF(AND(BS107&lt;($BS$81),BT107&lt;($BT$81)),0,1)))</f>
        <v/>
      </c>
      <c r="BZ107" s="217">
        <v>5.7302704543016935E-3</v>
      </c>
      <c r="CA107" s="237">
        <v>1.125</v>
      </c>
      <c r="CC107" s="313"/>
      <c r="CD107" s="317"/>
      <c r="CE107" s="215"/>
      <c r="CF107" s="214"/>
      <c r="DJ107" s="1620"/>
      <c r="DK107" s="440"/>
      <c r="DL107" s="1619"/>
      <c r="DN107" s="1620"/>
      <c r="DR107" s="1231"/>
      <c r="DS107" s="213"/>
      <c r="DT107" s="213"/>
      <c r="DU107" s="213"/>
      <c r="DV107" s="213"/>
      <c r="DW107" s="213"/>
      <c r="DX107" s="213"/>
      <c r="DY107" s="213"/>
      <c r="DZ107" s="213"/>
      <c r="EA107" s="213"/>
      <c r="EB107" s="213"/>
      <c r="EC107" s="213"/>
      <c r="ED107" s="213"/>
      <c r="EE107" s="213"/>
      <c r="EF107" s="213"/>
      <c r="EG107" s="213"/>
      <c r="EH107" s="213"/>
      <c r="EI107" s="213"/>
      <c r="EJ107" s="213"/>
      <c r="EK107" s="213"/>
      <c r="EL107" s="213"/>
      <c r="EM107" s="213"/>
      <c r="EN107" s="213"/>
      <c r="EO107" s="213"/>
      <c r="EP107" s="213"/>
      <c r="EQ107" s="213"/>
      <c r="ER107" s="213"/>
      <c r="ES107" s="213"/>
      <c r="ET107" s="213"/>
      <c r="EU107" s="213"/>
      <c r="EV107" s="213"/>
      <c r="EW107" s="213"/>
      <c r="EX107" s="213"/>
      <c r="EY107" s="213"/>
      <c r="EZ107" s="213"/>
    </row>
    <row r="108" spans="1:163" ht="12.75" hidden="1" customHeight="1" x14ac:dyDescent="0.2">
      <c r="D108" s="236"/>
      <c r="E108" s="235"/>
      <c r="F108" s="234"/>
      <c r="G108" s="234"/>
      <c r="H108" s="221"/>
      <c r="I108" s="221"/>
      <c r="J108" s="221"/>
      <c r="K108" s="221"/>
      <c r="L108" s="221"/>
      <c r="M108" s="223"/>
      <c r="N108" s="223"/>
      <c r="O108" s="223"/>
      <c r="P108" s="223"/>
      <c r="Q108" s="224"/>
      <c r="R108" s="223"/>
      <c r="S108" s="223"/>
      <c r="T108" s="227"/>
      <c r="U108" s="224"/>
      <c r="V108" s="224"/>
      <c r="W108" s="222"/>
      <c r="X108" s="229"/>
      <c r="Y108" s="221"/>
      <c r="Z108" s="228"/>
      <c r="AA108" s="227"/>
      <c r="AB108" s="219" t="str">
        <f>IF(C99&gt;0,"",IF(($J$81)&gt;1,vel(U99,EC99,AH108),vel(U99,Z99,AH108)))</f>
        <v/>
      </c>
      <c r="AC108" s="220" t="str">
        <f>IF(C99&gt;0,"",pdrop(AE108,Y99,Z99,AB108,AF108))</f>
        <v/>
      </c>
      <c r="AD108" s="219" t="str">
        <f>IF(C99&gt;0,"",(((AB108/60)*Z99)/AA99)*(VLOOKUP(AF108,'Pipe Data'!F$7:G$19,2,FALSE))/12)</f>
        <v/>
      </c>
      <c r="AE108" s="218" t="str">
        <f>IF(C99&gt;0,"",(0.25/(LOG(5.74/(AD108^0.9))+((VLOOKUP(AF108,'Pipe Data'!J$7:X$19,15,FALSE))/3.7))^2))</f>
        <v/>
      </c>
      <c r="AF108" s="216">
        <v>0.875</v>
      </c>
      <c r="AH108" s="217">
        <v>3.3609859947193927E-3</v>
      </c>
      <c r="AI108" s="239"/>
      <c r="AJ108" s="238"/>
      <c r="AK108" s="228"/>
      <c r="AL108" s="223"/>
      <c r="AM108" s="230"/>
      <c r="AN108" s="228"/>
      <c r="AO108" s="232"/>
      <c r="AQ108" s="231"/>
      <c r="AR108" s="230"/>
      <c r="AS108" s="224"/>
      <c r="AT108" s="232"/>
      <c r="AV108" s="231"/>
      <c r="AW108" s="230"/>
      <c r="AX108" s="222"/>
      <c r="AY108" s="224"/>
      <c r="AZ108" s="229"/>
      <c r="BA108" s="221"/>
      <c r="BB108" s="228"/>
      <c r="BC108" s="227"/>
      <c r="BD108" s="219" t="str">
        <f>IF(C99&gt;0,"",IF(($J$81)&gt;1,vel(U99,EC99,BJ108),vel(U99,Z99,BJ108)))</f>
        <v/>
      </c>
      <c r="BE108" s="220" t="str">
        <f>IF(C99&gt;0,"",IF(($J$81)&gt;1,EZ99,pdrop(BG108,BA99,Z99,BD108,BH108)))</f>
        <v/>
      </c>
      <c r="BF108" s="219" t="str">
        <f>IF(C99&gt;0,"",(((BD108/60)*Z99)/$AA$12)*((VLOOKUP(BH108,'Pipe Data'!F$7:G$19,2,FALSE))/12))</f>
        <v/>
      </c>
      <c r="BG108" s="218" t="str">
        <f>IF(C99&gt;0,"",(0.25/(LOG(5.74/(BF108^0.9))+((VLOOKUP(BH108,'Pipe Data'!J$7:X$19,15,FALSE))/3.7))^2))</f>
        <v/>
      </c>
      <c r="BH108" s="216">
        <v>0.875</v>
      </c>
      <c r="BI108" s="25">
        <f t="shared" si="28"/>
        <v>1</v>
      </c>
      <c r="BJ108" s="217">
        <v>3.3609859947193927E-3</v>
      </c>
      <c r="BK108" s="237">
        <v>0.875</v>
      </c>
      <c r="BL108" s="224"/>
      <c r="BM108" s="224"/>
      <c r="BN108" s="224"/>
      <c r="BO108" s="223"/>
      <c r="BP108" s="222"/>
      <c r="BQ108" s="221"/>
      <c r="BR108" s="221"/>
      <c r="BS108" s="219" t="str">
        <f>IF(C99&gt;0,"",IF($C$3&gt;0,vel(U99,S99,BZ108)/60,vel(U99,S99,BZ108)))</f>
        <v/>
      </c>
      <c r="BT108" s="220" t="str">
        <f>IF(C99&gt;0,"",IF($C$3&gt;0,2.31*pdrop(BW108,BR99,S99,60*BS108,BX108),pdrop(BW108,BR99,S99,BS108,BX108)))</f>
        <v/>
      </c>
      <c r="BU108" s="220"/>
      <c r="BV108" s="219" t="str">
        <f>IF(C99&gt;0,"",IF($C$3&gt;0,(((BS108)*S99)/32.2/T99)*((VLOOKUP(BX108,'Pipe Data'!F$7:G$19,2,FALSE))/12),(((BS108/60)*S99)/T99)*((VLOOKUP(BX108,'Pipe Data'!F$7:G$19,2,FALSE))/12)))</f>
        <v/>
      </c>
      <c r="BW108" s="218" t="str">
        <f>IF(C99&gt;0,"",IF($C$3&gt;0,IF(BV108&lt;2100,64/BV108,(0.25/(LOG(5.74/(BV108^0.9))+((VLOOKUP(BX108,'Pipe Data'!J$7:X$19,15,FALSE))/3.7))^2)),(0.25/(LOG(5.74/(BV108^0.9))+((VLOOKUP(BX108,'Pipe Data'!J$7:X$19,15,FALSE))/3.7))^2)))</f>
        <v/>
      </c>
      <c r="BX108" s="216">
        <v>0.875</v>
      </c>
      <c r="BY108" s="25" t="str">
        <f>IF(C99&gt;0,"",IF($C$3&gt;0,IF(BT108/BR99&lt;=$BY$81/100,0,1),IF(AND(BS108&lt;($BS$81),BT108&lt;($BT$81)),0,1)))</f>
        <v/>
      </c>
      <c r="BZ108" s="217">
        <v>3.3609859947193927E-3</v>
      </c>
      <c r="CA108" s="237">
        <v>0.875</v>
      </c>
      <c r="CC108" s="313"/>
      <c r="CD108" s="317"/>
      <c r="CE108" s="215"/>
      <c r="CF108" s="214"/>
      <c r="DJ108" s="1620"/>
      <c r="DK108" s="440"/>
      <c r="DL108" s="1619"/>
      <c r="DN108" s="1620"/>
      <c r="DR108" s="1231"/>
      <c r="DS108" s="213"/>
      <c r="DT108" s="213"/>
      <c r="DU108" s="213"/>
      <c r="DV108" s="213"/>
      <c r="DW108" s="213"/>
      <c r="DX108" s="213"/>
      <c r="DY108" s="213"/>
      <c r="DZ108" s="213"/>
      <c r="EA108" s="213"/>
      <c r="EB108" s="213"/>
      <c r="EC108" s="213"/>
      <c r="ED108" s="213"/>
      <c r="EE108" s="213"/>
      <c r="EF108" s="213"/>
      <c r="EG108" s="213"/>
      <c r="EH108" s="213"/>
      <c r="EI108" s="213"/>
      <c r="EJ108" s="213"/>
      <c r="EK108" s="213"/>
      <c r="EL108" s="213"/>
      <c r="EM108" s="213"/>
      <c r="EN108" s="213"/>
      <c r="EO108" s="213"/>
      <c r="EP108" s="213"/>
      <c r="EQ108" s="213"/>
      <c r="ER108" s="213"/>
      <c r="ES108" s="213"/>
      <c r="ET108" s="213"/>
      <c r="EU108" s="213"/>
      <c r="EV108" s="213"/>
      <c r="EW108" s="213"/>
      <c r="EX108" s="213"/>
      <c r="EY108" s="213"/>
      <c r="EZ108" s="213"/>
    </row>
    <row r="109" spans="1:163" ht="12.75" hidden="1" customHeight="1" x14ac:dyDescent="0.2">
      <c r="D109" s="236"/>
      <c r="E109" s="235"/>
      <c r="F109" s="234"/>
      <c r="G109" s="234"/>
      <c r="H109" s="221"/>
      <c r="I109" s="221"/>
      <c r="J109" s="221"/>
      <c r="K109" s="221"/>
      <c r="L109" s="221"/>
      <c r="M109" s="223"/>
      <c r="N109" s="223"/>
      <c r="O109" s="223"/>
      <c r="P109" s="223"/>
      <c r="Q109" s="224"/>
      <c r="R109" s="223"/>
      <c r="S109" s="223"/>
      <c r="T109" s="227"/>
      <c r="U109" s="224"/>
      <c r="V109" s="224"/>
      <c r="W109" s="222"/>
      <c r="X109" s="229"/>
      <c r="Y109" s="221"/>
      <c r="Z109" s="228"/>
      <c r="AA109" s="227"/>
      <c r="AB109" s="219" t="str">
        <f>IF(C99&gt;0,"",IF(($J$81)&gt;1,vel(U99,EC99,AH109),vel(U99,Z99,AH109)))</f>
        <v/>
      </c>
      <c r="AC109" s="220" t="str">
        <f>IF(C99&gt;0,"",pdrop(AE109,Y99,Z99,AB109,AF109))</f>
        <v/>
      </c>
      <c r="AD109" s="219" t="str">
        <f>IF(C99&gt;0,"",(((AB109/60)*Z99)/AA99)*(VLOOKUP(AF109,'Pipe Data'!F$7:G$19,2,FALSE))/12)</f>
        <v/>
      </c>
      <c r="AE109" s="218" t="str">
        <f>IF(C99&gt;0,"",(0.25/(LOG(5.74/(AD109^0.9))+((VLOOKUP(AF109,'Pipe Data'!J$7:X$19,15,FALSE))/3.7))^2))</f>
        <v/>
      </c>
      <c r="AF109" s="216">
        <v>0.625</v>
      </c>
      <c r="AH109" s="217">
        <v>1.6200200658550491E-3</v>
      </c>
      <c r="AI109" s="239"/>
      <c r="AJ109" s="238"/>
      <c r="AK109" s="228"/>
      <c r="AL109" s="223"/>
      <c r="AM109" s="230"/>
      <c r="AN109" s="228"/>
      <c r="AO109" s="232"/>
      <c r="AQ109" s="231"/>
      <c r="AR109" s="230"/>
      <c r="AS109" s="224"/>
      <c r="AT109" s="232"/>
      <c r="AV109" s="231"/>
      <c r="AW109" s="230"/>
      <c r="AX109" s="222"/>
      <c r="AY109" s="224"/>
      <c r="AZ109" s="229"/>
      <c r="BA109" s="221"/>
      <c r="BB109" s="228"/>
      <c r="BC109" s="227"/>
      <c r="BD109" s="219" t="str">
        <f>IF(C99&gt;0,"",IF(($J$81)&gt;1,vel(U99,EC99,BJ109),vel(U99,Z99,BJ109)))</f>
        <v/>
      </c>
      <c r="BE109" s="220" t="str">
        <f>IF(C99&gt;0,"",IF(($J$81)&gt;1,EZ99,pdrop(BG109,BA99,Z99,BD109,BH109)))</f>
        <v/>
      </c>
      <c r="BF109" s="219" t="str">
        <f>IF(C99&gt;0,"",(((BD109/60)*Z99)/$AA$12)*((VLOOKUP(BH109,'Pipe Data'!F$7:G$19,2,FALSE))/12))</f>
        <v/>
      </c>
      <c r="BG109" s="218" t="str">
        <f>IF(C99&gt;0,"",(0.25/(LOG(5.74/(BF109^0.9))+((VLOOKUP(BH109,'Pipe Data'!J$7:X$19,15,FALSE))/3.7))^2))</f>
        <v/>
      </c>
      <c r="BH109" s="216">
        <v>0.625</v>
      </c>
      <c r="BI109" s="25">
        <f t="shared" si="28"/>
        <v>1</v>
      </c>
      <c r="BJ109" s="217">
        <v>1.6200200658550491E-3</v>
      </c>
      <c r="BK109" s="237">
        <v>0.625</v>
      </c>
      <c r="BL109" s="224"/>
      <c r="BM109" s="224"/>
      <c r="BN109" s="224"/>
      <c r="BO109" s="223"/>
      <c r="BP109" s="222"/>
      <c r="BQ109" s="221"/>
      <c r="BR109" s="221"/>
      <c r="BS109" s="219" t="str">
        <f>IF(C99&gt;0,"",IF($C$3&gt;0,vel(U99,S99,BZ109)/60,vel(U99,S99,BZ109)))</f>
        <v/>
      </c>
      <c r="BT109" s="220" t="str">
        <f>IF(C99&gt;0,"",IF($C$3&gt;0,2.31*pdrop(BW109,BR99,S99,60*BS109,BX109),pdrop(BW109,BR99,S99,BS109,BX109)))</f>
        <v/>
      </c>
      <c r="BU109" s="220"/>
      <c r="BV109" s="219" t="str">
        <f>IF(C99&gt;0,"",IF($C$3&gt;0,(((BS109)*S99)/32.2/T99)*((VLOOKUP(BX109,'Pipe Data'!F$7:G$19,2,FALSE))/12),(((BS109/60)*S99)/T99)*((VLOOKUP(BX109,'Pipe Data'!F$7:G$19,2,FALSE))/12)))</f>
        <v/>
      </c>
      <c r="BW109" s="218" t="str">
        <f>IF(C99&gt;0,"",IF($C$3&gt;0,IF(BV109&lt;2100,64/BV109,(0.25/(LOG(5.74/(BV109^0.9))+((VLOOKUP(BX109,'Pipe Data'!J$7:X$19,15,FALSE))/3.7))^2)),(0.25/(LOG(5.74/(BV109^0.9))+((VLOOKUP(BX109,'Pipe Data'!J$7:X$19,15,FALSE))/3.7))^2)))</f>
        <v/>
      </c>
      <c r="BX109" s="216">
        <v>0.625</v>
      </c>
      <c r="BY109" s="25" t="str">
        <f>IF(C99&gt;0,"",IF($C$3&gt;0,IF(BT109/BR99&lt;=$BY$81/100,0,1),IF(AND(BS109&lt;($BS$81),BT109&lt;($BT$81)),0,1)))</f>
        <v/>
      </c>
      <c r="BZ109" s="217">
        <v>1.6200200658550491E-3</v>
      </c>
      <c r="CA109" s="237">
        <v>0.625</v>
      </c>
      <c r="CC109" s="313"/>
      <c r="CD109" s="317"/>
      <c r="CE109" s="215"/>
      <c r="CF109" s="214"/>
      <c r="DJ109" s="1620"/>
      <c r="DK109" s="440"/>
      <c r="DL109" s="1619"/>
      <c r="DN109" s="1620"/>
      <c r="DR109" s="1231"/>
      <c r="DS109" s="213"/>
      <c r="DT109" s="213"/>
      <c r="DU109" s="213"/>
      <c r="DV109" s="213"/>
      <c r="DW109" s="213"/>
      <c r="DX109" s="213"/>
      <c r="DY109" s="213"/>
      <c r="DZ109" s="213"/>
      <c r="EA109" s="213"/>
      <c r="EB109" s="213"/>
      <c r="EC109" s="213"/>
      <c r="ED109" s="213"/>
      <c r="EE109" s="213"/>
      <c r="EF109" s="213"/>
      <c r="EG109" s="213"/>
      <c r="EH109" s="213"/>
      <c r="EI109" s="213"/>
      <c r="EJ109" s="213"/>
      <c r="EK109" s="213"/>
      <c r="EL109" s="213"/>
      <c r="EM109" s="213"/>
      <c r="EN109" s="213"/>
      <c r="EO109" s="213"/>
      <c r="EP109" s="213"/>
      <c r="EQ109" s="213"/>
      <c r="ER109" s="213"/>
      <c r="ES109" s="213"/>
      <c r="ET109" s="213"/>
      <c r="EU109" s="213"/>
      <c r="EV109" s="213"/>
      <c r="EW109" s="213"/>
      <c r="EX109" s="213"/>
      <c r="EY109" s="213"/>
      <c r="EZ109" s="213"/>
    </row>
    <row r="110" spans="1:163" ht="12.75" hidden="1" customHeight="1" x14ac:dyDescent="0.2">
      <c r="D110" s="236"/>
      <c r="E110" s="235"/>
      <c r="F110" s="234"/>
      <c r="G110" s="234"/>
      <c r="H110" s="221"/>
      <c r="I110" s="221"/>
      <c r="J110" s="221"/>
      <c r="K110" s="221"/>
      <c r="L110" s="221"/>
      <c r="M110" s="223"/>
      <c r="N110" s="223"/>
      <c r="O110" s="223"/>
      <c r="P110" s="223"/>
      <c r="Q110" s="224"/>
      <c r="R110" s="223"/>
      <c r="S110" s="223"/>
      <c r="T110" s="227"/>
      <c r="U110" s="224"/>
      <c r="V110" s="224"/>
      <c r="W110" s="222"/>
      <c r="X110" s="229"/>
      <c r="Y110" s="221"/>
      <c r="Z110" s="228"/>
      <c r="AA110" s="227"/>
      <c r="AB110" s="219" t="str">
        <f>IF(C99&gt;0,"",IF(($J$81)&gt;1,vel(U99,EC99,AH110),vel(U99,Z99,AH110)))</f>
        <v/>
      </c>
      <c r="AC110" s="220" t="str">
        <f>IF(C99&gt;0,"",pdrop(AE110,Y99,Z99,AB110,AF110))</f>
        <v/>
      </c>
      <c r="AD110" s="219" t="str">
        <f>IF(C99&gt;0,"",(((AB110/60)*Z99)/AA99)*(VLOOKUP(AF110,'Pipe Data'!F$7:G$19,2,FALSE))/12)</f>
        <v/>
      </c>
      <c r="AE110" s="218" t="str">
        <f>IF(C99&gt;0,"",(0.25/(LOG(5.74/(AD110^0.9))+((VLOOKUP(AF110,'Pipe Data'!J$7:X$19,15,FALSE))/3.7))^2))</f>
        <v/>
      </c>
      <c r="AF110" s="216">
        <v>0.5</v>
      </c>
      <c r="AH110" s="217">
        <v>1.0084730584179735E-3</v>
      </c>
      <c r="AI110" s="239"/>
      <c r="AJ110" s="238"/>
      <c r="AK110" s="228"/>
      <c r="AL110" s="223"/>
      <c r="AM110" s="230"/>
      <c r="AN110" s="228"/>
      <c r="AO110" s="232"/>
      <c r="AQ110" s="231"/>
      <c r="AR110" s="230"/>
      <c r="AS110" s="224"/>
      <c r="AT110" s="232"/>
      <c r="AV110" s="231"/>
      <c r="AW110" s="230"/>
      <c r="AX110" s="222"/>
      <c r="AY110" s="224"/>
      <c r="AZ110" s="229"/>
      <c r="BA110" s="221"/>
      <c r="BB110" s="228"/>
      <c r="BC110" s="227"/>
      <c r="BD110" s="219" t="str">
        <f>IF(C99&gt;0,"",IF(($J$81)&gt;1,vel(U99,EC99,BJ110),vel(U99,Z99,BJ110)))</f>
        <v/>
      </c>
      <c r="BE110" s="220" t="str">
        <f>IF(C99&gt;0,"",IF(($J$81)&gt;1,EZ99,pdrop(BG110,BA99,Z99,BD110,BH110)))</f>
        <v/>
      </c>
      <c r="BF110" s="219" t="str">
        <f>IF(C99&gt;0,"",(((BD110/60)*Z99)/$AA$12)*((VLOOKUP(BH110,'Pipe Data'!F$7:G$19,2,FALSE))/12))</f>
        <v/>
      </c>
      <c r="BG110" s="218" t="str">
        <f>IF(C99&gt;0,"",(0.25/(LOG(5.74/(BF110^0.9))+((VLOOKUP(BH110,'Pipe Data'!J$7:X$19,15,FALSE))/3.7))^2))</f>
        <v/>
      </c>
      <c r="BH110" s="216">
        <v>0.5</v>
      </c>
      <c r="BI110" s="25">
        <v>1</v>
      </c>
      <c r="BJ110" s="217">
        <v>1.0084730584179735E-3</v>
      </c>
      <c r="BK110" s="237">
        <v>0.5</v>
      </c>
      <c r="BL110" s="224"/>
      <c r="BM110" s="224"/>
      <c r="BN110" s="224"/>
      <c r="BO110" s="223"/>
      <c r="BP110" s="222"/>
      <c r="BQ110" s="221"/>
      <c r="BR110" s="221"/>
      <c r="BS110" s="219" t="str">
        <f>IF(C99&gt;0,"",IF($C$3&gt;0,vel(U99,S99,BZ110)/60,vel(U99,S99,BZ110)))</f>
        <v/>
      </c>
      <c r="BT110" s="220" t="str">
        <f>IF(C99&gt;0,"",IF($C$3&gt;0,2.31*pdrop(BW110,BR99,S99,60*BS110,BX110),pdrop(BW110,BR99,S99,BS110,BX110)))</f>
        <v/>
      </c>
      <c r="BU110" s="220"/>
      <c r="BV110" s="219" t="str">
        <f>IF(C99&gt;0,"",IF($C$3&gt;0,(((BS110)*S99)/32.2/T99)*((VLOOKUP(BX110,'Pipe Data'!F$7:G$19,2,FALSE))/12),(((BS110/60)*S99)/T99)*((VLOOKUP(BX110,'Pipe Data'!F$7:G$19,2,FALSE))/12)))</f>
        <v/>
      </c>
      <c r="BW110" s="218" t="str">
        <f>IF(C99&gt;0,"",IF($C$3&gt;0,IF(BV110&lt;2100,64/BV110,(0.25/(LOG(5.74/(BV110^0.9))+((VLOOKUP(BX110,'Pipe Data'!J$7:X$19,15,FALSE))/3.7))^2)),(0.25/(LOG(5.74/(BV110^0.9))+((VLOOKUP(BX110,'Pipe Data'!J$7:X$19,15,FALSE))/3.7))^2)))</f>
        <v/>
      </c>
      <c r="BX110" s="216">
        <v>0.5</v>
      </c>
      <c r="BY110" s="25" t="str">
        <f>IF(C99&gt;0,"",IF($C$3&gt;0,IF(BT110/BR99&lt;=$BY$81/100,0,1),IF(AND(BS110&lt;($BS$81),BT110&lt;($BT$81)),0,1)))</f>
        <v/>
      </c>
      <c r="BZ110" s="217">
        <v>1.0084730584179735E-3</v>
      </c>
      <c r="CA110" s="237">
        <v>0.5</v>
      </c>
      <c r="CC110" s="313"/>
      <c r="CD110" s="317"/>
      <c r="CE110" s="215"/>
      <c r="CF110" s="214"/>
      <c r="DJ110" s="1620"/>
      <c r="DK110" s="440"/>
      <c r="DL110" s="1619"/>
      <c r="DN110" s="1620"/>
      <c r="DR110" s="1231"/>
      <c r="DS110" s="213"/>
      <c r="DT110" s="213"/>
      <c r="DU110" s="213"/>
      <c r="DV110" s="213"/>
      <c r="DW110" s="213"/>
      <c r="DX110" s="213"/>
      <c r="DY110" s="213"/>
      <c r="DZ110" s="213"/>
      <c r="EA110" s="213"/>
      <c r="EB110" s="213"/>
      <c r="EC110" s="213"/>
      <c r="ED110" s="213"/>
      <c r="EE110" s="213"/>
      <c r="EF110" s="213"/>
      <c r="EG110" s="213"/>
      <c r="EH110" s="213"/>
      <c r="EI110" s="213"/>
      <c r="EJ110" s="213"/>
      <c r="EK110" s="213"/>
      <c r="EL110" s="213"/>
      <c r="EM110" s="213"/>
      <c r="EN110" s="213"/>
      <c r="EO110" s="213"/>
      <c r="EP110" s="213"/>
      <c r="EQ110" s="213"/>
      <c r="ER110" s="213"/>
      <c r="ES110" s="213"/>
      <c r="ET110" s="213"/>
      <c r="EU110" s="213"/>
      <c r="EV110" s="213"/>
      <c r="EW110" s="213"/>
      <c r="EX110" s="213"/>
      <c r="EY110" s="213"/>
      <c r="EZ110" s="213"/>
    </row>
    <row r="111" spans="1:163" ht="12.75" hidden="1" customHeight="1" x14ac:dyDescent="0.2">
      <c r="D111" s="236"/>
      <c r="E111" s="235"/>
      <c r="F111" s="234"/>
      <c r="G111" s="234"/>
      <c r="H111" s="221"/>
      <c r="I111" s="221"/>
      <c r="J111" s="221"/>
      <c r="K111" s="221"/>
      <c r="L111" s="221"/>
      <c r="M111" s="223"/>
      <c r="N111" s="223"/>
      <c r="O111" s="223"/>
      <c r="P111" s="223"/>
      <c r="Q111" s="224"/>
      <c r="R111" s="223"/>
      <c r="S111" s="223"/>
      <c r="T111" s="227"/>
      <c r="U111" s="224"/>
      <c r="V111" s="224"/>
      <c r="W111" s="222"/>
      <c r="X111" s="229"/>
      <c r="Y111" s="221"/>
      <c r="Z111" s="228"/>
      <c r="AA111" s="227"/>
      <c r="AB111" s="219" t="str">
        <f>IF(C99&gt;0,"",IF(($J$81)&gt;1,vel(U99,EC99,AH111),vel(U99,Z99,AH111)))</f>
        <v/>
      </c>
      <c r="AC111" s="220" t="str">
        <f>IF(C99&gt;0,"",pdrop(AE111,Y99,Z99,AB111,AF111))</f>
        <v/>
      </c>
      <c r="AD111" s="219" t="str">
        <f>IF(C99&gt;0,"",(((AB111/60)*Z99)/AA99)*(VLOOKUP(AF111,'Pipe Data'!F$7:G$19,2,FALSE))/12)</f>
        <v/>
      </c>
      <c r="AE111" s="218" t="str">
        <f>IF(C99&gt;0,"",(0.25/(LOG(5.74/(AD111^0.9))+((VLOOKUP(AF111,'Pipe Data'!J$7:X$19,15,FALSE))/3.7))^2))</f>
        <v/>
      </c>
      <c r="AF111" s="216">
        <v>0.375</v>
      </c>
      <c r="AH111" s="217">
        <v>5.4118842196605418E-4</v>
      </c>
      <c r="AI111" s="229"/>
      <c r="AJ111" s="221"/>
      <c r="AK111" s="221"/>
      <c r="AL111" s="223"/>
      <c r="AM111" s="230"/>
      <c r="AN111" s="228"/>
      <c r="AO111" s="232"/>
      <c r="AQ111" s="231"/>
      <c r="AR111" s="230"/>
      <c r="AS111" s="224"/>
      <c r="AT111" s="232"/>
      <c r="AV111" s="231"/>
      <c r="AW111" s="230"/>
      <c r="AX111" s="222"/>
      <c r="AY111" s="224"/>
      <c r="AZ111" s="229"/>
      <c r="BA111" s="221"/>
      <c r="BB111" s="228"/>
      <c r="BC111" s="227"/>
      <c r="BD111" s="221"/>
      <c r="BE111" s="221"/>
      <c r="BF111" s="221"/>
      <c r="BG111" s="221"/>
      <c r="BH111" s="221"/>
      <c r="BI111" s="221"/>
      <c r="BJ111" s="226"/>
      <c r="BK111" s="225"/>
      <c r="BL111" s="224"/>
      <c r="BM111" s="224"/>
      <c r="BN111" s="224"/>
      <c r="BO111" s="223"/>
      <c r="BP111" s="222"/>
      <c r="BQ111" s="221"/>
      <c r="BR111" s="221"/>
      <c r="BS111" s="219" t="str">
        <f>IF(C99&gt;0,"",IF($C$3&gt;0,vel(U99,S99,BZ111)/60,vel(U99,S99,BZ111)))</f>
        <v/>
      </c>
      <c r="BT111" s="220" t="str">
        <f>IF(C99&gt;0,"",IF($C$3&gt;0,2.31*pdrop(BW111,BR99,S99,60*BS111,BX111),pdrop(BW111,BR99,S99,BS111,BX111)))</f>
        <v/>
      </c>
      <c r="BU111" s="220"/>
      <c r="BV111" s="219" t="str">
        <f>IF(C99&gt;0,"",IF($C$3&gt;0,(((BS111)*S99)/32.2/T99)*((VLOOKUP(BX111,'Pipe Data'!F$7:G$19,2,FALSE))/12),(((BS111/60)*S99)/T99)*((VLOOKUP(BX111,'Pipe Data'!F$7:G$19,2,FALSE))/12)))</f>
        <v/>
      </c>
      <c r="BW111" s="218" t="str">
        <f>IF(C99&gt;0,"",IF($C$3&gt;0,IF(BV111&lt;2100,64/BV111,(0.25/(LOG(5.74/(BV111^0.9))+((VLOOKUP(BX111,'Pipe Data'!J$7:X$19,15,FALSE))/3.7))^2)),(0.25/(LOG(5.74/(BV111^0.9))+((VLOOKUP(BX111,'Pipe Data'!J$7:X$19,15,FALSE))/3.7))^2)))</f>
        <v/>
      </c>
      <c r="BX111" s="216">
        <v>0.375</v>
      </c>
      <c r="BY111" s="25" t="str">
        <f>IF(C99&gt;0,"",IF($C$3&gt;0,IF(BT111/BR99&lt;=$BY$81/100,0,1),IF(AND(BS111&lt;($BS$81),BT111&lt;($BT$81)),0,1)))</f>
        <v/>
      </c>
      <c r="BZ111" s="217">
        <v>5.4118842196605418E-4</v>
      </c>
      <c r="CA111" s="237">
        <v>0.375</v>
      </c>
      <c r="CC111" s="313"/>
      <c r="CD111" s="317"/>
      <c r="CE111" s="215"/>
      <c r="CF111" s="214"/>
      <c r="DJ111" s="1620"/>
      <c r="DK111" s="440"/>
      <c r="DL111" s="1619"/>
      <c r="DN111" s="1620"/>
      <c r="DR111" s="1231"/>
      <c r="DS111" s="213"/>
      <c r="DT111" s="213"/>
      <c r="DU111" s="213"/>
      <c r="DV111" s="213"/>
      <c r="DW111" s="213"/>
      <c r="DX111" s="213"/>
      <c r="DY111" s="213"/>
      <c r="DZ111" s="213"/>
      <c r="EA111" s="213"/>
      <c r="EB111" s="213"/>
      <c r="EC111" s="213"/>
      <c r="ED111" s="213"/>
      <c r="EE111" s="213"/>
      <c r="EF111" s="213"/>
      <c r="EG111" s="213"/>
      <c r="EH111" s="213"/>
      <c r="EI111" s="213"/>
      <c r="EJ111" s="213"/>
      <c r="EK111" s="213"/>
      <c r="EL111" s="213"/>
      <c r="EM111" s="213"/>
      <c r="EN111" s="213"/>
      <c r="EO111" s="213"/>
      <c r="EP111" s="213"/>
      <c r="EQ111" s="213"/>
      <c r="ER111" s="213"/>
      <c r="ES111" s="213"/>
      <c r="ET111" s="213"/>
      <c r="EU111" s="213"/>
      <c r="EV111" s="213"/>
      <c r="EW111" s="213"/>
      <c r="EX111" s="213"/>
      <c r="EY111" s="213"/>
      <c r="EZ111" s="213"/>
    </row>
    <row r="112" spans="1:163" ht="13.5" hidden="1" thickBot="1" x14ac:dyDescent="0.25">
      <c r="A112" s="25">
        <v>1</v>
      </c>
      <c r="D112" s="821"/>
      <c r="E112" s="822"/>
      <c r="F112" s="823"/>
      <c r="G112" s="823"/>
      <c r="H112" s="824"/>
      <c r="I112" s="825"/>
      <c r="J112" s="825"/>
      <c r="K112" s="825"/>
      <c r="L112" s="826"/>
      <c r="M112" s="824"/>
      <c r="N112" s="824"/>
      <c r="O112" s="824"/>
      <c r="P112" s="824"/>
      <c r="Q112" s="825"/>
      <c r="R112" s="824"/>
      <c r="S112" s="824"/>
      <c r="T112" s="827"/>
      <c r="U112" s="825"/>
      <c r="V112" s="825"/>
      <c r="W112" s="828"/>
      <c r="X112" s="829"/>
      <c r="Y112" s="826"/>
      <c r="Z112" s="830"/>
      <c r="AA112" s="827"/>
      <c r="AB112" s="831"/>
      <c r="AC112" s="824"/>
      <c r="AD112" s="831"/>
      <c r="AE112" s="830"/>
      <c r="AF112" s="832"/>
      <c r="AG112" s="832"/>
      <c r="AH112" s="833"/>
      <c r="AI112" s="834"/>
      <c r="AJ112" s="835"/>
      <c r="AK112" s="830"/>
      <c r="AL112" s="824"/>
      <c r="AM112" s="831"/>
      <c r="AN112" s="830"/>
      <c r="AO112" s="832"/>
      <c r="AP112" s="832"/>
      <c r="AQ112" s="836"/>
      <c r="AR112" s="831"/>
      <c r="AS112" s="825"/>
      <c r="AT112" s="832"/>
      <c r="AU112" s="832"/>
      <c r="AV112" s="836"/>
      <c r="AW112" s="831"/>
      <c r="AX112" s="828"/>
      <c r="AY112" s="825"/>
      <c r="AZ112" s="829"/>
      <c r="BA112" s="826"/>
      <c r="BB112" s="830"/>
      <c r="BC112" s="827"/>
      <c r="BD112" s="831"/>
      <c r="BE112" s="824"/>
      <c r="BF112" s="831"/>
      <c r="BG112" s="830"/>
      <c r="BH112" s="832"/>
      <c r="BI112" s="832"/>
      <c r="BJ112" s="833"/>
      <c r="BK112" s="837"/>
      <c r="BL112" s="825"/>
      <c r="BM112" s="825"/>
      <c r="BN112" s="825"/>
      <c r="BO112" s="824"/>
      <c r="BP112" s="828"/>
      <c r="BQ112" s="826"/>
      <c r="BR112" s="826"/>
      <c r="BS112" s="831"/>
      <c r="BT112" s="824"/>
      <c r="BU112" s="824"/>
      <c r="BV112" s="831"/>
      <c r="BW112" s="830"/>
      <c r="BX112" s="832"/>
      <c r="BY112" s="832"/>
      <c r="BZ112" s="833"/>
      <c r="CA112" s="838"/>
      <c r="CB112" s="839"/>
      <c r="CC112" s="840"/>
      <c r="CD112" s="841"/>
      <c r="CE112" s="842"/>
      <c r="CF112" s="843"/>
      <c r="DJ112" s="1620"/>
      <c r="DK112" s="440"/>
      <c r="DL112" s="1619"/>
      <c r="DN112" s="1620"/>
    </row>
    <row r="113" spans="1:131" hidden="1" x14ac:dyDescent="0.2">
      <c r="A113" s="25">
        <v>1</v>
      </c>
      <c r="DJ113" s="1620"/>
      <c r="DK113" s="440"/>
      <c r="DL113" s="1619"/>
      <c r="DN113" s="1620"/>
    </row>
    <row r="114" spans="1:131" hidden="1" x14ac:dyDescent="0.2">
      <c r="A114" s="25">
        <v>1</v>
      </c>
      <c r="CD114" s="213">
        <f>IF($C$3&gt;0,2*SUMIF(CD12:CD113,"&lt;&gt;#Value!"),SUMIF(CD12:CD113,"&lt;&gt;#Value!"))</f>
        <v>0</v>
      </c>
      <c r="DJ114" s="1620"/>
      <c r="DK114" s="440"/>
      <c r="DL114" s="1619"/>
      <c r="DN114" s="1620"/>
    </row>
    <row r="115" spans="1:131" x14ac:dyDescent="0.2">
      <c r="A115" s="25">
        <v>1</v>
      </c>
      <c r="DJ115" s="1620"/>
      <c r="DK115" s="440"/>
      <c r="DL115" s="1619"/>
      <c r="DN115" s="1620"/>
    </row>
    <row r="116" spans="1:131" x14ac:dyDescent="0.2">
      <c r="A116" s="25">
        <v>1</v>
      </c>
      <c r="C116" s="240">
        <v>-2</v>
      </c>
      <c r="CC116" s="284" t="s">
        <v>180</v>
      </c>
      <c r="CD116" s="310"/>
      <c r="CQ116" s="304" t="s">
        <v>156</v>
      </c>
      <c r="CR116" s="213">
        <f t="shared" ref="CR116:DC116" si="33">SUMIF(CR12:CR115,"&gt;0")</f>
        <v>0</v>
      </c>
      <c r="CS116" s="213">
        <f t="shared" si="33"/>
        <v>0</v>
      </c>
      <c r="CT116" s="213">
        <f t="shared" si="33"/>
        <v>0</v>
      </c>
      <c r="CU116" s="213">
        <f t="shared" si="33"/>
        <v>0</v>
      </c>
      <c r="CV116" s="213">
        <f t="shared" si="33"/>
        <v>0</v>
      </c>
      <c r="CW116" s="213">
        <f t="shared" si="33"/>
        <v>0</v>
      </c>
      <c r="CX116" s="213">
        <f t="shared" si="33"/>
        <v>0</v>
      </c>
      <c r="CY116" s="213">
        <f t="shared" si="33"/>
        <v>0</v>
      </c>
      <c r="CZ116" s="213">
        <f t="shared" si="33"/>
        <v>0</v>
      </c>
      <c r="DA116" s="213">
        <f t="shared" si="33"/>
        <v>0</v>
      </c>
      <c r="DB116" s="213">
        <f t="shared" si="33"/>
        <v>0</v>
      </c>
      <c r="DC116" s="213">
        <f t="shared" si="33"/>
        <v>0</v>
      </c>
      <c r="DJ116" s="1620"/>
      <c r="DK116" s="440"/>
      <c r="DL116" s="1619"/>
      <c r="DN116" s="1620"/>
    </row>
    <row r="117" spans="1:131" ht="7.5" hidden="1" customHeight="1" thickBot="1" x14ac:dyDescent="0.25">
      <c r="A117" s="25">
        <v>2</v>
      </c>
      <c r="BX117" s="25"/>
      <c r="BY117" s="213"/>
      <c r="DJ117" s="1620"/>
      <c r="DK117" s="440"/>
      <c r="DL117" s="1619"/>
      <c r="DN117" s="1620"/>
    </row>
    <row r="118" spans="1:131" ht="54.75" hidden="1" customHeight="1" x14ac:dyDescent="0.25">
      <c r="A118" s="25">
        <v>1</v>
      </c>
      <c r="B118" s="327" t="str">
        <f>"Refrigerant: " &amp; CHAR(10) &amp; 'Legend(DX)'!$U$1</f>
        <v xml:space="preserve">Refrigerant: 
</v>
      </c>
      <c r="D118" s="791" t="s">
        <v>546</v>
      </c>
      <c r="E118" s="791" t="s">
        <v>545</v>
      </c>
      <c r="F118" s="791" t="s">
        <v>544</v>
      </c>
      <c r="G118" s="791" t="s">
        <v>543</v>
      </c>
      <c r="H118" s="791" t="s">
        <v>542</v>
      </c>
      <c r="I118" s="791" t="s">
        <v>798</v>
      </c>
      <c r="J118" s="286"/>
      <c r="K118" s="286"/>
      <c r="L118" s="286"/>
      <c r="V118" s="284"/>
      <c r="W118" s="284"/>
      <c r="Y118" s="791" t="s">
        <v>535</v>
      </c>
      <c r="Z118" s="793"/>
      <c r="AA118" s="793"/>
      <c r="AB118" s="791" t="s">
        <v>541</v>
      </c>
      <c r="AC118" s="791" t="s">
        <v>540</v>
      </c>
      <c r="AR118" s="791" t="s">
        <v>539</v>
      </c>
      <c r="AS118" s="791" t="s">
        <v>538</v>
      </c>
      <c r="AT118" s="286"/>
      <c r="AU118" s="286"/>
      <c r="AV118" s="286"/>
      <c r="BA118" s="791" t="s">
        <v>535</v>
      </c>
      <c r="BB118" s="793"/>
      <c r="BC118" s="793"/>
      <c r="BD118" s="791" t="s">
        <v>537</v>
      </c>
      <c r="BE118" s="791" t="s">
        <v>536</v>
      </c>
      <c r="BF118" s="286"/>
      <c r="BN118" s="285"/>
      <c r="BP118" s="285"/>
      <c r="BR118" s="791" t="s">
        <v>535</v>
      </c>
      <c r="BS118" s="791" t="s">
        <v>534</v>
      </c>
      <c r="BT118" s="791" t="s">
        <v>533</v>
      </c>
      <c r="BX118" s="25"/>
      <c r="DJ118" s="1620"/>
      <c r="DK118" s="440"/>
      <c r="DL118" s="1619"/>
      <c r="DN118" s="1620"/>
      <c r="DR118" s="286" t="s">
        <v>799</v>
      </c>
      <c r="DS118" s="213"/>
      <c r="DT118" s="286" t="s">
        <v>800</v>
      </c>
      <c r="DU118" s="286"/>
      <c r="DV118" s="286" t="s">
        <v>801</v>
      </c>
      <c r="DW118" s="286" t="s">
        <v>802</v>
      </c>
      <c r="DX118" s="286" t="s">
        <v>803</v>
      </c>
      <c r="DY118" s="213"/>
      <c r="DZ118" s="213"/>
      <c r="EA118" s="213"/>
    </row>
    <row r="119" spans="1:131" ht="16.5" hidden="1" customHeight="1" thickBot="1" x14ac:dyDescent="0.25">
      <c r="A119" s="25">
        <v>1</v>
      </c>
      <c r="B119" s="328" t="str">
        <f>IF(($C$6)&gt;0,"Legend Error",VLOOKUP('Legend(DX)'!$U$1,Refrigerant,2,FALSE))</f>
        <v>Legend Error</v>
      </c>
      <c r="D119" s="792" t="s">
        <v>459</v>
      </c>
      <c r="E119" s="792" t="s">
        <v>460</v>
      </c>
      <c r="F119" s="792" t="s">
        <v>459</v>
      </c>
      <c r="G119" s="792" t="s">
        <v>459</v>
      </c>
      <c r="H119" s="792" t="s">
        <v>459</v>
      </c>
      <c r="I119" s="792" t="s">
        <v>460</v>
      </c>
      <c r="J119" s="277"/>
      <c r="K119" s="277"/>
      <c r="L119" s="277"/>
      <c r="V119" s="284"/>
      <c r="W119" s="284"/>
      <c r="Y119" s="794"/>
      <c r="Z119" s="793"/>
      <c r="AA119" s="793"/>
      <c r="AB119" s="794" t="s">
        <v>457</v>
      </c>
      <c r="AC119" s="794" t="s">
        <v>457</v>
      </c>
      <c r="AR119" s="794" t="s">
        <v>457</v>
      </c>
      <c r="AS119" s="794" t="s">
        <v>457</v>
      </c>
      <c r="AT119" s="283"/>
      <c r="AU119" s="283"/>
      <c r="AV119" s="283"/>
      <c r="BA119" s="794"/>
      <c r="BB119" s="793"/>
      <c r="BC119" s="793"/>
      <c r="BD119" s="794" t="s">
        <v>457</v>
      </c>
      <c r="BE119" s="794" t="s">
        <v>457</v>
      </c>
      <c r="BF119" s="283"/>
      <c r="BN119" s="282"/>
      <c r="BP119" s="282"/>
      <c r="BR119" s="794"/>
      <c r="BS119" s="794" t="s">
        <v>457</v>
      </c>
      <c r="BT119" s="794" t="s">
        <v>532</v>
      </c>
      <c r="BX119" s="25"/>
      <c r="DJ119" s="1620"/>
      <c r="DK119" s="440"/>
      <c r="DL119" s="1619"/>
      <c r="DN119" s="1620"/>
      <c r="DR119" s="213"/>
      <c r="DS119" s="213"/>
      <c r="DT119" s="277"/>
      <c r="DU119" s="277"/>
      <c r="DV119" s="277"/>
      <c r="DW119" s="277"/>
      <c r="DX119" s="213"/>
      <c r="DY119" s="213"/>
      <c r="DZ119" s="213"/>
      <c r="EA119" s="213"/>
    </row>
    <row r="120" spans="1:131" ht="20.25" hidden="1" customHeight="1" thickBot="1" x14ac:dyDescent="0.25">
      <c r="A120" s="25">
        <v>1</v>
      </c>
      <c r="D120" s="281" t="str">
        <f>IF(($C$6)&gt;0,"",LegendSG1RSST)</f>
        <v/>
      </c>
      <c r="E120" s="280" t="str">
        <f>IF(($C$6)&gt;0,"",Pressure((B119),"TVAP","E",D120+0.5*DX120))</f>
        <v/>
      </c>
      <c r="F120" s="279"/>
      <c r="G120" s="278" t="str">
        <f>IF(($C$6)&gt;0,"",IF(LegendSG1LT="",H120,LegendSG1LT))</f>
        <v/>
      </c>
      <c r="H120" s="278" t="str">
        <f>IF(($C$6)&gt;0,"",IF(LegendSG1CT="","",LegendSG1CT))</f>
        <v/>
      </c>
      <c r="I120" s="278" t="str">
        <f>IF(($C$6)&gt;0,"",(Pressure($B$3,"tliq","e",$H$4)+Pressure($B$3,"tvap","e",$H$4))/2)</f>
        <v/>
      </c>
      <c r="J120" s="277"/>
      <c r="K120" s="277"/>
      <c r="L120" s="277"/>
      <c r="Y120" s="273">
        <v>1.3</v>
      </c>
      <c r="AB120" s="272">
        <v>1200</v>
      </c>
      <c r="AC120" s="272">
        <v>2000</v>
      </c>
      <c r="AR120" s="272">
        <v>1200</v>
      </c>
      <c r="AS120" s="272">
        <v>2000</v>
      </c>
      <c r="AT120" s="276"/>
      <c r="AU120" s="276"/>
      <c r="AV120" s="276"/>
      <c r="BA120" s="273">
        <v>1.3</v>
      </c>
      <c r="BD120" s="272">
        <v>500</v>
      </c>
      <c r="BE120" s="272">
        <v>1500</v>
      </c>
      <c r="BF120" s="275"/>
      <c r="BN120" s="274"/>
      <c r="BP120" s="274"/>
      <c r="BR120" s="273">
        <v>1.3</v>
      </c>
      <c r="BS120" s="272">
        <v>120</v>
      </c>
      <c r="BT120" s="271" t="str">
        <f>IF(($C$6)&gt;0,"",(Pressure(($B$3),"TLIQ","E",($H$4)))-(Pressure(($B$3),"TLIQ","E",(($H$4)-1))))</f>
        <v/>
      </c>
      <c r="BX120" s="25"/>
      <c r="CH120" s="270" t="s">
        <v>531</v>
      </c>
      <c r="CI120" s="270" t="s">
        <v>530</v>
      </c>
      <c r="CJ120" s="270" t="s">
        <v>525</v>
      </c>
      <c r="CK120" s="270" t="s">
        <v>529</v>
      </c>
      <c r="CL120" s="270" t="s">
        <v>528</v>
      </c>
      <c r="CM120" s="270" t="s">
        <v>527</v>
      </c>
      <c r="CN120" s="270" t="s">
        <v>527</v>
      </c>
      <c r="DJ120" s="1620"/>
      <c r="DK120" s="440"/>
      <c r="DL120" s="1619"/>
      <c r="DN120" s="1620"/>
      <c r="DR120" s="1231" t="str">
        <f>IF(($C$6)&gt;0,"",TEMPERATURE($B$3,"pvap","e",$I$4)-TEMPERATURE($B$3,"pliq","e",$I$4))</f>
        <v/>
      </c>
      <c r="DS120" s="213"/>
      <c r="DT120" s="1255" t="str">
        <f>IF(($C$6)&gt;0,"",(Pressure($B$3,"Tliq","e",$D$4)+Pressure($B$3,"Tvap","e",$D$4))/2)</f>
        <v/>
      </c>
      <c r="DU120" s="1255"/>
      <c r="DV120" s="1265" t="str">
        <f>IF(($C$6)&gt;0,"",1-(Enthalpy($B$3,"pvap","e",$DT$4)-(IF($G$4+0.5*$DR$4&gt;$H$4,Enthalpy($B$3,"Tliq","e",$G$4),Enthalpy($B$3,"tp","e",$G$4,$I$4))))/(Enthalpy($B$3,"pvap","e",$DT$4)-Enthalpy($B$3,"pliq","e",$DT$4)))</f>
        <v/>
      </c>
      <c r="DW120" s="1265" t="str">
        <f>IF(($C$6)&gt;0,"",TEMPERATURE($B$3,"pvap","e",$DT$4)-TEMPERATURE($B$3,"pliq","e",$DT$4))</f>
        <v/>
      </c>
      <c r="DX120" s="1266" t="e">
        <f>(1-$DV$4)*$DW$4</f>
        <v>#VALUE!</v>
      </c>
      <c r="DY120" s="213"/>
      <c r="DZ120" s="213"/>
      <c r="EA120" s="213"/>
    </row>
    <row r="121" spans="1:131" ht="13.5" hidden="1" customHeight="1" thickBot="1" x14ac:dyDescent="0.25">
      <c r="A121" s="25">
        <v>1</v>
      </c>
      <c r="B121" s="213"/>
      <c r="D121" s="213"/>
      <c r="E121" s="213"/>
      <c r="F121" s="213"/>
      <c r="G121" s="213"/>
      <c r="H121" s="213"/>
      <c r="BX121" s="25"/>
      <c r="BY121" s="213"/>
      <c r="CH121" s="270" t="s">
        <v>526</v>
      </c>
      <c r="CI121" s="270" t="s">
        <v>526</v>
      </c>
      <c r="CM121" s="270" t="s">
        <v>526</v>
      </c>
      <c r="CN121" s="270" t="s">
        <v>525</v>
      </c>
      <c r="CO121" s="270" t="s">
        <v>524</v>
      </c>
      <c r="CP121" s="270"/>
      <c r="DJ121" s="1620"/>
      <c r="DK121" s="440"/>
      <c r="DL121" s="1619"/>
      <c r="DN121" s="1620"/>
      <c r="DR121" s="213"/>
      <c r="DS121" s="213"/>
      <c r="DT121" s="213"/>
      <c r="DU121" s="213"/>
      <c r="DV121" s="320" t="s">
        <v>804</v>
      </c>
      <c r="DW121" s="213"/>
      <c r="DX121" s="213"/>
      <c r="DY121" s="213"/>
      <c r="DZ121" s="213"/>
      <c r="EA121" s="213"/>
    </row>
    <row r="122" spans="1:131" ht="27" hidden="1" customHeight="1" thickBot="1" x14ac:dyDescent="0.25">
      <c r="A122" s="25">
        <v>1</v>
      </c>
      <c r="B122" s="213"/>
      <c r="D122" s="269" t="str">
        <f>"Suction Group " &amp;H122</f>
        <v>Suction Group 1</v>
      </c>
      <c r="E122" s="269"/>
      <c r="F122" s="269"/>
      <c r="G122" s="269"/>
      <c r="H122" s="268">
        <v>1</v>
      </c>
      <c r="I122" s="268"/>
      <c r="J122" s="268"/>
      <c r="K122" s="268"/>
      <c r="X122" s="1858" t="s">
        <v>523</v>
      </c>
      <c r="Y122" s="1859"/>
      <c r="Z122" s="1859"/>
      <c r="AA122" s="1859"/>
      <c r="AB122" s="1859"/>
      <c r="AC122" s="1859"/>
      <c r="AD122" s="1859"/>
      <c r="AE122" s="1859"/>
      <c r="AF122" s="1859"/>
      <c r="AG122" s="1859"/>
      <c r="AH122" s="1859"/>
      <c r="AI122" s="1858" t="s">
        <v>522</v>
      </c>
      <c r="AJ122" s="1859"/>
      <c r="AK122" s="1859"/>
      <c r="AL122" s="1859"/>
      <c r="AM122" s="1859"/>
      <c r="AN122" s="1859"/>
      <c r="AO122" s="1859"/>
      <c r="AP122" s="1859"/>
      <c r="AQ122" s="1859"/>
      <c r="AR122" s="1859"/>
      <c r="AS122" s="1859"/>
      <c r="AT122" s="1859"/>
      <c r="AU122" s="1859"/>
      <c r="AV122" s="1859"/>
      <c r="AW122" s="1859"/>
      <c r="AX122" s="1860"/>
      <c r="AY122" s="1416"/>
      <c r="AZ122" s="1858" t="s">
        <v>521</v>
      </c>
      <c r="BA122" s="1859"/>
      <c r="BB122" s="1859"/>
      <c r="BC122" s="1859"/>
      <c r="BD122" s="1859"/>
      <c r="BE122" s="1859"/>
      <c r="BF122" s="1859"/>
      <c r="BG122" s="1859"/>
      <c r="BH122" s="1859"/>
      <c r="BI122" s="1859"/>
      <c r="BJ122" s="1860"/>
      <c r="BK122" s="1855" t="s">
        <v>520</v>
      </c>
      <c r="BL122" s="1857"/>
      <c r="BM122" s="1857"/>
      <c r="BN122" s="1857"/>
      <c r="BO122" s="1857"/>
      <c r="BP122" s="1856"/>
      <c r="BQ122" s="1857" t="s">
        <v>519</v>
      </c>
      <c r="BR122" s="1857"/>
      <c r="BS122" s="1857"/>
      <c r="BT122" s="1857"/>
      <c r="BU122" s="1857"/>
      <c r="BV122" s="1857"/>
      <c r="BW122" s="1857"/>
      <c r="BX122" s="1857"/>
      <c r="BY122" s="1857"/>
      <c r="BZ122" s="1856"/>
      <c r="CA122" s="795"/>
      <c r="CB122" s="796"/>
      <c r="CC122" s="797"/>
      <c r="CD122" s="798"/>
      <c r="CE122" s="1855" t="s">
        <v>518</v>
      </c>
      <c r="CF122" s="1856"/>
      <c r="DJ122" s="1620"/>
      <c r="DK122" s="440"/>
      <c r="DL122" s="1619"/>
      <c r="DN122" s="1620"/>
    </row>
    <row r="123" spans="1:131" s="213" customFormat="1" ht="63.75" hidden="1" customHeight="1" x14ac:dyDescent="0.2">
      <c r="A123" s="213">
        <v>1</v>
      </c>
      <c r="B123" s="267"/>
      <c r="D123" s="799" t="s">
        <v>411</v>
      </c>
      <c r="E123" s="800" t="s">
        <v>517</v>
      </c>
      <c r="F123" s="800" t="s">
        <v>516</v>
      </c>
      <c r="G123" s="800" t="s">
        <v>515</v>
      </c>
      <c r="H123" s="800" t="s">
        <v>514</v>
      </c>
      <c r="I123" s="800" t="s">
        <v>513</v>
      </c>
      <c r="J123" s="800" t="s">
        <v>512</v>
      </c>
      <c r="K123" s="800" t="s">
        <v>511</v>
      </c>
      <c r="L123" s="800" t="s">
        <v>510</v>
      </c>
      <c r="M123" s="800" t="s">
        <v>509</v>
      </c>
      <c r="N123" s="800" t="s">
        <v>811</v>
      </c>
      <c r="O123" s="800" t="s">
        <v>803</v>
      </c>
      <c r="P123" s="801" t="s">
        <v>812</v>
      </c>
      <c r="Q123" s="800" t="s">
        <v>549</v>
      </c>
      <c r="R123" s="800" t="s">
        <v>508</v>
      </c>
      <c r="S123" s="800" t="s">
        <v>507</v>
      </c>
      <c r="T123" s="800" t="s">
        <v>506</v>
      </c>
      <c r="U123" s="800" t="s">
        <v>356</v>
      </c>
      <c r="V123" s="800" t="s">
        <v>505</v>
      </c>
      <c r="W123" s="802" t="s">
        <v>504</v>
      </c>
      <c r="X123" s="803" t="s">
        <v>475</v>
      </c>
      <c r="Y123" s="804" t="s">
        <v>474</v>
      </c>
      <c r="Z123" s="805" t="s">
        <v>485</v>
      </c>
      <c r="AA123" s="805" t="s">
        <v>484</v>
      </c>
      <c r="AB123" s="805" t="s">
        <v>473</v>
      </c>
      <c r="AC123" s="805" t="s">
        <v>149</v>
      </c>
      <c r="AD123" s="805" t="s">
        <v>472</v>
      </c>
      <c r="AE123" s="805" t="s">
        <v>471</v>
      </c>
      <c r="AF123" s="805" t="s">
        <v>470</v>
      </c>
      <c r="AG123" s="805" t="s">
        <v>503</v>
      </c>
      <c r="AH123" s="805" t="s">
        <v>502</v>
      </c>
      <c r="AI123" s="803" t="s">
        <v>501</v>
      </c>
      <c r="AJ123" s="804" t="s">
        <v>500</v>
      </c>
      <c r="AK123" s="805" t="s">
        <v>499</v>
      </c>
      <c r="AL123" s="805" t="s">
        <v>498</v>
      </c>
      <c r="AM123" s="805" t="s">
        <v>497</v>
      </c>
      <c r="AN123" s="805" t="s">
        <v>496</v>
      </c>
      <c r="AO123" s="805" t="s">
        <v>495</v>
      </c>
      <c r="AP123" s="805" t="s">
        <v>494</v>
      </c>
      <c r="AQ123" s="805" t="s">
        <v>493</v>
      </c>
      <c r="AR123" s="805" t="s">
        <v>492</v>
      </c>
      <c r="AS123" s="805" t="s">
        <v>491</v>
      </c>
      <c r="AT123" s="805" t="s">
        <v>490</v>
      </c>
      <c r="AU123" s="805" t="s">
        <v>489</v>
      </c>
      <c r="AV123" s="805" t="s">
        <v>488</v>
      </c>
      <c r="AW123" s="805" t="s">
        <v>487</v>
      </c>
      <c r="AX123" s="806" t="s">
        <v>486</v>
      </c>
      <c r="AY123" s="805"/>
      <c r="AZ123" s="803" t="s">
        <v>475</v>
      </c>
      <c r="BA123" s="804" t="s">
        <v>474</v>
      </c>
      <c r="BB123" s="805" t="s">
        <v>485</v>
      </c>
      <c r="BC123" s="805" t="s">
        <v>484</v>
      </c>
      <c r="BD123" s="805" t="s">
        <v>473</v>
      </c>
      <c r="BE123" s="805" t="s">
        <v>149</v>
      </c>
      <c r="BF123" s="805" t="s">
        <v>472</v>
      </c>
      <c r="BG123" s="805" t="s">
        <v>471</v>
      </c>
      <c r="BH123" s="805" t="s">
        <v>470</v>
      </c>
      <c r="BI123" s="805" t="s">
        <v>483</v>
      </c>
      <c r="BJ123" s="806" t="s">
        <v>482</v>
      </c>
      <c r="BK123" s="807" t="s">
        <v>481</v>
      </c>
      <c r="BL123" s="804" t="s">
        <v>480</v>
      </c>
      <c r="BM123" s="804" t="s">
        <v>479</v>
      </c>
      <c r="BN123" s="805" t="s">
        <v>478</v>
      </c>
      <c r="BO123" s="805" t="s">
        <v>477</v>
      </c>
      <c r="BP123" s="806" t="s">
        <v>476</v>
      </c>
      <c r="BQ123" s="804" t="s">
        <v>475</v>
      </c>
      <c r="BR123" s="804" t="s">
        <v>474</v>
      </c>
      <c r="BS123" s="805" t="s">
        <v>473</v>
      </c>
      <c r="BT123" s="805" t="s">
        <v>149</v>
      </c>
      <c r="BU123" s="805" t="s">
        <v>479</v>
      </c>
      <c r="BV123" s="805" t="s">
        <v>472</v>
      </c>
      <c r="BW123" s="805" t="s">
        <v>471</v>
      </c>
      <c r="BX123" s="805" t="s">
        <v>470</v>
      </c>
      <c r="BY123" s="805" t="s">
        <v>469</v>
      </c>
      <c r="BZ123" s="806" t="s">
        <v>468</v>
      </c>
      <c r="CA123" s="808"/>
      <c r="CB123" s="809"/>
      <c r="CC123" s="810"/>
      <c r="CD123" s="811" t="s">
        <v>178</v>
      </c>
      <c r="CE123" s="1853" t="s">
        <v>467</v>
      </c>
      <c r="CF123" s="806" t="s">
        <v>466</v>
      </c>
      <c r="DH123" s="310"/>
      <c r="DI123" s="310"/>
      <c r="DJ123" s="1620"/>
      <c r="DK123" s="440"/>
      <c r="DL123" s="1619"/>
      <c r="DM123" s="310"/>
      <c r="DN123" s="1620"/>
      <c r="DO123" s="310"/>
      <c r="DP123" s="320"/>
    </row>
    <row r="124" spans="1:131" s="264" customFormat="1" ht="20.25" hidden="1" customHeight="1" thickBot="1" x14ac:dyDescent="0.25">
      <c r="A124" s="265">
        <v>1</v>
      </c>
      <c r="B124" s="266">
        <f>LegendSG1EVLT</f>
        <v>0</v>
      </c>
      <c r="C124" s="296" t="s">
        <v>151</v>
      </c>
      <c r="D124" s="428"/>
      <c r="E124" s="812"/>
      <c r="F124" s="812"/>
      <c r="G124" s="812"/>
      <c r="H124" s="813" t="s">
        <v>465</v>
      </c>
      <c r="I124" s="813" t="s">
        <v>459</v>
      </c>
      <c r="J124" s="813" t="s">
        <v>459</v>
      </c>
      <c r="K124" s="813" t="s">
        <v>459</v>
      </c>
      <c r="L124" s="813" t="s">
        <v>459</v>
      </c>
      <c r="M124" s="813" t="s">
        <v>460</v>
      </c>
      <c r="N124" s="813" t="s">
        <v>460</v>
      </c>
      <c r="O124" s="813" t="s">
        <v>459</v>
      </c>
      <c r="P124" s="814"/>
      <c r="Q124" s="813" t="s">
        <v>464</v>
      </c>
      <c r="R124" s="813" t="s">
        <v>464</v>
      </c>
      <c r="S124" s="813" t="s">
        <v>462</v>
      </c>
      <c r="T124" s="813" t="s">
        <v>461</v>
      </c>
      <c r="U124" s="813" t="s">
        <v>463</v>
      </c>
      <c r="V124" s="813"/>
      <c r="W124" s="815"/>
      <c r="X124" s="816" t="s">
        <v>458</v>
      </c>
      <c r="Y124" s="813" t="s">
        <v>458</v>
      </c>
      <c r="Z124" s="813" t="s">
        <v>462</v>
      </c>
      <c r="AA124" s="813" t="s">
        <v>461</v>
      </c>
      <c r="AB124" s="813" t="s">
        <v>457</v>
      </c>
      <c r="AC124" s="813" t="s">
        <v>456</v>
      </c>
      <c r="AD124" s="813"/>
      <c r="AE124" s="813"/>
      <c r="AF124" s="813" t="s">
        <v>455</v>
      </c>
      <c r="AG124" s="813" t="s">
        <v>455</v>
      </c>
      <c r="AH124" s="813" t="s">
        <v>454</v>
      </c>
      <c r="AI124" s="816"/>
      <c r="AJ124" s="813" t="s">
        <v>454</v>
      </c>
      <c r="AK124" s="813"/>
      <c r="AL124" s="813" t="s">
        <v>456</v>
      </c>
      <c r="AM124" s="813"/>
      <c r="AN124" s="813"/>
      <c r="AO124" s="813" t="s">
        <v>455</v>
      </c>
      <c r="AP124" s="813" t="s">
        <v>455</v>
      </c>
      <c r="AQ124" s="813" t="s">
        <v>454</v>
      </c>
      <c r="AR124" s="813" t="s">
        <v>457</v>
      </c>
      <c r="AS124" s="813" t="s">
        <v>463</v>
      </c>
      <c r="AT124" s="813" t="s">
        <v>455</v>
      </c>
      <c r="AU124" s="813" t="s">
        <v>455</v>
      </c>
      <c r="AV124" s="813" t="s">
        <v>454</v>
      </c>
      <c r="AW124" s="813" t="s">
        <v>457</v>
      </c>
      <c r="AX124" s="815" t="s">
        <v>463</v>
      </c>
      <c r="AY124" s="813"/>
      <c r="AZ124" s="816" t="s">
        <v>458</v>
      </c>
      <c r="BA124" s="813" t="s">
        <v>458</v>
      </c>
      <c r="BB124" s="813" t="s">
        <v>462</v>
      </c>
      <c r="BC124" s="813" t="s">
        <v>461</v>
      </c>
      <c r="BD124" s="813" t="s">
        <v>457</v>
      </c>
      <c r="BE124" s="813" t="s">
        <v>456</v>
      </c>
      <c r="BF124" s="813"/>
      <c r="BG124" s="813"/>
      <c r="BH124" s="813" t="s">
        <v>455</v>
      </c>
      <c r="BI124" s="813" t="s">
        <v>455</v>
      </c>
      <c r="BJ124" s="817" t="s">
        <v>454</v>
      </c>
      <c r="BK124" s="816" t="s">
        <v>456</v>
      </c>
      <c r="BL124" s="813" t="s">
        <v>456</v>
      </c>
      <c r="BM124" s="813" t="s">
        <v>456</v>
      </c>
      <c r="BN124" s="813" t="s">
        <v>459</v>
      </c>
      <c r="BO124" s="813" t="s">
        <v>460</v>
      </c>
      <c r="BP124" s="815" t="s">
        <v>459</v>
      </c>
      <c r="BQ124" s="813" t="s">
        <v>458</v>
      </c>
      <c r="BR124" s="813" t="s">
        <v>458</v>
      </c>
      <c r="BS124" s="813" t="s">
        <v>457</v>
      </c>
      <c r="BT124" s="813" t="s">
        <v>456</v>
      </c>
      <c r="BU124" s="813" t="s">
        <v>456</v>
      </c>
      <c r="BV124" s="813"/>
      <c r="BW124" s="813"/>
      <c r="BX124" s="813" t="s">
        <v>455</v>
      </c>
      <c r="BY124" s="813" t="s">
        <v>455</v>
      </c>
      <c r="BZ124" s="815" t="s">
        <v>454</v>
      </c>
      <c r="CA124" s="818"/>
      <c r="CB124" s="819"/>
      <c r="CC124" s="820"/>
      <c r="CD124" s="792" t="s">
        <v>179</v>
      </c>
      <c r="CE124" s="1854"/>
      <c r="CF124" s="815"/>
      <c r="DH124" s="311"/>
      <c r="DI124" s="311"/>
      <c r="DJ124" s="1621"/>
      <c r="DK124" s="441"/>
      <c r="DL124" s="1622"/>
      <c r="DM124" s="311"/>
      <c r="DN124" s="1621"/>
      <c r="DO124" s="311"/>
      <c r="DP124" s="321"/>
    </row>
    <row r="125" spans="1:131" ht="13.5" hidden="1" customHeight="1" thickTop="1" x14ac:dyDescent="0.2">
      <c r="A125" s="262" t="s">
        <v>374</v>
      </c>
      <c r="B125" s="262">
        <f>H122</f>
        <v>1</v>
      </c>
      <c r="C125" s="262">
        <f>$C$6</f>
        <v>1</v>
      </c>
      <c r="D125" s="297" t="s">
        <v>176</v>
      </c>
      <c r="E125" s="259" t="str">
        <f>"SG " &amp; H122</f>
        <v>SG 1</v>
      </c>
      <c r="F125" s="295"/>
      <c r="G125" s="263" t="s">
        <v>548</v>
      </c>
      <c r="H125" s="220"/>
      <c r="I125" s="258"/>
      <c r="J125" s="248" t="str">
        <f>IF(C125&gt;0,"",($D$4))</f>
        <v/>
      </c>
      <c r="K125" s="248" t="str">
        <f>IF(C125&gt;0,"",L125)</f>
        <v/>
      </c>
      <c r="L125" s="257" t="str">
        <f>IF(C125&gt;0,"",LegendSG1RGT)</f>
        <v/>
      </c>
      <c r="M125" s="220" t="str">
        <f>IF(C125&gt;0,"",Pressure(($B$3),"TVAP","E",J125))</f>
        <v/>
      </c>
      <c r="N125" s="220"/>
      <c r="O125" s="220"/>
      <c r="P125" s="220"/>
      <c r="Q125" s="248"/>
      <c r="R125" s="220"/>
      <c r="S125" s="220"/>
      <c r="T125" s="250"/>
      <c r="U125" s="248"/>
      <c r="V125" s="257"/>
      <c r="W125" s="247"/>
      <c r="X125" s="312"/>
      <c r="Y125" s="246"/>
      <c r="Z125" s="218"/>
      <c r="AA125" s="250"/>
      <c r="AB125" s="219"/>
      <c r="AC125" s="220"/>
      <c r="AD125" s="219"/>
      <c r="AE125" s="218"/>
      <c r="AF125" s="245"/>
      <c r="AG125" s="245"/>
      <c r="AH125" s="298"/>
      <c r="AI125" s="253"/>
      <c r="AJ125" s="252"/>
      <c r="AK125" s="218"/>
      <c r="AL125" s="220"/>
      <c r="AM125" s="219"/>
      <c r="AN125" s="218"/>
      <c r="AO125" s="245"/>
      <c r="AP125" s="245"/>
      <c r="AQ125" s="251"/>
      <c r="AR125" s="219"/>
      <c r="AS125" s="248"/>
      <c r="AT125" s="245"/>
      <c r="AU125" s="245"/>
      <c r="AV125" s="251"/>
      <c r="AW125" s="219"/>
      <c r="AX125" s="247"/>
      <c r="AY125" s="248"/>
      <c r="AZ125" s="438"/>
      <c r="BA125" s="246"/>
      <c r="BB125" s="218"/>
      <c r="BC125" s="250"/>
      <c r="BD125" s="219"/>
      <c r="BE125" s="220"/>
      <c r="BF125" s="219"/>
      <c r="BG125" s="218"/>
      <c r="BH125" s="245"/>
      <c r="BI125" s="245"/>
      <c r="BJ125" s="243"/>
      <c r="BK125" s="312"/>
      <c r="BL125" s="248"/>
      <c r="BM125" s="248"/>
      <c r="BN125" s="248"/>
      <c r="BO125" s="220"/>
      <c r="BP125" s="247"/>
      <c r="BQ125" s="287"/>
      <c r="BR125" s="246"/>
      <c r="BS125" s="219"/>
      <c r="BT125" s="220"/>
      <c r="BU125" s="220"/>
      <c r="BV125" s="219"/>
      <c r="BW125" s="218"/>
      <c r="BX125" s="245"/>
      <c r="BY125" s="245"/>
      <c r="BZ125" s="243"/>
      <c r="CA125" s="314"/>
      <c r="CC125" s="313">
        <v>0</v>
      </c>
      <c r="CD125" s="318"/>
      <c r="CE125" s="242"/>
      <c r="CF125" s="241"/>
      <c r="CH125" s="213">
        <f>IF(OR(AB125&lt;($AB$4),AB125&gt;($AC$4)),1,0)</f>
        <v>0</v>
      </c>
      <c r="CI125" s="213">
        <f>IF(OR(BD125&lt;($BD$4),BD125&gt;($BE$4)),1,0)</f>
        <v>0</v>
      </c>
      <c r="CJ125" s="213">
        <f>IF(BN125&lt;($F$4),1,0)</f>
        <v>0</v>
      </c>
      <c r="CK125" s="213">
        <f>IF(BO125&lt;($E$4),1,0)</f>
        <v>0</v>
      </c>
      <c r="CL125" s="213">
        <f>IF(BP125&lt;($D$4),1,0)</f>
        <v>0</v>
      </c>
      <c r="CM125" s="213">
        <f>IF(BS125&gt;($BS$4),1,0)</f>
        <v>0</v>
      </c>
      <c r="CN125" s="213">
        <f>IF(BU125&gt;($BT$4),1,0)</f>
        <v>0</v>
      </c>
      <c r="CO125" s="213">
        <f>SUM(CH125:CN125)</f>
        <v>0</v>
      </c>
      <c r="CQ125" s="304" t="s">
        <v>171</v>
      </c>
      <c r="CR125" s="213">
        <f t="shared" ref="CR125:DC125" si="34">IF($W125="Single",IF($AG125="",IF($AF125=CR$8,$X125,0),IF($AG125=CR$8,$X125,0)),0)</f>
        <v>0</v>
      </c>
      <c r="CS125" s="213">
        <f t="shared" si="34"/>
        <v>0</v>
      </c>
      <c r="CT125" s="213">
        <f t="shared" si="34"/>
        <v>0</v>
      </c>
      <c r="CU125" s="213">
        <f t="shared" si="34"/>
        <v>0</v>
      </c>
      <c r="CV125" s="213">
        <f t="shared" si="34"/>
        <v>0</v>
      </c>
      <c r="CW125" s="213">
        <f t="shared" si="34"/>
        <v>0</v>
      </c>
      <c r="CX125" s="213">
        <f t="shared" si="34"/>
        <v>0</v>
      </c>
      <c r="CY125" s="213">
        <f t="shared" si="34"/>
        <v>0</v>
      </c>
      <c r="CZ125" s="213">
        <f t="shared" si="34"/>
        <v>0</v>
      </c>
      <c r="DA125" s="213">
        <f t="shared" si="34"/>
        <v>0</v>
      </c>
      <c r="DB125" s="213">
        <f t="shared" si="34"/>
        <v>0</v>
      </c>
      <c r="DC125" s="213">
        <f t="shared" si="34"/>
        <v>0</v>
      </c>
      <c r="DE125" s="304" t="str">
        <f>IF(AG125="",IF(X125=0,TEXT(AF125,"# 0/0")&amp;"*",TEXT(AF125,"# 0/0")),IF(X125=0,TEXT(AG125,"# 0/0")&amp;"*",TEXT(AG125,"# 0/0")))</f>
        <v>0/1*</v>
      </c>
      <c r="DF125" s="25" t="str">
        <f>IF(AP125="",IF(X125=0,TEXT(AO125,"# 0/0")&amp;"*",TEXT(AO125,"# 0/0")),IF(X125=0,TEXT(AP125,"# 0/0")&amp;"*",TEXT(AP125,"# 0/0")))</f>
        <v>0/1*</v>
      </c>
      <c r="DG125" s="25" t="str">
        <f>IF(AU125="",IF(X125=0,TEXT(AT125,"# 0/0")&amp;"*",TEXT(AT125,"# 0/0")),IF(X125=0,TEXT(AU125,"# 0/0")&amp;"*",TEXT(AU125,"# 0/0")))</f>
        <v>0/1*</v>
      </c>
      <c r="DH125" s="329" t="s">
        <v>1622</v>
      </c>
      <c r="DI125" s="310">
        <f>IF($BI125="",$BH125,$BI125)</f>
        <v>0</v>
      </c>
      <c r="DJ125" s="1620"/>
      <c r="DK125" s="440" t="str">
        <f>IF(W125="Double",DF125 &amp; " &amp; " &amp; DG125,DE125)</f>
        <v>0/1*</v>
      </c>
      <c r="DL125" s="1619"/>
      <c r="DM125" s="310">
        <f>IF($BY125="",$BX125,$BY125)</f>
        <v>0</v>
      </c>
      <c r="DN125" s="1620"/>
      <c r="DO125" s="310">
        <f>$BQ125</f>
        <v>0</v>
      </c>
      <c r="DR125" s="1231" t="str">
        <f>J125</f>
        <v/>
      </c>
      <c r="DS125" s="1231" t="str">
        <f>IF(C125&gt;0,"",(Pressure($B$3,"Tliq","e",$J125)+Pressure($B$3,"Tvap","e",$J125))/2)</f>
        <v/>
      </c>
      <c r="DT125" s="1231" t="str">
        <f>IF(C125&gt;0,"",Pressure($B$3,"tvap","e",$J125+0.5*$DZ125))</f>
        <v/>
      </c>
      <c r="DU125" s="1231">
        <f>I125</f>
        <v>0</v>
      </c>
      <c r="DV125" s="1231" t="str">
        <f>IF(C125&gt;0,"",(Pressure($B$3,"Tliq","e",$I125)+Pressure($B$3,"Tvap","e",$I125))/2)</f>
        <v/>
      </c>
      <c r="DW125" s="1231" t="str">
        <f>IF(C125&gt;0,"",Pressure($B$3,"tvap","e",$I125+0.5*$DZ125))</f>
        <v/>
      </c>
      <c r="DX125" s="444" t="str">
        <f>IF(C125&gt;0,"",1-(Enthalpy($B$3,"pvap","e",$DV125)-(IF($G$4+0.5*$DR$4&gt;$H$4,Enthalpy($B$3,"Tliq","e",$G$4),Enthalpy($B$3,"tp","e",$G$4,$I$4))))/(Enthalpy($B$3,"pvap","e",$DV125)-Enthalpy($B$3,"pliq","e",$DV125)))</f>
        <v/>
      </c>
      <c r="DY125" s="1231" t="str">
        <f>IF(C125&gt;0,"",TEMPERATURE($B$3,"pvap","e",$DS125)-TEMPERATURE($B$3,"pliq","e",$DS125))</f>
        <v/>
      </c>
      <c r="DZ125" s="1231" t="e">
        <f>(1-$DX125)*$DY125</f>
        <v>#VALUE!</v>
      </c>
      <c r="EA125" s="213"/>
    </row>
    <row r="126" spans="1:131" ht="12.75" hidden="1" customHeight="1" x14ac:dyDescent="0.2">
      <c r="A126" s="240"/>
      <c r="B126" s="240"/>
      <c r="C126" s="240"/>
      <c r="D126" s="236"/>
      <c r="E126" s="235"/>
      <c r="F126" s="234"/>
      <c r="G126" s="234"/>
      <c r="H126" s="223"/>
      <c r="I126" s="224"/>
      <c r="J126" s="224"/>
      <c r="K126" s="224"/>
      <c r="L126" s="221"/>
      <c r="M126" s="223"/>
      <c r="N126" s="223"/>
      <c r="O126" s="223"/>
      <c r="P126" s="223"/>
      <c r="Q126" s="224"/>
      <c r="R126" s="223"/>
      <c r="S126" s="223"/>
      <c r="T126" s="227"/>
      <c r="U126" s="224"/>
      <c r="V126" s="224"/>
      <c r="W126" s="222"/>
      <c r="X126" s="229"/>
      <c r="Y126" s="221"/>
      <c r="Z126" s="221"/>
      <c r="AA126" s="221"/>
      <c r="AB126" s="221"/>
      <c r="AC126" s="221"/>
      <c r="AD126" s="221"/>
      <c r="AE126" s="221"/>
      <c r="AF126" s="221"/>
      <c r="AG126" s="221"/>
      <c r="AH126" s="226"/>
      <c r="AI126" s="239"/>
      <c r="AJ126" s="238"/>
      <c r="AK126" s="228"/>
      <c r="AL126" s="223"/>
      <c r="AM126" s="230"/>
      <c r="AN126" s="228"/>
      <c r="AO126" s="232"/>
      <c r="AQ126" s="231"/>
      <c r="AR126" s="230"/>
      <c r="AS126" s="224"/>
      <c r="AT126" s="232"/>
      <c r="AV126" s="231"/>
      <c r="AW126" s="230"/>
      <c r="AX126" s="222"/>
      <c r="AY126" s="224"/>
      <c r="AZ126" s="229"/>
      <c r="BA126" s="221"/>
      <c r="BB126" s="228"/>
      <c r="BC126" s="227"/>
      <c r="BD126" s="227"/>
      <c r="BE126" s="227"/>
      <c r="BF126" s="227"/>
      <c r="BG126" s="227"/>
      <c r="BH126" s="227"/>
      <c r="BI126" s="227"/>
      <c r="BJ126" s="315"/>
      <c r="BK126" s="225"/>
      <c r="BL126" s="224"/>
      <c r="BM126" s="224"/>
      <c r="BN126" s="224"/>
      <c r="BO126" s="223"/>
      <c r="BP126" s="222"/>
      <c r="BQ126" s="229"/>
      <c r="BR126" s="221"/>
      <c r="BS126" s="221"/>
      <c r="BT126" s="221"/>
      <c r="BU126" s="221"/>
      <c r="BV126" s="221"/>
      <c r="BW126" s="221"/>
      <c r="BX126" s="221"/>
      <c r="BY126" s="221"/>
      <c r="BZ126" s="226"/>
      <c r="CA126" s="229"/>
      <c r="CC126" s="313"/>
      <c r="CD126" s="317"/>
      <c r="CE126" s="215"/>
      <c r="CF126" s="214"/>
      <c r="CQ126" s="304" t="s">
        <v>154</v>
      </c>
      <c r="CR126" s="213">
        <f t="shared" ref="CR126:DC126" si="35">IF($BI125="",IF($BH125=CR$8,$AZ125,0),IF($BI125=CR$8,$AZ125,0))</f>
        <v>0</v>
      </c>
      <c r="CS126" s="213">
        <f t="shared" si="35"/>
        <v>0</v>
      </c>
      <c r="CT126" s="213">
        <f t="shared" si="35"/>
        <v>0</v>
      </c>
      <c r="CU126" s="213">
        <f t="shared" si="35"/>
        <v>0</v>
      </c>
      <c r="CV126" s="213">
        <f t="shared" si="35"/>
        <v>0</v>
      </c>
      <c r="CW126" s="213">
        <f t="shared" si="35"/>
        <v>0</v>
      </c>
      <c r="CX126" s="213">
        <f t="shared" si="35"/>
        <v>0</v>
      </c>
      <c r="CY126" s="213">
        <f t="shared" si="35"/>
        <v>0</v>
      </c>
      <c r="CZ126" s="213">
        <f t="shared" si="35"/>
        <v>0</v>
      </c>
      <c r="DA126" s="213">
        <f t="shared" si="35"/>
        <v>0</v>
      </c>
      <c r="DB126" s="213">
        <f t="shared" si="35"/>
        <v>0</v>
      </c>
      <c r="DC126" s="213">
        <f t="shared" si="35"/>
        <v>0</v>
      </c>
      <c r="DJ126" s="1620"/>
      <c r="DK126" s="440"/>
      <c r="DL126" s="1619"/>
      <c r="DN126" s="1620"/>
      <c r="DR126" s="1231"/>
      <c r="DS126" s="1231"/>
      <c r="DT126" s="1231"/>
      <c r="DU126" s="1231"/>
      <c r="DV126" s="1231"/>
      <c r="DW126" s="1231"/>
      <c r="DX126" s="444"/>
      <c r="DY126" s="1231"/>
      <c r="DZ126" s="1231"/>
      <c r="EA126" s="213"/>
    </row>
    <row r="127" spans="1:131" ht="12.75" hidden="1" customHeight="1" x14ac:dyDescent="0.2">
      <c r="A127" s="240"/>
      <c r="B127" s="240"/>
      <c r="C127" s="240"/>
      <c r="D127" s="236"/>
      <c r="E127" s="235"/>
      <c r="F127" s="234"/>
      <c r="G127" s="234"/>
      <c r="H127" s="223"/>
      <c r="I127" s="224"/>
      <c r="J127" s="224"/>
      <c r="K127" s="224"/>
      <c r="L127" s="221"/>
      <c r="M127" s="223"/>
      <c r="N127" s="223"/>
      <c r="O127" s="223"/>
      <c r="P127" s="223"/>
      <c r="Q127" s="224"/>
      <c r="R127" s="223"/>
      <c r="S127" s="223"/>
      <c r="T127" s="227"/>
      <c r="U127" s="224"/>
      <c r="V127" s="224"/>
      <c r="W127" s="222"/>
      <c r="X127" s="229"/>
      <c r="Y127" s="221"/>
      <c r="Z127" s="221"/>
      <c r="AA127" s="221"/>
      <c r="AB127" s="221"/>
      <c r="AC127" s="221"/>
      <c r="AD127" s="221"/>
      <c r="AE127" s="221"/>
      <c r="AF127" s="221"/>
      <c r="AG127" s="221"/>
      <c r="AH127" s="226"/>
      <c r="AI127" s="239"/>
      <c r="AJ127" s="238"/>
      <c r="AK127" s="228"/>
      <c r="AL127" s="223"/>
      <c r="AM127" s="230"/>
      <c r="AN127" s="228"/>
      <c r="AO127" s="232"/>
      <c r="AQ127" s="231"/>
      <c r="AR127" s="230"/>
      <c r="AS127" s="224"/>
      <c r="AT127" s="232"/>
      <c r="AV127" s="231"/>
      <c r="AW127" s="230"/>
      <c r="AX127" s="222"/>
      <c r="AY127" s="224"/>
      <c r="AZ127" s="229"/>
      <c r="BA127" s="221"/>
      <c r="BB127" s="228"/>
      <c r="BC127" s="227"/>
      <c r="BD127" s="227"/>
      <c r="BE127" s="227"/>
      <c r="BF127" s="227"/>
      <c r="BG127" s="227"/>
      <c r="BH127" s="227"/>
      <c r="BI127" s="227"/>
      <c r="BJ127" s="315"/>
      <c r="BK127" s="225"/>
      <c r="BL127" s="224"/>
      <c r="BM127" s="224"/>
      <c r="BN127" s="224"/>
      <c r="BO127" s="223"/>
      <c r="BP127" s="222"/>
      <c r="BQ127" s="229"/>
      <c r="BR127" s="221"/>
      <c r="BS127" s="221"/>
      <c r="BT127" s="221"/>
      <c r="BU127" s="221"/>
      <c r="BV127" s="221"/>
      <c r="BW127" s="221"/>
      <c r="BX127" s="221"/>
      <c r="BY127" s="221"/>
      <c r="BZ127" s="226"/>
      <c r="CA127" s="229"/>
      <c r="CC127" s="313"/>
      <c r="CD127" s="317"/>
      <c r="CE127" s="215"/>
      <c r="CF127" s="214"/>
      <c r="CQ127" s="304" t="s">
        <v>155</v>
      </c>
      <c r="CR127" s="213">
        <f t="shared" ref="CR127:DC127" si="36">IF($BY125="",IF($BX125=CR$8,$BQ125,0),IF($BY125=CR$8,$BQ125,0))</f>
        <v>0</v>
      </c>
      <c r="CS127" s="213">
        <f t="shared" si="36"/>
        <v>0</v>
      </c>
      <c r="CT127" s="213">
        <f t="shared" si="36"/>
        <v>0</v>
      </c>
      <c r="CU127" s="213">
        <f t="shared" si="36"/>
        <v>0</v>
      </c>
      <c r="CV127" s="213">
        <f t="shared" si="36"/>
        <v>0</v>
      </c>
      <c r="CW127" s="213">
        <f t="shared" si="36"/>
        <v>0</v>
      </c>
      <c r="CX127" s="213">
        <f t="shared" si="36"/>
        <v>0</v>
      </c>
      <c r="CY127" s="213">
        <f t="shared" si="36"/>
        <v>0</v>
      </c>
      <c r="CZ127" s="213">
        <f t="shared" si="36"/>
        <v>0</v>
      </c>
      <c r="DA127" s="213">
        <f t="shared" si="36"/>
        <v>0</v>
      </c>
      <c r="DB127" s="213">
        <f t="shared" si="36"/>
        <v>0</v>
      </c>
      <c r="DC127" s="213">
        <f t="shared" si="36"/>
        <v>0</v>
      </c>
      <c r="DJ127" s="1620"/>
      <c r="DK127" s="440"/>
      <c r="DL127" s="1619"/>
      <c r="DN127" s="1620"/>
      <c r="DR127" s="1231"/>
      <c r="DS127" s="1231"/>
      <c r="DT127" s="1231"/>
      <c r="DU127" s="1231"/>
      <c r="DV127" s="1231"/>
      <c r="DW127" s="1231"/>
      <c r="DX127" s="444"/>
      <c r="DY127" s="1231"/>
      <c r="DZ127" s="1231"/>
      <c r="EA127" s="213"/>
    </row>
    <row r="128" spans="1:131" ht="12.75" hidden="1" customHeight="1" x14ac:dyDescent="0.2">
      <c r="A128" s="240"/>
      <c r="B128" s="240"/>
      <c r="C128" s="240"/>
      <c r="D128" s="236"/>
      <c r="E128" s="235"/>
      <c r="F128" s="234"/>
      <c r="G128" s="234"/>
      <c r="H128" s="223"/>
      <c r="I128" s="224"/>
      <c r="J128" s="224"/>
      <c r="K128" s="224"/>
      <c r="L128" s="221"/>
      <c r="M128" s="223"/>
      <c r="N128" s="223"/>
      <c r="O128" s="223"/>
      <c r="P128" s="223"/>
      <c r="Q128" s="224"/>
      <c r="R128" s="223"/>
      <c r="S128" s="223"/>
      <c r="T128" s="227"/>
      <c r="U128" s="224"/>
      <c r="V128" s="224"/>
      <c r="W128" s="222"/>
      <c r="X128" s="229"/>
      <c r="Y128" s="221"/>
      <c r="Z128" s="221"/>
      <c r="AA128" s="221"/>
      <c r="AB128" s="221"/>
      <c r="AC128" s="221"/>
      <c r="AD128" s="221"/>
      <c r="AE128" s="221"/>
      <c r="AF128" s="221"/>
      <c r="AG128" s="221"/>
      <c r="AH128" s="226"/>
      <c r="AI128" s="239"/>
      <c r="AJ128" s="238"/>
      <c r="AK128" s="228"/>
      <c r="AL128" s="223"/>
      <c r="AM128" s="230"/>
      <c r="AN128" s="228"/>
      <c r="AO128" s="232"/>
      <c r="AQ128" s="231"/>
      <c r="AR128" s="230"/>
      <c r="AS128" s="224"/>
      <c r="AT128" s="232"/>
      <c r="AV128" s="231"/>
      <c r="AW128" s="230"/>
      <c r="AX128" s="222"/>
      <c r="AY128" s="224"/>
      <c r="AZ128" s="229"/>
      <c r="BA128" s="221"/>
      <c r="BB128" s="228"/>
      <c r="BC128" s="227"/>
      <c r="BD128" s="227"/>
      <c r="BE128" s="227"/>
      <c r="BF128" s="227"/>
      <c r="BG128" s="227"/>
      <c r="BH128" s="227"/>
      <c r="BI128" s="227"/>
      <c r="BJ128" s="315"/>
      <c r="BK128" s="225"/>
      <c r="BL128" s="224"/>
      <c r="BM128" s="224"/>
      <c r="BN128" s="224"/>
      <c r="BO128" s="223"/>
      <c r="BP128" s="222"/>
      <c r="BQ128" s="229"/>
      <c r="BR128" s="221"/>
      <c r="BS128" s="221"/>
      <c r="BT128" s="221"/>
      <c r="BU128" s="221"/>
      <c r="BV128" s="221"/>
      <c r="BW128" s="221"/>
      <c r="BX128" s="221"/>
      <c r="BY128" s="221"/>
      <c r="BZ128" s="226"/>
      <c r="CA128" s="229"/>
      <c r="CC128" s="313"/>
      <c r="CD128" s="317"/>
      <c r="CE128" s="215"/>
      <c r="CF128" s="214"/>
      <c r="CQ128" s="25" t="s">
        <v>172</v>
      </c>
      <c r="CR128" s="213">
        <f t="shared" ref="CR128:DC128" si="37">IF($W125="double",IF($AP125="",IF($AO125=CR$8,$X125,0),IF($AP125=CR$8,$X125,0)),0)</f>
        <v>0</v>
      </c>
      <c r="CS128" s="213">
        <f t="shared" si="37"/>
        <v>0</v>
      </c>
      <c r="CT128" s="213">
        <f t="shared" si="37"/>
        <v>0</v>
      </c>
      <c r="CU128" s="213">
        <f t="shared" si="37"/>
        <v>0</v>
      </c>
      <c r="CV128" s="213">
        <f t="shared" si="37"/>
        <v>0</v>
      </c>
      <c r="CW128" s="213">
        <f t="shared" si="37"/>
        <v>0</v>
      </c>
      <c r="CX128" s="213">
        <f t="shared" si="37"/>
        <v>0</v>
      </c>
      <c r="CY128" s="213">
        <f t="shared" si="37"/>
        <v>0</v>
      </c>
      <c r="CZ128" s="213">
        <f t="shared" si="37"/>
        <v>0</v>
      </c>
      <c r="DA128" s="213">
        <f t="shared" si="37"/>
        <v>0</v>
      </c>
      <c r="DB128" s="213">
        <f t="shared" si="37"/>
        <v>0</v>
      </c>
      <c r="DC128" s="213">
        <f t="shared" si="37"/>
        <v>0</v>
      </c>
      <c r="DJ128" s="1620"/>
      <c r="DK128" s="440"/>
      <c r="DL128" s="1619"/>
      <c r="DN128" s="1620"/>
      <c r="DR128" s="1231"/>
      <c r="DS128" s="1231"/>
      <c r="DT128" s="1231"/>
      <c r="DU128" s="1231"/>
      <c r="DV128" s="1231"/>
      <c r="DW128" s="1231"/>
      <c r="DX128" s="444"/>
      <c r="DY128" s="1231"/>
      <c r="DZ128" s="1231"/>
      <c r="EA128" s="213"/>
    </row>
    <row r="129" spans="1:131" ht="12.75" hidden="1" customHeight="1" x14ac:dyDescent="0.2">
      <c r="A129" s="240"/>
      <c r="B129" s="240"/>
      <c r="C129" s="240"/>
      <c r="D129" s="236"/>
      <c r="E129" s="235"/>
      <c r="F129" s="234"/>
      <c r="G129" s="234"/>
      <c r="H129" s="223"/>
      <c r="I129" s="224"/>
      <c r="J129" s="224"/>
      <c r="K129" s="224"/>
      <c r="L129" s="221"/>
      <c r="M129" s="223"/>
      <c r="N129" s="223"/>
      <c r="O129" s="223"/>
      <c r="P129" s="223"/>
      <c r="Q129" s="224"/>
      <c r="R129" s="223"/>
      <c r="S129" s="223"/>
      <c r="T129" s="227"/>
      <c r="U129" s="224"/>
      <c r="V129" s="224"/>
      <c r="W129" s="222"/>
      <c r="X129" s="229"/>
      <c r="Y129" s="221"/>
      <c r="Z129" s="221"/>
      <c r="AA129" s="221"/>
      <c r="AB129" s="221"/>
      <c r="AC129" s="221"/>
      <c r="AD129" s="221"/>
      <c r="AE129" s="221"/>
      <c r="AF129" s="221"/>
      <c r="AG129" s="221"/>
      <c r="AH129" s="226"/>
      <c r="AI129" s="239"/>
      <c r="AJ129" s="238"/>
      <c r="AK129" s="228"/>
      <c r="AL129" s="223"/>
      <c r="AM129" s="230"/>
      <c r="AN129" s="228"/>
      <c r="AO129" s="232"/>
      <c r="AQ129" s="231"/>
      <c r="AR129" s="230"/>
      <c r="AS129" s="224"/>
      <c r="AT129" s="232"/>
      <c r="AV129" s="231"/>
      <c r="AW129" s="230"/>
      <c r="AX129" s="222"/>
      <c r="AY129" s="224"/>
      <c r="AZ129" s="229"/>
      <c r="BA129" s="221"/>
      <c r="BB129" s="228"/>
      <c r="BC129" s="227"/>
      <c r="BD129" s="227"/>
      <c r="BE129" s="227"/>
      <c r="BF129" s="227"/>
      <c r="BG129" s="227"/>
      <c r="BH129" s="227"/>
      <c r="BI129" s="227"/>
      <c r="BJ129" s="315"/>
      <c r="BK129" s="225"/>
      <c r="BL129" s="224"/>
      <c r="BM129" s="224"/>
      <c r="BN129" s="224"/>
      <c r="BO129" s="223"/>
      <c r="BP129" s="222"/>
      <c r="BQ129" s="229"/>
      <c r="BR129" s="221"/>
      <c r="BS129" s="221"/>
      <c r="BT129" s="221"/>
      <c r="BU129" s="221"/>
      <c r="BV129" s="221"/>
      <c r="BW129" s="221"/>
      <c r="BX129" s="221"/>
      <c r="BY129" s="221"/>
      <c r="BZ129" s="226"/>
      <c r="CA129" s="229"/>
      <c r="CC129" s="313"/>
      <c r="CD129" s="317"/>
      <c r="CE129" s="215"/>
      <c r="CF129" s="214"/>
      <c r="CQ129" s="25" t="s">
        <v>173</v>
      </c>
      <c r="CR129" s="213">
        <f t="shared" ref="CR129:DC129" si="38">IF($W125="double",IF($AU125="",IF($AT125=CR$8,$X125,0),IF($AU125=CR$8,$X125,0)),0)</f>
        <v>0</v>
      </c>
      <c r="CS129" s="213">
        <f t="shared" si="38"/>
        <v>0</v>
      </c>
      <c r="CT129" s="213">
        <f t="shared" si="38"/>
        <v>0</v>
      </c>
      <c r="CU129" s="213">
        <f t="shared" si="38"/>
        <v>0</v>
      </c>
      <c r="CV129" s="213">
        <f t="shared" si="38"/>
        <v>0</v>
      </c>
      <c r="CW129" s="213">
        <f t="shared" si="38"/>
        <v>0</v>
      </c>
      <c r="CX129" s="213">
        <f t="shared" si="38"/>
        <v>0</v>
      </c>
      <c r="CY129" s="213">
        <f t="shared" si="38"/>
        <v>0</v>
      </c>
      <c r="CZ129" s="213">
        <f t="shared" si="38"/>
        <v>0</v>
      </c>
      <c r="DA129" s="213">
        <f t="shared" si="38"/>
        <v>0</v>
      </c>
      <c r="DB129" s="213">
        <f t="shared" si="38"/>
        <v>0</v>
      </c>
      <c r="DC129" s="213">
        <f t="shared" si="38"/>
        <v>0</v>
      </c>
      <c r="DJ129" s="1620"/>
      <c r="DK129" s="440"/>
      <c r="DL129" s="1619"/>
      <c r="DN129" s="1620"/>
      <c r="DR129" s="1231"/>
      <c r="DS129" s="1231"/>
      <c r="DT129" s="1231"/>
      <c r="DU129" s="1231"/>
      <c r="DV129" s="1231"/>
      <c r="DW129" s="1231"/>
      <c r="DX129" s="444"/>
      <c r="DY129" s="1231"/>
      <c r="DZ129" s="1231"/>
      <c r="EA129" s="213"/>
    </row>
    <row r="130" spans="1:131" ht="12.75" hidden="1" customHeight="1" x14ac:dyDescent="0.2">
      <c r="A130" s="240"/>
      <c r="B130" s="240"/>
      <c r="C130" s="240"/>
      <c r="D130" s="236"/>
      <c r="E130" s="235"/>
      <c r="F130" s="234"/>
      <c r="G130" s="234"/>
      <c r="H130" s="223"/>
      <c r="I130" s="224"/>
      <c r="J130" s="224"/>
      <c r="K130" s="224"/>
      <c r="L130" s="221"/>
      <c r="M130" s="223"/>
      <c r="N130" s="223"/>
      <c r="O130" s="223"/>
      <c r="P130" s="223"/>
      <c r="Q130" s="224"/>
      <c r="R130" s="223"/>
      <c r="S130" s="223"/>
      <c r="T130" s="227"/>
      <c r="U130" s="224"/>
      <c r="V130" s="224"/>
      <c r="W130" s="222"/>
      <c r="X130" s="229"/>
      <c r="Y130" s="221"/>
      <c r="Z130" s="221"/>
      <c r="AA130" s="221"/>
      <c r="AB130" s="221"/>
      <c r="AC130" s="221"/>
      <c r="AD130" s="221"/>
      <c r="AE130" s="221"/>
      <c r="AF130" s="221"/>
      <c r="AG130" s="221"/>
      <c r="AH130" s="226"/>
      <c r="AI130" s="239"/>
      <c r="AJ130" s="238"/>
      <c r="AK130" s="228"/>
      <c r="AL130" s="223"/>
      <c r="AM130" s="230"/>
      <c r="AN130" s="228"/>
      <c r="AO130" s="232"/>
      <c r="AQ130" s="231"/>
      <c r="AR130" s="230"/>
      <c r="AS130" s="224"/>
      <c r="AT130" s="232"/>
      <c r="AV130" s="231"/>
      <c r="AW130" s="230"/>
      <c r="AX130" s="222"/>
      <c r="AY130" s="224"/>
      <c r="AZ130" s="229"/>
      <c r="BA130" s="221"/>
      <c r="BB130" s="228"/>
      <c r="BC130" s="227"/>
      <c r="BD130" s="227"/>
      <c r="BE130" s="227"/>
      <c r="BF130" s="227"/>
      <c r="BG130" s="227"/>
      <c r="BH130" s="227"/>
      <c r="BI130" s="227"/>
      <c r="BJ130" s="315"/>
      <c r="BK130" s="225"/>
      <c r="BL130" s="224"/>
      <c r="BM130" s="224"/>
      <c r="BN130" s="224"/>
      <c r="BO130" s="223"/>
      <c r="BP130" s="222"/>
      <c r="BQ130" s="229"/>
      <c r="BR130" s="221"/>
      <c r="BS130" s="221"/>
      <c r="BT130" s="221"/>
      <c r="BU130" s="221"/>
      <c r="BV130" s="221"/>
      <c r="BW130" s="221"/>
      <c r="BX130" s="221"/>
      <c r="BY130" s="221"/>
      <c r="BZ130" s="226"/>
      <c r="CA130" s="229"/>
      <c r="CC130" s="313"/>
      <c r="CD130" s="317"/>
      <c r="CE130" s="215"/>
      <c r="CF130" s="214"/>
      <c r="DJ130" s="1620"/>
      <c r="DK130" s="440"/>
      <c r="DL130" s="1619"/>
      <c r="DN130" s="1620"/>
      <c r="DR130" s="1231"/>
      <c r="DS130" s="1231"/>
      <c r="DT130" s="1231"/>
      <c r="DU130" s="1231"/>
      <c r="DV130" s="1231"/>
      <c r="DW130" s="1231"/>
      <c r="DX130" s="444"/>
      <c r="DY130" s="1231"/>
      <c r="DZ130" s="1231"/>
      <c r="EA130" s="213"/>
    </row>
    <row r="131" spans="1:131" ht="12.75" hidden="1" customHeight="1" x14ac:dyDescent="0.2">
      <c r="A131" s="240"/>
      <c r="B131" s="240"/>
      <c r="C131" s="240"/>
      <c r="D131" s="236"/>
      <c r="E131" s="235"/>
      <c r="F131" s="234"/>
      <c r="G131" s="234"/>
      <c r="H131" s="223"/>
      <c r="I131" s="224"/>
      <c r="J131" s="224"/>
      <c r="K131" s="224"/>
      <c r="L131" s="221"/>
      <c r="M131" s="223"/>
      <c r="N131" s="223"/>
      <c r="O131" s="223"/>
      <c r="P131" s="223"/>
      <c r="Q131" s="224"/>
      <c r="R131" s="223"/>
      <c r="S131" s="223"/>
      <c r="T131" s="227"/>
      <c r="U131" s="224"/>
      <c r="V131" s="224"/>
      <c r="W131" s="222"/>
      <c r="X131" s="229"/>
      <c r="Y131" s="221"/>
      <c r="Z131" s="221"/>
      <c r="AA131" s="221"/>
      <c r="AB131" s="221"/>
      <c r="AC131" s="221"/>
      <c r="AD131" s="221"/>
      <c r="AE131" s="221"/>
      <c r="AF131" s="221"/>
      <c r="AG131" s="221"/>
      <c r="AH131" s="226"/>
      <c r="AI131" s="239"/>
      <c r="AJ131" s="238"/>
      <c r="AK131" s="228"/>
      <c r="AL131" s="223"/>
      <c r="AM131" s="230"/>
      <c r="AN131" s="228"/>
      <c r="AO131" s="232"/>
      <c r="AQ131" s="231"/>
      <c r="AR131" s="230"/>
      <c r="AS131" s="224"/>
      <c r="AT131" s="232"/>
      <c r="AV131" s="231"/>
      <c r="AW131" s="230"/>
      <c r="AX131" s="222"/>
      <c r="AY131" s="224"/>
      <c r="AZ131" s="229"/>
      <c r="BA131" s="221"/>
      <c r="BB131" s="228"/>
      <c r="BC131" s="227"/>
      <c r="BD131" s="227"/>
      <c r="BE131" s="227"/>
      <c r="BF131" s="227"/>
      <c r="BG131" s="227"/>
      <c r="BH131" s="227"/>
      <c r="BI131" s="227"/>
      <c r="BJ131" s="315"/>
      <c r="BK131" s="225"/>
      <c r="BL131" s="224"/>
      <c r="BM131" s="224"/>
      <c r="BN131" s="224"/>
      <c r="BO131" s="223"/>
      <c r="BP131" s="222"/>
      <c r="BQ131" s="229"/>
      <c r="BR131" s="221"/>
      <c r="BS131" s="221"/>
      <c r="BT131" s="221"/>
      <c r="BU131" s="221"/>
      <c r="BV131" s="221"/>
      <c r="BW131" s="221"/>
      <c r="BX131" s="221"/>
      <c r="BY131" s="221"/>
      <c r="BZ131" s="226"/>
      <c r="CA131" s="229"/>
      <c r="CC131" s="313"/>
      <c r="CD131" s="317"/>
      <c r="CE131" s="215"/>
      <c r="CF131" s="214"/>
      <c r="DJ131" s="1620"/>
      <c r="DK131" s="440"/>
      <c r="DL131" s="1619"/>
      <c r="DN131" s="1620"/>
      <c r="DR131" s="1231"/>
      <c r="DS131" s="1231"/>
      <c r="DT131" s="1231"/>
      <c r="DU131" s="1231"/>
      <c r="DV131" s="1231"/>
      <c r="DW131" s="1231"/>
      <c r="DX131" s="444"/>
      <c r="DY131" s="1231"/>
      <c r="DZ131" s="1231"/>
      <c r="EA131" s="213"/>
    </row>
    <row r="132" spans="1:131" ht="12.75" hidden="1" customHeight="1" x14ac:dyDescent="0.2">
      <c r="A132" s="240"/>
      <c r="B132" s="240"/>
      <c r="C132" s="240"/>
      <c r="D132" s="236"/>
      <c r="E132" s="235"/>
      <c r="F132" s="234"/>
      <c r="G132" s="234"/>
      <c r="H132" s="223"/>
      <c r="I132" s="224"/>
      <c r="J132" s="224"/>
      <c r="K132" s="224"/>
      <c r="L132" s="221"/>
      <c r="M132" s="223"/>
      <c r="N132" s="223"/>
      <c r="O132" s="223"/>
      <c r="P132" s="223"/>
      <c r="Q132" s="224"/>
      <c r="R132" s="223"/>
      <c r="S132" s="223"/>
      <c r="T132" s="227"/>
      <c r="U132" s="224"/>
      <c r="V132" s="224"/>
      <c r="W132" s="222"/>
      <c r="X132" s="229"/>
      <c r="Y132" s="221"/>
      <c r="Z132" s="221"/>
      <c r="AA132" s="221"/>
      <c r="AB132" s="221"/>
      <c r="AC132" s="221"/>
      <c r="AD132" s="221"/>
      <c r="AE132" s="221"/>
      <c r="AF132" s="221"/>
      <c r="AG132" s="221"/>
      <c r="AH132" s="226"/>
      <c r="AI132" s="239"/>
      <c r="AJ132" s="238"/>
      <c r="AK132" s="228"/>
      <c r="AL132" s="223"/>
      <c r="AM132" s="230"/>
      <c r="AN132" s="228"/>
      <c r="AO132" s="232"/>
      <c r="AQ132" s="231"/>
      <c r="AR132" s="230"/>
      <c r="AS132" s="224"/>
      <c r="AT132" s="232"/>
      <c r="AV132" s="231"/>
      <c r="AW132" s="230"/>
      <c r="AX132" s="222"/>
      <c r="AY132" s="224"/>
      <c r="AZ132" s="229"/>
      <c r="BA132" s="221"/>
      <c r="BB132" s="228"/>
      <c r="BC132" s="227"/>
      <c r="BD132" s="227"/>
      <c r="BE132" s="227"/>
      <c r="BF132" s="227"/>
      <c r="BG132" s="227"/>
      <c r="BH132" s="227"/>
      <c r="BI132" s="227"/>
      <c r="BJ132" s="315"/>
      <c r="BK132" s="225"/>
      <c r="BL132" s="224"/>
      <c r="BM132" s="224"/>
      <c r="BN132" s="224"/>
      <c r="BO132" s="223"/>
      <c r="BP132" s="222"/>
      <c r="BQ132" s="229"/>
      <c r="BR132" s="221"/>
      <c r="BS132" s="221"/>
      <c r="BT132" s="221"/>
      <c r="BU132" s="221"/>
      <c r="BV132" s="221"/>
      <c r="BW132" s="221"/>
      <c r="BX132" s="221"/>
      <c r="BY132" s="221"/>
      <c r="BZ132" s="226"/>
      <c r="CA132" s="229"/>
      <c r="CC132" s="313"/>
      <c r="CD132" s="317"/>
      <c r="CE132" s="215"/>
      <c r="CF132" s="214"/>
      <c r="DJ132" s="1620"/>
      <c r="DK132" s="440"/>
      <c r="DL132" s="1619"/>
      <c r="DN132" s="1620"/>
      <c r="DR132" s="1231"/>
      <c r="DS132" s="1231"/>
      <c r="DT132" s="1231"/>
      <c r="DU132" s="1231"/>
      <c r="DV132" s="1231"/>
      <c r="DW132" s="1231"/>
      <c r="DX132" s="444"/>
      <c r="DY132" s="1231"/>
      <c r="DZ132" s="1231"/>
      <c r="EA132" s="213"/>
    </row>
    <row r="133" spans="1:131" ht="12.75" hidden="1" customHeight="1" x14ac:dyDescent="0.2">
      <c r="A133" s="240"/>
      <c r="B133" s="240"/>
      <c r="C133" s="240"/>
      <c r="D133" s="236"/>
      <c r="E133" s="235"/>
      <c r="F133" s="234"/>
      <c r="G133" s="234"/>
      <c r="H133" s="223"/>
      <c r="I133" s="224"/>
      <c r="J133" s="224"/>
      <c r="K133" s="224"/>
      <c r="L133" s="221"/>
      <c r="M133" s="223"/>
      <c r="N133" s="223"/>
      <c r="O133" s="223"/>
      <c r="P133" s="223"/>
      <c r="Q133" s="224"/>
      <c r="R133" s="223"/>
      <c r="S133" s="223"/>
      <c r="T133" s="227"/>
      <c r="U133" s="224"/>
      <c r="V133" s="224"/>
      <c r="W133" s="222"/>
      <c r="X133" s="229"/>
      <c r="Y133" s="221"/>
      <c r="Z133" s="221"/>
      <c r="AA133" s="221"/>
      <c r="AB133" s="221"/>
      <c r="AC133" s="221"/>
      <c r="AD133" s="221"/>
      <c r="AE133" s="221"/>
      <c r="AF133" s="221"/>
      <c r="AG133" s="221"/>
      <c r="AH133" s="226"/>
      <c r="AI133" s="239"/>
      <c r="AJ133" s="238"/>
      <c r="AK133" s="228"/>
      <c r="AL133" s="223"/>
      <c r="AM133" s="230"/>
      <c r="AN133" s="228"/>
      <c r="AO133" s="232"/>
      <c r="AQ133" s="231"/>
      <c r="AR133" s="230"/>
      <c r="AS133" s="224"/>
      <c r="AT133" s="232"/>
      <c r="AV133" s="231"/>
      <c r="AW133" s="230"/>
      <c r="AX133" s="222"/>
      <c r="AY133" s="224"/>
      <c r="AZ133" s="229"/>
      <c r="BA133" s="221"/>
      <c r="BB133" s="228"/>
      <c r="BC133" s="227"/>
      <c r="BD133" s="227"/>
      <c r="BE133" s="227"/>
      <c r="BF133" s="227"/>
      <c r="BG133" s="227"/>
      <c r="BH133" s="227"/>
      <c r="BI133" s="227"/>
      <c r="BJ133" s="315"/>
      <c r="BK133" s="225"/>
      <c r="BL133" s="224"/>
      <c r="BM133" s="224"/>
      <c r="BN133" s="224"/>
      <c r="BO133" s="223"/>
      <c r="BP133" s="222"/>
      <c r="BQ133" s="229"/>
      <c r="BR133" s="221"/>
      <c r="BS133" s="221"/>
      <c r="BT133" s="221"/>
      <c r="BU133" s="221"/>
      <c r="BV133" s="221"/>
      <c r="BW133" s="221"/>
      <c r="BX133" s="221"/>
      <c r="BY133" s="221"/>
      <c r="BZ133" s="226"/>
      <c r="CA133" s="229"/>
      <c r="CC133" s="313"/>
      <c r="CD133" s="317"/>
      <c r="CE133" s="215"/>
      <c r="CF133" s="214"/>
      <c r="DJ133" s="1620"/>
      <c r="DK133" s="440"/>
      <c r="DL133" s="1619"/>
      <c r="DN133" s="1620"/>
      <c r="DR133" s="1231"/>
      <c r="DS133" s="1231"/>
      <c r="DT133" s="1231"/>
      <c r="DU133" s="1231"/>
      <c r="DV133" s="1231"/>
      <c r="DW133" s="1231"/>
      <c r="DX133" s="444"/>
      <c r="DY133" s="1231"/>
      <c r="DZ133" s="1231"/>
      <c r="EA133" s="213"/>
    </row>
    <row r="134" spans="1:131" ht="12.75" hidden="1" customHeight="1" x14ac:dyDescent="0.2">
      <c r="A134" s="240"/>
      <c r="B134" s="240"/>
      <c r="C134" s="240"/>
      <c r="D134" s="236"/>
      <c r="E134" s="235"/>
      <c r="F134" s="234"/>
      <c r="G134" s="234"/>
      <c r="H134" s="223"/>
      <c r="I134" s="224"/>
      <c r="J134" s="224"/>
      <c r="K134" s="224"/>
      <c r="L134" s="221"/>
      <c r="M134" s="223"/>
      <c r="N134" s="223"/>
      <c r="O134" s="223"/>
      <c r="P134" s="223"/>
      <c r="Q134" s="224"/>
      <c r="R134" s="223"/>
      <c r="S134" s="223"/>
      <c r="T134" s="227"/>
      <c r="U134" s="224"/>
      <c r="V134" s="224"/>
      <c r="W134" s="222"/>
      <c r="X134" s="229"/>
      <c r="Y134" s="221"/>
      <c r="Z134" s="221"/>
      <c r="AA134" s="221"/>
      <c r="AB134" s="221"/>
      <c r="AC134" s="221"/>
      <c r="AD134" s="221"/>
      <c r="AE134" s="221"/>
      <c r="AF134" s="221"/>
      <c r="AG134" s="221"/>
      <c r="AH134" s="226"/>
      <c r="AI134" s="239"/>
      <c r="AJ134" s="238"/>
      <c r="AK134" s="228"/>
      <c r="AL134" s="223"/>
      <c r="AM134" s="230"/>
      <c r="AN134" s="228"/>
      <c r="AO134" s="232"/>
      <c r="AQ134" s="231"/>
      <c r="AR134" s="230"/>
      <c r="AS134" s="224"/>
      <c r="AT134" s="232"/>
      <c r="AV134" s="231"/>
      <c r="AW134" s="230"/>
      <c r="AX134" s="222"/>
      <c r="AY134" s="224"/>
      <c r="AZ134" s="229"/>
      <c r="BA134" s="221"/>
      <c r="BB134" s="228"/>
      <c r="BC134" s="227"/>
      <c r="BD134" s="227"/>
      <c r="BE134" s="227"/>
      <c r="BF134" s="227"/>
      <c r="BG134" s="227"/>
      <c r="BH134" s="227"/>
      <c r="BI134" s="227"/>
      <c r="BJ134" s="315"/>
      <c r="BK134" s="225"/>
      <c r="BL134" s="224"/>
      <c r="BM134" s="224"/>
      <c r="BN134" s="224"/>
      <c r="BO134" s="223"/>
      <c r="BP134" s="222"/>
      <c r="BQ134" s="229"/>
      <c r="BR134" s="221"/>
      <c r="BS134" s="221"/>
      <c r="BT134" s="221"/>
      <c r="BU134" s="221"/>
      <c r="BV134" s="221"/>
      <c r="BW134" s="221"/>
      <c r="BX134" s="221"/>
      <c r="BY134" s="221"/>
      <c r="BZ134" s="226"/>
      <c r="CA134" s="229"/>
      <c r="CC134" s="313"/>
      <c r="CD134" s="317"/>
      <c r="CE134" s="215"/>
      <c r="CF134" s="214"/>
      <c r="DJ134" s="1620"/>
      <c r="DK134" s="440"/>
      <c r="DL134" s="1619"/>
      <c r="DN134" s="1620"/>
      <c r="DR134" s="1231"/>
      <c r="DS134" s="1231"/>
      <c r="DT134" s="1231"/>
      <c r="DU134" s="1231"/>
      <c r="DV134" s="1231"/>
      <c r="DW134" s="1231"/>
      <c r="DX134" s="444"/>
      <c r="DY134" s="1231"/>
      <c r="DZ134" s="1231"/>
      <c r="EA134" s="213"/>
    </row>
    <row r="135" spans="1:131" ht="12.75" hidden="1" customHeight="1" x14ac:dyDescent="0.2">
      <c r="A135" s="240"/>
      <c r="B135" s="240"/>
      <c r="C135" s="240"/>
      <c r="D135" s="236"/>
      <c r="E135" s="235"/>
      <c r="F135" s="234"/>
      <c r="G135" s="234"/>
      <c r="H135" s="223"/>
      <c r="I135" s="224"/>
      <c r="J135" s="224"/>
      <c r="K135" s="224"/>
      <c r="L135" s="221"/>
      <c r="M135" s="223"/>
      <c r="N135" s="223"/>
      <c r="O135" s="223"/>
      <c r="P135" s="223"/>
      <c r="Q135" s="224"/>
      <c r="R135" s="223"/>
      <c r="S135" s="223"/>
      <c r="T135" s="227"/>
      <c r="U135" s="224"/>
      <c r="V135" s="224"/>
      <c r="W135" s="222"/>
      <c r="X135" s="229"/>
      <c r="Y135" s="221"/>
      <c r="Z135" s="221"/>
      <c r="AA135" s="221"/>
      <c r="AB135" s="221"/>
      <c r="AC135" s="221"/>
      <c r="AD135" s="221"/>
      <c r="AE135" s="221"/>
      <c r="AF135" s="221"/>
      <c r="AG135" s="221"/>
      <c r="AH135" s="226"/>
      <c r="AI135" s="239"/>
      <c r="AJ135" s="238"/>
      <c r="AK135" s="228"/>
      <c r="AL135" s="223"/>
      <c r="AM135" s="230"/>
      <c r="AN135" s="228"/>
      <c r="AO135" s="232"/>
      <c r="AQ135" s="231"/>
      <c r="AR135" s="230"/>
      <c r="AS135" s="224"/>
      <c r="AT135" s="232"/>
      <c r="AV135" s="231"/>
      <c r="AW135" s="230"/>
      <c r="AX135" s="222"/>
      <c r="AY135" s="224"/>
      <c r="AZ135" s="229"/>
      <c r="BA135" s="221"/>
      <c r="BB135" s="228"/>
      <c r="BC135" s="227"/>
      <c r="BD135" s="227"/>
      <c r="BE135" s="227"/>
      <c r="BF135" s="227"/>
      <c r="BG135" s="227"/>
      <c r="BH135" s="227"/>
      <c r="BI135" s="227"/>
      <c r="BJ135" s="315"/>
      <c r="BK135" s="225"/>
      <c r="BL135" s="224"/>
      <c r="BM135" s="224"/>
      <c r="BN135" s="224"/>
      <c r="BO135" s="223"/>
      <c r="BP135" s="222"/>
      <c r="BQ135" s="229"/>
      <c r="BR135" s="221"/>
      <c r="BS135" s="221"/>
      <c r="BT135" s="221"/>
      <c r="BU135" s="221"/>
      <c r="BV135" s="221"/>
      <c r="BW135" s="221"/>
      <c r="BX135" s="221"/>
      <c r="BY135" s="221"/>
      <c r="BZ135" s="226"/>
      <c r="CA135" s="229"/>
      <c r="CC135" s="313"/>
      <c r="CD135" s="317"/>
      <c r="CE135" s="215"/>
      <c r="CF135" s="214"/>
      <c r="DJ135" s="1620"/>
      <c r="DK135" s="440"/>
      <c r="DL135" s="1619"/>
      <c r="DN135" s="1620"/>
      <c r="DR135" s="1231"/>
      <c r="DS135" s="1231"/>
      <c r="DT135" s="1231"/>
      <c r="DU135" s="1231"/>
      <c r="DV135" s="1231"/>
      <c r="DW135" s="1231"/>
      <c r="DX135" s="444"/>
      <c r="DY135" s="1231"/>
      <c r="DZ135" s="1231"/>
      <c r="EA135" s="213"/>
    </row>
    <row r="136" spans="1:131" ht="12.75" hidden="1" customHeight="1" x14ac:dyDescent="0.2">
      <c r="A136" s="240"/>
      <c r="B136" s="240"/>
      <c r="C136" s="240"/>
      <c r="D136" s="236"/>
      <c r="E136" s="235"/>
      <c r="F136" s="234"/>
      <c r="G136" s="234"/>
      <c r="H136" s="223"/>
      <c r="I136" s="224"/>
      <c r="J136" s="224"/>
      <c r="K136" s="224"/>
      <c r="L136" s="221"/>
      <c r="M136" s="223"/>
      <c r="N136" s="223"/>
      <c r="O136" s="223"/>
      <c r="P136" s="223"/>
      <c r="Q136" s="224"/>
      <c r="R136" s="223"/>
      <c r="S136" s="223"/>
      <c r="T136" s="227"/>
      <c r="U136" s="224"/>
      <c r="V136" s="224"/>
      <c r="W136" s="222"/>
      <c r="X136" s="229"/>
      <c r="Y136" s="221"/>
      <c r="Z136" s="221"/>
      <c r="AA136" s="221"/>
      <c r="AB136" s="221"/>
      <c r="AC136" s="221"/>
      <c r="AD136" s="221"/>
      <c r="AE136" s="221"/>
      <c r="AF136" s="221"/>
      <c r="AG136" s="221"/>
      <c r="AH136" s="226"/>
      <c r="AI136" s="239"/>
      <c r="AJ136" s="238"/>
      <c r="AK136" s="228"/>
      <c r="AL136" s="223"/>
      <c r="AM136" s="230"/>
      <c r="AN136" s="228"/>
      <c r="AO136" s="232"/>
      <c r="AQ136" s="231"/>
      <c r="AR136" s="230"/>
      <c r="AS136" s="224"/>
      <c r="AT136" s="232"/>
      <c r="AV136" s="231"/>
      <c r="AW136" s="230"/>
      <c r="AX136" s="222"/>
      <c r="AY136" s="224"/>
      <c r="AZ136" s="229"/>
      <c r="BA136" s="221"/>
      <c r="BB136" s="228"/>
      <c r="BC136" s="227"/>
      <c r="BD136" s="227"/>
      <c r="BE136" s="227"/>
      <c r="BF136" s="227"/>
      <c r="BG136" s="227"/>
      <c r="BH136" s="227"/>
      <c r="BI136" s="227"/>
      <c r="BJ136" s="315"/>
      <c r="BK136" s="225"/>
      <c r="BL136" s="224"/>
      <c r="BM136" s="224"/>
      <c r="BN136" s="224"/>
      <c r="BO136" s="223"/>
      <c r="BP136" s="222"/>
      <c r="BQ136" s="229"/>
      <c r="BR136" s="221"/>
      <c r="BS136" s="221"/>
      <c r="BT136" s="221"/>
      <c r="BU136" s="221"/>
      <c r="BV136" s="221"/>
      <c r="BW136" s="221"/>
      <c r="BX136" s="221"/>
      <c r="BY136" s="221"/>
      <c r="BZ136" s="226"/>
      <c r="CA136" s="229"/>
      <c r="CC136" s="313"/>
      <c r="CD136" s="317"/>
      <c r="CE136" s="215"/>
      <c r="CF136" s="214"/>
      <c r="DJ136" s="1620"/>
      <c r="DK136" s="440"/>
      <c r="DL136" s="1619"/>
      <c r="DN136" s="1620"/>
      <c r="DR136" s="1231"/>
      <c r="DS136" s="1231"/>
      <c r="DT136" s="1231"/>
      <c r="DU136" s="1231"/>
      <c r="DV136" s="1231"/>
      <c r="DW136" s="1231"/>
      <c r="DX136" s="444"/>
      <c r="DY136" s="1231"/>
      <c r="DZ136" s="1231"/>
      <c r="EA136" s="213"/>
    </row>
    <row r="137" spans="1:131" ht="12.75" hidden="1" customHeight="1" x14ac:dyDescent="0.2">
      <c r="A137" s="240"/>
      <c r="B137" s="240"/>
      <c r="C137" s="240"/>
      <c r="D137" s="236"/>
      <c r="E137" s="235"/>
      <c r="F137" s="234"/>
      <c r="G137" s="234"/>
      <c r="H137" s="223"/>
      <c r="I137" s="224"/>
      <c r="J137" s="224"/>
      <c r="K137" s="224"/>
      <c r="L137" s="221"/>
      <c r="M137" s="223"/>
      <c r="N137" s="223"/>
      <c r="O137" s="223"/>
      <c r="P137" s="223"/>
      <c r="Q137" s="224"/>
      <c r="R137" s="223"/>
      <c r="S137" s="223"/>
      <c r="T137" s="227"/>
      <c r="U137" s="224"/>
      <c r="V137" s="224"/>
      <c r="W137" s="222"/>
      <c r="X137" s="229"/>
      <c r="Y137" s="221"/>
      <c r="Z137" s="221"/>
      <c r="AA137" s="221"/>
      <c r="AB137" s="221"/>
      <c r="AC137" s="221"/>
      <c r="AD137" s="221"/>
      <c r="AE137" s="221"/>
      <c r="AF137" s="221"/>
      <c r="AG137" s="221"/>
      <c r="AH137" s="226"/>
      <c r="AI137" s="229"/>
      <c r="AJ137" s="221"/>
      <c r="AK137" s="221"/>
      <c r="AL137" s="223"/>
      <c r="AM137" s="230"/>
      <c r="AN137" s="228"/>
      <c r="AO137" s="232"/>
      <c r="AQ137" s="231"/>
      <c r="AR137" s="230"/>
      <c r="AS137" s="224"/>
      <c r="AT137" s="232"/>
      <c r="AV137" s="231"/>
      <c r="AW137" s="230"/>
      <c r="AX137" s="222"/>
      <c r="AY137" s="224"/>
      <c r="AZ137" s="229"/>
      <c r="BA137" s="221"/>
      <c r="BB137" s="228"/>
      <c r="BC137" s="227"/>
      <c r="BD137" s="221"/>
      <c r="BE137" s="221"/>
      <c r="BF137" s="221"/>
      <c r="BG137" s="221"/>
      <c r="BH137" s="221"/>
      <c r="BI137" s="221"/>
      <c r="BJ137" s="226"/>
      <c r="BK137" s="229"/>
      <c r="BL137" s="224"/>
      <c r="BM137" s="224"/>
      <c r="BN137" s="224"/>
      <c r="BO137" s="223"/>
      <c r="BP137" s="222"/>
      <c r="BQ137" s="229"/>
      <c r="BR137" s="221"/>
      <c r="BS137" s="221"/>
      <c r="BT137" s="221"/>
      <c r="BU137" s="221"/>
      <c r="BV137" s="221"/>
      <c r="BW137" s="221"/>
      <c r="BX137" s="221"/>
      <c r="BY137" s="221"/>
      <c r="BZ137" s="226"/>
      <c r="CA137" s="229"/>
      <c r="CC137" s="313"/>
      <c r="CD137" s="317"/>
      <c r="CE137" s="215"/>
      <c r="CF137" s="214"/>
      <c r="DJ137" s="1620"/>
      <c r="DK137" s="440"/>
      <c r="DL137" s="1619"/>
      <c r="DN137" s="1620"/>
      <c r="DR137" s="1231"/>
      <c r="DS137" s="1231"/>
      <c r="DT137" s="1231"/>
      <c r="DU137" s="1231"/>
      <c r="DV137" s="1231"/>
      <c r="DW137" s="1231"/>
      <c r="DX137" s="444"/>
      <c r="DY137" s="1231"/>
      <c r="DZ137" s="1231"/>
      <c r="EA137" s="213"/>
    </row>
    <row r="138" spans="1:131" ht="12.75" hidden="1" customHeight="1" x14ac:dyDescent="0.2">
      <c r="A138" s="262"/>
      <c r="B138" s="262">
        <f>B125</f>
        <v>1</v>
      </c>
      <c r="C138" s="262">
        <f>$C$6</f>
        <v>1</v>
      </c>
      <c r="D138" s="261"/>
      <c r="E138" s="260"/>
      <c r="F138" s="259"/>
      <c r="G138" s="259"/>
      <c r="H138" s="220" t="str">
        <f>IF(C138&gt;0,"",IF(VLOOKUP(E138,LegendSG1CKTrows,20,FALSE)=0,VLOOKUP(E138,LegendSG1CKTrows,21,FALSE),VLOOKUP(E138,LegendSG1CKTrows,20,FALSE)))</f>
        <v/>
      </c>
      <c r="I138" s="258" t="str">
        <f>IF(C138&gt;0,"",VLOOKUP(E138,LegendSG1CKTrows,22,FALSE))</f>
        <v/>
      </c>
      <c r="J138" s="248" t="str">
        <f>IF(C138&gt;0,"",IF(V138="@ System",I138+0.5*($F$4),IF(V138="@ Top Of Riser",I138+0.5*($F$4),IF(V138="@ Fixture",($D$4)-0.5*($F$4),IF(V138="@ Bottom Of Riser",($D$4)-0.5*($F$4),IF(AND(V138="None",D138="Loop"),($D$4)-0.5*($F$4),I138+0.5*($F$4)))))))</f>
        <v/>
      </c>
      <c r="K138" s="248" t="str">
        <f>IF(C138&gt;0,"",IF(I138+0.5*DZ138+15&lt;L138,I138+0.5*DZ138+15,L138))</f>
        <v/>
      </c>
      <c r="L138" s="257" t="str">
        <f>IF(C138&gt;0,"",LegendSG1RGT)</f>
        <v/>
      </c>
      <c r="M138" s="220" t="str">
        <f>IF(C138&gt;0,"",Pressure(($B$3),"TVAP","E",J138))</f>
        <v/>
      </c>
      <c r="N138" s="248" t="str">
        <f>IF(C138&gt;0,"",IF(D138="Loop","n/a",DW138))</f>
        <v/>
      </c>
      <c r="O138" s="248" t="str">
        <f>IF(C138&gt;0,"",IF(D138="Loop","n/a",DZ138))</f>
        <v/>
      </c>
      <c r="P138" s="220" t="str">
        <f>IF(C138&gt;0,"",IF(D138="Loop","n/a",DX138))</f>
        <v/>
      </c>
      <c r="Q138" s="248" t="str">
        <f>IF(C138&gt;0,"",IF(D138="Loop","n/a",Enthalpy(($B$3),"TP","E",(I138+0.5*DZ138+'Legend(DX)'!$Y$4),DW138)))</f>
        <v/>
      </c>
      <c r="R138" s="220" t="str">
        <f>IF(C138&gt;0,"",IF(($G$4+0.5*DZ138)&gt;($H$4),(Enthalpy(($B$3),"TLIQ","E",($G$4))),(Enthalpy(($B$3),"TP","E",($G$4),$I$4))))</f>
        <v/>
      </c>
      <c r="S138" s="220" t="str">
        <f>IF(C138&gt;0,"",IF(($G$4+0.5*DZ138)&gt;($H$4),(LiquidDensity(($B$3),"TLIQ","E",($G$4))),(Density(($B$3),"TP","E",($G$4),$I$4))))</f>
        <v/>
      </c>
      <c r="T138" s="250" t="str">
        <f>IF(C138&gt;0,"",IF(($G$4+0.5*DZ138)&gt;($H$4),(Viscosity(($B$3),"TLIQ","E",($G$4))),(Viscosity(($B$3),"TP","E",($G$4),$I$4))))</f>
        <v/>
      </c>
      <c r="U138" s="248" t="str">
        <f>IF(C138&gt;0,"",H138*1000/(Q138-R138))</f>
        <v/>
      </c>
      <c r="V138" s="256" t="str">
        <f>IF(C138&gt;0,"",VLOOKUP(E138,LegendSG1CKTrows,28,FALSE))</f>
        <v/>
      </c>
      <c r="W138" s="255" t="s">
        <v>369</v>
      </c>
      <c r="X138" s="254"/>
      <c r="Y138" s="246" t="str">
        <f>IF(C138&gt;0,"",X138*($Y$4))</f>
        <v/>
      </c>
      <c r="Z138" s="218" t="str">
        <f>IF(C138&gt;0,"",Density(($B$3),"TP","E",K138,M138))</f>
        <v/>
      </c>
      <c r="AA138" s="250" t="str">
        <f>IF(C138&gt;0,"",Viscosity(($B$3),"TP","E",K138,M138))</f>
        <v/>
      </c>
      <c r="AB138" s="219" t="str">
        <f>IF(C138&gt;0,"",vel(U138,Z138,AH138))</f>
        <v/>
      </c>
      <c r="AC138" s="220" t="str">
        <f>IF(C138&gt;0,"",pdrop(AE138,Y138,Z138,AB138,IF(AG138="",AF138,AG138)))</f>
        <v/>
      </c>
      <c r="AD138" s="219" t="str">
        <f>IF(C138&gt;0,"",(((AB138/60)*Z138)/AA138)*(VLOOKUP(AF138,'Pipe Data'!F$7:G$19,2,FALSE))/12)</f>
        <v/>
      </c>
      <c r="AE138" s="218" t="str">
        <f>IF(C138&gt;0,"",(0.25/(LOG(5.74/(AD138^0.9))+((VLOOKUP(IF(AG138="",AF138,AG138),'Pipe Data'!J$7:X$19,15,FALSE))/3.7))^2))</f>
        <v/>
      </c>
      <c r="AF138" s="245" t="str">
        <f>IF(C138&gt;0,"",VLOOKUP(($AC$4),AB139:AF149,5,TRUE))</f>
        <v/>
      </c>
      <c r="AG138" s="244"/>
      <c r="AH138" s="298" t="str">
        <f>IF(C138&gt;0,"",IF(AND(AG138="",W138&lt;&gt;"Double"),parea(AF138),parea(AG138)))</f>
        <v/>
      </c>
      <c r="AI138" s="253" t="str">
        <f>IF(C138&gt;0,"",IF(W138="Single","",IF(OR(AG138=0.5,AG138=0.375),"",IF(AF138&lt;0.6,"",(((AR138/60)*Z138)/AA138)*((LOOKUP(IF(AP138="",AO138,AP138),'Pipe Data'!F$7:F$19,'Pipe Data'!G$7:G$19))/12)))))</f>
        <v/>
      </c>
      <c r="AJ138" s="252" t="str">
        <f>IF(C138&gt;0,"",IF(W138="Single","",IF(OR(AG138=0.5,AG138=0.375),"",IF(AF138&lt;0.6,"",(AQ138/AV138)^1.5))))</f>
        <v/>
      </c>
      <c r="AK138" s="218" t="str">
        <f>IF(C138&gt;0,"",IF(W138="Single","",IF(OR(AG138=0.5,AG138=0.375),"",IF(AF138&lt;0.6,"",(0.25/(LOG(5.74/(AI138^0.9))+((LOOKUP(IF(AP138="",AO138,AP138),'Pipe Data'!F$7:F$19,'Pipe Data'!X$7:X$19))/3.7))^2)))))</f>
        <v/>
      </c>
      <c r="AL138" s="220" t="str">
        <f>IF(C138&gt;0,"",IF(W138="Single","",IF(OR(AG138=0.5,AG138=0.375),"",IF(AF138&lt;0.6,"",pdrop(AK138,Y138,Z138,AR138,IF(AP138="",AO138,AP138))))))</f>
        <v/>
      </c>
      <c r="AM138" s="219" t="str">
        <f>IF(C138&gt;0,"",IF(W138="Single","",IF(OR(AG138=0.5,AG138=0.375),"",IF(AF138&lt;0.6,"",(((AW138/60)*Z138)/AA138)*((LOOKUP(IF(AU138="",AT138,AU138),'Pipe Data'!F$7:F$19,'Pipe Data'!G$7:G$19))/12)))))</f>
        <v/>
      </c>
      <c r="AN138" s="218" t="str">
        <f>IF(C138&gt;0,"",IF(W138="Single","",IF(OR(AG138=0.5,AG138=0.375),"",IF(AF138&lt;0.6,"",(0.25/(LOG(5.74/(AM138^0.9))+((LOOKUP(IF(AU138="",AT138,AU138),'Pipe Data'!F$7:F$19,'Pipe Data'!X$7:X$19))/3.7))^2)))))</f>
        <v/>
      </c>
      <c r="AO138" s="245" t="str">
        <f>IF(C138&gt;0,"",IF(W138="Single","",IF(OR(AG138=0.5,AG138=0.375),"",IF(AF138&lt;0.6,"",(IF(AG138="",VLOOKUP(AF138,'Pipe Data'!$J$9:$N$19,3,FALSE),VLOOKUP(AG138,'Pipe Data'!$J$9:$N$19,3,FALSE)))))))</f>
        <v/>
      </c>
      <c r="AP138" s="244"/>
      <c r="AQ138" s="251" t="str">
        <f>IF(C138&gt;0,"",IF(W138="Single","",IF(OR(AG138=0.5,AG138=0.375),"",IF(AF138&lt;0.6,"",IF(AP138="",parea(AO138),parea(AP138))))))</f>
        <v/>
      </c>
      <c r="AR138" s="219" t="str">
        <f>IF(C138&gt;0,"",IF(W138="Single","",IF(OR(AG138=0.5,AG138=0.375),"",IF(AF138&lt;0.6,"",((AS138/(Z138*AQ138))/60)))))</f>
        <v/>
      </c>
      <c r="AS138" s="248" t="str">
        <f>IF(C138&gt;0,"",IF(W138="Single","",IF(OR(AG138=0.5,AG138=0.375),"",IF(AF138&lt;0.6,"",(U138*AJ138)/(1+AJ138)))))</f>
        <v/>
      </c>
      <c r="AT138" s="245" t="str">
        <f>IF(C138&gt;0,"",IF(W138="Single","",IF(OR(AG138=0.5,AG138=0.375),"",IF(AF138&lt;0.6,"",(IF(AG138="",VLOOKUP(AF138,'Pipe Data'!$J$9:$N$19,5,FALSE),VLOOKUP(AG138,'Pipe Data'!$J$9:$N$19,5,FALSE)))))))</f>
        <v/>
      </c>
      <c r="AU138" s="244"/>
      <c r="AV138" s="251" t="str">
        <f>IF(C138&gt;0,"",IF(W138="Single","",IF(OR(AG138=0.5,AG138=0.375),"",IF(AF138&lt;0.6,"",IF(AU138="",parea(AT138),parea(AU138))))))</f>
        <v/>
      </c>
      <c r="AW138" s="219" t="str">
        <f>IF(C138&gt;0,"",IF(W138="Single","",IF(OR(AG138=0.5,AG138=0.375),"",IF(AF138&lt;0.6,"",((AX138/(Z138*AV138))/60)))))</f>
        <v/>
      </c>
      <c r="AX138" s="247" t="str">
        <f>IF(C138&gt;0,"",IF(W138="Single","",IF(OR(AG138=0.5,AG138=0.375),"",IF(AF138&lt;0.6,"",U138-AS138))))</f>
        <v/>
      </c>
      <c r="AY138" s="248"/>
      <c r="AZ138" s="254"/>
      <c r="BA138" s="246" t="str">
        <f>IF(C138&gt;0,"",AZ138*($BA$4))</f>
        <v/>
      </c>
      <c r="BB138" s="218" t="str">
        <f>IF(C138&gt;0,"",Density(($B$3),"TP","E",K138,M138))</f>
        <v/>
      </c>
      <c r="BC138" s="250" t="str">
        <f>IF(C138&gt;0,"",Viscosity(($B$3),"TP","E",$K138,$M138))</f>
        <v/>
      </c>
      <c r="BD138" s="219" t="str">
        <f>IF(C138&gt;0,"",vel(U138,Z138,BJ138))</f>
        <v/>
      </c>
      <c r="BE138" s="220" t="str">
        <f>IF(C138&gt;0,"",pdrop(BG138,BA138,Z138,BD138,IF(BI138="",BH138,BI138)))</f>
        <v/>
      </c>
      <c r="BF138" s="219" t="str">
        <f>IF(C138&gt;0,"",(((BD138/60)*Z138)/BC138)*((VLOOKUP(BH138,'Pipe Data'!F$7:G$19,2,FALSE))/12))</f>
        <v/>
      </c>
      <c r="BG138" s="218" t="str">
        <f>IF(C138&gt;0,"",(0.25/(LOG(5.74/(BF138^0.9))+((VLOOKUP(BH138,'Pipe Data'!J$7:X$19,15,FALSE))/3.7))^2))</f>
        <v/>
      </c>
      <c r="BH138" s="245" t="str">
        <f>IF(C138&gt;0,"",VLOOKUP(1,BI139:BK149,3,FALSE))</f>
        <v/>
      </c>
      <c r="BI138" s="244"/>
      <c r="BJ138" s="243" t="str">
        <f>IF(C138&gt;0,"",IF(BI138="",parea(BH138),parea(BI138)))</f>
        <v/>
      </c>
      <c r="BK138" s="249" t="str">
        <f>IF(C138&gt;0,"",VLOOKUP(E138,LegendSG1CKTrows,26,FALSE))</f>
        <v/>
      </c>
      <c r="BL138" s="248" t="str">
        <f>IF(C138&gt;0,"",IF(W138&lt;&gt;"Double",AC138+BE138+BK138,AL138+BE138+BK138))</f>
        <v/>
      </c>
      <c r="BM138" s="248"/>
      <c r="BN138" s="248" t="str">
        <f>IF(C138&gt;0,"",IF(D138="Loop","n/a",BP138-I138))</f>
        <v/>
      </c>
      <c r="BO138" s="220" t="str">
        <f>IF(C138&gt;0,"",IF(D138="Loop","n/a",N138-BM138))</f>
        <v/>
      </c>
      <c r="BP138" s="247" t="str">
        <f>IF(C138&gt;0,"",IF(D138="Loop","n/a",TEMPERATURE(($B$3),"PVAP","E",BO138)-0.5*DZ138))</f>
        <v/>
      </c>
      <c r="BQ138" s="246" t="str">
        <f>IF(C138&gt;0,"",AZ138+X138)</f>
        <v/>
      </c>
      <c r="BR138" s="246" t="str">
        <f>IF(C138&gt;0,"",BQ138*($BR$4))</f>
        <v/>
      </c>
      <c r="BS138" s="219" t="str">
        <f>IF(C138&gt;0,"",vel(U138,S138,BZ138))</f>
        <v/>
      </c>
      <c r="BT138" s="220" t="str">
        <f>IF(C138&gt;0,"",pdrop(BW138,BA138,S138,BS138,IF(BY138="",BX138,BY138)))</f>
        <v/>
      </c>
      <c r="BU138" s="220"/>
      <c r="BV138" s="219" t="str">
        <f>IF(C138&gt;0,"",(((BS138/60)*S138)/T138)*((VLOOKUP(BX138,'Pipe Data'!F$7:G$19,2,FALSE))/12))</f>
        <v/>
      </c>
      <c r="BW138" s="218" t="str">
        <f>IF(C138&gt;0,"",(0.25/(LOG(5.74/(BV138^0.9))+((VLOOKUP(BX138,'Pipe Data'!J$7:X$19,15,FALSE))/3.7))^2))</f>
        <v/>
      </c>
      <c r="BX138" s="245" t="str">
        <f>IF(C138&gt;0,"",VLOOKUP(0.25,BY139:CA149,3,TRUE))</f>
        <v/>
      </c>
      <c r="BY138" s="244"/>
      <c r="BZ138" s="243" t="str">
        <f>IF(C138&gt;0,"",IF(BY138="",parea(BX138),parea(BY138)))</f>
        <v/>
      </c>
      <c r="CA138" s="314"/>
      <c r="CC138" s="313">
        <v>0</v>
      </c>
      <c r="CD138" s="316" t="str">
        <f>IF(C138&gt;0,"",S138*BQ138*BZ138+AZ138*BB138*BJ138+X138*Z138*(IF(W138&lt;&gt;"Double",AH138,AQ138+AV138))+IF(D138="Loop",0,VLOOKUP(E138,'Legend(DX)'!$H$8:$AT$16,36,FALSE)))</f>
        <v/>
      </c>
      <c r="CE138" s="242"/>
      <c r="CF138" s="241"/>
      <c r="CH138" s="213">
        <f>IF(OR(AB138&lt;($AB$4),AB138&gt;($AC$4)),1,0)</f>
        <v>1</v>
      </c>
      <c r="CI138" s="213">
        <f>IF(OR(BD138&lt;($BD$4),BD138&gt;($BE$4)),1,0)</f>
        <v>0</v>
      </c>
      <c r="CJ138" s="213">
        <f>IF(BN138&lt;($F$4),1,0)</f>
        <v>0</v>
      </c>
      <c r="CK138" s="213">
        <f>IF(BO138&lt;($E$4),1,0)</f>
        <v>0</v>
      </c>
      <c r="CL138" s="213">
        <f>IF(BP138&lt;($D$4),1,0)</f>
        <v>0</v>
      </c>
      <c r="CM138" s="213">
        <f>IF(BS138&gt;($BS$4),1,0)</f>
        <v>1</v>
      </c>
      <c r="CN138" s="213">
        <f>IF(BU138&gt;($BT$4),1,0)</f>
        <v>0</v>
      </c>
      <c r="CO138" s="213">
        <f>SUM(CH138:CN138)</f>
        <v>2</v>
      </c>
      <c r="CQ138" s="304" t="s">
        <v>171</v>
      </c>
      <c r="CR138" s="213">
        <f t="shared" ref="CR138:DC138" si="39">IF($W138="Single",IF($AG138="",IF($AF138=CR$8,$X138,0),IF($AG138=CR$8,$X138,0)),0)</f>
        <v>0</v>
      </c>
      <c r="CS138" s="213">
        <f t="shared" si="39"/>
        <v>0</v>
      </c>
      <c r="CT138" s="213">
        <f t="shared" si="39"/>
        <v>0</v>
      </c>
      <c r="CU138" s="213">
        <f t="shared" si="39"/>
        <v>0</v>
      </c>
      <c r="CV138" s="213">
        <f t="shared" si="39"/>
        <v>0</v>
      </c>
      <c r="CW138" s="213">
        <f t="shared" si="39"/>
        <v>0</v>
      </c>
      <c r="CX138" s="213">
        <f t="shared" si="39"/>
        <v>0</v>
      </c>
      <c r="CY138" s="213">
        <f t="shared" si="39"/>
        <v>0</v>
      </c>
      <c r="CZ138" s="213">
        <f t="shared" si="39"/>
        <v>0</v>
      </c>
      <c r="DA138" s="213">
        <f t="shared" si="39"/>
        <v>0</v>
      </c>
      <c r="DB138" s="213">
        <f t="shared" si="39"/>
        <v>0</v>
      </c>
      <c r="DC138" s="213">
        <f t="shared" si="39"/>
        <v>0</v>
      </c>
      <c r="DE138" s="304" t="str">
        <f>IF(AG138="",IF(X138=0,TEXT(AF138,"# 0/0")&amp;"*",TEXT(AF138,"# 0/0")),IF(X138=0,TEXT(AG138,"# 0/0")&amp;"*",TEXT(AG138,"# 0/0")))</f>
        <v>*</v>
      </c>
      <c r="DF138" s="25" t="str">
        <f>IF(AP138="",IF(X138=0,TEXT(AO138,"# 0/0")&amp;"*",TEXT(AO138,"# 0/0")),IF(X138=0,TEXT(AP138,"# 0/0")&amp;"*",TEXT(AP138,"# 0/0")))</f>
        <v>*</v>
      </c>
      <c r="DG138" s="25" t="str">
        <f>IF(AU138="",IF(X138=0,TEXT(AT138,"# 0/0")&amp;"*",TEXT(AT138,"# 0/0")),IF(X138=0,TEXT(AU138,"# 0/0")&amp;"*",TEXT(AU138,"# 0/0")))</f>
        <v>*</v>
      </c>
      <c r="DH138" s="329" t="s">
        <v>1623</v>
      </c>
      <c r="DI138" s="310" t="str">
        <f>IF($BI138="",$BH138,$BI138)</f>
        <v/>
      </c>
      <c r="DJ138" s="1620"/>
      <c r="DK138" s="440" t="str">
        <f>IF(W138="Double",DF138 &amp; " &amp; " &amp; DG138,DE138)</f>
        <v>*</v>
      </c>
      <c r="DL138" s="1619"/>
      <c r="DM138" s="310" t="str">
        <f>IF($BY138="",$BX138,$BY138)</f>
        <v/>
      </c>
      <c r="DN138" s="1620"/>
      <c r="DO138" s="310" t="str">
        <f>$BQ138</f>
        <v/>
      </c>
      <c r="DR138" s="1231" t="str">
        <f>J138</f>
        <v/>
      </c>
      <c r="DS138" s="1231" t="str">
        <f>IF(C138&gt;0,"",(Pressure($B$3,"Tliq","e",$J138)+Pressure($B$3,"Tvap","e",$J138))/2)</f>
        <v/>
      </c>
      <c r="DT138" s="1231" t="str">
        <f>IF(C138&gt;0,"",Pressure($B$3,"tvap","e",$J138+0.5*$DZ138))</f>
        <v/>
      </c>
      <c r="DU138" s="1231" t="str">
        <f>I138</f>
        <v/>
      </c>
      <c r="DV138" s="1231" t="str">
        <f>IF(C138&gt;0,"",(Pressure($B$3,"Tliq","e",$I138)+Pressure($B$3,"Tvap","e",$I138))/2)</f>
        <v/>
      </c>
      <c r="DW138" s="1231" t="str">
        <f>IF(C138&gt;0,"",Pressure($B$3,"tvap","e",$I138+0.5*$DZ138))</f>
        <v/>
      </c>
      <c r="DX138" s="444" t="str">
        <f>IF(C138&gt;0,"",1-(Enthalpy($B$3,"pvap","e",$DV138)-(IF($G$4+0.5*$DR$4&gt;$H$4,Enthalpy($B$3,"Tliq","e",$G$4),Enthalpy($B$3,"tp","e",$G$4,$I$4))))/(Enthalpy($B$3,"pvap","e",$DV138)-Enthalpy($B$3,"pliq","e",$DV138)))</f>
        <v/>
      </c>
      <c r="DY138" s="1231" t="str">
        <f>IF(C138&gt;0,"",TEMPERATURE($B$3,"pvap","e",$DS138)-TEMPERATURE($B$3,"pliq","e",$DS138))</f>
        <v/>
      </c>
      <c r="DZ138" s="1231" t="e">
        <f>(1-$DX138)*$DY138</f>
        <v>#VALUE!</v>
      </c>
      <c r="EA138" s="213"/>
    </row>
    <row r="139" spans="1:131" ht="12.75" hidden="1" customHeight="1" x14ac:dyDescent="0.2">
      <c r="A139" s="240"/>
      <c r="B139" s="240"/>
      <c r="C139" s="240"/>
      <c r="D139" s="236"/>
      <c r="E139" s="235"/>
      <c r="F139" s="234"/>
      <c r="G139" s="234"/>
      <c r="H139" s="221"/>
      <c r="I139" s="221"/>
      <c r="J139" s="221"/>
      <c r="K139" s="221"/>
      <c r="L139" s="221"/>
      <c r="M139" s="223"/>
      <c r="N139" s="223"/>
      <c r="O139" s="223"/>
      <c r="P139" s="223"/>
      <c r="Q139" s="224"/>
      <c r="R139" s="223"/>
      <c r="S139" s="223"/>
      <c r="T139" s="227"/>
      <c r="U139" s="224"/>
      <c r="V139" s="224"/>
      <c r="W139" s="222"/>
      <c r="X139" s="221"/>
      <c r="Y139" s="221"/>
      <c r="Z139" s="228"/>
      <c r="AA139" s="227"/>
      <c r="AB139" s="219" t="str">
        <f>IF(C138&gt;0,"",vel(U138,Z138,AH139))</f>
        <v/>
      </c>
      <c r="AC139" s="220" t="str">
        <f>IF(C138&gt;0,"",pdrop(AE139,Y138,Z138,AB139,AF139))</f>
        <v/>
      </c>
      <c r="AD139" s="219" t="str">
        <f>IF(C138&gt;0,"",(((AB139/60)*Z138)/AA138)*(VLOOKUP(AF139,'Pipe Data'!F$7:G$19,2,FALSE))/12)</f>
        <v/>
      </c>
      <c r="AE139" s="218" t="str">
        <f>IF(C138&gt;0,"",(0.25/(LOG(5.74/(AD139^0.9))+((VLOOKUP(AF139,'Pipe Data'!J$7:X$19,15,FALSE))/3.7))^2))</f>
        <v/>
      </c>
      <c r="AF139" s="216">
        <v>4.125</v>
      </c>
      <c r="AH139" s="233">
        <v>8.1138442517193113E-2</v>
      </c>
      <c r="AI139" s="239"/>
      <c r="AJ139" s="238"/>
      <c r="AK139" s="228"/>
      <c r="AL139" s="223"/>
      <c r="AM139" s="230"/>
      <c r="AN139" s="228"/>
      <c r="AO139" s="232"/>
      <c r="AQ139" s="231"/>
      <c r="AR139" s="230"/>
      <c r="AS139" s="224"/>
      <c r="AT139" s="232"/>
      <c r="AV139" s="231"/>
      <c r="AW139" s="230"/>
      <c r="AX139" s="222"/>
      <c r="AY139" s="224"/>
      <c r="AZ139" s="229"/>
      <c r="BA139" s="221"/>
      <c r="BB139" s="228"/>
      <c r="BC139" s="227"/>
      <c r="BD139" s="219" t="str">
        <f>IF(C138&gt;0,"",vel(U138,Z138,BJ139))</f>
        <v/>
      </c>
      <c r="BE139" s="220" t="str">
        <f>IF(C138&gt;0,"",pdrop(BG139,BA138,Z138,BD139,BH139))</f>
        <v/>
      </c>
      <c r="BF139" s="219" t="str">
        <f>IF(C138&gt;0,"",(((BD139/60)*Z138)/$AA$12)*((VLOOKUP(BH139,'Pipe Data'!F$7:G$19,2,FALSE))/12))</f>
        <v/>
      </c>
      <c r="BG139" s="218" t="str">
        <f>IF(C138&gt;0,"",(0.25/(LOG(5.74/(BF139^0.9))+((VLOOKUP(BH139,'Pipe Data'!J$7:X$19,15,FALSE))/3.7))^2))</f>
        <v/>
      </c>
      <c r="BH139" s="216">
        <v>4.125</v>
      </c>
      <c r="BI139" s="25">
        <f t="shared" ref="BI139:BI148" si="40">IF(BD139&gt;($BD$4),1,0)</f>
        <v>0</v>
      </c>
      <c r="BJ139" s="217">
        <v>8.1138442517193113E-2</v>
      </c>
      <c r="BK139" s="237">
        <v>4.125</v>
      </c>
      <c r="BL139" s="224"/>
      <c r="BM139" s="224"/>
      <c r="BN139" s="224"/>
      <c r="BO139" s="223"/>
      <c r="BP139" s="222"/>
      <c r="BQ139" s="221"/>
      <c r="BR139" s="221"/>
      <c r="BS139" s="219" t="str">
        <f>IF(C138&gt;0,"",vel(U138,S138,BZ139))</f>
        <v/>
      </c>
      <c r="BT139" s="220" t="str">
        <f>IF(C138&gt;0,"",pdrop(BW139,BA138,S138,BS139,BX139))</f>
        <v/>
      </c>
      <c r="BU139" s="220"/>
      <c r="BV139" s="219" t="str">
        <f>IF(C138&gt;0,"",(((BS139/60)*S138)/T138)*((VLOOKUP(BX139,'Pipe Data'!F$7:G$19,2,FALSE))/12))</f>
        <v/>
      </c>
      <c r="BW139" s="218" t="str">
        <f>IF(C138&gt;0,"",(0.25/(LOG(5.74/(BV139^0.9))+((VLOOKUP(BX139,'Pipe Data'!J$7:X$19,15,FALSE))/3.7))^2))</f>
        <v/>
      </c>
      <c r="BX139" s="216">
        <v>4.125</v>
      </c>
      <c r="BY139" s="25" t="str">
        <f t="shared" ref="BY139:BY150" si="41">IF(C$138&gt;0,"",IF(AND(BS139&lt;($BS$4),BT139&lt;($BT$4)),0,1))</f>
        <v/>
      </c>
      <c r="BZ139" s="217">
        <v>8.1138442517193113E-2</v>
      </c>
      <c r="CA139" s="237">
        <v>4.125</v>
      </c>
      <c r="CC139" s="313"/>
      <c r="CD139" s="317"/>
      <c r="CE139" s="215"/>
      <c r="CF139" s="214"/>
      <c r="CQ139" s="304" t="s">
        <v>154</v>
      </c>
      <c r="CR139" s="213">
        <f t="shared" ref="CR139:DC139" si="42">IF($BI138="",IF($BH138=CR$8,$AZ138,0),IF($BI138=CR$8,$AZ138,0))</f>
        <v>0</v>
      </c>
      <c r="CS139" s="213">
        <f t="shared" si="42"/>
        <v>0</v>
      </c>
      <c r="CT139" s="213">
        <f t="shared" si="42"/>
        <v>0</v>
      </c>
      <c r="CU139" s="213">
        <f t="shared" si="42"/>
        <v>0</v>
      </c>
      <c r="CV139" s="213">
        <f t="shared" si="42"/>
        <v>0</v>
      </c>
      <c r="CW139" s="213">
        <f t="shared" si="42"/>
        <v>0</v>
      </c>
      <c r="CX139" s="213">
        <f t="shared" si="42"/>
        <v>0</v>
      </c>
      <c r="CY139" s="213">
        <f t="shared" si="42"/>
        <v>0</v>
      </c>
      <c r="CZ139" s="213">
        <f t="shared" si="42"/>
        <v>0</v>
      </c>
      <c r="DA139" s="213">
        <f t="shared" si="42"/>
        <v>0</v>
      </c>
      <c r="DB139" s="213">
        <f t="shared" si="42"/>
        <v>0</v>
      </c>
      <c r="DC139" s="213">
        <f t="shared" si="42"/>
        <v>0</v>
      </c>
      <c r="DJ139" s="1620"/>
      <c r="DK139" s="440"/>
      <c r="DL139" s="1619"/>
      <c r="DN139" s="1620"/>
      <c r="DR139" s="1231"/>
      <c r="DS139" s="213"/>
      <c r="DT139" s="213"/>
      <c r="DU139" s="213"/>
      <c r="DV139" s="213"/>
      <c r="DW139" s="213"/>
      <c r="DX139" s="213"/>
      <c r="DY139" s="213"/>
      <c r="DZ139" s="213"/>
      <c r="EA139" s="213"/>
    </row>
    <row r="140" spans="1:131" ht="12.75" hidden="1" customHeight="1" x14ac:dyDescent="0.2">
      <c r="D140" s="236"/>
      <c r="E140" s="235"/>
      <c r="F140" s="234"/>
      <c r="G140" s="234"/>
      <c r="H140" s="221"/>
      <c r="I140" s="221"/>
      <c r="J140" s="221"/>
      <c r="K140" s="221"/>
      <c r="L140" s="221"/>
      <c r="M140" s="223"/>
      <c r="N140" s="223"/>
      <c r="O140" s="223"/>
      <c r="P140" s="223"/>
      <c r="Q140" s="224"/>
      <c r="R140" s="223"/>
      <c r="S140" s="223"/>
      <c r="T140" s="227"/>
      <c r="U140" s="224"/>
      <c r="V140" s="224"/>
      <c r="W140" s="222"/>
      <c r="X140" s="221"/>
      <c r="Y140" s="221"/>
      <c r="Z140" s="228"/>
      <c r="AA140" s="227"/>
      <c r="AB140" s="219" t="str">
        <f>IF(C138&gt;0,"",vel(U138,Z138,AH140))</f>
        <v/>
      </c>
      <c r="AC140" s="220" t="str">
        <f>IF(C138&gt;0,"",pdrop(AE140,Y138,Z138,AB140,AF140))</f>
        <v/>
      </c>
      <c r="AD140" s="219" t="str">
        <f>IF(C138&gt;0,"",(((AB140/60)*Z138)/AA138)*(VLOOKUP(AF140,'Pipe Data'!F$7:G$19,2,FALSE))/12)</f>
        <v/>
      </c>
      <c r="AE140" s="218" t="str">
        <f>IF(C138&gt;0,"",(0.25/(LOG(5.74/(AD140^0.9))+((VLOOKUP(AF140,'Pipe Data'!J$7:X$19,15,FALSE))/3.7))^2))</f>
        <v/>
      </c>
      <c r="AF140" s="216">
        <v>3.625</v>
      </c>
      <c r="AH140" s="233">
        <v>6.2494922713852256E-2</v>
      </c>
      <c r="AI140" s="239"/>
      <c r="AJ140" s="238"/>
      <c r="AK140" s="228"/>
      <c r="AL140" s="223"/>
      <c r="AM140" s="230"/>
      <c r="AN140" s="228"/>
      <c r="AO140" s="232"/>
      <c r="AQ140" s="231"/>
      <c r="AR140" s="230"/>
      <c r="AS140" s="224"/>
      <c r="AT140" s="232"/>
      <c r="AV140" s="231"/>
      <c r="AW140" s="230"/>
      <c r="AX140" s="222"/>
      <c r="AY140" s="224"/>
      <c r="AZ140" s="229"/>
      <c r="BA140" s="221"/>
      <c r="BB140" s="228"/>
      <c r="BC140" s="227"/>
      <c r="BD140" s="219" t="str">
        <f>IF(C138&gt;0,"",vel(U138,Z138,BJ140))</f>
        <v/>
      </c>
      <c r="BE140" s="220" t="str">
        <f>IF(C138&gt;0,"",pdrop(BG140,BA138,Z138,BD140,BH140))</f>
        <v/>
      </c>
      <c r="BF140" s="219" t="str">
        <f>IF(C138&gt;0,"",(((BD140/60)*Z138)/$AA$12)*((VLOOKUP(BH140,'Pipe Data'!F$7:G$19,2,FALSE))/12))</f>
        <v/>
      </c>
      <c r="BG140" s="218" t="str">
        <f>IF(C138&gt;0,"",(0.25/(LOG(5.74/(BF140^0.9))+((VLOOKUP(BH140,'Pipe Data'!J$7:X$19,15,FALSE))/3.7))^2))</f>
        <v/>
      </c>
      <c r="BH140" s="216">
        <v>3.625</v>
      </c>
      <c r="BI140" s="25">
        <f t="shared" si="40"/>
        <v>0</v>
      </c>
      <c r="BJ140" s="217">
        <v>6.2494922713852256E-2</v>
      </c>
      <c r="BK140" s="237">
        <v>3.625</v>
      </c>
      <c r="BL140" s="224"/>
      <c r="BM140" s="224"/>
      <c r="BN140" s="224"/>
      <c r="BO140" s="223"/>
      <c r="BP140" s="222"/>
      <c r="BQ140" s="221"/>
      <c r="BR140" s="221"/>
      <c r="BS140" s="219" t="str">
        <f>IF(C138&gt;0,"",vel(U138,S138,BZ140))</f>
        <v/>
      </c>
      <c r="BT140" s="220" t="str">
        <f>IF(C138&gt;0,"",pdrop(BW140,BA138,S138,BS140,BX140))</f>
        <v/>
      </c>
      <c r="BU140" s="220"/>
      <c r="BV140" s="219" t="str">
        <f>IF(C138&gt;0,"",(((BS140/60)*S138)/T138)*((VLOOKUP(BX140,'Pipe Data'!F$7:G$19,2,FALSE))/12))</f>
        <v/>
      </c>
      <c r="BW140" s="218" t="str">
        <f>IF(C138&gt;0,"",(0.25/(LOG(5.74/(BV140^0.9))+((VLOOKUP(BX140,'Pipe Data'!J$7:X$19,15,FALSE))/3.7))^2))</f>
        <v/>
      </c>
      <c r="BX140" s="216">
        <v>3.625</v>
      </c>
      <c r="BY140" s="25" t="str">
        <f t="shared" si="41"/>
        <v/>
      </c>
      <c r="BZ140" s="217">
        <v>6.2494922713852256E-2</v>
      </c>
      <c r="CA140" s="237">
        <v>3.625</v>
      </c>
      <c r="CC140" s="313"/>
      <c r="CD140" s="317"/>
      <c r="CE140" s="215"/>
      <c r="CF140" s="214"/>
      <c r="CQ140" s="304" t="s">
        <v>155</v>
      </c>
      <c r="CR140" s="213">
        <f t="shared" ref="CR140:DC140" si="43">IF($BY138="",IF($BX138=CR$8,$BQ138,0),IF($BY138=CR$8,$BQ138,0))</f>
        <v>0</v>
      </c>
      <c r="CS140" s="213">
        <f t="shared" si="43"/>
        <v>0</v>
      </c>
      <c r="CT140" s="213">
        <f t="shared" si="43"/>
        <v>0</v>
      </c>
      <c r="CU140" s="213">
        <f t="shared" si="43"/>
        <v>0</v>
      </c>
      <c r="CV140" s="213">
        <f t="shared" si="43"/>
        <v>0</v>
      </c>
      <c r="CW140" s="213">
        <f t="shared" si="43"/>
        <v>0</v>
      </c>
      <c r="CX140" s="213">
        <f t="shared" si="43"/>
        <v>0</v>
      </c>
      <c r="CY140" s="213">
        <f t="shared" si="43"/>
        <v>0</v>
      </c>
      <c r="CZ140" s="213">
        <f t="shared" si="43"/>
        <v>0</v>
      </c>
      <c r="DA140" s="213">
        <f t="shared" si="43"/>
        <v>0</v>
      </c>
      <c r="DB140" s="213">
        <f t="shared" si="43"/>
        <v>0</v>
      </c>
      <c r="DC140" s="213">
        <f t="shared" si="43"/>
        <v>0</v>
      </c>
      <c r="DJ140" s="1620"/>
      <c r="DK140" s="440"/>
      <c r="DL140" s="1619"/>
      <c r="DN140" s="1620"/>
      <c r="DR140" s="1231"/>
      <c r="DS140" s="213"/>
      <c r="DT140" s="213"/>
      <c r="DU140" s="213"/>
      <c r="DV140" s="213"/>
      <c r="DW140" s="213"/>
      <c r="DX140" s="213"/>
      <c r="DY140" s="213"/>
      <c r="DZ140" s="213"/>
      <c r="EA140" s="213"/>
    </row>
    <row r="141" spans="1:131" ht="12.75" hidden="1" customHeight="1" x14ac:dyDescent="0.2">
      <c r="D141" s="236"/>
      <c r="E141" s="235"/>
      <c r="F141" s="234"/>
      <c r="G141" s="234"/>
      <c r="H141" s="221"/>
      <c r="I141" s="221"/>
      <c r="J141" s="221"/>
      <c r="K141" s="221"/>
      <c r="L141" s="221"/>
      <c r="M141" s="223"/>
      <c r="N141" s="223"/>
      <c r="O141" s="223"/>
      <c r="P141" s="223"/>
      <c r="Q141" s="224"/>
      <c r="R141" s="223"/>
      <c r="S141" s="223"/>
      <c r="T141" s="227"/>
      <c r="U141" s="224"/>
      <c r="V141" s="224"/>
      <c r="W141" s="222"/>
      <c r="X141" s="221"/>
      <c r="Y141" s="221"/>
      <c r="Z141" s="228"/>
      <c r="AA141" s="227"/>
      <c r="AB141" s="219" t="str">
        <f>IF(C138&gt;0,"",vel(U138,Z138,AH141))</f>
        <v/>
      </c>
      <c r="AC141" s="220" t="str">
        <f>IF(C138&gt;0,"",pdrop(AE141,Y138,Z138,AB141,AF141))</f>
        <v/>
      </c>
      <c r="AD141" s="219" t="str">
        <f>IF(C138&gt;0,"",(((AB141/60)*Z138)/AA138)*(VLOOKUP(AF141,'Pipe Data'!F$7:G$19,2,FALSE))/12)</f>
        <v/>
      </c>
      <c r="AE141" s="218" t="str">
        <f>IF(C138&gt;0,"",(0.25/(LOG(5.74/(AD141^0.9))+((VLOOKUP(AF141,'Pipe Data'!J$7:X$19,15,FALSE))/3.7))^2))</f>
        <v/>
      </c>
      <c r="AF141" s="216">
        <v>3.125</v>
      </c>
      <c r="AH141" s="233">
        <v>4.6091140306364464E-2</v>
      </c>
      <c r="AI141" s="239"/>
      <c r="AJ141" s="238"/>
      <c r="AK141" s="228"/>
      <c r="AL141" s="223"/>
      <c r="AM141" s="230"/>
      <c r="AN141" s="228"/>
      <c r="AO141" s="232"/>
      <c r="AQ141" s="231"/>
      <c r="AR141" s="230"/>
      <c r="AS141" s="224"/>
      <c r="AT141" s="232"/>
      <c r="AV141" s="231"/>
      <c r="AW141" s="230"/>
      <c r="AX141" s="222"/>
      <c r="AY141" s="224"/>
      <c r="AZ141" s="229"/>
      <c r="BA141" s="221"/>
      <c r="BB141" s="228"/>
      <c r="BC141" s="227"/>
      <c r="BD141" s="219" t="str">
        <f>IF(C138&gt;0,"",vel(U138,Z138,BJ141))</f>
        <v/>
      </c>
      <c r="BE141" s="220" t="str">
        <f>IF(C138&gt;0,"",pdrop(BG141,BA138,Z138,BD141,BH141))</f>
        <v/>
      </c>
      <c r="BF141" s="219" t="str">
        <f>IF(C138&gt;0,"",(((BD141/60)*Z138)/$AA$12)*((VLOOKUP(BH141,'Pipe Data'!F$7:G$19,2,FALSE))/12))</f>
        <v/>
      </c>
      <c r="BG141" s="218" t="str">
        <f>IF(C138&gt;0,"",(0.25/(LOG(5.74/(BF141^0.9))+((VLOOKUP(BH141,'Pipe Data'!J$7:X$19,15,FALSE))/3.7))^2))</f>
        <v/>
      </c>
      <c r="BH141" s="216">
        <v>3.125</v>
      </c>
      <c r="BI141" s="25">
        <f t="shared" si="40"/>
        <v>0</v>
      </c>
      <c r="BJ141" s="217">
        <v>4.6091140306364464E-2</v>
      </c>
      <c r="BK141" s="237">
        <v>3.125</v>
      </c>
      <c r="BL141" s="224"/>
      <c r="BM141" s="224"/>
      <c r="BN141" s="224"/>
      <c r="BO141" s="223"/>
      <c r="BP141" s="222"/>
      <c r="BQ141" s="221"/>
      <c r="BR141" s="221"/>
      <c r="BS141" s="219" t="str">
        <f>IF(C138&gt;0,"",vel(U138,S138,BZ141))</f>
        <v/>
      </c>
      <c r="BT141" s="220" t="str">
        <f>IF(C138&gt;0,"",pdrop(BW141,BA138,S138,BS141,BX141))</f>
        <v/>
      </c>
      <c r="BU141" s="220"/>
      <c r="BV141" s="219" t="str">
        <f>IF(C138&gt;0,"",(((BS141/60)*S138)/T138)*((VLOOKUP(BX141,'Pipe Data'!F$7:G$19,2,FALSE))/12))</f>
        <v/>
      </c>
      <c r="BW141" s="218" t="str">
        <f>IF(C138&gt;0,"",(0.25/(LOG(5.74/(BV141^0.9))+((VLOOKUP(BX141,'Pipe Data'!J$7:X$19,15,FALSE))/3.7))^2))</f>
        <v/>
      </c>
      <c r="BX141" s="216">
        <v>3.125</v>
      </c>
      <c r="BY141" s="25" t="str">
        <f t="shared" si="41"/>
        <v/>
      </c>
      <c r="BZ141" s="217">
        <v>4.6091140306364464E-2</v>
      </c>
      <c r="CA141" s="237">
        <v>3.125</v>
      </c>
      <c r="CC141" s="313"/>
      <c r="CD141" s="317"/>
      <c r="CE141" s="215"/>
      <c r="CF141" s="214"/>
      <c r="CQ141" s="25" t="s">
        <v>172</v>
      </c>
      <c r="CR141" s="213">
        <f t="shared" ref="CR141:DC141" si="44">IF($W138="double",IF($AP138="",IF($AO138=CR$8,$X138,0),IF($AP138=CR$8,$X138,0)),0)</f>
        <v>0</v>
      </c>
      <c r="CS141" s="213">
        <f t="shared" si="44"/>
        <v>0</v>
      </c>
      <c r="CT141" s="213">
        <f t="shared" si="44"/>
        <v>0</v>
      </c>
      <c r="CU141" s="213">
        <f t="shared" si="44"/>
        <v>0</v>
      </c>
      <c r="CV141" s="213">
        <f t="shared" si="44"/>
        <v>0</v>
      </c>
      <c r="CW141" s="213">
        <f t="shared" si="44"/>
        <v>0</v>
      </c>
      <c r="CX141" s="213">
        <f t="shared" si="44"/>
        <v>0</v>
      </c>
      <c r="CY141" s="213">
        <f t="shared" si="44"/>
        <v>0</v>
      </c>
      <c r="CZ141" s="213">
        <f t="shared" si="44"/>
        <v>0</v>
      </c>
      <c r="DA141" s="213">
        <f t="shared" si="44"/>
        <v>0</v>
      </c>
      <c r="DB141" s="213">
        <f t="shared" si="44"/>
        <v>0</v>
      </c>
      <c r="DC141" s="213">
        <f t="shared" si="44"/>
        <v>0</v>
      </c>
      <c r="DJ141" s="1620"/>
      <c r="DK141" s="440"/>
      <c r="DL141" s="1619"/>
      <c r="DN141" s="1620"/>
      <c r="DR141" s="1231"/>
      <c r="DS141" s="213"/>
      <c r="DT141" s="213"/>
      <c r="DU141" s="213"/>
      <c r="DV141" s="213"/>
      <c r="DW141" s="213"/>
      <c r="DX141" s="213"/>
      <c r="DY141" s="213"/>
      <c r="DZ141" s="213"/>
      <c r="EA141" s="213"/>
    </row>
    <row r="142" spans="1:131" ht="12.75" hidden="1" customHeight="1" x14ac:dyDescent="0.2">
      <c r="D142" s="236"/>
      <c r="E142" s="235"/>
      <c r="F142" s="234"/>
      <c r="G142" s="234"/>
      <c r="H142" s="221"/>
      <c r="I142" s="221"/>
      <c r="J142" s="221"/>
      <c r="K142" s="221"/>
      <c r="L142" s="221"/>
      <c r="M142" s="223"/>
      <c r="N142" s="223"/>
      <c r="O142" s="223"/>
      <c r="P142" s="223"/>
      <c r="Q142" s="224"/>
      <c r="R142" s="223"/>
      <c r="S142" s="223"/>
      <c r="T142" s="227"/>
      <c r="U142" s="224"/>
      <c r="V142" s="224"/>
      <c r="W142" s="222"/>
      <c r="X142" s="221"/>
      <c r="Y142" s="221"/>
      <c r="Z142" s="228"/>
      <c r="AA142" s="227"/>
      <c r="AB142" s="219" t="str">
        <f>IF(C138&gt;0,"",vel(U138,Z138,AH142))</f>
        <v/>
      </c>
      <c r="AC142" s="220" t="str">
        <f>IF(C138&gt;0,"",pdrop(AE142,Y138,Z138,AB142,AF142))</f>
        <v/>
      </c>
      <c r="AD142" s="219" t="str">
        <f>IF(C138&gt;0,"",(((AB142/60)*Z138)/AA138)*(VLOOKUP(AF142,'Pipe Data'!F$7:G$19,2,FALSE))/12)</f>
        <v/>
      </c>
      <c r="AE142" s="218" t="str">
        <f>IF(C138&gt;0,"",(0.25/(LOG(5.74/(AD142^0.9))+((VLOOKUP(AF142,'Pipe Data'!J$7:X$19,15,FALSE))/3.7))^2))</f>
        <v/>
      </c>
      <c r="AF142" s="216">
        <v>2.625</v>
      </c>
      <c r="AH142" s="233">
        <v>3.2338905731737741E-2</v>
      </c>
      <c r="AI142" s="239"/>
      <c r="AJ142" s="238"/>
      <c r="AK142" s="228"/>
      <c r="AL142" s="223"/>
      <c r="AM142" s="230"/>
      <c r="AN142" s="228"/>
      <c r="AO142" s="232"/>
      <c r="AQ142" s="231"/>
      <c r="AR142" s="230"/>
      <c r="AS142" s="224"/>
      <c r="AT142" s="232"/>
      <c r="AV142" s="231"/>
      <c r="AW142" s="230"/>
      <c r="AX142" s="222"/>
      <c r="AY142" s="224"/>
      <c r="AZ142" s="229"/>
      <c r="BA142" s="221"/>
      <c r="BB142" s="228"/>
      <c r="BC142" s="227"/>
      <c r="BD142" s="219" t="str">
        <f>IF(C138&gt;0,"",vel(U138,Z138,BJ142))</f>
        <v/>
      </c>
      <c r="BE142" s="220" t="str">
        <f>IF(C138&gt;0,"",pdrop(BG142,BA138,Z138,BD142,BH142))</f>
        <v/>
      </c>
      <c r="BF142" s="219" t="str">
        <f>IF(C138&gt;0,"",(((BD142/60)*Z138)/$AA$12)*((VLOOKUP(BH142,'Pipe Data'!F$7:G$19,2,FALSE))/12))</f>
        <v/>
      </c>
      <c r="BG142" s="218" t="str">
        <f>IF(C138&gt;0,"",(0.25/(LOG(5.74/(BF142^0.9))+((VLOOKUP(BH142,'Pipe Data'!J$7:X$19,15,FALSE))/3.7))^2))</f>
        <v/>
      </c>
      <c r="BH142" s="216">
        <v>2.625</v>
      </c>
      <c r="BI142" s="25">
        <f t="shared" si="40"/>
        <v>0</v>
      </c>
      <c r="BJ142" s="217">
        <v>3.2338905731737741E-2</v>
      </c>
      <c r="BK142" s="237">
        <v>2.625</v>
      </c>
      <c r="BL142" s="224"/>
      <c r="BM142" s="224"/>
      <c r="BN142" s="224"/>
      <c r="BO142" s="223"/>
      <c r="BP142" s="222"/>
      <c r="BQ142" s="221"/>
      <c r="BR142" s="221"/>
      <c r="BS142" s="219" t="str">
        <f>IF(C138&gt;0,"",vel(U138,S138,BZ142))</f>
        <v/>
      </c>
      <c r="BT142" s="220" t="str">
        <f>IF(C138&gt;0,"",pdrop(BW142,BA138,S138,BS142,BX142))</f>
        <v/>
      </c>
      <c r="BU142" s="220"/>
      <c r="BV142" s="219" t="str">
        <f>IF(C138&gt;0,"",(((BS142/60)*S138)/T138)*((VLOOKUP(BX142,'Pipe Data'!F$7:G$19,2,FALSE))/12))</f>
        <v/>
      </c>
      <c r="BW142" s="218" t="str">
        <f>IF(C138&gt;0,"",(0.25/(LOG(5.74/(BV142^0.9))+((VLOOKUP(BX142,'Pipe Data'!J$7:X$19,15,FALSE))/3.7))^2))</f>
        <v/>
      </c>
      <c r="BX142" s="216">
        <v>2.625</v>
      </c>
      <c r="BY142" s="25" t="str">
        <f t="shared" si="41"/>
        <v/>
      </c>
      <c r="BZ142" s="217">
        <v>3.2338905731737741E-2</v>
      </c>
      <c r="CA142" s="237">
        <v>2.625</v>
      </c>
      <c r="CC142" s="313"/>
      <c r="CD142" s="317"/>
      <c r="CE142" s="215"/>
      <c r="CF142" s="214"/>
      <c r="CQ142" s="25" t="s">
        <v>173</v>
      </c>
      <c r="CR142" s="213">
        <f t="shared" ref="CR142:DC142" si="45">IF($W138="double",IF($AU138="",IF($AT138=CR$8,$X138,0),IF($AU138=CR$8,$X138,0)),0)</f>
        <v>0</v>
      </c>
      <c r="CS142" s="213">
        <f t="shared" si="45"/>
        <v>0</v>
      </c>
      <c r="CT142" s="213">
        <f t="shared" si="45"/>
        <v>0</v>
      </c>
      <c r="CU142" s="213">
        <f t="shared" si="45"/>
        <v>0</v>
      </c>
      <c r="CV142" s="213">
        <f t="shared" si="45"/>
        <v>0</v>
      </c>
      <c r="CW142" s="213">
        <f t="shared" si="45"/>
        <v>0</v>
      </c>
      <c r="CX142" s="213">
        <f t="shared" si="45"/>
        <v>0</v>
      </c>
      <c r="CY142" s="213">
        <f t="shared" si="45"/>
        <v>0</v>
      </c>
      <c r="CZ142" s="213">
        <f t="shared" si="45"/>
        <v>0</v>
      </c>
      <c r="DA142" s="213">
        <f t="shared" si="45"/>
        <v>0</v>
      </c>
      <c r="DB142" s="213">
        <f t="shared" si="45"/>
        <v>0</v>
      </c>
      <c r="DC142" s="213">
        <f t="shared" si="45"/>
        <v>0</v>
      </c>
      <c r="DJ142" s="1620"/>
      <c r="DK142" s="440"/>
      <c r="DL142" s="1619"/>
      <c r="DN142" s="1620"/>
      <c r="DR142" s="1231"/>
      <c r="DS142" s="213"/>
      <c r="DT142" s="213"/>
      <c r="DU142" s="213"/>
      <c r="DV142" s="213"/>
      <c r="DW142" s="213"/>
      <c r="DX142" s="213"/>
      <c r="DY142" s="213"/>
      <c r="DZ142" s="213"/>
      <c r="EA142" s="213"/>
    </row>
    <row r="143" spans="1:131" ht="12.75" hidden="1" customHeight="1" x14ac:dyDescent="0.2">
      <c r="D143" s="236"/>
      <c r="E143" s="235"/>
      <c r="F143" s="234"/>
      <c r="G143" s="234"/>
      <c r="H143" s="221"/>
      <c r="I143" s="221"/>
      <c r="J143" s="221"/>
      <c r="K143" s="221"/>
      <c r="L143" s="221"/>
      <c r="M143" s="223"/>
      <c r="N143" s="223"/>
      <c r="O143" s="223"/>
      <c r="P143" s="223"/>
      <c r="Q143" s="224"/>
      <c r="R143" s="223"/>
      <c r="S143" s="223"/>
      <c r="T143" s="227"/>
      <c r="U143" s="224"/>
      <c r="V143" s="224"/>
      <c r="W143" s="222"/>
      <c r="X143" s="221"/>
      <c r="Y143" s="221"/>
      <c r="Z143" s="228"/>
      <c r="AA143" s="227"/>
      <c r="AB143" s="219" t="str">
        <f>IF(C138&gt;0,"",vel(U138,Z138,AH143))</f>
        <v/>
      </c>
      <c r="AC143" s="220" t="str">
        <f>IF(C138&gt;0,"",pdrop(AE143,Y138,Z138,AB143,AF143))</f>
        <v/>
      </c>
      <c r="AD143" s="219" t="str">
        <f>IF(C138&gt;0,"",(((AB143/60)*Z138)/AA138)*(VLOOKUP(AF143,'Pipe Data'!F$7:G$19,2,FALSE))/12)</f>
        <v/>
      </c>
      <c r="AE143" s="218" t="str">
        <f>IF(C138&gt;0,"",(0.25/(LOG(5.74/(AD143^0.9))+((VLOOKUP(AF143,'Pipe Data'!J$7:X$19,15,FALSE))/3.7))^2))</f>
        <v/>
      </c>
      <c r="AF143" s="216">
        <v>2.125</v>
      </c>
      <c r="AH143" s="233">
        <v>2.0931302841008911E-2</v>
      </c>
      <c r="AI143" s="239"/>
      <c r="AJ143" s="238"/>
      <c r="AK143" s="228"/>
      <c r="AL143" s="223"/>
      <c r="AM143" s="230"/>
      <c r="AN143" s="228"/>
      <c r="AO143" s="232"/>
      <c r="AQ143" s="231"/>
      <c r="AR143" s="230"/>
      <c r="AS143" s="224"/>
      <c r="AT143" s="232"/>
      <c r="AV143" s="231"/>
      <c r="AW143" s="230"/>
      <c r="AX143" s="222"/>
      <c r="AY143" s="224"/>
      <c r="AZ143" s="229"/>
      <c r="BA143" s="221"/>
      <c r="BB143" s="228"/>
      <c r="BC143" s="227"/>
      <c r="BD143" s="219" t="str">
        <f>IF(C138&gt;0,"",vel(U138,Z138,BJ143))</f>
        <v/>
      </c>
      <c r="BE143" s="220" t="str">
        <f>IF(C138&gt;0,"",pdrop(BG143,BA138,Z138,BD143,BH143))</f>
        <v/>
      </c>
      <c r="BF143" s="219" t="str">
        <f>IF(C138&gt;0,"",(((BD143/60)*Z138)/$AA$12)*((VLOOKUP(BH143,'Pipe Data'!F$7:G$19,2,FALSE))/12))</f>
        <v/>
      </c>
      <c r="BG143" s="218" t="str">
        <f>IF(C138&gt;0,"",(0.25/(LOG(5.74/(BF143^0.9))+((VLOOKUP(BH143,'Pipe Data'!J$7:X$19,15,FALSE))/3.7))^2))</f>
        <v/>
      </c>
      <c r="BH143" s="216">
        <v>2.125</v>
      </c>
      <c r="BI143" s="25">
        <f t="shared" si="40"/>
        <v>0</v>
      </c>
      <c r="BJ143" s="217">
        <v>2.0931302841008911E-2</v>
      </c>
      <c r="BK143" s="237">
        <v>2.125</v>
      </c>
      <c r="BL143" s="224"/>
      <c r="BM143" s="224"/>
      <c r="BN143" s="224"/>
      <c r="BO143" s="223"/>
      <c r="BP143" s="222"/>
      <c r="BQ143" s="221"/>
      <c r="BR143" s="221"/>
      <c r="BS143" s="219" t="str">
        <f>IF(C138&gt;0,"",vel(U138,S138,BZ143))</f>
        <v/>
      </c>
      <c r="BT143" s="220" t="str">
        <f>IF(C138&gt;0,"",pdrop(BW143,BA138,S138,BS143,BX143))</f>
        <v/>
      </c>
      <c r="BU143" s="220"/>
      <c r="BV143" s="219" t="str">
        <f>IF(C138&gt;0,"",(((BS143/60)*S138)/T138)*((VLOOKUP(BX143,'Pipe Data'!F$7:G$19,2,FALSE))/12))</f>
        <v/>
      </c>
      <c r="BW143" s="218" t="str">
        <f>IF(C138&gt;0,"",(0.25/(LOG(5.74/(BV143^0.9))+((VLOOKUP(BX143,'Pipe Data'!J$7:X$19,15,FALSE))/3.7))^2))</f>
        <v/>
      </c>
      <c r="BX143" s="216">
        <v>2.125</v>
      </c>
      <c r="BY143" s="25" t="str">
        <f t="shared" si="41"/>
        <v/>
      </c>
      <c r="BZ143" s="217">
        <v>2.0931302841008911E-2</v>
      </c>
      <c r="CA143" s="237">
        <v>2.125</v>
      </c>
      <c r="CC143" s="313"/>
      <c r="CD143" s="317"/>
      <c r="CE143" s="215"/>
      <c r="CF143" s="214"/>
      <c r="DJ143" s="1620"/>
      <c r="DK143" s="440"/>
      <c r="DL143" s="1619"/>
      <c r="DN143" s="1620"/>
      <c r="DR143" s="1231"/>
      <c r="DS143" s="213"/>
      <c r="DT143" s="213"/>
      <c r="DU143" s="213"/>
      <c r="DV143" s="213"/>
      <c r="DW143" s="213"/>
      <c r="DX143" s="213"/>
      <c r="DY143" s="213"/>
      <c r="DZ143" s="213"/>
      <c r="EA143" s="213"/>
    </row>
    <row r="144" spans="1:131" ht="12.75" hidden="1" customHeight="1" x14ac:dyDescent="0.2">
      <c r="D144" s="236"/>
      <c r="E144" s="235"/>
      <c r="F144" s="234"/>
      <c r="G144" s="234"/>
      <c r="H144" s="221"/>
      <c r="I144" s="221"/>
      <c r="J144" s="221"/>
      <c r="K144" s="221"/>
      <c r="L144" s="221"/>
      <c r="M144" s="223"/>
      <c r="N144" s="223"/>
      <c r="O144" s="223"/>
      <c r="P144" s="223"/>
      <c r="Q144" s="224"/>
      <c r="R144" s="223"/>
      <c r="S144" s="223"/>
      <c r="T144" s="227"/>
      <c r="U144" s="224"/>
      <c r="V144" s="224"/>
      <c r="W144" s="222"/>
      <c r="X144" s="221"/>
      <c r="Y144" s="221"/>
      <c r="Z144" s="228"/>
      <c r="AA144" s="227"/>
      <c r="AB144" s="219" t="str">
        <f>IF(C138&gt;0,"",vel(U138,Z138,AH144))</f>
        <v/>
      </c>
      <c r="AC144" s="220" t="str">
        <f>IF(C138&gt;0,"",pdrop(AE144,Y138,Z138,AB144,AF144))</f>
        <v/>
      </c>
      <c r="AD144" s="219" t="str">
        <f>IF(C138&gt;0,"",(((AB144/60)*Z138)/AA138)*(VLOOKUP(AF144,'Pipe Data'!F$7:G$19,2,FALSE))/12)</f>
        <v/>
      </c>
      <c r="AE144" s="218" t="str">
        <f>IF(C138&gt;0,"",(0.25/(LOG(5.74/(AD144^0.9))+((VLOOKUP(AF144,'Pipe Data'!J$7:X$19,15,FALSE))/3.7))^2))</f>
        <v/>
      </c>
      <c r="AF144" s="216">
        <v>1.625</v>
      </c>
      <c r="AH144" s="233">
        <v>1.2353794965620174E-2</v>
      </c>
      <c r="AI144" s="239"/>
      <c r="AJ144" s="238"/>
      <c r="AK144" s="228"/>
      <c r="AL144" s="223"/>
      <c r="AM144" s="230"/>
      <c r="AN144" s="228"/>
      <c r="AO144" s="232"/>
      <c r="AQ144" s="231"/>
      <c r="AR144" s="230"/>
      <c r="AS144" s="224"/>
      <c r="AT144" s="232"/>
      <c r="AV144" s="231"/>
      <c r="AW144" s="230"/>
      <c r="AX144" s="222"/>
      <c r="AY144" s="224"/>
      <c r="AZ144" s="229"/>
      <c r="BA144" s="221"/>
      <c r="BB144" s="228"/>
      <c r="BC144" s="227"/>
      <c r="BD144" s="219" t="str">
        <f>IF(C138&gt;0,"",vel(U138,Z138,BJ144))</f>
        <v/>
      </c>
      <c r="BE144" s="220" t="str">
        <f>IF(C138&gt;0,"",pdrop(BG144,BA138,Z138,BD144,BH144))</f>
        <v/>
      </c>
      <c r="BF144" s="219" t="str">
        <f>IF(C138&gt;0,"",(((BD144/60)*Z138)/$AA$12)*((VLOOKUP(BH144,'Pipe Data'!F$7:G$19,2,FALSE))/12))</f>
        <v/>
      </c>
      <c r="BG144" s="218" t="str">
        <f>IF(C138&gt;0,"",(0.25/(LOG(5.74/(BF144^0.9))+((VLOOKUP(BH144,'Pipe Data'!J$7:X$19,15,FALSE))/3.7))^2))</f>
        <v/>
      </c>
      <c r="BH144" s="216">
        <v>1.625</v>
      </c>
      <c r="BI144" s="25">
        <f t="shared" si="40"/>
        <v>0</v>
      </c>
      <c r="BJ144" s="217">
        <v>1.2353794965620174E-2</v>
      </c>
      <c r="BK144" s="237">
        <v>1.625</v>
      </c>
      <c r="BL144" s="224"/>
      <c r="BM144" s="224"/>
      <c r="BN144" s="224"/>
      <c r="BO144" s="223"/>
      <c r="BP144" s="222"/>
      <c r="BQ144" s="221"/>
      <c r="BR144" s="221"/>
      <c r="BS144" s="219" t="str">
        <f>IF(C138&gt;0,"",vel(U138,S138,BZ144))</f>
        <v/>
      </c>
      <c r="BT144" s="220" t="str">
        <f>IF(C138&gt;0,"",pdrop(BW144,BA138,S138,BS144,BX144))</f>
        <v/>
      </c>
      <c r="BU144" s="220"/>
      <c r="BV144" s="219" t="str">
        <f>IF(C138&gt;0,"",(((BS144/60)*S138)/T138)*((VLOOKUP(BX144,'Pipe Data'!F$7:G$19,2,FALSE))/12))</f>
        <v/>
      </c>
      <c r="BW144" s="218" t="str">
        <f>IF(C138&gt;0,"",(0.25/(LOG(5.74/(BV144^0.9))+((VLOOKUP(BX144,'Pipe Data'!J$7:X$19,15,FALSE))/3.7))^2))</f>
        <v/>
      </c>
      <c r="BX144" s="216">
        <v>1.625</v>
      </c>
      <c r="BY144" s="25" t="str">
        <f t="shared" si="41"/>
        <v/>
      </c>
      <c r="BZ144" s="217">
        <v>1.2353794965620174E-2</v>
      </c>
      <c r="CA144" s="237">
        <v>1.625</v>
      </c>
      <c r="CC144" s="313"/>
      <c r="CD144" s="317"/>
      <c r="CE144" s="215"/>
      <c r="CF144" s="214"/>
      <c r="DJ144" s="1620"/>
      <c r="DK144" s="440"/>
      <c r="DL144" s="1619"/>
      <c r="DN144" s="1620"/>
      <c r="DR144" s="1231"/>
      <c r="DS144" s="213"/>
      <c r="DT144" s="213"/>
      <c r="DU144" s="213"/>
      <c r="DV144" s="213"/>
      <c r="DW144" s="213"/>
      <c r="DX144" s="213"/>
      <c r="DY144" s="213"/>
      <c r="DZ144" s="213"/>
      <c r="EA144" s="213"/>
    </row>
    <row r="145" spans="1:131" ht="12.75" hidden="1" customHeight="1" x14ac:dyDescent="0.2">
      <c r="D145" s="236"/>
      <c r="E145" s="235"/>
      <c r="F145" s="234"/>
      <c r="G145" s="234"/>
      <c r="H145" s="221"/>
      <c r="I145" s="221"/>
      <c r="J145" s="221"/>
      <c r="K145" s="221"/>
      <c r="L145" s="221"/>
      <c r="M145" s="223"/>
      <c r="N145" s="223"/>
      <c r="O145" s="223"/>
      <c r="P145" s="223"/>
      <c r="Q145" s="224"/>
      <c r="R145" s="223"/>
      <c r="S145" s="223"/>
      <c r="T145" s="227"/>
      <c r="U145" s="224"/>
      <c r="V145" s="224"/>
      <c r="W145" s="222"/>
      <c r="X145" s="221"/>
      <c r="Y145" s="221"/>
      <c r="Z145" s="228"/>
      <c r="AA145" s="227"/>
      <c r="AB145" s="219" t="str">
        <f>IF(C138&gt;0,"",vel(U138,Z138,AH145))</f>
        <v/>
      </c>
      <c r="AC145" s="220" t="str">
        <f>IF(C138&gt;0,"",pdrop(AE145,Y138,Z138,AB145,AF145))</f>
        <v/>
      </c>
      <c r="AD145" s="219" t="str">
        <f>IF(C138&gt;0,"",(((AB145/60)*Z138)/AA138)*(VLOOKUP(AF145,'Pipe Data'!F$7:G$19,2,FALSE))/12)</f>
        <v/>
      </c>
      <c r="AE145" s="218" t="str">
        <f>IF(C138&gt;0,"",(0.25/(LOG(5.74/(AD145^0.9))+((VLOOKUP(AF145,'Pipe Data'!J$7:X$19,15,FALSE))/3.7))^2))</f>
        <v/>
      </c>
      <c r="AF145" s="216">
        <v>1.375</v>
      </c>
      <c r="AH145" s="233">
        <v>8.7278734446019548E-3</v>
      </c>
      <c r="AI145" s="239"/>
      <c r="AJ145" s="238"/>
      <c r="AK145" s="228"/>
      <c r="AL145" s="223"/>
      <c r="AM145" s="230"/>
      <c r="AN145" s="228"/>
      <c r="AO145" s="232"/>
      <c r="AQ145" s="231"/>
      <c r="AR145" s="230"/>
      <c r="AS145" s="224"/>
      <c r="AT145" s="232"/>
      <c r="AV145" s="231"/>
      <c r="AW145" s="230"/>
      <c r="AX145" s="222"/>
      <c r="AY145" s="224"/>
      <c r="AZ145" s="229"/>
      <c r="BA145" s="221"/>
      <c r="BB145" s="228"/>
      <c r="BC145" s="227"/>
      <c r="BD145" s="219" t="str">
        <f>IF(C138&gt;0,"",vel(U138,Z138,BJ145))</f>
        <v/>
      </c>
      <c r="BE145" s="220" t="str">
        <f>IF(C138&gt;0,"",pdrop(BG145,BA138,Z138,BD145,BH145))</f>
        <v/>
      </c>
      <c r="BF145" s="219" t="str">
        <f>IF(C138&gt;0,"",(((BD145/60)*Z138)/$AA$12)*((VLOOKUP(BH145,'Pipe Data'!F$7:G$19,2,FALSE))/12))</f>
        <v/>
      </c>
      <c r="BG145" s="218" t="str">
        <f>IF(C138&gt;0,"",(0.25/(LOG(5.74/(BF145^0.9))+((VLOOKUP(BH145,'Pipe Data'!J$7:X$19,15,FALSE))/3.7))^2))</f>
        <v/>
      </c>
      <c r="BH145" s="216">
        <v>1.375</v>
      </c>
      <c r="BI145" s="25">
        <f t="shared" si="40"/>
        <v>0</v>
      </c>
      <c r="BJ145" s="217">
        <v>8.7278734446019548E-3</v>
      </c>
      <c r="BK145" s="237">
        <v>1.375</v>
      </c>
      <c r="BL145" s="224"/>
      <c r="BM145" s="224"/>
      <c r="BN145" s="224"/>
      <c r="BO145" s="223"/>
      <c r="BP145" s="222"/>
      <c r="BQ145" s="221"/>
      <c r="BR145" s="221"/>
      <c r="BS145" s="219" t="str">
        <f>IF(C138&gt;0,"",vel(U138,S138,BZ145))</f>
        <v/>
      </c>
      <c r="BT145" s="220" t="str">
        <f>IF(C138&gt;0,"",pdrop(BW145,BA138,S138,BS145,BX145))</f>
        <v/>
      </c>
      <c r="BU145" s="220"/>
      <c r="BV145" s="219" t="str">
        <f>IF(C138&gt;0,"",(((BS145/60)*S138)/T138)*((VLOOKUP(BX145,'Pipe Data'!F$7:G$19,2,FALSE))/12))</f>
        <v/>
      </c>
      <c r="BW145" s="218" t="str">
        <f>IF(C138&gt;0,"",(0.25/(LOG(5.74/(BV145^0.9))+((VLOOKUP(BX145,'Pipe Data'!J$7:X$19,15,FALSE))/3.7))^2))</f>
        <v/>
      </c>
      <c r="BX145" s="216">
        <v>1.375</v>
      </c>
      <c r="BY145" s="25" t="str">
        <f t="shared" si="41"/>
        <v/>
      </c>
      <c r="BZ145" s="217">
        <v>8.7278734446019548E-3</v>
      </c>
      <c r="CA145" s="237">
        <v>1.375</v>
      </c>
      <c r="CC145" s="313"/>
      <c r="CD145" s="317"/>
      <c r="CE145" s="215"/>
      <c r="CF145" s="214"/>
      <c r="DJ145" s="1620"/>
      <c r="DK145" s="440"/>
      <c r="DL145" s="1619"/>
      <c r="DN145" s="1620"/>
      <c r="DR145" s="1231"/>
      <c r="DS145" s="213"/>
      <c r="DT145" s="213"/>
      <c r="DU145" s="213"/>
      <c r="DV145" s="213"/>
      <c r="DW145" s="213"/>
      <c r="DX145" s="213"/>
      <c r="DY145" s="213"/>
      <c r="DZ145" s="213"/>
      <c r="EA145" s="213"/>
    </row>
    <row r="146" spans="1:131" ht="12.75" hidden="1" customHeight="1" x14ac:dyDescent="0.2">
      <c r="D146" s="236"/>
      <c r="E146" s="235"/>
      <c r="F146" s="234"/>
      <c r="G146" s="234"/>
      <c r="H146" s="221"/>
      <c r="I146" s="221"/>
      <c r="J146" s="221"/>
      <c r="K146" s="221"/>
      <c r="L146" s="221"/>
      <c r="M146" s="223"/>
      <c r="N146" s="223"/>
      <c r="O146" s="223"/>
      <c r="P146" s="223"/>
      <c r="Q146" s="224"/>
      <c r="R146" s="223"/>
      <c r="S146" s="223"/>
      <c r="T146" s="227"/>
      <c r="U146" s="224"/>
      <c r="V146" s="224"/>
      <c r="W146" s="222"/>
      <c r="X146" s="221"/>
      <c r="Y146" s="221"/>
      <c r="Z146" s="228"/>
      <c r="AA146" s="227"/>
      <c r="AB146" s="219" t="str">
        <f>IF(C138&gt;0,"",vel(U138,Z138,AH146))</f>
        <v/>
      </c>
      <c r="AC146" s="220" t="str">
        <f>IF(C138&gt;0,"",pdrop(AE146,Y138,Z138,AB146,AF146))</f>
        <v/>
      </c>
      <c r="AD146" s="219" t="str">
        <f>IF(C138&gt;0,"",(((AB146/60)*Z138)/AA138)*(VLOOKUP(AF146,'Pipe Data'!F$7:G$19,2,FALSE))/12)</f>
        <v/>
      </c>
      <c r="AE146" s="218" t="str">
        <f>IF(C138&gt;0,"",(0.25/(LOG(5.74/(AD146^0.9))+((VLOOKUP(AF146,'Pipe Data'!J$7:X$19,15,FALSE))/3.7))^2))</f>
        <v/>
      </c>
      <c r="AF146" s="216">
        <v>1.125</v>
      </c>
      <c r="AH146" s="233">
        <v>5.7302704543016935E-3</v>
      </c>
      <c r="AI146" s="239"/>
      <c r="AJ146" s="238"/>
      <c r="AK146" s="228"/>
      <c r="AL146" s="223"/>
      <c r="AM146" s="230"/>
      <c r="AN146" s="228"/>
      <c r="AO146" s="232"/>
      <c r="AQ146" s="231"/>
      <c r="AR146" s="230"/>
      <c r="AS146" s="224"/>
      <c r="AT146" s="232"/>
      <c r="AV146" s="231"/>
      <c r="AW146" s="230"/>
      <c r="AX146" s="222"/>
      <c r="AY146" s="224"/>
      <c r="AZ146" s="229"/>
      <c r="BA146" s="221"/>
      <c r="BB146" s="228"/>
      <c r="BC146" s="227"/>
      <c r="BD146" s="219" t="str">
        <f>IF(C138&gt;0,"",vel(U138,Z138,BJ146))</f>
        <v/>
      </c>
      <c r="BE146" s="220" t="str">
        <f>IF(C138&gt;0,"",pdrop(BG146,BA138,Z138,BD146,BH146))</f>
        <v/>
      </c>
      <c r="BF146" s="219" t="str">
        <f>IF(C138&gt;0,"",(((BD146/60)*Z138)/$AA$12)*((VLOOKUP(BH146,'Pipe Data'!F$7:G$19,2,FALSE))/12))</f>
        <v/>
      </c>
      <c r="BG146" s="218" t="str">
        <f>IF(C138&gt;0,"",(0.25/(LOG(5.74/(BF146^0.9))+((VLOOKUP(BH146,'Pipe Data'!J$7:X$19,15,FALSE))/3.7))^2))</f>
        <v/>
      </c>
      <c r="BH146" s="216">
        <v>1.125</v>
      </c>
      <c r="BI146" s="25">
        <f t="shared" si="40"/>
        <v>0</v>
      </c>
      <c r="BJ146" s="217">
        <v>5.7302704543016935E-3</v>
      </c>
      <c r="BK146" s="237">
        <v>1.125</v>
      </c>
      <c r="BL146" s="224"/>
      <c r="BM146" s="224"/>
      <c r="BN146" s="224"/>
      <c r="BO146" s="223"/>
      <c r="BP146" s="222"/>
      <c r="BQ146" s="221"/>
      <c r="BR146" s="221"/>
      <c r="BS146" s="219" t="str">
        <f>IF(C138&gt;0,"",vel(U138,S138,BZ146))</f>
        <v/>
      </c>
      <c r="BT146" s="220" t="str">
        <f>IF(C138&gt;0,"",pdrop(BW146,BA138,S138,BS146,BX146))</f>
        <v/>
      </c>
      <c r="BU146" s="220"/>
      <c r="BV146" s="219" t="str">
        <f>IF(C138&gt;0,"",(((BS146/60)*S138)/T138)*((VLOOKUP(BX146,'Pipe Data'!F$7:G$19,2,FALSE))/12))</f>
        <v/>
      </c>
      <c r="BW146" s="218" t="str">
        <f>IF(C138&gt;0,"",(0.25/(LOG(5.74/(BV146^0.9))+((VLOOKUP(BX146,'Pipe Data'!J$7:X$19,15,FALSE))/3.7))^2))</f>
        <v/>
      </c>
      <c r="BX146" s="216">
        <v>1.125</v>
      </c>
      <c r="BY146" s="25" t="str">
        <f t="shared" si="41"/>
        <v/>
      </c>
      <c r="BZ146" s="217">
        <v>5.7302704543016935E-3</v>
      </c>
      <c r="CA146" s="237">
        <v>1.125</v>
      </c>
      <c r="CC146" s="313"/>
      <c r="CD146" s="317"/>
      <c r="CE146" s="215"/>
      <c r="CF146" s="214"/>
      <c r="DJ146" s="1620"/>
      <c r="DK146" s="440"/>
      <c r="DL146" s="1619"/>
      <c r="DN146" s="1620"/>
      <c r="DR146" s="1231"/>
      <c r="DS146" s="213"/>
      <c r="DT146" s="213"/>
      <c r="DU146" s="213"/>
      <c r="DV146" s="213"/>
      <c r="DW146" s="213"/>
      <c r="DX146" s="213"/>
      <c r="DY146" s="213"/>
      <c r="DZ146" s="213"/>
      <c r="EA146" s="213"/>
    </row>
    <row r="147" spans="1:131" ht="12.75" hidden="1" customHeight="1" x14ac:dyDescent="0.2">
      <c r="D147" s="236"/>
      <c r="E147" s="235"/>
      <c r="F147" s="234"/>
      <c r="G147" s="234"/>
      <c r="H147" s="221"/>
      <c r="I147" s="221"/>
      <c r="J147" s="221"/>
      <c r="K147" s="221"/>
      <c r="L147" s="221"/>
      <c r="M147" s="223"/>
      <c r="N147" s="223"/>
      <c r="O147" s="223"/>
      <c r="P147" s="223"/>
      <c r="Q147" s="224"/>
      <c r="R147" s="223"/>
      <c r="S147" s="223"/>
      <c r="T147" s="227"/>
      <c r="U147" s="224"/>
      <c r="V147" s="224"/>
      <c r="W147" s="222"/>
      <c r="X147" s="221"/>
      <c r="Y147" s="221"/>
      <c r="Z147" s="228"/>
      <c r="AA147" s="227"/>
      <c r="AB147" s="219" t="str">
        <f>IF(C138&gt;0,"",vel(U138,Z138,AH147))</f>
        <v/>
      </c>
      <c r="AC147" s="220" t="str">
        <f>IF(C138&gt;0,"",pdrop(AE147,Y138,Z138,AB147,AF147))</f>
        <v/>
      </c>
      <c r="AD147" s="219" t="str">
        <f>IF(C138&gt;0,"",(((AB147/60)*Z138)/AA138)*(VLOOKUP(AF147,'Pipe Data'!F$7:G$19,2,FALSE))/12)</f>
        <v/>
      </c>
      <c r="AE147" s="218" t="str">
        <f>IF(C138&gt;0,"",(0.25/(LOG(5.74/(AD147^0.9))+((VLOOKUP(AF147,'Pipe Data'!J$7:X$19,15,FALSE))/3.7))^2))</f>
        <v/>
      </c>
      <c r="AF147" s="216">
        <v>0.875</v>
      </c>
      <c r="AH147" s="233">
        <v>3.3609859947193927E-3</v>
      </c>
      <c r="AI147" s="239"/>
      <c r="AJ147" s="238"/>
      <c r="AK147" s="228"/>
      <c r="AL147" s="223"/>
      <c r="AM147" s="230"/>
      <c r="AN147" s="228"/>
      <c r="AO147" s="232"/>
      <c r="AQ147" s="231"/>
      <c r="AR147" s="230"/>
      <c r="AS147" s="224"/>
      <c r="AT147" s="232"/>
      <c r="AV147" s="231"/>
      <c r="AW147" s="230"/>
      <c r="AX147" s="222"/>
      <c r="AY147" s="224"/>
      <c r="AZ147" s="229"/>
      <c r="BA147" s="221"/>
      <c r="BB147" s="228"/>
      <c r="BC147" s="227"/>
      <c r="BD147" s="219" t="str">
        <f>IF(C138&gt;0,"",vel(U138,Z138,BJ147))</f>
        <v/>
      </c>
      <c r="BE147" s="220" t="str">
        <f>IF(C138&gt;0,"",pdrop(BG147,BA138,Z138,BD147,BH147))</f>
        <v/>
      </c>
      <c r="BF147" s="219" t="str">
        <f>IF(C138&gt;0,"",(((BD147/60)*Z138)/$AA$12)*((VLOOKUP(BH147,'Pipe Data'!F$7:G$19,2,FALSE))/12))</f>
        <v/>
      </c>
      <c r="BG147" s="218" t="str">
        <f>IF(C138&gt;0,"",(0.25/(LOG(5.74/(BF147^0.9))+((VLOOKUP(BH147,'Pipe Data'!J$7:X$19,15,FALSE))/3.7))^2))</f>
        <v/>
      </c>
      <c r="BH147" s="216">
        <v>0.875</v>
      </c>
      <c r="BI147" s="25">
        <f t="shared" si="40"/>
        <v>0</v>
      </c>
      <c r="BJ147" s="217">
        <v>3.3609859947193927E-3</v>
      </c>
      <c r="BK147" s="237">
        <v>0.875</v>
      </c>
      <c r="BL147" s="224"/>
      <c r="BM147" s="224"/>
      <c r="BN147" s="224"/>
      <c r="BO147" s="223"/>
      <c r="BP147" s="222"/>
      <c r="BQ147" s="221"/>
      <c r="BR147" s="221"/>
      <c r="BS147" s="219" t="str">
        <f>IF(C138&gt;0,"",vel(U138,S138,BZ147))</f>
        <v/>
      </c>
      <c r="BT147" s="220" t="str">
        <f>IF(C138&gt;0,"",pdrop(BW147,BA138,S138,BS147,BX147))</f>
        <v/>
      </c>
      <c r="BU147" s="220"/>
      <c r="BV147" s="219" t="str">
        <f>IF(C138&gt;0,"",(((BS147/60)*S138)/T138)*((VLOOKUP(BX147,'Pipe Data'!F$7:G$19,2,FALSE))/12))</f>
        <v/>
      </c>
      <c r="BW147" s="218" t="str">
        <f>IF(C138&gt;0,"",(0.25/(LOG(5.74/(BV147^0.9))+((VLOOKUP(BX147,'Pipe Data'!J$7:X$19,15,FALSE))/3.7))^2))</f>
        <v/>
      </c>
      <c r="BX147" s="216">
        <v>0.875</v>
      </c>
      <c r="BY147" s="25" t="str">
        <f t="shared" si="41"/>
        <v/>
      </c>
      <c r="BZ147" s="217">
        <v>3.3609859947193927E-3</v>
      </c>
      <c r="CA147" s="237">
        <v>0.875</v>
      </c>
      <c r="CC147" s="313"/>
      <c r="CD147" s="317"/>
      <c r="CE147" s="215"/>
      <c r="CF147" s="214"/>
      <c r="DJ147" s="1620"/>
      <c r="DK147" s="440"/>
      <c r="DL147" s="1619"/>
      <c r="DN147" s="1620"/>
      <c r="DR147" s="1231"/>
      <c r="DS147" s="213"/>
      <c r="DT147" s="213"/>
      <c r="DU147" s="213"/>
      <c r="DV147" s="213"/>
      <c r="DW147" s="213"/>
      <c r="DX147" s="213"/>
      <c r="DY147" s="213"/>
      <c r="DZ147" s="213"/>
      <c r="EA147" s="213"/>
    </row>
    <row r="148" spans="1:131" ht="12.75" hidden="1" customHeight="1" x14ac:dyDescent="0.2">
      <c r="D148" s="236"/>
      <c r="E148" s="235"/>
      <c r="F148" s="234"/>
      <c r="G148" s="234"/>
      <c r="H148" s="221"/>
      <c r="I148" s="221"/>
      <c r="J148" s="221"/>
      <c r="K148" s="221"/>
      <c r="L148" s="221"/>
      <c r="M148" s="223"/>
      <c r="N148" s="223"/>
      <c r="O148" s="223"/>
      <c r="P148" s="223"/>
      <c r="Q148" s="224"/>
      <c r="R148" s="223"/>
      <c r="S148" s="223"/>
      <c r="T148" s="227"/>
      <c r="U148" s="224"/>
      <c r="V148" s="224"/>
      <c r="W148" s="222"/>
      <c r="X148" s="221"/>
      <c r="Y148" s="221"/>
      <c r="Z148" s="228"/>
      <c r="AA148" s="227"/>
      <c r="AB148" s="219" t="str">
        <f>IF(C138&gt;0,"",vel(U138,Z138,AH148))</f>
        <v/>
      </c>
      <c r="AC148" s="220" t="str">
        <f>IF(C138&gt;0,"",pdrop(AE148,Y138,Z138,AB148,AF148))</f>
        <v/>
      </c>
      <c r="AD148" s="219" t="str">
        <f>IF(C138&gt;0,"",(((AB148/60)*Z138)/AA138)*(VLOOKUP(AF148,'Pipe Data'!F$7:G$19,2,FALSE))/12)</f>
        <v/>
      </c>
      <c r="AE148" s="218" t="str">
        <f>IF(C138&gt;0,"",(0.25/(LOG(5.74/(AD148^0.9))+((VLOOKUP(AF148,'Pipe Data'!J$7:X$19,15,FALSE))/3.7))^2))</f>
        <v/>
      </c>
      <c r="AF148" s="216">
        <v>0.625</v>
      </c>
      <c r="AH148" s="233">
        <v>1.6200200658550491E-3</v>
      </c>
      <c r="AI148" s="239"/>
      <c r="AJ148" s="238"/>
      <c r="AK148" s="228"/>
      <c r="AL148" s="223"/>
      <c r="AM148" s="230"/>
      <c r="AN148" s="228"/>
      <c r="AO148" s="232"/>
      <c r="AQ148" s="231"/>
      <c r="AR148" s="230"/>
      <c r="AS148" s="224"/>
      <c r="AT148" s="232"/>
      <c r="AV148" s="231"/>
      <c r="AW148" s="230"/>
      <c r="AX148" s="222"/>
      <c r="AY148" s="224"/>
      <c r="AZ148" s="229"/>
      <c r="BA148" s="221"/>
      <c r="BB148" s="228"/>
      <c r="BC148" s="227"/>
      <c r="BD148" s="219" t="str">
        <f>IF(C138&gt;0,"",vel(U138,Z138,BJ148))</f>
        <v/>
      </c>
      <c r="BE148" s="220" t="str">
        <f>IF(C138&gt;0,"",pdrop(BG148,BA138,Z138,BD148,BH148))</f>
        <v/>
      </c>
      <c r="BF148" s="219" t="str">
        <f>IF(C138&gt;0,"",(((BD148/60)*Z138)/$AA$12)*((VLOOKUP(BH148,'Pipe Data'!F$7:G$19,2,FALSE))/12))</f>
        <v/>
      </c>
      <c r="BG148" s="218" t="str">
        <f>IF(C138&gt;0,"",(0.25/(LOG(5.74/(BF148^0.9))+((VLOOKUP(BH148,'Pipe Data'!J$7:X$19,15,FALSE))/3.7))^2))</f>
        <v/>
      </c>
      <c r="BH148" s="216">
        <v>0.625</v>
      </c>
      <c r="BI148" s="25">
        <f t="shared" si="40"/>
        <v>0</v>
      </c>
      <c r="BJ148" s="217">
        <v>1.6200200658550491E-3</v>
      </c>
      <c r="BK148" s="237">
        <v>0.625</v>
      </c>
      <c r="BL148" s="224"/>
      <c r="BM148" s="224"/>
      <c r="BN148" s="224"/>
      <c r="BO148" s="223"/>
      <c r="BP148" s="222"/>
      <c r="BQ148" s="221"/>
      <c r="BR148" s="221"/>
      <c r="BS148" s="219" t="str">
        <f>IF(C138&gt;0,"",vel(U138,S138,BZ148))</f>
        <v/>
      </c>
      <c r="BT148" s="220" t="str">
        <f>IF(C138&gt;0,"",pdrop(BW148,BA138,S138,BS148,BX148))</f>
        <v/>
      </c>
      <c r="BU148" s="220"/>
      <c r="BV148" s="219" t="str">
        <f>IF(C138&gt;0,"",(((BS148/60)*S138)/T138)*((VLOOKUP(BX148,'Pipe Data'!F$7:G$19,2,FALSE))/12))</f>
        <v/>
      </c>
      <c r="BW148" s="218" t="str">
        <f>IF(C138&gt;0,"",(0.25/(LOG(5.74/(BV148^0.9))+((VLOOKUP(BX148,'Pipe Data'!J$7:X$19,15,FALSE))/3.7))^2))</f>
        <v/>
      </c>
      <c r="BX148" s="216">
        <v>0.625</v>
      </c>
      <c r="BY148" s="25" t="str">
        <f t="shared" si="41"/>
        <v/>
      </c>
      <c r="BZ148" s="217">
        <v>1.6200200658550491E-3</v>
      </c>
      <c r="CA148" s="237">
        <v>0.625</v>
      </c>
      <c r="CC148" s="313"/>
      <c r="CD148" s="317"/>
      <c r="CE148" s="215"/>
      <c r="CF148" s="214"/>
      <c r="DJ148" s="1620"/>
      <c r="DK148" s="440"/>
      <c r="DL148" s="1619"/>
      <c r="DN148" s="1620"/>
      <c r="DR148" s="1231"/>
      <c r="DS148" s="213"/>
      <c r="DT148" s="213"/>
      <c r="DU148" s="213"/>
      <c r="DV148" s="213"/>
      <c r="DW148" s="213"/>
      <c r="DX148" s="213"/>
      <c r="DY148" s="213"/>
      <c r="DZ148" s="213"/>
      <c r="EA148" s="213"/>
    </row>
    <row r="149" spans="1:131" ht="12.75" hidden="1" customHeight="1" x14ac:dyDescent="0.2">
      <c r="D149" s="236"/>
      <c r="E149" s="235"/>
      <c r="F149" s="234"/>
      <c r="G149" s="234"/>
      <c r="H149" s="221"/>
      <c r="I149" s="221"/>
      <c r="J149" s="221"/>
      <c r="K149" s="221"/>
      <c r="L149" s="221"/>
      <c r="M149" s="223"/>
      <c r="N149" s="223"/>
      <c r="O149" s="223"/>
      <c r="P149" s="223"/>
      <c r="Q149" s="224"/>
      <c r="R149" s="223"/>
      <c r="S149" s="223"/>
      <c r="T149" s="227"/>
      <c r="U149" s="224"/>
      <c r="V149" s="224"/>
      <c r="W149" s="222"/>
      <c r="X149" s="221"/>
      <c r="Y149" s="221"/>
      <c r="Z149" s="228"/>
      <c r="AA149" s="227"/>
      <c r="AB149" s="219" t="str">
        <f>IF(C138&gt;0,"",vel(U138,Z138,AH149))</f>
        <v/>
      </c>
      <c r="AC149" s="220" t="str">
        <f>IF(C138&gt;0,"",pdrop(AE149,Y138,Z138,AB149,AF149))</f>
        <v/>
      </c>
      <c r="AD149" s="219" t="str">
        <f>IF(C138&gt;0,"",(((AB149/60)*Z138)/AA138)*(VLOOKUP(AF149,'Pipe Data'!F$7:G$19,2,FALSE))/12)</f>
        <v/>
      </c>
      <c r="AE149" s="218" t="str">
        <f>IF(C138&gt;0,"",(0.25/(LOG(5.74/(AD149^0.9))+((VLOOKUP(AF149,'Pipe Data'!J$7:X$19,15,FALSE))/3.7))^2))</f>
        <v/>
      </c>
      <c r="AF149" s="216">
        <v>0.5</v>
      </c>
      <c r="AH149" s="233">
        <v>1.0084730584179735E-3</v>
      </c>
      <c r="AI149" s="239"/>
      <c r="AJ149" s="238"/>
      <c r="AK149" s="228"/>
      <c r="AL149" s="223"/>
      <c r="AM149" s="230"/>
      <c r="AN149" s="228"/>
      <c r="AO149" s="232"/>
      <c r="AQ149" s="231"/>
      <c r="AR149" s="230"/>
      <c r="AS149" s="224"/>
      <c r="AT149" s="232"/>
      <c r="AV149" s="231"/>
      <c r="AW149" s="230"/>
      <c r="AX149" s="222"/>
      <c r="AY149" s="224"/>
      <c r="AZ149" s="229"/>
      <c r="BA149" s="221"/>
      <c r="BB149" s="228"/>
      <c r="BC149" s="227"/>
      <c r="BD149" s="219" t="str">
        <f>IF(C138&gt;0,"",vel(U138,Z138,BJ149))</f>
        <v/>
      </c>
      <c r="BE149" s="220" t="str">
        <f>IF(C138&gt;0,"",pdrop(BG149,BA138,Z138,BD149,BH149))</f>
        <v/>
      </c>
      <c r="BF149" s="219" t="str">
        <f>IF(C138&gt;0,"",(((BD149/60)*Z138)/$AA$12)*((VLOOKUP(BH149,'Pipe Data'!F$7:G$19,2,FALSE))/12))</f>
        <v/>
      </c>
      <c r="BG149" s="218" t="str">
        <f>IF(C138&gt;0,"",(0.25/(LOG(5.74/(BF149^0.9))+((VLOOKUP(BH149,'Pipe Data'!J$7:X$19,15,FALSE))/3.7))^2))</f>
        <v/>
      </c>
      <c r="BH149" s="216">
        <v>0.5</v>
      </c>
      <c r="BI149" s="25">
        <v>1</v>
      </c>
      <c r="BJ149" s="217">
        <v>1.0084730584179735E-3</v>
      </c>
      <c r="BK149" s="237">
        <v>0.5</v>
      </c>
      <c r="BL149" s="224"/>
      <c r="BM149" s="224"/>
      <c r="BN149" s="224"/>
      <c r="BO149" s="223"/>
      <c r="BP149" s="222"/>
      <c r="BQ149" s="221"/>
      <c r="BR149" s="221"/>
      <c r="BS149" s="219" t="str">
        <f>IF(C138&gt;0,"",vel(U138,S138,BZ149))</f>
        <v/>
      </c>
      <c r="BT149" s="220" t="str">
        <f>IF(C138&gt;0,"",pdrop(BW149,BA138,S138,BS149,BX149))</f>
        <v/>
      </c>
      <c r="BU149" s="220"/>
      <c r="BV149" s="219" t="str">
        <f>IF(C138&gt;0,"",(((BS149/60)*S138)/T138)*((VLOOKUP(BX149,'Pipe Data'!F$7:G$19,2,FALSE))/12))</f>
        <v/>
      </c>
      <c r="BW149" s="218" t="str">
        <f>IF(C138&gt;0,"",(0.25/(LOG(5.74/(BV149^0.9))+((VLOOKUP(BX149,'Pipe Data'!J$7:X$19,15,FALSE))/3.7))^2))</f>
        <v/>
      </c>
      <c r="BX149" s="216">
        <v>0.5</v>
      </c>
      <c r="BY149" s="25" t="str">
        <f t="shared" si="41"/>
        <v/>
      </c>
      <c r="BZ149" s="217">
        <v>1.0084730584179735E-3</v>
      </c>
      <c r="CA149" s="237">
        <v>0.5</v>
      </c>
      <c r="CC149" s="313"/>
      <c r="CD149" s="317"/>
      <c r="CE149" s="215"/>
      <c r="CF149" s="214"/>
      <c r="DJ149" s="1620"/>
      <c r="DK149" s="440"/>
      <c r="DL149" s="1619"/>
      <c r="DN149" s="1620"/>
      <c r="DR149" s="1231"/>
      <c r="DS149" s="213"/>
      <c r="DT149" s="213"/>
      <c r="DU149" s="213"/>
      <c r="DV149" s="213"/>
      <c r="DW149" s="213"/>
      <c r="DX149" s="213"/>
      <c r="DY149" s="213"/>
      <c r="DZ149" s="213"/>
      <c r="EA149" s="213"/>
    </row>
    <row r="150" spans="1:131" ht="12.75" hidden="1" customHeight="1" x14ac:dyDescent="0.2">
      <c r="D150" s="236"/>
      <c r="E150" s="235"/>
      <c r="F150" s="234"/>
      <c r="G150" s="234"/>
      <c r="H150" s="221"/>
      <c r="I150" s="221"/>
      <c r="J150" s="221"/>
      <c r="K150" s="221"/>
      <c r="L150" s="221"/>
      <c r="M150" s="223"/>
      <c r="N150" s="223"/>
      <c r="O150" s="223"/>
      <c r="P150" s="223"/>
      <c r="Q150" s="224"/>
      <c r="R150" s="223"/>
      <c r="S150" s="223"/>
      <c r="T150" s="227"/>
      <c r="U150" s="224"/>
      <c r="V150" s="224"/>
      <c r="W150" s="222"/>
      <c r="X150" s="221"/>
      <c r="Y150" s="221"/>
      <c r="Z150" s="228"/>
      <c r="AA150" s="227"/>
      <c r="AB150" s="219" t="str">
        <f>IF(C138&gt;0,"",vel(U138,Z138,AH150))</f>
        <v/>
      </c>
      <c r="AC150" s="220" t="str">
        <f>IF(C138&gt;0,"",pdrop(AE150,Y138,Z138,AB150,AF150))</f>
        <v/>
      </c>
      <c r="AD150" s="219" t="str">
        <f>IF(C138&gt;0,"",(((AB150/60)*Z138)/AA138)*(VLOOKUP(AF150,'Pipe Data'!F$7:G$19,2,FALSE))/12)</f>
        <v/>
      </c>
      <c r="AE150" s="218" t="str">
        <f>IF(C138&gt;0,"",(0.25/(LOG(5.74/(AD150^0.9))+((VLOOKUP(AF150,'Pipe Data'!J$7:X$19,15,FALSE))/3.7))^2))</f>
        <v/>
      </c>
      <c r="AF150" s="216">
        <v>0.375</v>
      </c>
      <c r="AH150" s="233">
        <v>5.4118842196605418E-4</v>
      </c>
      <c r="AI150" s="229"/>
      <c r="AJ150" s="221"/>
      <c r="AK150" s="221"/>
      <c r="AL150" s="223"/>
      <c r="AM150" s="230"/>
      <c r="AN150" s="228"/>
      <c r="AO150" s="232"/>
      <c r="AQ150" s="231"/>
      <c r="AR150" s="230"/>
      <c r="AS150" s="224"/>
      <c r="AT150" s="232"/>
      <c r="AV150" s="231"/>
      <c r="AW150" s="230"/>
      <c r="AX150" s="222"/>
      <c r="AY150" s="224"/>
      <c r="AZ150" s="229"/>
      <c r="BA150" s="221"/>
      <c r="BB150" s="228"/>
      <c r="BC150" s="227"/>
      <c r="BD150" s="221"/>
      <c r="BE150" s="221"/>
      <c r="BF150" s="221"/>
      <c r="BG150" s="221"/>
      <c r="BH150" s="221"/>
      <c r="BI150" s="221"/>
      <c r="BJ150" s="226"/>
      <c r="BK150" s="225"/>
      <c r="BL150" s="224"/>
      <c r="BM150" s="224"/>
      <c r="BN150" s="224"/>
      <c r="BO150" s="223"/>
      <c r="BP150" s="222"/>
      <c r="BQ150" s="221"/>
      <c r="BR150" s="221"/>
      <c r="BS150" s="219" t="str">
        <f>IF(C138&gt;0,"",vel(U138,S138,BZ150))</f>
        <v/>
      </c>
      <c r="BT150" s="220" t="str">
        <f>IF(C138&gt;0,"",pdrop(BW150,BA138,S138,BS150,BX150))</f>
        <v/>
      </c>
      <c r="BU150" s="220"/>
      <c r="BV150" s="219" t="str">
        <f>IF(C138&gt;0,"",(((BS150/60)*S138)/T138)*((VLOOKUP(BX150,'Pipe Data'!F$7:G$19,2,FALSE))/12))</f>
        <v/>
      </c>
      <c r="BW150" s="218" t="str">
        <f>IF(C138&gt;0,"",(0.25/(LOG(5.74/(BV150^0.9))+((VLOOKUP(BX150,'Pipe Data'!J$7:X$19,15,FALSE))/3.7))^2))</f>
        <v/>
      </c>
      <c r="BX150" s="216">
        <v>0.375</v>
      </c>
      <c r="BY150" s="25" t="str">
        <f t="shared" si="41"/>
        <v/>
      </c>
      <c r="BZ150" s="217">
        <v>5.4118842196605418E-4</v>
      </c>
      <c r="CA150" s="237">
        <v>0.375</v>
      </c>
      <c r="CC150" s="313"/>
      <c r="CD150" s="317"/>
      <c r="CE150" s="215"/>
      <c r="CF150" s="214"/>
      <c r="DJ150" s="1620"/>
      <c r="DK150" s="440"/>
      <c r="DL150" s="1619"/>
      <c r="DN150" s="1620"/>
      <c r="DR150" s="1231"/>
      <c r="DS150" s="213"/>
      <c r="DT150" s="213"/>
      <c r="DU150" s="213"/>
      <c r="DV150" s="213"/>
      <c r="DW150" s="213"/>
      <c r="DX150" s="213"/>
      <c r="DY150" s="213"/>
      <c r="DZ150" s="213"/>
      <c r="EA150" s="213"/>
    </row>
    <row r="151" spans="1:131" ht="13.5" hidden="1" customHeight="1" thickBot="1" x14ac:dyDescent="0.25">
      <c r="A151" s="25">
        <v>1</v>
      </c>
      <c r="D151" s="821"/>
      <c r="E151" s="822"/>
      <c r="F151" s="823"/>
      <c r="G151" s="823"/>
      <c r="H151" s="824"/>
      <c r="I151" s="825"/>
      <c r="J151" s="825"/>
      <c r="K151" s="825"/>
      <c r="L151" s="826"/>
      <c r="M151" s="824"/>
      <c r="N151" s="824"/>
      <c r="O151" s="824"/>
      <c r="P151" s="824"/>
      <c r="Q151" s="825"/>
      <c r="R151" s="824"/>
      <c r="S151" s="824"/>
      <c r="T151" s="827"/>
      <c r="U151" s="825"/>
      <c r="V151" s="825"/>
      <c r="W151" s="828"/>
      <c r="X151" s="829"/>
      <c r="Y151" s="826"/>
      <c r="Z151" s="830"/>
      <c r="AA151" s="827"/>
      <c r="AB151" s="831"/>
      <c r="AC151" s="824"/>
      <c r="AD151" s="831"/>
      <c r="AE151" s="830"/>
      <c r="AF151" s="832"/>
      <c r="AG151" s="832"/>
      <c r="AH151" s="836"/>
      <c r="AI151" s="834"/>
      <c r="AJ151" s="835"/>
      <c r="AK151" s="830"/>
      <c r="AL151" s="824"/>
      <c r="AM151" s="831"/>
      <c r="AN151" s="830"/>
      <c r="AO151" s="832"/>
      <c r="AP151" s="832"/>
      <c r="AQ151" s="836"/>
      <c r="AR151" s="831"/>
      <c r="AS151" s="825"/>
      <c r="AT151" s="832"/>
      <c r="AU151" s="832"/>
      <c r="AV151" s="836"/>
      <c r="AW151" s="831"/>
      <c r="AX151" s="828"/>
      <c r="AY151" s="825"/>
      <c r="AZ151" s="829"/>
      <c r="BA151" s="826"/>
      <c r="BB151" s="830"/>
      <c r="BC151" s="827"/>
      <c r="BD151" s="831"/>
      <c r="BE151" s="824"/>
      <c r="BF151" s="831"/>
      <c r="BG151" s="830"/>
      <c r="BH151" s="832"/>
      <c r="BI151" s="832"/>
      <c r="BJ151" s="833"/>
      <c r="BK151" s="837"/>
      <c r="BL151" s="825"/>
      <c r="BM151" s="825"/>
      <c r="BN151" s="825"/>
      <c r="BO151" s="824"/>
      <c r="BP151" s="828"/>
      <c r="BQ151" s="826"/>
      <c r="BR151" s="826"/>
      <c r="BS151" s="831"/>
      <c r="BT151" s="824"/>
      <c r="BU151" s="824"/>
      <c r="BV151" s="831"/>
      <c r="BW151" s="830"/>
      <c r="BX151" s="832"/>
      <c r="BY151" s="832"/>
      <c r="BZ151" s="833"/>
      <c r="CA151" s="838"/>
      <c r="CB151" s="839"/>
      <c r="CC151" s="840"/>
      <c r="CD151" s="841"/>
      <c r="CE151" s="842"/>
      <c r="CF151" s="843"/>
      <c r="DJ151" s="1620"/>
      <c r="DK151" s="440"/>
      <c r="DL151" s="1619"/>
      <c r="DN151" s="1620"/>
    </row>
    <row r="152" spans="1:131" ht="12.75" hidden="1" customHeight="1" x14ac:dyDescent="0.2">
      <c r="A152" s="25">
        <v>1</v>
      </c>
      <c r="CD152" s="444"/>
      <c r="DJ152" s="1620"/>
      <c r="DK152" s="440"/>
      <c r="DL152" s="1619"/>
      <c r="DN152" s="1620"/>
    </row>
    <row r="153" spans="1:131" ht="12.75" hidden="1" customHeight="1" x14ac:dyDescent="0.2">
      <c r="A153" s="25">
        <v>1</v>
      </c>
      <c r="CD153" s="444"/>
      <c r="DJ153" s="1620"/>
      <c r="DK153" s="440"/>
      <c r="DL153" s="1619"/>
      <c r="DN153" s="1620"/>
    </row>
    <row r="154" spans="1:131" x14ac:dyDescent="0.2">
      <c r="DJ154" s="1620"/>
      <c r="DK154" s="440"/>
      <c r="DL154" s="1619"/>
      <c r="DN154" s="1620"/>
    </row>
    <row r="155" spans="1:131" x14ac:dyDescent="0.2">
      <c r="DJ155" s="1620"/>
      <c r="DK155" s="440"/>
      <c r="DL155" s="1619"/>
      <c r="DN155" s="1620"/>
    </row>
    <row r="156" spans="1:131" x14ac:dyDescent="0.2">
      <c r="DJ156" s="1620"/>
      <c r="DK156" s="440"/>
      <c r="DL156" s="440"/>
    </row>
    <row r="157" spans="1:131" x14ac:dyDescent="0.2">
      <c r="DJ157" s="1620"/>
      <c r="DK157" s="440"/>
      <c r="DL157" s="440"/>
    </row>
    <row r="158" spans="1:131" x14ac:dyDescent="0.2">
      <c r="DJ158" s="1620"/>
      <c r="DK158" s="440"/>
      <c r="DL158" s="440"/>
    </row>
    <row r="159" spans="1:131" x14ac:dyDescent="0.2">
      <c r="DJ159" s="1620"/>
      <c r="DK159" s="440"/>
      <c r="DL159" s="440"/>
    </row>
    <row r="160" spans="1:131" x14ac:dyDescent="0.2">
      <c r="DJ160" s="1620"/>
      <c r="DK160" s="440"/>
      <c r="DL160" s="440"/>
    </row>
    <row r="161" spans="115:116" x14ac:dyDescent="0.2">
      <c r="DK161" s="440"/>
      <c r="DL161" s="440"/>
    </row>
    <row r="162" spans="115:116" x14ac:dyDescent="0.2">
      <c r="DK162" s="440"/>
      <c r="DL162" s="440"/>
    </row>
    <row r="163" spans="115:116" x14ac:dyDescent="0.2">
      <c r="DK163" s="440"/>
      <c r="DL163" s="440"/>
    </row>
    <row r="164" spans="115:116" x14ac:dyDescent="0.2">
      <c r="DK164" s="440"/>
      <c r="DL164" s="440"/>
    </row>
    <row r="165" spans="115:116" x14ac:dyDescent="0.2">
      <c r="DK165" s="440"/>
      <c r="DL165" s="440"/>
    </row>
    <row r="166" spans="115:116" x14ac:dyDescent="0.2">
      <c r="DK166" s="440"/>
      <c r="DL166" s="440"/>
    </row>
    <row r="167" spans="115:116" x14ac:dyDescent="0.2">
      <c r="DK167" s="440"/>
      <c r="DL167" s="440"/>
    </row>
    <row r="168" spans="115:116" x14ac:dyDescent="0.2">
      <c r="DK168" s="440"/>
      <c r="DL168" s="440"/>
    </row>
    <row r="169" spans="115:116" x14ac:dyDescent="0.2">
      <c r="DK169" s="440"/>
      <c r="DL169" s="440"/>
    </row>
    <row r="170" spans="115:116" x14ac:dyDescent="0.2">
      <c r="DK170" s="440"/>
      <c r="DL170" s="440"/>
    </row>
    <row r="171" spans="115:116" x14ac:dyDescent="0.2">
      <c r="DK171" s="440"/>
      <c r="DL171" s="440"/>
    </row>
    <row r="172" spans="115:116" x14ac:dyDescent="0.2">
      <c r="DK172" s="440"/>
      <c r="DL172" s="440"/>
    </row>
    <row r="173" spans="115:116" x14ac:dyDescent="0.2">
      <c r="DK173" s="440"/>
      <c r="DL173" s="440"/>
    </row>
    <row r="174" spans="115:116" x14ac:dyDescent="0.2">
      <c r="DK174" s="440"/>
      <c r="DL174" s="440"/>
    </row>
    <row r="175" spans="115:116" x14ac:dyDescent="0.2">
      <c r="DK175" s="440"/>
      <c r="DL175" s="440"/>
    </row>
    <row r="176" spans="115:116" x14ac:dyDescent="0.2">
      <c r="DK176" s="440"/>
      <c r="DL176" s="440"/>
    </row>
    <row r="177" spans="115:116" x14ac:dyDescent="0.2">
      <c r="DK177" s="440"/>
      <c r="DL177" s="440"/>
    </row>
    <row r="178" spans="115:116" x14ac:dyDescent="0.2">
      <c r="DK178" s="440"/>
      <c r="DL178" s="440"/>
    </row>
    <row r="179" spans="115:116" x14ac:dyDescent="0.2">
      <c r="DK179" s="440"/>
      <c r="DL179" s="440"/>
    </row>
    <row r="180" spans="115:116" x14ac:dyDescent="0.2">
      <c r="DK180" s="440"/>
      <c r="DL180" s="440"/>
    </row>
    <row r="181" spans="115:116" x14ac:dyDescent="0.2">
      <c r="DK181" s="440"/>
      <c r="DL181" s="440"/>
    </row>
    <row r="182" spans="115:116" x14ac:dyDescent="0.2">
      <c r="DK182" s="440"/>
      <c r="DL182" s="440"/>
    </row>
    <row r="183" spans="115:116" x14ac:dyDescent="0.2">
      <c r="DK183" s="440"/>
      <c r="DL183" s="440"/>
    </row>
    <row r="184" spans="115:116" x14ac:dyDescent="0.2">
      <c r="DK184" s="440"/>
      <c r="DL184" s="440"/>
    </row>
    <row r="185" spans="115:116" x14ac:dyDescent="0.2">
      <c r="DK185" s="440"/>
      <c r="DL185" s="440"/>
    </row>
    <row r="186" spans="115:116" x14ac:dyDescent="0.2">
      <c r="DK186" s="440"/>
      <c r="DL186" s="440"/>
    </row>
    <row r="187" spans="115:116" x14ac:dyDescent="0.2">
      <c r="DK187" s="440"/>
      <c r="DL187" s="440"/>
    </row>
    <row r="188" spans="115:116" x14ac:dyDescent="0.2">
      <c r="DK188" s="440"/>
      <c r="DL188" s="440"/>
    </row>
    <row r="189" spans="115:116" x14ac:dyDescent="0.2">
      <c r="DK189" s="440"/>
      <c r="DL189" s="440"/>
    </row>
    <row r="190" spans="115:116" x14ac:dyDescent="0.2">
      <c r="DK190" s="440"/>
      <c r="DL190" s="440"/>
    </row>
    <row r="191" spans="115:116" x14ac:dyDescent="0.2">
      <c r="DK191" s="440"/>
      <c r="DL191" s="440"/>
    </row>
    <row r="192" spans="115:116" x14ac:dyDescent="0.2">
      <c r="DK192" s="440"/>
      <c r="DL192" s="440"/>
    </row>
    <row r="193" spans="115:116" x14ac:dyDescent="0.2">
      <c r="DK193" s="440"/>
      <c r="DL193" s="440"/>
    </row>
    <row r="194" spans="115:116" x14ac:dyDescent="0.2">
      <c r="DK194" s="440"/>
      <c r="DL194" s="440"/>
    </row>
    <row r="195" spans="115:116" x14ac:dyDescent="0.2">
      <c r="DK195" s="440"/>
      <c r="DL195" s="440"/>
    </row>
    <row r="196" spans="115:116" x14ac:dyDescent="0.2">
      <c r="DK196" s="440"/>
      <c r="DL196" s="440"/>
    </row>
    <row r="197" spans="115:116" x14ac:dyDescent="0.2">
      <c r="DK197" s="440"/>
      <c r="DL197" s="440"/>
    </row>
  </sheetData>
  <sheetProtection sheet="1" objects="1" scenarios="1"/>
  <mergeCells count="29">
    <mergeCell ref="DH9:DO9"/>
    <mergeCell ref="CE10:CE11"/>
    <mergeCell ref="X46:AH46"/>
    <mergeCell ref="AI46:AX46"/>
    <mergeCell ref="AZ46:BJ46"/>
    <mergeCell ref="BK46:BP46"/>
    <mergeCell ref="BQ46:BZ46"/>
    <mergeCell ref="CE46:CF46"/>
    <mergeCell ref="X9:AH9"/>
    <mergeCell ref="AI9:AX9"/>
    <mergeCell ref="AZ9:BJ9"/>
    <mergeCell ref="BK9:BP9"/>
    <mergeCell ref="BQ9:BZ9"/>
    <mergeCell ref="CE9:CF9"/>
    <mergeCell ref="CE47:CE48"/>
    <mergeCell ref="X83:AH83"/>
    <mergeCell ref="AI83:AX83"/>
    <mergeCell ref="AZ83:BJ83"/>
    <mergeCell ref="BK83:BP83"/>
    <mergeCell ref="BQ83:BZ83"/>
    <mergeCell ref="CE83:CF83"/>
    <mergeCell ref="CE123:CE124"/>
    <mergeCell ref="CE84:CE85"/>
    <mergeCell ref="X122:AH122"/>
    <mergeCell ref="AI122:AX122"/>
    <mergeCell ref="AZ122:BJ122"/>
    <mergeCell ref="BK122:BP122"/>
    <mergeCell ref="BQ122:BZ122"/>
    <mergeCell ref="CE122:CF122"/>
  </mergeCells>
  <conditionalFormatting sqref="BD25">
    <cfRule type="expression" dxfId="263" priority="213" stopIfTrue="1">
      <formula>$C25&gt;0</formula>
    </cfRule>
    <cfRule type="expression" dxfId="262" priority="444" stopIfTrue="1">
      <formula>$FB25&gt;0</formula>
    </cfRule>
    <cfRule type="expression" dxfId="261" priority="445" stopIfTrue="1">
      <formula>$CI25&gt;0</formula>
    </cfRule>
  </conditionalFormatting>
  <conditionalFormatting sqref="BD62">
    <cfRule type="expression" dxfId="260" priority="231" stopIfTrue="1">
      <formula>$FB62&gt;0</formula>
    </cfRule>
    <cfRule type="expression" dxfId="259" priority="442" stopIfTrue="1">
      <formula>$C62&gt;0</formula>
    </cfRule>
    <cfRule type="expression" dxfId="258" priority="443" stopIfTrue="1">
      <formula>$CI62&gt;0</formula>
    </cfRule>
  </conditionalFormatting>
  <conditionalFormatting sqref="BD138">
    <cfRule type="expression" dxfId="257" priority="440" stopIfTrue="1">
      <formula>$C138&gt;0</formula>
    </cfRule>
    <cfRule type="expression" dxfId="256" priority="441" stopIfTrue="1">
      <formula>$CI138&gt;0</formula>
    </cfRule>
  </conditionalFormatting>
  <conditionalFormatting sqref="BN25">
    <cfRule type="expression" dxfId="255" priority="227" stopIfTrue="1">
      <formula>$C25&gt;0</formula>
    </cfRule>
    <cfRule type="expression" dxfId="254" priority="439" stopIfTrue="1">
      <formula>CJ25&gt;0</formula>
    </cfRule>
  </conditionalFormatting>
  <conditionalFormatting sqref="BN62">
    <cfRule type="expression" dxfId="253" priority="224" stopIfTrue="1">
      <formula>$C62&gt;0</formula>
    </cfRule>
    <cfRule type="expression" dxfId="252" priority="438" stopIfTrue="1">
      <formula>CJ62&gt;0</formula>
    </cfRule>
  </conditionalFormatting>
  <conditionalFormatting sqref="BN138">
    <cfRule type="expression" dxfId="251" priority="436" stopIfTrue="1">
      <formula>$C138&gt;0</formula>
    </cfRule>
    <cfRule type="expression" dxfId="250" priority="437" stopIfTrue="1">
      <formula>CJ138&gt;0</formula>
    </cfRule>
  </conditionalFormatting>
  <conditionalFormatting sqref="BS25">
    <cfRule type="expression" dxfId="249" priority="212" stopIfTrue="1">
      <formula>$C25&gt;0</formula>
    </cfRule>
    <cfRule type="expression" dxfId="248" priority="434" stopIfTrue="1">
      <formula>$FC25&gt;0</formula>
    </cfRule>
    <cfRule type="expression" dxfId="247" priority="435" stopIfTrue="1">
      <formula>CM25&gt;0</formula>
    </cfRule>
  </conditionalFormatting>
  <conditionalFormatting sqref="BT25">
    <cfRule type="expression" dxfId="246" priority="433" stopIfTrue="1">
      <formula>$C25&gt;0</formula>
    </cfRule>
  </conditionalFormatting>
  <conditionalFormatting sqref="BS138">
    <cfRule type="expression" dxfId="245" priority="431" stopIfTrue="1">
      <formula>$C138&gt;0</formula>
    </cfRule>
    <cfRule type="expression" dxfId="244" priority="432" stopIfTrue="1">
      <formula>CM138&gt;0</formula>
    </cfRule>
  </conditionalFormatting>
  <conditionalFormatting sqref="E25">
    <cfRule type="expression" priority="428" stopIfTrue="1">
      <formula>$C25&gt;0</formula>
    </cfRule>
    <cfRule type="expression" priority="429" stopIfTrue="1">
      <formula>$CE25="Reviewed"</formula>
    </cfRule>
    <cfRule type="expression" dxfId="243" priority="430" stopIfTrue="1">
      <formula>$CO25&gt;0</formula>
    </cfRule>
  </conditionalFormatting>
  <conditionalFormatting sqref="E62">
    <cfRule type="expression" priority="425" stopIfTrue="1">
      <formula>$C62&gt;0</formula>
    </cfRule>
    <cfRule type="expression" priority="426" stopIfTrue="1">
      <formula>$CE62="Reviewed"</formula>
    </cfRule>
    <cfRule type="expression" dxfId="242" priority="427" stopIfTrue="1">
      <formula>$CO62&gt;0</formula>
    </cfRule>
  </conditionalFormatting>
  <conditionalFormatting sqref="E138">
    <cfRule type="expression" priority="422" stopIfTrue="1">
      <formula>$C138&gt;0</formula>
    </cfRule>
    <cfRule type="expression" priority="423" stopIfTrue="1">
      <formula>$CE138="Reviewed"</formula>
    </cfRule>
    <cfRule type="expression" dxfId="241" priority="424" stopIfTrue="1">
      <formula>$CO138&gt;0</formula>
    </cfRule>
  </conditionalFormatting>
  <conditionalFormatting sqref="H138 K138 H125 U138 BM99 K125 BM138 H99 H62 H86 BM62 K86 H25 K25 U25 H49 BM25 K49 U62 U99 K62 K99 H12 K12">
    <cfRule type="expression" dxfId="240" priority="421" stopIfTrue="1">
      <formula>$C$6&gt;0</formula>
    </cfRule>
  </conditionalFormatting>
  <conditionalFormatting sqref="AO25">
    <cfRule type="expression" dxfId="239" priority="385" stopIfTrue="1">
      <formula>AND($W25="None",$X25=0)</formula>
    </cfRule>
    <cfRule type="expression" dxfId="238" priority="420" stopIfTrue="1">
      <formula>AP25&gt;0</formula>
    </cfRule>
  </conditionalFormatting>
  <conditionalFormatting sqref="AB25">
    <cfRule type="expression" dxfId="237" priority="218" stopIfTrue="1">
      <formula>OR($W25="Double",AND($W25="None",$X25=0))</formula>
    </cfRule>
    <cfRule type="expression" dxfId="236" priority="417" stopIfTrue="1">
      <formula>C25&gt;0</formula>
    </cfRule>
    <cfRule type="expression" dxfId="235" priority="418" stopIfTrue="1">
      <formula>$FA25&gt;0</formula>
    </cfRule>
    <cfRule type="expression" dxfId="234" priority="419" stopIfTrue="1">
      <formula>$CH25&gt;0</formula>
    </cfRule>
  </conditionalFormatting>
  <conditionalFormatting sqref="AF25">
    <cfRule type="expression" dxfId="233" priority="415" stopIfTrue="1">
      <formula>OR($W25="Double",AND($W25="None",$X25=0))</formula>
    </cfRule>
    <cfRule type="expression" dxfId="232" priority="416" stopIfTrue="1">
      <formula>AG25&gt;0</formula>
    </cfRule>
  </conditionalFormatting>
  <conditionalFormatting sqref="AT25">
    <cfRule type="expression" dxfId="231" priority="380" stopIfTrue="1">
      <formula>AND($W25="None",$X25=0)</formula>
    </cfRule>
    <cfRule type="expression" dxfId="230" priority="414" stopIfTrue="1">
      <formula>AU25&gt;0</formula>
    </cfRule>
  </conditionalFormatting>
  <conditionalFormatting sqref="BH25">
    <cfRule type="expression" dxfId="229" priority="413" stopIfTrue="1">
      <formula>BI25&gt;0</formula>
    </cfRule>
  </conditionalFormatting>
  <conditionalFormatting sqref="BH62">
    <cfRule type="expression" dxfId="228" priority="412" stopIfTrue="1">
      <formula>BI62&gt;0</formula>
    </cfRule>
  </conditionalFormatting>
  <conditionalFormatting sqref="BH138">
    <cfRule type="expression" dxfId="227" priority="411" stopIfTrue="1">
      <formula>BI138&gt;0</formula>
    </cfRule>
  </conditionalFormatting>
  <conditionalFormatting sqref="BX25">
    <cfRule type="expression" dxfId="226" priority="410" stopIfTrue="1">
      <formula>BY25&gt;0</formula>
    </cfRule>
  </conditionalFormatting>
  <conditionalFormatting sqref="BX62">
    <cfRule type="expression" dxfId="225" priority="409" stopIfTrue="1">
      <formula>BY62&gt;0</formula>
    </cfRule>
  </conditionalFormatting>
  <conditionalFormatting sqref="BX138">
    <cfRule type="expression" dxfId="224" priority="408" stopIfTrue="1">
      <formula>BY138&gt;0</formula>
    </cfRule>
  </conditionalFormatting>
  <conditionalFormatting sqref="Y25">
    <cfRule type="expression" dxfId="223" priority="407" stopIfTrue="1">
      <formula>OR($W25="Double",AND($W25="None",$X25=0))</formula>
    </cfRule>
  </conditionalFormatting>
  <conditionalFormatting sqref="Z25">
    <cfRule type="expression" dxfId="222" priority="392" stopIfTrue="1">
      <formula>OR($W25="Double",AND($W25="None",$X25=0))</formula>
    </cfRule>
  </conditionalFormatting>
  <conditionalFormatting sqref="AA25">
    <cfRule type="expression" dxfId="221" priority="406" stopIfTrue="1">
      <formula>OR($W25="Double",AND($W25="None",$X25=0))</formula>
    </cfRule>
  </conditionalFormatting>
  <conditionalFormatting sqref="AC25">
    <cfRule type="expression" dxfId="220" priority="405" stopIfTrue="1">
      <formula>OR($W25="Double",AND($W25="None",$X25=0))</formula>
    </cfRule>
  </conditionalFormatting>
  <conditionalFormatting sqref="AD25">
    <cfRule type="expression" dxfId="219" priority="404" stopIfTrue="1">
      <formula>OR($W25="Double",AND($W25="None",$X25=0))</formula>
    </cfRule>
  </conditionalFormatting>
  <conditionalFormatting sqref="AE25">
    <cfRule type="expression" dxfId="218" priority="403" stopIfTrue="1">
      <formula>OR($W25="Double",AND($W25="None",$X25=0))</formula>
    </cfRule>
  </conditionalFormatting>
  <conditionalFormatting sqref="AG25">
    <cfRule type="expression" dxfId="217" priority="402" stopIfTrue="1">
      <formula>OR($W25="Double",AND($W25="None",$X25=0))</formula>
    </cfRule>
  </conditionalFormatting>
  <conditionalFormatting sqref="AH25">
    <cfRule type="expression" dxfId="216" priority="401" stopIfTrue="1">
      <formula>OR($W25="Double",AND($W25="None",$X25=0))</formula>
    </cfRule>
  </conditionalFormatting>
  <conditionalFormatting sqref="BD99">
    <cfRule type="expression" dxfId="215" priority="229" stopIfTrue="1">
      <formula>$FB99&gt;0</formula>
    </cfRule>
    <cfRule type="expression" dxfId="214" priority="399" stopIfTrue="1">
      <formula>$C99&gt;0</formula>
    </cfRule>
    <cfRule type="expression" dxfId="213" priority="400" stopIfTrue="1">
      <formula>$CI99&gt;0</formula>
    </cfRule>
  </conditionalFormatting>
  <conditionalFormatting sqref="BN99">
    <cfRule type="expression" dxfId="212" priority="221" stopIfTrue="1">
      <formula>$C99&gt;0</formula>
    </cfRule>
    <cfRule type="expression" dxfId="211" priority="398" stopIfTrue="1">
      <formula>CJ99&gt;0</formula>
    </cfRule>
  </conditionalFormatting>
  <conditionalFormatting sqref="E99">
    <cfRule type="expression" priority="395" stopIfTrue="1">
      <formula>$C99&gt;0</formula>
    </cfRule>
    <cfRule type="expression" priority="396" stopIfTrue="1">
      <formula>$CE99="Reviewed"</formula>
    </cfRule>
    <cfRule type="expression" dxfId="210" priority="397" stopIfTrue="1">
      <formula>$CO99&gt;0</formula>
    </cfRule>
  </conditionalFormatting>
  <conditionalFormatting sqref="BH99">
    <cfRule type="expression" dxfId="209" priority="394" stopIfTrue="1">
      <formula>BI99&gt;0</formula>
    </cfRule>
  </conditionalFormatting>
  <conditionalFormatting sqref="BX99">
    <cfRule type="expression" dxfId="208" priority="393" stopIfTrue="1">
      <formula>BY99&gt;0</formula>
    </cfRule>
  </conditionalFormatting>
  <conditionalFormatting sqref="AI25">
    <cfRule type="expression" dxfId="207" priority="391" stopIfTrue="1">
      <formula>AND($W25="None",$X25=0)</formula>
    </cfRule>
  </conditionalFormatting>
  <conditionalFormatting sqref="AJ25">
    <cfRule type="expression" dxfId="206" priority="390" stopIfTrue="1">
      <formula>AND($W25="None",$X25=0)</formula>
    </cfRule>
  </conditionalFormatting>
  <conditionalFormatting sqref="AK25">
    <cfRule type="expression" dxfId="205" priority="389" stopIfTrue="1">
      <formula>AND($W25="None",$X25=0)</formula>
    </cfRule>
  </conditionalFormatting>
  <conditionalFormatting sqref="AL25">
    <cfRule type="expression" dxfId="204" priority="388" stopIfTrue="1">
      <formula>AND($W25="None",$X25=0)</formula>
    </cfRule>
  </conditionalFormatting>
  <conditionalFormatting sqref="AM25">
    <cfRule type="expression" dxfId="203" priority="387" stopIfTrue="1">
      <formula>AND($W25="None",$X25=0)</formula>
    </cfRule>
  </conditionalFormatting>
  <conditionalFormatting sqref="AN25">
    <cfRule type="expression" dxfId="202" priority="386" stopIfTrue="1">
      <formula>AND($W25="None",$X25=0)</formula>
    </cfRule>
  </conditionalFormatting>
  <conditionalFormatting sqref="AP25">
    <cfRule type="expression" dxfId="201" priority="384" stopIfTrue="1">
      <formula>AND($W25="None",$X25=0)</formula>
    </cfRule>
  </conditionalFormatting>
  <conditionalFormatting sqref="AQ25">
    <cfRule type="expression" dxfId="200" priority="383" stopIfTrue="1">
      <formula>AND($W25="None",$X25=0)</formula>
    </cfRule>
  </conditionalFormatting>
  <conditionalFormatting sqref="AR25">
    <cfRule type="expression" dxfId="199" priority="197" stopIfTrue="1">
      <formula>AND($W25="None",$X25=0)</formula>
    </cfRule>
    <cfRule type="expression" dxfId="198" priority="216" stopIfTrue="1">
      <formula>$W25="Single"</formula>
    </cfRule>
    <cfRule type="expression" dxfId="197" priority="217" stopIfTrue="1">
      <formula>$FD25&gt;0</formula>
    </cfRule>
    <cfRule type="expression" dxfId="196" priority="382" stopIfTrue="1">
      <formula>$FE25&gt;0</formula>
    </cfRule>
  </conditionalFormatting>
  <conditionalFormatting sqref="AS25">
    <cfRule type="expression" dxfId="195" priority="381" stopIfTrue="1">
      <formula>AND($W25="None",$X25=0)</formula>
    </cfRule>
  </conditionalFormatting>
  <conditionalFormatting sqref="AU25">
    <cfRule type="expression" dxfId="194" priority="379" stopIfTrue="1">
      <formula>AND($W25="None",$X25=0)</formula>
    </cfRule>
  </conditionalFormatting>
  <conditionalFormatting sqref="AV25">
    <cfRule type="expression" dxfId="193" priority="378" stopIfTrue="1">
      <formula>AND($W25="None",$X25=0)</formula>
    </cfRule>
  </conditionalFormatting>
  <conditionalFormatting sqref="AW25">
    <cfRule type="expression" dxfId="192" priority="196" stopIfTrue="1">
      <formula>AND($W25="None",$X25=0)</formula>
    </cfRule>
    <cfRule type="expression" dxfId="191" priority="214" stopIfTrue="1">
      <formula>$W25="Single"</formula>
    </cfRule>
    <cfRule type="expression" dxfId="190" priority="215" stopIfTrue="1">
      <formula>$FF25&gt;0</formula>
    </cfRule>
    <cfRule type="expression" dxfId="189" priority="377" stopIfTrue="1">
      <formula>$FG25&gt;0</formula>
    </cfRule>
  </conditionalFormatting>
  <conditionalFormatting sqref="AX25">
    <cfRule type="expression" dxfId="188" priority="376" stopIfTrue="1">
      <formula>AND($W25="None",$X25=0)</formula>
    </cfRule>
  </conditionalFormatting>
  <conditionalFormatting sqref="AO62">
    <cfRule type="expression" dxfId="187" priority="374" stopIfTrue="1">
      <formula>AND($W62="None",$X62=0)</formula>
    </cfRule>
    <cfRule type="expression" dxfId="186" priority="375" stopIfTrue="1">
      <formula>AP62&gt;0</formula>
    </cfRule>
  </conditionalFormatting>
  <conditionalFormatting sqref="AB62">
    <cfRule type="expression" dxfId="185" priority="237" stopIfTrue="1">
      <formula>$FA62&gt;0</formula>
    </cfRule>
    <cfRule type="expression" dxfId="184" priority="371" stopIfTrue="1">
      <formula>OR($W62="Double",AND($W62="None",$X62=0))</formula>
    </cfRule>
    <cfRule type="expression" dxfId="183" priority="372" stopIfTrue="1">
      <formula>C62&gt;0</formula>
    </cfRule>
    <cfRule type="expression" dxfId="182" priority="373" stopIfTrue="1">
      <formula>$CH62&gt;0</formula>
    </cfRule>
  </conditionalFormatting>
  <conditionalFormatting sqref="AF62">
    <cfRule type="expression" dxfId="181" priority="369" stopIfTrue="1">
      <formula>OR($W62="Double",AND($W62="None",$X62=0))</formula>
    </cfRule>
    <cfRule type="expression" dxfId="180" priority="370" stopIfTrue="1">
      <formula>AG62&gt;0</formula>
    </cfRule>
  </conditionalFormatting>
  <conditionalFormatting sqref="AT62">
    <cfRule type="expression" dxfId="179" priority="367" stopIfTrue="1">
      <formula>AND($W62="None",$X62=0)</formula>
    </cfRule>
    <cfRule type="expression" dxfId="178" priority="368" stopIfTrue="1">
      <formula>AU62&gt;0</formula>
    </cfRule>
  </conditionalFormatting>
  <conditionalFormatting sqref="Y62">
    <cfRule type="expression" dxfId="177" priority="366" stopIfTrue="1">
      <formula>OR($W62="Double",AND($W62="None",$X62=0))</formula>
    </cfRule>
  </conditionalFormatting>
  <conditionalFormatting sqref="Z62">
    <cfRule type="expression" dxfId="176" priority="365" stopIfTrue="1">
      <formula>OR($W62="Double",AND($W62="None",$X62=0))</formula>
    </cfRule>
  </conditionalFormatting>
  <conditionalFormatting sqref="AA62">
    <cfRule type="expression" dxfId="175" priority="364" stopIfTrue="1">
      <formula>OR($W62="Double",AND($W62="None",$X62=0))</formula>
    </cfRule>
  </conditionalFormatting>
  <conditionalFormatting sqref="AC62">
    <cfRule type="expression" dxfId="174" priority="363" stopIfTrue="1">
      <formula>OR($W62="Double",AND($W62="None",$X62=0))</formula>
    </cfRule>
  </conditionalFormatting>
  <conditionalFormatting sqref="AD62">
    <cfRule type="expression" dxfId="173" priority="362" stopIfTrue="1">
      <formula>OR($W62="Double",AND($W62="None",$X62=0))</formula>
    </cfRule>
  </conditionalFormatting>
  <conditionalFormatting sqref="AE62">
    <cfRule type="expression" dxfId="172" priority="361" stopIfTrue="1">
      <formula>OR($W62="Double",AND($W62="None",$X62=0))</formula>
    </cfRule>
  </conditionalFormatting>
  <conditionalFormatting sqref="AG62">
    <cfRule type="expression" dxfId="171" priority="360" stopIfTrue="1">
      <formula>OR($W62="Double",AND($W62="None",$X62=0))</formula>
    </cfRule>
  </conditionalFormatting>
  <conditionalFormatting sqref="AH62">
    <cfRule type="expression" dxfId="170" priority="359" stopIfTrue="1">
      <formula>OR($W62="Double",AND($W62="None",$X62=0))</formula>
    </cfRule>
  </conditionalFormatting>
  <conditionalFormatting sqref="AI62">
    <cfRule type="expression" dxfId="169" priority="358" stopIfTrue="1">
      <formula>AND($W62="None",$X62=0)</formula>
    </cfRule>
  </conditionalFormatting>
  <conditionalFormatting sqref="AJ62">
    <cfRule type="expression" dxfId="168" priority="357" stopIfTrue="1">
      <formula>AND($W62="None",$X62=0)</formula>
    </cfRule>
  </conditionalFormatting>
  <conditionalFormatting sqref="AK62">
    <cfRule type="expression" dxfId="167" priority="356" stopIfTrue="1">
      <formula>AND($W62="None",$X62=0)</formula>
    </cfRule>
  </conditionalFormatting>
  <conditionalFormatting sqref="AL62">
    <cfRule type="expression" dxfId="166" priority="355" stopIfTrue="1">
      <formula>AND($W62="None",$X62=0)</formula>
    </cfRule>
  </conditionalFormatting>
  <conditionalFormatting sqref="AM62">
    <cfRule type="expression" dxfId="165" priority="354" stopIfTrue="1">
      <formula>AND($W62="None",$X62=0)</formula>
    </cfRule>
  </conditionalFormatting>
  <conditionalFormatting sqref="AN62">
    <cfRule type="expression" dxfId="164" priority="353" stopIfTrue="1">
      <formula>AND($W62="None",$X62=0)</formula>
    </cfRule>
  </conditionalFormatting>
  <conditionalFormatting sqref="AP62">
    <cfRule type="expression" dxfId="163" priority="352" stopIfTrue="1">
      <formula>AND($W62="None",$X62=0)</formula>
    </cfRule>
  </conditionalFormatting>
  <conditionalFormatting sqref="AQ62">
    <cfRule type="expression" dxfId="162" priority="351" stopIfTrue="1">
      <formula>AND($W62="None",$X62=0)</formula>
    </cfRule>
  </conditionalFormatting>
  <conditionalFormatting sqref="AR62">
    <cfRule type="expression" dxfId="161" priority="209" stopIfTrue="1">
      <formula>AND($W62="None",$X62=0)</formula>
    </cfRule>
    <cfRule type="expression" dxfId="160" priority="210" stopIfTrue="1">
      <formula>$FD62&gt;0</formula>
    </cfRule>
    <cfRule type="expression" dxfId="159" priority="350" stopIfTrue="1">
      <formula>$FE62&gt;0</formula>
    </cfRule>
  </conditionalFormatting>
  <conditionalFormatting sqref="AS62">
    <cfRule type="expression" dxfId="158" priority="349" stopIfTrue="1">
      <formula>AND($W62="None",$X62=0)</formula>
    </cfRule>
  </conditionalFormatting>
  <conditionalFormatting sqref="AU62">
    <cfRule type="expression" dxfId="157" priority="348" stopIfTrue="1">
      <formula>AND($W62="None",$X62=0)</formula>
    </cfRule>
  </conditionalFormatting>
  <conditionalFormatting sqref="AV62">
    <cfRule type="expression" dxfId="156" priority="347" stopIfTrue="1">
      <formula>AND($W62="None",$X62=0)</formula>
    </cfRule>
  </conditionalFormatting>
  <conditionalFormatting sqref="AW62">
    <cfRule type="expression" dxfId="155" priority="207" stopIfTrue="1">
      <formula>AND($W62="None",$X62=0)</formula>
    </cfRule>
    <cfRule type="expression" dxfId="154" priority="208" stopIfTrue="1">
      <formula>$FF62</formula>
    </cfRule>
    <cfRule type="expression" dxfId="153" priority="346" stopIfTrue="1">
      <formula>$FG62&gt;0</formula>
    </cfRule>
  </conditionalFormatting>
  <conditionalFormatting sqref="AX62">
    <cfRule type="expression" dxfId="152" priority="345" stopIfTrue="1">
      <formula>AND($W62="None",$X62=0)</formula>
    </cfRule>
  </conditionalFormatting>
  <conditionalFormatting sqref="AO99">
    <cfRule type="expression" dxfId="151" priority="343" stopIfTrue="1">
      <formula>AND($W99="None",$X99=0)</formula>
    </cfRule>
    <cfRule type="expression" dxfId="150" priority="344" stopIfTrue="1">
      <formula>AP99&gt;0</formula>
    </cfRule>
  </conditionalFormatting>
  <conditionalFormatting sqref="AB99">
    <cfRule type="expression" dxfId="149" priority="234" stopIfTrue="1">
      <formula>$FA99&gt;0</formula>
    </cfRule>
    <cfRule type="expression" dxfId="148" priority="340" stopIfTrue="1">
      <formula>OR($W99="Double",AND($W99="None",$X99=0))</formula>
    </cfRule>
    <cfRule type="expression" dxfId="147" priority="341" stopIfTrue="1">
      <formula>C99&gt;0</formula>
    </cfRule>
    <cfRule type="expression" dxfId="146" priority="342" stopIfTrue="1">
      <formula>$CH99&gt;0</formula>
    </cfRule>
  </conditionalFormatting>
  <conditionalFormatting sqref="AF99">
    <cfRule type="expression" dxfId="145" priority="338" stopIfTrue="1">
      <formula>OR($W99="Double",AND($W99="None",$X99=0))</formula>
    </cfRule>
    <cfRule type="expression" dxfId="144" priority="339" stopIfTrue="1">
      <formula>AG99&gt;0</formula>
    </cfRule>
  </conditionalFormatting>
  <conditionalFormatting sqref="AT99">
    <cfRule type="expression" dxfId="143" priority="336" stopIfTrue="1">
      <formula>AND($W99="None",$X99=0)</formula>
    </cfRule>
    <cfRule type="expression" dxfId="142" priority="337" stopIfTrue="1">
      <formula>AU99&gt;0</formula>
    </cfRule>
  </conditionalFormatting>
  <conditionalFormatting sqref="Y99">
    <cfRule type="expression" dxfId="141" priority="335" stopIfTrue="1">
      <formula>OR($W99="Double",AND($W99="None",$X99=0))</formula>
    </cfRule>
  </conditionalFormatting>
  <conditionalFormatting sqref="Z99">
    <cfRule type="expression" dxfId="140" priority="334" stopIfTrue="1">
      <formula>OR($W99="Double",AND($W99="None",$X99=0))</formula>
    </cfRule>
  </conditionalFormatting>
  <conditionalFormatting sqref="AA99">
    <cfRule type="expression" dxfId="139" priority="333" stopIfTrue="1">
      <formula>OR($W99="Double",AND($W99="None",$X99=0))</formula>
    </cfRule>
  </conditionalFormatting>
  <conditionalFormatting sqref="AC99">
    <cfRule type="expression" dxfId="138" priority="332" stopIfTrue="1">
      <formula>OR($W99="Double",AND($W99="None",$X99=0))</formula>
    </cfRule>
  </conditionalFormatting>
  <conditionalFormatting sqref="AD99">
    <cfRule type="expression" dxfId="137" priority="331" stopIfTrue="1">
      <formula>OR($W99="Double",AND($W99="None",$X99=0))</formula>
    </cfRule>
  </conditionalFormatting>
  <conditionalFormatting sqref="AE99">
    <cfRule type="expression" dxfId="136" priority="330" stopIfTrue="1">
      <formula>OR($W99="Double",AND($W99="None",$X99=0))</formula>
    </cfRule>
  </conditionalFormatting>
  <conditionalFormatting sqref="AG99">
    <cfRule type="expression" dxfId="135" priority="329" stopIfTrue="1">
      <formula>OR($W99="Double",AND($W99="None",$X99=0))</formula>
    </cfRule>
  </conditionalFormatting>
  <conditionalFormatting sqref="AH99">
    <cfRule type="expression" dxfId="134" priority="328" stopIfTrue="1">
      <formula>OR($W99="Double",AND($W99="None",$X99=0))</formula>
    </cfRule>
  </conditionalFormatting>
  <conditionalFormatting sqref="AI99">
    <cfRule type="expression" dxfId="133" priority="327" stopIfTrue="1">
      <formula>AND($W99="None",$X99=0)</formula>
    </cfRule>
  </conditionalFormatting>
  <conditionalFormatting sqref="AJ99">
    <cfRule type="expression" dxfId="132" priority="326" stopIfTrue="1">
      <formula>AND($W99="None",$X99=0)</formula>
    </cfRule>
  </conditionalFormatting>
  <conditionalFormatting sqref="AK99">
    <cfRule type="expression" dxfId="131" priority="325" stopIfTrue="1">
      <formula>AND($W99="None",$X99=0)</formula>
    </cfRule>
  </conditionalFormatting>
  <conditionalFormatting sqref="AL99">
    <cfRule type="expression" dxfId="130" priority="324" stopIfTrue="1">
      <formula>AND($W99="None",$X99=0)</formula>
    </cfRule>
  </conditionalFormatting>
  <conditionalFormatting sqref="AM99">
    <cfRule type="expression" dxfId="129" priority="323" stopIfTrue="1">
      <formula>AND($W99="None",$X99=0)</formula>
    </cfRule>
  </conditionalFormatting>
  <conditionalFormatting sqref="AN99">
    <cfRule type="expression" dxfId="128" priority="322" stopIfTrue="1">
      <formula>AND($W99="None",$X99=0)</formula>
    </cfRule>
  </conditionalFormatting>
  <conditionalFormatting sqref="AP99">
    <cfRule type="expression" dxfId="127" priority="321" stopIfTrue="1">
      <formula>AND($W99="None",$X99=0)</formula>
    </cfRule>
  </conditionalFormatting>
  <conditionalFormatting sqref="AQ99">
    <cfRule type="expression" dxfId="126" priority="320" stopIfTrue="1">
      <formula>AND($W99="None",$X99=0)</formula>
    </cfRule>
  </conditionalFormatting>
  <conditionalFormatting sqref="AR99">
    <cfRule type="expression" dxfId="125" priority="202" stopIfTrue="1">
      <formula>AND($W99="None",$X99=0)</formula>
    </cfRule>
    <cfRule type="expression" dxfId="124" priority="203" stopIfTrue="1">
      <formula>$FD99&gt;0</formula>
    </cfRule>
    <cfRule type="expression" dxfId="123" priority="319" stopIfTrue="1">
      <formula>$FE99&gt;0</formula>
    </cfRule>
  </conditionalFormatting>
  <conditionalFormatting sqref="AS99">
    <cfRule type="expression" dxfId="122" priority="318" stopIfTrue="1">
      <formula>AND($W99="None",$X99=0)</formula>
    </cfRule>
  </conditionalFormatting>
  <conditionalFormatting sqref="AU99">
    <cfRule type="expression" dxfId="121" priority="317" stopIfTrue="1">
      <formula>AND($W99="None",$X99=0)</formula>
    </cfRule>
  </conditionalFormatting>
  <conditionalFormatting sqref="AV99">
    <cfRule type="expression" dxfId="120" priority="316" stopIfTrue="1">
      <formula>AND($W99="None",$X99=0)</formula>
    </cfRule>
  </conditionalFormatting>
  <conditionalFormatting sqref="AW99">
    <cfRule type="expression" dxfId="119" priority="200" stopIfTrue="1">
      <formula>AND($W99="None",$X99=0)</formula>
    </cfRule>
    <cfRule type="expression" dxfId="118" priority="201" stopIfTrue="1">
      <formula>$FF99&gt;0</formula>
    </cfRule>
    <cfRule type="expression" dxfId="117" priority="315" stopIfTrue="1">
      <formula>$FG99&gt;0</formula>
    </cfRule>
  </conditionalFormatting>
  <conditionalFormatting sqref="AX99">
    <cfRule type="expression" dxfId="116" priority="314" stopIfTrue="1">
      <formula>AND($W99="None",$X99=0)</formula>
    </cfRule>
  </conditionalFormatting>
  <conditionalFormatting sqref="AO138">
    <cfRule type="expression" dxfId="115" priority="312" stopIfTrue="1">
      <formula>AND($W138="None",$X138=0)</formula>
    </cfRule>
    <cfRule type="expression" dxfId="114" priority="313" stopIfTrue="1">
      <formula>AP138&gt;0</formula>
    </cfRule>
  </conditionalFormatting>
  <conditionalFormatting sqref="AB138">
    <cfRule type="expression" dxfId="113" priority="309" stopIfTrue="1">
      <formula>OR($W138="Double",AND($W138="None",$X138=0))</formula>
    </cfRule>
    <cfRule type="expression" dxfId="112" priority="310" stopIfTrue="1">
      <formula>C138&gt;0</formula>
    </cfRule>
    <cfRule type="expression" dxfId="111" priority="311" stopIfTrue="1">
      <formula>$CH138&gt;0</formula>
    </cfRule>
  </conditionalFormatting>
  <conditionalFormatting sqref="AF138">
    <cfRule type="expression" dxfId="110" priority="307" stopIfTrue="1">
      <formula>OR($W138="Double",AND($W138="None",$X138=0))</formula>
    </cfRule>
    <cfRule type="expression" dxfId="109" priority="308" stopIfTrue="1">
      <formula>AG138&gt;0</formula>
    </cfRule>
  </conditionalFormatting>
  <conditionalFormatting sqref="AT138">
    <cfRule type="expression" dxfId="108" priority="305" stopIfTrue="1">
      <formula>AND($W138="None",$X138=0)</formula>
    </cfRule>
    <cfRule type="expression" dxfId="107" priority="306" stopIfTrue="1">
      <formula>AU138&gt;0</formula>
    </cfRule>
  </conditionalFormatting>
  <conditionalFormatting sqref="Y138">
    <cfRule type="expression" dxfId="106" priority="304" stopIfTrue="1">
      <formula>OR($W138="Double",AND($W138="None",$X138=0))</formula>
    </cfRule>
  </conditionalFormatting>
  <conditionalFormatting sqref="Z138">
    <cfRule type="expression" dxfId="105" priority="303" stopIfTrue="1">
      <formula>OR($W138="Double",AND($W138="None",$X138=0))</formula>
    </cfRule>
  </conditionalFormatting>
  <conditionalFormatting sqref="AA138">
    <cfRule type="expression" dxfId="104" priority="302" stopIfTrue="1">
      <formula>OR($W138="Double",AND($W138="None",$X138=0))</formula>
    </cfRule>
  </conditionalFormatting>
  <conditionalFormatting sqref="AC138">
    <cfRule type="expression" dxfId="103" priority="301" stopIfTrue="1">
      <formula>OR($W138="Double",AND($W138="None",$X138=0))</formula>
    </cfRule>
  </conditionalFormatting>
  <conditionalFormatting sqref="AD138">
    <cfRule type="expression" dxfId="102" priority="300" stopIfTrue="1">
      <formula>OR($W138="Double",AND($W138="None",$X138=0))</formula>
    </cfRule>
  </conditionalFormatting>
  <conditionalFormatting sqref="AE138">
    <cfRule type="expression" dxfId="101" priority="299" stopIfTrue="1">
      <formula>OR($W138="Double",AND($W138="None",$X138=0))</formula>
    </cfRule>
  </conditionalFormatting>
  <conditionalFormatting sqref="AG138">
    <cfRule type="expression" dxfId="100" priority="298" stopIfTrue="1">
      <formula>OR($W138="Double",AND($W138="None",$X138=0))</formula>
    </cfRule>
  </conditionalFormatting>
  <conditionalFormatting sqref="AH138">
    <cfRule type="expression" dxfId="99" priority="297" stopIfTrue="1">
      <formula>OR($W138="Double",AND($W138="None",$X138=0))</formula>
    </cfRule>
  </conditionalFormatting>
  <conditionalFormatting sqref="AI138">
    <cfRule type="expression" dxfId="98" priority="296" stopIfTrue="1">
      <formula>AND($W138="None",$X138=0)</formula>
    </cfRule>
  </conditionalFormatting>
  <conditionalFormatting sqref="AJ138">
    <cfRule type="expression" dxfId="97" priority="295" stopIfTrue="1">
      <formula>AND($W138="None",$X138=0)</formula>
    </cfRule>
  </conditionalFormatting>
  <conditionalFormatting sqref="AK138">
    <cfRule type="expression" dxfId="96" priority="294" stopIfTrue="1">
      <formula>AND($W138="None",$X138=0)</formula>
    </cfRule>
  </conditionalFormatting>
  <conditionalFormatting sqref="AL138">
    <cfRule type="expression" dxfId="95" priority="293" stopIfTrue="1">
      <formula>AND($W138="None",$X138=0)</formula>
    </cfRule>
  </conditionalFormatting>
  <conditionalFormatting sqref="AM138">
    <cfRule type="expression" dxfId="94" priority="292" stopIfTrue="1">
      <formula>AND($W138="None",$X138=0)</formula>
    </cfRule>
  </conditionalFormatting>
  <conditionalFormatting sqref="AN138">
    <cfRule type="expression" dxfId="93" priority="291" stopIfTrue="1">
      <formula>AND($W138="None",$X138=0)</formula>
    </cfRule>
  </conditionalFormatting>
  <conditionalFormatting sqref="AP138">
    <cfRule type="expression" dxfId="92" priority="290" stopIfTrue="1">
      <formula>AND($W138="None",$X138=0)</formula>
    </cfRule>
  </conditionalFormatting>
  <conditionalFormatting sqref="AQ138">
    <cfRule type="expression" dxfId="91" priority="289" stopIfTrue="1">
      <formula>AND($W138="None",$X138=0)</formula>
    </cfRule>
  </conditionalFormatting>
  <conditionalFormatting sqref="AR138">
    <cfRule type="expression" dxfId="90" priority="288" stopIfTrue="1">
      <formula>AND($W138="None",$X138=0)</formula>
    </cfRule>
  </conditionalFormatting>
  <conditionalFormatting sqref="AS138">
    <cfRule type="expression" dxfId="89" priority="287" stopIfTrue="1">
      <formula>AND($W138="None",$X138=0)</formula>
    </cfRule>
  </conditionalFormatting>
  <conditionalFormatting sqref="AU138">
    <cfRule type="expression" dxfId="88" priority="286" stopIfTrue="1">
      <formula>AND($W138="None",$X138=0)</formula>
    </cfRule>
  </conditionalFormatting>
  <conditionalFormatting sqref="AV138">
    <cfRule type="expression" dxfId="87" priority="285" stopIfTrue="1">
      <formula>AND($W138="None",$X138=0)</formula>
    </cfRule>
  </conditionalFormatting>
  <conditionalFormatting sqref="AW138">
    <cfRule type="expression" dxfId="86" priority="284" stopIfTrue="1">
      <formula>AND($W138="None",$X138=0)</formula>
    </cfRule>
  </conditionalFormatting>
  <conditionalFormatting sqref="AX138:AY138">
    <cfRule type="expression" dxfId="85" priority="283" stopIfTrue="1">
      <formula>AND($W138="None",$X138=0)</formula>
    </cfRule>
  </conditionalFormatting>
  <conditionalFormatting sqref="X25 X62 X99">
    <cfRule type="expression" priority="228" stopIfTrue="1">
      <formula>$C$3&gt;0</formula>
    </cfRule>
    <cfRule type="expression" dxfId="84" priority="280" stopIfTrue="1">
      <formula>AND($W25="Double",$X25=0)</formula>
    </cfRule>
    <cfRule type="expression" dxfId="83" priority="281" stopIfTrue="1">
      <formula>AND($W25="Single",$X25=0)</formula>
    </cfRule>
    <cfRule type="expression" dxfId="82" priority="282" stopIfTrue="1">
      <formula>AND($W25="None",$X25&gt;0)</formula>
    </cfRule>
  </conditionalFormatting>
  <conditionalFormatting sqref="X138">
    <cfRule type="expression" dxfId="81" priority="277" stopIfTrue="1">
      <formula>AND($W138="Double",$X138=0)</formula>
    </cfRule>
    <cfRule type="expression" dxfId="80" priority="278" stopIfTrue="1">
      <formula>AND($W138="Single",$X138=0)</formula>
    </cfRule>
    <cfRule type="expression" dxfId="79" priority="279" stopIfTrue="1">
      <formula>AND($W138="None",$X138&gt;0)</formula>
    </cfRule>
  </conditionalFormatting>
  <conditionalFormatting sqref="BU25">
    <cfRule type="expression" dxfId="78" priority="258" stopIfTrue="1">
      <formula>AND($C$3&gt;0,$T$4&lt;BU25)</formula>
    </cfRule>
    <cfRule type="expression" dxfId="77" priority="276" stopIfTrue="1">
      <formula>$C25&gt;0</formula>
    </cfRule>
  </conditionalFormatting>
  <conditionalFormatting sqref="BU25">
    <cfRule type="expression" dxfId="76" priority="275" stopIfTrue="1">
      <formula>CN25&gt;0</formula>
    </cfRule>
  </conditionalFormatting>
  <conditionalFormatting sqref="BO25">
    <cfRule type="expression" dxfId="75" priority="226" stopIfTrue="1">
      <formula>$C25&gt;0</formula>
    </cfRule>
    <cfRule type="expression" dxfId="74" priority="274" stopIfTrue="1">
      <formula>CK25&gt;0</formula>
    </cfRule>
  </conditionalFormatting>
  <conditionalFormatting sqref="BO62">
    <cfRule type="expression" dxfId="73" priority="223" stopIfTrue="1">
      <formula>$C62&gt;0</formula>
    </cfRule>
    <cfRule type="expression" dxfId="72" priority="273" stopIfTrue="1">
      <formula>CK62&gt;0</formula>
    </cfRule>
  </conditionalFormatting>
  <conditionalFormatting sqref="BO99">
    <cfRule type="expression" dxfId="71" priority="220" stopIfTrue="1">
      <formula>$C99&gt;0</formula>
    </cfRule>
    <cfRule type="expression" dxfId="70" priority="272" stopIfTrue="1">
      <formula>CK99&gt;0</formula>
    </cfRule>
  </conditionalFormatting>
  <conditionalFormatting sqref="BO138">
    <cfRule type="expression" dxfId="69" priority="270" stopIfTrue="1">
      <formula>$C138&gt;0</formula>
    </cfRule>
    <cfRule type="expression" dxfId="68" priority="271" stopIfTrue="1">
      <formula>CK138&gt;0</formula>
    </cfRule>
  </conditionalFormatting>
  <conditionalFormatting sqref="BP25">
    <cfRule type="expression" dxfId="67" priority="225" stopIfTrue="1">
      <formula>$C25&gt;0</formula>
    </cfRule>
    <cfRule type="expression" dxfId="66" priority="269" stopIfTrue="1">
      <formula>CL25&gt;0</formula>
    </cfRule>
  </conditionalFormatting>
  <conditionalFormatting sqref="BP62">
    <cfRule type="expression" dxfId="65" priority="222" stopIfTrue="1">
      <formula>$C62&gt;0</formula>
    </cfRule>
    <cfRule type="expression" dxfId="64" priority="268" stopIfTrue="1">
      <formula>CL62&gt;0</formula>
    </cfRule>
  </conditionalFormatting>
  <conditionalFormatting sqref="BP99">
    <cfRule type="expression" dxfId="63" priority="219" stopIfTrue="1">
      <formula>$C99&gt;0</formula>
    </cfRule>
    <cfRule type="expression" dxfId="62" priority="267" stopIfTrue="1">
      <formula>CL99&gt;0</formula>
    </cfRule>
  </conditionalFormatting>
  <conditionalFormatting sqref="BP138">
    <cfRule type="expression" dxfId="61" priority="265" stopIfTrue="1">
      <formula>$C138&gt;0</formula>
    </cfRule>
    <cfRule type="expression" dxfId="60" priority="266" stopIfTrue="1">
      <formula>CL138&gt;0</formula>
    </cfRule>
  </conditionalFormatting>
  <conditionalFormatting sqref="D48 D85 D124 D11">
    <cfRule type="cellIs" dxfId="59" priority="264" stopIfTrue="1" operator="equal">
      <formula>0</formula>
    </cfRule>
  </conditionalFormatting>
  <conditionalFormatting sqref="BT62">
    <cfRule type="expression" dxfId="58" priority="263" stopIfTrue="1">
      <formula>$C62&gt;0</formula>
    </cfRule>
  </conditionalFormatting>
  <conditionalFormatting sqref="BT99">
    <cfRule type="expression" dxfId="57" priority="262" stopIfTrue="1">
      <formula>$C99&gt;0</formula>
    </cfRule>
  </conditionalFormatting>
  <conditionalFormatting sqref="BU138">
    <cfRule type="expression" dxfId="56" priority="260" stopIfTrue="1">
      <formula>$C138&gt;0</formula>
    </cfRule>
    <cfRule type="expression" dxfId="55" priority="261" stopIfTrue="1">
      <formula>CO138&gt;0</formula>
    </cfRule>
  </conditionalFormatting>
  <conditionalFormatting sqref="BT138">
    <cfRule type="expression" dxfId="54" priority="259" stopIfTrue="1">
      <formula>$C138&gt;0</formula>
    </cfRule>
  </conditionalFormatting>
  <conditionalFormatting sqref="BS62">
    <cfRule type="expression" dxfId="53" priority="205" stopIfTrue="1">
      <formula>$C62&gt;0</formula>
    </cfRule>
    <cfRule type="expression" dxfId="52" priority="256" stopIfTrue="1">
      <formula>$FC62&gt;0</formula>
    </cfRule>
    <cfRule type="expression" dxfId="51" priority="257" stopIfTrue="1">
      <formula>CM62&gt;0</formula>
    </cfRule>
  </conditionalFormatting>
  <conditionalFormatting sqref="BS99">
    <cfRule type="expression" dxfId="50" priority="198" stopIfTrue="1">
      <formula>$C99&gt;0</formula>
    </cfRule>
    <cfRule type="expression" dxfId="49" priority="254" stopIfTrue="1">
      <formula>$FC99&gt;0</formula>
    </cfRule>
    <cfRule type="expression" dxfId="48" priority="255" stopIfTrue="1">
      <formula>CM99&gt;0</formula>
    </cfRule>
  </conditionalFormatting>
  <conditionalFormatting sqref="BU62">
    <cfRule type="expression" dxfId="47" priority="253" stopIfTrue="1">
      <formula>CN62&gt;0</formula>
    </cfRule>
  </conditionalFormatting>
  <conditionalFormatting sqref="BU99">
    <cfRule type="expression" dxfId="46" priority="252" stopIfTrue="1">
      <formula>CN99&gt;0</formula>
    </cfRule>
  </conditionalFormatting>
  <conditionalFormatting sqref="S79:T81 S42:T44 S2:T4">
    <cfRule type="expression" dxfId="45" priority="251" stopIfTrue="1">
      <formula>NOT(LEFT($C$4,1)="g")</formula>
    </cfRule>
  </conditionalFormatting>
  <conditionalFormatting sqref="E42:I44 E79:I81 E2:J4">
    <cfRule type="expression" dxfId="44" priority="250" stopIfTrue="1">
      <formula>(LEFT($C$4,1)="g")</formula>
    </cfRule>
  </conditionalFormatting>
  <conditionalFormatting sqref="BT42:BT44 BT79:BT81 BT2:BT4">
    <cfRule type="expression" dxfId="43" priority="249" stopIfTrue="1">
      <formula>(LEFT($C$4,1)="g")</formula>
    </cfRule>
  </conditionalFormatting>
  <conditionalFormatting sqref="BY2:BY4">
    <cfRule type="expression" dxfId="42" priority="248" stopIfTrue="1">
      <formula>NOT(LEFT($C$4,1)="g")</formula>
    </cfRule>
  </conditionalFormatting>
  <conditionalFormatting sqref="BY42:BY44">
    <cfRule type="expression" dxfId="41" priority="247" stopIfTrue="1">
      <formula>NOT(LEFT($C$4,1)="g")</formula>
    </cfRule>
  </conditionalFormatting>
  <conditionalFormatting sqref="BY79:BY81">
    <cfRule type="expression" dxfId="40" priority="246" stopIfTrue="1">
      <formula>NOT(LEFT($C$4,1)="g")</formula>
    </cfRule>
  </conditionalFormatting>
  <conditionalFormatting sqref="BT25">
    <cfRule type="expression" dxfId="39" priority="245" stopIfTrue="1">
      <formula>$C25&gt;0</formula>
    </cfRule>
  </conditionalFormatting>
  <conditionalFormatting sqref="BT62">
    <cfRule type="expression" dxfId="38" priority="244" stopIfTrue="1">
      <formula>$C62&gt;0</formula>
    </cfRule>
  </conditionalFormatting>
  <conditionalFormatting sqref="BT62">
    <cfRule type="expression" dxfId="37" priority="243" stopIfTrue="1">
      <formula>$C62&gt;0</formula>
    </cfRule>
  </conditionalFormatting>
  <conditionalFormatting sqref="BT99">
    <cfRule type="expression" dxfId="36" priority="242" stopIfTrue="1">
      <formula>$C99&gt;0</formula>
    </cfRule>
  </conditionalFormatting>
  <conditionalFormatting sqref="BT99">
    <cfRule type="expression" dxfId="35" priority="241" stopIfTrue="1">
      <formula>$C99&gt;0</formula>
    </cfRule>
  </conditionalFormatting>
  <conditionalFormatting sqref="BT99">
    <cfRule type="expression" dxfId="34" priority="240" stopIfTrue="1">
      <formula>$C99&gt;0</formula>
    </cfRule>
  </conditionalFormatting>
  <conditionalFormatting sqref="J42:J44">
    <cfRule type="expression" dxfId="33" priority="239" stopIfTrue="1">
      <formula>(LEFT($C$4,1)="g")</formula>
    </cfRule>
  </conditionalFormatting>
  <conditionalFormatting sqref="AB62">
    <cfRule type="expression" dxfId="32" priority="211" stopIfTrue="1">
      <formula>OR($W62="Double",AND($W62="None",$X62=0))</formula>
    </cfRule>
    <cfRule type="expression" dxfId="31" priority="236" stopIfTrue="1">
      <formula>C62&gt;0</formula>
    </cfRule>
    <cfRule type="expression" dxfId="30" priority="238" stopIfTrue="1">
      <formula>$CH62&gt;0</formula>
    </cfRule>
  </conditionalFormatting>
  <conditionalFormatting sqref="AB99">
    <cfRule type="expression" dxfId="29" priority="204" stopIfTrue="1">
      <formula>OR($W99="Double",AND($W99="None",$X99=0))</formula>
    </cfRule>
    <cfRule type="expression" dxfId="28" priority="233" stopIfTrue="1">
      <formula>C99&gt;0</formula>
    </cfRule>
    <cfRule type="expression" dxfId="27" priority="235" stopIfTrue="1">
      <formula>$CH99&gt;0</formula>
    </cfRule>
  </conditionalFormatting>
  <conditionalFormatting sqref="BD62">
    <cfRule type="expression" dxfId="26" priority="206" stopIfTrue="1">
      <formula>$C62&gt;0</formula>
    </cfRule>
    <cfRule type="expression" dxfId="25" priority="232" stopIfTrue="1">
      <formula>$CI62&gt;0</formula>
    </cfRule>
  </conditionalFormatting>
  <conditionalFormatting sqref="BD99">
    <cfRule type="expression" dxfId="24" priority="199" stopIfTrue="1">
      <formula>$C99&gt;0</formula>
    </cfRule>
    <cfRule type="expression" dxfId="23" priority="230" stopIfTrue="1">
      <formula>$CI99&gt;0</formula>
    </cfRule>
  </conditionalFormatting>
  <conditionalFormatting sqref="BU62">
    <cfRule type="expression" dxfId="22" priority="57965" stopIfTrue="1">
      <formula>AND($C$3&gt;0,$T$44&lt;BU62)</formula>
    </cfRule>
    <cfRule type="expression" dxfId="21" priority="57966" stopIfTrue="1">
      <formula>$C62&gt;0</formula>
    </cfRule>
  </conditionalFormatting>
  <conditionalFormatting sqref="BU99">
    <cfRule type="expression" dxfId="20" priority="57967" stopIfTrue="1">
      <formula>AND($C$3&gt;0,$T$81&lt;BU99)</formula>
    </cfRule>
    <cfRule type="expression" dxfId="19" priority="57968" stopIfTrue="1">
      <formula>$C99&gt;0</formula>
    </cfRule>
  </conditionalFormatting>
  <dataValidations count="12">
    <dataValidation type="list" showInputMessage="1" showErrorMessage="1" errorTitle="Error" error="This is not a valid Segment Name!" sqref="E25" xr:uid="{38050228-D8C7-4C68-9A7C-4CA029A3CB8C}">
      <formula1>LegendSG1CKTsPurged_Skid</formula1>
    </dataValidation>
    <dataValidation type="list" showInputMessage="1" showErrorMessage="1" errorTitle="Error" error="This is not a valid Segment Name!" sqref="E62" xr:uid="{BA31212B-D199-4961-A29D-1CDE2AD4FFD2}">
      <formula1>LegendSG2CKTsPurged</formula1>
    </dataValidation>
    <dataValidation type="list" showInputMessage="1" showErrorMessage="1" errorTitle="Error" error="This is not a valid Segment Name!" sqref="E99" xr:uid="{907CCF04-6107-4868-A78F-1FBF24915E6C}">
      <formula1>LegendSG3CKTs</formula1>
    </dataValidation>
    <dataValidation type="decimal" allowBlank="1" showInputMessage="1" showErrorMessage="1" error="You must enter a positive value." sqref="X99 X25 X62 X138" xr:uid="{50496A4E-46D2-4815-91D2-5ACE48EA3A0B}">
      <formula1>0</formula1>
      <formula2>50000</formula2>
    </dataValidation>
    <dataValidation type="list" allowBlank="1" showInputMessage="1" showErrorMessage="1" sqref="BI112 BI151 BI38 BY112 BY38 BY75 BI138 BY138 BI75 BY151" xr:uid="{1D0D0A80-50E5-4B62-8CCD-E001D6F3EFF9}">
      <formula1>pipedia</formula1>
    </dataValidation>
    <dataValidation type="list" allowBlank="1" showInputMessage="1" showErrorMessage="1" sqref="AP112 AU38 AP25 AU25 AG25 AG38 AP38 AU75 AP62 AU62 AP75 AG62 AG75 AP151 AP99 AG112 AU151 AU99 AP138 AU138 BI99 AG138 AU112 AG151 BY99 BY62 BY25 BI25 BI62 AG99" xr:uid="{D3DC5461-CD41-4804-ADBD-92B95293817C}">
      <formula1>pipedata2</formula1>
    </dataValidation>
    <dataValidation type="list" allowBlank="1" showInputMessage="1" showErrorMessage="1" sqref="W138 W25 W62 W99" xr:uid="{52D39DC4-F267-478A-9950-43DB983175C5}">
      <formula1>"Single, Double, None"</formula1>
    </dataValidation>
    <dataValidation type="list" allowBlank="1" showInputMessage="1" showErrorMessage="1" sqref="V138 V99 V62" xr:uid="{76C8FED0-65B1-486D-8151-B0F53F4D60FC}">
      <formula1>"None, '@ System, '@ Bottom Of Riser, '@ Top of Riser"</formula1>
    </dataValidation>
    <dataValidation type="list" showInputMessage="1" showErrorMessage="1" errorTitle="Error" error="This is not a valid Segment Name!" sqref="E138" xr:uid="{3D184D09-0911-4D97-9452-EF38037936B3}">
      <formula1>LegendSG1CKTs</formula1>
    </dataValidation>
    <dataValidation type="list" allowBlank="1" showInputMessage="1" showErrorMessage="1" sqref="D138 D25 D62 D99" xr:uid="{A1432493-4302-41A9-B2BB-4E5FC31037C2}">
      <formula1>"Loop, Load, Delete"</formula1>
    </dataValidation>
    <dataValidation type="list" allowBlank="1" showInputMessage="1" showErrorMessage="1" sqref="CE99 CE49 CE25 CE86 CE62 CE125 CE138 CE12" xr:uid="{5218E80E-BE7B-48D1-956B-2CF24F38B304}">
      <formula1>"Reviewed"</formula1>
    </dataValidation>
    <dataValidation type="whole" allowBlank="1" showErrorMessage="1" errorTitle="Invalid Fluid Tem" error="Please enter a valid Fluid Temp" promptTitle="Invalid Fluid Tem" prompt="Please enter a valid Fluid Temp" sqref="S81 S44 S4" xr:uid="{3C9C4E8D-1D21-41C5-BF21-6E0039E080DD}">
      <formula1>-300</formula1>
      <formula2>400</formula2>
    </dataValidation>
  </dataValidations>
  <pageMargins left="0.75" right="0.75" top="1" bottom="1" header="0.5" footer="0.5"/>
  <pageSetup paperSize="17" scale="25" orientation="landscape" r:id="rId1"/>
  <headerFooter alignWithMargins="0"/>
  <drawing r:id="rId2"/>
  <legacyDrawing r:id="rId3"/>
  <controls>
    <mc:AlternateContent xmlns:mc="http://schemas.openxmlformats.org/markup-compatibility/2006">
      <mc:Choice Requires="x14">
        <control shapeId="6352897" r:id="rId4" name="HideColumnsButton">
          <controlPr defaultSize="0" autoLine="0" r:id="rId5">
            <anchor moveWithCells="1">
              <from>
                <xdr:col>5</xdr:col>
                <xdr:colOff>38100</xdr:colOff>
                <xdr:row>4</xdr:row>
                <xdr:rowOff>133350</xdr:rowOff>
              </from>
              <to>
                <xdr:col>6</xdr:col>
                <xdr:colOff>504825</xdr:colOff>
                <xdr:row>6</xdr:row>
                <xdr:rowOff>171450</xdr:rowOff>
              </to>
            </anchor>
          </controlPr>
        </control>
      </mc:Choice>
      <mc:Fallback>
        <control shapeId="6352897" r:id="rId4" name="HideColumnsButton"/>
      </mc:Fallback>
    </mc:AlternateContent>
    <mc:AlternateContent xmlns:mc="http://schemas.openxmlformats.org/markup-compatibility/2006">
      <mc:Choice Requires="x14">
        <control shapeId="6352898" r:id="rId6" name="CalculationToggle">
          <controlPr defaultSize="0" autoLine="0" r:id="rId7">
            <anchor moveWithCells="1">
              <from>
                <xdr:col>2</xdr:col>
                <xdr:colOff>180975</xdr:colOff>
                <xdr:row>4</xdr:row>
                <xdr:rowOff>133350</xdr:rowOff>
              </from>
              <to>
                <xdr:col>4</xdr:col>
                <xdr:colOff>752475</xdr:colOff>
                <xdr:row>6</xdr:row>
                <xdr:rowOff>171450</xdr:rowOff>
              </to>
            </anchor>
          </controlPr>
        </control>
      </mc:Choice>
      <mc:Fallback>
        <control shapeId="6352898" r:id="rId6" name="CalculationToggle"/>
      </mc:Fallback>
    </mc:AlternateContent>
  </control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D835CA-5A26-4065-A8A7-A0D44D078670}">
  <sheetPr codeName="Sheet25">
    <tabColor rgb="FF99CCFF"/>
    <pageSetUpPr fitToPage="1"/>
  </sheetPr>
  <dimension ref="A1:AJ46"/>
  <sheetViews>
    <sheetView topLeftCell="A2" zoomScaleNormal="100" workbookViewId="0">
      <selection activeCell="A2" sqref="A2"/>
    </sheetView>
  </sheetViews>
  <sheetFormatPr defaultRowHeight="12.75" x14ac:dyDescent="0.2"/>
  <cols>
    <col min="1" max="1" width="12.28515625" style="413" customWidth="1"/>
    <col min="2" max="2" width="9.42578125" style="413" customWidth="1"/>
    <col min="3" max="4" width="5.7109375" style="413" customWidth="1"/>
    <col min="5" max="6" width="6.7109375" style="413" customWidth="1"/>
    <col min="7" max="7" width="11.42578125" style="413" customWidth="1"/>
    <col min="8" max="8" width="6.7109375" style="413" customWidth="1"/>
    <col min="9" max="11" width="4.7109375" style="413" customWidth="1"/>
    <col min="12" max="12" width="16.5703125" style="413" bestFit="1" customWidth="1"/>
    <col min="13" max="13" width="14.5703125" style="413" customWidth="1"/>
    <col min="14" max="14" width="21.28515625" style="413" customWidth="1"/>
    <col min="15" max="15" width="8.5703125" style="413" bestFit="1" customWidth="1"/>
    <col min="16" max="16" width="10.7109375" style="413" customWidth="1"/>
    <col min="17" max="17" width="12.42578125" style="413" bestFit="1" customWidth="1"/>
    <col min="18" max="18" width="15.28515625" style="413" customWidth="1"/>
    <col min="19" max="19" width="13.7109375" style="413" customWidth="1"/>
    <col min="20" max="20" width="5.42578125" style="413" customWidth="1"/>
    <col min="21" max="21" width="8.140625" style="413" customWidth="1"/>
    <col min="22" max="22" width="11.85546875" style="413" customWidth="1"/>
    <col min="23" max="23" width="12.7109375" style="413" customWidth="1"/>
    <col min="24" max="24" width="7.85546875" style="413" bestFit="1" customWidth="1"/>
    <col min="25" max="25" width="6.5703125" style="413" customWidth="1"/>
    <col min="26" max="26" width="8.140625" style="413" customWidth="1"/>
    <col min="27" max="27" width="8.85546875" style="413" customWidth="1"/>
    <col min="28" max="28" width="9.140625" style="413"/>
    <col min="29" max="29" width="6.85546875" style="413" customWidth="1"/>
    <col min="30" max="30" width="9.5703125" style="413" customWidth="1"/>
    <col min="31" max="31" width="17" style="413" customWidth="1"/>
    <col min="32" max="32" width="14.85546875" style="413" customWidth="1"/>
    <col min="33" max="33" width="14.140625" style="413" customWidth="1"/>
    <col min="34" max="34" width="23" style="413" customWidth="1"/>
    <col min="35" max="35" width="13" style="413" customWidth="1"/>
    <col min="36" max="16384" width="9.140625" style="413"/>
  </cols>
  <sheetData>
    <row r="1" spans="1:35" ht="31.5" customHeight="1" thickTop="1" thickBot="1" x14ac:dyDescent="0.4">
      <c r="A1" s="1405"/>
      <c r="B1" s="1924" t="s">
        <v>1328</v>
      </c>
      <c r="C1" s="1925"/>
      <c r="D1" s="1925"/>
      <c r="E1" s="1925"/>
      <c r="F1" s="1925"/>
      <c r="G1" s="1925"/>
      <c r="H1" s="1925"/>
      <c r="I1" s="1925"/>
      <c r="J1" s="1925"/>
      <c r="K1" s="1925"/>
      <c r="L1" s="1925"/>
      <c r="M1" s="1925"/>
      <c r="N1" s="1925"/>
      <c r="O1" s="1925"/>
      <c r="P1" s="1925"/>
      <c r="Q1" s="1925"/>
      <c r="R1" s="1925"/>
      <c r="S1" s="1925"/>
      <c r="T1" s="1925"/>
      <c r="U1" s="1925"/>
      <c r="V1" s="1925"/>
      <c r="W1" s="1925"/>
      <c r="X1" s="1925"/>
      <c r="Y1" s="1925"/>
      <c r="Z1" s="1925"/>
      <c r="AA1" s="1925"/>
      <c r="AB1" s="1925"/>
      <c r="AC1" s="1925"/>
      <c r="AD1" s="1925"/>
      <c r="AE1" s="1925"/>
      <c r="AF1" s="1925"/>
      <c r="AG1" s="1925"/>
      <c r="AH1" s="1925"/>
      <c r="AI1" s="1926"/>
    </row>
    <row r="2" spans="1:35" s="1406" customFormat="1" ht="26.1" customHeight="1" thickTop="1" x14ac:dyDescent="0.2">
      <c r="A2" s="1405"/>
      <c r="B2" s="1975" t="str">
        <f>"SYSTEM " &amp; 'Legend(Skid)'!S1</f>
        <v xml:space="preserve">SYSTEM </v>
      </c>
      <c r="C2" s="1976"/>
      <c r="D2" s="1976"/>
      <c r="E2" s="1976"/>
      <c r="F2" s="1976"/>
      <c r="G2" s="1976"/>
      <c r="H2" s="1976"/>
      <c r="I2" s="1976"/>
      <c r="J2" s="1976"/>
      <c r="K2" s="1976"/>
      <c r="L2" s="1976"/>
      <c r="M2" s="1976"/>
      <c r="N2" s="1976"/>
      <c r="O2" s="1977"/>
      <c r="P2" s="1306" t="s">
        <v>1346</v>
      </c>
      <c r="Q2" s="1479">
        <f>'Legend(Skid)'!U4</f>
        <v>0</v>
      </c>
      <c r="R2" s="1307" t="str">
        <f>IF(OR(LEFT($O$3,1)="g",LEFT($O$3,1)="c"),'Legend(Skid)'!X1,IF('Legend(Skid)'!U1="R744","Gas Cooler Type","Condenser Type:"))</f>
        <v>Condenser Type:</v>
      </c>
      <c r="S2" s="1308">
        <f>IF(OR(LEFT($O$3,1)="g",LEFT($O$3,1)="c"),LegendSG1LT,'Legend(Skid)'!W1)</f>
        <v>0</v>
      </c>
      <c r="T2" s="1973" t="str">
        <f>IF(OR(LEFT($O$3,1)="g",LEFT($O$3,1)="c"),"","H/R Media:")</f>
        <v>H/R Media:</v>
      </c>
      <c r="U2" s="1978"/>
      <c r="V2" s="1308" t="str">
        <f>IF(OR(LEFT($O$3,1)="g",LEFT($O$3,1)="c"),"",IF(V3="Dom. Hot Water","Water",'Heat Reclaim Calc'!F5))</f>
        <v>Water</v>
      </c>
      <c r="W2" s="1973" t="str">
        <f>IF(OR(LEFT($O$3,1)="g",LEFT($O$3,1)="c"),"","Subcooler Liquid Temps")</f>
        <v>Subcooler Liquid Temps</v>
      </c>
      <c r="X2" s="1974"/>
      <c r="Y2" s="1973" t="str">
        <f>IF(OR(LEFT($O$3,1)="g",LEFT($O$3,1)="c"),"","SG1 Comp RGT ºF:")</f>
        <v>SG1 Comp RGT ºF:</v>
      </c>
      <c r="Z2" s="1978"/>
      <c r="AA2" s="1309" t="str">
        <f>IF(OR(LEFT($O$3,1)="g",LEFT($O$3,1)="c"),"",'Legend(Skid)'!AA1)</f>
        <v>N/A</v>
      </c>
      <c r="AB2" s="1979" t="str">
        <f>IF(OR(LEFT($O$3,1)="g",LEFT($O$3,1)="c"),'Legend(Skid)'!AQ3,"")</f>
        <v/>
      </c>
      <c r="AC2" s="1980"/>
      <c r="AD2" s="1980"/>
      <c r="AE2" s="1483" t="str">
        <f>IF(OR(LEFT($O$3,1)="g",LEFT($O$3,1)="c"),'Legend(Skid)'!AT3,"")</f>
        <v/>
      </c>
      <c r="AF2" s="1971" t="str">
        <f>IF(OR($S$2="Fluid",$S$2="Evap Fluid"),"COND. ENTERING FLUID TEMP ºF :",IF($S$2="Water","COND. ENTERING WATER TEMP ºF :","EXTERIOR DRY BULB (DB) ºF :"))</f>
        <v>EXTERIOR DRY BULB (DB) ºF :</v>
      </c>
      <c r="AG2" s="1972"/>
      <c r="AH2" s="1972"/>
      <c r="AI2" s="1310" t="str">
        <f>'Legend(Skid)'!AF1</f>
        <v/>
      </c>
    </row>
    <row r="3" spans="1:35" s="1406" customFormat="1" ht="26.1" customHeight="1" x14ac:dyDescent="0.2">
      <c r="A3" s="1405"/>
      <c r="B3" s="1941" t="s">
        <v>765</v>
      </c>
      <c r="C3" s="1942"/>
      <c r="D3" s="1948" t="str">
        <f>'Legend(Skid)'!H2</f>
        <v/>
      </c>
      <c r="E3" s="1949"/>
      <c r="F3" s="1947" t="s">
        <v>948</v>
      </c>
      <c r="G3" s="1942"/>
      <c r="H3" s="2080" t="str">
        <f>'Legend(Skid)'!O1</f>
        <v/>
      </c>
      <c r="I3" s="1948"/>
      <c r="J3" s="1949"/>
      <c r="K3" s="1947" t="s">
        <v>764</v>
      </c>
      <c r="L3" s="1942"/>
      <c r="M3" s="1525" t="str">
        <f>'Legend(Skid)'!R2</f>
        <v>Secondary Pump Skid</v>
      </c>
      <c r="N3" s="1312" t="str">
        <f>IF(LEFT($O$3,1)="g","Secondary Refrigerant",IF(LEFT($O$3,1)="c","Secondary Refrigerant","Refrigerant:"))</f>
        <v>Refrigerant:</v>
      </c>
      <c r="O3" s="1481">
        <f>'Legend(Skid)'!U1</f>
        <v>0</v>
      </c>
      <c r="P3" s="1313" t="s">
        <v>1226</v>
      </c>
      <c r="Q3" s="1311">
        <f>'Legend(Skid)'!U2</f>
        <v>0</v>
      </c>
      <c r="R3" s="1314" t="str">
        <f>IF(OR(LEFT($O$3,1)="g",LEFT($O$3,1)="c"),'Legend(Skid)'!V2,IF('Legend(Skid)'!U1="R744","Flash Tank Sat. Temp ºF:","Sat. Cond. Temp ºF:"))</f>
        <v>Sat. Cond. Temp ºF:</v>
      </c>
      <c r="S3" s="1315" t="str">
        <f>IF(OR(LEFT($O$3,1)="g",LEFT($O$3,1)="c"),LegendSG1CT,'Legend(Skid)'!W2)</f>
        <v/>
      </c>
      <c r="T3" s="1968" t="str">
        <f>IF(OR(LEFT($O$3,1)="g",LEFT($O$3,1)="c"),"","H/R Use:")</f>
        <v>H/R Use:</v>
      </c>
      <c r="U3" s="1969"/>
      <c r="V3" s="1317" t="str">
        <f>IF(OR(LEFT($O$3,1)="g",LEFT($O$3,1)="c"),"",'Heat Reclaim Calc'!G5)</f>
        <v>Dom. Hot Water</v>
      </c>
      <c r="W3" s="1318" t="str">
        <f>IF(OR(LEFT($O$3,1)="g",LEFT($O$3,1)="c"),"",'Legend(Skid)'!X1)</f>
        <v>Primary Refrig. Liquid Temp</v>
      </c>
      <c r="X3" s="1319" t="str">
        <f>IF(OR(LEFT($O$3,1)="g",LEFT($O$3,1)="c"),"",IF('Legend(Skid)'!Y1="","N/A",'Legend(Skid)'!Y1))</f>
        <v>N/A</v>
      </c>
      <c r="Y3" s="1968" t="str">
        <f>IF(OR(LEFT($O$3,1)="g",LEFT($O$3,1)="c"),"","SG2 Comp RGT ºF:")</f>
        <v>SG2 Comp RGT ºF:</v>
      </c>
      <c r="Z3" s="1969"/>
      <c r="AA3" s="1315" t="str">
        <f>IF(OR(LEFT($O$3,1)="g",LEFT($O$3,1)="c"),"",IF('Legend(Skid)'!AA2="","N/A",'Legend(Skid)'!AA2))</f>
        <v>N/A</v>
      </c>
      <c r="AB3" s="1947" t="str">
        <f>IF(OR(LEFT($O$3,1)="g",LEFT($O$3,1)="c"),"Pump Skid Minimum Capacity GPM:","")</f>
        <v/>
      </c>
      <c r="AC3" s="1942"/>
      <c r="AD3" s="1942"/>
      <c r="AE3" s="1322" t="str">
        <f>IF(OR(LEFT($O$3,1)="g",LEFT($O$3,1)="c"),VLOOKUP(AE2,'Legend(Skid)'!AZ177:BD182,4),"")</f>
        <v/>
      </c>
      <c r="AF3" s="1966" t="s">
        <v>1205</v>
      </c>
      <c r="AG3" s="1967"/>
      <c r="AH3" s="1967"/>
      <c r="AI3" s="1320" t="str">
        <f>'Legend(Skid)'!AI1</f>
        <v>2021</v>
      </c>
    </row>
    <row r="4" spans="1:35" s="1406" customFormat="1" ht="26.1" customHeight="1" x14ac:dyDescent="0.2">
      <c r="A4" s="1405"/>
      <c r="B4" s="1941" t="s">
        <v>766</v>
      </c>
      <c r="C4" s="1942"/>
      <c r="D4" s="1948" t="str">
        <f>'Legend(Skid)'!H3</f>
        <v>Renovation</v>
      </c>
      <c r="E4" s="1949"/>
      <c r="F4" s="1947" t="s">
        <v>743</v>
      </c>
      <c r="G4" s="1942"/>
      <c r="H4" s="2080" t="str">
        <f>'Legend(Skid)'!O2</f>
        <v/>
      </c>
      <c r="I4" s="1948"/>
      <c r="J4" s="1949"/>
      <c r="K4" s="1947" t="s">
        <v>601</v>
      </c>
      <c r="L4" s="1942"/>
      <c r="M4" s="1311" t="str">
        <f>'Legend(Skid)'!S3</f>
        <v>DCE</v>
      </c>
      <c r="N4" s="1321" t="str">
        <f>IF(LEFT($O$3,1)="g","Primary Refrigerant",IF(LEFT($O$3,1)="c","Primary Refrigerant","Estimated Refrigerant Charge"))</f>
        <v>Estimated Refrigerant Charge</v>
      </c>
      <c r="O4" s="1322" t="str">
        <f>IF(OR(LEFT($O$3,1)="g",LEFT($O$3,1)="c"),'Legend(Skid)'!W4,"N/A")</f>
        <v>N/A</v>
      </c>
      <c r="P4" s="1313" t="s">
        <v>949</v>
      </c>
      <c r="Q4" s="1311" t="str">
        <f>'Legend(Skid)'!$AC$1</f>
        <v>460V  3Ph 60Hz</v>
      </c>
      <c r="R4" s="1324" t="str">
        <f>IF(OR(LEFT($O$3,1)="g",LEFT($O$3,1)="c"),"Primary Refrig. HXR Useful Superheat ºF:",IF('Legend(Skid)'!U1="R744","Gas Cooler Outlet Temp ºF:","Cond Design TD ºF:"))</f>
        <v>Cond Design TD ºF:</v>
      </c>
      <c r="S4" s="1315">
        <f>IF(OR(LEFT($O$3,1)="g",LEFT($O$3,1)="c"),"",'Legend(Skid)'!W3)</f>
        <v>0</v>
      </c>
      <c r="T4" s="1968" t="str">
        <f>IF(OR(LEFT($O$3,1)="g",LEFT($O$3,1)="c"),"","H/R Water GPM:")</f>
        <v>H/R Water GPM:</v>
      </c>
      <c r="U4" s="1969"/>
      <c r="V4" s="1319" t="str">
        <f>IF(OR(LEFT($O$3,1)="g",LEFT($O$3,1)="c"),"",IF(V3="N/A","N/A",IF('Heat Reclaim Calc'!M5=0,"--",'Heat Reclaim Calc'!M5)))</f>
        <v>EXISTING</v>
      </c>
      <c r="W4" s="1318">
        <f>IF(OR(LEFT($O$3,1)="g",LEFT($O$3,1)="c"),"",'Legend(Skid)'!X2)</f>
        <v>0</v>
      </c>
      <c r="X4" s="1319" t="str">
        <f>IF(OR(LEFT($O$3,1)="g",LEFT($O$3,1)="c"),"",IF('Legend(Skid)'!Y2="","N/A",'Legend(Skid)'!Y2))</f>
        <v>N/A</v>
      </c>
      <c r="Y4" s="1968" t="str">
        <f>IF(OR(LEFT($O$3,1)="g",LEFT($O$3,1)="c"),"","SG3 Comp RGT ºF:")</f>
        <v>SG3 Comp RGT ºF:</v>
      </c>
      <c r="Z4" s="1969"/>
      <c r="AA4" s="1315" t="str">
        <f>IF(OR(LEFT($O$3,1)="g",LEFT($O$3,1)="c"),"",IF('Legend(Skid)'!AA3="","N/A",'Legend(Skid)'!AA3))</f>
        <v>N/A</v>
      </c>
      <c r="AB4" s="1947" t="str">
        <f>IF(OR(LEFT($O$3,1)="g",LEFT($O$3,1)="c"),"Pump Skid Maximum Capacity GPM:","")</f>
        <v/>
      </c>
      <c r="AC4" s="1942"/>
      <c r="AD4" s="1942"/>
      <c r="AE4" s="1325" t="str">
        <f>IF(OR(LEFT($O$3,1)="g",LEFT($O$3,1)="c"),VLOOKUP(AE2,'Legend(Skid)'!AZ177:BD182,5),"")</f>
        <v/>
      </c>
      <c r="AF4" s="1927" t="s">
        <v>761</v>
      </c>
      <c r="AG4" s="1928"/>
      <c r="AH4" s="1928"/>
      <c r="AI4" s="1326" t="str">
        <f>'Legend(Skid)'!AF2</f>
        <v/>
      </c>
    </row>
    <row r="5" spans="1:35" s="1406" customFormat="1" ht="26.1" customHeight="1" x14ac:dyDescent="0.2">
      <c r="A5" s="1405"/>
      <c r="B5" s="1941" t="s">
        <v>634</v>
      </c>
      <c r="C5" s="1942"/>
      <c r="D5" s="1952" t="str">
        <f>'Legend(Skid)'!K4</f>
        <v/>
      </c>
      <c r="E5" s="1953"/>
      <c r="F5" s="1947" t="s">
        <v>1016</v>
      </c>
      <c r="G5" s="1942"/>
      <c r="H5" s="2078" t="str">
        <f>IF('Legend(Skid)'!O3="","",'Legend(Skid)'!O3)</f>
        <v/>
      </c>
      <c r="I5" s="2078"/>
      <c r="J5" s="2079"/>
      <c r="K5" s="1947" t="s">
        <v>602</v>
      </c>
      <c r="L5" s="1942"/>
      <c r="M5" s="1311" t="str">
        <f>'Legend(Skid)'!S4</f>
        <v/>
      </c>
      <c r="N5" s="1313"/>
      <c r="O5" s="1327"/>
      <c r="P5" s="1323" t="str">
        <f>IF(OR(LEFT($O$3,1)="g",LEFT($O$3,1)="c"),"","Defrost Elec:")</f>
        <v>Defrost Elec:</v>
      </c>
      <c r="Q5" s="1311">
        <f>IF(OR(LEFT($O$3,1)="g",LEFT($O$3,1)="c"),"",'Legend(Skid)'!AC2)</f>
        <v>0</v>
      </c>
      <c r="R5" s="1313" t="str">
        <f>IF(OR(LEFT($O$3,1)="g",LEFT($O$3,1)="c"),"Primary Refrig. Return Gas Temp ºF:","")</f>
        <v/>
      </c>
      <c r="S5" s="1315" t="str">
        <f>IF(OR(LEFT($O$3,1)="g",LEFT($O$3,1)="c"),LegendSG1RGT,"")</f>
        <v/>
      </c>
      <c r="T5" s="1968" t="str">
        <f>IF(OR(LEFT($O$3,1)="g",LEFT($O$3,1)="c"),"","Summer H/R Avail:")</f>
        <v>Summer H/R Avail:</v>
      </c>
      <c r="U5" s="1969"/>
      <c r="V5" s="1315" t="str">
        <f>IF(OR(LEFT($O$3,1)="g",LEFT($O$3,1)="c"),"",IF(V3="Dom. Hot Water",IF('Heat Reclaim Calc'!E15=0,"--",'Heat Reclaim Calc'!I5),"N/A"))</f>
        <v>--</v>
      </c>
      <c r="W5" s="1318" t="str">
        <f>IF(LEFT($O$3,1)="g","Return Fluid Temp °F:",IF(LEFT($O$3,1)="c","",'Legend(Skid)'!X3))</f>
        <v>Mounting:</v>
      </c>
      <c r="X5" s="1319" t="str">
        <f>IF(LEFT($O$3,1)="g",'LineSizeData(Skid)'!S4,IF(LEFT($O$3,1)="c","",IF('Legend(Skid)'!Y3="","N/A",'Legend(Skid)'!Y3)))</f>
        <v>N/A</v>
      </c>
      <c r="Y5" s="1968" t="str">
        <f>IF(OR(LEFT($O$3,1)="g",LEFT($O$3,1)="c"),"","Evap. Superheat ºF:")</f>
        <v>Evap. Superheat ºF:</v>
      </c>
      <c r="Z5" s="1969"/>
      <c r="AA5" s="1315">
        <f>IF(OR(LEFT($O$3,1)="g",LEFT($O$3,1)="c"),"",'Legend(Skid)'!Y4)</f>
        <v>0</v>
      </c>
      <c r="AB5" s="1947"/>
      <c r="AC5" s="1942"/>
      <c r="AD5" s="1942"/>
      <c r="AE5" s="1328"/>
      <c r="AF5" s="1966" t="s">
        <v>788</v>
      </c>
      <c r="AG5" s="1967"/>
      <c r="AH5" s="1967"/>
      <c r="AI5" s="1320" t="str">
        <f>'Legend(Skid)'!AI2</f>
        <v>2021</v>
      </c>
    </row>
    <row r="6" spans="1:35" s="1406" customFormat="1" ht="26.1" customHeight="1" thickBot="1" x14ac:dyDescent="0.25">
      <c r="A6" s="1405"/>
      <c r="B6" s="1906" t="s">
        <v>1343</v>
      </c>
      <c r="C6" s="1907"/>
      <c r="D6" s="1970" t="str">
        <f>'Legend(Skid)'!O4</f>
        <v/>
      </c>
      <c r="E6" s="1970"/>
      <c r="F6" s="1908" t="s">
        <v>1344</v>
      </c>
      <c r="G6" s="1907"/>
      <c r="H6" s="1907" t="str">
        <f>'Legend(Skid)'!AI3 &amp; "ºF / " &amp; 'Legend(Skid)'!AI4 &amp; "ºF"</f>
        <v>ºF / ºF</v>
      </c>
      <c r="I6" s="1907"/>
      <c r="J6" s="1909"/>
      <c r="K6" s="1945" t="s">
        <v>1345</v>
      </c>
      <c r="L6" s="1946"/>
      <c r="M6" s="1329" t="str">
        <f>'Refrig Schedule'!M6</f>
        <v>75ºF / 55%</v>
      </c>
      <c r="N6" s="1330" t="str">
        <f>IF(LEFT($O$3,1)="g","Fixture and Field Piping (GAL)","Fixture and Field Piping (lbs)")</f>
        <v>Fixture and Field Piping (lbs)</v>
      </c>
      <c r="O6" s="1331" t="s">
        <v>616</v>
      </c>
      <c r="P6" s="1316" t="str">
        <f>IF(OR(LEFT($O$3,1)="g",LEFT($O$3,1)="c"),"","Sys.Pilot Elec:")</f>
        <v>Sys.Pilot Elec:</v>
      </c>
      <c r="Q6" s="1332">
        <f>IF(OR(LEFT($O$3,1)="g",LEFT($O$3,1)="c"),"",'Legend(Skid)'!AC3)</f>
        <v>0</v>
      </c>
      <c r="R6" s="1480" t="str">
        <f>IF(OR(LEFT($O$3,1)="g",LEFT($O$3,1)="c"),"","Cond. Elec:")</f>
        <v>Cond. Elec:</v>
      </c>
      <c r="S6" s="1333">
        <f>IF(OR(LEFT($O$3,1)="g",LEFT($O$3,1)="c"),"",'Legend(Skid)'!AC4)</f>
        <v>0</v>
      </c>
      <c r="T6" s="1908" t="str">
        <f>IF(OR(LEFT($O$3,1)="g",LEFT($O$3,1)="c"),"","Winter H/R Avail:")</f>
        <v>Winter H/R Avail:</v>
      </c>
      <c r="U6" s="1907"/>
      <c r="V6" s="1334" t="str">
        <f>IF(OR(LEFT($O$3,1)="g",LEFT($O$3,1)="c"),"",IF(V3="N/A","N/A",IF('Heat Reclaim Calc'!K15=0,"--",'Heat Reclaim Calc'!J5)))</f>
        <v>--</v>
      </c>
      <c r="W6" s="1318" t="str">
        <f>IF(OR(LEFT($O$3,1)="g",LEFT($O$3,1)="c"),"Supply Fluid Temp °F:","")</f>
        <v/>
      </c>
      <c r="X6" s="1482" t="str">
        <f>IF(OR(LEFT($O$3,1)="g",LEFT($O$3,1)="c"),'Legend(Skid)'!AT1,"")</f>
        <v/>
      </c>
      <c r="Y6" s="1908" t="str">
        <f>IF(OR(LEFT($O$3,1)="g",(LEFT($O$3,1)="c")),"Primary SST ºF:","")</f>
        <v/>
      </c>
      <c r="Z6" s="1907"/>
      <c r="AA6" s="1482" t="str">
        <f>IF(OR(LEFT($O$3,1)="g",(LEFT($O$3,1)="c")),'Legend(Skid)'!U3,"")</f>
        <v/>
      </c>
      <c r="AB6" s="1908" t="str">
        <f>IF(OR(LEFT($O$3,1)="g",(LEFT($O$3,1)="c")),"Heat Exchanger Approach ºF:","")</f>
        <v/>
      </c>
      <c r="AC6" s="1907"/>
      <c r="AD6" s="1907"/>
      <c r="AE6" s="1335" t="str">
        <f>IF(OR(LEFT($O$3,1)="g",LEFT($O$3,1)="c"),VLOOKUP(AE2,SkidData_Skid,3),"")</f>
        <v/>
      </c>
      <c r="AF6" s="1908" t="s">
        <v>1354</v>
      </c>
      <c r="AG6" s="1907"/>
      <c r="AH6" s="1907"/>
      <c r="AI6" s="1337" t="str">
        <f>'Legend(Skid)'!AT4</f>
        <v/>
      </c>
    </row>
    <row r="7" spans="1:35" s="1406" customFormat="1" x14ac:dyDescent="0.2">
      <c r="A7" s="1405"/>
      <c r="B7" s="1960" t="s">
        <v>18</v>
      </c>
      <c r="C7" s="1958"/>
      <c r="D7" s="1958"/>
      <c r="E7" s="1958"/>
      <c r="F7" s="1958"/>
      <c r="G7" s="1958"/>
      <c r="H7" s="1958"/>
      <c r="I7" s="1958"/>
      <c r="J7" s="1958"/>
      <c r="K7" s="1958"/>
      <c r="L7" s="1958"/>
      <c r="M7" s="1958"/>
      <c r="N7" s="1958"/>
      <c r="O7" s="1958"/>
      <c r="P7" s="1958"/>
      <c r="Q7" s="1958"/>
      <c r="R7" s="1958"/>
      <c r="S7" s="1958"/>
      <c r="T7" s="1958"/>
      <c r="U7" s="1958"/>
      <c r="V7" s="1958"/>
      <c r="W7" s="1959"/>
      <c r="X7" s="1957" t="s">
        <v>575</v>
      </c>
      <c r="Y7" s="1958"/>
      <c r="Z7" s="1958"/>
      <c r="AA7" s="1958"/>
      <c r="AB7" s="1958"/>
      <c r="AC7" s="1958"/>
      <c r="AD7" s="1959"/>
      <c r="AE7" s="1957" t="s">
        <v>744</v>
      </c>
      <c r="AF7" s="1958"/>
      <c r="AG7" s="1958"/>
      <c r="AH7" s="1958"/>
      <c r="AI7" s="1961"/>
    </row>
    <row r="8" spans="1:35" s="412" customFormat="1" ht="12.75" customHeight="1" x14ac:dyDescent="0.2">
      <c r="A8" s="1407"/>
      <c r="B8" s="1338"/>
      <c r="C8" s="1921" t="s">
        <v>745</v>
      </c>
      <c r="D8" s="1922"/>
      <c r="E8" s="1922"/>
      <c r="F8" s="1922"/>
      <c r="G8" s="1922"/>
      <c r="H8" s="1923"/>
      <c r="I8" s="1921" t="s">
        <v>746</v>
      </c>
      <c r="J8" s="1922"/>
      <c r="K8" s="1923"/>
      <c r="L8" s="1340"/>
      <c r="M8" s="1340"/>
      <c r="N8" s="1341"/>
      <c r="O8" s="1342"/>
      <c r="P8" s="1342" t="s">
        <v>783</v>
      </c>
      <c r="Q8" s="1340" t="str">
        <f>IF(LEFT($O$3,1)="c","","Evaporator")</f>
        <v>Evaporator</v>
      </c>
      <c r="R8" s="1340"/>
      <c r="S8" s="1340"/>
      <c r="T8" s="1340"/>
      <c r="U8" s="1340" t="s">
        <v>769</v>
      </c>
      <c r="V8" s="1341"/>
      <c r="W8" s="1343"/>
      <c r="X8" s="1344"/>
      <c r="Y8" s="1341"/>
      <c r="Z8" s="1345"/>
      <c r="AA8" s="1346"/>
      <c r="AB8" s="1345"/>
      <c r="AC8" s="1347" t="s">
        <v>752</v>
      </c>
      <c r="AD8" s="1347" t="s">
        <v>753</v>
      </c>
      <c r="AE8" s="1927" t="s">
        <v>466</v>
      </c>
      <c r="AF8" s="1928"/>
      <c r="AG8" s="1928"/>
      <c r="AH8" s="1933" t="s">
        <v>1329</v>
      </c>
      <c r="AI8" s="1936" t="s">
        <v>1330</v>
      </c>
    </row>
    <row r="9" spans="1:35" s="412" customFormat="1" ht="12.75" customHeight="1" x14ac:dyDescent="0.2">
      <c r="A9" s="1407"/>
      <c r="B9" s="1348"/>
      <c r="C9" s="1341"/>
      <c r="D9" s="1343"/>
      <c r="E9" s="1349"/>
      <c r="F9" s="1349"/>
      <c r="G9" s="1349"/>
      <c r="H9" s="1349"/>
      <c r="I9" s="1349"/>
      <c r="J9" s="1349"/>
      <c r="K9" s="1349"/>
      <c r="L9" s="1350"/>
      <c r="M9" s="1350"/>
      <c r="N9" s="1346"/>
      <c r="O9" s="1351" t="s">
        <v>747</v>
      </c>
      <c r="P9" s="1351" t="s">
        <v>784</v>
      </c>
      <c r="Q9" s="1350" t="str">
        <f>IF(LEFT($O$3,1)="c","Circulation","Coil TXV / ")</f>
        <v xml:space="preserve">Coil TXV / </v>
      </c>
      <c r="R9" s="1350" t="s">
        <v>965</v>
      </c>
      <c r="S9" s="1350" t="s">
        <v>966</v>
      </c>
      <c r="T9" s="1350" t="str">
        <f>IF(LEFT($O$3,1)="g","Flow",IF(LEFT($O$3,1)="c","Coil","Evap"))</f>
        <v>Evap</v>
      </c>
      <c r="U9" s="1350" t="s">
        <v>748</v>
      </c>
      <c r="V9" s="1962" t="s">
        <v>749</v>
      </c>
      <c r="W9" s="1963"/>
      <c r="X9" s="1347" t="s">
        <v>645</v>
      </c>
      <c r="Y9" s="1962" t="s">
        <v>750</v>
      </c>
      <c r="Z9" s="1963"/>
      <c r="AA9" s="1962" t="s">
        <v>751</v>
      </c>
      <c r="AB9" s="1963"/>
      <c r="AC9" s="1347" t="s">
        <v>771</v>
      </c>
      <c r="AD9" s="1347" t="s">
        <v>771</v>
      </c>
      <c r="AE9" s="1929"/>
      <c r="AF9" s="1930"/>
      <c r="AG9" s="1930"/>
      <c r="AH9" s="1934"/>
      <c r="AI9" s="1937"/>
    </row>
    <row r="10" spans="1:35" s="412" customFormat="1" ht="12.75" customHeight="1" thickBot="1" x14ac:dyDescent="0.25">
      <c r="A10" s="1407"/>
      <c r="B10" s="1352" t="s">
        <v>560</v>
      </c>
      <c r="C10" s="1943" t="s">
        <v>777</v>
      </c>
      <c r="D10" s="1944"/>
      <c r="E10" s="1353" t="s">
        <v>775</v>
      </c>
      <c r="F10" s="1353" t="s">
        <v>776</v>
      </c>
      <c r="G10" s="1353" t="s">
        <v>778</v>
      </c>
      <c r="H10" s="1353" t="s">
        <v>779</v>
      </c>
      <c r="I10" s="1353" t="s">
        <v>576</v>
      </c>
      <c r="J10" s="1353" t="s">
        <v>577</v>
      </c>
      <c r="K10" s="1353" t="s">
        <v>578</v>
      </c>
      <c r="L10" s="1354" t="s">
        <v>754</v>
      </c>
      <c r="M10" s="1354" t="s">
        <v>755</v>
      </c>
      <c r="N10" s="1355" t="s">
        <v>558</v>
      </c>
      <c r="O10" s="1356" t="s">
        <v>767</v>
      </c>
      <c r="P10" s="1354" t="s">
        <v>782</v>
      </c>
      <c r="Q10" s="1357" t="str">
        <f>IF(LEFT($O$3,1)="c","Rate","Distributor Nozzle")</f>
        <v>Distributor Nozzle</v>
      </c>
      <c r="R10" s="1358" t="s">
        <v>795</v>
      </c>
      <c r="S10" s="1358" t="s">
        <v>756</v>
      </c>
      <c r="T10" s="1359" t="str">
        <f>IF(LEFT($O$3,1)="g","[GPM]",IF(LEFT($O$3,1)="c","Temp","Temp"))</f>
        <v>Temp</v>
      </c>
      <c r="U10" s="1354" t="s">
        <v>770</v>
      </c>
      <c r="V10" s="1360" t="str">
        <f>'Legend(Skid)'!$AE$7</f>
        <v>EPR</v>
      </c>
      <c r="W10" s="1360" t="str">
        <f>'Legend(Skid)'!$AG$7</f>
        <v>LLSV</v>
      </c>
      <c r="X10" s="1357" t="s">
        <v>757</v>
      </c>
      <c r="Y10" s="1361" t="s">
        <v>771</v>
      </c>
      <c r="Z10" s="1361" t="s">
        <v>758</v>
      </c>
      <c r="AA10" s="1361" t="s">
        <v>771</v>
      </c>
      <c r="AB10" s="1361" t="s">
        <v>758</v>
      </c>
      <c r="AC10" s="1357" t="s">
        <v>772</v>
      </c>
      <c r="AD10" s="1357" t="s">
        <v>772</v>
      </c>
      <c r="AE10" s="1931"/>
      <c r="AF10" s="1932"/>
      <c r="AG10" s="1932"/>
      <c r="AH10" s="1935"/>
      <c r="AI10" s="1938"/>
    </row>
    <row r="11" spans="1:35" s="412" customFormat="1" ht="12.75" customHeight="1" x14ac:dyDescent="0.2">
      <c r="A11" s="1407" t="str">
        <f>IF(OR('Legend(Skid)'!B8=0,'Legend(Skid)'!B8="SUB-CKT"),"","x")</f>
        <v/>
      </c>
      <c r="B11" s="1362" t="str">
        <f>IF('Legend(Skid)'!H8=0,"",'Legend(Skid)'!H8)</f>
        <v/>
      </c>
      <c r="C11" s="1363" t="str">
        <f>IF('Legend(Skid)'!I8=0,"",'Legend(Skid)'!I8)</f>
        <v/>
      </c>
      <c r="D11" s="1364" t="str">
        <f>IF('Legend(Skid)'!I8=0,"",'Legend(Skid)'!J8)</f>
        <v/>
      </c>
      <c r="E11" s="1366" t="str">
        <f>IF('Legend(Skid)'!K8=0,"",'Legend(Skid)'!K8)</f>
        <v/>
      </c>
      <c r="F11" s="1366" t="str">
        <f>IF('Legend(Skid)'!L8=0,"",'Legend(Skid)'!L8)</f>
        <v/>
      </c>
      <c r="G11" s="1366" t="str">
        <f>IF('Legend(Skid)'!M8=0,"",'Legend(Skid)'!M8)</f>
        <v/>
      </c>
      <c r="H11" s="1366" t="str">
        <f>IF('Legend(Skid)'!N8=0,"",'Legend(Skid)'!N8)</f>
        <v/>
      </c>
      <c r="I11" s="1366" t="str">
        <f>IF('Legend(Skid)'!O8=0,"",'Legend(Skid)'!O8)</f>
        <v/>
      </c>
      <c r="J11" s="1366" t="str">
        <f>IF('Legend(Skid)'!P8=0,"",'Legend(Skid)'!P8)</f>
        <v/>
      </c>
      <c r="K11" s="1366" t="str">
        <f>IF('Legend(Skid)'!Q8=0,"",'Legend(Skid)'!Q8)</f>
        <v/>
      </c>
      <c r="L11" s="1366" t="str">
        <f>IF('Legend(Skid)'!R8=0,"",'Legend(Skid)'!R8)</f>
        <v/>
      </c>
      <c r="M11" s="1366" t="str">
        <f>IF('Legend(Skid)'!S8=0,"",'Legend(Skid)'!S8)</f>
        <v/>
      </c>
      <c r="N11" s="1366" t="str">
        <f>IF('Legend(Skid)'!T8=0,"",'Legend(Skid)'!T8)</f>
        <v/>
      </c>
      <c r="O11" s="1366" t="str">
        <f>IF('Legend(Skid)'!W8=0,"",'Legend(Skid)'!W8)</f>
        <v/>
      </c>
      <c r="P11" s="1366" t="str">
        <f>IF('Legend(Skid)'!X8=0,"",'Legend(Skid)'!X8)</f>
        <v/>
      </c>
      <c r="Q11" s="1366" t="str">
        <f>IF('Legend(Skid)'!Y8=0,"",'Legend(Skid)'!Y8)</f>
        <v/>
      </c>
      <c r="R11" s="1367" t="str">
        <f>IF('Legend(Skid)'!Z8=0,"",'Legend(Skid)'!Z8)</f>
        <v/>
      </c>
      <c r="S11" s="1464" t="str">
        <f>IF('Legend(Skid)'!AA8=0,"",'Legend(Skid)'!AA8)</f>
        <v/>
      </c>
      <c r="T11" s="1368" t="str">
        <f>IF(LEFT($O$3,1)="g",'Legend(Skid)'!AC8,IF('Legend(Skid)'!AB8=0,"",'Legend(Skid)'!AB8))</f>
        <v/>
      </c>
      <c r="U11" s="1368" t="str">
        <f>IF('Legend(Skid)'!AD8=0,"",'Legend(Skid)'!AD8)</f>
        <v/>
      </c>
      <c r="V11" s="1369" t="str">
        <f>IF('Legend(Skid)'!AE8=0,"",'Legend(Skid)'!AE8)</f>
        <v/>
      </c>
      <c r="W11" s="1369" t="str">
        <f>IF('Legend(Skid)'!AG8=0,"",'Legend(Skid)'!AG8)</f>
        <v/>
      </c>
      <c r="X11" s="1369" t="str">
        <f>IF('Legend(Skid)'!AI8=0,"",'Legend(Skid)'!AI8)</f>
        <v/>
      </c>
      <c r="Y11" s="1465" t="str">
        <f>IF('Legend(Skid)'!AJ8=0,"",'Legend(Skid)'!AJ8)</f>
        <v/>
      </c>
      <c r="Z11" s="1369" t="str">
        <f>IF('Legend(Skid)'!AK8=0,"",'Legend(Skid)'!AK8)</f>
        <v/>
      </c>
      <c r="AA11" s="1465" t="str">
        <f>IF('Legend(Skid)'!AM8=0,"",'Legend(Skid)'!AM8)</f>
        <v/>
      </c>
      <c r="AB11" s="1369" t="str">
        <f>IF('Legend(Skid)'!AN8=0,"",'Legend(Skid)'!AN8)</f>
        <v/>
      </c>
      <c r="AC11" s="1465" t="str">
        <f>IF('Legend(Skid)'!AO8=0,"",'Legend(Skid)'!AO8)</f>
        <v/>
      </c>
      <c r="AD11" s="1465" t="str">
        <f>IF('Legend(Skid)'!AP8=0,"",'Legend(Skid)'!AP8)</f>
        <v/>
      </c>
      <c r="AE11" s="1939" t="str">
        <f>IF('Legend(Skid)'!AS8=0,"",'Legend(Skid)'!AS8)</f>
        <v/>
      </c>
      <c r="AF11" s="1940"/>
      <c r="AG11" s="1940"/>
      <c r="AH11" s="1478" t="str">
        <f>IF('Legend(Skid)'!AT8=0,"",'Legend(Skid)'!AT8)</f>
        <v/>
      </c>
      <c r="AI11" s="1492"/>
    </row>
    <row r="12" spans="1:35" s="412" customFormat="1" ht="0.75" customHeight="1" x14ac:dyDescent="0.2">
      <c r="A12" s="1407"/>
      <c r="B12" s="1362"/>
      <c r="C12" s="1449"/>
      <c r="D12" s="1450"/>
      <c r="E12" s="1365"/>
      <c r="F12" s="1365"/>
      <c r="G12" s="1365"/>
      <c r="H12" s="1365"/>
      <c r="I12" s="1365"/>
      <c r="J12" s="1365"/>
      <c r="K12" s="1365"/>
      <c r="L12" s="1366"/>
      <c r="M12" s="1366"/>
      <c r="N12" s="1366"/>
      <c r="O12" s="1366"/>
      <c r="P12" s="1366"/>
      <c r="Q12" s="1365"/>
      <c r="R12" s="1367"/>
      <c r="S12" s="1367"/>
      <c r="T12" s="1368"/>
      <c r="U12" s="1368"/>
      <c r="V12" s="1369"/>
      <c r="W12" s="1369"/>
      <c r="X12" s="1370"/>
      <c r="Y12" s="1371"/>
      <c r="Z12" s="1370"/>
      <c r="AA12" s="1371"/>
      <c r="AB12" s="1370"/>
      <c r="AC12" s="1371"/>
      <c r="AD12" s="1371"/>
      <c r="AE12" s="1377"/>
      <c r="AF12" s="1472"/>
      <c r="AG12" s="1472"/>
      <c r="AH12" s="1472"/>
      <c r="AI12" s="1473"/>
    </row>
    <row r="13" spans="1:35" s="412" customFormat="1" ht="12" thickBot="1" x14ac:dyDescent="0.25">
      <c r="A13" s="1407"/>
      <c r="B13" s="1384"/>
      <c r="C13" s="1385"/>
      <c r="D13" s="1386"/>
      <c r="E13" s="1387"/>
      <c r="F13" s="1387"/>
      <c r="G13" s="1387"/>
      <c r="H13" s="1387"/>
      <c r="I13" s="1387"/>
      <c r="J13" s="1387"/>
      <c r="K13" s="1387"/>
      <c r="L13" s="1360"/>
      <c r="M13" s="1360"/>
      <c r="N13" s="1388"/>
      <c r="O13" s="1389"/>
      <c r="P13" s="1915" t="s">
        <v>789</v>
      </c>
      <c r="Q13" s="1916"/>
      <c r="R13" s="1917"/>
      <c r="S13" s="1466">
        <f>'Legend(Skid)'!AA10</f>
        <v>0</v>
      </c>
      <c r="T13" s="1467">
        <f>'Legend(Skid)'!AC10</f>
        <v>0</v>
      </c>
      <c r="U13" s="1915" t="str">
        <f>IF(LEFT($O$3,1)="g","GPM",IF(LEFT($O$3,1)="c","(ºF) Supply Fluid Temperature","(ºF) Saturated Suction Temperature"))</f>
        <v>(ºF) Saturated Suction Temperature</v>
      </c>
      <c r="V13" s="1916"/>
      <c r="W13" s="1917"/>
      <c r="X13" s="1360"/>
      <c r="Y13" s="1392"/>
      <c r="Z13" s="1360"/>
      <c r="AA13" s="1392"/>
      <c r="AB13" s="1360"/>
      <c r="AC13" s="1392"/>
      <c r="AD13" s="1392"/>
      <c r="AE13" s="1393" t="s">
        <v>414</v>
      </c>
      <c r="AF13" s="1394" t="s">
        <v>414</v>
      </c>
      <c r="AG13" s="1394" t="s">
        <v>414</v>
      </c>
      <c r="AH13" s="1394" t="s">
        <v>414</v>
      </c>
      <c r="AI13" s="1395" t="s">
        <v>414</v>
      </c>
    </row>
    <row r="14" spans="1:35" s="412" customFormat="1" ht="12.75" hidden="1" customHeight="1" x14ac:dyDescent="0.2">
      <c r="A14" s="1407" t="str">
        <f>IF(OR('Legend(Skid)'!B11=0,'Legend(Skid)'!B11="SUB-CKT"),"","x")</f>
        <v/>
      </c>
      <c r="B14" s="1362" t="str">
        <f>IF('Legend(Skid)'!H11=0,"",'Legend(Skid)'!H11)</f>
        <v/>
      </c>
      <c r="C14" s="1396" t="str">
        <f>IF('Legend(Skid)'!I11=0,"",'Legend(Skid)'!I11)</f>
        <v/>
      </c>
      <c r="D14" s="1397" t="str">
        <f>IF('Legend(Skid)'!I11=0,"",'Legend(Skid)'!J11)</f>
        <v/>
      </c>
      <c r="E14" s="1366" t="str">
        <f>IF('Legend(Skid)'!K11=0,"",'Legend(Skid)'!K11)</f>
        <v/>
      </c>
      <c r="F14" s="1366" t="str">
        <f>IF('Legend(Skid)'!L11=0,"",'Legend(Skid)'!L11)</f>
        <v/>
      </c>
      <c r="G14" s="1366" t="str">
        <f>IF('Legend(Skid)'!M11=0,"",'Legend(Skid)'!M11)</f>
        <v/>
      </c>
      <c r="H14" s="1366" t="str">
        <f>IF('Legend(Skid)'!N11=0,"",'Legend(Skid)'!N11)</f>
        <v/>
      </c>
      <c r="I14" s="1366" t="str">
        <f>IF('Legend(Skid)'!O11=0,"",'Legend(Skid)'!O11)</f>
        <v/>
      </c>
      <c r="J14" s="1366" t="str">
        <f>IF('Legend(Skid)'!P11=0,"",'Legend(Skid)'!P11)</f>
        <v/>
      </c>
      <c r="K14" s="1366" t="str">
        <f>IF('Legend(Skid)'!Q11=0,"",'Legend(Skid)'!Q11)</f>
        <v/>
      </c>
      <c r="L14" s="1366" t="str">
        <f>IF('Legend(Skid)'!R11=0,"",'Legend(Skid)'!R11)</f>
        <v/>
      </c>
      <c r="M14" s="1366" t="str">
        <f>IF('Legend(Skid)'!S11=0,"",'Legend(Skid)'!S11)</f>
        <v/>
      </c>
      <c r="N14" s="1366" t="str">
        <f>IF('Legend(Skid)'!T11=0,"",'Legend(Skid)'!T11)</f>
        <v/>
      </c>
      <c r="O14" s="1366" t="str">
        <f>IF('Legend(Skid)'!W11=0,"",'Legend(Skid)'!W11)</f>
        <v/>
      </c>
      <c r="P14" s="1366" t="str">
        <f>IF('Legend(Skid)'!X11=0,"",'Legend(Skid)'!X11)</f>
        <v/>
      </c>
      <c r="Q14" s="1366" t="str">
        <f>IF('Legend(Skid)'!Y11=0,"",'Legend(Skid)'!Y11)</f>
        <v/>
      </c>
      <c r="R14" s="1464" t="str">
        <f>IF('Legend(Skid)'!Z11=0,"",'Legend(Skid)'!Z11)</f>
        <v/>
      </c>
      <c r="S14" s="1464" t="str">
        <f>IF('Legend(Skid)'!AA11=0,"",'Legend(Skid)'!AA11)</f>
        <v/>
      </c>
      <c r="T14" s="1368" t="str">
        <f>IF(LEFT($O$3,1)="g",'Legend(Skid)'!AC11,IF('Legend(Skid)'!AB11=0,"",'Legend(Skid)'!AB11))</f>
        <v/>
      </c>
      <c r="U14" s="1368" t="str">
        <f>IF('Legend(Skid)'!AD11=0,"",'Legend(Skid)'!AD11)</f>
        <v/>
      </c>
      <c r="V14" s="1369" t="str">
        <f>IF('Legend(Skid)'!AE11=0,"",'Legend(Skid)'!AE11)</f>
        <v/>
      </c>
      <c r="W14" s="1369" t="str">
        <f>IF('Legend(Skid)'!AG11=0,"",'Legend(Skid)'!AG11)</f>
        <v/>
      </c>
      <c r="X14" s="1369" t="str">
        <f>IF('Legend(Skid)'!AI11=0,"",'Legend(Skid)'!AI11)</f>
        <v/>
      </c>
      <c r="Y14" s="1465" t="str">
        <f>IF('Legend(Skid)'!AJ11=0,"",'Legend(Skid)'!AJ11)</f>
        <v/>
      </c>
      <c r="Z14" s="1369" t="str">
        <f>IF('Legend(Skid)'!AK11=0,"",'Legend(Skid)'!AK11)</f>
        <v/>
      </c>
      <c r="AA14" s="1465" t="str">
        <f>IF('Legend(Skid)'!AM11=0,"",'Legend(Skid)'!AM11)</f>
        <v/>
      </c>
      <c r="AB14" s="1369" t="str">
        <f>IF('Legend(Skid)'!AN11=0,"",'Legend(Skid)'!AN11)</f>
        <v/>
      </c>
      <c r="AC14" s="1465" t="str">
        <f>IF('Legend(Skid)'!AO11=0,"",'Legend(Skid)'!AO11)</f>
        <v/>
      </c>
      <c r="AD14" s="1465" t="str">
        <f>IF('Legend(Skid)'!AP11=0,"",'Legend(Skid)'!AP11)</f>
        <v/>
      </c>
      <c r="AE14" s="1964" t="str">
        <f>IF('Legend(Skid)'!AR11=0,"",'Legend(Skid)'!AR11)</f>
        <v/>
      </c>
      <c r="AF14" s="1965"/>
      <c r="AG14" s="1965"/>
      <c r="AH14" s="1478" t="str">
        <f>IF('Legend(Skid)'!AT11=0,"",'Legend(Skid)'!AT11)</f>
        <v/>
      </c>
      <c r="AI14" s="1547"/>
    </row>
    <row r="15" spans="1:35" s="412" customFormat="1" ht="0.95" hidden="1" customHeight="1" x14ac:dyDescent="0.2">
      <c r="A15" s="1407" t="str">
        <f>IF(OR('Legend(Skid)'!B12=0,'Legend(Skid)'!B12="SUB-CKT"),"","x")</f>
        <v/>
      </c>
      <c r="B15" s="1373" t="str">
        <f>IF('Legend(Skid)'!H12=0,"",'Legend(Skid)'!H12)</f>
        <v/>
      </c>
      <c r="C15" s="1374" t="str">
        <f>IF('Legend(Skid)'!I12=0,"",'Legend(Skid)'!I12)</f>
        <v/>
      </c>
      <c r="D15" s="1375"/>
      <c r="E15" s="1374"/>
      <c r="F15" s="1374"/>
      <c r="G15" s="1374"/>
      <c r="H15" s="1374"/>
      <c r="I15" s="1374"/>
      <c r="J15" s="1374"/>
      <c r="K15" s="1374"/>
      <c r="L15" s="1376" t="s">
        <v>414</v>
      </c>
      <c r="M15" s="1376"/>
      <c r="N15" s="1376"/>
      <c r="O15" s="1376"/>
      <c r="P15" s="1376"/>
      <c r="Q15" s="1374" t="str">
        <f>IF('Legend(Skid)'!Y12=0,"",'Legend(Skid)'!Y12)</f>
        <v/>
      </c>
      <c r="R15" s="1377"/>
      <c r="S15" s="1377" t="str">
        <f>IF('Legend(Skid)'!AA12=0,"",'Legend(Skid)'!AA12)</f>
        <v/>
      </c>
      <c r="T15" s="1378" t="str">
        <f>IF('Legend(Skid)'!AB12=0,"",'Legend(Skid)'!AB12)</f>
        <v/>
      </c>
      <c r="U15" s="1379" t="str">
        <f>IF('Legend(Skid)'!AD12=0,"",'Legend(Skid)'!AD12)</f>
        <v/>
      </c>
      <c r="V15" s="1379" t="str">
        <f>IF('Legend(Skid)'!AE12=0,"",'Legend(Skid)'!AE12)</f>
        <v/>
      </c>
      <c r="W15" s="1379" t="str">
        <f>IF('Legend(Skid)'!AG12=0,"",'Legend(Skid)'!AG12)</f>
        <v/>
      </c>
      <c r="X15" s="1380" t="str">
        <f>IF('Legend(Skid)'!AI12=0,"",'Legend(Skid)'!AI12)</f>
        <v/>
      </c>
      <c r="Y15" s="1381"/>
      <c r="Z15" s="1380"/>
      <c r="AA15" s="1381"/>
      <c r="AB15" s="1380"/>
      <c r="AC15" s="1381"/>
      <c r="AD15" s="1381"/>
      <c r="AE15" s="1377" t="str">
        <f>IF('Legend(Skid)'!AQ12=0,"",'Legend(Skid)'!AQ12)</f>
        <v/>
      </c>
      <c r="AF15" s="1382"/>
      <c r="AG15" s="1382"/>
      <c r="AH15" s="1382"/>
      <c r="AI15" s="1383"/>
    </row>
    <row r="16" spans="1:35" s="412" customFormat="1" ht="13.5" hidden="1" customHeight="1" thickBot="1" x14ac:dyDescent="0.25">
      <c r="A16" s="1407"/>
      <c r="B16" s="1384"/>
      <c r="C16" s="1385"/>
      <c r="D16" s="1386"/>
      <c r="E16" s="1387"/>
      <c r="F16" s="1387"/>
      <c r="G16" s="1387"/>
      <c r="H16" s="1387"/>
      <c r="I16" s="1387"/>
      <c r="J16" s="1387"/>
      <c r="K16" s="1387"/>
      <c r="L16" s="1360"/>
      <c r="M16" s="1360"/>
      <c r="N16" s="1388"/>
      <c r="O16" s="1389"/>
      <c r="P16" s="1915" t="s">
        <v>796</v>
      </c>
      <c r="Q16" s="1916"/>
      <c r="R16" s="1917"/>
      <c r="S16" s="1466">
        <f>'Legend(Skid)'!AA13</f>
        <v>0</v>
      </c>
      <c r="T16" s="1467">
        <f>'Legend(Skid)'!AC13</f>
        <v>0</v>
      </c>
      <c r="U16" s="1915" t="str">
        <f>IF(LEFT($O$3,1)="g","GPM",IF(LEFT($O$3,1)="c","(ºF) Supply Fluid Temperature","(ºF) Saturated Suction Temperature"))</f>
        <v>(ºF) Saturated Suction Temperature</v>
      </c>
      <c r="V16" s="1916"/>
      <c r="W16" s="1917"/>
      <c r="X16" s="1360"/>
      <c r="Y16" s="1392"/>
      <c r="Z16" s="1360"/>
      <c r="AA16" s="1392"/>
      <c r="AB16" s="1360"/>
      <c r="AC16" s="1392"/>
      <c r="AD16" s="1392"/>
      <c r="AE16" s="1393" t="s">
        <v>414</v>
      </c>
      <c r="AF16" s="1394" t="s">
        <v>414</v>
      </c>
      <c r="AG16" s="1394" t="s">
        <v>414</v>
      </c>
      <c r="AH16" s="1394" t="s">
        <v>414</v>
      </c>
      <c r="AI16" s="1395" t="s">
        <v>414</v>
      </c>
    </row>
    <row r="17" spans="1:36" s="412" customFormat="1" ht="11.25" hidden="1" x14ac:dyDescent="0.2">
      <c r="A17" s="1407" t="str">
        <f>IF(OR('Legend(Skid)'!B14=0,'Legend(Skid)'!B14="SUB-CKT"),"","x")</f>
        <v/>
      </c>
      <c r="B17" s="1362" t="str">
        <f>IF('Legend(Skid)'!H14=0,"",'Legend(Skid)'!H14)</f>
        <v/>
      </c>
      <c r="C17" s="1396" t="str">
        <f>IF('Legend(Skid)'!I14=0,"",'Legend(Skid)'!I14)</f>
        <v/>
      </c>
      <c r="D17" s="1397" t="str">
        <f>IF('Legend(Skid)'!I14=0,"",'Legend(Skid)'!J14)</f>
        <v/>
      </c>
      <c r="E17" s="1365" t="str">
        <f>IF('Legend(Skid)'!K14=0,"",'Legend(Skid)'!K14)</f>
        <v/>
      </c>
      <c r="F17" s="1365" t="str">
        <f>IF('Legend(Skid)'!L14=0,"",'Legend(Skid)'!L14)</f>
        <v/>
      </c>
      <c r="G17" s="1365" t="str">
        <f>IF('Legend(Skid)'!M14=0,"",'Legend(Skid)'!M14)</f>
        <v/>
      </c>
      <c r="H17" s="1365" t="str">
        <f>IF('Legend(Skid)'!N14=0,"",'Legend(Skid)'!N14)</f>
        <v/>
      </c>
      <c r="I17" s="1365" t="str">
        <f>IF('Legend(Skid)'!O14=0,"",'Legend(Skid)'!O14)</f>
        <v/>
      </c>
      <c r="J17" s="1365" t="str">
        <f>IF('Legend(Skid)'!P14=0,"",'Legend(Skid)'!P14)</f>
        <v/>
      </c>
      <c r="K17" s="1365" t="str">
        <f>IF('Legend(Skid)'!Q14=0,"",'Legend(Skid)'!Q14)</f>
        <v/>
      </c>
      <c r="L17" s="1366" t="str">
        <f>IF('Legend(Skid)'!R14=0,"",'Legend(Skid)'!R14)</f>
        <v/>
      </c>
      <c r="M17" s="1366" t="str">
        <f>IF('Legend(Skid)'!S14=0,"",'Legend(Skid)'!S14)</f>
        <v/>
      </c>
      <c r="N17" s="1366" t="str">
        <f>IF('Legend(Skid)'!T14=0,"",'Legend(Skid)'!T14)</f>
        <v/>
      </c>
      <c r="O17" s="1366" t="str">
        <f>IF('Legend(Skid)'!W14=0,"",'Legend(Skid)'!W14)</f>
        <v/>
      </c>
      <c r="P17" s="1366" t="str">
        <f>IF('Legend(Skid)'!X14=0,"",'Legend(Skid)'!X14)</f>
        <v/>
      </c>
      <c r="Q17" s="1365" t="str">
        <f>IF('Legend(Skid)'!Y14=0,"",'Legend(Skid)'!Y14)</f>
        <v/>
      </c>
      <c r="R17" s="1367" t="str">
        <f>IF('Legend(Skid)'!Z14=0,"",'Legend(Skid)'!Z14)</f>
        <v/>
      </c>
      <c r="S17" s="1367" t="str">
        <f>IF('Legend(Skid)'!AA14=0,"",'Legend(Skid)'!AA14)</f>
        <v/>
      </c>
      <c r="T17" s="1368" t="str">
        <f>IF(LEFT($O$3,1)="g",'Legend(Skid)'!AC14,IF('Legend(Skid)'!AB14=0,"",'Legend(Skid)'!AB14))</f>
        <v/>
      </c>
      <c r="U17" s="1368" t="str">
        <f>IF('Legend(Skid)'!AD14=0,"",'Legend(Skid)'!AD14)</f>
        <v/>
      </c>
      <c r="V17" s="1369" t="str">
        <f>IF('Legend(Skid)'!AE14=0,"",'Legend(Skid)'!AE14)</f>
        <v/>
      </c>
      <c r="W17" s="1369" t="str">
        <f>IF('Legend(Skid)'!AG14=0,"",'Legend(Skid)'!AG14)</f>
        <v/>
      </c>
      <c r="X17" s="1370" t="str">
        <f>IF('Legend(Skid)'!AI14=0,"",'Legend(Skid)'!AI14)</f>
        <v/>
      </c>
      <c r="Y17" s="1371" t="str">
        <f>IF('Legend(Skid)'!AJ14=0,"",'Legend(Skid)'!AJ14)</f>
        <v/>
      </c>
      <c r="Z17" s="1370" t="str">
        <f>IF('Legend(Skid)'!AK14=0,"",'Legend(Skid)'!AK14)</f>
        <v/>
      </c>
      <c r="AA17" s="1371" t="str">
        <f>IF('Legend(Skid)'!AM14=0,"",'Legend(Skid)'!AM14)</f>
        <v/>
      </c>
      <c r="AB17" s="1370" t="str">
        <f>IF('Legend(Skid)'!AN14=0,"",'Legend(Skid)'!AN14)</f>
        <v/>
      </c>
      <c r="AC17" s="1371" t="str">
        <f>IF('Legend(Skid)'!AO14=0,"",'Legend(Skid)'!AO14)</f>
        <v/>
      </c>
      <c r="AD17" s="1371" t="str">
        <f>IF('Legend(Skid)'!AP14=0,"",'Legend(Skid)'!AP14)</f>
        <v/>
      </c>
      <c r="AE17" s="1372" t="str">
        <f>IF('Legend(Skid)'!AR14=0,"",'Legend(Skid)'!AR14)</f>
        <v/>
      </c>
      <c r="AF17" s="1954" t="str">
        <f>IF('Legend(Skid)'!AS14=0,"",'Legend(Skid)'!AS14)</f>
        <v/>
      </c>
      <c r="AG17" s="1955"/>
      <c r="AH17" s="1955"/>
      <c r="AI17" s="1956"/>
    </row>
    <row r="18" spans="1:36" s="412" customFormat="1" ht="0.75" hidden="1" customHeight="1" x14ac:dyDescent="0.2">
      <c r="A18" s="1407" t="str">
        <f>IF(OR('Legend(Skid)'!B15=0,'Legend(Skid)'!B15="SUB-CKT"),"","x")</f>
        <v/>
      </c>
      <c r="B18" s="1373" t="str">
        <f>IF('Legend(Skid)'!H15=0,"",'Legend(Skid)'!H15)</f>
        <v/>
      </c>
      <c r="C18" s="1374" t="str">
        <f>IF('Legend(Skid)'!I15=0,"",'Legend(Skid)'!I15)</f>
        <v/>
      </c>
      <c r="D18" s="1375"/>
      <c r="E18" s="1374"/>
      <c r="F18" s="1374"/>
      <c r="G18" s="1374"/>
      <c r="H18" s="1374"/>
      <c r="I18" s="1374"/>
      <c r="J18" s="1374"/>
      <c r="K18" s="1374"/>
      <c r="L18" s="1376" t="s">
        <v>414</v>
      </c>
      <c r="M18" s="1376"/>
      <c r="N18" s="1376"/>
      <c r="O18" s="1376"/>
      <c r="P18" s="1376"/>
      <c r="Q18" s="1374" t="str">
        <f>IF('Legend(Skid)'!Y15=0,"",'Legend(Skid)'!Y15)</f>
        <v/>
      </c>
      <c r="R18" s="1377"/>
      <c r="S18" s="1377" t="str">
        <f>IF('Legend(Skid)'!AA15=0,"",'Legend(Skid)'!AA15)</f>
        <v/>
      </c>
      <c r="T18" s="1378" t="str">
        <f>IF('Legend(Skid)'!AB15=0,"",'Legend(Skid)'!AB15)</f>
        <v/>
      </c>
      <c r="U18" s="1379" t="str">
        <f>IF('Legend(Skid)'!AD15=0,"",'Legend(Skid)'!AD15)</f>
        <v/>
      </c>
      <c r="V18" s="1379" t="str">
        <f>IF('Legend(Skid)'!AE15=0,"",'Legend(Skid)'!AE15)</f>
        <v/>
      </c>
      <c r="W18" s="1379" t="str">
        <f>IF('Legend(Skid)'!AG15=0,"",'Legend(Skid)'!AG15)</f>
        <v/>
      </c>
      <c r="X18" s="1380" t="str">
        <f>IF('Legend(Skid)'!AI15=0,"",'Legend(Skid)'!AI15)</f>
        <v/>
      </c>
      <c r="Y18" s="1381"/>
      <c r="Z18" s="1380"/>
      <c r="AA18" s="1381"/>
      <c r="AB18" s="1380"/>
      <c r="AC18" s="1381"/>
      <c r="AD18" s="1381"/>
      <c r="AE18" s="1377" t="str">
        <f>IF('Legend(Skid)'!AQ15=0,"",'Legend(Skid)'!AQ15)</f>
        <v/>
      </c>
      <c r="AF18" s="1382"/>
      <c r="AG18" s="1382"/>
      <c r="AH18" s="1382"/>
      <c r="AI18" s="1383"/>
    </row>
    <row r="19" spans="1:36" s="412" customFormat="1" ht="13.5" hidden="1" customHeight="1" thickBot="1" x14ac:dyDescent="0.25">
      <c r="A19" s="1407"/>
      <c r="B19" s="1384"/>
      <c r="C19" s="1385"/>
      <c r="D19" s="1386"/>
      <c r="E19" s="1387"/>
      <c r="F19" s="1387"/>
      <c r="G19" s="1387"/>
      <c r="H19" s="1387"/>
      <c r="I19" s="1387"/>
      <c r="J19" s="1387"/>
      <c r="K19" s="1387"/>
      <c r="L19" s="1360"/>
      <c r="M19" s="1360"/>
      <c r="N19" s="1388"/>
      <c r="O19" s="1389"/>
      <c r="P19" s="1915" t="s">
        <v>797</v>
      </c>
      <c r="Q19" s="1916"/>
      <c r="R19" s="1917"/>
      <c r="S19" s="1390">
        <f>'Legend(Skid)'!AA16</f>
        <v>0</v>
      </c>
      <c r="T19" s="1391">
        <f>'Legend(Skid)'!AC16</f>
        <v>0</v>
      </c>
      <c r="U19" s="1915" t="str">
        <f>IF(LEFT($O$3,1)="g","GPM",IF(LEFT($O$3,1)="c","(ºF) Supply Fluid Temperature","(ºF) Saturated Suction Temperature"))</f>
        <v>(ºF) Saturated Suction Temperature</v>
      </c>
      <c r="V19" s="1916"/>
      <c r="W19" s="1917"/>
      <c r="X19" s="1360"/>
      <c r="Y19" s="1392"/>
      <c r="Z19" s="1360"/>
      <c r="AA19" s="1392"/>
      <c r="AB19" s="1360"/>
      <c r="AC19" s="1392"/>
      <c r="AD19" s="1392"/>
      <c r="AE19" s="1393" t="s">
        <v>414</v>
      </c>
      <c r="AF19" s="1394" t="s">
        <v>414</v>
      </c>
      <c r="AG19" s="1394" t="s">
        <v>414</v>
      </c>
      <c r="AH19" s="1394" t="s">
        <v>414</v>
      </c>
      <c r="AI19" s="1395" t="s">
        <v>414</v>
      </c>
    </row>
    <row r="20" spans="1:36" s="412" customFormat="1" ht="11.25" hidden="1" x14ac:dyDescent="0.2">
      <c r="R20" s="1398"/>
      <c r="S20" s="1398"/>
      <c r="T20" s="1399"/>
      <c r="Y20" s="1398"/>
      <c r="AA20" s="1398"/>
      <c r="AC20" s="1398"/>
      <c r="AD20" s="1398"/>
      <c r="AE20" s="1398"/>
    </row>
    <row r="21" spans="1:36" s="412" customFormat="1" ht="11.25" hidden="1" x14ac:dyDescent="0.2">
      <c r="A21" s="1407" t="str">
        <f>IF(OR('Legend(Skid)'!B18=0,'Legend(Skid)'!B18="SUB-CKT"),"","x")</f>
        <v/>
      </c>
      <c r="B21" s="1400" t="str">
        <f>IF('Legend(Skid)'!H18=0,"",'Legend(Skid)'!H18)</f>
        <v xml:space="preserve">COMPRESSOR INFORMATION  </v>
      </c>
      <c r="C21" s="1363" t="str">
        <f>IF('Legend(Skid)'!I18=0,"",'Legend(Skid)'!I18)</f>
        <v/>
      </c>
      <c r="D21" s="1364" t="str">
        <f>IF('Legend(Skid)'!I18=0,"",'Legend(Skid)'!J18)</f>
        <v/>
      </c>
      <c r="E21" s="1339" t="str">
        <f>IF('Legend(Skid)'!K18=0,"",'Legend(Skid)'!K18)</f>
        <v/>
      </c>
      <c r="F21" s="1339" t="str">
        <f>IF('Legend(Skid)'!L18=0,"",'Legend(Skid)'!L18)</f>
        <v/>
      </c>
      <c r="G21" s="1339" t="str">
        <f>IF('Legend(Skid)'!M18=0,"",'Legend(Skid)'!M18)</f>
        <v/>
      </c>
      <c r="H21" s="1339" t="str">
        <f>IF('Legend(Skid)'!N18=0,"",'Legend(Skid)'!N18)</f>
        <v/>
      </c>
      <c r="I21" s="1339" t="str">
        <f>IF('Legend(Skid)'!O18=0,"",'Legend(Skid)'!O18)</f>
        <v/>
      </c>
      <c r="J21" s="1339" t="str">
        <f>IF('Legend(Skid)'!P18=0,"",'Legend(Skid)'!P18)</f>
        <v/>
      </c>
      <c r="K21" s="1339" t="str">
        <f>IF('Legend(Skid)'!Q18=0,"",'Legend(Skid)'!Q18)</f>
        <v/>
      </c>
      <c r="L21" s="1339" t="str">
        <f>IF('Legend(Skid)'!R18=0,"",'Legend(Skid)'!R18)</f>
        <v/>
      </c>
      <c r="M21" s="1339" t="str">
        <f>IF('Legend(Skid)'!S18=0,"",'Legend(Skid)'!S18)</f>
        <v/>
      </c>
      <c r="N21" s="1339" t="str">
        <f>IF('Legend(Skid)'!T18=0,"",'Legend(Skid)'!T18)</f>
        <v/>
      </c>
      <c r="O21" s="1339" t="str">
        <f>IF('Legend(Skid)'!W18=0,"",'Legend(Skid)'!W18)</f>
        <v/>
      </c>
      <c r="P21" s="1339" t="str">
        <f>IF('Legend(Skid)'!X18=0,"",'Legend(Skid)'!X18)</f>
        <v/>
      </c>
      <c r="Q21" s="1339" t="str">
        <f>IF('Legend(Skid)'!Y18=0,"",'Legend(Skid)'!Y18)</f>
        <v/>
      </c>
      <c r="R21" s="1401" t="str">
        <f>IF('Legend(Skid)'!Z18=0,"",'Legend(Skid)'!Z18)</f>
        <v/>
      </c>
      <c r="S21" s="1401" t="str">
        <f>IF('Legend(Skid)'!AA18=0,"",'Legend(Skid)'!AA18)</f>
        <v/>
      </c>
      <c r="T21" s="1378" t="str">
        <f>IF(LEFT($O$3,1)="g",'Legend(Skid)'!AC18,IF('Legend(Skid)'!AB18=0,"",'Legend(Skid)'!AB18))</f>
        <v/>
      </c>
      <c r="U21" s="1402" t="str">
        <f>IF('Legend(Skid)'!AD18=0,"",'Legend(Skid)'!AD18)</f>
        <v/>
      </c>
      <c r="V21" s="1403" t="str">
        <f>IF('Legend(Skid)'!AE18=0,"",'Legend(Skid)'!AE18)</f>
        <v/>
      </c>
      <c r="W21" s="1403" t="str">
        <f>IF('Legend(Skid)'!AG18=0,"",'Legend(Skid)'!AG18)</f>
        <v/>
      </c>
      <c r="X21" s="1403" t="str">
        <f>IF('Legend(Skid)'!AI18=0,"",'Legend(Skid)'!AI18)</f>
        <v/>
      </c>
      <c r="Y21" s="1404" t="str">
        <f>IF('Legend(Skid)'!AJ18=0,"",'Legend(Skid)'!AJ18)</f>
        <v/>
      </c>
      <c r="Z21" s="1403" t="str">
        <f>IF('Legend(Skid)'!AK18=0,"",'Legend(Skid)'!AK18)</f>
        <v/>
      </c>
      <c r="AA21" s="1404" t="str">
        <f>IF('Legend(Skid)'!AM18=0,"",'Legend(Skid)'!AM18)</f>
        <v/>
      </c>
      <c r="AB21" s="1403" t="str">
        <f>IF('Legend(Skid)'!AN18=0,"",'Legend(Skid)'!AN18)</f>
        <v/>
      </c>
      <c r="AC21" s="1404" t="str">
        <f>IF('Legend(Skid)'!AO18=0,"",'Legend(Skid)'!AO18)</f>
        <v/>
      </c>
      <c r="AD21" s="1404" t="str">
        <f>IF('Legend(Skid)'!AP18=0,"",'Legend(Skid)'!AP18)</f>
        <v/>
      </c>
      <c r="AE21" s="1912" t="str">
        <f>IF('Legend(Skid)'!AS18=0,"",'Legend(Skid)'!AS18)</f>
        <v/>
      </c>
      <c r="AF21" s="1913"/>
      <c r="AG21" s="1913"/>
      <c r="AH21" s="1403" t="str">
        <f>IF('Legend(Skid)'!AT18=0,"",'Legend(Skid)'!AT18)</f>
        <v/>
      </c>
      <c r="AI21" s="1493"/>
    </row>
    <row r="22" spans="1:36" s="412" customFormat="1" ht="11.25" hidden="1" x14ac:dyDescent="0.2">
      <c r="A22" s="1407" t="str">
        <f>IF(OR('Legend(Skid)'!B19=0,'Legend(Skid)'!B19="SUB-CKT"),"","x")</f>
        <v/>
      </c>
      <c r="B22" s="1400" t="str">
        <f>IF('Legend(Skid)'!H19=0,"",'Legend(Skid)'!H19)</f>
        <v>COMP #</v>
      </c>
      <c r="C22" s="1921" t="str">
        <f>IF('Legend(Skid)'!I19=0,"",'Legend(Skid)'!I19)</f>
        <v>COMPRESSOR MODEL</v>
      </c>
      <c r="D22" s="1922"/>
      <c r="E22" s="1922"/>
      <c r="F22" s="1922"/>
      <c r="G22" s="1922"/>
      <c r="H22" s="1923"/>
      <c r="I22" s="1403" t="str">
        <f>IF('Legend(Skid)'!O19=0,"",'Legend(Skid)'!O19)</f>
        <v/>
      </c>
      <c r="J22" s="1403" t="str">
        <f>IF('Legend(Skid)'!P19=0,"",'Legend(Skid)'!P19)</f>
        <v/>
      </c>
      <c r="K22" s="1403" t="str">
        <f>IF('Legend(Skid)'!Q19=0,"",'Legend(Skid)'!Q19)</f>
        <v/>
      </c>
      <c r="L22" s="1339" t="s">
        <v>414</v>
      </c>
      <c r="M22" s="1339"/>
      <c r="N22" s="1339" t="str">
        <f>IF('Legend(Skid)'!T19=0,"",'Legend(Skid)'!T19)</f>
        <v>Compressor Capacity (MBH)</v>
      </c>
      <c r="O22" s="1339"/>
      <c r="P22" s="1339"/>
      <c r="Q22" s="1921" t="str">
        <f>IF('Legend(Skid)'!Y19=0,"",'Legend(Skid)'!Y19)</f>
        <v/>
      </c>
      <c r="R22" s="1923"/>
      <c r="S22" s="1401" t="str">
        <f>IF('Legend(Skid)'!AA19=0,"",'Legend(Skid)'!AA19)</f>
        <v/>
      </c>
      <c r="T22" s="1368" t="str">
        <f>IF(LEFT($O$3,1)="g",'Legend(Skid)'!AC19,IF('Legend(Skid)'!AB19=0,"",'Legend(Skid)'!AB19))</f>
        <v>KW</v>
      </c>
      <c r="U22" s="1402" t="str">
        <f>IF('Legend(Skid)'!AD19=0,"",'Legend(Skid)'!AD19)</f>
        <v>Mass Flow</v>
      </c>
      <c r="V22" s="1403" t="str">
        <f>IF('Legend(Skid)'!AE19=0,"",'Legend(Skid)'!AE19)</f>
        <v>Discharge Temp.</v>
      </c>
      <c r="W22" s="1403" t="str">
        <f>IF('Legend(Skid)'!AG19=0,"",'Legend(Skid)'!AG19)</f>
        <v>Liquid Temp. (°F)</v>
      </c>
      <c r="X22" s="1403" t="str">
        <f>IF('Legend(Skid)'!AI19=0,"",'Legend(Skid)'!AI19)</f>
        <v>% Step</v>
      </c>
      <c r="Y22" s="1404" t="str">
        <f>IF('Legend(Skid)'!AJ19=0,"",'Legend(Skid)'!AJ19)</f>
        <v>% Sys. Spare</v>
      </c>
      <c r="Z22" s="1403" t="str">
        <f>IF('Legend(Skid)'!AK19=0,"",'Legend(Skid)'!AK19)</f>
        <v/>
      </c>
      <c r="AA22" s="1404" t="str">
        <f>IF('Legend(Skid)'!AM19=0,"",'Legend(Skid)'!AM19)</f>
        <v/>
      </c>
      <c r="AB22" s="1403" t="str">
        <f>IF('Legend(Skid)'!AN19=0,"",'Legend(Skid)'!AN19)</f>
        <v/>
      </c>
      <c r="AC22" s="1404" t="str">
        <f>IF('Legend(Skid)'!AO19=0,"",'Legend(Skid)'!AO19)</f>
        <v/>
      </c>
      <c r="AD22" s="1404" t="str">
        <f>IF('Legend(Skid)'!AP19=0,"",'Legend(Skid)'!AP19)</f>
        <v/>
      </c>
      <c r="AE22" s="1912" t="str">
        <f>IF('Legend(Skid)'!AS19=0,"",'Legend(Skid)'!AS19)</f>
        <v/>
      </c>
      <c r="AF22" s="1913"/>
      <c r="AG22" s="1914"/>
      <c r="AH22" s="1477" t="str">
        <f>IF('Legend(Skid)'!AT19=0,"",'Legend(Skid)'!AT19)</f>
        <v/>
      </c>
      <c r="AI22" s="1491"/>
    </row>
    <row r="23" spans="1:36" s="412" customFormat="1" ht="12" hidden="1" thickBot="1" x14ac:dyDescent="0.25">
      <c r="R23" s="437"/>
      <c r="S23" s="437"/>
    </row>
    <row r="24" spans="1:36" s="1406" customFormat="1" ht="13.5" thickBot="1" x14ac:dyDescent="0.25">
      <c r="A24" s="1405"/>
      <c r="B24" s="1918" t="s">
        <v>967</v>
      </c>
      <c r="C24" s="1919"/>
      <c r="D24" s="1919"/>
      <c r="E24" s="1919"/>
      <c r="F24" s="1919"/>
      <c r="G24" s="1919"/>
      <c r="H24" s="1919"/>
      <c r="I24" s="1919"/>
      <c r="J24" s="1919"/>
      <c r="K24" s="1919"/>
      <c r="L24" s="1919"/>
      <c r="M24" s="1919"/>
      <c r="N24" s="1919"/>
      <c r="O24" s="1919"/>
      <c r="P24" s="1919"/>
      <c r="Q24" s="1919"/>
      <c r="R24" s="1919"/>
      <c r="S24" s="1919"/>
      <c r="T24" s="1919"/>
      <c r="U24" s="1919"/>
      <c r="V24" s="1919"/>
      <c r="W24" s="1919"/>
      <c r="X24" s="1919"/>
      <c r="Y24" s="1919"/>
      <c r="Z24" s="1919"/>
      <c r="AA24" s="1919"/>
      <c r="AB24" s="1919"/>
      <c r="AC24" s="1919"/>
      <c r="AD24" s="1919"/>
      <c r="AE24" s="1919"/>
      <c r="AF24" s="1919"/>
      <c r="AG24" s="1919"/>
      <c r="AH24" s="1919"/>
      <c r="AI24" s="1920"/>
      <c r="AJ24" s="412"/>
    </row>
    <row r="25" spans="1:36" s="412" customFormat="1" ht="11.25" x14ac:dyDescent="0.2">
      <c r="B25" s="1484" t="s">
        <v>968</v>
      </c>
      <c r="C25" s="1910" t="str">
        <f>"LLSV(S), AND AUTOFLOW BALANCE VALVES SHALL BE CONTRACTOR INSTALLED AND OWNER FURNISHED THROUGH REFRIGERATION EQUIPMENT SUPPLIER: " &amp;'Legend(DX)'!U4</f>
        <v xml:space="preserve">LLSV(S), AND AUTOFLOW BALANCE VALVES SHALL BE CONTRACTOR INSTALLED AND OWNER FURNISHED THROUGH REFRIGERATION EQUIPMENT SUPPLIER: </v>
      </c>
      <c r="D25" s="1910"/>
      <c r="E25" s="1910"/>
      <c r="F25" s="1910"/>
      <c r="G25" s="1910"/>
      <c r="H25" s="1910"/>
      <c r="I25" s="1910"/>
      <c r="J25" s="1910"/>
      <c r="K25" s="1910"/>
      <c r="L25" s="1910"/>
      <c r="M25" s="1910"/>
      <c r="N25" s="1910"/>
      <c r="O25" s="1910"/>
      <c r="P25" s="1910"/>
      <c r="Q25" s="1910"/>
      <c r="R25" s="1910"/>
      <c r="S25" s="1910"/>
      <c r="T25" s="1910"/>
      <c r="U25" s="1910"/>
      <c r="V25" s="1910"/>
      <c r="W25" s="1910"/>
      <c r="X25" s="1910"/>
      <c r="Y25" s="1910"/>
      <c r="Z25" s="1910"/>
      <c r="AA25" s="1910"/>
      <c r="AB25" s="1910"/>
      <c r="AC25" s="1910"/>
      <c r="AD25" s="1910"/>
      <c r="AE25" s="1910"/>
      <c r="AF25" s="1910"/>
      <c r="AG25" s="1910"/>
      <c r="AH25" s="1910"/>
      <c r="AI25" s="1911"/>
    </row>
    <row r="26" spans="1:36" s="412" customFormat="1" ht="11.25" x14ac:dyDescent="0.2">
      <c r="B26" s="1485" t="s">
        <v>969</v>
      </c>
      <c r="C26" s="1901" t="str">
        <f>IF(OR(LEFT($O$3,1)="g",LEFT($O$3,1)="c"),'Legend(Skid)'!$S$1 &amp; " is a Secondary " &amp; IF(LEFT($O$3,1)="g","Glycol","CO2") &amp; " System, cooled by circuits " &amp; LEFT('Legend(Skid)'!$S$1,3) &amp; " CONN: 1 and " &amp; LEFT('Legend(Skid)'!$S$1,3) &amp; " CONN: 2. Refer to System " &amp; LEFT('Legend(Skid)'!$S$1,3) &amp; " DX Schedules and Submittals for more information.","Contractor shall field verify existing status of data shown for modified racks and notify engineer of any discrepancies.")</f>
        <v>Contractor shall field verify existing status of data shown for modified racks and notify engineer of any discrepancies.</v>
      </c>
      <c r="D26" s="1901"/>
      <c r="E26" s="1901"/>
      <c r="F26" s="1901"/>
      <c r="G26" s="1901"/>
      <c r="H26" s="1901"/>
      <c r="I26" s="1901"/>
      <c r="J26" s="1901"/>
      <c r="K26" s="1901"/>
      <c r="L26" s="1901"/>
      <c r="M26" s="1901"/>
      <c r="N26" s="1901"/>
      <c r="O26" s="1901"/>
      <c r="P26" s="1901"/>
      <c r="Q26" s="1901"/>
      <c r="R26" s="1901"/>
      <c r="S26" s="1901"/>
      <c r="T26" s="1901"/>
      <c r="U26" s="1901"/>
      <c r="V26" s="1901"/>
      <c r="W26" s="1901"/>
      <c r="X26" s="1901"/>
      <c r="Y26" s="1901"/>
      <c r="Z26" s="1901"/>
      <c r="AA26" s="1901"/>
      <c r="AB26" s="1901"/>
      <c r="AC26" s="1901"/>
      <c r="AD26" s="1901"/>
      <c r="AE26" s="1901"/>
      <c r="AF26" s="1901"/>
      <c r="AG26" s="1901"/>
      <c r="AH26" s="1901"/>
      <c r="AI26" s="1902"/>
    </row>
    <row r="27" spans="1:36" s="412" customFormat="1" ht="11.25" x14ac:dyDescent="0.2">
      <c r="B27" s="1474" t="s">
        <v>970</v>
      </c>
      <c r="C27" s="1901" t="str">
        <f>IF(OR(LEFT($O$3,1)="g",LEFT($O$3,1)="c"),"Primary Refrigeration System Equipment Supplier to furnish " &amp;IF('Legend(Skid)'!$U$4="Kysor Warren","Bohn",IF('Legend(Skid)'!$U$4="Hussmann","Krack",""))&amp; " Coils, and associated valves, ect.","Owner's designated refrigeration equipment supplier: " &amp; IF($Q$2=0,"",$Q$2))</f>
        <v xml:space="preserve">Owner's designated refrigeration equipment supplier: </v>
      </c>
      <c r="D27" s="1901"/>
      <c r="E27" s="1901"/>
      <c r="F27" s="1901"/>
      <c r="G27" s="1901"/>
      <c r="H27" s="1901"/>
      <c r="I27" s="1901"/>
      <c r="J27" s="1901"/>
      <c r="K27" s="1901"/>
      <c r="L27" s="1901"/>
      <c r="M27" s="1901"/>
      <c r="N27" s="1901"/>
      <c r="O27" s="1901"/>
      <c r="P27" s="1901"/>
      <c r="Q27" s="1901"/>
      <c r="R27" s="1901"/>
      <c r="S27" s="1901"/>
      <c r="T27" s="1901"/>
      <c r="U27" s="1901"/>
      <c r="V27" s="1901"/>
      <c r="W27" s="1901"/>
      <c r="X27" s="1901"/>
      <c r="Y27" s="1901"/>
      <c r="Z27" s="1901"/>
      <c r="AA27" s="1901"/>
      <c r="AB27" s="1901"/>
      <c r="AC27" s="1901"/>
      <c r="AD27" s="1901"/>
      <c r="AE27" s="1901"/>
      <c r="AF27" s="1901"/>
      <c r="AG27" s="1901"/>
      <c r="AH27" s="1901"/>
      <c r="AI27" s="1902"/>
    </row>
    <row r="28" spans="1:36" s="412" customFormat="1" ht="11.25" x14ac:dyDescent="0.2">
      <c r="B28" s="1474" t="s">
        <v>971</v>
      </c>
      <c r="C28" s="1901" t="s">
        <v>1690</v>
      </c>
      <c r="D28" s="1901"/>
      <c r="E28" s="1901"/>
      <c r="F28" s="1901"/>
      <c r="G28" s="1901"/>
      <c r="H28" s="1901"/>
      <c r="I28" s="1901"/>
      <c r="J28" s="1901"/>
      <c r="K28" s="1901"/>
      <c r="L28" s="1901"/>
      <c r="M28" s="1901"/>
      <c r="N28" s="1901"/>
      <c r="O28" s="1901"/>
      <c r="P28" s="1901"/>
      <c r="Q28" s="1901"/>
      <c r="R28" s="1901"/>
      <c r="S28" s="1901"/>
      <c r="T28" s="1901"/>
      <c r="U28" s="1901"/>
      <c r="V28" s="1901"/>
      <c r="W28" s="1901"/>
      <c r="X28" s="1901"/>
      <c r="Y28" s="1901"/>
      <c r="Z28" s="1901"/>
      <c r="AA28" s="1901"/>
      <c r="AB28" s="1901"/>
      <c r="AC28" s="1901"/>
      <c r="AD28" s="1901"/>
      <c r="AE28" s="1901"/>
      <c r="AF28" s="1901"/>
      <c r="AG28" s="1901"/>
      <c r="AH28" s="1901"/>
      <c r="AI28" s="1902"/>
    </row>
    <row r="29" spans="1:36" s="412" customFormat="1" ht="11.25" x14ac:dyDescent="0.2">
      <c r="B29" s="1474" t="s">
        <v>972</v>
      </c>
      <c r="C29" s="1901" t="str">
        <f>IF('Legend(DX)'!F58="Yes",IF(OR(LEFT($O$3,1)="g",LEFT($O$3,1)="c"),'Legend(Skid)'!$S$1&amp;" is a new system.","Refer to the 15605 Guideline for instructions on modifying rack subcooler loads."),"")</f>
        <v/>
      </c>
      <c r="D29" s="1901"/>
      <c r="E29" s="1901"/>
      <c r="F29" s="1901"/>
      <c r="G29" s="1901"/>
      <c r="H29" s="1901"/>
      <c r="I29" s="1901"/>
      <c r="J29" s="1901"/>
      <c r="K29" s="1901"/>
      <c r="L29" s="1901"/>
      <c r="M29" s="1901"/>
      <c r="N29" s="1901"/>
      <c r="O29" s="1901"/>
      <c r="P29" s="1901"/>
      <c r="Q29" s="1901"/>
      <c r="R29" s="1901"/>
      <c r="S29" s="1901"/>
      <c r="T29" s="1901"/>
      <c r="U29" s="1901"/>
      <c r="V29" s="1901"/>
      <c r="W29" s="1901"/>
      <c r="X29" s="1901"/>
      <c r="Y29" s="1901"/>
      <c r="Z29" s="1901"/>
      <c r="AA29" s="1901"/>
      <c r="AB29" s="1901"/>
      <c r="AC29" s="1901"/>
      <c r="AD29" s="1901"/>
      <c r="AE29" s="1901"/>
      <c r="AF29" s="1901"/>
      <c r="AG29" s="1901"/>
      <c r="AH29" s="1901"/>
      <c r="AI29" s="1902"/>
    </row>
    <row r="30" spans="1:36" s="412" customFormat="1" ht="11.25" x14ac:dyDescent="0.2">
      <c r="B30" s="1903" t="s">
        <v>1331</v>
      </c>
      <c r="C30" s="1904"/>
      <c r="D30" s="1904"/>
      <c r="E30" s="1904"/>
      <c r="F30" s="1904"/>
      <c r="G30" s="1904"/>
      <c r="H30" s="1904"/>
      <c r="I30" s="1904"/>
      <c r="J30" s="1904"/>
      <c r="K30" s="1904"/>
      <c r="L30" s="1904"/>
      <c r="M30" s="1904"/>
      <c r="N30" s="1904"/>
      <c r="O30" s="1904"/>
      <c r="P30" s="1904"/>
      <c r="Q30" s="1904"/>
      <c r="R30" s="1904"/>
      <c r="S30" s="1904"/>
      <c r="T30" s="1904"/>
      <c r="U30" s="1904"/>
      <c r="V30" s="1904"/>
      <c r="W30" s="1904"/>
      <c r="X30" s="1904"/>
      <c r="Y30" s="1904"/>
      <c r="Z30" s="1904"/>
      <c r="AA30" s="1904"/>
      <c r="AB30" s="1904"/>
      <c r="AC30" s="1904"/>
      <c r="AD30" s="1904"/>
      <c r="AE30" s="1904"/>
      <c r="AF30" s="1904"/>
      <c r="AG30" s="1904"/>
      <c r="AH30" s="1904"/>
      <c r="AI30" s="1905"/>
    </row>
    <row r="31" spans="1:36" s="412" customFormat="1" ht="11.25" x14ac:dyDescent="0.2">
      <c r="B31" s="1474" t="s">
        <v>1332</v>
      </c>
      <c r="C31" s="1897" t="s">
        <v>1333</v>
      </c>
      <c r="D31" s="1897"/>
      <c r="E31" s="1897"/>
      <c r="F31" s="1897"/>
      <c r="G31" s="1897"/>
      <c r="H31" s="1897"/>
      <c r="I31" s="1897"/>
      <c r="J31" s="1897"/>
      <c r="K31" s="1897"/>
      <c r="L31" s="1897"/>
      <c r="M31" s="1897"/>
      <c r="N31" s="1897"/>
      <c r="O31" s="1897"/>
      <c r="P31" s="1897"/>
      <c r="Q31" s="1897"/>
      <c r="R31" s="1897"/>
      <c r="S31" s="1897"/>
      <c r="T31" s="1897"/>
      <c r="U31" s="1897"/>
      <c r="V31" s="1897"/>
      <c r="W31" s="1897"/>
      <c r="X31" s="1897"/>
      <c r="Y31" s="1897"/>
      <c r="Z31" s="1897"/>
      <c r="AA31" s="1897"/>
      <c r="AB31" s="1897"/>
      <c r="AC31" s="1897"/>
      <c r="AD31" s="1897"/>
      <c r="AE31" s="1897"/>
      <c r="AF31" s="1897"/>
      <c r="AG31" s="1897"/>
      <c r="AH31" s="1897"/>
      <c r="AI31" s="1898"/>
    </row>
    <row r="32" spans="1:36" s="412" customFormat="1" ht="11.25" x14ac:dyDescent="0.2">
      <c r="B32" s="1474" t="s">
        <v>1334</v>
      </c>
      <c r="C32" s="1897" t="s">
        <v>1335</v>
      </c>
      <c r="D32" s="1897"/>
      <c r="E32" s="1897"/>
      <c r="F32" s="1897"/>
      <c r="G32" s="1897"/>
      <c r="H32" s="1897"/>
      <c r="I32" s="1897"/>
      <c r="J32" s="1897"/>
      <c r="K32" s="1897"/>
      <c r="L32" s="1897"/>
      <c r="M32" s="1897"/>
      <c r="N32" s="1897"/>
      <c r="O32" s="1897"/>
      <c r="P32" s="1897"/>
      <c r="Q32" s="1897"/>
      <c r="R32" s="1897"/>
      <c r="S32" s="1897"/>
      <c r="T32" s="1897"/>
      <c r="U32" s="1897"/>
      <c r="V32" s="1897"/>
      <c r="W32" s="1897"/>
      <c r="X32" s="1897"/>
      <c r="Y32" s="1897"/>
      <c r="Z32" s="1897"/>
      <c r="AA32" s="1897"/>
      <c r="AB32" s="1897"/>
      <c r="AC32" s="1897"/>
      <c r="AD32" s="1897"/>
      <c r="AE32" s="1897"/>
      <c r="AF32" s="1897"/>
      <c r="AG32" s="1897"/>
      <c r="AH32" s="1897"/>
      <c r="AI32" s="1898"/>
    </row>
    <row r="33" spans="2:35" s="412" customFormat="1" ht="11.25" x14ac:dyDescent="0.2">
      <c r="B33" s="1475" t="s">
        <v>1336</v>
      </c>
      <c r="C33" s="1897" t="s">
        <v>1976</v>
      </c>
      <c r="D33" s="1897"/>
      <c r="E33" s="1897"/>
      <c r="F33" s="1897"/>
      <c r="G33" s="1897"/>
      <c r="H33" s="1897"/>
      <c r="I33" s="1897"/>
      <c r="J33" s="1897"/>
      <c r="K33" s="1897"/>
      <c r="L33" s="1897"/>
      <c r="M33" s="1897"/>
      <c r="N33" s="1897"/>
      <c r="O33" s="1897"/>
      <c r="P33" s="1897"/>
      <c r="Q33" s="1897"/>
      <c r="R33" s="1897"/>
      <c r="S33" s="1897"/>
      <c r="T33" s="1897"/>
      <c r="U33" s="1897"/>
      <c r="V33" s="1897"/>
      <c r="W33" s="1897"/>
      <c r="X33" s="1897"/>
      <c r="Y33" s="1897"/>
      <c r="Z33" s="1897"/>
      <c r="AA33" s="1897"/>
      <c r="AB33" s="1897"/>
      <c r="AC33" s="1897"/>
      <c r="AD33" s="1897"/>
      <c r="AE33" s="1897"/>
      <c r="AF33" s="1897"/>
      <c r="AG33" s="1897"/>
      <c r="AH33" s="1897"/>
      <c r="AI33" s="1898"/>
    </row>
    <row r="34" spans="2:35" s="412" customFormat="1" ht="11.25" x14ac:dyDescent="0.2">
      <c r="B34" s="1475" t="s">
        <v>1337</v>
      </c>
      <c r="C34" s="1897" t="s">
        <v>1338</v>
      </c>
      <c r="D34" s="1897"/>
      <c r="E34" s="1897"/>
      <c r="F34" s="1897"/>
      <c r="G34" s="1897"/>
      <c r="H34" s="1897"/>
      <c r="I34" s="1897"/>
      <c r="J34" s="1897"/>
      <c r="K34" s="1897"/>
      <c r="L34" s="1897"/>
      <c r="M34" s="1897"/>
      <c r="N34" s="1897"/>
      <c r="O34" s="1897"/>
      <c r="P34" s="1897"/>
      <c r="Q34" s="1897"/>
      <c r="R34" s="1897"/>
      <c r="S34" s="1897"/>
      <c r="T34" s="1897"/>
      <c r="U34" s="1897"/>
      <c r="V34" s="1897"/>
      <c r="W34" s="1897"/>
      <c r="X34" s="1897"/>
      <c r="Y34" s="1897"/>
      <c r="Z34" s="1897"/>
      <c r="AA34" s="1897"/>
      <c r="AB34" s="1897"/>
      <c r="AC34" s="1897"/>
      <c r="AD34" s="1897"/>
      <c r="AE34" s="1897"/>
      <c r="AF34" s="1897"/>
      <c r="AG34" s="1897"/>
      <c r="AH34" s="1897"/>
      <c r="AI34" s="1898"/>
    </row>
    <row r="35" spans="2:35" s="412" customFormat="1" ht="11.25" x14ac:dyDescent="0.2">
      <c r="B35" s="1475" t="s">
        <v>1339</v>
      </c>
      <c r="C35" s="1897" t="s">
        <v>1340</v>
      </c>
      <c r="D35" s="1897"/>
      <c r="E35" s="1897"/>
      <c r="F35" s="1897"/>
      <c r="G35" s="1897"/>
      <c r="H35" s="1897"/>
      <c r="I35" s="1897"/>
      <c r="J35" s="1897"/>
      <c r="K35" s="1897"/>
      <c r="L35" s="1897"/>
      <c r="M35" s="1897"/>
      <c r="N35" s="1897"/>
      <c r="O35" s="1897"/>
      <c r="P35" s="1897"/>
      <c r="Q35" s="1897"/>
      <c r="R35" s="1897"/>
      <c r="S35" s="1897"/>
      <c r="T35" s="1897"/>
      <c r="U35" s="1897"/>
      <c r="V35" s="1897"/>
      <c r="W35" s="1897"/>
      <c r="X35" s="1897"/>
      <c r="Y35" s="1897"/>
      <c r="Z35" s="1897"/>
      <c r="AA35" s="1897"/>
      <c r="AB35" s="1897"/>
      <c r="AC35" s="1897"/>
      <c r="AD35" s="1897"/>
      <c r="AE35" s="1897"/>
      <c r="AF35" s="1897"/>
      <c r="AG35" s="1897"/>
      <c r="AH35" s="1897"/>
      <c r="AI35" s="1898"/>
    </row>
    <row r="36" spans="2:35" s="412" customFormat="1" ht="12" thickBot="1" x14ac:dyDescent="0.25">
      <c r="B36" s="1476" t="s">
        <v>1341</v>
      </c>
      <c r="C36" s="1899" t="s">
        <v>1342</v>
      </c>
      <c r="D36" s="1899"/>
      <c r="E36" s="1899"/>
      <c r="F36" s="1899"/>
      <c r="G36" s="1899"/>
      <c r="H36" s="1899"/>
      <c r="I36" s="1899"/>
      <c r="J36" s="1899"/>
      <c r="K36" s="1899"/>
      <c r="L36" s="1899"/>
      <c r="M36" s="1899"/>
      <c r="N36" s="1899"/>
      <c r="O36" s="1899"/>
      <c r="P36" s="1899"/>
      <c r="Q36" s="1899"/>
      <c r="R36" s="1899"/>
      <c r="S36" s="1899"/>
      <c r="T36" s="1899"/>
      <c r="U36" s="1899"/>
      <c r="V36" s="1899"/>
      <c r="W36" s="1899"/>
      <c r="X36" s="1899"/>
      <c r="Y36" s="1899"/>
      <c r="Z36" s="1899"/>
      <c r="AA36" s="1899"/>
      <c r="AB36" s="1899"/>
      <c r="AC36" s="1899"/>
      <c r="AD36" s="1899"/>
      <c r="AE36" s="1899"/>
      <c r="AF36" s="1899"/>
      <c r="AG36" s="1899"/>
      <c r="AH36" s="1899"/>
      <c r="AI36" s="1900"/>
    </row>
    <row r="37" spans="2:35" s="412" customFormat="1" ht="11.25" x14ac:dyDescent="0.2"/>
    <row r="38" spans="2:35" s="412" customFormat="1" ht="11.25" x14ac:dyDescent="0.2"/>
    <row r="39" spans="2:35" s="412" customFormat="1" ht="11.25" x14ac:dyDescent="0.2"/>
    <row r="40" spans="2:35" s="412" customFormat="1" ht="11.25" x14ac:dyDescent="0.2"/>
    <row r="41" spans="2:35" s="412" customFormat="1" ht="11.25" x14ac:dyDescent="0.2"/>
    <row r="42" spans="2:35" s="412" customFormat="1" ht="11.25" x14ac:dyDescent="0.2"/>
    <row r="43" spans="2:35" s="412" customFormat="1" ht="11.25" x14ac:dyDescent="0.2"/>
    <row r="44" spans="2:35" s="412" customFormat="1" ht="11.25" x14ac:dyDescent="0.2"/>
    <row r="45" spans="2:35" s="412" customFormat="1" ht="11.25" x14ac:dyDescent="0.2"/>
    <row r="46" spans="2:35" s="412" customFormat="1" ht="11.25" x14ac:dyDescent="0.2"/>
  </sheetData>
  <sheetProtection sheet="1" objects="1" scenarios="1"/>
  <mergeCells count="81">
    <mergeCell ref="B1:AI1"/>
    <mergeCell ref="B2:O2"/>
    <mergeCell ref="T2:U2"/>
    <mergeCell ref="W2:X2"/>
    <mergeCell ref="Y2:Z2"/>
    <mergeCell ref="AB2:AD2"/>
    <mergeCell ref="AF2:AH2"/>
    <mergeCell ref="Y3:Z3"/>
    <mergeCell ref="AB3:AD3"/>
    <mergeCell ref="AF3:AH3"/>
    <mergeCell ref="B4:C4"/>
    <mergeCell ref="D4:E4"/>
    <mergeCell ref="F4:G4"/>
    <mergeCell ref="H4:J4"/>
    <mergeCell ref="K4:L4"/>
    <mergeCell ref="T4:U4"/>
    <mergeCell ref="Y4:Z4"/>
    <mergeCell ref="B3:C3"/>
    <mergeCell ref="D3:E3"/>
    <mergeCell ref="F3:G3"/>
    <mergeCell ref="H3:J3"/>
    <mergeCell ref="K3:L3"/>
    <mergeCell ref="T3:U3"/>
    <mergeCell ref="AB6:AD6"/>
    <mergeCell ref="Y6:Z6"/>
    <mergeCell ref="AB4:AD4"/>
    <mergeCell ref="AF4:AH4"/>
    <mergeCell ref="B5:C5"/>
    <mergeCell ref="D5:E5"/>
    <mergeCell ref="F5:G5"/>
    <mergeCell ref="H5:J5"/>
    <mergeCell ref="K5:L5"/>
    <mergeCell ref="T5:U5"/>
    <mergeCell ref="Y5:Z5"/>
    <mergeCell ref="AB5:AD5"/>
    <mergeCell ref="AF5:AH5"/>
    <mergeCell ref="B6:C6"/>
    <mergeCell ref="D6:E6"/>
    <mergeCell ref="F6:G6"/>
    <mergeCell ref="H6:J6"/>
    <mergeCell ref="K6:L6"/>
    <mergeCell ref="T6:U6"/>
    <mergeCell ref="AF6:AH6"/>
    <mergeCell ref="AE14:AG14"/>
    <mergeCell ref="B7:W7"/>
    <mergeCell ref="X7:AD7"/>
    <mergeCell ref="AE7:AI7"/>
    <mergeCell ref="C8:H8"/>
    <mergeCell ref="I8:K8"/>
    <mergeCell ref="AE8:AG10"/>
    <mergeCell ref="AH8:AH10"/>
    <mergeCell ref="AI8:AI10"/>
    <mergeCell ref="V9:W9"/>
    <mergeCell ref="Y9:Z9"/>
    <mergeCell ref="AA9:AB9"/>
    <mergeCell ref="C10:D10"/>
    <mergeCell ref="AE11:AG11"/>
    <mergeCell ref="C34:AI34"/>
    <mergeCell ref="C35:AI35"/>
    <mergeCell ref="C36:AI36"/>
    <mergeCell ref="C27:AI27"/>
    <mergeCell ref="C29:AI29"/>
    <mergeCell ref="B30:AI30"/>
    <mergeCell ref="C31:AI31"/>
    <mergeCell ref="C32:AI32"/>
    <mergeCell ref="C33:AI33"/>
    <mergeCell ref="P13:R13"/>
    <mergeCell ref="U13:W13"/>
    <mergeCell ref="C26:AI26"/>
    <mergeCell ref="P16:R16"/>
    <mergeCell ref="U16:W16"/>
    <mergeCell ref="C28:AI28"/>
    <mergeCell ref="B24:AI24"/>
    <mergeCell ref="C25:AI25"/>
    <mergeCell ref="AF17:AI17"/>
    <mergeCell ref="P19:R19"/>
    <mergeCell ref="U19:W19"/>
    <mergeCell ref="AE21:AG21"/>
    <mergeCell ref="C22:H22"/>
    <mergeCell ref="Q22:R22"/>
    <mergeCell ref="AE22:AG22"/>
  </mergeCells>
  <pageMargins left="0.7" right="0.7" top="0.75" bottom="0.75" header="0.3" footer="0.3"/>
  <pageSetup paperSize="17" scale="62" orientation="landscape" r:id="rId1"/>
  <drawing r:id="rId2"/>
  <legacyDrawing r:id="rId3"/>
  <controls>
    <mc:AlternateContent xmlns:mc="http://schemas.openxmlformats.org/markup-compatibility/2006">
      <mc:Choice Requires="x14">
        <control shapeId="6388737" r:id="rId4" name="RefrigerationScheduleUButton">
          <controlPr defaultSize="0" print="0" autoLine="0" r:id="rId5">
            <anchor moveWithCells="1">
              <from>
                <xdr:col>0</xdr:col>
                <xdr:colOff>123825</xdr:colOff>
                <xdr:row>1</xdr:row>
                <xdr:rowOff>19050</xdr:rowOff>
              </from>
              <to>
                <xdr:col>0</xdr:col>
                <xdr:colOff>657225</xdr:colOff>
                <xdr:row>1</xdr:row>
                <xdr:rowOff>285750</xdr:rowOff>
              </to>
            </anchor>
          </controlPr>
        </control>
      </mc:Choice>
      <mc:Fallback>
        <control shapeId="6388737" r:id="rId4" name="RefrigerationScheduleUButton"/>
      </mc:Fallback>
    </mc:AlternateContent>
    <mc:AlternateContent xmlns:mc="http://schemas.openxmlformats.org/markup-compatibility/2006">
      <mc:Choice Requires="x14">
        <control shapeId="6388738" r:id="rId6" name="ExportScheduleButton">
          <controlPr defaultSize="0" print="0" autoLine="0" r:id="rId7">
            <anchor moveWithCells="1">
              <from>
                <xdr:col>0</xdr:col>
                <xdr:colOff>123825</xdr:colOff>
                <xdr:row>2</xdr:row>
                <xdr:rowOff>57150</xdr:rowOff>
              </from>
              <to>
                <xdr:col>0</xdr:col>
                <xdr:colOff>638175</xdr:colOff>
                <xdr:row>2</xdr:row>
                <xdr:rowOff>304800</xdr:rowOff>
              </to>
            </anchor>
          </controlPr>
        </control>
      </mc:Choice>
      <mc:Fallback>
        <control shapeId="6388738" r:id="rId6" name="ExportScheduleButton"/>
      </mc:Fallback>
    </mc:AlternateContent>
  </control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7765ED-1D72-4B81-B4D4-C3B139B3C104}">
  <sheetPr codeName="Sheet37">
    <tabColor rgb="FF99CCFF"/>
  </sheetPr>
  <dimension ref="A1:CZ61"/>
  <sheetViews>
    <sheetView workbookViewId="0">
      <selection activeCell="L21" sqref="L21"/>
    </sheetView>
  </sheetViews>
  <sheetFormatPr defaultRowHeight="12.75" x14ac:dyDescent="0.2"/>
  <cols>
    <col min="1" max="1" width="18.5703125" style="1409" customWidth="1"/>
    <col min="2" max="3" width="17.5703125" style="1409" customWidth="1"/>
    <col min="4" max="4" width="15.7109375" style="1409" hidden="1" customWidth="1"/>
    <col min="5" max="5" width="17" style="1409" customWidth="1"/>
    <col min="6" max="6" width="15.5703125" style="1409" hidden="1" customWidth="1"/>
    <col min="7" max="7" width="18" style="1409" customWidth="1"/>
    <col min="8" max="8" width="15.7109375" style="1409" hidden="1" customWidth="1"/>
    <col min="9" max="9" width="22.140625" style="1409" customWidth="1"/>
    <col min="10" max="10" width="26.7109375" style="1409" customWidth="1"/>
    <col min="11" max="100" width="9.140625" style="1409"/>
    <col min="101" max="104" width="9.140625" style="1409" hidden="1" customWidth="1"/>
    <col min="105" max="16384" width="9.140625" style="1409"/>
  </cols>
  <sheetData>
    <row r="1" spans="1:11" x14ac:dyDescent="0.2">
      <c r="A1" s="1408"/>
    </row>
    <row r="2" spans="1:11" ht="13.5" thickBot="1" x14ac:dyDescent="0.25">
      <c r="A2" s="432"/>
      <c r="K2" s="432"/>
    </row>
    <row r="3" spans="1:11" ht="24.75" thickTop="1" thickBot="1" x14ac:dyDescent="0.4">
      <c r="A3" s="432">
        <f>IF(LEFT('Legend(Skid)'!$U$1,6)="Glycol",1,0)</f>
        <v>0</v>
      </c>
      <c r="B3" s="1981" t="str">
        <f>IF(A6=0,"PIPING &amp; VALVE SCHEDULE SYSTEM "&amp; 'Legend(Skid)'!S1,IF(A3&gt;0," PIPING  SCH.  SYSTEM  " &amp; 'Legend(Skid)'!S1," PIPING  SCHEDULE  SYSTEM  " &amp; 'Legend(Skid)'!S1))</f>
        <v xml:space="preserve"> PIPING  SCHEDULE  SYSTEM  </v>
      </c>
      <c r="C3" s="1982"/>
      <c r="D3" s="1982"/>
      <c r="E3" s="1982"/>
      <c r="F3" s="1982"/>
      <c r="G3" s="1982"/>
      <c r="H3" s="1982"/>
      <c r="I3" s="1982"/>
      <c r="J3" s="1983"/>
      <c r="K3" s="432"/>
    </row>
    <row r="4" spans="1:11" x14ac:dyDescent="0.2">
      <c r="A4" s="1410">
        <f>IF(LEFT('Legend(Skid)'!$U$1,1)="c",1,0)</f>
        <v>0</v>
      </c>
      <c r="B4" s="1513"/>
      <c r="C4" s="1412" t="str">
        <f>IF(A4=1,"HORIZONTAL","")</f>
        <v/>
      </c>
      <c r="D4" s="1412" t="s">
        <v>1367</v>
      </c>
      <c r="E4" s="1412" t="str">
        <f>IF(A3&gt;0,"","VERTICAL")</f>
        <v>VERTICAL</v>
      </c>
      <c r="F4" s="1412" t="s">
        <v>1369</v>
      </c>
      <c r="G4" s="1412" t="str">
        <f>IF(A6=0,"LIQUID",IF(A4=1,"LIQUID",""))</f>
        <v/>
      </c>
      <c r="H4" s="1468" t="s">
        <v>1370</v>
      </c>
      <c r="I4" s="1545" t="s">
        <v>181</v>
      </c>
      <c r="J4" s="2175"/>
      <c r="K4" s="1411"/>
    </row>
    <row r="5" spans="1:11" x14ac:dyDescent="0.2">
      <c r="A5" s="1410"/>
      <c r="B5" s="1513" t="s">
        <v>174</v>
      </c>
      <c r="C5" s="1412" t="str">
        <f>IF(A4=1,"RETURN","HORIZONTAL")</f>
        <v>HORIZONTAL</v>
      </c>
      <c r="D5" s="1412" t="s">
        <v>1368</v>
      </c>
      <c r="E5" s="1412" t="str">
        <f>IF(A3&gt;0,"FLOW",IF(A4=1,"UP RETURN","SUCTION RISER"))</f>
        <v>SUCTION RISER</v>
      </c>
      <c r="F5" s="1412" t="s">
        <v>1368</v>
      </c>
      <c r="G5" s="1412" t="str">
        <f>IF(A6=0,"SUPPLY",IF(A3&gt;0,"FLUID SUPPLY",IF(A4=1,"SUPPLY","")))</f>
        <v/>
      </c>
      <c r="H5" s="1468" t="s">
        <v>1368</v>
      </c>
      <c r="I5" s="1412" t="s">
        <v>924</v>
      </c>
      <c r="J5" s="2176"/>
      <c r="K5" s="1411"/>
    </row>
    <row r="6" spans="1:11" ht="13.5" thickBot="1" x14ac:dyDescent="0.25">
      <c r="A6" s="1470">
        <v>1</v>
      </c>
      <c r="B6" s="1514" t="s">
        <v>175</v>
      </c>
      <c r="C6" s="1413" t="str">
        <f>IF(A6=0,"RETURN","SUCTION")</f>
        <v>SUCTION</v>
      </c>
      <c r="D6" s="1413" t="s">
        <v>1269</v>
      </c>
      <c r="E6" s="1413" t="str">
        <f>IF(A3&gt;0,"(GPM)",IF(A4=1,"LINE","AS REQUIRED"))</f>
        <v>AS REQUIRED</v>
      </c>
      <c r="F6" s="1413" t="s">
        <v>1269</v>
      </c>
      <c r="G6" s="1413" t="str">
        <f>IF(A6=0,"LINE",IF(A3&gt;0,"&amp; RETURN",IF(A4=1,"LINE","LIQUID")))</f>
        <v>LIQUID</v>
      </c>
      <c r="H6" s="1469" t="s">
        <v>1269</v>
      </c>
      <c r="I6" s="1413" t="s">
        <v>182</v>
      </c>
      <c r="J6" s="2177" t="s">
        <v>1330</v>
      </c>
      <c r="K6" s="1411"/>
    </row>
    <row r="7" spans="1:11" hidden="1" x14ac:dyDescent="0.2">
      <c r="B7" s="1623"/>
      <c r="C7" s="1624"/>
      <c r="D7" s="1624"/>
      <c r="E7" s="1624"/>
      <c r="F7" s="1624"/>
      <c r="G7" s="1624"/>
      <c r="H7" s="1625"/>
      <c r="I7" s="1625"/>
      <c r="J7" s="1626"/>
    </row>
    <row r="8" spans="1:11" hidden="1" x14ac:dyDescent="0.2">
      <c r="B8" s="1530"/>
      <c r="C8" s="1531"/>
      <c r="D8" s="1531"/>
      <c r="E8" s="1531"/>
      <c r="F8" s="1531"/>
      <c r="G8" s="1531"/>
      <c r="H8" s="1532"/>
      <c r="I8" s="1532"/>
      <c r="J8" s="1533"/>
    </row>
    <row r="9" spans="1:11" ht="13.5" hidden="1" thickBot="1" x14ac:dyDescent="0.25">
      <c r="B9" s="1521"/>
      <c r="C9" s="1522"/>
      <c r="D9" s="1522"/>
      <c r="E9" s="1522"/>
      <c r="F9" s="1522"/>
      <c r="G9" s="1522"/>
      <c r="H9" s="1523"/>
      <c r="I9" s="1523"/>
      <c r="J9" s="1524"/>
    </row>
    <row r="10" spans="1:11" ht="12.75" customHeight="1" thickTop="1" thickBot="1" x14ac:dyDescent="0.25">
      <c r="B10" s="1987" t="str">
        <f>IF($A$6=0,"VALVE QUANTITIES:","")</f>
        <v/>
      </c>
      <c r="C10" s="1988"/>
      <c r="D10" s="1527">
        <f>COUNTIF(D7:D9,"*YES*")+COUNTIF(D7:D9,"*2*")</f>
        <v>0</v>
      </c>
      <c r="E10" s="1528"/>
      <c r="F10" s="1527">
        <f>COUNTIF(F7:F9,"*YES*")+COUNTIF(F7:F9,"*2*")</f>
        <v>0</v>
      </c>
      <c r="G10" s="1528"/>
      <c r="H10" s="1527">
        <f>COUNTIF(H7:H9,"*YES*")+COUNTIF(H7:H9,"*2*")</f>
        <v>0</v>
      </c>
      <c r="I10" s="1526"/>
      <c r="J10" s="1529"/>
    </row>
    <row r="11" spans="1:11" ht="13.5" thickTop="1" x14ac:dyDescent="0.2">
      <c r="B11" s="1984" t="s">
        <v>1376</v>
      </c>
      <c r="C11" s="1985"/>
      <c r="D11" s="1985"/>
      <c r="E11" s="1985"/>
      <c r="F11" s="1985"/>
      <c r="G11" s="1985"/>
      <c r="H11" s="1985"/>
      <c r="I11" s="1985"/>
      <c r="J11" s="1986"/>
    </row>
    <row r="12" spans="1:11" x14ac:dyDescent="0.2">
      <c r="B12" s="2010" t="s">
        <v>1377</v>
      </c>
      <c r="C12" s="2028" t="s">
        <v>1388</v>
      </c>
      <c r="D12" s="2028"/>
      <c r="E12" s="2028"/>
      <c r="F12" s="2028"/>
      <c r="G12" s="2028"/>
      <c r="H12" s="2028"/>
      <c r="I12" s="2028"/>
      <c r="J12" s="2029"/>
    </row>
    <row r="13" spans="1:11" x14ac:dyDescent="0.2">
      <c r="B13" s="2010"/>
      <c r="C13" s="2028"/>
      <c r="D13" s="2028"/>
      <c r="E13" s="2028"/>
      <c r="F13" s="2028"/>
      <c r="G13" s="2028"/>
      <c r="H13" s="2028"/>
      <c r="I13" s="2028"/>
      <c r="J13" s="2029"/>
    </row>
    <row r="14" spans="1:11" x14ac:dyDescent="0.2">
      <c r="B14" s="2010"/>
      <c r="C14" s="2028"/>
      <c r="D14" s="2028"/>
      <c r="E14" s="2028"/>
      <c r="F14" s="2028"/>
      <c r="G14" s="2028"/>
      <c r="H14" s="2028"/>
      <c r="I14" s="2028"/>
      <c r="J14" s="2029"/>
    </row>
    <row r="15" spans="1:11" x14ac:dyDescent="0.2">
      <c r="B15" s="1515" t="s">
        <v>1378</v>
      </c>
      <c r="C15" s="1989" t="str">
        <f>IF(A3=1,"LABEL ALL NEW PIPING PER SPECIFICATIONS SECTION 15181.","LABEL ALL NEW PIPING PER SPECIFICATIONS SECTION 15600.")</f>
        <v>LABEL ALL NEW PIPING PER SPECIFICATIONS SECTION 15600.</v>
      </c>
      <c r="D15" s="1989"/>
      <c r="E15" s="1989"/>
      <c r="F15" s="1989"/>
      <c r="G15" s="1989"/>
      <c r="H15" s="1989"/>
      <c r="I15" s="1989"/>
      <c r="J15" s="1990"/>
    </row>
    <row r="16" spans="1:11" x14ac:dyDescent="0.2">
      <c r="B16" s="2010" t="s">
        <v>1379</v>
      </c>
      <c r="C16" s="1998" t="s">
        <v>1389</v>
      </c>
      <c r="D16" s="1998"/>
      <c r="E16" s="1998"/>
      <c r="F16" s="1998"/>
      <c r="G16" s="1998"/>
      <c r="H16" s="1998"/>
      <c r="I16" s="1998"/>
      <c r="J16" s="1999"/>
    </row>
    <row r="17" spans="2:10" x14ac:dyDescent="0.2">
      <c r="B17" s="2010"/>
      <c r="C17" s="1998"/>
      <c r="D17" s="1998"/>
      <c r="E17" s="1998"/>
      <c r="F17" s="1998"/>
      <c r="G17" s="1998"/>
      <c r="H17" s="1998"/>
      <c r="I17" s="1998"/>
      <c r="J17" s="1999"/>
    </row>
    <row r="18" spans="2:10" x14ac:dyDescent="0.2">
      <c r="B18" s="2010"/>
      <c r="C18" s="1998"/>
      <c r="D18" s="1998"/>
      <c r="E18" s="1998"/>
      <c r="F18" s="1998"/>
      <c r="G18" s="1998"/>
      <c r="H18" s="1998"/>
      <c r="I18" s="1998"/>
      <c r="J18" s="1999"/>
    </row>
    <row r="19" spans="2:10" x14ac:dyDescent="0.2">
      <c r="B19" s="1515" t="s">
        <v>1380</v>
      </c>
      <c r="C19" s="2026" t="str">
        <f>IF(A6=0,"ISOLATION CHECK VALVES AND DRIP PANS SHALL BE CONTRACTOR PROVIDED.","EXISTING PIPE SEGMENTS TO REMAIN UNLESS NOTED OTHERWISE.")</f>
        <v>EXISTING PIPE SEGMENTS TO REMAIN UNLESS NOTED OTHERWISE.</v>
      </c>
      <c r="D19" s="2026"/>
      <c r="E19" s="2026"/>
      <c r="F19" s="2026"/>
      <c r="G19" s="2026"/>
      <c r="H19" s="2026"/>
      <c r="I19" s="2026"/>
      <c r="J19" s="2027"/>
    </row>
    <row r="20" spans="2:10" x14ac:dyDescent="0.2">
      <c r="B20" s="2010" t="s">
        <v>1381</v>
      </c>
      <c r="C20" s="1998" t="str">
        <f>IF(A6=0,"ISOLATION CHECK VALVES SHALL HAVE INTERNAL CHECK VALVE FOR ALL LINES 1-1/8 IN AND SMALLER. DEVIATION FROM THIS DIRECTION REQUIRES WM MCM APPROVAL.","")</f>
        <v/>
      </c>
      <c r="D20" s="1998"/>
      <c r="E20" s="1998"/>
      <c r="F20" s="1998"/>
      <c r="G20" s="1998"/>
      <c r="H20" s="1998"/>
      <c r="I20" s="1998"/>
      <c r="J20" s="1999"/>
    </row>
    <row r="21" spans="2:10" x14ac:dyDescent="0.2">
      <c r="B21" s="2010"/>
      <c r="C21" s="1998"/>
      <c r="D21" s="1998"/>
      <c r="E21" s="1998"/>
      <c r="F21" s="1998"/>
      <c r="G21" s="1998"/>
      <c r="H21" s="1998"/>
      <c r="I21" s="1998"/>
      <c r="J21" s="1999"/>
    </row>
    <row r="22" spans="2:10" x14ac:dyDescent="0.2">
      <c r="B22" s="2004" t="s">
        <v>1382</v>
      </c>
      <c r="C22" s="2005"/>
      <c r="D22" s="2005"/>
      <c r="E22" s="2005"/>
      <c r="F22" s="2005"/>
      <c r="G22" s="2005"/>
      <c r="H22" s="2005"/>
      <c r="I22" s="2005"/>
      <c r="J22" s="2006"/>
    </row>
    <row r="23" spans="2:10" x14ac:dyDescent="0.2">
      <c r="B23" s="1516" t="s">
        <v>1390</v>
      </c>
      <c r="C23" s="2000" t="s">
        <v>1391</v>
      </c>
      <c r="D23" s="2000"/>
      <c r="E23" s="2000"/>
      <c r="F23" s="2000"/>
      <c r="G23" s="2000"/>
      <c r="H23" s="2000"/>
      <c r="I23" s="2000"/>
      <c r="J23" s="2001"/>
    </row>
    <row r="24" spans="2:10" ht="12.75" customHeight="1" x14ac:dyDescent="0.2">
      <c r="B24" s="2024" t="s">
        <v>1383</v>
      </c>
      <c r="C24" s="2015" t="s">
        <v>2205</v>
      </c>
      <c r="D24" s="2090"/>
      <c r="E24" s="2090"/>
      <c r="F24" s="2090"/>
      <c r="G24" s="2090"/>
      <c r="H24" s="2090"/>
      <c r="I24" s="2090"/>
      <c r="J24" s="2097"/>
    </row>
    <row r="25" spans="2:10" x14ac:dyDescent="0.2">
      <c r="B25" s="2025"/>
      <c r="C25" s="2091"/>
      <c r="D25" s="2092"/>
      <c r="E25" s="2092"/>
      <c r="F25" s="2092"/>
      <c r="G25" s="2092"/>
      <c r="H25" s="2092"/>
      <c r="I25" s="2092"/>
      <c r="J25" s="2098"/>
    </row>
    <row r="26" spans="2:10" x14ac:dyDescent="0.2">
      <c r="B26" s="1630" t="s">
        <v>1384</v>
      </c>
      <c r="C26" s="2093" t="s">
        <v>1684</v>
      </c>
      <c r="D26" s="2094"/>
      <c r="E26" s="2094"/>
      <c r="F26" s="2094"/>
      <c r="G26" s="2094"/>
      <c r="H26" s="2094"/>
      <c r="I26" s="2094"/>
      <c r="J26" s="2099"/>
    </row>
    <row r="27" spans="2:10" x14ac:dyDescent="0.2">
      <c r="B27" s="1542" t="s">
        <v>1385</v>
      </c>
      <c r="C27" s="2002" t="s">
        <v>1392</v>
      </c>
      <c r="D27" s="2002"/>
      <c r="E27" s="2002"/>
      <c r="F27" s="2002"/>
      <c r="G27" s="2002"/>
      <c r="H27" s="2002"/>
      <c r="I27" s="2002"/>
      <c r="J27" s="2003"/>
    </row>
    <row r="28" spans="2:10" x14ac:dyDescent="0.2">
      <c r="B28" s="2178" t="s">
        <v>1386</v>
      </c>
      <c r="C28" s="2015" t="s">
        <v>2206</v>
      </c>
      <c r="D28" s="2016"/>
      <c r="E28" s="2016"/>
      <c r="F28" s="2016"/>
      <c r="G28" s="2016"/>
      <c r="H28" s="2016"/>
      <c r="I28" s="2016"/>
      <c r="J28" s="2017"/>
    </row>
    <row r="29" spans="2:10" x14ac:dyDescent="0.2">
      <c r="B29" s="2179"/>
      <c r="C29" s="2018"/>
      <c r="D29" s="2019"/>
      <c r="E29" s="2019"/>
      <c r="F29" s="2019"/>
      <c r="G29" s="2019"/>
      <c r="H29" s="2019"/>
      <c r="I29" s="2019"/>
      <c r="J29" s="2020"/>
    </row>
    <row r="30" spans="2:10" x14ac:dyDescent="0.2">
      <c r="B30" s="2178" t="s">
        <v>1387</v>
      </c>
      <c r="C30" s="2015" t="s">
        <v>2207</v>
      </c>
      <c r="D30" s="2016"/>
      <c r="E30" s="2016"/>
      <c r="F30" s="2016"/>
      <c r="G30" s="2016"/>
      <c r="H30" s="2016"/>
      <c r="I30" s="2016"/>
      <c r="J30" s="2017"/>
    </row>
    <row r="31" spans="2:10" x14ac:dyDescent="0.2">
      <c r="B31" s="2179"/>
      <c r="C31" s="2018"/>
      <c r="D31" s="2019"/>
      <c r="E31" s="2019"/>
      <c r="F31" s="2019"/>
      <c r="G31" s="2019"/>
      <c r="H31" s="2019"/>
      <c r="I31" s="2019"/>
      <c r="J31" s="2020"/>
    </row>
    <row r="32" spans="2:10" x14ac:dyDescent="0.2">
      <c r="B32" s="1542" t="s">
        <v>1615</v>
      </c>
      <c r="C32" s="2011" t="s">
        <v>1613</v>
      </c>
      <c r="D32" s="2011"/>
      <c r="E32" s="2011"/>
      <c r="F32" s="2011"/>
      <c r="G32" s="2011"/>
      <c r="H32" s="2011"/>
      <c r="I32" s="2011"/>
      <c r="J32" s="2012"/>
    </row>
    <row r="33" spans="2:11" x14ac:dyDescent="0.2">
      <c r="B33" s="1542" t="s">
        <v>1616</v>
      </c>
      <c r="C33" s="2013" t="s">
        <v>1614</v>
      </c>
      <c r="D33" s="2013"/>
      <c r="E33" s="2013"/>
      <c r="F33" s="2013"/>
      <c r="G33" s="2013"/>
      <c r="H33" s="2013"/>
      <c r="I33" s="2013"/>
      <c r="J33" s="2014"/>
    </row>
    <row r="34" spans="2:11" x14ac:dyDescent="0.2">
      <c r="B34" s="2178" t="s">
        <v>1687</v>
      </c>
      <c r="C34" s="2015" t="s">
        <v>2208</v>
      </c>
      <c r="D34" s="2016"/>
      <c r="E34" s="2016"/>
      <c r="F34" s="2016"/>
      <c r="G34" s="2016"/>
      <c r="H34" s="2016"/>
      <c r="I34" s="2016"/>
      <c r="J34" s="2017"/>
    </row>
    <row r="35" spans="2:11" x14ac:dyDescent="0.2">
      <c r="B35" s="2179"/>
      <c r="C35" s="2018"/>
      <c r="D35" s="2019"/>
      <c r="E35" s="2019"/>
      <c r="F35" s="2019"/>
      <c r="G35" s="2019"/>
      <c r="H35" s="2019"/>
      <c r="I35" s="2019"/>
      <c r="J35" s="2020"/>
    </row>
    <row r="36" spans="2:11" x14ac:dyDescent="0.2">
      <c r="B36" s="1631" t="s">
        <v>1688</v>
      </c>
      <c r="C36" s="2081" t="s">
        <v>1689</v>
      </c>
      <c r="D36" s="2082"/>
      <c r="E36" s="2082"/>
      <c r="F36" s="2082"/>
      <c r="G36" s="2082"/>
      <c r="H36" s="2082"/>
      <c r="I36" s="2082"/>
      <c r="J36" s="2096"/>
    </row>
    <row r="37" spans="2:11" ht="13.5" thickBot="1" x14ac:dyDescent="0.25">
      <c r="B37" s="2007"/>
      <c r="C37" s="2008"/>
      <c r="D37" s="2008"/>
      <c r="E37" s="2008"/>
      <c r="F37" s="2008"/>
      <c r="G37" s="2008"/>
      <c r="H37" s="2008"/>
      <c r="I37" s="2008"/>
      <c r="J37" s="2009"/>
    </row>
    <row r="38" spans="2:11" ht="13.5" thickTop="1" x14ac:dyDescent="0.2">
      <c r="B38" s="1991" t="s">
        <v>1393</v>
      </c>
      <c r="C38" s="1992"/>
      <c r="D38" s="1992"/>
      <c r="E38" s="1992"/>
      <c r="F38" s="1992"/>
      <c r="G38" s="1992"/>
      <c r="H38" s="1992"/>
      <c r="I38" s="1992"/>
      <c r="J38" s="1993"/>
    </row>
    <row r="39" spans="2:11" x14ac:dyDescent="0.2">
      <c r="B39" s="1994"/>
      <c r="C39" s="1992"/>
      <c r="D39" s="1992"/>
      <c r="E39" s="1992"/>
      <c r="F39" s="1992"/>
      <c r="G39" s="1992"/>
      <c r="H39" s="1992"/>
      <c r="I39" s="1992"/>
      <c r="J39" s="1993"/>
    </row>
    <row r="40" spans="2:11" ht="13.5" thickBot="1" x14ac:dyDescent="0.25">
      <c r="B40" s="1995"/>
      <c r="C40" s="1996"/>
      <c r="D40" s="1996"/>
      <c r="E40" s="1996"/>
      <c r="F40" s="1996"/>
      <c r="G40" s="1996"/>
      <c r="H40" s="1996"/>
      <c r="I40" s="1996"/>
      <c r="J40" s="1997"/>
    </row>
    <row r="41" spans="2:11" ht="13.5" thickTop="1" x14ac:dyDescent="0.2"/>
    <row r="42" spans="2:11" ht="12.75" hidden="1" customHeight="1" x14ac:dyDescent="0.2">
      <c r="B42" s="2010" t="s">
        <v>1377</v>
      </c>
      <c r="C42" s="1636"/>
      <c r="D42" s="1636"/>
      <c r="E42" s="2028" t="s">
        <v>1388</v>
      </c>
      <c r="F42" s="2028"/>
      <c r="G42" s="2028"/>
      <c r="H42" s="2028"/>
      <c r="I42" s="2028"/>
      <c r="J42" s="2086"/>
      <c r="K42" s="1435"/>
    </row>
    <row r="43" spans="2:11" hidden="1" x14ac:dyDescent="0.2">
      <c r="B43" s="2010"/>
      <c r="C43" s="1636"/>
      <c r="D43" s="1636"/>
      <c r="E43" s="2028"/>
      <c r="F43" s="2028"/>
      <c r="G43" s="2028"/>
      <c r="H43" s="2028"/>
      <c r="I43" s="2028"/>
      <c r="J43" s="2086"/>
      <c r="K43" s="1435"/>
    </row>
    <row r="44" spans="2:11" hidden="1" x14ac:dyDescent="0.2">
      <c r="B44" s="2010"/>
      <c r="C44" s="1636"/>
      <c r="D44" s="1636"/>
      <c r="E44" s="2028"/>
      <c r="F44" s="2028"/>
      <c r="G44" s="2028"/>
      <c r="H44" s="2028"/>
      <c r="I44" s="2028"/>
      <c r="J44" s="2086"/>
      <c r="K44" s="1435"/>
    </row>
    <row r="45" spans="2:11" hidden="1" x14ac:dyDescent="0.2">
      <c r="B45" s="1515" t="s">
        <v>1378</v>
      </c>
      <c r="C45" s="1654"/>
      <c r="D45" s="1654"/>
      <c r="E45" s="2087" t="s">
        <v>2204</v>
      </c>
      <c r="F45" s="1989"/>
      <c r="G45" s="1989"/>
      <c r="H45" s="1989"/>
      <c r="I45" s="1989"/>
      <c r="J45" s="2088"/>
      <c r="K45" s="1435"/>
    </row>
    <row r="46" spans="2:11" hidden="1" x14ac:dyDescent="0.2">
      <c r="B46" s="2083" t="s">
        <v>1382</v>
      </c>
      <c r="C46" s="2084"/>
      <c r="D46" s="2084"/>
      <c r="E46" s="2084"/>
      <c r="F46" s="2084"/>
      <c r="G46" s="2084"/>
      <c r="H46" s="2084"/>
      <c r="I46" s="2084"/>
      <c r="J46" s="2085"/>
      <c r="K46" s="1435"/>
    </row>
    <row r="47" spans="2:11" hidden="1" x14ac:dyDescent="0.2">
      <c r="B47" s="1516" t="s">
        <v>1390</v>
      </c>
      <c r="C47" s="1653"/>
      <c r="D47" s="1653"/>
      <c r="E47" s="2000" t="s">
        <v>1391</v>
      </c>
      <c r="F47" s="2000"/>
      <c r="G47" s="2000"/>
      <c r="H47" s="2000"/>
      <c r="I47" s="2000"/>
      <c r="J47" s="2089"/>
      <c r="K47" s="1435"/>
    </row>
    <row r="48" spans="2:11" ht="12.75" hidden="1" customHeight="1" x14ac:dyDescent="0.2">
      <c r="B48" s="2024" t="s">
        <v>1383</v>
      </c>
      <c r="C48" s="1648"/>
      <c r="D48" s="1649"/>
      <c r="E48" s="2015" t="s">
        <v>2205</v>
      </c>
      <c r="F48" s="2090"/>
      <c r="G48" s="2090"/>
      <c r="H48" s="2090"/>
      <c r="I48" s="2090"/>
      <c r="J48" s="2090"/>
      <c r="K48" s="1435"/>
    </row>
    <row r="49" spans="2:11" hidden="1" x14ac:dyDescent="0.2">
      <c r="B49" s="2025"/>
      <c r="C49" s="1650"/>
      <c r="D49" s="1651"/>
      <c r="E49" s="2091"/>
      <c r="F49" s="2092"/>
      <c r="G49" s="2092"/>
      <c r="H49" s="2092"/>
      <c r="I49" s="2092"/>
      <c r="J49" s="2092"/>
      <c r="K49" s="1435"/>
    </row>
    <row r="50" spans="2:11" ht="12.75" hidden="1" customHeight="1" x14ac:dyDescent="0.2">
      <c r="B50" s="1630" t="s">
        <v>1384</v>
      </c>
      <c r="C50" s="1652"/>
      <c r="D50" s="1635"/>
      <c r="E50" s="2093" t="s">
        <v>1684</v>
      </c>
      <c r="F50" s="2094"/>
      <c r="G50" s="2094"/>
      <c r="H50" s="2094"/>
      <c r="I50" s="2094"/>
      <c r="J50" s="2094"/>
      <c r="K50" s="1435"/>
    </row>
    <row r="51" spans="2:11" hidden="1" x14ac:dyDescent="0.2">
      <c r="B51" s="1542" t="s">
        <v>1385</v>
      </c>
      <c r="C51" s="1638"/>
      <c r="D51" s="1638"/>
      <c r="E51" s="2002" t="s">
        <v>1392</v>
      </c>
      <c r="F51" s="2002"/>
      <c r="G51" s="2002"/>
      <c r="H51" s="2002"/>
      <c r="I51" s="2002"/>
      <c r="J51" s="2095"/>
      <c r="K51" s="1435"/>
    </row>
    <row r="52" spans="2:11" hidden="1" x14ac:dyDescent="0.2">
      <c r="B52" s="1543" t="s">
        <v>1386</v>
      </c>
      <c r="C52" s="1639"/>
      <c r="D52" s="1640"/>
      <c r="E52" s="2015" t="s">
        <v>2206</v>
      </c>
      <c r="F52" s="2016"/>
      <c r="G52" s="2016"/>
      <c r="H52" s="2016"/>
      <c r="I52" s="2016"/>
      <c r="J52" s="2017"/>
      <c r="K52" s="1435"/>
    </row>
    <row r="53" spans="2:11" hidden="1" x14ac:dyDescent="0.2">
      <c r="B53" s="1541"/>
      <c r="C53" s="1641"/>
      <c r="D53" s="1642"/>
      <c r="E53" s="2018"/>
      <c r="F53" s="2019"/>
      <c r="G53" s="2019"/>
      <c r="H53" s="2019"/>
      <c r="I53" s="2019"/>
      <c r="J53" s="2020"/>
      <c r="K53" s="1435"/>
    </row>
    <row r="54" spans="2:11" hidden="1" x14ac:dyDescent="0.2">
      <c r="B54" s="1543" t="s">
        <v>1387</v>
      </c>
      <c r="C54" s="1639"/>
      <c r="D54" s="1640"/>
      <c r="E54" s="2015" t="s">
        <v>2207</v>
      </c>
      <c r="F54" s="2016"/>
      <c r="G54" s="2016"/>
      <c r="H54" s="2016"/>
      <c r="I54" s="2016"/>
      <c r="J54" s="2017"/>
      <c r="K54" s="1435"/>
    </row>
    <row r="55" spans="2:11" hidden="1" x14ac:dyDescent="0.2">
      <c r="B55" s="1544"/>
      <c r="C55" s="1643"/>
      <c r="D55" s="1642"/>
      <c r="E55" s="2018"/>
      <c r="F55" s="2019"/>
      <c r="G55" s="2019"/>
      <c r="H55" s="2019"/>
      <c r="I55" s="2019"/>
      <c r="J55" s="2020"/>
      <c r="K55" s="1435"/>
    </row>
    <row r="56" spans="2:11" hidden="1" x14ac:dyDescent="0.2">
      <c r="B56" s="1542" t="s">
        <v>1615</v>
      </c>
      <c r="C56" s="1645"/>
      <c r="D56" s="1645"/>
      <c r="E56" s="2011" t="s">
        <v>1613</v>
      </c>
      <c r="F56" s="2011"/>
      <c r="G56" s="2011"/>
      <c r="H56" s="2011"/>
      <c r="I56" s="2011"/>
      <c r="J56" s="2011"/>
      <c r="K56" s="1435"/>
    </row>
    <row r="57" spans="2:11" hidden="1" x14ac:dyDescent="0.2">
      <c r="B57" s="1542" t="s">
        <v>1616</v>
      </c>
      <c r="C57" s="1646"/>
      <c r="D57" s="1646"/>
      <c r="E57" s="2013" t="s">
        <v>1614</v>
      </c>
      <c r="F57" s="2013"/>
      <c r="G57" s="2013"/>
      <c r="H57" s="2013"/>
      <c r="I57" s="2013"/>
      <c r="J57" s="2013"/>
      <c r="K57" s="1435"/>
    </row>
    <row r="58" spans="2:11" hidden="1" x14ac:dyDescent="0.2">
      <c r="B58" s="1543" t="s">
        <v>1687</v>
      </c>
      <c r="C58" s="1646"/>
      <c r="D58" s="1646"/>
      <c r="E58" s="2016" t="s">
        <v>2208</v>
      </c>
      <c r="F58" s="2016"/>
      <c r="G58" s="2016"/>
      <c r="H58" s="2016"/>
      <c r="I58" s="2016"/>
      <c r="J58" s="2017"/>
      <c r="K58" s="1435"/>
    </row>
    <row r="59" spans="2:11" hidden="1" x14ac:dyDescent="0.2">
      <c r="B59" s="1541"/>
      <c r="C59" s="1644"/>
      <c r="D59" s="1644"/>
      <c r="E59" s="2019"/>
      <c r="F59" s="2019"/>
      <c r="G59" s="2019"/>
      <c r="H59" s="2019"/>
      <c r="I59" s="2019"/>
      <c r="J59" s="2020"/>
      <c r="K59" s="1435"/>
    </row>
    <row r="60" spans="2:11" hidden="1" x14ac:dyDescent="0.2">
      <c r="B60" s="1631" t="s">
        <v>1688</v>
      </c>
      <c r="C60" s="1647"/>
      <c r="D60" s="1645"/>
      <c r="E60" s="2081" t="s">
        <v>1689</v>
      </c>
      <c r="F60" s="2082"/>
      <c r="G60" s="2082"/>
      <c r="H60" s="2082"/>
      <c r="I60" s="2082"/>
      <c r="J60" s="2082"/>
      <c r="K60" s="1435"/>
    </row>
    <row r="61" spans="2:11" ht="13.5" hidden="1" thickBot="1" x14ac:dyDescent="0.25">
      <c r="B61" s="2007"/>
      <c r="C61" s="2008"/>
      <c r="D61" s="2008"/>
      <c r="E61" s="2008"/>
      <c r="F61" s="2008"/>
      <c r="G61" s="2008"/>
      <c r="H61" s="2008"/>
      <c r="I61" s="2008"/>
      <c r="J61" s="2008"/>
      <c r="K61" s="1435"/>
    </row>
  </sheetData>
  <mergeCells count="44">
    <mergeCell ref="B30:B31"/>
    <mergeCell ref="B34:B35"/>
    <mergeCell ref="B28:B29"/>
    <mergeCell ref="B3:J3"/>
    <mergeCell ref="B10:C10"/>
    <mergeCell ref="B11:J11"/>
    <mergeCell ref="B12:B14"/>
    <mergeCell ref="C12:J14"/>
    <mergeCell ref="C36:J36"/>
    <mergeCell ref="C15:J15"/>
    <mergeCell ref="B16:B18"/>
    <mergeCell ref="C16:J18"/>
    <mergeCell ref="C19:J19"/>
    <mergeCell ref="B20:B21"/>
    <mergeCell ref="C20:J21"/>
    <mergeCell ref="B22:J22"/>
    <mergeCell ref="C23:J23"/>
    <mergeCell ref="C27:J27"/>
    <mergeCell ref="B24:B25"/>
    <mergeCell ref="C24:J25"/>
    <mergeCell ref="C26:J26"/>
    <mergeCell ref="C28:J29"/>
    <mergeCell ref="C32:J32"/>
    <mergeCell ref="C33:J33"/>
    <mergeCell ref="C30:J31"/>
    <mergeCell ref="B61:J61"/>
    <mergeCell ref="B48:B49"/>
    <mergeCell ref="B42:B44"/>
    <mergeCell ref="B37:J37"/>
    <mergeCell ref="B38:J40"/>
    <mergeCell ref="C34:J35"/>
    <mergeCell ref="E52:J53"/>
    <mergeCell ref="E54:J55"/>
    <mergeCell ref="E58:J59"/>
    <mergeCell ref="E60:J60"/>
    <mergeCell ref="B46:J46"/>
    <mergeCell ref="E42:J44"/>
    <mergeCell ref="E45:J45"/>
    <mergeCell ref="E47:J47"/>
    <mergeCell ref="E48:J49"/>
    <mergeCell ref="E50:J50"/>
    <mergeCell ref="E51:J51"/>
    <mergeCell ref="E56:J56"/>
    <mergeCell ref="E57:J57"/>
  </mergeCells>
  <conditionalFormatting sqref="E7:F9">
    <cfRule type="expression" dxfId="18" priority="1" stopIfTrue="1">
      <formula>$A$3&gt;0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6419457" r:id="rId4" name="PipingScheduleUVButton">
          <controlPr defaultSize="0" print="0" autoLine="0" r:id="rId5">
            <anchor moveWithCells="1">
              <from>
                <xdr:col>0</xdr:col>
                <xdr:colOff>47625</xdr:colOff>
                <xdr:row>2</xdr:row>
                <xdr:rowOff>0</xdr:rowOff>
              </from>
              <to>
                <xdr:col>0</xdr:col>
                <xdr:colOff>1162050</xdr:colOff>
                <xdr:row>4</xdr:row>
                <xdr:rowOff>142875</xdr:rowOff>
              </to>
            </anchor>
          </controlPr>
        </control>
      </mc:Choice>
      <mc:Fallback>
        <control shapeId="6419457" r:id="rId4" name="PipingScheduleUVButton"/>
      </mc:Fallback>
    </mc:AlternateContent>
    <mc:AlternateContent xmlns:mc="http://schemas.openxmlformats.org/markup-compatibility/2006">
      <mc:Choice Requires="x14">
        <control shapeId="6419458" r:id="rId6" name="ValveStations">
          <controlPr defaultSize="0" autoLine="0" r:id="rId7">
            <anchor moveWithCells="1">
              <from>
                <xdr:col>10</xdr:col>
                <xdr:colOff>161925</xdr:colOff>
                <xdr:row>2</xdr:row>
                <xdr:rowOff>9525</xdr:rowOff>
              </from>
              <to>
                <xdr:col>12</xdr:col>
                <xdr:colOff>57150</xdr:colOff>
                <xdr:row>4</xdr:row>
                <xdr:rowOff>152400</xdr:rowOff>
              </to>
            </anchor>
          </controlPr>
        </control>
      </mc:Choice>
      <mc:Fallback>
        <control shapeId="6419458" r:id="rId6" name="ValveStations"/>
      </mc:Fallback>
    </mc:AlternateContent>
  </control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A8FFE-D140-481E-8116-154449E476CC}">
  <sheetPr codeName="Sheet26">
    <tabColor rgb="FF99CCFF"/>
  </sheetPr>
  <dimension ref="A1:Q3"/>
  <sheetViews>
    <sheetView workbookViewId="0">
      <selection activeCell="E36" sqref="E36"/>
    </sheetView>
  </sheetViews>
  <sheetFormatPr defaultRowHeight="12.75" x14ac:dyDescent="0.2"/>
  <cols>
    <col min="2" max="2" width="16.42578125" bestFit="1" customWidth="1"/>
    <col min="3" max="3" width="28.140625" customWidth="1"/>
    <col min="4" max="4" width="13.28515625" customWidth="1"/>
    <col min="5" max="5" width="24.85546875" customWidth="1"/>
    <col min="6" max="6" width="28.5703125" customWidth="1"/>
    <col min="7" max="7" width="23.140625" customWidth="1"/>
    <col min="8" max="8" width="25.7109375" customWidth="1"/>
    <col min="9" max="9" width="29" customWidth="1"/>
    <col min="10" max="10" width="29.28515625" customWidth="1"/>
    <col min="11" max="11" width="19.7109375" customWidth="1"/>
    <col min="12" max="12" width="17.28515625" customWidth="1"/>
  </cols>
  <sheetData>
    <row r="1" spans="1:17" ht="26.25" x14ac:dyDescent="0.4">
      <c r="A1" s="1863" t="s">
        <v>1630</v>
      </c>
      <c r="B1" s="1863"/>
      <c r="C1" s="1863"/>
      <c r="D1" s="1863"/>
      <c r="E1" s="1863"/>
      <c r="F1" s="1863"/>
      <c r="G1" s="1863"/>
      <c r="H1" s="1863"/>
      <c r="I1" s="1863"/>
      <c r="J1" s="1863"/>
      <c r="K1" s="1863"/>
      <c r="L1" s="1863"/>
      <c r="M1" s="1863"/>
      <c r="N1" s="1863"/>
      <c r="O1" s="1863"/>
      <c r="P1" s="1863"/>
      <c r="Q1" s="1863"/>
    </row>
    <row r="2" spans="1:17" x14ac:dyDescent="0.2">
      <c r="A2" s="1594" t="s">
        <v>1591</v>
      </c>
      <c r="B2" s="1594" t="s">
        <v>1631</v>
      </c>
      <c r="C2" s="1594" t="s">
        <v>1632</v>
      </c>
      <c r="D2" s="1594" t="s">
        <v>572</v>
      </c>
      <c r="E2" s="1594" t="s">
        <v>1633</v>
      </c>
      <c r="F2" s="1594" t="s">
        <v>1634</v>
      </c>
      <c r="G2" s="1594" t="s">
        <v>1635</v>
      </c>
      <c r="H2" s="1594" t="s">
        <v>1636</v>
      </c>
      <c r="I2" s="1594" t="s">
        <v>1637</v>
      </c>
      <c r="J2" s="1594" t="s">
        <v>1638</v>
      </c>
      <c r="K2" s="1594" t="s">
        <v>1639</v>
      </c>
      <c r="L2" s="1594" t="s">
        <v>1640</v>
      </c>
      <c r="M2" s="1594" t="s">
        <v>561</v>
      </c>
      <c r="N2" s="1594" t="s">
        <v>1641</v>
      </c>
      <c r="O2" s="1594" t="s">
        <v>1642</v>
      </c>
      <c r="P2" s="1594" t="s">
        <v>1643</v>
      </c>
      <c r="Q2" s="1594" t="s">
        <v>1330</v>
      </c>
    </row>
    <row r="3" spans="1:17" x14ac:dyDescent="0.2">
      <c r="A3" s="1594">
        <v>0</v>
      </c>
      <c r="B3" s="1595" t="s">
        <v>1644</v>
      </c>
      <c r="C3" s="1594">
        <v>0</v>
      </c>
      <c r="D3" s="1594">
        <v>0</v>
      </c>
      <c r="E3" s="1594"/>
      <c r="F3" s="1594">
        <v>0</v>
      </c>
      <c r="G3" s="1594">
        <v>0</v>
      </c>
      <c r="H3" s="1594">
        <v>0</v>
      </c>
      <c r="I3" s="1594" t="e">
        <v>#N/A</v>
      </c>
      <c r="J3" s="1594" t="e">
        <v>#N/A</v>
      </c>
      <c r="K3" s="1595"/>
      <c r="L3" s="1594" t="s">
        <v>896</v>
      </c>
      <c r="M3" s="1594" t="e">
        <v>#N/A</v>
      </c>
      <c r="N3" s="1594" t="e">
        <v>#N/A</v>
      </c>
      <c r="O3" s="1594" t="e">
        <v>#N/A</v>
      </c>
      <c r="P3" s="1594" t="e">
        <v>#N/A</v>
      </c>
      <c r="Q3" s="1594"/>
    </row>
  </sheetData>
  <sheetProtection sheet="1" objects="1" scenarios="1"/>
  <mergeCells count="1">
    <mergeCell ref="A1:Q1"/>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4877AF-8C46-43EA-AB07-3B43FAAFE316}">
  <sheetPr codeName="Sheet46">
    <tabColor rgb="FF99CCFF"/>
  </sheetPr>
  <dimension ref="A2:J97"/>
  <sheetViews>
    <sheetView workbookViewId="0">
      <selection activeCell="F103" sqref="F103"/>
    </sheetView>
  </sheetViews>
  <sheetFormatPr defaultRowHeight="12.75" x14ac:dyDescent="0.2"/>
  <cols>
    <col min="1" max="1" width="16.85546875" customWidth="1"/>
    <col min="2" max="2" width="22.42578125" customWidth="1"/>
    <col min="3" max="3" width="13.5703125" customWidth="1"/>
    <col min="4" max="4" width="14" customWidth="1"/>
    <col min="5" max="5" width="14.85546875" customWidth="1"/>
    <col min="6" max="6" width="15.7109375" customWidth="1"/>
    <col min="7" max="7" width="13.7109375" customWidth="1"/>
    <col min="8" max="8" width="14.140625" customWidth="1"/>
    <col min="9" max="9" width="14.5703125" customWidth="1"/>
    <col min="10" max="10" width="10.140625" customWidth="1"/>
  </cols>
  <sheetData>
    <row r="2" spans="1:10" ht="21" x14ac:dyDescent="0.2">
      <c r="B2" s="2112" t="str">
        <f>"PUMP SKID " &amp; 'Legend(Skid)'!S1 &amp; " PHASING SCHEDULE"</f>
        <v>PUMP SKID  PHASING SCHEDULE</v>
      </c>
      <c r="C2" s="2112"/>
      <c r="D2" s="2112"/>
      <c r="E2" s="2112"/>
      <c r="F2" s="2112"/>
      <c r="G2" s="2112"/>
      <c r="H2" s="2112"/>
      <c r="I2" s="2112"/>
      <c r="J2" s="2112"/>
    </row>
    <row r="3" spans="1:10" ht="38.25" x14ac:dyDescent="0.2">
      <c r="B3" s="1596" t="s">
        <v>1651</v>
      </c>
      <c r="C3" s="1534" t="s">
        <v>1652</v>
      </c>
      <c r="D3" s="1534" t="s">
        <v>1653</v>
      </c>
      <c r="E3" s="1596" t="s">
        <v>94</v>
      </c>
      <c r="F3" s="1534" t="s">
        <v>1654</v>
      </c>
      <c r="G3" s="1596" t="s">
        <v>1655</v>
      </c>
      <c r="H3" s="1534" t="s">
        <v>1656</v>
      </c>
      <c r="I3" s="1534" t="s">
        <v>1657</v>
      </c>
      <c r="J3" s="1596" t="s">
        <v>1330</v>
      </c>
    </row>
    <row r="4" spans="1:10" hidden="1" x14ac:dyDescent="0.2">
      <c r="A4" s="1598">
        <f>IF(LEFT('Legend(Skid)'!U1,1)="G",1,0)</f>
        <v>0</v>
      </c>
      <c r="B4" s="2113" t="str">
        <f>"PUMP SKID "&amp;'Legend(Skid)'!S1</f>
        <v xml:space="preserve">PUMP SKID </v>
      </c>
      <c r="C4" s="1596"/>
      <c r="D4" s="1596" t="e">
        <f t="shared" ref="D4:D35" si="0">VLOOKUP($C4,LegendSG1CKTrows_Skid,21)</f>
        <v>#N/A</v>
      </c>
      <c r="E4" s="1596" t="e">
        <f>VLOOKUP($C4,LegendSG1CKTrows_Skid,14)</f>
        <v>#N/A</v>
      </c>
      <c r="F4" s="1615" t="e">
        <f t="shared" ref="F4:F35" si="1">IF($A$4=1,VLOOKUP($C4,LegendSG1CKTrows_Skid,23),0.33*D4)</f>
        <v>#N/A</v>
      </c>
      <c r="G4" s="2100">
        <v>1</v>
      </c>
      <c r="H4" s="2101" cm="1">
        <f t="array" ref="H4">SUM(IF(ISNUMBER(D4:D10),D4:D10,0))</f>
        <v>0</v>
      </c>
      <c r="I4" s="2101" cm="1">
        <f t="array" ref="I4">IF($A$4=1,IF($A$5=1,20+SUM(IF(ISNUMBER(F4:F10),F4:F10,0)),32+SUM(IF(ISNUMBER(F4:F10),F4:F10,0))),SUM(IF(ISNUMBER(F4:F10),F4:F10,0)))</f>
        <v>0</v>
      </c>
      <c r="J4" s="2102"/>
    </row>
    <row r="5" spans="1:10" hidden="1" x14ac:dyDescent="0.2">
      <c r="A5" s="1598" t="e">
        <f>IF(VLOOKUP('Legend(Skid)'!AT3,SkidData_Skid,4,FALSE)=20,1,0)</f>
        <v>#N/A</v>
      </c>
      <c r="B5" s="2114"/>
      <c r="C5" s="1596"/>
      <c r="D5" s="1596" t="e">
        <f t="shared" si="0"/>
        <v>#N/A</v>
      </c>
      <c r="E5" s="1596" t="e">
        <f t="shared" ref="E5:E35" si="2">VLOOKUP($C5,LegendSG1CKTrows_Skid,14)</f>
        <v>#N/A</v>
      </c>
      <c r="F5" s="1615" t="e">
        <f t="shared" si="1"/>
        <v>#N/A</v>
      </c>
      <c r="G5" s="2100"/>
      <c r="H5" s="2101"/>
      <c r="I5" s="2101"/>
      <c r="J5" s="2102"/>
    </row>
    <row r="6" spans="1:10" hidden="1" x14ac:dyDescent="0.2">
      <c r="B6" s="2114"/>
      <c r="C6" s="1596"/>
      <c r="D6" s="1596" t="e">
        <f t="shared" si="0"/>
        <v>#N/A</v>
      </c>
      <c r="E6" s="1596" t="e">
        <f t="shared" si="2"/>
        <v>#N/A</v>
      </c>
      <c r="F6" s="1615" t="e">
        <f t="shared" si="1"/>
        <v>#N/A</v>
      </c>
      <c r="G6" s="2100"/>
      <c r="H6" s="2101"/>
      <c r="I6" s="2101"/>
      <c r="J6" s="2102"/>
    </row>
    <row r="7" spans="1:10" hidden="1" x14ac:dyDescent="0.2">
      <c r="B7" s="2114"/>
      <c r="C7" s="1596"/>
      <c r="D7" s="1596" t="e">
        <f t="shared" si="0"/>
        <v>#N/A</v>
      </c>
      <c r="E7" s="1596" t="e">
        <f t="shared" si="2"/>
        <v>#N/A</v>
      </c>
      <c r="F7" s="1615" t="e">
        <f t="shared" si="1"/>
        <v>#N/A</v>
      </c>
      <c r="G7" s="2100"/>
      <c r="H7" s="2101"/>
      <c r="I7" s="2101"/>
      <c r="J7" s="2102"/>
    </row>
    <row r="8" spans="1:10" hidden="1" x14ac:dyDescent="0.2">
      <c r="B8" s="2114"/>
      <c r="C8" s="1596"/>
      <c r="D8" s="1596" t="e">
        <f t="shared" si="0"/>
        <v>#N/A</v>
      </c>
      <c r="E8" s="1596" t="e">
        <f t="shared" si="2"/>
        <v>#N/A</v>
      </c>
      <c r="F8" s="1615" t="e">
        <f t="shared" si="1"/>
        <v>#N/A</v>
      </c>
      <c r="G8" s="2100"/>
      <c r="H8" s="2101"/>
      <c r="I8" s="2101"/>
      <c r="J8" s="2102"/>
    </row>
    <row r="9" spans="1:10" hidden="1" x14ac:dyDescent="0.2">
      <c r="B9" s="2114"/>
      <c r="C9" s="1596"/>
      <c r="D9" s="1596" t="e">
        <f t="shared" si="0"/>
        <v>#N/A</v>
      </c>
      <c r="E9" s="1596" t="e">
        <f t="shared" si="2"/>
        <v>#N/A</v>
      </c>
      <c r="F9" s="1615" t="e">
        <f t="shared" si="1"/>
        <v>#N/A</v>
      </c>
      <c r="G9" s="2100"/>
      <c r="H9" s="2101"/>
      <c r="I9" s="2101"/>
      <c r="J9" s="2102"/>
    </row>
    <row r="10" spans="1:10" hidden="1" x14ac:dyDescent="0.2">
      <c r="B10" s="2114"/>
      <c r="C10" s="1596"/>
      <c r="D10" s="1596" t="e">
        <f t="shared" si="0"/>
        <v>#N/A</v>
      </c>
      <c r="E10" s="1596" t="e">
        <f t="shared" si="2"/>
        <v>#N/A</v>
      </c>
      <c r="F10" s="1615" t="e">
        <f t="shared" si="1"/>
        <v>#N/A</v>
      </c>
      <c r="G10" s="2100"/>
      <c r="H10" s="2100"/>
      <c r="I10" s="2100"/>
      <c r="J10" s="2102"/>
    </row>
    <row r="11" spans="1:10" hidden="1" x14ac:dyDescent="0.2">
      <c r="B11" s="2114"/>
      <c r="C11" s="1596"/>
      <c r="D11" s="1596" t="e">
        <f t="shared" si="0"/>
        <v>#N/A</v>
      </c>
      <c r="E11" s="1596" t="e">
        <f t="shared" si="2"/>
        <v>#N/A</v>
      </c>
      <c r="F11" s="1615" t="e">
        <f t="shared" si="1"/>
        <v>#N/A</v>
      </c>
      <c r="G11" s="2100">
        <v>2</v>
      </c>
      <c r="H11" s="2101" cm="1">
        <f t="array" ref="H11">SUM(IF(ISNUMBER(D11:D17),D11:D17,0))+H4</f>
        <v>0</v>
      </c>
      <c r="I11" s="2101" cm="1">
        <f t="array" ref="I11">SUM(IF(ISNUMBER(F11:F17),F11:F17,0))+I4</f>
        <v>0</v>
      </c>
      <c r="J11" s="2102"/>
    </row>
    <row r="12" spans="1:10" hidden="1" x14ac:dyDescent="0.2">
      <c r="B12" s="2114"/>
      <c r="C12" s="1596"/>
      <c r="D12" s="1596" t="e">
        <f t="shared" si="0"/>
        <v>#N/A</v>
      </c>
      <c r="E12" s="1596" t="e">
        <f t="shared" si="2"/>
        <v>#N/A</v>
      </c>
      <c r="F12" s="1615" t="e">
        <f t="shared" si="1"/>
        <v>#N/A</v>
      </c>
      <c r="G12" s="2100"/>
      <c r="H12" s="2101"/>
      <c r="I12" s="2101"/>
      <c r="J12" s="2102"/>
    </row>
    <row r="13" spans="1:10" hidden="1" x14ac:dyDescent="0.2">
      <c r="B13" s="2114"/>
      <c r="C13" s="1596"/>
      <c r="D13" s="1596" t="e">
        <f t="shared" si="0"/>
        <v>#N/A</v>
      </c>
      <c r="E13" s="1596" t="e">
        <f t="shared" si="2"/>
        <v>#N/A</v>
      </c>
      <c r="F13" s="1615" t="e">
        <f t="shared" si="1"/>
        <v>#N/A</v>
      </c>
      <c r="G13" s="2100"/>
      <c r="H13" s="2101"/>
      <c r="I13" s="2101"/>
      <c r="J13" s="2102"/>
    </row>
    <row r="14" spans="1:10" hidden="1" x14ac:dyDescent="0.2">
      <c r="B14" s="2114"/>
      <c r="C14" s="1596"/>
      <c r="D14" s="1596" t="e">
        <f t="shared" si="0"/>
        <v>#N/A</v>
      </c>
      <c r="E14" s="1596" t="e">
        <f t="shared" si="2"/>
        <v>#N/A</v>
      </c>
      <c r="F14" s="1615" t="e">
        <f t="shared" si="1"/>
        <v>#N/A</v>
      </c>
      <c r="G14" s="2100"/>
      <c r="H14" s="2101"/>
      <c r="I14" s="2101"/>
      <c r="J14" s="2102"/>
    </row>
    <row r="15" spans="1:10" hidden="1" x14ac:dyDescent="0.2">
      <c r="B15" s="2114"/>
      <c r="C15" s="1596"/>
      <c r="D15" s="1596" t="e">
        <f t="shared" si="0"/>
        <v>#N/A</v>
      </c>
      <c r="E15" s="1596" t="e">
        <f t="shared" si="2"/>
        <v>#N/A</v>
      </c>
      <c r="F15" s="1615" t="e">
        <f t="shared" si="1"/>
        <v>#N/A</v>
      </c>
      <c r="G15" s="2100"/>
      <c r="H15" s="2101"/>
      <c r="I15" s="2101"/>
      <c r="J15" s="2102"/>
    </row>
    <row r="16" spans="1:10" hidden="1" x14ac:dyDescent="0.2">
      <c r="B16" s="2114"/>
      <c r="C16" s="1596"/>
      <c r="D16" s="1596" t="e">
        <f t="shared" si="0"/>
        <v>#N/A</v>
      </c>
      <c r="E16" s="1596" t="e">
        <f t="shared" si="2"/>
        <v>#N/A</v>
      </c>
      <c r="F16" s="1615" t="e">
        <f t="shared" si="1"/>
        <v>#N/A</v>
      </c>
      <c r="G16" s="2100"/>
      <c r="H16" s="2101"/>
      <c r="I16" s="2101"/>
      <c r="J16" s="2102"/>
    </row>
    <row r="17" spans="2:10" hidden="1" x14ac:dyDescent="0.2">
      <c r="B17" s="2114"/>
      <c r="C17" s="1596"/>
      <c r="D17" s="1596" t="e">
        <f t="shared" si="0"/>
        <v>#N/A</v>
      </c>
      <c r="E17" s="1596" t="e">
        <f t="shared" si="2"/>
        <v>#N/A</v>
      </c>
      <c r="F17" s="1615" t="e">
        <f t="shared" si="1"/>
        <v>#N/A</v>
      </c>
      <c r="G17" s="2100"/>
      <c r="H17" s="2100"/>
      <c r="I17" s="2100"/>
      <c r="J17" s="2102"/>
    </row>
    <row r="18" spans="2:10" hidden="1" x14ac:dyDescent="0.2">
      <c r="B18" s="2114"/>
      <c r="C18" s="1596"/>
      <c r="D18" s="1596" t="e">
        <f t="shared" si="0"/>
        <v>#N/A</v>
      </c>
      <c r="E18" s="1596" t="e">
        <f t="shared" si="2"/>
        <v>#N/A</v>
      </c>
      <c r="F18" s="1615" t="e">
        <f t="shared" si="1"/>
        <v>#N/A</v>
      </c>
      <c r="G18" s="2100">
        <v>3</v>
      </c>
      <c r="H18" s="2101" cm="1">
        <f t="array" ref="H18">SUM(IF(ISNUMBER(D18:D24),D18:D24,0))+H11</f>
        <v>0</v>
      </c>
      <c r="I18" s="2101" cm="1">
        <f t="array" ref="I18">SUM(IF(ISNUMBER(F18:F24),F18:F24,0))+I11</f>
        <v>0</v>
      </c>
      <c r="J18" s="2102"/>
    </row>
    <row r="19" spans="2:10" hidden="1" x14ac:dyDescent="0.2">
      <c r="B19" s="2114"/>
      <c r="C19" s="1596"/>
      <c r="D19" s="1596" t="e">
        <f t="shared" si="0"/>
        <v>#N/A</v>
      </c>
      <c r="E19" s="1596" t="e">
        <f t="shared" si="2"/>
        <v>#N/A</v>
      </c>
      <c r="F19" s="1615" t="e">
        <f t="shared" si="1"/>
        <v>#N/A</v>
      </c>
      <c r="G19" s="2100"/>
      <c r="H19" s="2101"/>
      <c r="I19" s="2101"/>
      <c r="J19" s="2102"/>
    </row>
    <row r="20" spans="2:10" hidden="1" x14ac:dyDescent="0.2">
      <c r="B20" s="2114"/>
      <c r="C20" s="1596"/>
      <c r="D20" s="1596" t="e">
        <f t="shared" si="0"/>
        <v>#N/A</v>
      </c>
      <c r="E20" s="1596" t="e">
        <f t="shared" si="2"/>
        <v>#N/A</v>
      </c>
      <c r="F20" s="1615" t="e">
        <f t="shared" si="1"/>
        <v>#N/A</v>
      </c>
      <c r="G20" s="2100"/>
      <c r="H20" s="2101"/>
      <c r="I20" s="2101"/>
      <c r="J20" s="2102"/>
    </row>
    <row r="21" spans="2:10" hidden="1" x14ac:dyDescent="0.2">
      <c r="B21" s="2114"/>
      <c r="C21" s="1596"/>
      <c r="D21" s="1596" t="e">
        <f t="shared" si="0"/>
        <v>#N/A</v>
      </c>
      <c r="E21" s="1596" t="e">
        <f t="shared" si="2"/>
        <v>#N/A</v>
      </c>
      <c r="F21" s="1615" t="e">
        <f t="shared" si="1"/>
        <v>#N/A</v>
      </c>
      <c r="G21" s="2100"/>
      <c r="H21" s="2101"/>
      <c r="I21" s="2101"/>
      <c r="J21" s="2102"/>
    </row>
    <row r="22" spans="2:10" hidden="1" x14ac:dyDescent="0.2">
      <c r="B22" s="2114"/>
      <c r="C22" s="1596"/>
      <c r="D22" s="1596" t="e">
        <f t="shared" si="0"/>
        <v>#N/A</v>
      </c>
      <c r="E22" s="1596" t="e">
        <f t="shared" si="2"/>
        <v>#N/A</v>
      </c>
      <c r="F22" s="1615" t="e">
        <f t="shared" si="1"/>
        <v>#N/A</v>
      </c>
      <c r="G22" s="2100"/>
      <c r="H22" s="2101"/>
      <c r="I22" s="2101"/>
      <c r="J22" s="2102"/>
    </row>
    <row r="23" spans="2:10" hidden="1" x14ac:dyDescent="0.2">
      <c r="B23" s="2114"/>
      <c r="C23" s="1596"/>
      <c r="D23" s="1596" t="e">
        <f t="shared" si="0"/>
        <v>#N/A</v>
      </c>
      <c r="E23" s="1596" t="e">
        <f t="shared" si="2"/>
        <v>#N/A</v>
      </c>
      <c r="F23" s="1615" t="e">
        <f t="shared" si="1"/>
        <v>#N/A</v>
      </c>
      <c r="G23" s="2100"/>
      <c r="H23" s="2101"/>
      <c r="I23" s="2101"/>
      <c r="J23" s="2102"/>
    </row>
    <row r="24" spans="2:10" hidden="1" x14ac:dyDescent="0.2">
      <c r="B24" s="2114"/>
      <c r="C24" s="1596"/>
      <c r="D24" s="1596" t="e">
        <f t="shared" si="0"/>
        <v>#N/A</v>
      </c>
      <c r="E24" s="1596" t="e">
        <f t="shared" si="2"/>
        <v>#N/A</v>
      </c>
      <c r="F24" s="1615" t="e">
        <f t="shared" si="1"/>
        <v>#N/A</v>
      </c>
      <c r="G24" s="2100"/>
      <c r="H24" s="2100"/>
      <c r="I24" s="2100"/>
      <c r="J24" s="2102"/>
    </row>
    <row r="25" spans="2:10" hidden="1" x14ac:dyDescent="0.2">
      <c r="B25" s="2114"/>
      <c r="C25" s="1596"/>
      <c r="D25" s="1596" t="e">
        <f t="shared" si="0"/>
        <v>#N/A</v>
      </c>
      <c r="E25" s="1596" t="e">
        <f t="shared" si="2"/>
        <v>#N/A</v>
      </c>
      <c r="F25" s="1615" t="e">
        <f t="shared" si="1"/>
        <v>#N/A</v>
      </c>
      <c r="G25" s="2100">
        <v>4</v>
      </c>
      <c r="H25" s="2101" cm="1">
        <f t="array" ref="H25">SUM(IF(ISNUMBER(D25:D31),D25:D31,0))+H18</f>
        <v>0</v>
      </c>
      <c r="I25" s="2101" cm="1">
        <f t="array" ref="I25">SUM(IF(ISNUMBER(F25:F31),F25:F31,0))+I18</f>
        <v>0</v>
      </c>
      <c r="J25" s="2102"/>
    </row>
    <row r="26" spans="2:10" hidden="1" x14ac:dyDescent="0.2">
      <c r="B26" s="2114"/>
      <c r="C26" s="1596"/>
      <c r="D26" s="1596" t="e">
        <f t="shared" si="0"/>
        <v>#N/A</v>
      </c>
      <c r="E26" s="1596" t="e">
        <f t="shared" si="2"/>
        <v>#N/A</v>
      </c>
      <c r="F26" s="1615" t="e">
        <f t="shared" si="1"/>
        <v>#N/A</v>
      </c>
      <c r="G26" s="2100"/>
      <c r="H26" s="2101"/>
      <c r="I26" s="2101"/>
      <c r="J26" s="2102"/>
    </row>
    <row r="27" spans="2:10" hidden="1" x14ac:dyDescent="0.2">
      <c r="B27" s="2114"/>
      <c r="C27" s="1596"/>
      <c r="D27" s="1596" t="e">
        <f t="shared" si="0"/>
        <v>#N/A</v>
      </c>
      <c r="E27" s="1596" t="e">
        <f t="shared" si="2"/>
        <v>#N/A</v>
      </c>
      <c r="F27" s="1615" t="e">
        <f t="shared" si="1"/>
        <v>#N/A</v>
      </c>
      <c r="G27" s="2100"/>
      <c r="H27" s="2101"/>
      <c r="I27" s="2101"/>
      <c r="J27" s="2102"/>
    </row>
    <row r="28" spans="2:10" hidden="1" x14ac:dyDescent="0.2">
      <c r="B28" s="2114"/>
      <c r="C28" s="1596"/>
      <c r="D28" s="1596" t="e">
        <f t="shared" si="0"/>
        <v>#N/A</v>
      </c>
      <c r="E28" s="1596" t="e">
        <f t="shared" si="2"/>
        <v>#N/A</v>
      </c>
      <c r="F28" s="1615" t="e">
        <f t="shared" si="1"/>
        <v>#N/A</v>
      </c>
      <c r="G28" s="2100"/>
      <c r="H28" s="2101"/>
      <c r="I28" s="2101"/>
      <c r="J28" s="2102"/>
    </row>
    <row r="29" spans="2:10" hidden="1" x14ac:dyDescent="0.2">
      <c r="B29" s="2114"/>
      <c r="C29" s="1596"/>
      <c r="D29" s="1596" t="e">
        <f t="shared" si="0"/>
        <v>#N/A</v>
      </c>
      <c r="E29" s="1596" t="e">
        <f t="shared" si="2"/>
        <v>#N/A</v>
      </c>
      <c r="F29" s="1615" t="e">
        <f t="shared" si="1"/>
        <v>#N/A</v>
      </c>
      <c r="G29" s="2100"/>
      <c r="H29" s="2101"/>
      <c r="I29" s="2101"/>
      <c r="J29" s="2102"/>
    </row>
    <row r="30" spans="2:10" hidden="1" x14ac:dyDescent="0.2">
      <c r="B30" s="2114"/>
      <c r="C30" s="1596"/>
      <c r="D30" s="1596" t="e">
        <f t="shared" si="0"/>
        <v>#N/A</v>
      </c>
      <c r="E30" s="1596" t="e">
        <f t="shared" si="2"/>
        <v>#N/A</v>
      </c>
      <c r="F30" s="1615" t="e">
        <f t="shared" si="1"/>
        <v>#N/A</v>
      </c>
      <c r="G30" s="2100"/>
      <c r="H30" s="2101"/>
      <c r="I30" s="2101"/>
      <c r="J30" s="2102"/>
    </row>
    <row r="31" spans="2:10" hidden="1" x14ac:dyDescent="0.2">
      <c r="B31" s="2114"/>
      <c r="C31" s="1596"/>
      <c r="D31" s="1596" t="e">
        <f t="shared" si="0"/>
        <v>#N/A</v>
      </c>
      <c r="E31" s="1596" t="e">
        <f t="shared" si="2"/>
        <v>#N/A</v>
      </c>
      <c r="F31" s="1615" t="e">
        <f t="shared" si="1"/>
        <v>#N/A</v>
      </c>
      <c r="G31" s="2100"/>
      <c r="H31" s="2100"/>
      <c r="I31" s="2100"/>
      <c r="J31" s="2102"/>
    </row>
    <row r="32" spans="2:10" hidden="1" x14ac:dyDescent="0.2">
      <c r="B32" s="2114"/>
      <c r="C32" s="1596"/>
      <c r="D32" s="1596" t="e">
        <f t="shared" si="0"/>
        <v>#N/A</v>
      </c>
      <c r="E32" s="1596" t="e">
        <f t="shared" si="2"/>
        <v>#N/A</v>
      </c>
      <c r="F32" s="1615" t="e">
        <f t="shared" si="1"/>
        <v>#N/A</v>
      </c>
      <c r="G32" s="2100">
        <v>5</v>
      </c>
      <c r="H32" s="2101" cm="1">
        <f t="array" ref="H32">SUM(IF(ISNUMBER(D32:D38),D32:D38,0))+H25</f>
        <v>0</v>
      </c>
      <c r="I32" s="2101" cm="1">
        <f t="array" ref="I32">SUM(IF(ISNUMBER(F32:F38),F32:F38,0))+I25</f>
        <v>0</v>
      </c>
      <c r="J32" s="2102"/>
    </row>
    <row r="33" spans="2:10" hidden="1" x14ac:dyDescent="0.2">
      <c r="B33" s="2114"/>
      <c r="C33" s="1596"/>
      <c r="D33" s="1596" t="e">
        <f t="shared" si="0"/>
        <v>#N/A</v>
      </c>
      <c r="E33" s="1596" t="e">
        <f t="shared" si="2"/>
        <v>#N/A</v>
      </c>
      <c r="F33" s="1615" t="e">
        <f t="shared" si="1"/>
        <v>#N/A</v>
      </c>
      <c r="G33" s="2100"/>
      <c r="H33" s="2101"/>
      <c r="I33" s="2101"/>
      <c r="J33" s="2102"/>
    </row>
    <row r="34" spans="2:10" hidden="1" x14ac:dyDescent="0.2">
      <c r="B34" s="2114"/>
      <c r="C34" s="1596"/>
      <c r="D34" s="1596" t="e">
        <f t="shared" si="0"/>
        <v>#N/A</v>
      </c>
      <c r="E34" s="1596" t="e">
        <f t="shared" si="2"/>
        <v>#N/A</v>
      </c>
      <c r="F34" s="1615" t="e">
        <f t="shared" si="1"/>
        <v>#N/A</v>
      </c>
      <c r="G34" s="2100"/>
      <c r="H34" s="2101"/>
      <c r="I34" s="2101"/>
      <c r="J34" s="2102"/>
    </row>
    <row r="35" spans="2:10" hidden="1" x14ac:dyDescent="0.2">
      <c r="B35" s="2114"/>
      <c r="C35" s="1596"/>
      <c r="D35" s="1596" t="e">
        <f t="shared" si="0"/>
        <v>#N/A</v>
      </c>
      <c r="E35" s="1596" t="e">
        <f t="shared" si="2"/>
        <v>#N/A</v>
      </c>
      <c r="F35" s="1615" t="e">
        <f t="shared" si="1"/>
        <v>#N/A</v>
      </c>
      <c r="G35" s="2100"/>
      <c r="H35" s="2101"/>
      <c r="I35" s="2101"/>
      <c r="J35" s="2102"/>
    </row>
    <row r="36" spans="2:10" hidden="1" x14ac:dyDescent="0.2">
      <c r="B36" s="2114"/>
      <c r="C36" s="1596"/>
      <c r="D36" s="1596" t="e">
        <f t="shared" ref="D36:D67" si="3">VLOOKUP($C36,LegendSG1CKTrows_Skid,21)</f>
        <v>#N/A</v>
      </c>
      <c r="E36" s="1596" t="e">
        <f t="shared" ref="E36:E67" si="4">VLOOKUP($C36,LegendSG1CKTrows_Skid,14)</f>
        <v>#N/A</v>
      </c>
      <c r="F36" s="1615" t="e">
        <f t="shared" ref="F36:F67" si="5">IF($A$4=1,VLOOKUP($C36,LegendSG1CKTrows_Skid,23),0.33*D36)</f>
        <v>#N/A</v>
      </c>
      <c r="G36" s="2100"/>
      <c r="H36" s="2101"/>
      <c r="I36" s="2101"/>
      <c r="J36" s="2102"/>
    </row>
    <row r="37" spans="2:10" hidden="1" x14ac:dyDescent="0.2">
      <c r="B37" s="2114"/>
      <c r="C37" s="1596"/>
      <c r="D37" s="1596" t="e">
        <f t="shared" si="3"/>
        <v>#N/A</v>
      </c>
      <c r="E37" s="1596" t="e">
        <f t="shared" si="4"/>
        <v>#N/A</v>
      </c>
      <c r="F37" s="1615" t="e">
        <f t="shared" si="5"/>
        <v>#N/A</v>
      </c>
      <c r="G37" s="2100"/>
      <c r="H37" s="2101"/>
      <c r="I37" s="2101"/>
      <c r="J37" s="2102"/>
    </row>
    <row r="38" spans="2:10" hidden="1" x14ac:dyDescent="0.2">
      <c r="B38" s="2114"/>
      <c r="C38" s="1596"/>
      <c r="D38" s="1596" t="e">
        <f t="shared" si="3"/>
        <v>#N/A</v>
      </c>
      <c r="E38" s="1596" t="e">
        <f t="shared" si="4"/>
        <v>#N/A</v>
      </c>
      <c r="F38" s="1615" t="e">
        <f t="shared" si="5"/>
        <v>#N/A</v>
      </c>
      <c r="G38" s="2100"/>
      <c r="H38" s="2100"/>
      <c r="I38" s="2100"/>
      <c r="J38" s="2102"/>
    </row>
    <row r="39" spans="2:10" hidden="1" x14ac:dyDescent="0.2">
      <c r="B39" s="2114"/>
      <c r="C39" s="1596"/>
      <c r="D39" s="1596" t="e">
        <f t="shared" si="3"/>
        <v>#N/A</v>
      </c>
      <c r="E39" s="1596" t="e">
        <f t="shared" si="4"/>
        <v>#N/A</v>
      </c>
      <c r="F39" s="1615" t="e">
        <f t="shared" si="5"/>
        <v>#N/A</v>
      </c>
      <c r="G39" s="2100">
        <v>6</v>
      </c>
      <c r="H39" s="2101" cm="1">
        <f t="array" ref="H39">SUM(IF(ISNUMBER(D39:D45),D39:D45,0))+H32</f>
        <v>0</v>
      </c>
      <c r="I39" s="2101" cm="1">
        <f t="array" ref="I39">SUM(IF(ISNUMBER(F39:F45),F39:F45,0))+I32</f>
        <v>0</v>
      </c>
      <c r="J39" s="2102"/>
    </row>
    <row r="40" spans="2:10" hidden="1" x14ac:dyDescent="0.2">
      <c r="B40" s="2114"/>
      <c r="C40" s="1596"/>
      <c r="D40" s="1596" t="e">
        <f t="shared" si="3"/>
        <v>#N/A</v>
      </c>
      <c r="E40" s="1596" t="e">
        <f t="shared" si="4"/>
        <v>#N/A</v>
      </c>
      <c r="F40" s="1615" t="e">
        <f t="shared" si="5"/>
        <v>#N/A</v>
      </c>
      <c r="G40" s="2100"/>
      <c r="H40" s="2101"/>
      <c r="I40" s="2101"/>
      <c r="J40" s="2102"/>
    </row>
    <row r="41" spans="2:10" hidden="1" x14ac:dyDescent="0.2">
      <c r="B41" s="2114"/>
      <c r="C41" s="1596"/>
      <c r="D41" s="1596" t="e">
        <f t="shared" si="3"/>
        <v>#N/A</v>
      </c>
      <c r="E41" s="1596" t="e">
        <f t="shared" si="4"/>
        <v>#N/A</v>
      </c>
      <c r="F41" s="1615" t="e">
        <f t="shared" si="5"/>
        <v>#N/A</v>
      </c>
      <c r="G41" s="2100"/>
      <c r="H41" s="2101"/>
      <c r="I41" s="2101"/>
      <c r="J41" s="2102"/>
    </row>
    <row r="42" spans="2:10" hidden="1" x14ac:dyDescent="0.2">
      <c r="B42" s="2114"/>
      <c r="C42" s="1596"/>
      <c r="D42" s="1596" t="e">
        <f t="shared" si="3"/>
        <v>#N/A</v>
      </c>
      <c r="E42" s="1596" t="e">
        <f t="shared" si="4"/>
        <v>#N/A</v>
      </c>
      <c r="F42" s="1615" t="e">
        <f t="shared" si="5"/>
        <v>#N/A</v>
      </c>
      <c r="G42" s="2100"/>
      <c r="H42" s="2101"/>
      <c r="I42" s="2101"/>
      <c r="J42" s="2102"/>
    </row>
    <row r="43" spans="2:10" hidden="1" x14ac:dyDescent="0.2">
      <c r="B43" s="2114"/>
      <c r="C43" s="1596"/>
      <c r="D43" s="1596" t="e">
        <f t="shared" si="3"/>
        <v>#N/A</v>
      </c>
      <c r="E43" s="1596" t="e">
        <f t="shared" si="4"/>
        <v>#N/A</v>
      </c>
      <c r="F43" s="1615" t="e">
        <f t="shared" si="5"/>
        <v>#N/A</v>
      </c>
      <c r="G43" s="2100"/>
      <c r="H43" s="2101"/>
      <c r="I43" s="2101"/>
      <c r="J43" s="2102"/>
    </row>
    <row r="44" spans="2:10" hidden="1" x14ac:dyDescent="0.2">
      <c r="B44" s="2114"/>
      <c r="C44" s="1596"/>
      <c r="D44" s="1596" t="e">
        <f t="shared" si="3"/>
        <v>#N/A</v>
      </c>
      <c r="E44" s="1596" t="e">
        <f t="shared" si="4"/>
        <v>#N/A</v>
      </c>
      <c r="F44" s="1615" t="e">
        <f t="shared" si="5"/>
        <v>#N/A</v>
      </c>
      <c r="G44" s="2100"/>
      <c r="H44" s="2101"/>
      <c r="I44" s="2101"/>
      <c r="J44" s="2102"/>
    </row>
    <row r="45" spans="2:10" hidden="1" x14ac:dyDescent="0.2">
      <c r="B45" s="2114"/>
      <c r="C45" s="1596"/>
      <c r="D45" s="1596" t="e">
        <f t="shared" si="3"/>
        <v>#N/A</v>
      </c>
      <c r="E45" s="1596" t="e">
        <f t="shared" si="4"/>
        <v>#N/A</v>
      </c>
      <c r="F45" s="1615" t="e">
        <f t="shared" si="5"/>
        <v>#N/A</v>
      </c>
      <c r="G45" s="2100"/>
      <c r="H45" s="2100"/>
      <c r="I45" s="2100"/>
      <c r="J45" s="2102"/>
    </row>
    <row r="46" spans="2:10" hidden="1" x14ac:dyDescent="0.2">
      <c r="B46" s="2114"/>
      <c r="C46" s="1596"/>
      <c r="D46" s="1596" t="e">
        <f t="shared" si="3"/>
        <v>#N/A</v>
      </c>
      <c r="E46" s="1596" t="e">
        <f t="shared" si="4"/>
        <v>#N/A</v>
      </c>
      <c r="F46" s="1615" t="e">
        <f t="shared" si="5"/>
        <v>#N/A</v>
      </c>
      <c r="G46" s="2100">
        <v>7</v>
      </c>
      <c r="H46" s="2101" cm="1">
        <f t="array" ref="H46">SUM(IF(ISNUMBER(D46:D52),D46:D52,0))+H39</f>
        <v>0</v>
      </c>
      <c r="I46" s="2101" cm="1">
        <f t="array" ref="I46">SUM(IF(ISNUMBER(F46:F52),F46:F52,0))+I39</f>
        <v>0</v>
      </c>
      <c r="J46" s="2102"/>
    </row>
    <row r="47" spans="2:10" hidden="1" x14ac:dyDescent="0.2">
      <c r="B47" s="2114"/>
      <c r="C47" s="1596"/>
      <c r="D47" s="1596" t="e">
        <f t="shared" si="3"/>
        <v>#N/A</v>
      </c>
      <c r="E47" s="1596" t="e">
        <f t="shared" si="4"/>
        <v>#N/A</v>
      </c>
      <c r="F47" s="1615" t="e">
        <f t="shared" si="5"/>
        <v>#N/A</v>
      </c>
      <c r="G47" s="2100"/>
      <c r="H47" s="2101"/>
      <c r="I47" s="2101"/>
      <c r="J47" s="2102"/>
    </row>
    <row r="48" spans="2:10" hidden="1" x14ac:dyDescent="0.2">
      <c r="B48" s="2114"/>
      <c r="C48" s="1596"/>
      <c r="D48" s="1596" t="e">
        <f t="shared" si="3"/>
        <v>#N/A</v>
      </c>
      <c r="E48" s="1596" t="e">
        <f t="shared" si="4"/>
        <v>#N/A</v>
      </c>
      <c r="F48" s="1615" t="e">
        <f t="shared" si="5"/>
        <v>#N/A</v>
      </c>
      <c r="G48" s="2100"/>
      <c r="H48" s="2101"/>
      <c r="I48" s="2101"/>
      <c r="J48" s="2102"/>
    </row>
    <row r="49" spans="2:10" hidden="1" x14ac:dyDescent="0.2">
      <c r="B49" s="2114"/>
      <c r="C49" s="1596"/>
      <c r="D49" s="1596" t="e">
        <f t="shared" si="3"/>
        <v>#N/A</v>
      </c>
      <c r="E49" s="1596" t="e">
        <f t="shared" si="4"/>
        <v>#N/A</v>
      </c>
      <c r="F49" s="1615" t="e">
        <f t="shared" si="5"/>
        <v>#N/A</v>
      </c>
      <c r="G49" s="2100"/>
      <c r="H49" s="2101"/>
      <c r="I49" s="2101"/>
      <c r="J49" s="2102"/>
    </row>
    <row r="50" spans="2:10" hidden="1" x14ac:dyDescent="0.2">
      <c r="B50" s="2114"/>
      <c r="C50" s="1596"/>
      <c r="D50" s="1596" t="e">
        <f t="shared" si="3"/>
        <v>#N/A</v>
      </c>
      <c r="E50" s="1596" t="e">
        <f t="shared" si="4"/>
        <v>#N/A</v>
      </c>
      <c r="F50" s="1615" t="e">
        <f t="shared" si="5"/>
        <v>#N/A</v>
      </c>
      <c r="G50" s="2100"/>
      <c r="H50" s="2101"/>
      <c r="I50" s="2101"/>
      <c r="J50" s="2102"/>
    </row>
    <row r="51" spans="2:10" hidden="1" x14ac:dyDescent="0.2">
      <c r="B51" s="2114"/>
      <c r="C51" s="1596"/>
      <c r="D51" s="1596" t="e">
        <f t="shared" si="3"/>
        <v>#N/A</v>
      </c>
      <c r="E51" s="1596" t="e">
        <f t="shared" si="4"/>
        <v>#N/A</v>
      </c>
      <c r="F51" s="1615" t="e">
        <f t="shared" si="5"/>
        <v>#N/A</v>
      </c>
      <c r="G51" s="2100"/>
      <c r="H51" s="2101"/>
      <c r="I51" s="2101"/>
      <c r="J51" s="2102"/>
    </row>
    <row r="52" spans="2:10" hidden="1" x14ac:dyDescent="0.2">
      <c r="B52" s="2114"/>
      <c r="C52" s="1596"/>
      <c r="D52" s="1596" t="e">
        <f t="shared" si="3"/>
        <v>#N/A</v>
      </c>
      <c r="E52" s="1596" t="e">
        <f t="shared" si="4"/>
        <v>#N/A</v>
      </c>
      <c r="F52" s="1615" t="e">
        <f t="shared" si="5"/>
        <v>#N/A</v>
      </c>
      <c r="G52" s="2100"/>
      <c r="H52" s="2100"/>
      <c r="I52" s="2100"/>
      <c r="J52" s="2102"/>
    </row>
    <row r="53" spans="2:10" hidden="1" x14ac:dyDescent="0.2">
      <c r="B53" s="2114"/>
      <c r="C53" s="1596"/>
      <c r="D53" s="1596" t="e">
        <f t="shared" si="3"/>
        <v>#N/A</v>
      </c>
      <c r="E53" s="1596" t="e">
        <f t="shared" si="4"/>
        <v>#N/A</v>
      </c>
      <c r="F53" s="1615" t="e">
        <f t="shared" si="5"/>
        <v>#N/A</v>
      </c>
      <c r="G53" s="2100">
        <v>8</v>
      </c>
      <c r="H53" s="2101" cm="1">
        <f t="array" ref="H53">SUM(IF(ISNUMBER(D53:D59),D53:D59,0))+H46</f>
        <v>0</v>
      </c>
      <c r="I53" s="2101" cm="1">
        <f t="array" ref="I53">SUM(IF(ISNUMBER(F53:F59),F53:F59,0))+I46</f>
        <v>0</v>
      </c>
      <c r="J53" s="2102"/>
    </row>
    <row r="54" spans="2:10" hidden="1" x14ac:dyDescent="0.2">
      <c r="B54" s="2114"/>
      <c r="C54" s="1596"/>
      <c r="D54" s="1596" t="e">
        <f t="shared" si="3"/>
        <v>#N/A</v>
      </c>
      <c r="E54" s="1596" t="e">
        <f t="shared" si="4"/>
        <v>#N/A</v>
      </c>
      <c r="F54" s="1615" t="e">
        <f t="shared" si="5"/>
        <v>#N/A</v>
      </c>
      <c r="G54" s="2100"/>
      <c r="H54" s="2101"/>
      <c r="I54" s="2101"/>
      <c r="J54" s="2102"/>
    </row>
    <row r="55" spans="2:10" hidden="1" x14ac:dyDescent="0.2">
      <c r="B55" s="2114"/>
      <c r="C55" s="1596"/>
      <c r="D55" s="1596" t="e">
        <f t="shared" si="3"/>
        <v>#N/A</v>
      </c>
      <c r="E55" s="1596" t="e">
        <f t="shared" si="4"/>
        <v>#N/A</v>
      </c>
      <c r="F55" s="1615" t="e">
        <f t="shared" si="5"/>
        <v>#N/A</v>
      </c>
      <c r="G55" s="2100"/>
      <c r="H55" s="2101"/>
      <c r="I55" s="2101"/>
      <c r="J55" s="2102"/>
    </row>
    <row r="56" spans="2:10" hidden="1" x14ac:dyDescent="0.2">
      <c r="B56" s="2114"/>
      <c r="C56" s="1596"/>
      <c r="D56" s="1596" t="e">
        <f t="shared" si="3"/>
        <v>#N/A</v>
      </c>
      <c r="E56" s="1596" t="e">
        <f t="shared" si="4"/>
        <v>#N/A</v>
      </c>
      <c r="F56" s="1615" t="e">
        <f t="shared" si="5"/>
        <v>#N/A</v>
      </c>
      <c r="G56" s="2100"/>
      <c r="H56" s="2101"/>
      <c r="I56" s="2101"/>
      <c r="J56" s="2102"/>
    </row>
    <row r="57" spans="2:10" hidden="1" x14ac:dyDescent="0.2">
      <c r="B57" s="2114"/>
      <c r="C57" s="1596"/>
      <c r="D57" s="1596" t="e">
        <f t="shared" si="3"/>
        <v>#N/A</v>
      </c>
      <c r="E57" s="1596" t="e">
        <f t="shared" si="4"/>
        <v>#N/A</v>
      </c>
      <c r="F57" s="1615" t="e">
        <f t="shared" si="5"/>
        <v>#N/A</v>
      </c>
      <c r="G57" s="2100"/>
      <c r="H57" s="2101"/>
      <c r="I57" s="2101"/>
      <c r="J57" s="2102"/>
    </row>
    <row r="58" spans="2:10" hidden="1" x14ac:dyDescent="0.2">
      <c r="B58" s="2114"/>
      <c r="C58" s="1596"/>
      <c r="D58" s="1596" t="e">
        <f t="shared" si="3"/>
        <v>#N/A</v>
      </c>
      <c r="E58" s="1596" t="e">
        <f t="shared" si="4"/>
        <v>#N/A</v>
      </c>
      <c r="F58" s="1615" t="e">
        <f t="shared" si="5"/>
        <v>#N/A</v>
      </c>
      <c r="G58" s="2100"/>
      <c r="H58" s="2101"/>
      <c r="I58" s="2101"/>
      <c r="J58" s="2102"/>
    </row>
    <row r="59" spans="2:10" hidden="1" x14ac:dyDescent="0.2">
      <c r="B59" s="2114"/>
      <c r="C59" s="1596"/>
      <c r="D59" s="1596" t="e">
        <f t="shared" si="3"/>
        <v>#N/A</v>
      </c>
      <c r="E59" s="1596" t="e">
        <f t="shared" si="4"/>
        <v>#N/A</v>
      </c>
      <c r="F59" s="1615" t="e">
        <f t="shared" si="5"/>
        <v>#N/A</v>
      </c>
      <c r="G59" s="2100"/>
      <c r="H59" s="2100"/>
      <c r="I59" s="2100"/>
      <c r="J59" s="2102"/>
    </row>
    <row r="60" spans="2:10" hidden="1" x14ac:dyDescent="0.2">
      <c r="B60" s="2114"/>
      <c r="C60" s="1596"/>
      <c r="D60" s="1596" t="e">
        <f t="shared" si="3"/>
        <v>#N/A</v>
      </c>
      <c r="E60" s="1596" t="e">
        <f t="shared" si="4"/>
        <v>#N/A</v>
      </c>
      <c r="F60" s="1615" t="e">
        <f t="shared" si="5"/>
        <v>#N/A</v>
      </c>
      <c r="G60" s="2100">
        <v>9</v>
      </c>
      <c r="H60" s="2101" cm="1">
        <f t="array" ref="H60">SUM(IF(ISNUMBER(D60:D66),D60:D66,0))+H53</f>
        <v>0</v>
      </c>
      <c r="I60" s="2101" cm="1">
        <f t="array" ref="I60">SUM(IF(ISNUMBER(F60:F66),F60:F66,0))+I53</f>
        <v>0</v>
      </c>
      <c r="J60" s="2102"/>
    </row>
    <row r="61" spans="2:10" hidden="1" x14ac:dyDescent="0.2">
      <c r="B61" s="2114"/>
      <c r="C61" s="1596"/>
      <c r="D61" s="1596" t="e">
        <f t="shared" si="3"/>
        <v>#N/A</v>
      </c>
      <c r="E61" s="1596" t="e">
        <f t="shared" si="4"/>
        <v>#N/A</v>
      </c>
      <c r="F61" s="1615" t="e">
        <f t="shared" si="5"/>
        <v>#N/A</v>
      </c>
      <c r="G61" s="2100"/>
      <c r="H61" s="2101"/>
      <c r="I61" s="2101"/>
      <c r="J61" s="2102"/>
    </row>
    <row r="62" spans="2:10" hidden="1" x14ac:dyDescent="0.2">
      <c r="B62" s="2114"/>
      <c r="C62" s="1596"/>
      <c r="D62" s="1596" t="e">
        <f t="shared" si="3"/>
        <v>#N/A</v>
      </c>
      <c r="E62" s="1596" t="e">
        <f t="shared" si="4"/>
        <v>#N/A</v>
      </c>
      <c r="F62" s="1615" t="e">
        <f t="shared" si="5"/>
        <v>#N/A</v>
      </c>
      <c r="G62" s="2100"/>
      <c r="H62" s="2101"/>
      <c r="I62" s="2101"/>
      <c r="J62" s="2102"/>
    </row>
    <row r="63" spans="2:10" hidden="1" x14ac:dyDescent="0.2">
      <c r="B63" s="2114"/>
      <c r="C63" s="1596"/>
      <c r="D63" s="1596" t="e">
        <f t="shared" si="3"/>
        <v>#N/A</v>
      </c>
      <c r="E63" s="1596" t="e">
        <f t="shared" si="4"/>
        <v>#N/A</v>
      </c>
      <c r="F63" s="1615" t="e">
        <f t="shared" si="5"/>
        <v>#N/A</v>
      </c>
      <c r="G63" s="2100"/>
      <c r="H63" s="2101"/>
      <c r="I63" s="2101"/>
      <c r="J63" s="2102"/>
    </row>
    <row r="64" spans="2:10" hidden="1" x14ac:dyDescent="0.2">
      <c r="B64" s="2114"/>
      <c r="C64" s="1596"/>
      <c r="D64" s="1596" t="e">
        <f t="shared" si="3"/>
        <v>#N/A</v>
      </c>
      <c r="E64" s="1596" t="e">
        <f t="shared" si="4"/>
        <v>#N/A</v>
      </c>
      <c r="F64" s="1615" t="e">
        <f t="shared" si="5"/>
        <v>#N/A</v>
      </c>
      <c r="G64" s="2100"/>
      <c r="H64" s="2101"/>
      <c r="I64" s="2101"/>
      <c r="J64" s="2102"/>
    </row>
    <row r="65" spans="2:10" hidden="1" x14ac:dyDescent="0.2">
      <c r="B65" s="2114"/>
      <c r="C65" s="1596"/>
      <c r="D65" s="1596" t="e">
        <f t="shared" si="3"/>
        <v>#N/A</v>
      </c>
      <c r="E65" s="1596" t="e">
        <f t="shared" si="4"/>
        <v>#N/A</v>
      </c>
      <c r="F65" s="1615" t="e">
        <f t="shared" si="5"/>
        <v>#N/A</v>
      </c>
      <c r="G65" s="2100"/>
      <c r="H65" s="2101"/>
      <c r="I65" s="2101"/>
      <c r="J65" s="2102"/>
    </row>
    <row r="66" spans="2:10" hidden="1" x14ac:dyDescent="0.2">
      <c r="B66" s="2114"/>
      <c r="C66" s="1596"/>
      <c r="D66" s="1596" t="e">
        <f t="shared" si="3"/>
        <v>#N/A</v>
      </c>
      <c r="E66" s="1596" t="e">
        <f t="shared" si="4"/>
        <v>#N/A</v>
      </c>
      <c r="F66" s="1615" t="e">
        <f t="shared" si="5"/>
        <v>#N/A</v>
      </c>
      <c r="G66" s="2100"/>
      <c r="H66" s="2100"/>
      <c r="I66" s="2100"/>
      <c r="J66" s="2102"/>
    </row>
    <row r="67" spans="2:10" hidden="1" x14ac:dyDescent="0.2">
      <c r="B67" s="2114"/>
      <c r="C67" s="1596"/>
      <c r="D67" s="1596" t="e">
        <f t="shared" si="3"/>
        <v>#N/A</v>
      </c>
      <c r="E67" s="1596" t="e">
        <f t="shared" si="4"/>
        <v>#N/A</v>
      </c>
      <c r="F67" s="1615" t="e">
        <f t="shared" si="5"/>
        <v>#N/A</v>
      </c>
      <c r="G67" s="2100">
        <v>10</v>
      </c>
      <c r="H67" s="2101" cm="1">
        <f t="array" ref="H67">SUM(IF(ISNUMBER(D67:D73),D67:D73,0))+H60</f>
        <v>0</v>
      </c>
      <c r="I67" s="2101" cm="1">
        <f t="array" ref="I67">SUM(IF(ISNUMBER(F67:F73),F67:F73,0))+I60</f>
        <v>0</v>
      </c>
      <c r="J67" s="2102"/>
    </row>
    <row r="68" spans="2:10" hidden="1" x14ac:dyDescent="0.2">
      <c r="B68" s="2114"/>
      <c r="C68" s="1596"/>
      <c r="D68" s="1596" t="e">
        <f t="shared" ref="D68:D87" si="6">VLOOKUP($C68,LegendSG1CKTrows_Skid,21)</f>
        <v>#N/A</v>
      </c>
      <c r="E68" s="1596" t="e">
        <f t="shared" ref="E68:E87" si="7">VLOOKUP($C68,LegendSG1CKTrows_Skid,14)</f>
        <v>#N/A</v>
      </c>
      <c r="F68" s="1615" t="e">
        <f t="shared" ref="F68:F87" si="8">IF($A$4=1,VLOOKUP($C68,LegendSG1CKTrows_Skid,23),0.33*D68)</f>
        <v>#N/A</v>
      </c>
      <c r="G68" s="2100"/>
      <c r="H68" s="2101"/>
      <c r="I68" s="2101"/>
      <c r="J68" s="2102"/>
    </row>
    <row r="69" spans="2:10" hidden="1" x14ac:dyDescent="0.2">
      <c r="B69" s="2114"/>
      <c r="C69" s="1596"/>
      <c r="D69" s="1596" t="e">
        <f t="shared" si="6"/>
        <v>#N/A</v>
      </c>
      <c r="E69" s="1596" t="e">
        <f t="shared" si="7"/>
        <v>#N/A</v>
      </c>
      <c r="F69" s="1615" t="e">
        <f t="shared" si="8"/>
        <v>#N/A</v>
      </c>
      <c r="G69" s="2100"/>
      <c r="H69" s="2101"/>
      <c r="I69" s="2101"/>
      <c r="J69" s="2102"/>
    </row>
    <row r="70" spans="2:10" hidden="1" x14ac:dyDescent="0.2">
      <c r="B70" s="2114"/>
      <c r="C70" s="1596"/>
      <c r="D70" s="1596" t="e">
        <f t="shared" si="6"/>
        <v>#N/A</v>
      </c>
      <c r="E70" s="1596" t="e">
        <f t="shared" si="7"/>
        <v>#N/A</v>
      </c>
      <c r="F70" s="1615" t="e">
        <f t="shared" si="8"/>
        <v>#N/A</v>
      </c>
      <c r="G70" s="2100"/>
      <c r="H70" s="2101"/>
      <c r="I70" s="2101"/>
      <c r="J70" s="2102"/>
    </row>
    <row r="71" spans="2:10" hidden="1" x14ac:dyDescent="0.2">
      <c r="B71" s="2114"/>
      <c r="C71" s="1596"/>
      <c r="D71" s="1596" t="e">
        <f t="shared" si="6"/>
        <v>#N/A</v>
      </c>
      <c r="E71" s="1596" t="e">
        <f t="shared" si="7"/>
        <v>#N/A</v>
      </c>
      <c r="F71" s="1615" t="e">
        <f t="shared" si="8"/>
        <v>#N/A</v>
      </c>
      <c r="G71" s="2100"/>
      <c r="H71" s="2101"/>
      <c r="I71" s="2101"/>
      <c r="J71" s="2102"/>
    </row>
    <row r="72" spans="2:10" hidden="1" x14ac:dyDescent="0.2">
      <c r="B72" s="2114"/>
      <c r="C72" s="1596"/>
      <c r="D72" s="1596" t="e">
        <f t="shared" si="6"/>
        <v>#N/A</v>
      </c>
      <c r="E72" s="1596" t="e">
        <f t="shared" si="7"/>
        <v>#N/A</v>
      </c>
      <c r="F72" s="1615" t="e">
        <f t="shared" si="8"/>
        <v>#N/A</v>
      </c>
      <c r="G72" s="2100"/>
      <c r="H72" s="2101"/>
      <c r="I72" s="2101"/>
      <c r="J72" s="2102"/>
    </row>
    <row r="73" spans="2:10" hidden="1" x14ac:dyDescent="0.2">
      <c r="B73" s="2114"/>
      <c r="C73" s="1596"/>
      <c r="D73" s="1596" t="e">
        <f t="shared" si="6"/>
        <v>#N/A</v>
      </c>
      <c r="E73" s="1596" t="e">
        <f t="shared" si="7"/>
        <v>#N/A</v>
      </c>
      <c r="F73" s="1615" t="e">
        <f t="shared" si="8"/>
        <v>#N/A</v>
      </c>
      <c r="G73" s="2100"/>
      <c r="H73" s="2100"/>
      <c r="I73" s="2100"/>
      <c r="J73" s="2102"/>
    </row>
    <row r="74" spans="2:10" hidden="1" x14ac:dyDescent="0.2">
      <c r="B74" s="2114"/>
      <c r="C74" s="1596"/>
      <c r="D74" s="1596" t="e">
        <f t="shared" si="6"/>
        <v>#N/A</v>
      </c>
      <c r="E74" s="1596" t="e">
        <f t="shared" si="7"/>
        <v>#N/A</v>
      </c>
      <c r="F74" s="1615" t="e">
        <f t="shared" si="8"/>
        <v>#N/A</v>
      </c>
      <c r="G74" s="2100">
        <v>11</v>
      </c>
      <c r="H74" s="2101" cm="1">
        <f t="array" ref="H74">SUM(IF(ISNUMBER(D74:D80),D74:D80,0))+H67</f>
        <v>0</v>
      </c>
      <c r="I74" s="2101" cm="1">
        <f t="array" ref="I74">SUM(IF(ISNUMBER(F74:F80),F74:F80,0))+I67</f>
        <v>0</v>
      </c>
      <c r="J74" s="2102"/>
    </row>
    <row r="75" spans="2:10" hidden="1" x14ac:dyDescent="0.2">
      <c r="B75" s="2114"/>
      <c r="C75" s="1596"/>
      <c r="D75" s="1596" t="e">
        <f t="shared" si="6"/>
        <v>#N/A</v>
      </c>
      <c r="E75" s="1596" t="e">
        <f t="shared" si="7"/>
        <v>#N/A</v>
      </c>
      <c r="F75" s="1615" t="e">
        <f t="shared" si="8"/>
        <v>#N/A</v>
      </c>
      <c r="G75" s="2100"/>
      <c r="H75" s="2101"/>
      <c r="I75" s="2101"/>
      <c r="J75" s="2102"/>
    </row>
    <row r="76" spans="2:10" hidden="1" x14ac:dyDescent="0.2">
      <c r="B76" s="2114"/>
      <c r="C76" s="1596"/>
      <c r="D76" s="1596" t="e">
        <f t="shared" si="6"/>
        <v>#N/A</v>
      </c>
      <c r="E76" s="1596" t="e">
        <f t="shared" si="7"/>
        <v>#N/A</v>
      </c>
      <c r="F76" s="1615" t="e">
        <f t="shared" si="8"/>
        <v>#N/A</v>
      </c>
      <c r="G76" s="2100"/>
      <c r="H76" s="2101"/>
      <c r="I76" s="2101"/>
      <c r="J76" s="2102"/>
    </row>
    <row r="77" spans="2:10" hidden="1" x14ac:dyDescent="0.2">
      <c r="B77" s="2114"/>
      <c r="C77" s="1596"/>
      <c r="D77" s="1596" t="e">
        <f t="shared" si="6"/>
        <v>#N/A</v>
      </c>
      <c r="E77" s="1596" t="e">
        <f t="shared" si="7"/>
        <v>#N/A</v>
      </c>
      <c r="F77" s="1615" t="e">
        <f t="shared" si="8"/>
        <v>#N/A</v>
      </c>
      <c r="G77" s="2100"/>
      <c r="H77" s="2101"/>
      <c r="I77" s="2101"/>
      <c r="J77" s="2102"/>
    </row>
    <row r="78" spans="2:10" hidden="1" x14ac:dyDescent="0.2">
      <c r="B78" s="2114"/>
      <c r="C78" s="1596"/>
      <c r="D78" s="1596" t="e">
        <f t="shared" si="6"/>
        <v>#N/A</v>
      </c>
      <c r="E78" s="1596" t="e">
        <f t="shared" si="7"/>
        <v>#N/A</v>
      </c>
      <c r="F78" s="1615" t="e">
        <f t="shared" si="8"/>
        <v>#N/A</v>
      </c>
      <c r="G78" s="2100"/>
      <c r="H78" s="2101"/>
      <c r="I78" s="2101"/>
      <c r="J78" s="2102"/>
    </row>
    <row r="79" spans="2:10" hidden="1" x14ac:dyDescent="0.2">
      <c r="B79" s="2114"/>
      <c r="C79" s="1596"/>
      <c r="D79" s="1596" t="e">
        <f t="shared" si="6"/>
        <v>#N/A</v>
      </c>
      <c r="E79" s="1596" t="e">
        <f t="shared" si="7"/>
        <v>#N/A</v>
      </c>
      <c r="F79" s="1615" t="e">
        <f t="shared" si="8"/>
        <v>#N/A</v>
      </c>
      <c r="G79" s="2100"/>
      <c r="H79" s="2101"/>
      <c r="I79" s="2101"/>
      <c r="J79" s="2102"/>
    </row>
    <row r="80" spans="2:10" hidden="1" x14ac:dyDescent="0.2">
      <c r="B80" s="2114"/>
      <c r="C80" s="1596"/>
      <c r="D80" s="1596" t="e">
        <f t="shared" si="6"/>
        <v>#N/A</v>
      </c>
      <c r="E80" s="1596" t="e">
        <f t="shared" si="7"/>
        <v>#N/A</v>
      </c>
      <c r="F80" s="1615" t="e">
        <f t="shared" si="8"/>
        <v>#N/A</v>
      </c>
      <c r="G80" s="2100"/>
      <c r="H80" s="2100"/>
      <c r="I80" s="2100"/>
      <c r="J80" s="2102"/>
    </row>
    <row r="81" spans="2:10" hidden="1" x14ac:dyDescent="0.2">
      <c r="B81" s="2114"/>
      <c r="C81" s="1596"/>
      <c r="D81" s="1596" t="e">
        <f t="shared" si="6"/>
        <v>#N/A</v>
      </c>
      <c r="E81" s="1596" t="e">
        <f t="shared" si="7"/>
        <v>#N/A</v>
      </c>
      <c r="F81" s="1615" t="e">
        <f t="shared" si="8"/>
        <v>#N/A</v>
      </c>
      <c r="G81" s="2100">
        <v>12</v>
      </c>
      <c r="H81" s="2101" cm="1">
        <f t="array" ref="H81">SUM(IF(ISNUMBER(D81:D87),D81:D87,0))+H74</f>
        <v>0</v>
      </c>
      <c r="I81" s="2101" cm="1">
        <f t="array" ref="I81">SUM(IF(ISNUMBER(F81:F87),F81:F87,0))+I74</f>
        <v>0</v>
      </c>
      <c r="J81" s="2102"/>
    </row>
    <row r="82" spans="2:10" hidden="1" x14ac:dyDescent="0.2">
      <c r="B82" s="2114"/>
      <c r="C82" s="1596"/>
      <c r="D82" s="1596" t="e">
        <f t="shared" si="6"/>
        <v>#N/A</v>
      </c>
      <c r="E82" s="1596" t="e">
        <f t="shared" si="7"/>
        <v>#N/A</v>
      </c>
      <c r="F82" s="1615" t="e">
        <f t="shared" si="8"/>
        <v>#N/A</v>
      </c>
      <c r="G82" s="2100"/>
      <c r="H82" s="2101"/>
      <c r="I82" s="2101"/>
      <c r="J82" s="2102"/>
    </row>
    <row r="83" spans="2:10" hidden="1" x14ac:dyDescent="0.2">
      <c r="B83" s="2114"/>
      <c r="C83" s="1596"/>
      <c r="D83" s="1596" t="e">
        <f t="shared" si="6"/>
        <v>#N/A</v>
      </c>
      <c r="E83" s="1596" t="e">
        <f t="shared" si="7"/>
        <v>#N/A</v>
      </c>
      <c r="F83" s="1615" t="e">
        <f t="shared" si="8"/>
        <v>#N/A</v>
      </c>
      <c r="G83" s="2100"/>
      <c r="H83" s="2101"/>
      <c r="I83" s="2101"/>
      <c r="J83" s="2102"/>
    </row>
    <row r="84" spans="2:10" hidden="1" x14ac:dyDescent="0.2">
      <c r="B84" s="2114"/>
      <c r="C84" s="1596"/>
      <c r="D84" s="1596" t="e">
        <f t="shared" si="6"/>
        <v>#N/A</v>
      </c>
      <c r="E84" s="1596" t="e">
        <f t="shared" si="7"/>
        <v>#N/A</v>
      </c>
      <c r="F84" s="1615" t="e">
        <f t="shared" si="8"/>
        <v>#N/A</v>
      </c>
      <c r="G84" s="2100"/>
      <c r="H84" s="2101"/>
      <c r="I84" s="2101"/>
      <c r="J84" s="2102"/>
    </row>
    <row r="85" spans="2:10" hidden="1" x14ac:dyDescent="0.2">
      <c r="B85" s="2114"/>
      <c r="C85" s="1596"/>
      <c r="D85" s="1596" t="e">
        <f t="shared" si="6"/>
        <v>#N/A</v>
      </c>
      <c r="E85" s="1596" t="e">
        <f t="shared" si="7"/>
        <v>#N/A</v>
      </c>
      <c r="F85" s="1615" t="e">
        <f t="shared" si="8"/>
        <v>#N/A</v>
      </c>
      <c r="G85" s="2100"/>
      <c r="H85" s="2101"/>
      <c r="I85" s="2101"/>
      <c r="J85" s="2102"/>
    </row>
    <row r="86" spans="2:10" hidden="1" x14ac:dyDescent="0.2">
      <c r="B86" s="2114"/>
      <c r="C86" s="1596"/>
      <c r="D86" s="1596" t="e">
        <f t="shared" si="6"/>
        <v>#N/A</v>
      </c>
      <c r="E86" s="1596" t="e">
        <f t="shared" si="7"/>
        <v>#N/A</v>
      </c>
      <c r="F86" s="1615" t="e">
        <f t="shared" si="8"/>
        <v>#N/A</v>
      </c>
      <c r="G86" s="2100"/>
      <c r="H86" s="2101"/>
      <c r="I86" s="2101"/>
      <c r="J86" s="2102"/>
    </row>
    <row r="87" spans="2:10" hidden="1" x14ac:dyDescent="0.2">
      <c r="B87" s="2115"/>
      <c r="C87" s="1596"/>
      <c r="D87" s="1596" t="e">
        <f t="shared" si="6"/>
        <v>#N/A</v>
      </c>
      <c r="E87" s="1596" t="e">
        <f t="shared" si="7"/>
        <v>#N/A</v>
      </c>
      <c r="F87" s="1615" t="e">
        <f t="shared" si="8"/>
        <v>#N/A</v>
      </c>
      <c r="G87" s="2100"/>
      <c r="H87" s="2100"/>
      <c r="I87" s="2100"/>
      <c r="J87" s="2102"/>
    </row>
    <row r="88" spans="2:10" x14ac:dyDescent="0.2">
      <c r="B88" s="1599" t="s">
        <v>127</v>
      </c>
      <c r="C88" s="1596"/>
      <c r="D88" s="1596" cm="1">
        <f t="array" ref="D88">SUM(IF(ISNUMBER(D4:D87),D4:D87,0))</f>
        <v>0</v>
      </c>
      <c r="E88" s="1600"/>
      <c r="F88" s="1596" cm="1">
        <f t="array" ref="F88">SUM(IF(ISNUMBER(F4:F87),F4:F87,0))</f>
        <v>0</v>
      </c>
      <c r="G88" s="1535"/>
      <c r="H88" s="1535"/>
      <c r="I88" s="1535"/>
      <c r="J88" s="1596"/>
    </row>
    <row r="89" spans="2:10" x14ac:dyDescent="0.2">
      <c r="B89" s="2104" t="s">
        <v>1658</v>
      </c>
      <c r="C89" s="2104"/>
      <c r="D89" s="2104"/>
      <c r="E89" s="2104"/>
      <c r="F89" s="2104"/>
      <c r="G89" s="2104"/>
      <c r="H89" s="2104"/>
      <c r="I89" s="2104"/>
      <c r="J89" s="2104"/>
    </row>
    <row r="90" spans="2:10" ht="39.75" customHeight="1" x14ac:dyDescent="0.2">
      <c r="B90" s="2105" t="str">
        <f>"1. PHASING SCHEDULE SHOWN IS RECOMMENDED BASED ON " &amp; IF($A$4=1,IF(VLOOKUP('Legend(Skid)'!$AT$3,SkidData_Skid,4)=20,"WALMART ELECTED EQUIPMENT MINIMUM STARTUP CONDITIONS OF 30 MBH AND 20GPM. SKID CAN ONLY OPERATE AT THESE STARTUP CONDITIONS FOR NO LONGER THAN 7 DAYS BEFORE OEM REQUIRED EQUIPMENT SUSTAINED" &amp; " OPERATING CONDITIONS MUST BE MET. OEM REQUIRED EQUIPMENT SUSTAINED OPERATING CONDITIONS ARE 64.9MBH AND 20GPM.","WALMART ELECTED EQUIPMENT MINIMUM STARTUP CONDITIONS OF 55 MBH AND 32GPM. SKID CAN ONLY OPERATE AT THESE STARTUP CONDITIONS FOR NO LONGER THAN 7 DAYS BEFORE OEM REQUIRED EQUIPMENT SUSTAINED" &amp; " OPERATING CONDITIONS MUST BE MET. OEM REQUIRED EQUIPMENT SUSTAINED OPERATING CONDITIONS ARE 107MBH AND 32GPM."),"OEM REQUIRED EQUIPMENT MINIMUM SUSTAINED OPERATING CONDITIONS OF 18MBH AND 0.55GPM.")</f>
        <v>1. PHASING SCHEDULE SHOWN IS RECOMMENDED BASED ON OEM REQUIRED EQUIPMENT MINIMUM SUSTAINED OPERATING CONDITIONS OF 18MBH AND 0.55GPM.</v>
      </c>
      <c r="C90" s="2105"/>
      <c r="D90" s="2105"/>
      <c r="E90" s="2105"/>
      <c r="F90" s="2105"/>
      <c r="G90" s="2105"/>
      <c r="H90" s="2105"/>
      <c r="I90" s="2105"/>
      <c r="J90" s="2105"/>
    </row>
    <row r="91" spans="2:10" ht="25.5" customHeight="1" x14ac:dyDescent="0.2">
      <c r="B91" s="2105" t="s">
        <v>1659</v>
      </c>
      <c r="C91" s="2105"/>
      <c r="D91" s="2105"/>
      <c r="E91" s="2105"/>
      <c r="F91" s="2105"/>
      <c r="G91" s="2105"/>
      <c r="H91" s="2105"/>
      <c r="I91" s="2105"/>
      <c r="J91" s="2105"/>
    </row>
    <row r="92" spans="2:10" ht="27.75" customHeight="1" x14ac:dyDescent="0.2">
      <c r="B92" s="2107" t="s">
        <v>1957</v>
      </c>
      <c r="C92" s="2108"/>
      <c r="D92" s="2108"/>
      <c r="E92" s="2108"/>
      <c r="F92" s="2108"/>
      <c r="G92" s="2108"/>
      <c r="H92" s="2108"/>
      <c r="I92" s="2108"/>
      <c r="J92" s="2109"/>
    </row>
    <row r="93" spans="2:10" ht="27.75" customHeight="1" x14ac:dyDescent="0.2">
      <c r="B93" s="2107" t="s">
        <v>1956</v>
      </c>
      <c r="C93" s="2110"/>
      <c r="D93" s="2110"/>
      <c r="E93" s="2110"/>
      <c r="F93" s="2110"/>
      <c r="G93" s="2110"/>
      <c r="H93" s="2110"/>
      <c r="I93" s="2110"/>
      <c r="J93" s="2111"/>
    </row>
    <row r="94" spans="2:10" x14ac:dyDescent="0.2">
      <c r="B94" s="2104" t="s">
        <v>1330</v>
      </c>
      <c r="C94" s="2104"/>
      <c r="D94" s="2104"/>
      <c r="E94" s="2104"/>
      <c r="F94" s="2104"/>
      <c r="G94" s="2104"/>
      <c r="H94" s="2104"/>
      <c r="I94" s="2104"/>
      <c r="J94" s="2104"/>
    </row>
    <row r="95" spans="2:10" ht="12.75" customHeight="1" x14ac:dyDescent="0.2">
      <c r="B95" s="2105" t="str">
        <f>IF($A$4=1,IF(VLOOKUP('Legend(Skid)'!$AT$3,SkidData_Skid,4)=20,"A. PHASE FLOWRATE INCLUDES AUTO FLOW END-OF-LOOP BYPASS FLOW VALVE'S FLOWRATE OF 20GPM","A.  PHASE FLOWRATE INCLUDES AUTO FLOW END-OF-LOOP BYPASS FLOW VALVE'S FLOWRATE OF 32GPM"),"A. PHASE LOAD INCLUDE PREVIOUS PHASES' LOAD.")</f>
        <v>A. PHASE LOAD INCLUDE PREVIOUS PHASES' LOAD.</v>
      </c>
      <c r="C95" s="2105"/>
      <c r="D95" s="2105"/>
      <c r="E95" s="2105"/>
      <c r="F95" s="2105"/>
      <c r="G95" s="2105"/>
      <c r="H95" s="2105"/>
      <c r="I95" s="2105"/>
      <c r="J95" s="2105"/>
    </row>
    <row r="96" spans="2:10" x14ac:dyDescent="0.2">
      <c r="B96" s="2106" t="s">
        <v>1660</v>
      </c>
      <c r="C96" s="2106"/>
      <c r="D96" s="2106"/>
      <c r="E96" s="2106"/>
      <c r="F96" s="2106"/>
      <c r="G96" s="2106"/>
      <c r="H96" s="2106"/>
      <c r="I96" s="2106"/>
      <c r="J96" s="2106"/>
    </row>
    <row r="97" spans="2:10" x14ac:dyDescent="0.2">
      <c r="B97" s="2103" t="s">
        <v>1384</v>
      </c>
      <c r="C97" s="2103"/>
      <c r="D97" s="2103"/>
      <c r="E97" s="2103"/>
      <c r="F97" s="2103"/>
      <c r="G97" s="2103"/>
      <c r="H97" s="2103"/>
      <c r="I97" s="2103"/>
      <c r="J97" s="2103"/>
    </row>
  </sheetData>
  <sheetProtection sheet="1" objects="1" scenarios="1"/>
  <mergeCells count="59">
    <mergeCell ref="B2:J2"/>
    <mergeCell ref="B4:B87"/>
    <mergeCell ref="G4:G10"/>
    <mergeCell ref="H4:H10"/>
    <mergeCell ref="I4:I10"/>
    <mergeCell ref="J4:J10"/>
    <mergeCell ref="G11:G17"/>
    <mergeCell ref="H11:H17"/>
    <mergeCell ref="I11:I17"/>
    <mergeCell ref="J11:J17"/>
    <mergeCell ref="G18:G24"/>
    <mergeCell ref="H18:H24"/>
    <mergeCell ref="I18:I24"/>
    <mergeCell ref="J18:J24"/>
    <mergeCell ref="G25:G31"/>
    <mergeCell ref="H25:H31"/>
    <mergeCell ref="I25:I31"/>
    <mergeCell ref="J25:J31"/>
    <mergeCell ref="G32:G38"/>
    <mergeCell ref="H32:H38"/>
    <mergeCell ref="I32:I38"/>
    <mergeCell ref="J32:J38"/>
    <mergeCell ref="G39:G45"/>
    <mergeCell ref="H39:H45"/>
    <mergeCell ref="I39:I45"/>
    <mergeCell ref="J39:J45"/>
    <mergeCell ref="G46:G52"/>
    <mergeCell ref="H46:H52"/>
    <mergeCell ref="I46:I52"/>
    <mergeCell ref="J46:J52"/>
    <mergeCell ref="G53:G59"/>
    <mergeCell ref="H53:H59"/>
    <mergeCell ref="I53:I59"/>
    <mergeCell ref="J53:J59"/>
    <mergeCell ref="G60:G66"/>
    <mergeCell ref="H60:H66"/>
    <mergeCell ref="I60:I66"/>
    <mergeCell ref="J60:J66"/>
    <mergeCell ref="G67:G73"/>
    <mergeCell ref="H67:H73"/>
    <mergeCell ref="I67:I73"/>
    <mergeCell ref="J67:J73"/>
    <mergeCell ref="G74:G80"/>
    <mergeCell ref="H74:H80"/>
    <mergeCell ref="I74:I80"/>
    <mergeCell ref="J74:J80"/>
    <mergeCell ref="G81:G87"/>
    <mergeCell ref="H81:H87"/>
    <mergeCell ref="I81:I87"/>
    <mergeCell ref="J81:J87"/>
    <mergeCell ref="B97:J97"/>
    <mergeCell ref="B89:J89"/>
    <mergeCell ref="B90:J90"/>
    <mergeCell ref="B91:J91"/>
    <mergeCell ref="B94:J94"/>
    <mergeCell ref="B95:J95"/>
    <mergeCell ref="B96:J96"/>
    <mergeCell ref="B92:J92"/>
    <mergeCell ref="B93:J93"/>
  </mergeCells>
  <pageMargins left="0.7" right="0.7" top="0.75" bottom="0.75" header="0.3" footer="0.3"/>
  <drawing r:id="rId1"/>
  <legacyDrawing r:id="rId2"/>
  <controls>
    <mc:AlternateContent xmlns:mc="http://schemas.openxmlformats.org/markup-compatibility/2006">
      <mc:Choice Requires="x14">
        <control shapeId="6452225" r:id="rId3" name="Update">
          <controlPr defaultSize="0" autoLine="0" r:id="rId4">
            <anchor moveWithCells="1">
              <from>
                <xdr:col>0</xdr:col>
                <xdr:colOff>171450</xdr:colOff>
                <xdr:row>1</xdr:row>
                <xdr:rowOff>95250</xdr:rowOff>
              </from>
              <to>
                <xdr:col>0</xdr:col>
                <xdr:colOff>904875</xdr:colOff>
                <xdr:row>2</xdr:row>
                <xdr:rowOff>200025</xdr:rowOff>
              </to>
            </anchor>
          </controlPr>
        </control>
      </mc:Choice>
      <mc:Fallback>
        <control shapeId="6452225" r:id="rId3" name="Update"/>
      </mc:Fallback>
    </mc:AlternateContent>
  </control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C0D96-E4DD-4AA8-AD9A-CA852EB13CB9}">
  <sheetPr codeName="Sheet27">
    <tabColor rgb="FF99CCFF"/>
  </sheetPr>
  <dimension ref="B2:H3"/>
  <sheetViews>
    <sheetView workbookViewId="0">
      <selection activeCell="K53" sqref="K53"/>
    </sheetView>
  </sheetViews>
  <sheetFormatPr defaultRowHeight="12.75" x14ac:dyDescent="0.2"/>
  <cols>
    <col min="1" max="1" width="16" customWidth="1"/>
    <col min="2" max="2" width="12.7109375" customWidth="1"/>
    <col min="3" max="3" width="12" customWidth="1"/>
    <col min="4" max="4" width="15.5703125" customWidth="1"/>
    <col min="5" max="5" width="19.140625" customWidth="1"/>
    <col min="6" max="6" width="11.42578125" customWidth="1"/>
    <col min="7" max="7" width="11.140625" customWidth="1"/>
  </cols>
  <sheetData>
    <row r="2" spans="2:8" ht="21" x14ac:dyDescent="0.35">
      <c r="B2" s="1896" t="s">
        <v>1661</v>
      </c>
      <c r="C2" s="1896"/>
      <c r="D2" s="1896"/>
      <c r="E2" s="1896"/>
      <c r="F2" s="1896"/>
      <c r="G2" s="1896"/>
      <c r="H2" s="1896"/>
    </row>
    <row r="3" spans="2:8" ht="30" x14ac:dyDescent="0.25">
      <c r="B3" s="1601" t="s">
        <v>1651</v>
      </c>
      <c r="C3" s="1601" t="s">
        <v>1652</v>
      </c>
      <c r="D3" s="1601" t="s">
        <v>1653</v>
      </c>
      <c r="E3" s="1601" t="s">
        <v>94</v>
      </c>
      <c r="F3" s="1601" t="s">
        <v>1662</v>
      </c>
      <c r="G3" s="1601" t="s">
        <v>1663</v>
      </c>
      <c r="H3" s="1601" t="s">
        <v>1330</v>
      </c>
    </row>
  </sheetData>
  <sheetProtection sheet="1" objects="1" scenarios="1"/>
  <mergeCells count="1">
    <mergeCell ref="B2:H2"/>
  </mergeCells>
  <pageMargins left="0.7" right="0.7" top="0.75" bottom="0.75" header="0.3" footer="0.3"/>
  <drawing r:id="rId1"/>
  <legacyDrawing r:id="rId2"/>
  <controls>
    <mc:AlternateContent xmlns:mc="http://schemas.openxmlformats.org/markup-compatibility/2006">
      <mc:Choice Requires="x14">
        <control shapeId="6464513" r:id="rId3" name="UpateRestart">
          <controlPr defaultSize="0" autoLine="0" r:id="rId4">
            <anchor moveWithCells="1">
              <from>
                <xdr:col>0</xdr:col>
                <xdr:colOff>161925</xdr:colOff>
                <xdr:row>1</xdr:row>
                <xdr:rowOff>133350</xdr:rowOff>
              </from>
              <to>
                <xdr:col>0</xdr:col>
                <xdr:colOff>828675</xdr:colOff>
                <xdr:row>2</xdr:row>
                <xdr:rowOff>171450</xdr:rowOff>
              </to>
            </anchor>
          </controlPr>
        </control>
      </mc:Choice>
      <mc:Fallback>
        <control shapeId="6464513" r:id="rId3" name="UpateRestart"/>
      </mc:Fallback>
    </mc:AlternateContent>
  </control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9F0ED6-2517-42A2-9F4E-19CDC0845584}">
  <sheetPr codeName="Sheet13">
    <tabColor indexed="27"/>
    <pageSetUpPr fitToPage="1"/>
  </sheetPr>
  <dimension ref="A1:AD66"/>
  <sheetViews>
    <sheetView workbookViewId="0">
      <selection activeCell="J34" sqref="J34"/>
    </sheetView>
  </sheetViews>
  <sheetFormatPr defaultRowHeight="11.25" x14ac:dyDescent="0.2"/>
  <cols>
    <col min="1" max="1" width="0.85546875" style="333" customWidth="1"/>
    <col min="2" max="15" width="9" style="333" customWidth="1"/>
    <col min="16" max="16" width="9.7109375" style="333" customWidth="1"/>
    <col min="17" max="17" width="0.85546875" style="333" customWidth="1"/>
    <col min="18" max="18" width="12" style="333" customWidth="1"/>
    <col min="19" max="21" width="9.7109375" style="333" customWidth="1"/>
    <col min="22" max="22" width="9.85546875" style="333" customWidth="1"/>
    <col min="23" max="23" width="9.42578125" style="333" customWidth="1"/>
    <col min="24" max="25" width="9.140625" style="333"/>
    <col min="26" max="27" width="9.7109375" style="333" customWidth="1"/>
    <col min="28" max="28" width="9.85546875" style="333" customWidth="1"/>
    <col min="29" max="29" width="9.7109375" style="333" customWidth="1"/>
    <col min="30" max="30" width="9.85546875" style="333" customWidth="1"/>
    <col min="31" max="16384" width="9.140625" style="333"/>
  </cols>
  <sheetData>
    <row r="1" spans="1:30" ht="5.0999999999999996" customHeight="1" thickBot="1" x14ac:dyDescent="0.25">
      <c r="A1" s="330"/>
      <c r="B1" s="331"/>
      <c r="C1" s="332"/>
      <c r="D1" s="332"/>
      <c r="E1" s="332"/>
      <c r="F1" s="332"/>
      <c r="G1" s="332"/>
      <c r="H1" s="332"/>
      <c r="I1" s="332"/>
      <c r="J1" s="332"/>
      <c r="K1" s="332"/>
      <c r="L1" s="332"/>
      <c r="M1" s="332"/>
      <c r="N1" s="332"/>
      <c r="O1" s="332"/>
      <c r="P1" s="332"/>
      <c r="Q1" s="330"/>
      <c r="R1" s="330"/>
      <c r="S1" s="330"/>
      <c r="T1" s="330"/>
      <c r="U1" s="330"/>
      <c r="V1" s="330"/>
      <c r="W1" s="330"/>
      <c r="X1" s="330"/>
      <c r="Y1" s="330"/>
      <c r="Z1" s="330"/>
      <c r="AA1" s="330"/>
      <c r="AB1" s="330"/>
      <c r="AC1" s="330"/>
      <c r="AD1" s="330"/>
    </row>
    <row r="2" spans="1:30" ht="15" customHeight="1" thickBot="1" x14ac:dyDescent="0.25">
      <c r="A2" s="330"/>
      <c r="B2" s="2127" t="s">
        <v>217</v>
      </c>
      <c r="C2" s="2128"/>
      <c r="D2" s="2128"/>
      <c r="E2" s="2128"/>
      <c r="F2" s="2128"/>
      <c r="G2" s="2129"/>
      <c r="H2" s="332"/>
      <c r="I2" s="2127" t="s">
        <v>380</v>
      </c>
      <c r="J2" s="2128"/>
      <c r="K2" s="2128"/>
      <c r="L2" s="2128"/>
      <c r="M2" s="2128"/>
      <c r="N2" s="2128"/>
      <c r="O2" s="2128"/>
      <c r="P2" s="2129"/>
      <c r="Q2" s="330"/>
      <c r="R2" s="330"/>
      <c r="S2" s="330"/>
      <c r="T2" s="330"/>
      <c r="U2" s="330"/>
      <c r="V2" s="330"/>
      <c r="W2" s="330"/>
      <c r="X2" s="330"/>
      <c r="Y2" s="330"/>
      <c r="Z2" s="330"/>
      <c r="AA2" s="330"/>
      <c r="AB2" s="330"/>
      <c r="AC2" s="330"/>
      <c r="AD2" s="330"/>
    </row>
    <row r="3" spans="1:30" ht="8.1" customHeight="1" thickBot="1" x14ac:dyDescent="0.25">
      <c r="A3" s="330"/>
      <c r="B3" s="334"/>
      <c r="C3" s="330"/>
      <c r="D3" s="330"/>
      <c r="E3" s="330"/>
      <c r="F3" s="330"/>
      <c r="G3" s="330"/>
      <c r="H3" s="330"/>
      <c r="I3" s="330"/>
      <c r="J3" s="330"/>
      <c r="K3" s="330"/>
      <c r="L3" s="330"/>
      <c r="M3" s="330"/>
      <c r="N3" s="330"/>
      <c r="O3" s="330"/>
      <c r="P3" s="330"/>
      <c r="Q3" s="330"/>
      <c r="R3" s="330"/>
      <c r="S3" s="330"/>
      <c r="T3" s="330"/>
      <c r="U3" s="330"/>
      <c r="V3" s="330"/>
      <c r="W3" s="330"/>
      <c r="X3" s="330"/>
      <c r="Y3" s="330"/>
      <c r="Z3" s="330"/>
      <c r="AA3" s="330"/>
      <c r="AB3" s="330"/>
      <c r="AC3" s="330"/>
      <c r="AD3" s="330"/>
    </row>
    <row r="4" spans="1:30" ht="12" customHeight="1" thickBot="1" x14ac:dyDescent="0.25">
      <c r="A4" s="330"/>
      <c r="B4" s="2143" t="s">
        <v>221</v>
      </c>
      <c r="C4" s="2144"/>
      <c r="D4" s="2144"/>
      <c r="E4" s="2145"/>
      <c r="F4" s="924"/>
      <c r="G4" s="335" t="s">
        <v>213</v>
      </c>
      <c r="H4" s="330"/>
      <c r="I4" s="330"/>
      <c r="J4" s="330"/>
      <c r="K4" s="330"/>
      <c r="L4" s="330"/>
      <c r="M4" s="330"/>
      <c r="N4" s="330"/>
      <c r="O4" s="330"/>
      <c r="P4" s="330"/>
      <c r="Q4" s="330"/>
      <c r="R4" s="330"/>
      <c r="S4" s="330"/>
      <c r="T4" s="330"/>
      <c r="U4" s="330"/>
      <c r="V4" s="330"/>
      <c r="W4" s="330"/>
      <c r="X4" s="330"/>
      <c r="Y4" s="330"/>
      <c r="Z4" s="330"/>
      <c r="AA4" s="330"/>
      <c r="AB4" s="330"/>
      <c r="AC4" s="330"/>
      <c r="AD4" s="330"/>
    </row>
    <row r="5" spans="1:30" ht="12" customHeight="1" thickBot="1" x14ac:dyDescent="0.25">
      <c r="A5" s="330"/>
      <c r="B5" s="2143" t="s">
        <v>220</v>
      </c>
      <c r="C5" s="2144"/>
      <c r="D5" s="2144"/>
      <c r="E5" s="2145"/>
      <c r="F5" s="925"/>
      <c r="G5" s="335" t="s">
        <v>629</v>
      </c>
      <c r="H5" s="332"/>
      <c r="I5" s="330"/>
      <c r="J5" s="330"/>
      <c r="K5" s="330"/>
      <c r="L5" s="330"/>
      <c r="M5" s="330"/>
      <c r="N5" s="330"/>
      <c r="O5" s="330"/>
      <c r="P5" s="330"/>
      <c r="Q5" s="330"/>
      <c r="R5" s="330"/>
      <c r="S5" s="330"/>
      <c r="T5" s="330"/>
      <c r="U5" s="330"/>
      <c r="V5" s="330"/>
      <c r="W5" s="330"/>
      <c r="X5" s="330"/>
      <c r="Y5" s="330"/>
      <c r="Z5" s="330"/>
      <c r="AA5" s="330"/>
      <c r="AB5" s="330"/>
      <c r="AC5" s="330"/>
      <c r="AD5" s="330"/>
    </row>
    <row r="6" spans="1:30" ht="12" customHeight="1" thickBot="1" x14ac:dyDescent="0.25">
      <c r="A6" s="330"/>
      <c r="B6" s="2143" t="s">
        <v>214</v>
      </c>
      <c r="C6" s="2144"/>
      <c r="D6" s="2144"/>
      <c r="E6" s="2144"/>
      <c r="F6" s="924"/>
      <c r="G6" s="335" t="s">
        <v>213</v>
      </c>
      <c r="H6" s="332"/>
      <c r="I6" s="330"/>
      <c r="J6" s="330"/>
      <c r="K6" s="330"/>
      <c r="L6" s="330"/>
      <c r="M6" s="330"/>
      <c r="N6" s="330"/>
      <c r="O6" s="330"/>
      <c r="P6" s="330"/>
      <c r="Q6" s="330"/>
      <c r="R6" s="330"/>
      <c r="S6" s="330"/>
      <c r="T6" s="330"/>
      <c r="U6" s="330"/>
      <c r="V6" s="330"/>
      <c r="W6" s="330"/>
      <c r="X6" s="330"/>
      <c r="Y6" s="330"/>
      <c r="Z6" s="330"/>
      <c r="AA6" s="330"/>
      <c r="AB6" s="330"/>
      <c r="AC6" s="330"/>
      <c r="AD6" s="330"/>
    </row>
    <row r="7" spans="1:30" ht="12" customHeight="1" thickBot="1" x14ac:dyDescent="0.25">
      <c r="A7" s="330"/>
      <c r="B7" s="2143" t="s">
        <v>225</v>
      </c>
      <c r="C7" s="2144"/>
      <c r="D7" s="2144"/>
      <c r="E7" s="2144"/>
      <c r="F7" s="336" t="str">
        <f>IF(OR(F4="",F6=""),"",F6-F4)</f>
        <v/>
      </c>
      <c r="G7" s="335" t="s">
        <v>213</v>
      </c>
      <c r="H7" s="332"/>
      <c r="I7" s="330"/>
      <c r="J7" s="330"/>
      <c r="K7" s="330"/>
      <c r="L7" s="330"/>
      <c r="M7" s="330"/>
      <c r="N7" s="330"/>
      <c r="O7" s="330"/>
      <c r="P7" s="330"/>
      <c r="Q7" s="330"/>
      <c r="R7" s="330"/>
      <c r="S7" s="330"/>
      <c r="T7" s="330"/>
      <c r="U7" s="330"/>
      <c r="V7" s="330"/>
      <c r="W7" s="330"/>
      <c r="X7" s="330"/>
      <c r="Y7" s="330"/>
      <c r="Z7" s="330"/>
      <c r="AA7" s="330"/>
      <c r="AB7" s="330"/>
      <c r="AC7" s="330"/>
      <c r="AD7" s="330"/>
    </row>
    <row r="8" spans="1:30" ht="8.1" customHeight="1" thickBot="1" x14ac:dyDescent="0.25">
      <c r="A8" s="330"/>
      <c r="B8" s="330"/>
      <c r="C8" s="330"/>
      <c r="D8" s="330"/>
      <c r="E8" s="330"/>
      <c r="F8" s="330"/>
      <c r="G8" s="330"/>
      <c r="H8" s="330"/>
      <c r="I8" s="330"/>
      <c r="J8" s="330"/>
      <c r="K8" s="330"/>
      <c r="L8" s="330"/>
      <c r="M8" s="330"/>
      <c r="N8" s="330"/>
      <c r="O8" s="330"/>
      <c r="P8" s="330"/>
      <c r="Q8" s="330"/>
      <c r="R8" s="330"/>
      <c r="S8" s="330"/>
      <c r="T8" s="330"/>
      <c r="U8" s="330"/>
      <c r="V8" s="330"/>
      <c r="W8" s="330"/>
      <c r="X8" s="330"/>
      <c r="Y8" s="330"/>
      <c r="Z8" s="330"/>
      <c r="AA8" s="330"/>
      <c r="AB8" s="330"/>
      <c r="AC8" s="330"/>
      <c r="AD8" s="330"/>
    </row>
    <row r="9" spans="1:30" ht="15" customHeight="1" thickBot="1" x14ac:dyDescent="0.25">
      <c r="A9" s="330"/>
      <c r="B9" s="2117" t="s">
        <v>635</v>
      </c>
      <c r="C9" s="2117" t="s">
        <v>222</v>
      </c>
      <c r="D9" s="2147"/>
      <c r="E9" s="2117" t="s">
        <v>644</v>
      </c>
      <c r="F9" s="2117"/>
      <c r="G9" s="2117"/>
      <c r="H9" s="2117"/>
      <c r="I9" s="2117"/>
      <c r="J9" s="2116" t="s">
        <v>226</v>
      </c>
      <c r="K9" s="2123" t="s">
        <v>227</v>
      </c>
      <c r="L9" s="2148" t="s">
        <v>234</v>
      </c>
      <c r="M9" s="2125" t="s">
        <v>228</v>
      </c>
      <c r="N9" s="2116" t="s">
        <v>235</v>
      </c>
      <c r="O9" s="2117" t="s">
        <v>229</v>
      </c>
      <c r="P9" s="2123" t="s">
        <v>230</v>
      </c>
      <c r="Q9" s="337"/>
      <c r="R9" s="330"/>
      <c r="S9" s="330"/>
      <c r="T9" s="330"/>
      <c r="U9" s="330"/>
      <c r="V9" s="330"/>
      <c r="W9" s="330"/>
      <c r="X9" s="330"/>
      <c r="Y9" s="338"/>
      <c r="Z9" s="2121"/>
      <c r="AA9" s="2121"/>
      <c r="AB9" s="2121"/>
      <c r="AC9" s="2121"/>
      <c r="AD9" s="2121"/>
    </row>
    <row r="10" spans="1:30" ht="15" customHeight="1" thickBot="1" x14ac:dyDescent="0.25">
      <c r="A10" s="330"/>
      <c r="B10" s="2117"/>
      <c r="C10" s="2118" t="s">
        <v>663</v>
      </c>
      <c r="D10" s="2118" t="s">
        <v>664</v>
      </c>
      <c r="E10" s="2117" t="s">
        <v>218</v>
      </c>
      <c r="F10" s="2120"/>
      <c r="G10" s="2120"/>
      <c r="H10" s="2117" t="s">
        <v>645</v>
      </c>
      <c r="I10" s="2120"/>
      <c r="J10" s="2117"/>
      <c r="K10" s="2124"/>
      <c r="L10" s="2125"/>
      <c r="M10" s="2125"/>
      <c r="N10" s="2117"/>
      <c r="O10" s="2117"/>
      <c r="P10" s="2124"/>
      <c r="Q10" s="337"/>
      <c r="R10" s="330"/>
      <c r="S10" s="330"/>
      <c r="T10" s="330"/>
      <c r="U10" s="330"/>
      <c r="V10" s="330"/>
      <c r="W10" s="330"/>
      <c r="X10" s="330"/>
      <c r="Y10" s="338"/>
      <c r="Z10" s="338"/>
      <c r="AA10" s="338"/>
      <c r="AB10" s="338"/>
      <c r="AC10" s="338"/>
      <c r="AD10" s="338"/>
    </row>
    <row r="11" spans="1:30" ht="35.1" customHeight="1" thickBot="1" x14ac:dyDescent="0.25">
      <c r="A11" s="330"/>
      <c r="B11" s="2118"/>
      <c r="C11" s="2119"/>
      <c r="D11" s="2119"/>
      <c r="E11" s="83" t="s">
        <v>231</v>
      </c>
      <c r="F11" s="83" t="s">
        <v>232</v>
      </c>
      <c r="G11" s="83" t="s">
        <v>233</v>
      </c>
      <c r="H11" s="83" t="s">
        <v>232</v>
      </c>
      <c r="I11" s="83" t="s">
        <v>233</v>
      </c>
      <c r="J11" s="2118"/>
      <c r="K11" s="2124"/>
      <c r="L11" s="2123"/>
      <c r="M11" s="2126"/>
      <c r="N11" s="2122"/>
      <c r="O11" s="2122"/>
      <c r="P11" s="2124"/>
      <c r="Q11" s="340"/>
      <c r="R11" s="330"/>
      <c r="S11" s="330"/>
      <c r="T11" s="330"/>
      <c r="U11" s="330"/>
      <c r="V11" s="330"/>
      <c r="W11" s="330"/>
      <c r="X11" s="330"/>
      <c r="Y11" s="338"/>
      <c r="Z11" s="341"/>
      <c r="AA11" s="341"/>
      <c r="AB11" s="341"/>
      <c r="AC11" s="341"/>
      <c r="AD11" s="341"/>
    </row>
    <row r="12" spans="1:30" ht="12" customHeight="1" x14ac:dyDescent="0.2">
      <c r="A12" s="330"/>
      <c r="B12" s="342" t="s">
        <v>381</v>
      </c>
      <c r="C12" s="343">
        <v>0.4</v>
      </c>
      <c r="D12" s="344">
        <f t="shared" ref="D12:D17" si="0">+SUM(C12*10)</f>
        <v>4</v>
      </c>
      <c r="E12" s="345" t="s">
        <v>666</v>
      </c>
      <c r="F12" s="345">
        <v>0.5</v>
      </c>
      <c r="G12" s="345" t="s">
        <v>666</v>
      </c>
      <c r="H12" s="345">
        <v>5.3</v>
      </c>
      <c r="I12" s="345" t="s">
        <v>666</v>
      </c>
      <c r="J12" s="346">
        <f t="shared" ref="J12:J17" si="1">$F$4</f>
        <v>0</v>
      </c>
      <c r="K12" s="345" t="s">
        <v>666</v>
      </c>
      <c r="L12" s="926"/>
      <c r="M12" s="345" t="s">
        <v>666</v>
      </c>
      <c r="N12" s="343" t="e">
        <f t="shared" ref="N12:N17" si="2">$F$5/(C12*L12)</f>
        <v>#DIV/0!</v>
      </c>
      <c r="O12" s="346">
        <f t="shared" ref="O12:O17" si="3">$F$6</f>
        <v>0</v>
      </c>
      <c r="P12" s="347" t="e">
        <f t="shared" ref="P12:P17" si="4">$F$4+N12</f>
        <v>#DIV/0!</v>
      </c>
      <c r="Q12" s="348"/>
      <c r="R12" s="330"/>
      <c r="S12" s="330"/>
      <c r="T12" s="330"/>
      <c r="U12" s="330"/>
      <c r="V12" s="330"/>
      <c r="W12" s="330"/>
      <c r="X12" s="330"/>
      <c r="Y12" s="339"/>
      <c r="Z12" s="349"/>
      <c r="AA12" s="349"/>
      <c r="AB12" s="350"/>
      <c r="AC12" s="349"/>
      <c r="AD12" s="350"/>
    </row>
    <row r="13" spans="1:30" ht="12" customHeight="1" x14ac:dyDescent="0.2">
      <c r="A13" s="330"/>
      <c r="B13" s="351" t="s">
        <v>382</v>
      </c>
      <c r="C13" s="352">
        <v>0.54</v>
      </c>
      <c r="D13" s="353">
        <f t="shared" si="0"/>
        <v>5.4</v>
      </c>
      <c r="E13" s="354" t="s">
        <v>666</v>
      </c>
      <c r="F13" s="354">
        <v>1</v>
      </c>
      <c r="G13" s="354" t="s">
        <v>666</v>
      </c>
      <c r="H13" s="354">
        <v>8.6999999999999993</v>
      </c>
      <c r="I13" s="354" t="s">
        <v>666</v>
      </c>
      <c r="J13" s="355">
        <f t="shared" si="1"/>
        <v>0</v>
      </c>
      <c r="K13" s="354" t="s">
        <v>666</v>
      </c>
      <c r="L13" s="927"/>
      <c r="M13" s="354" t="s">
        <v>666</v>
      </c>
      <c r="N13" s="352" t="e">
        <f t="shared" si="2"/>
        <v>#DIV/0!</v>
      </c>
      <c r="O13" s="355">
        <f t="shared" si="3"/>
        <v>0</v>
      </c>
      <c r="P13" s="356" t="e">
        <f t="shared" si="4"/>
        <v>#DIV/0!</v>
      </c>
      <c r="Q13" s="348"/>
      <c r="R13" s="334"/>
      <c r="S13" s="348"/>
      <c r="T13" s="348"/>
      <c r="U13" s="350"/>
      <c r="V13" s="350"/>
      <c r="W13" s="350"/>
      <c r="X13" s="330"/>
      <c r="Y13" s="339"/>
      <c r="Z13" s="349"/>
      <c r="AA13" s="349"/>
      <c r="AB13" s="350"/>
      <c r="AC13" s="349"/>
      <c r="AD13" s="350"/>
    </row>
    <row r="14" spans="1:30" ht="12" customHeight="1" x14ac:dyDescent="0.2">
      <c r="A14" s="330"/>
      <c r="B14" s="351" t="s">
        <v>383</v>
      </c>
      <c r="C14" s="352">
        <v>0.65</v>
      </c>
      <c r="D14" s="353">
        <f t="shared" si="0"/>
        <v>6.5</v>
      </c>
      <c r="E14" s="354" t="s">
        <v>666</v>
      </c>
      <c r="F14" s="354">
        <v>1</v>
      </c>
      <c r="G14" s="354" t="s">
        <v>666</v>
      </c>
      <c r="H14" s="354">
        <v>8.6999999999999993</v>
      </c>
      <c r="I14" s="354" t="s">
        <v>666</v>
      </c>
      <c r="J14" s="355">
        <f t="shared" si="1"/>
        <v>0</v>
      </c>
      <c r="K14" s="354" t="s">
        <v>666</v>
      </c>
      <c r="L14" s="927"/>
      <c r="M14" s="354" t="s">
        <v>666</v>
      </c>
      <c r="N14" s="352" t="e">
        <f t="shared" si="2"/>
        <v>#DIV/0!</v>
      </c>
      <c r="O14" s="355">
        <f t="shared" si="3"/>
        <v>0</v>
      </c>
      <c r="P14" s="356" t="e">
        <f t="shared" si="4"/>
        <v>#DIV/0!</v>
      </c>
      <c r="Q14" s="348"/>
      <c r="R14" s="334"/>
      <c r="S14" s="348"/>
      <c r="T14" s="348"/>
      <c r="U14" s="350"/>
      <c r="V14" s="350"/>
      <c r="W14" s="350"/>
      <c r="X14" s="330"/>
      <c r="Y14" s="339"/>
      <c r="Z14" s="349"/>
      <c r="AA14" s="349"/>
      <c r="AB14" s="350"/>
      <c r="AC14" s="349"/>
      <c r="AD14" s="350"/>
    </row>
    <row r="15" spans="1:30" ht="12" customHeight="1" x14ac:dyDescent="0.2">
      <c r="A15" s="330"/>
      <c r="B15" s="351" t="s">
        <v>384</v>
      </c>
      <c r="C15" s="352">
        <v>0.9</v>
      </c>
      <c r="D15" s="353">
        <f t="shared" si="0"/>
        <v>9</v>
      </c>
      <c r="E15" s="354" t="s">
        <v>666</v>
      </c>
      <c r="F15" s="354">
        <v>1.5</v>
      </c>
      <c r="G15" s="354" t="s">
        <v>666</v>
      </c>
      <c r="H15" s="354">
        <v>10.5</v>
      </c>
      <c r="I15" s="354" t="s">
        <v>666</v>
      </c>
      <c r="J15" s="355">
        <f t="shared" si="1"/>
        <v>0</v>
      </c>
      <c r="K15" s="354" t="s">
        <v>666</v>
      </c>
      <c r="L15" s="927"/>
      <c r="M15" s="354" t="s">
        <v>666</v>
      </c>
      <c r="N15" s="352" t="e">
        <f t="shared" si="2"/>
        <v>#DIV/0!</v>
      </c>
      <c r="O15" s="355">
        <f t="shared" si="3"/>
        <v>0</v>
      </c>
      <c r="P15" s="356" t="e">
        <f t="shared" si="4"/>
        <v>#DIV/0!</v>
      </c>
      <c r="Q15" s="348"/>
      <c r="R15" s="334"/>
      <c r="S15" s="348"/>
      <c r="T15" s="348"/>
      <c r="U15" s="350"/>
      <c r="V15" s="350"/>
      <c r="W15" s="350"/>
      <c r="X15" s="330"/>
      <c r="Y15" s="339"/>
      <c r="Z15" s="349"/>
      <c r="AA15" s="349"/>
      <c r="AB15" s="350"/>
      <c r="AC15" s="349"/>
      <c r="AD15" s="350"/>
    </row>
    <row r="16" spans="1:30" ht="12" customHeight="1" x14ac:dyDescent="0.2">
      <c r="A16" s="330"/>
      <c r="B16" s="351" t="s">
        <v>385</v>
      </c>
      <c r="C16" s="352">
        <v>1.3</v>
      </c>
      <c r="D16" s="353">
        <f t="shared" si="0"/>
        <v>13</v>
      </c>
      <c r="E16" s="354" t="s">
        <v>666</v>
      </c>
      <c r="F16" s="354">
        <v>1.5</v>
      </c>
      <c r="G16" s="354" t="s">
        <v>666</v>
      </c>
      <c r="H16" s="354">
        <v>15.7</v>
      </c>
      <c r="I16" s="354" t="s">
        <v>666</v>
      </c>
      <c r="J16" s="355">
        <f t="shared" si="1"/>
        <v>0</v>
      </c>
      <c r="K16" s="354" t="s">
        <v>666</v>
      </c>
      <c r="L16" s="927"/>
      <c r="M16" s="354" t="s">
        <v>666</v>
      </c>
      <c r="N16" s="352" t="e">
        <f t="shared" si="2"/>
        <v>#DIV/0!</v>
      </c>
      <c r="O16" s="355">
        <f t="shared" si="3"/>
        <v>0</v>
      </c>
      <c r="P16" s="356" t="e">
        <f t="shared" si="4"/>
        <v>#DIV/0!</v>
      </c>
      <c r="Q16" s="348"/>
      <c r="R16" s="334"/>
      <c r="S16" s="348"/>
      <c r="T16" s="348"/>
      <c r="U16" s="350"/>
      <c r="V16" s="350"/>
      <c r="W16" s="350"/>
      <c r="X16" s="330"/>
      <c r="Y16" s="339"/>
      <c r="Z16" s="349"/>
      <c r="AA16" s="349"/>
      <c r="AB16" s="350"/>
      <c r="AC16" s="349"/>
      <c r="AD16" s="350"/>
    </row>
    <row r="17" spans="1:30" ht="12" customHeight="1" thickBot="1" x14ac:dyDescent="0.25">
      <c r="A17" s="330"/>
      <c r="B17" s="357" t="s">
        <v>386</v>
      </c>
      <c r="C17" s="358">
        <v>1.74</v>
      </c>
      <c r="D17" s="359">
        <f t="shared" si="0"/>
        <v>17.399999999999999</v>
      </c>
      <c r="E17" s="360" t="s">
        <v>666</v>
      </c>
      <c r="F17" s="360">
        <v>2</v>
      </c>
      <c r="G17" s="360" t="s">
        <v>666</v>
      </c>
      <c r="H17" s="360">
        <v>20.9</v>
      </c>
      <c r="I17" s="360" t="s">
        <v>666</v>
      </c>
      <c r="J17" s="361">
        <f t="shared" si="1"/>
        <v>0</v>
      </c>
      <c r="K17" s="360" t="s">
        <v>666</v>
      </c>
      <c r="L17" s="928"/>
      <c r="M17" s="360" t="s">
        <v>666</v>
      </c>
      <c r="N17" s="358" t="e">
        <f t="shared" si="2"/>
        <v>#DIV/0!</v>
      </c>
      <c r="O17" s="361">
        <f t="shared" si="3"/>
        <v>0</v>
      </c>
      <c r="P17" s="362" t="e">
        <f t="shared" si="4"/>
        <v>#DIV/0!</v>
      </c>
      <c r="Q17" s="348"/>
      <c r="R17" s="334"/>
      <c r="S17" s="348"/>
      <c r="T17" s="348"/>
      <c r="U17" s="350"/>
      <c r="V17" s="350"/>
      <c r="W17" s="350"/>
      <c r="X17" s="330"/>
      <c r="Y17" s="339"/>
      <c r="Z17" s="349"/>
      <c r="AA17" s="349"/>
      <c r="AB17" s="350"/>
      <c r="AC17" s="349"/>
      <c r="AD17" s="350"/>
    </row>
    <row r="18" spans="1:30" ht="12" customHeight="1" thickBot="1" x14ac:dyDescent="0.25">
      <c r="A18" s="330"/>
      <c r="B18" s="334"/>
      <c r="C18" s="330"/>
      <c r="D18" s="330"/>
      <c r="E18" s="330"/>
      <c r="F18" s="330"/>
      <c r="G18" s="330"/>
      <c r="H18" s="330"/>
      <c r="I18" s="330"/>
      <c r="J18" s="330"/>
      <c r="K18" s="330"/>
      <c r="L18" s="334"/>
      <c r="M18" s="330"/>
      <c r="N18" s="330"/>
      <c r="O18" s="330"/>
      <c r="P18" s="330"/>
      <c r="Q18" s="363"/>
      <c r="R18" s="364"/>
      <c r="S18" s="330"/>
      <c r="T18" s="330"/>
      <c r="U18" s="330"/>
      <c r="V18" s="330"/>
      <c r="W18" s="330"/>
      <c r="X18" s="330"/>
      <c r="Y18" s="330"/>
      <c r="Z18" s="330"/>
      <c r="AA18" s="330"/>
      <c r="AB18" s="330"/>
      <c r="AC18" s="330"/>
      <c r="AD18" s="330"/>
    </row>
    <row r="19" spans="1:30" ht="12" customHeight="1" thickBot="1" x14ac:dyDescent="0.25">
      <c r="A19" s="330"/>
      <c r="B19" s="2143" t="s">
        <v>224</v>
      </c>
      <c r="C19" s="2144"/>
      <c r="D19" s="2144"/>
      <c r="E19" s="2144"/>
      <c r="F19" s="2144"/>
      <c r="G19" s="2144"/>
      <c r="H19" s="2144"/>
      <c r="I19" s="2144"/>
      <c r="J19" s="2144"/>
      <c r="K19" s="2144"/>
      <c r="L19" s="2144"/>
      <c r="M19" s="2146"/>
      <c r="N19" s="365" t="e">
        <f>F$5/((C$12*L$12)+(C$13*L$13)+(C$14*L$14)+(C$15*L$15)+(C$16*L$16)+(C$17*L$17)+(#REF!*#REF!)+(#REF!*#REF!)+(#REF!*#REF!))</f>
        <v>#REF!</v>
      </c>
      <c r="O19" s="366">
        <f>$F$6</f>
        <v>0</v>
      </c>
      <c r="P19" s="367" t="e">
        <f>$F$4+$N19</f>
        <v>#REF!</v>
      </c>
      <c r="Q19" s="363"/>
      <c r="R19" s="330"/>
      <c r="S19" s="330"/>
      <c r="T19" s="330"/>
      <c r="U19" s="330"/>
      <c r="V19" s="330"/>
      <c r="W19" s="330"/>
      <c r="X19" s="330"/>
      <c r="Y19" s="330"/>
      <c r="Z19" s="330"/>
      <c r="AA19" s="330"/>
      <c r="AB19" s="330"/>
      <c r="AC19" s="330"/>
      <c r="AD19" s="330"/>
    </row>
    <row r="20" spans="1:30" ht="12" customHeight="1" thickBot="1" x14ac:dyDescent="0.25">
      <c r="A20" s="330"/>
      <c r="B20" s="330"/>
      <c r="C20" s="330"/>
      <c r="D20" s="330"/>
      <c r="E20" s="330"/>
      <c r="F20" s="330"/>
      <c r="G20" s="330"/>
      <c r="H20" s="330"/>
      <c r="I20" s="330"/>
      <c r="J20" s="330"/>
      <c r="K20" s="330"/>
      <c r="L20" s="368"/>
      <c r="M20" s="330"/>
      <c r="N20" s="330"/>
      <c r="O20" s="330"/>
      <c r="P20" s="330"/>
      <c r="Q20" s="330"/>
      <c r="R20" s="330"/>
      <c r="S20" s="330"/>
      <c r="T20" s="330"/>
      <c r="U20" s="330"/>
      <c r="V20" s="330"/>
      <c r="W20" s="330"/>
      <c r="X20" s="330"/>
      <c r="Y20" s="330"/>
      <c r="Z20" s="330"/>
      <c r="AA20" s="330"/>
      <c r="AB20" s="330"/>
      <c r="AC20" s="330"/>
      <c r="AD20" s="330"/>
    </row>
    <row r="21" spans="1:30" ht="12" customHeight="1" thickBot="1" x14ac:dyDescent="0.25">
      <c r="A21" s="330"/>
      <c r="B21" s="2130" t="s">
        <v>387</v>
      </c>
      <c r="C21" s="2131"/>
      <c r="D21" s="2131"/>
      <c r="E21" s="2131"/>
      <c r="F21" s="2131"/>
      <c r="G21" s="2131"/>
      <c r="H21" s="2131"/>
      <c r="I21" s="2131"/>
      <c r="J21" s="2132"/>
      <c r="K21" s="330"/>
      <c r="L21" s="368"/>
      <c r="M21" s="330"/>
      <c r="N21" s="330"/>
      <c r="O21" s="330"/>
      <c r="P21" s="330"/>
      <c r="Q21" s="330"/>
      <c r="R21" s="330"/>
      <c r="S21" s="330"/>
      <c r="T21" s="330"/>
      <c r="U21" s="330"/>
      <c r="V21" s="330"/>
      <c r="W21" s="330"/>
      <c r="X21" s="330"/>
      <c r="Y21" s="330"/>
      <c r="Z21" s="330"/>
      <c r="AA21" s="330"/>
      <c r="AB21" s="330"/>
      <c r="AC21" s="330"/>
      <c r="AD21" s="330"/>
    </row>
    <row r="22" spans="1:30" ht="12" customHeight="1" x14ac:dyDescent="0.2">
      <c r="A22" s="330"/>
      <c r="B22" s="369"/>
      <c r="C22" s="2133" t="s">
        <v>236</v>
      </c>
      <c r="D22" s="2133"/>
      <c r="E22" s="2133"/>
      <c r="F22" s="2133"/>
      <c r="G22" s="2133"/>
      <c r="H22" s="2133"/>
      <c r="I22" s="2133"/>
      <c r="J22" s="2134"/>
      <c r="K22" s="330"/>
      <c r="L22" s="330"/>
      <c r="M22" s="2137" t="s">
        <v>219</v>
      </c>
      <c r="N22" s="2138"/>
      <c r="O22" s="2138"/>
      <c r="P22" s="2139"/>
      <c r="Q22" s="330"/>
      <c r="R22" s="330"/>
      <c r="S22" s="330"/>
      <c r="T22" s="330"/>
      <c r="U22" s="330"/>
      <c r="V22" s="330"/>
      <c r="W22" s="330"/>
      <c r="X22" s="330"/>
      <c r="Y22" s="330"/>
      <c r="Z22" s="330"/>
      <c r="AA22" s="330"/>
      <c r="AB22" s="330"/>
      <c r="AC22" s="330"/>
      <c r="AD22" s="330"/>
    </row>
    <row r="23" spans="1:30" ht="12" customHeight="1" thickBot="1" x14ac:dyDescent="0.25">
      <c r="A23" s="330"/>
      <c r="B23" s="370"/>
      <c r="C23" s="2135" t="s">
        <v>237</v>
      </c>
      <c r="D23" s="2135"/>
      <c r="E23" s="2135"/>
      <c r="F23" s="2135"/>
      <c r="G23" s="2135"/>
      <c r="H23" s="2135"/>
      <c r="I23" s="2135"/>
      <c r="J23" s="2136"/>
      <c r="K23" s="330"/>
      <c r="L23" s="330"/>
      <c r="M23" s="2140"/>
      <c r="N23" s="2141"/>
      <c r="O23" s="2141"/>
      <c r="P23" s="2142"/>
      <c r="Q23" s="330"/>
      <c r="R23" s="330"/>
      <c r="S23" s="330"/>
      <c r="T23" s="330"/>
      <c r="U23" s="330"/>
      <c r="V23" s="330"/>
      <c r="W23" s="330"/>
      <c r="X23" s="330"/>
      <c r="Y23" s="330"/>
      <c r="Z23" s="330"/>
      <c r="AA23" s="330"/>
      <c r="AB23" s="330"/>
      <c r="AC23" s="330"/>
      <c r="AD23" s="330"/>
    </row>
    <row r="24" spans="1:30" ht="5.0999999999999996" customHeight="1" x14ac:dyDescent="0.2">
      <c r="A24" s="330"/>
      <c r="B24" s="330"/>
      <c r="C24" s="330"/>
      <c r="D24" s="330"/>
      <c r="E24" s="330"/>
      <c r="F24" s="330"/>
      <c r="G24" s="330"/>
      <c r="H24" s="371"/>
      <c r="I24" s="371"/>
      <c r="J24" s="371"/>
      <c r="K24" s="371"/>
      <c r="L24" s="330"/>
      <c r="M24" s="330"/>
      <c r="N24" s="330"/>
      <c r="O24" s="330"/>
      <c r="P24" s="330"/>
      <c r="Q24" s="330"/>
      <c r="R24" s="330"/>
      <c r="S24" s="330"/>
      <c r="T24" s="330"/>
      <c r="U24" s="330"/>
      <c r="V24" s="330"/>
      <c r="W24" s="330"/>
      <c r="X24" s="330"/>
      <c r="Y24" s="330"/>
      <c r="Z24" s="330"/>
      <c r="AA24" s="330"/>
      <c r="AB24" s="330"/>
      <c r="AC24" s="330"/>
      <c r="AD24" s="330"/>
    </row>
    <row r="25" spans="1:30" ht="12" customHeight="1" x14ac:dyDescent="0.2">
      <c r="A25" s="330"/>
      <c r="B25" s="330"/>
      <c r="C25" s="330"/>
      <c r="D25" s="330"/>
      <c r="E25" s="330"/>
      <c r="F25" s="330"/>
      <c r="G25" s="330"/>
      <c r="H25" s="330"/>
      <c r="I25" s="330"/>
      <c r="J25" s="330"/>
      <c r="K25" s="330"/>
      <c r="L25" s="330"/>
      <c r="M25" s="330"/>
      <c r="N25" s="330"/>
      <c r="O25" s="330"/>
      <c r="P25" s="330"/>
      <c r="Q25" s="330"/>
      <c r="R25" s="334"/>
      <c r="S25" s="334"/>
      <c r="T25" s="330"/>
      <c r="U25" s="330"/>
      <c r="V25" s="330"/>
      <c r="W25" s="330"/>
      <c r="X25" s="330"/>
      <c r="Y25" s="330"/>
      <c r="Z25" s="330"/>
      <c r="AA25" s="330"/>
      <c r="AB25" s="330"/>
      <c r="AC25" s="330"/>
      <c r="AD25" s="330"/>
    </row>
    <row r="26" spans="1:30" ht="12" customHeight="1" x14ac:dyDescent="0.2">
      <c r="A26" s="330"/>
      <c r="B26" s="330"/>
      <c r="C26" s="330"/>
      <c r="D26" s="330"/>
      <c r="E26" s="330"/>
      <c r="F26" s="330"/>
      <c r="G26" s="330"/>
      <c r="H26" s="330"/>
      <c r="I26" s="330"/>
      <c r="J26" s="330"/>
      <c r="K26" s="330"/>
      <c r="L26" s="330"/>
      <c r="M26" s="330"/>
      <c r="N26" s="330"/>
      <c r="O26" s="330"/>
      <c r="P26" s="330"/>
      <c r="Q26" s="330"/>
      <c r="R26" s="330"/>
      <c r="S26" s="330"/>
      <c r="T26" s="330"/>
      <c r="U26" s="330"/>
      <c r="V26" s="330"/>
      <c r="W26" s="330"/>
      <c r="X26" s="330"/>
      <c r="Y26" s="330"/>
      <c r="Z26" s="330"/>
      <c r="AA26" s="330"/>
      <c r="AB26" s="330"/>
      <c r="AC26" s="330"/>
      <c r="AD26" s="330"/>
    </row>
    <row r="27" spans="1:30" ht="12" customHeight="1" x14ac:dyDescent="0.2">
      <c r="A27" s="330"/>
      <c r="B27" s="330"/>
      <c r="C27" s="330"/>
      <c r="D27" s="330"/>
      <c r="E27" s="330"/>
      <c r="F27" s="330"/>
      <c r="G27" s="330"/>
      <c r="H27" s="330"/>
      <c r="I27" s="330"/>
      <c r="J27" s="330"/>
      <c r="K27" s="330"/>
      <c r="L27" s="330"/>
      <c r="M27" s="330"/>
      <c r="N27" s="330"/>
      <c r="O27" s="330"/>
      <c r="P27" s="330"/>
      <c r="Q27" s="330"/>
      <c r="R27" s="330"/>
      <c r="S27" s="330"/>
      <c r="T27" s="330"/>
      <c r="U27" s="330"/>
      <c r="V27" s="330"/>
      <c r="W27" s="330"/>
      <c r="X27" s="330"/>
      <c r="Y27" s="330"/>
      <c r="Z27" s="330"/>
      <c r="AA27" s="330"/>
      <c r="AB27" s="330"/>
      <c r="AC27" s="330"/>
      <c r="AD27" s="330"/>
    </row>
    <row r="28" spans="1:30" ht="12" customHeight="1" x14ac:dyDescent="0.2">
      <c r="A28" s="330"/>
      <c r="B28" s="330"/>
      <c r="C28" s="330"/>
      <c r="D28" s="330"/>
      <c r="E28" s="330"/>
      <c r="F28" s="330"/>
      <c r="G28" s="330"/>
      <c r="H28" s="330"/>
      <c r="I28" s="330"/>
      <c r="J28" s="330"/>
      <c r="K28" s="330"/>
      <c r="L28" s="330"/>
      <c r="M28" s="330"/>
      <c r="N28" s="330"/>
      <c r="O28" s="330"/>
      <c r="P28" s="330"/>
      <c r="Q28" s="330"/>
      <c r="R28" s="330"/>
      <c r="S28" s="330"/>
      <c r="T28" s="330"/>
      <c r="U28" s="330"/>
      <c r="V28" s="330"/>
      <c r="W28" s="330"/>
      <c r="X28" s="330"/>
      <c r="Y28" s="330"/>
      <c r="Z28" s="330"/>
      <c r="AA28" s="330"/>
      <c r="AB28" s="330"/>
      <c r="AC28" s="330"/>
      <c r="AD28" s="330"/>
    </row>
    <row r="29" spans="1:30" ht="12" customHeight="1" x14ac:dyDescent="0.2">
      <c r="A29" s="330"/>
      <c r="B29" s="330"/>
      <c r="C29" s="330"/>
      <c r="D29" s="330"/>
      <c r="E29" s="330"/>
      <c r="F29" s="330"/>
      <c r="G29" s="330"/>
      <c r="H29" s="330"/>
      <c r="I29" s="330"/>
      <c r="J29" s="330"/>
      <c r="K29" s="330"/>
      <c r="L29" s="330"/>
      <c r="M29" s="330"/>
      <c r="N29" s="330"/>
      <c r="O29" s="330"/>
      <c r="P29" s="330"/>
      <c r="Q29" s="330"/>
      <c r="R29" s="330"/>
      <c r="S29" s="330"/>
      <c r="T29" s="330"/>
      <c r="U29" s="330"/>
      <c r="V29" s="330"/>
      <c r="W29" s="330"/>
      <c r="X29" s="330"/>
      <c r="Y29" s="330"/>
      <c r="Z29" s="330"/>
      <c r="AA29" s="330"/>
      <c r="AB29" s="330"/>
      <c r="AC29" s="330"/>
      <c r="AD29" s="330"/>
    </row>
    <row r="30" spans="1:30" ht="12" customHeight="1" x14ac:dyDescent="0.2">
      <c r="A30" s="330"/>
      <c r="B30" s="330"/>
      <c r="C30" s="330"/>
      <c r="D30" s="330"/>
      <c r="E30" s="330"/>
      <c r="F30" s="330"/>
      <c r="G30" s="330"/>
      <c r="H30" s="330"/>
      <c r="I30" s="330"/>
      <c r="J30" s="330"/>
      <c r="K30" s="330"/>
      <c r="L30" s="330"/>
      <c r="M30" s="330"/>
      <c r="N30" s="330"/>
      <c r="O30" s="330"/>
      <c r="P30" s="330"/>
      <c r="Q30" s="330"/>
      <c r="R30" s="330"/>
      <c r="S30" s="330"/>
      <c r="T30" s="330"/>
      <c r="U30" s="330"/>
      <c r="V30" s="330"/>
      <c r="W30" s="330"/>
      <c r="X30" s="330"/>
      <c r="Y30" s="330"/>
      <c r="Z30" s="330"/>
      <c r="AA30" s="330"/>
      <c r="AB30" s="330"/>
      <c r="AC30" s="330"/>
      <c r="AD30" s="330"/>
    </row>
    <row r="31" spans="1:30" ht="12" customHeight="1" x14ac:dyDescent="0.2">
      <c r="A31" s="330"/>
      <c r="B31" s="330"/>
      <c r="C31" s="330"/>
      <c r="D31" s="330"/>
      <c r="E31" s="330"/>
      <c r="F31" s="330"/>
      <c r="G31" s="330"/>
      <c r="H31" s="330"/>
      <c r="I31" s="330"/>
      <c r="J31" s="330"/>
      <c r="K31" s="330"/>
      <c r="L31" s="330"/>
      <c r="M31" s="330"/>
      <c r="N31" s="330"/>
      <c r="O31" s="330"/>
      <c r="P31" s="330"/>
      <c r="Q31" s="330"/>
      <c r="R31" s="330"/>
      <c r="S31" s="330"/>
      <c r="T31" s="330"/>
      <c r="U31" s="330"/>
      <c r="V31" s="330"/>
      <c r="W31" s="330"/>
      <c r="X31" s="330"/>
      <c r="Y31" s="330"/>
      <c r="Z31" s="330"/>
      <c r="AA31" s="330"/>
      <c r="AB31" s="330"/>
      <c r="AC31" s="330"/>
      <c r="AD31" s="330"/>
    </row>
    <row r="32" spans="1:30" ht="12" customHeight="1" x14ac:dyDescent="0.2">
      <c r="A32" s="330"/>
      <c r="B32" s="330"/>
      <c r="C32" s="330"/>
      <c r="D32" s="330"/>
      <c r="E32" s="330"/>
      <c r="F32" s="330"/>
      <c r="G32" s="330"/>
      <c r="H32" s="330"/>
      <c r="I32" s="330"/>
      <c r="J32" s="330"/>
      <c r="K32" s="330"/>
      <c r="L32" s="330"/>
      <c r="M32" s="330"/>
      <c r="N32" s="330"/>
      <c r="O32" s="330"/>
      <c r="P32" s="330"/>
      <c r="Q32" s="330"/>
      <c r="R32" s="330"/>
      <c r="S32" s="330"/>
      <c r="T32" s="330"/>
      <c r="U32" s="330"/>
      <c r="V32" s="330"/>
      <c r="W32" s="330"/>
      <c r="X32" s="330"/>
      <c r="Y32" s="330"/>
      <c r="Z32" s="330"/>
      <c r="AA32" s="330"/>
      <c r="AB32" s="330"/>
      <c r="AC32" s="330"/>
      <c r="AD32" s="330"/>
    </row>
    <row r="33" spans="1:30" ht="12" customHeight="1" x14ac:dyDescent="0.2">
      <c r="A33" s="330"/>
      <c r="B33" s="330"/>
      <c r="C33" s="330"/>
      <c r="D33" s="330"/>
      <c r="E33" s="330"/>
      <c r="F33" s="330"/>
      <c r="G33" s="330"/>
      <c r="H33" s="330"/>
      <c r="I33" s="330"/>
      <c r="J33" s="330"/>
      <c r="K33" s="330"/>
      <c r="L33" s="330"/>
      <c r="M33" s="330"/>
      <c r="N33" s="330"/>
      <c r="O33" s="330"/>
      <c r="P33" s="330"/>
      <c r="Q33" s="330"/>
      <c r="R33" s="330"/>
      <c r="S33" s="330"/>
      <c r="T33" s="330"/>
      <c r="U33" s="330"/>
      <c r="V33" s="330"/>
      <c r="W33" s="330"/>
      <c r="X33" s="330"/>
      <c r="Y33" s="330"/>
      <c r="Z33" s="330"/>
      <c r="AA33" s="330"/>
      <c r="AB33" s="330"/>
      <c r="AC33" s="330"/>
      <c r="AD33" s="330"/>
    </row>
    <row r="34" spans="1:30" ht="12" customHeight="1" x14ac:dyDescent="0.2">
      <c r="A34" s="330"/>
      <c r="B34" s="330"/>
      <c r="C34" s="330"/>
      <c r="D34" s="330"/>
      <c r="E34" s="330"/>
      <c r="F34" s="330"/>
      <c r="G34" s="330"/>
      <c r="H34" s="330"/>
      <c r="I34" s="330"/>
      <c r="J34" s="330"/>
      <c r="K34" s="330"/>
      <c r="L34" s="330"/>
      <c r="M34" s="330"/>
      <c r="N34" s="330"/>
      <c r="O34" s="330"/>
      <c r="P34" s="330"/>
      <c r="Q34" s="330"/>
      <c r="R34" s="330"/>
      <c r="S34" s="330"/>
      <c r="T34" s="330"/>
      <c r="U34" s="330"/>
      <c r="V34" s="330"/>
      <c r="W34" s="330"/>
      <c r="X34" s="330"/>
      <c r="Y34" s="330"/>
      <c r="Z34" s="330"/>
      <c r="AA34" s="330"/>
      <c r="AB34" s="330"/>
      <c r="AC34" s="330"/>
      <c r="AD34" s="330"/>
    </row>
    <row r="35" spans="1:30" ht="12" customHeight="1" x14ac:dyDescent="0.2">
      <c r="A35" s="330"/>
      <c r="B35" s="330"/>
      <c r="C35" s="330"/>
      <c r="D35" s="330"/>
      <c r="E35" s="330"/>
      <c r="F35" s="330"/>
      <c r="G35" s="330"/>
      <c r="H35" s="330"/>
      <c r="I35" s="330"/>
      <c r="J35" s="330"/>
      <c r="K35" s="330"/>
      <c r="L35" s="330"/>
      <c r="M35" s="330"/>
      <c r="N35" s="330"/>
      <c r="O35" s="330"/>
      <c r="P35" s="330"/>
      <c r="Q35" s="330"/>
      <c r="R35" s="330"/>
      <c r="S35" s="330"/>
      <c r="T35" s="330"/>
      <c r="U35" s="330"/>
      <c r="V35" s="330"/>
      <c r="W35" s="330"/>
      <c r="X35" s="330"/>
      <c r="Y35" s="330"/>
      <c r="Z35" s="330"/>
      <c r="AA35" s="330"/>
      <c r="AB35" s="330"/>
      <c r="AC35" s="330"/>
      <c r="AD35" s="330"/>
    </row>
    <row r="36" spans="1:30" ht="12" customHeight="1" x14ac:dyDescent="0.2">
      <c r="A36" s="330"/>
      <c r="B36" s="330"/>
      <c r="C36" s="330"/>
      <c r="D36" s="330"/>
      <c r="E36" s="330"/>
      <c r="F36" s="330"/>
      <c r="G36" s="330"/>
      <c r="H36" s="330"/>
      <c r="I36" s="330"/>
      <c r="J36" s="330"/>
      <c r="K36" s="330"/>
      <c r="L36" s="330"/>
      <c r="M36" s="330"/>
      <c r="N36" s="330"/>
      <c r="O36" s="330"/>
      <c r="P36" s="330"/>
      <c r="Q36" s="330"/>
      <c r="R36" s="330"/>
      <c r="S36" s="330"/>
      <c r="T36" s="330"/>
      <c r="U36" s="330"/>
      <c r="V36" s="330"/>
      <c r="W36" s="330"/>
      <c r="X36" s="330"/>
      <c r="Y36" s="330"/>
      <c r="Z36" s="330"/>
      <c r="AA36" s="330"/>
      <c r="AB36" s="330"/>
      <c r="AC36" s="330"/>
      <c r="AD36" s="330"/>
    </row>
    <row r="37" spans="1:30" ht="12" customHeight="1" x14ac:dyDescent="0.2">
      <c r="A37" s="330"/>
      <c r="B37" s="330"/>
      <c r="C37" s="330"/>
      <c r="D37" s="330"/>
      <c r="E37" s="330"/>
      <c r="F37" s="330"/>
      <c r="G37" s="330"/>
      <c r="H37" s="330"/>
      <c r="I37" s="330"/>
      <c r="J37" s="330"/>
      <c r="K37" s="330"/>
      <c r="L37" s="330"/>
      <c r="M37" s="330"/>
      <c r="N37" s="330"/>
      <c r="O37" s="330"/>
      <c r="P37" s="330"/>
      <c r="Q37" s="330"/>
      <c r="R37" s="330"/>
      <c r="S37" s="330"/>
      <c r="T37" s="330"/>
      <c r="U37" s="330"/>
      <c r="V37" s="330"/>
      <c r="W37" s="330"/>
      <c r="X37" s="330"/>
      <c r="Y37" s="330"/>
      <c r="Z37" s="330"/>
      <c r="AA37" s="330"/>
      <c r="AB37" s="330"/>
      <c r="AC37" s="330"/>
      <c r="AD37" s="330"/>
    </row>
    <row r="38" spans="1:30" ht="12" customHeight="1" x14ac:dyDescent="0.2">
      <c r="A38" s="330"/>
      <c r="B38" s="330"/>
      <c r="C38" s="330"/>
      <c r="D38" s="330"/>
      <c r="E38" s="330"/>
      <c r="F38" s="330"/>
      <c r="G38" s="330"/>
      <c r="H38" s="330"/>
      <c r="I38" s="330"/>
      <c r="J38" s="330"/>
      <c r="K38" s="330"/>
      <c r="L38" s="330"/>
      <c r="M38" s="330"/>
      <c r="N38" s="330"/>
      <c r="O38" s="330"/>
      <c r="P38" s="330"/>
      <c r="Q38" s="330"/>
      <c r="R38" s="330"/>
      <c r="S38" s="330"/>
      <c r="T38" s="330"/>
      <c r="U38" s="330"/>
      <c r="V38" s="330"/>
      <c r="W38" s="330"/>
      <c r="X38" s="330"/>
      <c r="Y38" s="330"/>
      <c r="Z38" s="330"/>
      <c r="AA38" s="330"/>
      <c r="AB38" s="330"/>
      <c r="AC38" s="330"/>
      <c r="AD38" s="330"/>
    </row>
    <row r="39" spans="1:30" ht="12" customHeight="1" x14ac:dyDescent="0.2">
      <c r="A39" s="330"/>
      <c r="B39" s="330"/>
      <c r="C39" s="330"/>
      <c r="D39" s="330"/>
      <c r="E39" s="330"/>
      <c r="F39" s="330"/>
      <c r="G39" s="330"/>
      <c r="H39" s="330"/>
      <c r="I39" s="330"/>
      <c r="J39" s="330"/>
      <c r="K39" s="330"/>
      <c r="L39" s="330"/>
      <c r="M39" s="330"/>
      <c r="N39" s="330"/>
      <c r="O39" s="330"/>
      <c r="P39" s="330"/>
      <c r="Q39" s="330"/>
      <c r="R39" s="330"/>
      <c r="S39" s="330"/>
      <c r="T39" s="330"/>
      <c r="U39" s="330"/>
      <c r="V39" s="330"/>
      <c r="W39" s="330"/>
      <c r="X39" s="330"/>
      <c r="Y39" s="330"/>
      <c r="Z39" s="330"/>
      <c r="AA39" s="330"/>
      <c r="AB39" s="330"/>
      <c r="AC39" s="330"/>
      <c r="AD39" s="330"/>
    </row>
    <row r="40" spans="1:30" ht="12" customHeight="1" x14ac:dyDescent="0.2">
      <c r="A40" s="330"/>
      <c r="B40" s="330"/>
      <c r="C40" s="330"/>
      <c r="D40" s="330"/>
      <c r="E40" s="330"/>
      <c r="F40" s="330"/>
      <c r="G40" s="330"/>
      <c r="H40" s="330"/>
      <c r="I40" s="330"/>
      <c r="J40" s="330"/>
      <c r="K40" s="330"/>
      <c r="L40" s="330"/>
      <c r="M40" s="330"/>
      <c r="N40" s="330"/>
      <c r="O40" s="330"/>
      <c r="P40" s="330"/>
      <c r="Q40" s="330"/>
      <c r="R40" s="330"/>
      <c r="S40" s="330"/>
      <c r="T40" s="330"/>
      <c r="U40" s="330"/>
      <c r="V40" s="330"/>
      <c r="W40" s="330"/>
      <c r="X40" s="330"/>
      <c r="Y40" s="330"/>
      <c r="Z40" s="330"/>
      <c r="AA40" s="330"/>
      <c r="AB40" s="330"/>
      <c r="AC40" s="330"/>
      <c r="AD40" s="330"/>
    </row>
    <row r="41" spans="1:30" ht="12" customHeight="1" x14ac:dyDescent="0.2">
      <c r="A41" s="330"/>
      <c r="B41" s="330"/>
      <c r="C41" s="330"/>
      <c r="D41" s="330"/>
      <c r="E41" s="330"/>
      <c r="F41" s="330"/>
      <c r="G41" s="330"/>
      <c r="H41" s="330"/>
      <c r="I41" s="330"/>
      <c r="J41" s="330"/>
      <c r="K41" s="330"/>
      <c r="L41" s="330"/>
      <c r="M41" s="330"/>
      <c r="N41" s="330"/>
      <c r="O41" s="330"/>
      <c r="P41" s="330"/>
      <c r="Q41" s="330"/>
      <c r="R41" s="330"/>
      <c r="S41" s="330"/>
      <c r="T41" s="330"/>
      <c r="U41" s="330"/>
      <c r="V41" s="330"/>
      <c r="W41" s="330"/>
      <c r="X41" s="330"/>
      <c r="Y41" s="330"/>
      <c r="Z41" s="330"/>
      <c r="AA41" s="330"/>
      <c r="AB41" s="330"/>
      <c r="AC41" s="330"/>
      <c r="AD41" s="330"/>
    </row>
    <row r="42" spans="1:30" ht="12" customHeight="1" x14ac:dyDescent="0.2">
      <c r="A42" s="330"/>
      <c r="B42" s="330"/>
      <c r="C42" s="330"/>
      <c r="D42" s="330"/>
      <c r="E42" s="330"/>
      <c r="F42" s="330"/>
      <c r="G42" s="330"/>
      <c r="H42" s="330"/>
      <c r="I42" s="330"/>
      <c r="J42" s="330"/>
      <c r="K42" s="330"/>
      <c r="L42" s="330"/>
      <c r="M42" s="330"/>
      <c r="N42" s="330"/>
      <c r="O42" s="330"/>
      <c r="P42" s="330"/>
      <c r="Q42" s="330"/>
      <c r="R42" s="330"/>
      <c r="S42" s="330"/>
      <c r="T42" s="330"/>
      <c r="U42" s="330"/>
      <c r="V42" s="330"/>
      <c r="W42" s="330"/>
      <c r="X42" s="330"/>
      <c r="Y42" s="330"/>
      <c r="Z42" s="330"/>
      <c r="AA42" s="330"/>
      <c r="AB42" s="330"/>
      <c r="AC42" s="330"/>
      <c r="AD42" s="330"/>
    </row>
    <row r="43" spans="1:30" ht="12" customHeight="1" x14ac:dyDescent="0.2">
      <c r="A43" s="330"/>
      <c r="B43" s="330"/>
      <c r="C43" s="330"/>
      <c r="D43" s="330"/>
      <c r="E43" s="330"/>
      <c r="F43" s="330"/>
      <c r="G43" s="330"/>
      <c r="H43" s="330"/>
      <c r="I43" s="330"/>
      <c r="J43" s="330"/>
      <c r="K43" s="330"/>
      <c r="L43" s="330"/>
      <c r="M43" s="330"/>
      <c r="N43" s="330"/>
      <c r="O43" s="330"/>
      <c r="P43" s="330"/>
      <c r="Q43" s="330"/>
      <c r="R43" s="330"/>
      <c r="S43" s="330"/>
      <c r="T43" s="330"/>
      <c r="U43" s="330"/>
      <c r="V43" s="330"/>
      <c r="W43" s="330"/>
      <c r="X43" s="330"/>
      <c r="Y43" s="330"/>
      <c r="Z43" s="330"/>
      <c r="AA43" s="330"/>
      <c r="AB43" s="330"/>
      <c r="AC43" s="330"/>
      <c r="AD43" s="330"/>
    </row>
    <row r="44" spans="1:30" ht="12" customHeight="1" x14ac:dyDescent="0.2">
      <c r="A44" s="330"/>
      <c r="B44" s="330"/>
      <c r="C44" s="330"/>
      <c r="D44" s="330"/>
      <c r="E44" s="330"/>
      <c r="F44" s="330"/>
      <c r="G44" s="330"/>
      <c r="H44" s="330"/>
      <c r="I44" s="330"/>
      <c r="J44" s="330"/>
      <c r="K44" s="330"/>
      <c r="L44" s="330"/>
      <c r="M44" s="330"/>
      <c r="N44" s="330"/>
      <c r="O44" s="330"/>
      <c r="P44" s="330"/>
      <c r="Q44" s="330"/>
      <c r="R44" s="330"/>
      <c r="S44" s="330"/>
      <c r="T44" s="330"/>
      <c r="U44" s="330"/>
      <c r="V44" s="330"/>
      <c r="W44" s="330"/>
      <c r="X44" s="330"/>
      <c r="Y44" s="330"/>
      <c r="Z44" s="330"/>
      <c r="AA44" s="330"/>
      <c r="AB44" s="330"/>
      <c r="AC44" s="330"/>
      <c r="AD44" s="330"/>
    </row>
    <row r="45" spans="1:30" ht="12" customHeight="1" x14ac:dyDescent="0.2">
      <c r="A45" s="330"/>
      <c r="B45" s="330"/>
      <c r="C45" s="330"/>
      <c r="D45" s="330"/>
      <c r="E45" s="330"/>
      <c r="F45" s="330"/>
      <c r="G45" s="330"/>
      <c r="H45" s="330"/>
      <c r="I45" s="330"/>
      <c r="J45" s="330"/>
      <c r="K45" s="330"/>
      <c r="L45" s="330"/>
      <c r="M45" s="330"/>
      <c r="N45" s="330"/>
      <c r="O45" s="330"/>
      <c r="P45" s="330"/>
      <c r="Q45" s="330"/>
      <c r="R45" s="330"/>
      <c r="S45" s="330"/>
      <c r="T45" s="330"/>
      <c r="U45" s="330"/>
      <c r="V45" s="330"/>
      <c r="W45" s="330"/>
      <c r="X45" s="330"/>
      <c r="Y45" s="330"/>
      <c r="Z45" s="330"/>
      <c r="AA45" s="330"/>
      <c r="AB45" s="330"/>
      <c r="AC45" s="330"/>
      <c r="AD45" s="330"/>
    </row>
    <row r="46" spans="1:30" ht="12" customHeight="1" x14ac:dyDescent="0.2">
      <c r="A46" s="330"/>
      <c r="B46" s="330"/>
      <c r="C46" s="330"/>
      <c r="D46" s="330"/>
      <c r="E46" s="330"/>
      <c r="F46" s="330"/>
      <c r="G46" s="330"/>
      <c r="H46" s="330"/>
      <c r="I46" s="330"/>
      <c r="J46" s="330"/>
      <c r="K46" s="330"/>
      <c r="L46" s="330"/>
      <c r="M46" s="330"/>
      <c r="N46" s="330"/>
      <c r="O46" s="330"/>
      <c r="P46" s="330"/>
      <c r="Q46" s="330"/>
      <c r="R46" s="330"/>
      <c r="S46" s="330"/>
      <c r="T46" s="330"/>
      <c r="U46" s="330"/>
      <c r="V46" s="330"/>
      <c r="W46" s="330"/>
      <c r="X46" s="330"/>
      <c r="Y46" s="330"/>
      <c r="Z46" s="330"/>
      <c r="AA46" s="330"/>
      <c r="AB46" s="330"/>
      <c r="AC46" s="330"/>
      <c r="AD46" s="330"/>
    </row>
    <row r="47" spans="1:30" ht="12" customHeight="1" x14ac:dyDescent="0.2">
      <c r="A47" s="330"/>
      <c r="B47" s="330"/>
      <c r="C47" s="330"/>
      <c r="D47" s="330"/>
      <c r="E47" s="330"/>
      <c r="F47" s="330"/>
      <c r="G47" s="330"/>
      <c r="H47" s="330"/>
      <c r="I47" s="330"/>
      <c r="J47" s="330"/>
      <c r="K47" s="330"/>
      <c r="L47" s="330"/>
      <c r="M47" s="330"/>
      <c r="N47" s="330"/>
      <c r="O47" s="330"/>
      <c r="P47" s="330"/>
      <c r="Q47" s="330"/>
      <c r="R47" s="330"/>
      <c r="S47" s="330"/>
      <c r="T47" s="330"/>
      <c r="U47" s="330"/>
      <c r="V47" s="330"/>
      <c r="W47" s="330"/>
      <c r="X47" s="330"/>
      <c r="Y47" s="330"/>
      <c r="Z47" s="330"/>
      <c r="AA47" s="330"/>
      <c r="AB47" s="330"/>
      <c r="AC47" s="330"/>
      <c r="AD47" s="330"/>
    </row>
    <row r="48" spans="1:30" ht="12" customHeight="1" x14ac:dyDescent="0.2">
      <c r="A48" s="330"/>
      <c r="B48" s="330"/>
      <c r="C48" s="330"/>
      <c r="D48" s="330"/>
      <c r="E48" s="330"/>
      <c r="F48" s="330"/>
      <c r="G48" s="330"/>
      <c r="H48" s="330"/>
      <c r="I48" s="330"/>
      <c r="J48" s="330"/>
      <c r="K48" s="330"/>
      <c r="L48" s="330"/>
      <c r="M48" s="330"/>
      <c r="N48" s="330"/>
      <c r="O48" s="330"/>
      <c r="P48" s="330"/>
      <c r="Q48" s="330"/>
      <c r="R48" s="330"/>
      <c r="S48" s="330"/>
      <c r="T48" s="330"/>
      <c r="U48" s="330"/>
      <c r="V48" s="330"/>
      <c r="W48" s="330"/>
      <c r="X48" s="330"/>
      <c r="Y48" s="330"/>
      <c r="Z48" s="330"/>
      <c r="AA48" s="330"/>
      <c r="AB48" s="330"/>
      <c r="AC48" s="330"/>
      <c r="AD48" s="330"/>
    </row>
    <row r="49" spans="1:30" ht="12" customHeight="1" x14ac:dyDescent="0.2">
      <c r="A49" s="330"/>
      <c r="B49" s="330"/>
      <c r="C49" s="330"/>
      <c r="D49" s="330"/>
      <c r="E49" s="330"/>
      <c r="F49" s="330"/>
      <c r="G49" s="330"/>
      <c r="H49" s="330"/>
      <c r="I49" s="330"/>
      <c r="J49" s="330"/>
      <c r="K49" s="330"/>
      <c r="L49" s="330"/>
      <c r="M49" s="330"/>
      <c r="N49" s="330"/>
      <c r="O49" s="330"/>
      <c r="P49" s="330"/>
      <c r="Q49" s="330"/>
      <c r="R49" s="330"/>
      <c r="S49" s="330"/>
      <c r="T49" s="330"/>
      <c r="U49" s="330"/>
      <c r="V49" s="330"/>
      <c r="W49" s="330"/>
      <c r="X49" s="330"/>
      <c r="Y49" s="330"/>
      <c r="Z49" s="330"/>
      <c r="AA49" s="330"/>
      <c r="AB49" s="330"/>
      <c r="AC49" s="330"/>
      <c r="AD49" s="330"/>
    </row>
    <row r="50" spans="1:30" ht="12" customHeight="1" x14ac:dyDescent="0.2">
      <c r="A50" s="330"/>
      <c r="B50" s="330"/>
      <c r="C50" s="330"/>
      <c r="D50" s="330"/>
      <c r="E50" s="330"/>
      <c r="F50" s="330"/>
      <c r="G50" s="330"/>
      <c r="H50" s="330"/>
      <c r="I50" s="330"/>
      <c r="J50" s="330"/>
      <c r="K50" s="330"/>
      <c r="L50" s="330"/>
      <c r="M50" s="330"/>
      <c r="N50" s="330"/>
      <c r="O50" s="330"/>
      <c r="P50" s="330"/>
      <c r="Q50" s="330"/>
      <c r="R50" s="330"/>
      <c r="S50" s="330"/>
      <c r="T50" s="330"/>
      <c r="U50" s="330"/>
      <c r="V50" s="330"/>
      <c r="W50" s="330"/>
      <c r="X50" s="330"/>
      <c r="Y50" s="330"/>
      <c r="Z50" s="330"/>
      <c r="AA50" s="330"/>
      <c r="AB50" s="330"/>
      <c r="AC50" s="330"/>
      <c r="AD50" s="330"/>
    </row>
    <row r="51" spans="1:30" ht="12" customHeight="1" x14ac:dyDescent="0.2">
      <c r="A51" s="330"/>
      <c r="B51" s="330"/>
      <c r="C51" s="330"/>
      <c r="D51" s="330"/>
      <c r="E51" s="330"/>
      <c r="F51" s="330"/>
      <c r="G51" s="330"/>
      <c r="H51" s="330"/>
      <c r="I51" s="330"/>
      <c r="J51" s="330"/>
      <c r="K51" s="330"/>
      <c r="L51" s="330"/>
      <c r="M51" s="330"/>
      <c r="N51" s="330"/>
      <c r="O51" s="330"/>
      <c r="P51" s="330"/>
      <c r="Q51" s="330"/>
      <c r="R51" s="330"/>
      <c r="S51" s="330"/>
      <c r="T51" s="330"/>
      <c r="U51" s="330"/>
      <c r="V51" s="330"/>
      <c r="W51" s="330"/>
      <c r="X51" s="330"/>
      <c r="Y51" s="330"/>
      <c r="Z51" s="330"/>
      <c r="AA51" s="330"/>
      <c r="AB51" s="330"/>
      <c r="AC51" s="330"/>
      <c r="AD51" s="330"/>
    </row>
    <row r="52" spans="1:30" ht="12" customHeight="1" x14ac:dyDescent="0.2">
      <c r="A52" s="330"/>
      <c r="B52" s="330"/>
      <c r="C52" s="330"/>
      <c r="D52" s="330"/>
      <c r="E52" s="330"/>
      <c r="F52" s="330"/>
      <c r="G52" s="330"/>
      <c r="H52" s="330"/>
      <c r="I52" s="330"/>
      <c r="J52" s="330"/>
      <c r="K52" s="330"/>
      <c r="L52" s="330"/>
      <c r="M52" s="330"/>
      <c r="N52" s="330"/>
      <c r="O52" s="330"/>
      <c r="P52" s="330"/>
      <c r="Q52" s="330"/>
      <c r="R52" s="330"/>
      <c r="S52" s="330"/>
      <c r="T52" s="330"/>
      <c r="U52" s="330"/>
      <c r="V52" s="330"/>
      <c r="W52" s="330"/>
      <c r="X52" s="330"/>
      <c r="Y52" s="330"/>
      <c r="Z52" s="330"/>
      <c r="AA52" s="330"/>
      <c r="AB52" s="330"/>
      <c r="AC52" s="330"/>
      <c r="AD52" s="330"/>
    </row>
    <row r="53" spans="1:30" ht="12" customHeight="1" x14ac:dyDescent="0.2"/>
    <row r="54" spans="1:30" ht="12" customHeight="1" x14ac:dyDescent="0.2"/>
    <row r="55" spans="1:30" ht="12" customHeight="1" x14ac:dyDescent="0.2"/>
    <row r="56" spans="1:30" ht="12" customHeight="1" x14ac:dyDescent="0.2"/>
    <row r="57" spans="1:30" ht="12" customHeight="1" x14ac:dyDescent="0.2"/>
    <row r="58" spans="1:30" ht="12" customHeight="1" x14ac:dyDescent="0.2"/>
    <row r="59" spans="1:30" ht="12" customHeight="1" x14ac:dyDescent="0.2"/>
    <row r="60" spans="1:30" ht="12" customHeight="1" x14ac:dyDescent="0.2"/>
    <row r="61" spans="1:30" ht="12" customHeight="1" x14ac:dyDescent="0.2"/>
    <row r="62" spans="1:30" ht="12" customHeight="1" x14ac:dyDescent="0.2"/>
    <row r="63" spans="1:30" ht="12" customHeight="1" x14ac:dyDescent="0.2"/>
    <row r="64" spans="1:30" ht="12" customHeight="1" x14ac:dyDescent="0.2"/>
    <row r="65" ht="12" customHeight="1" x14ac:dyDescent="0.2"/>
    <row r="66" ht="12" customHeight="1" x14ac:dyDescent="0.2"/>
  </sheetData>
  <sheetProtection sheet="1" objects="1" scenarios="1"/>
  <mergeCells count="26">
    <mergeCell ref="I2:P2"/>
    <mergeCell ref="B21:J21"/>
    <mergeCell ref="C22:J22"/>
    <mergeCell ref="C23:J23"/>
    <mergeCell ref="M22:P23"/>
    <mergeCell ref="B5:E5"/>
    <mergeCell ref="B6:E6"/>
    <mergeCell ref="B9:B11"/>
    <mergeCell ref="B19:M19"/>
    <mergeCell ref="C9:D9"/>
    <mergeCell ref="H10:I10"/>
    <mergeCell ref="B2:G2"/>
    <mergeCell ref="B4:E4"/>
    <mergeCell ref="B7:E7"/>
    <mergeCell ref="L9:L11"/>
    <mergeCell ref="K9:K11"/>
    <mergeCell ref="Z9:AD9"/>
    <mergeCell ref="N9:N11"/>
    <mergeCell ref="O9:O11"/>
    <mergeCell ref="P9:P11"/>
    <mergeCell ref="M9:M11"/>
    <mergeCell ref="J9:J11"/>
    <mergeCell ref="C10:C11"/>
    <mergeCell ref="D10:D11"/>
    <mergeCell ref="E10:G10"/>
    <mergeCell ref="E9:I9"/>
  </mergeCells>
  <phoneticPr fontId="50" type="noConversion"/>
  <conditionalFormatting sqref="N19">
    <cfRule type="expression" dxfId="17" priority="1" stopIfTrue="1">
      <formula>IF(ISERROR($N19),TRUE,FALSE)</formula>
    </cfRule>
  </conditionalFormatting>
  <conditionalFormatting sqref="N12:O17 J12:J17">
    <cfRule type="expression" dxfId="16" priority="2" stopIfTrue="1">
      <formula>IF(OR($L12=0,$L12="",$F$4=0,$F$4="",$F$5=0,$F$5="",$F$6=0,$F$6=""),TRUE,FALSE)</formula>
    </cfRule>
  </conditionalFormatting>
  <conditionalFormatting sqref="P12:P17">
    <cfRule type="expression" dxfId="15" priority="3" stopIfTrue="1">
      <formula>IF(OR($L12=0,$L12="",$F$4=0,$F$4="",$F$5=0,$F$5="",$F$6=0,$F$6=""),TRUE,FALSE)</formula>
    </cfRule>
    <cfRule type="cellIs" dxfId="14" priority="4" stopIfTrue="1" operator="greaterThan">
      <formula>$O12</formula>
    </cfRule>
  </conditionalFormatting>
  <conditionalFormatting sqref="O19">
    <cfRule type="expression" dxfId="13" priority="5" stopIfTrue="1">
      <formula>IF(OR($F$4=0,$F$4="",$F$5=0,$F$5="",$F$6=0,$F$6=""),TRUE,FALSE)</formula>
    </cfRule>
    <cfRule type="expression" dxfId="12" priority="6" stopIfTrue="1">
      <formula>IF(ISERROR($N19),TRUE,FALSE)</formula>
    </cfRule>
  </conditionalFormatting>
  <conditionalFormatting sqref="P19">
    <cfRule type="expression" dxfId="11" priority="7" stopIfTrue="1">
      <formula>IF(ISERROR($P19),TRUE,FALSE)</formula>
    </cfRule>
    <cfRule type="expression" dxfId="10" priority="8" stopIfTrue="1">
      <formula>IF(OR($F$4=0,$F$4="",$F$5=0,$F$5="",$F$6=0,$F$6=""),TRUE,FALSE)</formula>
    </cfRule>
    <cfRule type="cellIs" dxfId="9" priority="9" stopIfTrue="1" operator="greaterThan">
      <formula>$O19</formula>
    </cfRule>
  </conditionalFormatting>
  <dataValidations count="2">
    <dataValidation allowBlank="1" showInputMessage="1" showErrorMessage="1" errorTitle="INVALID EVAPORATOR TEMPERATURE" error="EVAPORATOR TEMPERATURE MUST BE A NUMBER BETWEEN -30°F AND +20°F AS INDICATED IN TABLE No.2" sqref="F4" xr:uid="{E6E50C0B-43D9-4166-91DC-DC34F7D0741C}"/>
    <dataValidation type="whole" operator="greaterThan" allowBlank="1" showInputMessage="1" showErrorMessage="1" errorTitle="INVALID ENTRY" error="EVAPORATOR COIL QUANTITY HAS TO BE A POSITIVE WHOLE NUMBER." sqref="L12:L17" xr:uid="{DEF2F237-2EAB-472E-952E-DA680AF8F355}">
      <formula1>0</formula1>
    </dataValidation>
  </dataValidations>
  <printOptions horizontalCentered="1" verticalCentered="1"/>
  <pageMargins left="0.75" right="0.75" top="1" bottom="1" header="0.5" footer="0.5"/>
  <pageSetup scale="89" orientation="landscape" r:id="rId1"/>
  <headerFooter alignWithMargins="0"/>
  <drawing r:id="rId2"/>
  <legacyDrawing r:id="rId3"/>
  <controls>
    <mc:AlternateContent xmlns:mc="http://schemas.openxmlformats.org/markup-compatibility/2006">
      <mc:Choice Requires="x14">
        <control shapeId="205831" r:id="rId4" name="CommandButton2">
          <controlPr defaultSize="0" print="0" autoFill="0" autoLine="0" r:id="rId5">
            <anchor moveWithCells="1">
              <from>
                <xdr:col>12</xdr:col>
                <xdr:colOff>133350</xdr:colOff>
                <xdr:row>3</xdr:row>
                <xdr:rowOff>47625</xdr:rowOff>
              </from>
              <to>
                <xdr:col>14</xdr:col>
                <xdr:colOff>0</xdr:colOff>
                <xdr:row>6</xdr:row>
                <xdr:rowOff>85725</xdr:rowOff>
              </to>
            </anchor>
          </controlPr>
        </control>
      </mc:Choice>
      <mc:Fallback>
        <control shapeId="205831" r:id="rId4" name="CommandButton2"/>
      </mc:Fallback>
    </mc:AlternateContent>
    <mc:AlternateContent xmlns:mc="http://schemas.openxmlformats.org/markup-compatibility/2006">
      <mc:Choice Requires="x14">
        <control shapeId="205828" r:id="rId6" name="CommandButton1">
          <controlPr defaultSize="0" print="0" autoFill="0" autoLine="0" r:id="rId7">
            <anchor moveWithCells="1">
              <from>
                <xdr:col>14</xdr:col>
                <xdr:colOff>180975</xdr:colOff>
                <xdr:row>3</xdr:row>
                <xdr:rowOff>47625</xdr:rowOff>
              </from>
              <to>
                <xdr:col>16</xdr:col>
                <xdr:colOff>0</xdr:colOff>
                <xdr:row>6</xdr:row>
                <xdr:rowOff>85725</xdr:rowOff>
              </to>
            </anchor>
          </controlPr>
        </control>
      </mc:Choice>
      <mc:Fallback>
        <control shapeId="205828" r:id="rId6" name="CommandButton1"/>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1E995-BEEC-472F-AE81-61C1C877B77D}">
  <sheetPr codeName="Sheet12">
    <tabColor indexed="27"/>
    <pageSetUpPr fitToPage="1"/>
  </sheetPr>
  <dimension ref="A1:AD70"/>
  <sheetViews>
    <sheetView workbookViewId="0">
      <selection activeCell="F4" sqref="F4"/>
    </sheetView>
  </sheetViews>
  <sheetFormatPr defaultRowHeight="11.25" x14ac:dyDescent="0.2"/>
  <cols>
    <col min="1" max="1" width="0.85546875" style="333" customWidth="1"/>
    <col min="2" max="15" width="9" style="333" customWidth="1"/>
    <col min="16" max="16" width="9.7109375" style="333" customWidth="1"/>
    <col min="17" max="17" width="0.85546875" style="333" customWidth="1"/>
    <col min="18" max="18" width="12" style="333" customWidth="1"/>
    <col min="19" max="21" width="9.7109375" style="333" customWidth="1"/>
    <col min="22" max="22" width="9.85546875" style="333" customWidth="1"/>
    <col min="23" max="23" width="9.42578125" style="333" customWidth="1"/>
    <col min="24" max="25" width="9.140625" style="333"/>
    <col min="26" max="27" width="9.7109375" style="333" customWidth="1"/>
    <col min="28" max="28" width="9.85546875" style="333" customWidth="1"/>
    <col min="29" max="29" width="9.7109375" style="333" customWidth="1"/>
    <col min="30" max="30" width="9.85546875" style="333" customWidth="1"/>
    <col min="31" max="16384" width="9.140625" style="333"/>
  </cols>
  <sheetData>
    <row r="1" spans="1:30" ht="5.0999999999999996" customHeight="1" thickBot="1" x14ac:dyDescent="0.25">
      <c r="A1" s="330"/>
      <c r="B1" s="331"/>
      <c r="C1" s="332"/>
      <c r="D1" s="332"/>
      <c r="E1" s="332"/>
      <c r="F1" s="332"/>
      <c r="G1" s="332"/>
      <c r="H1" s="332"/>
      <c r="I1" s="332"/>
      <c r="J1" s="332"/>
      <c r="K1" s="332"/>
      <c r="L1" s="332"/>
      <c r="M1" s="332"/>
      <c r="N1" s="332"/>
      <c r="O1" s="332"/>
      <c r="P1" s="332"/>
      <c r="Q1" s="330"/>
      <c r="R1" s="330"/>
      <c r="S1" s="330"/>
      <c r="T1" s="330"/>
      <c r="U1" s="330"/>
      <c r="V1" s="330"/>
      <c r="W1" s="330"/>
      <c r="X1" s="330"/>
      <c r="Y1" s="330"/>
      <c r="Z1" s="330"/>
      <c r="AA1" s="330"/>
      <c r="AB1" s="330"/>
      <c r="AC1" s="330"/>
      <c r="AD1" s="330"/>
    </row>
    <row r="2" spans="1:30" ht="15" customHeight="1" thickBot="1" x14ac:dyDescent="0.25">
      <c r="A2" s="330"/>
      <c r="B2" s="2127" t="s">
        <v>217</v>
      </c>
      <c r="C2" s="2128"/>
      <c r="D2" s="2128"/>
      <c r="E2" s="2128"/>
      <c r="F2" s="2128"/>
      <c r="G2" s="2129"/>
      <c r="H2" s="332"/>
      <c r="I2" s="2127" t="s">
        <v>388</v>
      </c>
      <c r="J2" s="2128"/>
      <c r="K2" s="2128"/>
      <c r="L2" s="2128"/>
      <c r="M2" s="2128"/>
      <c r="N2" s="2128"/>
      <c r="O2" s="2128"/>
      <c r="P2" s="2129"/>
      <c r="Q2" s="330"/>
      <c r="R2" s="330"/>
      <c r="S2" s="330"/>
      <c r="T2" s="330"/>
      <c r="U2" s="330"/>
      <c r="V2" s="330"/>
      <c r="W2" s="330"/>
      <c r="X2" s="330"/>
      <c r="Y2" s="330"/>
      <c r="Z2" s="330"/>
      <c r="AA2" s="330"/>
      <c r="AB2" s="330"/>
      <c r="AC2" s="330"/>
      <c r="AD2" s="330"/>
    </row>
    <row r="3" spans="1:30" ht="8.1" customHeight="1" thickBot="1" x14ac:dyDescent="0.25">
      <c r="A3" s="330"/>
      <c r="B3" s="334"/>
      <c r="C3" s="330"/>
      <c r="D3" s="330"/>
      <c r="E3" s="330"/>
      <c r="F3" s="330"/>
      <c r="G3" s="330"/>
      <c r="H3" s="330"/>
      <c r="I3" s="330"/>
      <c r="J3" s="330"/>
      <c r="K3" s="330"/>
      <c r="L3" s="330"/>
      <c r="M3" s="330"/>
      <c r="N3" s="330"/>
      <c r="O3" s="330"/>
      <c r="P3" s="330"/>
      <c r="Q3" s="330"/>
      <c r="R3" s="330"/>
      <c r="S3" s="330"/>
      <c r="T3" s="330"/>
      <c r="U3" s="330"/>
      <c r="V3" s="330"/>
      <c r="W3" s="330"/>
      <c r="X3" s="330"/>
      <c r="Y3" s="330"/>
      <c r="Z3" s="330"/>
      <c r="AA3" s="330"/>
      <c r="AB3" s="330"/>
      <c r="AC3" s="330"/>
      <c r="AD3" s="330"/>
    </row>
    <row r="4" spans="1:30" ht="12" customHeight="1" thickBot="1" x14ac:dyDescent="0.25">
      <c r="A4" s="330"/>
      <c r="B4" s="2143" t="s">
        <v>221</v>
      </c>
      <c r="C4" s="2144"/>
      <c r="D4" s="2144"/>
      <c r="E4" s="2145"/>
      <c r="F4" s="924"/>
      <c r="G4" s="335" t="s">
        <v>213</v>
      </c>
      <c r="H4" s="330"/>
      <c r="I4" s="330"/>
      <c r="J4" s="330"/>
      <c r="K4" s="330"/>
      <c r="L4" s="330"/>
      <c r="M4" s="330"/>
      <c r="N4" s="330"/>
      <c r="O4" s="330"/>
      <c r="P4" s="330"/>
      <c r="Q4" s="330"/>
      <c r="R4" s="330"/>
      <c r="S4" s="330"/>
      <c r="T4" s="330"/>
      <c r="U4" s="330"/>
      <c r="V4" s="330"/>
      <c r="W4" s="330"/>
      <c r="X4" s="330"/>
      <c r="Y4" s="330"/>
      <c r="Z4" s="330"/>
      <c r="AA4" s="330"/>
      <c r="AB4" s="330"/>
      <c r="AC4" s="330"/>
      <c r="AD4" s="330"/>
    </row>
    <row r="5" spans="1:30" ht="12" customHeight="1" thickBot="1" x14ac:dyDescent="0.25">
      <c r="A5" s="330"/>
      <c r="B5" s="2143" t="s">
        <v>220</v>
      </c>
      <c r="C5" s="2144"/>
      <c r="D5" s="2144"/>
      <c r="E5" s="2145"/>
      <c r="F5" s="925"/>
      <c r="G5" s="335" t="s">
        <v>629</v>
      </c>
      <c r="H5" s="332"/>
      <c r="I5" s="330"/>
      <c r="J5" s="330"/>
      <c r="K5" s="330"/>
      <c r="L5" s="330"/>
      <c r="M5" s="330"/>
      <c r="N5" s="330"/>
      <c r="O5" s="330"/>
      <c r="P5" s="330"/>
      <c r="Q5" s="330"/>
      <c r="R5" s="330"/>
      <c r="S5" s="330"/>
      <c r="T5" s="330"/>
      <c r="U5" s="330"/>
      <c r="V5" s="330"/>
      <c r="W5" s="330"/>
      <c r="X5" s="330"/>
      <c r="Y5" s="330"/>
      <c r="Z5" s="330"/>
      <c r="AA5" s="330"/>
      <c r="AB5" s="330"/>
      <c r="AC5" s="330"/>
      <c r="AD5" s="330"/>
    </row>
    <row r="6" spans="1:30" ht="12" customHeight="1" thickBot="1" x14ac:dyDescent="0.25">
      <c r="A6" s="330"/>
      <c r="B6" s="2143" t="s">
        <v>214</v>
      </c>
      <c r="C6" s="2144"/>
      <c r="D6" s="2144"/>
      <c r="E6" s="2144"/>
      <c r="F6" s="924"/>
      <c r="G6" s="335" t="s">
        <v>213</v>
      </c>
      <c r="H6" s="332"/>
      <c r="I6" s="330"/>
      <c r="J6" s="330"/>
      <c r="K6" s="330"/>
      <c r="L6" s="330"/>
      <c r="M6" s="330"/>
      <c r="N6" s="330"/>
      <c r="O6" s="330"/>
      <c r="P6" s="330"/>
      <c r="Q6" s="330"/>
      <c r="R6" s="330"/>
      <c r="S6" s="330"/>
      <c r="T6" s="330"/>
      <c r="U6" s="330"/>
      <c r="V6" s="330"/>
      <c r="W6" s="330"/>
      <c r="X6" s="330"/>
      <c r="Y6" s="330"/>
      <c r="Z6" s="330"/>
      <c r="AA6" s="330"/>
      <c r="AB6" s="330"/>
      <c r="AC6" s="330"/>
      <c r="AD6" s="330"/>
    </row>
    <row r="7" spans="1:30" ht="12" customHeight="1" thickBot="1" x14ac:dyDescent="0.25">
      <c r="A7" s="330"/>
      <c r="B7" s="2143" t="s">
        <v>225</v>
      </c>
      <c r="C7" s="2144"/>
      <c r="D7" s="2144"/>
      <c r="E7" s="2144"/>
      <c r="F7" s="336" t="str">
        <f>IF(OR(F4="",F6=""),"",F6-F4)</f>
        <v/>
      </c>
      <c r="G7" s="335" t="s">
        <v>213</v>
      </c>
      <c r="H7" s="332"/>
      <c r="I7" s="330"/>
      <c r="J7" s="330"/>
      <c r="K7" s="330"/>
      <c r="L7" s="330"/>
      <c r="M7" s="330"/>
      <c r="N7" s="330"/>
      <c r="O7" s="330"/>
      <c r="P7" s="330"/>
      <c r="Q7" s="330"/>
      <c r="R7" s="330"/>
      <c r="S7" s="330"/>
      <c r="T7" s="330"/>
      <c r="U7" s="330"/>
      <c r="V7" s="330"/>
      <c r="W7" s="330"/>
      <c r="X7" s="330"/>
      <c r="Y7" s="330"/>
      <c r="Z7" s="330"/>
      <c r="AA7" s="330"/>
      <c r="AB7" s="330"/>
      <c r="AC7" s="330"/>
      <c r="AD7" s="330"/>
    </row>
    <row r="8" spans="1:30" ht="8.1" customHeight="1" thickBot="1" x14ac:dyDescent="0.25">
      <c r="A8" s="330"/>
      <c r="B8" s="330"/>
      <c r="C8" s="330"/>
      <c r="D8" s="330"/>
      <c r="E8" s="330"/>
      <c r="F8" s="330"/>
      <c r="G8" s="330"/>
      <c r="H8" s="330"/>
      <c r="I8" s="330"/>
      <c r="J8" s="330"/>
      <c r="K8" s="330"/>
      <c r="L8" s="330"/>
      <c r="M8" s="330"/>
      <c r="N8" s="330"/>
      <c r="O8" s="330"/>
      <c r="P8" s="330"/>
      <c r="Q8" s="330"/>
      <c r="R8" s="330"/>
      <c r="S8" s="330"/>
      <c r="T8" s="330"/>
      <c r="U8" s="330"/>
      <c r="V8" s="330"/>
      <c r="W8" s="330"/>
      <c r="X8" s="330"/>
      <c r="Y8" s="330"/>
      <c r="Z8" s="330"/>
      <c r="AA8" s="330"/>
      <c r="AB8" s="330"/>
      <c r="AC8" s="330"/>
      <c r="AD8" s="330"/>
    </row>
    <row r="9" spans="1:30" ht="15" customHeight="1" thickBot="1" x14ac:dyDescent="0.25">
      <c r="A9" s="330"/>
      <c r="B9" s="2117" t="s">
        <v>635</v>
      </c>
      <c r="C9" s="2117" t="s">
        <v>223</v>
      </c>
      <c r="D9" s="2147"/>
      <c r="E9" s="2117" t="s">
        <v>644</v>
      </c>
      <c r="F9" s="2117"/>
      <c r="G9" s="2117"/>
      <c r="H9" s="2117"/>
      <c r="I9" s="2117"/>
      <c r="J9" s="2116" t="s">
        <v>226</v>
      </c>
      <c r="K9" s="2123" t="s">
        <v>227</v>
      </c>
      <c r="L9" s="2148" t="s">
        <v>234</v>
      </c>
      <c r="M9" s="2125" t="s">
        <v>228</v>
      </c>
      <c r="N9" s="2116" t="s">
        <v>235</v>
      </c>
      <c r="O9" s="2117" t="s">
        <v>229</v>
      </c>
      <c r="P9" s="2123" t="s">
        <v>230</v>
      </c>
      <c r="Q9" s="337"/>
      <c r="R9" s="330"/>
      <c r="S9" s="330"/>
      <c r="T9" s="330"/>
      <c r="U9" s="330"/>
      <c r="V9" s="330"/>
      <c r="W9" s="330"/>
      <c r="X9" s="330"/>
      <c r="Y9" s="338"/>
      <c r="Z9" s="2121"/>
      <c r="AA9" s="2121"/>
      <c r="AB9" s="2121"/>
      <c r="AC9" s="2121"/>
      <c r="AD9" s="2121"/>
    </row>
    <row r="10" spans="1:30" ht="15" customHeight="1" thickBot="1" x14ac:dyDescent="0.25">
      <c r="A10" s="330"/>
      <c r="B10" s="2117"/>
      <c r="C10" s="2118" t="s">
        <v>663</v>
      </c>
      <c r="D10" s="2118" t="s">
        <v>664</v>
      </c>
      <c r="E10" s="2117" t="s">
        <v>218</v>
      </c>
      <c r="F10" s="2120"/>
      <c r="G10" s="2120"/>
      <c r="H10" s="2117" t="s">
        <v>645</v>
      </c>
      <c r="I10" s="2120"/>
      <c r="J10" s="2117"/>
      <c r="K10" s="2124"/>
      <c r="L10" s="2125"/>
      <c r="M10" s="2125"/>
      <c r="N10" s="2117"/>
      <c r="O10" s="2117"/>
      <c r="P10" s="2124"/>
      <c r="Q10" s="337"/>
      <c r="R10" s="330"/>
      <c r="S10" s="330"/>
      <c r="T10" s="330"/>
      <c r="U10" s="330"/>
      <c r="V10" s="330"/>
      <c r="W10" s="330"/>
      <c r="X10" s="330"/>
      <c r="Y10" s="338"/>
      <c r="Z10" s="338"/>
      <c r="AA10" s="338"/>
      <c r="AB10" s="338"/>
      <c r="AC10" s="338"/>
      <c r="AD10" s="338"/>
    </row>
    <row r="11" spans="1:30" ht="35.1" customHeight="1" thickBot="1" x14ac:dyDescent="0.25">
      <c r="A11" s="330"/>
      <c r="B11" s="2118"/>
      <c r="C11" s="2119"/>
      <c r="D11" s="2119"/>
      <c r="E11" s="83" t="s">
        <v>231</v>
      </c>
      <c r="F11" s="83" t="s">
        <v>232</v>
      </c>
      <c r="G11" s="83" t="s">
        <v>233</v>
      </c>
      <c r="H11" s="83" t="s">
        <v>232</v>
      </c>
      <c r="I11" s="83" t="s">
        <v>233</v>
      </c>
      <c r="J11" s="2118"/>
      <c r="K11" s="2124"/>
      <c r="L11" s="2123"/>
      <c r="M11" s="2126"/>
      <c r="N11" s="2122"/>
      <c r="O11" s="2122"/>
      <c r="P11" s="2124"/>
      <c r="Q11" s="340"/>
      <c r="R11" s="330"/>
      <c r="S11" s="330"/>
      <c r="T11" s="330"/>
      <c r="U11" s="330"/>
      <c r="V11" s="330"/>
      <c r="W11" s="330"/>
      <c r="X11" s="330"/>
      <c r="Y11" s="338"/>
      <c r="Z11" s="341"/>
      <c r="AA11" s="341"/>
      <c r="AB11" s="341"/>
      <c r="AC11" s="341"/>
      <c r="AD11" s="341"/>
    </row>
    <row r="12" spans="1:30" ht="12" customHeight="1" x14ac:dyDescent="0.2">
      <c r="A12" s="330"/>
      <c r="B12" s="342" t="s">
        <v>389</v>
      </c>
      <c r="C12" s="343">
        <v>0.52</v>
      </c>
      <c r="D12" s="344">
        <f t="shared" ref="D12:D21" si="0">+SUM(C12*10)</f>
        <v>5.2</v>
      </c>
      <c r="E12" s="343">
        <v>0.8</v>
      </c>
      <c r="F12" s="345">
        <v>0.5</v>
      </c>
      <c r="G12" s="345" t="s">
        <v>666</v>
      </c>
      <c r="H12" s="345" t="s">
        <v>666</v>
      </c>
      <c r="I12" s="345" t="s">
        <v>666</v>
      </c>
      <c r="J12" s="346">
        <f t="shared" ref="J12:J21" si="1">$F$4</f>
        <v>0</v>
      </c>
      <c r="K12" s="345" t="s">
        <v>666</v>
      </c>
      <c r="L12" s="926"/>
      <c r="M12" s="345" t="s">
        <v>666</v>
      </c>
      <c r="N12" s="343" t="e">
        <f t="shared" ref="N12:N21" si="2">$F$5/(C12*L12)</f>
        <v>#DIV/0!</v>
      </c>
      <c r="O12" s="346">
        <f t="shared" ref="O12:O21" si="3">$F$6</f>
        <v>0</v>
      </c>
      <c r="P12" s="347" t="e">
        <f t="shared" ref="P12:P21" si="4">$F$4+N12</f>
        <v>#DIV/0!</v>
      </c>
      <c r="Q12" s="348"/>
      <c r="R12" s="330"/>
      <c r="S12" s="330"/>
      <c r="T12" s="330"/>
      <c r="U12" s="330"/>
      <c r="V12" s="330"/>
      <c r="W12" s="330"/>
      <c r="X12" s="330"/>
      <c r="Y12" s="339"/>
      <c r="Z12" s="349"/>
      <c r="AA12" s="349"/>
      <c r="AB12" s="350"/>
      <c r="AC12" s="349"/>
      <c r="AD12" s="350"/>
    </row>
    <row r="13" spans="1:30" ht="12" customHeight="1" x14ac:dyDescent="0.2">
      <c r="A13" s="330"/>
      <c r="B13" s="351" t="s">
        <v>390</v>
      </c>
      <c r="C13" s="352">
        <v>0.76</v>
      </c>
      <c r="D13" s="353">
        <f t="shared" si="0"/>
        <v>7.6</v>
      </c>
      <c r="E13" s="352">
        <v>1.8</v>
      </c>
      <c r="F13" s="354">
        <v>1</v>
      </c>
      <c r="G13" s="354" t="s">
        <v>666</v>
      </c>
      <c r="H13" s="354" t="s">
        <v>666</v>
      </c>
      <c r="I13" s="354" t="s">
        <v>666</v>
      </c>
      <c r="J13" s="355">
        <f t="shared" si="1"/>
        <v>0</v>
      </c>
      <c r="K13" s="354" t="s">
        <v>666</v>
      </c>
      <c r="L13" s="927"/>
      <c r="M13" s="354" t="s">
        <v>666</v>
      </c>
      <c r="N13" s="352" t="e">
        <f t="shared" si="2"/>
        <v>#DIV/0!</v>
      </c>
      <c r="O13" s="355">
        <f t="shared" si="3"/>
        <v>0</v>
      </c>
      <c r="P13" s="356" t="e">
        <f t="shared" si="4"/>
        <v>#DIV/0!</v>
      </c>
      <c r="Q13" s="348"/>
      <c r="R13" s="334"/>
      <c r="S13" s="348"/>
      <c r="T13" s="348"/>
      <c r="U13" s="350"/>
      <c r="V13" s="350"/>
      <c r="W13" s="350"/>
      <c r="X13" s="330"/>
      <c r="Y13" s="339"/>
      <c r="Z13" s="349"/>
      <c r="AA13" s="349"/>
      <c r="AB13" s="350"/>
      <c r="AC13" s="349"/>
      <c r="AD13" s="350"/>
    </row>
    <row r="14" spans="1:30" ht="12" customHeight="1" x14ac:dyDescent="0.2">
      <c r="A14" s="330"/>
      <c r="B14" s="351" t="s">
        <v>391</v>
      </c>
      <c r="C14" s="352">
        <v>0.9</v>
      </c>
      <c r="D14" s="353">
        <f t="shared" si="0"/>
        <v>9</v>
      </c>
      <c r="E14" s="352">
        <v>1.8</v>
      </c>
      <c r="F14" s="354">
        <v>1</v>
      </c>
      <c r="G14" s="354" t="s">
        <v>666</v>
      </c>
      <c r="H14" s="354" t="s">
        <v>666</v>
      </c>
      <c r="I14" s="354" t="s">
        <v>666</v>
      </c>
      <c r="J14" s="355">
        <f t="shared" si="1"/>
        <v>0</v>
      </c>
      <c r="K14" s="354" t="s">
        <v>666</v>
      </c>
      <c r="L14" s="927"/>
      <c r="M14" s="354" t="s">
        <v>666</v>
      </c>
      <c r="N14" s="352" t="e">
        <f t="shared" si="2"/>
        <v>#DIV/0!</v>
      </c>
      <c r="O14" s="355">
        <f t="shared" si="3"/>
        <v>0</v>
      </c>
      <c r="P14" s="356" t="e">
        <f t="shared" si="4"/>
        <v>#DIV/0!</v>
      </c>
      <c r="Q14" s="348"/>
      <c r="R14" s="334"/>
      <c r="S14" s="348"/>
      <c r="T14" s="348"/>
      <c r="U14" s="350"/>
      <c r="V14" s="350"/>
      <c r="W14" s="350"/>
      <c r="X14" s="330"/>
      <c r="Y14" s="339"/>
      <c r="Z14" s="349"/>
      <c r="AA14" s="349"/>
      <c r="AB14" s="350"/>
      <c r="AC14" s="349"/>
      <c r="AD14" s="350"/>
    </row>
    <row r="15" spans="1:30" ht="12" customHeight="1" x14ac:dyDescent="0.2">
      <c r="A15" s="330"/>
      <c r="B15" s="351" t="s">
        <v>392</v>
      </c>
      <c r="C15" s="352">
        <v>1.02</v>
      </c>
      <c r="D15" s="353">
        <f t="shared" si="0"/>
        <v>10.199999999999999</v>
      </c>
      <c r="E15" s="352">
        <v>1.8</v>
      </c>
      <c r="F15" s="354">
        <v>1</v>
      </c>
      <c r="G15" s="354" t="s">
        <v>666</v>
      </c>
      <c r="H15" s="354" t="s">
        <v>666</v>
      </c>
      <c r="I15" s="354" t="s">
        <v>666</v>
      </c>
      <c r="J15" s="355">
        <f t="shared" si="1"/>
        <v>0</v>
      </c>
      <c r="K15" s="354" t="s">
        <v>666</v>
      </c>
      <c r="L15" s="927"/>
      <c r="M15" s="354" t="s">
        <v>666</v>
      </c>
      <c r="N15" s="352" t="e">
        <f t="shared" si="2"/>
        <v>#DIV/0!</v>
      </c>
      <c r="O15" s="355">
        <f t="shared" si="3"/>
        <v>0</v>
      </c>
      <c r="P15" s="356" t="e">
        <f t="shared" si="4"/>
        <v>#DIV/0!</v>
      </c>
      <c r="Q15" s="348"/>
      <c r="R15" s="334"/>
      <c r="S15" s="348"/>
      <c r="T15" s="348"/>
      <c r="U15" s="350"/>
      <c r="V15" s="350"/>
      <c r="W15" s="350"/>
      <c r="X15" s="330"/>
      <c r="Y15" s="339"/>
      <c r="Z15" s="349"/>
      <c r="AA15" s="349"/>
      <c r="AB15" s="350"/>
      <c r="AC15" s="349"/>
      <c r="AD15" s="350"/>
    </row>
    <row r="16" spans="1:30" ht="12" customHeight="1" x14ac:dyDescent="0.2">
      <c r="A16" s="330"/>
      <c r="B16" s="351" t="s">
        <v>393</v>
      </c>
      <c r="C16" s="352">
        <v>1.08</v>
      </c>
      <c r="D16" s="353">
        <f t="shared" si="0"/>
        <v>10.8</v>
      </c>
      <c r="E16" s="352">
        <v>2.7</v>
      </c>
      <c r="F16" s="354">
        <v>1.5</v>
      </c>
      <c r="G16" s="354" t="s">
        <v>666</v>
      </c>
      <c r="H16" s="354" t="s">
        <v>666</v>
      </c>
      <c r="I16" s="354" t="s">
        <v>666</v>
      </c>
      <c r="J16" s="355">
        <f t="shared" si="1"/>
        <v>0</v>
      </c>
      <c r="K16" s="354" t="s">
        <v>666</v>
      </c>
      <c r="L16" s="927"/>
      <c r="M16" s="354" t="s">
        <v>666</v>
      </c>
      <c r="N16" s="352" t="e">
        <f t="shared" si="2"/>
        <v>#DIV/0!</v>
      </c>
      <c r="O16" s="355">
        <f t="shared" si="3"/>
        <v>0</v>
      </c>
      <c r="P16" s="356" t="e">
        <f t="shared" si="4"/>
        <v>#DIV/0!</v>
      </c>
      <c r="Q16" s="348"/>
      <c r="R16" s="334"/>
      <c r="S16" s="348"/>
      <c r="T16" s="348"/>
      <c r="U16" s="350"/>
      <c r="V16" s="350"/>
      <c r="W16" s="350"/>
      <c r="X16" s="330"/>
      <c r="Y16" s="339"/>
      <c r="Z16" s="349"/>
      <c r="AA16" s="349"/>
      <c r="AB16" s="350"/>
      <c r="AC16" s="349"/>
      <c r="AD16" s="350"/>
    </row>
    <row r="17" spans="1:30" ht="12" customHeight="1" x14ac:dyDescent="0.2">
      <c r="A17" s="330"/>
      <c r="B17" s="351" t="s">
        <v>394</v>
      </c>
      <c r="C17" s="352">
        <v>1.34</v>
      </c>
      <c r="D17" s="353">
        <f t="shared" si="0"/>
        <v>13.4</v>
      </c>
      <c r="E17" s="352">
        <v>2.7</v>
      </c>
      <c r="F17" s="354">
        <v>1.5</v>
      </c>
      <c r="G17" s="354" t="s">
        <v>666</v>
      </c>
      <c r="H17" s="354" t="s">
        <v>666</v>
      </c>
      <c r="I17" s="354" t="s">
        <v>666</v>
      </c>
      <c r="J17" s="355">
        <f t="shared" si="1"/>
        <v>0</v>
      </c>
      <c r="K17" s="354" t="s">
        <v>666</v>
      </c>
      <c r="L17" s="927"/>
      <c r="M17" s="354" t="s">
        <v>666</v>
      </c>
      <c r="N17" s="352" t="e">
        <f t="shared" si="2"/>
        <v>#DIV/0!</v>
      </c>
      <c r="O17" s="355">
        <f t="shared" si="3"/>
        <v>0</v>
      </c>
      <c r="P17" s="356" t="e">
        <f t="shared" si="4"/>
        <v>#DIV/0!</v>
      </c>
      <c r="Q17" s="348"/>
      <c r="R17" s="334"/>
      <c r="S17" s="348"/>
      <c r="T17" s="348"/>
      <c r="U17" s="350"/>
      <c r="V17" s="350"/>
      <c r="W17" s="350"/>
      <c r="X17" s="330"/>
      <c r="Y17" s="339"/>
      <c r="Z17" s="349"/>
      <c r="AA17" s="349"/>
      <c r="AB17" s="350"/>
      <c r="AC17" s="349"/>
      <c r="AD17" s="350"/>
    </row>
    <row r="18" spans="1:30" ht="12" customHeight="1" x14ac:dyDescent="0.2">
      <c r="A18" s="330"/>
      <c r="B18" s="351" t="s">
        <v>395</v>
      </c>
      <c r="C18" s="352">
        <v>1.56</v>
      </c>
      <c r="D18" s="353">
        <f t="shared" si="0"/>
        <v>15.600000000000001</v>
      </c>
      <c r="E18" s="352">
        <v>2.7</v>
      </c>
      <c r="F18" s="354">
        <v>1.5</v>
      </c>
      <c r="G18" s="354" t="s">
        <v>666</v>
      </c>
      <c r="H18" s="354" t="s">
        <v>666</v>
      </c>
      <c r="I18" s="354" t="s">
        <v>666</v>
      </c>
      <c r="J18" s="355">
        <f t="shared" si="1"/>
        <v>0</v>
      </c>
      <c r="K18" s="354" t="s">
        <v>666</v>
      </c>
      <c r="L18" s="927"/>
      <c r="M18" s="354" t="s">
        <v>666</v>
      </c>
      <c r="N18" s="352" t="e">
        <f t="shared" si="2"/>
        <v>#DIV/0!</v>
      </c>
      <c r="O18" s="355">
        <f t="shared" si="3"/>
        <v>0</v>
      </c>
      <c r="P18" s="356" t="e">
        <f t="shared" si="4"/>
        <v>#DIV/0!</v>
      </c>
      <c r="Q18" s="348"/>
      <c r="R18" s="334"/>
      <c r="S18" s="348"/>
      <c r="T18" s="348"/>
      <c r="U18" s="350"/>
      <c r="V18" s="350"/>
      <c r="W18" s="350"/>
      <c r="X18" s="330"/>
      <c r="Y18" s="339"/>
      <c r="Z18" s="349"/>
      <c r="AA18" s="349"/>
      <c r="AB18" s="350"/>
      <c r="AC18" s="349"/>
      <c r="AD18" s="350"/>
    </row>
    <row r="19" spans="1:30" ht="12" customHeight="1" x14ac:dyDescent="0.2">
      <c r="A19" s="330"/>
      <c r="B19" s="351" t="s">
        <v>396</v>
      </c>
      <c r="C19" s="352">
        <v>1.79</v>
      </c>
      <c r="D19" s="353">
        <f t="shared" si="0"/>
        <v>17.899999999999999</v>
      </c>
      <c r="E19" s="352">
        <v>3.6</v>
      </c>
      <c r="F19" s="354">
        <v>2</v>
      </c>
      <c r="G19" s="354" t="s">
        <v>666</v>
      </c>
      <c r="H19" s="354" t="s">
        <v>666</v>
      </c>
      <c r="I19" s="354" t="s">
        <v>666</v>
      </c>
      <c r="J19" s="355">
        <f t="shared" si="1"/>
        <v>0</v>
      </c>
      <c r="K19" s="354" t="s">
        <v>666</v>
      </c>
      <c r="L19" s="927"/>
      <c r="M19" s="354" t="s">
        <v>666</v>
      </c>
      <c r="N19" s="352" t="e">
        <f t="shared" si="2"/>
        <v>#DIV/0!</v>
      </c>
      <c r="O19" s="355">
        <f t="shared" si="3"/>
        <v>0</v>
      </c>
      <c r="P19" s="356" t="e">
        <f t="shared" si="4"/>
        <v>#DIV/0!</v>
      </c>
      <c r="Q19" s="348"/>
      <c r="R19" s="334"/>
      <c r="S19" s="348"/>
      <c r="T19" s="348"/>
      <c r="U19" s="350"/>
      <c r="V19" s="350"/>
      <c r="W19" s="350"/>
      <c r="X19" s="330"/>
      <c r="Y19" s="339"/>
      <c r="Z19" s="349"/>
      <c r="AA19" s="349"/>
      <c r="AB19" s="350"/>
      <c r="AC19" s="349"/>
      <c r="AD19" s="350"/>
    </row>
    <row r="20" spans="1:30" ht="12" customHeight="1" x14ac:dyDescent="0.2">
      <c r="A20" s="330"/>
      <c r="B20" s="351" t="s">
        <v>397</v>
      </c>
      <c r="C20" s="352">
        <v>2.08</v>
      </c>
      <c r="D20" s="353">
        <f t="shared" si="0"/>
        <v>20.8</v>
      </c>
      <c r="E20" s="352">
        <v>3.6</v>
      </c>
      <c r="F20" s="354">
        <v>2</v>
      </c>
      <c r="G20" s="354" t="s">
        <v>666</v>
      </c>
      <c r="H20" s="354" t="s">
        <v>666</v>
      </c>
      <c r="I20" s="354" t="s">
        <v>666</v>
      </c>
      <c r="J20" s="355">
        <f t="shared" si="1"/>
        <v>0</v>
      </c>
      <c r="K20" s="354" t="s">
        <v>666</v>
      </c>
      <c r="L20" s="927"/>
      <c r="M20" s="354" t="s">
        <v>666</v>
      </c>
      <c r="N20" s="352" t="e">
        <f t="shared" si="2"/>
        <v>#DIV/0!</v>
      </c>
      <c r="O20" s="355">
        <f t="shared" si="3"/>
        <v>0</v>
      </c>
      <c r="P20" s="356" t="e">
        <f t="shared" si="4"/>
        <v>#DIV/0!</v>
      </c>
      <c r="Q20" s="348"/>
      <c r="R20" s="334"/>
      <c r="S20" s="348"/>
      <c r="T20" s="348"/>
      <c r="U20" s="350"/>
      <c r="V20" s="350"/>
      <c r="W20" s="350"/>
      <c r="X20" s="330"/>
      <c r="Y20" s="339"/>
      <c r="Z20" s="349"/>
      <c r="AA20" s="349"/>
      <c r="AB20" s="350"/>
      <c r="AC20" s="349"/>
      <c r="AD20" s="350"/>
    </row>
    <row r="21" spans="1:30" ht="12" customHeight="1" thickBot="1" x14ac:dyDescent="0.25">
      <c r="A21" s="330"/>
      <c r="B21" s="357" t="s">
        <v>398</v>
      </c>
      <c r="C21" s="358">
        <v>2.4900000000000002</v>
      </c>
      <c r="D21" s="359">
        <f t="shared" si="0"/>
        <v>24.900000000000002</v>
      </c>
      <c r="E21" s="358">
        <v>4.5</v>
      </c>
      <c r="F21" s="360">
        <v>2.5</v>
      </c>
      <c r="G21" s="360" t="s">
        <v>666</v>
      </c>
      <c r="H21" s="360" t="s">
        <v>666</v>
      </c>
      <c r="I21" s="360" t="s">
        <v>666</v>
      </c>
      <c r="J21" s="361">
        <f t="shared" si="1"/>
        <v>0</v>
      </c>
      <c r="K21" s="360" t="s">
        <v>666</v>
      </c>
      <c r="L21" s="928"/>
      <c r="M21" s="360" t="s">
        <v>666</v>
      </c>
      <c r="N21" s="358" t="e">
        <f t="shared" si="2"/>
        <v>#DIV/0!</v>
      </c>
      <c r="O21" s="361">
        <f t="shared" si="3"/>
        <v>0</v>
      </c>
      <c r="P21" s="362" t="e">
        <f t="shared" si="4"/>
        <v>#DIV/0!</v>
      </c>
      <c r="Q21" s="348"/>
      <c r="R21" s="334"/>
      <c r="S21" s="348"/>
      <c r="T21" s="348"/>
      <c r="U21" s="350"/>
      <c r="V21" s="350"/>
      <c r="W21" s="350"/>
      <c r="X21" s="330"/>
      <c r="Y21" s="339"/>
      <c r="Z21" s="349"/>
      <c r="AA21" s="349"/>
      <c r="AB21" s="350"/>
      <c r="AC21" s="349"/>
      <c r="AD21" s="350"/>
    </row>
    <row r="22" spans="1:30" ht="12" customHeight="1" thickBot="1" x14ac:dyDescent="0.25">
      <c r="A22" s="330"/>
      <c r="B22" s="334"/>
      <c r="C22" s="330"/>
      <c r="D22" s="330"/>
      <c r="E22" s="330"/>
      <c r="F22" s="330"/>
      <c r="G22" s="330"/>
      <c r="H22" s="330"/>
      <c r="I22" s="330"/>
      <c r="J22" s="330"/>
      <c r="K22" s="330"/>
      <c r="L22" s="334"/>
      <c r="M22" s="330"/>
      <c r="N22" s="330"/>
      <c r="O22" s="330"/>
      <c r="P22" s="330"/>
      <c r="Q22" s="363"/>
      <c r="R22" s="364"/>
      <c r="S22" s="330"/>
      <c r="T22" s="330"/>
      <c r="U22" s="330"/>
      <c r="V22" s="330"/>
      <c r="W22" s="330"/>
      <c r="X22" s="330"/>
      <c r="Y22" s="330"/>
      <c r="Z22" s="330"/>
      <c r="AA22" s="330"/>
      <c r="AB22" s="330"/>
      <c r="AC22" s="330"/>
      <c r="AD22" s="330"/>
    </row>
    <row r="23" spans="1:30" ht="12" customHeight="1" thickBot="1" x14ac:dyDescent="0.25">
      <c r="A23" s="330"/>
      <c r="B23" s="2143" t="s">
        <v>224</v>
      </c>
      <c r="C23" s="2144"/>
      <c r="D23" s="2144"/>
      <c r="E23" s="2144"/>
      <c r="F23" s="2144"/>
      <c r="G23" s="2144"/>
      <c r="H23" s="2144"/>
      <c r="I23" s="2144"/>
      <c r="J23" s="2144"/>
      <c r="K23" s="2144"/>
      <c r="L23" s="2144"/>
      <c r="M23" s="2146"/>
      <c r="N23" s="365" t="e">
        <f>F$5/((C$12*L$12)+(C$13*L$13)+(C$14*L$14)+(C$15*L$15)+(C$16*L$16)+(C$17*L$17)+(C$19*L$19)+(C$20*L$20)+(C$21*L$21))</f>
        <v>#DIV/0!</v>
      </c>
      <c r="O23" s="366">
        <f>$F$6</f>
        <v>0</v>
      </c>
      <c r="P23" s="367" t="e">
        <f>$F$4+$N23</f>
        <v>#DIV/0!</v>
      </c>
      <c r="Q23" s="363"/>
      <c r="R23" s="330"/>
      <c r="S23" s="330"/>
      <c r="T23" s="330"/>
      <c r="U23" s="330"/>
      <c r="V23" s="330"/>
      <c r="W23" s="330"/>
      <c r="X23" s="330"/>
      <c r="Y23" s="330"/>
      <c r="Z23" s="330"/>
      <c r="AA23" s="330"/>
      <c r="AB23" s="330"/>
      <c r="AC23" s="330"/>
      <c r="AD23" s="330"/>
    </row>
    <row r="24" spans="1:30" ht="12" customHeight="1" thickBot="1" x14ac:dyDescent="0.25">
      <c r="A24" s="330"/>
      <c r="B24" s="330"/>
      <c r="C24" s="330"/>
      <c r="D24" s="330"/>
      <c r="E24" s="330"/>
      <c r="F24" s="330"/>
      <c r="G24" s="330"/>
      <c r="H24" s="330"/>
      <c r="I24" s="330"/>
      <c r="J24" s="330"/>
      <c r="K24" s="330"/>
      <c r="L24" s="368"/>
      <c r="M24" s="330"/>
      <c r="N24" s="330"/>
      <c r="O24" s="330"/>
      <c r="P24" s="330"/>
      <c r="Q24" s="330"/>
      <c r="R24" s="330"/>
      <c r="S24" s="330"/>
      <c r="T24" s="330"/>
      <c r="U24" s="330"/>
      <c r="V24" s="330"/>
      <c r="W24" s="330"/>
      <c r="X24" s="330"/>
      <c r="Y24" s="330"/>
      <c r="Z24" s="330"/>
      <c r="AA24" s="330"/>
      <c r="AB24" s="330"/>
      <c r="AC24" s="330"/>
      <c r="AD24" s="330"/>
    </row>
    <row r="25" spans="1:30" ht="12" customHeight="1" thickBot="1" x14ac:dyDescent="0.25">
      <c r="A25" s="330"/>
      <c r="B25" s="2130" t="s">
        <v>387</v>
      </c>
      <c r="C25" s="2131"/>
      <c r="D25" s="2131"/>
      <c r="E25" s="2131"/>
      <c r="F25" s="2131"/>
      <c r="G25" s="2131"/>
      <c r="H25" s="2131"/>
      <c r="I25" s="2131"/>
      <c r="J25" s="2132"/>
      <c r="K25" s="330"/>
      <c r="L25" s="368"/>
      <c r="M25" s="330"/>
      <c r="N25" s="330"/>
      <c r="O25" s="330"/>
      <c r="P25" s="330"/>
      <c r="Q25" s="330"/>
      <c r="R25" s="330"/>
      <c r="S25" s="330"/>
      <c r="T25" s="330"/>
      <c r="U25" s="330"/>
      <c r="V25" s="330"/>
      <c r="W25" s="330"/>
      <c r="X25" s="330"/>
      <c r="Y25" s="330"/>
      <c r="Z25" s="330"/>
      <c r="AA25" s="330"/>
      <c r="AB25" s="330"/>
      <c r="AC25" s="330"/>
      <c r="AD25" s="330"/>
    </row>
    <row r="26" spans="1:30" ht="12" customHeight="1" x14ac:dyDescent="0.2">
      <c r="A26" s="330"/>
      <c r="B26" s="369"/>
      <c r="C26" s="2133" t="s">
        <v>236</v>
      </c>
      <c r="D26" s="2133"/>
      <c r="E26" s="2133"/>
      <c r="F26" s="2133"/>
      <c r="G26" s="2133"/>
      <c r="H26" s="2133"/>
      <c r="I26" s="2133"/>
      <c r="J26" s="2134"/>
      <c r="K26" s="330"/>
      <c r="L26" s="330"/>
      <c r="M26" s="2137" t="s">
        <v>219</v>
      </c>
      <c r="N26" s="2138"/>
      <c r="O26" s="2138"/>
      <c r="P26" s="2139"/>
      <c r="Q26" s="330"/>
      <c r="R26" s="330"/>
      <c r="S26" s="330"/>
      <c r="T26" s="330"/>
      <c r="U26" s="330"/>
      <c r="V26" s="330"/>
      <c r="W26" s="330"/>
      <c r="X26" s="330"/>
      <c r="Y26" s="330"/>
      <c r="Z26" s="330"/>
      <c r="AA26" s="330"/>
      <c r="AB26" s="330"/>
      <c r="AC26" s="330"/>
      <c r="AD26" s="330"/>
    </row>
    <row r="27" spans="1:30" ht="12" customHeight="1" thickBot="1" x14ac:dyDescent="0.25">
      <c r="A27" s="330"/>
      <c r="B27" s="370"/>
      <c r="C27" s="2135" t="s">
        <v>237</v>
      </c>
      <c r="D27" s="2135"/>
      <c r="E27" s="2135"/>
      <c r="F27" s="2135"/>
      <c r="G27" s="2135"/>
      <c r="H27" s="2135"/>
      <c r="I27" s="2135"/>
      <c r="J27" s="2136"/>
      <c r="K27" s="330"/>
      <c r="L27" s="330"/>
      <c r="M27" s="2140"/>
      <c r="N27" s="2141"/>
      <c r="O27" s="2141"/>
      <c r="P27" s="2142"/>
      <c r="Q27" s="330"/>
      <c r="R27" s="330"/>
      <c r="S27" s="330"/>
      <c r="T27" s="330"/>
      <c r="U27" s="330"/>
      <c r="V27" s="330"/>
      <c r="W27" s="330"/>
      <c r="X27" s="330"/>
      <c r="Y27" s="330"/>
      <c r="Z27" s="330"/>
      <c r="AA27" s="330"/>
      <c r="AB27" s="330"/>
      <c r="AC27" s="330"/>
      <c r="AD27" s="330"/>
    </row>
    <row r="28" spans="1:30" ht="5.0999999999999996" customHeight="1" x14ac:dyDescent="0.2">
      <c r="A28" s="330"/>
      <c r="B28" s="330"/>
      <c r="C28" s="330"/>
      <c r="D28" s="330"/>
      <c r="E28" s="330"/>
      <c r="F28" s="330"/>
      <c r="G28" s="330"/>
      <c r="H28" s="371"/>
      <c r="I28" s="371"/>
      <c r="J28" s="371"/>
      <c r="K28" s="371"/>
      <c r="L28" s="330"/>
      <c r="M28" s="330"/>
      <c r="N28" s="330"/>
      <c r="O28" s="330"/>
      <c r="P28" s="330"/>
      <c r="Q28" s="330"/>
      <c r="R28" s="330"/>
      <c r="S28" s="330"/>
      <c r="T28" s="330"/>
      <c r="U28" s="330"/>
      <c r="V28" s="330"/>
      <c r="W28" s="330"/>
      <c r="X28" s="330"/>
      <c r="Y28" s="330"/>
      <c r="Z28" s="330"/>
      <c r="AA28" s="330"/>
      <c r="AB28" s="330"/>
      <c r="AC28" s="330"/>
      <c r="AD28" s="330"/>
    </row>
    <row r="29" spans="1:30" ht="12" customHeight="1" x14ac:dyDescent="0.2">
      <c r="A29" s="330"/>
      <c r="B29" s="330"/>
      <c r="C29" s="330"/>
      <c r="D29" s="330"/>
      <c r="E29" s="330"/>
      <c r="F29" s="330"/>
      <c r="G29" s="330"/>
      <c r="H29" s="330"/>
      <c r="I29" s="330"/>
      <c r="J29" s="330"/>
      <c r="K29" s="330"/>
      <c r="L29" s="330"/>
      <c r="M29" s="330"/>
      <c r="N29" s="330"/>
      <c r="O29" s="330"/>
      <c r="P29" s="330"/>
      <c r="Q29" s="330"/>
      <c r="R29" s="334"/>
      <c r="S29" s="334"/>
      <c r="T29" s="330"/>
      <c r="U29" s="330"/>
      <c r="V29" s="330"/>
      <c r="W29" s="330"/>
      <c r="X29" s="330"/>
      <c r="Y29" s="330"/>
      <c r="Z29" s="330"/>
      <c r="AA29" s="330"/>
      <c r="AB29" s="330"/>
      <c r="AC29" s="330"/>
      <c r="AD29" s="330"/>
    </row>
    <row r="30" spans="1:30" ht="12" customHeight="1" x14ac:dyDescent="0.2">
      <c r="A30" s="330"/>
      <c r="B30" s="330"/>
      <c r="C30" s="330"/>
      <c r="D30" s="330"/>
      <c r="E30" s="330"/>
      <c r="F30" s="330"/>
      <c r="G30" s="330"/>
      <c r="H30" s="330"/>
      <c r="I30" s="330"/>
      <c r="J30" s="330"/>
      <c r="K30" s="330"/>
      <c r="L30" s="330"/>
      <c r="M30" s="330"/>
      <c r="N30" s="330"/>
      <c r="O30" s="330"/>
      <c r="P30" s="330"/>
      <c r="Q30" s="330"/>
      <c r="R30" s="330"/>
      <c r="S30" s="330"/>
      <c r="T30" s="330"/>
      <c r="U30" s="330"/>
      <c r="V30" s="330"/>
      <c r="W30" s="330"/>
      <c r="X30" s="330"/>
      <c r="Y30" s="330"/>
      <c r="Z30" s="330"/>
      <c r="AA30" s="330"/>
      <c r="AB30" s="330"/>
      <c r="AC30" s="330"/>
      <c r="AD30" s="330"/>
    </row>
    <row r="31" spans="1:30" ht="12" customHeight="1" x14ac:dyDescent="0.2">
      <c r="A31" s="330"/>
      <c r="B31" s="330"/>
      <c r="C31" s="330"/>
      <c r="D31" s="330"/>
      <c r="E31" s="330"/>
      <c r="F31" s="330"/>
      <c r="G31" s="330"/>
      <c r="H31" s="330"/>
      <c r="I31" s="330"/>
      <c r="J31" s="330"/>
      <c r="K31" s="330"/>
      <c r="L31" s="330"/>
      <c r="M31" s="330"/>
      <c r="N31" s="330"/>
      <c r="O31" s="330"/>
      <c r="P31" s="330"/>
      <c r="Q31" s="330"/>
      <c r="R31" s="330"/>
      <c r="S31" s="330"/>
      <c r="T31" s="330"/>
      <c r="U31" s="330"/>
      <c r="V31" s="330"/>
      <c r="W31" s="330"/>
      <c r="X31" s="330"/>
      <c r="Y31" s="330"/>
      <c r="Z31" s="330"/>
      <c r="AA31" s="330"/>
      <c r="AB31" s="330"/>
      <c r="AC31" s="330"/>
      <c r="AD31" s="330"/>
    </row>
    <row r="32" spans="1:30" ht="12" customHeight="1" x14ac:dyDescent="0.2">
      <c r="A32" s="330"/>
      <c r="B32" s="330"/>
      <c r="C32" s="330"/>
      <c r="D32" s="330"/>
      <c r="E32" s="330"/>
      <c r="F32" s="330"/>
      <c r="G32" s="330"/>
      <c r="H32" s="330"/>
      <c r="I32" s="330"/>
      <c r="J32" s="330"/>
      <c r="K32" s="330"/>
      <c r="L32" s="330"/>
      <c r="M32" s="330"/>
      <c r="N32" s="330"/>
      <c r="O32" s="330"/>
      <c r="P32" s="330"/>
      <c r="Q32" s="330"/>
      <c r="R32" s="330"/>
      <c r="S32" s="330"/>
      <c r="T32" s="330"/>
      <c r="U32" s="330"/>
      <c r="V32" s="330"/>
      <c r="W32" s="330"/>
      <c r="X32" s="330"/>
      <c r="Y32" s="330"/>
      <c r="Z32" s="330"/>
      <c r="AA32" s="330"/>
      <c r="AB32" s="330"/>
      <c r="AC32" s="330"/>
      <c r="AD32" s="330"/>
    </row>
    <row r="33" spans="1:30" ht="12" customHeight="1" x14ac:dyDescent="0.2">
      <c r="A33" s="330"/>
      <c r="B33" s="330"/>
      <c r="C33" s="330"/>
      <c r="D33" s="330"/>
      <c r="E33" s="330"/>
      <c r="F33" s="330"/>
      <c r="G33" s="330"/>
      <c r="H33" s="330"/>
      <c r="I33" s="330"/>
      <c r="J33" s="330"/>
      <c r="K33" s="330"/>
      <c r="L33" s="330"/>
      <c r="M33" s="330"/>
      <c r="N33" s="330"/>
      <c r="O33" s="330"/>
      <c r="P33" s="330"/>
      <c r="Q33" s="330"/>
      <c r="R33" s="330"/>
      <c r="S33" s="330"/>
      <c r="T33" s="330"/>
      <c r="U33" s="330"/>
      <c r="V33" s="330"/>
      <c r="W33" s="330"/>
      <c r="X33" s="330"/>
      <c r="Y33" s="330"/>
      <c r="Z33" s="330"/>
      <c r="AA33" s="330"/>
      <c r="AB33" s="330"/>
      <c r="AC33" s="330"/>
      <c r="AD33" s="330"/>
    </row>
    <row r="34" spans="1:30" ht="12" customHeight="1" x14ac:dyDescent="0.2">
      <c r="A34" s="330"/>
      <c r="B34" s="330"/>
      <c r="C34" s="330"/>
      <c r="D34" s="330"/>
      <c r="E34" s="330"/>
      <c r="F34" s="330"/>
      <c r="G34" s="330"/>
      <c r="H34" s="330"/>
      <c r="I34" s="330"/>
      <c r="J34" s="330"/>
      <c r="K34" s="330"/>
      <c r="L34" s="330"/>
      <c r="M34" s="330"/>
      <c r="N34" s="330"/>
      <c r="O34" s="330"/>
      <c r="P34" s="330"/>
      <c r="Q34" s="330"/>
      <c r="R34" s="330"/>
      <c r="S34" s="330"/>
      <c r="T34" s="330"/>
      <c r="U34" s="330"/>
      <c r="V34" s="330"/>
      <c r="W34" s="330"/>
      <c r="X34" s="330"/>
      <c r="Y34" s="330"/>
      <c r="Z34" s="330"/>
      <c r="AA34" s="330"/>
      <c r="AB34" s="330"/>
      <c r="AC34" s="330"/>
      <c r="AD34" s="330"/>
    </row>
    <row r="35" spans="1:30" ht="12" customHeight="1" x14ac:dyDescent="0.2">
      <c r="A35" s="330"/>
      <c r="B35" s="330"/>
      <c r="C35" s="330"/>
      <c r="D35" s="330"/>
      <c r="E35" s="330"/>
      <c r="F35" s="330"/>
      <c r="G35" s="330"/>
      <c r="H35" s="330"/>
      <c r="I35" s="330"/>
      <c r="J35" s="330"/>
      <c r="K35" s="330"/>
      <c r="L35" s="330"/>
      <c r="M35" s="330"/>
      <c r="N35" s="330"/>
      <c r="O35" s="330"/>
      <c r="P35" s="330"/>
      <c r="Q35" s="330"/>
      <c r="R35" s="330"/>
      <c r="S35" s="330"/>
      <c r="T35" s="330"/>
      <c r="U35" s="330"/>
      <c r="V35" s="330"/>
      <c r="W35" s="330"/>
      <c r="X35" s="330"/>
      <c r="Y35" s="330"/>
      <c r="Z35" s="330"/>
      <c r="AA35" s="330"/>
      <c r="AB35" s="330"/>
      <c r="AC35" s="330"/>
      <c r="AD35" s="330"/>
    </row>
    <row r="36" spans="1:30" ht="12" customHeight="1" x14ac:dyDescent="0.2">
      <c r="A36" s="330"/>
      <c r="B36" s="330"/>
      <c r="C36" s="330"/>
      <c r="D36" s="330"/>
      <c r="E36" s="330"/>
      <c r="F36" s="330"/>
      <c r="G36" s="330"/>
      <c r="H36" s="330"/>
      <c r="I36" s="330"/>
      <c r="J36" s="330"/>
      <c r="K36" s="330"/>
      <c r="L36" s="330"/>
      <c r="M36" s="330"/>
      <c r="N36" s="330"/>
      <c r="O36" s="330"/>
      <c r="P36" s="330"/>
      <c r="Q36" s="330"/>
      <c r="R36" s="330"/>
      <c r="S36" s="330"/>
      <c r="T36" s="330"/>
      <c r="U36" s="330"/>
      <c r="V36" s="330"/>
      <c r="W36" s="330"/>
      <c r="X36" s="330"/>
      <c r="Y36" s="330"/>
      <c r="Z36" s="330"/>
      <c r="AA36" s="330"/>
      <c r="AB36" s="330"/>
      <c r="AC36" s="330"/>
      <c r="AD36" s="330"/>
    </row>
    <row r="37" spans="1:30" ht="12" customHeight="1" x14ac:dyDescent="0.2">
      <c r="A37" s="330"/>
      <c r="B37" s="330"/>
      <c r="C37" s="330"/>
      <c r="D37" s="330"/>
      <c r="E37" s="330"/>
      <c r="F37" s="330"/>
      <c r="G37" s="330"/>
      <c r="H37" s="330"/>
      <c r="I37" s="330"/>
      <c r="J37" s="330"/>
      <c r="K37" s="330"/>
      <c r="L37" s="330"/>
      <c r="M37" s="330"/>
      <c r="N37" s="330"/>
      <c r="O37" s="330"/>
      <c r="P37" s="330"/>
      <c r="Q37" s="330"/>
      <c r="R37" s="330"/>
      <c r="S37" s="330"/>
      <c r="T37" s="330"/>
      <c r="U37" s="330"/>
      <c r="V37" s="330"/>
      <c r="W37" s="330"/>
      <c r="X37" s="330"/>
      <c r="Y37" s="330"/>
      <c r="Z37" s="330"/>
      <c r="AA37" s="330"/>
      <c r="AB37" s="330"/>
      <c r="AC37" s="330"/>
      <c r="AD37" s="330"/>
    </row>
    <row r="38" spans="1:30" ht="12" customHeight="1" x14ac:dyDescent="0.2">
      <c r="A38" s="330"/>
      <c r="B38" s="330"/>
      <c r="C38" s="330"/>
      <c r="D38" s="330"/>
      <c r="E38" s="330"/>
      <c r="F38" s="330"/>
      <c r="G38" s="330"/>
      <c r="H38" s="330"/>
      <c r="I38" s="330"/>
      <c r="J38" s="330"/>
      <c r="K38" s="330"/>
      <c r="L38" s="330"/>
      <c r="M38" s="330"/>
      <c r="N38" s="330"/>
      <c r="O38" s="330"/>
      <c r="P38" s="330"/>
      <c r="Q38" s="330"/>
      <c r="R38" s="330"/>
      <c r="S38" s="330"/>
      <c r="T38" s="330"/>
      <c r="U38" s="330"/>
      <c r="V38" s="330"/>
      <c r="W38" s="330"/>
      <c r="X38" s="330"/>
      <c r="Y38" s="330"/>
      <c r="Z38" s="330"/>
      <c r="AA38" s="330"/>
      <c r="AB38" s="330"/>
      <c r="AC38" s="330"/>
      <c r="AD38" s="330"/>
    </row>
    <row r="39" spans="1:30" ht="12" customHeight="1" x14ac:dyDescent="0.2">
      <c r="A39" s="330"/>
      <c r="B39" s="330"/>
      <c r="C39" s="330"/>
      <c r="D39" s="330"/>
      <c r="E39" s="330"/>
      <c r="F39" s="330"/>
      <c r="G39" s="330"/>
      <c r="H39" s="330"/>
      <c r="I39" s="330"/>
      <c r="J39" s="330"/>
      <c r="K39" s="330"/>
      <c r="L39" s="330"/>
      <c r="M39" s="330"/>
      <c r="N39" s="330"/>
      <c r="O39" s="330"/>
      <c r="P39" s="330"/>
      <c r="Q39" s="330"/>
      <c r="R39" s="330"/>
      <c r="S39" s="330"/>
      <c r="T39" s="330"/>
      <c r="U39" s="330"/>
      <c r="V39" s="330"/>
      <c r="W39" s="330"/>
      <c r="X39" s="330"/>
      <c r="Y39" s="330"/>
      <c r="Z39" s="330"/>
      <c r="AA39" s="330"/>
      <c r="AB39" s="330"/>
      <c r="AC39" s="330"/>
      <c r="AD39" s="330"/>
    </row>
    <row r="40" spans="1:30" ht="12" customHeight="1" x14ac:dyDescent="0.2">
      <c r="A40" s="330"/>
      <c r="B40" s="330"/>
      <c r="C40" s="330"/>
      <c r="D40" s="330"/>
      <c r="E40" s="330"/>
      <c r="F40" s="330"/>
      <c r="G40" s="330"/>
      <c r="H40" s="330"/>
      <c r="I40" s="330"/>
      <c r="J40" s="330"/>
      <c r="K40" s="330"/>
      <c r="L40" s="330"/>
      <c r="M40" s="330"/>
      <c r="N40" s="330"/>
      <c r="O40" s="330"/>
      <c r="P40" s="330"/>
      <c r="Q40" s="330"/>
      <c r="R40" s="330"/>
      <c r="S40" s="330"/>
      <c r="T40" s="330"/>
      <c r="U40" s="330"/>
      <c r="V40" s="330"/>
      <c r="W40" s="330"/>
      <c r="X40" s="330"/>
      <c r="Y40" s="330"/>
      <c r="Z40" s="330"/>
      <c r="AA40" s="330"/>
      <c r="AB40" s="330"/>
      <c r="AC40" s="330"/>
      <c r="AD40" s="330"/>
    </row>
    <row r="41" spans="1:30" ht="12" customHeight="1" x14ac:dyDescent="0.2">
      <c r="A41" s="330"/>
      <c r="B41" s="330"/>
      <c r="C41" s="330"/>
      <c r="D41" s="330"/>
      <c r="E41" s="330"/>
      <c r="F41" s="330"/>
      <c r="G41" s="330"/>
      <c r="H41" s="330"/>
      <c r="I41" s="330"/>
      <c r="J41" s="330"/>
      <c r="K41" s="330"/>
      <c r="L41" s="330"/>
      <c r="M41" s="330"/>
      <c r="N41" s="330"/>
      <c r="O41" s="330"/>
      <c r="P41" s="330"/>
      <c r="Q41" s="330"/>
      <c r="R41" s="330"/>
      <c r="S41" s="330"/>
      <c r="T41" s="330"/>
      <c r="U41" s="330"/>
      <c r="V41" s="330"/>
      <c r="W41" s="330"/>
      <c r="X41" s="330"/>
      <c r="Y41" s="330"/>
      <c r="Z41" s="330"/>
      <c r="AA41" s="330"/>
      <c r="AB41" s="330"/>
      <c r="AC41" s="330"/>
      <c r="AD41" s="330"/>
    </row>
    <row r="42" spans="1:30" ht="12" customHeight="1" x14ac:dyDescent="0.2">
      <c r="A42" s="330"/>
      <c r="B42" s="330"/>
      <c r="C42" s="330"/>
      <c r="D42" s="330"/>
      <c r="E42" s="330"/>
      <c r="F42" s="330"/>
      <c r="G42" s="330"/>
      <c r="H42" s="330"/>
      <c r="I42" s="330"/>
      <c r="J42" s="330"/>
      <c r="K42" s="330"/>
      <c r="L42" s="330"/>
      <c r="M42" s="330"/>
      <c r="N42" s="330"/>
      <c r="O42" s="330"/>
      <c r="P42" s="330"/>
      <c r="Q42" s="330"/>
      <c r="R42" s="330"/>
      <c r="S42" s="330"/>
      <c r="T42" s="330"/>
      <c r="U42" s="330"/>
      <c r="V42" s="330"/>
      <c r="W42" s="330"/>
      <c r="X42" s="330"/>
      <c r="Y42" s="330"/>
      <c r="Z42" s="330"/>
      <c r="AA42" s="330"/>
      <c r="AB42" s="330"/>
      <c r="AC42" s="330"/>
      <c r="AD42" s="330"/>
    </row>
    <row r="43" spans="1:30" ht="12" customHeight="1" x14ac:dyDescent="0.2">
      <c r="A43" s="330"/>
      <c r="B43" s="330"/>
      <c r="C43" s="330"/>
      <c r="D43" s="330"/>
      <c r="E43" s="330"/>
      <c r="F43" s="330"/>
      <c r="G43" s="330"/>
      <c r="H43" s="330"/>
      <c r="I43" s="330"/>
      <c r="J43" s="330"/>
      <c r="K43" s="330"/>
      <c r="L43" s="330"/>
      <c r="M43" s="330"/>
      <c r="N43" s="330"/>
      <c r="O43" s="330"/>
      <c r="P43" s="330"/>
      <c r="Q43" s="330"/>
      <c r="R43" s="330"/>
      <c r="S43" s="330"/>
      <c r="T43" s="330"/>
      <c r="U43" s="330"/>
      <c r="V43" s="330"/>
      <c r="W43" s="330"/>
      <c r="X43" s="330"/>
      <c r="Y43" s="330"/>
      <c r="Z43" s="330"/>
      <c r="AA43" s="330"/>
      <c r="AB43" s="330"/>
      <c r="AC43" s="330"/>
      <c r="AD43" s="330"/>
    </row>
    <row r="44" spans="1:30" ht="12" customHeight="1" x14ac:dyDescent="0.2">
      <c r="A44" s="330"/>
      <c r="B44" s="330"/>
      <c r="C44" s="330"/>
      <c r="D44" s="330"/>
      <c r="E44" s="330"/>
      <c r="F44" s="330"/>
      <c r="G44" s="330"/>
      <c r="H44" s="330"/>
      <c r="I44" s="330"/>
      <c r="J44" s="330"/>
      <c r="K44" s="330"/>
      <c r="L44" s="330"/>
      <c r="M44" s="330"/>
      <c r="N44" s="330"/>
      <c r="O44" s="330"/>
      <c r="P44" s="330"/>
      <c r="Q44" s="330"/>
      <c r="R44" s="330"/>
      <c r="S44" s="330"/>
      <c r="T44" s="330"/>
      <c r="U44" s="330"/>
      <c r="V44" s="330"/>
      <c r="W44" s="330"/>
      <c r="X44" s="330"/>
      <c r="Y44" s="330"/>
      <c r="Z44" s="330"/>
      <c r="AA44" s="330"/>
      <c r="AB44" s="330"/>
      <c r="AC44" s="330"/>
      <c r="AD44" s="330"/>
    </row>
    <row r="45" spans="1:30" ht="12" customHeight="1" x14ac:dyDescent="0.2">
      <c r="A45" s="330"/>
      <c r="B45" s="330"/>
      <c r="C45" s="330"/>
      <c r="D45" s="330"/>
      <c r="E45" s="330"/>
      <c r="F45" s="330"/>
      <c r="G45" s="330"/>
      <c r="H45" s="330"/>
      <c r="I45" s="330"/>
      <c r="J45" s="330"/>
      <c r="K45" s="330"/>
      <c r="L45" s="330"/>
      <c r="M45" s="330"/>
      <c r="N45" s="330"/>
      <c r="O45" s="330"/>
      <c r="P45" s="330"/>
      <c r="Q45" s="330"/>
      <c r="R45" s="330"/>
      <c r="S45" s="330"/>
      <c r="T45" s="330"/>
      <c r="U45" s="330"/>
      <c r="V45" s="330"/>
      <c r="W45" s="330"/>
      <c r="X45" s="330"/>
      <c r="Y45" s="330"/>
      <c r="Z45" s="330"/>
      <c r="AA45" s="330"/>
      <c r="AB45" s="330"/>
      <c r="AC45" s="330"/>
      <c r="AD45" s="330"/>
    </row>
    <row r="46" spans="1:30" ht="12" customHeight="1" x14ac:dyDescent="0.2">
      <c r="A46" s="330"/>
      <c r="B46" s="330"/>
      <c r="C46" s="330"/>
      <c r="D46" s="330"/>
      <c r="E46" s="330"/>
      <c r="F46" s="330"/>
      <c r="G46" s="330"/>
      <c r="H46" s="330"/>
      <c r="I46" s="330"/>
      <c r="J46" s="330"/>
      <c r="K46" s="330"/>
      <c r="L46" s="330"/>
      <c r="M46" s="330"/>
      <c r="N46" s="330"/>
      <c r="O46" s="330"/>
      <c r="P46" s="330"/>
      <c r="Q46" s="330"/>
      <c r="R46" s="330"/>
      <c r="S46" s="330"/>
      <c r="T46" s="330"/>
      <c r="U46" s="330"/>
      <c r="V46" s="330"/>
      <c r="W46" s="330"/>
      <c r="X46" s="330"/>
      <c r="Y46" s="330"/>
      <c r="Z46" s="330"/>
      <c r="AA46" s="330"/>
      <c r="AB46" s="330"/>
      <c r="AC46" s="330"/>
      <c r="AD46" s="330"/>
    </row>
    <row r="47" spans="1:30" ht="12" customHeight="1" x14ac:dyDescent="0.2">
      <c r="A47" s="330"/>
      <c r="B47" s="330"/>
      <c r="C47" s="330"/>
      <c r="D47" s="330"/>
      <c r="E47" s="330"/>
      <c r="F47" s="330"/>
      <c r="G47" s="330"/>
      <c r="H47" s="330"/>
      <c r="I47" s="330"/>
      <c r="J47" s="330"/>
      <c r="K47" s="330"/>
      <c r="L47" s="330"/>
      <c r="M47" s="330"/>
      <c r="N47" s="330"/>
      <c r="O47" s="330"/>
      <c r="P47" s="330"/>
      <c r="Q47" s="330"/>
      <c r="R47" s="330"/>
      <c r="S47" s="330"/>
      <c r="T47" s="330"/>
      <c r="U47" s="330"/>
      <c r="V47" s="330"/>
      <c r="W47" s="330"/>
      <c r="X47" s="330"/>
      <c r="Y47" s="330"/>
      <c r="Z47" s="330"/>
      <c r="AA47" s="330"/>
      <c r="AB47" s="330"/>
      <c r="AC47" s="330"/>
      <c r="AD47" s="330"/>
    </row>
    <row r="48" spans="1:30" ht="12" customHeight="1" x14ac:dyDescent="0.2">
      <c r="A48" s="330"/>
      <c r="B48" s="330"/>
      <c r="C48" s="330"/>
      <c r="D48" s="330"/>
      <c r="E48" s="330"/>
      <c r="F48" s="330"/>
      <c r="G48" s="330"/>
      <c r="H48" s="330"/>
      <c r="I48" s="330"/>
      <c r="J48" s="330"/>
      <c r="K48" s="330"/>
      <c r="L48" s="330"/>
      <c r="M48" s="330"/>
      <c r="N48" s="330"/>
      <c r="O48" s="330"/>
      <c r="P48" s="330"/>
      <c r="Q48" s="330"/>
      <c r="R48" s="330"/>
      <c r="S48" s="330"/>
      <c r="T48" s="330"/>
      <c r="U48" s="330"/>
      <c r="V48" s="330"/>
      <c r="W48" s="330"/>
      <c r="X48" s="330"/>
      <c r="Y48" s="330"/>
      <c r="Z48" s="330"/>
      <c r="AA48" s="330"/>
      <c r="AB48" s="330"/>
      <c r="AC48" s="330"/>
      <c r="AD48" s="330"/>
    </row>
    <row r="49" spans="1:30" ht="12" customHeight="1" x14ac:dyDescent="0.2">
      <c r="A49" s="330"/>
      <c r="B49" s="330"/>
      <c r="C49" s="330"/>
      <c r="D49" s="330"/>
      <c r="E49" s="330"/>
      <c r="F49" s="330"/>
      <c r="G49" s="330"/>
      <c r="H49" s="330"/>
      <c r="I49" s="330"/>
      <c r="J49" s="330"/>
      <c r="K49" s="330"/>
      <c r="L49" s="330"/>
      <c r="M49" s="330"/>
      <c r="N49" s="330"/>
      <c r="O49" s="330"/>
      <c r="P49" s="330"/>
      <c r="Q49" s="330"/>
      <c r="R49" s="330"/>
      <c r="S49" s="330"/>
      <c r="T49" s="330"/>
      <c r="U49" s="330"/>
      <c r="V49" s="330"/>
      <c r="W49" s="330"/>
      <c r="X49" s="330"/>
      <c r="Y49" s="330"/>
      <c r="Z49" s="330"/>
      <c r="AA49" s="330"/>
      <c r="AB49" s="330"/>
      <c r="AC49" s="330"/>
      <c r="AD49" s="330"/>
    </row>
    <row r="50" spans="1:30" ht="12" customHeight="1" x14ac:dyDescent="0.2">
      <c r="A50" s="330"/>
      <c r="B50" s="330"/>
      <c r="C50" s="330"/>
      <c r="D50" s="330"/>
      <c r="E50" s="330"/>
      <c r="F50" s="330"/>
      <c r="G50" s="330"/>
      <c r="H50" s="330"/>
      <c r="I50" s="330"/>
      <c r="J50" s="330"/>
      <c r="K50" s="330"/>
      <c r="L50" s="330"/>
      <c r="M50" s="330"/>
      <c r="N50" s="330"/>
      <c r="O50" s="330"/>
      <c r="P50" s="330"/>
      <c r="Q50" s="330"/>
      <c r="R50" s="330"/>
      <c r="S50" s="330"/>
      <c r="T50" s="330"/>
      <c r="U50" s="330"/>
      <c r="V50" s="330"/>
      <c r="W50" s="330"/>
      <c r="X50" s="330"/>
      <c r="Y50" s="330"/>
      <c r="Z50" s="330"/>
      <c r="AA50" s="330"/>
      <c r="AB50" s="330"/>
      <c r="AC50" s="330"/>
      <c r="AD50" s="330"/>
    </row>
    <row r="51" spans="1:30" ht="12" customHeight="1" x14ac:dyDescent="0.2">
      <c r="A51" s="330"/>
      <c r="B51" s="330"/>
      <c r="C51" s="330"/>
      <c r="D51" s="330"/>
      <c r="E51" s="330"/>
      <c r="F51" s="330"/>
      <c r="G51" s="330"/>
      <c r="H51" s="330"/>
      <c r="I51" s="330"/>
      <c r="J51" s="330"/>
      <c r="K51" s="330"/>
      <c r="L51" s="330"/>
      <c r="M51" s="330"/>
      <c r="N51" s="330"/>
      <c r="O51" s="330"/>
      <c r="P51" s="330"/>
      <c r="Q51" s="330"/>
      <c r="R51" s="330"/>
      <c r="S51" s="330"/>
      <c r="T51" s="330"/>
      <c r="U51" s="330"/>
      <c r="V51" s="330"/>
      <c r="W51" s="330"/>
      <c r="X51" s="330"/>
      <c r="Y51" s="330"/>
      <c r="Z51" s="330"/>
      <c r="AA51" s="330"/>
      <c r="AB51" s="330"/>
      <c r="AC51" s="330"/>
      <c r="AD51" s="330"/>
    </row>
    <row r="52" spans="1:30" ht="12" customHeight="1" x14ac:dyDescent="0.2">
      <c r="A52" s="330"/>
      <c r="B52" s="330"/>
      <c r="C52" s="330"/>
      <c r="D52" s="330"/>
      <c r="E52" s="330"/>
      <c r="F52" s="330"/>
      <c r="G52" s="330"/>
      <c r="H52" s="330"/>
      <c r="I52" s="330"/>
      <c r="J52" s="330"/>
      <c r="K52" s="330"/>
      <c r="L52" s="330"/>
      <c r="M52" s="330"/>
      <c r="N52" s="330"/>
      <c r="O52" s="330"/>
      <c r="P52" s="330"/>
      <c r="Q52" s="330"/>
      <c r="R52" s="330"/>
      <c r="S52" s="330"/>
      <c r="T52" s="330"/>
      <c r="U52" s="330"/>
      <c r="V52" s="330"/>
      <c r="W52" s="330"/>
      <c r="X52" s="330"/>
      <c r="Y52" s="330"/>
      <c r="Z52" s="330"/>
      <c r="AA52" s="330"/>
      <c r="AB52" s="330"/>
      <c r="AC52" s="330"/>
      <c r="AD52" s="330"/>
    </row>
    <row r="53" spans="1:30" ht="12" customHeight="1" x14ac:dyDescent="0.2">
      <c r="A53" s="330"/>
      <c r="B53" s="330"/>
      <c r="C53" s="330"/>
      <c r="D53" s="330"/>
      <c r="E53" s="330"/>
      <c r="F53" s="330"/>
      <c r="G53" s="330"/>
      <c r="H53" s="330"/>
      <c r="I53" s="330"/>
      <c r="J53" s="330"/>
      <c r="K53" s="330"/>
      <c r="L53" s="330"/>
      <c r="M53" s="330"/>
      <c r="N53" s="330"/>
      <c r="O53" s="330"/>
      <c r="P53" s="330"/>
      <c r="Q53" s="330"/>
      <c r="R53" s="330"/>
      <c r="S53" s="330"/>
      <c r="T53" s="330"/>
      <c r="U53" s="330"/>
      <c r="V53" s="330"/>
      <c r="W53" s="330"/>
      <c r="X53" s="330"/>
      <c r="Y53" s="330"/>
      <c r="Z53" s="330"/>
      <c r="AA53" s="330"/>
      <c r="AB53" s="330"/>
      <c r="AC53" s="330"/>
      <c r="AD53" s="330"/>
    </row>
    <row r="54" spans="1:30" ht="12" customHeight="1" x14ac:dyDescent="0.2">
      <c r="A54" s="330"/>
      <c r="B54" s="330"/>
      <c r="C54" s="330"/>
      <c r="D54" s="330"/>
      <c r="E54" s="330"/>
      <c r="F54" s="330"/>
      <c r="G54" s="330"/>
      <c r="H54" s="330"/>
      <c r="I54" s="330"/>
      <c r="J54" s="330"/>
      <c r="K54" s="330"/>
      <c r="L54" s="330"/>
      <c r="M54" s="330"/>
      <c r="N54" s="330"/>
      <c r="O54" s="330"/>
      <c r="P54" s="330"/>
      <c r="Q54" s="330"/>
      <c r="R54" s="330"/>
      <c r="S54" s="330"/>
      <c r="T54" s="330"/>
      <c r="U54" s="330"/>
      <c r="V54" s="330"/>
      <c r="W54" s="330"/>
      <c r="X54" s="330"/>
      <c r="Y54" s="330"/>
      <c r="Z54" s="330"/>
      <c r="AA54" s="330"/>
      <c r="AB54" s="330"/>
      <c r="AC54" s="330"/>
      <c r="AD54" s="330"/>
    </row>
    <row r="55" spans="1:30" ht="12" customHeight="1" x14ac:dyDescent="0.2">
      <c r="A55" s="330"/>
      <c r="B55" s="330"/>
      <c r="C55" s="330"/>
      <c r="D55" s="330"/>
      <c r="E55" s="330"/>
      <c r="F55" s="330"/>
      <c r="G55" s="330"/>
      <c r="H55" s="330"/>
      <c r="I55" s="330"/>
      <c r="J55" s="330"/>
      <c r="K55" s="330"/>
      <c r="L55" s="330"/>
      <c r="M55" s="330"/>
      <c r="N55" s="330"/>
      <c r="O55" s="330"/>
      <c r="P55" s="330"/>
      <c r="Q55" s="330"/>
      <c r="R55" s="330"/>
      <c r="S55" s="330"/>
      <c r="T55" s="330"/>
      <c r="U55" s="330"/>
      <c r="V55" s="330"/>
      <c r="W55" s="330"/>
      <c r="X55" s="330"/>
      <c r="Y55" s="330"/>
      <c r="Z55" s="330"/>
      <c r="AA55" s="330"/>
      <c r="AB55" s="330"/>
      <c r="AC55" s="330"/>
      <c r="AD55" s="330"/>
    </row>
    <row r="56" spans="1:30" ht="12" customHeight="1" x14ac:dyDescent="0.2">
      <c r="A56" s="330"/>
      <c r="B56" s="330"/>
      <c r="C56" s="330"/>
      <c r="D56" s="330"/>
      <c r="E56" s="330"/>
      <c r="F56" s="330"/>
      <c r="G56" s="330"/>
      <c r="H56" s="330"/>
      <c r="I56" s="330"/>
      <c r="J56" s="330"/>
      <c r="K56" s="330"/>
      <c r="L56" s="330"/>
      <c r="M56" s="330"/>
      <c r="N56" s="330"/>
      <c r="O56" s="330"/>
      <c r="P56" s="330"/>
      <c r="Q56" s="330"/>
      <c r="R56" s="330"/>
      <c r="S56" s="330"/>
      <c r="T56" s="330"/>
      <c r="U56" s="330"/>
      <c r="V56" s="330"/>
      <c r="W56" s="330"/>
      <c r="X56" s="330"/>
      <c r="Y56" s="330"/>
      <c r="Z56" s="330"/>
      <c r="AA56" s="330"/>
      <c r="AB56" s="330"/>
      <c r="AC56" s="330"/>
      <c r="AD56" s="330"/>
    </row>
    <row r="57" spans="1:30" ht="12" customHeight="1" x14ac:dyDescent="0.2"/>
    <row r="58" spans="1:30" ht="12" customHeight="1" x14ac:dyDescent="0.2"/>
    <row r="59" spans="1:30" ht="12" customHeight="1" x14ac:dyDescent="0.2"/>
    <row r="60" spans="1:30" ht="12" customHeight="1" x14ac:dyDescent="0.2"/>
    <row r="61" spans="1:30" ht="12" customHeight="1" x14ac:dyDescent="0.2"/>
    <row r="62" spans="1:30" ht="12" customHeight="1" x14ac:dyDescent="0.2"/>
    <row r="63" spans="1:30" ht="12" customHeight="1" x14ac:dyDescent="0.2"/>
    <row r="64" spans="1:30" ht="12" customHeight="1" x14ac:dyDescent="0.2"/>
    <row r="65" ht="12" customHeight="1" x14ac:dyDescent="0.2"/>
    <row r="66" ht="12" customHeight="1" x14ac:dyDescent="0.2"/>
    <row r="67" ht="12" customHeight="1" x14ac:dyDescent="0.2"/>
    <row r="68" ht="12" customHeight="1" x14ac:dyDescent="0.2"/>
    <row r="69" ht="12" customHeight="1" x14ac:dyDescent="0.2"/>
    <row r="70" ht="12" customHeight="1" x14ac:dyDescent="0.2"/>
  </sheetData>
  <sheetProtection sheet="1" objects="1" scenarios="1"/>
  <mergeCells count="26">
    <mergeCell ref="B2:G2"/>
    <mergeCell ref="B4:E4"/>
    <mergeCell ref="B7:E7"/>
    <mergeCell ref="L9:L11"/>
    <mergeCell ref="K9:K11"/>
    <mergeCell ref="J9:J11"/>
    <mergeCell ref="C10:C11"/>
    <mergeCell ref="D10:D11"/>
    <mergeCell ref="E10:G10"/>
    <mergeCell ref="E9:I9"/>
    <mergeCell ref="H10:I10"/>
    <mergeCell ref="I2:P2"/>
    <mergeCell ref="Z9:AD9"/>
    <mergeCell ref="N9:N11"/>
    <mergeCell ref="O9:O11"/>
    <mergeCell ref="P9:P11"/>
    <mergeCell ref="M9:M11"/>
    <mergeCell ref="B25:J25"/>
    <mergeCell ref="C26:J26"/>
    <mergeCell ref="C27:J27"/>
    <mergeCell ref="M26:P27"/>
    <mergeCell ref="B5:E5"/>
    <mergeCell ref="B6:E6"/>
    <mergeCell ref="B9:B11"/>
    <mergeCell ref="B23:M23"/>
    <mergeCell ref="C9:D9"/>
  </mergeCells>
  <phoneticPr fontId="50" type="noConversion"/>
  <conditionalFormatting sqref="N23">
    <cfRule type="expression" dxfId="8" priority="1" stopIfTrue="1">
      <formula>IF(ISERROR($N23),TRUE,FALSE)</formula>
    </cfRule>
  </conditionalFormatting>
  <conditionalFormatting sqref="N12:O21 J12:J21">
    <cfRule type="expression" dxfId="7" priority="2" stopIfTrue="1">
      <formula>IF(OR($L12=0,$L12="",$F$4=0,$F$4="",$F$5=0,$F$5="",$F$6=0,$F$6=""),TRUE,FALSE)</formula>
    </cfRule>
  </conditionalFormatting>
  <conditionalFormatting sqref="P12:P21">
    <cfRule type="expression" dxfId="6" priority="3" stopIfTrue="1">
      <formula>IF(OR($L12=0,$L12="",$F$4=0,$F$4="",$F$5=0,$F$5="",$F$6=0,$F$6=""),TRUE,FALSE)</formula>
    </cfRule>
    <cfRule type="cellIs" dxfId="5" priority="4" stopIfTrue="1" operator="greaterThan">
      <formula>$O12</formula>
    </cfRule>
  </conditionalFormatting>
  <conditionalFormatting sqref="O23">
    <cfRule type="expression" dxfId="4" priority="5" stopIfTrue="1">
      <formula>IF(OR($F$4=0,$F$4="",$F$5=0,$F$5="",$F$6=0,$F$6=""),TRUE,FALSE)</formula>
    </cfRule>
    <cfRule type="expression" dxfId="3" priority="6" stopIfTrue="1">
      <formula>IF(ISERROR($N23),TRUE,FALSE)</formula>
    </cfRule>
  </conditionalFormatting>
  <conditionalFormatting sqref="P23">
    <cfRule type="expression" dxfId="2" priority="7" stopIfTrue="1">
      <formula>IF(ISERROR($P23),TRUE,FALSE)</formula>
    </cfRule>
    <cfRule type="expression" dxfId="1" priority="8" stopIfTrue="1">
      <formula>IF(OR($F$4=0,$F$4="",$F$5=0,$F$5="",$F$6=0,$F$6=""),TRUE,FALSE)</formula>
    </cfRule>
    <cfRule type="cellIs" dxfId="0" priority="9" stopIfTrue="1" operator="greaterThan">
      <formula>$O23</formula>
    </cfRule>
  </conditionalFormatting>
  <dataValidations count="2">
    <dataValidation allowBlank="1" showInputMessage="1" showErrorMessage="1" errorTitle="INVALID EVAPORATOR TEMPERATURE" error="EVAPORATOR TEMPERATURE MUST BE A NUMBER BETWEEN -30°F AND +20°F AS INDICATED IN TABLE No.2" sqref="F4" xr:uid="{DAD8A119-2D3D-4CD9-86DB-4B8623F43CE7}"/>
    <dataValidation type="whole" operator="greaterThan" allowBlank="1" showInputMessage="1" showErrorMessage="1" errorTitle="INVALID ENTRY" error="EVAPORATOR COIL QUANTITY HAS TO BE A POSITIVE WHOLE NUMBER." sqref="L12:L21" xr:uid="{AF9B9A39-710F-488B-A881-263D3C546B37}">
      <formula1>0</formula1>
    </dataValidation>
  </dataValidations>
  <printOptions horizontalCentered="1" verticalCentered="1"/>
  <pageMargins left="0.75" right="0.75" top="1" bottom="1" header="0.5" footer="0.5"/>
  <pageSetup scale="89" orientation="landscape" r:id="rId1"/>
  <headerFooter alignWithMargins="0"/>
  <drawing r:id="rId2"/>
  <legacyDrawing r:id="rId3"/>
  <controls>
    <mc:AlternateContent xmlns:mc="http://schemas.openxmlformats.org/markup-compatibility/2006">
      <mc:Choice Requires="x14">
        <control shapeId="206855" r:id="rId4" name="CommandButton2">
          <controlPr defaultSize="0" print="0" autoFill="0" autoLine="0" r:id="rId5">
            <anchor moveWithCells="1">
              <from>
                <xdr:col>12</xdr:col>
                <xdr:colOff>133350</xdr:colOff>
                <xdr:row>3</xdr:row>
                <xdr:rowOff>47625</xdr:rowOff>
              </from>
              <to>
                <xdr:col>14</xdr:col>
                <xdr:colOff>0</xdr:colOff>
                <xdr:row>6</xdr:row>
                <xdr:rowOff>85725</xdr:rowOff>
              </to>
            </anchor>
          </controlPr>
        </control>
      </mc:Choice>
      <mc:Fallback>
        <control shapeId="206855" r:id="rId4" name="CommandButton2"/>
      </mc:Fallback>
    </mc:AlternateContent>
    <mc:AlternateContent xmlns:mc="http://schemas.openxmlformats.org/markup-compatibility/2006">
      <mc:Choice Requires="x14">
        <control shapeId="206852" r:id="rId6" name="CommandButton1">
          <controlPr defaultSize="0" print="0" autoFill="0" autoLine="0" r:id="rId7">
            <anchor moveWithCells="1">
              <from>
                <xdr:col>14</xdr:col>
                <xdr:colOff>180975</xdr:colOff>
                <xdr:row>3</xdr:row>
                <xdr:rowOff>47625</xdr:rowOff>
              </from>
              <to>
                <xdr:col>16</xdr:col>
                <xdr:colOff>0</xdr:colOff>
                <xdr:row>6</xdr:row>
                <xdr:rowOff>85725</xdr:rowOff>
              </to>
            </anchor>
          </controlPr>
        </control>
      </mc:Choice>
      <mc:Fallback>
        <control shapeId="206852" r:id="rId6" name="CommandButton1"/>
      </mc:Fallback>
    </mc:AlternateContent>
  </control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DF40D8-FBB0-4B7D-A725-40663A6F0854}">
  <sheetPr codeName="Sheet58">
    <tabColor indexed="42"/>
  </sheetPr>
  <dimension ref="A1:V77"/>
  <sheetViews>
    <sheetView workbookViewId="0">
      <selection activeCell="A15" sqref="A15"/>
    </sheetView>
  </sheetViews>
  <sheetFormatPr defaultRowHeight="12.75" x14ac:dyDescent="0.2"/>
  <cols>
    <col min="1" max="1" width="3.28515625" customWidth="1"/>
    <col min="3" max="3" width="11.7109375" customWidth="1"/>
    <col min="4" max="4" width="4.7109375" customWidth="1"/>
    <col min="5" max="5" width="4" customWidth="1"/>
    <col min="7" max="7" width="11.5703125" customWidth="1"/>
    <col min="8" max="8" width="5.5703125" customWidth="1"/>
    <col min="9" max="9" width="4.28515625" customWidth="1"/>
    <col min="11" max="11" width="11.85546875" customWidth="1"/>
    <col min="12" max="12" width="3.7109375" customWidth="1"/>
    <col min="13" max="13" width="3.42578125" customWidth="1"/>
    <col min="15" max="15" width="11.5703125" customWidth="1"/>
    <col min="21" max="22" width="9.140625" hidden="1" customWidth="1"/>
  </cols>
  <sheetData>
    <row r="1" spans="1:22" x14ac:dyDescent="0.2">
      <c r="A1" s="374"/>
      <c r="B1" s="2159" t="s">
        <v>34</v>
      </c>
      <c r="C1" s="2160"/>
      <c r="D1" s="2160"/>
      <c r="E1" s="2160"/>
      <c r="F1" s="2160"/>
      <c r="G1" s="2160"/>
      <c r="H1" s="2160"/>
      <c r="I1" s="2160"/>
      <c r="J1" s="2160"/>
      <c r="K1" s="2161"/>
    </row>
    <row r="2" spans="1:22" x14ac:dyDescent="0.2">
      <c r="B2" s="2162"/>
      <c r="C2" s="2163"/>
      <c r="D2" s="2163"/>
      <c r="E2" s="2163"/>
      <c r="F2" s="2163"/>
      <c r="G2" s="2163"/>
      <c r="H2" s="2163"/>
      <c r="I2" s="2163"/>
      <c r="J2" s="2163"/>
      <c r="K2" s="2164"/>
    </row>
    <row r="3" spans="1:22" ht="13.5" thickBot="1" x14ac:dyDescent="0.25">
      <c r="B3" s="2165"/>
      <c r="C3" s="2166"/>
      <c r="D3" s="2166"/>
      <c r="E3" s="2166"/>
      <c r="F3" s="2166"/>
      <c r="G3" s="2166"/>
      <c r="H3" s="2166"/>
      <c r="I3" s="2166"/>
      <c r="J3" s="2166"/>
      <c r="K3" s="2167"/>
    </row>
    <row r="5" spans="1:22" ht="13.5" thickBot="1" x14ac:dyDescent="0.25"/>
    <row r="6" spans="1:22" ht="13.5" thickBot="1" x14ac:dyDescent="0.25">
      <c r="B6" s="2155" t="s">
        <v>635</v>
      </c>
      <c r="C6" s="2155" t="s">
        <v>13</v>
      </c>
      <c r="F6" s="2155" t="s">
        <v>635</v>
      </c>
      <c r="G6" s="2155" t="s">
        <v>13</v>
      </c>
      <c r="J6" s="2155" t="s">
        <v>635</v>
      </c>
      <c r="K6" s="2155" t="s">
        <v>13</v>
      </c>
      <c r="N6" s="2156" t="s">
        <v>635</v>
      </c>
      <c r="O6" s="2155" t="s">
        <v>13</v>
      </c>
      <c r="U6" s="2149" t="s">
        <v>343</v>
      </c>
      <c r="V6" s="2150"/>
    </row>
    <row r="7" spans="1:22" ht="13.5" thickBot="1" x14ac:dyDescent="0.25">
      <c r="B7" s="2155"/>
      <c r="C7" s="2155"/>
      <c r="F7" s="2155"/>
      <c r="G7" s="2155"/>
      <c r="J7" s="2155"/>
      <c r="K7" s="2155"/>
      <c r="N7" s="2157"/>
      <c r="O7" s="2155"/>
      <c r="U7" s="2151"/>
      <c r="V7" s="2152"/>
    </row>
    <row r="8" spans="1:22" ht="13.5" thickBot="1" x14ac:dyDescent="0.25">
      <c r="B8" s="2155"/>
      <c r="C8" s="2155"/>
      <c r="F8" s="2155"/>
      <c r="G8" s="2155"/>
      <c r="J8" s="2155"/>
      <c r="K8" s="2155"/>
      <c r="N8" s="2158"/>
      <c r="O8" s="2155"/>
      <c r="U8" s="2153"/>
      <c r="V8" s="2154"/>
    </row>
    <row r="9" spans="1:22" ht="13.5" thickBot="1" x14ac:dyDescent="0.25">
      <c r="B9" s="1" t="s">
        <v>636</v>
      </c>
      <c r="C9" s="3" t="s">
        <v>27</v>
      </c>
      <c r="F9" s="1" t="s">
        <v>667</v>
      </c>
      <c r="G9" s="1" t="s">
        <v>27</v>
      </c>
      <c r="J9" s="1" t="s">
        <v>685</v>
      </c>
      <c r="K9" s="3" t="s">
        <v>23</v>
      </c>
      <c r="N9" s="1" t="s">
        <v>2</v>
      </c>
      <c r="O9" s="3" t="s">
        <v>26</v>
      </c>
      <c r="U9" s="129" t="s">
        <v>636</v>
      </c>
      <c r="V9" s="130" t="s">
        <v>27</v>
      </c>
    </row>
    <row r="10" spans="1:22" ht="13.5" thickBot="1" x14ac:dyDescent="0.25">
      <c r="B10" s="1" t="s">
        <v>637</v>
      </c>
      <c r="C10" s="3" t="s">
        <v>23</v>
      </c>
      <c r="F10" s="1" t="s">
        <v>668</v>
      </c>
      <c r="G10" s="1" t="s">
        <v>23</v>
      </c>
      <c r="J10" s="1" t="s">
        <v>686</v>
      </c>
      <c r="K10" s="3" t="s">
        <v>24</v>
      </c>
      <c r="N10" s="1" t="s">
        <v>4</v>
      </c>
      <c r="O10" s="3" t="s">
        <v>26</v>
      </c>
      <c r="U10" s="1" t="s">
        <v>637</v>
      </c>
      <c r="V10" s="3" t="s">
        <v>23</v>
      </c>
    </row>
    <row r="11" spans="1:22" ht="13.5" thickBot="1" x14ac:dyDescent="0.25">
      <c r="B11" s="1" t="s">
        <v>638</v>
      </c>
      <c r="C11" s="3" t="s">
        <v>23</v>
      </c>
      <c r="F11" s="1" t="s">
        <v>669</v>
      </c>
      <c r="G11" s="1" t="s">
        <v>23</v>
      </c>
      <c r="J11" s="1" t="s">
        <v>687</v>
      </c>
      <c r="K11" s="3" t="s">
        <v>24</v>
      </c>
      <c r="N11" s="1" t="s">
        <v>5</v>
      </c>
      <c r="O11" s="3" t="s">
        <v>29</v>
      </c>
      <c r="U11" s="1" t="s">
        <v>638</v>
      </c>
      <c r="V11" s="3" t="s">
        <v>23</v>
      </c>
    </row>
    <row r="12" spans="1:22" ht="13.5" thickBot="1" x14ac:dyDescent="0.25">
      <c r="B12" s="1" t="s">
        <v>639</v>
      </c>
      <c r="C12" s="1" t="s">
        <v>28</v>
      </c>
      <c r="F12" s="1" t="s">
        <v>670</v>
      </c>
      <c r="G12" s="1" t="s">
        <v>28</v>
      </c>
      <c r="J12" s="1" t="s">
        <v>688</v>
      </c>
      <c r="K12" s="3" t="s">
        <v>24</v>
      </c>
      <c r="N12" s="1" t="s">
        <v>6</v>
      </c>
      <c r="O12" s="3" t="s">
        <v>29</v>
      </c>
      <c r="U12" s="1" t="s">
        <v>639</v>
      </c>
      <c r="V12" s="1" t="s">
        <v>28</v>
      </c>
    </row>
    <row r="13" spans="1:22" ht="13.5" thickBot="1" x14ac:dyDescent="0.25">
      <c r="B13" s="1" t="s">
        <v>640</v>
      </c>
      <c r="C13" s="1" t="s">
        <v>28</v>
      </c>
      <c r="F13" s="1" t="s">
        <v>675</v>
      </c>
      <c r="G13" s="1" t="s">
        <v>28</v>
      </c>
      <c r="J13" s="1" t="s">
        <v>693</v>
      </c>
      <c r="K13" s="3" t="s">
        <v>25</v>
      </c>
      <c r="N13" s="1" t="s">
        <v>3</v>
      </c>
      <c r="O13" s="3" t="s">
        <v>30</v>
      </c>
      <c r="U13" s="1" t="s">
        <v>640</v>
      </c>
      <c r="V13" s="1" t="s">
        <v>28</v>
      </c>
    </row>
    <row r="14" spans="1:22" ht="13.5" thickBot="1" x14ac:dyDescent="0.25">
      <c r="B14" s="1" t="s">
        <v>641</v>
      </c>
      <c r="C14" s="1" t="s">
        <v>24</v>
      </c>
      <c r="F14" s="1" t="s">
        <v>671</v>
      </c>
      <c r="G14" s="1" t="s">
        <v>24</v>
      </c>
      <c r="J14" s="1" t="s">
        <v>689</v>
      </c>
      <c r="K14" s="3" t="s">
        <v>25</v>
      </c>
      <c r="N14" s="1" t="s">
        <v>7</v>
      </c>
      <c r="O14" s="3" t="s">
        <v>30</v>
      </c>
      <c r="U14" s="1" t="s">
        <v>641</v>
      </c>
      <c r="V14" s="1" t="s">
        <v>24</v>
      </c>
    </row>
    <row r="15" spans="1:22" ht="13.5" thickBot="1" x14ac:dyDescent="0.25">
      <c r="B15" s="1" t="s">
        <v>642</v>
      </c>
      <c r="C15" s="1" t="s">
        <v>25</v>
      </c>
      <c r="F15" s="1" t="s">
        <v>672</v>
      </c>
      <c r="G15" s="1" t="s">
        <v>24</v>
      </c>
      <c r="J15" s="1" t="s">
        <v>690</v>
      </c>
      <c r="K15" s="3" t="s">
        <v>26</v>
      </c>
      <c r="N15" s="1" t="s">
        <v>8</v>
      </c>
      <c r="O15" s="3" t="s">
        <v>30</v>
      </c>
      <c r="U15" s="1" t="s">
        <v>642</v>
      </c>
      <c r="V15" s="1" t="s">
        <v>25</v>
      </c>
    </row>
    <row r="16" spans="1:22" ht="13.5" thickBot="1" x14ac:dyDescent="0.25">
      <c r="B16" s="1" t="s">
        <v>643</v>
      </c>
      <c r="C16" s="1" t="s">
        <v>25</v>
      </c>
      <c r="F16" s="1" t="s">
        <v>673</v>
      </c>
      <c r="G16" s="1" t="s">
        <v>24</v>
      </c>
      <c r="J16" s="1" t="s">
        <v>691</v>
      </c>
      <c r="K16" s="3" t="s">
        <v>26</v>
      </c>
      <c r="N16" s="1" t="s">
        <v>9</v>
      </c>
      <c r="O16" s="3" t="s">
        <v>30</v>
      </c>
      <c r="U16" s="1" t="s">
        <v>643</v>
      </c>
      <c r="V16" s="1" t="s">
        <v>25</v>
      </c>
    </row>
    <row r="17" spans="2:22" ht="13.5" thickBot="1" x14ac:dyDescent="0.25">
      <c r="F17" s="1" t="s">
        <v>674</v>
      </c>
      <c r="G17" s="1" t="s">
        <v>25</v>
      </c>
      <c r="J17" s="1" t="s">
        <v>692</v>
      </c>
      <c r="K17" s="3" t="s">
        <v>26</v>
      </c>
      <c r="N17" s="1" t="s">
        <v>10</v>
      </c>
      <c r="O17" s="3" t="s">
        <v>30</v>
      </c>
      <c r="U17" s="1" t="s">
        <v>649</v>
      </c>
      <c r="V17" s="1" t="s">
        <v>27</v>
      </c>
    </row>
    <row r="18" spans="2:22" ht="13.5" thickBot="1" x14ac:dyDescent="0.25">
      <c r="B18" s="2155" t="s">
        <v>635</v>
      </c>
      <c r="C18" s="2155" t="s">
        <v>13</v>
      </c>
      <c r="N18" s="1" t="s">
        <v>11</v>
      </c>
      <c r="O18" s="3" t="s">
        <v>31</v>
      </c>
      <c r="U18" s="1" t="s">
        <v>650</v>
      </c>
      <c r="V18" s="1" t="s">
        <v>27</v>
      </c>
    </row>
    <row r="19" spans="2:22" ht="13.5" thickBot="1" x14ac:dyDescent="0.25">
      <c r="B19" s="2155"/>
      <c r="C19" s="2155"/>
      <c r="N19" s="1" t="s">
        <v>12</v>
      </c>
      <c r="O19" s="3" t="s">
        <v>31</v>
      </c>
      <c r="U19" s="1" t="s">
        <v>651</v>
      </c>
      <c r="V19" s="1" t="s">
        <v>23</v>
      </c>
    </row>
    <row r="20" spans="2:22" ht="13.5" thickBot="1" x14ac:dyDescent="0.25">
      <c r="B20" s="2155"/>
      <c r="C20" s="2155"/>
      <c r="F20" s="2155" t="s">
        <v>635</v>
      </c>
      <c r="G20" s="2155" t="s">
        <v>13</v>
      </c>
      <c r="J20" s="2155" t="s">
        <v>635</v>
      </c>
      <c r="K20" s="2155" t="s">
        <v>13</v>
      </c>
      <c r="O20" s="2"/>
      <c r="U20" s="1" t="s">
        <v>652</v>
      </c>
      <c r="V20" s="1" t="s">
        <v>23</v>
      </c>
    </row>
    <row r="21" spans="2:22" ht="13.5" thickBot="1" x14ac:dyDescent="0.25">
      <c r="B21" s="1" t="s">
        <v>649</v>
      </c>
      <c r="C21" s="1" t="s">
        <v>27</v>
      </c>
      <c r="F21" s="2155"/>
      <c r="G21" s="2155"/>
      <c r="J21" s="2155"/>
      <c r="K21" s="2155"/>
      <c r="U21" s="1" t="s">
        <v>665</v>
      </c>
      <c r="V21" s="1" t="s">
        <v>23</v>
      </c>
    </row>
    <row r="22" spans="2:22" ht="13.5" thickBot="1" x14ac:dyDescent="0.25">
      <c r="B22" s="1" t="s">
        <v>650</v>
      </c>
      <c r="C22" s="1" t="s">
        <v>27</v>
      </c>
      <c r="F22" s="2155"/>
      <c r="G22" s="2155"/>
      <c r="J22" s="2155"/>
      <c r="K22" s="2155"/>
      <c r="U22" s="1" t="s">
        <v>653</v>
      </c>
      <c r="V22" s="1" t="s">
        <v>23</v>
      </c>
    </row>
    <row r="23" spans="2:22" ht="13.5" thickBot="1" x14ac:dyDescent="0.25">
      <c r="B23" s="1" t="s">
        <v>651</v>
      </c>
      <c r="C23" s="1" t="s">
        <v>23</v>
      </c>
      <c r="F23" s="1" t="s">
        <v>676</v>
      </c>
      <c r="G23" s="1" t="s">
        <v>27</v>
      </c>
      <c r="J23" s="1" t="s">
        <v>694</v>
      </c>
      <c r="K23" s="1" t="s">
        <v>23</v>
      </c>
      <c r="U23" s="1" t="s">
        <v>654</v>
      </c>
      <c r="V23" s="1" t="s">
        <v>28</v>
      </c>
    </row>
    <row r="24" spans="2:22" ht="13.5" thickBot="1" x14ac:dyDescent="0.25">
      <c r="B24" s="1" t="s">
        <v>652</v>
      </c>
      <c r="C24" s="1" t="s">
        <v>23</v>
      </c>
      <c r="F24" s="1" t="s">
        <v>677</v>
      </c>
      <c r="G24" s="1" t="s">
        <v>23</v>
      </c>
      <c r="J24" s="1" t="s">
        <v>695</v>
      </c>
      <c r="K24" s="1" t="s">
        <v>24</v>
      </c>
      <c r="U24" s="1" t="s">
        <v>655</v>
      </c>
      <c r="V24" s="1" t="s">
        <v>28</v>
      </c>
    </row>
    <row r="25" spans="2:22" ht="13.5" thickBot="1" x14ac:dyDescent="0.25">
      <c r="B25" s="1" t="s">
        <v>665</v>
      </c>
      <c r="C25" s="1" t="s">
        <v>23</v>
      </c>
      <c r="F25" s="1" t="s">
        <v>678</v>
      </c>
      <c r="G25" s="1" t="s">
        <v>23</v>
      </c>
      <c r="J25" s="1" t="s">
        <v>696</v>
      </c>
      <c r="K25" s="1" t="s">
        <v>25</v>
      </c>
      <c r="U25" s="1" t="s">
        <v>656</v>
      </c>
      <c r="V25" s="1" t="s">
        <v>28</v>
      </c>
    </row>
    <row r="26" spans="2:22" ht="13.5" thickBot="1" x14ac:dyDescent="0.25">
      <c r="B26" s="1" t="s">
        <v>653</v>
      </c>
      <c r="C26" s="1" t="s">
        <v>23</v>
      </c>
      <c r="F26" s="1" t="s">
        <v>679</v>
      </c>
      <c r="G26" s="1" t="s">
        <v>28</v>
      </c>
      <c r="J26" s="1" t="s">
        <v>697</v>
      </c>
      <c r="K26" s="1" t="s">
        <v>25</v>
      </c>
      <c r="U26" s="1" t="s">
        <v>657</v>
      </c>
      <c r="V26" s="1" t="s">
        <v>28</v>
      </c>
    </row>
    <row r="27" spans="2:22" ht="13.5" thickBot="1" x14ac:dyDescent="0.25">
      <c r="B27" s="1" t="s">
        <v>654</v>
      </c>
      <c r="C27" s="1" t="s">
        <v>28</v>
      </c>
      <c r="F27" s="1" t="s">
        <v>680</v>
      </c>
      <c r="G27" s="1" t="s">
        <v>28</v>
      </c>
      <c r="J27" s="1" t="s">
        <v>698</v>
      </c>
      <c r="K27" s="1" t="s">
        <v>25</v>
      </c>
      <c r="U27" s="1" t="s">
        <v>658</v>
      </c>
      <c r="V27" s="1" t="s">
        <v>24</v>
      </c>
    </row>
    <row r="28" spans="2:22" ht="13.5" thickBot="1" x14ac:dyDescent="0.25">
      <c r="B28" s="1" t="s">
        <v>655</v>
      </c>
      <c r="C28" s="1" t="s">
        <v>28</v>
      </c>
      <c r="F28" s="1" t="s">
        <v>681</v>
      </c>
      <c r="G28" s="1" t="s">
        <v>24</v>
      </c>
      <c r="J28" s="1" t="s">
        <v>699</v>
      </c>
      <c r="K28" s="3" t="s">
        <v>26</v>
      </c>
      <c r="U28" s="1" t="s">
        <v>659</v>
      </c>
      <c r="V28" s="1" t="s">
        <v>24</v>
      </c>
    </row>
    <row r="29" spans="2:22" ht="13.5" thickBot="1" x14ac:dyDescent="0.25">
      <c r="B29" s="1" t="s">
        <v>656</v>
      </c>
      <c r="C29" s="1" t="s">
        <v>28</v>
      </c>
      <c r="F29" s="1" t="s">
        <v>682</v>
      </c>
      <c r="G29" s="1" t="s">
        <v>24</v>
      </c>
      <c r="J29" s="1" t="s">
        <v>700</v>
      </c>
      <c r="K29" s="3" t="s">
        <v>26</v>
      </c>
      <c r="U29" s="1" t="s">
        <v>660</v>
      </c>
      <c r="V29" s="1" t="s">
        <v>24</v>
      </c>
    </row>
    <row r="30" spans="2:22" ht="13.5" thickBot="1" x14ac:dyDescent="0.25">
      <c r="B30" s="1" t="s">
        <v>657</v>
      </c>
      <c r="C30" s="1" t="s">
        <v>28</v>
      </c>
      <c r="F30" s="1" t="s">
        <v>683</v>
      </c>
      <c r="G30" s="1" t="s">
        <v>24</v>
      </c>
      <c r="J30" s="1" t="s">
        <v>701</v>
      </c>
      <c r="K30" s="3" t="s">
        <v>26</v>
      </c>
      <c r="U30" s="1" t="s">
        <v>661</v>
      </c>
      <c r="V30" s="1" t="s">
        <v>24</v>
      </c>
    </row>
    <row r="31" spans="2:22" ht="13.5" thickBot="1" x14ac:dyDescent="0.25">
      <c r="B31" s="1" t="s">
        <v>658</v>
      </c>
      <c r="C31" s="1" t="s">
        <v>24</v>
      </c>
      <c r="F31" s="1" t="s">
        <v>684</v>
      </c>
      <c r="G31" s="1" t="s">
        <v>25</v>
      </c>
      <c r="K31" s="2"/>
      <c r="U31" s="1" t="s">
        <v>662</v>
      </c>
      <c r="V31" s="1" t="s">
        <v>25</v>
      </c>
    </row>
    <row r="32" spans="2:22" ht="13.5" thickBot="1" x14ac:dyDescent="0.25">
      <c r="B32" s="1" t="s">
        <v>659</v>
      </c>
      <c r="C32" s="1" t="s">
        <v>24</v>
      </c>
      <c r="U32" s="1" t="s">
        <v>667</v>
      </c>
      <c r="V32" s="1" t="s">
        <v>27</v>
      </c>
    </row>
    <row r="33" spans="2:22" ht="13.5" thickBot="1" x14ac:dyDescent="0.25">
      <c r="B33" s="1" t="s">
        <v>660</v>
      </c>
      <c r="C33" s="1" t="s">
        <v>24</v>
      </c>
      <c r="U33" s="1" t="s">
        <v>668</v>
      </c>
      <c r="V33" s="1" t="s">
        <v>23</v>
      </c>
    </row>
    <row r="34" spans="2:22" ht="13.5" thickBot="1" x14ac:dyDescent="0.25">
      <c r="B34" s="1" t="s">
        <v>661</v>
      </c>
      <c r="C34" s="1" t="s">
        <v>24</v>
      </c>
      <c r="U34" s="1" t="s">
        <v>669</v>
      </c>
      <c r="V34" s="1" t="s">
        <v>23</v>
      </c>
    </row>
    <row r="35" spans="2:22" ht="13.5" thickBot="1" x14ac:dyDescent="0.25">
      <c r="B35" s="1" t="s">
        <v>662</v>
      </c>
      <c r="C35" s="1" t="s">
        <v>25</v>
      </c>
      <c r="U35" s="1" t="s">
        <v>670</v>
      </c>
      <c r="V35" s="1" t="s">
        <v>28</v>
      </c>
    </row>
    <row r="36" spans="2:22" ht="13.5" thickBot="1" x14ac:dyDescent="0.25">
      <c r="U36" s="1" t="s">
        <v>675</v>
      </c>
      <c r="V36" s="1" t="s">
        <v>28</v>
      </c>
    </row>
    <row r="37" spans="2:22" ht="13.5" thickBot="1" x14ac:dyDescent="0.25">
      <c r="U37" s="1" t="s">
        <v>671</v>
      </c>
      <c r="V37" s="1" t="s">
        <v>24</v>
      </c>
    </row>
    <row r="38" spans="2:22" ht="13.5" thickBot="1" x14ac:dyDescent="0.25">
      <c r="U38" s="1" t="s">
        <v>672</v>
      </c>
      <c r="V38" s="1" t="s">
        <v>24</v>
      </c>
    </row>
    <row r="39" spans="2:22" ht="13.5" thickBot="1" x14ac:dyDescent="0.25">
      <c r="U39" s="1" t="s">
        <v>673</v>
      </c>
      <c r="V39" s="1" t="s">
        <v>24</v>
      </c>
    </row>
    <row r="40" spans="2:22" ht="13.5" thickBot="1" x14ac:dyDescent="0.25">
      <c r="U40" s="1" t="s">
        <v>674</v>
      </c>
      <c r="V40" s="1" t="s">
        <v>25</v>
      </c>
    </row>
    <row r="41" spans="2:22" ht="13.5" thickBot="1" x14ac:dyDescent="0.25">
      <c r="U41" s="1" t="s">
        <v>676</v>
      </c>
      <c r="V41" s="1" t="s">
        <v>27</v>
      </c>
    </row>
    <row r="42" spans="2:22" ht="13.5" thickBot="1" x14ac:dyDescent="0.25">
      <c r="U42" s="1" t="s">
        <v>677</v>
      </c>
      <c r="V42" s="1" t="s">
        <v>23</v>
      </c>
    </row>
    <row r="43" spans="2:22" ht="13.5" thickBot="1" x14ac:dyDescent="0.25">
      <c r="U43" s="1" t="s">
        <v>678</v>
      </c>
      <c r="V43" s="1" t="s">
        <v>23</v>
      </c>
    </row>
    <row r="44" spans="2:22" ht="13.5" thickBot="1" x14ac:dyDescent="0.25">
      <c r="U44" s="1" t="s">
        <v>679</v>
      </c>
      <c r="V44" s="1" t="s">
        <v>28</v>
      </c>
    </row>
    <row r="45" spans="2:22" ht="13.5" thickBot="1" x14ac:dyDescent="0.25">
      <c r="U45" s="1" t="s">
        <v>680</v>
      </c>
      <c r="V45" s="1" t="s">
        <v>28</v>
      </c>
    </row>
    <row r="46" spans="2:22" ht="13.5" thickBot="1" x14ac:dyDescent="0.25">
      <c r="U46" s="1" t="s">
        <v>681</v>
      </c>
      <c r="V46" s="1" t="s">
        <v>24</v>
      </c>
    </row>
    <row r="47" spans="2:22" ht="13.5" thickBot="1" x14ac:dyDescent="0.25">
      <c r="U47" s="1" t="s">
        <v>682</v>
      </c>
      <c r="V47" s="1" t="s">
        <v>24</v>
      </c>
    </row>
    <row r="48" spans="2:22" ht="13.5" thickBot="1" x14ac:dyDescent="0.25">
      <c r="U48" s="1" t="s">
        <v>683</v>
      </c>
      <c r="V48" s="1" t="s">
        <v>24</v>
      </c>
    </row>
    <row r="49" spans="21:22" ht="13.5" thickBot="1" x14ac:dyDescent="0.25">
      <c r="U49" s="1" t="s">
        <v>684</v>
      </c>
      <c r="V49" s="1" t="s">
        <v>25</v>
      </c>
    </row>
    <row r="50" spans="21:22" ht="13.5" thickBot="1" x14ac:dyDescent="0.25">
      <c r="U50" s="1" t="s">
        <v>685</v>
      </c>
      <c r="V50" s="3" t="s">
        <v>23</v>
      </c>
    </row>
    <row r="51" spans="21:22" ht="13.5" thickBot="1" x14ac:dyDescent="0.25">
      <c r="U51" s="1" t="s">
        <v>686</v>
      </c>
      <c r="V51" s="3" t="s">
        <v>24</v>
      </c>
    </row>
    <row r="52" spans="21:22" ht="13.5" thickBot="1" x14ac:dyDescent="0.25">
      <c r="U52" s="1" t="s">
        <v>687</v>
      </c>
      <c r="V52" s="3" t="s">
        <v>24</v>
      </c>
    </row>
    <row r="53" spans="21:22" ht="13.5" thickBot="1" x14ac:dyDescent="0.25">
      <c r="U53" s="1" t="s">
        <v>688</v>
      </c>
      <c r="V53" s="3" t="s">
        <v>24</v>
      </c>
    </row>
    <row r="54" spans="21:22" ht="13.5" thickBot="1" x14ac:dyDescent="0.25">
      <c r="U54" s="1" t="s">
        <v>693</v>
      </c>
      <c r="V54" s="3" t="s">
        <v>25</v>
      </c>
    </row>
    <row r="55" spans="21:22" ht="13.5" thickBot="1" x14ac:dyDescent="0.25">
      <c r="U55" s="1" t="s">
        <v>689</v>
      </c>
      <c r="V55" s="3" t="s">
        <v>25</v>
      </c>
    </row>
    <row r="56" spans="21:22" ht="13.5" thickBot="1" x14ac:dyDescent="0.25">
      <c r="U56" s="1" t="s">
        <v>690</v>
      </c>
      <c r="V56" s="3" t="s">
        <v>26</v>
      </c>
    </row>
    <row r="57" spans="21:22" ht="13.5" thickBot="1" x14ac:dyDescent="0.25">
      <c r="U57" s="1" t="s">
        <v>691</v>
      </c>
      <c r="V57" s="3" t="s">
        <v>26</v>
      </c>
    </row>
    <row r="58" spans="21:22" ht="13.5" thickBot="1" x14ac:dyDescent="0.25">
      <c r="U58" s="1" t="s">
        <v>692</v>
      </c>
      <c r="V58" s="3" t="s">
        <v>26</v>
      </c>
    </row>
    <row r="59" spans="21:22" ht="13.5" thickBot="1" x14ac:dyDescent="0.25">
      <c r="U59" s="1" t="s">
        <v>694</v>
      </c>
      <c r="V59" s="1" t="s">
        <v>23</v>
      </c>
    </row>
    <row r="60" spans="21:22" ht="13.5" thickBot="1" x14ac:dyDescent="0.25">
      <c r="U60" s="1" t="s">
        <v>695</v>
      </c>
      <c r="V60" s="1" t="s">
        <v>24</v>
      </c>
    </row>
    <row r="61" spans="21:22" ht="13.5" thickBot="1" x14ac:dyDescent="0.25">
      <c r="U61" s="1" t="s">
        <v>696</v>
      </c>
      <c r="V61" s="1" t="s">
        <v>25</v>
      </c>
    </row>
    <row r="62" spans="21:22" ht="13.5" thickBot="1" x14ac:dyDescent="0.25">
      <c r="U62" s="1" t="s">
        <v>697</v>
      </c>
      <c r="V62" s="1" t="s">
        <v>25</v>
      </c>
    </row>
    <row r="63" spans="21:22" ht="13.5" thickBot="1" x14ac:dyDescent="0.25">
      <c r="U63" s="1" t="s">
        <v>698</v>
      </c>
      <c r="V63" s="1" t="s">
        <v>25</v>
      </c>
    </row>
    <row r="64" spans="21:22" ht="13.5" thickBot="1" x14ac:dyDescent="0.25">
      <c r="U64" s="1" t="s">
        <v>699</v>
      </c>
      <c r="V64" s="3" t="s">
        <v>26</v>
      </c>
    </row>
    <row r="65" spans="21:22" ht="13.5" thickBot="1" x14ac:dyDescent="0.25">
      <c r="U65" s="1" t="s">
        <v>700</v>
      </c>
      <c r="V65" s="3" t="s">
        <v>26</v>
      </c>
    </row>
    <row r="66" spans="21:22" ht="13.5" thickBot="1" x14ac:dyDescent="0.25">
      <c r="U66" s="1" t="s">
        <v>701</v>
      </c>
      <c r="V66" s="3" t="s">
        <v>26</v>
      </c>
    </row>
    <row r="67" spans="21:22" ht="13.5" thickBot="1" x14ac:dyDescent="0.25">
      <c r="U67" s="1" t="s">
        <v>2</v>
      </c>
      <c r="V67" s="3" t="s">
        <v>26</v>
      </c>
    </row>
    <row r="68" spans="21:22" ht="13.5" thickBot="1" x14ac:dyDescent="0.25">
      <c r="U68" s="1" t="s">
        <v>4</v>
      </c>
      <c r="V68" s="3" t="s">
        <v>26</v>
      </c>
    </row>
    <row r="69" spans="21:22" ht="13.5" thickBot="1" x14ac:dyDescent="0.25">
      <c r="U69" s="1" t="s">
        <v>5</v>
      </c>
      <c r="V69" s="3" t="s">
        <v>29</v>
      </c>
    </row>
    <row r="70" spans="21:22" ht="13.5" thickBot="1" x14ac:dyDescent="0.25">
      <c r="U70" s="1" t="s">
        <v>6</v>
      </c>
      <c r="V70" s="3" t="s">
        <v>29</v>
      </c>
    </row>
    <row r="71" spans="21:22" ht="13.5" thickBot="1" x14ac:dyDescent="0.25">
      <c r="U71" s="1" t="s">
        <v>3</v>
      </c>
      <c r="V71" s="3" t="s">
        <v>30</v>
      </c>
    </row>
    <row r="72" spans="21:22" ht="13.5" thickBot="1" x14ac:dyDescent="0.25">
      <c r="U72" s="1" t="s">
        <v>7</v>
      </c>
      <c r="V72" s="3" t="s">
        <v>30</v>
      </c>
    </row>
    <row r="73" spans="21:22" ht="13.5" thickBot="1" x14ac:dyDescent="0.25">
      <c r="U73" s="1" t="s">
        <v>8</v>
      </c>
      <c r="V73" s="3" t="s">
        <v>30</v>
      </c>
    </row>
    <row r="74" spans="21:22" ht="13.5" thickBot="1" x14ac:dyDescent="0.25">
      <c r="U74" s="1" t="s">
        <v>9</v>
      </c>
      <c r="V74" s="3" t="s">
        <v>30</v>
      </c>
    </row>
    <row r="75" spans="21:22" ht="13.5" thickBot="1" x14ac:dyDescent="0.25">
      <c r="U75" s="1" t="s">
        <v>10</v>
      </c>
      <c r="V75" s="3" t="s">
        <v>30</v>
      </c>
    </row>
    <row r="76" spans="21:22" ht="13.5" thickBot="1" x14ac:dyDescent="0.25">
      <c r="U76" s="1" t="s">
        <v>11</v>
      </c>
      <c r="V76" s="3" t="s">
        <v>31</v>
      </c>
    </row>
    <row r="77" spans="21:22" ht="13.5" thickBot="1" x14ac:dyDescent="0.25">
      <c r="U77" s="1" t="s">
        <v>12</v>
      </c>
      <c r="V77" s="3" t="s">
        <v>31</v>
      </c>
    </row>
  </sheetData>
  <sheetProtection sheet="1" objects="1" scenarios="1"/>
  <mergeCells count="16">
    <mergeCell ref="B1:K3"/>
    <mergeCell ref="J6:J8"/>
    <mergeCell ref="B6:B8"/>
    <mergeCell ref="B18:B20"/>
    <mergeCell ref="F6:F8"/>
    <mergeCell ref="F20:F22"/>
    <mergeCell ref="U6:V8"/>
    <mergeCell ref="J20:J22"/>
    <mergeCell ref="N6:N8"/>
    <mergeCell ref="C6:C8"/>
    <mergeCell ref="C18:C20"/>
    <mergeCell ref="G6:G8"/>
    <mergeCell ref="G20:G22"/>
    <mergeCell ref="K6:K8"/>
    <mergeCell ref="K20:K22"/>
    <mergeCell ref="O6:O8"/>
  </mergeCells>
  <phoneticPr fontId="3" type="noConversion"/>
  <pageMargins left="0.75" right="0.75" top="1" bottom="1" header="0.5" footer="0.5"/>
  <pageSetup orientation="landscape" r:id="rId1"/>
  <headerFooter alignWithMargins="0"/>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875C2C-1482-4F70-B578-3A7DC2ADB568}">
  <sheetPr codeName="Sheet8">
    <pageSetUpPr fitToPage="1"/>
  </sheetPr>
  <dimension ref="A3:T210"/>
  <sheetViews>
    <sheetView workbookViewId="0">
      <selection activeCell="T6" sqref="T6"/>
    </sheetView>
  </sheetViews>
  <sheetFormatPr defaultRowHeight="12.75" x14ac:dyDescent="0.2"/>
  <cols>
    <col min="1" max="1" width="9.140625" style="184"/>
    <col min="4" max="6" width="9.140625" style="1098"/>
    <col min="7" max="10" width="11.42578125" customWidth="1"/>
    <col min="11" max="11" width="6.85546875" customWidth="1"/>
    <col min="14" max="15" width="9.7109375" customWidth="1"/>
    <col min="17" max="17" width="11.5703125" customWidth="1"/>
    <col min="18" max="18" width="11" customWidth="1"/>
    <col min="19" max="19" width="5" customWidth="1"/>
  </cols>
  <sheetData>
    <row r="3" spans="2:20" ht="18" x14ac:dyDescent="0.25">
      <c r="B3" s="1097" t="s">
        <v>1060</v>
      </c>
    </row>
    <row r="4" spans="2:20" ht="13.5" thickBot="1" x14ac:dyDescent="0.25">
      <c r="B4" s="1099">
        <v>1</v>
      </c>
      <c r="C4" s="1099">
        <v>2</v>
      </c>
      <c r="D4" s="1099">
        <v>3</v>
      </c>
      <c r="E4" s="1099">
        <v>4</v>
      </c>
      <c r="F4" s="1099">
        <v>5</v>
      </c>
      <c r="G4" s="1099">
        <v>6</v>
      </c>
      <c r="H4" s="1099">
        <v>7</v>
      </c>
      <c r="I4" s="1099">
        <v>8</v>
      </c>
      <c r="J4" s="1099">
        <v>9</v>
      </c>
    </row>
    <row r="5" spans="2:20" s="179" customFormat="1" x14ac:dyDescent="0.2">
      <c r="B5" s="1100"/>
      <c r="C5" s="1101" t="s">
        <v>735</v>
      </c>
      <c r="D5" s="1102"/>
      <c r="E5" s="1102"/>
      <c r="F5" s="1102"/>
      <c r="G5" s="1101" t="s">
        <v>1061</v>
      </c>
      <c r="H5" s="1101"/>
      <c r="I5" s="1103"/>
      <c r="J5" s="1104"/>
      <c r="N5" s="179" t="s">
        <v>1061</v>
      </c>
    </row>
    <row r="6" spans="2:20" s="179" customFormat="1" x14ac:dyDescent="0.2">
      <c r="B6" s="1105" t="s">
        <v>605</v>
      </c>
      <c r="C6" s="1106" t="s">
        <v>1062</v>
      </c>
      <c r="D6" s="1107"/>
      <c r="E6" s="1107"/>
      <c r="F6" s="1107"/>
      <c r="G6" s="1106" t="s">
        <v>1063</v>
      </c>
      <c r="H6" s="1106" t="s">
        <v>1064</v>
      </c>
      <c r="I6" s="1108" t="s">
        <v>1065</v>
      </c>
      <c r="J6" s="1109" t="s">
        <v>1065</v>
      </c>
      <c r="L6" s="179" t="s">
        <v>605</v>
      </c>
      <c r="N6" s="179" t="s">
        <v>1063</v>
      </c>
      <c r="O6" s="1110" t="s">
        <v>1065</v>
      </c>
      <c r="T6" s="179">
        <f>VLOOKUP(20,Glycol_20,4)</f>
        <v>1.02886587849</v>
      </c>
    </row>
    <row r="7" spans="2:20" s="179" customFormat="1" x14ac:dyDescent="0.2">
      <c r="B7" s="1105" t="s">
        <v>840</v>
      </c>
      <c r="C7" s="1106" t="s">
        <v>614</v>
      </c>
      <c r="D7" s="1107" t="s">
        <v>1066</v>
      </c>
      <c r="E7" s="1107" t="s">
        <v>1066</v>
      </c>
      <c r="F7" s="1107"/>
      <c r="G7" s="1106" t="s">
        <v>1067</v>
      </c>
      <c r="H7" s="1106" t="s">
        <v>1067</v>
      </c>
      <c r="I7" s="1108" t="s">
        <v>1068</v>
      </c>
      <c r="J7" s="1109" t="s">
        <v>1069</v>
      </c>
      <c r="L7" s="179" t="s">
        <v>840</v>
      </c>
      <c r="M7" s="1111" t="s">
        <v>1066</v>
      </c>
      <c r="N7" s="179" t="s">
        <v>1067</v>
      </c>
      <c r="O7" s="1110" t="s">
        <v>1068</v>
      </c>
    </row>
    <row r="8" spans="2:20" s="179" customFormat="1" ht="14.25" x14ac:dyDescent="0.2">
      <c r="B8" s="1112" t="s">
        <v>1070</v>
      </c>
      <c r="C8" s="1113" t="s">
        <v>1071</v>
      </c>
      <c r="D8" s="1114" t="s">
        <v>1072</v>
      </c>
      <c r="E8" s="1107" t="s">
        <v>1073</v>
      </c>
      <c r="F8" s="1107" t="s">
        <v>1074</v>
      </c>
      <c r="G8" s="1106" t="s">
        <v>1075</v>
      </c>
      <c r="H8" s="1106" t="s">
        <v>1076</v>
      </c>
      <c r="I8" s="1108" t="s">
        <v>1077</v>
      </c>
      <c r="J8" s="1109"/>
      <c r="L8" s="1115" t="s">
        <v>1070</v>
      </c>
      <c r="M8" s="1116" t="s">
        <v>1072</v>
      </c>
      <c r="N8" s="179" t="s">
        <v>1075</v>
      </c>
      <c r="O8" s="1110" t="s">
        <v>1077</v>
      </c>
    </row>
    <row r="9" spans="2:20" s="179" customFormat="1" ht="13.5" thickBot="1" x14ac:dyDescent="0.25">
      <c r="B9" s="1105"/>
      <c r="C9" s="1106"/>
      <c r="D9" s="1107" t="s">
        <v>1078</v>
      </c>
      <c r="E9" s="1107" t="s">
        <v>1078</v>
      </c>
      <c r="F9" s="1107"/>
      <c r="G9" s="1106" t="s">
        <v>1079</v>
      </c>
      <c r="H9" s="1106" t="s">
        <v>1080</v>
      </c>
      <c r="I9" s="1117"/>
      <c r="J9" s="1118"/>
    </row>
    <row r="10" spans="2:20" s="179" customFormat="1" x14ac:dyDescent="0.2">
      <c r="B10" s="1119">
        <v>20</v>
      </c>
      <c r="C10" s="1120">
        <v>20</v>
      </c>
      <c r="D10" s="1121">
        <v>64.23</v>
      </c>
      <c r="E10" s="1122">
        <f t="shared" ref="E10:E19" si="0">D10*0.016018463</f>
        <v>1.02886587849</v>
      </c>
      <c r="F10" s="1122">
        <f>D10/7.4805195</f>
        <v>8.5863020609731731</v>
      </c>
      <c r="G10" s="1121">
        <v>5.36</v>
      </c>
      <c r="H10" s="1121">
        <f t="shared" ref="H10:H19" si="1">G10/E10</f>
        <v>5.2096197493365475</v>
      </c>
      <c r="I10" s="1123">
        <v>0.93600000000000005</v>
      </c>
      <c r="J10" s="1124" t="e">
        <f t="shared" ref="J10:J41" si="2">E10/VLOOKUP(60,Water,6,FALSE)</f>
        <v>#NAME?</v>
      </c>
      <c r="L10" s="1125">
        <f>B10</f>
        <v>20</v>
      </c>
      <c r="M10" s="1126">
        <f>D10</f>
        <v>64.23</v>
      </c>
      <c r="N10" s="1126">
        <f>G10</f>
        <v>5.36</v>
      </c>
      <c r="O10" s="1127">
        <f>I10</f>
        <v>0.93600000000000005</v>
      </c>
      <c r="Q10" s="1128" t="s">
        <v>1081</v>
      </c>
      <c r="R10" s="1129"/>
      <c r="S10"/>
      <c r="T10"/>
    </row>
    <row r="11" spans="2:20" s="179" customFormat="1" x14ac:dyDescent="0.2">
      <c r="B11" s="1130">
        <v>21</v>
      </c>
      <c r="C11" s="1131">
        <v>20</v>
      </c>
      <c r="D11" s="1132">
        <f>FORECAST(B11,$M$10:$M$11,$L$10:$L$11)</f>
        <v>64.221000000000004</v>
      </c>
      <c r="E11" s="1133">
        <f t="shared" si="0"/>
        <v>1.0287217123230001</v>
      </c>
      <c r="F11" s="1133">
        <f t="shared" ref="F11:F74" si="3">D11/7.4805195</f>
        <v>8.5850989359763048</v>
      </c>
      <c r="G11" s="1132">
        <f>FORECAST(B11,$N$10:$N$11,$L$10:$L$11)</f>
        <v>5.2469999999999999</v>
      </c>
      <c r="H11" s="1134">
        <f t="shared" si="1"/>
        <v>5.100504769313682</v>
      </c>
      <c r="I11" s="1135">
        <f>FORECAST(B11,$O$10:$O$11,$L$10:$L$11)</f>
        <v>0.93620000000000014</v>
      </c>
      <c r="J11" s="1136" t="e">
        <f t="shared" si="2"/>
        <v>#NAME?</v>
      </c>
      <c r="L11" s="1125">
        <f>B20</f>
        <v>30</v>
      </c>
      <c r="M11" s="1126">
        <f>D20</f>
        <v>64.14</v>
      </c>
      <c r="N11" s="1126">
        <f>G20</f>
        <v>4.2300000000000004</v>
      </c>
      <c r="O11" s="1127">
        <f>I20</f>
        <v>0.93799999999999994</v>
      </c>
      <c r="Q11" s="1137" t="s">
        <v>559</v>
      </c>
      <c r="R11" s="1138" t="s">
        <v>1082</v>
      </c>
      <c r="S11"/>
      <c r="T11"/>
    </row>
    <row r="12" spans="2:20" s="179" customFormat="1" x14ac:dyDescent="0.2">
      <c r="B12" s="1130">
        <v>22</v>
      </c>
      <c r="C12" s="1131">
        <v>20</v>
      </c>
      <c r="D12" s="1132">
        <f t="shared" ref="D12:D19" si="4">FORECAST(B12,$M$10:$M$11,$L$10:$L$11)</f>
        <v>64.212000000000003</v>
      </c>
      <c r="E12" s="1133">
        <f t="shared" si="0"/>
        <v>1.0285775461560001</v>
      </c>
      <c r="F12" s="1133">
        <f t="shared" si="3"/>
        <v>8.5838958109794383</v>
      </c>
      <c r="G12" s="1132">
        <f t="shared" ref="G12:G19" si="5">FORECAST(B12,$N$10:$N$11,$L$10:$L$11)</f>
        <v>5.1339999999999995</v>
      </c>
      <c r="H12" s="1134">
        <f t="shared" si="1"/>
        <v>4.9913592020230109</v>
      </c>
      <c r="I12" s="1135">
        <f t="shared" ref="I12:I19" si="6">FORECAST(B12,$O$10:$O$11,$L$10:$L$11)</f>
        <v>0.93640000000000012</v>
      </c>
      <c r="J12" s="1136" t="e">
        <f t="shared" si="2"/>
        <v>#NAME?</v>
      </c>
      <c r="Q12" s="1139">
        <v>80</v>
      </c>
      <c r="R12" s="1140">
        <v>1.63</v>
      </c>
      <c r="S12"/>
      <c r="T12"/>
    </row>
    <row r="13" spans="2:20" s="179" customFormat="1" x14ac:dyDescent="0.2">
      <c r="B13" s="1130">
        <v>23</v>
      </c>
      <c r="C13" s="1131">
        <v>20</v>
      </c>
      <c r="D13" s="1132">
        <f t="shared" si="4"/>
        <v>64.203000000000003</v>
      </c>
      <c r="E13" s="1133">
        <f t="shared" si="0"/>
        <v>1.028433379989</v>
      </c>
      <c r="F13" s="1133">
        <f t="shared" si="3"/>
        <v>8.5826926859825718</v>
      </c>
      <c r="G13" s="1132">
        <f t="shared" si="5"/>
        <v>5.020999999999999</v>
      </c>
      <c r="H13" s="1134">
        <f t="shared" si="1"/>
        <v>4.8821830346013302</v>
      </c>
      <c r="I13" s="1135">
        <f t="shared" si="6"/>
        <v>0.9366000000000001</v>
      </c>
      <c r="J13" s="1136" t="e">
        <f t="shared" si="2"/>
        <v>#NAME?</v>
      </c>
      <c r="Q13" s="1139">
        <v>90</v>
      </c>
      <c r="R13" s="1140">
        <v>1.41</v>
      </c>
    </row>
    <row r="14" spans="2:20" s="179" customFormat="1" ht="13.5" thickBot="1" x14ac:dyDescent="0.25">
      <c r="B14" s="1141">
        <v>24</v>
      </c>
      <c r="C14" s="1142">
        <v>20</v>
      </c>
      <c r="D14" s="1143">
        <f t="shared" si="4"/>
        <v>64.194000000000003</v>
      </c>
      <c r="E14" s="1144">
        <f t="shared" si="0"/>
        <v>1.0282892138220001</v>
      </c>
      <c r="F14" s="1144">
        <f t="shared" si="3"/>
        <v>8.5814895609857054</v>
      </c>
      <c r="G14" s="1143">
        <f t="shared" si="5"/>
        <v>4.9079999999999995</v>
      </c>
      <c r="H14" s="1145">
        <f t="shared" si="1"/>
        <v>4.7729762541782224</v>
      </c>
      <c r="I14" s="1146">
        <f t="shared" si="6"/>
        <v>0.93680000000000008</v>
      </c>
      <c r="J14" s="1147" t="e">
        <f t="shared" si="2"/>
        <v>#NAME?</v>
      </c>
      <c r="Q14" s="1137"/>
      <c r="R14" s="1138"/>
    </row>
    <row r="15" spans="2:20" s="179" customFormat="1" x14ac:dyDescent="0.2">
      <c r="B15" s="1148">
        <v>25</v>
      </c>
      <c r="C15" s="1149">
        <v>20</v>
      </c>
      <c r="D15" s="1150">
        <f t="shared" si="4"/>
        <v>64.185000000000002</v>
      </c>
      <c r="E15" s="1122">
        <f t="shared" si="0"/>
        <v>1.028145047655</v>
      </c>
      <c r="F15" s="1122">
        <f t="shared" si="3"/>
        <v>8.5802864359888371</v>
      </c>
      <c r="G15" s="1150">
        <f t="shared" si="5"/>
        <v>4.7949999999999999</v>
      </c>
      <c r="H15" s="1121">
        <f t="shared" si="1"/>
        <v>4.6637388478760533</v>
      </c>
      <c r="I15" s="1151">
        <f t="shared" si="6"/>
        <v>0.93700000000000006</v>
      </c>
      <c r="J15" s="1124" t="e">
        <f t="shared" si="2"/>
        <v>#NAME?</v>
      </c>
      <c r="Q15" s="1152">
        <v>88</v>
      </c>
      <c r="R15" s="1153">
        <f>FORECAST(Q15,R12:R13,Q12:Q13)</f>
        <v>1.4539999999999997</v>
      </c>
    </row>
    <row r="16" spans="2:20" s="179" customFormat="1" x14ac:dyDescent="0.2">
      <c r="B16" s="1130">
        <v>26</v>
      </c>
      <c r="C16" s="1131">
        <v>20</v>
      </c>
      <c r="D16" s="1132">
        <f t="shared" si="4"/>
        <v>64.176000000000002</v>
      </c>
      <c r="E16" s="1133">
        <f t="shared" si="0"/>
        <v>1.028000881488</v>
      </c>
      <c r="F16" s="1133">
        <f t="shared" si="3"/>
        <v>8.5790833109919706</v>
      </c>
      <c r="G16" s="1132">
        <f t="shared" si="5"/>
        <v>4.6819999999999995</v>
      </c>
      <c r="H16" s="1134">
        <f t="shared" si="1"/>
        <v>4.5544708028099619</v>
      </c>
      <c r="I16" s="1135">
        <f t="shared" si="6"/>
        <v>0.93720000000000014</v>
      </c>
      <c r="J16" s="1136" t="e">
        <f t="shared" si="2"/>
        <v>#NAME?</v>
      </c>
      <c r="Q16" s="204"/>
      <c r="R16" s="1154"/>
    </row>
    <row r="17" spans="2:20" s="179" customFormat="1" x14ac:dyDescent="0.2">
      <c r="B17" s="1130">
        <v>27</v>
      </c>
      <c r="C17" s="1131">
        <v>20</v>
      </c>
      <c r="D17" s="1132">
        <f t="shared" si="4"/>
        <v>64.167000000000002</v>
      </c>
      <c r="E17" s="1133">
        <f t="shared" si="0"/>
        <v>1.0278567153210001</v>
      </c>
      <c r="F17" s="1133">
        <f t="shared" si="3"/>
        <v>8.5778801859951042</v>
      </c>
      <c r="G17" s="1132">
        <f t="shared" si="5"/>
        <v>4.5689999999999991</v>
      </c>
      <c r="H17" s="1134">
        <f t="shared" si="1"/>
        <v>4.4451721060878588</v>
      </c>
      <c r="I17" s="1135">
        <f t="shared" si="6"/>
        <v>0.93740000000000012</v>
      </c>
      <c r="J17" s="1136" t="e">
        <f t="shared" si="2"/>
        <v>#NAME?</v>
      </c>
      <c r="Q17" s="1155" t="s">
        <v>1083</v>
      </c>
      <c r="R17" s="1156"/>
    </row>
    <row r="18" spans="2:20" s="179" customFormat="1" ht="13.5" thickBot="1" x14ac:dyDescent="0.25">
      <c r="B18" s="1130">
        <v>28</v>
      </c>
      <c r="C18" s="1131">
        <v>20</v>
      </c>
      <c r="D18" s="1132">
        <f t="shared" si="4"/>
        <v>64.158000000000001</v>
      </c>
      <c r="E18" s="1133">
        <f t="shared" si="0"/>
        <v>1.027712549154</v>
      </c>
      <c r="F18" s="1133">
        <f t="shared" si="3"/>
        <v>8.5766770609982377</v>
      </c>
      <c r="G18" s="1132">
        <f t="shared" si="5"/>
        <v>4.4559999999999995</v>
      </c>
      <c r="H18" s="1134">
        <f t="shared" si="1"/>
        <v>4.3358427448104262</v>
      </c>
      <c r="I18" s="1135">
        <f t="shared" si="6"/>
        <v>0.9376000000000001</v>
      </c>
      <c r="J18" s="1136" t="e">
        <f t="shared" si="2"/>
        <v>#NAME?</v>
      </c>
      <c r="Q18" s="1157" t="s">
        <v>1084</v>
      </c>
      <c r="R18" s="1158"/>
    </row>
    <row r="19" spans="2:20" s="179" customFormat="1" ht="13.5" thickBot="1" x14ac:dyDescent="0.25">
      <c r="B19" s="1159">
        <v>29</v>
      </c>
      <c r="C19" s="1142">
        <v>20</v>
      </c>
      <c r="D19" s="1143">
        <f t="shared" si="4"/>
        <v>64.149000000000001</v>
      </c>
      <c r="E19" s="1144">
        <f t="shared" si="0"/>
        <v>1.0275683829869999</v>
      </c>
      <c r="F19" s="1144">
        <f t="shared" si="3"/>
        <v>8.5754739360013712</v>
      </c>
      <c r="G19" s="1143">
        <f t="shared" si="5"/>
        <v>4.343</v>
      </c>
      <c r="H19" s="1145">
        <f t="shared" si="1"/>
        <v>4.2264827060711001</v>
      </c>
      <c r="I19" s="1135">
        <f t="shared" si="6"/>
        <v>0.93780000000000008</v>
      </c>
      <c r="J19" s="1147" t="e">
        <f t="shared" si="2"/>
        <v>#NAME?</v>
      </c>
      <c r="Q19"/>
      <c r="R19"/>
    </row>
    <row r="20" spans="2:20" x14ac:dyDescent="0.2">
      <c r="B20" s="1160">
        <v>30</v>
      </c>
      <c r="C20" s="1161">
        <v>20</v>
      </c>
      <c r="D20" s="1162">
        <v>64.14</v>
      </c>
      <c r="E20" s="1163">
        <f>D20*0.016018463</f>
        <v>1.0274242168200001</v>
      </c>
      <c r="F20" s="1122">
        <f t="shared" si="3"/>
        <v>8.5742708110045029</v>
      </c>
      <c r="G20" s="1162">
        <v>4.2300000000000004</v>
      </c>
      <c r="H20" s="1162">
        <f>G20/E20</f>
        <v>4.1170919769560745</v>
      </c>
      <c r="I20" s="1123">
        <v>0.93799999999999994</v>
      </c>
      <c r="J20" s="1124" t="e">
        <f t="shared" si="2"/>
        <v>#NAME?</v>
      </c>
      <c r="L20" s="1125">
        <f>B20</f>
        <v>30</v>
      </c>
      <c r="M20" s="1126">
        <f>D20</f>
        <v>64.14</v>
      </c>
      <c r="N20" s="1126">
        <f>G20</f>
        <v>4.2300000000000004</v>
      </c>
      <c r="O20" s="1127">
        <f>I20</f>
        <v>0.93799999999999994</v>
      </c>
      <c r="S20" s="179"/>
      <c r="T20" s="179"/>
    </row>
    <row r="21" spans="2:20" x14ac:dyDescent="0.2">
      <c r="B21" s="1164">
        <v>31</v>
      </c>
      <c r="C21" s="1165">
        <v>20</v>
      </c>
      <c r="D21" s="1132">
        <f t="shared" ref="D21:D29" si="7">FORECAST(B21,$M$20:$M$21,$L$20:$L$21)</f>
        <v>64.129000000000005</v>
      </c>
      <c r="E21" s="1133">
        <f t="shared" ref="E21:E84" si="8">D21*0.016018463</f>
        <v>1.0272480137270001</v>
      </c>
      <c r="F21" s="1133">
        <f t="shared" si="3"/>
        <v>8.5728003248972229</v>
      </c>
      <c r="G21" s="1132">
        <f t="shared" ref="G21:G29" si="9">FORECAST(B21,$N$20:$N$21,$L$20:$L$21)</f>
        <v>4.1479999999999997</v>
      </c>
      <c r="H21" s="1134">
        <f t="shared" ref="H21:H84" si="10">G21/E21</f>
        <v>4.0379732494692036</v>
      </c>
      <c r="I21" s="1135">
        <f>FORECAST(B21,$O$20:$O$21,$L$20:$L$21)</f>
        <v>0.93830000000000002</v>
      </c>
      <c r="J21" s="1136" t="e">
        <f t="shared" si="2"/>
        <v>#NAME?</v>
      </c>
      <c r="L21" s="1125">
        <f>B30</f>
        <v>40</v>
      </c>
      <c r="M21" s="1126">
        <f>D30</f>
        <v>64.03</v>
      </c>
      <c r="N21" s="1126">
        <f>G30</f>
        <v>3.41</v>
      </c>
      <c r="O21" s="1127">
        <f>I30</f>
        <v>0.94099999999999995</v>
      </c>
      <c r="S21" s="179"/>
      <c r="T21" s="179"/>
    </row>
    <row r="22" spans="2:20" x14ac:dyDescent="0.2">
      <c r="B22" s="1164">
        <v>32</v>
      </c>
      <c r="C22" s="1165">
        <v>20</v>
      </c>
      <c r="D22" s="1132">
        <f t="shared" si="7"/>
        <v>64.117999999999995</v>
      </c>
      <c r="E22" s="1133">
        <f t="shared" si="8"/>
        <v>1.027071810634</v>
      </c>
      <c r="F22" s="1133">
        <f t="shared" si="3"/>
        <v>8.5713298387899393</v>
      </c>
      <c r="G22" s="1132">
        <f t="shared" si="9"/>
        <v>4.0660000000000007</v>
      </c>
      <c r="H22" s="1134">
        <f t="shared" si="10"/>
        <v>3.9588273749720617</v>
      </c>
      <c r="I22" s="1135">
        <f t="shared" ref="I22:I29" si="11">FORECAST(B22,$O$20:$O$21,$L$20:$L$21)</f>
        <v>0.9386000000000001</v>
      </c>
      <c r="J22" s="1136" t="e">
        <f t="shared" si="2"/>
        <v>#NAME?</v>
      </c>
      <c r="L22" s="184"/>
      <c r="M22" s="1166"/>
      <c r="N22" s="1166"/>
      <c r="O22" s="179"/>
      <c r="Q22" t="s">
        <v>1085</v>
      </c>
      <c r="S22" s="179"/>
      <c r="T22" s="179"/>
    </row>
    <row r="23" spans="2:20" x14ac:dyDescent="0.2">
      <c r="B23" s="1164">
        <v>33</v>
      </c>
      <c r="C23" s="1165">
        <v>20</v>
      </c>
      <c r="D23" s="1132">
        <f t="shared" si="7"/>
        <v>64.106999999999999</v>
      </c>
      <c r="E23" s="1133">
        <f t="shared" si="8"/>
        <v>1.0268956075410001</v>
      </c>
      <c r="F23" s="1133">
        <f t="shared" si="3"/>
        <v>8.5698593526826574</v>
      </c>
      <c r="G23" s="1132">
        <f t="shared" si="9"/>
        <v>3.9840000000000004</v>
      </c>
      <c r="H23" s="1134">
        <f t="shared" si="10"/>
        <v>3.8796543394903305</v>
      </c>
      <c r="I23" s="1135">
        <f t="shared" si="11"/>
        <v>0.93890000000000007</v>
      </c>
      <c r="J23" s="1136" t="e">
        <f t="shared" si="2"/>
        <v>#NAME?</v>
      </c>
      <c r="L23" s="184"/>
      <c r="M23" s="1166"/>
      <c r="N23" s="1166"/>
      <c r="O23" s="179"/>
      <c r="Q23" t="s">
        <v>1086</v>
      </c>
      <c r="S23" s="179"/>
      <c r="T23" s="179"/>
    </row>
    <row r="24" spans="2:20" ht="13.5" thickBot="1" x14ac:dyDescent="0.25">
      <c r="B24" s="1167">
        <v>34</v>
      </c>
      <c r="C24" s="1168">
        <v>20</v>
      </c>
      <c r="D24" s="1169">
        <f t="shared" si="7"/>
        <v>64.096000000000004</v>
      </c>
      <c r="E24" s="1170">
        <f t="shared" si="8"/>
        <v>1.0267194044480001</v>
      </c>
      <c r="F24" s="1144">
        <f t="shared" si="3"/>
        <v>8.5683888665753773</v>
      </c>
      <c r="G24" s="1169">
        <f t="shared" si="9"/>
        <v>3.9020000000000001</v>
      </c>
      <c r="H24" s="1171">
        <f t="shared" si="10"/>
        <v>3.8004541290401055</v>
      </c>
      <c r="I24" s="1146">
        <f t="shared" si="11"/>
        <v>0.93920000000000003</v>
      </c>
      <c r="J24" s="1147" t="e">
        <f t="shared" si="2"/>
        <v>#NAME?</v>
      </c>
      <c r="L24" s="184"/>
      <c r="M24" s="1166"/>
      <c r="N24" s="1166"/>
      <c r="O24" s="179"/>
      <c r="Q24" t="s">
        <v>1087</v>
      </c>
      <c r="S24" s="179"/>
      <c r="T24" s="179"/>
    </row>
    <row r="25" spans="2:20" x14ac:dyDescent="0.2">
      <c r="B25" s="1172">
        <v>35</v>
      </c>
      <c r="C25" s="1120">
        <v>20</v>
      </c>
      <c r="D25" s="1150">
        <f t="shared" si="7"/>
        <v>64.085000000000008</v>
      </c>
      <c r="E25" s="1122">
        <f t="shared" si="8"/>
        <v>1.0265432013550002</v>
      </c>
      <c r="F25" s="1122">
        <f t="shared" si="3"/>
        <v>8.5669183804680955</v>
      </c>
      <c r="G25" s="1150">
        <f t="shared" si="9"/>
        <v>3.8200000000000003</v>
      </c>
      <c r="H25" s="1121">
        <f t="shared" si="10"/>
        <v>3.7212267296278787</v>
      </c>
      <c r="I25" s="1173">
        <f t="shared" si="11"/>
        <v>0.9395</v>
      </c>
      <c r="J25" s="1124" t="e">
        <f t="shared" si="2"/>
        <v>#NAME?</v>
      </c>
      <c r="L25" s="184"/>
      <c r="M25" s="1166"/>
      <c r="N25" s="1166"/>
      <c r="O25" s="179"/>
      <c r="Q25" t="s">
        <v>1088</v>
      </c>
      <c r="S25" s="179"/>
      <c r="T25" s="179"/>
    </row>
    <row r="26" spans="2:20" x14ac:dyDescent="0.2">
      <c r="B26" s="1164">
        <v>36</v>
      </c>
      <c r="C26" s="1165">
        <v>20</v>
      </c>
      <c r="D26" s="1132">
        <f t="shared" si="7"/>
        <v>64.073999999999998</v>
      </c>
      <c r="E26" s="1133">
        <f t="shared" si="8"/>
        <v>1.0263669982620001</v>
      </c>
      <c r="F26" s="1133">
        <f t="shared" si="3"/>
        <v>8.5654478943608137</v>
      </c>
      <c r="G26" s="1132">
        <f t="shared" si="9"/>
        <v>3.738</v>
      </c>
      <c r="H26" s="1134">
        <f t="shared" si="10"/>
        <v>3.6419721272505323</v>
      </c>
      <c r="I26" s="1135">
        <f t="shared" si="11"/>
        <v>0.93980000000000008</v>
      </c>
      <c r="J26" s="1136" t="e">
        <f t="shared" si="2"/>
        <v>#NAME?</v>
      </c>
      <c r="L26" s="184"/>
      <c r="M26" s="1166"/>
      <c r="N26" s="1166"/>
      <c r="O26" s="179"/>
    </row>
    <row r="27" spans="2:20" x14ac:dyDescent="0.2">
      <c r="B27" s="1164">
        <v>37</v>
      </c>
      <c r="C27" s="1165">
        <v>20</v>
      </c>
      <c r="D27" s="1132">
        <f t="shared" si="7"/>
        <v>64.063000000000002</v>
      </c>
      <c r="E27" s="1133">
        <f t="shared" si="8"/>
        <v>1.0261907951690001</v>
      </c>
      <c r="F27" s="1133">
        <f t="shared" si="3"/>
        <v>8.5639774082535318</v>
      </c>
      <c r="G27" s="1132">
        <f t="shared" si="9"/>
        <v>3.6560000000000001</v>
      </c>
      <c r="H27" s="1134">
        <f t="shared" si="10"/>
        <v>3.5626903078953314</v>
      </c>
      <c r="I27" s="1135">
        <f t="shared" si="11"/>
        <v>0.94010000000000005</v>
      </c>
      <c r="J27" s="1136" t="e">
        <f t="shared" si="2"/>
        <v>#NAME?</v>
      </c>
      <c r="L27" s="184"/>
      <c r="M27" s="1166"/>
      <c r="N27" s="1166"/>
      <c r="O27" s="179"/>
    </row>
    <row r="28" spans="2:20" x14ac:dyDescent="0.2">
      <c r="B28" s="1164">
        <v>38</v>
      </c>
      <c r="C28" s="1165">
        <v>20</v>
      </c>
      <c r="D28" s="1132">
        <f t="shared" si="7"/>
        <v>64.052000000000007</v>
      </c>
      <c r="E28" s="1133">
        <f t="shared" si="8"/>
        <v>1.0260145920760002</v>
      </c>
      <c r="F28" s="1133">
        <f t="shared" si="3"/>
        <v>8.56250692214625</v>
      </c>
      <c r="G28" s="1132">
        <f t="shared" si="9"/>
        <v>3.5740000000000003</v>
      </c>
      <c r="H28" s="1134">
        <f t="shared" si="10"/>
        <v>3.4833812575399148</v>
      </c>
      <c r="I28" s="1135">
        <f t="shared" si="11"/>
        <v>0.94040000000000001</v>
      </c>
      <c r="J28" s="1136" t="e">
        <f t="shared" si="2"/>
        <v>#NAME?</v>
      </c>
      <c r="L28" s="184"/>
      <c r="M28" s="1166"/>
      <c r="N28" s="1166"/>
      <c r="O28" s="179"/>
    </row>
    <row r="29" spans="2:20" ht="13.5" thickBot="1" x14ac:dyDescent="0.25">
      <c r="B29" s="1174">
        <v>39</v>
      </c>
      <c r="C29" s="1175">
        <v>20</v>
      </c>
      <c r="D29" s="1143">
        <f t="shared" si="7"/>
        <v>64.040999999999997</v>
      </c>
      <c r="E29" s="1144">
        <f t="shared" si="8"/>
        <v>1.0258383889830001</v>
      </c>
      <c r="F29" s="1144">
        <f t="shared" si="3"/>
        <v>8.5610364360389681</v>
      </c>
      <c r="G29" s="1143">
        <f t="shared" si="9"/>
        <v>3.492</v>
      </c>
      <c r="H29" s="1145">
        <f t="shared" si="10"/>
        <v>3.4040449621522875</v>
      </c>
      <c r="I29" s="1135">
        <f t="shared" si="11"/>
        <v>0.94070000000000009</v>
      </c>
      <c r="J29" s="1147" t="e">
        <f t="shared" si="2"/>
        <v>#NAME?</v>
      </c>
      <c r="L29" s="184"/>
      <c r="M29" s="1166"/>
      <c r="N29" s="1166"/>
      <c r="O29" s="179"/>
    </row>
    <row r="30" spans="2:20" x14ac:dyDescent="0.2">
      <c r="B30" s="1119">
        <v>40</v>
      </c>
      <c r="C30" s="1120">
        <v>20</v>
      </c>
      <c r="D30" s="1121">
        <v>64.03</v>
      </c>
      <c r="E30" s="1122">
        <f t="shared" si="8"/>
        <v>1.0256621858900001</v>
      </c>
      <c r="F30" s="1122">
        <f t="shared" si="3"/>
        <v>8.5595659499316863</v>
      </c>
      <c r="G30" s="1121">
        <v>3.41</v>
      </c>
      <c r="H30" s="1121">
        <f t="shared" si="10"/>
        <v>3.3246814076908113</v>
      </c>
      <c r="I30" s="1123">
        <v>0.94099999999999995</v>
      </c>
      <c r="J30" s="1124" t="e">
        <f t="shared" si="2"/>
        <v>#NAME?</v>
      </c>
      <c r="L30" s="1125">
        <f>B30</f>
        <v>40</v>
      </c>
      <c r="M30" s="1126">
        <f>D30</f>
        <v>64.03</v>
      </c>
      <c r="N30" s="1126">
        <f>G30</f>
        <v>3.41</v>
      </c>
      <c r="O30" s="1127">
        <f>I30</f>
        <v>0.94099999999999995</v>
      </c>
    </row>
    <row r="31" spans="2:20" x14ac:dyDescent="0.2">
      <c r="B31" s="1164">
        <v>41</v>
      </c>
      <c r="C31" s="1165">
        <v>20</v>
      </c>
      <c r="D31" s="1132">
        <f t="shared" ref="D31:D39" si="12">FORECAST(B31,$M$30:$M$31,$L$30:$L$31)</f>
        <v>64.019000000000005</v>
      </c>
      <c r="E31" s="1133">
        <f t="shared" si="8"/>
        <v>1.0254859827970002</v>
      </c>
      <c r="F31" s="1133">
        <f t="shared" si="3"/>
        <v>8.5580954638244044</v>
      </c>
      <c r="G31" s="1132">
        <f t="shared" ref="G31:G39" si="13">FORECAST(B31,$N$30:$N$31,$L$30:$L$31)</f>
        <v>3.3479999999999999</v>
      </c>
      <c r="H31" s="1134">
        <f t="shared" si="10"/>
        <v>3.2647935283019391</v>
      </c>
      <c r="I31" s="1135">
        <f>FORECAST(B31,$O$30:$O$31,$L$30:$L$31)</f>
        <v>0.94129999999999991</v>
      </c>
      <c r="J31" s="1136" t="e">
        <f t="shared" si="2"/>
        <v>#NAME?</v>
      </c>
      <c r="L31" s="1125">
        <f>B40</f>
        <v>50</v>
      </c>
      <c r="M31" s="1126">
        <f>D40</f>
        <v>63.92</v>
      </c>
      <c r="N31" s="1126">
        <f>G40</f>
        <v>2.79</v>
      </c>
      <c r="O31" s="1127">
        <f>I40</f>
        <v>0.94399999999999995</v>
      </c>
    </row>
    <row r="32" spans="2:20" x14ac:dyDescent="0.2">
      <c r="B32" s="1164">
        <v>42</v>
      </c>
      <c r="C32" s="1165">
        <v>20</v>
      </c>
      <c r="D32" s="1132">
        <f t="shared" si="12"/>
        <v>64.007999999999996</v>
      </c>
      <c r="E32" s="1133">
        <f t="shared" si="8"/>
        <v>1.0253097797039998</v>
      </c>
      <c r="F32" s="1133">
        <f t="shared" si="3"/>
        <v>8.5566249777171226</v>
      </c>
      <c r="G32" s="1132">
        <f t="shared" si="13"/>
        <v>3.286</v>
      </c>
      <c r="H32" s="1134">
        <f t="shared" si="10"/>
        <v>3.2048850650275145</v>
      </c>
      <c r="I32" s="1135">
        <f t="shared" ref="I32:I39" si="14">FORECAST(B32,$O$30:$O$31,$L$30:$L$31)</f>
        <v>0.94159999999999999</v>
      </c>
      <c r="J32" s="1136" t="e">
        <f t="shared" si="2"/>
        <v>#NAME?</v>
      </c>
      <c r="L32" s="184"/>
      <c r="M32" s="1166"/>
      <c r="N32" s="1166"/>
      <c r="O32" s="1166"/>
    </row>
    <row r="33" spans="2:15" x14ac:dyDescent="0.2">
      <c r="B33" s="1164">
        <v>43</v>
      </c>
      <c r="C33" s="1165">
        <v>20</v>
      </c>
      <c r="D33" s="1132">
        <f t="shared" si="12"/>
        <v>63.997</v>
      </c>
      <c r="E33" s="1133">
        <f t="shared" si="8"/>
        <v>1.0251335766109999</v>
      </c>
      <c r="F33" s="1133">
        <f t="shared" si="3"/>
        <v>8.5551544916098408</v>
      </c>
      <c r="G33" s="1132">
        <f t="shared" si="13"/>
        <v>3.2240000000000002</v>
      </c>
      <c r="H33" s="1134">
        <f t="shared" si="10"/>
        <v>3.1449560072534708</v>
      </c>
      <c r="I33" s="1135">
        <f t="shared" si="14"/>
        <v>0.94189999999999996</v>
      </c>
      <c r="J33" s="1136" t="e">
        <f t="shared" si="2"/>
        <v>#NAME?</v>
      </c>
      <c r="L33" s="184"/>
      <c r="M33" s="1166"/>
      <c r="N33" s="1166"/>
      <c r="O33" s="1166"/>
    </row>
    <row r="34" spans="2:15" ht="13.5" thickBot="1" x14ac:dyDescent="0.25">
      <c r="B34" s="1174">
        <v>44</v>
      </c>
      <c r="C34" s="1168">
        <v>20</v>
      </c>
      <c r="D34" s="1143">
        <f t="shared" si="12"/>
        <v>63.986000000000004</v>
      </c>
      <c r="E34" s="1144">
        <f t="shared" si="8"/>
        <v>1.024957373518</v>
      </c>
      <c r="F34" s="1144">
        <f t="shared" si="3"/>
        <v>8.5536840055025607</v>
      </c>
      <c r="G34" s="1143">
        <f t="shared" si="13"/>
        <v>3.1619999999999999</v>
      </c>
      <c r="H34" s="1145">
        <f t="shared" si="10"/>
        <v>3.0850063443584466</v>
      </c>
      <c r="I34" s="1146">
        <f t="shared" si="14"/>
        <v>0.94219999999999993</v>
      </c>
      <c r="J34" s="1147" t="e">
        <f t="shared" si="2"/>
        <v>#NAME?</v>
      </c>
      <c r="L34" s="184"/>
      <c r="M34" s="1166"/>
      <c r="N34" s="1166"/>
      <c r="O34" s="1166"/>
    </row>
    <row r="35" spans="2:15" x14ac:dyDescent="0.2">
      <c r="B35" s="1172">
        <v>45</v>
      </c>
      <c r="C35" s="1120">
        <v>20</v>
      </c>
      <c r="D35" s="1150">
        <f t="shared" si="12"/>
        <v>63.975000000000001</v>
      </c>
      <c r="E35" s="1122">
        <f t="shared" si="8"/>
        <v>1.0247811704250001</v>
      </c>
      <c r="F35" s="1122">
        <f t="shared" si="3"/>
        <v>8.5522135193952771</v>
      </c>
      <c r="G35" s="1150">
        <f t="shared" si="13"/>
        <v>3.1</v>
      </c>
      <c r="H35" s="1121">
        <f t="shared" si="10"/>
        <v>3.0250360657137754</v>
      </c>
      <c r="I35" s="1173">
        <f t="shared" si="14"/>
        <v>0.94249999999999989</v>
      </c>
      <c r="J35" s="1124" t="e">
        <f t="shared" si="2"/>
        <v>#NAME?</v>
      </c>
      <c r="L35" s="184"/>
      <c r="M35" s="1166"/>
      <c r="N35" s="1166"/>
      <c r="O35" s="1166"/>
    </row>
    <row r="36" spans="2:15" x14ac:dyDescent="0.2">
      <c r="B36" s="1164">
        <v>46</v>
      </c>
      <c r="C36" s="1165">
        <v>20</v>
      </c>
      <c r="D36" s="1132">
        <f t="shared" si="12"/>
        <v>63.963999999999999</v>
      </c>
      <c r="E36" s="1133">
        <f t="shared" si="8"/>
        <v>1.0246049673319999</v>
      </c>
      <c r="F36" s="1133">
        <f t="shared" si="3"/>
        <v>8.5507430332879952</v>
      </c>
      <c r="G36" s="1132">
        <f t="shared" si="13"/>
        <v>3.0379999999999998</v>
      </c>
      <c r="H36" s="1134">
        <f t="shared" si="10"/>
        <v>2.9650451606834785</v>
      </c>
      <c r="I36" s="1135">
        <f t="shared" si="14"/>
        <v>0.94279999999999997</v>
      </c>
      <c r="J36" s="1136" t="e">
        <f t="shared" si="2"/>
        <v>#NAME?</v>
      </c>
      <c r="L36" s="184"/>
      <c r="M36" s="1166"/>
      <c r="N36" s="1166"/>
      <c r="O36" s="1166"/>
    </row>
    <row r="37" spans="2:15" x14ac:dyDescent="0.2">
      <c r="B37" s="1164">
        <v>47</v>
      </c>
      <c r="C37" s="1165">
        <v>20</v>
      </c>
      <c r="D37" s="1132">
        <f t="shared" si="12"/>
        <v>63.953000000000003</v>
      </c>
      <c r="E37" s="1133">
        <f t="shared" si="8"/>
        <v>1.024428764239</v>
      </c>
      <c r="F37" s="1133">
        <f t="shared" si="3"/>
        <v>8.5492725471807152</v>
      </c>
      <c r="G37" s="1132">
        <f t="shared" si="13"/>
        <v>2.976</v>
      </c>
      <c r="H37" s="1134">
        <f t="shared" si="10"/>
        <v>2.9050336186242589</v>
      </c>
      <c r="I37" s="1135">
        <f t="shared" si="14"/>
        <v>0.94309999999999994</v>
      </c>
      <c r="J37" s="1136" t="e">
        <f t="shared" si="2"/>
        <v>#NAME?</v>
      </c>
      <c r="L37" s="184"/>
      <c r="M37" s="1166"/>
      <c r="N37" s="1166"/>
      <c r="O37" s="1166"/>
    </row>
    <row r="38" spans="2:15" x14ac:dyDescent="0.2">
      <c r="B38" s="1164">
        <v>48</v>
      </c>
      <c r="C38" s="1165">
        <v>20</v>
      </c>
      <c r="D38" s="1132">
        <f t="shared" si="12"/>
        <v>63.942</v>
      </c>
      <c r="E38" s="1133">
        <f t="shared" si="8"/>
        <v>1.0242525611460001</v>
      </c>
      <c r="F38" s="1133">
        <f t="shared" si="3"/>
        <v>8.5478020610734315</v>
      </c>
      <c r="G38" s="1132">
        <f t="shared" si="13"/>
        <v>2.9139999999999997</v>
      </c>
      <c r="H38" s="1134">
        <f t="shared" si="10"/>
        <v>2.8450014288854968</v>
      </c>
      <c r="I38" s="1135">
        <f t="shared" si="14"/>
        <v>0.94339999999999991</v>
      </c>
      <c r="J38" s="1136" t="e">
        <f t="shared" si="2"/>
        <v>#NAME?</v>
      </c>
      <c r="L38" s="184"/>
      <c r="M38" s="1166"/>
      <c r="N38" s="1166"/>
      <c r="O38" s="1166"/>
    </row>
    <row r="39" spans="2:15" ht="13.5" thickBot="1" x14ac:dyDescent="0.25">
      <c r="B39" s="1174">
        <v>49</v>
      </c>
      <c r="C39" s="1175">
        <v>20</v>
      </c>
      <c r="D39" s="1143">
        <f t="shared" si="12"/>
        <v>63.931000000000004</v>
      </c>
      <c r="E39" s="1144">
        <f t="shared" si="8"/>
        <v>1.0240763580530001</v>
      </c>
      <c r="F39" s="1144">
        <f t="shared" si="3"/>
        <v>8.5463315749661515</v>
      </c>
      <c r="G39" s="1143">
        <f t="shared" si="13"/>
        <v>2.8519999999999999</v>
      </c>
      <c r="H39" s="1145">
        <f t="shared" si="10"/>
        <v>2.784948580809242</v>
      </c>
      <c r="I39" s="1135">
        <f t="shared" si="14"/>
        <v>0.94369999999999998</v>
      </c>
      <c r="J39" s="1147" t="e">
        <f t="shared" si="2"/>
        <v>#NAME?</v>
      </c>
      <c r="L39" s="184"/>
      <c r="M39" s="1166"/>
      <c r="N39" s="1166"/>
      <c r="O39" s="1166"/>
    </row>
    <row r="40" spans="2:15" x14ac:dyDescent="0.2">
      <c r="B40" s="1119">
        <v>50</v>
      </c>
      <c r="C40" s="1120">
        <v>20</v>
      </c>
      <c r="D40" s="1121">
        <v>63.92</v>
      </c>
      <c r="E40" s="1122">
        <f t="shared" si="8"/>
        <v>1.02390015496</v>
      </c>
      <c r="F40" s="1122">
        <f t="shared" si="3"/>
        <v>8.5448610888588696</v>
      </c>
      <c r="G40" s="1121">
        <v>2.79</v>
      </c>
      <c r="H40" s="1121">
        <f t="shared" si="10"/>
        <v>2.7248750637302082</v>
      </c>
      <c r="I40" s="1123">
        <v>0.94399999999999995</v>
      </c>
      <c r="J40" s="1124" t="e">
        <f t="shared" si="2"/>
        <v>#NAME?</v>
      </c>
      <c r="L40" s="1125">
        <f>B40</f>
        <v>50</v>
      </c>
      <c r="M40" s="1126">
        <f>D40</f>
        <v>63.92</v>
      </c>
      <c r="N40" s="1126">
        <f>G40</f>
        <v>2.79</v>
      </c>
      <c r="O40" s="1127">
        <f>I40</f>
        <v>0.94399999999999995</v>
      </c>
    </row>
    <row r="41" spans="2:15" x14ac:dyDescent="0.2">
      <c r="B41" s="1164">
        <v>51</v>
      </c>
      <c r="C41" s="1165">
        <v>20</v>
      </c>
      <c r="D41" s="1132">
        <f t="shared" ref="D41:D49" si="15">FORECAST(B41,$M$40:$M$41,$L$40:$L$41)</f>
        <v>63.907000000000011</v>
      </c>
      <c r="E41" s="1133">
        <f t="shared" si="8"/>
        <v>1.0236919149410002</v>
      </c>
      <c r="F41" s="1133">
        <f t="shared" si="3"/>
        <v>8.5431232416411742</v>
      </c>
      <c r="G41" s="1132">
        <f t="shared" ref="G41:G49" si="16">FORECAST(B41,$N$40:$N$41,$L$40:$L$41)</f>
        <v>2.7429999999999994</v>
      </c>
      <c r="H41" s="1134">
        <f t="shared" si="10"/>
        <v>2.679517108580554</v>
      </c>
      <c r="I41" s="1135">
        <f>FORECAST(B41,$O$40:$O$41,$L$40:$L$41)</f>
        <v>0.94430000000000003</v>
      </c>
      <c r="J41" s="1136" t="e">
        <f t="shared" si="2"/>
        <v>#NAME?</v>
      </c>
      <c r="L41" s="1125">
        <f>B50</f>
        <v>60</v>
      </c>
      <c r="M41" s="1126">
        <f>D50</f>
        <v>63.79</v>
      </c>
      <c r="N41" s="1126">
        <f>G50</f>
        <v>2.3199999999999998</v>
      </c>
      <c r="O41" s="1127">
        <f>I50</f>
        <v>0.94699999999999995</v>
      </c>
    </row>
    <row r="42" spans="2:15" x14ac:dyDescent="0.2">
      <c r="B42" s="1164">
        <v>52</v>
      </c>
      <c r="C42" s="1165">
        <v>20</v>
      </c>
      <c r="D42" s="1132">
        <f t="shared" si="15"/>
        <v>63.894000000000005</v>
      </c>
      <c r="E42" s="1133">
        <f t="shared" si="8"/>
        <v>1.023483674922</v>
      </c>
      <c r="F42" s="1133">
        <f t="shared" si="3"/>
        <v>8.541385394423477</v>
      </c>
      <c r="G42" s="1132">
        <f t="shared" si="16"/>
        <v>2.6959999999999993</v>
      </c>
      <c r="H42" s="1134">
        <f t="shared" si="10"/>
        <v>2.6341406961918197</v>
      </c>
      <c r="I42" s="1135">
        <f t="shared" ref="I42:I49" si="17">FORECAST(B42,$O$40:$O$41,$L$40:$L$41)</f>
        <v>0.94460000000000011</v>
      </c>
      <c r="J42" s="1136" t="e">
        <f t="shared" ref="J42:J73" si="18">E42/VLOOKUP(60,Water,6,FALSE)</f>
        <v>#NAME?</v>
      </c>
      <c r="L42" s="184"/>
      <c r="M42" s="1166"/>
      <c r="N42" s="1166"/>
      <c r="O42" s="1166"/>
    </row>
    <row r="43" spans="2:15" x14ac:dyDescent="0.2">
      <c r="B43" s="1164">
        <v>53</v>
      </c>
      <c r="C43" s="1165">
        <v>20</v>
      </c>
      <c r="D43" s="1132">
        <f t="shared" si="15"/>
        <v>63.881000000000007</v>
      </c>
      <c r="E43" s="1133">
        <f t="shared" si="8"/>
        <v>1.0232754349030002</v>
      </c>
      <c r="F43" s="1133">
        <f t="shared" si="3"/>
        <v>8.5396475472057798</v>
      </c>
      <c r="G43" s="1132">
        <f t="shared" si="16"/>
        <v>2.6489999999999996</v>
      </c>
      <c r="H43" s="1134">
        <f t="shared" si="10"/>
        <v>2.5887458152956708</v>
      </c>
      <c r="I43" s="1135">
        <f t="shared" si="17"/>
        <v>0.94490000000000007</v>
      </c>
      <c r="J43" s="1136" t="e">
        <f t="shared" si="18"/>
        <v>#NAME?</v>
      </c>
      <c r="L43" s="184"/>
      <c r="M43" s="1166"/>
      <c r="N43" s="1166"/>
      <c r="O43" s="1166"/>
    </row>
    <row r="44" spans="2:15" ht="13.5" thickBot="1" x14ac:dyDescent="0.25">
      <c r="B44" s="1174">
        <v>54</v>
      </c>
      <c r="C44" s="1168">
        <v>20</v>
      </c>
      <c r="D44" s="1143">
        <f t="shared" si="15"/>
        <v>63.868000000000009</v>
      </c>
      <c r="E44" s="1144">
        <f t="shared" si="8"/>
        <v>1.0230671948840002</v>
      </c>
      <c r="F44" s="1144">
        <f t="shared" si="3"/>
        <v>8.5379096999880844</v>
      </c>
      <c r="G44" s="1143">
        <f t="shared" si="16"/>
        <v>2.6019999999999994</v>
      </c>
      <c r="H44" s="1145">
        <f t="shared" si="10"/>
        <v>2.5433324546146019</v>
      </c>
      <c r="I44" s="1146">
        <f t="shared" si="17"/>
        <v>0.94520000000000004</v>
      </c>
      <c r="J44" s="1147" t="e">
        <f t="shared" si="18"/>
        <v>#NAME?</v>
      </c>
      <c r="L44" s="184"/>
      <c r="M44" s="1166"/>
      <c r="N44" s="1166"/>
      <c r="O44" s="1166"/>
    </row>
    <row r="45" spans="2:15" x14ac:dyDescent="0.2">
      <c r="B45" s="1172">
        <v>55</v>
      </c>
      <c r="C45" s="1120">
        <v>20</v>
      </c>
      <c r="D45" s="1150">
        <f t="shared" si="15"/>
        <v>63.855000000000004</v>
      </c>
      <c r="E45" s="1122">
        <f t="shared" si="8"/>
        <v>1.022858954865</v>
      </c>
      <c r="F45" s="1122">
        <f t="shared" si="3"/>
        <v>8.5361718527703871</v>
      </c>
      <c r="G45" s="1150">
        <f t="shared" si="16"/>
        <v>2.5549999999999993</v>
      </c>
      <c r="H45" s="1121">
        <f t="shared" si="10"/>
        <v>2.4979006028619222</v>
      </c>
      <c r="I45" s="1173">
        <f t="shared" si="17"/>
        <v>0.94550000000000001</v>
      </c>
      <c r="J45" s="1124" t="e">
        <f t="shared" si="18"/>
        <v>#NAME?</v>
      </c>
      <c r="L45" s="184"/>
      <c r="M45" s="1166"/>
      <c r="N45" s="1166"/>
      <c r="O45" s="1166"/>
    </row>
    <row r="46" spans="2:15" x14ac:dyDescent="0.2">
      <c r="B46" s="1164">
        <v>56</v>
      </c>
      <c r="C46" s="1165">
        <v>20</v>
      </c>
      <c r="D46" s="1132">
        <f t="shared" si="15"/>
        <v>63.842000000000006</v>
      </c>
      <c r="E46" s="1133">
        <f t="shared" si="8"/>
        <v>1.022650714846</v>
      </c>
      <c r="F46" s="1133">
        <f t="shared" si="3"/>
        <v>8.5344340055526899</v>
      </c>
      <c r="G46" s="1132">
        <f t="shared" si="16"/>
        <v>2.5079999999999996</v>
      </c>
      <c r="H46" s="1134">
        <f t="shared" si="10"/>
        <v>2.4524502487417483</v>
      </c>
      <c r="I46" s="1135">
        <f t="shared" si="17"/>
        <v>0.94580000000000009</v>
      </c>
      <c r="J46" s="1136" t="e">
        <f t="shared" si="18"/>
        <v>#NAME?</v>
      </c>
      <c r="L46" s="184"/>
      <c r="M46" s="1166"/>
      <c r="N46" s="1166"/>
      <c r="O46" s="1166"/>
    </row>
    <row r="47" spans="2:15" x14ac:dyDescent="0.2">
      <c r="B47" s="1164">
        <v>57</v>
      </c>
      <c r="C47" s="1165">
        <v>20</v>
      </c>
      <c r="D47" s="1132">
        <f t="shared" si="15"/>
        <v>63.829000000000008</v>
      </c>
      <c r="E47" s="1133">
        <f t="shared" si="8"/>
        <v>1.0224424748270002</v>
      </c>
      <c r="F47" s="1133">
        <f t="shared" si="3"/>
        <v>8.5326961583349945</v>
      </c>
      <c r="G47" s="1132">
        <f t="shared" si="16"/>
        <v>2.4609999999999994</v>
      </c>
      <c r="H47" s="1134">
        <f t="shared" si="10"/>
        <v>2.4069813809489933</v>
      </c>
      <c r="I47" s="1135">
        <f t="shared" si="17"/>
        <v>0.94610000000000005</v>
      </c>
      <c r="J47" s="1136" t="e">
        <f t="shared" si="18"/>
        <v>#NAME?</v>
      </c>
      <c r="L47" s="184"/>
      <c r="M47" s="1166"/>
      <c r="N47" s="1166"/>
      <c r="O47" s="1166"/>
    </row>
    <row r="48" spans="2:15" x14ac:dyDescent="0.2">
      <c r="B48" s="1164">
        <v>58</v>
      </c>
      <c r="C48" s="1165">
        <v>20</v>
      </c>
      <c r="D48" s="1132">
        <f t="shared" si="15"/>
        <v>63.81600000000001</v>
      </c>
      <c r="E48" s="1133">
        <f t="shared" si="8"/>
        <v>1.0222342348080002</v>
      </c>
      <c r="F48" s="1133">
        <f t="shared" si="3"/>
        <v>8.5309583111172973</v>
      </c>
      <c r="G48" s="1132">
        <f t="shared" si="16"/>
        <v>2.4139999999999993</v>
      </c>
      <c r="H48" s="1134">
        <f t="shared" si="10"/>
        <v>2.3614939881693608</v>
      </c>
      <c r="I48" s="1135">
        <f t="shared" si="17"/>
        <v>0.94640000000000002</v>
      </c>
      <c r="J48" s="1136" t="e">
        <f t="shared" si="18"/>
        <v>#NAME?</v>
      </c>
      <c r="L48" s="184"/>
      <c r="M48" s="1166"/>
      <c r="N48" s="1166"/>
      <c r="O48" s="1166"/>
    </row>
    <row r="49" spans="2:15" ht="13.5" thickBot="1" x14ac:dyDescent="0.25">
      <c r="B49" s="1174">
        <v>59</v>
      </c>
      <c r="C49" s="1175">
        <v>20</v>
      </c>
      <c r="D49" s="1143">
        <f t="shared" si="15"/>
        <v>63.803000000000004</v>
      </c>
      <c r="E49" s="1144">
        <f t="shared" si="8"/>
        <v>1.022025994789</v>
      </c>
      <c r="F49" s="1144">
        <f t="shared" si="3"/>
        <v>8.5292204638996001</v>
      </c>
      <c r="G49" s="1143">
        <f t="shared" si="16"/>
        <v>2.3669999999999995</v>
      </c>
      <c r="H49" s="1145">
        <f t="shared" si="10"/>
        <v>2.315988059079332</v>
      </c>
      <c r="I49" s="1135">
        <f t="shared" si="17"/>
        <v>0.9467000000000001</v>
      </c>
      <c r="J49" s="1147" t="e">
        <f t="shared" si="18"/>
        <v>#NAME?</v>
      </c>
      <c r="L49" s="184"/>
      <c r="M49" s="1166"/>
      <c r="N49" s="1166"/>
      <c r="O49" s="1166"/>
    </row>
    <row r="50" spans="2:15" x14ac:dyDescent="0.2">
      <c r="B50" s="1119">
        <v>60</v>
      </c>
      <c r="C50" s="1120">
        <v>20</v>
      </c>
      <c r="D50" s="1121">
        <v>63.79</v>
      </c>
      <c r="E50" s="1122">
        <f t="shared" si="8"/>
        <v>1.02181775477</v>
      </c>
      <c r="F50" s="1122">
        <f t="shared" si="3"/>
        <v>8.5274826166819029</v>
      </c>
      <c r="G50" s="1121">
        <v>2.3199999999999998</v>
      </c>
      <c r="H50" s="1121">
        <f t="shared" si="10"/>
        <v>2.2704635823461556</v>
      </c>
      <c r="I50" s="1123">
        <v>0.94699999999999995</v>
      </c>
      <c r="J50" s="1124" t="e">
        <f t="shared" si="18"/>
        <v>#NAME?</v>
      </c>
      <c r="L50" s="1125">
        <f>B50</f>
        <v>60</v>
      </c>
      <c r="M50" s="1126">
        <f>D50</f>
        <v>63.79</v>
      </c>
      <c r="N50" s="1126">
        <f>G50</f>
        <v>2.3199999999999998</v>
      </c>
      <c r="O50" s="1127">
        <f>I50</f>
        <v>0.94699999999999995</v>
      </c>
    </row>
    <row r="51" spans="2:15" x14ac:dyDescent="0.2">
      <c r="B51" s="1164">
        <v>61</v>
      </c>
      <c r="C51" s="1165">
        <v>20</v>
      </c>
      <c r="D51" s="1132">
        <f t="shared" ref="D51:D59" si="19">FORECAST(B51,$M$50:$M$51,$L$50:$L$51)</f>
        <v>63.776999999999994</v>
      </c>
      <c r="E51" s="1133">
        <f t="shared" si="8"/>
        <v>1.0216095147509998</v>
      </c>
      <c r="F51" s="1133">
        <f t="shared" si="3"/>
        <v>8.5257447694642057</v>
      </c>
      <c r="G51" s="1132">
        <f t="shared" ref="G51:G59" si="20">FORECAST(B51,$N$50:$N$51,$L$50:$L$51)</f>
        <v>2.2829999999999995</v>
      </c>
      <c r="H51" s="1134">
        <f t="shared" si="10"/>
        <v>2.2347090224159105</v>
      </c>
      <c r="I51" s="1135">
        <f>FORECAST(B51,$O$50:$O$51,$L$50:$L$51)</f>
        <v>0.94729999999999981</v>
      </c>
      <c r="J51" s="1136" t="e">
        <f t="shared" si="18"/>
        <v>#NAME?</v>
      </c>
      <c r="L51" s="1125">
        <f>B60</f>
        <v>70</v>
      </c>
      <c r="M51" s="1126">
        <f>D60</f>
        <v>63.66</v>
      </c>
      <c r="N51" s="1126">
        <f>G60</f>
        <v>1.95</v>
      </c>
      <c r="O51" s="1127">
        <f>I60</f>
        <v>0.95</v>
      </c>
    </row>
    <row r="52" spans="2:15" x14ac:dyDescent="0.2">
      <c r="B52" s="1164">
        <v>62</v>
      </c>
      <c r="C52" s="1165">
        <v>20</v>
      </c>
      <c r="D52" s="1132">
        <f t="shared" si="19"/>
        <v>63.763999999999989</v>
      </c>
      <c r="E52" s="1133">
        <f t="shared" si="8"/>
        <v>1.0214012747319998</v>
      </c>
      <c r="F52" s="1133">
        <f t="shared" si="3"/>
        <v>8.5240069222465085</v>
      </c>
      <c r="G52" s="1132">
        <f t="shared" si="20"/>
        <v>2.2459999999999996</v>
      </c>
      <c r="H52" s="1134">
        <f t="shared" si="10"/>
        <v>2.1989398834354459</v>
      </c>
      <c r="I52" s="1135">
        <f t="shared" ref="I52:I59" si="21">FORECAST(B52,$O$50:$O$51,$L$50:$L$51)</f>
        <v>0.94759999999999989</v>
      </c>
      <c r="J52" s="1136" t="e">
        <f t="shared" si="18"/>
        <v>#NAME?</v>
      </c>
      <c r="L52" s="184"/>
      <c r="M52" s="1166"/>
      <c r="N52" s="1166"/>
      <c r="O52" s="1166"/>
    </row>
    <row r="53" spans="2:15" x14ac:dyDescent="0.2">
      <c r="B53" s="1164">
        <v>63</v>
      </c>
      <c r="C53" s="1165">
        <v>20</v>
      </c>
      <c r="D53" s="1132">
        <f t="shared" si="19"/>
        <v>63.750999999999991</v>
      </c>
      <c r="E53" s="1133">
        <f t="shared" si="8"/>
        <v>1.0211930347129998</v>
      </c>
      <c r="F53" s="1133">
        <f t="shared" si="3"/>
        <v>8.522269075028813</v>
      </c>
      <c r="G53" s="1132">
        <f t="shared" si="20"/>
        <v>2.2089999999999996</v>
      </c>
      <c r="H53" s="1134">
        <f t="shared" si="10"/>
        <v>2.1631561564859534</v>
      </c>
      <c r="I53" s="1135">
        <f t="shared" si="21"/>
        <v>0.94789999999999985</v>
      </c>
      <c r="J53" s="1136" t="e">
        <f t="shared" si="18"/>
        <v>#NAME?</v>
      </c>
      <c r="L53" s="184"/>
      <c r="M53" s="1166"/>
      <c r="N53" s="1166"/>
      <c r="O53" s="1166"/>
    </row>
    <row r="54" spans="2:15" ht="13.5" thickBot="1" x14ac:dyDescent="0.25">
      <c r="B54" s="1174">
        <v>64</v>
      </c>
      <c r="C54" s="1168">
        <v>20</v>
      </c>
      <c r="D54" s="1143">
        <f t="shared" si="19"/>
        <v>63.737999999999992</v>
      </c>
      <c r="E54" s="1144">
        <f t="shared" si="8"/>
        <v>1.0209847946939998</v>
      </c>
      <c r="F54" s="1144">
        <f t="shared" si="3"/>
        <v>8.5205312278111158</v>
      </c>
      <c r="G54" s="1143">
        <f t="shared" si="20"/>
        <v>2.1719999999999997</v>
      </c>
      <c r="H54" s="1145">
        <f t="shared" si="10"/>
        <v>2.1273578326413487</v>
      </c>
      <c r="I54" s="1146">
        <f t="shared" si="21"/>
        <v>0.94819999999999982</v>
      </c>
      <c r="J54" s="1147" t="e">
        <f t="shared" si="18"/>
        <v>#NAME?</v>
      </c>
      <c r="L54" s="184"/>
      <c r="M54" s="1166"/>
      <c r="N54" s="1166"/>
      <c r="O54" s="1166"/>
    </row>
    <row r="55" spans="2:15" x14ac:dyDescent="0.2">
      <c r="B55" s="1172">
        <v>65</v>
      </c>
      <c r="C55" s="1120">
        <v>20</v>
      </c>
      <c r="D55" s="1150">
        <f t="shared" si="19"/>
        <v>63.724999999999994</v>
      </c>
      <c r="E55" s="1122">
        <f t="shared" si="8"/>
        <v>1.0207765546749998</v>
      </c>
      <c r="F55" s="1122">
        <f t="shared" si="3"/>
        <v>8.5187933805934204</v>
      </c>
      <c r="G55" s="1150">
        <f t="shared" si="20"/>
        <v>2.1349999999999998</v>
      </c>
      <c r="H55" s="1121">
        <f t="shared" si="10"/>
        <v>2.0915449029682627</v>
      </c>
      <c r="I55" s="1173">
        <f t="shared" si="21"/>
        <v>0.9484999999999999</v>
      </c>
      <c r="J55" s="1124" t="e">
        <f t="shared" si="18"/>
        <v>#NAME?</v>
      </c>
      <c r="L55" s="184"/>
      <c r="M55" s="1166"/>
      <c r="N55" s="1166"/>
      <c r="O55" s="1166"/>
    </row>
    <row r="56" spans="2:15" x14ac:dyDescent="0.2">
      <c r="B56" s="1164">
        <v>66</v>
      </c>
      <c r="C56" s="1165">
        <v>20</v>
      </c>
      <c r="D56" s="1132">
        <f t="shared" si="19"/>
        <v>63.711999999999989</v>
      </c>
      <c r="E56" s="1133">
        <f t="shared" si="8"/>
        <v>1.0205683146559998</v>
      </c>
      <c r="F56" s="1133">
        <f t="shared" si="3"/>
        <v>8.5170555333757214</v>
      </c>
      <c r="G56" s="1132">
        <f t="shared" si="20"/>
        <v>2.0979999999999999</v>
      </c>
      <c r="H56" s="1134">
        <f t="shared" si="10"/>
        <v>2.0557173585260355</v>
      </c>
      <c r="I56" s="1135">
        <f t="shared" si="21"/>
        <v>0.94879999999999987</v>
      </c>
      <c r="J56" s="1136" t="e">
        <f t="shared" si="18"/>
        <v>#NAME?</v>
      </c>
      <c r="L56" s="184"/>
      <c r="M56" s="1166"/>
      <c r="N56" s="1166"/>
      <c r="O56" s="1166"/>
    </row>
    <row r="57" spans="2:15" x14ac:dyDescent="0.2">
      <c r="B57" s="1164">
        <v>67</v>
      </c>
      <c r="C57" s="1165">
        <v>20</v>
      </c>
      <c r="D57" s="1132">
        <f t="shared" si="19"/>
        <v>63.698999999999991</v>
      </c>
      <c r="E57" s="1133">
        <f t="shared" si="8"/>
        <v>1.0203600746369998</v>
      </c>
      <c r="F57" s="1133">
        <f t="shared" si="3"/>
        <v>8.515317686158026</v>
      </c>
      <c r="G57" s="1132">
        <f t="shared" si="20"/>
        <v>2.0609999999999999</v>
      </c>
      <c r="H57" s="1134">
        <f t="shared" si="10"/>
        <v>2.0198751903667094</v>
      </c>
      <c r="I57" s="1135">
        <f t="shared" si="21"/>
        <v>0.94909999999999983</v>
      </c>
      <c r="J57" s="1136" t="e">
        <f t="shared" si="18"/>
        <v>#NAME?</v>
      </c>
      <c r="L57" s="184"/>
      <c r="M57" s="1166"/>
      <c r="N57" s="1166"/>
      <c r="O57" s="1166"/>
    </row>
    <row r="58" spans="2:15" x14ac:dyDescent="0.2">
      <c r="B58" s="1164">
        <v>68</v>
      </c>
      <c r="C58" s="1165">
        <v>20</v>
      </c>
      <c r="D58" s="1132">
        <f t="shared" si="19"/>
        <v>63.685999999999993</v>
      </c>
      <c r="E58" s="1133">
        <f t="shared" si="8"/>
        <v>1.0201518346179999</v>
      </c>
      <c r="F58" s="1133">
        <f t="shared" si="3"/>
        <v>8.5135798389403288</v>
      </c>
      <c r="G58" s="1132">
        <f t="shared" si="20"/>
        <v>2.0239999999999996</v>
      </c>
      <c r="H58" s="1134">
        <f t="shared" si="10"/>
        <v>1.9840183895350194</v>
      </c>
      <c r="I58" s="1135">
        <f t="shared" si="21"/>
        <v>0.9493999999999998</v>
      </c>
      <c r="J58" s="1136" t="e">
        <f t="shared" si="18"/>
        <v>#NAME?</v>
      </c>
      <c r="L58" s="184"/>
      <c r="M58" s="1166"/>
      <c r="N58" s="1166"/>
      <c r="O58" s="1166"/>
    </row>
    <row r="59" spans="2:15" ht="13.5" thickBot="1" x14ac:dyDescent="0.25">
      <c r="B59" s="1174">
        <v>69</v>
      </c>
      <c r="C59" s="1175">
        <v>20</v>
      </c>
      <c r="D59" s="1143">
        <f t="shared" si="19"/>
        <v>63.672999999999988</v>
      </c>
      <c r="E59" s="1144">
        <f t="shared" si="8"/>
        <v>1.0199435945989999</v>
      </c>
      <c r="F59" s="1144">
        <f t="shared" si="3"/>
        <v>8.5118419917226316</v>
      </c>
      <c r="G59" s="1143">
        <f t="shared" si="20"/>
        <v>1.9869999999999997</v>
      </c>
      <c r="H59" s="1145">
        <f t="shared" si="10"/>
        <v>1.9481469470683885</v>
      </c>
      <c r="I59" s="1135">
        <f t="shared" si="21"/>
        <v>0.94969999999999988</v>
      </c>
      <c r="J59" s="1147" t="e">
        <f t="shared" si="18"/>
        <v>#NAME?</v>
      </c>
      <c r="L59" s="184"/>
      <c r="M59" s="1166"/>
      <c r="N59" s="1166"/>
      <c r="O59" s="1166"/>
    </row>
    <row r="60" spans="2:15" x14ac:dyDescent="0.2">
      <c r="B60" s="1119">
        <v>70</v>
      </c>
      <c r="C60" s="1120">
        <v>20</v>
      </c>
      <c r="D60" s="1121">
        <v>63.66</v>
      </c>
      <c r="E60" s="1122">
        <f t="shared" si="8"/>
        <v>1.0197353545799999</v>
      </c>
      <c r="F60" s="1122">
        <f t="shared" si="3"/>
        <v>8.5101041445049361</v>
      </c>
      <c r="G60" s="1121">
        <v>1.95</v>
      </c>
      <c r="H60" s="1121">
        <f t="shared" si="10"/>
        <v>1.9122608539969175</v>
      </c>
      <c r="I60" s="1123">
        <v>0.95</v>
      </c>
      <c r="J60" s="1124" t="e">
        <f t="shared" si="18"/>
        <v>#NAME?</v>
      </c>
      <c r="L60" s="1125">
        <f>B60</f>
        <v>70</v>
      </c>
      <c r="M60" s="1126">
        <f>D60</f>
        <v>63.66</v>
      </c>
      <c r="N60" s="1126">
        <f>G60</f>
        <v>1.95</v>
      </c>
      <c r="O60" s="1127">
        <f>I60</f>
        <v>0.95</v>
      </c>
    </row>
    <row r="61" spans="2:15" x14ac:dyDescent="0.2">
      <c r="B61" s="1164">
        <v>71</v>
      </c>
      <c r="C61" s="1165">
        <v>20</v>
      </c>
      <c r="D61" s="1132">
        <f t="shared" ref="D61:D69" si="22">FORECAST(B61,$M$60:$M$61,$L$60:$L$61)</f>
        <v>63.646000000000001</v>
      </c>
      <c r="E61" s="1133">
        <f t="shared" si="8"/>
        <v>1.0195110960980001</v>
      </c>
      <c r="F61" s="1133">
        <f t="shared" si="3"/>
        <v>8.5082326167320339</v>
      </c>
      <c r="G61" s="1132">
        <f t="shared" ref="G61:G69" si="23">FORECAST(B61,$N$60:$N$61,$L$60:$L$61)</f>
        <v>1.9210000000000003</v>
      </c>
      <c r="H61" s="1134">
        <f t="shared" si="10"/>
        <v>1.8842364809488499</v>
      </c>
      <c r="I61" s="1135">
        <f>FORECAST(B61,$O$60:$O$61,$L$60:$L$61)</f>
        <v>0.95030000000000003</v>
      </c>
      <c r="J61" s="1136" t="e">
        <f t="shared" si="18"/>
        <v>#NAME?</v>
      </c>
      <c r="L61" s="1125">
        <f>B70</f>
        <v>80</v>
      </c>
      <c r="M61" s="1126">
        <f>D70</f>
        <v>63.52</v>
      </c>
      <c r="N61" s="1126">
        <f>G70</f>
        <v>1.66</v>
      </c>
      <c r="O61" s="1127">
        <f>I70</f>
        <v>0.95299999999999996</v>
      </c>
    </row>
    <row r="62" spans="2:15" x14ac:dyDescent="0.2">
      <c r="B62" s="1164">
        <v>72</v>
      </c>
      <c r="C62" s="1165">
        <v>20</v>
      </c>
      <c r="D62" s="1132">
        <f t="shared" si="22"/>
        <v>63.632000000000005</v>
      </c>
      <c r="E62" s="1133">
        <f t="shared" si="8"/>
        <v>1.019286837616</v>
      </c>
      <c r="F62" s="1133">
        <f t="shared" si="3"/>
        <v>8.5063610889591299</v>
      </c>
      <c r="G62" s="1132">
        <f t="shared" si="23"/>
        <v>1.8919999999999999</v>
      </c>
      <c r="H62" s="1134">
        <f t="shared" si="10"/>
        <v>1.8561997763310474</v>
      </c>
      <c r="I62" s="1135">
        <f t="shared" ref="I62:I69" si="24">FORECAST(B62,$O$60:$O$61,$L$60:$L$61)</f>
        <v>0.95060000000000011</v>
      </c>
      <c r="J62" s="1136" t="e">
        <f t="shared" si="18"/>
        <v>#NAME?</v>
      </c>
      <c r="L62" s="184"/>
      <c r="M62" s="1166"/>
      <c r="N62" s="1166"/>
      <c r="O62" s="1166"/>
    </row>
    <row r="63" spans="2:15" x14ac:dyDescent="0.2">
      <c r="B63" s="1164">
        <v>73</v>
      </c>
      <c r="C63" s="1165">
        <v>20</v>
      </c>
      <c r="D63" s="1132">
        <f t="shared" si="22"/>
        <v>63.618000000000009</v>
      </c>
      <c r="E63" s="1133">
        <f t="shared" si="8"/>
        <v>1.0190625791340002</v>
      </c>
      <c r="F63" s="1133">
        <f t="shared" si="3"/>
        <v>8.5044895611862259</v>
      </c>
      <c r="G63" s="1132">
        <f t="shared" si="23"/>
        <v>1.863</v>
      </c>
      <c r="H63" s="1134">
        <f t="shared" si="10"/>
        <v>1.8281507320023251</v>
      </c>
      <c r="I63" s="1135">
        <f t="shared" si="24"/>
        <v>0.95090000000000008</v>
      </c>
      <c r="J63" s="1136" t="e">
        <f t="shared" si="18"/>
        <v>#NAME?</v>
      </c>
      <c r="L63" s="184"/>
      <c r="M63" s="1166"/>
      <c r="N63" s="1166"/>
      <c r="O63" s="1166"/>
    </row>
    <row r="64" spans="2:15" ht="13.5" thickBot="1" x14ac:dyDescent="0.25">
      <c r="B64" s="1174">
        <v>74</v>
      </c>
      <c r="C64" s="1168">
        <v>20</v>
      </c>
      <c r="D64" s="1143">
        <f t="shared" si="22"/>
        <v>63.604000000000006</v>
      </c>
      <c r="E64" s="1144">
        <f t="shared" si="8"/>
        <v>1.0188383206520002</v>
      </c>
      <c r="F64" s="1144">
        <f t="shared" si="3"/>
        <v>8.5026180334133219</v>
      </c>
      <c r="G64" s="1143">
        <f t="shared" si="23"/>
        <v>1.8340000000000001</v>
      </c>
      <c r="H64" s="1145">
        <f t="shared" si="10"/>
        <v>1.8000893398143303</v>
      </c>
      <c r="I64" s="1146">
        <f t="shared" si="24"/>
        <v>0.95120000000000005</v>
      </c>
      <c r="J64" s="1147" t="e">
        <f t="shared" si="18"/>
        <v>#NAME?</v>
      </c>
      <c r="L64" s="184"/>
      <c r="M64" s="1166"/>
      <c r="N64" s="1166"/>
      <c r="O64" s="1166"/>
    </row>
    <row r="65" spans="2:15" x14ac:dyDescent="0.2">
      <c r="B65" s="1172">
        <v>75</v>
      </c>
      <c r="C65" s="1120">
        <v>20</v>
      </c>
      <c r="D65" s="1150">
        <f t="shared" si="22"/>
        <v>63.59</v>
      </c>
      <c r="E65" s="1122">
        <f t="shared" si="8"/>
        <v>1.0186140621700002</v>
      </c>
      <c r="F65" s="1122">
        <f t="shared" si="3"/>
        <v>8.5007465056404179</v>
      </c>
      <c r="G65" s="1150">
        <f t="shared" si="23"/>
        <v>1.8050000000000002</v>
      </c>
      <c r="H65" s="1121">
        <f t="shared" si="10"/>
        <v>1.7720155916115334</v>
      </c>
      <c r="I65" s="1173">
        <f t="shared" si="24"/>
        <v>0.95150000000000001</v>
      </c>
      <c r="J65" s="1124" t="e">
        <f t="shared" si="18"/>
        <v>#NAME?</v>
      </c>
      <c r="L65" s="184"/>
      <c r="M65" s="1166"/>
      <c r="N65" s="1166"/>
      <c r="O65" s="1166"/>
    </row>
    <row r="66" spans="2:15" x14ac:dyDescent="0.2">
      <c r="B66" s="1164">
        <v>76</v>
      </c>
      <c r="C66" s="1165">
        <v>20</v>
      </c>
      <c r="D66" s="1132">
        <f t="shared" si="22"/>
        <v>63.576000000000008</v>
      </c>
      <c r="E66" s="1133">
        <f t="shared" si="8"/>
        <v>1.0183898036880001</v>
      </c>
      <c r="F66" s="1133">
        <f t="shared" si="3"/>
        <v>8.4988749778675139</v>
      </c>
      <c r="G66" s="1132">
        <f t="shared" si="23"/>
        <v>1.7760000000000002</v>
      </c>
      <c r="H66" s="1134">
        <f t="shared" si="10"/>
        <v>1.7439294792312217</v>
      </c>
      <c r="I66" s="1135">
        <f t="shared" si="24"/>
        <v>0.95180000000000009</v>
      </c>
      <c r="J66" s="1136" t="e">
        <f t="shared" si="18"/>
        <v>#NAME?</v>
      </c>
      <c r="L66" s="184"/>
      <c r="M66" s="1166"/>
      <c r="N66" s="1166"/>
      <c r="O66" s="1166"/>
    </row>
    <row r="67" spans="2:15" x14ac:dyDescent="0.2">
      <c r="B67" s="1164">
        <v>77</v>
      </c>
      <c r="C67" s="1165">
        <v>20</v>
      </c>
      <c r="D67" s="1132">
        <f t="shared" si="22"/>
        <v>63.562000000000012</v>
      </c>
      <c r="E67" s="1133">
        <f t="shared" si="8"/>
        <v>1.0181655452060001</v>
      </c>
      <c r="F67" s="1133">
        <f t="shared" si="3"/>
        <v>8.4970034500946117</v>
      </c>
      <c r="G67" s="1132">
        <f t="shared" si="23"/>
        <v>1.7469999999999999</v>
      </c>
      <c r="H67" s="1134">
        <f t="shared" si="10"/>
        <v>1.7158309945034906</v>
      </c>
      <c r="I67" s="1135">
        <f t="shared" si="24"/>
        <v>0.95210000000000006</v>
      </c>
      <c r="J67" s="1136" t="e">
        <f t="shared" si="18"/>
        <v>#NAME?</v>
      </c>
      <c r="L67" s="184"/>
      <c r="M67" s="1166"/>
      <c r="N67" s="1166"/>
      <c r="O67" s="1166"/>
    </row>
    <row r="68" spans="2:15" x14ac:dyDescent="0.2">
      <c r="B68" s="1164">
        <v>78</v>
      </c>
      <c r="C68" s="1165">
        <v>20</v>
      </c>
      <c r="D68" s="1132">
        <f t="shared" si="22"/>
        <v>63.548000000000009</v>
      </c>
      <c r="E68" s="1133">
        <f t="shared" si="8"/>
        <v>1.0179412867240001</v>
      </c>
      <c r="F68" s="1133">
        <f t="shared" si="3"/>
        <v>8.4951319223217059</v>
      </c>
      <c r="G68" s="1132">
        <f t="shared" si="23"/>
        <v>1.718</v>
      </c>
      <c r="H68" s="1134">
        <f t="shared" si="10"/>
        <v>1.6877201292512372</v>
      </c>
      <c r="I68" s="1135">
        <f t="shared" si="24"/>
        <v>0.95240000000000002</v>
      </c>
      <c r="J68" s="1136" t="e">
        <f t="shared" si="18"/>
        <v>#NAME?</v>
      </c>
      <c r="L68" s="184"/>
      <c r="M68" s="1166"/>
      <c r="N68" s="1166"/>
      <c r="O68" s="1166"/>
    </row>
    <row r="69" spans="2:15" ht="13.5" thickBot="1" x14ac:dyDescent="0.25">
      <c r="B69" s="1174">
        <v>79</v>
      </c>
      <c r="C69" s="1175">
        <v>20</v>
      </c>
      <c r="D69" s="1143">
        <f t="shared" si="22"/>
        <v>63.534000000000006</v>
      </c>
      <c r="E69" s="1144">
        <f t="shared" si="8"/>
        <v>1.0177170282420001</v>
      </c>
      <c r="F69" s="1144">
        <f t="shared" si="3"/>
        <v>8.4932603945488019</v>
      </c>
      <c r="G69" s="1143">
        <f t="shared" si="23"/>
        <v>1.6890000000000001</v>
      </c>
      <c r="H69" s="1145">
        <f t="shared" si="10"/>
        <v>1.6595968752901495</v>
      </c>
      <c r="I69" s="1135">
        <f t="shared" si="24"/>
        <v>0.9527000000000001</v>
      </c>
      <c r="J69" s="1147" t="e">
        <f t="shared" si="18"/>
        <v>#NAME?</v>
      </c>
      <c r="L69" s="184"/>
      <c r="M69" s="1166"/>
      <c r="N69" s="1166"/>
      <c r="O69" s="1166"/>
    </row>
    <row r="70" spans="2:15" x14ac:dyDescent="0.2">
      <c r="B70" s="1119">
        <v>80</v>
      </c>
      <c r="C70" s="1120">
        <v>20</v>
      </c>
      <c r="D70" s="1121">
        <v>63.52</v>
      </c>
      <c r="E70" s="1122">
        <f t="shared" si="8"/>
        <v>1.01749276976</v>
      </c>
      <c r="F70" s="1122">
        <f t="shared" si="3"/>
        <v>8.4913888667758979</v>
      </c>
      <c r="G70" s="1121">
        <v>1.66</v>
      </c>
      <c r="H70" s="1121">
        <f t="shared" si="10"/>
        <v>1.631461224428701</v>
      </c>
      <c r="I70" s="1123">
        <v>0.95299999999999996</v>
      </c>
      <c r="J70" s="1124" t="e">
        <f t="shared" si="18"/>
        <v>#NAME?</v>
      </c>
      <c r="L70" s="1125">
        <f>B70</f>
        <v>80</v>
      </c>
      <c r="M70" s="1126">
        <f>D70</f>
        <v>63.52</v>
      </c>
      <c r="N70" s="1126">
        <f>G70</f>
        <v>1.66</v>
      </c>
      <c r="O70" s="1127">
        <f>I70</f>
        <v>0.95299999999999996</v>
      </c>
    </row>
    <row r="71" spans="2:15" x14ac:dyDescent="0.2">
      <c r="B71" s="1164">
        <v>81</v>
      </c>
      <c r="C71" s="1165">
        <v>20</v>
      </c>
      <c r="D71" s="1132">
        <f t="shared" ref="D71:D79" si="25">FORECAST(B71,$M$70:$M$71,$L$70:$L$71)</f>
        <v>63.50500000000001</v>
      </c>
      <c r="E71" s="1133">
        <f t="shared" si="8"/>
        <v>1.0172524928150002</v>
      </c>
      <c r="F71" s="1133">
        <f t="shared" si="3"/>
        <v>8.4893836584477871</v>
      </c>
      <c r="G71" s="1132">
        <f t="shared" ref="G71:G79" si="26">FORECAST(B71,$N$70:$N$71,$L$70:$L$71)</f>
        <v>1.637</v>
      </c>
      <c r="H71" s="1134">
        <f t="shared" si="10"/>
        <v>1.609236656152101</v>
      </c>
      <c r="I71" s="1135">
        <f>FORECAST(B71,$O$70:$O$71,$L$70:$L$71)</f>
        <v>0.95329999999999993</v>
      </c>
      <c r="J71" s="1136" t="e">
        <f t="shared" si="18"/>
        <v>#NAME?</v>
      </c>
      <c r="L71" s="1125">
        <f>B80</f>
        <v>90</v>
      </c>
      <c r="M71" s="1126">
        <f>D80</f>
        <v>63.37</v>
      </c>
      <c r="N71" s="1126">
        <f>G80</f>
        <v>1.43</v>
      </c>
      <c r="O71" s="1127">
        <f>I80</f>
        <v>0.95599999999999996</v>
      </c>
    </row>
    <row r="72" spans="2:15" x14ac:dyDescent="0.2">
      <c r="B72" s="1164">
        <v>82</v>
      </c>
      <c r="C72" s="1165">
        <v>20</v>
      </c>
      <c r="D72" s="1132">
        <f t="shared" si="25"/>
        <v>63.490000000000009</v>
      </c>
      <c r="E72" s="1133">
        <f t="shared" si="8"/>
        <v>1.0170122158700001</v>
      </c>
      <c r="F72" s="1133">
        <f t="shared" si="3"/>
        <v>8.4873784501196763</v>
      </c>
      <c r="G72" s="1132">
        <f t="shared" si="26"/>
        <v>1.6140000000000001</v>
      </c>
      <c r="H72" s="1134">
        <f t="shared" si="10"/>
        <v>1.5870015864256934</v>
      </c>
      <c r="I72" s="1135">
        <f t="shared" ref="I72:I79" si="27">FORECAST(B72,$O$70:$O$71,$L$70:$L$71)</f>
        <v>0.9536</v>
      </c>
      <c r="J72" s="1136" t="e">
        <f t="shared" si="18"/>
        <v>#NAME?</v>
      </c>
      <c r="L72" s="184"/>
      <c r="M72" s="1166"/>
      <c r="N72" s="1166"/>
      <c r="O72" s="1166"/>
    </row>
    <row r="73" spans="2:15" x14ac:dyDescent="0.2">
      <c r="B73" s="1164">
        <v>83</v>
      </c>
      <c r="C73" s="1165">
        <v>20</v>
      </c>
      <c r="D73" s="1132">
        <f t="shared" si="25"/>
        <v>63.475000000000009</v>
      </c>
      <c r="E73" s="1133">
        <f t="shared" si="8"/>
        <v>1.0167719389250001</v>
      </c>
      <c r="F73" s="1133">
        <f t="shared" si="3"/>
        <v>8.4853732417915637</v>
      </c>
      <c r="G73" s="1132">
        <f t="shared" si="26"/>
        <v>1.591</v>
      </c>
      <c r="H73" s="1134">
        <f t="shared" si="10"/>
        <v>1.5647560078045748</v>
      </c>
      <c r="I73" s="1135">
        <f t="shared" si="27"/>
        <v>0.95389999999999997</v>
      </c>
      <c r="J73" s="1136" t="e">
        <f t="shared" si="18"/>
        <v>#NAME?</v>
      </c>
      <c r="L73" s="184"/>
      <c r="M73" s="1166"/>
      <c r="N73" s="1166"/>
      <c r="O73" s="1166"/>
    </row>
    <row r="74" spans="2:15" ht="13.5" thickBot="1" x14ac:dyDescent="0.25">
      <c r="B74" s="1174">
        <v>84</v>
      </c>
      <c r="C74" s="1168">
        <v>20</v>
      </c>
      <c r="D74" s="1143">
        <f t="shared" si="25"/>
        <v>63.460000000000008</v>
      </c>
      <c r="E74" s="1144">
        <f t="shared" si="8"/>
        <v>1.0165316619800002</v>
      </c>
      <c r="F74" s="1144">
        <f t="shared" si="3"/>
        <v>8.4833680334634529</v>
      </c>
      <c r="G74" s="1143">
        <f t="shared" si="26"/>
        <v>1.5680000000000001</v>
      </c>
      <c r="H74" s="1145">
        <f t="shared" si="10"/>
        <v>1.5424999128368022</v>
      </c>
      <c r="I74" s="1146">
        <f t="shared" si="27"/>
        <v>0.95419999999999994</v>
      </c>
      <c r="J74" s="1147" t="e">
        <f t="shared" ref="J74:J105" si="28">E74/VLOOKUP(60,Water,6,FALSE)</f>
        <v>#NAME?</v>
      </c>
      <c r="L74" s="184"/>
      <c r="M74" s="1166"/>
      <c r="N74" s="1166"/>
      <c r="O74" s="1166"/>
    </row>
    <row r="75" spans="2:15" x14ac:dyDescent="0.2">
      <c r="B75" s="1172">
        <v>85</v>
      </c>
      <c r="C75" s="1120">
        <v>20</v>
      </c>
      <c r="D75" s="1150">
        <f t="shared" si="25"/>
        <v>63.445000000000007</v>
      </c>
      <c r="E75" s="1122">
        <f t="shared" si="8"/>
        <v>1.0162913850350002</v>
      </c>
      <c r="F75" s="1122">
        <f t="shared" ref="F75:F138" si="29">D75/7.4805195</f>
        <v>8.4813628251353403</v>
      </c>
      <c r="G75" s="1150">
        <f t="shared" si="26"/>
        <v>1.5449999999999999</v>
      </c>
      <c r="H75" s="1121">
        <f t="shared" si="10"/>
        <v>1.5202332940633867</v>
      </c>
      <c r="I75" s="1173">
        <f t="shared" si="27"/>
        <v>0.9544999999999999</v>
      </c>
      <c r="J75" s="1124" t="e">
        <f t="shared" si="28"/>
        <v>#NAME?</v>
      </c>
      <c r="L75" s="184"/>
      <c r="M75" s="1166"/>
      <c r="N75" s="1166"/>
      <c r="O75" s="1166"/>
    </row>
    <row r="76" spans="2:15" x14ac:dyDescent="0.2">
      <c r="B76" s="1164">
        <v>86</v>
      </c>
      <c r="C76" s="1165">
        <v>20</v>
      </c>
      <c r="D76" s="1132">
        <f t="shared" si="25"/>
        <v>63.430000000000007</v>
      </c>
      <c r="E76" s="1133">
        <f t="shared" si="8"/>
        <v>1.0160511080900001</v>
      </c>
      <c r="F76" s="1133">
        <f t="shared" si="29"/>
        <v>8.4793576168072295</v>
      </c>
      <c r="G76" s="1132">
        <f t="shared" si="26"/>
        <v>1.522</v>
      </c>
      <c r="H76" s="1134">
        <f t="shared" si="10"/>
        <v>1.4979561440182827</v>
      </c>
      <c r="I76" s="1135">
        <f t="shared" si="27"/>
        <v>0.95479999999999998</v>
      </c>
      <c r="J76" s="1136" t="e">
        <f t="shared" si="28"/>
        <v>#NAME?</v>
      </c>
      <c r="L76" s="184"/>
      <c r="M76" s="1166"/>
      <c r="N76" s="1166"/>
      <c r="O76" s="1166"/>
    </row>
    <row r="77" spans="2:15" x14ac:dyDescent="0.2">
      <c r="B77" s="1164">
        <v>87</v>
      </c>
      <c r="C77" s="1165">
        <v>20</v>
      </c>
      <c r="D77" s="1132">
        <f t="shared" si="25"/>
        <v>63.415000000000006</v>
      </c>
      <c r="E77" s="1133">
        <f t="shared" si="8"/>
        <v>1.015810831145</v>
      </c>
      <c r="F77" s="1133">
        <f t="shared" si="29"/>
        <v>8.4773524084791188</v>
      </c>
      <c r="G77" s="1132">
        <f t="shared" si="26"/>
        <v>1.4990000000000001</v>
      </c>
      <c r="H77" s="1134">
        <f t="shared" si="10"/>
        <v>1.4756684552283812</v>
      </c>
      <c r="I77" s="1135">
        <f t="shared" si="27"/>
        <v>0.95509999999999995</v>
      </c>
      <c r="J77" s="1136" t="e">
        <f t="shared" si="28"/>
        <v>#NAME?</v>
      </c>
      <c r="L77" s="184"/>
      <c r="M77" s="1166"/>
      <c r="N77" s="1166"/>
      <c r="O77" s="1166"/>
    </row>
    <row r="78" spans="2:15" x14ac:dyDescent="0.2">
      <c r="B78" s="1164">
        <v>88</v>
      </c>
      <c r="C78" s="1165">
        <v>20</v>
      </c>
      <c r="D78" s="1132">
        <f t="shared" si="25"/>
        <v>63.400000000000006</v>
      </c>
      <c r="E78" s="1133">
        <f t="shared" si="8"/>
        <v>1.0155705542000002</v>
      </c>
      <c r="F78" s="1133">
        <f t="shared" si="29"/>
        <v>8.4753472001510062</v>
      </c>
      <c r="G78" s="1132">
        <f t="shared" si="26"/>
        <v>1.476</v>
      </c>
      <c r="H78" s="1134">
        <f t="shared" si="10"/>
        <v>1.4533702202134995</v>
      </c>
      <c r="I78" s="1135">
        <f t="shared" si="27"/>
        <v>0.95539999999999992</v>
      </c>
      <c r="J78" s="1136" t="e">
        <f t="shared" si="28"/>
        <v>#NAME?</v>
      </c>
      <c r="L78" s="184"/>
      <c r="M78" s="1166"/>
      <c r="N78" s="1166"/>
      <c r="O78" s="1166"/>
    </row>
    <row r="79" spans="2:15" ht="13.5" thickBot="1" x14ac:dyDescent="0.25">
      <c r="B79" s="1174">
        <v>89</v>
      </c>
      <c r="C79" s="1175">
        <v>20</v>
      </c>
      <c r="D79" s="1143">
        <f t="shared" si="25"/>
        <v>63.385000000000005</v>
      </c>
      <c r="E79" s="1144">
        <f t="shared" si="8"/>
        <v>1.0153302772550001</v>
      </c>
      <c r="F79" s="1144">
        <f t="shared" si="29"/>
        <v>8.4733419918228954</v>
      </c>
      <c r="G79" s="1143">
        <f t="shared" si="26"/>
        <v>1.4529999999999998</v>
      </c>
      <c r="H79" s="1145">
        <f t="shared" si="10"/>
        <v>1.4310614314863763</v>
      </c>
      <c r="I79" s="1135">
        <f t="shared" si="27"/>
        <v>0.95569999999999999</v>
      </c>
      <c r="J79" s="1147" t="e">
        <f t="shared" si="28"/>
        <v>#NAME?</v>
      </c>
      <c r="L79" s="184"/>
      <c r="M79" s="1166"/>
      <c r="N79" s="1166"/>
      <c r="O79" s="1166"/>
    </row>
    <row r="80" spans="2:15" x14ac:dyDescent="0.2">
      <c r="B80" s="1119">
        <v>90</v>
      </c>
      <c r="C80" s="1120">
        <v>20</v>
      </c>
      <c r="D80" s="1121">
        <v>63.37</v>
      </c>
      <c r="E80" s="1122">
        <f t="shared" si="8"/>
        <v>1.0150900003100001</v>
      </c>
      <c r="F80" s="1122">
        <f t="shared" si="29"/>
        <v>8.4713367834947828</v>
      </c>
      <c r="G80" s="1121">
        <v>1.43</v>
      </c>
      <c r="H80" s="1121">
        <f t="shared" si="10"/>
        <v>1.4087420815526601</v>
      </c>
      <c r="I80" s="1123">
        <v>0.95599999999999996</v>
      </c>
      <c r="J80" s="1124" t="e">
        <f t="shared" si="28"/>
        <v>#NAME?</v>
      </c>
      <c r="L80" s="1125">
        <f>B80</f>
        <v>90</v>
      </c>
      <c r="M80" s="1126">
        <f>D80</f>
        <v>63.37</v>
      </c>
      <c r="N80" s="1126">
        <f>G80</f>
        <v>1.43</v>
      </c>
      <c r="O80" s="1127">
        <f>I80</f>
        <v>0.95599999999999996</v>
      </c>
    </row>
    <row r="81" spans="2:15" x14ac:dyDescent="0.2">
      <c r="B81" s="1164">
        <v>91</v>
      </c>
      <c r="C81" s="1165">
        <v>20</v>
      </c>
      <c r="D81" s="1132">
        <f t="shared" ref="D81:D89" si="30">FORECAST(B81,$M$80:$M$81,$L$80:$L$81)</f>
        <v>63.352999999999994</v>
      </c>
      <c r="E81" s="1133">
        <f t="shared" si="8"/>
        <v>1.0148176864389999</v>
      </c>
      <c r="F81" s="1133">
        <f t="shared" si="29"/>
        <v>8.4690642140562566</v>
      </c>
      <c r="G81" s="1132">
        <f t="shared" ref="G81:G89" si="31">FORECAST(B81,$N$80:$N$81,$L$80:$L$81)</f>
        <v>1.4119999999999999</v>
      </c>
      <c r="H81" s="1134">
        <f t="shared" si="10"/>
        <v>1.3913829241139013</v>
      </c>
      <c r="I81" s="1135">
        <f>FORECAST(B81,$O$80:$O$81,$L$80:$L$81)</f>
        <v>0.95630000000000004</v>
      </c>
      <c r="J81" s="1136" t="e">
        <f t="shared" si="28"/>
        <v>#NAME?</v>
      </c>
      <c r="L81" s="1125">
        <f>B90</f>
        <v>100</v>
      </c>
      <c r="M81" s="1126">
        <f>D90</f>
        <v>63.2</v>
      </c>
      <c r="N81" s="1126">
        <f>G90</f>
        <v>1.25</v>
      </c>
      <c r="O81" s="1127">
        <f>I90</f>
        <v>0.95899999999999996</v>
      </c>
    </row>
    <row r="82" spans="2:15" x14ac:dyDescent="0.2">
      <c r="B82" s="1164">
        <v>92</v>
      </c>
      <c r="C82" s="1165">
        <v>20</v>
      </c>
      <c r="D82" s="1132">
        <f t="shared" si="30"/>
        <v>63.335999999999999</v>
      </c>
      <c r="E82" s="1133">
        <f t="shared" si="8"/>
        <v>1.014545372568</v>
      </c>
      <c r="F82" s="1133">
        <f t="shared" si="29"/>
        <v>8.4667916446177305</v>
      </c>
      <c r="G82" s="1132">
        <f t="shared" si="31"/>
        <v>1.3939999999999999</v>
      </c>
      <c r="H82" s="1134">
        <f t="shared" si="10"/>
        <v>1.3740144479408849</v>
      </c>
      <c r="I82" s="1135">
        <f t="shared" ref="I82:I89" si="32">FORECAST(B82,$O$80:$O$81,$L$80:$L$81)</f>
        <v>0.95660000000000012</v>
      </c>
      <c r="J82" s="1136" t="e">
        <f t="shared" si="28"/>
        <v>#NAME?</v>
      </c>
      <c r="L82" s="184"/>
      <c r="M82" s="1166"/>
      <c r="N82" s="1166"/>
      <c r="O82" s="1166"/>
    </row>
    <row r="83" spans="2:15" x14ac:dyDescent="0.2">
      <c r="B83" s="1164">
        <v>93</v>
      </c>
      <c r="C83" s="1165">
        <v>20</v>
      </c>
      <c r="D83" s="1132">
        <f t="shared" si="30"/>
        <v>63.319000000000003</v>
      </c>
      <c r="E83" s="1133">
        <f t="shared" si="8"/>
        <v>1.0142730586970001</v>
      </c>
      <c r="F83" s="1133">
        <f t="shared" si="29"/>
        <v>8.4645190751792043</v>
      </c>
      <c r="G83" s="1132">
        <f t="shared" si="31"/>
        <v>1.3759999999999999</v>
      </c>
      <c r="H83" s="1134">
        <f t="shared" si="10"/>
        <v>1.3566366455278791</v>
      </c>
      <c r="I83" s="1135">
        <f t="shared" si="32"/>
        <v>0.95690000000000008</v>
      </c>
      <c r="J83" s="1136" t="e">
        <f t="shared" si="28"/>
        <v>#NAME?</v>
      </c>
      <c r="L83" s="184"/>
      <c r="M83" s="1166"/>
      <c r="N83" s="1166"/>
      <c r="O83" s="1166"/>
    </row>
    <row r="84" spans="2:15" ht="13.5" thickBot="1" x14ac:dyDescent="0.25">
      <c r="B84" s="1174">
        <v>94</v>
      </c>
      <c r="C84" s="1168">
        <v>20</v>
      </c>
      <c r="D84" s="1143">
        <f t="shared" si="30"/>
        <v>63.302</v>
      </c>
      <c r="E84" s="1144">
        <f t="shared" si="8"/>
        <v>1.014000744826</v>
      </c>
      <c r="F84" s="1144">
        <f t="shared" si="29"/>
        <v>8.4622465057406782</v>
      </c>
      <c r="G84" s="1143">
        <f t="shared" si="31"/>
        <v>1.3579999999999999</v>
      </c>
      <c r="H84" s="1145">
        <f t="shared" si="10"/>
        <v>1.3392495093610897</v>
      </c>
      <c r="I84" s="1146">
        <f t="shared" si="32"/>
        <v>0.95720000000000005</v>
      </c>
      <c r="J84" s="1147" t="e">
        <f t="shared" si="28"/>
        <v>#NAME?</v>
      </c>
      <c r="L84" s="184"/>
      <c r="M84" s="1166"/>
      <c r="N84" s="1166"/>
      <c r="O84" s="1166"/>
    </row>
    <row r="85" spans="2:15" x14ac:dyDescent="0.2">
      <c r="B85" s="1172">
        <v>95</v>
      </c>
      <c r="C85" s="1120">
        <v>20</v>
      </c>
      <c r="D85" s="1150">
        <f t="shared" si="30"/>
        <v>63.284999999999997</v>
      </c>
      <c r="E85" s="1122">
        <f t="shared" ref="E85:E148" si="33">D85*0.016018463</f>
        <v>1.0137284309549999</v>
      </c>
      <c r="F85" s="1122">
        <f t="shared" si="29"/>
        <v>8.4599739363021502</v>
      </c>
      <c r="G85" s="1150">
        <f t="shared" si="31"/>
        <v>1.3399999999999999</v>
      </c>
      <c r="H85" s="1121">
        <f t="shared" ref="H85:H148" si="34">G85/E85</f>
        <v>1.3218530319186474</v>
      </c>
      <c r="I85" s="1173">
        <f t="shared" si="32"/>
        <v>0.95750000000000002</v>
      </c>
      <c r="J85" s="1124" t="e">
        <f t="shared" si="28"/>
        <v>#NAME?</v>
      </c>
      <c r="L85" s="184"/>
      <c r="M85" s="1166"/>
      <c r="N85" s="1166"/>
      <c r="O85" s="1166"/>
    </row>
    <row r="86" spans="2:15" x14ac:dyDescent="0.2">
      <c r="B86" s="1164">
        <v>96</v>
      </c>
      <c r="C86" s="1165">
        <v>20</v>
      </c>
      <c r="D86" s="1132">
        <f t="shared" si="30"/>
        <v>63.268000000000001</v>
      </c>
      <c r="E86" s="1133">
        <f t="shared" si="33"/>
        <v>1.013456117084</v>
      </c>
      <c r="F86" s="1133">
        <f t="shared" si="29"/>
        <v>8.4577013668636258</v>
      </c>
      <c r="G86" s="1132">
        <f t="shared" si="31"/>
        <v>1.3219999999999998</v>
      </c>
      <c r="H86" s="1134">
        <f t="shared" si="34"/>
        <v>1.3044472056705996</v>
      </c>
      <c r="I86" s="1135">
        <f t="shared" si="32"/>
        <v>0.9578000000000001</v>
      </c>
      <c r="J86" s="1136" t="e">
        <f t="shared" si="28"/>
        <v>#NAME?</v>
      </c>
      <c r="L86" s="184"/>
      <c r="M86" s="1166"/>
      <c r="N86" s="1166"/>
      <c r="O86" s="1166"/>
    </row>
    <row r="87" spans="2:15" x14ac:dyDescent="0.2">
      <c r="B87" s="1164">
        <v>97</v>
      </c>
      <c r="C87" s="1165">
        <v>20</v>
      </c>
      <c r="D87" s="1132">
        <f t="shared" si="30"/>
        <v>63.251000000000005</v>
      </c>
      <c r="E87" s="1133">
        <f t="shared" si="33"/>
        <v>1.0131838032130001</v>
      </c>
      <c r="F87" s="1133">
        <f t="shared" si="29"/>
        <v>8.4554287974250997</v>
      </c>
      <c r="G87" s="1132">
        <f t="shared" si="31"/>
        <v>1.3039999999999998</v>
      </c>
      <c r="H87" s="1134">
        <f t="shared" si="34"/>
        <v>1.2870320230788983</v>
      </c>
      <c r="I87" s="1135">
        <f t="shared" si="32"/>
        <v>0.95810000000000006</v>
      </c>
      <c r="J87" s="1136" t="e">
        <f t="shared" si="28"/>
        <v>#NAME?</v>
      </c>
      <c r="L87" s="184"/>
      <c r="M87" s="1166"/>
      <c r="N87" s="1166"/>
      <c r="O87" s="1166"/>
    </row>
    <row r="88" spans="2:15" x14ac:dyDescent="0.2">
      <c r="B88" s="1164">
        <v>98</v>
      </c>
      <c r="C88" s="1165">
        <v>20</v>
      </c>
      <c r="D88" s="1132">
        <f t="shared" si="30"/>
        <v>63.234000000000002</v>
      </c>
      <c r="E88" s="1133">
        <f t="shared" si="33"/>
        <v>1.0129114893419999</v>
      </c>
      <c r="F88" s="1133">
        <f t="shared" si="29"/>
        <v>8.4531562279865735</v>
      </c>
      <c r="G88" s="1132">
        <f t="shared" si="31"/>
        <v>1.2859999999999998</v>
      </c>
      <c r="H88" s="1134">
        <f t="shared" si="34"/>
        <v>1.2696074765973893</v>
      </c>
      <c r="I88" s="1135">
        <f t="shared" si="32"/>
        <v>0.95840000000000003</v>
      </c>
      <c r="J88" s="1136" t="e">
        <f t="shared" si="28"/>
        <v>#NAME?</v>
      </c>
      <c r="L88" s="184"/>
      <c r="M88" s="1166"/>
      <c r="N88" s="1166"/>
      <c r="O88" s="1166"/>
    </row>
    <row r="89" spans="2:15" ht="13.5" thickBot="1" x14ac:dyDescent="0.25">
      <c r="B89" s="1174">
        <v>99</v>
      </c>
      <c r="C89" s="1175">
        <v>20</v>
      </c>
      <c r="D89" s="1143">
        <f t="shared" si="30"/>
        <v>63.216999999999999</v>
      </c>
      <c r="E89" s="1144">
        <f t="shared" si="33"/>
        <v>1.012639175471</v>
      </c>
      <c r="F89" s="1144">
        <f t="shared" si="29"/>
        <v>8.4508836585480456</v>
      </c>
      <c r="G89" s="1143">
        <f t="shared" si="31"/>
        <v>1.2679999999999998</v>
      </c>
      <c r="H89" s="1145">
        <f t="shared" si="34"/>
        <v>1.2521735586718004</v>
      </c>
      <c r="I89" s="1135">
        <f t="shared" si="32"/>
        <v>0.95870000000000011</v>
      </c>
      <c r="J89" s="1147" t="e">
        <f t="shared" si="28"/>
        <v>#NAME?</v>
      </c>
      <c r="L89" s="184"/>
      <c r="M89" s="1166"/>
      <c r="N89" s="1166"/>
      <c r="O89" s="1166"/>
    </row>
    <row r="90" spans="2:15" x14ac:dyDescent="0.2">
      <c r="B90" s="1119">
        <v>100</v>
      </c>
      <c r="C90" s="1120">
        <v>20</v>
      </c>
      <c r="D90" s="1121">
        <v>63.2</v>
      </c>
      <c r="E90" s="1122">
        <f t="shared" si="33"/>
        <v>1.0123668616000001</v>
      </c>
      <c r="F90" s="1122">
        <f t="shared" si="29"/>
        <v>8.4486110891095212</v>
      </c>
      <c r="G90" s="1121">
        <v>1.25</v>
      </c>
      <c r="H90" s="1121">
        <f t="shared" si="34"/>
        <v>1.2347302617397329</v>
      </c>
      <c r="I90" s="1123">
        <v>0.95899999999999996</v>
      </c>
      <c r="J90" s="1124" t="e">
        <f t="shared" si="28"/>
        <v>#NAME?</v>
      </c>
      <c r="L90" s="1125">
        <f>B90</f>
        <v>100</v>
      </c>
      <c r="M90" s="1126">
        <f>D90</f>
        <v>63.2</v>
      </c>
      <c r="N90" s="1126">
        <f>G90</f>
        <v>1.25</v>
      </c>
      <c r="O90" s="1127">
        <f>I90</f>
        <v>0.95899999999999996</v>
      </c>
    </row>
    <row r="91" spans="2:15" x14ac:dyDescent="0.2">
      <c r="B91" s="1164">
        <v>101</v>
      </c>
      <c r="C91" s="1165">
        <v>20</v>
      </c>
      <c r="D91" s="1132">
        <f t="shared" ref="D91:D99" si="35">FORECAST(B91,$M$90:$M$91,$L$90:$L$91)</f>
        <v>63.183</v>
      </c>
      <c r="E91" s="1133">
        <f t="shared" si="33"/>
        <v>1.012094547729</v>
      </c>
      <c r="F91" s="1133">
        <f t="shared" si="29"/>
        <v>8.4463385196709933</v>
      </c>
      <c r="G91" s="1132">
        <f t="shared" ref="G91:G99" si="36">FORECAST(B91,$N$90:$N$91,$L$90:$L$91)</f>
        <v>1.2350000000000001</v>
      </c>
      <c r="H91" s="1134">
        <f t="shared" si="34"/>
        <v>1.2202417281776383</v>
      </c>
      <c r="I91" s="1135">
        <f>FORECAST(B91,$O$90:$O$91,$L$90:$L$91)</f>
        <v>0.95929999999999982</v>
      </c>
      <c r="J91" s="1136" t="e">
        <f t="shared" si="28"/>
        <v>#NAME?</v>
      </c>
      <c r="L91" s="1125">
        <f>B100</f>
        <v>110</v>
      </c>
      <c r="M91" s="1126">
        <f>D100</f>
        <v>63.03</v>
      </c>
      <c r="N91" s="1126">
        <f>G100</f>
        <v>1.1000000000000001</v>
      </c>
      <c r="O91" s="1127">
        <f>I100</f>
        <v>0.96199999999999997</v>
      </c>
    </row>
    <row r="92" spans="2:15" x14ac:dyDescent="0.2">
      <c r="B92" s="1164">
        <v>102</v>
      </c>
      <c r="C92" s="1165">
        <v>20</v>
      </c>
      <c r="D92" s="1132">
        <f t="shared" si="35"/>
        <v>63.166000000000004</v>
      </c>
      <c r="E92" s="1133">
        <f t="shared" si="33"/>
        <v>1.0118222338580001</v>
      </c>
      <c r="F92" s="1133">
        <f t="shared" si="29"/>
        <v>8.4440659502324671</v>
      </c>
      <c r="G92" s="1132">
        <f t="shared" si="36"/>
        <v>1.22</v>
      </c>
      <c r="H92" s="1134">
        <f t="shared" si="34"/>
        <v>1.2057453959558035</v>
      </c>
      <c r="I92" s="1135">
        <f t="shared" ref="I92:I99" si="37">FORECAST(B92,$O$90:$O$91,$L$90:$L$91)</f>
        <v>0.9595999999999999</v>
      </c>
      <c r="J92" s="1136" t="e">
        <f t="shared" si="28"/>
        <v>#NAME?</v>
      </c>
      <c r="L92" s="184"/>
      <c r="M92" s="1166"/>
      <c r="N92" s="1166"/>
      <c r="O92" s="1166"/>
    </row>
    <row r="93" spans="2:15" x14ac:dyDescent="0.2">
      <c r="B93" s="1164">
        <v>103</v>
      </c>
      <c r="C93" s="1165">
        <v>20</v>
      </c>
      <c r="D93" s="1132">
        <f t="shared" si="35"/>
        <v>63.149000000000001</v>
      </c>
      <c r="E93" s="1133">
        <f t="shared" si="33"/>
        <v>1.0115499199869999</v>
      </c>
      <c r="F93" s="1133">
        <f t="shared" si="29"/>
        <v>8.4417933807939409</v>
      </c>
      <c r="G93" s="1132">
        <f t="shared" si="36"/>
        <v>1.2050000000000001</v>
      </c>
      <c r="H93" s="1134">
        <f t="shared" si="34"/>
        <v>1.1912412587759251</v>
      </c>
      <c r="I93" s="1135">
        <f t="shared" si="37"/>
        <v>0.95989999999999986</v>
      </c>
      <c r="J93" s="1136" t="e">
        <f t="shared" si="28"/>
        <v>#NAME?</v>
      </c>
      <c r="L93" s="184"/>
      <c r="M93" s="1166"/>
      <c r="N93" s="1166"/>
      <c r="O93" s="1166"/>
    </row>
    <row r="94" spans="2:15" ht="13.5" thickBot="1" x14ac:dyDescent="0.25">
      <c r="B94" s="1174">
        <v>104</v>
      </c>
      <c r="C94" s="1168">
        <v>20</v>
      </c>
      <c r="D94" s="1143">
        <f t="shared" si="35"/>
        <v>63.132000000000005</v>
      </c>
      <c r="E94" s="1144">
        <f t="shared" si="33"/>
        <v>1.011277606116</v>
      </c>
      <c r="F94" s="1144">
        <f t="shared" si="29"/>
        <v>8.4395208113554148</v>
      </c>
      <c r="G94" s="1143">
        <f t="shared" si="36"/>
        <v>1.1900000000000002</v>
      </c>
      <c r="H94" s="1145">
        <f t="shared" si="34"/>
        <v>1.1767293103329133</v>
      </c>
      <c r="I94" s="1146">
        <f t="shared" si="37"/>
        <v>0.96019999999999983</v>
      </c>
      <c r="J94" s="1147" t="e">
        <f t="shared" si="28"/>
        <v>#NAME?</v>
      </c>
      <c r="L94" s="184"/>
      <c r="M94" s="1166"/>
      <c r="N94" s="1166"/>
      <c r="O94" s="1166"/>
    </row>
    <row r="95" spans="2:15" x14ac:dyDescent="0.2">
      <c r="B95" s="1172">
        <v>105</v>
      </c>
      <c r="C95" s="1120">
        <v>20</v>
      </c>
      <c r="D95" s="1150">
        <f t="shared" si="35"/>
        <v>63.115000000000002</v>
      </c>
      <c r="E95" s="1122">
        <f t="shared" si="33"/>
        <v>1.0110052922450001</v>
      </c>
      <c r="F95" s="1122">
        <f t="shared" si="29"/>
        <v>8.4372482419168886</v>
      </c>
      <c r="G95" s="1150">
        <f t="shared" si="36"/>
        <v>1.175</v>
      </c>
      <c r="H95" s="1121">
        <f t="shared" si="34"/>
        <v>1.1622095443148863</v>
      </c>
      <c r="I95" s="1173">
        <f t="shared" si="37"/>
        <v>0.96049999999999991</v>
      </c>
      <c r="J95" s="1124" t="e">
        <f t="shared" si="28"/>
        <v>#NAME?</v>
      </c>
      <c r="L95" s="184"/>
      <c r="M95" s="1166"/>
      <c r="N95" s="1166"/>
      <c r="O95" s="1166"/>
    </row>
    <row r="96" spans="2:15" x14ac:dyDescent="0.2">
      <c r="B96" s="1164">
        <v>106</v>
      </c>
      <c r="C96" s="1165">
        <v>20</v>
      </c>
      <c r="D96" s="1132">
        <f t="shared" si="35"/>
        <v>63.097999999999999</v>
      </c>
      <c r="E96" s="1133">
        <f t="shared" si="33"/>
        <v>1.010732978374</v>
      </c>
      <c r="F96" s="1133">
        <f t="shared" si="29"/>
        <v>8.4349756724783624</v>
      </c>
      <c r="G96" s="1132">
        <f t="shared" si="36"/>
        <v>1.1600000000000001</v>
      </c>
      <c r="H96" s="1134">
        <f t="shared" si="34"/>
        <v>1.1476819544031609</v>
      </c>
      <c r="I96" s="1135">
        <f t="shared" si="37"/>
        <v>0.96079999999999988</v>
      </c>
      <c r="J96" s="1136" t="e">
        <f t="shared" si="28"/>
        <v>#NAME?</v>
      </c>
      <c r="L96" s="184"/>
      <c r="M96" s="1166"/>
      <c r="N96" s="1166"/>
      <c r="O96" s="1166"/>
    </row>
    <row r="97" spans="2:15" x14ac:dyDescent="0.2">
      <c r="B97" s="1164">
        <v>107</v>
      </c>
      <c r="C97" s="1165">
        <v>20</v>
      </c>
      <c r="D97" s="1132">
        <f t="shared" si="35"/>
        <v>63.081000000000003</v>
      </c>
      <c r="E97" s="1133">
        <f t="shared" si="33"/>
        <v>1.0104606645030001</v>
      </c>
      <c r="F97" s="1133">
        <f t="shared" si="29"/>
        <v>8.4327031030398363</v>
      </c>
      <c r="G97" s="1132">
        <f t="shared" si="36"/>
        <v>1.145</v>
      </c>
      <c r="H97" s="1134">
        <f t="shared" si="34"/>
        <v>1.1331465342722409</v>
      </c>
      <c r="I97" s="1135">
        <f t="shared" si="37"/>
        <v>0.96109999999999984</v>
      </c>
      <c r="J97" s="1136" t="e">
        <f t="shared" si="28"/>
        <v>#NAME?</v>
      </c>
      <c r="L97" s="184"/>
      <c r="M97" s="1166"/>
      <c r="N97" s="1166"/>
      <c r="O97" s="1166"/>
    </row>
    <row r="98" spans="2:15" x14ac:dyDescent="0.2">
      <c r="B98" s="1164">
        <v>108</v>
      </c>
      <c r="C98" s="1165">
        <v>20</v>
      </c>
      <c r="D98" s="1132">
        <f t="shared" si="35"/>
        <v>63.064</v>
      </c>
      <c r="E98" s="1133">
        <f t="shared" si="33"/>
        <v>1.010188350632</v>
      </c>
      <c r="F98" s="1133">
        <f t="shared" si="29"/>
        <v>8.4304305336013101</v>
      </c>
      <c r="G98" s="1132">
        <f t="shared" si="36"/>
        <v>1.1300000000000001</v>
      </c>
      <c r="H98" s="1134">
        <f t="shared" si="34"/>
        <v>1.1186032775898107</v>
      </c>
      <c r="I98" s="1135">
        <f t="shared" si="37"/>
        <v>0.96139999999999981</v>
      </c>
      <c r="J98" s="1136" t="e">
        <f t="shared" si="28"/>
        <v>#NAME?</v>
      </c>
      <c r="L98" s="184"/>
      <c r="M98" s="1166"/>
      <c r="N98" s="1166"/>
      <c r="O98" s="1166"/>
    </row>
    <row r="99" spans="2:15" ht="13.5" thickBot="1" x14ac:dyDescent="0.25">
      <c r="B99" s="1174">
        <v>109</v>
      </c>
      <c r="C99" s="1175">
        <v>20</v>
      </c>
      <c r="D99" s="1143">
        <f t="shared" si="35"/>
        <v>63.047000000000004</v>
      </c>
      <c r="E99" s="1144">
        <f t="shared" si="33"/>
        <v>1.0099160367610001</v>
      </c>
      <c r="F99" s="1144">
        <f t="shared" si="29"/>
        <v>8.428157964162784</v>
      </c>
      <c r="G99" s="1143">
        <f t="shared" si="36"/>
        <v>1.1150000000000002</v>
      </c>
      <c r="H99" s="1145">
        <f t="shared" si="34"/>
        <v>1.1040521780167243</v>
      </c>
      <c r="I99" s="1135">
        <f t="shared" si="37"/>
        <v>0.96169999999999989</v>
      </c>
      <c r="J99" s="1147" t="e">
        <f t="shared" si="28"/>
        <v>#NAME?</v>
      </c>
      <c r="L99" s="184"/>
      <c r="M99" s="1166"/>
      <c r="N99" s="1166"/>
      <c r="O99" s="1166"/>
    </row>
    <row r="100" spans="2:15" x14ac:dyDescent="0.2">
      <c r="B100" s="1119">
        <v>110</v>
      </c>
      <c r="C100" s="1120">
        <v>20</v>
      </c>
      <c r="D100" s="1121">
        <v>63.03</v>
      </c>
      <c r="E100" s="1122">
        <f t="shared" si="33"/>
        <v>1.0096437228899999</v>
      </c>
      <c r="F100" s="1122">
        <f t="shared" si="29"/>
        <v>8.4258853947242578</v>
      </c>
      <c r="G100" s="1121">
        <v>1.1000000000000001</v>
      </c>
      <c r="H100" s="1121">
        <f t="shared" si="34"/>
        <v>1.0894932292069965</v>
      </c>
      <c r="I100" s="1123">
        <v>0.96199999999999997</v>
      </c>
      <c r="J100" s="1124" t="e">
        <f t="shared" si="28"/>
        <v>#NAME?</v>
      </c>
      <c r="L100" s="1125">
        <f>B100</f>
        <v>110</v>
      </c>
      <c r="M100" s="1126">
        <f>D100</f>
        <v>63.03</v>
      </c>
      <c r="N100" s="1126">
        <f>G100</f>
        <v>1.1000000000000001</v>
      </c>
      <c r="O100" s="1127">
        <f>I100</f>
        <v>0.96199999999999997</v>
      </c>
    </row>
    <row r="101" spans="2:15" x14ac:dyDescent="0.2">
      <c r="B101" s="1164">
        <v>111</v>
      </c>
      <c r="C101" s="1165">
        <v>20</v>
      </c>
      <c r="D101" s="1132">
        <f t="shared" ref="D101:D109" si="38">FORECAST(B101,$M$100:$M$101,$L$100:$L$101)</f>
        <v>63.011999999999993</v>
      </c>
      <c r="E101" s="1133">
        <f t="shared" si="33"/>
        <v>1.009355390556</v>
      </c>
      <c r="F101" s="1133">
        <f t="shared" si="29"/>
        <v>8.4234791447305231</v>
      </c>
      <c r="G101" s="1132">
        <f t="shared" ref="G101:G109" si="39">FORECAST(B101,$N$100:$N$101,$L$100:$L$101)</f>
        <v>1.0870000000000002</v>
      </c>
      <c r="H101" s="1134">
        <f t="shared" si="34"/>
        <v>1.0769249465257524</v>
      </c>
      <c r="I101" s="1135">
        <f>FORECAST(B101,$O$100:$O$101,$L$100:$L$101)</f>
        <v>0.96230000000000004</v>
      </c>
      <c r="J101" s="1136" t="e">
        <f t="shared" si="28"/>
        <v>#NAME?</v>
      </c>
      <c r="L101" s="1125">
        <f>B110</f>
        <v>120</v>
      </c>
      <c r="M101" s="1126">
        <f>D110</f>
        <v>62.85</v>
      </c>
      <c r="N101" s="1126">
        <f>G110</f>
        <v>0.97</v>
      </c>
      <c r="O101" s="1127">
        <f>I110</f>
        <v>0.96499999999999997</v>
      </c>
    </row>
    <row r="102" spans="2:15" x14ac:dyDescent="0.2">
      <c r="B102" s="1164">
        <v>112</v>
      </c>
      <c r="C102" s="1165">
        <v>20</v>
      </c>
      <c r="D102" s="1132">
        <f t="shared" si="38"/>
        <v>62.993999999999993</v>
      </c>
      <c r="E102" s="1133">
        <f t="shared" si="33"/>
        <v>1.0090670582219998</v>
      </c>
      <c r="F102" s="1133">
        <f t="shared" si="29"/>
        <v>8.4210728947367883</v>
      </c>
      <c r="G102" s="1132">
        <f t="shared" si="39"/>
        <v>1.0740000000000003</v>
      </c>
      <c r="H102" s="1134">
        <f t="shared" si="34"/>
        <v>1.0643494812846372</v>
      </c>
      <c r="I102" s="1135">
        <f t="shared" ref="I102:I109" si="40">FORECAST(B102,$O$100:$O$101,$L$100:$L$101)</f>
        <v>0.96260000000000012</v>
      </c>
      <c r="J102" s="1136" t="e">
        <f t="shared" si="28"/>
        <v>#NAME?</v>
      </c>
      <c r="L102" s="184"/>
      <c r="M102" s="1166"/>
      <c r="N102" s="1166"/>
      <c r="O102" s="1166"/>
    </row>
    <row r="103" spans="2:15" x14ac:dyDescent="0.2">
      <c r="B103" s="1164">
        <v>113</v>
      </c>
      <c r="C103" s="1165">
        <v>20</v>
      </c>
      <c r="D103" s="1132">
        <f t="shared" si="38"/>
        <v>62.975999999999992</v>
      </c>
      <c r="E103" s="1133">
        <f t="shared" si="33"/>
        <v>1.0087787258879999</v>
      </c>
      <c r="F103" s="1133">
        <f t="shared" si="29"/>
        <v>8.4186666447430554</v>
      </c>
      <c r="G103" s="1132">
        <f t="shared" si="39"/>
        <v>1.0610000000000004</v>
      </c>
      <c r="H103" s="1134">
        <f t="shared" si="34"/>
        <v>1.0517668273248244</v>
      </c>
      <c r="I103" s="1135">
        <f t="shared" si="40"/>
        <v>0.96290000000000009</v>
      </c>
      <c r="J103" s="1136" t="e">
        <f t="shared" si="28"/>
        <v>#NAME?</v>
      </c>
      <c r="L103" s="184"/>
      <c r="M103" s="1166"/>
      <c r="N103" s="1166"/>
      <c r="O103" s="1166"/>
    </row>
    <row r="104" spans="2:15" ht="13.5" thickBot="1" x14ac:dyDescent="0.25">
      <c r="B104" s="1174">
        <v>114</v>
      </c>
      <c r="C104" s="1168">
        <v>20</v>
      </c>
      <c r="D104" s="1143">
        <f t="shared" si="38"/>
        <v>62.957999999999991</v>
      </c>
      <c r="E104" s="1144">
        <f t="shared" si="33"/>
        <v>1.0084903935539999</v>
      </c>
      <c r="F104" s="1144">
        <f t="shared" si="29"/>
        <v>8.4162603947493206</v>
      </c>
      <c r="G104" s="1143">
        <f t="shared" si="39"/>
        <v>1.0480000000000003</v>
      </c>
      <c r="H104" s="1145">
        <f t="shared" si="34"/>
        <v>1.0391769784804448</v>
      </c>
      <c r="I104" s="1146">
        <f t="shared" si="40"/>
        <v>0.96320000000000006</v>
      </c>
      <c r="J104" s="1147" t="e">
        <f t="shared" si="28"/>
        <v>#NAME?</v>
      </c>
      <c r="L104" s="184"/>
      <c r="M104" s="1166"/>
      <c r="N104" s="1166"/>
      <c r="O104" s="1166"/>
    </row>
    <row r="105" spans="2:15" x14ac:dyDescent="0.2">
      <c r="B105" s="1172">
        <v>115</v>
      </c>
      <c r="C105" s="1120">
        <v>20</v>
      </c>
      <c r="D105" s="1150">
        <f t="shared" si="38"/>
        <v>62.94</v>
      </c>
      <c r="E105" s="1122">
        <f t="shared" si="33"/>
        <v>1.00820206122</v>
      </c>
      <c r="F105" s="1122">
        <f t="shared" si="29"/>
        <v>8.4138541447555877</v>
      </c>
      <c r="G105" s="1150">
        <f t="shared" si="39"/>
        <v>1.0350000000000001</v>
      </c>
      <c r="H105" s="1121">
        <f t="shared" si="34"/>
        <v>1.0265799285785755</v>
      </c>
      <c r="I105" s="1173">
        <f t="shared" si="40"/>
        <v>0.96350000000000002</v>
      </c>
      <c r="J105" s="1124" t="e">
        <f t="shared" si="28"/>
        <v>#NAME?</v>
      </c>
      <c r="L105" s="184"/>
      <c r="M105" s="1166"/>
      <c r="N105" s="1166"/>
      <c r="O105" s="1166"/>
    </row>
    <row r="106" spans="2:15" x14ac:dyDescent="0.2">
      <c r="B106" s="1164">
        <v>116</v>
      </c>
      <c r="C106" s="1165">
        <v>20</v>
      </c>
      <c r="D106" s="1132">
        <f t="shared" si="38"/>
        <v>62.921999999999997</v>
      </c>
      <c r="E106" s="1133">
        <f t="shared" si="33"/>
        <v>1.0079137288860001</v>
      </c>
      <c r="F106" s="1133">
        <f t="shared" si="29"/>
        <v>8.4114478947618547</v>
      </c>
      <c r="G106" s="1132">
        <f t="shared" si="39"/>
        <v>1.0220000000000002</v>
      </c>
      <c r="H106" s="1134">
        <f t="shared" si="34"/>
        <v>1.0139756714392303</v>
      </c>
      <c r="I106" s="1135">
        <f t="shared" si="40"/>
        <v>0.9638000000000001</v>
      </c>
      <c r="J106" s="1136" t="e">
        <f t="shared" ref="J106:J137" si="41">E106/VLOOKUP(60,Water,6,FALSE)</f>
        <v>#NAME?</v>
      </c>
      <c r="L106" s="184"/>
      <c r="M106" s="1166"/>
      <c r="N106" s="1166"/>
      <c r="O106" s="1166"/>
    </row>
    <row r="107" spans="2:15" x14ac:dyDescent="0.2">
      <c r="B107" s="1164">
        <v>117</v>
      </c>
      <c r="C107" s="1165">
        <v>20</v>
      </c>
      <c r="D107" s="1132">
        <f t="shared" si="38"/>
        <v>62.903999999999996</v>
      </c>
      <c r="E107" s="1133">
        <f t="shared" si="33"/>
        <v>1.0076253965519999</v>
      </c>
      <c r="F107" s="1133">
        <f t="shared" si="29"/>
        <v>8.40904164476812</v>
      </c>
      <c r="G107" s="1132">
        <f t="shared" si="39"/>
        <v>1.0090000000000003</v>
      </c>
      <c r="H107" s="1134">
        <f t="shared" si="34"/>
        <v>1.0013642008753494</v>
      </c>
      <c r="I107" s="1135">
        <f t="shared" si="40"/>
        <v>0.96410000000000007</v>
      </c>
      <c r="J107" s="1136" t="e">
        <f t="shared" si="41"/>
        <v>#NAME?</v>
      </c>
      <c r="L107" s="184"/>
      <c r="M107" s="1166"/>
      <c r="N107" s="1166"/>
      <c r="O107" s="1166"/>
    </row>
    <row r="108" spans="2:15" x14ac:dyDescent="0.2">
      <c r="B108" s="1164">
        <v>118</v>
      </c>
      <c r="C108" s="1165">
        <v>20</v>
      </c>
      <c r="D108" s="1132">
        <f t="shared" si="38"/>
        <v>62.885999999999996</v>
      </c>
      <c r="E108" s="1133">
        <f t="shared" si="33"/>
        <v>1.007337064218</v>
      </c>
      <c r="F108" s="1133">
        <f t="shared" si="29"/>
        <v>8.406635394774387</v>
      </c>
      <c r="G108" s="1132">
        <f t="shared" si="39"/>
        <v>0.99600000000000022</v>
      </c>
      <c r="H108" s="1134">
        <f t="shared" si="34"/>
        <v>0.98874551069278804</v>
      </c>
      <c r="I108" s="1135">
        <f t="shared" si="40"/>
        <v>0.96440000000000003</v>
      </c>
      <c r="J108" s="1136" t="e">
        <f t="shared" si="41"/>
        <v>#NAME?</v>
      </c>
      <c r="L108" s="184"/>
      <c r="M108" s="1166"/>
      <c r="N108" s="1166"/>
      <c r="O108" s="1166"/>
    </row>
    <row r="109" spans="2:15" ht="13.5" thickBot="1" x14ac:dyDescent="0.25">
      <c r="B109" s="1174">
        <v>119</v>
      </c>
      <c r="C109" s="1175">
        <v>20</v>
      </c>
      <c r="D109" s="1143">
        <f t="shared" si="38"/>
        <v>62.867999999999995</v>
      </c>
      <c r="E109" s="1144">
        <f t="shared" si="33"/>
        <v>1.007048731884</v>
      </c>
      <c r="F109" s="1144">
        <f t="shared" si="29"/>
        <v>8.4042291447806523</v>
      </c>
      <c r="G109" s="1143">
        <f t="shared" si="39"/>
        <v>0.9830000000000001</v>
      </c>
      <c r="H109" s="1145">
        <f t="shared" si="34"/>
        <v>0.97611959469030929</v>
      </c>
      <c r="I109" s="1135">
        <f t="shared" si="40"/>
        <v>0.96470000000000011</v>
      </c>
      <c r="J109" s="1147" t="e">
        <f t="shared" si="41"/>
        <v>#NAME?</v>
      </c>
      <c r="L109" s="184"/>
      <c r="M109" s="1166"/>
      <c r="N109" s="1166"/>
      <c r="O109" s="1166"/>
    </row>
    <row r="110" spans="2:15" x14ac:dyDescent="0.2">
      <c r="B110" s="1119">
        <v>120</v>
      </c>
      <c r="C110" s="1120">
        <v>20</v>
      </c>
      <c r="D110" s="1121">
        <v>62.85</v>
      </c>
      <c r="E110" s="1122">
        <f t="shared" si="33"/>
        <v>1.0067603995500001</v>
      </c>
      <c r="F110" s="1122">
        <f t="shared" si="29"/>
        <v>8.4018228947869193</v>
      </c>
      <c r="G110" s="1121">
        <v>0.97</v>
      </c>
      <c r="H110" s="1121">
        <f t="shared" si="34"/>
        <v>0.96348644665957139</v>
      </c>
      <c r="I110" s="1123">
        <v>0.96499999999999997</v>
      </c>
      <c r="J110" s="1124" t="e">
        <f t="shared" si="41"/>
        <v>#NAME?</v>
      </c>
      <c r="L110" s="1125">
        <f>B110</f>
        <v>120</v>
      </c>
      <c r="M110" s="1126">
        <f>D110</f>
        <v>62.85</v>
      </c>
      <c r="N110" s="1126">
        <f>G110</f>
        <v>0.97</v>
      </c>
      <c r="O110" s="1127">
        <f>I110</f>
        <v>0.96499999999999997</v>
      </c>
    </row>
    <row r="111" spans="2:15" x14ac:dyDescent="0.2">
      <c r="B111" s="1164">
        <v>121</v>
      </c>
      <c r="C111" s="1165">
        <v>20</v>
      </c>
      <c r="D111" s="1132">
        <f t="shared" ref="D111:D119" si="42">FORECAST(B111,$M$110:$M$111,$L$110:$L$111)</f>
        <v>62.830999999999996</v>
      </c>
      <c r="E111" s="1133">
        <f t="shared" si="33"/>
        <v>1.0064560487529999</v>
      </c>
      <c r="F111" s="1133">
        <f t="shared" si="29"/>
        <v>8.3992829642379778</v>
      </c>
      <c r="G111" s="1132">
        <f t="shared" ref="G111:G119" si="43">FORECAST(B111,$N$110:$N$111,$L$110:$L$111)</f>
        <v>0.96000000000000019</v>
      </c>
      <c r="H111" s="1134">
        <f t="shared" si="34"/>
        <v>0.95384194986898951</v>
      </c>
      <c r="I111" s="1135">
        <f>FORECAST(B111,$O$110:$O$111,$L$110:$L$111)</f>
        <v>0.96519999999999995</v>
      </c>
      <c r="J111" s="1136" t="e">
        <f t="shared" si="41"/>
        <v>#NAME?</v>
      </c>
      <c r="L111" s="1125">
        <f>B120</f>
        <v>130</v>
      </c>
      <c r="M111" s="1126">
        <f>D120</f>
        <v>62.66</v>
      </c>
      <c r="N111" s="1126">
        <f>G120</f>
        <v>0.87</v>
      </c>
      <c r="O111" s="1127">
        <f>I120</f>
        <v>0.96699999999999997</v>
      </c>
    </row>
    <row r="112" spans="2:15" x14ac:dyDescent="0.2">
      <c r="B112" s="1164">
        <v>122</v>
      </c>
      <c r="C112" s="1165">
        <v>20</v>
      </c>
      <c r="D112" s="1132">
        <f t="shared" si="42"/>
        <v>62.811999999999991</v>
      </c>
      <c r="E112" s="1133">
        <f t="shared" si="33"/>
        <v>1.0061516979559999</v>
      </c>
      <c r="F112" s="1133">
        <f t="shared" si="29"/>
        <v>8.3967430336890363</v>
      </c>
      <c r="G112" s="1132">
        <f t="shared" si="43"/>
        <v>0.95000000000000018</v>
      </c>
      <c r="H112" s="1134">
        <f t="shared" si="34"/>
        <v>0.94419161835131615</v>
      </c>
      <c r="I112" s="1135">
        <f t="shared" ref="I112:I119" si="44">FORECAST(B112,$O$110:$O$111,$L$110:$L$111)</f>
        <v>0.96539999999999992</v>
      </c>
      <c r="J112" s="1136" t="e">
        <f t="shared" si="41"/>
        <v>#NAME?</v>
      </c>
      <c r="L112" s="184"/>
      <c r="M112" s="1166"/>
      <c r="N112" s="1166"/>
      <c r="O112" s="1166"/>
    </row>
    <row r="113" spans="2:15" x14ac:dyDescent="0.2">
      <c r="B113" s="1164">
        <v>123</v>
      </c>
      <c r="C113" s="1165">
        <v>20</v>
      </c>
      <c r="D113" s="1132">
        <f t="shared" si="42"/>
        <v>62.792999999999992</v>
      </c>
      <c r="E113" s="1133">
        <f t="shared" si="33"/>
        <v>1.0058473471589999</v>
      </c>
      <c r="F113" s="1133">
        <f t="shared" si="29"/>
        <v>8.3942031031400948</v>
      </c>
      <c r="G113" s="1132">
        <f t="shared" si="43"/>
        <v>0.94000000000000017</v>
      </c>
      <c r="H113" s="1134">
        <f t="shared" si="34"/>
        <v>0.93453544681011036</v>
      </c>
      <c r="I113" s="1135">
        <f t="shared" si="44"/>
        <v>0.96560000000000001</v>
      </c>
      <c r="J113" s="1136" t="e">
        <f t="shared" si="41"/>
        <v>#NAME?</v>
      </c>
      <c r="L113" s="184"/>
      <c r="M113" s="1166"/>
      <c r="N113" s="1166"/>
      <c r="O113" s="1166"/>
    </row>
    <row r="114" spans="2:15" ht="13.5" thickBot="1" x14ac:dyDescent="0.25">
      <c r="B114" s="1174">
        <v>124</v>
      </c>
      <c r="C114" s="1168">
        <v>20</v>
      </c>
      <c r="D114" s="1143">
        <f t="shared" si="42"/>
        <v>62.773999999999994</v>
      </c>
      <c r="E114" s="1144">
        <f t="shared" si="33"/>
        <v>1.005542996362</v>
      </c>
      <c r="F114" s="1144">
        <f t="shared" si="29"/>
        <v>8.391663172591155</v>
      </c>
      <c r="G114" s="1143">
        <f t="shared" si="43"/>
        <v>0.93000000000000016</v>
      </c>
      <c r="H114" s="1145">
        <f t="shared" si="34"/>
        <v>0.92487342994251831</v>
      </c>
      <c r="I114" s="1146">
        <f t="shared" si="44"/>
        <v>0.96579999999999999</v>
      </c>
      <c r="J114" s="1147" t="e">
        <f t="shared" si="41"/>
        <v>#NAME?</v>
      </c>
      <c r="L114" s="184"/>
      <c r="M114" s="1166"/>
      <c r="N114" s="1166"/>
      <c r="O114" s="1166"/>
    </row>
    <row r="115" spans="2:15" x14ac:dyDescent="0.2">
      <c r="B115" s="1172">
        <v>125</v>
      </c>
      <c r="C115" s="1120">
        <v>20</v>
      </c>
      <c r="D115" s="1150">
        <f t="shared" si="42"/>
        <v>62.754999999999995</v>
      </c>
      <c r="E115" s="1122">
        <f t="shared" si="33"/>
        <v>1.005238645565</v>
      </c>
      <c r="F115" s="1122">
        <f t="shared" si="29"/>
        <v>8.3891232420422135</v>
      </c>
      <c r="G115" s="1150">
        <f t="shared" si="43"/>
        <v>0.92000000000000015</v>
      </c>
      <c r="H115" s="1121">
        <f t="shared" si="34"/>
        <v>0.91520556243926443</v>
      </c>
      <c r="I115" s="1173">
        <f t="shared" si="44"/>
        <v>0.96599999999999997</v>
      </c>
      <c r="J115" s="1124" t="e">
        <f t="shared" si="41"/>
        <v>#NAME?</v>
      </c>
      <c r="L115" s="184"/>
      <c r="M115" s="1166"/>
      <c r="N115" s="1166"/>
      <c r="O115" s="1166"/>
    </row>
    <row r="116" spans="2:15" x14ac:dyDescent="0.2">
      <c r="B116" s="1164">
        <v>126</v>
      </c>
      <c r="C116" s="1165">
        <v>20</v>
      </c>
      <c r="D116" s="1132">
        <f t="shared" si="42"/>
        <v>62.73599999999999</v>
      </c>
      <c r="E116" s="1133">
        <f t="shared" si="33"/>
        <v>1.0049342947679998</v>
      </c>
      <c r="F116" s="1133">
        <f t="shared" si="29"/>
        <v>8.386583311493272</v>
      </c>
      <c r="G116" s="1132">
        <f t="shared" si="43"/>
        <v>0.91000000000000014</v>
      </c>
      <c r="H116" s="1134">
        <f t="shared" si="34"/>
        <v>0.90553183898464096</v>
      </c>
      <c r="I116" s="1135">
        <f t="shared" si="44"/>
        <v>0.96619999999999995</v>
      </c>
      <c r="J116" s="1136" t="e">
        <f t="shared" si="41"/>
        <v>#NAME?</v>
      </c>
      <c r="L116" s="184"/>
      <c r="M116" s="1166"/>
      <c r="N116" s="1166"/>
      <c r="O116" s="1166"/>
    </row>
    <row r="117" spans="2:15" x14ac:dyDescent="0.2">
      <c r="B117" s="1164">
        <v>127</v>
      </c>
      <c r="C117" s="1165">
        <v>20</v>
      </c>
      <c r="D117" s="1132">
        <f t="shared" si="42"/>
        <v>62.716999999999992</v>
      </c>
      <c r="E117" s="1133">
        <f t="shared" si="33"/>
        <v>1.0046299439709998</v>
      </c>
      <c r="F117" s="1133">
        <f t="shared" si="29"/>
        <v>8.3840433809443304</v>
      </c>
      <c r="G117" s="1132">
        <f t="shared" si="43"/>
        <v>0.90000000000000013</v>
      </c>
      <c r="H117" s="1134">
        <f t="shared" si="34"/>
        <v>0.89585225425649873</v>
      </c>
      <c r="I117" s="1135">
        <f t="shared" si="44"/>
        <v>0.96639999999999993</v>
      </c>
      <c r="J117" s="1136" t="e">
        <f t="shared" si="41"/>
        <v>#NAME?</v>
      </c>
      <c r="L117" s="184"/>
      <c r="M117" s="1166"/>
      <c r="N117" s="1166"/>
      <c r="O117" s="1166"/>
    </row>
    <row r="118" spans="2:15" x14ac:dyDescent="0.2">
      <c r="B118" s="1164">
        <v>128</v>
      </c>
      <c r="C118" s="1165">
        <v>20</v>
      </c>
      <c r="D118" s="1132">
        <f t="shared" si="42"/>
        <v>62.697999999999993</v>
      </c>
      <c r="E118" s="1133">
        <f t="shared" si="33"/>
        <v>1.0043255931739998</v>
      </c>
      <c r="F118" s="1133">
        <f t="shared" si="29"/>
        <v>8.3815034503953889</v>
      </c>
      <c r="G118" s="1132">
        <f t="shared" si="43"/>
        <v>0.89000000000000012</v>
      </c>
      <c r="H118" s="1134">
        <f t="shared" si="34"/>
        <v>0.88616680292623717</v>
      </c>
      <c r="I118" s="1135">
        <f t="shared" si="44"/>
        <v>0.96660000000000001</v>
      </c>
      <c r="J118" s="1136" t="e">
        <f t="shared" si="41"/>
        <v>#NAME?</v>
      </c>
      <c r="L118" s="184"/>
      <c r="M118" s="1166"/>
      <c r="N118" s="1166"/>
      <c r="O118" s="1166"/>
    </row>
    <row r="119" spans="2:15" ht="13.5" thickBot="1" x14ac:dyDescent="0.25">
      <c r="B119" s="1174">
        <v>129</v>
      </c>
      <c r="C119" s="1175">
        <v>20</v>
      </c>
      <c r="D119" s="1143">
        <f t="shared" si="42"/>
        <v>62.678999999999988</v>
      </c>
      <c r="E119" s="1144">
        <f t="shared" si="33"/>
        <v>1.0040212423769999</v>
      </c>
      <c r="F119" s="1144">
        <f t="shared" si="29"/>
        <v>8.3789635198464474</v>
      </c>
      <c r="G119" s="1143">
        <f t="shared" si="43"/>
        <v>0.88000000000000012</v>
      </c>
      <c r="H119" s="1145">
        <f t="shared" si="34"/>
        <v>0.87647547965879491</v>
      </c>
      <c r="I119" s="1135">
        <f t="shared" si="44"/>
        <v>0.96679999999999999</v>
      </c>
      <c r="J119" s="1147" t="e">
        <f t="shared" si="41"/>
        <v>#NAME?</v>
      </c>
      <c r="L119" s="184"/>
      <c r="M119" s="1166"/>
      <c r="N119" s="1166"/>
      <c r="O119" s="1166"/>
    </row>
    <row r="120" spans="2:15" x14ac:dyDescent="0.2">
      <c r="B120" s="1119">
        <v>130</v>
      </c>
      <c r="C120" s="1120">
        <v>20</v>
      </c>
      <c r="D120" s="1121">
        <v>62.66</v>
      </c>
      <c r="E120" s="1122">
        <f t="shared" si="33"/>
        <v>1.0037168915799999</v>
      </c>
      <c r="F120" s="1122">
        <f t="shared" si="29"/>
        <v>8.3764235892975076</v>
      </c>
      <c r="G120" s="1121">
        <v>0.87</v>
      </c>
      <c r="H120" s="1121">
        <f t="shared" si="34"/>
        <v>0.86677827911263949</v>
      </c>
      <c r="I120" s="1123">
        <v>0.96699999999999997</v>
      </c>
      <c r="J120" s="1124" t="e">
        <f t="shared" si="41"/>
        <v>#NAME?</v>
      </c>
      <c r="L120" s="1125">
        <f>B120</f>
        <v>130</v>
      </c>
      <c r="M120" s="1126">
        <f>D120</f>
        <v>62.66</v>
      </c>
      <c r="N120" s="1126">
        <f>G120</f>
        <v>0.87</v>
      </c>
      <c r="O120" s="1127">
        <f>I120</f>
        <v>0.96699999999999997</v>
      </c>
    </row>
    <row r="121" spans="2:15" x14ac:dyDescent="0.2">
      <c r="B121" s="1164">
        <v>131</v>
      </c>
      <c r="C121" s="1165">
        <v>20</v>
      </c>
      <c r="D121" s="1132">
        <f t="shared" ref="D121:D129" si="45">FORECAST(B121,$M$120:$M$121,$L$120:$L$121)</f>
        <v>62.64</v>
      </c>
      <c r="E121" s="1133">
        <f t="shared" si="33"/>
        <v>1.0033965223200001</v>
      </c>
      <c r="F121" s="1133">
        <f t="shared" si="29"/>
        <v>8.3737499781933593</v>
      </c>
      <c r="G121" s="1132">
        <f t="shared" ref="G121:G129" si="46">FORECAST(B121,$N$120:$N$121,$L$120:$L$121)</f>
        <v>0.86099999999999999</v>
      </c>
      <c r="H121" s="1134">
        <f t="shared" si="34"/>
        <v>0.85808549346896434</v>
      </c>
      <c r="I121" s="1135">
        <f>FORECAST(B121,$O$120:$O$121,$L$120:$L$121)</f>
        <v>0.96729999999999994</v>
      </c>
      <c r="J121" s="1136" t="e">
        <f t="shared" si="41"/>
        <v>#NAME?</v>
      </c>
      <c r="L121" s="1125">
        <f>B130</f>
        <v>140</v>
      </c>
      <c r="M121" s="1126">
        <f>D130</f>
        <v>62.46</v>
      </c>
      <c r="N121" s="1126">
        <f>G130</f>
        <v>0.78</v>
      </c>
      <c r="O121" s="1127">
        <f>I130</f>
        <v>0.97</v>
      </c>
    </row>
    <row r="122" spans="2:15" x14ac:dyDescent="0.2">
      <c r="B122" s="1164">
        <v>132</v>
      </c>
      <c r="C122" s="1165">
        <v>20</v>
      </c>
      <c r="D122" s="1132">
        <f t="shared" si="45"/>
        <v>62.620000000000005</v>
      </c>
      <c r="E122" s="1133">
        <f t="shared" si="33"/>
        <v>1.0030761530600001</v>
      </c>
      <c r="F122" s="1133">
        <f t="shared" si="29"/>
        <v>8.371076367089211</v>
      </c>
      <c r="G122" s="1132">
        <f t="shared" si="46"/>
        <v>0.85199999999999987</v>
      </c>
      <c r="H122" s="1134">
        <f t="shared" si="34"/>
        <v>0.84938715510370288</v>
      </c>
      <c r="I122" s="1135">
        <f t="shared" ref="I122:I129" si="47">FORECAST(B122,$O$120:$O$121,$L$120:$L$121)</f>
        <v>0.96760000000000002</v>
      </c>
      <c r="J122" s="1136" t="e">
        <f t="shared" si="41"/>
        <v>#NAME?</v>
      </c>
      <c r="L122" s="184"/>
      <c r="M122" s="1166"/>
      <c r="N122" s="1166"/>
      <c r="O122" s="1166"/>
    </row>
    <row r="123" spans="2:15" x14ac:dyDescent="0.2">
      <c r="B123" s="1164">
        <v>133</v>
      </c>
      <c r="C123" s="1165">
        <v>20</v>
      </c>
      <c r="D123" s="1132">
        <f t="shared" si="45"/>
        <v>62.600000000000009</v>
      </c>
      <c r="E123" s="1133">
        <f t="shared" si="33"/>
        <v>1.0027557838000001</v>
      </c>
      <c r="F123" s="1133">
        <f t="shared" si="29"/>
        <v>8.3684027559850644</v>
      </c>
      <c r="G123" s="1132">
        <f t="shared" si="46"/>
        <v>0.84299999999999997</v>
      </c>
      <c r="H123" s="1134">
        <f t="shared" si="34"/>
        <v>0.84068325869475768</v>
      </c>
      <c r="I123" s="1135">
        <f t="shared" si="47"/>
        <v>0.96789999999999998</v>
      </c>
      <c r="J123" s="1136" t="e">
        <f t="shared" si="41"/>
        <v>#NAME?</v>
      </c>
      <c r="L123" s="184"/>
      <c r="M123" s="1166"/>
      <c r="N123" s="1166"/>
      <c r="O123" s="1166"/>
    </row>
    <row r="124" spans="2:15" ht="13.5" thickBot="1" x14ac:dyDescent="0.25">
      <c r="B124" s="1174">
        <v>134</v>
      </c>
      <c r="C124" s="1168">
        <v>20</v>
      </c>
      <c r="D124" s="1143">
        <f t="shared" si="45"/>
        <v>62.580000000000005</v>
      </c>
      <c r="E124" s="1144">
        <f t="shared" si="33"/>
        <v>1.0024354145400001</v>
      </c>
      <c r="F124" s="1144">
        <f t="shared" si="29"/>
        <v>8.3657291448809143</v>
      </c>
      <c r="G124" s="1143">
        <f t="shared" si="46"/>
        <v>0.83399999999999985</v>
      </c>
      <c r="H124" s="1145">
        <f t="shared" si="34"/>
        <v>0.83197379891322754</v>
      </c>
      <c r="I124" s="1146">
        <f t="shared" si="47"/>
        <v>0.96819999999999995</v>
      </c>
      <c r="J124" s="1147" t="e">
        <f t="shared" si="41"/>
        <v>#NAME?</v>
      </c>
      <c r="L124" s="184"/>
      <c r="M124" s="1166"/>
      <c r="N124" s="1166"/>
      <c r="O124" s="1166"/>
    </row>
    <row r="125" spans="2:15" x14ac:dyDescent="0.2">
      <c r="B125" s="1172">
        <v>135</v>
      </c>
      <c r="C125" s="1120">
        <v>20</v>
      </c>
      <c r="D125" s="1150">
        <f t="shared" si="45"/>
        <v>62.56</v>
      </c>
      <c r="E125" s="1122">
        <f t="shared" si="33"/>
        <v>1.0021150452800001</v>
      </c>
      <c r="F125" s="1122">
        <f t="shared" si="29"/>
        <v>8.363055533776766</v>
      </c>
      <c r="G125" s="1150">
        <f t="shared" si="46"/>
        <v>0.82499999999999996</v>
      </c>
      <c r="H125" s="1121">
        <f t="shared" si="34"/>
        <v>0.82325877042339735</v>
      </c>
      <c r="I125" s="1173">
        <f t="shared" si="47"/>
        <v>0.96849999999999992</v>
      </c>
      <c r="J125" s="1124" t="e">
        <f t="shared" si="41"/>
        <v>#NAME?</v>
      </c>
      <c r="L125" s="184"/>
      <c r="M125" s="1166"/>
      <c r="N125" s="1166"/>
      <c r="O125" s="1166"/>
    </row>
    <row r="126" spans="2:15" x14ac:dyDescent="0.2">
      <c r="B126" s="1164">
        <v>136</v>
      </c>
      <c r="C126" s="1165">
        <v>20</v>
      </c>
      <c r="D126" s="1132">
        <f t="shared" si="45"/>
        <v>62.540000000000006</v>
      </c>
      <c r="E126" s="1133">
        <f t="shared" si="33"/>
        <v>1.0017946760200001</v>
      </c>
      <c r="F126" s="1133">
        <f t="shared" si="29"/>
        <v>8.3603819226726177</v>
      </c>
      <c r="G126" s="1132">
        <f t="shared" si="46"/>
        <v>0.81599999999999984</v>
      </c>
      <c r="H126" s="1134">
        <f t="shared" si="34"/>
        <v>0.81453816788272593</v>
      </c>
      <c r="I126" s="1135">
        <f t="shared" si="47"/>
        <v>0.96879999999999999</v>
      </c>
      <c r="J126" s="1136" t="e">
        <f t="shared" si="41"/>
        <v>#NAME?</v>
      </c>
      <c r="L126" s="184"/>
      <c r="M126" s="1166"/>
      <c r="N126" s="1166"/>
      <c r="O126" s="1166"/>
    </row>
    <row r="127" spans="2:15" x14ac:dyDescent="0.2">
      <c r="B127" s="1164">
        <v>137</v>
      </c>
      <c r="C127" s="1165">
        <v>20</v>
      </c>
      <c r="D127" s="1132">
        <f t="shared" si="45"/>
        <v>62.52000000000001</v>
      </c>
      <c r="E127" s="1133">
        <f t="shared" si="33"/>
        <v>1.0014743067600003</v>
      </c>
      <c r="F127" s="1133">
        <f t="shared" si="29"/>
        <v>8.3577083115684694</v>
      </c>
      <c r="G127" s="1132">
        <f t="shared" si="46"/>
        <v>0.80699999999999994</v>
      </c>
      <c r="H127" s="1134">
        <f t="shared" si="34"/>
        <v>0.80581198594183667</v>
      </c>
      <c r="I127" s="1135">
        <f t="shared" si="47"/>
        <v>0.96909999999999996</v>
      </c>
      <c r="J127" s="1136" t="e">
        <f t="shared" si="41"/>
        <v>#NAME?</v>
      </c>
      <c r="L127" s="184"/>
      <c r="M127" s="1166"/>
      <c r="N127" s="1166"/>
      <c r="O127" s="1166"/>
    </row>
    <row r="128" spans="2:15" x14ac:dyDescent="0.2">
      <c r="B128" s="1164">
        <v>138</v>
      </c>
      <c r="C128" s="1165">
        <v>20</v>
      </c>
      <c r="D128" s="1132">
        <f t="shared" si="45"/>
        <v>62.500000000000007</v>
      </c>
      <c r="E128" s="1133">
        <f t="shared" si="33"/>
        <v>1.0011539375</v>
      </c>
      <c r="F128" s="1133">
        <f t="shared" si="29"/>
        <v>8.3550347004643211</v>
      </c>
      <c r="G128" s="1132">
        <f t="shared" si="46"/>
        <v>0.79799999999999982</v>
      </c>
      <c r="H128" s="1134">
        <f t="shared" si="34"/>
        <v>0.79708021924450534</v>
      </c>
      <c r="I128" s="1135">
        <f t="shared" si="47"/>
        <v>0.96939999999999993</v>
      </c>
      <c r="J128" s="1136" t="e">
        <f t="shared" si="41"/>
        <v>#NAME?</v>
      </c>
      <c r="L128" s="184"/>
      <c r="M128" s="1166"/>
      <c r="N128" s="1166"/>
      <c r="O128" s="1166"/>
    </row>
    <row r="129" spans="2:15" ht="13.5" thickBot="1" x14ac:dyDescent="0.25">
      <c r="B129" s="1174">
        <v>139</v>
      </c>
      <c r="C129" s="1175">
        <v>20</v>
      </c>
      <c r="D129" s="1143">
        <f t="shared" si="45"/>
        <v>62.480000000000004</v>
      </c>
      <c r="E129" s="1144">
        <f t="shared" si="33"/>
        <v>1.00083356824</v>
      </c>
      <c r="F129" s="1144">
        <f t="shared" si="29"/>
        <v>8.352361089360171</v>
      </c>
      <c r="G129" s="1143">
        <f t="shared" si="46"/>
        <v>0.78899999999999992</v>
      </c>
      <c r="H129" s="1145">
        <f t="shared" si="34"/>
        <v>0.7883428624276495</v>
      </c>
      <c r="I129" s="1135">
        <f t="shared" si="47"/>
        <v>0.96970000000000001</v>
      </c>
      <c r="J129" s="1147" t="e">
        <f t="shared" si="41"/>
        <v>#NAME?</v>
      </c>
      <c r="L129" s="184"/>
      <c r="M129" s="1166"/>
      <c r="N129" s="1166"/>
      <c r="O129" s="1166"/>
    </row>
    <row r="130" spans="2:15" x14ac:dyDescent="0.2">
      <c r="B130" s="1119">
        <v>140</v>
      </c>
      <c r="C130" s="1120">
        <v>20</v>
      </c>
      <c r="D130" s="1121">
        <v>62.46</v>
      </c>
      <c r="E130" s="1122">
        <f t="shared" si="33"/>
        <v>1.00051319898</v>
      </c>
      <c r="F130" s="1122">
        <f t="shared" si="29"/>
        <v>8.3496874782560226</v>
      </c>
      <c r="G130" s="1121">
        <v>0.78</v>
      </c>
      <c r="H130" s="1121">
        <f t="shared" si="34"/>
        <v>0.77959991012131769</v>
      </c>
      <c r="I130" s="1123">
        <v>0.97</v>
      </c>
      <c r="J130" s="1124" t="e">
        <f t="shared" si="41"/>
        <v>#NAME?</v>
      </c>
      <c r="L130" s="1125">
        <f>B130</f>
        <v>140</v>
      </c>
      <c r="M130" s="1126">
        <f>D130</f>
        <v>62.46</v>
      </c>
      <c r="N130" s="1126">
        <f>G130</f>
        <v>0.78</v>
      </c>
      <c r="O130" s="1127">
        <f>I130</f>
        <v>0.97</v>
      </c>
    </row>
    <row r="131" spans="2:15" x14ac:dyDescent="0.2">
      <c r="B131" s="1164">
        <v>141</v>
      </c>
      <c r="C131" s="1165">
        <v>20</v>
      </c>
      <c r="D131" s="1132">
        <f t="shared" ref="D131:D139" si="48">FORECAST(B131,$M$130:$M$131,$L$130:$L$131)</f>
        <v>62.439000000000007</v>
      </c>
      <c r="E131" s="1133">
        <f t="shared" si="33"/>
        <v>1.0001768112570002</v>
      </c>
      <c r="F131" s="1133">
        <f t="shared" si="29"/>
        <v>8.3468801865966675</v>
      </c>
      <c r="G131" s="1132">
        <f t="shared" ref="G131:G139" si="49">FORECAST(B131,$N$130:$N$131,$L$130:$L$131)</f>
        <v>0.77300000000000024</v>
      </c>
      <c r="H131" s="1134">
        <f t="shared" si="34"/>
        <v>0.77286334905976362</v>
      </c>
      <c r="I131" s="1135">
        <f>FORECAST(B131,$O$130:$O$131,$L$130:$L$131)</f>
        <v>0.97029999999999994</v>
      </c>
      <c r="J131" s="1136" t="e">
        <f t="shared" si="41"/>
        <v>#NAME?</v>
      </c>
      <c r="L131" s="1125">
        <f>B140</f>
        <v>150</v>
      </c>
      <c r="M131" s="1126">
        <f>D140</f>
        <v>62.25</v>
      </c>
      <c r="N131" s="1126">
        <f>G140</f>
        <v>0.71</v>
      </c>
      <c r="O131" s="1127">
        <f>I140</f>
        <v>0.97299999999999998</v>
      </c>
    </row>
    <row r="132" spans="2:15" x14ac:dyDescent="0.2">
      <c r="B132" s="1164">
        <v>142</v>
      </c>
      <c r="C132" s="1165">
        <v>20</v>
      </c>
      <c r="D132" s="1132">
        <f t="shared" si="48"/>
        <v>62.418000000000006</v>
      </c>
      <c r="E132" s="1133">
        <f t="shared" si="33"/>
        <v>0.99984042353400016</v>
      </c>
      <c r="F132" s="1133">
        <f t="shared" si="29"/>
        <v>8.3440728949373106</v>
      </c>
      <c r="G132" s="1132">
        <f t="shared" si="49"/>
        <v>0.76600000000000024</v>
      </c>
      <c r="H132" s="1134">
        <f t="shared" si="34"/>
        <v>0.76612225508199006</v>
      </c>
      <c r="I132" s="1135">
        <f t="shared" ref="I132:I139" si="50">FORECAST(B132,$O$130:$O$131,$L$130:$L$131)</f>
        <v>0.97060000000000002</v>
      </c>
      <c r="J132" s="1136" t="e">
        <f t="shared" si="41"/>
        <v>#NAME?</v>
      </c>
      <c r="L132" s="184"/>
      <c r="M132" s="1166"/>
      <c r="N132" s="1166"/>
      <c r="O132" s="1166"/>
    </row>
    <row r="133" spans="2:15" x14ac:dyDescent="0.2">
      <c r="B133" s="1164">
        <v>143</v>
      </c>
      <c r="C133" s="1165">
        <v>20</v>
      </c>
      <c r="D133" s="1132">
        <f t="shared" si="48"/>
        <v>62.397000000000006</v>
      </c>
      <c r="E133" s="1133">
        <f t="shared" si="33"/>
        <v>0.99950403581100011</v>
      </c>
      <c r="F133" s="1133">
        <f t="shared" si="29"/>
        <v>8.3412656032779555</v>
      </c>
      <c r="G133" s="1132">
        <f t="shared" si="49"/>
        <v>0.75900000000000034</v>
      </c>
      <c r="H133" s="1134">
        <f t="shared" si="34"/>
        <v>0.75937662361127523</v>
      </c>
      <c r="I133" s="1135">
        <f t="shared" si="50"/>
        <v>0.97089999999999999</v>
      </c>
      <c r="J133" s="1136" t="e">
        <f t="shared" si="41"/>
        <v>#NAME?</v>
      </c>
      <c r="L133" s="184"/>
      <c r="M133" s="1166"/>
      <c r="N133" s="1166"/>
      <c r="O133" s="1166"/>
    </row>
    <row r="134" spans="2:15" ht="13.5" thickBot="1" x14ac:dyDescent="0.25">
      <c r="B134" s="1174">
        <v>144</v>
      </c>
      <c r="C134" s="1168">
        <v>20</v>
      </c>
      <c r="D134" s="1143">
        <f t="shared" si="48"/>
        <v>62.376000000000005</v>
      </c>
      <c r="E134" s="1144">
        <f t="shared" si="33"/>
        <v>0.99916764808800007</v>
      </c>
      <c r="F134" s="1144">
        <f t="shared" si="29"/>
        <v>8.3384583116185986</v>
      </c>
      <c r="G134" s="1143">
        <f t="shared" si="49"/>
        <v>0.75200000000000022</v>
      </c>
      <c r="H134" s="1145">
        <f t="shared" si="34"/>
        <v>0.75262645006473328</v>
      </c>
      <c r="I134" s="1146">
        <f t="shared" si="50"/>
        <v>0.97119999999999995</v>
      </c>
      <c r="J134" s="1147" t="e">
        <f t="shared" si="41"/>
        <v>#NAME?</v>
      </c>
      <c r="L134" s="184"/>
      <c r="M134" s="1166"/>
      <c r="N134" s="1166"/>
      <c r="O134" s="1166"/>
    </row>
    <row r="135" spans="2:15" x14ac:dyDescent="0.2">
      <c r="B135" s="1172">
        <v>145</v>
      </c>
      <c r="C135" s="1120">
        <v>20</v>
      </c>
      <c r="D135" s="1150">
        <f t="shared" si="48"/>
        <v>62.355000000000004</v>
      </c>
      <c r="E135" s="1122">
        <f t="shared" si="33"/>
        <v>0.99883126036500003</v>
      </c>
      <c r="F135" s="1122">
        <f t="shared" si="29"/>
        <v>8.3356510199592435</v>
      </c>
      <c r="G135" s="1150">
        <f t="shared" si="49"/>
        <v>0.74500000000000011</v>
      </c>
      <c r="H135" s="1121">
        <f t="shared" si="34"/>
        <v>0.74587172985330563</v>
      </c>
      <c r="I135" s="1173">
        <f t="shared" si="50"/>
        <v>0.97150000000000003</v>
      </c>
      <c r="J135" s="1124" t="e">
        <f t="shared" si="41"/>
        <v>#NAME?</v>
      </c>
      <c r="L135" s="184"/>
      <c r="M135" s="1166"/>
      <c r="N135" s="1166"/>
      <c r="O135" s="1166"/>
    </row>
    <row r="136" spans="2:15" x14ac:dyDescent="0.2">
      <c r="B136" s="1164">
        <v>146</v>
      </c>
      <c r="C136" s="1165">
        <v>20</v>
      </c>
      <c r="D136" s="1132">
        <f t="shared" si="48"/>
        <v>62.33400000000001</v>
      </c>
      <c r="E136" s="1133">
        <f t="shared" si="33"/>
        <v>0.99849487264200021</v>
      </c>
      <c r="F136" s="1133">
        <f t="shared" si="29"/>
        <v>8.3328437282998884</v>
      </c>
      <c r="G136" s="1132">
        <f t="shared" si="49"/>
        <v>0.73800000000000021</v>
      </c>
      <c r="H136" s="1134">
        <f t="shared" si="34"/>
        <v>0.7391124583817491</v>
      </c>
      <c r="I136" s="1135">
        <f t="shared" si="50"/>
        <v>0.9718</v>
      </c>
      <c r="J136" s="1136" t="e">
        <f t="shared" si="41"/>
        <v>#NAME?</v>
      </c>
      <c r="L136" s="184"/>
      <c r="M136" s="1166"/>
      <c r="N136" s="1166"/>
      <c r="O136" s="1166"/>
    </row>
    <row r="137" spans="2:15" x14ac:dyDescent="0.2">
      <c r="B137" s="1164">
        <v>147</v>
      </c>
      <c r="C137" s="1165">
        <v>20</v>
      </c>
      <c r="D137" s="1132">
        <f t="shared" si="48"/>
        <v>62.313000000000009</v>
      </c>
      <c r="E137" s="1133">
        <f t="shared" si="33"/>
        <v>0.99815848491900017</v>
      </c>
      <c r="F137" s="1133">
        <f t="shared" si="29"/>
        <v>8.3300364366405315</v>
      </c>
      <c r="G137" s="1132">
        <f t="shared" si="49"/>
        <v>0.73100000000000032</v>
      </c>
      <c r="H137" s="1134">
        <f t="shared" si="34"/>
        <v>0.73234863104862591</v>
      </c>
      <c r="I137" s="1135">
        <f t="shared" si="50"/>
        <v>0.97209999999999996</v>
      </c>
      <c r="J137" s="1136" t="e">
        <f t="shared" si="41"/>
        <v>#NAME?</v>
      </c>
      <c r="L137" s="184"/>
      <c r="M137" s="1166"/>
      <c r="N137" s="1166"/>
      <c r="O137" s="1166"/>
    </row>
    <row r="138" spans="2:15" x14ac:dyDescent="0.2">
      <c r="B138" s="1164">
        <v>148</v>
      </c>
      <c r="C138" s="1165">
        <v>20</v>
      </c>
      <c r="D138" s="1132">
        <f t="shared" si="48"/>
        <v>62.292000000000009</v>
      </c>
      <c r="E138" s="1133">
        <f t="shared" si="33"/>
        <v>0.99782209719600012</v>
      </c>
      <c r="F138" s="1133">
        <f t="shared" si="29"/>
        <v>8.3272291449811764</v>
      </c>
      <c r="G138" s="1132">
        <f t="shared" si="49"/>
        <v>0.7240000000000002</v>
      </c>
      <c r="H138" s="1134">
        <f t="shared" si="34"/>
        <v>0.72558024324629322</v>
      </c>
      <c r="I138" s="1135">
        <f t="shared" si="50"/>
        <v>0.97239999999999993</v>
      </c>
      <c r="J138" s="1136" t="e">
        <f t="shared" ref="J138:J169" si="51">E138/VLOOKUP(60,Water,6,FALSE)</f>
        <v>#NAME?</v>
      </c>
      <c r="L138" s="184"/>
      <c r="M138" s="1166"/>
      <c r="N138" s="1166"/>
      <c r="O138" s="1166"/>
    </row>
    <row r="139" spans="2:15" ht="13.5" thickBot="1" x14ac:dyDescent="0.25">
      <c r="B139" s="1174">
        <v>149</v>
      </c>
      <c r="C139" s="1175">
        <v>20</v>
      </c>
      <c r="D139" s="1143">
        <f t="shared" si="48"/>
        <v>62.271000000000008</v>
      </c>
      <c r="E139" s="1144">
        <f t="shared" si="33"/>
        <v>0.99748570947300008</v>
      </c>
      <c r="F139" s="1144">
        <f t="shared" ref="F139:F200" si="52">D139/7.4805195</f>
        <v>8.3244218533218195</v>
      </c>
      <c r="G139" s="1143">
        <f t="shared" si="49"/>
        <v>0.71700000000000008</v>
      </c>
      <c r="H139" s="1145">
        <f t="shared" si="34"/>
        <v>0.71880729036089297</v>
      </c>
      <c r="I139" s="1135">
        <f t="shared" si="50"/>
        <v>0.97270000000000001</v>
      </c>
      <c r="J139" s="1147" t="e">
        <f t="shared" si="51"/>
        <v>#NAME?</v>
      </c>
      <c r="L139" s="184"/>
      <c r="M139" s="1166"/>
      <c r="N139" s="1166"/>
      <c r="O139" s="1166"/>
    </row>
    <row r="140" spans="2:15" x14ac:dyDescent="0.2">
      <c r="B140" s="1119">
        <v>150</v>
      </c>
      <c r="C140" s="1120">
        <v>20</v>
      </c>
      <c r="D140" s="1121">
        <v>62.25</v>
      </c>
      <c r="E140" s="1122">
        <f t="shared" si="33"/>
        <v>0.99714932175000004</v>
      </c>
      <c r="F140" s="1122">
        <f t="shared" si="52"/>
        <v>8.3216145616624626</v>
      </c>
      <c r="G140" s="1121">
        <v>0.71</v>
      </c>
      <c r="H140" s="1121">
        <f t="shared" si="34"/>
        <v>0.71202976777234106</v>
      </c>
      <c r="I140" s="1123">
        <v>0.97299999999999998</v>
      </c>
      <c r="J140" s="1124" t="e">
        <f t="shared" si="51"/>
        <v>#NAME?</v>
      </c>
      <c r="L140" s="1125">
        <f>B140</f>
        <v>150</v>
      </c>
      <c r="M140" s="1126">
        <f>D140</f>
        <v>62.25</v>
      </c>
      <c r="N140" s="1126">
        <f>G140</f>
        <v>0.71</v>
      </c>
      <c r="O140" s="1127">
        <f>I140</f>
        <v>0.97299999999999998</v>
      </c>
    </row>
    <row r="141" spans="2:15" x14ac:dyDescent="0.2">
      <c r="B141" s="1164">
        <v>151</v>
      </c>
      <c r="C141" s="1165">
        <v>20</v>
      </c>
      <c r="D141" s="1132">
        <f t="shared" ref="D141:D149" si="53">FORECAST(B141,$M$140:$M$141,$L$140:$L$141)</f>
        <v>62.228000000000002</v>
      </c>
      <c r="E141" s="1133">
        <f t="shared" si="33"/>
        <v>0.99679691556400007</v>
      </c>
      <c r="F141" s="1133">
        <f t="shared" si="52"/>
        <v>8.3186735894478989</v>
      </c>
      <c r="G141" s="1132">
        <f t="shared" ref="G141:G149" si="54">FORECAST(B141,$N$140:$N$141,$L$140:$L$141)</f>
        <v>0.70300000000000007</v>
      </c>
      <c r="H141" s="1134">
        <f t="shared" si="34"/>
        <v>0.70525900413950815</v>
      </c>
      <c r="I141" s="1135">
        <f>FORECAST(B141,$O$140:$O$141,$L$140:$L$141)</f>
        <v>0.97329999999999994</v>
      </c>
      <c r="J141" s="1136" t="e">
        <f t="shared" si="51"/>
        <v>#NAME?</v>
      </c>
      <c r="L141" s="1125">
        <f>B150</f>
        <v>160</v>
      </c>
      <c r="M141" s="1126">
        <f>D150</f>
        <v>62.03</v>
      </c>
      <c r="N141" s="1126">
        <f>G150</f>
        <v>0.64</v>
      </c>
      <c r="O141" s="1127">
        <f>I150</f>
        <v>0.97599999999999998</v>
      </c>
    </row>
    <row r="142" spans="2:15" x14ac:dyDescent="0.2">
      <c r="B142" s="1164">
        <v>152</v>
      </c>
      <c r="C142" s="1165">
        <v>20</v>
      </c>
      <c r="D142" s="1132">
        <f t="shared" si="53"/>
        <v>62.206000000000003</v>
      </c>
      <c r="E142" s="1133">
        <f t="shared" si="33"/>
        <v>0.99644450937800011</v>
      </c>
      <c r="F142" s="1133">
        <f t="shared" si="52"/>
        <v>8.3157326172333352</v>
      </c>
      <c r="G142" s="1132">
        <f t="shared" si="54"/>
        <v>0.69600000000000017</v>
      </c>
      <c r="H142" s="1134">
        <f t="shared" si="34"/>
        <v>0.69848345136093615</v>
      </c>
      <c r="I142" s="1135">
        <f t="shared" ref="I142:I149" si="55">FORECAST(B142,$O$140:$O$141,$L$140:$L$141)</f>
        <v>0.97360000000000002</v>
      </c>
      <c r="J142" s="1136" t="e">
        <f t="shared" si="51"/>
        <v>#NAME?</v>
      </c>
      <c r="L142" s="184"/>
      <c r="M142" s="1166"/>
      <c r="N142" s="1166"/>
      <c r="O142" s="1166"/>
    </row>
    <row r="143" spans="2:15" x14ac:dyDescent="0.2">
      <c r="B143" s="1164">
        <v>153</v>
      </c>
      <c r="C143" s="1165">
        <v>20</v>
      </c>
      <c r="D143" s="1132">
        <f t="shared" si="53"/>
        <v>62.183999999999997</v>
      </c>
      <c r="E143" s="1133">
        <f t="shared" si="33"/>
        <v>0.99609210319199992</v>
      </c>
      <c r="F143" s="1133">
        <f t="shared" si="52"/>
        <v>8.3127916450187715</v>
      </c>
      <c r="G143" s="1132">
        <f t="shared" si="54"/>
        <v>0.68900000000000006</v>
      </c>
      <c r="H143" s="1134">
        <f t="shared" si="34"/>
        <v>0.69170310435358717</v>
      </c>
      <c r="I143" s="1135">
        <f t="shared" si="55"/>
        <v>0.97389999999999999</v>
      </c>
      <c r="J143" s="1136" t="e">
        <f t="shared" si="51"/>
        <v>#NAME?</v>
      </c>
      <c r="L143" s="184"/>
      <c r="M143" s="1166"/>
      <c r="N143" s="1166"/>
      <c r="O143" s="1166"/>
    </row>
    <row r="144" spans="2:15" ht="13.5" thickBot="1" x14ac:dyDescent="0.25">
      <c r="B144" s="1174">
        <v>154</v>
      </c>
      <c r="C144" s="1168">
        <v>20</v>
      </c>
      <c r="D144" s="1143">
        <f t="shared" si="53"/>
        <v>62.161999999999999</v>
      </c>
      <c r="E144" s="1144">
        <f t="shared" si="33"/>
        <v>0.99573969700599996</v>
      </c>
      <c r="F144" s="1144">
        <f t="shared" si="52"/>
        <v>8.3098506728042079</v>
      </c>
      <c r="G144" s="1143">
        <f t="shared" si="54"/>
        <v>0.68200000000000016</v>
      </c>
      <c r="H144" s="1145">
        <f t="shared" si="34"/>
        <v>0.68491795802722799</v>
      </c>
      <c r="I144" s="1146">
        <f t="shared" si="55"/>
        <v>0.97419999999999995</v>
      </c>
      <c r="J144" s="1147" t="e">
        <f t="shared" si="51"/>
        <v>#NAME?</v>
      </c>
      <c r="L144" s="184"/>
      <c r="M144" s="1166"/>
      <c r="N144" s="1166"/>
      <c r="O144" s="1166"/>
    </row>
    <row r="145" spans="2:15" x14ac:dyDescent="0.2">
      <c r="B145" s="1172">
        <v>155</v>
      </c>
      <c r="C145" s="1120">
        <v>20</v>
      </c>
      <c r="D145" s="1150">
        <f t="shared" si="53"/>
        <v>62.14</v>
      </c>
      <c r="E145" s="1122">
        <f t="shared" si="33"/>
        <v>0.99538729081999999</v>
      </c>
      <c r="F145" s="1122">
        <f t="shared" si="52"/>
        <v>8.306909700589646</v>
      </c>
      <c r="G145" s="1150">
        <f t="shared" si="54"/>
        <v>0.67500000000000004</v>
      </c>
      <c r="H145" s="1121">
        <f t="shared" si="34"/>
        <v>0.67812800728441602</v>
      </c>
      <c r="I145" s="1173">
        <f t="shared" si="55"/>
        <v>0.97449999999999992</v>
      </c>
      <c r="J145" s="1124" t="e">
        <f t="shared" si="51"/>
        <v>#NAME?</v>
      </c>
      <c r="L145" s="184"/>
      <c r="M145" s="1166"/>
      <c r="N145" s="1166"/>
      <c r="O145" s="1166"/>
    </row>
    <row r="146" spans="2:15" x14ac:dyDescent="0.2">
      <c r="B146" s="1164">
        <v>156</v>
      </c>
      <c r="C146" s="1165">
        <v>20</v>
      </c>
      <c r="D146" s="1132">
        <f t="shared" si="53"/>
        <v>62.118000000000002</v>
      </c>
      <c r="E146" s="1133">
        <f t="shared" si="33"/>
        <v>0.99503488463400003</v>
      </c>
      <c r="F146" s="1133">
        <f t="shared" si="52"/>
        <v>8.3039687283750823</v>
      </c>
      <c r="G146" s="1132">
        <f t="shared" si="54"/>
        <v>0.66800000000000015</v>
      </c>
      <c r="H146" s="1134">
        <f t="shared" si="34"/>
        <v>0.67133324702048824</v>
      </c>
      <c r="I146" s="1135">
        <f t="shared" si="55"/>
        <v>0.9748</v>
      </c>
      <c r="J146" s="1136" t="e">
        <f t="shared" si="51"/>
        <v>#NAME?</v>
      </c>
      <c r="L146" s="184"/>
      <c r="M146" s="1166"/>
      <c r="N146" s="1166"/>
      <c r="O146" s="1166"/>
    </row>
    <row r="147" spans="2:15" x14ac:dyDescent="0.2">
      <c r="B147" s="1164">
        <v>157</v>
      </c>
      <c r="C147" s="1165">
        <v>20</v>
      </c>
      <c r="D147" s="1132">
        <f t="shared" si="53"/>
        <v>62.096000000000004</v>
      </c>
      <c r="E147" s="1133">
        <f t="shared" si="33"/>
        <v>0.99468247844800006</v>
      </c>
      <c r="F147" s="1133">
        <f t="shared" si="52"/>
        <v>8.3010277561605186</v>
      </c>
      <c r="G147" s="1132">
        <f t="shared" si="54"/>
        <v>0.66100000000000003</v>
      </c>
      <c r="H147" s="1134">
        <f t="shared" si="34"/>
        <v>0.66453367212354664</v>
      </c>
      <c r="I147" s="1135">
        <f t="shared" si="55"/>
        <v>0.97509999999999997</v>
      </c>
      <c r="J147" s="1136" t="e">
        <f t="shared" si="51"/>
        <v>#NAME?</v>
      </c>
      <c r="L147" s="184"/>
      <c r="M147" s="1166"/>
      <c r="N147" s="1166"/>
      <c r="O147" s="1166"/>
    </row>
    <row r="148" spans="2:15" x14ac:dyDescent="0.2">
      <c r="B148" s="1164">
        <v>158</v>
      </c>
      <c r="C148" s="1165">
        <v>20</v>
      </c>
      <c r="D148" s="1132">
        <f t="shared" si="53"/>
        <v>62.073999999999998</v>
      </c>
      <c r="E148" s="1133">
        <f t="shared" si="33"/>
        <v>0.99433007226199999</v>
      </c>
      <c r="F148" s="1133">
        <f t="shared" si="52"/>
        <v>8.2980867839459549</v>
      </c>
      <c r="G148" s="1132">
        <f t="shared" si="54"/>
        <v>0.65400000000000014</v>
      </c>
      <c r="H148" s="1134">
        <f t="shared" si="34"/>
        <v>0.6577292774744472</v>
      </c>
      <c r="I148" s="1135">
        <f t="shared" si="55"/>
        <v>0.97539999999999993</v>
      </c>
      <c r="J148" s="1136" t="e">
        <f t="shared" si="51"/>
        <v>#NAME?</v>
      </c>
      <c r="L148" s="184"/>
      <c r="M148" s="1166"/>
      <c r="N148" s="1166"/>
      <c r="O148" s="1166"/>
    </row>
    <row r="149" spans="2:15" ht="13.5" thickBot="1" x14ac:dyDescent="0.25">
      <c r="B149" s="1174">
        <v>159</v>
      </c>
      <c r="C149" s="1175">
        <v>20</v>
      </c>
      <c r="D149" s="1143">
        <f t="shared" si="53"/>
        <v>62.052</v>
      </c>
      <c r="E149" s="1144">
        <f t="shared" ref="E149:E200" si="56">D149*0.016018463</f>
        <v>0.99397766607600002</v>
      </c>
      <c r="F149" s="1144">
        <f t="shared" si="52"/>
        <v>8.2951458117313912</v>
      </c>
      <c r="G149" s="1143">
        <f t="shared" si="54"/>
        <v>0.64700000000000024</v>
      </c>
      <c r="H149" s="1145">
        <f t="shared" ref="H149:H200" si="57">G149/E149</f>
        <v>0.6509200579467852</v>
      </c>
      <c r="I149" s="1135">
        <f t="shared" si="55"/>
        <v>0.97570000000000001</v>
      </c>
      <c r="J149" s="1147" t="e">
        <f t="shared" si="51"/>
        <v>#NAME?</v>
      </c>
      <c r="L149" s="184"/>
      <c r="M149" s="1166"/>
      <c r="N149" s="1166"/>
      <c r="O149" s="1166"/>
    </row>
    <row r="150" spans="2:15" x14ac:dyDescent="0.2">
      <c r="B150" s="1119">
        <v>160</v>
      </c>
      <c r="C150" s="1120">
        <v>20</v>
      </c>
      <c r="D150" s="1121">
        <v>62.03</v>
      </c>
      <c r="E150" s="1122">
        <f t="shared" si="56"/>
        <v>0.99362525989000006</v>
      </c>
      <c r="F150" s="1122">
        <f t="shared" si="52"/>
        <v>8.2922048395168275</v>
      </c>
      <c r="G150" s="1121">
        <v>0.64</v>
      </c>
      <c r="H150" s="1121">
        <f t="shared" si="57"/>
        <v>0.64410600840688337</v>
      </c>
      <c r="I150" s="1123">
        <v>0.97599999999999998</v>
      </c>
      <c r="J150" s="1124" t="e">
        <f t="shared" si="51"/>
        <v>#NAME?</v>
      </c>
      <c r="L150" s="1125">
        <f>B150</f>
        <v>160</v>
      </c>
      <c r="M150" s="1126">
        <f>D150</f>
        <v>62.03</v>
      </c>
      <c r="N150" s="1126">
        <f>G150</f>
        <v>0.64</v>
      </c>
      <c r="O150" s="1127">
        <f>I150</f>
        <v>0.97599999999999998</v>
      </c>
    </row>
    <row r="151" spans="2:15" x14ac:dyDescent="0.2">
      <c r="B151" s="1164">
        <v>161</v>
      </c>
      <c r="C151" s="1165">
        <v>20</v>
      </c>
      <c r="D151" s="1132">
        <f t="shared" ref="D151:D159" si="58">FORECAST(B151,$M$150:$M$151,$L$150:$L$151)</f>
        <v>62.006999999999998</v>
      </c>
      <c r="E151" s="1133">
        <f t="shared" si="56"/>
        <v>0.99325683524099995</v>
      </c>
      <c r="F151" s="1133">
        <f t="shared" si="52"/>
        <v>8.289130186747057</v>
      </c>
      <c r="G151" s="1132">
        <f t="shared" ref="G151:G159" si="59">FORECAST(B151,$N$150:$N$151,$L$150:$L$151)</f>
        <v>0.63500000000000012</v>
      </c>
      <c r="H151" s="1134">
        <f t="shared" si="57"/>
        <v>0.63931097926542457</v>
      </c>
      <c r="I151" s="1135">
        <f>FORECAST(B151,$O$150:$O$151,$L$150:$L$151)</f>
        <v>0.97630000000000006</v>
      </c>
      <c r="J151" s="1136" t="e">
        <f t="shared" si="51"/>
        <v>#NAME?</v>
      </c>
      <c r="L151" s="1125">
        <f>B160</f>
        <v>170</v>
      </c>
      <c r="M151" s="1126">
        <f>D160</f>
        <v>61.8</v>
      </c>
      <c r="N151" s="1126">
        <f>G160</f>
        <v>0.59</v>
      </c>
      <c r="O151" s="1127">
        <f>I160</f>
        <v>0.97899999999999998</v>
      </c>
    </row>
    <row r="152" spans="2:15" x14ac:dyDescent="0.2">
      <c r="B152" s="1164">
        <v>162</v>
      </c>
      <c r="C152" s="1165">
        <v>20</v>
      </c>
      <c r="D152" s="1132">
        <f t="shared" si="58"/>
        <v>61.984000000000002</v>
      </c>
      <c r="E152" s="1133">
        <f t="shared" si="56"/>
        <v>0.99288841059200006</v>
      </c>
      <c r="F152" s="1133">
        <f t="shared" si="52"/>
        <v>8.2860555339772866</v>
      </c>
      <c r="G152" s="1132">
        <f t="shared" si="59"/>
        <v>0.63000000000000012</v>
      </c>
      <c r="H152" s="1134">
        <f t="shared" si="57"/>
        <v>0.63451239160337136</v>
      </c>
      <c r="I152" s="1135">
        <f t="shared" ref="I152:I159" si="60">FORECAST(B152,$O$150:$O$151,$L$150:$L$151)</f>
        <v>0.97660000000000013</v>
      </c>
      <c r="J152" s="1136" t="e">
        <f t="shared" si="51"/>
        <v>#NAME?</v>
      </c>
      <c r="L152" s="184"/>
      <c r="M152" s="1166"/>
      <c r="N152" s="1166"/>
      <c r="O152" s="1166"/>
    </row>
    <row r="153" spans="2:15" x14ac:dyDescent="0.2">
      <c r="B153" s="1164">
        <v>163</v>
      </c>
      <c r="C153" s="1165">
        <v>20</v>
      </c>
      <c r="D153" s="1132">
        <f t="shared" si="58"/>
        <v>61.960999999999999</v>
      </c>
      <c r="E153" s="1133">
        <f t="shared" si="56"/>
        <v>0.99251998594299995</v>
      </c>
      <c r="F153" s="1133">
        <f t="shared" si="52"/>
        <v>8.2829808812075143</v>
      </c>
      <c r="G153" s="1132">
        <f t="shared" si="59"/>
        <v>0.62500000000000011</v>
      </c>
      <c r="H153" s="1134">
        <f t="shared" si="57"/>
        <v>0.62971024145794241</v>
      </c>
      <c r="I153" s="1135">
        <f t="shared" si="60"/>
        <v>0.9769000000000001</v>
      </c>
      <c r="J153" s="1136" t="e">
        <f t="shared" si="51"/>
        <v>#NAME?</v>
      </c>
      <c r="L153" s="184"/>
      <c r="M153" s="1166"/>
      <c r="N153" s="1166"/>
      <c r="O153" s="1166"/>
    </row>
    <row r="154" spans="2:15" ht="13.5" thickBot="1" x14ac:dyDescent="0.25">
      <c r="B154" s="1174">
        <v>164</v>
      </c>
      <c r="C154" s="1168">
        <v>20</v>
      </c>
      <c r="D154" s="1143">
        <f t="shared" si="58"/>
        <v>61.938000000000002</v>
      </c>
      <c r="E154" s="1144">
        <f t="shared" si="56"/>
        <v>0.99215156129400006</v>
      </c>
      <c r="F154" s="1144">
        <f t="shared" si="52"/>
        <v>8.2799062284377456</v>
      </c>
      <c r="G154" s="1143">
        <f t="shared" si="59"/>
        <v>0.62000000000000011</v>
      </c>
      <c r="H154" s="1145">
        <f t="shared" si="57"/>
        <v>0.62490452486046955</v>
      </c>
      <c r="I154" s="1146">
        <f t="shared" si="60"/>
        <v>0.97720000000000007</v>
      </c>
      <c r="J154" s="1147" t="e">
        <f t="shared" si="51"/>
        <v>#NAME?</v>
      </c>
      <c r="L154" s="184"/>
      <c r="M154" s="1166"/>
      <c r="N154" s="1166"/>
      <c r="O154" s="1166"/>
    </row>
    <row r="155" spans="2:15" x14ac:dyDescent="0.2">
      <c r="B155" s="1172">
        <v>165</v>
      </c>
      <c r="C155" s="1120">
        <v>20</v>
      </c>
      <c r="D155" s="1150">
        <f t="shared" si="58"/>
        <v>61.914999999999999</v>
      </c>
      <c r="E155" s="1122">
        <f t="shared" si="56"/>
        <v>0.99178313664499995</v>
      </c>
      <c r="F155" s="1122">
        <f t="shared" si="52"/>
        <v>8.2768315756679733</v>
      </c>
      <c r="G155" s="1150">
        <f t="shared" si="59"/>
        <v>0.6150000000000001</v>
      </c>
      <c r="H155" s="1121">
        <f t="shared" si="57"/>
        <v>0.62009523783638798</v>
      </c>
      <c r="I155" s="1173">
        <f t="shared" si="60"/>
        <v>0.97750000000000004</v>
      </c>
      <c r="J155" s="1124" t="e">
        <f t="shared" si="51"/>
        <v>#NAME?</v>
      </c>
      <c r="L155" s="184"/>
      <c r="M155" s="1166"/>
      <c r="N155" s="1166"/>
      <c r="O155" s="1166"/>
    </row>
    <row r="156" spans="2:15" x14ac:dyDescent="0.2">
      <c r="B156" s="1164">
        <v>166</v>
      </c>
      <c r="C156" s="1165">
        <v>20</v>
      </c>
      <c r="D156" s="1132">
        <f t="shared" si="58"/>
        <v>61.891999999999996</v>
      </c>
      <c r="E156" s="1133">
        <f t="shared" si="56"/>
        <v>0.99141471199599995</v>
      </c>
      <c r="F156" s="1133">
        <f t="shared" si="52"/>
        <v>8.2737569228982029</v>
      </c>
      <c r="G156" s="1132">
        <f t="shared" si="59"/>
        <v>0.6100000000000001</v>
      </c>
      <c r="H156" s="1134">
        <f t="shared" si="57"/>
        <v>0.61528237640522454</v>
      </c>
      <c r="I156" s="1135">
        <f t="shared" si="60"/>
        <v>0.97780000000000011</v>
      </c>
      <c r="J156" s="1136" t="e">
        <f t="shared" si="51"/>
        <v>#NAME?</v>
      </c>
      <c r="L156" s="184"/>
      <c r="M156" s="1166"/>
      <c r="N156" s="1166"/>
      <c r="O156" s="1166"/>
    </row>
    <row r="157" spans="2:15" x14ac:dyDescent="0.2">
      <c r="B157" s="1164">
        <v>167</v>
      </c>
      <c r="C157" s="1165">
        <v>20</v>
      </c>
      <c r="D157" s="1132">
        <f t="shared" si="58"/>
        <v>61.869</v>
      </c>
      <c r="E157" s="1133">
        <f t="shared" si="56"/>
        <v>0.99104628734699995</v>
      </c>
      <c r="F157" s="1133">
        <f t="shared" si="52"/>
        <v>8.2706822701284324</v>
      </c>
      <c r="G157" s="1132">
        <f t="shared" si="59"/>
        <v>0.60500000000000009</v>
      </c>
      <c r="H157" s="1134">
        <f t="shared" si="57"/>
        <v>0.61046593658058723</v>
      </c>
      <c r="I157" s="1135">
        <f t="shared" si="60"/>
        <v>0.97810000000000008</v>
      </c>
      <c r="J157" s="1136" t="e">
        <f t="shared" si="51"/>
        <v>#NAME?</v>
      </c>
      <c r="L157" s="184"/>
      <c r="M157" s="1166"/>
      <c r="N157" s="1166"/>
      <c r="O157" s="1166"/>
    </row>
    <row r="158" spans="2:15" x14ac:dyDescent="0.2">
      <c r="B158" s="1164">
        <v>168</v>
      </c>
      <c r="C158" s="1165">
        <v>20</v>
      </c>
      <c r="D158" s="1132">
        <f t="shared" si="58"/>
        <v>61.845999999999997</v>
      </c>
      <c r="E158" s="1133">
        <f t="shared" si="56"/>
        <v>0.99067786269799996</v>
      </c>
      <c r="F158" s="1133">
        <f t="shared" si="52"/>
        <v>8.2676076173586601</v>
      </c>
      <c r="G158" s="1132">
        <f t="shared" si="59"/>
        <v>0.60000000000000009</v>
      </c>
      <c r="H158" s="1134">
        <f t="shared" si="57"/>
        <v>0.60564591437015403</v>
      </c>
      <c r="I158" s="1135">
        <f t="shared" si="60"/>
        <v>0.97840000000000005</v>
      </c>
      <c r="J158" s="1136" t="e">
        <f t="shared" si="51"/>
        <v>#NAME?</v>
      </c>
      <c r="L158" s="184"/>
      <c r="M158" s="1166"/>
      <c r="N158" s="1166"/>
      <c r="O158" s="1166"/>
    </row>
    <row r="159" spans="2:15" ht="13.5" thickBot="1" x14ac:dyDescent="0.25">
      <c r="B159" s="1174">
        <v>169</v>
      </c>
      <c r="C159" s="1175">
        <v>20</v>
      </c>
      <c r="D159" s="1143">
        <f t="shared" si="58"/>
        <v>61.823</v>
      </c>
      <c r="E159" s="1144">
        <f t="shared" si="56"/>
        <v>0.99030943804900007</v>
      </c>
      <c r="F159" s="1144">
        <f t="shared" si="52"/>
        <v>8.2645329645888896</v>
      </c>
      <c r="G159" s="1143">
        <f t="shared" si="59"/>
        <v>0.59500000000000008</v>
      </c>
      <c r="H159" s="1145">
        <f t="shared" si="57"/>
        <v>0.60082230577566176</v>
      </c>
      <c r="I159" s="1135">
        <f t="shared" si="60"/>
        <v>0.97870000000000013</v>
      </c>
      <c r="J159" s="1147" t="e">
        <f t="shared" si="51"/>
        <v>#NAME?</v>
      </c>
      <c r="L159" s="184"/>
      <c r="M159" s="1166"/>
      <c r="N159" s="1166"/>
      <c r="O159" s="1166"/>
    </row>
    <row r="160" spans="2:15" x14ac:dyDescent="0.2">
      <c r="B160" s="1119">
        <v>170</v>
      </c>
      <c r="C160" s="1120">
        <v>20</v>
      </c>
      <c r="D160" s="1121">
        <v>61.8</v>
      </c>
      <c r="E160" s="1122">
        <f t="shared" si="56"/>
        <v>0.98994101339999996</v>
      </c>
      <c r="F160" s="1122">
        <f t="shared" si="52"/>
        <v>8.2614583118191192</v>
      </c>
      <c r="G160" s="1121">
        <v>0.59</v>
      </c>
      <c r="H160" s="1121">
        <f t="shared" si="57"/>
        <v>0.59599510679289525</v>
      </c>
      <c r="I160" s="1123">
        <v>0.97899999999999998</v>
      </c>
      <c r="J160" s="1124" t="e">
        <f t="shared" si="51"/>
        <v>#NAME?</v>
      </c>
      <c r="L160" s="1125">
        <f>B160</f>
        <v>170</v>
      </c>
      <c r="M160" s="1126">
        <f>D160</f>
        <v>61.8</v>
      </c>
      <c r="N160" s="1126">
        <f>G160</f>
        <v>0.59</v>
      </c>
      <c r="O160" s="1127">
        <f>I160</f>
        <v>0.97899999999999998</v>
      </c>
    </row>
    <row r="161" spans="2:15" x14ac:dyDescent="0.2">
      <c r="B161" s="1164">
        <v>171</v>
      </c>
      <c r="C161" s="1165">
        <v>20</v>
      </c>
      <c r="D161" s="1132">
        <f t="shared" ref="D161:D169" si="61">FORECAST(B161,$M$160:$M$161,$L$160:$L$161)</f>
        <v>61.775999999999996</v>
      </c>
      <c r="E161" s="1133">
        <f t="shared" si="56"/>
        <v>0.98955657028799993</v>
      </c>
      <c r="F161" s="1133">
        <f t="shared" si="52"/>
        <v>8.2582499784941401</v>
      </c>
      <c r="G161" s="1132">
        <f t="shared" ref="G161:G169" si="62">FORECAST(B161,$N$160:$N$161,$L$160:$L$161)</f>
        <v>0.58499999999999974</v>
      </c>
      <c r="H161" s="1134">
        <f t="shared" si="57"/>
        <v>0.59117388289356887</v>
      </c>
      <c r="I161" s="1135">
        <f>FORECAST(B161,$O$160:$O$161,$L$160:$L$161)</f>
        <v>0.97929999999999995</v>
      </c>
      <c r="J161" s="1136" t="e">
        <f t="shared" si="51"/>
        <v>#NAME?</v>
      </c>
      <c r="L161" s="1125">
        <f>B170</f>
        <v>180</v>
      </c>
      <c r="M161" s="1126">
        <f>D170</f>
        <v>61.56</v>
      </c>
      <c r="N161" s="1126">
        <f>G170</f>
        <v>0.54</v>
      </c>
      <c r="O161" s="1127">
        <f>I170</f>
        <v>0.98199999999999998</v>
      </c>
    </row>
    <row r="162" spans="2:15" x14ac:dyDescent="0.2">
      <c r="B162" s="1164">
        <v>172</v>
      </c>
      <c r="C162" s="1165">
        <v>20</v>
      </c>
      <c r="D162" s="1132">
        <f t="shared" si="61"/>
        <v>61.751999999999995</v>
      </c>
      <c r="E162" s="1133">
        <f t="shared" si="56"/>
        <v>0.98917212717599989</v>
      </c>
      <c r="F162" s="1133">
        <f t="shared" si="52"/>
        <v>8.2550416451691628</v>
      </c>
      <c r="G162" s="1132">
        <f t="shared" si="62"/>
        <v>0.57999999999999974</v>
      </c>
      <c r="H162" s="1134">
        <f t="shared" si="57"/>
        <v>0.58634891144360191</v>
      </c>
      <c r="I162" s="1135">
        <f t="shared" ref="I162:I169" si="63">FORECAST(B162,$O$160:$O$161,$L$160:$L$161)</f>
        <v>0.97960000000000003</v>
      </c>
      <c r="J162" s="1136" t="e">
        <f t="shared" si="51"/>
        <v>#NAME?</v>
      </c>
      <c r="L162" s="184"/>
      <c r="M162" s="1166"/>
      <c r="N162" s="1166"/>
      <c r="O162" s="1166"/>
    </row>
    <row r="163" spans="2:15" x14ac:dyDescent="0.2">
      <c r="B163" s="1164">
        <v>173</v>
      </c>
      <c r="C163" s="1165">
        <v>20</v>
      </c>
      <c r="D163" s="1132">
        <f t="shared" si="61"/>
        <v>61.728000000000002</v>
      </c>
      <c r="E163" s="1133">
        <f t="shared" si="56"/>
        <v>0.98878768406400008</v>
      </c>
      <c r="F163" s="1133">
        <f t="shared" si="52"/>
        <v>8.2518333118441838</v>
      </c>
      <c r="G163" s="1132">
        <f t="shared" si="62"/>
        <v>0.57499999999999984</v>
      </c>
      <c r="H163" s="1134">
        <f t="shared" si="57"/>
        <v>0.58152018807182326</v>
      </c>
      <c r="I163" s="1135">
        <f t="shared" si="63"/>
        <v>0.97989999999999999</v>
      </c>
      <c r="J163" s="1136" t="e">
        <f t="shared" si="51"/>
        <v>#NAME?</v>
      </c>
      <c r="L163" s="184"/>
      <c r="M163" s="1166"/>
      <c r="N163" s="1166"/>
      <c r="O163" s="1166"/>
    </row>
    <row r="164" spans="2:15" ht="13.5" thickBot="1" x14ac:dyDescent="0.25">
      <c r="B164" s="1174">
        <v>174</v>
      </c>
      <c r="C164" s="1168">
        <v>20</v>
      </c>
      <c r="D164" s="1143">
        <f t="shared" si="61"/>
        <v>61.704000000000001</v>
      </c>
      <c r="E164" s="1144">
        <f t="shared" si="56"/>
        <v>0.98840324095200005</v>
      </c>
      <c r="F164" s="1144">
        <f t="shared" si="52"/>
        <v>8.2486249785192065</v>
      </c>
      <c r="G164" s="1143">
        <f t="shared" si="62"/>
        <v>0.56999999999999984</v>
      </c>
      <c r="H164" s="1145">
        <f t="shared" si="57"/>
        <v>0.57668770840026096</v>
      </c>
      <c r="I164" s="1146">
        <f t="shared" si="63"/>
        <v>0.98019999999999996</v>
      </c>
      <c r="J164" s="1147" t="e">
        <f t="shared" si="51"/>
        <v>#NAME?</v>
      </c>
      <c r="L164" s="184"/>
      <c r="M164" s="1166"/>
      <c r="N164" s="1166"/>
      <c r="O164" s="1166"/>
    </row>
    <row r="165" spans="2:15" x14ac:dyDescent="0.2">
      <c r="B165" s="1172">
        <v>175</v>
      </c>
      <c r="C165" s="1120">
        <v>20</v>
      </c>
      <c r="D165" s="1150">
        <f t="shared" si="61"/>
        <v>61.68</v>
      </c>
      <c r="E165" s="1122">
        <f t="shared" si="56"/>
        <v>0.98801879784000002</v>
      </c>
      <c r="F165" s="1122">
        <f t="shared" si="52"/>
        <v>8.2454166451942275</v>
      </c>
      <c r="G165" s="1150">
        <f t="shared" si="62"/>
        <v>0.56499999999999984</v>
      </c>
      <c r="H165" s="1121">
        <f t="shared" si="57"/>
        <v>0.57185146804412934</v>
      </c>
      <c r="I165" s="1173">
        <f t="shared" si="63"/>
        <v>0.98049999999999993</v>
      </c>
      <c r="J165" s="1124" t="e">
        <f t="shared" si="51"/>
        <v>#NAME?</v>
      </c>
      <c r="L165" s="184"/>
      <c r="M165" s="1166"/>
      <c r="N165" s="1166"/>
      <c r="O165" s="1166"/>
    </row>
    <row r="166" spans="2:15" x14ac:dyDescent="0.2">
      <c r="B166" s="1164">
        <v>176</v>
      </c>
      <c r="C166" s="1165">
        <v>20</v>
      </c>
      <c r="D166" s="1132">
        <f t="shared" si="61"/>
        <v>61.655999999999999</v>
      </c>
      <c r="E166" s="1133">
        <f t="shared" si="56"/>
        <v>0.98763435472799999</v>
      </c>
      <c r="F166" s="1133">
        <f t="shared" si="52"/>
        <v>8.2422083118692484</v>
      </c>
      <c r="G166" s="1132">
        <f t="shared" si="62"/>
        <v>0.55999999999999983</v>
      </c>
      <c r="H166" s="1134">
        <f t="shared" si="57"/>
        <v>0.56701146261181545</v>
      </c>
      <c r="I166" s="1135">
        <f t="shared" si="63"/>
        <v>0.98080000000000001</v>
      </c>
      <c r="J166" s="1136" t="e">
        <f t="shared" si="51"/>
        <v>#NAME?</v>
      </c>
      <c r="L166" s="184"/>
      <c r="M166" s="1166"/>
      <c r="N166" s="1166"/>
      <c r="O166" s="1166"/>
    </row>
    <row r="167" spans="2:15" x14ac:dyDescent="0.2">
      <c r="B167" s="1164">
        <v>177</v>
      </c>
      <c r="C167" s="1165">
        <v>20</v>
      </c>
      <c r="D167" s="1132">
        <f t="shared" si="61"/>
        <v>61.631999999999998</v>
      </c>
      <c r="E167" s="1133">
        <f t="shared" si="56"/>
        <v>0.98724991161599995</v>
      </c>
      <c r="F167" s="1133">
        <f t="shared" si="52"/>
        <v>8.2389999785442711</v>
      </c>
      <c r="G167" s="1132">
        <f t="shared" si="62"/>
        <v>0.55499999999999983</v>
      </c>
      <c r="H167" s="1134">
        <f t="shared" si="57"/>
        <v>0.5621676877048658</v>
      </c>
      <c r="I167" s="1135">
        <f t="shared" si="63"/>
        <v>0.98109999999999997</v>
      </c>
      <c r="J167" s="1136" t="e">
        <f t="shared" si="51"/>
        <v>#NAME?</v>
      </c>
      <c r="L167" s="184"/>
      <c r="M167" s="1166"/>
      <c r="N167" s="1166"/>
      <c r="O167" s="1166"/>
    </row>
    <row r="168" spans="2:15" x14ac:dyDescent="0.2">
      <c r="B168" s="1164">
        <v>178</v>
      </c>
      <c r="C168" s="1165">
        <v>20</v>
      </c>
      <c r="D168" s="1132">
        <f t="shared" si="61"/>
        <v>61.608000000000004</v>
      </c>
      <c r="E168" s="1133">
        <f t="shared" si="56"/>
        <v>0.98686546850400003</v>
      </c>
      <c r="F168" s="1133">
        <f t="shared" si="52"/>
        <v>8.2357916452192939</v>
      </c>
      <c r="G168" s="1132">
        <f t="shared" si="62"/>
        <v>0.54999999999999982</v>
      </c>
      <c r="H168" s="1134">
        <f t="shared" si="57"/>
        <v>0.55732013891797305</v>
      </c>
      <c r="I168" s="1135">
        <f t="shared" si="63"/>
        <v>0.98139999999999994</v>
      </c>
      <c r="J168" s="1136" t="e">
        <f t="shared" si="51"/>
        <v>#NAME?</v>
      </c>
      <c r="L168" s="184"/>
      <c r="M168" s="1166"/>
      <c r="N168" s="1166"/>
      <c r="O168" s="1166"/>
    </row>
    <row r="169" spans="2:15" ht="13.5" thickBot="1" x14ac:dyDescent="0.25">
      <c r="B169" s="1174">
        <v>179</v>
      </c>
      <c r="C169" s="1175">
        <v>20</v>
      </c>
      <c r="D169" s="1143">
        <f t="shared" si="61"/>
        <v>61.584000000000003</v>
      </c>
      <c r="E169" s="1144">
        <f t="shared" si="56"/>
        <v>0.98648102539200011</v>
      </c>
      <c r="F169" s="1144">
        <f t="shared" si="52"/>
        <v>8.2325833118943148</v>
      </c>
      <c r="G169" s="1143">
        <f t="shared" si="62"/>
        <v>0.54499999999999982</v>
      </c>
      <c r="H169" s="1145">
        <f t="shared" si="57"/>
        <v>0.55246881183896257</v>
      </c>
      <c r="I169" s="1135">
        <f t="shared" si="63"/>
        <v>0.98170000000000002</v>
      </c>
      <c r="J169" s="1147" t="e">
        <f t="shared" si="51"/>
        <v>#NAME?</v>
      </c>
      <c r="L169" s="184"/>
      <c r="M169" s="1166"/>
      <c r="N169" s="1166"/>
      <c r="O169" s="1166"/>
    </row>
    <row r="170" spans="2:15" x14ac:dyDescent="0.2">
      <c r="B170" s="1119">
        <v>180</v>
      </c>
      <c r="C170" s="1120">
        <v>20</v>
      </c>
      <c r="D170" s="1121">
        <v>61.56</v>
      </c>
      <c r="E170" s="1122">
        <f t="shared" si="56"/>
        <v>0.98609658228000008</v>
      </c>
      <c r="F170" s="1122">
        <f t="shared" si="52"/>
        <v>8.2293749785693358</v>
      </c>
      <c r="G170" s="1121">
        <v>0.54</v>
      </c>
      <c r="H170" s="1121">
        <f t="shared" si="57"/>
        <v>0.54761370204877979</v>
      </c>
      <c r="I170" s="1123">
        <v>0.98199999999999998</v>
      </c>
      <c r="J170" s="1124" t="e">
        <f t="shared" ref="J170:J200" si="64">E170/VLOOKUP(60,Water,6,FALSE)</f>
        <v>#NAME?</v>
      </c>
      <c r="L170" s="1125">
        <f>B170</f>
        <v>180</v>
      </c>
      <c r="M170" s="1126">
        <f>D170</f>
        <v>61.56</v>
      </c>
      <c r="N170" s="1126">
        <f>G170</f>
        <v>0.54</v>
      </c>
      <c r="O170" s="1127">
        <f>I170</f>
        <v>0.98199999999999998</v>
      </c>
    </row>
    <row r="171" spans="2:15" x14ac:dyDescent="0.2">
      <c r="B171" s="1164">
        <v>181</v>
      </c>
      <c r="C171" s="1165">
        <v>20</v>
      </c>
      <c r="D171" s="1132">
        <f t="shared" ref="D171:D179" si="65">FORECAST(B171,$M$170:$M$171,$L$170:$L$171)</f>
        <v>61.535000000000004</v>
      </c>
      <c r="E171" s="1133">
        <f t="shared" si="56"/>
        <v>0.98569612070500012</v>
      </c>
      <c r="F171" s="1133">
        <f t="shared" si="52"/>
        <v>8.2260329646891517</v>
      </c>
      <c r="G171" s="1132">
        <f t="shared" ref="G171:G179" si="66">FORECAST(B171,$N$170:$N$171,$L$170:$L$171)</f>
        <v>0.53600000000000003</v>
      </c>
      <c r="H171" s="1134">
        <f t="shared" si="57"/>
        <v>0.54377813683251219</v>
      </c>
      <c r="I171" s="1135">
        <f>FORECAST(B171,$O$170:$O$171,$L$170:$L$171)</f>
        <v>0.98230000000000006</v>
      </c>
      <c r="J171" s="1136" t="e">
        <f t="shared" si="64"/>
        <v>#NAME?</v>
      </c>
      <c r="L171" s="1125">
        <f>B180</f>
        <v>190</v>
      </c>
      <c r="M171" s="1126">
        <f>D180</f>
        <v>61.31</v>
      </c>
      <c r="N171" s="1126">
        <f>G180</f>
        <v>0.5</v>
      </c>
      <c r="O171" s="1127">
        <f>I180</f>
        <v>0.98499999999999999</v>
      </c>
    </row>
    <row r="172" spans="2:15" x14ac:dyDescent="0.2">
      <c r="B172" s="1164">
        <v>182</v>
      </c>
      <c r="C172" s="1165">
        <v>20</v>
      </c>
      <c r="D172" s="1132">
        <f t="shared" si="65"/>
        <v>61.510000000000005</v>
      </c>
      <c r="E172" s="1133">
        <f t="shared" si="56"/>
        <v>0.98529565913000006</v>
      </c>
      <c r="F172" s="1133">
        <f t="shared" si="52"/>
        <v>8.2226909508089658</v>
      </c>
      <c r="G172" s="1132">
        <f t="shared" si="66"/>
        <v>0.53200000000000003</v>
      </c>
      <c r="H172" s="1134">
        <f t="shared" si="57"/>
        <v>0.53993945377750607</v>
      </c>
      <c r="I172" s="1135">
        <f t="shared" ref="I172:I179" si="67">FORECAST(B172,$O$170:$O$171,$L$170:$L$171)</f>
        <v>0.98260000000000014</v>
      </c>
      <c r="J172" s="1136" t="e">
        <f t="shared" si="64"/>
        <v>#NAME?</v>
      </c>
      <c r="L172" s="184"/>
      <c r="M172" s="1166"/>
      <c r="N172" s="1166"/>
      <c r="O172" s="1166"/>
    </row>
    <row r="173" spans="2:15" x14ac:dyDescent="0.2">
      <c r="B173" s="1164">
        <v>183</v>
      </c>
      <c r="C173" s="1165">
        <v>20</v>
      </c>
      <c r="D173" s="1132">
        <f t="shared" si="65"/>
        <v>61.484999999999999</v>
      </c>
      <c r="E173" s="1133">
        <f t="shared" si="56"/>
        <v>0.98489519755499999</v>
      </c>
      <c r="F173" s="1133">
        <f t="shared" si="52"/>
        <v>8.2193489369287782</v>
      </c>
      <c r="G173" s="1132">
        <f t="shared" si="66"/>
        <v>0.52800000000000002</v>
      </c>
      <c r="H173" s="1134">
        <f t="shared" si="57"/>
        <v>0.53609764908059132</v>
      </c>
      <c r="I173" s="1135">
        <f t="shared" si="67"/>
        <v>0.98290000000000011</v>
      </c>
      <c r="J173" s="1136" t="e">
        <f t="shared" si="64"/>
        <v>#NAME?</v>
      </c>
      <c r="L173" s="184"/>
      <c r="M173" s="1166"/>
      <c r="N173" s="1166"/>
      <c r="O173" s="1166"/>
    </row>
    <row r="174" spans="2:15" ht="13.5" thickBot="1" x14ac:dyDescent="0.25">
      <c r="B174" s="1174">
        <v>184</v>
      </c>
      <c r="C174" s="1168">
        <v>20</v>
      </c>
      <c r="D174" s="1143">
        <f t="shared" si="65"/>
        <v>61.46</v>
      </c>
      <c r="E174" s="1144">
        <f t="shared" si="56"/>
        <v>0.98449473598000004</v>
      </c>
      <c r="F174" s="1144">
        <f t="shared" si="52"/>
        <v>8.2160069230485941</v>
      </c>
      <c r="G174" s="1143">
        <f t="shared" si="66"/>
        <v>0.52400000000000002</v>
      </c>
      <c r="H174" s="1145">
        <f t="shared" si="57"/>
        <v>0.53225271893240989</v>
      </c>
      <c r="I174" s="1146">
        <f t="shared" si="67"/>
        <v>0.98320000000000007</v>
      </c>
      <c r="J174" s="1147" t="e">
        <f t="shared" si="64"/>
        <v>#NAME?</v>
      </c>
      <c r="L174" s="184"/>
      <c r="M174" s="1166"/>
      <c r="N174" s="1166"/>
      <c r="O174" s="1166"/>
    </row>
    <row r="175" spans="2:15" x14ac:dyDescent="0.2">
      <c r="B175" s="1172">
        <v>185</v>
      </c>
      <c r="C175" s="1120">
        <v>20</v>
      </c>
      <c r="D175" s="1150">
        <f t="shared" si="65"/>
        <v>61.435000000000002</v>
      </c>
      <c r="E175" s="1122">
        <f t="shared" si="56"/>
        <v>0.98409427440500008</v>
      </c>
      <c r="F175" s="1122">
        <f t="shared" si="52"/>
        <v>8.2126649091684083</v>
      </c>
      <c r="G175" s="1150">
        <f t="shared" si="66"/>
        <v>0.52</v>
      </c>
      <c r="H175" s="1121">
        <f t="shared" si="57"/>
        <v>0.52840465951740323</v>
      </c>
      <c r="I175" s="1173">
        <f t="shared" si="67"/>
        <v>0.98350000000000004</v>
      </c>
      <c r="J175" s="1124" t="e">
        <f t="shared" si="64"/>
        <v>#NAME?</v>
      </c>
      <c r="L175" s="184"/>
      <c r="M175" s="1166"/>
      <c r="N175" s="1166"/>
      <c r="O175" s="1166"/>
    </row>
    <row r="176" spans="2:15" x14ac:dyDescent="0.2">
      <c r="B176" s="1164">
        <v>186</v>
      </c>
      <c r="C176" s="1165">
        <v>20</v>
      </c>
      <c r="D176" s="1132">
        <f t="shared" si="65"/>
        <v>61.410000000000004</v>
      </c>
      <c r="E176" s="1133">
        <f t="shared" si="56"/>
        <v>0.98369381283000001</v>
      </c>
      <c r="F176" s="1133">
        <f t="shared" si="52"/>
        <v>8.2093228952882225</v>
      </c>
      <c r="G176" s="1132">
        <f t="shared" si="66"/>
        <v>0.51600000000000001</v>
      </c>
      <c r="H176" s="1134">
        <f t="shared" si="57"/>
        <v>0.52455346701379946</v>
      </c>
      <c r="I176" s="1135">
        <f t="shared" si="67"/>
        <v>0.98380000000000012</v>
      </c>
      <c r="J176" s="1136" t="e">
        <f t="shared" si="64"/>
        <v>#NAME?</v>
      </c>
      <c r="L176" s="184"/>
      <c r="M176" s="1166"/>
      <c r="N176" s="1166"/>
      <c r="O176" s="1166"/>
    </row>
    <row r="177" spans="2:15" x14ac:dyDescent="0.2">
      <c r="B177" s="1164">
        <v>187</v>
      </c>
      <c r="C177" s="1165">
        <v>20</v>
      </c>
      <c r="D177" s="1132">
        <f t="shared" si="65"/>
        <v>61.385000000000005</v>
      </c>
      <c r="E177" s="1133">
        <f t="shared" si="56"/>
        <v>0.98329335125500006</v>
      </c>
      <c r="F177" s="1133">
        <f t="shared" si="52"/>
        <v>8.2059808814080366</v>
      </c>
      <c r="G177" s="1132">
        <f t="shared" si="66"/>
        <v>0.51200000000000001</v>
      </c>
      <c r="H177" s="1134">
        <f t="shared" si="57"/>
        <v>0.52069913759360065</v>
      </c>
      <c r="I177" s="1135">
        <f t="shared" si="67"/>
        <v>0.98410000000000009</v>
      </c>
      <c r="J177" s="1136" t="e">
        <f t="shared" si="64"/>
        <v>#NAME?</v>
      </c>
      <c r="L177" s="184"/>
      <c r="M177" s="1166"/>
      <c r="N177" s="1166"/>
      <c r="O177" s="1166"/>
    </row>
    <row r="178" spans="2:15" x14ac:dyDescent="0.2">
      <c r="B178" s="1164">
        <v>188</v>
      </c>
      <c r="C178" s="1165">
        <v>20</v>
      </c>
      <c r="D178" s="1132">
        <f t="shared" si="65"/>
        <v>61.36</v>
      </c>
      <c r="E178" s="1133">
        <f t="shared" si="56"/>
        <v>0.98289288967999999</v>
      </c>
      <c r="F178" s="1133">
        <f t="shared" si="52"/>
        <v>8.2026388675278508</v>
      </c>
      <c r="G178" s="1132">
        <f t="shared" si="66"/>
        <v>0.50800000000000001</v>
      </c>
      <c r="H178" s="1134">
        <f t="shared" si="57"/>
        <v>0.51684166742257065</v>
      </c>
      <c r="I178" s="1135">
        <f t="shared" si="67"/>
        <v>0.98440000000000005</v>
      </c>
      <c r="J178" s="1136" t="e">
        <f t="shared" si="64"/>
        <v>#NAME?</v>
      </c>
      <c r="L178" s="184"/>
      <c r="M178" s="1166"/>
      <c r="N178" s="1166"/>
      <c r="O178" s="1166"/>
    </row>
    <row r="179" spans="2:15" ht="13.5" thickBot="1" x14ac:dyDescent="0.25">
      <c r="B179" s="1174">
        <v>189</v>
      </c>
      <c r="C179" s="1175">
        <v>20</v>
      </c>
      <c r="D179" s="1143">
        <f t="shared" si="65"/>
        <v>61.335000000000001</v>
      </c>
      <c r="E179" s="1144">
        <f t="shared" si="56"/>
        <v>0.98249242810500004</v>
      </c>
      <c r="F179" s="1144">
        <f t="shared" si="52"/>
        <v>8.1992968536476649</v>
      </c>
      <c r="G179" s="1143">
        <f t="shared" si="66"/>
        <v>0.504</v>
      </c>
      <c r="H179" s="1145">
        <f t="shared" si="57"/>
        <v>0.51298105266022165</v>
      </c>
      <c r="I179" s="1135">
        <f t="shared" si="67"/>
        <v>0.98470000000000013</v>
      </c>
      <c r="J179" s="1147" t="e">
        <f t="shared" si="64"/>
        <v>#NAME?</v>
      </c>
      <c r="L179" s="184"/>
      <c r="M179" s="1166"/>
      <c r="N179" s="1166"/>
      <c r="O179" s="1166"/>
    </row>
    <row r="180" spans="2:15" x14ac:dyDescent="0.2">
      <c r="B180" s="1119">
        <v>190</v>
      </c>
      <c r="C180" s="1120">
        <v>20</v>
      </c>
      <c r="D180" s="1121">
        <v>61.31</v>
      </c>
      <c r="E180" s="1122">
        <f t="shared" si="56"/>
        <v>0.98209196653000008</v>
      </c>
      <c r="F180" s="1122">
        <f t="shared" si="52"/>
        <v>8.1959548397674791</v>
      </c>
      <c r="G180" s="1121">
        <v>0.5</v>
      </c>
      <c r="H180" s="1121">
        <f t="shared" si="57"/>
        <v>0.50911728945980173</v>
      </c>
      <c r="I180" s="1123">
        <v>0.98499999999999999</v>
      </c>
      <c r="J180" s="1124" t="e">
        <f t="shared" si="64"/>
        <v>#NAME?</v>
      </c>
      <c r="L180" s="1125">
        <f>B180</f>
        <v>190</v>
      </c>
      <c r="M180" s="1126">
        <f>D180</f>
        <v>61.31</v>
      </c>
      <c r="N180" s="1126">
        <f>G180</f>
        <v>0.5</v>
      </c>
      <c r="O180" s="1127">
        <f>I180</f>
        <v>0.98499999999999999</v>
      </c>
    </row>
    <row r="181" spans="2:15" x14ac:dyDescent="0.2">
      <c r="B181" s="1164">
        <v>191</v>
      </c>
      <c r="C181" s="1165">
        <v>20</v>
      </c>
      <c r="D181" s="1132">
        <f t="shared" ref="D181:D189" si="68">FORECAST(B181,$M$180:$M$181,$L$180:$L$181)</f>
        <v>61.283999999999999</v>
      </c>
      <c r="E181" s="1133">
        <f t="shared" si="56"/>
        <v>0.98167548649199998</v>
      </c>
      <c r="F181" s="1133">
        <f t="shared" si="52"/>
        <v>8.1924791453320864</v>
      </c>
      <c r="G181" s="1132">
        <f t="shared" ref="G181:G189" si="69">FORECAST(B181,$N$180:$N$181,$L$180:$L$181)</f>
        <v>0.49600000000000011</v>
      </c>
      <c r="H181" s="1134">
        <f t="shared" si="57"/>
        <v>0.50525861837749186</v>
      </c>
      <c r="I181" s="1135">
        <f>FORECAST(B181,$O$180:$O$181,$L$180:$L$181)</f>
        <v>0.98529999999999995</v>
      </c>
      <c r="J181" s="1136" t="e">
        <f t="shared" si="64"/>
        <v>#NAME?</v>
      </c>
      <c r="L181" s="1125">
        <f>B190</f>
        <v>200</v>
      </c>
      <c r="M181" s="1126">
        <f>D190</f>
        <v>61.05</v>
      </c>
      <c r="N181" s="1126">
        <f>G190</f>
        <v>0.46</v>
      </c>
      <c r="O181" s="1127">
        <f>I190</f>
        <v>0.98799999999999999</v>
      </c>
    </row>
    <row r="182" spans="2:15" x14ac:dyDescent="0.2">
      <c r="B182" s="1164">
        <v>192</v>
      </c>
      <c r="C182" s="1165">
        <v>20</v>
      </c>
      <c r="D182" s="1132">
        <f t="shared" si="68"/>
        <v>61.258000000000003</v>
      </c>
      <c r="E182" s="1133">
        <f t="shared" si="56"/>
        <v>0.9812590064540001</v>
      </c>
      <c r="F182" s="1133">
        <f t="shared" si="52"/>
        <v>8.1890034508966938</v>
      </c>
      <c r="G182" s="1132">
        <f t="shared" si="69"/>
        <v>0.4920000000000001</v>
      </c>
      <c r="H182" s="1134">
        <f t="shared" si="57"/>
        <v>0.50139667179000236</v>
      </c>
      <c r="I182" s="1135">
        <f t="shared" ref="I182:I189" si="70">FORECAST(B182,$O$180:$O$181,$L$180:$L$181)</f>
        <v>0.98560000000000003</v>
      </c>
      <c r="J182" s="1136" t="e">
        <f t="shared" si="64"/>
        <v>#NAME?</v>
      </c>
      <c r="L182" s="184"/>
      <c r="M182" s="1166"/>
      <c r="N182" s="1166"/>
      <c r="O182" s="1166"/>
    </row>
    <row r="183" spans="2:15" x14ac:dyDescent="0.2">
      <c r="B183" s="1164">
        <v>193</v>
      </c>
      <c r="C183" s="1165">
        <v>20</v>
      </c>
      <c r="D183" s="1132">
        <f t="shared" si="68"/>
        <v>61.231999999999999</v>
      </c>
      <c r="E183" s="1133">
        <f t="shared" si="56"/>
        <v>0.980842526416</v>
      </c>
      <c r="F183" s="1133">
        <f t="shared" si="52"/>
        <v>8.1855277564612994</v>
      </c>
      <c r="G183" s="1132">
        <f t="shared" si="69"/>
        <v>0.4880000000000001</v>
      </c>
      <c r="H183" s="1134">
        <f t="shared" si="57"/>
        <v>0.49753144552485179</v>
      </c>
      <c r="I183" s="1135">
        <f t="shared" si="70"/>
        <v>0.9859</v>
      </c>
      <c r="J183" s="1136" t="e">
        <f t="shared" si="64"/>
        <v>#NAME?</v>
      </c>
      <c r="L183" s="184"/>
      <c r="M183" s="1166"/>
      <c r="N183" s="1166"/>
      <c r="O183" s="1166"/>
    </row>
    <row r="184" spans="2:15" ht="13.5" thickBot="1" x14ac:dyDescent="0.25">
      <c r="B184" s="1174">
        <v>194</v>
      </c>
      <c r="C184" s="1168">
        <v>20</v>
      </c>
      <c r="D184" s="1143">
        <f t="shared" si="68"/>
        <v>61.206000000000003</v>
      </c>
      <c r="E184" s="1144">
        <f t="shared" si="56"/>
        <v>0.98042604637800002</v>
      </c>
      <c r="F184" s="1144">
        <f t="shared" si="52"/>
        <v>8.1820520620259067</v>
      </c>
      <c r="G184" s="1143">
        <f t="shared" si="69"/>
        <v>0.4840000000000001</v>
      </c>
      <c r="H184" s="1145">
        <f t="shared" si="57"/>
        <v>0.49366293540246836</v>
      </c>
      <c r="I184" s="1146">
        <f t="shared" si="70"/>
        <v>0.98619999999999997</v>
      </c>
      <c r="J184" s="1147" t="e">
        <f t="shared" si="64"/>
        <v>#NAME?</v>
      </c>
      <c r="L184" s="184"/>
      <c r="M184" s="1166"/>
      <c r="N184" s="1166"/>
      <c r="O184" s="1166"/>
    </row>
    <row r="185" spans="2:15" x14ac:dyDescent="0.2">
      <c r="B185" s="1172">
        <v>195</v>
      </c>
      <c r="C185" s="1120">
        <v>20</v>
      </c>
      <c r="D185" s="1150">
        <f t="shared" si="68"/>
        <v>61.18</v>
      </c>
      <c r="E185" s="1122">
        <f t="shared" si="56"/>
        <v>0.98000956634000003</v>
      </c>
      <c r="F185" s="1122">
        <f t="shared" si="52"/>
        <v>8.1785763675905123</v>
      </c>
      <c r="G185" s="1150">
        <f t="shared" si="69"/>
        <v>0.48000000000000009</v>
      </c>
      <c r="H185" s="1121">
        <f t="shared" si="57"/>
        <v>0.48979113723617579</v>
      </c>
      <c r="I185" s="1173">
        <f t="shared" si="70"/>
        <v>0.98649999999999993</v>
      </c>
      <c r="J185" s="1124" t="e">
        <f t="shared" si="64"/>
        <v>#NAME?</v>
      </c>
      <c r="L185" s="184"/>
      <c r="M185" s="1166"/>
      <c r="N185" s="1166"/>
      <c r="O185" s="1166"/>
    </row>
    <row r="186" spans="2:15" x14ac:dyDescent="0.2">
      <c r="B186" s="1164">
        <v>196</v>
      </c>
      <c r="C186" s="1165">
        <v>20</v>
      </c>
      <c r="D186" s="1132">
        <f t="shared" si="68"/>
        <v>61.153999999999996</v>
      </c>
      <c r="E186" s="1133">
        <f t="shared" si="56"/>
        <v>0.97959308630199993</v>
      </c>
      <c r="F186" s="1133">
        <f t="shared" si="52"/>
        <v>8.1751006731551197</v>
      </c>
      <c r="G186" s="1132">
        <f t="shared" si="69"/>
        <v>0.47600000000000009</v>
      </c>
      <c r="H186" s="1134">
        <f t="shared" si="57"/>
        <v>0.48591604683217771</v>
      </c>
      <c r="I186" s="1135">
        <f t="shared" si="70"/>
        <v>0.98680000000000001</v>
      </c>
      <c r="J186" s="1136" t="e">
        <f t="shared" si="64"/>
        <v>#NAME?</v>
      </c>
      <c r="L186" s="184"/>
      <c r="M186" s="1166"/>
      <c r="N186" s="1166"/>
      <c r="O186" s="1166"/>
    </row>
    <row r="187" spans="2:15" x14ac:dyDescent="0.2">
      <c r="B187" s="1164">
        <v>197</v>
      </c>
      <c r="C187" s="1165">
        <v>20</v>
      </c>
      <c r="D187" s="1132">
        <f t="shared" si="68"/>
        <v>61.128</v>
      </c>
      <c r="E187" s="1133">
        <f t="shared" si="56"/>
        <v>0.97917660626400005</v>
      </c>
      <c r="F187" s="1133">
        <f t="shared" si="52"/>
        <v>8.171624978719727</v>
      </c>
      <c r="G187" s="1132">
        <f t="shared" si="69"/>
        <v>0.47200000000000009</v>
      </c>
      <c r="H187" s="1134">
        <f t="shared" si="57"/>
        <v>0.4820376599895424</v>
      </c>
      <c r="I187" s="1135">
        <f t="shared" si="70"/>
        <v>0.98709999999999998</v>
      </c>
      <c r="J187" s="1136" t="e">
        <f t="shared" si="64"/>
        <v>#NAME?</v>
      </c>
      <c r="L187" s="184"/>
      <c r="M187" s="1166"/>
      <c r="N187" s="1166"/>
      <c r="O187" s="1166"/>
    </row>
    <row r="188" spans="2:15" x14ac:dyDescent="0.2">
      <c r="B188" s="1164">
        <v>198</v>
      </c>
      <c r="C188" s="1165">
        <v>20</v>
      </c>
      <c r="D188" s="1132">
        <f t="shared" si="68"/>
        <v>61.101999999999997</v>
      </c>
      <c r="E188" s="1133">
        <f t="shared" si="56"/>
        <v>0.97876012622599995</v>
      </c>
      <c r="F188" s="1133">
        <f t="shared" si="52"/>
        <v>8.1681492842843326</v>
      </c>
      <c r="G188" s="1132">
        <f t="shared" si="69"/>
        <v>0.46800000000000008</v>
      </c>
      <c r="H188" s="1134">
        <f t="shared" si="57"/>
        <v>0.47815597250018832</v>
      </c>
      <c r="I188" s="1135">
        <f t="shared" si="70"/>
        <v>0.98739999999999994</v>
      </c>
      <c r="J188" s="1136" t="e">
        <f t="shared" si="64"/>
        <v>#NAME?</v>
      </c>
      <c r="L188" s="184"/>
      <c r="M188" s="1166"/>
      <c r="N188" s="1166"/>
      <c r="O188" s="1166"/>
    </row>
    <row r="189" spans="2:15" ht="13.5" thickBot="1" x14ac:dyDescent="0.25">
      <c r="B189" s="1174">
        <v>199</v>
      </c>
      <c r="C189" s="1175">
        <v>20</v>
      </c>
      <c r="D189" s="1143">
        <f t="shared" si="68"/>
        <v>61.076000000000001</v>
      </c>
      <c r="E189" s="1144">
        <f t="shared" si="56"/>
        <v>0.97834364618800007</v>
      </c>
      <c r="F189" s="1144">
        <f t="shared" si="52"/>
        <v>8.16467358984894</v>
      </c>
      <c r="G189" s="1143">
        <f t="shared" si="69"/>
        <v>0.46400000000000008</v>
      </c>
      <c r="H189" s="1145">
        <f t="shared" si="57"/>
        <v>0.47427098014886798</v>
      </c>
      <c r="I189" s="1135">
        <f t="shared" si="70"/>
        <v>0.98770000000000002</v>
      </c>
      <c r="J189" s="1147" t="e">
        <f t="shared" si="64"/>
        <v>#NAME?</v>
      </c>
      <c r="L189" s="184"/>
      <c r="M189" s="1166"/>
      <c r="N189" s="1166"/>
      <c r="O189" s="1166"/>
    </row>
    <row r="190" spans="2:15" x14ac:dyDescent="0.2">
      <c r="B190" s="1119">
        <v>200</v>
      </c>
      <c r="C190" s="1120">
        <v>20</v>
      </c>
      <c r="D190" s="1121">
        <v>61.05</v>
      </c>
      <c r="E190" s="1122">
        <f t="shared" si="56"/>
        <v>0.97792716614999997</v>
      </c>
      <c r="F190" s="1122">
        <f t="shared" si="52"/>
        <v>8.1611978954135473</v>
      </c>
      <c r="G190" s="1121">
        <v>0.46</v>
      </c>
      <c r="H190" s="1121">
        <f t="shared" si="57"/>
        <v>0.47038267871315342</v>
      </c>
      <c r="I190" s="1123">
        <v>0.98799999999999999</v>
      </c>
      <c r="J190" s="1124" t="e">
        <f t="shared" si="64"/>
        <v>#NAME?</v>
      </c>
      <c r="L190" s="1125">
        <f>B190</f>
        <v>200</v>
      </c>
      <c r="M190" s="1126">
        <f>D190</f>
        <v>61.05</v>
      </c>
      <c r="N190" s="1126">
        <f>G190</f>
        <v>0.46</v>
      </c>
      <c r="O190" s="1127">
        <f>I190</f>
        <v>0.98799999999999999</v>
      </c>
    </row>
    <row r="191" spans="2:15" x14ac:dyDescent="0.2">
      <c r="B191" s="1164">
        <v>201</v>
      </c>
      <c r="C191" s="1165">
        <v>20</v>
      </c>
      <c r="D191" s="1132">
        <f t="shared" ref="D191:D199" si="71">FORECAST(B191,$M$190:$M$191,$L$190:$L$191)</f>
        <v>61.022999999999996</v>
      </c>
      <c r="E191" s="1133">
        <f t="shared" si="56"/>
        <v>0.97749466764899995</v>
      </c>
      <c r="F191" s="1133">
        <f t="shared" si="52"/>
        <v>8.1575885204229461</v>
      </c>
      <c r="G191" s="1132">
        <f t="shared" ref="G191:G199" si="72">FORECAST(B191,$N$190:$N$191,$L$190:$L$191)</f>
        <v>0.45699999999999996</v>
      </c>
      <c r="H191" s="1134">
        <f t="shared" si="57"/>
        <v>0.46752173195905361</v>
      </c>
      <c r="I191" s="1135">
        <f>FORECAST(B191,$O$190:$O$191,$L$190:$L$191)</f>
        <v>0.98830000000000007</v>
      </c>
      <c r="J191" s="1136" t="e">
        <f t="shared" si="64"/>
        <v>#NAME?</v>
      </c>
      <c r="L191" s="1125">
        <f>B200</f>
        <v>210</v>
      </c>
      <c r="M191" s="1126">
        <f>D200</f>
        <v>60.78</v>
      </c>
      <c r="N191" s="1126">
        <f>G200</f>
        <v>0.43</v>
      </c>
      <c r="O191" s="1127">
        <f>I200</f>
        <v>0.99099999999999999</v>
      </c>
    </row>
    <row r="192" spans="2:15" x14ac:dyDescent="0.2">
      <c r="B192" s="1164">
        <v>202</v>
      </c>
      <c r="C192" s="1165">
        <v>20</v>
      </c>
      <c r="D192" s="1132">
        <f t="shared" si="71"/>
        <v>60.995999999999995</v>
      </c>
      <c r="E192" s="1133">
        <f t="shared" si="56"/>
        <v>0.97706216914799993</v>
      </c>
      <c r="F192" s="1133">
        <f t="shared" si="52"/>
        <v>8.1539791454323449</v>
      </c>
      <c r="G192" s="1132">
        <f t="shared" si="72"/>
        <v>0.45399999999999996</v>
      </c>
      <c r="H192" s="1134">
        <f t="shared" si="57"/>
        <v>0.46465825239747932</v>
      </c>
      <c r="I192" s="1135">
        <f t="shared" ref="I192:I199" si="73">FORECAST(B192,$O$190:$O$191,$L$190:$L$191)</f>
        <v>0.98860000000000015</v>
      </c>
      <c r="J192" s="1136" t="e">
        <f t="shared" si="64"/>
        <v>#NAME?</v>
      </c>
      <c r="L192" s="184"/>
      <c r="M192" s="1166"/>
      <c r="N192" s="1166"/>
      <c r="O192" s="1166"/>
    </row>
    <row r="193" spans="2:15" x14ac:dyDescent="0.2">
      <c r="B193" s="1164">
        <v>203</v>
      </c>
      <c r="C193" s="1165">
        <v>20</v>
      </c>
      <c r="D193" s="1132">
        <f t="shared" si="71"/>
        <v>60.969000000000001</v>
      </c>
      <c r="E193" s="1133">
        <f t="shared" si="56"/>
        <v>0.97662967064700001</v>
      </c>
      <c r="F193" s="1133">
        <f t="shared" si="52"/>
        <v>8.1503697704417455</v>
      </c>
      <c r="G193" s="1132">
        <f t="shared" si="72"/>
        <v>0.45099999999999996</v>
      </c>
      <c r="H193" s="1134">
        <f t="shared" si="57"/>
        <v>0.46179223666348407</v>
      </c>
      <c r="I193" s="1135">
        <f t="shared" si="73"/>
        <v>0.98890000000000011</v>
      </c>
      <c r="J193" s="1136" t="e">
        <f t="shared" si="64"/>
        <v>#NAME?</v>
      </c>
      <c r="L193" s="184"/>
      <c r="M193" s="1166"/>
      <c r="N193" s="1166"/>
      <c r="O193" s="1166"/>
    </row>
    <row r="194" spans="2:15" ht="13.5" thickBot="1" x14ac:dyDescent="0.25">
      <c r="B194" s="1174">
        <v>204</v>
      </c>
      <c r="C194" s="1168">
        <v>20</v>
      </c>
      <c r="D194" s="1143">
        <f t="shared" si="71"/>
        <v>60.942</v>
      </c>
      <c r="E194" s="1144">
        <f t="shared" si="56"/>
        <v>0.97619717214599999</v>
      </c>
      <c r="F194" s="1144">
        <f t="shared" si="52"/>
        <v>8.1467603954511443</v>
      </c>
      <c r="G194" s="1143">
        <f t="shared" si="72"/>
        <v>0.44799999999999995</v>
      </c>
      <c r="H194" s="1145">
        <f t="shared" si="57"/>
        <v>0.45892368138615863</v>
      </c>
      <c r="I194" s="1146">
        <f t="shared" si="73"/>
        <v>0.98920000000000008</v>
      </c>
      <c r="J194" s="1147" t="e">
        <f t="shared" si="64"/>
        <v>#NAME?</v>
      </c>
      <c r="L194" s="184"/>
      <c r="M194" s="1166"/>
      <c r="N194" s="1166"/>
      <c r="O194" s="1166"/>
    </row>
    <row r="195" spans="2:15" x14ac:dyDescent="0.2">
      <c r="B195" s="1172">
        <v>205</v>
      </c>
      <c r="C195" s="1120">
        <v>20</v>
      </c>
      <c r="D195" s="1150">
        <f t="shared" si="71"/>
        <v>60.914999999999999</v>
      </c>
      <c r="E195" s="1122">
        <f t="shared" si="56"/>
        <v>0.97576467364499997</v>
      </c>
      <c r="F195" s="1122">
        <f t="shared" si="52"/>
        <v>8.1431510204605448</v>
      </c>
      <c r="G195" s="1150">
        <f t="shared" si="72"/>
        <v>0.44499999999999995</v>
      </c>
      <c r="H195" s="1121">
        <f t="shared" si="57"/>
        <v>0.45605258318861686</v>
      </c>
      <c r="I195" s="1173">
        <f t="shared" si="73"/>
        <v>0.98950000000000005</v>
      </c>
      <c r="J195" s="1124" t="e">
        <f t="shared" si="64"/>
        <v>#NAME?</v>
      </c>
      <c r="L195" s="184"/>
      <c r="M195" s="1166"/>
      <c r="N195" s="1166"/>
      <c r="O195" s="1166"/>
    </row>
    <row r="196" spans="2:15" x14ac:dyDescent="0.2">
      <c r="B196" s="1164">
        <v>206</v>
      </c>
      <c r="C196" s="1165">
        <v>20</v>
      </c>
      <c r="D196" s="1132">
        <f t="shared" si="71"/>
        <v>60.887999999999998</v>
      </c>
      <c r="E196" s="1133">
        <f t="shared" si="56"/>
        <v>0.97533217514399995</v>
      </c>
      <c r="F196" s="1133">
        <f t="shared" si="52"/>
        <v>8.1395416454699436</v>
      </c>
      <c r="G196" s="1132">
        <f t="shared" si="72"/>
        <v>0.44199999999999995</v>
      </c>
      <c r="H196" s="1134">
        <f t="shared" si="57"/>
        <v>0.45317893868798309</v>
      </c>
      <c r="I196" s="1135">
        <f t="shared" si="73"/>
        <v>0.98980000000000012</v>
      </c>
      <c r="J196" s="1136" t="e">
        <f t="shared" si="64"/>
        <v>#NAME?</v>
      </c>
      <c r="L196" s="184"/>
      <c r="M196" s="1166"/>
      <c r="N196" s="1166"/>
      <c r="O196" s="1166"/>
    </row>
    <row r="197" spans="2:15" x14ac:dyDescent="0.2">
      <c r="B197" s="1164">
        <v>207</v>
      </c>
      <c r="C197" s="1165">
        <v>20</v>
      </c>
      <c r="D197" s="1132">
        <f t="shared" si="71"/>
        <v>60.861000000000004</v>
      </c>
      <c r="E197" s="1133">
        <f t="shared" si="56"/>
        <v>0.97489967664300003</v>
      </c>
      <c r="F197" s="1133">
        <f t="shared" si="52"/>
        <v>8.1359322704793442</v>
      </c>
      <c r="G197" s="1132">
        <f t="shared" si="72"/>
        <v>0.43899999999999995</v>
      </c>
      <c r="H197" s="1134">
        <f t="shared" si="57"/>
        <v>0.45030274449537849</v>
      </c>
      <c r="I197" s="1135">
        <f t="shared" si="73"/>
        <v>0.99010000000000009</v>
      </c>
      <c r="J197" s="1136" t="e">
        <f t="shared" si="64"/>
        <v>#NAME?</v>
      </c>
      <c r="L197" s="184"/>
      <c r="M197" s="1166"/>
      <c r="N197" s="1166"/>
      <c r="O197" s="1166"/>
    </row>
    <row r="198" spans="2:15" x14ac:dyDescent="0.2">
      <c r="B198" s="1164">
        <v>208</v>
      </c>
      <c r="C198" s="1165">
        <v>20</v>
      </c>
      <c r="D198" s="1132">
        <f t="shared" si="71"/>
        <v>60.834000000000003</v>
      </c>
      <c r="E198" s="1133">
        <f t="shared" si="56"/>
        <v>0.97446717814200001</v>
      </c>
      <c r="F198" s="1133">
        <f t="shared" si="52"/>
        <v>8.132322895488743</v>
      </c>
      <c r="G198" s="1132">
        <f t="shared" si="72"/>
        <v>0.43599999999999994</v>
      </c>
      <c r="H198" s="1134">
        <f t="shared" si="57"/>
        <v>0.44742399721590803</v>
      </c>
      <c r="I198" s="1135">
        <f t="shared" si="73"/>
        <v>0.99040000000000006</v>
      </c>
      <c r="J198" s="1136" t="e">
        <f t="shared" si="64"/>
        <v>#NAME?</v>
      </c>
      <c r="L198" s="184"/>
      <c r="M198" s="1166"/>
      <c r="N198" s="1166"/>
      <c r="O198" s="1166"/>
    </row>
    <row r="199" spans="2:15" ht="13.5" thickBot="1" x14ac:dyDescent="0.25">
      <c r="B199" s="1167">
        <v>209</v>
      </c>
      <c r="C199" s="1168">
        <v>20</v>
      </c>
      <c r="D199" s="1169">
        <f t="shared" si="71"/>
        <v>60.807000000000002</v>
      </c>
      <c r="E199" s="1170">
        <f t="shared" si="56"/>
        <v>0.97403467964099999</v>
      </c>
      <c r="F199" s="1144">
        <f t="shared" si="52"/>
        <v>8.1287135204981418</v>
      </c>
      <c r="G199" s="1169">
        <f t="shared" si="72"/>
        <v>0.43299999999999994</v>
      </c>
      <c r="H199" s="1171">
        <f t="shared" si="57"/>
        <v>0.44454269344864678</v>
      </c>
      <c r="I199" s="1135">
        <f t="shared" si="73"/>
        <v>0.99070000000000014</v>
      </c>
      <c r="J199" s="1147" t="e">
        <f t="shared" si="64"/>
        <v>#NAME?</v>
      </c>
      <c r="L199" s="184"/>
      <c r="M199" s="1166"/>
      <c r="N199" s="1166"/>
      <c r="O199" s="1166"/>
    </row>
    <row r="200" spans="2:15" ht="13.5" thickBot="1" x14ac:dyDescent="0.25">
      <c r="B200" s="1176">
        <v>210</v>
      </c>
      <c r="C200" s="1177">
        <v>20</v>
      </c>
      <c r="D200" s="1178">
        <v>60.78</v>
      </c>
      <c r="E200" s="1179">
        <f t="shared" si="56"/>
        <v>0.97360218114000008</v>
      </c>
      <c r="F200" s="1179">
        <f t="shared" si="52"/>
        <v>8.1251041455075423</v>
      </c>
      <c r="G200" s="1178">
        <v>0.43</v>
      </c>
      <c r="H200" s="1178">
        <f t="shared" si="57"/>
        <v>0.44165882978662691</v>
      </c>
      <c r="I200" s="1180">
        <v>0.99099999999999999</v>
      </c>
      <c r="J200" s="1181" t="e">
        <f t="shared" si="64"/>
        <v>#NAME?</v>
      </c>
      <c r="L200" s="184"/>
      <c r="M200" s="1166"/>
      <c r="N200" s="1166"/>
      <c r="O200" s="1182"/>
    </row>
    <row r="201" spans="2:15" x14ac:dyDescent="0.2">
      <c r="I201" s="1183"/>
      <c r="J201" s="1183"/>
      <c r="O201" s="1182"/>
    </row>
    <row r="202" spans="2:15" x14ac:dyDescent="0.2">
      <c r="I202" s="1183"/>
      <c r="J202" s="1183"/>
      <c r="O202" s="1166"/>
    </row>
    <row r="203" spans="2:15" x14ac:dyDescent="0.2">
      <c r="I203" s="1183"/>
      <c r="J203" s="1183"/>
      <c r="O203" s="1166"/>
    </row>
    <row r="204" spans="2:15" x14ac:dyDescent="0.2">
      <c r="I204" s="1183"/>
      <c r="J204" s="1183"/>
      <c r="O204" s="1166"/>
    </row>
    <row r="205" spans="2:15" x14ac:dyDescent="0.2">
      <c r="I205" s="1183"/>
      <c r="J205" s="1183"/>
      <c r="O205" s="1166"/>
    </row>
    <row r="206" spans="2:15" x14ac:dyDescent="0.2">
      <c r="I206" s="1183"/>
      <c r="J206" s="1183"/>
      <c r="O206" s="1166"/>
    </row>
    <row r="207" spans="2:15" x14ac:dyDescent="0.2">
      <c r="I207" s="1183"/>
      <c r="J207" s="1183"/>
      <c r="O207" s="1166"/>
    </row>
    <row r="208" spans="2:15" x14ac:dyDescent="0.2">
      <c r="I208" s="1183"/>
      <c r="J208" s="1183"/>
      <c r="O208" s="1166"/>
    </row>
    <row r="209" spans="9:15" x14ac:dyDescent="0.2">
      <c r="I209" s="1183"/>
      <c r="J209" s="1183"/>
      <c r="O209" s="1166"/>
    </row>
    <row r="210" spans="9:15" x14ac:dyDescent="0.2">
      <c r="I210" s="1183"/>
      <c r="J210" s="1183"/>
      <c r="O210" s="1166"/>
    </row>
  </sheetData>
  <sheetProtection sheet="1" objects="1" scenarios="1" selectLockedCells="1" selectUnlockedCells="1"/>
  <pageMargins left="0.75" right="0.75" top="1" bottom="1" header="0.5" footer="0.5"/>
  <pageSetup scale="47" fitToHeight="3"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B788DD-051B-41E3-A51B-8BCBC862E40B}">
  <sheetPr codeName="Sheet16">
    <pageSetUpPr fitToPage="1"/>
  </sheetPr>
  <dimension ref="A3:BD215"/>
  <sheetViews>
    <sheetView topLeftCell="A4" workbookViewId="0">
      <selection activeCell="B20" sqref="B20:J210"/>
    </sheetView>
  </sheetViews>
  <sheetFormatPr defaultRowHeight="12.75" x14ac:dyDescent="0.2"/>
  <cols>
    <col min="1" max="1" width="9.140625" style="184"/>
    <col min="4" max="6" width="9.140625" style="1098"/>
    <col min="7" max="10" width="11.42578125" customWidth="1"/>
    <col min="11" max="11" width="6.85546875" customWidth="1"/>
    <col min="14" max="15" width="9.7109375" customWidth="1"/>
    <col min="17" max="17" width="11.5703125" customWidth="1"/>
    <col min="18" max="18" width="11" customWidth="1"/>
    <col min="19" max="19" width="5" customWidth="1"/>
  </cols>
  <sheetData>
    <row r="3" spans="2:56" ht="18" x14ac:dyDescent="0.25">
      <c r="B3" s="1097" t="s">
        <v>1060</v>
      </c>
      <c r="U3" s="1097" t="s">
        <v>1060</v>
      </c>
      <c r="W3" s="1098"/>
      <c r="X3" s="1098"/>
      <c r="Y3" s="1098"/>
      <c r="AN3" s="1097" t="s">
        <v>1060</v>
      </c>
      <c r="AP3" s="1098"/>
      <c r="AQ3" s="1098"/>
      <c r="AR3" s="1098"/>
    </row>
    <row r="4" spans="2:56" ht="13.5" thickBot="1" x14ac:dyDescent="0.25">
      <c r="B4" s="1099">
        <v>1</v>
      </c>
      <c r="C4" s="1099">
        <v>2</v>
      </c>
      <c r="D4" s="1099">
        <v>3</v>
      </c>
      <c r="E4" s="1099">
        <v>4</v>
      </c>
      <c r="F4" s="1099">
        <v>5</v>
      </c>
      <c r="G4" s="1099">
        <v>6</v>
      </c>
      <c r="H4" s="1099">
        <v>7</v>
      </c>
      <c r="I4" s="1099">
        <v>8</v>
      </c>
      <c r="J4" s="1099">
        <v>9</v>
      </c>
      <c r="W4" s="1098"/>
      <c r="X4" s="1098"/>
      <c r="Y4" s="1098"/>
      <c r="AP4" s="1098"/>
      <c r="AQ4" s="1098"/>
      <c r="AR4" s="1098"/>
    </row>
    <row r="5" spans="2:56" s="179" customFormat="1" x14ac:dyDescent="0.2">
      <c r="B5" s="1100"/>
      <c r="C5" s="1101" t="s">
        <v>735</v>
      </c>
      <c r="D5" s="1102"/>
      <c r="E5" s="1102"/>
      <c r="F5" s="1102"/>
      <c r="G5" s="1101" t="s">
        <v>1061</v>
      </c>
      <c r="H5" s="1184"/>
      <c r="I5" s="1103"/>
      <c r="J5" s="1104"/>
      <c r="N5" s="179" t="s">
        <v>1061</v>
      </c>
      <c r="AN5" s="1100"/>
      <c r="AO5" s="1101" t="s">
        <v>735</v>
      </c>
      <c r="AP5" s="1102"/>
      <c r="AQ5" s="1102"/>
      <c r="AR5" s="1102"/>
      <c r="AS5" s="1101" t="s">
        <v>1061</v>
      </c>
      <c r="AT5" s="1184"/>
      <c r="AU5" s="1104"/>
      <c r="AY5" s="179" t="s">
        <v>1061</v>
      </c>
    </row>
    <row r="6" spans="2:56" s="179" customFormat="1" x14ac:dyDescent="0.2">
      <c r="B6" s="1105" t="s">
        <v>605</v>
      </c>
      <c r="C6" s="1106" t="s">
        <v>1062</v>
      </c>
      <c r="D6" s="1107"/>
      <c r="E6" s="1107"/>
      <c r="F6" s="1107"/>
      <c r="G6" s="1106" t="s">
        <v>1063</v>
      </c>
      <c r="H6" s="1185" t="s">
        <v>1064</v>
      </c>
      <c r="I6" s="1108" t="s">
        <v>1065</v>
      </c>
      <c r="J6" s="1109" t="s">
        <v>1065</v>
      </c>
      <c r="L6" s="179" t="s">
        <v>605</v>
      </c>
      <c r="N6" s="179" t="s">
        <v>1063</v>
      </c>
      <c r="O6" s="1110" t="s">
        <v>1065</v>
      </c>
      <c r="AN6" s="1105" t="s">
        <v>605</v>
      </c>
      <c r="AO6" s="1106" t="s">
        <v>1062</v>
      </c>
      <c r="AP6" s="1107"/>
      <c r="AQ6" s="1107"/>
      <c r="AR6" s="1107"/>
      <c r="AS6" s="1106" t="s">
        <v>1063</v>
      </c>
      <c r="AT6" s="1185" t="s">
        <v>1064</v>
      </c>
      <c r="AU6" s="1109" t="s">
        <v>1065</v>
      </c>
      <c r="AW6" s="179" t="s">
        <v>605</v>
      </c>
      <c r="AY6" s="179" t="s">
        <v>1063</v>
      </c>
      <c r="AZ6" s="1110" t="s">
        <v>1065</v>
      </c>
    </row>
    <row r="7" spans="2:56" s="179" customFormat="1" x14ac:dyDescent="0.2">
      <c r="B7" s="1105" t="s">
        <v>840</v>
      </c>
      <c r="C7" s="1106" t="s">
        <v>614</v>
      </c>
      <c r="D7" s="1107" t="s">
        <v>1066</v>
      </c>
      <c r="E7" s="1107" t="s">
        <v>1066</v>
      </c>
      <c r="F7" s="1107"/>
      <c r="G7" s="1106" t="s">
        <v>1067</v>
      </c>
      <c r="H7" s="1185" t="s">
        <v>1067</v>
      </c>
      <c r="I7" s="1108" t="s">
        <v>1068</v>
      </c>
      <c r="J7" s="1109" t="s">
        <v>1069</v>
      </c>
      <c r="L7" s="179" t="s">
        <v>840</v>
      </c>
      <c r="M7" s="1111" t="s">
        <v>1066</v>
      </c>
      <c r="N7" s="179" t="s">
        <v>1067</v>
      </c>
      <c r="O7" s="1110" t="s">
        <v>1068</v>
      </c>
      <c r="AN7" s="1105" t="s">
        <v>840</v>
      </c>
      <c r="AO7" s="1106" t="s">
        <v>614</v>
      </c>
      <c r="AP7" s="1107" t="s">
        <v>1066</v>
      </c>
      <c r="AQ7" s="1107" t="s">
        <v>1066</v>
      </c>
      <c r="AR7" s="1107"/>
      <c r="AS7" s="1106" t="s">
        <v>1067</v>
      </c>
      <c r="AT7" s="1185" t="s">
        <v>1067</v>
      </c>
      <c r="AU7" s="1109" t="s">
        <v>1068</v>
      </c>
      <c r="AW7" s="179" t="s">
        <v>840</v>
      </c>
      <c r="AX7" s="1111" t="s">
        <v>1066</v>
      </c>
      <c r="AY7" s="179" t="s">
        <v>1067</v>
      </c>
      <c r="AZ7" s="1110" t="s">
        <v>1068</v>
      </c>
    </row>
    <row r="8" spans="2:56" s="179" customFormat="1" ht="14.25" x14ac:dyDescent="0.2">
      <c r="B8" s="1112" t="s">
        <v>1070</v>
      </c>
      <c r="C8" s="1113" t="s">
        <v>1071</v>
      </c>
      <c r="D8" s="1114" t="s">
        <v>1072</v>
      </c>
      <c r="E8" s="1107" t="s">
        <v>1073</v>
      </c>
      <c r="F8" s="1107" t="s">
        <v>1074</v>
      </c>
      <c r="G8" s="1106" t="s">
        <v>1075</v>
      </c>
      <c r="H8" s="1185" t="s">
        <v>1076</v>
      </c>
      <c r="I8" s="1108" t="s">
        <v>1077</v>
      </c>
      <c r="J8" s="1109"/>
      <c r="L8" s="1115" t="s">
        <v>1070</v>
      </c>
      <c r="M8" s="1116" t="s">
        <v>1072</v>
      </c>
      <c r="N8" s="179" t="s">
        <v>1075</v>
      </c>
      <c r="O8" s="1110" t="s">
        <v>1077</v>
      </c>
      <c r="AN8" s="1112" t="s">
        <v>1070</v>
      </c>
      <c r="AO8" s="1113" t="s">
        <v>1071</v>
      </c>
      <c r="AP8" s="1114" t="s">
        <v>1072</v>
      </c>
      <c r="AQ8" s="1107" t="s">
        <v>1073</v>
      </c>
      <c r="AR8" s="1107" t="s">
        <v>1074</v>
      </c>
      <c r="AS8" s="1106" t="s">
        <v>1075</v>
      </c>
      <c r="AT8" s="1185" t="s">
        <v>1076</v>
      </c>
      <c r="AU8" s="1109" t="s">
        <v>1077</v>
      </c>
      <c r="AW8" s="1115" t="s">
        <v>1070</v>
      </c>
      <c r="AX8" s="1116" t="s">
        <v>1072</v>
      </c>
      <c r="AY8" s="179" t="s">
        <v>1075</v>
      </c>
      <c r="AZ8" s="1110" t="s">
        <v>1077</v>
      </c>
    </row>
    <row r="9" spans="2:56" s="179" customFormat="1" ht="13.5" thickBot="1" x14ac:dyDescent="0.25">
      <c r="B9" s="1105"/>
      <c r="C9" s="1106"/>
      <c r="D9" s="1107" t="s">
        <v>1078</v>
      </c>
      <c r="E9" s="1107" t="s">
        <v>1078</v>
      </c>
      <c r="F9" s="1107"/>
      <c r="G9" s="1106" t="s">
        <v>1079</v>
      </c>
      <c r="H9" s="1185" t="s">
        <v>1080</v>
      </c>
      <c r="I9" s="1117"/>
      <c r="J9" s="1118"/>
      <c r="AN9" s="1105"/>
      <c r="AO9" s="1106"/>
      <c r="AP9" s="1107" t="s">
        <v>1078</v>
      </c>
      <c r="AQ9" s="1107" t="s">
        <v>1078</v>
      </c>
      <c r="AR9" s="1107"/>
      <c r="AS9" s="1106" t="s">
        <v>1079</v>
      </c>
      <c r="AT9" s="1185" t="s">
        <v>1080</v>
      </c>
      <c r="AU9" s="1118"/>
    </row>
    <row r="10" spans="2:56" s="179" customFormat="1" x14ac:dyDescent="0.2">
      <c r="B10" s="1119"/>
      <c r="C10" s="1120"/>
      <c r="D10" s="1121"/>
      <c r="E10" s="1122"/>
      <c r="F10" s="1122"/>
      <c r="G10" s="1121"/>
      <c r="H10" s="1186"/>
      <c r="I10" s="1123"/>
      <c r="J10" s="1124"/>
      <c r="L10" s="1125">
        <f>B10</f>
        <v>0</v>
      </c>
      <c r="M10" s="1126">
        <f>D10</f>
        <v>0</v>
      </c>
      <c r="N10" s="1126">
        <f>G10</f>
        <v>0</v>
      </c>
      <c r="O10" s="1127">
        <f>I10</f>
        <v>0</v>
      </c>
      <c r="Q10" s="1128" t="s">
        <v>1081</v>
      </c>
      <c r="R10" s="1129"/>
      <c r="S10"/>
      <c r="T10"/>
      <c r="AN10" s="1119">
        <v>10</v>
      </c>
      <c r="AO10" s="1120">
        <v>30</v>
      </c>
      <c r="AP10" s="1121">
        <v>65</v>
      </c>
      <c r="AQ10" s="1122">
        <f t="shared" ref="AQ10:AQ73" si="0">AP10*0.016018463</f>
        <v>1.041200095</v>
      </c>
      <c r="AR10" s="1122">
        <f>AP10/7.4805195</f>
        <v>8.6892360884828932</v>
      </c>
      <c r="AS10" s="1121">
        <v>13.42</v>
      </c>
      <c r="AT10" s="1186">
        <f t="shared" ref="AT10:AT73" si="1">AS10/AQ10</f>
        <v>12.888973084467496</v>
      </c>
      <c r="AU10" s="1124">
        <v>0.89800000000000002</v>
      </c>
      <c r="AW10" s="1125">
        <f>AN10</f>
        <v>10</v>
      </c>
      <c r="AX10" s="1126">
        <f>AP10</f>
        <v>65</v>
      </c>
      <c r="AY10" s="1126">
        <f>AS10</f>
        <v>13.42</v>
      </c>
      <c r="AZ10" s="1127">
        <f>AU10</f>
        <v>0.89800000000000002</v>
      </c>
      <c r="BB10" s="1128" t="s">
        <v>1081</v>
      </c>
      <c r="BC10" s="1129"/>
      <c r="BD10"/>
    </row>
    <row r="11" spans="2:56" s="179" customFormat="1" x14ac:dyDescent="0.2">
      <c r="B11" s="1130"/>
      <c r="C11" s="1131"/>
      <c r="D11" s="1132"/>
      <c r="E11" s="1133"/>
      <c r="F11" s="1133"/>
      <c r="G11" s="1132"/>
      <c r="H11" s="1187"/>
      <c r="I11" s="1135"/>
      <c r="J11" s="1136"/>
      <c r="L11" s="1125">
        <f>B20</f>
        <v>20</v>
      </c>
      <c r="M11" s="1126">
        <f>D20</f>
        <v>64.564999999999998</v>
      </c>
      <c r="N11" s="1126">
        <f>G20</f>
        <v>7.625</v>
      </c>
      <c r="O11" s="1127">
        <f>I20</f>
        <v>0.91899999999999993</v>
      </c>
      <c r="Q11" s="1137" t="s">
        <v>559</v>
      </c>
      <c r="R11" s="1138" t="s">
        <v>1082</v>
      </c>
      <c r="S11"/>
      <c r="T11"/>
      <c r="AN11" s="1130">
        <v>11</v>
      </c>
      <c r="AO11" s="1131">
        <v>30</v>
      </c>
      <c r="AP11" s="1132">
        <f>FORECAST(AN11,$M$10:$M$11,$L$10:$L$11)</f>
        <v>35.510750000000002</v>
      </c>
      <c r="AQ11" s="1133">
        <f t="shared" si="0"/>
        <v>0.56882763497725009</v>
      </c>
      <c r="AR11" s="1133">
        <f t="shared" ref="AR11:AR74" si="2">AP11/7.4805195</f>
        <v>4.7470967758322136</v>
      </c>
      <c r="AS11" s="1132">
        <f>FORECAST(AN11,$N$10:$N$11,$L$10:$L$11)</f>
        <v>4.1937499999999996</v>
      </c>
      <c r="AT11" s="1187">
        <f t="shared" si="1"/>
        <v>7.372620003189061</v>
      </c>
      <c r="AU11" s="1188">
        <f>FORECAST(AN11,$O$10:$O$11,$L$10:$L$11)</f>
        <v>0.50544999999999995</v>
      </c>
      <c r="AW11" s="1125">
        <f>AN20</f>
        <v>20</v>
      </c>
      <c r="AX11" s="1126">
        <f>AP20</f>
        <v>64.900000000000006</v>
      </c>
      <c r="AY11" s="1126">
        <f>AS20</f>
        <v>9.89</v>
      </c>
      <c r="AZ11" s="1127">
        <f>AU20</f>
        <v>0.90200000000000002</v>
      </c>
      <c r="BB11" s="1137" t="s">
        <v>559</v>
      </c>
      <c r="BC11" s="1138" t="s">
        <v>1082</v>
      </c>
      <c r="BD11"/>
    </row>
    <row r="12" spans="2:56" s="179" customFormat="1" x14ac:dyDescent="0.2">
      <c r="B12" s="1130"/>
      <c r="C12" s="1131"/>
      <c r="D12" s="1132"/>
      <c r="E12" s="1133"/>
      <c r="F12" s="1133"/>
      <c r="G12" s="1132"/>
      <c r="H12" s="1187"/>
      <c r="I12" s="1135"/>
      <c r="J12" s="1136"/>
      <c r="Q12" s="1139">
        <v>80</v>
      </c>
      <c r="R12" s="1140">
        <v>1.63</v>
      </c>
      <c r="S12"/>
      <c r="T12"/>
      <c r="AN12" s="1130">
        <v>12</v>
      </c>
      <c r="AO12" s="1131">
        <v>30</v>
      </c>
      <c r="AP12" s="1132">
        <f t="shared" ref="AP12:AP19" si="3">FORECAST(AN12,$M$10:$M$11,$L$10:$L$11)</f>
        <v>38.739000000000004</v>
      </c>
      <c r="AQ12" s="1133">
        <f t="shared" si="0"/>
        <v>0.62053923815700007</v>
      </c>
      <c r="AR12" s="1133">
        <f t="shared" si="2"/>
        <v>5.1786510281805969</v>
      </c>
      <c r="AS12" s="1132">
        <f t="shared" ref="AS12:AS19" si="4">FORECAST(AN12,$N$10:$N$11,$L$10:$L$11)</f>
        <v>4.5749999999999993</v>
      </c>
      <c r="AT12" s="1187">
        <f t="shared" si="1"/>
        <v>7.372620003189061</v>
      </c>
      <c r="AU12" s="1188">
        <f t="shared" ref="AU12:AU19" si="5">FORECAST(AN12,$O$10:$O$11,$L$10:$L$11)</f>
        <v>0.5514</v>
      </c>
      <c r="BB12" s="1139">
        <v>80</v>
      </c>
      <c r="BC12" s="1140">
        <v>1.63</v>
      </c>
      <c r="BD12"/>
    </row>
    <row r="13" spans="2:56" s="179" customFormat="1" x14ac:dyDescent="0.2">
      <c r="B13" s="1130"/>
      <c r="C13" s="1131"/>
      <c r="D13" s="1132"/>
      <c r="E13" s="1133"/>
      <c r="F13" s="1133"/>
      <c r="G13" s="1132"/>
      <c r="H13" s="1187"/>
      <c r="I13" s="1135"/>
      <c r="J13" s="1136"/>
      <c r="L13" s="1189"/>
      <c r="M13" s="1190"/>
      <c r="N13" s="1190"/>
      <c r="O13" s="1190"/>
      <c r="Q13" s="1139">
        <v>90</v>
      </c>
      <c r="R13" s="1140">
        <v>1.41</v>
      </c>
      <c r="AN13" s="1130">
        <v>13</v>
      </c>
      <c r="AO13" s="1131">
        <v>30</v>
      </c>
      <c r="AP13" s="1132">
        <f t="shared" si="3"/>
        <v>41.96725</v>
      </c>
      <c r="AQ13" s="1133">
        <f t="shared" si="0"/>
        <v>0.67225084133675006</v>
      </c>
      <c r="AR13" s="1133">
        <f t="shared" si="2"/>
        <v>5.6102052805289793</v>
      </c>
      <c r="AS13" s="1132">
        <f t="shared" si="4"/>
        <v>4.9562499999999998</v>
      </c>
      <c r="AT13" s="1187">
        <f t="shared" si="1"/>
        <v>7.3726200031890619</v>
      </c>
      <c r="AU13" s="1188">
        <f t="shared" si="5"/>
        <v>0.59734999999999994</v>
      </c>
      <c r="BB13" s="1139">
        <v>90</v>
      </c>
      <c r="BC13" s="1140">
        <v>1.41</v>
      </c>
    </row>
    <row r="14" spans="2:56" s="179" customFormat="1" ht="13.5" thickBot="1" x14ac:dyDescent="0.25">
      <c r="B14" s="1141"/>
      <c r="C14" s="1142"/>
      <c r="D14" s="1143"/>
      <c r="E14" s="1144"/>
      <c r="F14" s="1144"/>
      <c r="G14" s="1143"/>
      <c r="H14" s="1191"/>
      <c r="I14" s="1146"/>
      <c r="J14" s="1147"/>
      <c r="L14" s="1190"/>
      <c r="M14" s="1190"/>
      <c r="N14" s="1190"/>
      <c r="O14" s="1190"/>
      <c r="Q14" s="1137"/>
      <c r="R14" s="1138"/>
      <c r="AN14" s="1141">
        <v>14</v>
      </c>
      <c r="AO14" s="1142">
        <v>30</v>
      </c>
      <c r="AP14" s="1143">
        <f t="shared" si="3"/>
        <v>45.195500000000003</v>
      </c>
      <c r="AQ14" s="1144">
        <f t="shared" si="0"/>
        <v>0.72396244451650005</v>
      </c>
      <c r="AR14" s="1144">
        <f t="shared" si="2"/>
        <v>6.0417595328773626</v>
      </c>
      <c r="AS14" s="1143">
        <f t="shared" si="4"/>
        <v>5.3374999999999995</v>
      </c>
      <c r="AT14" s="1191">
        <f t="shared" si="1"/>
        <v>7.3726200031890619</v>
      </c>
      <c r="AU14" s="1192">
        <f t="shared" si="5"/>
        <v>0.64329999999999998</v>
      </c>
      <c r="BB14" s="1137"/>
      <c r="BC14" s="1138"/>
    </row>
    <row r="15" spans="2:56" s="179" customFormat="1" x14ac:dyDescent="0.2">
      <c r="B15" s="1148"/>
      <c r="C15" s="1149"/>
      <c r="D15" s="1150"/>
      <c r="E15" s="1122"/>
      <c r="F15" s="1122"/>
      <c r="G15" s="1150"/>
      <c r="H15" s="1186"/>
      <c r="I15" s="1151"/>
      <c r="J15" s="1193"/>
      <c r="L15" s="1190"/>
      <c r="M15" s="1190"/>
      <c r="N15" s="1190"/>
      <c r="O15" s="1190"/>
      <c r="Q15" s="1152">
        <v>88</v>
      </c>
      <c r="R15" s="1153">
        <f>FORECAST(Q15,R12:R13,Q12:Q13)</f>
        <v>1.4539999999999997</v>
      </c>
      <c r="U15" s="1100"/>
      <c r="V15" s="1101" t="s">
        <v>735</v>
      </c>
      <c r="W15" s="1102"/>
      <c r="X15" s="1102"/>
      <c r="Y15" s="1102"/>
      <c r="Z15" s="1101" t="s">
        <v>1061</v>
      </c>
      <c r="AA15" s="1194"/>
      <c r="AB15" s="1104"/>
      <c r="AF15" s="179" t="s">
        <v>1061</v>
      </c>
      <c r="AN15" s="1148">
        <v>15</v>
      </c>
      <c r="AO15" s="1149">
        <v>30</v>
      </c>
      <c r="AP15" s="1150">
        <f t="shared" si="3"/>
        <v>48.423749999999998</v>
      </c>
      <c r="AQ15" s="1122">
        <f t="shared" si="0"/>
        <v>0.77567404769625004</v>
      </c>
      <c r="AR15" s="1122">
        <f t="shared" si="2"/>
        <v>6.473313785225745</v>
      </c>
      <c r="AS15" s="1150">
        <f t="shared" si="4"/>
        <v>5.71875</v>
      </c>
      <c r="AT15" s="1186">
        <f t="shared" si="1"/>
        <v>7.3726200031890627</v>
      </c>
      <c r="AU15" s="1195">
        <f t="shared" si="5"/>
        <v>0.68924999999999992</v>
      </c>
      <c r="BB15" s="1152">
        <v>88</v>
      </c>
      <c r="BC15" s="1153">
        <f>FORECAST(BB15,BC12:BC13,BB12:BB13)</f>
        <v>1.4539999999999997</v>
      </c>
    </row>
    <row r="16" spans="2:56" s="179" customFormat="1" x14ac:dyDescent="0.2">
      <c r="B16" s="1130"/>
      <c r="C16" s="1131"/>
      <c r="D16" s="1132"/>
      <c r="E16" s="1133"/>
      <c r="F16" s="1133"/>
      <c r="G16" s="1132"/>
      <c r="H16" s="1187"/>
      <c r="I16" s="1135"/>
      <c r="J16" s="1136"/>
      <c r="Q16" s="204"/>
      <c r="R16" s="1154"/>
      <c r="U16" s="1105" t="s">
        <v>605</v>
      </c>
      <c r="V16" s="1106" t="s">
        <v>1062</v>
      </c>
      <c r="W16" s="1107"/>
      <c r="X16" s="1107"/>
      <c r="Y16" s="1107"/>
      <c r="Z16" s="1106" t="s">
        <v>1063</v>
      </c>
      <c r="AA16" s="1196" t="s">
        <v>1064</v>
      </c>
      <c r="AB16" s="1109" t="s">
        <v>1065</v>
      </c>
      <c r="AD16" s="179" t="s">
        <v>605</v>
      </c>
      <c r="AF16" s="179" t="s">
        <v>1063</v>
      </c>
      <c r="AG16" s="1110" t="s">
        <v>1065</v>
      </c>
      <c r="AN16" s="1130">
        <v>16</v>
      </c>
      <c r="AO16" s="1131">
        <v>30</v>
      </c>
      <c r="AP16" s="1132">
        <f t="shared" si="3"/>
        <v>51.652000000000001</v>
      </c>
      <c r="AQ16" s="1133">
        <f t="shared" si="0"/>
        <v>0.82738565087600002</v>
      </c>
      <c r="AR16" s="1133">
        <f t="shared" si="2"/>
        <v>6.9048680375741291</v>
      </c>
      <c r="AS16" s="1132">
        <f t="shared" si="4"/>
        <v>6.1</v>
      </c>
      <c r="AT16" s="1187">
        <f t="shared" si="1"/>
        <v>7.3726200031890619</v>
      </c>
      <c r="AU16" s="1188">
        <f t="shared" si="5"/>
        <v>0.73519999999999996</v>
      </c>
      <c r="BB16" s="204"/>
      <c r="BC16" s="1154"/>
    </row>
    <row r="17" spans="2:55" s="179" customFormat="1" x14ac:dyDescent="0.2">
      <c r="B17" s="1130"/>
      <c r="C17" s="1131"/>
      <c r="D17" s="1132"/>
      <c r="E17" s="1133"/>
      <c r="F17" s="1133"/>
      <c r="G17" s="1132"/>
      <c r="H17" s="1187"/>
      <c r="I17" s="1135"/>
      <c r="J17" s="1136"/>
      <c r="Q17" s="1155" t="s">
        <v>1083</v>
      </c>
      <c r="R17" s="1156"/>
      <c r="U17" s="1105" t="s">
        <v>840</v>
      </c>
      <c r="V17" s="1106" t="s">
        <v>614</v>
      </c>
      <c r="W17" s="1107" t="s">
        <v>1066</v>
      </c>
      <c r="X17" s="1107" t="s">
        <v>1066</v>
      </c>
      <c r="Y17" s="1107"/>
      <c r="Z17" s="1106" t="s">
        <v>1067</v>
      </c>
      <c r="AA17" s="1196" t="s">
        <v>1067</v>
      </c>
      <c r="AB17" s="1109" t="s">
        <v>1068</v>
      </c>
      <c r="AD17" s="179" t="s">
        <v>840</v>
      </c>
      <c r="AE17" s="1111" t="s">
        <v>1066</v>
      </c>
      <c r="AF17" s="179" t="s">
        <v>1067</v>
      </c>
      <c r="AG17" s="1110" t="s">
        <v>1068</v>
      </c>
      <c r="AN17" s="1130">
        <v>17</v>
      </c>
      <c r="AO17" s="1131">
        <v>30</v>
      </c>
      <c r="AP17" s="1132">
        <f t="shared" si="3"/>
        <v>54.880250000000004</v>
      </c>
      <c r="AQ17" s="1133">
        <f t="shared" si="0"/>
        <v>0.87909725405575012</v>
      </c>
      <c r="AR17" s="1133">
        <f t="shared" si="2"/>
        <v>7.3364222899225124</v>
      </c>
      <c r="AS17" s="1132">
        <f t="shared" si="4"/>
        <v>6.4812499999999993</v>
      </c>
      <c r="AT17" s="1187">
        <f t="shared" si="1"/>
        <v>7.372620003189061</v>
      </c>
      <c r="AU17" s="1188">
        <f t="shared" si="5"/>
        <v>0.78115000000000001</v>
      </c>
      <c r="BB17" s="1155" t="s">
        <v>1083</v>
      </c>
      <c r="BC17" s="1156"/>
    </row>
    <row r="18" spans="2:55" s="179" customFormat="1" ht="15" thickBot="1" x14ac:dyDescent="0.25">
      <c r="B18" s="1130"/>
      <c r="C18" s="1131"/>
      <c r="D18" s="1132"/>
      <c r="E18" s="1133"/>
      <c r="F18" s="1133"/>
      <c r="G18" s="1132"/>
      <c r="H18" s="1187"/>
      <c r="I18" s="1135"/>
      <c r="J18" s="1136"/>
      <c r="Q18" s="1157" t="s">
        <v>1084</v>
      </c>
      <c r="R18" s="1158"/>
      <c r="U18" s="1112" t="s">
        <v>1070</v>
      </c>
      <c r="V18" s="1113" t="s">
        <v>1071</v>
      </c>
      <c r="W18" s="1114" t="s">
        <v>1072</v>
      </c>
      <c r="X18" s="1107" t="s">
        <v>1073</v>
      </c>
      <c r="Y18" s="1107" t="s">
        <v>1074</v>
      </c>
      <c r="Z18" s="1106" t="s">
        <v>1075</v>
      </c>
      <c r="AA18" s="1196" t="s">
        <v>1076</v>
      </c>
      <c r="AB18" s="1109" t="s">
        <v>1077</v>
      </c>
      <c r="AD18" s="1115" t="s">
        <v>1070</v>
      </c>
      <c r="AE18" s="1116" t="s">
        <v>1072</v>
      </c>
      <c r="AF18" s="179" t="s">
        <v>1075</v>
      </c>
      <c r="AG18" s="1110" t="s">
        <v>1077</v>
      </c>
      <c r="AN18" s="1130">
        <v>18</v>
      </c>
      <c r="AO18" s="1131">
        <v>30</v>
      </c>
      <c r="AP18" s="1132">
        <f t="shared" si="3"/>
        <v>58.108499999999999</v>
      </c>
      <c r="AQ18" s="1133">
        <f t="shared" si="0"/>
        <v>0.9308088572355</v>
      </c>
      <c r="AR18" s="1133">
        <f t="shared" si="2"/>
        <v>7.7679765422708948</v>
      </c>
      <c r="AS18" s="1132">
        <f t="shared" si="4"/>
        <v>6.8624999999999998</v>
      </c>
      <c r="AT18" s="1187">
        <f t="shared" si="1"/>
        <v>7.3726200031890627</v>
      </c>
      <c r="AU18" s="1188">
        <f t="shared" si="5"/>
        <v>0.82709999999999995</v>
      </c>
      <c r="BB18" s="1157" t="s">
        <v>1084</v>
      </c>
      <c r="BC18" s="1158"/>
    </row>
    <row r="19" spans="2:55" s="179" customFormat="1" ht="13.5" thickBot="1" x14ac:dyDescent="0.25">
      <c r="B19" s="1141"/>
      <c r="C19" s="1142"/>
      <c r="D19" s="1143"/>
      <c r="E19" s="1144"/>
      <c r="F19" s="1144"/>
      <c r="G19" s="1143"/>
      <c r="H19" s="1191"/>
      <c r="I19" s="1135"/>
      <c r="J19" s="1136"/>
      <c r="Q19"/>
      <c r="R19"/>
      <c r="U19" s="1105"/>
      <c r="V19" s="1106"/>
      <c r="W19" s="1107" t="s">
        <v>1078</v>
      </c>
      <c r="X19" s="1107" t="s">
        <v>1078</v>
      </c>
      <c r="Y19" s="1107"/>
      <c r="Z19" s="1106" t="s">
        <v>1079</v>
      </c>
      <c r="AA19" s="1196" t="s">
        <v>1080</v>
      </c>
      <c r="AB19" s="1118"/>
      <c r="AN19" s="1141">
        <v>19</v>
      </c>
      <c r="AO19" s="1142">
        <v>30</v>
      </c>
      <c r="AP19" s="1143">
        <f t="shared" si="3"/>
        <v>61.336750000000002</v>
      </c>
      <c r="AQ19" s="1144">
        <f t="shared" si="0"/>
        <v>0.9825204604152501</v>
      </c>
      <c r="AR19" s="1144">
        <f t="shared" si="2"/>
        <v>8.1995307946192781</v>
      </c>
      <c r="AS19" s="1143">
        <f t="shared" si="4"/>
        <v>7.2437499999999995</v>
      </c>
      <c r="AT19" s="1191">
        <f t="shared" si="1"/>
        <v>7.3726200031890619</v>
      </c>
      <c r="AU19" s="1188">
        <f t="shared" si="5"/>
        <v>0.87304999999999999</v>
      </c>
      <c r="BB19"/>
      <c r="BC19"/>
    </row>
    <row r="20" spans="2:55" s="179" customFormat="1" x14ac:dyDescent="0.2">
      <c r="B20" s="1160">
        <v>20</v>
      </c>
      <c r="C20" s="1120">
        <v>25</v>
      </c>
      <c r="D20" s="1121">
        <f>FORECAST(C20,M24:M25,L24:L25)</f>
        <v>64.564999999999998</v>
      </c>
      <c r="E20" s="1122">
        <f t="shared" ref="E20:E83" si="6">D20*0.016018463</f>
        <v>1.034232063595</v>
      </c>
      <c r="F20" s="1122">
        <f t="shared" ref="F20:F83" si="7">D20/7.4805195</f>
        <v>8.6310850469676605</v>
      </c>
      <c r="G20" s="1121">
        <f>FORECAST(C20,N24:N25,L24:L25)</f>
        <v>7.625</v>
      </c>
      <c r="H20" s="1197">
        <f t="shared" ref="H20:H83" si="8">G20/E20</f>
        <v>7.3726200031890627</v>
      </c>
      <c r="I20" s="1123">
        <f>FORECAST(C20,O24:O25,L24:L25)</f>
        <v>0.91899999999999993</v>
      </c>
      <c r="J20" s="1124" t="e">
        <f t="shared" ref="J20:J51" si="9">E20/VLOOKUP(60,Water,6,FALSE)</f>
        <v>#NAME?</v>
      </c>
      <c r="L20" s="1125">
        <f>B20</f>
        <v>20</v>
      </c>
      <c r="M20" s="1126">
        <f>D20</f>
        <v>64.564999999999998</v>
      </c>
      <c r="N20" s="1126">
        <f>G20</f>
        <v>7.625</v>
      </c>
      <c r="O20" s="1127">
        <f>I20</f>
        <v>0.91899999999999993</v>
      </c>
      <c r="Q20"/>
      <c r="R20"/>
      <c r="U20" s="1119">
        <v>20</v>
      </c>
      <c r="V20" s="1120">
        <v>20</v>
      </c>
      <c r="W20" s="1121">
        <v>64.23</v>
      </c>
      <c r="X20" s="1122">
        <f t="shared" ref="X20:X29" si="10">W20*0.016018463</f>
        <v>1.02886587849</v>
      </c>
      <c r="Y20" s="1122">
        <f>W20/7.4805195</f>
        <v>8.5863020609731731</v>
      </c>
      <c r="Z20" s="1121">
        <v>5.36</v>
      </c>
      <c r="AA20" s="1198">
        <f t="shared" ref="AA20:AA29" si="11">Z20/X20</f>
        <v>5.2096197493365475</v>
      </c>
      <c r="AB20" s="1124">
        <v>0.93600000000000005</v>
      </c>
      <c r="AD20" s="1125">
        <f>U20</f>
        <v>20</v>
      </c>
      <c r="AE20" s="1126">
        <f>W20</f>
        <v>64.23</v>
      </c>
      <c r="AF20" s="1126">
        <f>Z20</f>
        <v>5.36</v>
      </c>
      <c r="AG20" s="1127">
        <f>AB20</f>
        <v>0.93600000000000005</v>
      </c>
      <c r="AI20" s="1128" t="s">
        <v>1081</v>
      </c>
      <c r="AJ20" s="1129"/>
      <c r="AK20"/>
      <c r="AN20" s="1160">
        <v>20</v>
      </c>
      <c r="AO20" s="1161">
        <v>30</v>
      </c>
      <c r="AP20" s="1121">
        <v>64.900000000000006</v>
      </c>
      <c r="AQ20" s="1122">
        <f t="shared" si="0"/>
        <v>1.0395982487000002</v>
      </c>
      <c r="AR20" s="1122">
        <f t="shared" si="2"/>
        <v>8.6758680329621498</v>
      </c>
      <c r="AS20" s="1121">
        <v>9.89</v>
      </c>
      <c r="AT20" s="1197">
        <f t="shared" si="1"/>
        <v>9.5132903622791556</v>
      </c>
      <c r="AU20" s="1124">
        <v>0.90200000000000002</v>
      </c>
      <c r="AW20" s="1125">
        <f>AN20</f>
        <v>20</v>
      </c>
      <c r="AX20" s="1126">
        <f>AP20</f>
        <v>64.900000000000006</v>
      </c>
      <c r="AY20" s="1126">
        <f>AS20</f>
        <v>9.89</v>
      </c>
      <c r="AZ20" s="1127">
        <f>AU20</f>
        <v>0.90200000000000002</v>
      </c>
      <c r="BB20"/>
      <c r="BC20"/>
    </row>
    <row r="21" spans="2:55" s="179" customFormat="1" x14ac:dyDescent="0.2">
      <c r="B21" s="1130">
        <v>21</v>
      </c>
      <c r="C21" s="1131">
        <v>25</v>
      </c>
      <c r="D21" s="1132">
        <f t="shared" ref="D21:D29" si="12">FORECAST(B21,$M$20:$M$21,$L$20:$L$21)</f>
        <v>64.554999999999993</v>
      </c>
      <c r="E21" s="1133">
        <f t="shared" si="6"/>
        <v>1.0340718789649999</v>
      </c>
      <c r="F21" s="1133">
        <f t="shared" si="7"/>
        <v>8.6297482414155855</v>
      </c>
      <c r="G21" s="1132">
        <f t="shared" ref="G21:G29" si="13">FORECAST(B21,$N$20:$N$21,$L$20:$L$21)</f>
        <v>7.4470000000000001</v>
      </c>
      <c r="H21" s="1187">
        <f t="shared" si="8"/>
        <v>7.2016270353021152</v>
      </c>
      <c r="I21" s="1135">
        <f>FORECAST(B21,$O$20:$O$21,$L$20:$L$21)</f>
        <v>0.9192999999999999</v>
      </c>
      <c r="J21" s="1136" t="e">
        <f t="shared" si="9"/>
        <v>#NAME?</v>
      </c>
      <c r="L21" s="1125">
        <f>B30</f>
        <v>30</v>
      </c>
      <c r="M21" s="1126">
        <f>D30</f>
        <v>64.465000000000003</v>
      </c>
      <c r="N21" s="1126">
        <f>G30</f>
        <v>5.8450000000000006</v>
      </c>
      <c r="O21" s="1127">
        <f>I30</f>
        <v>0.92199999999999993</v>
      </c>
      <c r="Q21"/>
      <c r="R21"/>
      <c r="U21" s="1130">
        <v>21</v>
      </c>
      <c r="V21" s="1131">
        <v>20</v>
      </c>
      <c r="W21" s="1132">
        <f>FORECAST(U21,$M$10:$M$11,$L$10:$L$11)</f>
        <v>67.79325</v>
      </c>
      <c r="X21" s="1133">
        <f t="shared" si="10"/>
        <v>1.08594366677475</v>
      </c>
      <c r="Y21" s="1133">
        <f t="shared" ref="Y21:Y84" si="14">W21/7.4805195</f>
        <v>9.062639299316043</v>
      </c>
      <c r="Z21" s="1132">
        <f>FORECAST(U21,$N$10:$N$11,$L$10:$L$11)</f>
        <v>8.0062499999999996</v>
      </c>
      <c r="AA21" s="1199">
        <f t="shared" si="11"/>
        <v>7.3726200031890627</v>
      </c>
      <c r="AB21" s="1188">
        <f>FORECAST(U21,$O$10:$O$11,$L$10:$L$11)</f>
        <v>0.96494999999999997</v>
      </c>
      <c r="AD21" s="1125">
        <f>U30</f>
        <v>30</v>
      </c>
      <c r="AE21" s="1126">
        <f>W30</f>
        <v>64.14</v>
      </c>
      <c r="AF21" s="1126">
        <f>Z30</f>
        <v>4.2300000000000004</v>
      </c>
      <c r="AG21" s="1127">
        <f>AB30</f>
        <v>0.93799999999999994</v>
      </c>
      <c r="AI21" s="1137" t="s">
        <v>559</v>
      </c>
      <c r="AJ21" s="1138" t="s">
        <v>1082</v>
      </c>
      <c r="AK21"/>
      <c r="AN21" s="1130">
        <v>21</v>
      </c>
      <c r="AO21" s="1131">
        <v>30</v>
      </c>
      <c r="AP21" s="1132">
        <f t="shared" ref="AP21:AP29" si="15">FORECAST(AN21,$M$20:$M$21,$L$20:$L$21)</f>
        <v>64.554999999999993</v>
      </c>
      <c r="AQ21" s="1133">
        <f t="shared" si="0"/>
        <v>1.0340718789649999</v>
      </c>
      <c r="AR21" s="1133">
        <f t="shared" si="2"/>
        <v>8.6297482414155855</v>
      </c>
      <c r="AS21" s="1132">
        <f t="shared" ref="AS21:AS29" si="16">FORECAST(AN21,$N$20:$N$21,$L$20:$L$21)</f>
        <v>7.4470000000000001</v>
      </c>
      <c r="AT21" s="1187">
        <f t="shared" si="1"/>
        <v>7.2016270353021152</v>
      </c>
      <c r="AU21" s="1188">
        <f>FORECAST(AN21,$O$20:$O$21,$L$20:$L$21)</f>
        <v>0.9192999999999999</v>
      </c>
      <c r="AW21" s="1125">
        <f>AN30</f>
        <v>30</v>
      </c>
      <c r="AX21" s="1126">
        <f>AP30</f>
        <v>64.790000000000006</v>
      </c>
      <c r="AY21" s="1126">
        <f>AS30</f>
        <v>7.46</v>
      </c>
      <c r="AZ21" s="1127">
        <f>AU30</f>
        <v>0.90600000000000003</v>
      </c>
      <c r="BB21"/>
      <c r="BC21"/>
    </row>
    <row r="22" spans="2:55" s="179" customFormat="1" x14ac:dyDescent="0.2">
      <c r="B22" s="1130">
        <v>22</v>
      </c>
      <c r="C22" s="1131">
        <v>25</v>
      </c>
      <c r="D22" s="1132">
        <f t="shared" si="12"/>
        <v>64.545000000000002</v>
      </c>
      <c r="E22" s="1133">
        <f t="shared" si="6"/>
        <v>1.033911694335</v>
      </c>
      <c r="F22" s="1133">
        <f t="shared" si="7"/>
        <v>8.6284114358635122</v>
      </c>
      <c r="G22" s="1132">
        <f t="shared" si="13"/>
        <v>7.2690000000000001</v>
      </c>
      <c r="H22" s="1187">
        <f t="shared" si="8"/>
        <v>7.0305810833055107</v>
      </c>
      <c r="I22" s="1135">
        <f t="shared" ref="I22:I29" si="17">FORECAST(B22,$O$20:$O$21,$L$20:$L$21)</f>
        <v>0.91959999999999997</v>
      </c>
      <c r="J22" s="1136" t="e">
        <f t="shared" si="9"/>
        <v>#NAME?</v>
      </c>
      <c r="Q22" t="s">
        <v>1085</v>
      </c>
      <c r="R22"/>
      <c r="U22" s="1130">
        <v>22</v>
      </c>
      <c r="V22" s="1131">
        <v>20</v>
      </c>
      <c r="W22" s="1132">
        <f t="shared" ref="W22:W29" si="18">FORECAST(U22,$M$10:$M$11,$L$10:$L$11)</f>
        <v>71.021500000000003</v>
      </c>
      <c r="X22" s="1133">
        <f t="shared" si="10"/>
        <v>1.1376552699545002</v>
      </c>
      <c r="Y22" s="1133">
        <f t="shared" si="14"/>
        <v>9.4941935516644271</v>
      </c>
      <c r="Z22" s="1132">
        <f t="shared" ref="Z22:Z29" si="19">FORECAST(U22,$N$10:$N$11,$L$10:$L$11)</f>
        <v>8.3874999999999993</v>
      </c>
      <c r="AA22" s="1199">
        <f t="shared" si="11"/>
        <v>7.372620003189061</v>
      </c>
      <c r="AB22" s="1188">
        <f t="shared" ref="AB22:AB29" si="20">FORECAST(U22,$O$10:$O$11,$L$10:$L$11)</f>
        <v>1.0108999999999999</v>
      </c>
      <c r="AI22" s="1139">
        <v>80</v>
      </c>
      <c r="AJ22" s="1140">
        <v>1.63</v>
      </c>
      <c r="AK22"/>
      <c r="AN22" s="1130">
        <v>22</v>
      </c>
      <c r="AO22" s="1131">
        <v>30</v>
      </c>
      <c r="AP22" s="1132">
        <f t="shared" si="15"/>
        <v>64.545000000000002</v>
      </c>
      <c r="AQ22" s="1133">
        <f t="shared" si="0"/>
        <v>1.033911694335</v>
      </c>
      <c r="AR22" s="1133">
        <f t="shared" si="2"/>
        <v>8.6284114358635122</v>
      </c>
      <c r="AS22" s="1132">
        <f t="shared" si="16"/>
        <v>7.2690000000000001</v>
      </c>
      <c r="AT22" s="1187">
        <f t="shared" si="1"/>
        <v>7.0305810833055107</v>
      </c>
      <c r="AU22" s="1188">
        <f t="shared" ref="AU22:AU29" si="21">FORECAST(AN22,$O$20:$O$21,$L$20:$L$21)</f>
        <v>0.91959999999999997</v>
      </c>
      <c r="BB22" t="s">
        <v>1085</v>
      </c>
      <c r="BC22"/>
    </row>
    <row r="23" spans="2:55" s="179" customFormat="1" x14ac:dyDescent="0.2">
      <c r="B23" s="1130">
        <v>23</v>
      </c>
      <c r="C23" s="1131">
        <v>25</v>
      </c>
      <c r="D23" s="1132">
        <f t="shared" si="12"/>
        <v>64.534999999999997</v>
      </c>
      <c r="E23" s="1133">
        <f t="shared" si="6"/>
        <v>1.0337515097049998</v>
      </c>
      <c r="F23" s="1133">
        <f t="shared" si="7"/>
        <v>8.6270746303114372</v>
      </c>
      <c r="G23" s="1132">
        <f t="shared" si="13"/>
        <v>7.0910000000000002</v>
      </c>
      <c r="H23" s="1187">
        <f t="shared" si="8"/>
        <v>6.8594821225688447</v>
      </c>
      <c r="I23" s="1135">
        <f t="shared" si="17"/>
        <v>0.91989999999999994</v>
      </c>
      <c r="J23" s="1136" t="e">
        <f t="shared" si="9"/>
        <v>#NAME?</v>
      </c>
      <c r="L23" s="1189" t="s">
        <v>1089</v>
      </c>
      <c r="Q23" t="s">
        <v>1086</v>
      </c>
      <c r="R23"/>
      <c r="U23" s="1130">
        <v>23</v>
      </c>
      <c r="V23" s="1131">
        <v>20</v>
      </c>
      <c r="W23" s="1132">
        <f t="shared" si="18"/>
        <v>74.249750000000006</v>
      </c>
      <c r="X23" s="1133">
        <f t="shared" si="10"/>
        <v>1.1893668731342502</v>
      </c>
      <c r="Y23" s="1133">
        <f t="shared" si="14"/>
        <v>9.9257478040128113</v>
      </c>
      <c r="Z23" s="1132">
        <f t="shared" si="19"/>
        <v>8.7687499999999989</v>
      </c>
      <c r="AA23" s="1199">
        <f t="shared" si="11"/>
        <v>7.372620003189061</v>
      </c>
      <c r="AB23" s="1188">
        <f t="shared" si="20"/>
        <v>1.0568499999999998</v>
      </c>
      <c r="AI23" s="1139">
        <v>90</v>
      </c>
      <c r="AJ23" s="1140">
        <v>1.41</v>
      </c>
      <c r="AN23" s="1130">
        <v>23</v>
      </c>
      <c r="AO23" s="1131">
        <v>30</v>
      </c>
      <c r="AP23" s="1132">
        <f t="shared" si="15"/>
        <v>64.534999999999997</v>
      </c>
      <c r="AQ23" s="1133">
        <f t="shared" si="0"/>
        <v>1.0337515097049998</v>
      </c>
      <c r="AR23" s="1133">
        <f t="shared" si="2"/>
        <v>8.6270746303114372</v>
      </c>
      <c r="AS23" s="1132">
        <f t="shared" si="16"/>
        <v>7.0910000000000002</v>
      </c>
      <c r="AT23" s="1187">
        <f t="shared" si="1"/>
        <v>6.8594821225688447</v>
      </c>
      <c r="AU23" s="1188">
        <f t="shared" si="21"/>
        <v>0.91989999999999994</v>
      </c>
      <c r="BB23" t="s">
        <v>1086</v>
      </c>
      <c r="BC23"/>
    </row>
    <row r="24" spans="2:55" s="179" customFormat="1" ht="13.5" thickBot="1" x14ac:dyDescent="0.25">
      <c r="B24" s="1141">
        <v>24</v>
      </c>
      <c r="C24" s="1142">
        <v>25</v>
      </c>
      <c r="D24" s="1143">
        <f t="shared" si="12"/>
        <v>64.525000000000006</v>
      </c>
      <c r="E24" s="1144">
        <f t="shared" si="6"/>
        <v>1.0335913250750002</v>
      </c>
      <c r="F24" s="1144">
        <f t="shared" si="7"/>
        <v>8.6257378247593639</v>
      </c>
      <c r="G24" s="1143">
        <f t="shared" si="13"/>
        <v>6.9130000000000003</v>
      </c>
      <c r="H24" s="1191">
        <f t="shared" si="8"/>
        <v>6.688330128446438</v>
      </c>
      <c r="I24" s="1146">
        <f t="shared" si="17"/>
        <v>0.92019999999999991</v>
      </c>
      <c r="J24" s="1147" t="e">
        <f t="shared" si="9"/>
        <v>#NAME?</v>
      </c>
      <c r="L24" s="1190">
        <v>20</v>
      </c>
      <c r="M24" s="1200">
        <f>W20</f>
        <v>64.23</v>
      </c>
      <c r="N24" s="1200">
        <f>Z20</f>
        <v>5.36</v>
      </c>
      <c r="O24" s="1201">
        <f>AB20</f>
        <v>0.93600000000000005</v>
      </c>
      <c r="Q24" t="s">
        <v>1087</v>
      </c>
      <c r="R24"/>
      <c r="U24" s="1141">
        <v>24</v>
      </c>
      <c r="V24" s="1142">
        <v>20</v>
      </c>
      <c r="W24" s="1143">
        <f t="shared" si="18"/>
        <v>77.478000000000009</v>
      </c>
      <c r="X24" s="1144">
        <f t="shared" si="10"/>
        <v>1.2410784763140001</v>
      </c>
      <c r="Y24" s="1144">
        <f t="shared" si="14"/>
        <v>10.357302056361194</v>
      </c>
      <c r="Z24" s="1143">
        <f t="shared" si="19"/>
        <v>9.1499999999999986</v>
      </c>
      <c r="AA24" s="1202">
        <f t="shared" si="11"/>
        <v>7.372620003189061</v>
      </c>
      <c r="AB24" s="1192">
        <f t="shared" si="20"/>
        <v>1.1028</v>
      </c>
      <c r="AI24" s="1137"/>
      <c r="AJ24" s="1138"/>
      <c r="AN24" s="1141">
        <v>24</v>
      </c>
      <c r="AO24" s="1142">
        <v>30</v>
      </c>
      <c r="AP24" s="1143">
        <f t="shared" si="15"/>
        <v>64.525000000000006</v>
      </c>
      <c r="AQ24" s="1144">
        <f t="shared" si="0"/>
        <v>1.0335913250750002</v>
      </c>
      <c r="AR24" s="1144">
        <f t="shared" si="2"/>
        <v>8.6257378247593639</v>
      </c>
      <c r="AS24" s="1143">
        <f t="shared" si="16"/>
        <v>6.9130000000000003</v>
      </c>
      <c r="AT24" s="1191">
        <f t="shared" si="1"/>
        <v>6.688330128446438</v>
      </c>
      <c r="AU24" s="1192">
        <f t="shared" si="21"/>
        <v>0.92019999999999991</v>
      </c>
      <c r="BB24" t="s">
        <v>1087</v>
      </c>
      <c r="BC24"/>
    </row>
    <row r="25" spans="2:55" s="179" customFormat="1" x14ac:dyDescent="0.2">
      <c r="B25" s="1148">
        <v>25</v>
      </c>
      <c r="C25" s="1149">
        <v>25</v>
      </c>
      <c r="D25" s="1150">
        <f t="shared" si="12"/>
        <v>64.515000000000001</v>
      </c>
      <c r="E25" s="1122">
        <f t="shared" si="6"/>
        <v>1.0334311404450001</v>
      </c>
      <c r="F25" s="1122">
        <f t="shared" si="7"/>
        <v>8.6244010192072889</v>
      </c>
      <c r="G25" s="1150">
        <f t="shared" si="13"/>
        <v>6.7350000000000003</v>
      </c>
      <c r="H25" s="1186">
        <f t="shared" si="8"/>
        <v>6.5171250762773409</v>
      </c>
      <c r="I25" s="1173">
        <f t="shared" si="17"/>
        <v>0.92049999999999987</v>
      </c>
      <c r="J25" s="1124" t="e">
        <f t="shared" si="9"/>
        <v>#NAME?</v>
      </c>
      <c r="L25" s="1190">
        <v>30</v>
      </c>
      <c r="M25" s="1200">
        <f>AP20</f>
        <v>64.900000000000006</v>
      </c>
      <c r="N25" s="1200">
        <f>AS20</f>
        <v>9.89</v>
      </c>
      <c r="O25" s="1201">
        <f>AU20</f>
        <v>0.90200000000000002</v>
      </c>
      <c r="Q25" t="s">
        <v>1088</v>
      </c>
      <c r="R25"/>
      <c r="U25" s="1148">
        <v>25</v>
      </c>
      <c r="V25" s="1149">
        <v>20</v>
      </c>
      <c r="W25" s="1150">
        <f t="shared" si="18"/>
        <v>80.706249999999997</v>
      </c>
      <c r="X25" s="1122">
        <f t="shared" si="10"/>
        <v>1.2927900794937499</v>
      </c>
      <c r="Y25" s="1122">
        <f t="shared" si="14"/>
        <v>10.788856308709576</v>
      </c>
      <c r="Z25" s="1150">
        <f t="shared" si="19"/>
        <v>9.53125</v>
      </c>
      <c r="AA25" s="1198">
        <f t="shared" si="11"/>
        <v>7.3726200031890636</v>
      </c>
      <c r="AB25" s="1195">
        <f t="shared" si="20"/>
        <v>1.1487499999999999</v>
      </c>
      <c r="AI25" s="1152">
        <v>88</v>
      </c>
      <c r="AJ25" s="1153">
        <f>FORECAST(AI25,AJ22:AJ23,AI22:AI23)</f>
        <v>1.4539999999999997</v>
      </c>
      <c r="AN25" s="1148">
        <v>25</v>
      </c>
      <c r="AO25" s="1149">
        <v>30</v>
      </c>
      <c r="AP25" s="1150">
        <f t="shared" si="15"/>
        <v>64.515000000000001</v>
      </c>
      <c r="AQ25" s="1122">
        <f t="shared" si="0"/>
        <v>1.0334311404450001</v>
      </c>
      <c r="AR25" s="1122">
        <f t="shared" si="2"/>
        <v>8.6244010192072889</v>
      </c>
      <c r="AS25" s="1150">
        <f t="shared" si="16"/>
        <v>6.7350000000000003</v>
      </c>
      <c r="AT25" s="1186">
        <f t="shared" si="1"/>
        <v>6.5171250762773409</v>
      </c>
      <c r="AU25" s="1203">
        <f t="shared" si="21"/>
        <v>0.92049999999999987</v>
      </c>
      <c r="BB25" t="s">
        <v>1088</v>
      </c>
      <c r="BC25"/>
    </row>
    <row r="26" spans="2:55" s="179" customFormat="1" x14ac:dyDescent="0.2">
      <c r="B26" s="1130">
        <v>26</v>
      </c>
      <c r="C26" s="1131">
        <v>25</v>
      </c>
      <c r="D26" s="1132">
        <f t="shared" si="12"/>
        <v>64.504999999999995</v>
      </c>
      <c r="E26" s="1133">
        <f t="shared" si="6"/>
        <v>1.0332709558149999</v>
      </c>
      <c r="F26" s="1133">
        <f t="shared" si="7"/>
        <v>8.6230642136552138</v>
      </c>
      <c r="G26" s="1132">
        <f t="shared" si="13"/>
        <v>6.5570000000000004</v>
      </c>
      <c r="H26" s="1187">
        <f t="shared" si="8"/>
        <v>6.3458669413853013</v>
      </c>
      <c r="I26" s="1135">
        <f t="shared" si="17"/>
        <v>0.92079999999999995</v>
      </c>
      <c r="J26" s="1136" t="e">
        <f t="shared" si="9"/>
        <v>#NAME?</v>
      </c>
      <c r="U26" s="1130">
        <v>26</v>
      </c>
      <c r="V26" s="1131">
        <v>20</v>
      </c>
      <c r="W26" s="1132">
        <f t="shared" si="18"/>
        <v>83.9345</v>
      </c>
      <c r="X26" s="1133">
        <f t="shared" si="10"/>
        <v>1.3445016826735001</v>
      </c>
      <c r="Y26" s="1133">
        <f t="shared" si="14"/>
        <v>11.220410561057959</v>
      </c>
      <c r="Z26" s="1132">
        <f t="shared" si="19"/>
        <v>9.9124999999999996</v>
      </c>
      <c r="AA26" s="1199">
        <f t="shared" si="11"/>
        <v>7.3726200031890619</v>
      </c>
      <c r="AB26" s="1188">
        <f t="shared" si="20"/>
        <v>1.1946999999999999</v>
      </c>
      <c r="AI26" s="204"/>
      <c r="AJ26" s="1154"/>
      <c r="AN26" s="1130">
        <v>26</v>
      </c>
      <c r="AO26" s="1131">
        <v>30</v>
      </c>
      <c r="AP26" s="1132">
        <f t="shared" si="15"/>
        <v>64.504999999999995</v>
      </c>
      <c r="AQ26" s="1133">
        <f t="shared" si="0"/>
        <v>1.0332709558149999</v>
      </c>
      <c r="AR26" s="1133">
        <f t="shared" si="2"/>
        <v>8.6230642136552138</v>
      </c>
      <c r="AS26" s="1132">
        <f t="shared" si="16"/>
        <v>6.5570000000000004</v>
      </c>
      <c r="AT26" s="1187">
        <f t="shared" si="1"/>
        <v>6.3458669413853013</v>
      </c>
      <c r="AU26" s="1188">
        <f t="shared" si="21"/>
        <v>0.92079999999999995</v>
      </c>
    </row>
    <row r="27" spans="2:55" s="179" customFormat="1" x14ac:dyDescent="0.2">
      <c r="B27" s="1130">
        <v>27</v>
      </c>
      <c r="C27" s="1131">
        <v>25</v>
      </c>
      <c r="D27" s="1132">
        <f t="shared" si="12"/>
        <v>64.495000000000005</v>
      </c>
      <c r="E27" s="1133">
        <f t="shared" si="6"/>
        <v>1.0331107711850001</v>
      </c>
      <c r="F27" s="1133">
        <f t="shared" si="7"/>
        <v>8.6217274081031405</v>
      </c>
      <c r="G27" s="1132">
        <f t="shared" si="13"/>
        <v>6.3790000000000004</v>
      </c>
      <c r="H27" s="1187">
        <f t="shared" si="8"/>
        <v>6.1745556990787653</v>
      </c>
      <c r="I27" s="1135">
        <f t="shared" si="17"/>
        <v>0.92109999999999992</v>
      </c>
      <c r="J27" s="1136" t="e">
        <f t="shared" si="9"/>
        <v>#NAME?</v>
      </c>
      <c r="U27" s="1130">
        <v>27</v>
      </c>
      <c r="V27" s="1131">
        <v>20</v>
      </c>
      <c r="W27" s="1132">
        <f t="shared" si="18"/>
        <v>87.162750000000003</v>
      </c>
      <c r="X27" s="1133">
        <f t="shared" si="10"/>
        <v>1.3962132858532501</v>
      </c>
      <c r="Y27" s="1133">
        <f t="shared" si="14"/>
        <v>11.651964813406343</v>
      </c>
      <c r="Z27" s="1132">
        <f t="shared" si="19"/>
        <v>10.293749999999999</v>
      </c>
      <c r="AA27" s="1199">
        <f t="shared" si="11"/>
        <v>7.3726200031890619</v>
      </c>
      <c r="AB27" s="1188">
        <f t="shared" si="20"/>
        <v>1.24065</v>
      </c>
      <c r="AI27" s="1155" t="s">
        <v>1083</v>
      </c>
      <c r="AJ27" s="1156"/>
      <c r="AN27" s="1130">
        <v>27</v>
      </c>
      <c r="AO27" s="1131">
        <v>30</v>
      </c>
      <c r="AP27" s="1132">
        <f t="shared" si="15"/>
        <v>64.495000000000005</v>
      </c>
      <c r="AQ27" s="1133">
        <f t="shared" si="0"/>
        <v>1.0331107711850001</v>
      </c>
      <c r="AR27" s="1133">
        <f t="shared" si="2"/>
        <v>8.6217274081031405</v>
      </c>
      <c r="AS27" s="1132">
        <f t="shared" si="16"/>
        <v>6.3790000000000004</v>
      </c>
      <c r="AT27" s="1187">
        <f t="shared" si="1"/>
        <v>6.1745556990787653</v>
      </c>
      <c r="AU27" s="1188">
        <f t="shared" si="21"/>
        <v>0.92109999999999992</v>
      </c>
    </row>
    <row r="28" spans="2:55" s="179" customFormat="1" ht="13.5" thickBot="1" x14ac:dyDescent="0.25">
      <c r="B28" s="1130">
        <v>28</v>
      </c>
      <c r="C28" s="1131">
        <v>25</v>
      </c>
      <c r="D28" s="1132">
        <f t="shared" si="12"/>
        <v>64.484999999999999</v>
      </c>
      <c r="E28" s="1133">
        <f t="shared" si="6"/>
        <v>1.0329505865549999</v>
      </c>
      <c r="F28" s="1133">
        <f t="shared" si="7"/>
        <v>8.6203906025510655</v>
      </c>
      <c r="G28" s="1132">
        <f t="shared" si="13"/>
        <v>6.2010000000000005</v>
      </c>
      <c r="H28" s="1187">
        <f t="shared" si="8"/>
        <v>6.0031913246508672</v>
      </c>
      <c r="I28" s="1135">
        <f t="shared" si="17"/>
        <v>0.92139999999999989</v>
      </c>
      <c r="J28" s="1136" t="e">
        <f t="shared" si="9"/>
        <v>#NAME?</v>
      </c>
      <c r="U28" s="1130">
        <v>28</v>
      </c>
      <c r="V28" s="1131">
        <v>20</v>
      </c>
      <c r="W28" s="1132">
        <f t="shared" si="18"/>
        <v>90.391000000000005</v>
      </c>
      <c r="X28" s="1133">
        <f t="shared" si="10"/>
        <v>1.4479248890330001</v>
      </c>
      <c r="Y28" s="1133">
        <f t="shared" si="14"/>
        <v>12.083519065754725</v>
      </c>
      <c r="Z28" s="1132">
        <f t="shared" si="19"/>
        <v>10.674999999999999</v>
      </c>
      <c r="AA28" s="1199">
        <f t="shared" si="11"/>
        <v>7.3726200031890619</v>
      </c>
      <c r="AB28" s="1188">
        <f t="shared" si="20"/>
        <v>1.2866</v>
      </c>
      <c r="AI28" s="1157" t="s">
        <v>1084</v>
      </c>
      <c r="AJ28" s="1158"/>
      <c r="AN28" s="1130">
        <v>28</v>
      </c>
      <c r="AO28" s="1131">
        <v>30</v>
      </c>
      <c r="AP28" s="1132">
        <f t="shared" si="15"/>
        <v>64.484999999999999</v>
      </c>
      <c r="AQ28" s="1133">
        <f t="shared" si="0"/>
        <v>1.0329505865549999</v>
      </c>
      <c r="AR28" s="1133">
        <f t="shared" si="2"/>
        <v>8.6203906025510655</v>
      </c>
      <c r="AS28" s="1132">
        <f t="shared" si="16"/>
        <v>6.2010000000000005</v>
      </c>
      <c r="AT28" s="1187">
        <f t="shared" si="1"/>
        <v>6.0031913246508672</v>
      </c>
      <c r="AU28" s="1188">
        <f t="shared" si="21"/>
        <v>0.92139999999999989</v>
      </c>
    </row>
    <row r="29" spans="2:55" s="179" customFormat="1" ht="13.5" thickBot="1" x14ac:dyDescent="0.25">
      <c r="B29" s="1141">
        <v>29</v>
      </c>
      <c r="C29" s="1142">
        <v>25</v>
      </c>
      <c r="D29" s="1143">
        <f t="shared" si="12"/>
        <v>64.475000000000009</v>
      </c>
      <c r="E29" s="1144">
        <f t="shared" si="6"/>
        <v>1.032790401925</v>
      </c>
      <c r="F29" s="1144">
        <f t="shared" si="7"/>
        <v>8.619053796998994</v>
      </c>
      <c r="G29" s="1143">
        <f t="shared" si="13"/>
        <v>6.0230000000000006</v>
      </c>
      <c r="H29" s="1191">
        <f t="shared" si="8"/>
        <v>5.8317737933794076</v>
      </c>
      <c r="I29" s="1135">
        <f t="shared" si="17"/>
        <v>0.92169999999999996</v>
      </c>
      <c r="J29" s="1147" t="e">
        <f t="shared" si="9"/>
        <v>#NAME?</v>
      </c>
      <c r="U29" s="1159">
        <v>29</v>
      </c>
      <c r="V29" s="1142">
        <v>20</v>
      </c>
      <c r="W29" s="1143">
        <f t="shared" si="18"/>
        <v>93.619250000000008</v>
      </c>
      <c r="X29" s="1144">
        <f t="shared" si="10"/>
        <v>1.4996364922127501</v>
      </c>
      <c r="Y29" s="1144">
        <f t="shared" si="14"/>
        <v>12.515073318103109</v>
      </c>
      <c r="Z29" s="1143">
        <f t="shared" si="19"/>
        <v>11.056249999999999</v>
      </c>
      <c r="AA29" s="1202">
        <f t="shared" si="11"/>
        <v>7.3726200031890619</v>
      </c>
      <c r="AB29" s="1188">
        <f t="shared" si="20"/>
        <v>1.3325499999999999</v>
      </c>
      <c r="AI29"/>
      <c r="AJ29"/>
      <c r="AN29" s="1141">
        <v>29</v>
      </c>
      <c r="AO29" s="1142">
        <v>30</v>
      </c>
      <c r="AP29" s="1143">
        <f t="shared" si="15"/>
        <v>64.475000000000009</v>
      </c>
      <c r="AQ29" s="1144">
        <f t="shared" si="0"/>
        <v>1.032790401925</v>
      </c>
      <c r="AR29" s="1144">
        <f t="shared" si="2"/>
        <v>8.619053796998994</v>
      </c>
      <c r="AS29" s="1143">
        <f t="shared" si="16"/>
        <v>6.0230000000000006</v>
      </c>
      <c r="AT29" s="1191">
        <f t="shared" si="1"/>
        <v>5.8317737933794076</v>
      </c>
      <c r="AU29" s="1188">
        <f t="shared" si="21"/>
        <v>0.92169999999999996</v>
      </c>
    </row>
    <row r="30" spans="2:55" x14ac:dyDescent="0.2">
      <c r="B30" s="1160">
        <v>30</v>
      </c>
      <c r="C30" s="1120">
        <v>25</v>
      </c>
      <c r="D30" s="1121">
        <f>FORECAST(C30,M34:M35,L34:L35)</f>
        <v>64.465000000000003</v>
      </c>
      <c r="E30" s="1163">
        <f t="shared" si="6"/>
        <v>1.0326302172950002</v>
      </c>
      <c r="F30" s="1122">
        <f t="shared" si="7"/>
        <v>8.6177169914469189</v>
      </c>
      <c r="G30" s="1121">
        <f>FORECAST(C30,N34:N35,L34:L35)</f>
        <v>5.8450000000000006</v>
      </c>
      <c r="H30" s="1197">
        <f t="shared" si="8"/>
        <v>5.6603030805268508</v>
      </c>
      <c r="I30" s="1123">
        <f>FORECAST(C30,O34:O35,L34:L35)</f>
        <v>0.92199999999999993</v>
      </c>
      <c r="J30" s="1124" t="e">
        <f t="shared" si="9"/>
        <v>#NAME?</v>
      </c>
      <c r="L30" s="1125">
        <f>B30</f>
        <v>30</v>
      </c>
      <c r="M30" s="1126">
        <f>D30</f>
        <v>64.465000000000003</v>
      </c>
      <c r="N30" s="1126">
        <f>G30</f>
        <v>5.8450000000000006</v>
      </c>
      <c r="O30" s="1127">
        <f>I30</f>
        <v>0.92199999999999993</v>
      </c>
      <c r="U30" s="1160">
        <v>30</v>
      </c>
      <c r="V30" s="1161">
        <v>20</v>
      </c>
      <c r="W30" s="1162">
        <v>64.14</v>
      </c>
      <c r="X30" s="1163">
        <f>W30*0.016018463</f>
        <v>1.0274242168200001</v>
      </c>
      <c r="Y30" s="1122">
        <f t="shared" si="14"/>
        <v>8.5742708110045029</v>
      </c>
      <c r="Z30" s="1162">
        <v>4.2300000000000004</v>
      </c>
      <c r="AA30" s="1204">
        <f>Z30/X30</f>
        <v>4.1170919769560745</v>
      </c>
      <c r="AB30" s="1124">
        <v>0.93799999999999994</v>
      </c>
      <c r="AD30" s="1125">
        <f>U30</f>
        <v>30</v>
      </c>
      <c r="AE30" s="1126">
        <f>W30</f>
        <v>64.14</v>
      </c>
      <c r="AF30" s="1126">
        <f>Z30</f>
        <v>4.2300000000000004</v>
      </c>
      <c r="AG30" s="1127">
        <f>AB30</f>
        <v>0.93799999999999994</v>
      </c>
      <c r="AK30" s="179"/>
      <c r="AN30" s="1160">
        <v>30</v>
      </c>
      <c r="AO30" s="1120">
        <v>30</v>
      </c>
      <c r="AP30" s="1162">
        <v>64.790000000000006</v>
      </c>
      <c r="AQ30" s="1163">
        <f t="shared" si="0"/>
        <v>1.03783621777</v>
      </c>
      <c r="AR30" s="1122">
        <f t="shared" si="2"/>
        <v>8.6611631718893332</v>
      </c>
      <c r="AS30" s="1162">
        <v>7.46</v>
      </c>
      <c r="AT30" s="1197">
        <f t="shared" si="1"/>
        <v>7.18803205387196</v>
      </c>
      <c r="AU30" s="1124">
        <v>0.90600000000000003</v>
      </c>
      <c r="AW30" s="1125">
        <f>AN30</f>
        <v>30</v>
      </c>
      <c r="AX30" s="1126">
        <f>AP30</f>
        <v>64.790000000000006</v>
      </c>
      <c r="AY30" s="1126">
        <f>AS30</f>
        <v>7.46</v>
      </c>
      <c r="AZ30" s="1127">
        <f>AU30</f>
        <v>0.90600000000000003</v>
      </c>
    </row>
    <row r="31" spans="2:55" x14ac:dyDescent="0.2">
      <c r="B31" s="1164">
        <v>31</v>
      </c>
      <c r="C31" s="1131">
        <v>25</v>
      </c>
      <c r="D31" s="1132">
        <f t="shared" ref="D31:D39" si="22">FORECAST(B31,$M$30:$M$31,$L$30:$L$31)</f>
        <v>64.453500000000005</v>
      </c>
      <c r="E31" s="1133">
        <f t="shared" si="6"/>
        <v>1.0324460049705</v>
      </c>
      <c r="F31" s="1133">
        <f t="shared" si="7"/>
        <v>8.6161796650620328</v>
      </c>
      <c r="G31" s="1132">
        <f t="shared" ref="G31:G39" si="23">FORECAST(B31,$N$30:$N$31,$L$30:$L$31)</f>
        <v>5.7185000000000006</v>
      </c>
      <c r="H31" s="1187">
        <f t="shared" si="8"/>
        <v>5.5387884426589409</v>
      </c>
      <c r="I31" s="1135">
        <f>FORECAST(B31,$O$30:$O$31,$L$30:$L$31)</f>
        <v>0.9222999999999999</v>
      </c>
      <c r="J31" s="1136" t="e">
        <f t="shared" si="9"/>
        <v>#NAME?</v>
      </c>
      <c r="L31" s="1125">
        <f>B40</f>
        <v>40</v>
      </c>
      <c r="M31" s="1126">
        <f>D40</f>
        <v>64.349999999999994</v>
      </c>
      <c r="N31" s="1126">
        <f>G40</f>
        <v>4.58</v>
      </c>
      <c r="O31" s="1127">
        <f>I40</f>
        <v>0.92500000000000004</v>
      </c>
      <c r="U31" s="1164">
        <v>31</v>
      </c>
      <c r="V31" s="1165">
        <v>20</v>
      </c>
      <c r="W31" s="1132">
        <f t="shared" ref="W31:W39" si="24">FORECAST(U31,$M$20:$M$21,$L$20:$L$21)</f>
        <v>64.454999999999998</v>
      </c>
      <c r="X31" s="1133">
        <f t="shared" ref="X31:X94" si="25">W31*0.016018463</f>
        <v>1.032470032665</v>
      </c>
      <c r="Y31" s="1133">
        <f t="shared" si="14"/>
        <v>8.6163801858948439</v>
      </c>
      <c r="Z31" s="1132">
        <f t="shared" ref="Z31:Z39" si="26">FORECAST(U31,$N$20:$N$21,$L$20:$L$21)</f>
        <v>5.6670000000000007</v>
      </c>
      <c r="AA31" s="1199">
        <f t="shared" ref="AA31:AA94" si="27">Z31/X31</f>
        <v>5.4887791613403092</v>
      </c>
      <c r="AB31" s="1188">
        <f>FORECAST(U31,$O$20:$O$21,$L$20:$L$21)</f>
        <v>0.9222999999999999</v>
      </c>
      <c r="AD31" s="1125">
        <f>U40</f>
        <v>40</v>
      </c>
      <c r="AE31" s="1126">
        <f>W40</f>
        <v>64.03</v>
      </c>
      <c r="AF31" s="1126">
        <f>Z40</f>
        <v>3.41</v>
      </c>
      <c r="AG31" s="1127">
        <f>AB40</f>
        <v>0.94099999999999995</v>
      </c>
      <c r="AK31" s="179"/>
      <c r="AN31" s="1164">
        <v>31</v>
      </c>
      <c r="AO31" s="1131">
        <v>30</v>
      </c>
      <c r="AP31" s="1132">
        <f t="shared" ref="AP31:AP39" si="28">FORECAST(AN31,$M$30:$M$31,$L$30:$L$31)</f>
        <v>64.453500000000005</v>
      </c>
      <c r="AQ31" s="1133">
        <f t="shared" si="0"/>
        <v>1.0324460049705</v>
      </c>
      <c r="AR31" s="1133">
        <f t="shared" si="2"/>
        <v>8.6161796650620328</v>
      </c>
      <c r="AS31" s="1132">
        <f t="shared" ref="AS31:AS39" si="29">FORECAST(AN31,$N$30:$N$31,$L$30:$L$31)</f>
        <v>5.7185000000000006</v>
      </c>
      <c r="AT31" s="1187">
        <f t="shared" si="1"/>
        <v>5.5387884426589409</v>
      </c>
      <c r="AU31" s="1188">
        <f>FORECAST(AN31,$O$30:$O$31,$L$30:$L$31)</f>
        <v>0.9222999999999999</v>
      </c>
      <c r="AW31" s="1125">
        <f>AN40</f>
        <v>40</v>
      </c>
      <c r="AX31" s="1126">
        <f>AP40</f>
        <v>64.67</v>
      </c>
      <c r="AY31" s="1126">
        <f>AS40</f>
        <v>5.75</v>
      </c>
      <c r="AZ31" s="1127">
        <f>AU40</f>
        <v>0.90900000000000003</v>
      </c>
    </row>
    <row r="32" spans="2:55" x14ac:dyDescent="0.2">
      <c r="B32" s="1164">
        <v>32</v>
      </c>
      <c r="C32" s="1131">
        <v>25</v>
      </c>
      <c r="D32" s="1132">
        <f t="shared" si="22"/>
        <v>64.442000000000007</v>
      </c>
      <c r="E32" s="1133">
        <f t="shared" si="6"/>
        <v>1.032261792646</v>
      </c>
      <c r="F32" s="1133">
        <f t="shared" si="7"/>
        <v>8.6146423386771485</v>
      </c>
      <c r="G32" s="1132">
        <f t="shared" si="23"/>
        <v>5.5920000000000005</v>
      </c>
      <c r="H32" s="1187">
        <f t="shared" si="8"/>
        <v>5.4172304349907288</v>
      </c>
      <c r="I32" s="1135">
        <f t="shared" ref="I32:I39" si="30">FORECAST(B32,$O$30:$O$31,$L$30:$L$31)</f>
        <v>0.92259999999999998</v>
      </c>
      <c r="J32" s="1136" t="e">
        <f t="shared" si="9"/>
        <v>#NAME?</v>
      </c>
      <c r="L32" s="184"/>
      <c r="M32" s="1166"/>
      <c r="N32" s="1166"/>
      <c r="O32" s="1166"/>
      <c r="U32" s="1164">
        <v>32</v>
      </c>
      <c r="V32" s="1165">
        <v>20</v>
      </c>
      <c r="W32" s="1132">
        <f t="shared" si="24"/>
        <v>64.445000000000007</v>
      </c>
      <c r="X32" s="1133">
        <f t="shared" si="25"/>
        <v>1.0323098480350001</v>
      </c>
      <c r="Y32" s="1133">
        <f t="shared" si="14"/>
        <v>8.6150433803427706</v>
      </c>
      <c r="Z32" s="1132">
        <f t="shared" si="26"/>
        <v>5.4890000000000008</v>
      </c>
      <c r="AA32" s="1199">
        <f t="shared" si="27"/>
        <v>5.3172020110515286</v>
      </c>
      <c r="AB32" s="1188">
        <f t="shared" ref="AB32:AB39" si="31">FORECAST(U32,$O$20:$O$21,$L$20:$L$21)</f>
        <v>0.92259999999999998</v>
      </c>
      <c r="AD32" s="184"/>
      <c r="AE32" s="1166"/>
      <c r="AF32" s="1166"/>
      <c r="AG32" s="179"/>
      <c r="AI32" t="s">
        <v>1085</v>
      </c>
      <c r="AK32" s="179"/>
      <c r="AN32" s="1164">
        <v>32</v>
      </c>
      <c r="AO32" s="1131">
        <v>30</v>
      </c>
      <c r="AP32" s="1132">
        <f t="shared" si="28"/>
        <v>64.442000000000007</v>
      </c>
      <c r="AQ32" s="1133">
        <f t="shared" si="0"/>
        <v>1.032261792646</v>
      </c>
      <c r="AR32" s="1133">
        <f t="shared" si="2"/>
        <v>8.6146423386771485</v>
      </c>
      <c r="AS32" s="1132">
        <f t="shared" si="29"/>
        <v>5.5920000000000005</v>
      </c>
      <c r="AT32" s="1187">
        <f t="shared" si="1"/>
        <v>5.4172304349907288</v>
      </c>
      <c r="AU32" s="1188">
        <f t="shared" ref="AU32:AU39" si="32">FORECAST(AN32,$O$30:$O$31,$L$30:$L$31)</f>
        <v>0.92259999999999998</v>
      </c>
      <c r="AW32" s="184"/>
      <c r="AX32" s="1166"/>
      <c r="AY32" s="1166"/>
      <c r="AZ32" s="1166"/>
    </row>
    <row r="33" spans="2:52" x14ac:dyDescent="0.2">
      <c r="B33" s="1164">
        <v>33</v>
      </c>
      <c r="C33" s="1131">
        <v>25</v>
      </c>
      <c r="D33" s="1132">
        <f t="shared" si="22"/>
        <v>64.430499999999995</v>
      </c>
      <c r="E33" s="1133">
        <f t="shared" si="6"/>
        <v>1.0320775803214999</v>
      </c>
      <c r="F33" s="1133">
        <f t="shared" si="7"/>
        <v>8.6131050122922606</v>
      </c>
      <c r="G33" s="1132">
        <f t="shared" si="23"/>
        <v>5.4655000000000005</v>
      </c>
      <c r="H33" s="1187">
        <f t="shared" si="8"/>
        <v>5.2956290342993952</v>
      </c>
      <c r="I33" s="1135">
        <f t="shared" si="30"/>
        <v>0.92289999999999994</v>
      </c>
      <c r="J33" s="1136" t="e">
        <f t="shared" si="9"/>
        <v>#NAME?</v>
      </c>
      <c r="L33" s="1189" t="s">
        <v>1089</v>
      </c>
      <c r="M33" s="179"/>
      <c r="N33" s="179"/>
      <c r="O33" s="179"/>
      <c r="U33" s="1164">
        <v>33</v>
      </c>
      <c r="V33" s="1165">
        <v>20</v>
      </c>
      <c r="W33" s="1132">
        <f t="shared" si="24"/>
        <v>64.435000000000002</v>
      </c>
      <c r="X33" s="1133">
        <f t="shared" si="25"/>
        <v>1.032149663405</v>
      </c>
      <c r="Y33" s="1133">
        <f t="shared" si="14"/>
        <v>8.6137065747906956</v>
      </c>
      <c r="Z33" s="1132">
        <f t="shared" si="26"/>
        <v>5.3110000000000008</v>
      </c>
      <c r="AA33" s="1199">
        <f t="shared" si="27"/>
        <v>5.1455716048768831</v>
      </c>
      <c r="AB33" s="1188">
        <f t="shared" si="31"/>
        <v>0.92289999999999994</v>
      </c>
      <c r="AD33" s="184"/>
      <c r="AE33" s="1166"/>
      <c r="AF33" s="1166"/>
      <c r="AG33" s="179"/>
      <c r="AI33" t="s">
        <v>1086</v>
      </c>
      <c r="AK33" s="179"/>
      <c r="AN33" s="1164">
        <v>33</v>
      </c>
      <c r="AO33" s="1131">
        <v>30</v>
      </c>
      <c r="AP33" s="1132">
        <f t="shared" si="28"/>
        <v>64.430499999999995</v>
      </c>
      <c r="AQ33" s="1133">
        <f t="shared" si="0"/>
        <v>1.0320775803214999</v>
      </c>
      <c r="AR33" s="1133">
        <f t="shared" si="2"/>
        <v>8.6131050122922606</v>
      </c>
      <c r="AS33" s="1132">
        <f t="shared" si="29"/>
        <v>5.4655000000000005</v>
      </c>
      <c r="AT33" s="1187">
        <f t="shared" si="1"/>
        <v>5.2956290342993952</v>
      </c>
      <c r="AU33" s="1188">
        <f t="shared" si="32"/>
        <v>0.92289999999999994</v>
      </c>
      <c r="AW33" s="184"/>
      <c r="AX33" s="1166"/>
      <c r="AY33" s="1166"/>
      <c r="AZ33" s="1166"/>
    </row>
    <row r="34" spans="2:52" ht="13.5" thickBot="1" x14ac:dyDescent="0.25">
      <c r="B34" s="1167">
        <v>34</v>
      </c>
      <c r="C34" s="1142">
        <v>25</v>
      </c>
      <c r="D34" s="1169">
        <f t="shared" si="22"/>
        <v>64.418999999999997</v>
      </c>
      <c r="E34" s="1170">
        <f t="shared" si="6"/>
        <v>1.0318933679969999</v>
      </c>
      <c r="F34" s="1144">
        <f t="shared" si="7"/>
        <v>8.6115676859073762</v>
      </c>
      <c r="G34" s="1169">
        <f t="shared" si="23"/>
        <v>5.3390000000000004</v>
      </c>
      <c r="H34" s="1205">
        <f t="shared" si="8"/>
        <v>5.1739842173455299</v>
      </c>
      <c r="I34" s="1146">
        <f t="shared" si="30"/>
        <v>0.92320000000000002</v>
      </c>
      <c r="J34" s="1147" t="e">
        <f t="shared" si="9"/>
        <v>#NAME?</v>
      </c>
      <c r="L34" s="1190">
        <v>20</v>
      </c>
      <c r="M34" s="1200">
        <f>W30</f>
        <v>64.14</v>
      </c>
      <c r="N34" s="1200">
        <f>Z30</f>
        <v>4.2300000000000004</v>
      </c>
      <c r="O34" s="1201">
        <f>AB30</f>
        <v>0.93799999999999994</v>
      </c>
      <c r="U34" s="1167">
        <v>34</v>
      </c>
      <c r="V34" s="1168">
        <v>20</v>
      </c>
      <c r="W34" s="1169">
        <f t="shared" si="24"/>
        <v>64.425000000000011</v>
      </c>
      <c r="X34" s="1170">
        <f t="shared" si="25"/>
        <v>1.0319894787750001</v>
      </c>
      <c r="Y34" s="1144">
        <f t="shared" si="14"/>
        <v>8.6123697692386223</v>
      </c>
      <c r="Z34" s="1169">
        <f t="shared" si="26"/>
        <v>5.1330000000000009</v>
      </c>
      <c r="AA34" s="1206">
        <f t="shared" si="27"/>
        <v>4.973887918017355</v>
      </c>
      <c r="AB34" s="1192">
        <f t="shared" si="31"/>
        <v>0.92319999999999991</v>
      </c>
      <c r="AD34" s="184"/>
      <c r="AE34" s="1166"/>
      <c r="AF34" s="1166"/>
      <c r="AG34" s="179"/>
      <c r="AI34" t="s">
        <v>1087</v>
      </c>
      <c r="AK34" s="179"/>
      <c r="AN34" s="1167">
        <v>34</v>
      </c>
      <c r="AO34" s="1142">
        <v>30</v>
      </c>
      <c r="AP34" s="1169">
        <f t="shared" si="28"/>
        <v>64.418999999999997</v>
      </c>
      <c r="AQ34" s="1170">
        <f t="shared" si="0"/>
        <v>1.0318933679969999</v>
      </c>
      <c r="AR34" s="1144">
        <f t="shared" si="2"/>
        <v>8.6115676859073762</v>
      </c>
      <c r="AS34" s="1169">
        <f t="shared" si="29"/>
        <v>5.3390000000000004</v>
      </c>
      <c r="AT34" s="1205">
        <f t="shared" si="1"/>
        <v>5.1739842173455299</v>
      </c>
      <c r="AU34" s="1192">
        <f t="shared" si="32"/>
        <v>0.92320000000000002</v>
      </c>
      <c r="AW34" s="184"/>
      <c r="AX34" s="1166"/>
      <c r="AY34" s="1166"/>
      <c r="AZ34" s="1166"/>
    </row>
    <row r="35" spans="2:52" x14ac:dyDescent="0.2">
      <c r="B35" s="1172">
        <v>35</v>
      </c>
      <c r="C35" s="1149">
        <v>25</v>
      </c>
      <c r="D35" s="1150">
        <f t="shared" si="22"/>
        <v>64.407499999999999</v>
      </c>
      <c r="E35" s="1122">
        <f t="shared" si="6"/>
        <v>1.0317091556725</v>
      </c>
      <c r="F35" s="1122">
        <f t="shared" si="7"/>
        <v>8.6100303595224901</v>
      </c>
      <c r="G35" s="1150">
        <f t="shared" si="23"/>
        <v>5.2125000000000004</v>
      </c>
      <c r="H35" s="1186">
        <f t="shared" si="8"/>
        <v>5.0522959608731313</v>
      </c>
      <c r="I35" s="1173">
        <f t="shared" si="30"/>
        <v>0.92349999999999999</v>
      </c>
      <c r="J35" s="1124" t="e">
        <f t="shared" si="9"/>
        <v>#NAME?</v>
      </c>
      <c r="L35" s="1190">
        <v>30</v>
      </c>
      <c r="M35" s="1200">
        <f>AP30</f>
        <v>64.790000000000006</v>
      </c>
      <c r="N35" s="1200">
        <f>AS30</f>
        <v>7.46</v>
      </c>
      <c r="O35" s="1201">
        <f>AU30</f>
        <v>0.90600000000000003</v>
      </c>
      <c r="U35" s="1172">
        <v>35</v>
      </c>
      <c r="V35" s="1120">
        <v>20</v>
      </c>
      <c r="W35" s="1150">
        <f t="shared" si="24"/>
        <v>64.415000000000006</v>
      </c>
      <c r="X35" s="1122">
        <f t="shared" si="25"/>
        <v>1.031829294145</v>
      </c>
      <c r="Y35" s="1122">
        <f t="shared" si="14"/>
        <v>8.6110329636865472</v>
      </c>
      <c r="Z35" s="1150">
        <f t="shared" si="26"/>
        <v>4.955000000000001</v>
      </c>
      <c r="AA35" s="1198">
        <f t="shared" si="27"/>
        <v>4.8021509256585313</v>
      </c>
      <c r="AB35" s="1203">
        <f t="shared" si="31"/>
        <v>0.92349999999999999</v>
      </c>
      <c r="AD35" s="184"/>
      <c r="AE35" s="1166"/>
      <c r="AF35" s="1166"/>
      <c r="AG35" s="179"/>
      <c r="AI35" t="s">
        <v>1088</v>
      </c>
      <c r="AK35" s="179"/>
      <c r="AN35" s="1172">
        <v>35</v>
      </c>
      <c r="AO35" s="1149">
        <v>30</v>
      </c>
      <c r="AP35" s="1150">
        <f t="shared" si="28"/>
        <v>64.407499999999999</v>
      </c>
      <c r="AQ35" s="1122">
        <f t="shared" si="0"/>
        <v>1.0317091556725</v>
      </c>
      <c r="AR35" s="1122">
        <f t="shared" si="2"/>
        <v>8.6100303595224901</v>
      </c>
      <c r="AS35" s="1150">
        <f t="shared" si="29"/>
        <v>5.2125000000000004</v>
      </c>
      <c r="AT35" s="1186">
        <f t="shared" si="1"/>
        <v>5.0522959608731313</v>
      </c>
      <c r="AU35" s="1203">
        <f t="shared" si="32"/>
        <v>0.92349999999999999</v>
      </c>
      <c r="AW35" s="184"/>
      <c r="AX35" s="1166"/>
      <c r="AY35" s="1166"/>
      <c r="AZ35" s="1166"/>
    </row>
    <row r="36" spans="2:52" x14ac:dyDescent="0.2">
      <c r="B36" s="1164">
        <v>36</v>
      </c>
      <c r="C36" s="1131">
        <v>25</v>
      </c>
      <c r="D36" s="1132">
        <f t="shared" si="22"/>
        <v>64.396000000000001</v>
      </c>
      <c r="E36" s="1133">
        <f t="shared" si="6"/>
        <v>1.031524943348</v>
      </c>
      <c r="F36" s="1133">
        <f t="shared" si="7"/>
        <v>8.6084930331376057</v>
      </c>
      <c r="G36" s="1132">
        <f t="shared" si="23"/>
        <v>5.0860000000000003</v>
      </c>
      <c r="H36" s="1187">
        <f t="shared" si="8"/>
        <v>4.9305642416095834</v>
      </c>
      <c r="I36" s="1135">
        <f t="shared" si="30"/>
        <v>0.92379999999999995</v>
      </c>
      <c r="J36" s="1136" t="e">
        <f t="shared" si="9"/>
        <v>#NAME?</v>
      </c>
      <c r="L36" s="184"/>
      <c r="M36" s="1166"/>
      <c r="N36" s="1166"/>
      <c r="O36" s="1166"/>
      <c r="U36" s="1164">
        <v>36</v>
      </c>
      <c r="V36" s="1165">
        <v>20</v>
      </c>
      <c r="W36" s="1132">
        <f t="shared" si="24"/>
        <v>64.405000000000001</v>
      </c>
      <c r="X36" s="1133">
        <f t="shared" si="25"/>
        <v>1.0316691095150001</v>
      </c>
      <c r="Y36" s="1133">
        <f t="shared" si="14"/>
        <v>8.6096961581344722</v>
      </c>
      <c r="Z36" s="1132">
        <f t="shared" si="26"/>
        <v>4.777000000000001</v>
      </c>
      <c r="AA36" s="1199">
        <f t="shared" si="27"/>
        <v>4.6303606029705833</v>
      </c>
      <c r="AB36" s="1188">
        <f t="shared" si="31"/>
        <v>0.92379999999999995</v>
      </c>
      <c r="AD36" s="184"/>
      <c r="AE36" s="1166"/>
      <c r="AF36" s="1166"/>
      <c r="AG36" s="179"/>
      <c r="AN36" s="1164">
        <v>36</v>
      </c>
      <c r="AO36" s="1131">
        <v>30</v>
      </c>
      <c r="AP36" s="1132">
        <f t="shared" si="28"/>
        <v>64.396000000000001</v>
      </c>
      <c r="AQ36" s="1133">
        <f t="shared" si="0"/>
        <v>1.031524943348</v>
      </c>
      <c r="AR36" s="1133">
        <f t="shared" si="2"/>
        <v>8.6084930331376057</v>
      </c>
      <c r="AS36" s="1132">
        <f t="shared" si="29"/>
        <v>5.0860000000000003</v>
      </c>
      <c r="AT36" s="1187">
        <f t="shared" si="1"/>
        <v>4.9305642416095834</v>
      </c>
      <c r="AU36" s="1188">
        <f t="shared" si="32"/>
        <v>0.92379999999999995</v>
      </c>
      <c r="AW36" s="184"/>
      <c r="AX36" s="1166"/>
      <c r="AY36" s="1166"/>
      <c r="AZ36" s="1166"/>
    </row>
    <row r="37" spans="2:52" x14ac:dyDescent="0.2">
      <c r="B37" s="1164">
        <v>37</v>
      </c>
      <c r="C37" s="1131">
        <v>25</v>
      </c>
      <c r="D37" s="1132">
        <f t="shared" si="22"/>
        <v>64.384500000000003</v>
      </c>
      <c r="E37" s="1133">
        <f t="shared" si="6"/>
        <v>1.0313407310235001</v>
      </c>
      <c r="F37" s="1133">
        <f t="shared" si="7"/>
        <v>8.6069557067527196</v>
      </c>
      <c r="G37" s="1132">
        <f t="shared" si="23"/>
        <v>4.9595000000000002</v>
      </c>
      <c r="H37" s="1187">
        <f t="shared" si="8"/>
        <v>4.808789036265642</v>
      </c>
      <c r="I37" s="1135">
        <f t="shared" si="30"/>
        <v>0.92410000000000003</v>
      </c>
      <c r="J37" s="1136" t="e">
        <f t="shared" si="9"/>
        <v>#NAME?</v>
      </c>
      <c r="L37" s="184"/>
      <c r="M37" s="1166"/>
      <c r="N37" s="1166"/>
      <c r="O37" s="1166"/>
      <c r="U37" s="1164">
        <v>37</v>
      </c>
      <c r="V37" s="1165">
        <v>20</v>
      </c>
      <c r="W37" s="1132">
        <f t="shared" si="24"/>
        <v>64.39500000000001</v>
      </c>
      <c r="X37" s="1133">
        <f t="shared" si="25"/>
        <v>1.0315089248850002</v>
      </c>
      <c r="Y37" s="1133">
        <f t="shared" si="14"/>
        <v>8.6083593525823989</v>
      </c>
      <c r="Z37" s="1132">
        <f t="shared" si="26"/>
        <v>4.5990000000000011</v>
      </c>
      <c r="AA37" s="1199">
        <f t="shared" si="27"/>
        <v>4.4585169251082624</v>
      </c>
      <c r="AB37" s="1188">
        <f t="shared" si="31"/>
        <v>0.92409999999999992</v>
      </c>
      <c r="AD37" s="184"/>
      <c r="AE37" s="1166"/>
      <c r="AF37" s="1166"/>
      <c r="AG37" s="179"/>
      <c r="AN37" s="1164">
        <v>37</v>
      </c>
      <c r="AO37" s="1131">
        <v>30</v>
      </c>
      <c r="AP37" s="1132">
        <f t="shared" si="28"/>
        <v>64.384500000000003</v>
      </c>
      <c r="AQ37" s="1133">
        <f t="shared" si="0"/>
        <v>1.0313407310235001</v>
      </c>
      <c r="AR37" s="1133">
        <f t="shared" si="2"/>
        <v>8.6069557067527196</v>
      </c>
      <c r="AS37" s="1132">
        <f t="shared" si="29"/>
        <v>4.9595000000000002</v>
      </c>
      <c r="AT37" s="1187">
        <f t="shared" si="1"/>
        <v>4.808789036265642</v>
      </c>
      <c r="AU37" s="1188">
        <f t="shared" si="32"/>
        <v>0.92410000000000003</v>
      </c>
      <c r="AW37" s="184"/>
      <c r="AX37" s="1166"/>
      <c r="AY37" s="1166"/>
      <c r="AZ37" s="1166"/>
    </row>
    <row r="38" spans="2:52" x14ac:dyDescent="0.2">
      <c r="B38" s="1164">
        <v>38</v>
      </c>
      <c r="C38" s="1131">
        <v>25</v>
      </c>
      <c r="D38" s="1132">
        <f t="shared" si="22"/>
        <v>64.37299999999999</v>
      </c>
      <c r="E38" s="1133">
        <f t="shared" si="6"/>
        <v>1.0311565186989999</v>
      </c>
      <c r="F38" s="1133">
        <f t="shared" si="7"/>
        <v>8.6054183803678335</v>
      </c>
      <c r="G38" s="1132">
        <f t="shared" si="23"/>
        <v>4.8330000000000002</v>
      </c>
      <c r="H38" s="1187">
        <f t="shared" si="8"/>
        <v>4.6869703215354237</v>
      </c>
      <c r="I38" s="1135">
        <f t="shared" si="30"/>
        <v>0.9244</v>
      </c>
      <c r="J38" s="1136" t="e">
        <f t="shared" si="9"/>
        <v>#NAME?</v>
      </c>
      <c r="L38" s="184"/>
      <c r="M38" s="1166"/>
      <c r="N38" s="1166"/>
      <c r="O38" s="1166"/>
      <c r="U38" s="1164">
        <v>38</v>
      </c>
      <c r="V38" s="1165">
        <v>20</v>
      </c>
      <c r="W38" s="1132">
        <f t="shared" si="24"/>
        <v>64.385000000000005</v>
      </c>
      <c r="X38" s="1133">
        <f t="shared" si="25"/>
        <v>1.0313487402550001</v>
      </c>
      <c r="Y38" s="1133">
        <f t="shared" si="14"/>
        <v>8.6070225470303239</v>
      </c>
      <c r="Z38" s="1132">
        <f t="shared" si="26"/>
        <v>4.4210000000000012</v>
      </c>
      <c r="AA38" s="1199">
        <f t="shared" si="27"/>
        <v>4.2866198672108844</v>
      </c>
      <c r="AB38" s="1188">
        <f t="shared" si="31"/>
        <v>0.92439999999999989</v>
      </c>
      <c r="AD38" s="184"/>
      <c r="AE38" s="1166"/>
      <c r="AF38" s="1166"/>
      <c r="AG38" s="179"/>
      <c r="AN38" s="1164">
        <v>38</v>
      </c>
      <c r="AO38" s="1131">
        <v>30</v>
      </c>
      <c r="AP38" s="1132">
        <f t="shared" si="28"/>
        <v>64.37299999999999</v>
      </c>
      <c r="AQ38" s="1133">
        <f t="shared" si="0"/>
        <v>1.0311565186989999</v>
      </c>
      <c r="AR38" s="1133">
        <f t="shared" si="2"/>
        <v>8.6054183803678335</v>
      </c>
      <c r="AS38" s="1132">
        <f t="shared" si="29"/>
        <v>4.8330000000000002</v>
      </c>
      <c r="AT38" s="1187">
        <f t="shared" si="1"/>
        <v>4.6869703215354237</v>
      </c>
      <c r="AU38" s="1188">
        <f t="shared" si="32"/>
        <v>0.9244</v>
      </c>
      <c r="AW38" s="184"/>
      <c r="AX38" s="1166"/>
      <c r="AY38" s="1166"/>
      <c r="AZ38" s="1166"/>
    </row>
    <row r="39" spans="2:52" ht="13.5" thickBot="1" x14ac:dyDescent="0.25">
      <c r="B39" s="1174">
        <v>39</v>
      </c>
      <c r="C39" s="1142">
        <v>25</v>
      </c>
      <c r="D39" s="1143">
        <f t="shared" si="22"/>
        <v>64.361499999999992</v>
      </c>
      <c r="E39" s="1144">
        <f t="shared" si="6"/>
        <v>1.0309723063745</v>
      </c>
      <c r="F39" s="1144">
        <f t="shared" si="7"/>
        <v>8.6038810539829473</v>
      </c>
      <c r="G39" s="1143">
        <f t="shared" si="23"/>
        <v>4.7065000000000001</v>
      </c>
      <c r="H39" s="1191">
        <f t="shared" si="8"/>
        <v>4.5651080740963836</v>
      </c>
      <c r="I39" s="1135">
        <f t="shared" si="30"/>
        <v>0.92470000000000008</v>
      </c>
      <c r="J39" s="1147" t="e">
        <f t="shared" si="9"/>
        <v>#NAME?</v>
      </c>
      <c r="L39" s="184"/>
      <c r="M39" s="1166"/>
      <c r="N39" s="1166"/>
      <c r="O39" s="1166"/>
      <c r="U39" s="1174">
        <v>39</v>
      </c>
      <c r="V39" s="1175">
        <v>20</v>
      </c>
      <c r="W39" s="1143">
        <f t="shared" si="24"/>
        <v>64.375000000000014</v>
      </c>
      <c r="X39" s="1144">
        <f t="shared" si="25"/>
        <v>1.0311885556250002</v>
      </c>
      <c r="Y39" s="1144">
        <f t="shared" si="14"/>
        <v>8.6056857414782506</v>
      </c>
      <c r="Z39" s="1143">
        <f t="shared" si="26"/>
        <v>4.2430000000000012</v>
      </c>
      <c r="AA39" s="1202">
        <f t="shared" si="27"/>
        <v>4.1146694044023135</v>
      </c>
      <c r="AB39" s="1188">
        <f t="shared" si="31"/>
        <v>0.92469999999999997</v>
      </c>
      <c r="AD39" s="184"/>
      <c r="AE39" s="1166"/>
      <c r="AF39" s="1166"/>
      <c r="AG39" s="179"/>
      <c r="AN39" s="1174">
        <v>39</v>
      </c>
      <c r="AO39" s="1142">
        <v>30</v>
      </c>
      <c r="AP39" s="1143">
        <f t="shared" si="28"/>
        <v>64.361499999999992</v>
      </c>
      <c r="AQ39" s="1144">
        <f t="shared" si="0"/>
        <v>1.0309723063745</v>
      </c>
      <c r="AR39" s="1144">
        <f t="shared" si="2"/>
        <v>8.6038810539829473</v>
      </c>
      <c r="AS39" s="1143">
        <f t="shared" si="29"/>
        <v>4.7065000000000001</v>
      </c>
      <c r="AT39" s="1191">
        <f t="shared" si="1"/>
        <v>4.5651080740963836</v>
      </c>
      <c r="AU39" s="1188">
        <f t="shared" si="32"/>
        <v>0.92470000000000008</v>
      </c>
      <c r="AW39" s="184"/>
      <c r="AX39" s="1166"/>
      <c r="AY39" s="1166"/>
      <c r="AZ39" s="1166"/>
    </row>
    <row r="40" spans="2:52" x14ac:dyDescent="0.2">
      <c r="B40" s="1119">
        <v>40</v>
      </c>
      <c r="C40" s="1120">
        <v>25</v>
      </c>
      <c r="D40" s="1121">
        <f>FORECAST(C40,M44:M45,L44:L45)</f>
        <v>64.349999999999994</v>
      </c>
      <c r="E40" s="1122">
        <f t="shared" si="6"/>
        <v>1.0307880940499998</v>
      </c>
      <c r="F40" s="1122">
        <f t="shared" si="7"/>
        <v>8.602343727598063</v>
      </c>
      <c r="G40" s="1121">
        <f>FORECAST(C40,N44:N45,L44:L45)</f>
        <v>4.58</v>
      </c>
      <c r="H40" s="1186">
        <f t="shared" si="8"/>
        <v>4.4432022706093077</v>
      </c>
      <c r="I40" s="1123">
        <f>FORECAST(C40,O44:O45,L44:L45)</f>
        <v>0.92500000000000004</v>
      </c>
      <c r="J40" s="1124" t="e">
        <f t="shared" si="9"/>
        <v>#NAME?</v>
      </c>
      <c r="L40" s="1125">
        <f>B40</f>
        <v>40</v>
      </c>
      <c r="M40" s="1126">
        <f>D40</f>
        <v>64.349999999999994</v>
      </c>
      <c r="N40" s="1126">
        <f>G40</f>
        <v>4.58</v>
      </c>
      <c r="O40" s="1127">
        <f>I40</f>
        <v>0.92500000000000004</v>
      </c>
      <c r="U40" s="1119">
        <v>40</v>
      </c>
      <c r="V40" s="1120">
        <v>20</v>
      </c>
      <c r="W40" s="1121">
        <v>64.03</v>
      </c>
      <c r="X40" s="1122">
        <f t="shared" si="25"/>
        <v>1.0256621858900001</v>
      </c>
      <c r="Y40" s="1122">
        <f t="shared" si="14"/>
        <v>8.5595659499316863</v>
      </c>
      <c r="Z40" s="1121">
        <v>3.41</v>
      </c>
      <c r="AA40" s="1198">
        <f t="shared" si="27"/>
        <v>3.3246814076908113</v>
      </c>
      <c r="AB40" s="1124">
        <v>0.94099999999999995</v>
      </c>
      <c r="AD40" s="1125">
        <f>U40</f>
        <v>40</v>
      </c>
      <c r="AE40" s="1126">
        <f>W40</f>
        <v>64.03</v>
      </c>
      <c r="AF40" s="1126">
        <f>Z40</f>
        <v>3.41</v>
      </c>
      <c r="AG40" s="1127">
        <f>AB40</f>
        <v>0.94099999999999995</v>
      </c>
      <c r="AN40" s="1119">
        <v>40</v>
      </c>
      <c r="AO40" s="1120">
        <v>30</v>
      </c>
      <c r="AP40" s="1121">
        <v>64.67</v>
      </c>
      <c r="AQ40" s="1122">
        <f t="shared" si="0"/>
        <v>1.03591400221</v>
      </c>
      <c r="AR40" s="1122">
        <f t="shared" si="2"/>
        <v>8.6451215052644415</v>
      </c>
      <c r="AS40" s="1121">
        <v>5.75</v>
      </c>
      <c r="AT40" s="1186">
        <f t="shared" si="1"/>
        <v>5.5506538069116313</v>
      </c>
      <c r="AU40" s="1124">
        <v>0.90900000000000003</v>
      </c>
      <c r="AW40" s="1125">
        <f>AN40</f>
        <v>40</v>
      </c>
      <c r="AX40" s="1126">
        <f>AP40</f>
        <v>64.67</v>
      </c>
      <c r="AY40" s="1126">
        <f>AS40</f>
        <v>5.75</v>
      </c>
      <c r="AZ40" s="1127">
        <f>AU40</f>
        <v>0.90900000000000003</v>
      </c>
    </row>
    <row r="41" spans="2:52" x14ac:dyDescent="0.2">
      <c r="B41" s="1164">
        <v>41</v>
      </c>
      <c r="C41" s="1131">
        <v>25</v>
      </c>
      <c r="D41" s="1132">
        <f t="shared" ref="D41:D49" si="33">FORECAST(B41,$M$40:$M$41,$L$40:$L$41)</f>
        <v>64.337499999999991</v>
      </c>
      <c r="E41" s="1133">
        <f t="shared" si="6"/>
        <v>1.0305878632624998</v>
      </c>
      <c r="F41" s="1133">
        <f t="shared" si="7"/>
        <v>8.6006727206579701</v>
      </c>
      <c r="G41" s="1132">
        <f t="shared" ref="G41:G49" si="34">FORECAST(B41,$N$40:$N$41,$L$40:$L$41)</f>
        <v>4.4874999999999989</v>
      </c>
      <c r="H41" s="1187">
        <f t="shared" si="8"/>
        <v>4.3543109325914822</v>
      </c>
      <c r="I41" s="1135">
        <f>FORECAST(B41,$O$40:$O$41,$L$40:$L$41)</f>
        <v>0.92535000000000001</v>
      </c>
      <c r="J41" s="1136" t="e">
        <f t="shared" si="9"/>
        <v>#NAME?</v>
      </c>
      <c r="L41" s="1125">
        <f>B50</f>
        <v>50</v>
      </c>
      <c r="M41" s="1126">
        <f>D50</f>
        <v>64.224999999999994</v>
      </c>
      <c r="N41" s="1126">
        <f>G50</f>
        <v>3.6549999999999998</v>
      </c>
      <c r="O41" s="1127">
        <f>I50</f>
        <v>0.92849999999999999</v>
      </c>
      <c r="U41" s="1164">
        <v>41</v>
      </c>
      <c r="V41" s="1165">
        <v>20</v>
      </c>
      <c r="W41" s="1132">
        <f t="shared" ref="W41:W49" si="35">FORECAST(U41,$M$30:$M$31,$L$30:$L$31)</f>
        <v>64.338499999999996</v>
      </c>
      <c r="X41" s="1133">
        <f t="shared" si="25"/>
        <v>1.0306038817254999</v>
      </c>
      <c r="Y41" s="1133">
        <f t="shared" si="14"/>
        <v>8.6008064012131769</v>
      </c>
      <c r="Z41" s="1132">
        <f t="shared" ref="Z41:Z49" si="36">FORECAST(U41,$N$30:$N$31,$L$30:$L$31)</f>
        <v>4.4535</v>
      </c>
      <c r="AA41" s="1199">
        <f t="shared" si="27"/>
        <v>4.3212528877182947</v>
      </c>
      <c r="AB41" s="1188">
        <f>FORECAST(U41,$O$30:$O$31,$L$30:$L$31)</f>
        <v>0.92530000000000001</v>
      </c>
      <c r="AD41" s="1125">
        <f>U50</f>
        <v>50</v>
      </c>
      <c r="AE41" s="1126">
        <f>W50</f>
        <v>63.92</v>
      </c>
      <c r="AF41" s="1126">
        <f>Z50</f>
        <v>2.79</v>
      </c>
      <c r="AG41" s="1127">
        <f>AB50</f>
        <v>0.94399999999999995</v>
      </c>
      <c r="AN41" s="1164">
        <v>41</v>
      </c>
      <c r="AO41" s="1131">
        <v>30</v>
      </c>
      <c r="AP41" s="1132">
        <f t="shared" ref="AP41:AP49" si="37">FORECAST(AN41,$M$40:$M$41,$L$40:$L$41)</f>
        <v>64.337499999999991</v>
      </c>
      <c r="AQ41" s="1133">
        <f t="shared" si="0"/>
        <v>1.0305878632624998</v>
      </c>
      <c r="AR41" s="1133">
        <f t="shared" si="2"/>
        <v>8.6006727206579701</v>
      </c>
      <c r="AS41" s="1132">
        <f t="shared" ref="AS41:AS49" si="38">FORECAST(AN41,$N$40:$N$41,$L$40:$L$41)</f>
        <v>4.4874999999999989</v>
      </c>
      <c r="AT41" s="1187">
        <f t="shared" si="1"/>
        <v>4.3543109325914822</v>
      </c>
      <c r="AU41" s="1188">
        <f>FORECAST(AN41,$O$40:$O$41,$L$40:$L$41)</f>
        <v>0.92535000000000001</v>
      </c>
      <c r="AW41" s="1125">
        <f>AN50</f>
        <v>50</v>
      </c>
      <c r="AX41" s="1126">
        <f>AP50</f>
        <v>64.53</v>
      </c>
      <c r="AY41" s="1126">
        <f>AS50</f>
        <v>4.5199999999999996</v>
      </c>
      <c r="AZ41" s="1127">
        <f>AU50</f>
        <v>0.91300000000000003</v>
      </c>
    </row>
    <row r="42" spans="2:52" x14ac:dyDescent="0.2">
      <c r="B42" s="1164">
        <v>42</v>
      </c>
      <c r="C42" s="1131">
        <v>25</v>
      </c>
      <c r="D42" s="1132">
        <f t="shared" si="33"/>
        <v>64.324999999999989</v>
      </c>
      <c r="E42" s="1133">
        <f t="shared" si="6"/>
        <v>1.0303876324749999</v>
      </c>
      <c r="F42" s="1133">
        <f t="shared" si="7"/>
        <v>8.5990017137178754</v>
      </c>
      <c r="G42" s="1132">
        <f t="shared" si="34"/>
        <v>4.3949999999999996</v>
      </c>
      <c r="H42" s="1187">
        <f t="shared" si="8"/>
        <v>4.2653850468324936</v>
      </c>
      <c r="I42" s="1135">
        <f t="shared" ref="I42:I49" si="39">FORECAST(B42,$O$40:$O$41,$L$40:$L$41)</f>
        <v>0.92570000000000008</v>
      </c>
      <c r="J42" s="1136" t="e">
        <f t="shared" si="9"/>
        <v>#NAME?</v>
      </c>
      <c r="L42" s="184"/>
      <c r="M42" s="1166"/>
      <c r="N42" s="1166"/>
      <c r="O42" s="1166"/>
      <c r="U42" s="1164">
        <v>42</v>
      </c>
      <c r="V42" s="1165">
        <v>20</v>
      </c>
      <c r="W42" s="1132">
        <f t="shared" si="35"/>
        <v>64.326999999999998</v>
      </c>
      <c r="X42" s="1133">
        <f t="shared" si="25"/>
        <v>1.0304196694009999</v>
      </c>
      <c r="Y42" s="1133">
        <f t="shared" si="14"/>
        <v>8.5992690748282925</v>
      </c>
      <c r="Z42" s="1132">
        <f t="shared" si="36"/>
        <v>4.327</v>
      </c>
      <c r="AA42" s="1199">
        <f t="shared" si="27"/>
        <v>4.1992599020507413</v>
      </c>
      <c r="AB42" s="1188">
        <f t="shared" ref="AB42:AB49" si="40">FORECAST(U42,$O$30:$O$31,$L$30:$L$31)</f>
        <v>0.92560000000000009</v>
      </c>
      <c r="AD42" s="184"/>
      <c r="AE42" s="1166"/>
      <c r="AF42" s="1166"/>
      <c r="AG42" s="1166"/>
      <c r="AN42" s="1164">
        <v>42</v>
      </c>
      <c r="AO42" s="1131">
        <v>30</v>
      </c>
      <c r="AP42" s="1132">
        <f t="shared" si="37"/>
        <v>64.324999999999989</v>
      </c>
      <c r="AQ42" s="1133">
        <f t="shared" si="0"/>
        <v>1.0303876324749999</v>
      </c>
      <c r="AR42" s="1133">
        <f t="shared" si="2"/>
        <v>8.5990017137178754</v>
      </c>
      <c r="AS42" s="1132">
        <f t="shared" si="38"/>
        <v>4.3949999999999996</v>
      </c>
      <c r="AT42" s="1187">
        <f t="shared" si="1"/>
        <v>4.2653850468324936</v>
      </c>
      <c r="AU42" s="1188">
        <f t="shared" ref="AU42:AU49" si="41">FORECAST(AN42,$O$40:$O$41,$L$40:$L$41)</f>
        <v>0.92570000000000008</v>
      </c>
      <c r="AW42" s="184"/>
      <c r="AX42" s="1166"/>
      <c r="AY42" s="1166"/>
      <c r="AZ42" s="1166"/>
    </row>
    <row r="43" spans="2:52" x14ac:dyDescent="0.2">
      <c r="B43" s="1164">
        <v>43</v>
      </c>
      <c r="C43" s="1131">
        <v>25</v>
      </c>
      <c r="D43" s="1132">
        <f t="shared" si="33"/>
        <v>64.3125</v>
      </c>
      <c r="E43" s="1133">
        <f t="shared" si="6"/>
        <v>1.0301874016875001</v>
      </c>
      <c r="F43" s="1133">
        <f t="shared" si="7"/>
        <v>8.5973307067777842</v>
      </c>
      <c r="G43" s="1132">
        <f t="shared" si="34"/>
        <v>4.3024999999999993</v>
      </c>
      <c r="H43" s="1187">
        <f t="shared" si="8"/>
        <v>4.1764245931878827</v>
      </c>
      <c r="I43" s="1135">
        <f t="shared" si="39"/>
        <v>0.92605000000000004</v>
      </c>
      <c r="J43" s="1136" t="e">
        <f t="shared" si="9"/>
        <v>#NAME?</v>
      </c>
      <c r="L43" s="1189" t="s">
        <v>1089</v>
      </c>
      <c r="M43" s="179"/>
      <c r="N43" s="179"/>
      <c r="O43" s="179"/>
      <c r="U43" s="1164">
        <v>43</v>
      </c>
      <c r="V43" s="1165">
        <v>20</v>
      </c>
      <c r="W43" s="1132">
        <f t="shared" si="35"/>
        <v>64.315499999999986</v>
      </c>
      <c r="X43" s="1133">
        <f t="shared" si="25"/>
        <v>1.0302354570764998</v>
      </c>
      <c r="Y43" s="1133">
        <f t="shared" si="14"/>
        <v>8.5977317484434046</v>
      </c>
      <c r="Z43" s="1132">
        <f t="shared" si="36"/>
        <v>4.2004999999999999</v>
      </c>
      <c r="AA43" s="1199">
        <f t="shared" si="27"/>
        <v>4.0772232902173284</v>
      </c>
      <c r="AB43" s="1188">
        <f t="shared" si="40"/>
        <v>0.92590000000000006</v>
      </c>
      <c r="AD43" s="184"/>
      <c r="AE43" s="1166"/>
      <c r="AF43" s="1166"/>
      <c r="AG43" s="1166"/>
      <c r="AN43" s="1164">
        <v>43</v>
      </c>
      <c r="AO43" s="1131">
        <v>30</v>
      </c>
      <c r="AP43" s="1132">
        <f t="shared" si="37"/>
        <v>64.3125</v>
      </c>
      <c r="AQ43" s="1133">
        <f t="shared" si="0"/>
        <v>1.0301874016875001</v>
      </c>
      <c r="AR43" s="1133">
        <f t="shared" si="2"/>
        <v>8.5973307067777842</v>
      </c>
      <c r="AS43" s="1132">
        <f t="shared" si="38"/>
        <v>4.3024999999999993</v>
      </c>
      <c r="AT43" s="1187">
        <f t="shared" si="1"/>
        <v>4.1764245931878827</v>
      </c>
      <c r="AU43" s="1188">
        <f t="shared" si="41"/>
        <v>0.92605000000000004</v>
      </c>
      <c r="AW43" s="184"/>
      <c r="AX43" s="1166"/>
      <c r="AY43" s="1166"/>
      <c r="AZ43" s="1166"/>
    </row>
    <row r="44" spans="2:52" ht="13.5" thickBot="1" x14ac:dyDescent="0.25">
      <c r="B44" s="1174">
        <v>44</v>
      </c>
      <c r="C44" s="1142">
        <v>25</v>
      </c>
      <c r="D44" s="1143">
        <f t="shared" si="33"/>
        <v>64.3</v>
      </c>
      <c r="E44" s="1144">
        <f t="shared" si="6"/>
        <v>1.0299871708999999</v>
      </c>
      <c r="F44" s="1144">
        <f t="shared" si="7"/>
        <v>8.5956596998376913</v>
      </c>
      <c r="G44" s="1143">
        <f t="shared" si="34"/>
        <v>4.2099999999999991</v>
      </c>
      <c r="H44" s="1191">
        <f t="shared" si="8"/>
        <v>4.0874295514975323</v>
      </c>
      <c r="I44" s="1146">
        <f t="shared" si="39"/>
        <v>0.9264</v>
      </c>
      <c r="J44" s="1147" t="e">
        <f t="shared" si="9"/>
        <v>#NAME?</v>
      </c>
      <c r="L44" s="1190">
        <v>20</v>
      </c>
      <c r="M44" s="1200">
        <f>W40</f>
        <v>64.03</v>
      </c>
      <c r="N44" s="1200">
        <f>Z40</f>
        <v>3.41</v>
      </c>
      <c r="O44" s="1201">
        <f>AB40</f>
        <v>0.94099999999999995</v>
      </c>
      <c r="U44" s="1174">
        <v>44</v>
      </c>
      <c r="V44" s="1168">
        <v>20</v>
      </c>
      <c r="W44" s="1143">
        <f t="shared" si="35"/>
        <v>64.303999999999988</v>
      </c>
      <c r="X44" s="1144">
        <f t="shared" si="25"/>
        <v>1.0300512447519998</v>
      </c>
      <c r="Y44" s="1144">
        <f t="shared" si="14"/>
        <v>8.5961944220585202</v>
      </c>
      <c r="Z44" s="1143">
        <f t="shared" si="36"/>
        <v>4.0739999999999998</v>
      </c>
      <c r="AA44" s="1202">
        <f t="shared" si="27"/>
        <v>3.9551430288120044</v>
      </c>
      <c r="AB44" s="1192">
        <f t="shared" si="40"/>
        <v>0.92620000000000013</v>
      </c>
      <c r="AD44" s="184"/>
      <c r="AE44" s="1166"/>
      <c r="AF44" s="1166"/>
      <c r="AG44" s="1166"/>
      <c r="AN44" s="1174">
        <v>44</v>
      </c>
      <c r="AO44" s="1142">
        <v>30</v>
      </c>
      <c r="AP44" s="1143">
        <f t="shared" si="37"/>
        <v>64.3</v>
      </c>
      <c r="AQ44" s="1144">
        <f t="shared" si="0"/>
        <v>1.0299871708999999</v>
      </c>
      <c r="AR44" s="1144">
        <f t="shared" si="2"/>
        <v>8.5956596998376913</v>
      </c>
      <c r="AS44" s="1143">
        <f t="shared" si="38"/>
        <v>4.2099999999999991</v>
      </c>
      <c r="AT44" s="1191">
        <f t="shared" si="1"/>
        <v>4.0874295514975323</v>
      </c>
      <c r="AU44" s="1192">
        <f t="shared" si="41"/>
        <v>0.9264</v>
      </c>
      <c r="AW44" s="184"/>
      <c r="AX44" s="1166"/>
      <c r="AY44" s="1166"/>
      <c r="AZ44" s="1166"/>
    </row>
    <row r="45" spans="2:52" x14ac:dyDescent="0.2">
      <c r="B45" s="1172">
        <v>45</v>
      </c>
      <c r="C45" s="1149">
        <v>25</v>
      </c>
      <c r="D45" s="1150">
        <f t="shared" si="33"/>
        <v>64.287499999999994</v>
      </c>
      <c r="E45" s="1122">
        <f t="shared" si="6"/>
        <v>1.0297869401124999</v>
      </c>
      <c r="F45" s="1122">
        <f t="shared" si="7"/>
        <v>8.5939886928975984</v>
      </c>
      <c r="G45" s="1150">
        <f t="shared" si="34"/>
        <v>4.1174999999999997</v>
      </c>
      <c r="H45" s="1186">
        <f t="shared" si="8"/>
        <v>3.9983999015856426</v>
      </c>
      <c r="I45" s="1173">
        <f t="shared" si="39"/>
        <v>0.92674999999999996</v>
      </c>
      <c r="J45" s="1124" t="e">
        <f t="shared" si="9"/>
        <v>#NAME?</v>
      </c>
      <c r="L45" s="1190">
        <v>30</v>
      </c>
      <c r="M45" s="1200">
        <f>AP40</f>
        <v>64.67</v>
      </c>
      <c r="N45" s="1200">
        <f>AS40</f>
        <v>5.75</v>
      </c>
      <c r="O45" s="1201">
        <f>AU40</f>
        <v>0.90900000000000003</v>
      </c>
      <c r="U45" s="1172">
        <v>45</v>
      </c>
      <c r="V45" s="1120">
        <v>20</v>
      </c>
      <c r="W45" s="1150">
        <f t="shared" si="35"/>
        <v>64.29249999999999</v>
      </c>
      <c r="X45" s="1122">
        <f t="shared" si="25"/>
        <v>1.0298670324274999</v>
      </c>
      <c r="Y45" s="1122">
        <f t="shared" si="14"/>
        <v>8.5946570956736341</v>
      </c>
      <c r="Z45" s="1150">
        <f t="shared" si="36"/>
        <v>3.9474999999999998</v>
      </c>
      <c r="AA45" s="1198">
        <f t="shared" si="27"/>
        <v>3.8330190944119713</v>
      </c>
      <c r="AB45" s="1203">
        <f t="shared" si="40"/>
        <v>0.9265000000000001</v>
      </c>
      <c r="AD45" s="184"/>
      <c r="AE45" s="1166"/>
      <c r="AF45" s="1166"/>
      <c r="AG45" s="1166"/>
      <c r="AN45" s="1172">
        <v>45</v>
      </c>
      <c r="AO45" s="1149">
        <v>30</v>
      </c>
      <c r="AP45" s="1150">
        <f t="shared" si="37"/>
        <v>64.287499999999994</v>
      </c>
      <c r="AQ45" s="1122">
        <f t="shared" si="0"/>
        <v>1.0297869401124999</v>
      </c>
      <c r="AR45" s="1122">
        <f t="shared" si="2"/>
        <v>8.5939886928975984</v>
      </c>
      <c r="AS45" s="1150">
        <f t="shared" si="38"/>
        <v>4.1174999999999997</v>
      </c>
      <c r="AT45" s="1186">
        <f t="shared" si="1"/>
        <v>3.9983999015856426</v>
      </c>
      <c r="AU45" s="1203">
        <f t="shared" si="41"/>
        <v>0.92674999999999996</v>
      </c>
      <c r="AW45" s="184"/>
      <c r="AX45" s="1166"/>
      <c r="AY45" s="1166"/>
      <c r="AZ45" s="1166"/>
    </row>
    <row r="46" spans="2:52" x14ac:dyDescent="0.2">
      <c r="B46" s="1164">
        <v>46</v>
      </c>
      <c r="C46" s="1131">
        <v>25</v>
      </c>
      <c r="D46" s="1132">
        <f t="shared" si="33"/>
        <v>64.274999999999991</v>
      </c>
      <c r="E46" s="1133">
        <f t="shared" si="6"/>
        <v>1.029586709325</v>
      </c>
      <c r="F46" s="1133">
        <f t="shared" si="7"/>
        <v>8.5923176859575054</v>
      </c>
      <c r="G46" s="1132">
        <f t="shared" si="34"/>
        <v>4.0249999999999995</v>
      </c>
      <c r="H46" s="1187">
        <f t="shared" si="8"/>
        <v>3.9093356232607173</v>
      </c>
      <c r="I46" s="1135">
        <f t="shared" si="39"/>
        <v>0.92710000000000004</v>
      </c>
      <c r="J46" s="1136" t="e">
        <f t="shared" si="9"/>
        <v>#NAME?</v>
      </c>
      <c r="L46" s="184"/>
      <c r="M46" s="1166"/>
      <c r="N46" s="1166"/>
      <c r="O46" s="1166"/>
      <c r="U46" s="1164">
        <v>46</v>
      </c>
      <c r="V46" s="1165">
        <v>20</v>
      </c>
      <c r="W46" s="1132">
        <f t="shared" si="35"/>
        <v>64.280999999999992</v>
      </c>
      <c r="X46" s="1133">
        <f t="shared" si="25"/>
        <v>1.0296828201029999</v>
      </c>
      <c r="Y46" s="1133">
        <f t="shared" si="14"/>
        <v>8.5931197692887498</v>
      </c>
      <c r="Z46" s="1132">
        <f t="shared" si="36"/>
        <v>3.8209999999999997</v>
      </c>
      <c r="AA46" s="1199">
        <f t="shared" si="27"/>
        <v>3.7108514635776699</v>
      </c>
      <c r="AB46" s="1188">
        <f t="shared" si="40"/>
        <v>0.92680000000000007</v>
      </c>
      <c r="AD46" s="184"/>
      <c r="AE46" s="1166"/>
      <c r="AF46" s="1166"/>
      <c r="AG46" s="1166"/>
      <c r="AN46" s="1164">
        <v>46</v>
      </c>
      <c r="AO46" s="1131">
        <v>30</v>
      </c>
      <c r="AP46" s="1132">
        <f t="shared" si="37"/>
        <v>64.274999999999991</v>
      </c>
      <c r="AQ46" s="1133">
        <f t="shared" si="0"/>
        <v>1.029586709325</v>
      </c>
      <c r="AR46" s="1133">
        <f t="shared" si="2"/>
        <v>8.5923176859575054</v>
      </c>
      <c r="AS46" s="1132">
        <f t="shared" si="38"/>
        <v>4.0249999999999995</v>
      </c>
      <c r="AT46" s="1187">
        <f t="shared" si="1"/>
        <v>3.9093356232607173</v>
      </c>
      <c r="AU46" s="1188">
        <f t="shared" si="41"/>
        <v>0.92710000000000004</v>
      </c>
      <c r="AW46" s="184"/>
      <c r="AX46" s="1166"/>
      <c r="AY46" s="1166"/>
      <c r="AZ46" s="1166"/>
    </row>
    <row r="47" spans="2:52" x14ac:dyDescent="0.2">
      <c r="B47" s="1164">
        <v>47</v>
      </c>
      <c r="C47" s="1131">
        <v>25</v>
      </c>
      <c r="D47" s="1132">
        <f t="shared" si="33"/>
        <v>64.262499999999989</v>
      </c>
      <c r="E47" s="1133">
        <f t="shared" si="6"/>
        <v>1.0293864785374998</v>
      </c>
      <c r="F47" s="1133">
        <f t="shared" si="7"/>
        <v>8.5906466790174125</v>
      </c>
      <c r="G47" s="1132">
        <f t="shared" si="34"/>
        <v>3.9324999999999992</v>
      </c>
      <c r="H47" s="1187">
        <f t="shared" si="8"/>
        <v>3.8202366963155532</v>
      </c>
      <c r="I47" s="1135">
        <f t="shared" si="39"/>
        <v>0.92745</v>
      </c>
      <c r="J47" s="1136" t="e">
        <f t="shared" si="9"/>
        <v>#NAME?</v>
      </c>
      <c r="L47" s="184"/>
      <c r="M47" s="1166"/>
      <c r="N47" s="1166"/>
      <c r="O47" s="1166"/>
      <c r="U47" s="1164">
        <v>47</v>
      </c>
      <c r="V47" s="1165">
        <v>20</v>
      </c>
      <c r="W47" s="1132">
        <f t="shared" si="35"/>
        <v>64.269499999999994</v>
      </c>
      <c r="X47" s="1133">
        <f t="shared" si="25"/>
        <v>1.0294986077785</v>
      </c>
      <c r="Y47" s="1133">
        <f t="shared" si="14"/>
        <v>8.5915824429038654</v>
      </c>
      <c r="Z47" s="1132">
        <f t="shared" si="36"/>
        <v>3.6944999999999997</v>
      </c>
      <c r="AA47" s="1199">
        <f t="shared" si="27"/>
        <v>3.5886401128527639</v>
      </c>
      <c r="AB47" s="1188">
        <f t="shared" si="40"/>
        <v>0.92710000000000015</v>
      </c>
      <c r="AD47" s="184"/>
      <c r="AE47" s="1166"/>
      <c r="AF47" s="1166"/>
      <c r="AG47" s="1166"/>
      <c r="AN47" s="1164">
        <v>47</v>
      </c>
      <c r="AO47" s="1131">
        <v>30</v>
      </c>
      <c r="AP47" s="1132">
        <f t="shared" si="37"/>
        <v>64.262499999999989</v>
      </c>
      <c r="AQ47" s="1133">
        <f t="shared" si="0"/>
        <v>1.0293864785374998</v>
      </c>
      <c r="AR47" s="1133">
        <f t="shared" si="2"/>
        <v>8.5906466790174125</v>
      </c>
      <c r="AS47" s="1132">
        <f t="shared" si="38"/>
        <v>3.9324999999999992</v>
      </c>
      <c r="AT47" s="1187">
        <f t="shared" si="1"/>
        <v>3.8202366963155532</v>
      </c>
      <c r="AU47" s="1188">
        <f t="shared" si="41"/>
        <v>0.92745</v>
      </c>
      <c r="AW47" s="184"/>
      <c r="AX47" s="1166"/>
      <c r="AY47" s="1166"/>
      <c r="AZ47" s="1166"/>
    </row>
    <row r="48" spans="2:52" x14ac:dyDescent="0.2">
      <c r="B48" s="1164">
        <v>48</v>
      </c>
      <c r="C48" s="1131">
        <v>25</v>
      </c>
      <c r="D48" s="1132">
        <f t="shared" si="33"/>
        <v>64.25</v>
      </c>
      <c r="E48" s="1133">
        <f t="shared" si="6"/>
        <v>1.02918624775</v>
      </c>
      <c r="F48" s="1133">
        <f t="shared" si="7"/>
        <v>8.5889756720773214</v>
      </c>
      <c r="G48" s="1132">
        <f t="shared" si="34"/>
        <v>3.839999999999999</v>
      </c>
      <c r="H48" s="1187">
        <f t="shared" si="8"/>
        <v>3.7311031005272186</v>
      </c>
      <c r="I48" s="1135">
        <f t="shared" si="39"/>
        <v>0.92779999999999996</v>
      </c>
      <c r="J48" s="1136" t="e">
        <f t="shared" si="9"/>
        <v>#NAME?</v>
      </c>
      <c r="L48" s="184"/>
      <c r="M48" s="1166"/>
      <c r="N48" s="1166"/>
      <c r="O48" s="1166"/>
      <c r="U48" s="1164">
        <v>48</v>
      </c>
      <c r="V48" s="1165">
        <v>20</v>
      </c>
      <c r="W48" s="1132">
        <f t="shared" si="35"/>
        <v>64.257999999999981</v>
      </c>
      <c r="X48" s="1133">
        <f t="shared" si="25"/>
        <v>1.0293143954539996</v>
      </c>
      <c r="Y48" s="1133">
        <f t="shared" si="14"/>
        <v>8.5900451165189775</v>
      </c>
      <c r="Z48" s="1132">
        <f t="shared" si="36"/>
        <v>3.5679999999999996</v>
      </c>
      <c r="AA48" s="1199">
        <f t="shared" si="27"/>
        <v>3.4663850187641283</v>
      </c>
      <c r="AB48" s="1188">
        <f t="shared" si="40"/>
        <v>0.92740000000000011</v>
      </c>
      <c r="AD48" s="184"/>
      <c r="AE48" s="1166"/>
      <c r="AF48" s="1166"/>
      <c r="AG48" s="1166"/>
      <c r="AN48" s="1164">
        <v>48</v>
      </c>
      <c r="AO48" s="1131">
        <v>30</v>
      </c>
      <c r="AP48" s="1132">
        <f t="shared" si="37"/>
        <v>64.25</v>
      </c>
      <c r="AQ48" s="1133">
        <f t="shared" si="0"/>
        <v>1.02918624775</v>
      </c>
      <c r="AR48" s="1133">
        <f t="shared" si="2"/>
        <v>8.5889756720773214</v>
      </c>
      <c r="AS48" s="1132">
        <f t="shared" si="38"/>
        <v>3.839999999999999</v>
      </c>
      <c r="AT48" s="1187">
        <f t="shared" si="1"/>
        <v>3.7311031005272186</v>
      </c>
      <c r="AU48" s="1188">
        <f t="shared" si="41"/>
        <v>0.92779999999999996</v>
      </c>
      <c r="AW48" s="184"/>
      <c r="AX48" s="1166"/>
      <c r="AY48" s="1166"/>
      <c r="AZ48" s="1166"/>
    </row>
    <row r="49" spans="2:52" ht="13.5" thickBot="1" x14ac:dyDescent="0.25">
      <c r="B49" s="1174">
        <v>49</v>
      </c>
      <c r="C49" s="1142">
        <v>25</v>
      </c>
      <c r="D49" s="1143">
        <f t="shared" si="33"/>
        <v>64.237499999999997</v>
      </c>
      <c r="E49" s="1144">
        <f t="shared" si="6"/>
        <v>1.0289860169625</v>
      </c>
      <c r="F49" s="1144">
        <f t="shared" si="7"/>
        <v>8.5873046651372267</v>
      </c>
      <c r="G49" s="1143">
        <f t="shared" si="34"/>
        <v>3.7474999999999987</v>
      </c>
      <c r="H49" s="1191">
        <f t="shared" si="8"/>
        <v>3.6419348156570441</v>
      </c>
      <c r="I49" s="1135">
        <f t="shared" si="39"/>
        <v>0.92815000000000003</v>
      </c>
      <c r="J49" s="1147" t="e">
        <f t="shared" si="9"/>
        <v>#NAME?</v>
      </c>
      <c r="L49" s="184"/>
      <c r="M49" s="1166"/>
      <c r="N49" s="1166"/>
      <c r="O49" s="1166"/>
      <c r="U49" s="1174">
        <v>49</v>
      </c>
      <c r="V49" s="1175">
        <v>20</v>
      </c>
      <c r="W49" s="1143">
        <f t="shared" si="35"/>
        <v>64.246499999999983</v>
      </c>
      <c r="X49" s="1144">
        <f t="shared" si="25"/>
        <v>1.0291301831294997</v>
      </c>
      <c r="Y49" s="1144">
        <f t="shared" si="14"/>
        <v>8.5885077901340932</v>
      </c>
      <c r="Z49" s="1143">
        <f t="shared" si="36"/>
        <v>3.4414999999999996</v>
      </c>
      <c r="AA49" s="1202">
        <f t="shared" si="27"/>
        <v>3.3440861578218248</v>
      </c>
      <c r="AB49" s="1188">
        <f t="shared" si="40"/>
        <v>0.92770000000000019</v>
      </c>
      <c r="AD49" s="184"/>
      <c r="AE49" s="1166"/>
      <c r="AF49" s="1166"/>
      <c r="AG49" s="1166"/>
      <c r="AN49" s="1174">
        <v>49</v>
      </c>
      <c r="AO49" s="1142">
        <v>30</v>
      </c>
      <c r="AP49" s="1143">
        <f t="shared" si="37"/>
        <v>64.237499999999997</v>
      </c>
      <c r="AQ49" s="1144">
        <f t="shared" si="0"/>
        <v>1.0289860169625</v>
      </c>
      <c r="AR49" s="1144">
        <f t="shared" si="2"/>
        <v>8.5873046651372267</v>
      </c>
      <c r="AS49" s="1143">
        <f t="shared" si="38"/>
        <v>3.7474999999999987</v>
      </c>
      <c r="AT49" s="1191">
        <f t="shared" si="1"/>
        <v>3.6419348156570441</v>
      </c>
      <c r="AU49" s="1188">
        <f t="shared" si="41"/>
        <v>0.92815000000000003</v>
      </c>
      <c r="AW49" s="184"/>
      <c r="AX49" s="1166"/>
      <c r="AY49" s="1166"/>
      <c r="AZ49" s="1166"/>
    </row>
    <row r="50" spans="2:52" x14ac:dyDescent="0.2">
      <c r="B50" s="1119">
        <v>50</v>
      </c>
      <c r="C50" s="1120">
        <v>25</v>
      </c>
      <c r="D50" s="1121">
        <f>FORECAST(C50,M54:M55,L54:L55)</f>
        <v>64.224999999999994</v>
      </c>
      <c r="E50" s="1122">
        <f t="shared" si="6"/>
        <v>1.0287857861749998</v>
      </c>
      <c r="F50" s="1122">
        <f t="shared" si="7"/>
        <v>8.5856336581971338</v>
      </c>
      <c r="G50" s="1121">
        <f>FORECAST(C50,N54:N55,L54:L55)</f>
        <v>3.6549999999999998</v>
      </c>
      <c r="H50" s="1186">
        <f t="shared" si="8"/>
        <v>3.552731821450605</v>
      </c>
      <c r="I50" s="1123">
        <f>FORECAST(C50,O54:O55,L54:L55)</f>
        <v>0.92849999999999999</v>
      </c>
      <c r="J50" s="1124" t="e">
        <f t="shared" si="9"/>
        <v>#NAME?</v>
      </c>
      <c r="L50" s="1125">
        <f>B50</f>
        <v>50</v>
      </c>
      <c r="M50" s="1126">
        <f>D50</f>
        <v>64.224999999999994</v>
      </c>
      <c r="N50" s="1126">
        <f>G50</f>
        <v>3.6549999999999998</v>
      </c>
      <c r="O50" s="1127">
        <f>I50</f>
        <v>0.92849999999999999</v>
      </c>
      <c r="U50" s="1119">
        <v>50</v>
      </c>
      <c r="V50" s="1120">
        <v>20</v>
      </c>
      <c r="W50" s="1121">
        <v>63.92</v>
      </c>
      <c r="X50" s="1122">
        <f t="shared" si="25"/>
        <v>1.02390015496</v>
      </c>
      <c r="Y50" s="1122">
        <f t="shared" si="14"/>
        <v>8.5448610888588696</v>
      </c>
      <c r="Z50" s="1121">
        <v>2.79</v>
      </c>
      <c r="AA50" s="1198">
        <f t="shared" si="27"/>
        <v>2.7248750637302082</v>
      </c>
      <c r="AB50" s="1124">
        <v>0.94399999999999995</v>
      </c>
      <c r="AD50" s="1125">
        <f>U50</f>
        <v>50</v>
      </c>
      <c r="AE50" s="1126">
        <f>W50</f>
        <v>63.92</v>
      </c>
      <c r="AF50" s="1126">
        <f>Z50</f>
        <v>2.79</v>
      </c>
      <c r="AG50" s="1127">
        <f>AB50</f>
        <v>0.94399999999999995</v>
      </c>
      <c r="AN50" s="1119">
        <v>50</v>
      </c>
      <c r="AO50" s="1120">
        <v>30</v>
      </c>
      <c r="AP50" s="1121">
        <v>64.53</v>
      </c>
      <c r="AQ50" s="1122">
        <f t="shared" si="0"/>
        <v>1.0336714173900001</v>
      </c>
      <c r="AR50" s="1122">
        <f t="shared" si="2"/>
        <v>8.6264062275354014</v>
      </c>
      <c r="AS50" s="1121">
        <v>4.5199999999999996</v>
      </c>
      <c r="AT50" s="1186">
        <f t="shared" si="1"/>
        <v>4.3727628760529242</v>
      </c>
      <c r="AU50" s="1124">
        <v>0.91300000000000003</v>
      </c>
      <c r="AW50" s="1125">
        <f>AN50</f>
        <v>50</v>
      </c>
      <c r="AX50" s="1126">
        <f>AP50</f>
        <v>64.53</v>
      </c>
      <c r="AY50" s="1126">
        <f>AS50</f>
        <v>4.5199999999999996</v>
      </c>
      <c r="AZ50" s="1127">
        <f>AU50</f>
        <v>0.91300000000000003</v>
      </c>
    </row>
    <row r="51" spans="2:52" x14ac:dyDescent="0.2">
      <c r="B51" s="1164">
        <v>51</v>
      </c>
      <c r="C51" s="1131">
        <v>25</v>
      </c>
      <c r="D51" s="1132">
        <f t="shared" ref="D51:D59" si="42">FORECAST(B51,$M$50:$M$51,$L$50:$L$51)</f>
        <v>64.211500000000001</v>
      </c>
      <c r="E51" s="1133">
        <f t="shared" si="6"/>
        <v>1.0285695369245</v>
      </c>
      <c r="F51" s="1133">
        <f t="shared" si="7"/>
        <v>8.583828970701834</v>
      </c>
      <c r="G51" s="1132">
        <f t="shared" ref="G51:G59" si="43">FORECAST(B51,$N$50:$N$51,$L$50:$L$51)</f>
        <v>3.5865</v>
      </c>
      <c r="H51" s="1187">
        <f t="shared" si="8"/>
        <v>3.4868814127277226</v>
      </c>
      <c r="I51" s="1135">
        <f>FORECAST(B51,$O$50:$O$51,$L$50:$L$51)</f>
        <v>0.92884999999999995</v>
      </c>
      <c r="J51" s="1136" t="e">
        <f t="shared" si="9"/>
        <v>#NAME?</v>
      </c>
      <c r="L51" s="1125">
        <f>B60</f>
        <v>60</v>
      </c>
      <c r="M51" s="1126">
        <f>D60</f>
        <v>64.09</v>
      </c>
      <c r="N51" s="1126">
        <f>G60</f>
        <v>2.9699999999999998</v>
      </c>
      <c r="O51" s="1127">
        <f>I60</f>
        <v>0.93199999999999994</v>
      </c>
      <c r="U51" s="1164">
        <v>51</v>
      </c>
      <c r="V51" s="1165">
        <v>20</v>
      </c>
      <c r="W51" s="1132">
        <f t="shared" ref="W51:W59" si="44">FORECAST(U51,$M$40:$M$41,$L$40:$L$41)</f>
        <v>64.212499999999991</v>
      </c>
      <c r="X51" s="1133">
        <f t="shared" si="25"/>
        <v>1.0285855553874999</v>
      </c>
      <c r="Y51" s="1133">
        <f t="shared" si="14"/>
        <v>8.5839626512570408</v>
      </c>
      <c r="Z51" s="1132">
        <f t="shared" ref="Z51:Z59" si="45">FORECAST(U51,$N$40:$N$41,$L$40:$L$41)</f>
        <v>3.5624999999999991</v>
      </c>
      <c r="AA51" s="1199">
        <f t="shared" si="27"/>
        <v>3.4634940976376978</v>
      </c>
      <c r="AB51" s="1188">
        <f>FORECAST(U51,$O$40:$O$41,$L$40:$L$41)</f>
        <v>0.92884999999999995</v>
      </c>
      <c r="AD51" s="1125">
        <f>U60</f>
        <v>60</v>
      </c>
      <c r="AE51" s="1126">
        <f>W60</f>
        <v>63.79</v>
      </c>
      <c r="AF51" s="1126">
        <f>Z60</f>
        <v>2.3199999999999998</v>
      </c>
      <c r="AG51" s="1127">
        <f>AB60</f>
        <v>0.94699999999999995</v>
      </c>
      <c r="AN51" s="1164">
        <v>51</v>
      </c>
      <c r="AO51" s="1131">
        <v>30</v>
      </c>
      <c r="AP51" s="1132">
        <f t="shared" ref="AP51:AP59" si="46">FORECAST(AN51,$M$50:$M$51,$L$50:$L$51)</f>
        <v>64.211500000000001</v>
      </c>
      <c r="AQ51" s="1133">
        <f t="shared" si="0"/>
        <v>1.0285695369245</v>
      </c>
      <c r="AR51" s="1133">
        <f t="shared" si="2"/>
        <v>8.583828970701834</v>
      </c>
      <c r="AS51" s="1132">
        <f t="shared" ref="AS51:AS59" si="47">FORECAST(AN51,$N$50:$N$51,$L$50:$L$51)</f>
        <v>3.5865</v>
      </c>
      <c r="AT51" s="1187">
        <f t="shared" si="1"/>
        <v>3.4868814127277226</v>
      </c>
      <c r="AU51" s="1188">
        <f>FORECAST(AN51,$O$50:$O$51,$L$50:$L$51)</f>
        <v>0.92884999999999995</v>
      </c>
      <c r="AW51" s="1125">
        <f>AN60</f>
        <v>60</v>
      </c>
      <c r="AX51" s="1126">
        <f>AP60</f>
        <v>64.39</v>
      </c>
      <c r="AY51" s="1126">
        <f>AS60</f>
        <v>3.62</v>
      </c>
      <c r="AZ51" s="1127">
        <f>AU60</f>
        <v>0.91700000000000004</v>
      </c>
    </row>
    <row r="52" spans="2:52" x14ac:dyDescent="0.2">
      <c r="B52" s="1164">
        <v>52</v>
      </c>
      <c r="C52" s="1131">
        <v>25</v>
      </c>
      <c r="D52" s="1132">
        <f t="shared" si="42"/>
        <v>64.197999999999993</v>
      </c>
      <c r="E52" s="1133">
        <f t="shared" si="6"/>
        <v>1.0283532876739998</v>
      </c>
      <c r="F52" s="1133">
        <f t="shared" si="7"/>
        <v>8.5820242832065325</v>
      </c>
      <c r="G52" s="1132">
        <f t="shared" si="43"/>
        <v>3.5179999999999998</v>
      </c>
      <c r="H52" s="1187">
        <f t="shared" si="8"/>
        <v>3.4210033090449432</v>
      </c>
      <c r="I52" s="1135">
        <f t="shared" ref="I52:I59" si="48">FORECAST(B52,$O$50:$O$51,$L$50:$L$51)</f>
        <v>0.92920000000000003</v>
      </c>
      <c r="J52" s="1136" t="e">
        <f t="shared" ref="J52:J83" si="49">E52/VLOOKUP(60,Water,6,FALSE)</f>
        <v>#NAME?</v>
      </c>
      <c r="L52" s="184"/>
      <c r="M52" s="1166"/>
      <c r="N52" s="1166"/>
      <c r="O52" s="1166"/>
      <c r="U52" s="1164">
        <v>52</v>
      </c>
      <c r="V52" s="1165">
        <v>20</v>
      </c>
      <c r="W52" s="1132">
        <f t="shared" si="44"/>
        <v>64.199999999999989</v>
      </c>
      <c r="X52" s="1133">
        <f t="shared" si="25"/>
        <v>1.0283853245999999</v>
      </c>
      <c r="Y52" s="1133">
        <f t="shared" si="14"/>
        <v>8.5822916443169479</v>
      </c>
      <c r="Z52" s="1132">
        <f t="shared" si="45"/>
        <v>3.4699999999999989</v>
      </c>
      <c r="AA52" s="1199">
        <f t="shared" si="27"/>
        <v>3.3742216239323408</v>
      </c>
      <c r="AB52" s="1188">
        <f t="shared" ref="AB52:AB59" si="50">FORECAST(U52,$O$40:$O$41,$L$40:$L$41)</f>
        <v>0.92920000000000003</v>
      </c>
      <c r="AD52" s="184"/>
      <c r="AE52" s="1166"/>
      <c r="AF52" s="1166"/>
      <c r="AG52" s="1166"/>
      <c r="AN52" s="1164">
        <v>52</v>
      </c>
      <c r="AO52" s="1131">
        <v>30</v>
      </c>
      <c r="AP52" s="1132">
        <f t="shared" si="46"/>
        <v>64.197999999999993</v>
      </c>
      <c r="AQ52" s="1133">
        <f t="shared" si="0"/>
        <v>1.0283532876739998</v>
      </c>
      <c r="AR52" s="1133">
        <f t="shared" si="2"/>
        <v>8.5820242832065325</v>
      </c>
      <c r="AS52" s="1132">
        <f t="shared" si="47"/>
        <v>3.5179999999999998</v>
      </c>
      <c r="AT52" s="1187">
        <f t="shared" si="1"/>
        <v>3.4210033090449432</v>
      </c>
      <c r="AU52" s="1188">
        <f t="shared" ref="AU52:AU59" si="51">FORECAST(AN52,$O$50:$O$51,$L$50:$L$51)</f>
        <v>0.92920000000000003</v>
      </c>
      <c r="AW52" s="184"/>
      <c r="AX52" s="1166"/>
      <c r="AY52" s="1166"/>
      <c r="AZ52" s="1166"/>
    </row>
    <row r="53" spans="2:52" x14ac:dyDescent="0.2">
      <c r="B53" s="1164">
        <v>53</v>
      </c>
      <c r="C53" s="1131">
        <v>25</v>
      </c>
      <c r="D53" s="1132">
        <f t="shared" si="42"/>
        <v>64.1845</v>
      </c>
      <c r="E53" s="1133">
        <f t="shared" si="6"/>
        <v>1.0281370384235</v>
      </c>
      <c r="F53" s="1133">
        <f t="shared" si="7"/>
        <v>8.5802195957112346</v>
      </c>
      <c r="G53" s="1132">
        <f t="shared" si="43"/>
        <v>3.4494999999999996</v>
      </c>
      <c r="H53" s="1187">
        <f t="shared" si="8"/>
        <v>3.3550974929269262</v>
      </c>
      <c r="I53" s="1135">
        <f t="shared" si="48"/>
        <v>0.92954999999999999</v>
      </c>
      <c r="J53" s="1136" t="e">
        <f t="shared" si="49"/>
        <v>#NAME?</v>
      </c>
      <c r="L53" s="1189" t="s">
        <v>1089</v>
      </c>
      <c r="M53" s="179"/>
      <c r="N53" s="179"/>
      <c r="O53" s="179"/>
      <c r="U53" s="1164">
        <v>53</v>
      </c>
      <c r="V53" s="1165">
        <v>20</v>
      </c>
      <c r="W53" s="1132">
        <f t="shared" si="44"/>
        <v>64.1875</v>
      </c>
      <c r="X53" s="1133">
        <f t="shared" si="25"/>
        <v>1.0281850938125001</v>
      </c>
      <c r="Y53" s="1133">
        <f t="shared" si="14"/>
        <v>8.5806206373768568</v>
      </c>
      <c r="Z53" s="1132">
        <f t="shared" si="45"/>
        <v>3.3774999999999986</v>
      </c>
      <c r="AA53" s="1199">
        <f t="shared" si="27"/>
        <v>3.2849143800327449</v>
      </c>
      <c r="AB53" s="1188">
        <f t="shared" si="50"/>
        <v>0.92954999999999999</v>
      </c>
      <c r="AD53" s="184"/>
      <c r="AE53" s="1166"/>
      <c r="AF53" s="1166"/>
      <c r="AG53" s="1166"/>
      <c r="AN53" s="1164">
        <v>53</v>
      </c>
      <c r="AO53" s="1131">
        <v>30</v>
      </c>
      <c r="AP53" s="1132">
        <f t="shared" si="46"/>
        <v>64.1845</v>
      </c>
      <c r="AQ53" s="1133">
        <f t="shared" si="0"/>
        <v>1.0281370384235</v>
      </c>
      <c r="AR53" s="1133">
        <f t="shared" si="2"/>
        <v>8.5802195957112346</v>
      </c>
      <c r="AS53" s="1132">
        <f t="shared" si="47"/>
        <v>3.4494999999999996</v>
      </c>
      <c r="AT53" s="1187">
        <f t="shared" si="1"/>
        <v>3.3550974929269262</v>
      </c>
      <c r="AU53" s="1188">
        <f t="shared" si="51"/>
        <v>0.92954999999999999</v>
      </c>
      <c r="AW53" s="184"/>
      <c r="AX53" s="1166"/>
      <c r="AY53" s="1166"/>
      <c r="AZ53" s="1166"/>
    </row>
    <row r="54" spans="2:52" ht="13.5" thickBot="1" x14ac:dyDescent="0.25">
      <c r="B54" s="1174">
        <v>54</v>
      </c>
      <c r="C54" s="1142">
        <v>25</v>
      </c>
      <c r="D54" s="1143">
        <f t="shared" si="42"/>
        <v>64.170999999999992</v>
      </c>
      <c r="E54" s="1144">
        <f t="shared" si="6"/>
        <v>1.0279207891729998</v>
      </c>
      <c r="F54" s="1144">
        <f t="shared" si="7"/>
        <v>8.5784149082159331</v>
      </c>
      <c r="G54" s="1143">
        <f t="shared" si="43"/>
        <v>3.3809999999999998</v>
      </c>
      <c r="H54" s="1191">
        <f t="shared" si="8"/>
        <v>3.28916394688363</v>
      </c>
      <c r="I54" s="1146">
        <f t="shared" si="48"/>
        <v>0.92989999999999995</v>
      </c>
      <c r="J54" s="1147" t="e">
        <f t="shared" si="49"/>
        <v>#NAME?</v>
      </c>
      <c r="L54" s="1190">
        <v>20</v>
      </c>
      <c r="M54" s="1200">
        <f>W50</f>
        <v>63.92</v>
      </c>
      <c r="N54" s="1200">
        <f>Z50</f>
        <v>2.79</v>
      </c>
      <c r="O54" s="1201">
        <f>AB50</f>
        <v>0.94399999999999995</v>
      </c>
      <c r="U54" s="1174">
        <v>54</v>
      </c>
      <c r="V54" s="1168">
        <v>20</v>
      </c>
      <c r="W54" s="1143">
        <f t="shared" si="44"/>
        <v>64.174999999999997</v>
      </c>
      <c r="X54" s="1144">
        <f t="shared" si="25"/>
        <v>1.0279848630249999</v>
      </c>
      <c r="Y54" s="1144">
        <f t="shared" si="14"/>
        <v>8.5789496304367638</v>
      </c>
      <c r="Z54" s="1143">
        <f t="shared" si="45"/>
        <v>3.2849999999999993</v>
      </c>
      <c r="AA54" s="1202">
        <f t="shared" si="27"/>
        <v>3.1955723456213092</v>
      </c>
      <c r="AB54" s="1192">
        <f t="shared" si="50"/>
        <v>0.92989999999999995</v>
      </c>
      <c r="AD54" s="184"/>
      <c r="AE54" s="1166"/>
      <c r="AF54" s="1166"/>
      <c r="AG54" s="1166"/>
      <c r="AN54" s="1174">
        <v>54</v>
      </c>
      <c r="AO54" s="1142">
        <v>30</v>
      </c>
      <c r="AP54" s="1143">
        <f t="shared" si="46"/>
        <v>64.170999999999992</v>
      </c>
      <c r="AQ54" s="1144">
        <f t="shared" si="0"/>
        <v>1.0279207891729998</v>
      </c>
      <c r="AR54" s="1144">
        <f t="shared" si="2"/>
        <v>8.5784149082159331</v>
      </c>
      <c r="AS54" s="1143">
        <f t="shared" si="47"/>
        <v>3.3809999999999998</v>
      </c>
      <c r="AT54" s="1191">
        <f t="shared" si="1"/>
        <v>3.28916394688363</v>
      </c>
      <c r="AU54" s="1192">
        <f t="shared" si="51"/>
        <v>0.92989999999999995</v>
      </c>
      <c r="AW54" s="184"/>
      <c r="AX54" s="1166"/>
      <c r="AY54" s="1166"/>
      <c r="AZ54" s="1166"/>
    </row>
    <row r="55" spans="2:52" x14ac:dyDescent="0.2">
      <c r="B55" s="1172">
        <v>55</v>
      </c>
      <c r="C55" s="1149">
        <v>25</v>
      </c>
      <c r="D55" s="1150">
        <f t="shared" si="42"/>
        <v>64.157499999999999</v>
      </c>
      <c r="E55" s="1122">
        <f t="shared" si="6"/>
        <v>1.0277045399225</v>
      </c>
      <c r="F55" s="1122">
        <f t="shared" si="7"/>
        <v>8.5766102207206334</v>
      </c>
      <c r="G55" s="1150">
        <f t="shared" si="43"/>
        <v>3.3125</v>
      </c>
      <c r="H55" s="1186">
        <f t="shared" si="8"/>
        <v>3.2232026534102869</v>
      </c>
      <c r="I55" s="1173">
        <f t="shared" si="48"/>
        <v>0.93025000000000002</v>
      </c>
      <c r="J55" s="1124" t="e">
        <f t="shared" si="49"/>
        <v>#NAME?</v>
      </c>
      <c r="L55" s="1190">
        <v>30</v>
      </c>
      <c r="M55" s="1200">
        <f>AP50</f>
        <v>64.53</v>
      </c>
      <c r="N55" s="1200">
        <f>AS50</f>
        <v>4.5199999999999996</v>
      </c>
      <c r="O55" s="1201">
        <f>AU50</f>
        <v>0.91300000000000003</v>
      </c>
      <c r="U55" s="1172">
        <v>55</v>
      </c>
      <c r="V55" s="1120">
        <v>20</v>
      </c>
      <c r="W55" s="1150">
        <f t="shared" si="44"/>
        <v>64.162499999999994</v>
      </c>
      <c r="X55" s="1122">
        <f t="shared" si="25"/>
        <v>1.0277846322374999</v>
      </c>
      <c r="Y55" s="1122">
        <f t="shared" si="14"/>
        <v>8.5772786234966691</v>
      </c>
      <c r="Z55" s="1150">
        <f t="shared" si="45"/>
        <v>3.192499999999999</v>
      </c>
      <c r="AA55" s="1198">
        <f t="shared" si="27"/>
        <v>3.1061955003645916</v>
      </c>
      <c r="AB55" s="1203">
        <f t="shared" si="50"/>
        <v>0.93025000000000002</v>
      </c>
      <c r="AD55" s="184"/>
      <c r="AE55" s="1166"/>
      <c r="AF55" s="1166"/>
      <c r="AG55" s="1166"/>
      <c r="AN55" s="1172">
        <v>55</v>
      </c>
      <c r="AO55" s="1149">
        <v>30</v>
      </c>
      <c r="AP55" s="1150">
        <f t="shared" si="46"/>
        <v>64.157499999999999</v>
      </c>
      <c r="AQ55" s="1122">
        <f t="shared" si="0"/>
        <v>1.0277045399225</v>
      </c>
      <c r="AR55" s="1122">
        <f t="shared" si="2"/>
        <v>8.5766102207206334</v>
      </c>
      <c r="AS55" s="1150">
        <f t="shared" si="47"/>
        <v>3.3125</v>
      </c>
      <c r="AT55" s="1186">
        <f t="shared" si="1"/>
        <v>3.2232026534102869</v>
      </c>
      <c r="AU55" s="1203">
        <f t="shared" si="51"/>
        <v>0.93025000000000002</v>
      </c>
      <c r="AW55" s="184"/>
      <c r="AX55" s="1166"/>
      <c r="AY55" s="1166"/>
      <c r="AZ55" s="1166"/>
    </row>
    <row r="56" spans="2:52" x14ac:dyDescent="0.2">
      <c r="B56" s="1164">
        <v>56</v>
      </c>
      <c r="C56" s="1131">
        <v>25</v>
      </c>
      <c r="D56" s="1132">
        <f t="shared" si="42"/>
        <v>64.144000000000005</v>
      </c>
      <c r="E56" s="1133">
        <f t="shared" si="6"/>
        <v>1.0274882906720002</v>
      </c>
      <c r="F56" s="1133">
        <f t="shared" si="7"/>
        <v>8.5748055332253337</v>
      </c>
      <c r="G56" s="1132">
        <f t="shared" si="43"/>
        <v>3.2439999999999998</v>
      </c>
      <c r="H56" s="1187">
        <f t="shared" si="8"/>
        <v>3.1572135949873954</v>
      </c>
      <c r="I56" s="1135">
        <f t="shared" si="48"/>
        <v>0.93059999999999998</v>
      </c>
      <c r="J56" s="1136" t="e">
        <f t="shared" si="49"/>
        <v>#NAME?</v>
      </c>
      <c r="L56" s="184"/>
      <c r="M56" s="1166"/>
      <c r="N56" s="1166"/>
      <c r="O56" s="1166"/>
      <c r="U56" s="1164">
        <v>56</v>
      </c>
      <c r="V56" s="1165">
        <v>20</v>
      </c>
      <c r="W56" s="1132">
        <f t="shared" si="44"/>
        <v>64.149999999999991</v>
      </c>
      <c r="X56" s="1133">
        <f t="shared" si="25"/>
        <v>1.02758440145</v>
      </c>
      <c r="Y56" s="1133">
        <f t="shared" si="14"/>
        <v>8.5756076165565762</v>
      </c>
      <c r="Z56" s="1132">
        <f t="shared" si="45"/>
        <v>3.0999999999999988</v>
      </c>
      <c r="AA56" s="1199">
        <f t="shared" si="27"/>
        <v>3.016783823913308</v>
      </c>
      <c r="AB56" s="1188">
        <f t="shared" si="50"/>
        <v>0.93059999999999998</v>
      </c>
      <c r="AD56" s="184"/>
      <c r="AE56" s="1166"/>
      <c r="AF56" s="1166"/>
      <c r="AG56" s="1166"/>
      <c r="AN56" s="1164">
        <v>56</v>
      </c>
      <c r="AO56" s="1131">
        <v>30</v>
      </c>
      <c r="AP56" s="1132">
        <f t="shared" si="46"/>
        <v>64.144000000000005</v>
      </c>
      <c r="AQ56" s="1133">
        <f t="shared" si="0"/>
        <v>1.0274882906720002</v>
      </c>
      <c r="AR56" s="1133">
        <f t="shared" si="2"/>
        <v>8.5748055332253337</v>
      </c>
      <c r="AS56" s="1132">
        <f t="shared" si="47"/>
        <v>3.2439999999999998</v>
      </c>
      <c r="AT56" s="1187">
        <f t="shared" si="1"/>
        <v>3.1572135949873954</v>
      </c>
      <c r="AU56" s="1188">
        <f t="shared" si="51"/>
        <v>0.93059999999999998</v>
      </c>
      <c r="AW56" s="184"/>
      <c r="AX56" s="1166"/>
      <c r="AY56" s="1166"/>
      <c r="AZ56" s="1166"/>
    </row>
    <row r="57" spans="2:52" x14ac:dyDescent="0.2">
      <c r="B57" s="1164">
        <v>57</v>
      </c>
      <c r="C57" s="1131">
        <v>25</v>
      </c>
      <c r="D57" s="1132">
        <f t="shared" si="42"/>
        <v>64.130499999999998</v>
      </c>
      <c r="E57" s="1133">
        <f t="shared" si="6"/>
        <v>1.0272720414215</v>
      </c>
      <c r="F57" s="1133">
        <f t="shared" si="7"/>
        <v>8.5730008457300322</v>
      </c>
      <c r="G57" s="1132">
        <f t="shared" si="43"/>
        <v>3.1754999999999995</v>
      </c>
      <c r="H57" s="1187">
        <f t="shared" si="8"/>
        <v>3.0911967540807042</v>
      </c>
      <c r="I57" s="1135">
        <f t="shared" si="48"/>
        <v>0.93094999999999994</v>
      </c>
      <c r="J57" s="1136" t="e">
        <f t="shared" si="49"/>
        <v>#NAME?</v>
      </c>
      <c r="L57" s="184"/>
      <c r="M57" s="1166"/>
      <c r="N57" s="1166"/>
      <c r="O57" s="1166"/>
      <c r="U57" s="1164">
        <v>57</v>
      </c>
      <c r="V57" s="1165">
        <v>20</v>
      </c>
      <c r="W57" s="1132">
        <f t="shared" si="44"/>
        <v>64.137499999999989</v>
      </c>
      <c r="X57" s="1133">
        <f t="shared" si="25"/>
        <v>1.0273841706624998</v>
      </c>
      <c r="Y57" s="1133">
        <f t="shared" si="14"/>
        <v>8.5739366096164833</v>
      </c>
      <c r="Z57" s="1132">
        <f t="shared" si="45"/>
        <v>3.0074999999999985</v>
      </c>
      <c r="AA57" s="1199">
        <f t="shared" si="27"/>
        <v>2.927337295902309</v>
      </c>
      <c r="AB57" s="1188">
        <f t="shared" si="50"/>
        <v>0.93094999999999994</v>
      </c>
      <c r="AD57" s="184"/>
      <c r="AE57" s="1166"/>
      <c r="AF57" s="1166"/>
      <c r="AG57" s="1166"/>
      <c r="AN57" s="1164">
        <v>57</v>
      </c>
      <c r="AO57" s="1131">
        <v>30</v>
      </c>
      <c r="AP57" s="1132">
        <f t="shared" si="46"/>
        <v>64.130499999999998</v>
      </c>
      <c r="AQ57" s="1133">
        <f t="shared" si="0"/>
        <v>1.0272720414215</v>
      </c>
      <c r="AR57" s="1133">
        <f t="shared" si="2"/>
        <v>8.5730008457300322</v>
      </c>
      <c r="AS57" s="1132">
        <f t="shared" si="47"/>
        <v>3.1754999999999995</v>
      </c>
      <c r="AT57" s="1187">
        <f t="shared" si="1"/>
        <v>3.0911967540807042</v>
      </c>
      <c r="AU57" s="1188">
        <f t="shared" si="51"/>
        <v>0.93094999999999994</v>
      </c>
      <c r="AW57" s="184"/>
      <c r="AX57" s="1166"/>
      <c r="AY57" s="1166"/>
      <c r="AZ57" s="1166"/>
    </row>
    <row r="58" spans="2:52" x14ac:dyDescent="0.2">
      <c r="B58" s="1164">
        <v>58</v>
      </c>
      <c r="C58" s="1131">
        <v>25</v>
      </c>
      <c r="D58" s="1132">
        <f t="shared" si="42"/>
        <v>64.117000000000004</v>
      </c>
      <c r="E58" s="1133">
        <f t="shared" si="6"/>
        <v>1.0270557921710002</v>
      </c>
      <c r="F58" s="1133">
        <f t="shared" si="7"/>
        <v>8.5711961582347325</v>
      </c>
      <c r="G58" s="1132">
        <f t="shared" si="43"/>
        <v>3.1069999999999998</v>
      </c>
      <c r="H58" s="1187">
        <f t="shared" si="8"/>
        <v>3.0251521131411896</v>
      </c>
      <c r="I58" s="1135">
        <f t="shared" si="48"/>
        <v>0.93129999999999991</v>
      </c>
      <c r="J58" s="1136" t="e">
        <f t="shared" si="49"/>
        <v>#NAME?</v>
      </c>
      <c r="L58" s="184"/>
      <c r="M58" s="1166"/>
      <c r="N58" s="1166"/>
      <c r="O58" s="1166"/>
      <c r="U58" s="1164">
        <v>58</v>
      </c>
      <c r="V58" s="1165">
        <v>20</v>
      </c>
      <c r="W58" s="1132">
        <f t="shared" si="44"/>
        <v>64.125</v>
      </c>
      <c r="X58" s="1133">
        <f t="shared" si="25"/>
        <v>1.027183939875</v>
      </c>
      <c r="Y58" s="1133">
        <f t="shared" si="14"/>
        <v>8.5722656026763921</v>
      </c>
      <c r="Z58" s="1132">
        <f t="shared" si="45"/>
        <v>2.9149999999999991</v>
      </c>
      <c r="AA58" s="1199">
        <f t="shared" si="27"/>
        <v>2.8378558959505646</v>
      </c>
      <c r="AB58" s="1188">
        <f t="shared" si="50"/>
        <v>0.93129999999999991</v>
      </c>
      <c r="AD58" s="184"/>
      <c r="AE58" s="1166"/>
      <c r="AF58" s="1166"/>
      <c r="AG58" s="1166"/>
      <c r="AN58" s="1164">
        <v>58</v>
      </c>
      <c r="AO58" s="1131">
        <v>30</v>
      </c>
      <c r="AP58" s="1132">
        <f t="shared" si="46"/>
        <v>64.117000000000004</v>
      </c>
      <c r="AQ58" s="1133">
        <f t="shared" si="0"/>
        <v>1.0270557921710002</v>
      </c>
      <c r="AR58" s="1133">
        <f t="shared" si="2"/>
        <v>8.5711961582347325</v>
      </c>
      <c r="AS58" s="1132">
        <f t="shared" si="47"/>
        <v>3.1069999999999998</v>
      </c>
      <c r="AT58" s="1187">
        <f t="shared" si="1"/>
        <v>3.0251521131411896</v>
      </c>
      <c r="AU58" s="1188">
        <f t="shared" si="51"/>
        <v>0.93129999999999991</v>
      </c>
      <c r="AW58" s="184"/>
      <c r="AX58" s="1166"/>
      <c r="AY58" s="1166"/>
      <c r="AZ58" s="1166"/>
    </row>
    <row r="59" spans="2:52" ht="13.5" thickBot="1" x14ac:dyDescent="0.25">
      <c r="B59" s="1174">
        <v>59</v>
      </c>
      <c r="C59" s="1142">
        <v>25</v>
      </c>
      <c r="D59" s="1143">
        <f t="shared" si="42"/>
        <v>64.103499999999997</v>
      </c>
      <c r="E59" s="1144">
        <f t="shared" si="6"/>
        <v>1.0268395429204999</v>
      </c>
      <c r="F59" s="1144">
        <f t="shared" si="7"/>
        <v>8.569391470739431</v>
      </c>
      <c r="G59" s="1143">
        <f t="shared" si="43"/>
        <v>3.0385</v>
      </c>
      <c r="H59" s="1191">
        <f t="shared" si="8"/>
        <v>2.9590796546050497</v>
      </c>
      <c r="I59" s="1135">
        <f t="shared" si="48"/>
        <v>0.93164999999999998</v>
      </c>
      <c r="J59" s="1147" t="e">
        <f t="shared" si="49"/>
        <v>#NAME?</v>
      </c>
      <c r="L59" s="184"/>
      <c r="M59" s="1166"/>
      <c r="N59" s="1166"/>
      <c r="O59" s="1166"/>
      <c r="U59" s="1174">
        <v>59</v>
      </c>
      <c r="V59" s="1175">
        <v>20</v>
      </c>
      <c r="W59" s="1143">
        <f t="shared" si="44"/>
        <v>64.112499999999997</v>
      </c>
      <c r="X59" s="1144">
        <f t="shared" si="25"/>
        <v>1.0269837090875</v>
      </c>
      <c r="Y59" s="1144">
        <f t="shared" si="14"/>
        <v>8.5705945957362992</v>
      </c>
      <c r="Z59" s="1143">
        <f t="shared" si="45"/>
        <v>2.8224999999999989</v>
      </c>
      <c r="AA59" s="1202">
        <f t="shared" si="27"/>
        <v>2.7483396036611514</v>
      </c>
      <c r="AB59" s="1188">
        <f t="shared" si="50"/>
        <v>0.93164999999999998</v>
      </c>
      <c r="AD59" s="184"/>
      <c r="AE59" s="1166"/>
      <c r="AF59" s="1166"/>
      <c r="AG59" s="1166"/>
      <c r="AN59" s="1174">
        <v>59</v>
      </c>
      <c r="AO59" s="1142">
        <v>30</v>
      </c>
      <c r="AP59" s="1143">
        <f t="shared" si="46"/>
        <v>64.103499999999997</v>
      </c>
      <c r="AQ59" s="1144">
        <f t="shared" si="0"/>
        <v>1.0268395429204999</v>
      </c>
      <c r="AR59" s="1144">
        <f t="shared" si="2"/>
        <v>8.569391470739431</v>
      </c>
      <c r="AS59" s="1143">
        <f t="shared" si="47"/>
        <v>3.0385</v>
      </c>
      <c r="AT59" s="1191">
        <f t="shared" si="1"/>
        <v>2.9590796546050497</v>
      </c>
      <c r="AU59" s="1188">
        <f t="shared" si="51"/>
        <v>0.93164999999999998</v>
      </c>
      <c r="AW59" s="184"/>
      <c r="AX59" s="1166"/>
      <c r="AY59" s="1166"/>
      <c r="AZ59" s="1166"/>
    </row>
    <row r="60" spans="2:52" x14ac:dyDescent="0.2">
      <c r="B60" s="1119">
        <v>60</v>
      </c>
      <c r="C60" s="1120">
        <v>25</v>
      </c>
      <c r="D60" s="1121">
        <f>FORECAST(C60,M64:M65,L64:L65)</f>
        <v>64.09</v>
      </c>
      <c r="E60" s="1122">
        <f t="shared" si="6"/>
        <v>1.0266232936700002</v>
      </c>
      <c r="F60" s="1122">
        <f t="shared" si="7"/>
        <v>8.567586783244133</v>
      </c>
      <c r="G60" s="1121">
        <f>FORECAST(C60,N64:N65,L64:L65)</f>
        <v>2.9699999999999998</v>
      </c>
      <c r="H60" s="1186">
        <f t="shared" si="8"/>
        <v>2.892979360893678</v>
      </c>
      <c r="I60" s="1123">
        <f>FORECAST(C60,O64:O65,L64:L65)</f>
        <v>0.93199999999999994</v>
      </c>
      <c r="J60" s="1124" t="e">
        <f t="shared" si="49"/>
        <v>#NAME?</v>
      </c>
      <c r="L60" s="1125">
        <f>B60</f>
        <v>60</v>
      </c>
      <c r="M60" s="1126">
        <f>D60</f>
        <v>64.09</v>
      </c>
      <c r="N60" s="1126">
        <f>G60</f>
        <v>2.9699999999999998</v>
      </c>
      <c r="O60" s="1127">
        <f>I60</f>
        <v>0.93199999999999994</v>
      </c>
      <c r="U60" s="1119">
        <v>60</v>
      </c>
      <c r="V60" s="1120">
        <v>20</v>
      </c>
      <c r="W60" s="1121">
        <v>63.79</v>
      </c>
      <c r="X60" s="1122">
        <f t="shared" si="25"/>
        <v>1.02181775477</v>
      </c>
      <c r="Y60" s="1122">
        <f t="shared" si="14"/>
        <v>8.5274826166819029</v>
      </c>
      <c r="Z60" s="1121">
        <v>2.3199999999999998</v>
      </c>
      <c r="AA60" s="1198">
        <f t="shared" si="27"/>
        <v>2.2704635823461556</v>
      </c>
      <c r="AB60" s="1124">
        <v>0.94699999999999995</v>
      </c>
      <c r="AD60" s="1125">
        <f>U60</f>
        <v>60</v>
      </c>
      <c r="AE60" s="1126">
        <f>W60</f>
        <v>63.79</v>
      </c>
      <c r="AF60" s="1126">
        <f>Z60</f>
        <v>2.3199999999999998</v>
      </c>
      <c r="AG60" s="1127">
        <f>AB60</f>
        <v>0.94699999999999995</v>
      </c>
      <c r="AN60" s="1119">
        <v>60</v>
      </c>
      <c r="AO60" s="1120">
        <v>30</v>
      </c>
      <c r="AP60" s="1121">
        <v>64.39</v>
      </c>
      <c r="AQ60" s="1122">
        <f t="shared" si="0"/>
        <v>1.0314288325700001</v>
      </c>
      <c r="AR60" s="1122">
        <f t="shared" si="2"/>
        <v>8.6076909498063614</v>
      </c>
      <c r="AS60" s="1121">
        <v>3.62</v>
      </c>
      <c r="AT60" s="1186">
        <f t="shared" si="1"/>
        <v>3.5096944022595191</v>
      </c>
      <c r="AU60" s="1124">
        <v>0.91700000000000004</v>
      </c>
      <c r="AW60" s="1125">
        <f>AN60</f>
        <v>60</v>
      </c>
      <c r="AX60" s="1126">
        <f>AP60</f>
        <v>64.39</v>
      </c>
      <c r="AY60" s="1126">
        <f>AS60</f>
        <v>3.62</v>
      </c>
      <c r="AZ60" s="1127">
        <f>AU60</f>
        <v>0.91700000000000004</v>
      </c>
    </row>
    <row r="61" spans="2:52" x14ac:dyDescent="0.2">
      <c r="B61" s="1164">
        <v>61</v>
      </c>
      <c r="C61" s="1131">
        <v>25</v>
      </c>
      <c r="D61" s="1132">
        <f t="shared" ref="D61:D69" si="52">FORECAST(B61,$M$60:$M$61,$L$60:$L$61)</f>
        <v>64.076000000000008</v>
      </c>
      <c r="E61" s="1133">
        <f t="shared" si="6"/>
        <v>1.0263990351880001</v>
      </c>
      <c r="F61" s="1133">
        <f t="shared" si="7"/>
        <v>8.565715255471229</v>
      </c>
      <c r="G61" s="1132">
        <f t="shared" ref="G61:G69" si="53">FORECAST(B61,$N$60:$N$61,$L$60:$L$61)</f>
        <v>2.9174999999999995</v>
      </c>
      <c r="H61" s="1187">
        <f t="shared" si="8"/>
        <v>2.8424617521835613</v>
      </c>
      <c r="I61" s="1135">
        <f>FORECAST(B61,$O$60:$O$61,$L$60:$L$61)</f>
        <v>0.93229999999999991</v>
      </c>
      <c r="J61" s="1136" t="e">
        <f t="shared" si="49"/>
        <v>#NAME?</v>
      </c>
      <c r="L61" s="1125">
        <f>B70</f>
        <v>70</v>
      </c>
      <c r="M61" s="1126">
        <f>D70</f>
        <v>63.949999999999996</v>
      </c>
      <c r="N61" s="1126">
        <f>G70</f>
        <v>2.4449999999999998</v>
      </c>
      <c r="O61" s="1127">
        <f>I70</f>
        <v>0.93500000000000005</v>
      </c>
      <c r="U61" s="1164">
        <v>61</v>
      </c>
      <c r="V61" s="1165">
        <v>20</v>
      </c>
      <c r="W61" s="1132">
        <f t="shared" ref="W61:W69" si="54">FORECAST(U61,$M$50:$M$51,$L$50:$L$51)</f>
        <v>64.07650000000001</v>
      </c>
      <c r="X61" s="1133">
        <f t="shared" si="25"/>
        <v>1.0264070444195001</v>
      </c>
      <c r="Y61" s="1133">
        <f t="shared" si="14"/>
        <v>8.5657820957488333</v>
      </c>
      <c r="Z61" s="1132">
        <f t="shared" ref="Z61:Z69" si="55">FORECAST(U61,$N$50:$N$51,$L$50:$L$51)</f>
        <v>2.9014999999999995</v>
      </c>
      <c r="AA61" s="1199">
        <f t="shared" si="27"/>
        <v>2.8268512144136602</v>
      </c>
      <c r="AB61" s="1188">
        <f>FORECAST(U61,$O$50:$O$51,$L$50:$L$51)</f>
        <v>0.9323499999999999</v>
      </c>
      <c r="AD61" s="1125">
        <f>U70</f>
        <v>70</v>
      </c>
      <c r="AE61" s="1126">
        <f>W70</f>
        <v>63.66</v>
      </c>
      <c r="AF61" s="1126">
        <f>Z70</f>
        <v>1.95</v>
      </c>
      <c r="AG61" s="1127">
        <f>AB70</f>
        <v>0.95</v>
      </c>
      <c r="AN61" s="1164">
        <v>61</v>
      </c>
      <c r="AO61" s="1131">
        <v>30</v>
      </c>
      <c r="AP61" s="1132">
        <f t="shared" ref="AP61:AP69" si="56">FORECAST(AN61,$M$60:$M$61,$L$60:$L$61)</f>
        <v>64.076000000000008</v>
      </c>
      <c r="AQ61" s="1133">
        <f t="shared" si="0"/>
        <v>1.0263990351880001</v>
      </c>
      <c r="AR61" s="1133">
        <f t="shared" si="2"/>
        <v>8.565715255471229</v>
      </c>
      <c r="AS61" s="1132">
        <f t="shared" ref="AS61:AS69" si="57">FORECAST(AN61,$N$60:$N$61,$L$60:$L$61)</f>
        <v>2.9174999999999995</v>
      </c>
      <c r="AT61" s="1187">
        <f t="shared" si="1"/>
        <v>2.8424617521835613</v>
      </c>
      <c r="AU61" s="1188">
        <f>FORECAST(AN61,$O$60:$O$61,$L$60:$L$61)</f>
        <v>0.93229999999999991</v>
      </c>
      <c r="AW61" s="1125">
        <f>AN70</f>
        <v>70</v>
      </c>
      <c r="AX61" s="1126">
        <f>AP70</f>
        <v>64.239999999999995</v>
      </c>
      <c r="AY61" s="1126">
        <f>AS70</f>
        <v>2.94</v>
      </c>
      <c r="AZ61" s="1127">
        <f>AU70</f>
        <v>0.92</v>
      </c>
    </row>
    <row r="62" spans="2:52" x14ac:dyDescent="0.2">
      <c r="B62" s="1164">
        <v>62</v>
      </c>
      <c r="C62" s="1131">
        <v>25</v>
      </c>
      <c r="D62" s="1132">
        <f t="shared" si="52"/>
        <v>64.061999999999998</v>
      </c>
      <c r="E62" s="1133">
        <f t="shared" si="6"/>
        <v>1.0261747767059999</v>
      </c>
      <c r="F62" s="1133">
        <f t="shared" si="7"/>
        <v>8.5638437276983232</v>
      </c>
      <c r="G62" s="1132">
        <f t="shared" si="53"/>
        <v>2.8649999999999998</v>
      </c>
      <c r="H62" s="1187">
        <f t="shared" si="8"/>
        <v>2.7919220634096966</v>
      </c>
      <c r="I62" s="1135">
        <f t="shared" ref="I62:I69" si="58">FORECAST(B62,$O$60:$O$61,$L$60:$L$61)</f>
        <v>0.93259999999999998</v>
      </c>
      <c r="J62" s="1136" t="e">
        <f t="shared" si="49"/>
        <v>#NAME?</v>
      </c>
      <c r="L62" s="184"/>
      <c r="M62" s="1166"/>
      <c r="N62" s="1166"/>
      <c r="O62" s="1166"/>
      <c r="U62" s="1164">
        <v>62</v>
      </c>
      <c r="V62" s="1165">
        <v>20</v>
      </c>
      <c r="W62" s="1132">
        <f t="shared" si="54"/>
        <v>64.063000000000002</v>
      </c>
      <c r="X62" s="1133">
        <f t="shared" si="25"/>
        <v>1.0261907951690001</v>
      </c>
      <c r="Y62" s="1133">
        <f t="shared" si="14"/>
        <v>8.5639774082535318</v>
      </c>
      <c r="Z62" s="1132">
        <f t="shared" si="55"/>
        <v>2.8330000000000002</v>
      </c>
      <c r="AA62" s="1199">
        <f t="shared" si="27"/>
        <v>2.7606951975567489</v>
      </c>
      <c r="AB62" s="1188">
        <f t="shared" ref="AB62:AB69" si="59">FORECAST(U62,$O$50:$O$51,$L$50:$L$51)</f>
        <v>0.93269999999999997</v>
      </c>
      <c r="AD62" s="184"/>
      <c r="AE62" s="1166"/>
      <c r="AF62" s="1166"/>
      <c r="AG62" s="1166"/>
      <c r="AN62" s="1164">
        <v>62</v>
      </c>
      <c r="AO62" s="1131">
        <v>30</v>
      </c>
      <c r="AP62" s="1132">
        <f t="shared" si="56"/>
        <v>64.061999999999998</v>
      </c>
      <c r="AQ62" s="1133">
        <f t="shared" si="0"/>
        <v>1.0261747767059999</v>
      </c>
      <c r="AR62" s="1133">
        <f t="shared" si="2"/>
        <v>8.5638437276983232</v>
      </c>
      <c r="AS62" s="1132">
        <f t="shared" si="57"/>
        <v>2.8649999999999998</v>
      </c>
      <c r="AT62" s="1187">
        <f t="shared" si="1"/>
        <v>2.7919220634096966</v>
      </c>
      <c r="AU62" s="1188">
        <f t="shared" ref="AU62:AU69" si="60">FORECAST(AN62,$O$60:$O$61,$L$60:$L$61)</f>
        <v>0.93259999999999998</v>
      </c>
      <c r="AW62" s="184"/>
      <c r="AX62" s="1166"/>
      <c r="AY62" s="1166"/>
      <c r="AZ62" s="1166"/>
    </row>
    <row r="63" spans="2:52" x14ac:dyDescent="0.2">
      <c r="B63" s="1164">
        <v>63</v>
      </c>
      <c r="C63" s="1131">
        <v>25</v>
      </c>
      <c r="D63" s="1132">
        <f t="shared" si="52"/>
        <v>64.048000000000002</v>
      </c>
      <c r="E63" s="1133">
        <f t="shared" si="6"/>
        <v>1.0259505182240001</v>
      </c>
      <c r="F63" s="1133">
        <f t="shared" si="7"/>
        <v>8.5619721999254192</v>
      </c>
      <c r="G63" s="1132">
        <f t="shared" si="53"/>
        <v>2.8125</v>
      </c>
      <c r="H63" s="1187">
        <f t="shared" si="8"/>
        <v>2.7413602800928993</v>
      </c>
      <c r="I63" s="1135">
        <f t="shared" si="58"/>
        <v>0.93289999999999995</v>
      </c>
      <c r="J63" s="1136" t="e">
        <f t="shared" si="49"/>
        <v>#NAME?</v>
      </c>
      <c r="L63" s="1189" t="s">
        <v>1089</v>
      </c>
      <c r="M63" s="179"/>
      <c r="N63" s="179"/>
      <c r="O63" s="179"/>
      <c r="U63" s="1164">
        <v>63</v>
      </c>
      <c r="V63" s="1165">
        <v>20</v>
      </c>
      <c r="W63" s="1132">
        <f t="shared" si="54"/>
        <v>64.049500000000009</v>
      </c>
      <c r="X63" s="1133">
        <f t="shared" si="25"/>
        <v>1.0259745459185001</v>
      </c>
      <c r="Y63" s="1133">
        <f t="shared" si="14"/>
        <v>8.5621727207582321</v>
      </c>
      <c r="Z63" s="1132">
        <f t="shared" si="55"/>
        <v>2.7645</v>
      </c>
      <c r="AA63" s="1199">
        <f t="shared" si="27"/>
        <v>2.6945112926998505</v>
      </c>
      <c r="AB63" s="1188">
        <f t="shared" si="59"/>
        <v>0.93304999999999993</v>
      </c>
      <c r="AD63" s="184"/>
      <c r="AE63" s="1166"/>
      <c r="AF63" s="1166"/>
      <c r="AG63" s="1166"/>
      <c r="AN63" s="1164">
        <v>63</v>
      </c>
      <c r="AO63" s="1131">
        <v>30</v>
      </c>
      <c r="AP63" s="1132">
        <f t="shared" si="56"/>
        <v>64.048000000000002</v>
      </c>
      <c r="AQ63" s="1133">
        <f t="shared" si="0"/>
        <v>1.0259505182240001</v>
      </c>
      <c r="AR63" s="1133">
        <f t="shared" si="2"/>
        <v>8.5619721999254192</v>
      </c>
      <c r="AS63" s="1132">
        <f t="shared" si="57"/>
        <v>2.8125</v>
      </c>
      <c r="AT63" s="1187">
        <f t="shared" si="1"/>
        <v>2.7413602800928993</v>
      </c>
      <c r="AU63" s="1188">
        <f t="shared" si="60"/>
        <v>0.93289999999999995</v>
      </c>
      <c r="AW63" s="184"/>
      <c r="AX63" s="1166"/>
      <c r="AY63" s="1166"/>
      <c r="AZ63" s="1166"/>
    </row>
    <row r="64" spans="2:52" ht="13.5" thickBot="1" x14ac:dyDescent="0.25">
      <c r="B64" s="1174">
        <v>64</v>
      </c>
      <c r="C64" s="1142">
        <v>25</v>
      </c>
      <c r="D64" s="1143">
        <f t="shared" si="52"/>
        <v>64.034000000000006</v>
      </c>
      <c r="E64" s="1144">
        <f t="shared" si="6"/>
        <v>1.025726259742</v>
      </c>
      <c r="F64" s="1144">
        <f t="shared" si="7"/>
        <v>8.560100672152517</v>
      </c>
      <c r="G64" s="1143">
        <f t="shared" si="53"/>
        <v>2.76</v>
      </c>
      <c r="H64" s="1191">
        <f t="shared" si="8"/>
        <v>2.6907763877413258</v>
      </c>
      <c r="I64" s="1146">
        <f t="shared" si="58"/>
        <v>0.93320000000000003</v>
      </c>
      <c r="J64" s="1147" t="e">
        <f t="shared" si="49"/>
        <v>#NAME?</v>
      </c>
      <c r="L64" s="1190">
        <v>20</v>
      </c>
      <c r="M64" s="1200">
        <f>W60</f>
        <v>63.79</v>
      </c>
      <c r="N64" s="1200">
        <f>Z60</f>
        <v>2.3199999999999998</v>
      </c>
      <c r="O64" s="1201">
        <f>AB60</f>
        <v>0.94699999999999995</v>
      </c>
      <c r="U64" s="1174">
        <v>64</v>
      </c>
      <c r="V64" s="1168">
        <v>20</v>
      </c>
      <c r="W64" s="1143">
        <f t="shared" si="54"/>
        <v>64.036000000000001</v>
      </c>
      <c r="X64" s="1144">
        <f t="shared" si="25"/>
        <v>1.0257582966680001</v>
      </c>
      <c r="Y64" s="1144">
        <f t="shared" si="14"/>
        <v>8.5603680332629306</v>
      </c>
      <c r="Z64" s="1143">
        <f t="shared" si="55"/>
        <v>2.6959999999999997</v>
      </c>
      <c r="AA64" s="1202">
        <f t="shared" si="27"/>
        <v>2.6282994822050121</v>
      </c>
      <c r="AB64" s="1192">
        <f t="shared" si="59"/>
        <v>0.9333999999999999</v>
      </c>
      <c r="AD64" s="184"/>
      <c r="AE64" s="1166"/>
      <c r="AF64" s="1166"/>
      <c r="AG64" s="1166"/>
      <c r="AN64" s="1174">
        <v>64</v>
      </c>
      <c r="AO64" s="1142">
        <v>30</v>
      </c>
      <c r="AP64" s="1143">
        <f t="shared" si="56"/>
        <v>64.034000000000006</v>
      </c>
      <c r="AQ64" s="1144">
        <f t="shared" si="0"/>
        <v>1.025726259742</v>
      </c>
      <c r="AR64" s="1144">
        <f t="shared" si="2"/>
        <v>8.560100672152517</v>
      </c>
      <c r="AS64" s="1143">
        <f t="shared" si="57"/>
        <v>2.76</v>
      </c>
      <c r="AT64" s="1191">
        <f t="shared" si="1"/>
        <v>2.6907763877413258</v>
      </c>
      <c r="AU64" s="1192">
        <f t="shared" si="60"/>
        <v>0.93320000000000003</v>
      </c>
      <c r="AW64" s="184"/>
      <c r="AX64" s="1166"/>
      <c r="AY64" s="1166"/>
      <c r="AZ64" s="1166"/>
    </row>
    <row r="65" spans="2:52" x14ac:dyDescent="0.2">
      <c r="B65" s="1172">
        <v>65</v>
      </c>
      <c r="C65" s="1149">
        <v>25</v>
      </c>
      <c r="D65" s="1150">
        <f t="shared" si="52"/>
        <v>64.02</v>
      </c>
      <c r="E65" s="1122">
        <f t="shared" si="6"/>
        <v>1.02550200126</v>
      </c>
      <c r="F65" s="1122">
        <f t="shared" si="7"/>
        <v>8.5582291443796112</v>
      </c>
      <c r="G65" s="1150">
        <f t="shared" si="53"/>
        <v>2.7074999999999996</v>
      </c>
      <c r="H65" s="1186">
        <f t="shared" si="8"/>
        <v>2.6401703718504548</v>
      </c>
      <c r="I65" s="1173">
        <f t="shared" si="58"/>
        <v>0.9335</v>
      </c>
      <c r="J65" s="1124" t="e">
        <f t="shared" si="49"/>
        <v>#NAME?</v>
      </c>
      <c r="L65" s="1190">
        <v>30</v>
      </c>
      <c r="M65" s="1200">
        <f>AP60</f>
        <v>64.39</v>
      </c>
      <c r="N65" s="1200">
        <f>AS60</f>
        <v>3.62</v>
      </c>
      <c r="O65" s="1201">
        <f>AU60</f>
        <v>0.91700000000000004</v>
      </c>
      <c r="U65" s="1172">
        <v>65</v>
      </c>
      <c r="V65" s="1120">
        <v>20</v>
      </c>
      <c r="W65" s="1150">
        <f t="shared" si="54"/>
        <v>64.022500000000008</v>
      </c>
      <c r="X65" s="1122">
        <f t="shared" si="25"/>
        <v>1.0255420474175001</v>
      </c>
      <c r="Y65" s="1122">
        <f t="shared" si="14"/>
        <v>8.5585633457676309</v>
      </c>
      <c r="Z65" s="1150">
        <f t="shared" si="55"/>
        <v>2.6274999999999995</v>
      </c>
      <c r="AA65" s="1198">
        <f t="shared" si="27"/>
        <v>2.5620597484194025</v>
      </c>
      <c r="AB65" s="1203">
        <f t="shared" si="59"/>
        <v>0.93374999999999986</v>
      </c>
      <c r="AD65" s="184"/>
      <c r="AE65" s="1166"/>
      <c r="AF65" s="1166"/>
      <c r="AG65" s="1166"/>
      <c r="AN65" s="1172">
        <v>65</v>
      </c>
      <c r="AO65" s="1149">
        <v>30</v>
      </c>
      <c r="AP65" s="1150">
        <f t="shared" si="56"/>
        <v>64.02</v>
      </c>
      <c r="AQ65" s="1122">
        <f t="shared" si="0"/>
        <v>1.02550200126</v>
      </c>
      <c r="AR65" s="1122">
        <f t="shared" si="2"/>
        <v>8.5582291443796112</v>
      </c>
      <c r="AS65" s="1150">
        <f t="shared" si="57"/>
        <v>2.7074999999999996</v>
      </c>
      <c r="AT65" s="1186">
        <f t="shared" si="1"/>
        <v>2.6401703718504548</v>
      </c>
      <c r="AU65" s="1203">
        <f t="shared" si="60"/>
        <v>0.9335</v>
      </c>
      <c r="AW65" s="184"/>
      <c r="AX65" s="1166"/>
      <c r="AY65" s="1166"/>
      <c r="AZ65" s="1166"/>
    </row>
    <row r="66" spans="2:52" x14ac:dyDescent="0.2">
      <c r="B66" s="1164">
        <v>66</v>
      </c>
      <c r="C66" s="1131">
        <v>25</v>
      </c>
      <c r="D66" s="1132">
        <f t="shared" si="52"/>
        <v>64.006</v>
      </c>
      <c r="E66" s="1133">
        <f t="shared" si="6"/>
        <v>1.025277742778</v>
      </c>
      <c r="F66" s="1133">
        <f t="shared" si="7"/>
        <v>8.5563576166067072</v>
      </c>
      <c r="G66" s="1132">
        <f t="shared" si="53"/>
        <v>2.6549999999999998</v>
      </c>
      <c r="H66" s="1187">
        <f t="shared" si="8"/>
        <v>2.5895422179030745</v>
      </c>
      <c r="I66" s="1135">
        <f t="shared" si="58"/>
        <v>0.93379999999999996</v>
      </c>
      <c r="J66" s="1136" t="e">
        <f t="shared" si="49"/>
        <v>#NAME?</v>
      </c>
      <c r="L66" s="184"/>
      <c r="M66" s="1166"/>
      <c r="N66" s="1166"/>
      <c r="O66" s="1166"/>
      <c r="U66" s="1164">
        <v>66</v>
      </c>
      <c r="V66" s="1165">
        <v>20</v>
      </c>
      <c r="W66" s="1132">
        <f t="shared" si="54"/>
        <v>64.009000000000015</v>
      </c>
      <c r="X66" s="1133">
        <f t="shared" si="25"/>
        <v>1.0253257981670003</v>
      </c>
      <c r="Y66" s="1133">
        <f t="shared" si="14"/>
        <v>8.556758658272333</v>
      </c>
      <c r="Z66" s="1132">
        <f t="shared" si="55"/>
        <v>2.5589999999999993</v>
      </c>
      <c r="AA66" s="1199">
        <f t="shared" si="27"/>
        <v>2.4957920736752994</v>
      </c>
      <c r="AB66" s="1188">
        <f t="shared" si="59"/>
        <v>0.93409999999999993</v>
      </c>
      <c r="AD66" s="184"/>
      <c r="AE66" s="1166"/>
      <c r="AF66" s="1166"/>
      <c r="AG66" s="1166"/>
      <c r="AN66" s="1164">
        <v>66</v>
      </c>
      <c r="AO66" s="1131">
        <v>30</v>
      </c>
      <c r="AP66" s="1132">
        <f t="shared" si="56"/>
        <v>64.006</v>
      </c>
      <c r="AQ66" s="1133">
        <f t="shared" si="0"/>
        <v>1.025277742778</v>
      </c>
      <c r="AR66" s="1133">
        <f t="shared" si="2"/>
        <v>8.5563576166067072</v>
      </c>
      <c r="AS66" s="1132">
        <f t="shared" si="57"/>
        <v>2.6549999999999998</v>
      </c>
      <c r="AT66" s="1187">
        <f t="shared" si="1"/>
        <v>2.5895422179030745</v>
      </c>
      <c r="AU66" s="1188">
        <f t="shared" si="60"/>
        <v>0.93379999999999996</v>
      </c>
      <c r="AW66" s="184"/>
      <c r="AX66" s="1166"/>
      <c r="AY66" s="1166"/>
      <c r="AZ66" s="1166"/>
    </row>
    <row r="67" spans="2:52" x14ac:dyDescent="0.2">
      <c r="B67" s="1164">
        <v>67</v>
      </c>
      <c r="C67" s="1131">
        <v>25</v>
      </c>
      <c r="D67" s="1132">
        <f t="shared" si="52"/>
        <v>63.991999999999997</v>
      </c>
      <c r="E67" s="1133">
        <f t="shared" si="6"/>
        <v>1.025053484296</v>
      </c>
      <c r="F67" s="1133">
        <f t="shared" si="7"/>
        <v>8.5544860888338032</v>
      </c>
      <c r="G67" s="1132">
        <f t="shared" si="53"/>
        <v>2.6025</v>
      </c>
      <c r="H67" s="1187">
        <f t="shared" si="8"/>
        <v>2.5388919113692689</v>
      </c>
      <c r="I67" s="1135">
        <f t="shared" si="58"/>
        <v>0.93410000000000004</v>
      </c>
      <c r="J67" s="1136" t="e">
        <f t="shared" si="49"/>
        <v>#NAME?</v>
      </c>
      <c r="L67" s="184"/>
      <c r="M67" s="1166"/>
      <c r="N67" s="1166"/>
      <c r="O67" s="1166"/>
      <c r="U67" s="1164">
        <v>67</v>
      </c>
      <c r="V67" s="1165">
        <v>20</v>
      </c>
      <c r="W67" s="1132">
        <f t="shared" si="54"/>
        <v>63.995500000000007</v>
      </c>
      <c r="X67" s="1133">
        <f t="shared" si="25"/>
        <v>1.0251095489165001</v>
      </c>
      <c r="Y67" s="1133">
        <f t="shared" si="14"/>
        <v>8.5549539707770315</v>
      </c>
      <c r="Z67" s="1132">
        <f t="shared" si="55"/>
        <v>2.4904999999999999</v>
      </c>
      <c r="AA67" s="1199">
        <f t="shared" si="27"/>
        <v>2.4294964402900736</v>
      </c>
      <c r="AB67" s="1188">
        <f t="shared" si="59"/>
        <v>0.93444999999999989</v>
      </c>
      <c r="AD67" s="184"/>
      <c r="AE67" s="1166"/>
      <c r="AF67" s="1166"/>
      <c r="AG67" s="1166"/>
      <c r="AN67" s="1164">
        <v>67</v>
      </c>
      <c r="AO67" s="1131">
        <v>30</v>
      </c>
      <c r="AP67" s="1132">
        <f t="shared" si="56"/>
        <v>63.991999999999997</v>
      </c>
      <c r="AQ67" s="1133">
        <f t="shared" si="0"/>
        <v>1.025053484296</v>
      </c>
      <c r="AR67" s="1133">
        <f t="shared" si="2"/>
        <v>8.5544860888338032</v>
      </c>
      <c r="AS67" s="1132">
        <f t="shared" si="57"/>
        <v>2.6025</v>
      </c>
      <c r="AT67" s="1187">
        <f t="shared" si="1"/>
        <v>2.5388919113692689</v>
      </c>
      <c r="AU67" s="1188">
        <f t="shared" si="60"/>
        <v>0.93410000000000004</v>
      </c>
      <c r="AW67" s="184"/>
      <c r="AX67" s="1166"/>
      <c r="AY67" s="1166"/>
      <c r="AZ67" s="1166"/>
    </row>
    <row r="68" spans="2:52" x14ac:dyDescent="0.2">
      <c r="B68" s="1164">
        <v>68</v>
      </c>
      <c r="C68" s="1131">
        <v>25</v>
      </c>
      <c r="D68" s="1132">
        <f t="shared" si="52"/>
        <v>63.977999999999994</v>
      </c>
      <c r="E68" s="1133">
        <f t="shared" si="6"/>
        <v>1.0248292258139999</v>
      </c>
      <c r="F68" s="1133">
        <f t="shared" si="7"/>
        <v>8.5526145610608992</v>
      </c>
      <c r="G68" s="1132">
        <f t="shared" si="53"/>
        <v>2.5499999999999998</v>
      </c>
      <c r="H68" s="1187">
        <f t="shared" si="8"/>
        <v>2.4882194377064035</v>
      </c>
      <c r="I68" s="1135">
        <f t="shared" si="58"/>
        <v>0.93440000000000001</v>
      </c>
      <c r="J68" s="1136" t="e">
        <f t="shared" si="49"/>
        <v>#NAME?</v>
      </c>
      <c r="L68" s="184"/>
      <c r="M68" s="1166"/>
      <c r="N68" s="1166"/>
      <c r="O68" s="1166"/>
      <c r="U68" s="1164">
        <v>68</v>
      </c>
      <c r="V68" s="1165">
        <v>20</v>
      </c>
      <c r="W68" s="1132">
        <f t="shared" si="54"/>
        <v>63.982000000000014</v>
      </c>
      <c r="X68" s="1133">
        <f t="shared" si="25"/>
        <v>1.0248932996660003</v>
      </c>
      <c r="Y68" s="1133">
        <f t="shared" si="14"/>
        <v>8.5531492832817317</v>
      </c>
      <c r="Z68" s="1132">
        <f t="shared" si="55"/>
        <v>2.4219999999999997</v>
      </c>
      <c r="AA68" s="1199">
        <f t="shared" si="27"/>
        <v>2.3631728305661661</v>
      </c>
      <c r="AB68" s="1188">
        <f t="shared" si="59"/>
        <v>0.93479999999999985</v>
      </c>
      <c r="AD68" s="184"/>
      <c r="AE68" s="1166"/>
      <c r="AF68" s="1166"/>
      <c r="AG68" s="1166"/>
      <c r="AN68" s="1164">
        <v>68</v>
      </c>
      <c r="AO68" s="1131">
        <v>30</v>
      </c>
      <c r="AP68" s="1132">
        <f t="shared" si="56"/>
        <v>63.977999999999994</v>
      </c>
      <c r="AQ68" s="1133">
        <f t="shared" si="0"/>
        <v>1.0248292258139999</v>
      </c>
      <c r="AR68" s="1133">
        <f t="shared" si="2"/>
        <v>8.5526145610608992</v>
      </c>
      <c r="AS68" s="1132">
        <f t="shared" si="57"/>
        <v>2.5499999999999998</v>
      </c>
      <c r="AT68" s="1187">
        <f t="shared" si="1"/>
        <v>2.4882194377064035</v>
      </c>
      <c r="AU68" s="1188">
        <f t="shared" si="60"/>
        <v>0.93440000000000001</v>
      </c>
      <c r="AW68" s="184"/>
      <c r="AX68" s="1166"/>
      <c r="AY68" s="1166"/>
      <c r="AZ68" s="1166"/>
    </row>
    <row r="69" spans="2:52" ht="13.5" thickBot="1" x14ac:dyDescent="0.25">
      <c r="B69" s="1174">
        <v>69</v>
      </c>
      <c r="C69" s="1142">
        <v>25</v>
      </c>
      <c r="D69" s="1143">
        <f t="shared" si="52"/>
        <v>63.963999999999999</v>
      </c>
      <c r="E69" s="1144">
        <f t="shared" si="6"/>
        <v>1.0246049673319999</v>
      </c>
      <c r="F69" s="1144">
        <f t="shared" si="7"/>
        <v>8.5507430332879952</v>
      </c>
      <c r="G69" s="1143">
        <f t="shared" si="53"/>
        <v>2.4974999999999996</v>
      </c>
      <c r="H69" s="1191">
        <f t="shared" si="8"/>
        <v>2.4375247823591133</v>
      </c>
      <c r="I69" s="1135">
        <f t="shared" si="58"/>
        <v>0.93470000000000009</v>
      </c>
      <c r="J69" s="1147" t="e">
        <f t="shared" si="49"/>
        <v>#NAME?</v>
      </c>
      <c r="L69" s="184"/>
      <c r="M69" s="1166"/>
      <c r="N69" s="1166"/>
      <c r="O69" s="1166"/>
      <c r="U69" s="1174">
        <v>69</v>
      </c>
      <c r="V69" s="1175">
        <v>20</v>
      </c>
      <c r="W69" s="1143">
        <f t="shared" si="54"/>
        <v>63.968500000000013</v>
      </c>
      <c r="X69" s="1144">
        <f t="shared" si="25"/>
        <v>1.0246770504155003</v>
      </c>
      <c r="Y69" s="1144">
        <f t="shared" si="14"/>
        <v>8.5513445957864302</v>
      </c>
      <c r="Z69" s="1143">
        <f t="shared" si="55"/>
        <v>2.3534999999999995</v>
      </c>
      <c r="AA69" s="1202">
        <f t="shared" si="27"/>
        <v>2.2968212267910846</v>
      </c>
      <c r="AB69" s="1188">
        <f t="shared" si="59"/>
        <v>0.93514999999999993</v>
      </c>
      <c r="AD69" s="184"/>
      <c r="AE69" s="1166"/>
      <c r="AF69" s="1166"/>
      <c r="AG69" s="1166"/>
      <c r="AN69" s="1174">
        <v>69</v>
      </c>
      <c r="AO69" s="1142">
        <v>30</v>
      </c>
      <c r="AP69" s="1143">
        <f t="shared" si="56"/>
        <v>63.963999999999999</v>
      </c>
      <c r="AQ69" s="1144">
        <f t="shared" si="0"/>
        <v>1.0246049673319999</v>
      </c>
      <c r="AR69" s="1144">
        <f t="shared" si="2"/>
        <v>8.5507430332879952</v>
      </c>
      <c r="AS69" s="1143">
        <f t="shared" si="57"/>
        <v>2.4974999999999996</v>
      </c>
      <c r="AT69" s="1191">
        <f t="shared" si="1"/>
        <v>2.4375247823591133</v>
      </c>
      <c r="AU69" s="1188">
        <f t="shared" si="60"/>
        <v>0.93470000000000009</v>
      </c>
      <c r="AW69" s="184"/>
      <c r="AX69" s="1166"/>
      <c r="AY69" s="1166"/>
      <c r="AZ69" s="1166"/>
    </row>
    <row r="70" spans="2:52" x14ac:dyDescent="0.2">
      <c r="B70" s="1119">
        <v>70</v>
      </c>
      <c r="C70" s="1120">
        <v>25</v>
      </c>
      <c r="D70" s="1121">
        <f>FORECAST(C70,M74:M75,L74:L75)</f>
        <v>63.949999999999996</v>
      </c>
      <c r="E70" s="1122">
        <f t="shared" si="6"/>
        <v>1.0243807088499999</v>
      </c>
      <c r="F70" s="1122">
        <f t="shared" si="7"/>
        <v>8.5488715055150912</v>
      </c>
      <c r="G70" s="1121">
        <f>FORECAST(C70,N74:N75,L74:L75)</f>
        <v>2.4449999999999998</v>
      </c>
      <c r="H70" s="1186">
        <f t="shared" si="8"/>
        <v>2.3868079307592871</v>
      </c>
      <c r="I70" s="1123">
        <f>FORECAST(C70,O74:O75,L74:L75)</f>
        <v>0.93500000000000005</v>
      </c>
      <c r="J70" s="1124" t="e">
        <f t="shared" si="49"/>
        <v>#NAME?</v>
      </c>
      <c r="L70" s="1125">
        <f>B70</f>
        <v>70</v>
      </c>
      <c r="M70" s="1126">
        <f>D70</f>
        <v>63.949999999999996</v>
      </c>
      <c r="N70" s="1126">
        <f>G70</f>
        <v>2.4449999999999998</v>
      </c>
      <c r="O70" s="1127">
        <f>I70</f>
        <v>0.93500000000000005</v>
      </c>
      <c r="U70" s="1119">
        <v>70</v>
      </c>
      <c r="V70" s="1120">
        <v>20</v>
      </c>
      <c r="W70" s="1121">
        <v>63.66</v>
      </c>
      <c r="X70" s="1122">
        <f t="shared" si="25"/>
        <v>1.0197353545799999</v>
      </c>
      <c r="Y70" s="1122">
        <f t="shared" si="14"/>
        <v>8.5101041445049361</v>
      </c>
      <c r="Z70" s="1121">
        <v>1.95</v>
      </c>
      <c r="AA70" s="1198">
        <f t="shared" si="27"/>
        <v>1.9122608539969175</v>
      </c>
      <c r="AB70" s="1124">
        <v>0.95</v>
      </c>
      <c r="AD70" s="1125">
        <f>U70</f>
        <v>70</v>
      </c>
      <c r="AE70" s="1126">
        <f>W70</f>
        <v>63.66</v>
      </c>
      <c r="AF70" s="1126">
        <f>Z70</f>
        <v>1.95</v>
      </c>
      <c r="AG70" s="1127">
        <f>AB70</f>
        <v>0.95</v>
      </c>
      <c r="AN70" s="1119">
        <v>70</v>
      </c>
      <c r="AO70" s="1120">
        <v>30</v>
      </c>
      <c r="AP70" s="1121">
        <v>64.239999999999995</v>
      </c>
      <c r="AQ70" s="1122">
        <f t="shared" si="0"/>
        <v>1.0290260631199999</v>
      </c>
      <c r="AR70" s="1122">
        <f t="shared" si="2"/>
        <v>8.5876388665252463</v>
      </c>
      <c r="AS70" s="1121">
        <v>2.94</v>
      </c>
      <c r="AT70" s="1186">
        <f t="shared" si="1"/>
        <v>2.8570704915733041</v>
      </c>
      <c r="AU70" s="1124">
        <v>0.92</v>
      </c>
      <c r="AW70" s="1125">
        <f>AN70</f>
        <v>70</v>
      </c>
      <c r="AX70" s="1126">
        <f>AP70</f>
        <v>64.239999999999995</v>
      </c>
      <c r="AY70" s="1126">
        <f>AS70</f>
        <v>2.94</v>
      </c>
      <c r="AZ70" s="1127">
        <f>AU70</f>
        <v>0.92</v>
      </c>
    </row>
    <row r="71" spans="2:52" x14ac:dyDescent="0.2">
      <c r="B71" s="1164">
        <v>71</v>
      </c>
      <c r="C71" s="1131">
        <v>25</v>
      </c>
      <c r="D71" s="1132">
        <f t="shared" ref="D71:D79" si="61">FORECAST(B71,$M$70:$M$71,$L$70:$L$71)</f>
        <v>63.934999999999995</v>
      </c>
      <c r="E71" s="1133">
        <f t="shared" si="6"/>
        <v>1.024140431905</v>
      </c>
      <c r="F71" s="1133">
        <f t="shared" si="7"/>
        <v>8.5468662971869804</v>
      </c>
      <c r="G71" s="1132">
        <f t="shared" ref="G71:G79" si="62">FORECAST(B71,$N$70:$N$71,$L$70:$L$71)</f>
        <v>2.4049999999999998</v>
      </c>
      <c r="H71" s="1187">
        <f t="shared" si="8"/>
        <v>2.3483107639120036</v>
      </c>
      <c r="I71" s="1135">
        <f>FORECAST(B71,$O$70:$O$71,$L$70:$L$71)</f>
        <v>0.93535000000000001</v>
      </c>
      <c r="J71" s="1136" t="e">
        <f t="shared" si="49"/>
        <v>#NAME?</v>
      </c>
      <c r="L71" s="1125">
        <f>B80</f>
        <v>80</v>
      </c>
      <c r="M71" s="1126">
        <f>D80</f>
        <v>63.8</v>
      </c>
      <c r="N71" s="1126">
        <f>G80</f>
        <v>2.0449999999999999</v>
      </c>
      <c r="O71" s="1127">
        <f>I80</f>
        <v>0.93849999999999989</v>
      </c>
      <c r="U71" s="1164">
        <v>71</v>
      </c>
      <c r="V71" s="1165">
        <v>20</v>
      </c>
      <c r="W71" s="1132">
        <f t="shared" ref="W71:W79" si="63">FORECAST(U71,$M$60:$M$61,$L$60:$L$61)</f>
        <v>63.935999999999993</v>
      </c>
      <c r="X71" s="1133">
        <f t="shared" si="25"/>
        <v>1.0241564503679998</v>
      </c>
      <c r="Y71" s="1133">
        <f t="shared" si="14"/>
        <v>8.5469999777421872</v>
      </c>
      <c r="Z71" s="1132">
        <f t="shared" ref="Z71:Z79" si="64">FORECAST(U71,$N$60:$N$61,$L$60:$L$61)</f>
        <v>2.3925000000000001</v>
      </c>
      <c r="AA71" s="1199">
        <f t="shared" si="27"/>
        <v>2.3360688683260524</v>
      </c>
      <c r="AB71" s="1188">
        <f>FORECAST(U71,$O$60:$O$61,$L$60:$L$61)</f>
        <v>0.93530000000000002</v>
      </c>
      <c r="AD71" s="1125">
        <f>U80</f>
        <v>80</v>
      </c>
      <c r="AE71" s="1126">
        <f>W80</f>
        <v>63.52</v>
      </c>
      <c r="AF71" s="1126">
        <f>Z80</f>
        <v>1.66</v>
      </c>
      <c r="AG71" s="1127">
        <f>AB80</f>
        <v>0.95299999999999996</v>
      </c>
      <c r="AN71" s="1164">
        <v>71</v>
      </c>
      <c r="AO71" s="1131">
        <v>30</v>
      </c>
      <c r="AP71" s="1132">
        <f t="shared" ref="AP71:AP79" si="65">FORECAST(AN71,$M$70:$M$71,$L$70:$L$71)</f>
        <v>63.934999999999995</v>
      </c>
      <c r="AQ71" s="1133">
        <f t="shared" si="0"/>
        <v>1.024140431905</v>
      </c>
      <c r="AR71" s="1133">
        <f t="shared" si="2"/>
        <v>8.5468662971869804</v>
      </c>
      <c r="AS71" s="1132">
        <f t="shared" ref="AS71:AS79" si="66">FORECAST(AN71,$N$70:$N$71,$L$70:$L$71)</f>
        <v>2.4049999999999998</v>
      </c>
      <c r="AT71" s="1187">
        <f t="shared" si="1"/>
        <v>2.3483107639120036</v>
      </c>
      <c r="AU71" s="1188">
        <f>FORECAST(AN71,$O$70:$O$71,$L$70:$L$71)</f>
        <v>0.93535000000000001</v>
      </c>
      <c r="AW71" s="1125">
        <f>AN80</f>
        <v>80</v>
      </c>
      <c r="AX71" s="1126">
        <f>AP80</f>
        <v>64.08</v>
      </c>
      <c r="AY71" s="1126">
        <f>AS80</f>
        <v>2.4300000000000002</v>
      </c>
      <c r="AZ71" s="1127">
        <f>AU80</f>
        <v>0.92400000000000004</v>
      </c>
    </row>
    <row r="72" spans="2:52" x14ac:dyDescent="0.2">
      <c r="B72" s="1164">
        <v>72</v>
      </c>
      <c r="C72" s="1131">
        <v>25</v>
      </c>
      <c r="D72" s="1132">
        <f t="shared" si="61"/>
        <v>63.919999999999995</v>
      </c>
      <c r="E72" s="1133">
        <f t="shared" si="6"/>
        <v>1.02390015496</v>
      </c>
      <c r="F72" s="1133">
        <f t="shared" si="7"/>
        <v>8.5448610888588679</v>
      </c>
      <c r="G72" s="1132">
        <f t="shared" si="62"/>
        <v>2.3649999999999998</v>
      </c>
      <c r="H72" s="1187">
        <f t="shared" si="8"/>
        <v>2.3097955289325958</v>
      </c>
      <c r="I72" s="1135">
        <f t="shared" ref="I72:I79" si="67">FORECAST(B72,$O$70:$O$71,$L$70:$L$71)</f>
        <v>0.93569999999999998</v>
      </c>
      <c r="J72" s="1136" t="e">
        <f t="shared" si="49"/>
        <v>#NAME?</v>
      </c>
      <c r="L72" s="184"/>
      <c r="M72" s="1166"/>
      <c r="N72" s="1166"/>
      <c r="O72" s="1166"/>
      <c r="U72" s="1164">
        <v>72</v>
      </c>
      <c r="V72" s="1165">
        <v>20</v>
      </c>
      <c r="W72" s="1132">
        <f t="shared" si="63"/>
        <v>63.921999999999997</v>
      </c>
      <c r="X72" s="1133">
        <f t="shared" si="25"/>
        <v>1.023932191886</v>
      </c>
      <c r="Y72" s="1133">
        <f t="shared" si="14"/>
        <v>8.5451284499692832</v>
      </c>
      <c r="Z72" s="1132">
        <f t="shared" si="64"/>
        <v>2.34</v>
      </c>
      <c r="AA72" s="1199">
        <f t="shared" si="27"/>
        <v>2.2853075804657625</v>
      </c>
      <c r="AB72" s="1188">
        <f t="shared" ref="AB72:AB79" si="68">FORECAST(U72,$O$60:$O$61,$L$60:$L$61)</f>
        <v>0.9356000000000001</v>
      </c>
      <c r="AD72" s="184"/>
      <c r="AE72" s="1166"/>
      <c r="AF72" s="1166"/>
      <c r="AG72" s="1166"/>
      <c r="AN72" s="1164">
        <v>72</v>
      </c>
      <c r="AO72" s="1131">
        <v>30</v>
      </c>
      <c r="AP72" s="1132">
        <f t="shared" si="65"/>
        <v>63.919999999999995</v>
      </c>
      <c r="AQ72" s="1133">
        <f t="shared" si="0"/>
        <v>1.02390015496</v>
      </c>
      <c r="AR72" s="1133">
        <f t="shared" si="2"/>
        <v>8.5448610888588679</v>
      </c>
      <c r="AS72" s="1132">
        <f t="shared" si="66"/>
        <v>2.3649999999999998</v>
      </c>
      <c r="AT72" s="1187">
        <f t="shared" si="1"/>
        <v>2.3097955289325958</v>
      </c>
      <c r="AU72" s="1188">
        <f t="shared" ref="AU72:AU79" si="69">FORECAST(AN72,$O$70:$O$71,$L$70:$L$71)</f>
        <v>0.93569999999999998</v>
      </c>
      <c r="AW72" s="184"/>
      <c r="AX72" s="1166"/>
      <c r="AY72" s="1166"/>
      <c r="AZ72" s="1166"/>
    </row>
    <row r="73" spans="2:52" x14ac:dyDescent="0.2">
      <c r="B73" s="1164">
        <v>73</v>
      </c>
      <c r="C73" s="1131">
        <v>25</v>
      </c>
      <c r="D73" s="1132">
        <f t="shared" si="61"/>
        <v>63.904999999999994</v>
      </c>
      <c r="E73" s="1133">
        <f t="shared" si="6"/>
        <v>1.0236598780149999</v>
      </c>
      <c r="F73" s="1133">
        <f t="shared" si="7"/>
        <v>8.5428558805307571</v>
      </c>
      <c r="G73" s="1132">
        <f t="shared" si="62"/>
        <v>2.3249999999999997</v>
      </c>
      <c r="H73" s="1187">
        <f t="shared" si="8"/>
        <v>2.271262213098022</v>
      </c>
      <c r="I73" s="1135">
        <f t="shared" si="67"/>
        <v>0.93605000000000005</v>
      </c>
      <c r="J73" s="1136" t="e">
        <f t="shared" si="49"/>
        <v>#NAME?</v>
      </c>
      <c r="L73" s="1189" t="s">
        <v>1089</v>
      </c>
      <c r="M73" s="179"/>
      <c r="N73" s="179"/>
      <c r="O73" s="179"/>
      <c r="U73" s="1164">
        <v>73</v>
      </c>
      <c r="V73" s="1165">
        <v>20</v>
      </c>
      <c r="W73" s="1132">
        <f t="shared" si="63"/>
        <v>63.907999999999994</v>
      </c>
      <c r="X73" s="1133">
        <f t="shared" si="25"/>
        <v>1.023707933404</v>
      </c>
      <c r="Y73" s="1133">
        <f t="shared" si="14"/>
        <v>8.5432569221963792</v>
      </c>
      <c r="Z73" s="1132">
        <f t="shared" si="64"/>
        <v>2.2874999999999996</v>
      </c>
      <c r="AA73" s="1199">
        <f t="shared" si="27"/>
        <v>2.2345240525719867</v>
      </c>
      <c r="AB73" s="1188">
        <f t="shared" si="68"/>
        <v>0.93590000000000007</v>
      </c>
      <c r="AD73" s="184"/>
      <c r="AE73" s="1166"/>
      <c r="AF73" s="1166"/>
      <c r="AG73" s="1166"/>
      <c r="AN73" s="1164">
        <v>73</v>
      </c>
      <c r="AO73" s="1131">
        <v>30</v>
      </c>
      <c r="AP73" s="1132">
        <f t="shared" si="65"/>
        <v>63.904999999999994</v>
      </c>
      <c r="AQ73" s="1133">
        <f t="shared" si="0"/>
        <v>1.0236598780149999</v>
      </c>
      <c r="AR73" s="1133">
        <f t="shared" si="2"/>
        <v>8.5428558805307571</v>
      </c>
      <c r="AS73" s="1132">
        <f t="shared" si="66"/>
        <v>2.3249999999999997</v>
      </c>
      <c r="AT73" s="1187">
        <f t="shared" si="1"/>
        <v>2.271262213098022</v>
      </c>
      <c r="AU73" s="1188">
        <f t="shared" si="69"/>
        <v>0.93605000000000005</v>
      </c>
      <c r="AW73" s="184"/>
      <c r="AX73" s="1166"/>
      <c r="AY73" s="1166"/>
      <c r="AZ73" s="1166"/>
    </row>
    <row r="74" spans="2:52" ht="13.5" thickBot="1" x14ac:dyDescent="0.25">
      <c r="B74" s="1174">
        <v>74</v>
      </c>
      <c r="C74" s="1142">
        <v>25</v>
      </c>
      <c r="D74" s="1143">
        <f t="shared" si="61"/>
        <v>63.889999999999993</v>
      </c>
      <c r="E74" s="1144">
        <f t="shared" si="6"/>
        <v>1.0234196010699999</v>
      </c>
      <c r="F74" s="1144">
        <f t="shared" si="7"/>
        <v>8.5408506722026445</v>
      </c>
      <c r="G74" s="1143">
        <f t="shared" si="62"/>
        <v>2.2849999999999997</v>
      </c>
      <c r="H74" s="1191">
        <f t="shared" si="8"/>
        <v>2.2327108036732923</v>
      </c>
      <c r="I74" s="1146">
        <f t="shared" si="67"/>
        <v>0.93640000000000001</v>
      </c>
      <c r="J74" s="1147" t="e">
        <f t="shared" si="49"/>
        <v>#NAME?</v>
      </c>
      <c r="L74" s="1190">
        <v>20</v>
      </c>
      <c r="M74" s="1200">
        <f>W70</f>
        <v>63.66</v>
      </c>
      <c r="N74" s="1200">
        <f>Z70</f>
        <v>1.95</v>
      </c>
      <c r="O74" s="1201">
        <f>AB70</f>
        <v>0.95</v>
      </c>
      <c r="U74" s="1174">
        <v>74</v>
      </c>
      <c r="V74" s="1168">
        <v>20</v>
      </c>
      <c r="W74" s="1143">
        <f t="shared" si="63"/>
        <v>63.893999999999991</v>
      </c>
      <c r="X74" s="1144">
        <f t="shared" si="25"/>
        <v>1.0234836749219998</v>
      </c>
      <c r="Y74" s="1144">
        <f t="shared" si="14"/>
        <v>8.5413853944234752</v>
      </c>
      <c r="Z74" s="1143">
        <f t="shared" si="64"/>
        <v>2.2349999999999999</v>
      </c>
      <c r="AA74" s="1202">
        <f t="shared" si="27"/>
        <v>2.1837182700254898</v>
      </c>
      <c r="AB74" s="1192">
        <f t="shared" si="68"/>
        <v>0.93620000000000014</v>
      </c>
      <c r="AD74" s="184"/>
      <c r="AE74" s="1166"/>
      <c r="AF74" s="1166"/>
      <c r="AG74" s="1166"/>
      <c r="AN74" s="1174">
        <v>74</v>
      </c>
      <c r="AO74" s="1142">
        <v>30</v>
      </c>
      <c r="AP74" s="1143">
        <f t="shared" si="65"/>
        <v>63.889999999999993</v>
      </c>
      <c r="AQ74" s="1144">
        <f t="shared" ref="AQ74:AQ137" si="70">AP74*0.016018463</f>
        <v>1.0234196010699999</v>
      </c>
      <c r="AR74" s="1144">
        <f t="shared" si="2"/>
        <v>8.5408506722026445</v>
      </c>
      <c r="AS74" s="1143">
        <f t="shared" si="66"/>
        <v>2.2849999999999997</v>
      </c>
      <c r="AT74" s="1191">
        <f t="shared" ref="AT74:AT137" si="71">AS74/AQ74</f>
        <v>2.2327108036732923</v>
      </c>
      <c r="AU74" s="1192">
        <f t="shared" si="69"/>
        <v>0.93640000000000001</v>
      </c>
      <c r="AW74" s="184"/>
      <c r="AX74" s="1166"/>
      <c r="AY74" s="1166"/>
      <c r="AZ74" s="1166"/>
    </row>
    <row r="75" spans="2:52" x14ac:dyDescent="0.2">
      <c r="B75" s="1172">
        <v>75</v>
      </c>
      <c r="C75" s="1149">
        <v>25</v>
      </c>
      <c r="D75" s="1150">
        <f t="shared" si="61"/>
        <v>63.875</v>
      </c>
      <c r="E75" s="1122">
        <f t="shared" si="6"/>
        <v>1.023179324125</v>
      </c>
      <c r="F75" s="1122">
        <f t="shared" si="7"/>
        <v>8.5388454638745355</v>
      </c>
      <c r="G75" s="1150">
        <f t="shared" si="62"/>
        <v>2.2449999999999997</v>
      </c>
      <c r="H75" s="1186">
        <f t="shared" si="8"/>
        <v>2.1941412879114552</v>
      </c>
      <c r="I75" s="1173">
        <f t="shared" si="67"/>
        <v>0.93674999999999997</v>
      </c>
      <c r="J75" s="1124" t="e">
        <f t="shared" si="49"/>
        <v>#NAME?</v>
      </c>
      <c r="L75" s="1190">
        <v>30</v>
      </c>
      <c r="M75" s="1200">
        <f>AP70</f>
        <v>64.239999999999995</v>
      </c>
      <c r="N75" s="1200">
        <f>AS70</f>
        <v>2.94</v>
      </c>
      <c r="O75" s="1201">
        <f>AU70</f>
        <v>0.92</v>
      </c>
      <c r="U75" s="1172">
        <v>75</v>
      </c>
      <c r="V75" s="1120">
        <v>20</v>
      </c>
      <c r="W75" s="1150">
        <f t="shared" si="63"/>
        <v>63.879999999999995</v>
      </c>
      <c r="X75" s="1122">
        <f t="shared" si="25"/>
        <v>1.02325941644</v>
      </c>
      <c r="Y75" s="1122">
        <f t="shared" si="14"/>
        <v>8.5395138666505712</v>
      </c>
      <c r="Z75" s="1150">
        <f t="shared" si="64"/>
        <v>2.1825000000000001</v>
      </c>
      <c r="AA75" s="1198">
        <f t="shared" si="27"/>
        <v>2.1328902181942184</v>
      </c>
      <c r="AB75" s="1203">
        <f t="shared" si="68"/>
        <v>0.93650000000000011</v>
      </c>
      <c r="AD75" s="184"/>
      <c r="AE75" s="1166"/>
      <c r="AF75" s="1166"/>
      <c r="AG75" s="1166"/>
      <c r="AN75" s="1172">
        <v>75</v>
      </c>
      <c r="AO75" s="1149">
        <v>30</v>
      </c>
      <c r="AP75" s="1150">
        <f t="shared" si="65"/>
        <v>63.875</v>
      </c>
      <c r="AQ75" s="1122">
        <f t="shared" si="70"/>
        <v>1.023179324125</v>
      </c>
      <c r="AR75" s="1122">
        <f t="shared" ref="AR75:AR138" si="72">AP75/7.4805195</f>
        <v>8.5388454638745355</v>
      </c>
      <c r="AS75" s="1150">
        <f t="shared" si="66"/>
        <v>2.2449999999999997</v>
      </c>
      <c r="AT75" s="1186">
        <f t="shared" si="71"/>
        <v>2.1941412879114552</v>
      </c>
      <c r="AU75" s="1203">
        <f t="shared" si="69"/>
        <v>0.93674999999999997</v>
      </c>
      <c r="AW75" s="184"/>
      <c r="AX75" s="1166"/>
      <c r="AY75" s="1166"/>
      <c r="AZ75" s="1166"/>
    </row>
    <row r="76" spans="2:52" x14ac:dyDescent="0.2">
      <c r="B76" s="1164">
        <v>76</v>
      </c>
      <c r="C76" s="1131">
        <v>25</v>
      </c>
      <c r="D76" s="1132">
        <f t="shared" si="61"/>
        <v>63.86</v>
      </c>
      <c r="E76" s="1133">
        <f t="shared" si="6"/>
        <v>1.0229390471799999</v>
      </c>
      <c r="F76" s="1133">
        <f t="shared" si="7"/>
        <v>8.5368402555464229</v>
      </c>
      <c r="G76" s="1132">
        <f t="shared" si="62"/>
        <v>2.2049999999999996</v>
      </c>
      <c r="H76" s="1187">
        <f t="shared" si="8"/>
        <v>2.1555536530535822</v>
      </c>
      <c r="I76" s="1135">
        <f t="shared" si="67"/>
        <v>0.93709999999999993</v>
      </c>
      <c r="J76" s="1136" t="e">
        <f t="shared" si="49"/>
        <v>#NAME?</v>
      </c>
      <c r="L76" s="184"/>
      <c r="M76" s="1166"/>
      <c r="N76" s="1166"/>
      <c r="O76" s="1166"/>
      <c r="U76" s="1164">
        <v>76</v>
      </c>
      <c r="V76" s="1165">
        <v>20</v>
      </c>
      <c r="W76" s="1132">
        <f t="shared" si="63"/>
        <v>63.865999999999993</v>
      </c>
      <c r="X76" s="1133">
        <f t="shared" si="25"/>
        <v>1.0230351579579999</v>
      </c>
      <c r="Y76" s="1133">
        <f t="shared" si="14"/>
        <v>8.5376423388776672</v>
      </c>
      <c r="Z76" s="1132">
        <f t="shared" si="64"/>
        <v>2.13</v>
      </c>
      <c r="AA76" s="1199">
        <f t="shared" si="27"/>
        <v>2.0820398824332935</v>
      </c>
      <c r="AB76" s="1188">
        <f t="shared" si="68"/>
        <v>0.93680000000000008</v>
      </c>
      <c r="AD76" s="184"/>
      <c r="AE76" s="1166"/>
      <c r="AF76" s="1166"/>
      <c r="AG76" s="1166"/>
      <c r="AN76" s="1164">
        <v>76</v>
      </c>
      <c r="AO76" s="1131">
        <v>30</v>
      </c>
      <c r="AP76" s="1132">
        <f t="shared" si="65"/>
        <v>63.86</v>
      </c>
      <c r="AQ76" s="1133">
        <f t="shared" si="70"/>
        <v>1.0229390471799999</v>
      </c>
      <c r="AR76" s="1133">
        <f t="shared" si="72"/>
        <v>8.5368402555464229</v>
      </c>
      <c r="AS76" s="1132">
        <f t="shared" si="66"/>
        <v>2.2049999999999996</v>
      </c>
      <c r="AT76" s="1187">
        <f t="shared" si="71"/>
        <v>2.1555536530535822</v>
      </c>
      <c r="AU76" s="1188">
        <f t="shared" si="69"/>
        <v>0.93709999999999993</v>
      </c>
      <c r="AW76" s="184"/>
      <c r="AX76" s="1166"/>
      <c r="AY76" s="1166"/>
      <c r="AZ76" s="1166"/>
    </row>
    <row r="77" spans="2:52" x14ac:dyDescent="0.2">
      <c r="B77" s="1164">
        <v>77</v>
      </c>
      <c r="C77" s="1131">
        <v>25</v>
      </c>
      <c r="D77" s="1132">
        <f t="shared" si="61"/>
        <v>63.844999999999999</v>
      </c>
      <c r="E77" s="1133">
        <f t="shared" si="6"/>
        <v>1.0226987702349999</v>
      </c>
      <c r="F77" s="1133">
        <f t="shared" si="7"/>
        <v>8.5348350472183121</v>
      </c>
      <c r="G77" s="1132">
        <f t="shared" si="62"/>
        <v>2.1649999999999996</v>
      </c>
      <c r="H77" s="1187">
        <f t="shared" si="8"/>
        <v>2.1169478863287545</v>
      </c>
      <c r="I77" s="1135">
        <f t="shared" si="67"/>
        <v>0.93744999999999989</v>
      </c>
      <c r="J77" s="1136" t="e">
        <f t="shared" si="49"/>
        <v>#NAME?</v>
      </c>
      <c r="L77" s="184"/>
      <c r="M77" s="1166"/>
      <c r="N77" s="1166"/>
      <c r="O77" s="1166"/>
      <c r="U77" s="1164">
        <v>77</v>
      </c>
      <c r="V77" s="1165">
        <v>20</v>
      </c>
      <c r="W77" s="1132">
        <f t="shared" si="63"/>
        <v>63.85199999999999</v>
      </c>
      <c r="X77" s="1133">
        <f t="shared" si="25"/>
        <v>1.0228108994759999</v>
      </c>
      <c r="Y77" s="1133">
        <f t="shared" si="14"/>
        <v>8.5357708111047632</v>
      </c>
      <c r="Z77" s="1132">
        <f t="shared" si="64"/>
        <v>2.0774999999999997</v>
      </c>
      <c r="AA77" s="1199">
        <f t="shared" si="27"/>
        <v>2.0311672480849898</v>
      </c>
      <c r="AB77" s="1188">
        <f t="shared" si="68"/>
        <v>0.93710000000000016</v>
      </c>
      <c r="AD77" s="184"/>
      <c r="AE77" s="1166"/>
      <c r="AF77" s="1166"/>
      <c r="AG77" s="1166"/>
      <c r="AN77" s="1164">
        <v>77</v>
      </c>
      <c r="AO77" s="1131">
        <v>30</v>
      </c>
      <c r="AP77" s="1132">
        <f t="shared" si="65"/>
        <v>63.844999999999999</v>
      </c>
      <c r="AQ77" s="1133">
        <f t="shared" si="70"/>
        <v>1.0226987702349999</v>
      </c>
      <c r="AR77" s="1133">
        <f t="shared" si="72"/>
        <v>8.5348350472183121</v>
      </c>
      <c r="AS77" s="1132">
        <f t="shared" si="66"/>
        <v>2.1649999999999996</v>
      </c>
      <c r="AT77" s="1187">
        <f t="shared" si="71"/>
        <v>2.1169478863287545</v>
      </c>
      <c r="AU77" s="1188">
        <f t="shared" si="69"/>
        <v>0.93744999999999989</v>
      </c>
      <c r="AW77" s="184"/>
      <c r="AX77" s="1166"/>
      <c r="AY77" s="1166"/>
      <c r="AZ77" s="1166"/>
    </row>
    <row r="78" spans="2:52" x14ac:dyDescent="0.2">
      <c r="B78" s="1164">
        <v>78</v>
      </c>
      <c r="C78" s="1131">
        <v>25</v>
      </c>
      <c r="D78" s="1132">
        <f t="shared" si="61"/>
        <v>63.83</v>
      </c>
      <c r="E78" s="1133">
        <f t="shared" si="6"/>
        <v>1.02245849329</v>
      </c>
      <c r="F78" s="1133">
        <f t="shared" si="7"/>
        <v>8.5328298388901995</v>
      </c>
      <c r="G78" s="1132">
        <f t="shared" si="62"/>
        <v>2.1249999999999996</v>
      </c>
      <c r="H78" s="1187">
        <f t="shared" si="8"/>
        <v>2.0783239749540479</v>
      </c>
      <c r="I78" s="1135">
        <f t="shared" si="67"/>
        <v>0.93779999999999997</v>
      </c>
      <c r="J78" s="1136" t="e">
        <f t="shared" si="49"/>
        <v>#NAME?</v>
      </c>
      <c r="L78" s="184"/>
      <c r="M78" s="1166"/>
      <c r="N78" s="1166"/>
      <c r="O78" s="1166"/>
      <c r="U78" s="1164">
        <v>78</v>
      </c>
      <c r="V78" s="1165">
        <v>20</v>
      </c>
      <c r="W78" s="1132">
        <f t="shared" si="63"/>
        <v>63.837999999999987</v>
      </c>
      <c r="X78" s="1133">
        <f t="shared" si="25"/>
        <v>1.0225866409939999</v>
      </c>
      <c r="Y78" s="1133">
        <f t="shared" si="14"/>
        <v>8.5338992833318574</v>
      </c>
      <c r="Z78" s="1132">
        <f t="shared" si="64"/>
        <v>2.0250000000000004</v>
      </c>
      <c r="AA78" s="1199">
        <f t="shared" si="27"/>
        <v>1.980272300478725</v>
      </c>
      <c r="AB78" s="1188">
        <f t="shared" si="68"/>
        <v>0.93740000000000012</v>
      </c>
      <c r="AD78" s="184"/>
      <c r="AE78" s="1166"/>
      <c r="AF78" s="1166"/>
      <c r="AG78" s="1166"/>
      <c r="AN78" s="1164">
        <v>78</v>
      </c>
      <c r="AO78" s="1131">
        <v>30</v>
      </c>
      <c r="AP78" s="1132">
        <f t="shared" si="65"/>
        <v>63.83</v>
      </c>
      <c r="AQ78" s="1133">
        <f t="shared" si="70"/>
        <v>1.02245849329</v>
      </c>
      <c r="AR78" s="1133">
        <f t="shared" si="72"/>
        <v>8.5328298388901995</v>
      </c>
      <c r="AS78" s="1132">
        <f t="shared" si="66"/>
        <v>2.1249999999999996</v>
      </c>
      <c r="AT78" s="1187">
        <f t="shared" si="71"/>
        <v>2.0783239749540479</v>
      </c>
      <c r="AU78" s="1188">
        <f t="shared" si="69"/>
        <v>0.93779999999999997</v>
      </c>
      <c r="AW78" s="184"/>
      <c r="AX78" s="1166"/>
      <c r="AY78" s="1166"/>
      <c r="AZ78" s="1166"/>
    </row>
    <row r="79" spans="2:52" ht="13.5" thickBot="1" x14ac:dyDescent="0.25">
      <c r="B79" s="1174">
        <v>79</v>
      </c>
      <c r="C79" s="1142">
        <v>25</v>
      </c>
      <c r="D79" s="1143">
        <f t="shared" si="61"/>
        <v>63.814999999999998</v>
      </c>
      <c r="E79" s="1144">
        <f t="shared" si="6"/>
        <v>1.022218216345</v>
      </c>
      <c r="F79" s="1144">
        <f t="shared" si="7"/>
        <v>8.5308246305620887</v>
      </c>
      <c r="G79" s="1143">
        <f t="shared" si="62"/>
        <v>2.0849999999999995</v>
      </c>
      <c r="H79" s="1191">
        <f t="shared" si="8"/>
        <v>2.0396819061345206</v>
      </c>
      <c r="I79" s="1135">
        <f t="shared" si="67"/>
        <v>0.93814999999999993</v>
      </c>
      <c r="J79" s="1147" t="e">
        <f t="shared" si="49"/>
        <v>#NAME?</v>
      </c>
      <c r="L79" s="184"/>
      <c r="M79" s="1166"/>
      <c r="N79" s="1166"/>
      <c r="O79" s="1166"/>
      <c r="U79" s="1174">
        <v>79</v>
      </c>
      <c r="V79" s="1175">
        <v>20</v>
      </c>
      <c r="W79" s="1143">
        <f t="shared" si="63"/>
        <v>63.823999999999991</v>
      </c>
      <c r="X79" s="1144">
        <f t="shared" si="25"/>
        <v>1.0223623825119998</v>
      </c>
      <c r="Y79" s="1144">
        <f t="shared" si="14"/>
        <v>8.5320277555589552</v>
      </c>
      <c r="Z79" s="1143">
        <f t="shared" si="64"/>
        <v>1.9725000000000001</v>
      </c>
      <c r="AA79" s="1202">
        <f t="shared" si="27"/>
        <v>1.9293550249310432</v>
      </c>
      <c r="AB79" s="1188">
        <f t="shared" si="68"/>
        <v>0.9377000000000002</v>
      </c>
      <c r="AD79" s="184"/>
      <c r="AE79" s="1166"/>
      <c r="AF79" s="1166"/>
      <c r="AG79" s="1166"/>
      <c r="AN79" s="1174">
        <v>79</v>
      </c>
      <c r="AO79" s="1142">
        <v>30</v>
      </c>
      <c r="AP79" s="1143">
        <f t="shared" si="65"/>
        <v>63.814999999999998</v>
      </c>
      <c r="AQ79" s="1144">
        <f t="shared" si="70"/>
        <v>1.022218216345</v>
      </c>
      <c r="AR79" s="1144">
        <f t="shared" si="72"/>
        <v>8.5308246305620887</v>
      </c>
      <c r="AS79" s="1143">
        <f t="shared" si="66"/>
        <v>2.0849999999999995</v>
      </c>
      <c r="AT79" s="1191">
        <f t="shared" si="71"/>
        <v>2.0396819061345206</v>
      </c>
      <c r="AU79" s="1188">
        <f t="shared" si="69"/>
        <v>0.93814999999999993</v>
      </c>
      <c r="AW79" s="184"/>
      <c r="AX79" s="1166"/>
      <c r="AY79" s="1166"/>
      <c r="AZ79" s="1166"/>
    </row>
    <row r="80" spans="2:52" x14ac:dyDescent="0.2">
      <c r="B80" s="1119">
        <v>80</v>
      </c>
      <c r="C80" s="1120">
        <v>25</v>
      </c>
      <c r="D80" s="1121">
        <f>FORECAST(C80,M84:M85,L84:L85)</f>
        <v>63.8</v>
      </c>
      <c r="E80" s="1122">
        <f t="shared" si="6"/>
        <v>1.0219779393999999</v>
      </c>
      <c r="F80" s="1122">
        <f t="shared" si="7"/>
        <v>8.5288194222339779</v>
      </c>
      <c r="G80" s="1121">
        <f>FORECAST(C80,N84:N85,L84:L85)</f>
        <v>2.0449999999999999</v>
      </c>
      <c r="H80" s="1186">
        <f t="shared" si="8"/>
        <v>2.0010216670631982</v>
      </c>
      <c r="I80" s="1123">
        <f>FORECAST(C80,O84:O85,L84:L85)</f>
        <v>0.93849999999999989</v>
      </c>
      <c r="J80" s="1124" t="e">
        <f t="shared" si="49"/>
        <v>#NAME?</v>
      </c>
      <c r="L80" s="1125">
        <f>B80</f>
        <v>80</v>
      </c>
      <c r="M80" s="1126">
        <f>D80</f>
        <v>63.8</v>
      </c>
      <c r="N80" s="1126">
        <f>G80</f>
        <v>2.0449999999999999</v>
      </c>
      <c r="O80" s="1127">
        <f>I80</f>
        <v>0.93849999999999989</v>
      </c>
      <c r="U80" s="1119">
        <v>80</v>
      </c>
      <c r="V80" s="1120">
        <v>20</v>
      </c>
      <c r="W80" s="1121">
        <v>63.52</v>
      </c>
      <c r="X80" s="1122">
        <f t="shared" si="25"/>
        <v>1.01749276976</v>
      </c>
      <c r="Y80" s="1122">
        <f t="shared" si="14"/>
        <v>8.4913888667758979</v>
      </c>
      <c r="Z80" s="1121">
        <v>1.66</v>
      </c>
      <c r="AA80" s="1198">
        <f t="shared" si="27"/>
        <v>1.631461224428701</v>
      </c>
      <c r="AB80" s="1124">
        <v>0.95299999999999996</v>
      </c>
      <c r="AD80" s="1125">
        <f>U80</f>
        <v>80</v>
      </c>
      <c r="AE80" s="1126">
        <f>W80</f>
        <v>63.52</v>
      </c>
      <c r="AF80" s="1126">
        <f>Z80</f>
        <v>1.66</v>
      </c>
      <c r="AG80" s="1127">
        <f>AB80</f>
        <v>0.95299999999999996</v>
      </c>
      <c r="AN80" s="1119">
        <v>80</v>
      </c>
      <c r="AO80" s="1120">
        <v>30</v>
      </c>
      <c r="AP80" s="1121">
        <v>64.08</v>
      </c>
      <c r="AQ80" s="1122">
        <f t="shared" si="70"/>
        <v>1.02646310904</v>
      </c>
      <c r="AR80" s="1122">
        <f t="shared" si="72"/>
        <v>8.566249977692058</v>
      </c>
      <c r="AS80" s="1121">
        <v>2.4300000000000002</v>
      </c>
      <c r="AT80" s="1186">
        <f t="shared" si="71"/>
        <v>2.3673524928457081</v>
      </c>
      <c r="AU80" s="1124">
        <v>0.92400000000000004</v>
      </c>
      <c r="AW80" s="1125">
        <f>AN80</f>
        <v>80</v>
      </c>
      <c r="AX80" s="1126">
        <f>AP80</f>
        <v>64.08</v>
      </c>
      <c r="AY80" s="1126">
        <f>AS80</f>
        <v>2.4300000000000002</v>
      </c>
      <c r="AZ80" s="1127">
        <f>AU80</f>
        <v>0.92400000000000004</v>
      </c>
    </row>
    <row r="81" spans="2:52" x14ac:dyDescent="0.2">
      <c r="B81" s="1164">
        <v>81</v>
      </c>
      <c r="C81" s="1131">
        <v>25</v>
      </c>
      <c r="D81" s="1132">
        <f t="shared" ref="D81:D89" si="73">FORECAST(B81,$M$80:$M$81,$L$80:$L$81)</f>
        <v>63.783999999999999</v>
      </c>
      <c r="E81" s="1133">
        <f t="shared" si="6"/>
        <v>1.0217216439920001</v>
      </c>
      <c r="F81" s="1133">
        <f t="shared" si="7"/>
        <v>8.5266805333506586</v>
      </c>
      <c r="G81" s="1132">
        <f t="shared" ref="G81:G89" si="74">FORECAST(B81,$N$80:$N$81,$L$80:$L$81)</f>
        <v>2.0139999999999998</v>
      </c>
      <c r="H81" s="1187">
        <f t="shared" si="8"/>
        <v>1.9711826717608119</v>
      </c>
      <c r="I81" s="1135">
        <f>FORECAST(B81,$O$80:$O$81,$L$80:$L$81)</f>
        <v>0.93884999999999985</v>
      </c>
      <c r="J81" s="1136" t="e">
        <f t="shared" si="49"/>
        <v>#NAME?</v>
      </c>
      <c r="L81" s="1125">
        <f>B90</f>
        <v>90</v>
      </c>
      <c r="M81" s="1126">
        <f>D90</f>
        <v>63.64</v>
      </c>
      <c r="N81" s="1126">
        <f>G90</f>
        <v>1.7349999999999999</v>
      </c>
      <c r="O81" s="1127">
        <f>I90</f>
        <v>0.94199999999999995</v>
      </c>
      <c r="U81" s="1164">
        <v>81</v>
      </c>
      <c r="V81" s="1165">
        <v>20</v>
      </c>
      <c r="W81" s="1132">
        <f t="shared" ref="W81:W89" si="75">FORECAST(U81,$M$70:$M$71,$L$70:$L$71)</f>
        <v>63.784999999999997</v>
      </c>
      <c r="X81" s="1133">
        <f t="shared" si="25"/>
        <v>1.0217376624549999</v>
      </c>
      <c r="Y81" s="1133">
        <f t="shared" si="14"/>
        <v>8.5268142139058654</v>
      </c>
      <c r="Z81" s="1132">
        <f t="shared" ref="Z81:Z89" si="76">FORECAST(U81,$N$70:$N$71,$L$70:$L$71)</f>
        <v>2.0049999999999999</v>
      </c>
      <c r="AA81" s="1199">
        <f t="shared" si="27"/>
        <v>1.9623432449210569</v>
      </c>
      <c r="AB81" s="1188">
        <f>FORECAST(U81,$O$70:$O$71,$L$70:$L$71)</f>
        <v>0.93884999999999985</v>
      </c>
      <c r="AD81" s="1125">
        <f>U90</f>
        <v>90</v>
      </c>
      <c r="AE81" s="1126">
        <f>W90</f>
        <v>63.37</v>
      </c>
      <c r="AF81" s="1126">
        <f>Z90</f>
        <v>1.43</v>
      </c>
      <c r="AG81" s="1127">
        <f>AB90</f>
        <v>0.95599999999999996</v>
      </c>
      <c r="AN81" s="1164">
        <v>81</v>
      </c>
      <c r="AO81" s="1131">
        <v>30</v>
      </c>
      <c r="AP81" s="1132">
        <f t="shared" ref="AP81:AP89" si="77">FORECAST(AN81,$M$80:$M$81,$L$80:$L$81)</f>
        <v>63.783999999999999</v>
      </c>
      <c r="AQ81" s="1133">
        <f t="shared" si="70"/>
        <v>1.0217216439920001</v>
      </c>
      <c r="AR81" s="1133">
        <f t="shared" si="72"/>
        <v>8.5266805333506586</v>
      </c>
      <c r="AS81" s="1132">
        <f t="shared" ref="AS81:AS89" si="78">FORECAST(AN81,$N$80:$N$81,$L$80:$L$81)</f>
        <v>2.0139999999999998</v>
      </c>
      <c r="AT81" s="1187">
        <f t="shared" si="71"/>
        <v>1.9711826717608119</v>
      </c>
      <c r="AU81" s="1188">
        <f>FORECAST(AN81,$O$80:$O$81,$L$80:$L$81)</f>
        <v>0.93884999999999985</v>
      </c>
      <c r="AW81" s="1125">
        <f>AN90</f>
        <v>90</v>
      </c>
      <c r="AX81" s="1126">
        <f>AP90</f>
        <v>63.91</v>
      </c>
      <c r="AY81" s="1126">
        <f>AS90</f>
        <v>2.04</v>
      </c>
      <c r="AZ81" s="1127">
        <f>AU90</f>
        <v>0.92800000000000005</v>
      </c>
    </row>
    <row r="82" spans="2:52" x14ac:dyDescent="0.2">
      <c r="B82" s="1164">
        <v>82</v>
      </c>
      <c r="C82" s="1131">
        <v>25</v>
      </c>
      <c r="D82" s="1132">
        <f t="shared" si="73"/>
        <v>63.768000000000001</v>
      </c>
      <c r="E82" s="1133">
        <f t="shared" si="6"/>
        <v>1.021465348584</v>
      </c>
      <c r="F82" s="1133">
        <f t="shared" si="7"/>
        <v>8.5245416444673392</v>
      </c>
      <c r="G82" s="1132">
        <f t="shared" si="74"/>
        <v>1.9829999999999997</v>
      </c>
      <c r="H82" s="1187">
        <f t="shared" si="8"/>
        <v>1.9413287026808312</v>
      </c>
      <c r="I82" s="1135">
        <f t="shared" ref="I82:I89" si="79">FORECAST(B82,$O$80:$O$81,$L$80:$L$81)</f>
        <v>0.93919999999999992</v>
      </c>
      <c r="J82" s="1136" t="e">
        <f t="shared" si="49"/>
        <v>#NAME?</v>
      </c>
      <c r="L82" s="184"/>
      <c r="M82" s="1166"/>
      <c r="N82" s="1166"/>
      <c r="O82" s="1166"/>
      <c r="U82" s="1164">
        <v>82</v>
      </c>
      <c r="V82" s="1165">
        <v>20</v>
      </c>
      <c r="W82" s="1132">
        <f t="shared" si="75"/>
        <v>63.769999999999996</v>
      </c>
      <c r="X82" s="1133">
        <f t="shared" si="25"/>
        <v>1.02149738551</v>
      </c>
      <c r="Y82" s="1133">
        <f t="shared" si="14"/>
        <v>8.5248090055777546</v>
      </c>
      <c r="Z82" s="1132">
        <f t="shared" si="76"/>
        <v>1.9649999999999999</v>
      </c>
      <c r="AA82" s="1199">
        <f t="shared" si="27"/>
        <v>1.9236466268770136</v>
      </c>
      <c r="AB82" s="1188">
        <f t="shared" ref="AB82:AB89" si="80">FORECAST(U82,$O$70:$O$71,$L$70:$L$71)</f>
        <v>0.93919999999999981</v>
      </c>
      <c r="AD82" s="184"/>
      <c r="AE82" s="1166"/>
      <c r="AF82" s="1166"/>
      <c r="AG82" s="1166"/>
      <c r="AN82" s="1164">
        <v>82</v>
      </c>
      <c r="AO82" s="1131">
        <v>30</v>
      </c>
      <c r="AP82" s="1132">
        <f t="shared" si="77"/>
        <v>63.768000000000001</v>
      </c>
      <c r="AQ82" s="1133">
        <f t="shared" si="70"/>
        <v>1.021465348584</v>
      </c>
      <c r="AR82" s="1133">
        <f t="shared" si="72"/>
        <v>8.5245416444673392</v>
      </c>
      <c r="AS82" s="1132">
        <f t="shared" si="78"/>
        <v>1.9829999999999997</v>
      </c>
      <c r="AT82" s="1187">
        <f t="shared" si="71"/>
        <v>1.9413287026808312</v>
      </c>
      <c r="AU82" s="1188">
        <f t="shared" ref="AU82:AU89" si="81">FORECAST(AN82,$O$80:$O$81,$L$80:$L$81)</f>
        <v>0.93919999999999992</v>
      </c>
      <c r="AW82" s="184"/>
      <c r="AX82" s="1166"/>
      <c r="AY82" s="1166"/>
      <c r="AZ82" s="1166"/>
    </row>
    <row r="83" spans="2:52" x14ac:dyDescent="0.2">
      <c r="B83" s="1164">
        <v>83</v>
      </c>
      <c r="C83" s="1131">
        <v>25</v>
      </c>
      <c r="D83" s="1132">
        <f t="shared" si="73"/>
        <v>63.751999999999995</v>
      </c>
      <c r="E83" s="1133">
        <f t="shared" si="6"/>
        <v>1.0212090531759999</v>
      </c>
      <c r="F83" s="1133">
        <f t="shared" si="7"/>
        <v>8.5224027555840198</v>
      </c>
      <c r="G83" s="1132">
        <f t="shared" si="74"/>
        <v>1.952</v>
      </c>
      <c r="H83" s="1187">
        <f t="shared" si="8"/>
        <v>1.9114597485492359</v>
      </c>
      <c r="I83" s="1135">
        <f t="shared" si="79"/>
        <v>0.93954999999999989</v>
      </c>
      <c r="J83" s="1136" t="e">
        <f t="shared" si="49"/>
        <v>#NAME?</v>
      </c>
      <c r="L83" s="1189" t="s">
        <v>1089</v>
      </c>
      <c r="M83" s="179"/>
      <c r="N83" s="179"/>
      <c r="O83" s="179"/>
      <c r="U83" s="1164">
        <v>83</v>
      </c>
      <c r="V83" s="1165">
        <v>20</v>
      </c>
      <c r="W83" s="1132">
        <f t="shared" si="75"/>
        <v>63.754999999999995</v>
      </c>
      <c r="X83" s="1133">
        <f t="shared" si="25"/>
        <v>1.021257108565</v>
      </c>
      <c r="Y83" s="1133">
        <f t="shared" si="14"/>
        <v>8.522803797249642</v>
      </c>
      <c r="Z83" s="1132">
        <f t="shared" si="76"/>
        <v>1.9249999999999998</v>
      </c>
      <c r="AA83" s="1199">
        <f t="shared" si="27"/>
        <v>1.8849318000879103</v>
      </c>
      <c r="AB83" s="1188">
        <f t="shared" si="80"/>
        <v>0.93954999999999989</v>
      </c>
      <c r="AD83" s="184"/>
      <c r="AE83" s="1166"/>
      <c r="AF83" s="1166"/>
      <c r="AG83" s="1166"/>
      <c r="AN83" s="1164">
        <v>83</v>
      </c>
      <c r="AO83" s="1131">
        <v>30</v>
      </c>
      <c r="AP83" s="1132">
        <f t="shared" si="77"/>
        <v>63.751999999999995</v>
      </c>
      <c r="AQ83" s="1133">
        <f t="shared" si="70"/>
        <v>1.0212090531759999</v>
      </c>
      <c r="AR83" s="1133">
        <f t="shared" si="72"/>
        <v>8.5224027555840198</v>
      </c>
      <c r="AS83" s="1132">
        <f t="shared" si="78"/>
        <v>1.952</v>
      </c>
      <c r="AT83" s="1187">
        <f t="shared" si="71"/>
        <v>1.9114597485492359</v>
      </c>
      <c r="AU83" s="1188">
        <f t="shared" si="81"/>
        <v>0.93954999999999989</v>
      </c>
      <c r="AW83" s="184"/>
      <c r="AX83" s="1166"/>
      <c r="AY83" s="1166"/>
      <c r="AZ83" s="1166"/>
    </row>
    <row r="84" spans="2:52" ht="13.5" thickBot="1" x14ac:dyDescent="0.25">
      <c r="B84" s="1174">
        <v>84</v>
      </c>
      <c r="C84" s="1142">
        <v>25</v>
      </c>
      <c r="D84" s="1143">
        <f t="shared" si="73"/>
        <v>63.735999999999997</v>
      </c>
      <c r="E84" s="1144">
        <f t="shared" ref="E84:E147" si="82">D84*0.016018463</f>
        <v>1.020952757768</v>
      </c>
      <c r="F84" s="1144">
        <f t="shared" ref="F84:F147" si="83">D84/7.4805195</f>
        <v>8.5202638667007022</v>
      </c>
      <c r="G84" s="1143">
        <f t="shared" si="74"/>
        <v>1.9209999999999998</v>
      </c>
      <c r="H84" s="1191">
        <f t="shared" ref="H84:H147" si="84">G84/E84</f>
        <v>1.881575798080684</v>
      </c>
      <c r="I84" s="1146">
        <f t="shared" si="79"/>
        <v>0.93989999999999996</v>
      </c>
      <c r="J84" s="1147" t="e">
        <f t="shared" ref="J84:J115" si="85">E84/VLOOKUP(60,Water,6,FALSE)</f>
        <v>#NAME?</v>
      </c>
      <c r="L84" s="1190">
        <v>20</v>
      </c>
      <c r="M84" s="1200">
        <f>W80</f>
        <v>63.52</v>
      </c>
      <c r="N84" s="1200">
        <f>Z80</f>
        <v>1.66</v>
      </c>
      <c r="O84" s="1201">
        <f>AB80</f>
        <v>0.95299999999999996</v>
      </c>
      <c r="U84" s="1174">
        <v>84</v>
      </c>
      <c r="V84" s="1168">
        <v>20</v>
      </c>
      <c r="W84" s="1143">
        <f t="shared" si="75"/>
        <v>63.739999999999995</v>
      </c>
      <c r="X84" s="1144">
        <f t="shared" si="25"/>
        <v>1.0210168316199999</v>
      </c>
      <c r="Y84" s="1144">
        <f t="shared" si="14"/>
        <v>8.5207985889215312</v>
      </c>
      <c r="Z84" s="1143">
        <f t="shared" si="76"/>
        <v>1.8849999999999998</v>
      </c>
      <c r="AA84" s="1202">
        <f t="shared" si="27"/>
        <v>1.8461987516984983</v>
      </c>
      <c r="AB84" s="1192">
        <f t="shared" si="80"/>
        <v>0.93989999999999985</v>
      </c>
      <c r="AD84" s="184"/>
      <c r="AE84" s="1166"/>
      <c r="AF84" s="1166"/>
      <c r="AG84" s="1166"/>
      <c r="AN84" s="1174">
        <v>84</v>
      </c>
      <c r="AO84" s="1142">
        <v>30</v>
      </c>
      <c r="AP84" s="1143">
        <f t="shared" si="77"/>
        <v>63.735999999999997</v>
      </c>
      <c r="AQ84" s="1144">
        <f t="shared" si="70"/>
        <v>1.020952757768</v>
      </c>
      <c r="AR84" s="1144">
        <f t="shared" si="72"/>
        <v>8.5202638667007022</v>
      </c>
      <c r="AS84" s="1143">
        <f t="shared" si="78"/>
        <v>1.9209999999999998</v>
      </c>
      <c r="AT84" s="1191">
        <f t="shared" si="71"/>
        <v>1.881575798080684</v>
      </c>
      <c r="AU84" s="1192">
        <f t="shared" si="81"/>
        <v>0.93989999999999996</v>
      </c>
      <c r="AW84" s="184"/>
      <c r="AX84" s="1166"/>
      <c r="AY84" s="1166"/>
      <c r="AZ84" s="1166"/>
    </row>
    <row r="85" spans="2:52" x14ac:dyDescent="0.2">
      <c r="B85" s="1172">
        <v>85</v>
      </c>
      <c r="C85" s="1149">
        <v>25</v>
      </c>
      <c r="D85" s="1150">
        <f t="shared" si="73"/>
        <v>63.72</v>
      </c>
      <c r="E85" s="1122">
        <f t="shared" si="82"/>
        <v>1.0206964623599999</v>
      </c>
      <c r="F85" s="1122">
        <f t="shared" si="83"/>
        <v>8.5181249778173829</v>
      </c>
      <c r="G85" s="1150">
        <f t="shared" si="74"/>
        <v>1.8899999999999997</v>
      </c>
      <c r="H85" s="1186">
        <f t="shared" si="84"/>
        <v>1.8516768399785011</v>
      </c>
      <c r="I85" s="1173">
        <f t="shared" si="79"/>
        <v>0.94024999999999992</v>
      </c>
      <c r="J85" s="1124" t="e">
        <f t="shared" si="85"/>
        <v>#NAME?</v>
      </c>
      <c r="L85" s="1190">
        <v>30</v>
      </c>
      <c r="M85" s="1200">
        <f>AP80</f>
        <v>64.08</v>
      </c>
      <c r="N85" s="1200">
        <f>AS80</f>
        <v>2.4300000000000002</v>
      </c>
      <c r="O85" s="1201">
        <f>AU80</f>
        <v>0.92400000000000004</v>
      </c>
      <c r="U85" s="1172">
        <v>85</v>
      </c>
      <c r="V85" s="1120">
        <v>20</v>
      </c>
      <c r="W85" s="1150">
        <f t="shared" si="75"/>
        <v>63.724999999999994</v>
      </c>
      <c r="X85" s="1122">
        <f t="shared" si="25"/>
        <v>1.0207765546749998</v>
      </c>
      <c r="Y85" s="1122">
        <f t="shared" ref="Y85:Y148" si="86">W85/7.4805195</f>
        <v>8.5187933805934204</v>
      </c>
      <c r="Z85" s="1150">
        <f t="shared" si="76"/>
        <v>1.8449999999999998</v>
      </c>
      <c r="AA85" s="1198">
        <f t="shared" si="27"/>
        <v>1.8074474688414257</v>
      </c>
      <c r="AB85" s="1203">
        <f t="shared" si="80"/>
        <v>0.94024999999999981</v>
      </c>
      <c r="AD85" s="184"/>
      <c r="AE85" s="1166"/>
      <c r="AF85" s="1166"/>
      <c r="AG85" s="1166"/>
      <c r="AN85" s="1172">
        <v>85</v>
      </c>
      <c r="AO85" s="1149">
        <v>30</v>
      </c>
      <c r="AP85" s="1150">
        <f t="shared" si="77"/>
        <v>63.72</v>
      </c>
      <c r="AQ85" s="1122">
        <f t="shared" si="70"/>
        <v>1.0206964623599999</v>
      </c>
      <c r="AR85" s="1122">
        <f t="shared" si="72"/>
        <v>8.5181249778173829</v>
      </c>
      <c r="AS85" s="1150">
        <f t="shared" si="78"/>
        <v>1.8899999999999997</v>
      </c>
      <c r="AT85" s="1186">
        <f t="shared" si="71"/>
        <v>1.8516768399785011</v>
      </c>
      <c r="AU85" s="1203">
        <f t="shared" si="81"/>
        <v>0.94024999999999992</v>
      </c>
      <c r="AW85" s="184"/>
      <c r="AX85" s="1166"/>
      <c r="AY85" s="1166"/>
      <c r="AZ85" s="1166"/>
    </row>
    <row r="86" spans="2:52" x14ac:dyDescent="0.2">
      <c r="B86" s="1164">
        <v>86</v>
      </c>
      <c r="C86" s="1131">
        <v>25</v>
      </c>
      <c r="D86" s="1132">
        <f t="shared" si="73"/>
        <v>63.704000000000001</v>
      </c>
      <c r="E86" s="1133">
        <f t="shared" si="82"/>
        <v>1.020440166952</v>
      </c>
      <c r="F86" s="1133">
        <f t="shared" si="83"/>
        <v>8.5159860889340635</v>
      </c>
      <c r="G86" s="1132">
        <f t="shared" si="74"/>
        <v>1.859</v>
      </c>
      <c r="H86" s="1187">
        <f t="shared" si="84"/>
        <v>1.8217628629346621</v>
      </c>
      <c r="I86" s="1135">
        <f t="shared" si="79"/>
        <v>0.94059999999999988</v>
      </c>
      <c r="J86" s="1136" t="e">
        <f t="shared" si="85"/>
        <v>#NAME?</v>
      </c>
      <c r="L86" s="184"/>
      <c r="M86" s="1166"/>
      <c r="N86" s="1166"/>
      <c r="O86" s="1166"/>
      <c r="U86" s="1164">
        <v>86</v>
      </c>
      <c r="V86" s="1165">
        <v>20</v>
      </c>
      <c r="W86" s="1132">
        <f t="shared" si="75"/>
        <v>63.71</v>
      </c>
      <c r="X86" s="1133">
        <f t="shared" si="25"/>
        <v>1.02053627773</v>
      </c>
      <c r="Y86" s="1133">
        <f t="shared" si="86"/>
        <v>8.5167881722653096</v>
      </c>
      <c r="Z86" s="1132">
        <f t="shared" si="76"/>
        <v>1.8049999999999997</v>
      </c>
      <c r="AA86" s="1199">
        <f t="shared" si="27"/>
        <v>1.7686779386372218</v>
      </c>
      <c r="AB86" s="1188">
        <f t="shared" si="80"/>
        <v>0.94059999999999977</v>
      </c>
      <c r="AD86" s="184"/>
      <c r="AE86" s="1166"/>
      <c r="AF86" s="1166"/>
      <c r="AG86" s="1166"/>
      <c r="AN86" s="1164">
        <v>86</v>
      </c>
      <c r="AO86" s="1131">
        <v>30</v>
      </c>
      <c r="AP86" s="1132">
        <f t="shared" si="77"/>
        <v>63.704000000000001</v>
      </c>
      <c r="AQ86" s="1133">
        <f t="shared" si="70"/>
        <v>1.020440166952</v>
      </c>
      <c r="AR86" s="1133">
        <f t="shared" si="72"/>
        <v>8.5159860889340635</v>
      </c>
      <c r="AS86" s="1132">
        <f t="shared" si="78"/>
        <v>1.859</v>
      </c>
      <c r="AT86" s="1187">
        <f t="shared" si="71"/>
        <v>1.8217628629346621</v>
      </c>
      <c r="AU86" s="1188">
        <f t="shared" si="81"/>
        <v>0.94059999999999988</v>
      </c>
      <c r="AW86" s="184"/>
      <c r="AX86" s="1166"/>
      <c r="AY86" s="1166"/>
      <c r="AZ86" s="1166"/>
    </row>
    <row r="87" spans="2:52" x14ac:dyDescent="0.2">
      <c r="B87" s="1164">
        <v>87</v>
      </c>
      <c r="C87" s="1131">
        <v>25</v>
      </c>
      <c r="D87" s="1132">
        <f t="shared" si="73"/>
        <v>63.688000000000002</v>
      </c>
      <c r="E87" s="1133">
        <f t="shared" si="82"/>
        <v>1.0201838715440001</v>
      </c>
      <c r="F87" s="1133">
        <f t="shared" si="83"/>
        <v>8.5138472000507459</v>
      </c>
      <c r="G87" s="1132">
        <f t="shared" si="74"/>
        <v>1.8279999999999998</v>
      </c>
      <c r="H87" s="1187">
        <f t="shared" si="84"/>
        <v>1.7918338556297779</v>
      </c>
      <c r="I87" s="1135">
        <f t="shared" si="79"/>
        <v>0.94094999999999995</v>
      </c>
      <c r="J87" s="1136" t="e">
        <f t="shared" si="85"/>
        <v>#NAME?</v>
      </c>
      <c r="L87" s="184"/>
      <c r="M87" s="1166"/>
      <c r="N87" s="1166"/>
      <c r="O87" s="1166"/>
      <c r="U87" s="1164">
        <v>87</v>
      </c>
      <c r="V87" s="1165">
        <v>20</v>
      </c>
      <c r="W87" s="1132">
        <f t="shared" si="75"/>
        <v>63.695</v>
      </c>
      <c r="X87" s="1133">
        <f t="shared" si="25"/>
        <v>1.0202960007849999</v>
      </c>
      <c r="Y87" s="1133">
        <f t="shared" si="86"/>
        <v>8.514782963937197</v>
      </c>
      <c r="Z87" s="1132">
        <f t="shared" si="76"/>
        <v>1.7649999999999997</v>
      </c>
      <c r="AA87" s="1199">
        <f t="shared" si="27"/>
        <v>1.7298901481942848</v>
      </c>
      <c r="AB87" s="1188">
        <f t="shared" si="80"/>
        <v>0.94094999999999973</v>
      </c>
      <c r="AD87" s="184"/>
      <c r="AE87" s="1166"/>
      <c r="AF87" s="1166"/>
      <c r="AG87" s="1166"/>
      <c r="AN87" s="1164">
        <v>87</v>
      </c>
      <c r="AO87" s="1131">
        <v>30</v>
      </c>
      <c r="AP87" s="1132">
        <f t="shared" si="77"/>
        <v>63.688000000000002</v>
      </c>
      <c r="AQ87" s="1133">
        <f t="shared" si="70"/>
        <v>1.0201838715440001</v>
      </c>
      <c r="AR87" s="1133">
        <f t="shared" si="72"/>
        <v>8.5138472000507459</v>
      </c>
      <c r="AS87" s="1132">
        <f t="shared" si="78"/>
        <v>1.8279999999999998</v>
      </c>
      <c r="AT87" s="1187">
        <f t="shared" si="71"/>
        <v>1.7918338556297779</v>
      </c>
      <c r="AU87" s="1188">
        <f t="shared" si="81"/>
        <v>0.94094999999999995</v>
      </c>
      <c r="AW87" s="184"/>
      <c r="AX87" s="1166"/>
      <c r="AY87" s="1166"/>
      <c r="AZ87" s="1166"/>
    </row>
    <row r="88" spans="2:52" x14ac:dyDescent="0.2">
      <c r="B88" s="1164">
        <v>88</v>
      </c>
      <c r="C88" s="1131">
        <v>25</v>
      </c>
      <c r="D88" s="1132">
        <f t="shared" si="73"/>
        <v>63.671999999999997</v>
      </c>
      <c r="E88" s="1133">
        <f t="shared" si="82"/>
        <v>1.019927576136</v>
      </c>
      <c r="F88" s="1133">
        <f t="shared" si="83"/>
        <v>8.5117083111674265</v>
      </c>
      <c r="G88" s="1132">
        <f t="shared" si="74"/>
        <v>1.7969999999999997</v>
      </c>
      <c r="H88" s="1187">
        <f t="shared" si="84"/>
        <v>1.7618898067330837</v>
      </c>
      <c r="I88" s="1135">
        <f t="shared" si="79"/>
        <v>0.94129999999999991</v>
      </c>
      <c r="J88" s="1136" t="e">
        <f t="shared" si="85"/>
        <v>#NAME?</v>
      </c>
      <c r="L88" s="184"/>
      <c r="M88" s="1166"/>
      <c r="N88" s="1166"/>
      <c r="O88" s="1166"/>
      <c r="U88" s="1164">
        <v>88</v>
      </c>
      <c r="V88" s="1165">
        <v>20</v>
      </c>
      <c r="W88" s="1132">
        <f t="shared" si="75"/>
        <v>63.68</v>
      </c>
      <c r="X88" s="1133">
        <f t="shared" si="25"/>
        <v>1.0200557238400001</v>
      </c>
      <c r="Y88" s="1133">
        <f t="shared" si="86"/>
        <v>8.5127777556090862</v>
      </c>
      <c r="Z88" s="1132">
        <f t="shared" si="76"/>
        <v>1.7249999999999996</v>
      </c>
      <c r="AA88" s="1199">
        <f t="shared" si="27"/>
        <v>1.6910840846088648</v>
      </c>
      <c r="AB88" s="1188">
        <f t="shared" si="80"/>
        <v>0.9412999999999998</v>
      </c>
      <c r="AD88" s="184"/>
      <c r="AE88" s="1166"/>
      <c r="AF88" s="1166"/>
      <c r="AG88" s="1166"/>
      <c r="AN88" s="1164">
        <v>88</v>
      </c>
      <c r="AO88" s="1131">
        <v>30</v>
      </c>
      <c r="AP88" s="1132">
        <f t="shared" si="77"/>
        <v>63.671999999999997</v>
      </c>
      <c r="AQ88" s="1133">
        <f t="shared" si="70"/>
        <v>1.019927576136</v>
      </c>
      <c r="AR88" s="1133">
        <f t="shared" si="72"/>
        <v>8.5117083111674265</v>
      </c>
      <c r="AS88" s="1132">
        <f t="shared" si="78"/>
        <v>1.7969999999999997</v>
      </c>
      <c r="AT88" s="1187">
        <f t="shared" si="71"/>
        <v>1.7618898067330837</v>
      </c>
      <c r="AU88" s="1188">
        <f t="shared" si="81"/>
        <v>0.94129999999999991</v>
      </c>
      <c r="AW88" s="184"/>
      <c r="AX88" s="1166"/>
      <c r="AY88" s="1166"/>
      <c r="AZ88" s="1166"/>
    </row>
    <row r="89" spans="2:52" ht="13.5" thickBot="1" x14ac:dyDescent="0.25">
      <c r="B89" s="1174">
        <v>89</v>
      </c>
      <c r="C89" s="1142">
        <v>25</v>
      </c>
      <c r="D89" s="1143">
        <f t="shared" si="73"/>
        <v>63.655999999999999</v>
      </c>
      <c r="E89" s="1144">
        <f t="shared" si="82"/>
        <v>1.019671280728</v>
      </c>
      <c r="F89" s="1144">
        <f t="shared" si="83"/>
        <v>8.5095694222841072</v>
      </c>
      <c r="G89" s="1143">
        <f t="shared" si="74"/>
        <v>1.7659999999999996</v>
      </c>
      <c r="H89" s="1191">
        <f t="shared" si="84"/>
        <v>1.7319307049024213</v>
      </c>
      <c r="I89" s="1135">
        <f t="shared" si="79"/>
        <v>0.94164999999999999</v>
      </c>
      <c r="J89" s="1147" t="e">
        <f t="shared" si="85"/>
        <v>#NAME?</v>
      </c>
      <c r="L89" s="184"/>
      <c r="M89" s="1166"/>
      <c r="N89" s="1166"/>
      <c r="O89" s="1166"/>
      <c r="U89" s="1174">
        <v>89</v>
      </c>
      <c r="V89" s="1175">
        <v>20</v>
      </c>
      <c r="W89" s="1143">
        <f t="shared" si="75"/>
        <v>63.664999999999999</v>
      </c>
      <c r="X89" s="1144">
        <f t="shared" si="25"/>
        <v>1.019815446895</v>
      </c>
      <c r="Y89" s="1144">
        <f t="shared" si="86"/>
        <v>8.5107725472809737</v>
      </c>
      <c r="Z89" s="1143">
        <f t="shared" si="76"/>
        <v>1.6849999999999996</v>
      </c>
      <c r="AA89" s="1202">
        <f t="shared" si="27"/>
        <v>1.6522597349650527</v>
      </c>
      <c r="AB89" s="1188">
        <f t="shared" si="80"/>
        <v>0.94164999999999976</v>
      </c>
      <c r="AD89" s="184"/>
      <c r="AE89" s="1166"/>
      <c r="AF89" s="1166"/>
      <c r="AG89" s="1166"/>
      <c r="AN89" s="1174">
        <v>89</v>
      </c>
      <c r="AO89" s="1142">
        <v>30</v>
      </c>
      <c r="AP89" s="1143">
        <f t="shared" si="77"/>
        <v>63.655999999999999</v>
      </c>
      <c r="AQ89" s="1144">
        <f t="shared" si="70"/>
        <v>1.019671280728</v>
      </c>
      <c r="AR89" s="1144">
        <f t="shared" si="72"/>
        <v>8.5095694222841072</v>
      </c>
      <c r="AS89" s="1143">
        <f t="shared" si="78"/>
        <v>1.7659999999999996</v>
      </c>
      <c r="AT89" s="1191">
        <f t="shared" si="71"/>
        <v>1.7319307049024213</v>
      </c>
      <c r="AU89" s="1188">
        <f t="shared" si="81"/>
        <v>0.94164999999999999</v>
      </c>
      <c r="AW89" s="184"/>
      <c r="AX89" s="1166"/>
      <c r="AY89" s="1166"/>
      <c r="AZ89" s="1166"/>
    </row>
    <row r="90" spans="2:52" x14ac:dyDescent="0.2">
      <c r="B90" s="1119">
        <v>90</v>
      </c>
      <c r="C90" s="1120">
        <v>25</v>
      </c>
      <c r="D90" s="1121">
        <f>FORECAST(C90,M94:M95,L94:L95)</f>
        <v>63.64</v>
      </c>
      <c r="E90" s="1122">
        <f t="shared" si="82"/>
        <v>1.0194149853200001</v>
      </c>
      <c r="F90" s="1122">
        <f t="shared" si="83"/>
        <v>8.5074305334007896</v>
      </c>
      <c r="G90" s="1121">
        <f>FORECAST(C90,N94:N95,L94:L95)</f>
        <v>1.7349999999999999</v>
      </c>
      <c r="H90" s="1186">
        <f t="shared" si="84"/>
        <v>1.7019565387842259</v>
      </c>
      <c r="I90" s="1123">
        <f>FORECAST(C90,O94:O95,L94:L95)</f>
        <v>0.94199999999999995</v>
      </c>
      <c r="J90" s="1124" t="e">
        <f t="shared" si="85"/>
        <v>#NAME?</v>
      </c>
      <c r="L90" s="1125">
        <f>B90</f>
        <v>90</v>
      </c>
      <c r="M90" s="1126">
        <f>D90</f>
        <v>63.64</v>
      </c>
      <c r="N90" s="1126">
        <f>G90</f>
        <v>1.7349999999999999</v>
      </c>
      <c r="O90" s="1127">
        <f>I90</f>
        <v>0.94199999999999995</v>
      </c>
      <c r="U90" s="1119">
        <v>90</v>
      </c>
      <c r="V90" s="1120">
        <v>20</v>
      </c>
      <c r="W90" s="1121">
        <v>63.37</v>
      </c>
      <c r="X90" s="1122">
        <f t="shared" si="25"/>
        <v>1.0150900003100001</v>
      </c>
      <c r="Y90" s="1122">
        <f t="shared" si="86"/>
        <v>8.4713367834947828</v>
      </c>
      <c r="Z90" s="1121">
        <v>1.43</v>
      </c>
      <c r="AA90" s="1198">
        <f t="shared" si="27"/>
        <v>1.4087420815526601</v>
      </c>
      <c r="AB90" s="1124">
        <v>0.95599999999999996</v>
      </c>
      <c r="AD90" s="1125">
        <f>U90</f>
        <v>90</v>
      </c>
      <c r="AE90" s="1126">
        <f>W90</f>
        <v>63.37</v>
      </c>
      <c r="AF90" s="1126">
        <f>Z90</f>
        <v>1.43</v>
      </c>
      <c r="AG90" s="1127">
        <f>AB90</f>
        <v>0.95599999999999996</v>
      </c>
      <c r="AN90" s="1119">
        <v>90</v>
      </c>
      <c r="AO90" s="1120">
        <v>30</v>
      </c>
      <c r="AP90" s="1121">
        <v>63.91</v>
      </c>
      <c r="AQ90" s="1122">
        <f t="shared" si="70"/>
        <v>1.0237399703299999</v>
      </c>
      <c r="AR90" s="1122">
        <f t="shared" si="72"/>
        <v>8.5435242833067946</v>
      </c>
      <c r="AS90" s="1121">
        <v>2.04</v>
      </c>
      <c r="AT90" s="1186">
        <f t="shared" si="71"/>
        <v>1.9926935150753287</v>
      </c>
      <c r="AU90" s="1124">
        <v>0.92800000000000005</v>
      </c>
      <c r="AW90" s="1125">
        <f>AN90</f>
        <v>90</v>
      </c>
      <c r="AX90" s="1126">
        <f>AP90</f>
        <v>63.91</v>
      </c>
      <c r="AY90" s="1126">
        <f>AS90</f>
        <v>2.04</v>
      </c>
      <c r="AZ90" s="1127">
        <f>AU90</f>
        <v>0.92800000000000005</v>
      </c>
    </row>
    <row r="91" spans="2:52" x14ac:dyDescent="0.2">
      <c r="B91" s="1164">
        <v>91</v>
      </c>
      <c r="C91" s="1131">
        <v>25</v>
      </c>
      <c r="D91" s="1132">
        <f t="shared" ref="D91:D99" si="87">FORECAST(B91,$M$90:$M$91,$L$90:$L$91)</f>
        <v>63.622500000000002</v>
      </c>
      <c r="E91" s="1133">
        <f t="shared" si="82"/>
        <v>1.0191346622175002</v>
      </c>
      <c r="F91" s="1133">
        <f t="shared" si="83"/>
        <v>8.5050911236846591</v>
      </c>
      <c r="G91" s="1132">
        <f t="shared" ref="G91:G99" si="88">FORECAST(B91,$N$90:$N$91,$L$90:$L$91)</f>
        <v>1.7104999999999997</v>
      </c>
      <c r="H91" s="1187">
        <f t="shared" si="84"/>
        <v>1.6783846761508252</v>
      </c>
      <c r="I91" s="1135">
        <f>FORECAST(B91,$O$90:$O$91,$L$90:$L$91)</f>
        <v>0.94229999999999992</v>
      </c>
      <c r="J91" s="1136" t="e">
        <f t="shared" si="85"/>
        <v>#NAME?</v>
      </c>
      <c r="L91" s="1125">
        <f>B100</f>
        <v>100</v>
      </c>
      <c r="M91" s="1126">
        <f>D100</f>
        <v>63.465000000000003</v>
      </c>
      <c r="N91" s="1126">
        <f>G100</f>
        <v>1.49</v>
      </c>
      <c r="O91" s="1127">
        <f>I100</f>
        <v>0.94500000000000006</v>
      </c>
      <c r="U91" s="1164">
        <v>91</v>
      </c>
      <c r="V91" s="1165">
        <v>20</v>
      </c>
      <c r="W91" s="1132">
        <f t="shared" ref="W91:W99" si="89">FORECAST(U91,$M$80:$M$81,$L$80:$L$81)</f>
        <v>63.624000000000002</v>
      </c>
      <c r="X91" s="1133">
        <f t="shared" si="25"/>
        <v>1.019158689912</v>
      </c>
      <c r="Y91" s="1133">
        <f t="shared" si="86"/>
        <v>8.5052916445174702</v>
      </c>
      <c r="Z91" s="1132">
        <f t="shared" ref="Z91:Z99" si="90">FORECAST(U91,$N$80:$N$81,$L$80:$L$81)</f>
        <v>1.7039999999999997</v>
      </c>
      <c r="AA91" s="1199">
        <f t="shared" si="27"/>
        <v>1.6719672970135131</v>
      </c>
      <c r="AB91" s="1188">
        <f>FORECAST(U91,$O$80:$O$81,$L$80:$L$81)</f>
        <v>0.94234999999999991</v>
      </c>
      <c r="AD91" s="1125">
        <f>U100</f>
        <v>100</v>
      </c>
      <c r="AE91" s="1126">
        <f>W100</f>
        <v>63.2</v>
      </c>
      <c r="AF91" s="1126">
        <f>Z100</f>
        <v>1.25</v>
      </c>
      <c r="AG91" s="1127">
        <f>AB100</f>
        <v>0.95899999999999996</v>
      </c>
      <c r="AN91" s="1164">
        <v>91</v>
      </c>
      <c r="AO91" s="1131">
        <v>30</v>
      </c>
      <c r="AP91" s="1132">
        <f t="shared" ref="AP91:AP99" si="91">FORECAST(AN91,$M$90:$M$91,$L$90:$L$91)</f>
        <v>63.622500000000002</v>
      </c>
      <c r="AQ91" s="1133">
        <f t="shared" si="70"/>
        <v>1.0191346622175002</v>
      </c>
      <c r="AR91" s="1133">
        <f t="shared" si="72"/>
        <v>8.5050911236846591</v>
      </c>
      <c r="AS91" s="1132">
        <f t="shared" ref="AS91:AS99" si="92">FORECAST(AN91,$N$90:$N$91,$L$90:$L$91)</f>
        <v>1.7104999999999997</v>
      </c>
      <c r="AT91" s="1187">
        <f t="shared" si="71"/>
        <v>1.6783846761508252</v>
      </c>
      <c r="AU91" s="1188">
        <f>FORECAST(AN91,$O$90:$O$91,$L$90:$L$91)</f>
        <v>0.94229999999999992</v>
      </c>
      <c r="AW91" s="1125">
        <f>AN100</f>
        <v>100</v>
      </c>
      <c r="AX91" s="1126">
        <f>AP100</f>
        <v>63.73</v>
      </c>
      <c r="AY91" s="1126">
        <f>AS100</f>
        <v>1.73</v>
      </c>
      <c r="AZ91" s="1127">
        <f>AU100</f>
        <v>0.93100000000000005</v>
      </c>
    </row>
    <row r="92" spans="2:52" x14ac:dyDescent="0.2">
      <c r="B92" s="1164">
        <v>92</v>
      </c>
      <c r="C92" s="1131">
        <v>25</v>
      </c>
      <c r="D92" s="1132">
        <f t="shared" si="87"/>
        <v>63.605000000000004</v>
      </c>
      <c r="E92" s="1133">
        <f t="shared" si="82"/>
        <v>1.018854339115</v>
      </c>
      <c r="F92" s="1133">
        <f t="shared" si="83"/>
        <v>8.5027517139685287</v>
      </c>
      <c r="G92" s="1132">
        <f t="shared" si="88"/>
        <v>1.6859999999999999</v>
      </c>
      <c r="H92" s="1187">
        <f t="shared" si="84"/>
        <v>1.6547998426001678</v>
      </c>
      <c r="I92" s="1135">
        <f t="shared" ref="I92:I99" si="93">FORECAST(B92,$O$90:$O$91,$L$90:$L$91)</f>
        <v>0.94259999999999999</v>
      </c>
      <c r="J92" s="1136" t="e">
        <f t="shared" si="85"/>
        <v>#NAME?</v>
      </c>
      <c r="L92" s="184"/>
      <c r="M92" s="1166"/>
      <c r="N92" s="1166"/>
      <c r="O92" s="1166"/>
      <c r="U92" s="1164">
        <v>92</v>
      </c>
      <c r="V92" s="1165">
        <v>20</v>
      </c>
      <c r="W92" s="1132">
        <f t="shared" si="89"/>
        <v>63.608000000000004</v>
      </c>
      <c r="X92" s="1133">
        <f t="shared" si="25"/>
        <v>1.0189023945040001</v>
      </c>
      <c r="Y92" s="1133">
        <f t="shared" si="86"/>
        <v>8.5031527556341509</v>
      </c>
      <c r="Z92" s="1132">
        <f t="shared" si="90"/>
        <v>1.6729999999999996</v>
      </c>
      <c r="AA92" s="1199">
        <f t="shared" si="27"/>
        <v>1.6419629682138621</v>
      </c>
      <c r="AB92" s="1188">
        <f t="shared" ref="AB92:AB99" si="94">FORECAST(U92,$O$80:$O$81,$L$80:$L$81)</f>
        <v>0.94269999999999998</v>
      </c>
      <c r="AD92" s="184"/>
      <c r="AE92" s="1166"/>
      <c r="AF92" s="1166"/>
      <c r="AG92" s="1166"/>
      <c r="AN92" s="1164">
        <v>92</v>
      </c>
      <c r="AO92" s="1131">
        <v>30</v>
      </c>
      <c r="AP92" s="1132">
        <f t="shared" si="91"/>
        <v>63.605000000000004</v>
      </c>
      <c r="AQ92" s="1133">
        <f t="shared" si="70"/>
        <v>1.018854339115</v>
      </c>
      <c r="AR92" s="1133">
        <f t="shared" si="72"/>
        <v>8.5027517139685287</v>
      </c>
      <c r="AS92" s="1132">
        <f t="shared" si="92"/>
        <v>1.6859999999999999</v>
      </c>
      <c r="AT92" s="1187">
        <f t="shared" si="71"/>
        <v>1.6547998426001678</v>
      </c>
      <c r="AU92" s="1188">
        <f t="shared" ref="AU92:AU99" si="95">FORECAST(AN92,$O$90:$O$91,$L$90:$L$91)</f>
        <v>0.94259999999999999</v>
      </c>
      <c r="AW92" s="184"/>
      <c r="AX92" s="1166"/>
      <c r="AY92" s="1166"/>
      <c r="AZ92" s="1166"/>
    </row>
    <row r="93" spans="2:52" x14ac:dyDescent="0.2">
      <c r="B93" s="1164">
        <v>93</v>
      </c>
      <c r="C93" s="1131">
        <v>25</v>
      </c>
      <c r="D93" s="1132">
        <f t="shared" si="87"/>
        <v>63.587499999999999</v>
      </c>
      <c r="E93" s="1133">
        <f t="shared" si="82"/>
        <v>1.0185740160125001</v>
      </c>
      <c r="F93" s="1133">
        <f t="shared" si="83"/>
        <v>8.5004123042523982</v>
      </c>
      <c r="G93" s="1132">
        <f t="shared" si="88"/>
        <v>1.6614999999999998</v>
      </c>
      <c r="H93" s="1187">
        <f t="shared" si="84"/>
        <v>1.6312020274230219</v>
      </c>
      <c r="I93" s="1135">
        <f t="shared" si="93"/>
        <v>0.94289999999999996</v>
      </c>
      <c r="J93" s="1136" t="e">
        <f t="shared" si="85"/>
        <v>#NAME?</v>
      </c>
      <c r="L93" s="1189" t="s">
        <v>1089</v>
      </c>
      <c r="M93" s="179"/>
      <c r="N93" s="179"/>
      <c r="O93" s="179"/>
      <c r="U93" s="1164">
        <v>93</v>
      </c>
      <c r="V93" s="1165">
        <v>20</v>
      </c>
      <c r="W93" s="1132">
        <f t="shared" si="89"/>
        <v>63.591999999999999</v>
      </c>
      <c r="X93" s="1133">
        <f t="shared" si="25"/>
        <v>1.018646099096</v>
      </c>
      <c r="Y93" s="1133">
        <f t="shared" si="86"/>
        <v>8.5010138667508315</v>
      </c>
      <c r="Z93" s="1132">
        <f t="shared" si="90"/>
        <v>1.6419999999999999</v>
      </c>
      <c r="AA93" s="1199">
        <f t="shared" si="27"/>
        <v>1.6119435409974052</v>
      </c>
      <c r="AB93" s="1188">
        <f t="shared" si="94"/>
        <v>0.94304999999999994</v>
      </c>
      <c r="AD93" s="184"/>
      <c r="AE93" s="1166"/>
      <c r="AF93" s="1166"/>
      <c r="AG93" s="1166"/>
      <c r="AN93" s="1164">
        <v>93</v>
      </c>
      <c r="AO93" s="1131">
        <v>30</v>
      </c>
      <c r="AP93" s="1132">
        <f t="shared" si="91"/>
        <v>63.587499999999999</v>
      </c>
      <c r="AQ93" s="1133">
        <f t="shared" si="70"/>
        <v>1.0185740160125001</v>
      </c>
      <c r="AR93" s="1133">
        <f t="shared" si="72"/>
        <v>8.5004123042523982</v>
      </c>
      <c r="AS93" s="1132">
        <f t="shared" si="92"/>
        <v>1.6614999999999998</v>
      </c>
      <c r="AT93" s="1187">
        <f t="shared" si="71"/>
        <v>1.6312020274230219</v>
      </c>
      <c r="AU93" s="1188">
        <f t="shared" si="95"/>
        <v>0.94289999999999996</v>
      </c>
      <c r="AW93" s="184"/>
      <c r="AX93" s="1166"/>
      <c r="AY93" s="1166"/>
      <c r="AZ93" s="1166"/>
    </row>
    <row r="94" spans="2:52" ht="13.5" thickBot="1" x14ac:dyDescent="0.25">
      <c r="B94" s="1174">
        <v>94</v>
      </c>
      <c r="C94" s="1142">
        <v>25</v>
      </c>
      <c r="D94" s="1143">
        <f t="shared" si="87"/>
        <v>63.57</v>
      </c>
      <c r="E94" s="1144">
        <f t="shared" si="82"/>
        <v>1.0182936929099999</v>
      </c>
      <c r="F94" s="1144">
        <f t="shared" si="83"/>
        <v>8.4980728945362696</v>
      </c>
      <c r="G94" s="1143">
        <f t="shared" si="88"/>
        <v>1.637</v>
      </c>
      <c r="H94" s="1191">
        <f t="shared" si="84"/>
        <v>1.6075912198983671</v>
      </c>
      <c r="I94" s="1146">
        <f t="shared" si="93"/>
        <v>0.94320000000000004</v>
      </c>
      <c r="J94" s="1147" t="e">
        <f t="shared" si="85"/>
        <v>#NAME?</v>
      </c>
      <c r="L94" s="1190">
        <v>20</v>
      </c>
      <c r="M94" s="1200">
        <f>W90</f>
        <v>63.37</v>
      </c>
      <c r="N94" s="1200">
        <f>Z90</f>
        <v>1.43</v>
      </c>
      <c r="O94" s="1201">
        <f>AB90</f>
        <v>0.95599999999999996</v>
      </c>
      <c r="U94" s="1174">
        <v>94</v>
      </c>
      <c r="V94" s="1168">
        <v>20</v>
      </c>
      <c r="W94" s="1143">
        <f t="shared" si="89"/>
        <v>63.576000000000001</v>
      </c>
      <c r="X94" s="1144">
        <f t="shared" si="25"/>
        <v>1.0183898036879999</v>
      </c>
      <c r="Y94" s="1144">
        <f t="shared" si="86"/>
        <v>8.4988749778675139</v>
      </c>
      <c r="Z94" s="1143">
        <f t="shared" si="90"/>
        <v>1.6109999999999998</v>
      </c>
      <c r="AA94" s="1202">
        <f t="shared" si="27"/>
        <v>1.5819090039648074</v>
      </c>
      <c r="AB94" s="1192">
        <f t="shared" si="94"/>
        <v>0.94340000000000002</v>
      </c>
      <c r="AD94" s="184"/>
      <c r="AE94" s="1166"/>
      <c r="AF94" s="1166"/>
      <c r="AG94" s="1166"/>
      <c r="AN94" s="1174">
        <v>94</v>
      </c>
      <c r="AO94" s="1142">
        <v>30</v>
      </c>
      <c r="AP94" s="1143">
        <f t="shared" si="91"/>
        <v>63.57</v>
      </c>
      <c r="AQ94" s="1144">
        <f t="shared" si="70"/>
        <v>1.0182936929099999</v>
      </c>
      <c r="AR94" s="1144">
        <f t="shared" si="72"/>
        <v>8.4980728945362696</v>
      </c>
      <c r="AS94" s="1143">
        <f t="shared" si="92"/>
        <v>1.637</v>
      </c>
      <c r="AT94" s="1191">
        <f t="shared" si="71"/>
        <v>1.6075912198983671</v>
      </c>
      <c r="AU94" s="1192">
        <f t="shared" si="95"/>
        <v>0.94320000000000004</v>
      </c>
      <c r="AW94" s="184"/>
      <c r="AX94" s="1166"/>
      <c r="AY94" s="1166"/>
      <c r="AZ94" s="1166"/>
    </row>
    <row r="95" spans="2:52" x14ac:dyDescent="0.2">
      <c r="B95" s="1172">
        <v>95</v>
      </c>
      <c r="C95" s="1149">
        <v>25</v>
      </c>
      <c r="D95" s="1150">
        <f t="shared" si="87"/>
        <v>63.552500000000002</v>
      </c>
      <c r="E95" s="1122">
        <f t="shared" si="82"/>
        <v>1.0180133698075</v>
      </c>
      <c r="F95" s="1122">
        <f t="shared" si="83"/>
        <v>8.4957334848201391</v>
      </c>
      <c r="G95" s="1150">
        <f t="shared" si="88"/>
        <v>1.6124999999999998</v>
      </c>
      <c r="H95" s="1186">
        <f t="shared" si="84"/>
        <v>1.5839674092933707</v>
      </c>
      <c r="I95" s="1173">
        <f t="shared" si="93"/>
        <v>0.94350000000000001</v>
      </c>
      <c r="J95" s="1124" t="e">
        <f t="shared" si="85"/>
        <v>#NAME?</v>
      </c>
      <c r="L95" s="1190">
        <v>30</v>
      </c>
      <c r="M95" s="1200">
        <f>AP90</f>
        <v>63.91</v>
      </c>
      <c r="N95" s="1200">
        <f>AS90</f>
        <v>2.04</v>
      </c>
      <c r="O95" s="1201">
        <f>AU90</f>
        <v>0.92800000000000005</v>
      </c>
      <c r="U95" s="1172">
        <v>95</v>
      </c>
      <c r="V95" s="1120">
        <v>20</v>
      </c>
      <c r="W95" s="1150">
        <f t="shared" si="89"/>
        <v>63.56</v>
      </c>
      <c r="X95" s="1122">
        <f t="shared" ref="X95:X158" si="96">W95*0.016018463</f>
        <v>1.01813350828</v>
      </c>
      <c r="Y95" s="1122">
        <f t="shared" si="86"/>
        <v>8.4967360889841945</v>
      </c>
      <c r="Z95" s="1150">
        <f t="shared" si="90"/>
        <v>1.5799999999999996</v>
      </c>
      <c r="AA95" s="1198">
        <f t="shared" ref="AA95:AA158" si="97">Z95/X95</f>
        <v>1.5518593457052579</v>
      </c>
      <c r="AB95" s="1203">
        <f t="shared" si="94"/>
        <v>0.94374999999999998</v>
      </c>
      <c r="AD95" s="184"/>
      <c r="AE95" s="1166"/>
      <c r="AF95" s="1166"/>
      <c r="AG95" s="1166"/>
      <c r="AN95" s="1172">
        <v>95</v>
      </c>
      <c r="AO95" s="1149">
        <v>30</v>
      </c>
      <c r="AP95" s="1150">
        <f t="shared" si="91"/>
        <v>63.552500000000002</v>
      </c>
      <c r="AQ95" s="1122">
        <f t="shared" si="70"/>
        <v>1.0180133698075</v>
      </c>
      <c r="AR95" s="1122">
        <f t="shared" si="72"/>
        <v>8.4957334848201391</v>
      </c>
      <c r="AS95" s="1150">
        <f t="shared" si="92"/>
        <v>1.6124999999999998</v>
      </c>
      <c r="AT95" s="1186">
        <f t="shared" si="71"/>
        <v>1.5839674092933707</v>
      </c>
      <c r="AU95" s="1203">
        <f t="shared" si="95"/>
        <v>0.94350000000000001</v>
      </c>
      <c r="AW95" s="184"/>
      <c r="AX95" s="1166"/>
      <c r="AY95" s="1166"/>
      <c r="AZ95" s="1166"/>
    </row>
    <row r="96" spans="2:52" x14ac:dyDescent="0.2">
      <c r="B96" s="1164">
        <v>96</v>
      </c>
      <c r="C96" s="1131">
        <v>25</v>
      </c>
      <c r="D96" s="1132">
        <f t="shared" si="87"/>
        <v>63.535000000000004</v>
      </c>
      <c r="E96" s="1133">
        <f t="shared" si="82"/>
        <v>1.0177330467050001</v>
      </c>
      <c r="F96" s="1133">
        <f t="shared" si="83"/>
        <v>8.4933940751040087</v>
      </c>
      <c r="G96" s="1132">
        <f t="shared" si="88"/>
        <v>1.5880000000000001</v>
      </c>
      <c r="H96" s="1187">
        <f t="shared" si="84"/>
        <v>1.5603305848633777</v>
      </c>
      <c r="I96" s="1135">
        <f t="shared" si="93"/>
        <v>0.94379999999999997</v>
      </c>
      <c r="J96" s="1136" t="e">
        <f t="shared" si="85"/>
        <v>#NAME?</v>
      </c>
      <c r="L96" s="184"/>
      <c r="M96" s="1166"/>
      <c r="N96" s="1166"/>
      <c r="O96" s="1166"/>
      <c r="U96" s="1164">
        <v>96</v>
      </c>
      <c r="V96" s="1165">
        <v>20</v>
      </c>
      <c r="W96" s="1132">
        <f t="shared" si="89"/>
        <v>63.544000000000004</v>
      </c>
      <c r="X96" s="1133">
        <f t="shared" si="96"/>
        <v>1.0178772128720002</v>
      </c>
      <c r="Y96" s="1133">
        <f t="shared" si="86"/>
        <v>8.4945972001008769</v>
      </c>
      <c r="Z96" s="1132">
        <f t="shared" si="90"/>
        <v>1.5489999999999995</v>
      </c>
      <c r="AA96" s="1199">
        <f t="shared" si="97"/>
        <v>1.5217945547964526</v>
      </c>
      <c r="AB96" s="1188">
        <f t="shared" si="94"/>
        <v>0.94409999999999994</v>
      </c>
      <c r="AD96" s="184"/>
      <c r="AE96" s="1166"/>
      <c r="AF96" s="1166"/>
      <c r="AG96" s="1166"/>
      <c r="AN96" s="1164">
        <v>96</v>
      </c>
      <c r="AO96" s="1131">
        <v>30</v>
      </c>
      <c r="AP96" s="1132">
        <f t="shared" si="91"/>
        <v>63.535000000000004</v>
      </c>
      <c r="AQ96" s="1133">
        <f t="shared" si="70"/>
        <v>1.0177330467050001</v>
      </c>
      <c r="AR96" s="1133">
        <f t="shared" si="72"/>
        <v>8.4933940751040087</v>
      </c>
      <c r="AS96" s="1132">
        <f t="shared" si="92"/>
        <v>1.5880000000000001</v>
      </c>
      <c r="AT96" s="1187">
        <f t="shared" si="71"/>
        <v>1.5603305848633777</v>
      </c>
      <c r="AU96" s="1188">
        <f t="shared" si="95"/>
        <v>0.94379999999999997</v>
      </c>
      <c r="AW96" s="184"/>
      <c r="AX96" s="1166"/>
      <c r="AY96" s="1166"/>
      <c r="AZ96" s="1166"/>
    </row>
    <row r="97" spans="2:52" x14ac:dyDescent="0.2">
      <c r="B97" s="1164">
        <v>97</v>
      </c>
      <c r="C97" s="1131">
        <v>25</v>
      </c>
      <c r="D97" s="1132">
        <f t="shared" si="87"/>
        <v>63.517500000000005</v>
      </c>
      <c r="E97" s="1133">
        <f t="shared" si="82"/>
        <v>1.0174527236025002</v>
      </c>
      <c r="F97" s="1133">
        <f t="shared" si="83"/>
        <v>8.49105466538788</v>
      </c>
      <c r="G97" s="1132">
        <f t="shared" si="88"/>
        <v>1.5634999999999999</v>
      </c>
      <c r="H97" s="1187">
        <f t="shared" si="84"/>
        <v>1.5366807358518904</v>
      </c>
      <c r="I97" s="1135">
        <f t="shared" si="93"/>
        <v>0.94410000000000005</v>
      </c>
      <c r="J97" s="1136" t="e">
        <f t="shared" si="85"/>
        <v>#NAME?</v>
      </c>
      <c r="L97" s="184"/>
      <c r="M97" s="1166"/>
      <c r="N97" s="1166"/>
      <c r="O97" s="1166"/>
      <c r="U97" s="1164">
        <v>97</v>
      </c>
      <c r="V97" s="1165">
        <v>20</v>
      </c>
      <c r="W97" s="1132">
        <f t="shared" si="89"/>
        <v>63.528000000000006</v>
      </c>
      <c r="X97" s="1133">
        <f t="shared" si="96"/>
        <v>1.0176209174640001</v>
      </c>
      <c r="Y97" s="1133">
        <f t="shared" si="86"/>
        <v>8.4924583112175576</v>
      </c>
      <c r="Z97" s="1132">
        <f t="shared" si="90"/>
        <v>1.5179999999999998</v>
      </c>
      <c r="AA97" s="1199">
        <f t="shared" si="97"/>
        <v>1.491714619804581</v>
      </c>
      <c r="AB97" s="1188">
        <f t="shared" si="94"/>
        <v>0.94445000000000001</v>
      </c>
      <c r="AD97" s="184"/>
      <c r="AE97" s="1166"/>
      <c r="AF97" s="1166"/>
      <c r="AG97" s="1166"/>
      <c r="AN97" s="1164">
        <v>97</v>
      </c>
      <c r="AO97" s="1131">
        <v>30</v>
      </c>
      <c r="AP97" s="1132">
        <f t="shared" si="91"/>
        <v>63.517500000000005</v>
      </c>
      <c r="AQ97" s="1133">
        <f t="shared" si="70"/>
        <v>1.0174527236025002</v>
      </c>
      <c r="AR97" s="1133">
        <f t="shared" si="72"/>
        <v>8.49105466538788</v>
      </c>
      <c r="AS97" s="1132">
        <f t="shared" si="92"/>
        <v>1.5634999999999999</v>
      </c>
      <c r="AT97" s="1187">
        <f t="shared" si="71"/>
        <v>1.5366807358518904</v>
      </c>
      <c r="AU97" s="1188">
        <f t="shared" si="95"/>
        <v>0.94410000000000005</v>
      </c>
      <c r="AW97" s="184"/>
      <c r="AX97" s="1166"/>
      <c r="AY97" s="1166"/>
      <c r="AZ97" s="1166"/>
    </row>
    <row r="98" spans="2:52" x14ac:dyDescent="0.2">
      <c r="B98" s="1164">
        <v>98</v>
      </c>
      <c r="C98" s="1131">
        <v>25</v>
      </c>
      <c r="D98" s="1132">
        <f t="shared" si="87"/>
        <v>63.5</v>
      </c>
      <c r="E98" s="1133">
        <f t="shared" si="82"/>
        <v>1.0171724005</v>
      </c>
      <c r="F98" s="1133">
        <f t="shared" si="83"/>
        <v>8.4887152556717496</v>
      </c>
      <c r="G98" s="1132">
        <f t="shared" si="88"/>
        <v>1.5389999999999997</v>
      </c>
      <c r="H98" s="1187">
        <f t="shared" si="84"/>
        <v>1.5130178514905543</v>
      </c>
      <c r="I98" s="1135">
        <f t="shared" si="93"/>
        <v>0.94440000000000002</v>
      </c>
      <c r="J98" s="1136" t="e">
        <f t="shared" si="85"/>
        <v>#NAME?</v>
      </c>
      <c r="L98" s="184"/>
      <c r="M98" s="1166"/>
      <c r="N98" s="1166"/>
      <c r="O98" s="1166"/>
      <c r="U98" s="1164">
        <v>98</v>
      </c>
      <c r="V98" s="1165">
        <v>20</v>
      </c>
      <c r="W98" s="1132">
        <f t="shared" si="89"/>
        <v>63.512</v>
      </c>
      <c r="X98" s="1133">
        <f t="shared" si="96"/>
        <v>1.017364622056</v>
      </c>
      <c r="Y98" s="1133">
        <f t="shared" si="86"/>
        <v>8.4903194223342382</v>
      </c>
      <c r="Z98" s="1132">
        <f t="shared" si="90"/>
        <v>1.4869999999999997</v>
      </c>
      <c r="AA98" s="1199">
        <f t="shared" si="97"/>
        <v>1.461619529284309</v>
      </c>
      <c r="AB98" s="1188">
        <f t="shared" si="94"/>
        <v>0.94479999999999997</v>
      </c>
      <c r="AD98" s="184"/>
      <c r="AE98" s="1166"/>
      <c r="AF98" s="1166"/>
      <c r="AG98" s="1166"/>
      <c r="AN98" s="1164">
        <v>98</v>
      </c>
      <c r="AO98" s="1131">
        <v>30</v>
      </c>
      <c r="AP98" s="1132">
        <f t="shared" si="91"/>
        <v>63.5</v>
      </c>
      <c r="AQ98" s="1133">
        <f t="shared" si="70"/>
        <v>1.0171724005</v>
      </c>
      <c r="AR98" s="1133">
        <f t="shared" si="72"/>
        <v>8.4887152556717496</v>
      </c>
      <c r="AS98" s="1132">
        <f t="shared" si="92"/>
        <v>1.5389999999999997</v>
      </c>
      <c r="AT98" s="1187">
        <f t="shared" si="71"/>
        <v>1.5130178514905543</v>
      </c>
      <c r="AU98" s="1188">
        <f t="shared" si="95"/>
        <v>0.94440000000000002</v>
      </c>
      <c r="AW98" s="184"/>
      <c r="AX98" s="1166"/>
      <c r="AY98" s="1166"/>
      <c r="AZ98" s="1166"/>
    </row>
    <row r="99" spans="2:52" ht="13.5" thickBot="1" x14ac:dyDescent="0.25">
      <c r="B99" s="1174">
        <v>99</v>
      </c>
      <c r="C99" s="1142">
        <v>25</v>
      </c>
      <c r="D99" s="1143">
        <f t="shared" si="87"/>
        <v>63.482500000000002</v>
      </c>
      <c r="E99" s="1144">
        <f t="shared" si="82"/>
        <v>1.0168920773975001</v>
      </c>
      <c r="F99" s="1144">
        <f t="shared" si="83"/>
        <v>8.4863758459556191</v>
      </c>
      <c r="G99" s="1143">
        <f t="shared" si="88"/>
        <v>1.5145</v>
      </c>
      <c r="H99" s="1191">
        <f t="shared" si="84"/>
        <v>1.489341920999141</v>
      </c>
      <c r="I99" s="1135">
        <f t="shared" si="93"/>
        <v>0.9447000000000001</v>
      </c>
      <c r="J99" s="1147" t="e">
        <f t="shared" si="85"/>
        <v>#NAME?</v>
      </c>
      <c r="L99" s="184"/>
      <c r="M99" s="1166"/>
      <c r="N99" s="1166"/>
      <c r="O99" s="1166"/>
      <c r="U99" s="1174">
        <v>99</v>
      </c>
      <c r="V99" s="1175">
        <v>20</v>
      </c>
      <c r="W99" s="1143">
        <f t="shared" si="89"/>
        <v>63.496000000000002</v>
      </c>
      <c r="X99" s="1144">
        <f t="shared" si="96"/>
        <v>1.0171083266480001</v>
      </c>
      <c r="Y99" s="1144">
        <f t="shared" si="86"/>
        <v>8.4881805334509188</v>
      </c>
      <c r="Z99" s="1143">
        <f t="shared" si="90"/>
        <v>1.4559999999999995</v>
      </c>
      <c r="AA99" s="1202">
        <f t="shared" si="97"/>
        <v>1.4315092717787676</v>
      </c>
      <c r="AB99" s="1188">
        <f t="shared" si="94"/>
        <v>0.94515000000000005</v>
      </c>
      <c r="AD99" s="184"/>
      <c r="AE99" s="1166"/>
      <c r="AF99" s="1166"/>
      <c r="AG99" s="1166"/>
      <c r="AN99" s="1174">
        <v>99</v>
      </c>
      <c r="AO99" s="1142">
        <v>30</v>
      </c>
      <c r="AP99" s="1143">
        <f t="shared" si="91"/>
        <v>63.482500000000002</v>
      </c>
      <c r="AQ99" s="1144">
        <f t="shared" si="70"/>
        <v>1.0168920773975001</v>
      </c>
      <c r="AR99" s="1144">
        <f t="shared" si="72"/>
        <v>8.4863758459556191</v>
      </c>
      <c r="AS99" s="1143">
        <f t="shared" si="92"/>
        <v>1.5145</v>
      </c>
      <c r="AT99" s="1191">
        <f t="shared" si="71"/>
        <v>1.489341920999141</v>
      </c>
      <c r="AU99" s="1188">
        <f t="shared" si="95"/>
        <v>0.9447000000000001</v>
      </c>
      <c r="AW99" s="184"/>
      <c r="AX99" s="1166"/>
      <c r="AY99" s="1166"/>
      <c r="AZ99" s="1166"/>
    </row>
    <row r="100" spans="2:52" x14ac:dyDescent="0.2">
      <c r="B100" s="1119">
        <v>100</v>
      </c>
      <c r="C100" s="1120">
        <v>25</v>
      </c>
      <c r="D100" s="1121">
        <f>FORECAST(C100,M104:M105,L104:L105)</f>
        <v>63.465000000000003</v>
      </c>
      <c r="E100" s="1122">
        <f t="shared" si="82"/>
        <v>1.0166117542950002</v>
      </c>
      <c r="F100" s="1122">
        <f t="shared" si="83"/>
        <v>8.4840364362394887</v>
      </c>
      <c r="G100" s="1121">
        <f>FORECAST(C100,N104:N105,L104:L105)</f>
        <v>1.49</v>
      </c>
      <c r="H100" s="1186">
        <f t="shared" si="84"/>
        <v>1.4656529335855311</v>
      </c>
      <c r="I100" s="1123">
        <f>FORECAST(C100,O104:O105,L104:L105)</f>
        <v>0.94500000000000006</v>
      </c>
      <c r="J100" s="1124" t="e">
        <f t="shared" si="85"/>
        <v>#NAME?</v>
      </c>
      <c r="L100" s="1125">
        <f>B100</f>
        <v>100</v>
      </c>
      <c r="M100" s="1126">
        <f>D100</f>
        <v>63.465000000000003</v>
      </c>
      <c r="N100" s="1126">
        <f>G100</f>
        <v>1.49</v>
      </c>
      <c r="O100" s="1127">
        <f>I100</f>
        <v>0.94500000000000006</v>
      </c>
      <c r="U100" s="1119">
        <v>100</v>
      </c>
      <c r="V100" s="1120">
        <v>20</v>
      </c>
      <c r="W100" s="1121">
        <v>63.2</v>
      </c>
      <c r="X100" s="1122">
        <f t="shared" si="96"/>
        <v>1.0123668616000001</v>
      </c>
      <c r="Y100" s="1122">
        <f t="shared" si="86"/>
        <v>8.4486110891095212</v>
      </c>
      <c r="Z100" s="1121">
        <v>1.25</v>
      </c>
      <c r="AA100" s="1198">
        <f t="shared" si="97"/>
        <v>1.2347302617397329</v>
      </c>
      <c r="AB100" s="1124">
        <v>0.95899999999999996</v>
      </c>
      <c r="AD100" s="1125">
        <f>U100</f>
        <v>100</v>
      </c>
      <c r="AE100" s="1126">
        <f>W100</f>
        <v>63.2</v>
      </c>
      <c r="AF100" s="1126">
        <f>Z100</f>
        <v>1.25</v>
      </c>
      <c r="AG100" s="1127">
        <f>AB100</f>
        <v>0.95899999999999996</v>
      </c>
      <c r="AN100" s="1119">
        <v>100</v>
      </c>
      <c r="AO100" s="1120">
        <v>30</v>
      </c>
      <c r="AP100" s="1121">
        <v>63.73</v>
      </c>
      <c r="AQ100" s="1122">
        <f t="shared" si="70"/>
        <v>1.02085664699</v>
      </c>
      <c r="AR100" s="1122">
        <f t="shared" si="72"/>
        <v>8.5194617833694561</v>
      </c>
      <c r="AS100" s="1121">
        <v>1.73</v>
      </c>
      <c r="AT100" s="1186">
        <f t="shared" si="71"/>
        <v>1.6946551752402377</v>
      </c>
      <c r="AU100" s="1124">
        <v>0.93100000000000005</v>
      </c>
      <c r="AW100" s="1125">
        <f>AN100</f>
        <v>100</v>
      </c>
      <c r="AX100" s="1126">
        <f>AP100</f>
        <v>63.73</v>
      </c>
      <c r="AY100" s="1126">
        <f>AS100</f>
        <v>1.73</v>
      </c>
      <c r="AZ100" s="1127">
        <f>AU100</f>
        <v>0.93100000000000005</v>
      </c>
    </row>
    <row r="101" spans="2:52" x14ac:dyDescent="0.2">
      <c r="B101" s="1164">
        <v>101</v>
      </c>
      <c r="C101" s="1131">
        <v>25</v>
      </c>
      <c r="D101" s="1132">
        <f t="shared" ref="D101:D109" si="98">FORECAST(B101,$M$100:$M$101,$L$100:$L$101)</f>
        <v>63.447000000000003</v>
      </c>
      <c r="E101" s="1133">
        <f t="shared" si="82"/>
        <v>1.016323421961</v>
      </c>
      <c r="F101" s="1133">
        <f t="shared" si="83"/>
        <v>8.4816301862457557</v>
      </c>
      <c r="G101" s="1132">
        <f t="shared" ref="G101:G109" si="99">FORECAST(B101,$N$100:$N$101,$L$100:$L$101)</f>
        <v>1.4705000000000001</v>
      </c>
      <c r="H101" s="1187">
        <f t="shared" si="84"/>
        <v>1.4468819356368514</v>
      </c>
      <c r="I101" s="1135">
        <f>FORECAST(B101,$O$100:$O$101,$L$100:$L$101)</f>
        <v>0.94535000000000002</v>
      </c>
      <c r="J101" s="1136" t="e">
        <f t="shared" si="85"/>
        <v>#NAME?</v>
      </c>
      <c r="L101" s="1125">
        <f>B110</f>
        <v>110</v>
      </c>
      <c r="M101" s="1126">
        <f>D110</f>
        <v>63.284999999999997</v>
      </c>
      <c r="N101" s="1126">
        <f>G110</f>
        <v>1.2949999999999999</v>
      </c>
      <c r="O101" s="1127">
        <f>I110</f>
        <v>0.94850000000000001</v>
      </c>
      <c r="U101" s="1164">
        <v>101</v>
      </c>
      <c r="V101" s="1165">
        <v>20</v>
      </c>
      <c r="W101" s="1132">
        <f t="shared" ref="W101:W109" si="100">FORECAST(U101,$M$90:$M$91,$L$90:$L$91)</f>
        <v>63.447500000000005</v>
      </c>
      <c r="X101" s="1133">
        <f t="shared" si="96"/>
        <v>1.0163314311925</v>
      </c>
      <c r="Y101" s="1133">
        <f t="shared" si="86"/>
        <v>8.48169702652336</v>
      </c>
      <c r="Z101" s="1132">
        <f t="shared" ref="Z101:Z109" si="101">FORECAST(U101,$N$90:$N$91,$L$90:$L$91)</f>
        <v>1.4655</v>
      </c>
      <c r="AA101" s="1199">
        <f t="shared" si="97"/>
        <v>1.4419508784456991</v>
      </c>
      <c r="AB101" s="1188">
        <f>FORECAST(U101,$O$90:$O$91,$L$90:$L$91)</f>
        <v>0.94530000000000003</v>
      </c>
      <c r="AD101" s="1125">
        <f>U110</f>
        <v>110</v>
      </c>
      <c r="AE101" s="1126">
        <f>W110</f>
        <v>63.03</v>
      </c>
      <c r="AF101" s="1126">
        <f>Z110</f>
        <v>1.1000000000000001</v>
      </c>
      <c r="AG101" s="1127">
        <f>AB110</f>
        <v>0.96199999999999997</v>
      </c>
      <c r="AN101" s="1164">
        <v>101</v>
      </c>
      <c r="AO101" s="1131">
        <v>30</v>
      </c>
      <c r="AP101" s="1132">
        <f t="shared" ref="AP101:AP109" si="102">FORECAST(AN101,$M$100:$M$101,$L$100:$L$101)</f>
        <v>63.447000000000003</v>
      </c>
      <c r="AQ101" s="1133">
        <f t="shared" si="70"/>
        <v>1.016323421961</v>
      </c>
      <c r="AR101" s="1133">
        <f t="shared" si="72"/>
        <v>8.4816301862457557</v>
      </c>
      <c r="AS101" s="1132">
        <f t="shared" ref="AS101:AS109" si="103">FORECAST(AN101,$N$100:$N$101,$L$100:$L$101)</f>
        <v>1.4705000000000001</v>
      </c>
      <c r="AT101" s="1187">
        <f t="shared" si="71"/>
        <v>1.4468819356368514</v>
      </c>
      <c r="AU101" s="1188">
        <f>FORECAST(AN101,$O$100:$O$101,$L$100:$L$101)</f>
        <v>0.94535000000000002</v>
      </c>
      <c r="AW101" s="1125">
        <f>AN110</f>
        <v>110</v>
      </c>
      <c r="AX101" s="1126">
        <f>AP110</f>
        <v>63.54</v>
      </c>
      <c r="AY101" s="1126">
        <f>AS110</f>
        <v>1.49</v>
      </c>
      <c r="AZ101" s="1127">
        <f>AU110</f>
        <v>0.93500000000000005</v>
      </c>
    </row>
    <row r="102" spans="2:52" x14ac:dyDescent="0.2">
      <c r="B102" s="1164">
        <v>102</v>
      </c>
      <c r="C102" s="1131">
        <v>25</v>
      </c>
      <c r="D102" s="1132">
        <f t="shared" si="98"/>
        <v>63.429000000000002</v>
      </c>
      <c r="E102" s="1133">
        <f t="shared" si="82"/>
        <v>1.0160350896270001</v>
      </c>
      <c r="F102" s="1133">
        <f t="shared" si="83"/>
        <v>8.479223936252021</v>
      </c>
      <c r="G102" s="1132">
        <f t="shared" si="99"/>
        <v>1.4510000000000001</v>
      </c>
      <c r="H102" s="1187">
        <f t="shared" si="84"/>
        <v>1.4281002839505095</v>
      </c>
      <c r="I102" s="1135">
        <f t="shared" ref="I102:I109" si="104">FORECAST(B102,$O$100:$O$101,$L$100:$L$101)</f>
        <v>0.9457000000000001</v>
      </c>
      <c r="J102" s="1136" t="e">
        <f t="shared" si="85"/>
        <v>#NAME?</v>
      </c>
      <c r="L102" s="184"/>
      <c r="M102" s="1166"/>
      <c r="N102" s="1166"/>
      <c r="O102" s="1166"/>
      <c r="U102" s="1164">
        <v>102</v>
      </c>
      <c r="V102" s="1165">
        <v>20</v>
      </c>
      <c r="W102" s="1132">
        <f t="shared" si="100"/>
        <v>63.430000000000007</v>
      </c>
      <c r="X102" s="1133">
        <f t="shared" si="96"/>
        <v>1.0160511080900001</v>
      </c>
      <c r="Y102" s="1133">
        <f t="shared" si="86"/>
        <v>8.4793576168072295</v>
      </c>
      <c r="Z102" s="1132">
        <f t="shared" si="101"/>
        <v>1.4409999999999998</v>
      </c>
      <c r="AA102" s="1199">
        <f t="shared" si="97"/>
        <v>1.418235744763696</v>
      </c>
      <c r="AB102" s="1188">
        <f t="shared" ref="AB102:AB109" si="105">FORECAST(U102,$O$90:$O$91,$L$90:$L$91)</f>
        <v>0.94560000000000011</v>
      </c>
      <c r="AD102" s="184"/>
      <c r="AE102" s="1166"/>
      <c r="AF102" s="1166"/>
      <c r="AG102" s="1166"/>
      <c r="AN102" s="1164">
        <v>102</v>
      </c>
      <c r="AO102" s="1131">
        <v>30</v>
      </c>
      <c r="AP102" s="1132">
        <f t="shared" si="102"/>
        <v>63.429000000000002</v>
      </c>
      <c r="AQ102" s="1133">
        <f t="shared" si="70"/>
        <v>1.0160350896270001</v>
      </c>
      <c r="AR102" s="1133">
        <f t="shared" si="72"/>
        <v>8.479223936252021</v>
      </c>
      <c r="AS102" s="1132">
        <f t="shared" si="103"/>
        <v>1.4510000000000001</v>
      </c>
      <c r="AT102" s="1187">
        <f t="shared" si="71"/>
        <v>1.4281002839505095</v>
      </c>
      <c r="AU102" s="1188">
        <f t="shared" ref="AU102:AU109" si="106">FORECAST(AN102,$O$100:$O$101,$L$100:$L$101)</f>
        <v>0.9457000000000001</v>
      </c>
      <c r="AW102" s="184"/>
      <c r="AX102" s="1166"/>
      <c r="AY102" s="1166"/>
      <c r="AZ102" s="1166"/>
    </row>
    <row r="103" spans="2:52" x14ac:dyDescent="0.2">
      <c r="B103" s="1164">
        <v>103</v>
      </c>
      <c r="C103" s="1131">
        <v>25</v>
      </c>
      <c r="D103" s="1132">
        <f t="shared" si="98"/>
        <v>63.411000000000001</v>
      </c>
      <c r="E103" s="1133">
        <f t="shared" si="82"/>
        <v>1.0157467572930001</v>
      </c>
      <c r="F103" s="1133">
        <f t="shared" si="83"/>
        <v>8.476817686258288</v>
      </c>
      <c r="G103" s="1132">
        <f t="shared" si="99"/>
        <v>1.4315000000000002</v>
      </c>
      <c r="H103" s="1187">
        <f t="shared" si="84"/>
        <v>1.4093079694539186</v>
      </c>
      <c r="I103" s="1135">
        <f t="shared" si="104"/>
        <v>0.94605000000000006</v>
      </c>
      <c r="J103" s="1136" t="e">
        <f t="shared" si="85"/>
        <v>#NAME?</v>
      </c>
      <c r="L103" s="1189" t="s">
        <v>1089</v>
      </c>
      <c r="M103" s="179"/>
      <c r="N103" s="179"/>
      <c r="O103" s="179"/>
      <c r="U103" s="1164">
        <v>103</v>
      </c>
      <c r="V103" s="1165">
        <v>20</v>
      </c>
      <c r="W103" s="1132">
        <f t="shared" si="100"/>
        <v>63.412500000000001</v>
      </c>
      <c r="X103" s="1133">
        <f t="shared" si="96"/>
        <v>1.0157707849875</v>
      </c>
      <c r="Y103" s="1133">
        <f t="shared" si="86"/>
        <v>8.4770182070910991</v>
      </c>
      <c r="Z103" s="1132">
        <f t="shared" si="101"/>
        <v>1.4165000000000001</v>
      </c>
      <c r="AA103" s="1199">
        <f t="shared" si="97"/>
        <v>1.3945075217116345</v>
      </c>
      <c r="AB103" s="1188">
        <f t="shared" si="105"/>
        <v>0.94590000000000007</v>
      </c>
      <c r="AD103" s="184"/>
      <c r="AE103" s="1166"/>
      <c r="AF103" s="1166"/>
      <c r="AG103" s="1166"/>
      <c r="AN103" s="1164">
        <v>103</v>
      </c>
      <c r="AO103" s="1131">
        <v>30</v>
      </c>
      <c r="AP103" s="1132">
        <f t="shared" si="102"/>
        <v>63.411000000000001</v>
      </c>
      <c r="AQ103" s="1133">
        <f t="shared" si="70"/>
        <v>1.0157467572930001</v>
      </c>
      <c r="AR103" s="1133">
        <f t="shared" si="72"/>
        <v>8.476817686258288</v>
      </c>
      <c r="AS103" s="1132">
        <f t="shared" si="103"/>
        <v>1.4315000000000002</v>
      </c>
      <c r="AT103" s="1187">
        <f t="shared" si="71"/>
        <v>1.4093079694539186</v>
      </c>
      <c r="AU103" s="1188">
        <f t="shared" si="106"/>
        <v>0.94605000000000006</v>
      </c>
      <c r="AW103" s="184"/>
      <c r="AX103" s="1166"/>
      <c r="AY103" s="1166"/>
      <c r="AZ103" s="1166"/>
    </row>
    <row r="104" spans="2:52" ht="13.5" thickBot="1" x14ac:dyDescent="0.25">
      <c r="B104" s="1174">
        <v>104</v>
      </c>
      <c r="C104" s="1142">
        <v>25</v>
      </c>
      <c r="D104" s="1143">
        <f t="shared" si="98"/>
        <v>63.393000000000001</v>
      </c>
      <c r="E104" s="1144">
        <f t="shared" si="82"/>
        <v>1.015458424959</v>
      </c>
      <c r="F104" s="1144">
        <f t="shared" si="83"/>
        <v>8.4744114362645533</v>
      </c>
      <c r="G104" s="1143">
        <f t="shared" si="99"/>
        <v>1.4119999999999999</v>
      </c>
      <c r="H104" s="1191">
        <f t="shared" si="84"/>
        <v>1.3905049830641867</v>
      </c>
      <c r="I104" s="1146">
        <f t="shared" si="104"/>
        <v>0.94640000000000002</v>
      </c>
      <c r="J104" s="1147" t="e">
        <f t="shared" si="85"/>
        <v>#NAME?</v>
      </c>
      <c r="L104" s="1190">
        <v>20</v>
      </c>
      <c r="M104" s="1200">
        <f>W100</f>
        <v>63.2</v>
      </c>
      <c r="N104" s="1200">
        <f>Z100</f>
        <v>1.25</v>
      </c>
      <c r="O104" s="1201">
        <f>AB100</f>
        <v>0.95899999999999996</v>
      </c>
      <c r="U104" s="1174">
        <v>104</v>
      </c>
      <c r="V104" s="1168">
        <v>20</v>
      </c>
      <c r="W104" s="1143">
        <f t="shared" si="100"/>
        <v>63.395000000000003</v>
      </c>
      <c r="X104" s="1144">
        <f t="shared" si="96"/>
        <v>1.015490461885</v>
      </c>
      <c r="Y104" s="1144">
        <f t="shared" si="86"/>
        <v>8.4746787973749687</v>
      </c>
      <c r="Z104" s="1143">
        <f t="shared" si="101"/>
        <v>1.3919999999999999</v>
      </c>
      <c r="AA104" s="1202">
        <f t="shared" si="97"/>
        <v>1.3707661984496688</v>
      </c>
      <c r="AB104" s="1192">
        <f t="shared" si="105"/>
        <v>0.94620000000000015</v>
      </c>
      <c r="AD104" s="184"/>
      <c r="AE104" s="1166"/>
      <c r="AF104" s="1166"/>
      <c r="AG104" s="1166"/>
      <c r="AN104" s="1174">
        <v>104</v>
      </c>
      <c r="AO104" s="1142">
        <v>30</v>
      </c>
      <c r="AP104" s="1143">
        <f t="shared" si="102"/>
        <v>63.393000000000001</v>
      </c>
      <c r="AQ104" s="1144">
        <f t="shared" si="70"/>
        <v>1.015458424959</v>
      </c>
      <c r="AR104" s="1144">
        <f t="shared" si="72"/>
        <v>8.4744114362645533</v>
      </c>
      <c r="AS104" s="1143">
        <f t="shared" si="103"/>
        <v>1.4119999999999999</v>
      </c>
      <c r="AT104" s="1191">
        <f t="shared" si="71"/>
        <v>1.3905049830641867</v>
      </c>
      <c r="AU104" s="1192">
        <f t="shared" si="106"/>
        <v>0.94640000000000002</v>
      </c>
      <c r="AW104" s="184"/>
      <c r="AX104" s="1166"/>
      <c r="AY104" s="1166"/>
      <c r="AZ104" s="1166"/>
    </row>
    <row r="105" spans="2:52" x14ac:dyDescent="0.2">
      <c r="B105" s="1172">
        <v>105</v>
      </c>
      <c r="C105" s="1149">
        <v>25</v>
      </c>
      <c r="D105" s="1150">
        <f t="shared" si="98"/>
        <v>63.375</v>
      </c>
      <c r="E105" s="1122">
        <f t="shared" si="82"/>
        <v>1.015170092625</v>
      </c>
      <c r="F105" s="1122">
        <f t="shared" si="83"/>
        <v>8.4720051862708203</v>
      </c>
      <c r="G105" s="1150">
        <f t="shared" si="99"/>
        <v>1.3925000000000001</v>
      </c>
      <c r="H105" s="1186">
        <f t="shared" si="84"/>
        <v>1.3716913156881034</v>
      </c>
      <c r="I105" s="1173">
        <f t="shared" si="104"/>
        <v>0.94674999999999998</v>
      </c>
      <c r="J105" s="1124" t="e">
        <f t="shared" si="85"/>
        <v>#NAME?</v>
      </c>
      <c r="L105" s="1190">
        <v>30</v>
      </c>
      <c r="M105" s="1200">
        <f>AP100</f>
        <v>63.73</v>
      </c>
      <c r="N105" s="1200">
        <f>AS100</f>
        <v>1.73</v>
      </c>
      <c r="O105" s="1201">
        <f>AU100</f>
        <v>0.93100000000000005</v>
      </c>
      <c r="U105" s="1172">
        <v>105</v>
      </c>
      <c r="V105" s="1120">
        <v>20</v>
      </c>
      <c r="W105" s="1150">
        <f t="shared" si="100"/>
        <v>63.377500000000005</v>
      </c>
      <c r="X105" s="1122">
        <f t="shared" si="96"/>
        <v>1.0152101387825001</v>
      </c>
      <c r="Y105" s="1122">
        <f t="shared" si="86"/>
        <v>8.47233938765884</v>
      </c>
      <c r="Z105" s="1150">
        <f t="shared" si="101"/>
        <v>1.3675000000000002</v>
      </c>
      <c r="AA105" s="1198">
        <f t="shared" si="97"/>
        <v>1.3470117641259836</v>
      </c>
      <c r="AB105" s="1203">
        <f t="shared" si="105"/>
        <v>0.94650000000000012</v>
      </c>
      <c r="AD105" s="184"/>
      <c r="AE105" s="1166"/>
      <c r="AF105" s="1166"/>
      <c r="AG105" s="1166"/>
      <c r="AN105" s="1172">
        <v>105</v>
      </c>
      <c r="AO105" s="1149">
        <v>30</v>
      </c>
      <c r="AP105" s="1150">
        <f t="shared" si="102"/>
        <v>63.375</v>
      </c>
      <c r="AQ105" s="1122">
        <f t="shared" si="70"/>
        <v>1.015170092625</v>
      </c>
      <c r="AR105" s="1122">
        <f t="shared" si="72"/>
        <v>8.4720051862708203</v>
      </c>
      <c r="AS105" s="1150">
        <f t="shared" si="103"/>
        <v>1.3925000000000001</v>
      </c>
      <c r="AT105" s="1186">
        <f t="shared" si="71"/>
        <v>1.3716913156881034</v>
      </c>
      <c r="AU105" s="1203">
        <f t="shared" si="106"/>
        <v>0.94674999999999998</v>
      </c>
      <c r="AW105" s="184"/>
      <c r="AX105" s="1166"/>
      <c r="AY105" s="1166"/>
      <c r="AZ105" s="1166"/>
    </row>
    <row r="106" spans="2:52" x14ac:dyDescent="0.2">
      <c r="B106" s="1164">
        <v>106</v>
      </c>
      <c r="C106" s="1131">
        <v>25</v>
      </c>
      <c r="D106" s="1132">
        <f t="shared" si="98"/>
        <v>63.356999999999999</v>
      </c>
      <c r="E106" s="1133">
        <f t="shared" si="82"/>
        <v>1.0148817602910001</v>
      </c>
      <c r="F106" s="1133">
        <f t="shared" si="83"/>
        <v>8.4695989362770856</v>
      </c>
      <c r="G106" s="1132">
        <f t="shared" si="99"/>
        <v>1.3730000000000002</v>
      </c>
      <c r="H106" s="1187">
        <f t="shared" si="84"/>
        <v>1.3528669582221242</v>
      </c>
      <c r="I106" s="1135">
        <f t="shared" si="104"/>
        <v>0.94710000000000005</v>
      </c>
      <c r="J106" s="1136" t="e">
        <f t="shared" si="85"/>
        <v>#NAME?</v>
      </c>
      <c r="L106" s="184"/>
      <c r="M106" s="1166"/>
      <c r="N106" s="1166"/>
      <c r="O106" s="1166"/>
      <c r="U106" s="1164">
        <v>106</v>
      </c>
      <c r="V106" s="1165">
        <v>20</v>
      </c>
      <c r="W106" s="1132">
        <f t="shared" si="100"/>
        <v>63.360000000000007</v>
      </c>
      <c r="X106" s="1133">
        <f t="shared" si="96"/>
        <v>1.0149298156800002</v>
      </c>
      <c r="Y106" s="1133">
        <f t="shared" si="86"/>
        <v>8.4699999779427095</v>
      </c>
      <c r="Z106" s="1132">
        <f t="shared" si="101"/>
        <v>1.343</v>
      </c>
      <c r="AA106" s="1199">
        <f t="shared" si="97"/>
        <v>1.3232442078767719</v>
      </c>
      <c r="AB106" s="1188">
        <f t="shared" si="105"/>
        <v>0.94680000000000009</v>
      </c>
      <c r="AD106" s="184"/>
      <c r="AE106" s="1166"/>
      <c r="AF106" s="1166"/>
      <c r="AG106" s="1166"/>
      <c r="AN106" s="1164">
        <v>106</v>
      </c>
      <c r="AO106" s="1131">
        <v>30</v>
      </c>
      <c r="AP106" s="1132">
        <f t="shared" si="102"/>
        <v>63.356999999999999</v>
      </c>
      <c r="AQ106" s="1133">
        <f t="shared" si="70"/>
        <v>1.0148817602910001</v>
      </c>
      <c r="AR106" s="1133">
        <f t="shared" si="72"/>
        <v>8.4695989362770856</v>
      </c>
      <c r="AS106" s="1132">
        <f t="shared" si="103"/>
        <v>1.3730000000000002</v>
      </c>
      <c r="AT106" s="1187">
        <f t="shared" si="71"/>
        <v>1.3528669582221242</v>
      </c>
      <c r="AU106" s="1188">
        <f t="shared" si="106"/>
        <v>0.94710000000000005</v>
      </c>
      <c r="AW106" s="184"/>
      <c r="AX106" s="1166"/>
      <c r="AY106" s="1166"/>
      <c r="AZ106" s="1166"/>
    </row>
    <row r="107" spans="2:52" x14ac:dyDescent="0.2">
      <c r="B107" s="1164">
        <v>107</v>
      </c>
      <c r="C107" s="1131">
        <v>25</v>
      </c>
      <c r="D107" s="1132">
        <f t="shared" si="98"/>
        <v>63.338999999999999</v>
      </c>
      <c r="E107" s="1133">
        <f t="shared" si="82"/>
        <v>1.0145934279569999</v>
      </c>
      <c r="F107" s="1133">
        <f t="shared" si="83"/>
        <v>8.4671926862833526</v>
      </c>
      <c r="G107" s="1132">
        <f t="shared" si="99"/>
        <v>1.3534999999999999</v>
      </c>
      <c r="H107" s="1187">
        <f t="shared" si="84"/>
        <v>1.3340319015523561</v>
      </c>
      <c r="I107" s="1135">
        <f t="shared" si="104"/>
        <v>0.94745000000000001</v>
      </c>
      <c r="J107" s="1136" t="e">
        <f t="shared" si="85"/>
        <v>#NAME?</v>
      </c>
      <c r="L107" s="184"/>
      <c r="M107" s="1166"/>
      <c r="N107" s="1166"/>
      <c r="O107" s="1166"/>
      <c r="U107" s="1164">
        <v>107</v>
      </c>
      <c r="V107" s="1165">
        <v>20</v>
      </c>
      <c r="W107" s="1132">
        <f t="shared" si="100"/>
        <v>63.342500000000008</v>
      </c>
      <c r="X107" s="1133">
        <f t="shared" si="96"/>
        <v>1.0146494925775</v>
      </c>
      <c r="Y107" s="1133">
        <f t="shared" si="86"/>
        <v>8.4676605682265791</v>
      </c>
      <c r="Z107" s="1132">
        <f t="shared" si="101"/>
        <v>1.3184999999999998</v>
      </c>
      <c r="AA107" s="1199">
        <f t="shared" si="97"/>
        <v>1.2994635188262229</v>
      </c>
      <c r="AB107" s="1188">
        <f t="shared" si="105"/>
        <v>0.94710000000000016</v>
      </c>
      <c r="AD107" s="184"/>
      <c r="AE107" s="1166"/>
      <c r="AF107" s="1166"/>
      <c r="AG107" s="1166"/>
      <c r="AN107" s="1164">
        <v>107</v>
      </c>
      <c r="AO107" s="1131">
        <v>30</v>
      </c>
      <c r="AP107" s="1132">
        <f t="shared" si="102"/>
        <v>63.338999999999999</v>
      </c>
      <c r="AQ107" s="1133">
        <f t="shared" si="70"/>
        <v>1.0145934279569999</v>
      </c>
      <c r="AR107" s="1133">
        <f t="shared" si="72"/>
        <v>8.4671926862833526</v>
      </c>
      <c r="AS107" s="1132">
        <f t="shared" si="103"/>
        <v>1.3534999999999999</v>
      </c>
      <c r="AT107" s="1187">
        <f t="shared" si="71"/>
        <v>1.3340319015523561</v>
      </c>
      <c r="AU107" s="1188">
        <f t="shared" si="106"/>
        <v>0.94745000000000001</v>
      </c>
      <c r="AW107" s="184"/>
      <c r="AX107" s="1166"/>
      <c r="AY107" s="1166"/>
      <c r="AZ107" s="1166"/>
    </row>
    <row r="108" spans="2:52" x14ac:dyDescent="0.2">
      <c r="B108" s="1164">
        <v>108</v>
      </c>
      <c r="C108" s="1131">
        <v>25</v>
      </c>
      <c r="D108" s="1132">
        <f t="shared" si="98"/>
        <v>63.320999999999998</v>
      </c>
      <c r="E108" s="1133">
        <f t="shared" si="82"/>
        <v>1.014305095623</v>
      </c>
      <c r="F108" s="1133">
        <f t="shared" si="83"/>
        <v>8.4647864362896179</v>
      </c>
      <c r="G108" s="1132">
        <f t="shared" si="99"/>
        <v>1.3340000000000001</v>
      </c>
      <c r="H108" s="1187">
        <f t="shared" si="84"/>
        <v>1.3151861365545434</v>
      </c>
      <c r="I108" s="1135">
        <f t="shared" si="104"/>
        <v>0.94779999999999998</v>
      </c>
      <c r="J108" s="1136" t="e">
        <f t="shared" si="85"/>
        <v>#NAME?</v>
      </c>
      <c r="L108" s="184"/>
      <c r="M108" s="1166"/>
      <c r="N108" s="1166"/>
      <c r="O108" s="1166"/>
      <c r="U108" s="1164">
        <v>108</v>
      </c>
      <c r="V108" s="1165">
        <v>20</v>
      </c>
      <c r="W108" s="1132">
        <f t="shared" si="100"/>
        <v>63.325000000000003</v>
      </c>
      <c r="X108" s="1133">
        <f t="shared" si="96"/>
        <v>1.0143691694750001</v>
      </c>
      <c r="Y108" s="1133">
        <f t="shared" si="86"/>
        <v>8.4653211585104486</v>
      </c>
      <c r="Z108" s="1132">
        <f t="shared" si="101"/>
        <v>1.294</v>
      </c>
      <c r="AA108" s="1199">
        <f t="shared" si="97"/>
        <v>1.2756696860865029</v>
      </c>
      <c r="AB108" s="1188">
        <f t="shared" si="105"/>
        <v>0.94740000000000013</v>
      </c>
      <c r="AD108" s="184"/>
      <c r="AE108" s="1166"/>
      <c r="AF108" s="1166"/>
      <c r="AG108" s="1166"/>
      <c r="AN108" s="1164">
        <v>108</v>
      </c>
      <c r="AO108" s="1131">
        <v>30</v>
      </c>
      <c r="AP108" s="1132">
        <f t="shared" si="102"/>
        <v>63.320999999999998</v>
      </c>
      <c r="AQ108" s="1133">
        <f t="shared" si="70"/>
        <v>1.014305095623</v>
      </c>
      <c r="AR108" s="1133">
        <f t="shared" si="72"/>
        <v>8.4647864362896179</v>
      </c>
      <c r="AS108" s="1132">
        <f t="shared" si="103"/>
        <v>1.3340000000000001</v>
      </c>
      <c r="AT108" s="1187">
        <f t="shared" si="71"/>
        <v>1.3151861365545434</v>
      </c>
      <c r="AU108" s="1188">
        <f t="shared" si="106"/>
        <v>0.94779999999999998</v>
      </c>
      <c r="AW108" s="184"/>
      <c r="AX108" s="1166"/>
      <c r="AY108" s="1166"/>
      <c r="AZ108" s="1166"/>
    </row>
    <row r="109" spans="2:52" ht="13.5" thickBot="1" x14ac:dyDescent="0.25">
      <c r="B109" s="1174">
        <v>109</v>
      </c>
      <c r="C109" s="1142">
        <v>25</v>
      </c>
      <c r="D109" s="1143">
        <f t="shared" si="98"/>
        <v>63.302999999999997</v>
      </c>
      <c r="E109" s="1144">
        <f t="shared" si="82"/>
        <v>1.014016763289</v>
      </c>
      <c r="F109" s="1144">
        <f t="shared" si="83"/>
        <v>8.462380186295885</v>
      </c>
      <c r="G109" s="1143">
        <f t="shared" si="99"/>
        <v>1.3145000000000002</v>
      </c>
      <c r="H109" s="1191">
        <f t="shared" si="84"/>
        <v>1.2963296540940525</v>
      </c>
      <c r="I109" s="1135">
        <f t="shared" si="104"/>
        <v>0.94815000000000005</v>
      </c>
      <c r="J109" s="1147" t="e">
        <f t="shared" si="85"/>
        <v>#NAME?</v>
      </c>
      <c r="L109" s="184"/>
      <c r="M109" s="1166"/>
      <c r="N109" s="1166"/>
      <c r="O109" s="1166"/>
      <c r="U109" s="1174">
        <v>109</v>
      </c>
      <c r="V109" s="1175">
        <v>20</v>
      </c>
      <c r="W109" s="1143">
        <f t="shared" si="100"/>
        <v>63.307500000000005</v>
      </c>
      <c r="X109" s="1144">
        <f t="shared" si="96"/>
        <v>1.0140888463725002</v>
      </c>
      <c r="Y109" s="1144">
        <f t="shared" si="86"/>
        <v>8.46298174879432</v>
      </c>
      <c r="Z109" s="1143">
        <f t="shared" si="101"/>
        <v>1.2694999999999999</v>
      </c>
      <c r="AA109" s="1202">
        <f t="shared" si="97"/>
        <v>1.2518626987577386</v>
      </c>
      <c r="AB109" s="1188">
        <f t="shared" si="105"/>
        <v>0.94770000000000021</v>
      </c>
      <c r="AD109" s="184"/>
      <c r="AE109" s="1166"/>
      <c r="AF109" s="1166"/>
      <c r="AG109" s="1166"/>
      <c r="AN109" s="1174">
        <v>109</v>
      </c>
      <c r="AO109" s="1142">
        <v>30</v>
      </c>
      <c r="AP109" s="1143">
        <f t="shared" si="102"/>
        <v>63.302999999999997</v>
      </c>
      <c r="AQ109" s="1144">
        <f t="shared" si="70"/>
        <v>1.014016763289</v>
      </c>
      <c r="AR109" s="1144">
        <f t="shared" si="72"/>
        <v>8.462380186295885</v>
      </c>
      <c r="AS109" s="1143">
        <f t="shared" si="103"/>
        <v>1.3145000000000002</v>
      </c>
      <c r="AT109" s="1191">
        <f t="shared" si="71"/>
        <v>1.2963296540940525</v>
      </c>
      <c r="AU109" s="1188">
        <f t="shared" si="106"/>
        <v>0.94815000000000005</v>
      </c>
      <c r="AW109" s="184"/>
      <c r="AX109" s="1166"/>
      <c r="AY109" s="1166"/>
      <c r="AZ109" s="1166"/>
    </row>
    <row r="110" spans="2:52" x14ac:dyDescent="0.2">
      <c r="B110" s="1119">
        <v>110</v>
      </c>
      <c r="C110" s="1120">
        <v>25</v>
      </c>
      <c r="D110" s="1121">
        <f>FORECAST(C110,M114:M115,L114:L115)</f>
        <v>63.284999999999997</v>
      </c>
      <c r="E110" s="1122">
        <f t="shared" si="82"/>
        <v>1.0137284309549999</v>
      </c>
      <c r="F110" s="1122">
        <f t="shared" si="83"/>
        <v>8.4599739363021502</v>
      </c>
      <c r="G110" s="1121">
        <f>FORECAST(C110,N114:N115,L114:L115)</f>
        <v>1.2949999999999999</v>
      </c>
      <c r="H110" s="1186">
        <f t="shared" si="84"/>
        <v>1.2774624450258572</v>
      </c>
      <c r="I110" s="1123">
        <f>FORECAST(C110,O114:O115,L114:L115)</f>
        <v>0.94850000000000001</v>
      </c>
      <c r="J110" s="1124" t="e">
        <f t="shared" si="85"/>
        <v>#NAME?</v>
      </c>
      <c r="L110" s="1125">
        <f>B110</f>
        <v>110</v>
      </c>
      <c r="M110" s="1126">
        <f>D110</f>
        <v>63.284999999999997</v>
      </c>
      <c r="N110" s="1126">
        <f>G110</f>
        <v>1.2949999999999999</v>
      </c>
      <c r="O110" s="1127">
        <f>I110</f>
        <v>0.94850000000000001</v>
      </c>
      <c r="U110" s="1119">
        <v>110</v>
      </c>
      <c r="V110" s="1120">
        <v>20</v>
      </c>
      <c r="W110" s="1121">
        <v>63.03</v>
      </c>
      <c r="X110" s="1122">
        <f t="shared" si="96"/>
        <v>1.0096437228899999</v>
      </c>
      <c r="Y110" s="1122">
        <f t="shared" si="86"/>
        <v>8.4258853947242578</v>
      </c>
      <c r="Z110" s="1121">
        <v>1.1000000000000001</v>
      </c>
      <c r="AA110" s="1198">
        <f t="shared" si="97"/>
        <v>1.0894932292069965</v>
      </c>
      <c r="AB110" s="1124">
        <v>0.96199999999999997</v>
      </c>
      <c r="AD110" s="1125">
        <f>U110</f>
        <v>110</v>
      </c>
      <c r="AE110" s="1126">
        <f>W110</f>
        <v>63.03</v>
      </c>
      <c r="AF110" s="1126">
        <f>Z110</f>
        <v>1.1000000000000001</v>
      </c>
      <c r="AG110" s="1127">
        <f>AB110</f>
        <v>0.96199999999999997</v>
      </c>
      <c r="AN110" s="1119">
        <v>110</v>
      </c>
      <c r="AO110" s="1120">
        <v>30</v>
      </c>
      <c r="AP110" s="1121">
        <v>63.54</v>
      </c>
      <c r="AQ110" s="1122">
        <f t="shared" si="70"/>
        <v>1.01781313902</v>
      </c>
      <c r="AR110" s="1122">
        <f t="shared" si="72"/>
        <v>8.4940624778800462</v>
      </c>
      <c r="AS110" s="1121">
        <v>1.49</v>
      </c>
      <c r="AT110" s="1186">
        <f t="shared" si="71"/>
        <v>1.4639229372050004</v>
      </c>
      <c r="AU110" s="1124">
        <v>0.93500000000000005</v>
      </c>
      <c r="AW110" s="1125">
        <f>AN110</f>
        <v>110</v>
      </c>
      <c r="AX110" s="1126">
        <f>AP110</f>
        <v>63.54</v>
      </c>
      <c r="AY110" s="1126">
        <f>AS110</f>
        <v>1.49</v>
      </c>
      <c r="AZ110" s="1127">
        <f>AU110</f>
        <v>0.93500000000000005</v>
      </c>
    </row>
    <row r="111" spans="2:52" x14ac:dyDescent="0.2">
      <c r="B111" s="1164">
        <v>111</v>
      </c>
      <c r="C111" s="1131">
        <v>25</v>
      </c>
      <c r="D111" s="1132">
        <f t="shared" ref="D111:D119" si="107">FORECAST(B111,$M$110:$M$111,$L$110:$L$111)</f>
        <v>63.265499999999996</v>
      </c>
      <c r="E111" s="1133">
        <f t="shared" si="82"/>
        <v>1.0134160709264999</v>
      </c>
      <c r="F111" s="1133">
        <f t="shared" si="83"/>
        <v>8.4573671654756062</v>
      </c>
      <c r="G111" s="1132">
        <f t="shared" ref="G111:G119" si="108">FORECAST(B111,$N$110:$N$111,$L$110:$L$111)</f>
        <v>1.2789999999999995</v>
      </c>
      <c r="H111" s="1187">
        <f t="shared" si="84"/>
        <v>1.2620680061158824</v>
      </c>
      <c r="I111" s="1135">
        <f>FORECAST(B111,$O$110:$O$111,$L$110:$L$111)</f>
        <v>0.94884999999999997</v>
      </c>
      <c r="J111" s="1136" t="e">
        <f t="shared" si="85"/>
        <v>#NAME?</v>
      </c>
      <c r="L111" s="1125">
        <f>B120</f>
        <v>120</v>
      </c>
      <c r="M111" s="1126">
        <f>D120</f>
        <v>63.09</v>
      </c>
      <c r="N111" s="1126">
        <f>G120</f>
        <v>1.135</v>
      </c>
      <c r="O111" s="1127">
        <f>I120</f>
        <v>0.95199999999999985</v>
      </c>
      <c r="U111" s="1164">
        <v>111</v>
      </c>
      <c r="V111" s="1165">
        <v>20</v>
      </c>
      <c r="W111" s="1132">
        <f t="shared" ref="W111:W119" si="109">FORECAST(U111,$M$100:$M$101,$L$100:$L$101)</f>
        <v>63.266999999999996</v>
      </c>
      <c r="X111" s="1133">
        <f t="shared" si="96"/>
        <v>1.0134400986209999</v>
      </c>
      <c r="Y111" s="1133">
        <f t="shared" si="86"/>
        <v>8.4575676863084173</v>
      </c>
      <c r="Z111" s="1132">
        <f t="shared" ref="Z111:Z119" si="110">FORECAST(U111,$N$100:$N$101,$L$100:$L$101)</f>
        <v>1.2755000000000001</v>
      </c>
      <c r="AA111" s="1199">
        <f t="shared" si="97"/>
        <v>1.2585845001945237</v>
      </c>
      <c r="AB111" s="1188">
        <f>FORECAST(U111,$O$100:$O$101,$L$100:$L$101)</f>
        <v>0.94884999999999997</v>
      </c>
      <c r="AD111" s="1125">
        <f>U120</f>
        <v>120</v>
      </c>
      <c r="AE111" s="1126">
        <f>W120</f>
        <v>62.85</v>
      </c>
      <c r="AF111" s="1126">
        <f>Z120</f>
        <v>0.97</v>
      </c>
      <c r="AG111" s="1127">
        <f>AB120</f>
        <v>0.96499999999999997</v>
      </c>
      <c r="AN111" s="1164">
        <v>111</v>
      </c>
      <c r="AO111" s="1131">
        <v>30</v>
      </c>
      <c r="AP111" s="1132">
        <f t="shared" ref="AP111:AP119" si="111">FORECAST(AN111,$M$110:$M$111,$L$110:$L$111)</f>
        <v>63.265499999999996</v>
      </c>
      <c r="AQ111" s="1133">
        <f t="shared" si="70"/>
        <v>1.0134160709264999</v>
      </c>
      <c r="AR111" s="1133">
        <f t="shared" si="72"/>
        <v>8.4573671654756062</v>
      </c>
      <c r="AS111" s="1132">
        <f t="shared" ref="AS111:AS119" si="112">FORECAST(AN111,$N$110:$N$111,$L$110:$L$111)</f>
        <v>1.2789999999999995</v>
      </c>
      <c r="AT111" s="1187">
        <f t="shared" si="71"/>
        <v>1.2620680061158824</v>
      </c>
      <c r="AU111" s="1188">
        <f>FORECAST(AN111,$O$110:$O$111,$L$110:$L$111)</f>
        <v>0.94884999999999997</v>
      </c>
      <c r="AW111" s="1125">
        <f>AN120</f>
        <v>120</v>
      </c>
      <c r="AX111" s="1126">
        <f>AP120</f>
        <v>63.33</v>
      </c>
      <c r="AY111" s="1126">
        <f>AS120</f>
        <v>1.3</v>
      </c>
      <c r="AZ111" s="1127">
        <f>AU120</f>
        <v>0.93899999999999995</v>
      </c>
    </row>
    <row r="112" spans="2:52" x14ac:dyDescent="0.2">
      <c r="B112" s="1164">
        <v>112</v>
      </c>
      <c r="C112" s="1131">
        <v>25</v>
      </c>
      <c r="D112" s="1132">
        <f t="shared" si="107"/>
        <v>63.245999999999995</v>
      </c>
      <c r="E112" s="1133">
        <f t="shared" si="82"/>
        <v>1.0131037108979999</v>
      </c>
      <c r="F112" s="1133">
        <f t="shared" si="83"/>
        <v>8.4547603946490604</v>
      </c>
      <c r="G112" s="1132">
        <f t="shared" si="108"/>
        <v>1.2629999999999995</v>
      </c>
      <c r="H112" s="1187">
        <f t="shared" si="84"/>
        <v>1.2466640743823703</v>
      </c>
      <c r="I112" s="1135">
        <f t="shared" ref="I112:I119" si="113">FORECAST(B112,$O$110:$O$111,$L$110:$L$111)</f>
        <v>0.94919999999999993</v>
      </c>
      <c r="J112" s="1136" t="e">
        <f t="shared" si="85"/>
        <v>#NAME?</v>
      </c>
      <c r="L112" s="184"/>
      <c r="M112" s="1166"/>
      <c r="N112" s="1166"/>
      <c r="O112" s="1166"/>
      <c r="U112" s="1164">
        <v>112</v>
      </c>
      <c r="V112" s="1165">
        <v>20</v>
      </c>
      <c r="W112" s="1132">
        <f t="shared" si="109"/>
        <v>63.248999999999995</v>
      </c>
      <c r="X112" s="1133">
        <f t="shared" si="96"/>
        <v>1.013151766287</v>
      </c>
      <c r="Y112" s="1133">
        <f t="shared" si="86"/>
        <v>8.4551614363146825</v>
      </c>
      <c r="Z112" s="1132">
        <f t="shared" si="110"/>
        <v>1.2560000000000002</v>
      </c>
      <c r="AA112" s="1199">
        <f t="shared" si="97"/>
        <v>1.2396958104341966</v>
      </c>
      <c r="AB112" s="1188">
        <f t="shared" ref="AB112:AB119" si="114">FORECAST(U112,$O$100:$O$101,$L$100:$L$101)</f>
        <v>0.94920000000000004</v>
      </c>
      <c r="AD112" s="184"/>
      <c r="AE112" s="1166"/>
      <c r="AF112" s="1166"/>
      <c r="AG112" s="1166"/>
      <c r="AN112" s="1164">
        <v>112</v>
      </c>
      <c r="AO112" s="1131">
        <v>30</v>
      </c>
      <c r="AP112" s="1132">
        <f t="shared" si="111"/>
        <v>63.245999999999995</v>
      </c>
      <c r="AQ112" s="1133">
        <f t="shared" si="70"/>
        <v>1.0131037108979999</v>
      </c>
      <c r="AR112" s="1133">
        <f t="shared" si="72"/>
        <v>8.4547603946490604</v>
      </c>
      <c r="AS112" s="1132">
        <f t="shared" si="112"/>
        <v>1.2629999999999995</v>
      </c>
      <c r="AT112" s="1187">
        <f t="shared" si="71"/>
        <v>1.2466640743823703</v>
      </c>
      <c r="AU112" s="1188">
        <f t="shared" ref="AU112:AU119" si="115">FORECAST(AN112,$O$110:$O$111,$L$110:$L$111)</f>
        <v>0.94919999999999993</v>
      </c>
      <c r="AW112" s="184"/>
      <c r="AX112" s="1166"/>
      <c r="AY112" s="1166"/>
      <c r="AZ112" s="1166"/>
    </row>
    <row r="113" spans="2:52" x14ac:dyDescent="0.2">
      <c r="B113" s="1164">
        <v>113</v>
      </c>
      <c r="C113" s="1131">
        <v>25</v>
      </c>
      <c r="D113" s="1132">
        <f t="shared" si="107"/>
        <v>63.226500000000001</v>
      </c>
      <c r="E113" s="1133">
        <f t="shared" si="82"/>
        <v>1.0127913508695001</v>
      </c>
      <c r="F113" s="1133">
        <f t="shared" si="83"/>
        <v>8.4521536238225163</v>
      </c>
      <c r="G113" s="1132">
        <f t="shared" si="108"/>
        <v>1.2469999999999997</v>
      </c>
      <c r="H113" s="1187">
        <f t="shared" si="84"/>
        <v>1.2312506410421329</v>
      </c>
      <c r="I113" s="1135">
        <f t="shared" si="113"/>
        <v>0.94955000000000001</v>
      </c>
      <c r="J113" s="1136" t="e">
        <f t="shared" si="85"/>
        <v>#NAME?</v>
      </c>
      <c r="L113" s="1189" t="s">
        <v>1089</v>
      </c>
      <c r="M113" s="179"/>
      <c r="N113" s="179"/>
      <c r="O113" s="179"/>
      <c r="U113" s="1164">
        <v>113</v>
      </c>
      <c r="V113" s="1165">
        <v>20</v>
      </c>
      <c r="W113" s="1132">
        <f t="shared" si="109"/>
        <v>63.230999999999995</v>
      </c>
      <c r="X113" s="1133">
        <f t="shared" si="96"/>
        <v>1.0128634339529998</v>
      </c>
      <c r="Y113" s="1133">
        <f t="shared" si="86"/>
        <v>8.4527551863209496</v>
      </c>
      <c r="Z113" s="1132">
        <f t="shared" si="110"/>
        <v>1.2364999999999999</v>
      </c>
      <c r="AA113" s="1199">
        <f t="shared" si="97"/>
        <v>1.2207963665685828</v>
      </c>
      <c r="AB113" s="1188">
        <f t="shared" si="114"/>
        <v>0.94955000000000001</v>
      </c>
      <c r="AD113" s="184"/>
      <c r="AE113" s="1166"/>
      <c r="AF113" s="1166"/>
      <c r="AG113" s="1166"/>
      <c r="AN113" s="1164">
        <v>113</v>
      </c>
      <c r="AO113" s="1131">
        <v>30</v>
      </c>
      <c r="AP113" s="1132">
        <f t="shared" si="111"/>
        <v>63.226500000000001</v>
      </c>
      <c r="AQ113" s="1133">
        <f t="shared" si="70"/>
        <v>1.0127913508695001</v>
      </c>
      <c r="AR113" s="1133">
        <f t="shared" si="72"/>
        <v>8.4521536238225163</v>
      </c>
      <c r="AS113" s="1132">
        <f t="shared" si="112"/>
        <v>1.2469999999999997</v>
      </c>
      <c r="AT113" s="1187">
        <f t="shared" si="71"/>
        <v>1.2312506410421329</v>
      </c>
      <c r="AU113" s="1188">
        <f t="shared" si="115"/>
        <v>0.94955000000000001</v>
      </c>
      <c r="AW113" s="184"/>
      <c r="AX113" s="1166"/>
      <c r="AY113" s="1166"/>
      <c r="AZ113" s="1166"/>
    </row>
    <row r="114" spans="2:52" ht="13.5" thickBot="1" x14ac:dyDescent="0.25">
      <c r="B114" s="1174">
        <v>114</v>
      </c>
      <c r="C114" s="1142">
        <v>25</v>
      </c>
      <c r="D114" s="1143">
        <f t="shared" si="107"/>
        <v>63.207000000000001</v>
      </c>
      <c r="E114" s="1144">
        <f t="shared" si="82"/>
        <v>1.0124789908410001</v>
      </c>
      <c r="F114" s="1144">
        <f t="shared" si="83"/>
        <v>8.4495468529959723</v>
      </c>
      <c r="G114" s="1143">
        <f t="shared" si="108"/>
        <v>1.2309999999999997</v>
      </c>
      <c r="H114" s="1191">
        <f t="shared" si="84"/>
        <v>1.2158276973011444</v>
      </c>
      <c r="I114" s="1146">
        <f t="shared" si="113"/>
        <v>0.94989999999999997</v>
      </c>
      <c r="J114" s="1147" t="e">
        <f t="shared" si="85"/>
        <v>#NAME?</v>
      </c>
      <c r="L114" s="1190">
        <v>20</v>
      </c>
      <c r="M114" s="1200">
        <f>W110</f>
        <v>63.03</v>
      </c>
      <c r="N114" s="1200">
        <f>Z110</f>
        <v>1.1000000000000001</v>
      </c>
      <c r="O114" s="1201">
        <f>AB110</f>
        <v>0.96199999999999997</v>
      </c>
      <c r="U114" s="1174">
        <v>114</v>
      </c>
      <c r="V114" s="1168">
        <v>20</v>
      </c>
      <c r="W114" s="1143">
        <f t="shared" si="109"/>
        <v>63.212999999999994</v>
      </c>
      <c r="X114" s="1144">
        <f t="shared" si="96"/>
        <v>1.0125751016189999</v>
      </c>
      <c r="Y114" s="1144">
        <f t="shared" si="86"/>
        <v>8.4503489363272166</v>
      </c>
      <c r="Z114" s="1143">
        <f t="shared" si="110"/>
        <v>1.2170000000000001</v>
      </c>
      <c r="AA114" s="1202">
        <f t="shared" si="97"/>
        <v>1.201886159410938</v>
      </c>
      <c r="AB114" s="1192">
        <f t="shared" si="114"/>
        <v>0.94989999999999997</v>
      </c>
      <c r="AD114" s="184"/>
      <c r="AE114" s="1166"/>
      <c r="AF114" s="1166"/>
      <c r="AG114" s="1166"/>
      <c r="AN114" s="1174">
        <v>114</v>
      </c>
      <c r="AO114" s="1142">
        <v>30</v>
      </c>
      <c r="AP114" s="1143">
        <f t="shared" si="111"/>
        <v>63.207000000000001</v>
      </c>
      <c r="AQ114" s="1144">
        <f t="shared" si="70"/>
        <v>1.0124789908410001</v>
      </c>
      <c r="AR114" s="1144">
        <f t="shared" si="72"/>
        <v>8.4495468529959723</v>
      </c>
      <c r="AS114" s="1143">
        <f t="shared" si="112"/>
        <v>1.2309999999999997</v>
      </c>
      <c r="AT114" s="1191">
        <f t="shared" si="71"/>
        <v>1.2158276973011444</v>
      </c>
      <c r="AU114" s="1192">
        <f t="shared" si="115"/>
        <v>0.94989999999999997</v>
      </c>
      <c r="AW114" s="184"/>
      <c r="AX114" s="1166"/>
      <c r="AY114" s="1166"/>
      <c r="AZ114" s="1166"/>
    </row>
    <row r="115" spans="2:52" x14ac:dyDescent="0.2">
      <c r="B115" s="1172">
        <v>115</v>
      </c>
      <c r="C115" s="1149">
        <v>25</v>
      </c>
      <c r="D115" s="1150">
        <f t="shared" si="107"/>
        <v>63.1875</v>
      </c>
      <c r="E115" s="1122">
        <f t="shared" si="82"/>
        <v>1.0121666308124999</v>
      </c>
      <c r="F115" s="1122">
        <f t="shared" si="83"/>
        <v>8.4469400821694265</v>
      </c>
      <c r="G115" s="1150">
        <f t="shared" si="108"/>
        <v>1.2149999999999996</v>
      </c>
      <c r="H115" s="1186">
        <f t="shared" si="84"/>
        <v>1.2003952343545239</v>
      </c>
      <c r="I115" s="1173">
        <f t="shared" si="113"/>
        <v>0.95024999999999993</v>
      </c>
      <c r="J115" s="1124" t="e">
        <f t="shared" si="85"/>
        <v>#NAME?</v>
      </c>
      <c r="L115" s="1190">
        <v>30</v>
      </c>
      <c r="M115" s="1200">
        <f>AP110</f>
        <v>63.54</v>
      </c>
      <c r="N115" s="1200">
        <f>AS110</f>
        <v>1.49</v>
      </c>
      <c r="O115" s="1201">
        <f>AU110</f>
        <v>0.93500000000000005</v>
      </c>
      <c r="U115" s="1172">
        <v>115</v>
      </c>
      <c r="V115" s="1120">
        <v>20</v>
      </c>
      <c r="W115" s="1150">
        <f t="shared" si="109"/>
        <v>63.194999999999993</v>
      </c>
      <c r="X115" s="1122">
        <f t="shared" si="96"/>
        <v>1.0122867692849999</v>
      </c>
      <c r="Y115" s="1122">
        <f t="shared" si="86"/>
        <v>8.4479426863334819</v>
      </c>
      <c r="Z115" s="1150">
        <f t="shared" si="110"/>
        <v>1.1975000000000002</v>
      </c>
      <c r="AA115" s="1198">
        <f t="shared" si="97"/>
        <v>1.1829651797640508</v>
      </c>
      <c r="AB115" s="1203">
        <f t="shared" si="114"/>
        <v>0.95025000000000004</v>
      </c>
      <c r="AD115" s="184"/>
      <c r="AE115" s="1166"/>
      <c r="AF115" s="1166"/>
      <c r="AG115" s="1166"/>
      <c r="AN115" s="1172">
        <v>115</v>
      </c>
      <c r="AO115" s="1149">
        <v>30</v>
      </c>
      <c r="AP115" s="1150">
        <f t="shared" si="111"/>
        <v>63.1875</v>
      </c>
      <c r="AQ115" s="1122">
        <f t="shared" si="70"/>
        <v>1.0121666308124999</v>
      </c>
      <c r="AR115" s="1122">
        <f t="shared" si="72"/>
        <v>8.4469400821694265</v>
      </c>
      <c r="AS115" s="1150">
        <f t="shared" si="112"/>
        <v>1.2149999999999996</v>
      </c>
      <c r="AT115" s="1186">
        <f t="shared" si="71"/>
        <v>1.2003952343545239</v>
      </c>
      <c r="AU115" s="1203">
        <f t="shared" si="115"/>
        <v>0.95024999999999993</v>
      </c>
      <c r="AW115" s="184"/>
      <c r="AX115" s="1166"/>
      <c r="AY115" s="1166"/>
      <c r="AZ115" s="1166"/>
    </row>
    <row r="116" spans="2:52" x14ac:dyDescent="0.2">
      <c r="B116" s="1164">
        <v>116</v>
      </c>
      <c r="C116" s="1131">
        <v>25</v>
      </c>
      <c r="D116" s="1132">
        <f t="shared" si="107"/>
        <v>63.167999999999999</v>
      </c>
      <c r="E116" s="1133">
        <f t="shared" si="82"/>
        <v>1.0118542707839999</v>
      </c>
      <c r="F116" s="1133">
        <f t="shared" si="83"/>
        <v>8.4443333113428825</v>
      </c>
      <c r="G116" s="1132">
        <f t="shared" si="108"/>
        <v>1.1989999999999996</v>
      </c>
      <c r="H116" s="1187">
        <f t="shared" si="84"/>
        <v>1.1849532433865169</v>
      </c>
      <c r="I116" s="1135">
        <f t="shared" si="113"/>
        <v>0.95059999999999989</v>
      </c>
      <c r="J116" s="1136" t="e">
        <f t="shared" ref="J116:J147" si="116">E116/VLOOKUP(60,Water,6,FALSE)</f>
        <v>#NAME?</v>
      </c>
      <c r="L116" s="184"/>
      <c r="M116" s="1166"/>
      <c r="N116" s="1166"/>
      <c r="O116" s="1166"/>
      <c r="U116" s="1164">
        <v>116</v>
      </c>
      <c r="V116" s="1165">
        <v>20</v>
      </c>
      <c r="W116" s="1132">
        <f t="shared" si="109"/>
        <v>63.176999999999992</v>
      </c>
      <c r="X116" s="1133">
        <f t="shared" si="96"/>
        <v>1.0119984369509998</v>
      </c>
      <c r="Y116" s="1133">
        <f t="shared" si="86"/>
        <v>8.4455364363397489</v>
      </c>
      <c r="Z116" s="1132">
        <f t="shared" si="110"/>
        <v>1.1779999999999999</v>
      </c>
      <c r="AA116" s="1199">
        <f t="shared" si="97"/>
        <v>1.1640334184202281</v>
      </c>
      <c r="AB116" s="1188">
        <f t="shared" si="114"/>
        <v>0.9506</v>
      </c>
      <c r="AD116" s="184"/>
      <c r="AE116" s="1166"/>
      <c r="AF116" s="1166"/>
      <c r="AG116" s="1166"/>
      <c r="AN116" s="1164">
        <v>116</v>
      </c>
      <c r="AO116" s="1131">
        <v>30</v>
      </c>
      <c r="AP116" s="1132">
        <f t="shared" si="111"/>
        <v>63.167999999999999</v>
      </c>
      <c r="AQ116" s="1133">
        <f t="shared" si="70"/>
        <v>1.0118542707839999</v>
      </c>
      <c r="AR116" s="1133">
        <f t="shared" si="72"/>
        <v>8.4443333113428825</v>
      </c>
      <c r="AS116" s="1132">
        <f t="shared" si="112"/>
        <v>1.1989999999999996</v>
      </c>
      <c r="AT116" s="1187">
        <f t="shared" si="71"/>
        <v>1.1849532433865169</v>
      </c>
      <c r="AU116" s="1188">
        <f t="shared" si="115"/>
        <v>0.95059999999999989</v>
      </c>
      <c r="AW116" s="184"/>
      <c r="AX116" s="1166"/>
      <c r="AY116" s="1166"/>
      <c r="AZ116" s="1166"/>
    </row>
    <row r="117" spans="2:52" x14ac:dyDescent="0.2">
      <c r="B117" s="1164">
        <v>117</v>
      </c>
      <c r="C117" s="1131">
        <v>25</v>
      </c>
      <c r="D117" s="1132">
        <f t="shared" si="107"/>
        <v>63.148499999999999</v>
      </c>
      <c r="E117" s="1133">
        <f t="shared" si="82"/>
        <v>1.0115419107554999</v>
      </c>
      <c r="F117" s="1133">
        <f t="shared" si="83"/>
        <v>8.4417265405163366</v>
      </c>
      <c r="G117" s="1132">
        <f t="shared" si="108"/>
        <v>1.1829999999999996</v>
      </c>
      <c r="H117" s="1187">
        <f t="shared" si="84"/>
        <v>1.169501715570481</v>
      </c>
      <c r="I117" s="1135">
        <f t="shared" si="113"/>
        <v>0.95094999999999985</v>
      </c>
      <c r="J117" s="1136" t="e">
        <f t="shared" si="116"/>
        <v>#NAME?</v>
      </c>
      <c r="L117" s="184"/>
      <c r="M117" s="1166"/>
      <c r="N117" s="1166"/>
      <c r="O117" s="1166"/>
      <c r="U117" s="1164">
        <v>117</v>
      </c>
      <c r="V117" s="1165">
        <v>20</v>
      </c>
      <c r="W117" s="1132">
        <f t="shared" si="109"/>
        <v>63.158999999999992</v>
      </c>
      <c r="X117" s="1133">
        <f t="shared" si="96"/>
        <v>1.0117101046169998</v>
      </c>
      <c r="Y117" s="1133">
        <f t="shared" si="86"/>
        <v>8.4431301863460142</v>
      </c>
      <c r="Z117" s="1132">
        <f t="shared" si="110"/>
        <v>1.1585000000000001</v>
      </c>
      <c r="AA117" s="1199">
        <f t="shared" si="97"/>
        <v>1.1450908661612804</v>
      </c>
      <c r="AB117" s="1188">
        <f t="shared" si="114"/>
        <v>0.95094999999999996</v>
      </c>
      <c r="AD117" s="184"/>
      <c r="AE117" s="1166"/>
      <c r="AF117" s="1166"/>
      <c r="AG117" s="1166"/>
      <c r="AN117" s="1164">
        <v>117</v>
      </c>
      <c r="AO117" s="1131">
        <v>30</v>
      </c>
      <c r="AP117" s="1132">
        <f t="shared" si="111"/>
        <v>63.148499999999999</v>
      </c>
      <c r="AQ117" s="1133">
        <f t="shared" si="70"/>
        <v>1.0115419107554999</v>
      </c>
      <c r="AR117" s="1133">
        <f t="shared" si="72"/>
        <v>8.4417265405163366</v>
      </c>
      <c r="AS117" s="1132">
        <f t="shared" si="112"/>
        <v>1.1829999999999996</v>
      </c>
      <c r="AT117" s="1187">
        <f t="shared" si="71"/>
        <v>1.169501715570481</v>
      </c>
      <c r="AU117" s="1188">
        <f t="shared" si="115"/>
        <v>0.95094999999999985</v>
      </c>
      <c r="AW117" s="184"/>
      <c r="AX117" s="1166"/>
      <c r="AY117" s="1166"/>
      <c r="AZ117" s="1166"/>
    </row>
    <row r="118" spans="2:52" x14ac:dyDescent="0.2">
      <c r="B118" s="1164">
        <v>118</v>
      </c>
      <c r="C118" s="1131">
        <v>25</v>
      </c>
      <c r="D118" s="1132">
        <f t="shared" si="107"/>
        <v>63.129000000000005</v>
      </c>
      <c r="E118" s="1133">
        <f t="shared" si="82"/>
        <v>1.0112295507270002</v>
      </c>
      <c r="F118" s="1133">
        <f t="shared" si="83"/>
        <v>8.4391197696897926</v>
      </c>
      <c r="G118" s="1132">
        <f t="shared" si="108"/>
        <v>1.1669999999999996</v>
      </c>
      <c r="H118" s="1187">
        <f t="shared" si="84"/>
        <v>1.1540406420688674</v>
      </c>
      <c r="I118" s="1135">
        <f t="shared" si="113"/>
        <v>0.95129999999999992</v>
      </c>
      <c r="J118" s="1136" t="e">
        <f t="shared" si="116"/>
        <v>#NAME?</v>
      </c>
      <c r="L118" s="184"/>
      <c r="M118" s="1166"/>
      <c r="N118" s="1166"/>
      <c r="O118" s="1166"/>
      <c r="U118" s="1164">
        <v>118</v>
      </c>
      <c r="V118" s="1165">
        <v>20</v>
      </c>
      <c r="W118" s="1132">
        <f t="shared" si="109"/>
        <v>63.140999999999991</v>
      </c>
      <c r="X118" s="1133">
        <f t="shared" si="96"/>
        <v>1.0114217722829999</v>
      </c>
      <c r="Y118" s="1133">
        <f t="shared" si="86"/>
        <v>8.4407239363522812</v>
      </c>
      <c r="Z118" s="1132">
        <f t="shared" si="110"/>
        <v>1.1390000000000002</v>
      </c>
      <c r="AA118" s="1199">
        <f t="shared" si="97"/>
        <v>1.126137513758507</v>
      </c>
      <c r="AB118" s="1188">
        <f t="shared" si="114"/>
        <v>0.95129999999999992</v>
      </c>
      <c r="AD118" s="184"/>
      <c r="AE118" s="1166"/>
      <c r="AF118" s="1166"/>
      <c r="AG118" s="1166"/>
      <c r="AN118" s="1164">
        <v>118</v>
      </c>
      <c r="AO118" s="1131">
        <v>30</v>
      </c>
      <c r="AP118" s="1132">
        <f t="shared" si="111"/>
        <v>63.129000000000005</v>
      </c>
      <c r="AQ118" s="1133">
        <f t="shared" si="70"/>
        <v>1.0112295507270002</v>
      </c>
      <c r="AR118" s="1133">
        <f t="shared" si="72"/>
        <v>8.4391197696897926</v>
      </c>
      <c r="AS118" s="1132">
        <f t="shared" si="112"/>
        <v>1.1669999999999996</v>
      </c>
      <c r="AT118" s="1187">
        <f t="shared" si="71"/>
        <v>1.1540406420688674</v>
      </c>
      <c r="AU118" s="1188">
        <f t="shared" si="115"/>
        <v>0.95129999999999992</v>
      </c>
      <c r="AW118" s="184"/>
      <c r="AX118" s="1166"/>
      <c r="AY118" s="1166"/>
      <c r="AZ118" s="1166"/>
    </row>
    <row r="119" spans="2:52" ht="13.5" thickBot="1" x14ac:dyDescent="0.25">
      <c r="B119" s="1174">
        <v>119</v>
      </c>
      <c r="C119" s="1142">
        <v>25</v>
      </c>
      <c r="D119" s="1143">
        <f t="shared" si="107"/>
        <v>63.109500000000004</v>
      </c>
      <c r="E119" s="1144">
        <f t="shared" si="82"/>
        <v>1.0109171906985002</v>
      </c>
      <c r="F119" s="1144">
        <f t="shared" si="83"/>
        <v>8.4365129988632486</v>
      </c>
      <c r="G119" s="1143">
        <f t="shared" si="108"/>
        <v>1.1509999999999996</v>
      </c>
      <c r="H119" s="1191">
        <f t="shared" si="84"/>
        <v>1.1385700140332051</v>
      </c>
      <c r="I119" s="1135">
        <f t="shared" si="113"/>
        <v>0.95164999999999988</v>
      </c>
      <c r="J119" s="1147" t="e">
        <f t="shared" si="116"/>
        <v>#NAME?</v>
      </c>
      <c r="L119" s="184"/>
      <c r="M119" s="1166"/>
      <c r="N119" s="1166"/>
      <c r="O119" s="1166"/>
      <c r="U119" s="1174">
        <v>119</v>
      </c>
      <c r="V119" s="1175">
        <v>20</v>
      </c>
      <c r="W119" s="1143">
        <f t="shared" si="109"/>
        <v>63.12299999999999</v>
      </c>
      <c r="X119" s="1144">
        <f t="shared" si="96"/>
        <v>1.011133439949</v>
      </c>
      <c r="Y119" s="1144">
        <f t="shared" si="86"/>
        <v>8.4383176863585465</v>
      </c>
      <c r="Z119" s="1143">
        <f t="shared" si="110"/>
        <v>1.1194999999999999</v>
      </c>
      <c r="AA119" s="1202">
        <f t="shared" si="97"/>
        <v>1.1071733519726792</v>
      </c>
      <c r="AB119" s="1188">
        <f t="shared" si="114"/>
        <v>0.95165</v>
      </c>
      <c r="AD119" s="184"/>
      <c r="AE119" s="1166"/>
      <c r="AF119" s="1166"/>
      <c r="AG119" s="1166"/>
      <c r="AN119" s="1174">
        <v>119</v>
      </c>
      <c r="AO119" s="1142">
        <v>30</v>
      </c>
      <c r="AP119" s="1143">
        <f t="shared" si="111"/>
        <v>63.109500000000004</v>
      </c>
      <c r="AQ119" s="1144">
        <f t="shared" si="70"/>
        <v>1.0109171906985002</v>
      </c>
      <c r="AR119" s="1144">
        <f t="shared" si="72"/>
        <v>8.4365129988632486</v>
      </c>
      <c r="AS119" s="1143">
        <f t="shared" si="112"/>
        <v>1.1509999999999996</v>
      </c>
      <c r="AT119" s="1191">
        <f t="shared" si="71"/>
        <v>1.1385700140332051</v>
      </c>
      <c r="AU119" s="1188">
        <f t="shared" si="115"/>
        <v>0.95164999999999988</v>
      </c>
      <c r="AW119" s="184"/>
      <c r="AX119" s="1166"/>
      <c r="AY119" s="1166"/>
      <c r="AZ119" s="1166"/>
    </row>
    <row r="120" spans="2:52" x14ac:dyDescent="0.2">
      <c r="B120" s="1119">
        <v>120</v>
      </c>
      <c r="C120" s="1120">
        <v>25</v>
      </c>
      <c r="D120" s="1121">
        <f>FORECAST(C120,M124:M125,L124:L125)</f>
        <v>63.09</v>
      </c>
      <c r="E120" s="1122">
        <f t="shared" si="82"/>
        <v>1.01060483067</v>
      </c>
      <c r="F120" s="1122">
        <f t="shared" si="83"/>
        <v>8.4339062280367028</v>
      </c>
      <c r="G120" s="1121">
        <f>FORECAST(C120,N124:N125,L124:L125)</f>
        <v>1.135</v>
      </c>
      <c r="H120" s="1186">
        <f t="shared" si="84"/>
        <v>1.1230898226040835</v>
      </c>
      <c r="I120" s="1123">
        <f>FORECAST(C120,O124:O125,L124:L125)</f>
        <v>0.95199999999999985</v>
      </c>
      <c r="J120" s="1124" t="e">
        <f t="shared" si="116"/>
        <v>#NAME?</v>
      </c>
      <c r="L120" s="1125">
        <f>B120</f>
        <v>120</v>
      </c>
      <c r="M120" s="1126">
        <f>D120</f>
        <v>63.09</v>
      </c>
      <c r="N120" s="1126">
        <f>G120</f>
        <v>1.135</v>
      </c>
      <c r="O120" s="1127">
        <f>I120</f>
        <v>0.95199999999999985</v>
      </c>
      <c r="U120" s="1119">
        <v>120</v>
      </c>
      <c r="V120" s="1120">
        <v>20</v>
      </c>
      <c r="W120" s="1121">
        <v>62.85</v>
      </c>
      <c r="X120" s="1122">
        <f t="shared" si="96"/>
        <v>1.0067603995500001</v>
      </c>
      <c r="Y120" s="1122">
        <f t="shared" si="86"/>
        <v>8.4018228947869193</v>
      </c>
      <c r="Z120" s="1121">
        <v>0.97</v>
      </c>
      <c r="AA120" s="1198">
        <f t="shared" si="97"/>
        <v>0.96348644665957139</v>
      </c>
      <c r="AB120" s="1124">
        <v>0.96499999999999997</v>
      </c>
      <c r="AD120" s="1125">
        <f>U120</f>
        <v>120</v>
      </c>
      <c r="AE120" s="1126">
        <f>W120</f>
        <v>62.85</v>
      </c>
      <c r="AF120" s="1126">
        <f>Z120</f>
        <v>0.97</v>
      </c>
      <c r="AG120" s="1127">
        <f>AB120</f>
        <v>0.96499999999999997</v>
      </c>
      <c r="AN120" s="1119">
        <v>120</v>
      </c>
      <c r="AO120" s="1120">
        <v>30</v>
      </c>
      <c r="AP120" s="1121">
        <v>63.33</v>
      </c>
      <c r="AQ120" s="1122">
        <f t="shared" si="70"/>
        <v>1.0144492617900001</v>
      </c>
      <c r="AR120" s="1122">
        <f t="shared" si="72"/>
        <v>8.4659895612864862</v>
      </c>
      <c r="AS120" s="1121">
        <v>1.3</v>
      </c>
      <c r="AT120" s="1186">
        <f t="shared" si="71"/>
        <v>1.2814835092946339</v>
      </c>
      <c r="AU120" s="1124">
        <v>0.93899999999999995</v>
      </c>
      <c r="AW120" s="1125">
        <f>AN120</f>
        <v>120</v>
      </c>
      <c r="AX120" s="1126">
        <f>AP120</f>
        <v>63.33</v>
      </c>
      <c r="AY120" s="1126">
        <f>AS120</f>
        <v>1.3</v>
      </c>
      <c r="AZ120" s="1127">
        <f>AU120</f>
        <v>0.93899999999999995</v>
      </c>
    </row>
    <row r="121" spans="2:52" x14ac:dyDescent="0.2">
      <c r="B121" s="1164">
        <v>121</v>
      </c>
      <c r="C121" s="1131">
        <v>25</v>
      </c>
      <c r="D121" s="1132">
        <f t="shared" ref="D121:D129" si="117">FORECAST(B121,$M$120:$M$121,$L$120:$L$121)</f>
        <v>63.07</v>
      </c>
      <c r="E121" s="1133">
        <f t="shared" si="82"/>
        <v>1.0102844614099999</v>
      </c>
      <c r="F121" s="1133">
        <f t="shared" si="83"/>
        <v>8.4312326169325544</v>
      </c>
      <c r="G121" s="1132">
        <f t="shared" ref="G121:G129" si="118">FORECAST(B121,$N$120:$N$121,$L$120:$L$121)</f>
        <v>1.1219999999999999</v>
      </c>
      <c r="H121" s="1187">
        <f t="shared" si="84"/>
        <v>1.1105783003274985</v>
      </c>
      <c r="I121" s="1135">
        <f>FORECAST(B121,$O$120:$O$121,$L$120:$L$121)</f>
        <v>0.95224999999999993</v>
      </c>
      <c r="J121" s="1136" t="e">
        <f t="shared" si="116"/>
        <v>#NAME?</v>
      </c>
      <c r="L121" s="1125">
        <f>B130</f>
        <v>130</v>
      </c>
      <c r="M121" s="1126">
        <f>D130</f>
        <v>62.89</v>
      </c>
      <c r="N121" s="1126">
        <f>G130</f>
        <v>1.0049999999999999</v>
      </c>
      <c r="O121" s="1127">
        <f>I130</f>
        <v>0.9544999999999999</v>
      </c>
      <c r="U121" s="1164">
        <v>121</v>
      </c>
      <c r="V121" s="1165">
        <v>20</v>
      </c>
      <c r="W121" s="1132">
        <f t="shared" ref="W121:W129" si="119">FORECAST(U121,$M$110:$M$111,$L$110:$L$111)</f>
        <v>63.070500000000003</v>
      </c>
      <c r="X121" s="1133">
        <f t="shared" si="96"/>
        <v>1.0102924706415</v>
      </c>
      <c r="Y121" s="1133">
        <f t="shared" si="86"/>
        <v>8.4312994572101587</v>
      </c>
      <c r="Z121" s="1132">
        <f t="shared" ref="Z121:Z129" si="120">FORECAST(U121,$N$110:$N$111,$L$110:$L$111)</f>
        <v>1.1189999999999996</v>
      </c>
      <c r="AA121" s="1199">
        <f t="shared" si="97"/>
        <v>1.107600058911133</v>
      </c>
      <c r="AB121" s="1188">
        <f>FORECAST(U121,$O$110:$O$111,$L$110:$L$111)</f>
        <v>0.95234999999999981</v>
      </c>
      <c r="AD121" s="1125">
        <f>U130</f>
        <v>130</v>
      </c>
      <c r="AE121" s="1126">
        <f>W130</f>
        <v>62.66</v>
      </c>
      <c r="AF121" s="1126">
        <f>Z130</f>
        <v>0.87</v>
      </c>
      <c r="AG121" s="1127">
        <f>AB130</f>
        <v>0.96699999999999997</v>
      </c>
      <c r="AN121" s="1164">
        <v>121</v>
      </c>
      <c r="AO121" s="1131">
        <v>30</v>
      </c>
      <c r="AP121" s="1132">
        <f t="shared" ref="AP121:AP129" si="121">FORECAST(AN121,$M$120:$M$121,$L$120:$L$121)</f>
        <v>63.07</v>
      </c>
      <c r="AQ121" s="1133">
        <f t="shared" si="70"/>
        <v>1.0102844614099999</v>
      </c>
      <c r="AR121" s="1133">
        <f t="shared" si="72"/>
        <v>8.4312326169325544</v>
      </c>
      <c r="AS121" s="1132">
        <f t="shared" ref="AS121:AS129" si="122">FORECAST(AN121,$N$120:$N$121,$L$120:$L$121)</f>
        <v>1.1219999999999999</v>
      </c>
      <c r="AT121" s="1187">
        <f t="shared" si="71"/>
        <v>1.1105783003274985</v>
      </c>
      <c r="AU121" s="1188">
        <f>FORECAST(AN121,$O$120:$O$121,$L$120:$L$121)</f>
        <v>0.95224999999999993</v>
      </c>
      <c r="AW121" s="1125">
        <f>AN130</f>
        <v>130</v>
      </c>
      <c r="AX121" s="1126">
        <f>AP130</f>
        <v>63.12</v>
      </c>
      <c r="AY121" s="1126">
        <f>AS130</f>
        <v>1.1399999999999999</v>
      </c>
      <c r="AZ121" s="1127">
        <f>AU130</f>
        <v>0.94199999999999995</v>
      </c>
    </row>
    <row r="122" spans="2:52" x14ac:dyDescent="0.2">
      <c r="B122" s="1164">
        <v>122</v>
      </c>
      <c r="C122" s="1131">
        <v>25</v>
      </c>
      <c r="D122" s="1132">
        <f t="shared" si="117"/>
        <v>63.050000000000004</v>
      </c>
      <c r="E122" s="1133">
        <f t="shared" si="82"/>
        <v>1.0099640921500002</v>
      </c>
      <c r="F122" s="1133">
        <f t="shared" si="83"/>
        <v>8.4285590058284061</v>
      </c>
      <c r="G122" s="1132">
        <f t="shared" si="118"/>
        <v>1.1089999999999998</v>
      </c>
      <c r="H122" s="1187">
        <f t="shared" si="84"/>
        <v>1.0980588405268676</v>
      </c>
      <c r="I122" s="1135">
        <f t="shared" ref="I122:I129" si="123">FORECAST(B122,$O$120:$O$121,$L$120:$L$121)</f>
        <v>0.95250000000000001</v>
      </c>
      <c r="J122" s="1136" t="e">
        <f t="shared" si="116"/>
        <v>#NAME?</v>
      </c>
      <c r="L122" s="184"/>
      <c r="M122" s="1166"/>
      <c r="N122" s="1166"/>
      <c r="O122" s="1166"/>
      <c r="U122" s="1164">
        <v>122</v>
      </c>
      <c r="V122" s="1165">
        <v>20</v>
      </c>
      <c r="W122" s="1132">
        <f t="shared" si="119"/>
        <v>63.051000000000002</v>
      </c>
      <c r="X122" s="1133">
        <f t="shared" si="96"/>
        <v>1.009980110613</v>
      </c>
      <c r="Y122" s="1133">
        <f t="shared" si="86"/>
        <v>8.4286926863836129</v>
      </c>
      <c r="Z122" s="1132">
        <f t="shared" si="120"/>
        <v>1.1029999999999995</v>
      </c>
      <c r="AA122" s="1199">
        <f t="shared" si="97"/>
        <v>1.0921007140730146</v>
      </c>
      <c r="AB122" s="1188">
        <f t="shared" ref="AB122:AB129" si="124">FORECAST(U122,$O$110:$O$111,$L$110:$L$111)</f>
        <v>0.95269999999999977</v>
      </c>
      <c r="AD122" s="184"/>
      <c r="AE122" s="1166"/>
      <c r="AF122" s="1166"/>
      <c r="AG122" s="1166"/>
      <c r="AN122" s="1164">
        <v>122</v>
      </c>
      <c r="AO122" s="1131">
        <v>30</v>
      </c>
      <c r="AP122" s="1132">
        <f t="shared" si="121"/>
        <v>63.050000000000004</v>
      </c>
      <c r="AQ122" s="1133">
        <f t="shared" si="70"/>
        <v>1.0099640921500002</v>
      </c>
      <c r="AR122" s="1133">
        <f t="shared" si="72"/>
        <v>8.4285590058284061</v>
      </c>
      <c r="AS122" s="1132">
        <f t="shared" si="122"/>
        <v>1.1089999999999998</v>
      </c>
      <c r="AT122" s="1187">
        <f t="shared" si="71"/>
        <v>1.0980588405268676</v>
      </c>
      <c r="AU122" s="1188">
        <f t="shared" ref="AU122:AU129" si="125">FORECAST(AN122,$O$120:$O$121,$L$120:$L$121)</f>
        <v>0.95250000000000001</v>
      </c>
      <c r="AW122" s="184"/>
      <c r="AX122" s="1166"/>
      <c r="AY122" s="1166"/>
      <c r="AZ122" s="1166"/>
    </row>
    <row r="123" spans="2:52" x14ac:dyDescent="0.2">
      <c r="B123" s="1164">
        <v>123</v>
      </c>
      <c r="C123" s="1131">
        <v>25</v>
      </c>
      <c r="D123" s="1132">
        <f t="shared" si="117"/>
        <v>63.03</v>
      </c>
      <c r="E123" s="1133">
        <f t="shared" si="82"/>
        <v>1.0096437228899999</v>
      </c>
      <c r="F123" s="1133">
        <f t="shared" si="83"/>
        <v>8.4258853947242578</v>
      </c>
      <c r="G123" s="1132">
        <f t="shared" si="118"/>
        <v>1.0959999999999996</v>
      </c>
      <c r="H123" s="1187">
        <f t="shared" si="84"/>
        <v>1.0855314356462435</v>
      </c>
      <c r="I123" s="1135">
        <f t="shared" si="123"/>
        <v>0.95274999999999999</v>
      </c>
      <c r="J123" s="1136" t="e">
        <f t="shared" si="116"/>
        <v>#NAME?</v>
      </c>
      <c r="L123" s="1189" t="s">
        <v>1089</v>
      </c>
      <c r="M123" s="179"/>
      <c r="N123" s="179"/>
      <c r="O123" s="179"/>
      <c r="U123" s="1164">
        <v>123</v>
      </c>
      <c r="V123" s="1165">
        <v>20</v>
      </c>
      <c r="W123" s="1132">
        <f t="shared" si="119"/>
        <v>63.031500000000008</v>
      </c>
      <c r="X123" s="1133">
        <f t="shared" si="96"/>
        <v>1.0096677505845002</v>
      </c>
      <c r="Y123" s="1133">
        <f t="shared" si="86"/>
        <v>8.4260859155570689</v>
      </c>
      <c r="Z123" s="1132">
        <f t="shared" si="120"/>
        <v>1.0869999999999997</v>
      </c>
      <c r="AA123" s="1199">
        <f t="shared" si="97"/>
        <v>1.076591779197396</v>
      </c>
      <c r="AB123" s="1188">
        <f t="shared" si="124"/>
        <v>0.95304999999999984</v>
      </c>
      <c r="AD123" s="184"/>
      <c r="AE123" s="1166"/>
      <c r="AF123" s="1166"/>
      <c r="AG123" s="1166"/>
      <c r="AN123" s="1164">
        <v>123</v>
      </c>
      <c r="AO123" s="1131">
        <v>30</v>
      </c>
      <c r="AP123" s="1132">
        <f t="shared" si="121"/>
        <v>63.03</v>
      </c>
      <c r="AQ123" s="1133">
        <f t="shared" si="70"/>
        <v>1.0096437228899999</v>
      </c>
      <c r="AR123" s="1133">
        <f t="shared" si="72"/>
        <v>8.4258853947242578</v>
      </c>
      <c r="AS123" s="1132">
        <f t="shared" si="122"/>
        <v>1.0959999999999996</v>
      </c>
      <c r="AT123" s="1187">
        <f t="shared" si="71"/>
        <v>1.0855314356462435</v>
      </c>
      <c r="AU123" s="1188">
        <f t="shared" si="125"/>
        <v>0.95274999999999999</v>
      </c>
      <c r="AW123" s="184"/>
      <c r="AX123" s="1166"/>
      <c r="AY123" s="1166"/>
      <c r="AZ123" s="1166"/>
    </row>
    <row r="124" spans="2:52" ht="13.5" thickBot="1" x14ac:dyDescent="0.25">
      <c r="B124" s="1174">
        <v>124</v>
      </c>
      <c r="C124" s="1142">
        <v>25</v>
      </c>
      <c r="D124" s="1143">
        <f t="shared" si="117"/>
        <v>63.010000000000005</v>
      </c>
      <c r="E124" s="1144">
        <f t="shared" si="82"/>
        <v>1.0093233536300001</v>
      </c>
      <c r="F124" s="1144">
        <f t="shared" si="83"/>
        <v>8.4232117836201095</v>
      </c>
      <c r="G124" s="1143">
        <f t="shared" si="118"/>
        <v>1.0829999999999997</v>
      </c>
      <c r="H124" s="1191">
        <f t="shared" si="84"/>
        <v>1.0729960781200829</v>
      </c>
      <c r="I124" s="1146">
        <f t="shared" si="123"/>
        <v>0.95299999999999996</v>
      </c>
      <c r="J124" s="1147" t="e">
        <f t="shared" si="116"/>
        <v>#NAME?</v>
      </c>
      <c r="L124" s="1190">
        <v>20</v>
      </c>
      <c r="M124" s="1200">
        <f>W120</f>
        <v>62.85</v>
      </c>
      <c r="N124" s="1200">
        <f>Z120</f>
        <v>0.97</v>
      </c>
      <c r="O124" s="1201">
        <f>AB120</f>
        <v>0.96499999999999997</v>
      </c>
      <c r="U124" s="1174">
        <v>124</v>
      </c>
      <c r="V124" s="1168">
        <v>20</v>
      </c>
      <c r="W124" s="1143">
        <f t="shared" si="119"/>
        <v>63.012000000000008</v>
      </c>
      <c r="X124" s="1144">
        <f t="shared" si="96"/>
        <v>1.0093553905560002</v>
      </c>
      <c r="Y124" s="1144">
        <f t="shared" si="86"/>
        <v>8.4234791447305248</v>
      </c>
      <c r="Z124" s="1143">
        <f t="shared" si="120"/>
        <v>1.0709999999999997</v>
      </c>
      <c r="AA124" s="1202">
        <f t="shared" si="97"/>
        <v>1.0610732453809384</v>
      </c>
      <c r="AB124" s="1192">
        <f t="shared" si="124"/>
        <v>0.9533999999999998</v>
      </c>
      <c r="AD124" s="184"/>
      <c r="AE124" s="1166"/>
      <c r="AF124" s="1166"/>
      <c r="AG124" s="1166"/>
      <c r="AN124" s="1174">
        <v>124</v>
      </c>
      <c r="AO124" s="1142">
        <v>30</v>
      </c>
      <c r="AP124" s="1143">
        <f t="shared" si="121"/>
        <v>63.010000000000005</v>
      </c>
      <c r="AQ124" s="1144">
        <f t="shared" si="70"/>
        <v>1.0093233536300001</v>
      </c>
      <c r="AR124" s="1144">
        <f t="shared" si="72"/>
        <v>8.4232117836201095</v>
      </c>
      <c r="AS124" s="1143">
        <f t="shared" si="122"/>
        <v>1.0829999999999997</v>
      </c>
      <c r="AT124" s="1191">
        <f t="shared" si="71"/>
        <v>1.0729960781200829</v>
      </c>
      <c r="AU124" s="1192">
        <f t="shared" si="125"/>
        <v>0.95299999999999996</v>
      </c>
      <c r="AW124" s="184"/>
      <c r="AX124" s="1166"/>
      <c r="AY124" s="1166"/>
      <c r="AZ124" s="1166"/>
    </row>
    <row r="125" spans="2:52" x14ac:dyDescent="0.2">
      <c r="B125" s="1172">
        <v>125</v>
      </c>
      <c r="C125" s="1149">
        <v>25</v>
      </c>
      <c r="D125" s="1150">
        <f t="shared" si="117"/>
        <v>62.99</v>
      </c>
      <c r="E125" s="1122">
        <f t="shared" si="82"/>
        <v>1.0090029843700001</v>
      </c>
      <c r="F125" s="1122">
        <f t="shared" si="83"/>
        <v>8.4205381725159594</v>
      </c>
      <c r="G125" s="1150">
        <f t="shared" si="118"/>
        <v>1.0699999999999998</v>
      </c>
      <c r="H125" s="1186">
        <f t="shared" si="84"/>
        <v>1.0604527603732361</v>
      </c>
      <c r="I125" s="1173">
        <f t="shared" si="123"/>
        <v>0.95324999999999993</v>
      </c>
      <c r="J125" s="1124" t="e">
        <f t="shared" si="116"/>
        <v>#NAME?</v>
      </c>
      <c r="L125" s="1190">
        <v>30</v>
      </c>
      <c r="M125" s="1200">
        <f>AP120</f>
        <v>63.33</v>
      </c>
      <c r="N125" s="1200">
        <f>AS120</f>
        <v>1.3</v>
      </c>
      <c r="O125" s="1201">
        <f>AU120</f>
        <v>0.93899999999999995</v>
      </c>
      <c r="U125" s="1172">
        <v>125</v>
      </c>
      <c r="V125" s="1120">
        <v>20</v>
      </c>
      <c r="W125" s="1150">
        <f t="shared" si="119"/>
        <v>62.992500000000007</v>
      </c>
      <c r="X125" s="1122">
        <f t="shared" si="96"/>
        <v>1.0090430305275002</v>
      </c>
      <c r="Y125" s="1122">
        <f t="shared" si="86"/>
        <v>8.420872373903979</v>
      </c>
      <c r="Z125" s="1150">
        <f t="shared" si="120"/>
        <v>1.0549999999999997</v>
      </c>
      <c r="AA125" s="1198">
        <f t="shared" si="97"/>
        <v>1.0455451037092782</v>
      </c>
      <c r="AB125" s="1203">
        <f t="shared" si="124"/>
        <v>0.95374999999999976</v>
      </c>
      <c r="AD125" s="184"/>
      <c r="AE125" s="1166"/>
      <c r="AF125" s="1166"/>
      <c r="AG125" s="1166"/>
      <c r="AN125" s="1172">
        <v>125</v>
      </c>
      <c r="AO125" s="1149">
        <v>30</v>
      </c>
      <c r="AP125" s="1150">
        <f t="shared" si="121"/>
        <v>62.99</v>
      </c>
      <c r="AQ125" s="1122">
        <f t="shared" si="70"/>
        <v>1.0090029843700001</v>
      </c>
      <c r="AR125" s="1122">
        <f t="shared" si="72"/>
        <v>8.4205381725159594</v>
      </c>
      <c r="AS125" s="1150">
        <f t="shared" si="122"/>
        <v>1.0699999999999998</v>
      </c>
      <c r="AT125" s="1186">
        <f t="shared" si="71"/>
        <v>1.0604527603732361</v>
      </c>
      <c r="AU125" s="1203">
        <f t="shared" si="125"/>
        <v>0.95324999999999993</v>
      </c>
      <c r="AW125" s="184"/>
      <c r="AX125" s="1166"/>
      <c r="AY125" s="1166"/>
      <c r="AZ125" s="1166"/>
    </row>
    <row r="126" spans="2:52" x14ac:dyDescent="0.2">
      <c r="B126" s="1164">
        <v>126</v>
      </c>
      <c r="C126" s="1131">
        <v>25</v>
      </c>
      <c r="D126" s="1132">
        <f t="shared" si="117"/>
        <v>62.97</v>
      </c>
      <c r="E126" s="1133">
        <f t="shared" si="82"/>
        <v>1.0086826151099999</v>
      </c>
      <c r="F126" s="1133">
        <f t="shared" si="83"/>
        <v>8.4178645614118111</v>
      </c>
      <c r="G126" s="1132">
        <f t="shared" si="118"/>
        <v>1.0569999999999997</v>
      </c>
      <c r="H126" s="1187">
        <f t="shared" si="84"/>
        <v>1.0479014748209283</v>
      </c>
      <c r="I126" s="1135">
        <f t="shared" si="123"/>
        <v>0.95350000000000001</v>
      </c>
      <c r="J126" s="1136" t="e">
        <f t="shared" si="116"/>
        <v>#NAME?</v>
      </c>
      <c r="L126" s="184"/>
      <c r="M126" s="1166"/>
      <c r="N126" s="1166"/>
      <c r="O126" s="1166"/>
      <c r="U126" s="1164">
        <v>126</v>
      </c>
      <c r="V126" s="1165">
        <v>20</v>
      </c>
      <c r="W126" s="1132">
        <f t="shared" si="119"/>
        <v>62.973000000000006</v>
      </c>
      <c r="X126" s="1133">
        <f t="shared" si="96"/>
        <v>1.008730670499</v>
      </c>
      <c r="Y126" s="1133">
        <f t="shared" si="86"/>
        <v>8.418265603077435</v>
      </c>
      <c r="Z126" s="1132">
        <f t="shared" si="120"/>
        <v>1.0389999999999997</v>
      </c>
      <c r="AA126" s="1199">
        <f t="shared" si="97"/>
        <v>1.0300073452570111</v>
      </c>
      <c r="AB126" s="1188">
        <f t="shared" si="124"/>
        <v>0.95409999999999973</v>
      </c>
      <c r="AD126" s="184"/>
      <c r="AE126" s="1166"/>
      <c r="AF126" s="1166"/>
      <c r="AG126" s="1166"/>
      <c r="AN126" s="1164">
        <v>126</v>
      </c>
      <c r="AO126" s="1131">
        <v>30</v>
      </c>
      <c r="AP126" s="1132">
        <f t="shared" si="121"/>
        <v>62.97</v>
      </c>
      <c r="AQ126" s="1133">
        <f t="shared" si="70"/>
        <v>1.0086826151099999</v>
      </c>
      <c r="AR126" s="1133">
        <f t="shared" si="72"/>
        <v>8.4178645614118111</v>
      </c>
      <c r="AS126" s="1132">
        <f t="shared" si="122"/>
        <v>1.0569999999999997</v>
      </c>
      <c r="AT126" s="1187">
        <f t="shared" si="71"/>
        <v>1.0479014748209283</v>
      </c>
      <c r="AU126" s="1188">
        <f t="shared" si="125"/>
        <v>0.95350000000000001</v>
      </c>
      <c r="AW126" s="184"/>
      <c r="AX126" s="1166"/>
      <c r="AY126" s="1166"/>
      <c r="AZ126" s="1166"/>
    </row>
    <row r="127" spans="2:52" x14ac:dyDescent="0.2">
      <c r="B127" s="1164">
        <v>127</v>
      </c>
      <c r="C127" s="1131">
        <v>25</v>
      </c>
      <c r="D127" s="1132">
        <f t="shared" si="117"/>
        <v>62.95</v>
      </c>
      <c r="E127" s="1133">
        <f t="shared" si="82"/>
        <v>1.0083622458500001</v>
      </c>
      <c r="F127" s="1133">
        <f t="shared" si="83"/>
        <v>8.4151909503076627</v>
      </c>
      <c r="G127" s="1132">
        <f t="shared" si="118"/>
        <v>1.0439999999999996</v>
      </c>
      <c r="H127" s="1187">
        <f t="shared" si="84"/>
        <v>1.0353422138687458</v>
      </c>
      <c r="I127" s="1135">
        <f t="shared" si="123"/>
        <v>0.95374999999999999</v>
      </c>
      <c r="J127" s="1136" t="e">
        <f t="shared" si="116"/>
        <v>#NAME?</v>
      </c>
      <c r="L127" s="184"/>
      <c r="M127" s="1166"/>
      <c r="N127" s="1166"/>
      <c r="O127" s="1166"/>
      <c r="U127" s="1164">
        <v>127</v>
      </c>
      <c r="V127" s="1165">
        <v>20</v>
      </c>
      <c r="W127" s="1132">
        <f t="shared" si="119"/>
        <v>62.953500000000005</v>
      </c>
      <c r="X127" s="1133">
        <f t="shared" si="96"/>
        <v>1.0084183104705</v>
      </c>
      <c r="Y127" s="1133">
        <f t="shared" si="86"/>
        <v>8.4156588322508892</v>
      </c>
      <c r="Z127" s="1132">
        <f t="shared" si="120"/>
        <v>1.0229999999999997</v>
      </c>
      <c r="AA127" s="1199">
        <f t="shared" si="97"/>
        <v>1.0144599610876723</v>
      </c>
      <c r="AB127" s="1188">
        <f t="shared" si="124"/>
        <v>0.95444999999999969</v>
      </c>
      <c r="AD127" s="184"/>
      <c r="AE127" s="1166"/>
      <c r="AF127" s="1166"/>
      <c r="AG127" s="1166"/>
      <c r="AN127" s="1164">
        <v>127</v>
      </c>
      <c r="AO127" s="1131">
        <v>30</v>
      </c>
      <c r="AP127" s="1132">
        <f t="shared" si="121"/>
        <v>62.95</v>
      </c>
      <c r="AQ127" s="1133">
        <f t="shared" si="70"/>
        <v>1.0083622458500001</v>
      </c>
      <c r="AR127" s="1133">
        <f t="shared" si="72"/>
        <v>8.4151909503076627</v>
      </c>
      <c r="AS127" s="1132">
        <f t="shared" si="122"/>
        <v>1.0439999999999996</v>
      </c>
      <c r="AT127" s="1187">
        <f t="shared" si="71"/>
        <v>1.0353422138687458</v>
      </c>
      <c r="AU127" s="1188">
        <f t="shared" si="125"/>
        <v>0.95374999999999999</v>
      </c>
      <c r="AW127" s="184"/>
      <c r="AX127" s="1166"/>
      <c r="AY127" s="1166"/>
      <c r="AZ127" s="1166"/>
    </row>
    <row r="128" spans="2:52" x14ac:dyDescent="0.2">
      <c r="B128" s="1164">
        <v>128</v>
      </c>
      <c r="C128" s="1131">
        <v>25</v>
      </c>
      <c r="D128" s="1132">
        <f t="shared" si="117"/>
        <v>62.93</v>
      </c>
      <c r="E128" s="1133">
        <f t="shared" si="82"/>
        <v>1.0080418765900001</v>
      </c>
      <c r="F128" s="1133">
        <f t="shared" si="83"/>
        <v>8.4125173392035144</v>
      </c>
      <c r="G128" s="1132">
        <f t="shared" si="118"/>
        <v>1.0309999999999997</v>
      </c>
      <c r="H128" s="1187">
        <f t="shared" si="84"/>
        <v>1.0227749699126214</v>
      </c>
      <c r="I128" s="1135">
        <f t="shared" si="123"/>
        <v>0.95399999999999996</v>
      </c>
      <c r="J128" s="1136" t="e">
        <f t="shared" si="116"/>
        <v>#NAME?</v>
      </c>
      <c r="L128" s="184"/>
      <c r="M128" s="1166"/>
      <c r="N128" s="1166"/>
      <c r="O128" s="1166"/>
      <c r="U128" s="1164">
        <v>128</v>
      </c>
      <c r="V128" s="1165">
        <v>20</v>
      </c>
      <c r="W128" s="1132">
        <f t="shared" si="119"/>
        <v>62.934000000000012</v>
      </c>
      <c r="X128" s="1133">
        <f t="shared" si="96"/>
        <v>1.0081059504420002</v>
      </c>
      <c r="Y128" s="1133">
        <f t="shared" si="86"/>
        <v>8.4130520614243451</v>
      </c>
      <c r="Z128" s="1132">
        <f t="shared" si="120"/>
        <v>1.0069999999999997</v>
      </c>
      <c r="AA128" s="1199">
        <f t="shared" si="97"/>
        <v>0.99890294225372278</v>
      </c>
      <c r="AB128" s="1188">
        <f t="shared" si="124"/>
        <v>0.95479999999999976</v>
      </c>
      <c r="AD128" s="184"/>
      <c r="AE128" s="1166"/>
      <c r="AF128" s="1166"/>
      <c r="AG128" s="1166"/>
      <c r="AN128" s="1164">
        <v>128</v>
      </c>
      <c r="AO128" s="1131">
        <v>30</v>
      </c>
      <c r="AP128" s="1132">
        <f t="shared" si="121"/>
        <v>62.93</v>
      </c>
      <c r="AQ128" s="1133">
        <f t="shared" si="70"/>
        <v>1.0080418765900001</v>
      </c>
      <c r="AR128" s="1133">
        <f t="shared" si="72"/>
        <v>8.4125173392035144</v>
      </c>
      <c r="AS128" s="1132">
        <f t="shared" si="122"/>
        <v>1.0309999999999997</v>
      </c>
      <c r="AT128" s="1187">
        <f t="shared" si="71"/>
        <v>1.0227749699126214</v>
      </c>
      <c r="AU128" s="1188">
        <f t="shared" si="125"/>
        <v>0.95399999999999996</v>
      </c>
      <c r="AW128" s="184"/>
      <c r="AX128" s="1166"/>
      <c r="AY128" s="1166"/>
      <c r="AZ128" s="1166"/>
    </row>
    <row r="129" spans="2:52" ht="13.5" thickBot="1" x14ac:dyDescent="0.25">
      <c r="B129" s="1174">
        <v>129</v>
      </c>
      <c r="C129" s="1142">
        <v>25</v>
      </c>
      <c r="D129" s="1143">
        <f t="shared" si="117"/>
        <v>62.910000000000004</v>
      </c>
      <c r="E129" s="1144">
        <f t="shared" si="82"/>
        <v>1.0077215073300001</v>
      </c>
      <c r="F129" s="1144">
        <f t="shared" si="83"/>
        <v>8.4098437280993661</v>
      </c>
      <c r="G129" s="1143">
        <f t="shared" si="118"/>
        <v>1.0179999999999998</v>
      </c>
      <c r="H129" s="1191">
        <f t="shared" si="84"/>
        <v>1.010199735338817</v>
      </c>
      <c r="I129" s="1135">
        <f t="shared" si="123"/>
        <v>0.95425000000000004</v>
      </c>
      <c r="J129" s="1147" t="e">
        <f t="shared" si="116"/>
        <v>#NAME?</v>
      </c>
      <c r="L129" s="184"/>
      <c r="M129" s="1166"/>
      <c r="N129" s="1166"/>
      <c r="O129" s="1166"/>
      <c r="U129" s="1174">
        <v>129</v>
      </c>
      <c r="V129" s="1175">
        <v>20</v>
      </c>
      <c r="W129" s="1143">
        <f t="shared" si="119"/>
        <v>62.914500000000011</v>
      </c>
      <c r="X129" s="1144">
        <f t="shared" si="96"/>
        <v>1.0077935904135003</v>
      </c>
      <c r="Y129" s="1144">
        <f t="shared" si="86"/>
        <v>8.4104452905978011</v>
      </c>
      <c r="Z129" s="1143">
        <f t="shared" si="120"/>
        <v>0.99099999999999966</v>
      </c>
      <c r="AA129" s="1202">
        <f t="shared" si="97"/>
        <v>0.98333627979653038</v>
      </c>
      <c r="AB129" s="1188">
        <f t="shared" si="124"/>
        <v>0.95514999999999972</v>
      </c>
      <c r="AD129" s="184"/>
      <c r="AE129" s="1166"/>
      <c r="AF129" s="1166"/>
      <c r="AG129" s="1166"/>
      <c r="AN129" s="1174">
        <v>129</v>
      </c>
      <c r="AO129" s="1142">
        <v>30</v>
      </c>
      <c r="AP129" s="1143">
        <f t="shared" si="121"/>
        <v>62.910000000000004</v>
      </c>
      <c r="AQ129" s="1144">
        <f t="shared" si="70"/>
        <v>1.0077215073300001</v>
      </c>
      <c r="AR129" s="1144">
        <f t="shared" si="72"/>
        <v>8.4098437280993661</v>
      </c>
      <c r="AS129" s="1143">
        <f t="shared" si="122"/>
        <v>1.0179999999999998</v>
      </c>
      <c r="AT129" s="1191">
        <f t="shared" si="71"/>
        <v>1.010199735338817</v>
      </c>
      <c r="AU129" s="1188">
        <f t="shared" si="125"/>
        <v>0.95425000000000004</v>
      </c>
      <c r="AW129" s="184"/>
      <c r="AX129" s="1166"/>
      <c r="AY129" s="1166"/>
      <c r="AZ129" s="1166"/>
    </row>
    <row r="130" spans="2:52" x14ac:dyDescent="0.2">
      <c r="B130" s="1119">
        <v>130</v>
      </c>
      <c r="C130" s="1120">
        <v>25</v>
      </c>
      <c r="D130" s="1121">
        <f>FORECAST(C130,M134:M135,L134:L135)</f>
        <v>62.89</v>
      </c>
      <c r="E130" s="1122">
        <f t="shared" si="82"/>
        <v>1.0074011380700001</v>
      </c>
      <c r="F130" s="1122">
        <f t="shared" si="83"/>
        <v>8.4071701169952178</v>
      </c>
      <c r="G130" s="1121">
        <f>FORECAST(C130,N134:N135,L134:L135)</f>
        <v>1.0049999999999999</v>
      </c>
      <c r="H130" s="1186">
        <f t="shared" si="84"/>
        <v>0.99761650252390988</v>
      </c>
      <c r="I130" s="1123">
        <f>FORECAST(C130,O134:O135,L134:L135)</f>
        <v>0.9544999999999999</v>
      </c>
      <c r="J130" s="1124" t="e">
        <f t="shared" si="116"/>
        <v>#NAME?</v>
      </c>
      <c r="L130" s="1125">
        <f>B130</f>
        <v>130</v>
      </c>
      <c r="M130" s="1126">
        <f>D130</f>
        <v>62.89</v>
      </c>
      <c r="N130" s="1126">
        <f>G130</f>
        <v>1.0049999999999999</v>
      </c>
      <c r="O130" s="1127">
        <f>I130</f>
        <v>0.9544999999999999</v>
      </c>
      <c r="U130" s="1119">
        <v>130</v>
      </c>
      <c r="V130" s="1120">
        <v>20</v>
      </c>
      <c r="W130" s="1121">
        <v>62.66</v>
      </c>
      <c r="X130" s="1122">
        <f t="shared" si="96"/>
        <v>1.0037168915799999</v>
      </c>
      <c r="Y130" s="1122">
        <f t="shared" si="86"/>
        <v>8.3764235892975076</v>
      </c>
      <c r="Z130" s="1121">
        <v>0.87</v>
      </c>
      <c r="AA130" s="1198">
        <f t="shared" si="97"/>
        <v>0.86677827911263949</v>
      </c>
      <c r="AB130" s="1124">
        <v>0.96699999999999997</v>
      </c>
      <c r="AD130" s="1125">
        <f>U130</f>
        <v>130</v>
      </c>
      <c r="AE130" s="1126">
        <f>W130</f>
        <v>62.66</v>
      </c>
      <c r="AF130" s="1126">
        <f>Z130</f>
        <v>0.87</v>
      </c>
      <c r="AG130" s="1127">
        <f>AB130</f>
        <v>0.96699999999999997</v>
      </c>
      <c r="AN130" s="1119">
        <v>130</v>
      </c>
      <c r="AO130" s="1120">
        <v>30</v>
      </c>
      <c r="AP130" s="1121">
        <v>63.12</v>
      </c>
      <c r="AQ130" s="1122">
        <f t="shared" si="70"/>
        <v>1.0110853845600001</v>
      </c>
      <c r="AR130" s="1122">
        <f t="shared" si="72"/>
        <v>8.4379166446929261</v>
      </c>
      <c r="AS130" s="1121">
        <v>1.1399999999999999</v>
      </c>
      <c r="AT130" s="1186">
        <f t="shared" si="71"/>
        <v>1.127501215435035</v>
      </c>
      <c r="AU130" s="1124">
        <v>0.94199999999999995</v>
      </c>
      <c r="AW130" s="1125">
        <f>AN130</f>
        <v>130</v>
      </c>
      <c r="AX130" s="1126">
        <f>AP130</f>
        <v>63.12</v>
      </c>
      <c r="AY130" s="1126">
        <f>AS130</f>
        <v>1.1399999999999999</v>
      </c>
      <c r="AZ130" s="1127">
        <f>AU130</f>
        <v>0.94199999999999995</v>
      </c>
    </row>
    <row r="131" spans="2:52" x14ac:dyDescent="0.2">
      <c r="B131" s="1164">
        <v>131</v>
      </c>
      <c r="C131" s="1131">
        <v>25</v>
      </c>
      <c r="D131" s="1132">
        <f t="shared" ref="D131:D139" si="126">FORECAST(B131,$M$130:$M$131,$L$130:$L$131)</f>
        <v>62.868999999999993</v>
      </c>
      <c r="E131" s="1133">
        <f t="shared" si="82"/>
        <v>1.0070647503469998</v>
      </c>
      <c r="F131" s="1133">
        <f t="shared" si="83"/>
        <v>8.4043628253358591</v>
      </c>
      <c r="G131" s="1132">
        <f t="shared" ref="G131:G139" si="127">FORECAST(B131,$N$130:$N$131,$L$130:$L$131)</f>
        <v>0.99399999999999999</v>
      </c>
      <c r="H131" s="1187">
        <f t="shared" si="84"/>
        <v>0.98702690135614601</v>
      </c>
      <c r="I131" s="1135">
        <f>FORECAST(B131,$O$130:$O$131,$L$130:$L$131)</f>
        <v>0.95484999999999987</v>
      </c>
      <c r="J131" s="1136" t="e">
        <f t="shared" si="116"/>
        <v>#NAME?</v>
      </c>
      <c r="L131" s="1125">
        <f>B140</f>
        <v>140</v>
      </c>
      <c r="M131" s="1126">
        <f>D140</f>
        <v>62.68</v>
      </c>
      <c r="N131" s="1126">
        <f>G140</f>
        <v>0.89500000000000002</v>
      </c>
      <c r="O131" s="1127">
        <f>I140</f>
        <v>0.95799999999999996</v>
      </c>
      <c r="U131" s="1164">
        <v>131</v>
      </c>
      <c r="V131" s="1165">
        <v>20</v>
      </c>
      <c r="W131" s="1132">
        <f t="shared" ref="W131:W139" si="128">FORECAST(U131,$M$120:$M$121,$L$120:$L$121)</f>
        <v>62.87</v>
      </c>
      <c r="X131" s="1133">
        <f t="shared" si="96"/>
        <v>1.0070807688099999</v>
      </c>
      <c r="Y131" s="1133">
        <f t="shared" si="86"/>
        <v>8.4044965058910677</v>
      </c>
      <c r="Z131" s="1132">
        <f t="shared" ref="Z131:Z139" si="129">FORECAST(U131,$N$120:$N$121,$L$120:$L$121)</f>
        <v>0.99199999999999955</v>
      </c>
      <c r="AA131" s="1199">
        <f t="shared" si="97"/>
        <v>0.9850252638347764</v>
      </c>
      <c r="AB131" s="1188">
        <f>FORECAST(U131,$O$120:$O$121,$L$120:$L$121)</f>
        <v>0.95474999999999999</v>
      </c>
      <c r="AD131" s="1125">
        <f>U140</f>
        <v>140</v>
      </c>
      <c r="AE131" s="1126">
        <f>W140</f>
        <v>62.46</v>
      </c>
      <c r="AF131" s="1126">
        <f>Z140</f>
        <v>0.78</v>
      </c>
      <c r="AG131" s="1127">
        <f>AB140</f>
        <v>0.97</v>
      </c>
      <c r="AN131" s="1164">
        <v>131</v>
      </c>
      <c r="AO131" s="1131">
        <v>30</v>
      </c>
      <c r="AP131" s="1132">
        <f t="shared" ref="AP131:AP139" si="130">FORECAST(AN131,$M$130:$M$131,$L$130:$L$131)</f>
        <v>62.868999999999993</v>
      </c>
      <c r="AQ131" s="1133">
        <f t="shared" si="70"/>
        <v>1.0070647503469998</v>
      </c>
      <c r="AR131" s="1133">
        <f t="shared" si="72"/>
        <v>8.4043628253358591</v>
      </c>
      <c r="AS131" s="1132">
        <f t="shared" ref="AS131:AS139" si="131">FORECAST(AN131,$N$130:$N$131,$L$130:$L$131)</f>
        <v>0.99399999999999999</v>
      </c>
      <c r="AT131" s="1187">
        <f t="shared" si="71"/>
        <v>0.98702690135614601</v>
      </c>
      <c r="AU131" s="1188">
        <f>FORECAST(AN131,$O$130:$O$131,$L$130:$L$131)</f>
        <v>0.95484999999999987</v>
      </c>
      <c r="AW131" s="1125">
        <f>AN140</f>
        <v>140</v>
      </c>
      <c r="AX131" s="1126">
        <f>AP140</f>
        <v>62.9</v>
      </c>
      <c r="AY131" s="1126">
        <f>AS140</f>
        <v>1.01</v>
      </c>
      <c r="AZ131" s="1127">
        <f>AU140</f>
        <v>0.94599999999999995</v>
      </c>
    </row>
    <row r="132" spans="2:52" x14ac:dyDescent="0.2">
      <c r="B132" s="1164">
        <v>132</v>
      </c>
      <c r="C132" s="1131">
        <v>25</v>
      </c>
      <c r="D132" s="1132">
        <f t="shared" si="126"/>
        <v>62.847999999999992</v>
      </c>
      <c r="E132" s="1133">
        <f t="shared" si="82"/>
        <v>1.0067283626239998</v>
      </c>
      <c r="F132" s="1133">
        <f t="shared" si="83"/>
        <v>8.401555533676504</v>
      </c>
      <c r="G132" s="1132">
        <f t="shared" si="127"/>
        <v>0.98299999999999987</v>
      </c>
      <c r="H132" s="1187">
        <f t="shared" si="84"/>
        <v>0.97643022338006569</v>
      </c>
      <c r="I132" s="1135">
        <f t="shared" ref="I132:I139" si="132">FORECAST(B132,$O$130:$O$131,$L$130:$L$131)</f>
        <v>0.95519999999999994</v>
      </c>
      <c r="J132" s="1136" t="e">
        <f t="shared" si="116"/>
        <v>#NAME?</v>
      </c>
      <c r="L132" s="184"/>
      <c r="M132" s="1166"/>
      <c r="N132" s="1166"/>
      <c r="O132" s="1166"/>
      <c r="U132" s="1164">
        <v>132</v>
      </c>
      <c r="V132" s="1165">
        <v>20</v>
      </c>
      <c r="W132" s="1132">
        <f t="shared" si="128"/>
        <v>62.85</v>
      </c>
      <c r="X132" s="1133">
        <f t="shared" si="96"/>
        <v>1.0067603995500001</v>
      </c>
      <c r="Y132" s="1133">
        <f t="shared" si="86"/>
        <v>8.4018228947869193</v>
      </c>
      <c r="Z132" s="1132">
        <f t="shared" si="129"/>
        <v>0.97899999999999965</v>
      </c>
      <c r="AA132" s="1199">
        <f t="shared" si="97"/>
        <v>0.97242601162857745</v>
      </c>
      <c r="AB132" s="1188">
        <f t="shared" ref="AB132:AB139" si="133">FORECAST(U132,$O$120:$O$121,$L$120:$L$121)</f>
        <v>0.95500000000000007</v>
      </c>
      <c r="AD132" s="184"/>
      <c r="AE132" s="1166"/>
      <c r="AF132" s="1166"/>
      <c r="AG132" s="1166"/>
      <c r="AN132" s="1164">
        <v>132</v>
      </c>
      <c r="AO132" s="1131">
        <v>30</v>
      </c>
      <c r="AP132" s="1132">
        <f t="shared" si="130"/>
        <v>62.847999999999992</v>
      </c>
      <c r="AQ132" s="1133">
        <f t="shared" si="70"/>
        <v>1.0067283626239998</v>
      </c>
      <c r="AR132" s="1133">
        <f t="shared" si="72"/>
        <v>8.401555533676504</v>
      </c>
      <c r="AS132" s="1132">
        <f t="shared" si="131"/>
        <v>0.98299999999999987</v>
      </c>
      <c r="AT132" s="1187">
        <f t="shared" si="71"/>
        <v>0.97643022338006569</v>
      </c>
      <c r="AU132" s="1188">
        <f t="shared" ref="AU132:AU139" si="134">FORECAST(AN132,$O$130:$O$131,$L$130:$L$131)</f>
        <v>0.95519999999999994</v>
      </c>
      <c r="AW132" s="184"/>
      <c r="AX132" s="1166"/>
      <c r="AY132" s="1166"/>
      <c r="AZ132" s="1166"/>
    </row>
    <row r="133" spans="2:52" x14ac:dyDescent="0.2">
      <c r="B133" s="1164">
        <v>133</v>
      </c>
      <c r="C133" s="1131">
        <v>25</v>
      </c>
      <c r="D133" s="1132">
        <f t="shared" si="126"/>
        <v>62.826999999999991</v>
      </c>
      <c r="E133" s="1133">
        <f t="shared" si="82"/>
        <v>1.006391974901</v>
      </c>
      <c r="F133" s="1133">
        <f t="shared" si="83"/>
        <v>8.3987482420171471</v>
      </c>
      <c r="G133" s="1132">
        <f t="shared" si="127"/>
        <v>0.97199999999999998</v>
      </c>
      <c r="H133" s="1187">
        <f t="shared" si="84"/>
        <v>0.96582646149937434</v>
      </c>
      <c r="I133" s="1135">
        <f t="shared" si="132"/>
        <v>0.9555499999999999</v>
      </c>
      <c r="J133" s="1136" t="e">
        <f t="shared" si="116"/>
        <v>#NAME?</v>
      </c>
      <c r="L133" s="1189" t="s">
        <v>1089</v>
      </c>
      <c r="M133" s="179"/>
      <c r="N133" s="179"/>
      <c r="O133" s="179"/>
      <c r="U133" s="1164">
        <v>133</v>
      </c>
      <c r="V133" s="1165">
        <v>20</v>
      </c>
      <c r="W133" s="1132">
        <f t="shared" si="128"/>
        <v>62.83</v>
      </c>
      <c r="X133" s="1133">
        <f t="shared" si="96"/>
        <v>1.0064400302900001</v>
      </c>
      <c r="Y133" s="1133">
        <f t="shared" si="86"/>
        <v>8.399149283682771</v>
      </c>
      <c r="Z133" s="1132">
        <f t="shared" si="129"/>
        <v>0.96599999999999975</v>
      </c>
      <c r="AA133" s="1199">
        <f t="shared" si="97"/>
        <v>0.95981873825274244</v>
      </c>
      <c r="AB133" s="1188">
        <f t="shared" si="133"/>
        <v>0.95525000000000004</v>
      </c>
      <c r="AD133" s="184"/>
      <c r="AE133" s="1166"/>
      <c r="AF133" s="1166"/>
      <c r="AG133" s="1166"/>
      <c r="AN133" s="1164">
        <v>133</v>
      </c>
      <c r="AO133" s="1131">
        <v>30</v>
      </c>
      <c r="AP133" s="1132">
        <f t="shared" si="130"/>
        <v>62.826999999999991</v>
      </c>
      <c r="AQ133" s="1133">
        <f t="shared" si="70"/>
        <v>1.006391974901</v>
      </c>
      <c r="AR133" s="1133">
        <f t="shared" si="72"/>
        <v>8.3987482420171471</v>
      </c>
      <c r="AS133" s="1132">
        <f t="shared" si="131"/>
        <v>0.97199999999999998</v>
      </c>
      <c r="AT133" s="1187">
        <f t="shared" si="71"/>
        <v>0.96582646149937434</v>
      </c>
      <c r="AU133" s="1188">
        <f t="shared" si="134"/>
        <v>0.9555499999999999</v>
      </c>
      <c r="AW133" s="184"/>
      <c r="AX133" s="1166"/>
      <c r="AY133" s="1166"/>
      <c r="AZ133" s="1166"/>
    </row>
    <row r="134" spans="2:52" ht="13.5" thickBot="1" x14ac:dyDescent="0.25">
      <c r="B134" s="1174">
        <v>134</v>
      </c>
      <c r="C134" s="1142">
        <v>25</v>
      </c>
      <c r="D134" s="1143">
        <f t="shared" si="126"/>
        <v>62.80599999999999</v>
      </c>
      <c r="E134" s="1144">
        <f t="shared" si="82"/>
        <v>1.0060555871779999</v>
      </c>
      <c r="F134" s="1144">
        <f t="shared" si="83"/>
        <v>8.395940950357792</v>
      </c>
      <c r="G134" s="1143">
        <f t="shared" si="127"/>
        <v>0.96100000000000008</v>
      </c>
      <c r="H134" s="1191">
        <f t="shared" si="84"/>
        <v>0.95521560860828636</v>
      </c>
      <c r="I134" s="1146">
        <f t="shared" si="132"/>
        <v>0.95589999999999997</v>
      </c>
      <c r="J134" s="1147" t="e">
        <f t="shared" si="116"/>
        <v>#NAME?</v>
      </c>
      <c r="L134" s="1190">
        <v>20</v>
      </c>
      <c r="M134" s="1200">
        <f>W130</f>
        <v>62.66</v>
      </c>
      <c r="N134" s="1200">
        <f>Z130</f>
        <v>0.87</v>
      </c>
      <c r="O134" s="1201">
        <f>AB130</f>
        <v>0.96699999999999997</v>
      </c>
      <c r="U134" s="1174">
        <v>134</v>
      </c>
      <c r="V134" s="1168">
        <v>20</v>
      </c>
      <c r="W134" s="1143">
        <f t="shared" si="128"/>
        <v>62.81</v>
      </c>
      <c r="X134" s="1144">
        <f t="shared" si="96"/>
        <v>1.0061196610300001</v>
      </c>
      <c r="Y134" s="1144">
        <f t="shared" si="86"/>
        <v>8.3964756725786227</v>
      </c>
      <c r="Z134" s="1143">
        <f t="shared" si="129"/>
        <v>0.95299999999999963</v>
      </c>
      <c r="AA134" s="1202">
        <f t="shared" si="97"/>
        <v>0.94720343604495316</v>
      </c>
      <c r="AB134" s="1192">
        <f t="shared" si="133"/>
        <v>0.95550000000000002</v>
      </c>
      <c r="AD134" s="184"/>
      <c r="AE134" s="1166"/>
      <c r="AF134" s="1166"/>
      <c r="AG134" s="1166"/>
      <c r="AN134" s="1174">
        <v>134</v>
      </c>
      <c r="AO134" s="1142">
        <v>30</v>
      </c>
      <c r="AP134" s="1143">
        <f t="shared" si="130"/>
        <v>62.80599999999999</v>
      </c>
      <c r="AQ134" s="1144">
        <f t="shared" si="70"/>
        <v>1.0060555871779999</v>
      </c>
      <c r="AR134" s="1144">
        <f t="shared" si="72"/>
        <v>8.395940950357792</v>
      </c>
      <c r="AS134" s="1143">
        <f t="shared" si="131"/>
        <v>0.96100000000000008</v>
      </c>
      <c r="AT134" s="1191">
        <f t="shared" si="71"/>
        <v>0.95521560860828636</v>
      </c>
      <c r="AU134" s="1192">
        <f t="shared" si="134"/>
        <v>0.95589999999999997</v>
      </c>
      <c r="AW134" s="184"/>
      <c r="AX134" s="1166"/>
      <c r="AY134" s="1166"/>
      <c r="AZ134" s="1166"/>
    </row>
    <row r="135" spans="2:52" x14ac:dyDescent="0.2">
      <c r="B135" s="1172">
        <v>135</v>
      </c>
      <c r="C135" s="1149">
        <v>25</v>
      </c>
      <c r="D135" s="1150">
        <f t="shared" si="126"/>
        <v>62.784999999999997</v>
      </c>
      <c r="E135" s="1122">
        <f t="shared" si="82"/>
        <v>1.0057191994549999</v>
      </c>
      <c r="F135" s="1122">
        <f t="shared" si="83"/>
        <v>8.3931336586984369</v>
      </c>
      <c r="G135" s="1150">
        <f t="shared" si="127"/>
        <v>0.95</v>
      </c>
      <c r="H135" s="1186">
        <f t="shared" si="84"/>
        <v>0.94459765759150849</v>
      </c>
      <c r="I135" s="1173">
        <f t="shared" si="132"/>
        <v>0.95624999999999993</v>
      </c>
      <c r="J135" s="1124" t="e">
        <f t="shared" si="116"/>
        <v>#NAME?</v>
      </c>
      <c r="L135" s="1190">
        <v>30</v>
      </c>
      <c r="M135" s="1200">
        <f>AP130</f>
        <v>63.12</v>
      </c>
      <c r="N135" s="1200">
        <f>AS130</f>
        <v>1.1399999999999999</v>
      </c>
      <c r="O135" s="1201">
        <f>AU130</f>
        <v>0.94199999999999995</v>
      </c>
      <c r="U135" s="1172">
        <v>135</v>
      </c>
      <c r="V135" s="1120">
        <v>20</v>
      </c>
      <c r="W135" s="1150">
        <f t="shared" si="128"/>
        <v>62.79</v>
      </c>
      <c r="X135" s="1122">
        <f t="shared" si="96"/>
        <v>1.00579929177</v>
      </c>
      <c r="Y135" s="1122">
        <f t="shared" si="86"/>
        <v>8.3938020614744744</v>
      </c>
      <c r="Z135" s="1150">
        <f t="shared" si="129"/>
        <v>0.9399999999999995</v>
      </c>
      <c r="AA135" s="1198">
        <f t="shared" si="97"/>
        <v>0.93458009733312963</v>
      </c>
      <c r="AB135" s="1203">
        <f t="shared" si="133"/>
        <v>0.9557500000000001</v>
      </c>
      <c r="AD135" s="184"/>
      <c r="AE135" s="1166"/>
      <c r="AF135" s="1166"/>
      <c r="AG135" s="1166"/>
      <c r="AN135" s="1172">
        <v>135</v>
      </c>
      <c r="AO135" s="1149">
        <v>30</v>
      </c>
      <c r="AP135" s="1150">
        <f t="shared" si="130"/>
        <v>62.784999999999997</v>
      </c>
      <c r="AQ135" s="1122">
        <f t="shared" si="70"/>
        <v>1.0057191994549999</v>
      </c>
      <c r="AR135" s="1122">
        <f t="shared" si="72"/>
        <v>8.3931336586984369</v>
      </c>
      <c r="AS135" s="1150">
        <f t="shared" si="131"/>
        <v>0.95</v>
      </c>
      <c r="AT135" s="1186">
        <f t="shared" si="71"/>
        <v>0.94459765759150849</v>
      </c>
      <c r="AU135" s="1203">
        <f t="shared" si="134"/>
        <v>0.95624999999999993</v>
      </c>
      <c r="AW135" s="184"/>
      <c r="AX135" s="1166"/>
      <c r="AY135" s="1166"/>
      <c r="AZ135" s="1166"/>
    </row>
    <row r="136" spans="2:52" x14ac:dyDescent="0.2">
      <c r="B136" s="1164">
        <v>136</v>
      </c>
      <c r="C136" s="1131">
        <v>25</v>
      </c>
      <c r="D136" s="1132">
        <f t="shared" si="126"/>
        <v>62.763999999999996</v>
      </c>
      <c r="E136" s="1133">
        <f t="shared" si="82"/>
        <v>1.0053828117319998</v>
      </c>
      <c r="F136" s="1133">
        <f t="shared" si="83"/>
        <v>8.39032636703908</v>
      </c>
      <c r="G136" s="1132">
        <f t="shared" si="127"/>
        <v>0.93900000000000006</v>
      </c>
      <c r="H136" s="1187">
        <f t="shared" si="84"/>
        <v>0.93397260132422566</v>
      </c>
      <c r="I136" s="1135">
        <f t="shared" si="132"/>
        <v>0.95659999999999989</v>
      </c>
      <c r="J136" s="1136" t="e">
        <f t="shared" si="116"/>
        <v>#NAME?</v>
      </c>
      <c r="L136" s="184"/>
      <c r="M136" s="1166"/>
      <c r="N136" s="1166"/>
      <c r="O136" s="1166"/>
      <c r="U136" s="1164">
        <v>136</v>
      </c>
      <c r="V136" s="1165">
        <v>20</v>
      </c>
      <c r="W136" s="1132">
        <f t="shared" si="128"/>
        <v>62.769999999999996</v>
      </c>
      <c r="X136" s="1133">
        <f t="shared" si="96"/>
        <v>1.00547892251</v>
      </c>
      <c r="Y136" s="1133">
        <f t="shared" si="86"/>
        <v>8.3911284503703243</v>
      </c>
      <c r="Z136" s="1132">
        <f t="shared" si="129"/>
        <v>0.9269999999999996</v>
      </c>
      <c r="AA136" s="1199">
        <f t="shared" si="97"/>
        <v>0.92194871443541382</v>
      </c>
      <c r="AB136" s="1188">
        <f t="shared" si="133"/>
        <v>0.95600000000000007</v>
      </c>
      <c r="AD136" s="184"/>
      <c r="AE136" s="1166"/>
      <c r="AF136" s="1166"/>
      <c r="AG136" s="1166"/>
      <c r="AN136" s="1164">
        <v>136</v>
      </c>
      <c r="AO136" s="1131">
        <v>30</v>
      </c>
      <c r="AP136" s="1132">
        <f t="shared" si="130"/>
        <v>62.763999999999996</v>
      </c>
      <c r="AQ136" s="1133">
        <f t="shared" si="70"/>
        <v>1.0053828117319998</v>
      </c>
      <c r="AR136" s="1133">
        <f t="shared" si="72"/>
        <v>8.39032636703908</v>
      </c>
      <c r="AS136" s="1132">
        <f t="shared" si="131"/>
        <v>0.93900000000000006</v>
      </c>
      <c r="AT136" s="1187">
        <f t="shared" si="71"/>
        <v>0.93397260132422566</v>
      </c>
      <c r="AU136" s="1188">
        <f t="shared" si="134"/>
        <v>0.95659999999999989</v>
      </c>
      <c r="AW136" s="184"/>
      <c r="AX136" s="1166"/>
      <c r="AY136" s="1166"/>
      <c r="AZ136" s="1166"/>
    </row>
    <row r="137" spans="2:52" x14ac:dyDescent="0.2">
      <c r="B137" s="1164">
        <v>137</v>
      </c>
      <c r="C137" s="1131">
        <v>25</v>
      </c>
      <c r="D137" s="1132">
        <f t="shared" si="126"/>
        <v>62.742999999999995</v>
      </c>
      <c r="E137" s="1133">
        <f t="shared" si="82"/>
        <v>1.005046424009</v>
      </c>
      <c r="F137" s="1133">
        <f t="shared" si="83"/>
        <v>8.3875190753797249</v>
      </c>
      <c r="G137" s="1132">
        <f t="shared" si="127"/>
        <v>0.92799999999999994</v>
      </c>
      <c r="H137" s="1187">
        <f t="shared" si="84"/>
        <v>0.9233404326720831</v>
      </c>
      <c r="I137" s="1135">
        <f t="shared" si="132"/>
        <v>0.95694999999999997</v>
      </c>
      <c r="J137" s="1136" t="e">
        <f t="shared" si="116"/>
        <v>#NAME?</v>
      </c>
      <c r="L137" s="184"/>
      <c r="M137" s="1166"/>
      <c r="N137" s="1166"/>
      <c r="O137" s="1166"/>
      <c r="U137" s="1164">
        <v>137</v>
      </c>
      <c r="V137" s="1165">
        <v>20</v>
      </c>
      <c r="W137" s="1132">
        <f t="shared" si="128"/>
        <v>62.75</v>
      </c>
      <c r="X137" s="1133">
        <f t="shared" si="96"/>
        <v>1.00515855325</v>
      </c>
      <c r="Y137" s="1133">
        <f t="shared" si="86"/>
        <v>8.3884548392661777</v>
      </c>
      <c r="Z137" s="1132">
        <f t="shared" si="129"/>
        <v>0.9139999999999997</v>
      </c>
      <c r="AA137" s="1199">
        <f t="shared" si="97"/>
        <v>0.90930927966015362</v>
      </c>
      <c r="AB137" s="1188">
        <f t="shared" si="133"/>
        <v>0.95625000000000004</v>
      </c>
      <c r="AD137" s="184"/>
      <c r="AE137" s="1166"/>
      <c r="AF137" s="1166"/>
      <c r="AG137" s="1166"/>
      <c r="AN137" s="1164">
        <v>137</v>
      </c>
      <c r="AO137" s="1131">
        <v>30</v>
      </c>
      <c r="AP137" s="1132">
        <f t="shared" si="130"/>
        <v>62.742999999999995</v>
      </c>
      <c r="AQ137" s="1133">
        <f t="shared" si="70"/>
        <v>1.005046424009</v>
      </c>
      <c r="AR137" s="1133">
        <f t="shared" si="72"/>
        <v>8.3875190753797249</v>
      </c>
      <c r="AS137" s="1132">
        <f t="shared" si="131"/>
        <v>0.92799999999999994</v>
      </c>
      <c r="AT137" s="1187">
        <f t="shared" si="71"/>
        <v>0.9233404326720831</v>
      </c>
      <c r="AU137" s="1188">
        <f t="shared" si="134"/>
        <v>0.95694999999999997</v>
      </c>
      <c r="AW137" s="184"/>
      <c r="AX137" s="1166"/>
      <c r="AY137" s="1166"/>
      <c r="AZ137" s="1166"/>
    </row>
    <row r="138" spans="2:52" x14ac:dyDescent="0.2">
      <c r="B138" s="1164">
        <v>138</v>
      </c>
      <c r="C138" s="1131">
        <v>25</v>
      </c>
      <c r="D138" s="1132">
        <f t="shared" si="126"/>
        <v>62.721999999999994</v>
      </c>
      <c r="E138" s="1133">
        <f t="shared" si="82"/>
        <v>1.004710036286</v>
      </c>
      <c r="F138" s="1133">
        <f t="shared" si="83"/>
        <v>8.384711783720368</v>
      </c>
      <c r="G138" s="1132">
        <f t="shared" si="127"/>
        <v>0.91700000000000004</v>
      </c>
      <c r="H138" s="1187">
        <f t="shared" si="84"/>
        <v>0.9127011444911729</v>
      </c>
      <c r="I138" s="1135">
        <f t="shared" si="132"/>
        <v>0.95729999999999993</v>
      </c>
      <c r="J138" s="1136" t="e">
        <f t="shared" si="116"/>
        <v>#NAME?</v>
      </c>
      <c r="L138" s="184"/>
      <c r="M138" s="1166"/>
      <c r="N138" s="1166"/>
      <c r="O138" s="1166"/>
      <c r="U138" s="1164">
        <v>138</v>
      </c>
      <c r="V138" s="1165">
        <v>20</v>
      </c>
      <c r="W138" s="1132">
        <f t="shared" si="128"/>
        <v>62.73</v>
      </c>
      <c r="X138" s="1133">
        <f t="shared" si="96"/>
        <v>1.00483818399</v>
      </c>
      <c r="Y138" s="1133">
        <f t="shared" si="86"/>
        <v>8.3857812281620276</v>
      </c>
      <c r="Z138" s="1132">
        <f t="shared" si="129"/>
        <v>0.90099999999999958</v>
      </c>
      <c r="AA138" s="1199">
        <f t="shared" si="97"/>
        <v>0.8966617853058878</v>
      </c>
      <c r="AB138" s="1188">
        <f t="shared" si="133"/>
        <v>0.95650000000000002</v>
      </c>
      <c r="AD138" s="184"/>
      <c r="AE138" s="1166"/>
      <c r="AF138" s="1166"/>
      <c r="AG138" s="1166"/>
      <c r="AN138" s="1164">
        <v>138</v>
      </c>
      <c r="AO138" s="1131">
        <v>30</v>
      </c>
      <c r="AP138" s="1132">
        <f t="shared" si="130"/>
        <v>62.721999999999994</v>
      </c>
      <c r="AQ138" s="1133">
        <f t="shared" ref="AQ138:AQ201" si="135">AP138*0.016018463</f>
        <v>1.004710036286</v>
      </c>
      <c r="AR138" s="1133">
        <f t="shared" si="72"/>
        <v>8.384711783720368</v>
      </c>
      <c r="AS138" s="1132">
        <f t="shared" si="131"/>
        <v>0.91700000000000004</v>
      </c>
      <c r="AT138" s="1187">
        <f t="shared" ref="AT138:AT201" si="136">AS138/AQ138</f>
        <v>0.9127011444911729</v>
      </c>
      <c r="AU138" s="1188">
        <f t="shared" si="134"/>
        <v>0.95729999999999993</v>
      </c>
      <c r="AW138" s="184"/>
      <c r="AX138" s="1166"/>
      <c r="AY138" s="1166"/>
      <c r="AZ138" s="1166"/>
    </row>
    <row r="139" spans="2:52" ht="13.5" thickBot="1" x14ac:dyDescent="0.25">
      <c r="B139" s="1174">
        <v>139</v>
      </c>
      <c r="C139" s="1142">
        <v>25</v>
      </c>
      <c r="D139" s="1143">
        <f t="shared" si="126"/>
        <v>62.700999999999993</v>
      </c>
      <c r="E139" s="1144">
        <f t="shared" si="82"/>
        <v>1.0043736485629999</v>
      </c>
      <c r="F139" s="1144">
        <f t="shared" si="83"/>
        <v>8.3819044920610128</v>
      </c>
      <c r="G139" s="1143">
        <f t="shared" si="127"/>
        <v>0.90600000000000014</v>
      </c>
      <c r="H139" s="1191">
        <f t="shared" si="84"/>
        <v>0.90205472962801525</v>
      </c>
      <c r="I139" s="1135">
        <f t="shared" si="132"/>
        <v>0.95765</v>
      </c>
      <c r="J139" s="1147" t="e">
        <f t="shared" si="116"/>
        <v>#NAME?</v>
      </c>
      <c r="L139" s="184"/>
      <c r="M139" s="1166"/>
      <c r="N139" s="1166"/>
      <c r="O139" s="1166"/>
      <c r="U139" s="1174">
        <v>139</v>
      </c>
      <c r="V139" s="1175">
        <v>20</v>
      </c>
      <c r="W139" s="1143">
        <f t="shared" si="128"/>
        <v>62.71</v>
      </c>
      <c r="X139" s="1144">
        <f t="shared" si="96"/>
        <v>1.00451781473</v>
      </c>
      <c r="Y139" s="1144">
        <f t="shared" si="86"/>
        <v>8.3831076170578793</v>
      </c>
      <c r="Z139" s="1143">
        <f t="shared" si="129"/>
        <v>0.88799999999999946</v>
      </c>
      <c r="AA139" s="1202">
        <f t="shared" si="97"/>
        <v>0.88400622366133064</v>
      </c>
      <c r="AB139" s="1188">
        <f t="shared" si="133"/>
        <v>0.9567500000000001</v>
      </c>
      <c r="AD139" s="184"/>
      <c r="AE139" s="1166"/>
      <c r="AF139" s="1166"/>
      <c r="AG139" s="1166"/>
      <c r="AN139" s="1174">
        <v>139</v>
      </c>
      <c r="AO139" s="1142">
        <v>30</v>
      </c>
      <c r="AP139" s="1143">
        <f t="shared" si="130"/>
        <v>62.700999999999993</v>
      </c>
      <c r="AQ139" s="1144">
        <f t="shared" si="135"/>
        <v>1.0043736485629999</v>
      </c>
      <c r="AR139" s="1144">
        <f t="shared" ref="AR139:AR202" si="137">AP139/7.4805195</f>
        <v>8.3819044920610128</v>
      </c>
      <c r="AS139" s="1143">
        <f t="shared" si="131"/>
        <v>0.90600000000000014</v>
      </c>
      <c r="AT139" s="1191">
        <f t="shared" si="136"/>
        <v>0.90205472962801525</v>
      </c>
      <c r="AU139" s="1188">
        <f t="shared" si="134"/>
        <v>0.95765</v>
      </c>
      <c r="AW139" s="184"/>
      <c r="AX139" s="1166"/>
      <c r="AY139" s="1166"/>
      <c r="AZ139" s="1166"/>
    </row>
    <row r="140" spans="2:52" x14ac:dyDescent="0.2">
      <c r="B140" s="1119">
        <v>140</v>
      </c>
      <c r="C140" s="1120">
        <v>25</v>
      </c>
      <c r="D140" s="1121">
        <f>FORECAST(C140,M144:M145,L144:L145)</f>
        <v>62.68</v>
      </c>
      <c r="E140" s="1122">
        <f t="shared" si="82"/>
        <v>1.0040372608400001</v>
      </c>
      <c r="F140" s="1122">
        <f t="shared" si="83"/>
        <v>8.379097200401656</v>
      </c>
      <c r="G140" s="1121">
        <f>FORECAST(C140,N144:N145,L144:L145)</f>
        <v>0.89500000000000002</v>
      </c>
      <c r="H140" s="1186">
        <f t="shared" si="84"/>
        <v>0.89140118091954368</v>
      </c>
      <c r="I140" s="1123">
        <f>FORECAST(C140,O144:O145,L144:L145)</f>
        <v>0.95799999999999996</v>
      </c>
      <c r="J140" s="1124" t="e">
        <f t="shared" si="116"/>
        <v>#NAME?</v>
      </c>
      <c r="L140" s="1125">
        <f>B140</f>
        <v>140</v>
      </c>
      <c r="M140" s="1126">
        <f>D140</f>
        <v>62.68</v>
      </c>
      <c r="N140" s="1126">
        <f>G140</f>
        <v>0.89500000000000002</v>
      </c>
      <c r="O140" s="1127">
        <f>I140</f>
        <v>0.95799999999999996</v>
      </c>
      <c r="U140" s="1119">
        <v>140</v>
      </c>
      <c r="V140" s="1120">
        <v>20</v>
      </c>
      <c r="W140" s="1121">
        <v>62.46</v>
      </c>
      <c r="X140" s="1122">
        <f t="shared" si="96"/>
        <v>1.00051319898</v>
      </c>
      <c r="Y140" s="1122">
        <f t="shared" si="86"/>
        <v>8.3496874782560226</v>
      </c>
      <c r="Z140" s="1121">
        <v>0.78</v>
      </c>
      <c r="AA140" s="1198">
        <f t="shared" si="97"/>
        <v>0.77959991012131769</v>
      </c>
      <c r="AB140" s="1124">
        <v>0.97</v>
      </c>
      <c r="AD140" s="1125">
        <f>U140</f>
        <v>140</v>
      </c>
      <c r="AE140" s="1126">
        <f>W140</f>
        <v>62.46</v>
      </c>
      <c r="AF140" s="1126">
        <f>Z140</f>
        <v>0.78</v>
      </c>
      <c r="AG140" s="1127">
        <f>AB140</f>
        <v>0.97</v>
      </c>
      <c r="AN140" s="1119">
        <v>140</v>
      </c>
      <c r="AO140" s="1120">
        <v>30</v>
      </c>
      <c r="AP140" s="1121">
        <v>62.9</v>
      </c>
      <c r="AQ140" s="1122">
        <f t="shared" si="135"/>
        <v>1.0075613227</v>
      </c>
      <c r="AR140" s="1122">
        <f t="shared" si="137"/>
        <v>8.408506922547291</v>
      </c>
      <c r="AS140" s="1121">
        <v>1.01</v>
      </c>
      <c r="AT140" s="1186">
        <f t="shared" si="136"/>
        <v>1.0024203760555883</v>
      </c>
      <c r="AU140" s="1124">
        <v>0.94599999999999995</v>
      </c>
      <c r="AW140" s="1125">
        <f>AN140</f>
        <v>140</v>
      </c>
      <c r="AX140" s="1126">
        <f>AP140</f>
        <v>62.9</v>
      </c>
      <c r="AY140" s="1126">
        <f>AS140</f>
        <v>1.01</v>
      </c>
      <c r="AZ140" s="1127">
        <f>AU140</f>
        <v>0.94599999999999995</v>
      </c>
    </row>
    <row r="141" spans="2:52" x14ac:dyDescent="0.2">
      <c r="B141" s="1164">
        <v>141</v>
      </c>
      <c r="C141" s="1131">
        <v>25</v>
      </c>
      <c r="D141" s="1132">
        <f t="shared" ref="D141:D149" si="138">FORECAST(B141,$M$140:$M$141,$L$140:$L$141)</f>
        <v>62.658000000000008</v>
      </c>
      <c r="E141" s="1133">
        <f t="shared" si="82"/>
        <v>1.003684854654</v>
      </c>
      <c r="F141" s="1133">
        <f t="shared" si="83"/>
        <v>8.376156228187094</v>
      </c>
      <c r="G141" s="1132">
        <f t="shared" ref="G141:G149" si="139">FORECAST(B141,$N$140:$N$141,$L$140:$L$141)</f>
        <v>0.88649999999999984</v>
      </c>
      <c r="H141" s="1187">
        <f t="shared" si="84"/>
        <v>0.8832453691907135</v>
      </c>
      <c r="I141" s="1135">
        <f>FORECAST(B141,$O$140:$O$141,$L$140:$L$141)</f>
        <v>0.95834999999999992</v>
      </c>
      <c r="J141" s="1136" t="e">
        <f t="shared" si="116"/>
        <v>#NAME?</v>
      </c>
      <c r="L141" s="1125">
        <f>B150</f>
        <v>150</v>
      </c>
      <c r="M141" s="1126">
        <f>D150</f>
        <v>62.46</v>
      </c>
      <c r="N141" s="1126">
        <f>G150</f>
        <v>0.81</v>
      </c>
      <c r="O141" s="1127">
        <f>I150</f>
        <v>0.96150000000000002</v>
      </c>
      <c r="U141" s="1164">
        <v>141</v>
      </c>
      <c r="V141" s="1165">
        <v>20</v>
      </c>
      <c r="W141" s="1132">
        <f t="shared" ref="W141:W149" si="140">FORECAST(U141,$M$130:$M$131,$L$130:$L$131)</f>
        <v>62.658999999999992</v>
      </c>
      <c r="X141" s="1133">
        <f t="shared" si="96"/>
        <v>1.0037008731169998</v>
      </c>
      <c r="Y141" s="1133">
        <f t="shared" si="86"/>
        <v>8.3762899087422991</v>
      </c>
      <c r="Z141" s="1132">
        <f t="shared" ref="Z141:Z149" si="141">FORECAST(U141,$N$130:$N$131,$L$130:$L$131)</f>
        <v>0.88400000000000012</v>
      </c>
      <c r="AA141" s="1199">
        <f t="shared" si="97"/>
        <v>0.88074049119309039</v>
      </c>
      <c r="AB141" s="1188">
        <f>FORECAST(U141,$O$130:$O$131,$L$130:$L$131)</f>
        <v>0.95834999999999992</v>
      </c>
      <c r="AD141" s="1125">
        <f>U150</f>
        <v>150</v>
      </c>
      <c r="AE141" s="1126">
        <f>W150</f>
        <v>62.25</v>
      </c>
      <c r="AF141" s="1126">
        <f>Z150</f>
        <v>0.71</v>
      </c>
      <c r="AG141" s="1127">
        <f>AB150</f>
        <v>0.97299999999999998</v>
      </c>
      <c r="AN141" s="1164">
        <v>141</v>
      </c>
      <c r="AO141" s="1131">
        <v>30</v>
      </c>
      <c r="AP141" s="1132">
        <f t="shared" ref="AP141:AP149" si="142">FORECAST(AN141,$M$140:$M$141,$L$140:$L$141)</f>
        <v>62.658000000000008</v>
      </c>
      <c r="AQ141" s="1133">
        <f t="shared" si="135"/>
        <v>1.003684854654</v>
      </c>
      <c r="AR141" s="1133">
        <f t="shared" si="137"/>
        <v>8.376156228187094</v>
      </c>
      <c r="AS141" s="1132">
        <f t="shared" ref="AS141:AS149" si="143">FORECAST(AN141,$N$140:$N$141,$L$140:$L$141)</f>
        <v>0.88649999999999984</v>
      </c>
      <c r="AT141" s="1187">
        <f t="shared" si="136"/>
        <v>0.8832453691907135</v>
      </c>
      <c r="AU141" s="1188">
        <f>FORECAST(AN141,$O$140:$O$141,$L$140:$L$141)</f>
        <v>0.95834999999999992</v>
      </c>
      <c r="AW141" s="1125">
        <f>AN150</f>
        <v>150</v>
      </c>
      <c r="AX141" s="1126">
        <f>AP150</f>
        <v>62.67</v>
      </c>
      <c r="AY141" s="1126">
        <f>AS150</f>
        <v>0.91</v>
      </c>
      <c r="AZ141" s="1127">
        <f>AU150</f>
        <v>0.95</v>
      </c>
    </row>
    <row r="142" spans="2:52" x14ac:dyDescent="0.2">
      <c r="B142" s="1164">
        <v>142</v>
      </c>
      <c r="C142" s="1131">
        <v>25</v>
      </c>
      <c r="D142" s="1132">
        <f t="shared" si="138"/>
        <v>62.63600000000001</v>
      </c>
      <c r="E142" s="1133">
        <f t="shared" si="82"/>
        <v>1.0033324484680002</v>
      </c>
      <c r="F142" s="1133">
        <f t="shared" si="83"/>
        <v>8.3732152559725321</v>
      </c>
      <c r="G142" s="1132">
        <f t="shared" si="139"/>
        <v>0.87799999999999989</v>
      </c>
      <c r="H142" s="1187">
        <f t="shared" si="84"/>
        <v>0.87508382823721909</v>
      </c>
      <c r="I142" s="1135">
        <f t="shared" ref="I142:I149" si="144">FORECAST(B142,$O$140:$O$141,$L$140:$L$141)</f>
        <v>0.9587</v>
      </c>
      <c r="J142" s="1136" t="e">
        <f t="shared" si="116"/>
        <v>#NAME?</v>
      </c>
      <c r="L142" s="184"/>
      <c r="M142" s="1166"/>
      <c r="N142" s="1166"/>
      <c r="O142" s="1166"/>
      <c r="U142" s="1164">
        <v>142</v>
      </c>
      <c r="V142" s="1165">
        <v>20</v>
      </c>
      <c r="W142" s="1132">
        <f t="shared" si="140"/>
        <v>62.637999999999991</v>
      </c>
      <c r="X142" s="1133">
        <f t="shared" si="96"/>
        <v>1.0033644853939998</v>
      </c>
      <c r="Y142" s="1133">
        <f t="shared" si="86"/>
        <v>8.3734826170829439</v>
      </c>
      <c r="Z142" s="1132">
        <f t="shared" si="141"/>
        <v>0.873</v>
      </c>
      <c r="AA142" s="1199">
        <f t="shared" si="97"/>
        <v>0.87007265326636662</v>
      </c>
      <c r="AB142" s="1188">
        <f t="shared" ref="AB142:AB149" si="145">FORECAST(U142,$O$130:$O$131,$L$130:$L$131)</f>
        <v>0.9587</v>
      </c>
      <c r="AD142" s="184"/>
      <c r="AE142" s="1166"/>
      <c r="AF142" s="1166"/>
      <c r="AG142" s="1166"/>
      <c r="AN142" s="1164">
        <v>142</v>
      </c>
      <c r="AO142" s="1131">
        <v>30</v>
      </c>
      <c r="AP142" s="1132">
        <f t="shared" si="142"/>
        <v>62.63600000000001</v>
      </c>
      <c r="AQ142" s="1133">
        <f t="shared" si="135"/>
        <v>1.0033324484680002</v>
      </c>
      <c r="AR142" s="1133">
        <f t="shared" si="137"/>
        <v>8.3732152559725321</v>
      </c>
      <c r="AS142" s="1132">
        <f t="shared" si="143"/>
        <v>0.87799999999999989</v>
      </c>
      <c r="AT142" s="1187">
        <f t="shared" si="136"/>
        <v>0.87508382823721909</v>
      </c>
      <c r="AU142" s="1188">
        <f t="shared" ref="AU142:AU149" si="146">FORECAST(AN142,$O$140:$O$141,$L$140:$L$141)</f>
        <v>0.9587</v>
      </c>
      <c r="AW142" s="184"/>
      <c r="AX142" s="1166"/>
      <c r="AY142" s="1166"/>
      <c r="AZ142" s="1166"/>
    </row>
    <row r="143" spans="2:52" x14ac:dyDescent="0.2">
      <c r="B143" s="1164">
        <v>143</v>
      </c>
      <c r="C143" s="1131">
        <v>25</v>
      </c>
      <c r="D143" s="1132">
        <f t="shared" si="138"/>
        <v>62.614000000000004</v>
      </c>
      <c r="E143" s="1133">
        <f t="shared" si="82"/>
        <v>1.0029800422820001</v>
      </c>
      <c r="F143" s="1133">
        <f t="shared" si="83"/>
        <v>8.3702742837579667</v>
      </c>
      <c r="G143" s="1132">
        <f t="shared" si="139"/>
        <v>0.86949999999999994</v>
      </c>
      <c r="H143" s="1187">
        <f t="shared" si="84"/>
        <v>0.8669165520200145</v>
      </c>
      <c r="I143" s="1135">
        <f t="shared" si="144"/>
        <v>0.95904999999999996</v>
      </c>
      <c r="J143" s="1136" t="e">
        <f t="shared" si="116"/>
        <v>#NAME?</v>
      </c>
      <c r="L143" s="1189" t="s">
        <v>1089</v>
      </c>
      <c r="M143" s="179"/>
      <c r="N143" s="179"/>
      <c r="O143" s="179"/>
      <c r="U143" s="1164">
        <v>143</v>
      </c>
      <c r="V143" s="1165">
        <v>20</v>
      </c>
      <c r="W143" s="1132">
        <f t="shared" si="140"/>
        <v>62.61699999999999</v>
      </c>
      <c r="X143" s="1133">
        <f t="shared" si="96"/>
        <v>1.0030280976709998</v>
      </c>
      <c r="Y143" s="1133">
        <f t="shared" si="86"/>
        <v>8.3706753254235871</v>
      </c>
      <c r="Z143" s="1132">
        <f t="shared" si="141"/>
        <v>0.8620000000000001</v>
      </c>
      <c r="AA143" s="1199">
        <f t="shared" si="97"/>
        <v>0.85939765994745054</v>
      </c>
      <c r="AB143" s="1188">
        <f t="shared" si="145"/>
        <v>0.95904999999999996</v>
      </c>
      <c r="AD143" s="184"/>
      <c r="AE143" s="1166"/>
      <c r="AF143" s="1166"/>
      <c r="AG143" s="1166"/>
      <c r="AN143" s="1164">
        <v>143</v>
      </c>
      <c r="AO143" s="1131">
        <v>30</v>
      </c>
      <c r="AP143" s="1132">
        <f t="shared" si="142"/>
        <v>62.614000000000004</v>
      </c>
      <c r="AQ143" s="1133">
        <f t="shared" si="135"/>
        <v>1.0029800422820001</v>
      </c>
      <c r="AR143" s="1133">
        <f t="shared" si="137"/>
        <v>8.3702742837579667</v>
      </c>
      <c r="AS143" s="1132">
        <f t="shared" si="143"/>
        <v>0.86949999999999994</v>
      </c>
      <c r="AT143" s="1187">
        <f t="shared" si="136"/>
        <v>0.8669165520200145</v>
      </c>
      <c r="AU143" s="1188">
        <f t="shared" si="146"/>
        <v>0.95904999999999996</v>
      </c>
      <c r="AW143" s="184"/>
      <c r="AX143" s="1166"/>
      <c r="AY143" s="1166"/>
      <c r="AZ143" s="1166"/>
    </row>
    <row r="144" spans="2:52" ht="13.5" thickBot="1" x14ac:dyDescent="0.25">
      <c r="B144" s="1174">
        <v>144</v>
      </c>
      <c r="C144" s="1142">
        <v>25</v>
      </c>
      <c r="D144" s="1143">
        <f t="shared" si="138"/>
        <v>62.592000000000006</v>
      </c>
      <c r="E144" s="1144">
        <f t="shared" si="82"/>
        <v>1.002627636096</v>
      </c>
      <c r="F144" s="1144">
        <f t="shared" si="83"/>
        <v>8.3673333115434048</v>
      </c>
      <c r="G144" s="1143">
        <f t="shared" si="139"/>
        <v>0.86099999999999999</v>
      </c>
      <c r="H144" s="1191">
        <f t="shared" si="84"/>
        <v>0.85874353449156327</v>
      </c>
      <c r="I144" s="1146">
        <f t="shared" si="144"/>
        <v>0.95940000000000003</v>
      </c>
      <c r="J144" s="1147" t="e">
        <f t="shared" si="116"/>
        <v>#NAME?</v>
      </c>
      <c r="L144" s="1190">
        <v>20</v>
      </c>
      <c r="M144" s="1200">
        <f>W140</f>
        <v>62.46</v>
      </c>
      <c r="N144" s="1200">
        <f>Z140</f>
        <v>0.78</v>
      </c>
      <c r="O144" s="1201">
        <f>AB140</f>
        <v>0.97</v>
      </c>
      <c r="U144" s="1174">
        <v>144</v>
      </c>
      <c r="V144" s="1168">
        <v>20</v>
      </c>
      <c r="W144" s="1143">
        <f t="shared" si="140"/>
        <v>62.595999999999989</v>
      </c>
      <c r="X144" s="1144">
        <f t="shared" si="96"/>
        <v>1.0026917099479999</v>
      </c>
      <c r="Y144" s="1144">
        <f t="shared" si="86"/>
        <v>8.3678680337642319</v>
      </c>
      <c r="Z144" s="1143">
        <f t="shared" si="141"/>
        <v>0.8510000000000002</v>
      </c>
      <c r="AA144" s="1202">
        <f t="shared" si="97"/>
        <v>0.84871550403476803</v>
      </c>
      <c r="AB144" s="1192">
        <f t="shared" si="145"/>
        <v>0.95940000000000003</v>
      </c>
      <c r="AD144" s="184"/>
      <c r="AE144" s="1166"/>
      <c r="AF144" s="1166"/>
      <c r="AG144" s="1166"/>
      <c r="AN144" s="1174">
        <v>144</v>
      </c>
      <c r="AO144" s="1142">
        <v>30</v>
      </c>
      <c r="AP144" s="1143">
        <f t="shared" si="142"/>
        <v>62.592000000000006</v>
      </c>
      <c r="AQ144" s="1144">
        <f t="shared" si="135"/>
        <v>1.002627636096</v>
      </c>
      <c r="AR144" s="1144">
        <f t="shared" si="137"/>
        <v>8.3673333115434048</v>
      </c>
      <c r="AS144" s="1143">
        <f t="shared" si="143"/>
        <v>0.86099999999999999</v>
      </c>
      <c r="AT144" s="1191">
        <f t="shared" si="136"/>
        <v>0.85874353449156327</v>
      </c>
      <c r="AU144" s="1192">
        <f t="shared" si="146"/>
        <v>0.95940000000000003</v>
      </c>
      <c r="AW144" s="184"/>
      <c r="AX144" s="1166"/>
      <c r="AY144" s="1166"/>
      <c r="AZ144" s="1166"/>
    </row>
    <row r="145" spans="2:52" x14ac:dyDescent="0.2">
      <c r="B145" s="1172">
        <v>145</v>
      </c>
      <c r="C145" s="1149">
        <v>25</v>
      </c>
      <c r="D145" s="1150">
        <f t="shared" si="138"/>
        <v>62.570000000000007</v>
      </c>
      <c r="E145" s="1122">
        <f t="shared" si="82"/>
        <v>1.0022752299100002</v>
      </c>
      <c r="F145" s="1122">
        <f t="shared" si="83"/>
        <v>8.3643923393288411</v>
      </c>
      <c r="G145" s="1150">
        <f t="shared" si="139"/>
        <v>0.85250000000000004</v>
      </c>
      <c r="H145" s="1186">
        <f t="shared" si="84"/>
        <v>0.85056476959582317</v>
      </c>
      <c r="I145" s="1173">
        <f t="shared" si="144"/>
        <v>0.95974999999999999</v>
      </c>
      <c r="J145" s="1124" t="e">
        <f t="shared" si="116"/>
        <v>#NAME?</v>
      </c>
      <c r="L145" s="1190">
        <v>30</v>
      </c>
      <c r="M145" s="1200">
        <f>AP140</f>
        <v>62.9</v>
      </c>
      <c r="N145" s="1200">
        <f>AS140</f>
        <v>1.01</v>
      </c>
      <c r="O145" s="1201">
        <f>AU140</f>
        <v>0.94599999999999995</v>
      </c>
      <c r="U145" s="1172">
        <v>145</v>
      </c>
      <c r="V145" s="1120">
        <v>20</v>
      </c>
      <c r="W145" s="1150">
        <f t="shared" si="140"/>
        <v>62.574999999999989</v>
      </c>
      <c r="X145" s="1122">
        <f t="shared" si="96"/>
        <v>1.0023553222249999</v>
      </c>
      <c r="Y145" s="1122">
        <f t="shared" si="86"/>
        <v>8.365060742104875</v>
      </c>
      <c r="Z145" s="1150">
        <f t="shared" si="141"/>
        <v>0.84000000000000008</v>
      </c>
      <c r="AA145" s="1198">
        <f t="shared" si="97"/>
        <v>0.83802617831707815</v>
      </c>
      <c r="AB145" s="1203">
        <f t="shared" si="145"/>
        <v>0.95974999999999999</v>
      </c>
      <c r="AD145" s="184"/>
      <c r="AE145" s="1166"/>
      <c r="AF145" s="1166"/>
      <c r="AG145" s="1166"/>
      <c r="AN145" s="1172">
        <v>145</v>
      </c>
      <c r="AO145" s="1149">
        <v>30</v>
      </c>
      <c r="AP145" s="1150">
        <f t="shared" si="142"/>
        <v>62.570000000000007</v>
      </c>
      <c r="AQ145" s="1122">
        <f t="shared" si="135"/>
        <v>1.0022752299100002</v>
      </c>
      <c r="AR145" s="1122">
        <f t="shared" si="137"/>
        <v>8.3643923393288411</v>
      </c>
      <c r="AS145" s="1150">
        <f t="shared" si="143"/>
        <v>0.85250000000000004</v>
      </c>
      <c r="AT145" s="1186">
        <f t="shared" si="136"/>
        <v>0.85056476959582317</v>
      </c>
      <c r="AU145" s="1203">
        <f t="shared" si="146"/>
        <v>0.95974999999999999</v>
      </c>
      <c r="AW145" s="184"/>
      <c r="AX145" s="1166"/>
      <c r="AY145" s="1166"/>
      <c r="AZ145" s="1166"/>
    </row>
    <row r="146" spans="2:52" x14ac:dyDescent="0.2">
      <c r="B146" s="1164">
        <v>146</v>
      </c>
      <c r="C146" s="1131">
        <v>25</v>
      </c>
      <c r="D146" s="1132">
        <f t="shared" si="138"/>
        <v>62.548000000000009</v>
      </c>
      <c r="E146" s="1133">
        <f t="shared" si="82"/>
        <v>1.0019228237240001</v>
      </c>
      <c r="F146" s="1133">
        <f t="shared" si="83"/>
        <v>8.3614513671142774</v>
      </c>
      <c r="G146" s="1132">
        <f t="shared" si="139"/>
        <v>0.84399999999999986</v>
      </c>
      <c r="H146" s="1187">
        <f t="shared" si="84"/>
        <v>0.84238025126823213</v>
      </c>
      <c r="I146" s="1135">
        <f t="shared" si="144"/>
        <v>0.96009999999999995</v>
      </c>
      <c r="J146" s="1136" t="e">
        <f t="shared" si="116"/>
        <v>#NAME?</v>
      </c>
      <c r="L146" s="184"/>
      <c r="M146" s="1166"/>
      <c r="N146" s="1166"/>
      <c r="O146" s="1166"/>
      <c r="U146" s="1164">
        <v>146</v>
      </c>
      <c r="V146" s="1165">
        <v>20</v>
      </c>
      <c r="W146" s="1132">
        <f t="shared" si="140"/>
        <v>62.553999999999995</v>
      </c>
      <c r="X146" s="1133">
        <f t="shared" si="96"/>
        <v>1.0020189345019999</v>
      </c>
      <c r="Y146" s="1133">
        <f t="shared" si="86"/>
        <v>8.3622534504455199</v>
      </c>
      <c r="Z146" s="1132">
        <f t="shared" si="141"/>
        <v>0.82900000000000018</v>
      </c>
      <c r="AA146" s="1199">
        <f t="shared" si="97"/>
        <v>0.8273296755734566</v>
      </c>
      <c r="AB146" s="1188">
        <f t="shared" si="145"/>
        <v>0.96009999999999995</v>
      </c>
      <c r="AD146" s="184"/>
      <c r="AE146" s="1166"/>
      <c r="AF146" s="1166"/>
      <c r="AG146" s="1166"/>
      <c r="AN146" s="1164">
        <v>146</v>
      </c>
      <c r="AO146" s="1131">
        <v>30</v>
      </c>
      <c r="AP146" s="1132">
        <f t="shared" si="142"/>
        <v>62.548000000000009</v>
      </c>
      <c r="AQ146" s="1133">
        <f t="shared" si="135"/>
        <v>1.0019228237240001</v>
      </c>
      <c r="AR146" s="1133">
        <f t="shared" si="137"/>
        <v>8.3614513671142774</v>
      </c>
      <c r="AS146" s="1132">
        <f t="shared" si="143"/>
        <v>0.84399999999999986</v>
      </c>
      <c r="AT146" s="1187">
        <f t="shared" si="136"/>
        <v>0.84238025126823213</v>
      </c>
      <c r="AU146" s="1188">
        <f t="shared" si="146"/>
        <v>0.96009999999999995</v>
      </c>
      <c r="AW146" s="184"/>
      <c r="AX146" s="1166"/>
      <c r="AY146" s="1166"/>
      <c r="AZ146" s="1166"/>
    </row>
    <row r="147" spans="2:52" x14ac:dyDescent="0.2">
      <c r="B147" s="1164">
        <v>147</v>
      </c>
      <c r="C147" s="1131">
        <v>25</v>
      </c>
      <c r="D147" s="1132">
        <f t="shared" si="138"/>
        <v>62.52600000000001</v>
      </c>
      <c r="E147" s="1133">
        <f t="shared" si="82"/>
        <v>1.0015704175380002</v>
      </c>
      <c r="F147" s="1133">
        <f t="shared" si="83"/>
        <v>8.3585103948997137</v>
      </c>
      <c r="G147" s="1132">
        <f t="shared" si="139"/>
        <v>0.83549999999999991</v>
      </c>
      <c r="H147" s="1187">
        <f t="shared" si="84"/>
        <v>0.83418997343569257</v>
      </c>
      <c r="I147" s="1135">
        <f t="shared" si="144"/>
        <v>0.96045000000000003</v>
      </c>
      <c r="J147" s="1136" t="e">
        <f t="shared" si="116"/>
        <v>#NAME?</v>
      </c>
      <c r="L147" s="184"/>
      <c r="M147" s="1166"/>
      <c r="N147" s="1166"/>
      <c r="O147" s="1166"/>
      <c r="U147" s="1164">
        <v>147</v>
      </c>
      <c r="V147" s="1165">
        <v>20</v>
      </c>
      <c r="W147" s="1132">
        <f t="shared" si="140"/>
        <v>62.532999999999994</v>
      </c>
      <c r="X147" s="1133">
        <f t="shared" si="96"/>
        <v>1.0016825467789998</v>
      </c>
      <c r="Y147" s="1133">
        <f t="shared" si="86"/>
        <v>8.3594461587861648</v>
      </c>
      <c r="Z147" s="1132">
        <f t="shared" si="141"/>
        <v>0.81800000000000006</v>
      </c>
      <c r="AA147" s="1199">
        <f t="shared" si="97"/>
        <v>0.81662598857327851</v>
      </c>
      <c r="AB147" s="1188">
        <f t="shared" si="145"/>
        <v>0.96045000000000003</v>
      </c>
      <c r="AD147" s="184"/>
      <c r="AE147" s="1166"/>
      <c r="AF147" s="1166"/>
      <c r="AG147" s="1166"/>
      <c r="AN147" s="1164">
        <v>147</v>
      </c>
      <c r="AO147" s="1131">
        <v>30</v>
      </c>
      <c r="AP147" s="1132">
        <f t="shared" si="142"/>
        <v>62.52600000000001</v>
      </c>
      <c r="AQ147" s="1133">
        <f t="shared" si="135"/>
        <v>1.0015704175380002</v>
      </c>
      <c r="AR147" s="1133">
        <f t="shared" si="137"/>
        <v>8.3585103948997137</v>
      </c>
      <c r="AS147" s="1132">
        <f t="shared" si="143"/>
        <v>0.83549999999999991</v>
      </c>
      <c r="AT147" s="1187">
        <f t="shared" si="136"/>
        <v>0.83418997343569257</v>
      </c>
      <c r="AU147" s="1188">
        <f t="shared" si="146"/>
        <v>0.96045000000000003</v>
      </c>
      <c r="AW147" s="184"/>
      <c r="AX147" s="1166"/>
      <c r="AY147" s="1166"/>
      <c r="AZ147" s="1166"/>
    </row>
    <row r="148" spans="2:52" x14ac:dyDescent="0.2">
      <c r="B148" s="1164">
        <v>148</v>
      </c>
      <c r="C148" s="1131">
        <v>25</v>
      </c>
      <c r="D148" s="1132">
        <f t="shared" si="138"/>
        <v>62.504000000000005</v>
      </c>
      <c r="E148" s="1133">
        <f t="shared" ref="E148:E210" si="147">D148*0.016018463</f>
        <v>1.0012180113520002</v>
      </c>
      <c r="F148" s="1133">
        <f t="shared" ref="F148:F210" si="148">D148/7.4805195</f>
        <v>8.35556942268515</v>
      </c>
      <c r="G148" s="1132">
        <f t="shared" si="139"/>
        <v>0.82699999999999996</v>
      </c>
      <c r="H148" s="1187">
        <f t="shared" ref="H148:H210" si="149">G148/E148</f>
        <v>0.82599393001655652</v>
      </c>
      <c r="I148" s="1135">
        <f t="shared" si="144"/>
        <v>0.96079999999999999</v>
      </c>
      <c r="J148" s="1136" t="e">
        <f t="shared" ref="J148:J179" si="150">E148/VLOOKUP(60,Water,6,FALSE)</f>
        <v>#NAME?</v>
      </c>
      <c r="L148" s="184"/>
      <c r="M148" s="1166"/>
      <c r="N148" s="1166"/>
      <c r="O148" s="1166"/>
      <c r="U148" s="1164">
        <v>148</v>
      </c>
      <c r="V148" s="1165">
        <v>20</v>
      </c>
      <c r="W148" s="1132">
        <f t="shared" si="140"/>
        <v>62.511999999999993</v>
      </c>
      <c r="X148" s="1133">
        <f t="shared" si="96"/>
        <v>1.001346159056</v>
      </c>
      <c r="Y148" s="1133">
        <f t="shared" si="86"/>
        <v>8.3566388671268079</v>
      </c>
      <c r="Z148" s="1132">
        <f t="shared" si="141"/>
        <v>0.80700000000000016</v>
      </c>
      <c r="AA148" s="1199">
        <f t="shared" si="97"/>
        <v>0.80591511007620387</v>
      </c>
      <c r="AB148" s="1188">
        <f t="shared" si="145"/>
        <v>0.96079999999999999</v>
      </c>
      <c r="AD148" s="184"/>
      <c r="AE148" s="1166"/>
      <c r="AF148" s="1166"/>
      <c r="AG148" s="1166"/>
      <c r="AN148" s="1164">
        <v>148</v>
      </c>
      <c r="AO148" s="1131">
        <v>30</v>
      </c>
      <c r="AP148" s="1132">
        <f t="shared" si="142"/>
        <v>62.504000000000005</v>
      </c>
      <c r="AQ148" s="1133">
        <f t="shared" si="135"/>
        <v>1.0012180113520002</v>
      </c>
      <c r="AR148" s="1133">
        <f t="shared" si="137"/>
        <v>8.35556942268515</v>
      </c>
      <c r="AS148" s="1132">
        <f t="shared" si="143"/>
        <v>0.82699999999999996</v>
      </c>
      <c r="AT148" s="1187">
        <f t="shared" si="136"/>
        <v>0.82599393001655652</v>
      </c>
      <c r="AU148" s="1188">
        <f t="shared" si="146"/>
        <v>0.96079999999999999</v>
      </c>
      <c r="AW148" s="184"/>
      <c r="AX148" s="1166"/>
      <c r="AY148" s="1166"/>
      <c r="AZ148" s="1166"/>
    </row>
    <row r="149" spans="2:52" ht="13.5" thickBot="1" x14ac:dyDescent="0.25">
      <c r="B149" s="1174">
        <v>149</v>
      </c>
      <c r="C149" s="1142">
        <v>25</v>
      </c>
      <c r="D149" s="1143">
        <f t="shared" si="138"/>
        <v>62.482000000000006</v>
      </c>
      <c r="E149" s="1144">
        <f t="shared" si="147"/>
        <v>1.0008656051660001</v>
      </c>
      <c r="F149" s="1144">
        <f t="shared" si="148"/>
        <v>8.3526284504705863</v>
      </c>
      <c r="G149" s="1143">
        <f t="shared" si="139"/>
        <v>0.81850000000000001</v>
      </c>
      <c r="H149" s="1191">
        <f t="shared" si="149"/>
        <v>0.81779211492061055</v>
      </c>
      <c r="I149" s="1135">
        <f t="shared" si="144"/>
        <v>0.96115000000000006</v>
      </c>
      <c r="J149" s="1147" t="e">
        <f t="shared" si="150"/>
        <v>#NAME?</v>
      </c>
      <c r="L149" s="184"/>
      <c r="M149" s="1166"/>
      <c r="N149" s="1166"/>
      <c r="O149" s="1166"/>
      <c r="U149" s="1174">
        <v>149</v>
      </c>
      <c r="V149" s="1175">
        <v>20</v>
      </c>
      <c r="W149" s="1143">
        <f t="shared" si="140"/>
        <v>62.490999999999993</v>
      </c>
      <c r="X149" s="1144">
        <f t="shared" si="96"/>
        <v>1.001009771333</v>
      </c>
      <c r="Y149" s="1144">
        <f t="shared" ref="Y149:Y210" si="151">W149/7.4805195</f>
        <v>8.353831575467451</v>
      </c>
      <c r="Z149" s="1143">
        <f t="shared" si="141"/>
        <v>0.79600000000000026</v>
      </c>
      <c r="AA149" s="1202">
        <f t="shared" si="97"/>
        <v>0.7951970328321597</v>
      </c>
      <c r="AB149" s="1188">
        <f t="shared" si="145"/>
        <v>0.96115000000000006</v>
      </c>
      <c r="AD149" s="184"/>
      <c r="AE149" s="1166"/>
      <c r="AF149" s="1166"/>
      <c r="AG149" s="1166"/>
      <c r="AN149" s="1174">
        <v>149</v>
      </c>
      <c r="AO149" s="1142">
        <v>30</v>
      </c>
      <c r="AP149" s="1143">
        <f t="shared" si="142"/>
        <v>62.482000000000006</v>
      </c>
      <c r="AQ149" s="1144">
        <f t="shared" si="135"/>
        <v>1.0008656051660001</v>
      </c>
      <c r="AR149" s="1144">
        <f t="shared" si="137"/>
        <v>8.3526284504705863</v>
      </c>
      <c r="AS149" s="1143">
        <f t="shared" si="143"/>
        <v>0.81850000000000001</v>
      </c>
      <c r="AT149" s="1191">
        <f t="shared" si="136"/>
        <v>0.81779211492061055</v>
      </c>
      <c r="AU149" s="1188">
        <f t="shared" si="146"/>
        <v>0.96115000000000006</v>
      </c>
      <c r="AW149" s="184"/>
      <c r="AX149" s="1166"/>
      <c r="AY149" s="1166"/>
      <c r="AZ149" s="1166"/>
    </row>
    <row r="150" spans="2:52" x14ac:dyDescent="0.2">
      <c r="B150" s="1119">
        <v>150</v>
      </c>
      <c r="C150" s="1120">
        <v>25</v>
      </c>
      <c r="D150" s="1121">
        <f>FORECAST(C150,M154:M155,L154:L155)</f>
        <v>62.46</v>
      </c>
      <c r="E150" s="1122">
        <f t="shared" si="147"/>
        <v>1.00051319898</v>
      </c>
      <c r="F150" s="1122">
        <f t="shared" si="148"/>
        <v>8.3496874782560226</v>
      </c>
      <c r="G150" s="1121">
        <f>FORECAST(C150,N154:N155,L154:L155)</f>
        <v>0.81</v>
      </c>
      <c r="H150" s="1186">
        <f t="shared" si="149"/>
        <v>0.80958452204906073</v>
      </c>
      <c r="I150" s="1123">
        <f>FORECAST(C150,O154:O155,L154:L155)</f>
        <v>0.96150000000000002</v>
      </c>
      <c r="J150" s="1124" t="e">
        <f t="shared" si="150"/>
        <v>#NAME?</v>
      </c>
      <c r="L150" s="1125">
        <f>B150</f>
        <v>150</v>
      </c>
      <c r="M150" s="1126">
        <f>D150</f>
        <v>62.46</v>
      </c>
      <c r="N150" s="1126">
        <f>G150</f>
        <v>0.81</v>
      </c>
      <c r="O150" s="1127">
        <f>I150</f>
        <v>0.96150000000000002</v>
      </c>
      <c r="U150" s="1119">
        <v>150</v>
      </c>
      <c r="V150" s="1120">
        <v>20</v>
      </c>
      <c r="W150" s="1121">
        <v>62.25</v>
      </c>
      <c r="X150" s="1122">
        <f t="shared" si="96"/>
        <v>0.99714932175000004</v>
      </c>
      <c r="Y150" s="1122">
        <f t="shared" si="151"/>
        <v>8.3216145616624626</v>
      </c>
      <c r="Z150" s="1121">
        <v>0.71</v>
      </c>
      <c r="AA150" s="1198">
        <f t="shared" si="97"/>
        <v>0.71202976777234106</v>
      </c>
      <c r="AB150" s="1124">
        <v>0.97299999999999998</v>
      </c>
      <c r="AD150" s="1125">
        <f>U150</f>
        <v>150</v>
      </c>
      <c r="AE150" s="1126">
        <f>W150</f>
        <v>62.25</v>
      </c>
      <c r="AF150" s="1126">
        <f>Z150</f>
        <v>0.71</v>
      </c>
      <c r="AG150" s="1127">
        <f>AB150</f>
        <v>0.97299999999999998</v>
      </c>
      <c r="AN150" s="1119">
        <v>150</v>
      </c>
      <c r="AO150" s="1120">
        <v>30</v>
      </c>
      <c r="AP150" s="1121">
        <v>62.67</v>
      </c>
      <c r="AQ150" s="1122">
        <f t="shared" si="135"/>
        <v>1.00387707621</v>
      </c>
      <c r="AR150" s="1122">
        <f t="shared" si="137"/>
        <v>8.3777603948495827</v>
      </c>
      <c r="AS150" s="1121">
        <v>0.91</v>
      </c>
      <c r="AT150" s="1186">
        <f t="shared" si="136"/>
        <v>0.90648548668486384</v>
      </c>
      <c r="AU150" s="1124">
        <v>0.95</v>
      </c>
      <c r="AW150" s="1125">
        <f>AN150</f>
        <v>150</v>
      </c>
      <c r="AX150" s="1126">
        <f>AP150</f>
        <v>62.67</v>
      </c>
      <c r="AY150" s="1126">
        <f>AS150</f>
        <v>0.91</v>
      </c>
      <c r="AZ150" s="1127">
        <f>AU150</f>
        <v>0.95</v>
      </c>
    </row>
    <row r="151" spans="2:52" x14ac:dyDescent="0.2">
      <c r="B151" s="1164">
        <v>151</v>
      </c>
      <c r="C151" s="1131">
        <v>25</v>
      </c>
      <c r="D151" s="1132">
        <f t="shared" ref="D151:D159" si="152">FORECAST(B151,$M$150:$M$151,$L$150:$L$151)</f>
        <v>62.436999999999998</v>
      </c>
      <c r="E151" s="1133">
        <f t="shared" si="147"/>
        <v>1.0001447743309999</v>
      </c>
      <c r="F151" s="1133">
        <f t="shared" si="148"/>
        <v>8.3466128254862504</v>
      </c>
      <c r="G151" s="1132">
        <f t="shared" ref="G151:G159" si="153">FORECAST(B151,$N$150:$N$151,$L$150:$L$151)</f>
        <v>0.80200000000000005</v>
      </c>
      <c r="H151" s="1187">
        <f t="shared" si="149"/>
        <v>0.80188390779370966</v>
      </c>
      <c r="I151" s="1135">
        <f>FORECAST(B151,$O$150:$O$151,$L$150:$L$151)</f>
        <v>0.96179999999999999</v>
      </c>
      <c r="J151" s="1136" t="e">
        <f t="shared" si="150"/>
        <v>#NAME?</v>
      </c>
      <c r="L151" s="1125">
        <f>B160</f>
        <v>160</v>
      </c>
      <c r="M151" s="1126">
        <f>D160</f>
        <v>62.230000000000004</v>
      </c>
      <c r="N151" s="1126">
        <f>G160</f>
        <v>0.73</v>
      </c>
      <c r="O151" s="1127">
        <f>I160</f>
        <v>0.96449999999999991</v>
      </c>
      <c r="U151" s="1164">
        <v>151</v>
      </c>
      <c r="V151" s="1165">
        <v>20</v>
      </c>
      <c r="W151" s="1132">
        <f t="shared" ref="W151:W159" si="154">FORECAST(U151,$M$140:$M$141,$L$140:$L$141)</f>
        <v>62.438000000000009</v>
      </c>
      <c r="X151" s="1133">
        <f t="shared" si="96"/>
        <v>1.0001607927940002</v>
      </c>
      <c r="Y151" s="1133">
        <f t="shared" si="151"/>
        <v>8.3467465060414607</v>
      </c>
      <c r="Z151" s="1132">
        <f t="shared" ref="Z151:Z159" si="155">FORECAST(U151,$N$140:$N$141,$L$140:$L$141)</f>
        <v>0.80149999999999988</v>
      </c>
      <c r="AA151" s="1199">
        <f t="shared" si="97"/>
        <v>0.80137114529451692</v>
      </c>
      <c r="AB151" s="1188">
        <f>FORECAST(U151,$O$140:$O$141,$L$140:$L$141)</f>
        <v>0.96184999999999998</v>
      </c>
      <c r="AD151" s="1125">
        <f>U160</f>
        <v>160</v>
      </c>
      <c r="AE151" s="1126">
        <f>W160</f>
        <v>62.03</v>
      </c>
      <c r="AF151" s="1126">
        <f>Z160</f>
        <v>0.64</v>
      </c>
      <c r="AG151" s="1127">
        <f>AB160</f>
        <v>0.97599999999999998</v>
      </c>
      <c r="AN151" s="1164">
        <v>151</v>
      </c>
      <c r="AO151" s="1131">
        <v>30</v>
      </c>
      <c r="AP151" s="1132">
        <f t="shared" ref="AP151:AP159" si="156">FORECAST(AN151,$M$150:$M$151,$L$150:$L$151)</f>
        <v>62.436999999999998</v>
      </c>
      <c r="AQ151" s="1133">
        <f t="shared" si="135"/>
        <v>1.0001447743309999</v>
      </c>
      <c r="AR151" s="1133">
        <f t="shared" si="137"/>
        <v>8.3466128254862504</v>
      </c>
      <c r="AS151" s="1132">
        <f t="shared" ref="AS151:AS159" si="157">FORECAST(AN151,$N$150:$N$151,$L$150:$L$151)</f>
        <v>0.80200000000000005</v>
      </c>
      <c r="AT151" s="1187">
        <f t="shared" si="136"/>
        <v>0.80188390779370966</v>
      </c>
      <c r="AU151" s="1188">
        <f>FORECAST(AN151,$O$150:$O$151,$L$150:$L$151)</f>
        <v>0.96179999999999999</v>
      </c>
      <c r="AW151" s="1125">
        <f>AN160</f>
        <v>160</v>
      </c>
      <c r="AX151" s="1126">
        <f>AP160</f>
        <v>62.43</v>
      </c>
      <c r="AY151" s="1126">
        <f>AS160</f>
        <v>0.82</v>
      </c>
      <c r="AZ151" s="1127">
        <f>AU160</f>
        <v>0.95299999999999996</v>
      </c>
    </row>
    <row r="152" spans="2:52" x14ac:dyDescent="0.2">
      <c r="B152" s="1164">
        <v>152</v>
      </c>
      <c r="C152" s="1131">
        <v>25</v>
      </c>
      <c r="D152" s="1132">
        <f t="shared" si="152"/>
        <v>62.414000000000001</v>
      </c>
      <c r="E152" s="1133">
        <f t="shared" si="147"/>
        <v>0.99977634968200002</v>
      </c>
      <c r="F152" s="1133">
        <f t="shared" si="148"/>
        <v>8.3435381727164817</v>
      </c>
      <c r="G152" s="1132">
        <f t="shared" si="153"/>
        <v>0.79400000000000004</v>
      </c>
      <c r="H152" s="1187">
        <f t="shared" si="149"/>
        <v>0.7941776180768314</v>
      </c>
      <c r="I152" s="1135">
        <f t="shared" ref="I152:I159" si="158">FORECAST(B152,$O$150:$O$151,$L$150:$L$151)</f>
        <v>0.96209999999999996</v>
      </c>
      <c r="J152" s="1136" t="e">
        <f t="shared" si="150"/>
        <v>#NAME?</v>
      </c>
      <c r="L152" s="184"/>
      <c r="M152" s="1166"/>
      <c r="N152" s="1166"/>
      <c r="O152" s="1166"/>
      <c r="U152" s="1164">
        <v>152</v>
      </c>
      <c r="V152" s="1165">
        <v>20</v>
      </c>
      <c r="W152" s="1132">
        <f t="shared" si="154"/>
        <v>62.416000000000011</v>
      </c>
      <c r="X152" s="1133">
        <f t="shared" si="96"/>
        <v>0.9998083866080002</v>
      </c>
      <c r="Y152" s="1133">
        <f t="shared" si="151"/>
        <v>8.343805533826897</v>
      </c>
      <c r="Z152" s="1132">
        <f t="shared" si="155"/>
        <v>0.79299999999999993</v>
      </c>
      <c r="AA152" s="1199">
        <f t="shared" si="97"/>
        <v>0.79315197854097952</v>
      </c>
      <c r="AB152" s="1188">
        <f t="shared" ref="AB152:AB159" si="159">FORECAST(U152,$O$140:$O$141,$L$140:$L$141)</f>
        <v>0.96220000000000006</v>
      </c>
      <c r="AD152" s="184"/>
      <c r="AE152" s="1166"/>
      <c r="AF152" s="1166"/>
      <c r="AG152" s="1166"/>
      <c r="AN152" s="1164">
        <v>152</v>
      </c>
      <c r="AO152" s="1131">
        <v>30</v>
      </c>
      <c r="AP152" s="1132">
        <f t="shared" si="156"/>
        <v>62.414000000000001</v>
      </c>
      <c r="AQ152" s="1133">
        <f t="shared" si="135"/>
        <v>0.99977634968200002</v>
      </c>
      <c r="AR152" s="1133">
        <f t="shared" si="137"/>
        <v>8.3435381727164817</v>
      </c>
      <c r="AS152" s="1132">
        <f t="shared" si="157"/>
        <v>0.79400000000000004</v>
      </c>
      <c r="AT152" s="1187">
        <f t="shared" si="136"/>
        <v>0.7941776180768314</v>
      </c>
      <c r="AU152" s="1188">
        <f t="shared" ref="AU152:AU159" si="160">FORECAST(AN152,$O$150:$O$151,$L$150:$L$151)</f>
        <v>0.96209999999999996</v>
      </c>
      <c r="AW152" s="184"/>
      <c r="AX152" s="1166"/>
      <c r="AY152" s="1166"/>
      <c r="AZ152" s="1166"/>
    </row>
    <row r="153" spans="2:52" x14ac:dyDescent="0.2">
      <c r="B153" s="1164">
        <v>153</v>
      </c>
      <c r="C153" s="1131">
        <v>25</v>
      </c>
      <c r="D153" s="1132">
        <f t="shared" si="152"/>
        <v>62.391000000000005</v>
      </c>
      <c r="E153" s="1133">
        <f t="shared" si="147"/>
        <v>0.99940792503300013</v>
      </c>
      <c r="F153" s="1133">
        <f t="shared" si="148"/>
        <v>8.3404635199467112</v>
      </c>
      <c r="G153" s="1132">
        <f t="shared" si="153"/>
        <v>0.78600000000000003</v>
      </c>
      <c r="H153" s="1187">
        <f t="shared" si="149"/>
        <v>0.7864656466217701</v>
      </c>
      <c r="I153" s="1135">
        <f t="shared" si="158"/>
        <v>0.96240000000000003</v>
      </c>
      <c r="J153" s="1136" t="e">
        <f t="shared" si="150"/>
        <v>#NAME?</v>
      </c>
      <c r="L153" s="1189" t="s">
        <v>1089</v>
      </c>
      <c r="M153" s="179"/>
      <c r="N153" s="179"/>
      <c r="O153" s="179"/>
      <c r="U153" s="1164">
        <v>153</v>
      </c>
      <c r="V153" s="1165">
        <v>20</v>
      </c>
      <c r="W153" s="1132">
        <f t="shared" si="154"/>
        <v>62.394000000000005</v>
      </c>
      <c r="X153" s="1133">
        <f t="shared" si="96"/>
        <v>0.99945598042200012</v>
      </c>
      <c r="Y153" s="1133">
        <f t="shared" si="151"/>
        <v>8.3408645616123334</v>
      </c>
      <c r="Z153" s="1132">
        <f t="shared" si="155"/>
        <v>0.78449999999999998</v>
      </c>
      <c r="AA153" s="1199">
        <f t="shared" si="97"/>
        <v>0.78492701566382206</v>
      </c>
      <c r="AB153" s="1188">
        <f t="shared" si="159"/>
        <v>0.96255000000000002</v>
      </c>
      <c r="AD153" s="184"/>
      <c r="AE153" s="1166"/>
      <c r="AF153" s="1166"/>
      <c r="AG153" s="1166"/>
      <c r="AN153" s="1164">
        <v>153</v>
      </c>
      <c r="AO153" s="1131">
        <v>30</v>
      </c>
      <c r="AP153" s="1132">
        <f t="shared" si="156"/>
        <v>62.391000000000005</v>
      </c>
      <c r="AQ153" s="1133">
        <f t="shared" si="135"/>
        <v>0.99940792503300013</v>
      </c>
      <c r="AR153" s="1133">
        <f t="shared" si="137"/>
        <v>8.3404635199467112</v>
      </c>
      <c r="AS153" s="1132">
        <f t="shared" si="157"/>
        <v>0.78600000000000003</v>
      </c>
      <c r="AT153" s="1187">
        <f t="shared" si="136"/>
        <v>0.7864656466217701</v>
      </c>
      <c r="AU153" s="1188">
        <f t="shared" si="160"/>
        <v>0.96240000000000003</v>
      </c>
      <c r="AW153" s="184"/>
      <c r="AX153" s="1166"/>
      <c r="AY153" s="1166"/>
      <c r="AZ153" s="1166"/>
    </row>
    <row r="154" spans="2:52" ht="13.5" thickBot="1" x14ac:dyDescent="0.25">
      <c r="B154" s="1174">
        <v>154</v>
      </c>
      <c r="C154" s="1142">
        <v>25</v>
      </c>
      <c r="D154" s="1143">
        <f t="shared" si="152"/>
        <v>62.368000000000002</v>
      </c>
      <c r="E154" s="1144">
        <f t="shared" si="147"/>
        <v>0.99903950038400002</v>
      </c>
      <c r="F154" s="1144">
        <f t="shared" si="148"/>
        <v>8.3373888671769389</v>
      </c>
      <c r="G154" s="1143">
        <f t="shared" si="153"/>
        <v>0.77800000000000002</v>
      </c>
      <c r="H154" s="1191">
        <f t="shared" si="149"/>
        <v>0.77874798714261129</v>
      </c>
      <c r="I154" s="1146">
        <f t="shared" si="158"/>
        <v>0.9627</v>
      </c>
      <c r="J154" s="1147" t="e">
        <f t="shared" si="150"/>
        <v>#NAME?</v>
      </c>
      <c r="L154" s="1190">
        <v>20</v>
      </c>
      <c r="M154" s="1200">
        <f>W150</f>
        <v>62.25</v>
      </c>
      <c r="N154" s="1200">
        <f>Z150</f>
        <v>0.71</v>
      </c>
      <c r="O154" s="1201">
        <f>AB150</f>
        <v>0.97299999999999998</v>
      </c>
      <c r="U154" s="1174">
        <v>154</v>
      </c>
      <c r="V154" s="1168">
        <v>20</v>
      </c>
      <c r="W154" s="1143">
        <f t="shared" si="154"/>
        <v>62.372000000000007</v>
      </c>
      <c r="X154" s="1144">
        <f t="shared" si="96"/>
        <v>0.99910357423600016</v>
      </c>
      <c r="Y154" s="1144">
        <f t="shared" si="151"/>
        <v>8.3379235893977697</v>
      </c>
      <c r="Z154" s="1143">
        <f t="shared" si="155"/>
        <v>0.77600000000000002</v>
      </c>
      <c r="AA154" s="1202">
        <f t="shared" si="97"/>
        <v>0.77669625052977698</v>
      </c>
      <c r="AB154" s="1192">
        <f t="shared" si="159"/>
        <v>0.96290000000000009</v>
      </c>
      <c r="AD154" s="184"/>
      <c r="AE154" s="1166"/>
      <c r="AF154" s="1166"/>
      <c r="AG154" s="1166"/>
      <c r="AN154" s="1174">
        <v>154</v>
      </c>
      <c r="AO154" s="1142">
        <v>30</v>
      </c>
      <c r="AP154" s="1143">
        <f t="shared" si="156"/>
        <v>62.368000000000002</v>
      </c>
      <c r="AQ154" s="1144">
        <f t="shared" si="135"/>
        <v>0.99903950038400002</v>
      </c>
      <c r="AR154" s="1144">
        <f t="shared" si="137"/>
        <v>8.3373888671769389</v>
      </c>
      <c r="AS154" s="1143">
        <f t="shared" si="157"/>
        <v>0.77800000000000002</v>
      </c>
      <c r="AT154" s="1191">
        <f t="shared" si="136"/>
        <v>0.77874798714261129</v>
      </c>
      <c r="AU154" s="1192">
        <f t="shared" si="160"/>
        <v>0.9627</v>
      </c>
      <c r="AW154" s="184"/>
      <c r="AX154" s="1166"/>
      <c r="AY154" s="1166"/>
      <c r="AZ154" s="1166"/>
    </row>
    <row r="155" spans="2:52" x14ac:dyDescent="0.2">
      <c r="B155" s="1172">
        <v>155</v>
      </c>
      <c r="C155" s="1149">
        <v>25</v>
      </c>
      <c r="D155" s="1150">
        <f t="shared" si="152"/>
        <v>62.344999999999999</v>
      </c>
      <c r="E155" s="1122">
        <f t="shared" si="147"/>
        <v>0.99867107573500002</v>
      </c>
      <c r="F155" s="1122">
        <f t="shared" si="148"/>
        <v>8.3343142144071685</v>
      </c>
      <c r="G155" s="1150">
        <f t="shared" si="153"/>
        <v>0.77</v>
      </c>
      <c r="H155" s="1186">
        <f t="shared" si="149"/>
        <v>0.77102463334416382</v>
      </c>
      <c r="I155" s="1173">
        <f t="shared" si="158"/>
        <v>0.96299999999999997</v>
      </c>
      <c r="J155" s="1124" t="e">
        <f t="shared" si="150"/>
        <v>#NAME?</v>
      </c>
      <c r="L155" s="1190">
        <v>30</v>
      </c>
      <c r="M155" s="1200">
        <f>AP150</f>
        <v>62.67</v>
      </c>
      <c r="N155" s="1200">
        <f>AS150</f>
        <v>0.91</v>
      </c>
      <c r="O155" s="1201">
        <f>AU150</f>
        <v>0.95</v>
      </c>
      <c r="U155" s="1172">
        <v>155</v>
      </c>
      <c r="V155" s="1120">
        <v>20</v>
      </c>
      <c r="W155" s="1150">
        <f t="shared" si="154"/>
        <v>62.350000000000009</v>
      </c>
      <c r="X155" s="1122">
        <f t="shared" si="96"/>
        <v>0.99875116805000019</v>
      </c>
      <c r="Y155" s="1122">
        <f t="shared" si="151"/>
        <v>8.334982617183206</v>
      </c>
      <c r="Z155" s="1150">
        <f t="shared" si="155"/>
        <v>0.76750000000000007</v>
      </c>
      <c r="AA155" s="1198">
        <f t="shared" si="97"/>
        <v>0.7684596769969203</v>
      </c>
      <c r="AB155" s="1203">
        <f t="shared" si="159"/>
        <v>0.96325000000000005</v>
      </c>
      <c r="AD155" s="184"/>
      <c r="AE155" s="1166"/>
      <c r="AF155" s="1166"/>
      <c r="AG155" s="1166"/>
      <c r="AN155" s="1172">
        <v>155</v>
      </c>
      <c r="AO155" s="1149">
        <v>30</v>
      </c>
      <c r="AP155" s="1150">
        <f t="shared" si="156"/>
        <v>62.344999999999999</v>
      </c>
      <c r="AQ155" s="1122">
        <f t="shared" si="135"/>
        <v>0.99867107573500002</v>
      </c>
      <c r="AR155" s="1122">
        <f t="shared" si="137"/>
        <v>8.3343142144071685</v>
      </c>
      <c r="AS155" s="1150">
        <f t="shared" si="157"/>
        <v>0.77</v>
      </c>
      <c r="AT155" s="1186">
        <f t="shared" si="136"/>
        <v>0.77102463334416382</v>
      </c>
      <c r="AU155" s="1203">
        <f t="shared" si="160"/>
        <v>0.96299999999999997</v>
      </c>
      <c r="AW155" s="184"/>
      <c r="AX155" s="1166"/>
      <c r="AY155" s="1166"/>
      <c r="AZ155" s="1166"/>
    </row>
    <row r="156" spans="2:52" x14ac:dyDescent="0.2">
      <c r="B156" s="1164">
        <v>156</v>
      </c>
      <c r="C156" s="1131">
        <v>25</v>
      </c>
      <c r="D156" s="1132">
        <f t="shared" si="152"/>
        <v>62.322000000000003</v>
      </c>
      <c r="E156" s="1133">
        <f t="shared" si="147"/>
        <v>0.99830265108600003</v>
      </c>
      <c r="F156" s="1133">
        <f t="shared" si="148"/>
        <v>8.331239561637398</v>
      </c>
      <c r="G156" s="1132">
        <f t="shared" si="153"/>
        <v>0.76200000000000001</v>
      </c>
      <c r="H156" s="1187">
        <f t="shared" si="149"/>
        <v>0.76329557892194411</v>
      </c>
      <c r="I156" s="1135">
        <f t="shared" si="158"/>
        <v>0.96329999999999993</v>
      </c>
      <c r="J156" s="1136" t="e">
        <f t="shared" si="150"/>
        <v>#NAME?</v>
      </c>
      <c r="L156" s="184"/>
      <c r="M156" s="1166"/>
      <c r="N156" s="1166"/>
      <c r="O156" s="1166"/>
      <c r="U156" s="1164">
        <v>156</v>
      </c>
      <c r="V156" s="1165">
        <v>20</v>
      </c>
      <c r="W156" s="1132">
        <f t="shared" si="154"/>
        <v>62.32800000000001</v>
      </c>
      <c r="X156" s="1133">
        <f t="shared" si="96"/>
        <v>0.99839876186400012</v>
      </c>
      <c r="Y156" s="1133">
        <f t="shared" si="151"/>
        <v>8.3320416449686423</v>
      </c>
      <c r="Z156" s="1132">
        <f t="shared" si="155"/>
        <v>0.7589999999999999</v>
      </c>
      <c r="AA156" s="1199">
        <f t="shared" si="97"/>
        <v>0.76021728891465645</v>
      </c>
      <c r="AB156" s="1188">
        <f t="shared" si="159"/>
        <v>0.96360000000000001</v>
      </c>
      <c r="AD156" s="184"/>
      <c r="AE156" s="1166"/>
      <c r="AF156" s="1166"/>
      <c r="AG156" s="1166"/>
      <c r="AN156" s="1164">
        <v>156</v>
      </c>
      <c r="AO156" s="1131">
        <v>30</v>
      </c>
      <c r="AP156" s="1132">
        <f t="shared" si="156"/>
        <v>62.322000000000003</v>
      </c>
      <c r="AQ156" s="1133">
        <f t="shared" si="135"/>
        <v>0.99830265108600003</v>
      </c>
      <c r="AR156" s="1133">
        <f t="shared" si="137"/>
        <v>8.331239561637398</v>
      </c>
      <c r="AS156" s="1132">
        <f t="shared" si="157"/>
        <v>0.76200000000000001</v>
      </c>
      <c r="AT156" s="1187">
        <f t="shared" si="136"/>
        <v>0.76329557892194411</v>
      </c>
      <c r="AU156" s="1188">
        <f t="shared" si="160"/>
        <v>0.96329999999999993</v>
      </c>
      <c r="AW156" s="184"/>
      <c r="AX156" s="1166"/>
      <c r="AY156" s="1166"/>
      <c r="AZ156" s="1166"/>
    </row>
    <row r="157" spans="2:52" x14ac:dyDescent="0.2">
      <c r="B157" s="1164">
        <v>157</v>
      </c>
      <c r="C157" s="1131">
        <v>25</v>
      </c>
      <c r="D157" s="1132">
        <f t="shared" si="152"/>
        <v>62.299000000000007</v>
      </c>
      <c r="E157" s="1133">
        <f t="shared" si="147"/>
        <v>0.99793422643700014</v>
      </c>
      <c r="F157" s="1133">
        <f t="shared" si="148"/>
        <v>8.3281649088676275</v>
      </c>
      <c r="G157" s="1132">
        <f t="shared" si="153"/>
        <v>0.754</v>
      </c>
      <c r="H157" s="1187">
        <f t="shared" si="149"/>
        <v>0.75556081756215843</v>
      </c>
      <c r="I157" s="1135">
        <f t="shared" si="158"/>
        <v>0.9635999999999999</v>
      </c>
      <c r="J157" s="1136" t="e">
        <f t="shared" si="150"/>
        <v>#NAME?</v>
      </c>
      <c r="L157" s="184"/>
      <c r="M157" s="1166"/>
      <c r="N157" s="1166"/>
      <c r="O157" s="1166"/>
      <c r="U157" s="1164">
        <v>157</v>
      </c>
      <c r="V157" s="1165">
        <v>20</v>
      </c>
      <c r="W157" s="1132">
        <f t="shared" si="154"/>
        <v>62.306000000000012</v>
      </c>
      <c r="X157" s="1133">
        <f t="shared" si="96"/>
        <v>0.99804635567800015</v>
      </c>
      <c r="Y157" s="1133">
        <f t="shared" si="151"/>
        <v>8.3291006727540804</v>
      </c>
      <c r="Z157" s="1132">
        <f t="shared" si="155"/>
        <v>0.75049999999999994</v>
      </c>
      <c r="AA157" s="1199">
        <f t="shared" si="97"/>
        <v>0.75196908012370312</v>
      </c>
      <c r="AB157" s="1188">
        <f t="shared" si="159"/>
        <v>0.96395000000000008</v>
      </c>
      <c r="AD157" s="184"/>
      <c r="AE157" s="1166"/>
      <c r="AF157" s="1166"/>
      <c r="AG157" s="1166"/>
      <c r="AN157" s="1164">
        <v>157</v>
      </c>
      <c r="AO157" s="1131">
        <v>30</v>
      </c>
      <c r="AP157" s="1132">
        <f t="shared" si="156"/>
        <v>62.299000000000007</v>
      </c>
      <c r="AQ157" s="1133">
        <f t="shared" si="135"/>
        <v>0.99793422643700014</v>
      </c>
      <c r="AR157" s="1133">
        <f t="shared" si="137"/>
        <v>8.3281649088676275</v>
      </c>
      <c r="AS157" s="1132">
        <f t="shared" si="157"/>
        <v>0.754</v>
      </c>
      <c r="AT157" s="1187">
        <f t="shared" si="136"/>
        <v>0.75556081756215843</v>
      </c>
      <c r="AU157" s="1188">
        <f t="shared" si="160"/>
        <v>0.9635999999999999</v>
      </c>
      <c r="AW157" s="184"/>
      <c r="AX157" s="1166"/>
      <c r="AY157" s="1166"/>
      <c r="AZ157" s="1166"/>
    </row>
    <row r="158" spans="2:52" x14ac:dyDescent="0.2">
      <c r="B158" s="1164">
        <v>158</v>
      </c>
      <c r="C158" s="1131">
        <v>25</v>
      </c>
      <c r="D158" s="1132">
        <f t="shared" si="152"/>
        <v>62.276000000000003</v>
      </c>
      <c r="E158" s="1133">
        <f t="shared" si="147"/>
        <v>0.99756580178800003</v>
      </c>
      <c r="F158" s="1133">
        <f t="shared" si="148"/>
        <v>8.3250902560978552</v>
      </c>
      <c r="G158" s="1132">
        <f t="shared" si="153"/>
        <v>0.746</v>
      </c>
      <c r="H158" s="1187">
        <f t="shared" si="149"/>
        <v>0.74782034294168587</v>
      </c>
      <c r="I158" s="1135">
        <f t="shared" si="158"/>
        <v>0.96389999999999998</v>
      </c>
      <c r="J158" s="1136" t="e">
        <f t="shared" si="150"/>
        <v>#NAME?</v>
      </c>
      <c r="L158" s="184"/>
      <c r="M158" s="1166"/>
      <c r="N158" s="1166"/>
      <c r="O158" s="1166"/>
      <c r="U158" s="1164">
        <v>158</v>
      </c>
      <c r="V158" s="1165">
        <v>20</v>
      </c>
      <c r="W158" s="1132">
        <f t="shared" si="154"/>
        <v>62.284000000000006</v>
      </c>
      <c r="X158" s="1133">
        <f t="shared" si="96"/>
        <v>0.99769394949200008</v>
      </c>
      <c r="Y158" s="1133">
        <f t="shared" si="151"/>
        <v>8.3261597005395149</v>
      </c>
      <c r="Z158" s="1132">
        <f t="shared" si="155"/>
        <v>0.74199999999999999</v>
      </c>
      <c r="AA158" s="1199">
        <f t="shared" si="97"/>
        <v>0.74371504445607506</v>
      </c>
      <c r="AB158" s="1188">
        <f t="shared" si="159"/>
        <v>0.96430000000000005</v>
      </c>
      <c r="AD158" s="184"/>
      <c r="AE158" s="1166"/>
      <c r="AF158" s="1166"/>
      <c r="AG158" s="1166"/>
      <c r="AN158" s="1164">
        <v>158</v>
      </c>
      <c r="AO158" s="1131">
        <v>30</v>
      </c>
      <c r="AP158" s="1132">
        <f t="shared" si="156"/>
        <v>62.276000000000003</v>
      </c>
      <c r="AQ158" s="1133">
        <f t="shared" si="135"/>
        <v>0.99756580178800003</v>
      </c>
      <c r="AR158" s="1133">
        <f t="shared" si="137"/>
        <v>8.3250902560978552</v>
      </c>
      <c r="AS158" s="1132">
        <f t="shared" si="157"/>
        <v>0.746</v>
      </c>
      <c r="AT158" s="1187">
        <f t="shared" si="136"/>
        <v>0.74782034294168587</v>
      </c>
      <c r="AU158" s="1188">
        <f t="shared" si="160"/>
        <v>0.96389999999999998</v>
      </c>
      <c r="AW158" s="184"/>
      <c r="AX158" s="1166"/>
      <c r="AY158" s="1166"/>
      <c r="AZ158" s="1166"/>
    </row>
    <row r="159" spans="2:52" ht="13.5" thickBot="1" x14ac:dyDescent="0.25">
      <c r="B159" s="1174">
        <v>159</v>
      </c>
      <c r="C159" s="1142">
        <v>25</v>
      </c>
      <c r="D159" s="1143">
        <f t="shared" si="152"/>
        <v>62.253</v>
      </c>
      <c r="E159" s="1144">
        <f t="shared" si="147"/>
        <v>0.99719737713900003</v>
      </c>
      <c r="F159" s="1144">
        <f t="shared" si="148"/>
        <v>8.3220156033280848</v>
      </c>
      <c r="G159" s="1143">
        <f t="shared" si="153"/>
        <v>0.73799999999999999</v>
      </c>
      <c r="H159" s="1191">
        <f t="shared" si="149"/>
        <v>0.74007414872806032</v>
      </c>
      <c r="I159" s="1135">
        <f t="shared" si="158"/>
        <v>0.96419999999999995</v>
      </c>
      <c r="J159" s="1147" t="e">
        <f t="shared" si="150"/>
        <v>#NAME?</v>
      </c>
      <c r="L159" s="184"/>
      <c r="M159" s="1166"/>
      <c r="N159" s="1166"/>
      <c r="O159" s="1166"/>
      <c r="U159" s="1174">
        <v>159</v>
      </c>
      <c r="V159" s="1175">
        <v>20</v>
      </c>
      <c r="W159" s="1143">
        <f t="shared" si="154"/>
        <v>62.262000000000008</v>
      </c>
      <c r="X159" s="1144">
        <f t="shared" ref="X159:X210" si="161">W159*0.016018463</f>
        <v>0.99734154330600011</v>
      </c>
      <c r="Y159" s="1144">
        <f t="shared" si="151"/>
        <v>8.323218728324953</v>
      </c>
      <c r="Z159" s="1143">
        <f t="shared" si="155"/>
        <v>0.73350000000000004</v>
      </c>
      <c r="AA159" s="1202">
        <f t="shared" ref="AA159:AA210" si="162">Z159/X159</f>
        <v>0.7354551757350698</v>
      </c>
      <c r="AB159" s="1188">
        <f t="shared" si="159"/>
        <v>0.96465000000000012</v>
      </c>
      <c r="AD159" s="184"/>
      <c r="AE159" s="1166"/>
      <c r="AF159" s="1166"/>
      <c r="AG159" s="1166"/>
      <c r="AN159" s="1174">
        <v>159</v>
      </c>
      <c r="AO159" s="1142">
        <v>30</v>
      </c>
      <c r="AP159" s="1143">
        <f t="shared" si="156"/>
        <v>62.253</v>
      </c>
      <c r="AQ159" s="1144">
        <f t="shared" si="135"/>
        <v>0.99719737713900003</v>
      </c>
      <c r="AR159" s="1144">
        <f t="shared" si="137"/>
        <v>8.3220156033280848</v>
      </c>
      <c r="AS159" s="1143">
        <f t="shared" si="157"/>
        <v>0.73799999999999999</v>
      </c>
      <c r="AT159" s="1191">
        <f t="shared" si="136"/>
        <v>0.74007414872806032</v>
      </c>
      <c r="AU159" s="1188">
        <f t="shared" si="160"/>
        <v>0.96419999999999995</v>
      </c>
      <c r="AW159" s="184"/>
      <c r="AX159" s="1166"/>
      <c r="AY159" s="1166"/>
      <c r="AZ159" s="1166"/>
    </row>
    <row r="160" spans="2:52" x14ac:dyDescent="0.2">
      <c r="B160" s="1119">
        <v>160</v>
      </c>
      <c r="C160" s="1120">
        <v>25</v>
      </c>
      <c r="D160" s="1121">
        <f>FORECAST(C160,M164:M165,L164:L165)</f>
        <v>62.230000000000004</v>
      </c>
      <c r="E160" s="1122">
        <f t="shared" si="147"/>
        <v>0.99682895249000003</v>
      </c>
      <c r="F160" s="1122">
        <f t="shared" si="148"/>
        <v>8.3189409505583143</v>
      </c>
      <c r="G160" s="1121">
        <f>FORECAST(C160,N164:N165,L164:L165)</f>
        <v>0.73</v>
      </c>
      <c r="H160" s="1186">
        <f t="shared" si="149"/>
        <v>0.7323222285794545</v>
      </c>
      <c r="I160" s="1123">
        <f>FORECAST(C160,O164:O165,L164:L165)</f>
        <v>0.96449999999999991</v>
      </c>
      <c r="J160" s="1124" t="e">
        <f t="shared" si="150"/>
        <v>#NAME?</v>
      </c>
      <c r="L160" s="1125">
        <f>B160</f>
        <v>160</v>
      </c>
      <c r="M160" s="1126">
        <f>D160</f>
        <v>62.230000000000004</v>
      </c>
      <c r="N160" s="1126">
        <f>G160</f>
        <v>0.73</v>
      </c>
      <c r="O160" s="1127">
        <f>I160</f>
        <v>0.96449999999999991</v>
      </c>
      <c r="U160" s="1119">
        <v>160</v>
      </c>
      <c r="V160" s="1120">
        <v>20</v>
      </c>
      <c r="W160" s="1121">
        <v>62.03</v>
      </c>
      <c r="X160" s="1122">
        <f t="shared" si="161"/>
        <v>0.99362525989000006</v>
      </c>
      <c r="Y160" s="1122">
        <f t="shared" si="151"/>
        <v>8.2922048395168275</v>
      </c>
      <c r="Z160" s="1121">
        <v>0.64</v>
      </c>
      <c r="AA160" s="1198">
        <f t="shared" si="162"/>
        <v>0.64410600840688337</v>
      </c>
      <c r="AB160" s="1124">
        <v>0.97599999999999998</v>
      </c>
      <c r="AD160" s="1125">
        <f>U160</f>
        <v>160</v>
      </c>
      <c r="AE160" s="1126">
        <f>W160</f>
        <v>62.03</v>
      </c>
      <c r="AF160" s="1126">
        <f>Z160</f>
        <v>0.64</v>
      </c>
      <c r="AG160" s="1127">
        <f>AB160</f>
        <v>0.97599999999999998</v>
      </c>
      <c r="AN160" s="1119">
        <v>160</v>
      </c>
      <c r="AO160" s="1120">
        <v>30</v>
      </c>
      <c r="AP160" s="1121">
        <v>62.43</v>
      </c>
      <c r="AQ160" s="1122">
        <f t="shared" si="135"/>
        <v>1.0000326450899999</v>
      </c>
      <c r="AR160" s="1122">
        <f t="shared" si="137"/>
        <v>8.3456770615997993</v>
      </c>
      <c r="AS160" s="1121">
        <v>0.82</v>
      </c>
      <c r="AT160" s="1186">
        <f t="shared" si="136"/>
        <v>0.81997323190004712</v>
      </c>
      <c r="AU160" s="1124">
        <v>0.95299999999999996</v>
      </c>
      <c r="AW160" s="1125">
        <f>AN160</f>
        <v>160</v>
      </c>
      <c r="AX160" s="1126">
        <f>AP160</f>
        <v>62.43</v>
      </c>
      <c r="AY160" s="1126">
        <f>AS160</f>
        <v>0.82</v>
      </c>
      <c r="AZ160" s="1127">
        <f>AU160</f>
        <v>0.95299999999999996</v>
      </c>
    </row>
    <row r="161" spans="2:52" x14ac:dyDescent="0.2">
      <c r="B161" s="1164">
        <v>161</v>
      </c>
      <c r="C161" s="1131">
        <v>25</v>
      </c>
      <c r="D161" s="1132">
        <f t="shared" ref="D161:D169" si="163">FORECAST(B161,$M$160:$M$161,$L$160:$L$161)</f>
        <v>62.206000000000003</v>
      </c>
      <c r="E161" s="1133">
        <f t="shared" si="147"/>
        <v>0.99644450937800011</v>
      </c>
      <c r="F161" s="1133">
        <f t="shared" si="148"/>
        <v>8.3157326172333352</v>
      </c>
      <c r="G161" s="1132">
        <f t="shared" ref="G161:G169" si="164">FORECAST(B161,$N$160:$N$161,$L$160:$L$161)</f>
        <v>0.72350000000000003</v>
      </c>
      <c r="H161" s="1187">
        <f t="shared" si="149"/>
        <v>0.72608157623511083</v>
      </c>
      <c r="I161" s="1135">
        <f>FORECAST(B161,$O$160:$O$161,$L$160:$L$161)</f>
        <v>0.96484999999999999</v>
      </c>
      <c r="J161" s="1136" t="e">
        <f t="shared" si="150"/>
        <v>#NAME?</v>
      </c>
      <c r="L161" s="1125">
        <f>B170</f>
        <v>170</v>
      </c>
      <c r="M161" s="1126">
        <f>D170</f>
        <v>61.989999999999995</v>
      </c>
      <c r="N161" s="1126">
        <f>G170</f>
        <v>0.66500000000000004</v>
      </c>
      <c r="O161" s="1127">
        <f>I170</f>
        <v>0.96800000000000008</v>
      </c>
      <c r="U161" s="1164">
        <v>161</v>
      </c>
      <c r="V161" s="1165">
        <v>20</v>
      </c>
      <c r="W161" s="1132">
        <f t="shared" ref="W161:W169" si="165">FORECAST(U161,$M$150:$M$151,$L$150:$L$151)</f>
        <v>62.207000000000008</v>
      </c>
      <c r="X161" s="1133">
        <f t="shared" si="161"/>
        <v>0.99646052784100014</v>
      </c>
      <c r="Y161" s="1133">
        <f t="shared" si="151"/>
        <v>8.3158662977885438</v>
      </c>
      <c r="Z161" s="1132">
        <f t="shared" ref="Z161:Z169" si="166">FORECAST(U161,$N$150:$N$151,$L$150:$L$151)</f>
        <v>0.72199999999999998</v>
      </c>
      <c r="AA161" s="1199">
        <f t="shared" si="162"/>
        <v>0.72456457614466152</v>
      </c>
      <c r="AB161" s="1188">
        <f>FORECAST(U161,$O$150:$O$151,$L$150:$L$151)</f>
        <v>0.96479999999999988</v>
      </c>
      <c r="AD161" s="1125">
        <f>U170</f>
        <v>170</v>
      </c>
      <c r="AE161" s="1126">
        <f>W170</f>
        <v>61.8</v>
      </c>
      <c r="AF161" s="1126">
        <f>Z170</f>
        <v>0.59</v>
      </c>
      <c r="AG161" s="1127">
        <f>AB170</f>
        <v>0.97899999999999998</v>
      </c>
      <c r="AN161" s="1164">
        <v>161</v>
      </c>
      <c r="AO161" s="1131">
        <v>30</v>
      </c>
      <c r="AP161" s="1132">
        <f t="shared" ref="AP161:AP169" si="167">FORECAST(AN161,$M$160:$M$161,$L$160:$L$161)</f>
        <v>62.206000000000003</v>
      </c>
      <c r="AQ161" s="1133">
        <f t="shared" si="135"/>
        <v>0.99644450937800011</v>
      </c>
      <c r="AR161" s="1133">
        <f t="shared" si="137"/>
        <v>8.3157326172333352</v>
      </c>
      <c r="AS161" s="1132">
        <f t="shared" ref="AS161:AS169" si="168">FORECAST(AN161,$N$160:$N$161,$L$160:$L$161)</f>
        <v>0.72350000000000003</v>
      </c>
      <c r="AT161" s="1187">
        <f t="shared" si="136"/>
        <v>0.72608157623511083</v>
      </c>
      <c r="AU161" s="1188">
        <f>FORECAST(AN161,$O$160:$O$161,$L$160:$L$161)</f>
        <v>0.96484999999999999</v>
      </c>
      <c r="AW161" s="1125">
        <f>AN170</f>
        <v>170</v>
      </c>
      <c r="AX161" s="1126">
        <f>AP170</f>
        <v>62.18</v>
      </c>
      <c r="AY161" s="1126">
        <f>AS170</f>
        <v>0.74</v>
      </c>
      <c r="AZ161" s="1127">
        <f>AU170</f>
        <v>0.95699999999999996</v>
      </c>
    </row>
    <row r="162" spans="2:52" x14ac:dyDescent="0.2">
      <c r="B162" s="1164">
        <v>162</v>
      </c>
      <c r="C162" s="1131">
        <v>25</v>
      </c>
      <c r="D162" s="1132">
        <f t="shared" si="163"/>
        <v>62.182000000000002</v>
      </c>
      <c r="E162" s="1133">
        <f t="shared" si="147"/>
        <v>0.99606006626600008</v>
      </c>
      <c r="F162" s="1133">
        <f t="shared" si="148"/>
        <v>8.312524283908358</v>
      </c>
      <c r="G162" s="1132">
        <f t="shared" si="164"/>
        <v>0.71700000000000008</v>
      </c>
      <c r="H162" s="1187">
        <f t="shared" si="149"/>
        <v>0.71983610655918373</v>
      </c>
      <c r="I162" s="1135">
        <f t="shared" ref="I162:I169" si="169">FORECAST(B162,$O$160:$O$161,$L$160:$L$161)</f>
        <v>0.96519999999999995</v>
      </c>
      <c r="J162" s="1136" t="e">
        <f t="shared" si="150"/>
        <v>#NAME?</v>
      </c>
      <c r="L162" s="184"/>
      <c r="M162" s="1166"/>
      <c r="N162" s="1166"/>
      <c r="O162" s="1166"/>
      <c r="U162" s="1164">
        <v>162</v>
      </c>
      <c r="V162" s="1165">
        <v>20</v>
      </c>
      <c r="W162" s="1132">
        <f t="shared" si="165"/>
        <v>62.184000000000005</v>
      </c>
      <c r="X162" s="1133">
        <f t="shared" si="161"/>
        <v>0.99609210319200003</v>
      </c>
      <c r="Y162" s="1133">
        <f t="shared" si="151"/>
        <v>8.3127916450187733</v>
      </c>
      <c r="Z162" s="1132">
        <f t="shared" si="166"/>
        <v>0.71399999999999997</v>
      </c>
      <c r="AA162" s="1199">
        <f t="shared" si="162"/>
        <v>0.71680118506307855</v>
      </c>
      <c r="AB162" s="1188">
        <f t="shared" ref="AB162:AB169" si="170">FORECAST(U162,$O$150:$O$151,$L$150:$L$151)</f>
        <v>0.96509999999999985</v>
      </c>
      <c r="AD162" s="184"/>
      <c r="AE162" s="1166"/>
      <c r="AF162" s="1166"/>
      <c r="AG162" s="1166"/>
      <c r="AN162" s="1164">
        <v>162</v>
      </c>
      <c r="AO162" s="1131">
        <v>30</v>
      </c>
      <c r="AP162" s="1132">
        <f t="shared" si="167"/>
        <v>62.182000000000002</v>
      </c>
      <c r="AQ162" s="1133">
        <f t="shared" si="135"/>
        <v>0.99606006626600008</v>
      </c>
      <c r="AR162" s="1133">
        <f t="shared" si="137"/>
        <v>8.312524283908358</v>
      </c>
      <c r="AS162" s="1132">
        <f t="shared" si="168"/>
        <v>0.71700000000000008</v>
      </c>
      <c r="AT162" s="1187">
        <f t="shared" si="136"/>
        <v>0.71983610655918373</v>
      </c>
      <c r="AU162" s="1188">
        <f t="shared" ref="AU162:AU169" si="171">FORECAST(AN162,$O$160:$O$161,$L$160:$L$161)</f>
        <v>0.96519999999999995</v>
      </c>
      <c r="AW162" s="184"/>
      <c r="AX162" s="1166"/>
      <c r="AY162" s="1166"/>
      <c r="AZ162" s="1166"/>
    </row>
    <row r="163" spans="2:52" x14ac:dyDescent="0.2">
      <c r="B163" s="1164">
        <v>163</v>
      </c>
      <c r="C163" s="1131">
        <v>25</v>
      </c>
      <c r="D163" s="1132">
        <f t="shared" si="163"/>
        <v>62.158000000000001</v>
      </c>
      <c r="E163" s="1133">
        <f t="shared" si="147"/>
        <v>0.99567562315400004</v>
      </c>
      <c r="F163" s="1133">
        <f t="shared" si="148"/>
        <v>8.3093159505833789</v>
      </c>
      <c r="G163" s="1132">
        <f t="shared" si="164"/>
        <v>0.71050000000000013</v>
      </c>
      <c r="H163" s="1187">
        <f t="shared" si="149"/>
        <v>0.71358581397157284</v>
      </c>
      <c r="I163" s="1135">
        <f t="shared" si="169"/>
        <v>0.96554999999999991</v>
      </c>
      <c r="J163" s="1136" t="e">
        <f t="shared" si="150"/>
        <v>#NAME?</v>
      </c>
      <c r="L163" s="1189" t="s">
        <v>1089</v>
      </c>
      <c r="M163" s="179"/>
      <c r="N163" s="179"/>
      <c r="O163" s="179"/>
      <c r="U163" s="1164">
        <v>163</v>
      </c>
      <c r="V163" s="1165">
        <v>20</v>
      </c>
      <c r="W163" s="1132">
        <f t="shared" si="165"/>
        <v>62.161000000000001</v>
      </c>
      <c r="X163" s="1133">
        <f t="shared" si="161"/>
        <v>0.99572367854300003</v>
      </c>
      <c r="Y163" s="1133">
        <f t="shared" si="151"/>
        <v>8.3097169922490011</v>
      </c>
      <c r="Z163" s="1132">
        <f t="shared" si="166"/>
        <v>0.70599999999999996</v>
      </c>
      <c r="AA163" s="1199">
        <f t="shared" si="162"/>
        <v>0.7090320489646883</v>
      </c>
      <c r="AB163" s="1188">
        <f t="shared" si="170"/>
        <v>0.96539999999999992</v>
      </c>
      <c r="AD163" s="184"/>
      <c r="AE163" s="1166"/>
      <c r="AF163" s="1166"/>
      <c r="AG163" s="1166"/>
      <c r="AN163" s="1164">
        <v>163</v>
      </c>
      <c r="AO163" s="1131">
        <v>30</v>
      </c>
      <c r="AP163" s="1132">
        <f t="shared" si="167"/>
        <v>62.158000000000001</v>
      </c>
      <c r="AQ163" s="1133">
        <f t="shared" si="135"/>
        <v>0.99567562315400004</v>
      </c>
      <c r="AR163" s="1133">
        <f t="shared" si="137"/>
        <v>8.3093159505833789</v>
      </c>
      <c r="AS163" s="1132">
        <f t="shared" si="168"/>
        <v>0.71050000000000013</v>
      </c>
      <c r="AT163" s="1187">
        <f t="shared" si="136"/>
        <v>0.71358581397157284</v>
      </c>
      <c r="AU163" s="1188">
        <f t="shared" si="171"/>
        <v>0.96554999999999991</v>
      </c>
      <c r="AW163" s="184"/>
      <c r="AX163" s="1166"/>
      <c r="AY163" s="1166"/>
      <c r="AZ163" s="1166"/>
    </row>
    <row r="164" spans="2:52" ht="13.5" thickBot="1" x14ac:dyDescent="0.25">
      <c r="B164" s="1174">
        <v>164</v>
      </c>
      <c r="C164" s="1142">
        <v>25</v>
      </c>
      <c r="D164" s="1143">
        <f t="shared" si="163"/>
        <v>62.134</v>
      </c>
      <c r="E164" s="1144">
        <f t="shared" si="147"/>
        <v>0.99529118004200001</v>
      </c>
      <c r="F164" s="1144">
        <f t="shared" si="148"/>
        <v>8.3061076172583999</v>
      </c>
      <c r="G164" s="1143">
        <f t="shared" si="164"/>
        <v>0.70399999999999996</v>
      </c>
      <c r="H164" s="1191">
        <f t="shared" si="149"/>
        <v>0.70733069288355599</v>
      </c>
      <c r="I164" s="1146">
        <f t="shared" si="169"/>
        <v>0.96589999999999998</v>
      </c>
      <c r="J164" s="1147" t="e">
        <f t="shared" si="150"/>
        <v>#NAME?</v>
      </c>
      <c r="L164" s="1190">
        <v>20</v>
      </c>
      <c r="M164" s="1200">
        <f>W160</f>
        <v>62.03</v>
      </c>
      <c r="N164" s="1200">
        <f>Z160</f>
        <v>0.64</v>
      </c>
      <c r="O164" s="1201">
        <f>AB160</f>
        <v>0.97599999999999998</v>
      </c>
      <c r="U164" s="1174">
        <v>164</v>
      </c>
      <c r="V164" s="1168">
        <v>20</v>
      </c>
      <c r="W164" s="1143">
        <f t="shared" si="165"/>
        <v>62.138000000000005</v>
      </c>
      <c r="X164" s="1144">
        <f t="shared" si="161"/>
        <v>0.99535525389400015</v>
      </c>
      <c r="Y164" s="1144">
        <f t="shared" si="151"/>
        <v>8.3066423394792306</v>
      </c>
      <c r="Z164" s="1143">
        <f t="shared" si="166"/>
        <v>0.69799999999999995</v>
      </c>
      <c r="AA164" s="1202">
        <f t="shared" si="162"/>
        <v>0.70125716147004247</v>
      </c>
      <c r="AB164" s="1192">
        <f t="shared" si="170"/>
        <v>0.96569999999999989</v>
      </c>
      <c r="AD164" s="184"/>
      <c r="AE164" s="1166"/>
      <c r="AF164" s="1166"/>
      <c r="AG164" s="1166"/>
      <c r="AN164" s="1174">
        <v>164</v>
      </c>
      <c r="AO164" s="1142">
        <v>30</v>
      </c>
      <c r="AP164" s="1143">
        <f t="shared" si="167"/>
        <v>62.134</v>
      </c>
      <c r="AQ164" s="1144">
        <f t="shared" si="135"/>
        <v>0.99529118004200001</v>
      </c>
      <c r="AR164" s="1144">
        <f t="shared" si="137"/>
        <v>8.3061076172583999</v>
      </c>
      <c r="AS164" s="1143">
        <f t="shared" si="168"/>
        <v>0.70399999999999996</v>
      </c>
      <c r="AT164" s="1191">
        <f t="shared" si="136"/>
        <v>0.70733069288355599</v>
      </c>
      <c r="AU164" s="1192">
        <f t="shared" si="171"/>
        <v>0.96589999999999998</v>
      </c>
      <c r="AW164" s="184"/>
      <c r="AX164" s="1166"/>
      <c r="AY164" s="1166"/>
      <c r="AZ164" s="1166"/>
    </row>
    <row r="165" spans="2:52" x14ac:dyDescent="0.2">
      <c r="B165" s="1172">
        <v>165</v>
      </c>
      <c r="C165" s="1149">
        <v>25</v>
      </c>
      <c r="D165" s="1150">
        <f t="shared" si="163"/>
        <v>62.11</v>
      </c>
      <c r="E165" s="1122">
        <f t="shared" si="147"/>
        <v>0.99490673692999998</v>
      </c>
      <c r="F165" s="1122">
        <f t="shared" si="148"/>
        <v>8.3028992839334226</v>
      </c>
      <c r="G165" s="1150">
        <f t="shared" si="164"/>
        <v>0.69750000000000001</v>
      </c>
      <c r="H165" s="1186">
        <f t="shared" si="149"/>
        <v>0.70107073769777373</v>
      </c>
      <c r="I165" s="1173">
        <f t="shared" si="169"/>
        <v>0.96625000000000005</v>
      </c>
      <c r="J165" s="1124" t="e">
        <f t="shared" si="150"/>
        <v>#NAME?</v>
      </c>
      <c r="L165" s="1190">
        <v>30</v>
      </c>
      <c r="M165" s="1200">
        <f>AP160</f>
        <v>62.43</v>
      </c>
      <c r="N165" s="1200">
        <f>AS160</f>
        <v>0.82</v>
      </c>
      <c r="O165" s="1201">
        <f>AU160</f>
        <v>0.95299999999999996</v>
      </c>
      <c r="U165" s="1172">
        <v>165</v>
      </c>
      <c r="V165" s="1120">
        <v>20</v>
      </c>
      <c r="W165" s="1150">
        <f t="shared" si="165"/>
        <v>62.115000000000009</v>
      </c>
      <c r="X165" s="1122">
        <f t="shared" si="161"/>
        <v>0.99498682924500015</v>
      </c>
      <c r="Y165" s="1122">
        <f t="shared" si="151"/>
        <v>8.3035676867094601</v>
      </c>
      <c r="Z165" s="1150">
        <f t="shared" si="166"/>
        <v>0.69</v>
      </c>
      <c r="AA165" s="1198">
        <f t="shared" si="162"/>
        <v>0.69347651619024409</v>
      </c>
      <c r="AB165" s="1203">
        <f t="shared" si="170"/>
        <v>0.96599999999999986</v>
      </c>
      <c r="AD165" s="184"/>
      <c r="AE165" s="1166"/>
      <c r="AF165" s="1166"/>
      <c r="AG165" s="1166"/>
      <c r="AN165" s="1172">
        <v>165</v>
      </c>
      <c r="AO165" s="1149">
        <v>30</v>
      </c>
      <c r="AP165" s="1150">
        <f t="shared" si="167"/>
        <v>62.11</v>
      </c>
      <c r="AQ165" s="1122">
        <f t="shared" si="135"/>
        <v>0.99490673692999998</v>
      </c>
      <c r="AR165" s="1122">
        <f t="shared" si="137"/>
        <v>8.3028992839334226</v>
      </c>
      <c r="AS165" s="1150">
        <f t="shared" si="168"/>
        <v>0.69750000000000001</v>
      </c>
      <c r="AT165" s="1186">
        <f t="shared" si="136"/>
        <v>0.70107073769777373</v>
      </c>
      <c r="AU165" s="1203">
        <f t="shared" si="171"/>
        <v>0.96625000000000005</v>
      </c>
      <c r="AW165" s="184"/>
      <c r="AX165" s="1166"/>
      <c r="AY165" s="1166"/>
      <c r="AZ165" s="1166"/>
    </row>
    <row r="166" spans="2:52" x14ac:dyDescent="0.2">
      <c r="B166" s="1164">
        <v>166</v>
      </c>
      <c r="C166" s="1131">
        <v>25</v>
      </c>
      <c r="D166" s="1132">
        <f t="shared" si="163"/>
        <v>62.085999999999999</v>
      </c>
      <c r="E166" s="1133">
        <f t="shared" si="147"/>
        <v>0.99452229381799995</v>
      </c>
      <c r="F166" s="1133">
        <f t="shared" si="148"/>
        <v>8.2996909506084435</v>
      </c>
      <c r="G166" s="1132">
        <f t="shared" si="164"/>
        <v>0.69100000000000006</v>
      </c>
      <c r="H166" s="1187">
        <f t="shared" si="149"/>
        <v>0.69480594280821095</v>
      </c>
      <c r="I166" s="1135">
        <f t="shared" si="169"/>
        <v>0.96660000000000001</v>
      </c>
      <c r="J166" s="1136" t="e">
        <f t="shared" si="150"/>
        <v>#NAME?</v>
      </c>
      <c r="L166" s="184"/>
      <c r="M166" s="1166"/>
      <c r="N166" s="1166"/>
      <c r="O166" s="1166"/>
      <c r="U166" s="1164">
        <v>166</v>
      </c>
      <c r="V166" s="1165">
        <v>20</v>
      </c>
      <c r="W166" s="1132">
        <f t="shared" si="165"/>
        <v>62.092000000000006</v>
      </c>
      <c r="X166" s="1133">
        <f t="shared" si="161"/>
        <v>0.99461840459600015</v>
      </c>
      <c r="Y166" s="1133">
        <f t="shared" si="151"/>
        <v>8.3004930339396896</v>
      </c>
      <c r="Z166" s="1132">
        <f t="shared" si="166"/>
        <v>0.68199999999999994</v>
      </c>
      <c r="AA166" s="1199">
        <f t="shared" si="162"/>
        <v>0.68569010672692976</v>
      </c>
      <c r="AB166" s="1188">
        <f t="shared" si="170"/>
        <v>0.96629999999999983</v>
      </c>
      <c r="AD166" s="184"/>
      <c r="AE166" s="1166"/>
      <c r="AF166" s="1166"/>
      <c r="AG166" s="1166"/>
      <c r="AN166" s="1164">
        <v>166</v>
      </c>
      <c r="AO166" s="1131">
        <v>30</v>
      </c>
      <c r="AP166" s="1132">
        <f t="shared" si="167"/>
        <v>62.085999999999999</v>
      </c>
      <c r="AQ166" s="1133">
        <f t="shared" si="135"/>
        <v>0.99452229381799995</v>
      </c>
      <c r="AR166" s="1133">
        <f t="shared" si="137"/>
        <v>8.2996909506084435</v>
      </c>
      <c r="AS166" s="1132">
        <f t="shared" si="168"/>
        <v>0.69100000000000006</v>
      </c>
      <c r="AT166" s="1187">
        <f t="shared" si="136"/>
        <v>0.69480594280821095</v>
      </c>
      <c r="AU166" s="1188">
        <f t="shared" si="171"/>
        <v>0.96660000000000001</v>
      </c>
      <c r="AW166" s="184"/>
      <c r="AX166" s="1166"/>
      <c r="AY166" s="1166"/>
      <c r="AZ166" s="1166"/>
    </row>
    <row r="167" spans="2:52" x14ac:dyDescent="0.2">
      <c r="B167" s="1164">
        <v>167</v>
      </c>
      <c r="C167" s="1131">
        <v>25</v>
      </c>
      <c r="D167" s="1132">
        <f t="shared" si="163"/>
        <v>62.061999999999998</v>
      </c>
      <c r="E167" s="1133">
        <f t="shared" si="147"/>
        <v>0.99413785070600003</v>
      </c>
      <c r="F167" s="1133">
        <f t="shared" si="148"/>
        <v>8.2964826172834645</v>
      </c>
      <c r="G167" s="1132">
        <f t="shared" si="164"/>
        <v>0.68450000000000011</v>
      </c>
      <c r="H167" s="1187">
        <f t="shared" si="149"/>
        <v>0.68853630260018106</v>
      </c>
      <c r="I167" s="1135">
        <f t="shared" si="169"/>
        <v>0.96694999999999998</v>
      </c>
      <c r="J167" s="1136" t="e">
        <f t="shared" si="150"/>
        <v>#NAME?</v>
      </c>
      <c r="L167" s="184"/>
      <c r="M167" s="1166"/>
      <c r="N167" s="1166"/>
      <c r="O167" s="1166"/>
      <c r="U167" s="1164">
        <v>167</v>
      </c>
      <c r="V167" s="1165">
        <v>20</v>
      </c>
      <c r="W167" s="1132">
        <f t="shared" si="165"/>
        <v>62.069000000000003</v>
      </c>
      <c r="X167" s="1133">
        <f t="shared" si="161"/>
        <v>0.99424997994700004</v>
      </c>
      <c r="Y167" s="1133">
        <f t="shared" si="151"/>
        <v>8.2974183811699174</v>
      </c>
      <c r="Z167" s="1132">
        <f t="shared" si="166"/>
        <v>0.67399999999999993</v>
      </c>
      <c r="AA167" s="1199">
        <f t="shared" si="162"/>
        <v>0.67789792667225246</v>
      </c>
      <c r="AB167" s="1188">
        <f t="shared" si="170"/>
        <v>0.96659999999999979</v>
      </c>
      <c r="AD167" s="184"/>
      <c r="AE167" s="1166"/>
      <c r="AF167" s="1166"/>
      <c r="AG167" s="1166"/>
      <c r="AN167" s="1164">
        <v>167</v>
      </c>
      <c r="AO167" s="1131">
        <v>30</v>
      </c>
      <c r="AP167" s="1132">
        <f t="shared" si="167"/>
        <v>62.061999999999998</v>
      </c>
      <c r="AQ167" s="1133">
        <f t="shared" si="135"/>
        <v>0.99413785070600003</v>
      </c>
      <c r="AR167" s="1133">
        <f t="shared" si="137"/>
        <v>8.2964826172834645</v>
      </c>
      <c r="AS167" s="1132">
        <f t="shared" si="168"/>
        <v>0.68450000000000011</v>
      </c>
      <c r="AT167" s="1187">
        <f t="shared" si="136"/>
        <v>0.68853630260018106</v>
      </c>
      <c r="AU167" s="1188">
        <f t="shared" si="171"/>
        <v>0.96694999999999998</v>
      </c>
      <c r="AW167" s="184"/>
      <c r="AX167" s="1166"/>
      <c r="AY167" s="1166"/>
      <c r="AZ167" s="1166"/>
    </row>
    <row r="168" spans="2:52" x14ac:dyDescent="0.2">
      <c r="B168" s="1164">
        <v>168</v>
      </c>
      <c r="C168" s="1131">
        <v>25</v>
      </c>
      <c r="D168" s="1132">
        <f t="shared" si="163"/>
        <v>62.037999999999997</v>
      </c>
      <c r="E168" s="1133">
        <f t="shared" si="147"/>
        <v>0.99375340759399999</v>
      </c>
      <c r="F168" s="1133">
        <f t="shared" si="148"/>
        <v>8.2932742839584872</v>
      </c>
      <c r="G168" s="1132">
        <f t="shared" si="164"/>
        <v>0.67800000000000016</v>
      </c>
      <c r="H168" s="1187">
        <f t="shared" si="149"/>
        <v>0.68226181145030951</v>
      </c>
      <c r="I168" s="1135">
        <f t="shared" si="169"/>
        <v>0.96730000000000005</v>
      </c>
      <c r="J168" s="1136" t="e">
        <f t="shared" si="150"/>
        <v>#NAME?</v>
      </c>
      <c r="L168" s="184"/>
      <c r="M168" s="1166"/>
      <c r="N168" s="1166"/>
      <c r="O168" s="1166"/>
      <c r="U168" s="1164">
        <v>168</v>
      </c>
      <c r="V168" s="1165">
        <v>20</v>
      </c>
      <c r="W168" s="1132">
        <f t="shared" si="165"/>
        <v>62.046000000000006</v>
      </c>
      <c r="X168" s="1133">
        <f t="shared" si="161"/>
        <v>0.99388155529800015</v>
      </c>
      <c r="Y168" s="1133">
        <f t="shared" si="151"/>
        <v>8.2943437284001469</v>
      </c>
      <c r="Z168" s="1132">
        <f t="shared" si="166"/>
        <v>0.66599999999999993</v>
      </c>
      <c r="AA168" s="1199">
        <f t="shared" si="162"/>
        <v>0.67009996960886353</v>
      </c>
      <c r="AB168" s="1188">
        <f t="shared" si="170"/>
        <v>0.96689999999999987</v>
      </c>
      <c r="AD168" s="184"/>
      <c r="AE168" s="1166"/>
      <c r="AF168" s="1166"/>
      <c r="AG168" s="1166"/>
      <c r="AN168" s="1164">
        <v>168</v>
      </c>
      <c r="AO168" s="1131">
        <v>30</v>
      </c>
      <c r="AP168" s="1132">
        <f t="shared" si="167"/>
        <v>62.037999999999997</v>
      </c>
      <c r="AQ168" s="1133">
        <f t="shared" si="135"/>
        <v>0.99375340759399999</v>
      </c>
      <c r="AR168" s="1133">
        <f t="shared" si="137"/>
        <v>8.2932742839584872</v>
      </c>
      <c r="AS168" s="1132">
        <f t="shared" si="168"/>
        <v>0.67800000000000016</v>
      </c>
      <c r="AT168" s="1187">
        <f t="shared" si="136"/>
        <v>0.68226181145030951</v>
      </c>
      <c r="AU168" s="1188">
        <f t="shared" si="171"/>
        <v>0.96730000000000005</v>
      </c>
      <c r="AW168" s="184"/>
      <c r="AX168" s="1166"/>
      <c r="AY168" s="1166"/>
      <c r="AZ168" s="1166"/>
    </row>
    <row r="169" spans="2:52" ht="13.5" thickBot="1" x14ac:dyDescent="0.25">
      <c r="B169" s="1174">
        <v>169</v>
      </c>
      <c r="C169" s="1142">
        <v>25</v>
      </c>
      <c r="D169" s="1143">
        <f t="shared" si="163"/>
        <v>62.013999999999996</v>
      </c>
      <c r="E169" s="1144">
        <f t="shared" si="147"/>
        <v>0.99336896448199996</v>
      </c>
      <c r="F169" s="1144">
        <f t="shared" si="148"/>
        <v>8.2900659506335082</v>
      </c>
      <c r="G169" s="1143">
        <f t="shared" si="164"/>
        <v>0.67149999999999999</v>
      </c>
      <c r="H169" s="1191">
        <f t="shared" si="149"/>
        <v>0.67598246372651571</v>
      </c>
      <c r="I169" s="1135">
        <f t="shared" si="169"/>
        <v>0.96765000000000012</v>
      </c>
      <c r="J169" s="1147" t="e">
        <f t="shared" si="150"/>
        <v>#NAME?</v>
      </c>
      <c r="L169" s="184"/>
      <c r="M169" s="1166"/>
      <c r="N169" s="1166"/>
      <c r="O169" s="1166"/>
      <c r="U169" s="1174">
        <v>169</v>
      </c>
      <c r="V169" s="1175">
        <v>20</v>
      </c>
      <c r="W169" s="1143">
        <f t="shared" si="165"/>
        <v>62.02300000000001</v>
      </c>
      <c r="X169" s="1144">
        <f t="shared" si="161"/>
        <v>0.99351313064900015</v>
      </c>
      <c r="Y169" s="1144">
        <f t="shared" si="151"/>
        <v>8.2912690756303782</v>
      </c>
      <c r="Z169" s="1143">
        <f t="shared" si="166"/>
        <v>0.65799999999999992</v>
      </c>
      <c r="AA169" s="1202">
        <f t="shared" si="162"/>
        <v>0.66229622910989572</v>
      </c>
      <c r="AB169" s="1188">
        <f t="shared" si="170"/>
        <v>0.96719999999999984</v>
      </c>
      <c r="AD169" s="184"/>
      <c r="AE169" s="1166"/>
      <c r="AF169" s="1166"/>
      <c r="AG169" s="1166"/>
      <c r="AN169" s="1174">
        <v>169</v>
      </c>
      <c r="AO169" s="1142">
        <v>30</v>
      </c>
      <c r="AP169" s="1143">
        <f t="shared" si="167"/>
        <v>62.013999999999996</v>
      </c>
      <c r="AQ169" s="1144">
        <f t="shared" si="135"/>
        <v>0.99336896448199996</v>
      </c>
      <c r="AR169" s="1144">
        <f t="shared" si="137"/>
        <v>8.2900659506335082</v>
      </c>
      <c r="AS169" s="1143">
        <f t="shared" si="168"/>
        <v>0.67149999999999999</v>
      </c>
      <c r="AT169" s="1191">
        <f t="shared" si="136"/>
        <v>0.67598246372651571</v>
      </c>
      <c r="AU169" s="1188">
        <f t="shared" si="171"/>
        <v>0.96765000000000012</v>
      </c>
      <c r="AW169" s="184"/>
      <c r="AX169" s="1166"/>
      <c r="AY169" s="1166"/>
      <c r="AZ169" s="1166"/>
    </row>
    <row r="170" spans="2:52" x14ac:dyDescent="0.2">
      <c r="B170" s="1119">
        <v>170</v>
      </c>
      <c r="C170" s="1120">
        <v>25</v>
      </c>
      <c r="D170" s="1121">
        <f>FORECAST(C170,M174:M175,L174:L175)</f>
        <v>61.989999999999995</v>
      </c>
      <c r="E170" s="1122">
        <f t="shared" si="147"/>
        <v>0.99298452136999993</v>
      </c>
      <c r="F170" s="1122">
        <f t="shared" si="148"/>
        <v>8.2868576173085309</v>
      </c>
      <c r="G170" s="1121">
        <f>FORECAST(C170,N174:N175,L174:L175)</f>
        <v>0.66500000000000004</v>
      </c>
      <c r="H170" s="1186">
        <f t="shared" si="149"/>
        <v>0.66969825378799808</v>
      </c>
      <c r="I170" s="1123">
        <f>FORECAST(C170,O174:O175,L174:L175)</f>
        <v>0.96800000000000008</v>
      </c>
      <c r="J170" s="1124" t="e">
        <f t="shared" si="150"/>
        <v>#NAME?</v>
      </c>
      <c r="L170" s="1125">
        <f>B170</f>
        <v>170</v>
      </c>
      <c r="M170" s="1126">
        <f>D170</f>
        <v>61.989999999999995</v>
      </c>
      <c r="N170" s="1126">
        <f>G170</f>
        <v>0.66500000000000004</v>
      </c>
      <c r="O170" s="1127">
        <f>I170</f>
        <v>0.96800000000000008</v>
      </c>
      <c r="U170" s="1119">
        <v>170</v>
      </c>
      <c r="V170" s="1120">
        <v>20</v>
      </c>
      <c r="W170" s="1121">
        <v>61.8</v>
      </c>
      <c r="X170" s="1122">
        <f t="shared" si="161"/>
        <v>0.98994101339999996</v>
      </c>
      <c r="Y170" s="1122">
        <f t="shared" si="151"/>
        <v>8.2614583118191192</v>
      </c>
      <c r="Z170" s="1121">
        <v>0.59</v>
      </c>
      <c r="AA170" s="1198">
        <f t="shared" si="162"/>
        <v>0.59599510679289525</v>
      </c>
      <c r="AB170" s="1124">
        <v>0.97899999999999998</v>
      </c>
      <c r="AD170" s="1125">
        <f>U170</f>
        <v>170</v>
      </c>
      <c r="AE170" s="1126">
        <f>W170</f>
        <v>61.8</v>
      </c>
      <c r="AF170" s="1126">
        <f>Z170</f>
        <v>0.59</v>
      </c>
      <c r="AG170" s="1127">
        <f>AB170</f>
        <v>0.97899999999999998</v>
      </c>
      <c r="AN170" s="1119">
        <v>170</v>
      </c>
      <c r="AO170" s="1120">
        <v>30</v>
      </c>
      <c r="AP170" s="1121">
        <v>62.18</v>
      </c>
      <c r="AQ170" s="1122">
        <f t="shared" si="135"/>
        <v>0.99602802934000001</v>
      </c>
      <c r="AR170" s="1122">
        <f t="shared" si="137"/>
        <v>8.3122569227979426</v>
      </c>
      <c r="AS170" s="1121">
        <v>0.74</v>
      </c>
      <c r="AT170" s="1186">
        <f t="shared" si="136"/>
        <v>0.74295097949236188</v>
      </c>
      <c r="AU170" s="1124">
        <v>0.95699999999999996</v>
      </c>
      <c r="AW170" s="1125">
        <f>AN170</f>
        <v>170</v>
      </c>
      <c r="AX170" s="1126">
        <f>AP170</f>
        <v>62.18</v>
      </c>
      <c r="AY170" s="1126">
        <f>AS170</f>
        <v>0.74</v>
      </c>
      <c r="AZ170" s="1127">
        <f>AU170</f>
        <v>0.95699999999999996</v>
      </c>
    </row>
    <row r="171" spans="2:52" x14ac:dyDescent="0.2">
      <c r="B171" s="1164">
        <v>171</v>
      </c>
      <c r="C171" s="1131">
        <v>25</v>
      </c>
      <c r="D171" s="1132">
        <f t="shared" ref="D171:D179" si="172">FORECAST(B171,$M$170:$M$171,$L$170:$L$171)</f>
        <v>61.964999999999989</v>
      </c>
      <c r="E171" s="1133">
        <f t="shared" si="147"/>
        <v>0.99258405979499986</v>
      </c>
      <c r="F171" s="1133">
        <f t="shared" si="148"/>
        <v>8.2835156034283433</v>
      </c>
      <c r="G171" s="1132">
        <f t="shared" ref="G171:G179" si="173">FORECAST(B171,$N$170:$N$171,$L$170:$L$171)</f>
        <v>0.65950000000000009</v>
      </c>
      <c r="H171" s="1187">
        <f t="shared" si="149"/>
        <v>0.66442735352430282</v>
      </c>
      <c r="I171" s="1135">
        <f>FORECAST(B171,$O$170:$O$171,$L$170:$L$171)</f>
        <v>0.96835000000000004</v>
      </c>
      <c r="J171" s="1136" t="e">
        <f t="shared" si="150"/>
        <v>#NAME?</v>
      </c>
      <c r="L171" s="1125">
        <f>B180</f>
        <v>180</v>
      </c>
      <c r="M171" s="1126">
        <f>D180</f>
        <v>61.74</v>
      </c>
      <c r="N171" s="1126">
        <f>G180</f>
        <v>0.6100000000000001</v>
      </c>
      <c r="O171" s="1127">
        <f>I180</f>
        <v>0.97149999999999992</v>
      </c>
      <c r="U171" s="1164">
        <v>171</v>
      </c>
      <c r="V171" s="1165">
        <v>20</v>
      </c>
      <c r="W171" s="1132">
        <f t="shared" ref="W171:W179" si="174">FORECAST(U171,$M$160:$M$161,$L$160:$L$161)</f>
        <v>61.965999999999994</v>
      </c>
      <c r="X171" s="1133">
        <f t="shared" si="161"/>
        <v>0.9926000782579999</v>
      </c>
      <c r="Y171" s="1133">
        <f t="shared" si="151"/>
        <v>8.2836492839835518</v>
      </c>
      <c r="Z171" s="1132">
        <f t="shared" ref="Z171:Z179" si="175">FORECAST(U171,$N$160:$N$161,$L$160:$L$161)</f>
        <v>0.65850000000000009</v>
      </c>
      <c r="AA171" s="1199">
        <f t="shared" si="162"/>
        <v>0.66340917598521543</v>
      </c>
      <c r="AB171" s="1188">
        <f>FORECAST(U171,$O$160:$O$161,$L$160:$L$161)</f>
        <v>0.96835000000000004</v>
      </c>
      <c r="AD171" s="1125">
        <f>U180</f>
        <v>180</v>
      </c>
      <c r="AE171" s="1126">
        <f>W180</f>
        <v>61.56</v>
      </c>
      <c r="AF171" s="1126">
        <f>Z180</f>
        <v>0.54</v>
      </c>
      <c r="AG171" s="1127">
        <f>AB180</f>
        <v>0.98199999999999998</v>
      </c>
      <c r="AN171" s="1164">
        <v>171</v>
      </c>
      <c r="AO171" s="1131">
        <v>30</v>
      </c>
      <c r="AP171" s="1132">
        <f t="shared" ref="AP171:AP179" si="176">FORECAST(AN171,$M$170:$M$171,$L$170:$L$171)</f>
        <v>61.964999999999989</v>
      </c>
      <c r="AQ171" s="1133">
        <f t="shared" si="135"/>
        <v>0.99258405979499986</v>
      </c>
      <c r="AR171" s="1133">
        <f t="shared" si="137"/>
        <v>8.2835156034283433</v>
      </c>
      <c r="AS171" s="1132">
        <f t="shared" ref="AS171:AS179" si="177">FORECAST(AN171,$N$170:$N$171,$L$170:$L$171)</f>
        <v>0.65950000000000009</v>
      </c>
      <c r="AT171" s="1187">
        <f t="shared" si="136"/>
        <v>0.66442735352430282</v>
      </c>
      <c r="AU171" s="1188">
        <f>FORECAST(AN171,$O$170:$O$171,$L$170:$L$171)</f>
        <v>0.96835000000000004</v>
      </c>
      <c r="AW171" s="1125">
        <f>AN180</f>
        <v>180</v>
      </c>
      <c r="AX171" s="1126">
        <f>AP180</f>
        <v>61.92</v>
      </c>
      <c r="AY171" s="1126">
        <f>AS180</f>
        <v>0.68</v>
      </c>
      <c r="AZ171" s="1127">
        <f>AU180</f>
        <v>0.96099999999999997</v>
      </c>
    </row>
    <row r="172" spans="2:52" x14ac:dyDescent="0.2">
      <c r="B172" s="1164">
        <v>172</v>
      </c>
      <c r="C172" s="1131">
        <v>25</v>
      </c>
      <c r="D172" s="1132">
        <f t="shared" si="172"/>
        <v>61.939999999999991</v>
      </c>
      <c r="E172" s="1133">
        <f t="shared" si="147"/>
        <v>0.99218359821999991</v>
      </c>
      <c r="F172" s="1133">
        <f t="shared" si="148"/>
        <v>8.2801735895481574</v>
      </c>
      <c r="G172" s="1132">
        <f t="shared" si="173"/>
        <v>0.65400000000000003</v>
      </c>
      <c r="H172" s="1187">
        <f t="shared" si="149"/>
        <v>0.65915219841699757</v>
      </c>
      <c r="I172" s="1135">
        <f t="shared" ref="I172:I179" si="178">FORECAST(B172,$O$170:$O$171,$L$170:$L$171)</f>
        <v>0.96870000000000001</v>
      </c>
      <c r="J172" s="1136" t="e">
        <f t="shared" si="150"/>
        <v>#NAME?</v>
      </c>
      <c r="L172" s="184"/>
      <c r="M172" s="1166"/>
      <c r="N172" s="1166"/>
      <c r="O172" s="1166"/>
      <c r="U172" s="1164">
        <v>172</v>
      </c>
      <c r="V172" s="1165">
        <v>20</v>
      </c>
      <c r="W172" s="1132">
        <f t="shared" si="174"/>
        <v>61.941999999999993</v>
      </c>
      <c r="X172" s="1133">
        <f t="shared" si="161"/>
        <v>0.99221563514599986</v>
      </c>
      <c r="Y172" s="1133">
        <f t="shared" si="151"/>
        <v>8.2804409506585728</v>
      </c>
      <c r="Z172" s="1132">
        <f t="shared" si="175"/>
        <v>0.65200000000000014</v>
      </c>
      <c r="AA172" s="1199">
        <f t="shared" si="162"/>
        <v>0.65711522465987082</v>
      </c>
      <c r="AB172" s="1188">
        <f t="shared" ref="AB172:AB179" si="179">FORECAST(U172,$O$160:$O$161,$L$160:$L$161)</f>
        <v>0.96870000000000012</v>
      </c>
      <c r="AD172" s="184"/>
      <c r="AE172" s="1166"/>
      <c r="AF172" s="1166"/>
      <c r="AG172" s="1166"/>
      <c r="AN172" s="1164">
        <v>172</v>
      </c>
      <c r="AO172" s="1131">
        <v>30</v>
      </c>
      <c r="AP172" s="1132">
        <f t="shared" si="176"/>
        <v>61.939999999999991</v>
      </c>
      <c r="AQ172" s="1133">
        <f t="shared" si="135"/>
        <v>0.99218359821999991</v>
      </c>
      <c r="AR172" s="1133">
        <f t="shared" si="137"/>
        <v>8.2801735895481574</v>
      </c>
      <c r="AS172" s="1132">
        <f t="shared" si="177"/>
        <v>0.65400000000000003</v>
      </c>
      <c r="AT172" s="1187">
        <f t="shared" si="136"/>
        <v>0.65915219841699757</v>
      </c>
      <c r="AU172" s="1188">
        <f t="shared" ref="AU172:AU179" si="180">FORECAST(AN172,$O$170:$O$171,$L$170:$L$171)</f>
        <v>0.96870000000000001</v>
      </c>
      <c r="AW172" s="184"/>
      <c r="AX172" s="1166"/>
      <c r="AY172" s="1166"/>
      <c r="AZ172" s="1166"/>
    </row>
    <row r="173" spans="2:52" x14ac:dyDescent="0.2">
      <c r="B173" s="1164">
        <v>173</v>
      </c>
      <c r="C173" s="1131">
        <v>25</v>
      </c>
      <c r="D173" s="1132">
        <f t="shared" si="172"/>
        <v>61.914999999999992</v>
      </c>
      <c r="E173" s="1133">
        <f t="shared" si="147"/>
        <v>0.99178313664499984</v>
      </c>
      <c r="F173" s="1133">
        <f t="shared" si="148"/>
        <v>8.2768315756679733</v>
      </c>
      <c r="G173" s="1132">
        <f t="shared" si="173"/>
        <v>0.64850000000000008</v>
      </c>
      <c r="H173" s="1187">
        <f t="shared" si="149"/>
        <v>0.65387278331202869</v>
      </c>
      <c r="I173" s="1135">
        <f t="shared" si="178"/>
        <v>0.96905000000000008</v>
      </c>
      <c r="J173" s="1136" t="e">
        <f t="shared" si="150"/>
        <v>#NAME?</v>
      </c>
      <c r="L173" s="1189" t="s">
        <v>1089</v>
      </c>
      <c r="M173" s="179"/>
      <c r="N173" s="179"/>
      <c r="O173" s="179"/>
      <c r="U173" s="1164">
        <v>173</v>
      </c>
      <c r="V173" s="1165">
        <v>20</v>
      </c>
      <c r="W173" s="1132">
        <f t="shared" si="174"/>
        <v>61.917999999999992</v>
      </c>
      <c r="X173" s="1133">
        <f t="shared" si="161"/>
        <v>0.99183119203399983</v>
      </c>
      <c r="Y173" s="1133">
        <f t="shared" si="151"/>
        <v>8.2772326173335955</v>
      </c>
      <c r="Z173" s="1132">
        <f t="shared" si="175"/>
        <v>0.64550000000000018</v>
      </c>
      <c r="AA173" s="1199">
        <f t="shared" si="162"/>
        <v>0.65081639414489445</v>
      </c>
      <c r="AB173" s="1188">
        <f t="shared" si="179"/>
        <v>0.96905000000000019</v>
      </c>
      <c r="AD173" s="184"/>
      <c r="AE173" s="1166"/>
      <c r="AF173" s="1166"/>
      <c r="AG173" s="1166"/>
      <c r="AN173" s="1164">
        <v>173</v>
      </c>
      <c r="AO173" s="1131">
        <v>30</v>
      </c>
      <c r="AP173" s="1132">
        <f t="shared" si="176"/>
        <v>61.914999999999992</v>
      </c>
      <c r="AQ173" s="1133">
        <f t="shared" si="135"/>
        <v>0.99178313664499984</v>
      </c>
      <c r="AR173" s="1133">
        <f t="shared" si="137"/>
        <v>8.2768315756679733</v>
      </c>
      <c r="AS173" s="1132">
        <f t="shared" si="177"/>
        <v>0.64850000000000008</v>
      </c>
      <c r="AT173" s="1187">
        <f t="shared" si="136"/>
        <v>0.65387278331202869</v>
      </c>
      <c r="AU173" s="1188">
        <f t="shared" si="180"/>
        <v>0.96905000000000008</v>
      </c>
      <c r="AW173" s="184"/>
      <c r="AX173" s="1166"/>
      <c r="AY173" s="1166"/>
      <c r="AZ173" s="1166"/>
    </row>
    <row r="174" spans="2:52" ht="13.5" thickBot="1" x14ac:dyDescent="0.25">
      <c r="B174" s="1174">
        <v>174</v>
      </c>
      <c r="C174" s="1142">
        <v>25</v>
      </c>
      <c r="D174" s="1143">
        <f t="shared" si="172"/>
        <v>61.889999999999993</v>
      </c>
      <c r="E174" s="1144">
        <f t="shared" si="147"/>
        <v>0.99138267506999989</v>
      </c>
      <c r="F174" s="1144">
        <f t="shared" si="148"/>
        <v>8.2734895617877875</v>
      </c>
      <c r="G174" s="1143">
        <f t="shared" si="173"/>
        <v>0.64300000000000013</v>
      </c>
      <c r="H174" s="1191">
        <f t="shared" si="149"/>
        <v>0.64858910304701356</v>
      </c>
      <c r="I174" s="1146">
        <f t="shared" si="178"/>
        <v>0.96940000000000004</v>
      </c>
      <c r="J174" s="1147" t="e">
        <f t="shared" si="150"/>
        <v>#NAME?</v>
      </c>
      <c r="L174" s="1190">
        <v>20</v>
      </c>
      <c r="M174" s="1200">
        <f>W170</f>
        <v>61.8</v>
      </c>
      <c r="N174" s="1200">
        <f>Z170</f>
        <v>0.59</v>
      </c>
      <c r="O174" s="1201">
        <f>AB170</f>
        <v>0.97899999999999998</v>
      </c>
      <c r="U174" s="1174">
        <v>174</v>
      </c>
      <c r="V174" s="1168">
        <v>20</v>
      </c>
      <c r="W174" s="1143">
        <f t="shared" si="174"/>
        <v>61.893999999999991</v>
      </c>
      <c r="X174" s="1144">
        <f t="shared" si="161"/>
        <v>0.99144674892199991</v>
      </c>
      <c r="Y174" s="1144">
        <f t="shared" si="151"/>
        <v>8.2740242840086164</v>
      </c>
      <c r="Z174" s="1143">
        <f t="shared" si="175"/>
        <v>0.63900000000000001</v>
      </c>
      <c r="AA174" s="1202">
        <f t="shared" si="162"/>
        <v>0.64451267876442653</v>
      </c>
      <c r="AB174" s="1192">
        <f t="shared" si="179"/>
        <v>0.96940000000000015</v>
      </c>
      <c r="AD174" s="184"/>
      <c r="AE174" s="1166"/>
      <c r="AF174" s="1166"/>
      <c r="AG174" s="1166"/>
      <c r="AN174" s="1174">
        <v>174</v>
      </c>
      <c r="AO174" s="1142">
        <v>30</v>
      </c>
      <c r="AP174" s="1143">
        <f t="shared" si="176"/>
        <v>61.889999999999993</v>
      </c>
      <c r="AQ174" s="1144">
        <f t="shared" si="135"/>
        <v>0.99138267506999989</v>
      </c>
      <c r="AR174" s="1144">
        <f t="shared" si="137"/>
        <v>8.2734895617877875</v>
      </c>
      <c r="AS174" s="1143">
        <f t="shared" si="177"/>
        <v>0.64300000000000013</v>
      </c>
      <c r="AT174" s="1191">
        <f t="shared" si="136"/>
        <v>0.64858910304701356</v>
      </c>
      <c r="AU174" s="1192">
        <f t="shared" si="180"/>
        <v>0.96940000000000004</v>
      </c>
      <c r="AW174" s="184"/>
      <c r="AX174" s="1166"/>
      <c r="AY174" s="1166"/>
      <c r="AZ174" s="1166"/>
    </row>
    <row r="175" spans="2:52" x14ac:dyDescent="0.2">
      <c r="B175" s="1172">
        <v>175</v>
      </c>
      <c r="C175" s="1149">
        <v>25</v>
      </c>
      <c r="D175" s="1150">
        <f t="shared" si="172"/>
        <v>61.864999999999995</v>
      </c>
      <c r="E175" s="1122">
        <f t="shared" si="147"/>
        <v>0.99098221349499993</v>
      </c>
      <c r="F175" s="1122">
        <f t="shared" si="148"/>
        <v>8.2701475479076016</v>
      </c>
      <c r="G175" s="1150">
        <f t="shared" si="173"/>
        <v>0.63750000000000007</v>
      </c>
      <c r="H175" s="1186">
        <f t="shared" si="149"/>
        <v>0.64330115245122577</v>
      </c>
      <c r="I175" s="1173">
        <f t="shared" si="178"/>
        <v>0.96975</v>
      </c>
      <c r="J175" s="1124" t="e">
        <f t="shared" si="150"/>
        <v>#NAME?</v>
      </c>
      <c r="L175" s="1190">
        <v>30</v>
      </c>
      <c r="M175" s="1200">
        <f>AP170</f>
        <v>62.18</v>
      </c>
      <c r="N175" s="1200">
        <f>AS170</f>
        <v>0.74</v>
      </c>
      <c r="O175" s="1201">
        <f>AU170</f>
        <v>0.95699999999999996</v>
      </c>
      <c r="U175" s="1172">
        <v>175</v>
      </c>
      <c r="V175" s="1120">
        <v>20</v>
      </c>
      <c r="W175" s="1150">
        <f t="shared" si="174"/>
        <v>61.86999999999999</v>
      </c>
      <c r="X175" s="1122">
        <f t="shared" si="161"/>
        <v>0.99106230580999988</v>
      </c>
      <c r="Y175" s="1122">
        <f t="shared" si="151"/>
        <v>8.2708159506836374</v>
      </c>
      <c r="Z175" s="1150">
        <f t="shared" si="175"/>
        <v>0.63250000000000006</v>
      </c>
      <c r="AA175" s="1198">
        <f t="shared" si="162"/>
        <v>0.63820407283380109</v>
      </c>
      <c r="AB175" s="1203">
        <f t="shared" si="179"/>
        <v>0.96975000000000011</v>
      </c>
      <c r="AD175" s="184"/>
      <c r="AE175" s="1166"/>
      <c r="AF175" s="1166"/>
      <c r="AG175" s="1166"/>
      <c r="AN175" s="1172">
        <v>175</v>
      </c>
      <c r="AO175" s="1149">
        <v>30</v>
      </c>
      <c r="AP175" s="1150">
        <f t="shared" si="176"/>
        <v>61.864999999999995</v>
      </c>
      <c r="AQ175" s="1122">
        <f t="shared" si="135"/>
        <v>0.99098221349499993</v>
      </c>
      <c r="AR175" s="1122">
        <f t="shared" si="137"/>
        <v>8.2701475479076016</v>
      </c>
      <c r="AS175" s="1150">
        <f t="shared" si="177"/>
        <v>0.63750000000000007</v>
      </c>
      <c r="AT175" s="1186">
        <f t="shared" si="136"/>
        <v>0.64330115245122577</v>
      </c>
      <c r="AU175" s="1203">
        <f t="shared" si="180"/>
        <v>0.96975</v>
      </c>
      <c r="AW175" s="184"/>
      <c r="AX175" s="1166"/>
      <c r="AY175" s="1166"/>
      <c r="AZ175" s="1166"/>
    </row>
    <row r="176" spans="2:52" x14ac:dyDescent="0.2">
      <c r="B176" s="1164">
        <v>176</v>
      </c>
      <c r="C176" s="1131">
        <v>25</v>
      </c>
      <c r="D176" s="1132">
        <f t="shared" si="172"/>
        <v>61.839999999999989</v>
      </c>
      <c r="E176" s="1133">
        <f t="shared" si="147"/>
        <v>0.99058175191999986</v>
      </c>
      <c r="F176" s="1133">
        <f t="shared" si="148"/>
        <v>8.2668055340274158</v>
      </c>
      <c r="G176" s="1132">
        <f t="shared" si="173"/>
        <v>0.63200000000000012</v>
      </c>
      <c r="H176" s="1187">
        <f t="shared" si="149"/>
        <v>0.63800892634557727</v>
      </c>
      <c r="I176" s="1135">
        <f t="shared" si="178"/>
        <v>0.97009999999999996</v>
      </c>
      <c r="J176" s="1136" t="e">
        <f t="shared" si="150"/>
        <v>#NAME?</v>
      </c>
      <c r="L176" s="184"/>
      <c r="M176" s="1166"/>
      <c r="N176" s="1166"/>
      <c r="O176" s="1166"/>
      <c r="U176" s="1164">
        <v>176</v>
      </c>
      <c r="V176" s="1165">
        <v>20</v>
      </c>
      <c r="W176" s="1132">
        <f t="shared" si="174"/>
        <v>61.845999999999989</v>
      </c>
      <c r="X176" s="1133">
        <f t="shared" si="161"/>
        <v>0.99067786269799984</v>
      </c>
      <c r="Y176" s="1133">
        <f t="shared" si="151"/>
        <v>8.2676076173586601</v>
      </c>
      <c r="Z176" s="1132">
        <f t="shared" si="175"/>
        <v>0.62600000000000011</v>
      </c>
      <c r="AA176" s="1199">
        <f t="shared" si="162"/>
        <v>0.63189057065952747</v>
      </c>
      <c r="AB176" s="1188">
        <f t="shared" si="179"/>
        <v>0.97010000000000018</v>
      </c>
      <c r="AD176" s="184"/>
      <c r="AE176" s="1166"/>
      <c r="AF176" s="1166"/>
      <c r="AG176" s="1166"/>
      <c r="AN176" s="1164">
        <v>176</v>
      </c>
      <c r="AO176" s="1131">
        <v>30</v>
      </c>
      <c r="AP176" s="1132">
        <f t="shared" si="176"/>
        <v>61.839999999999989</v>
      </c>
      <c r="AQ176" s="1133">
        <f t="shared" si="135"/>
        <v>0.99058175191999986</v>
      </c>
      <c r="AR176" s="1133">
        <f t="shared" si="137"/>
        <v>8.2668055340274158</v>
      </c>
      <c r="AS176" s="1132">
        <f t="shared" si="177"/>
        <v>0.63200000000000012</v>
      </c>
      <c r="AT176" s="1187">
        <f t="shared" si="136"/>
        <v>0.63800892634557727</v>
      </c>
      <c r="AU176" s="1188">
        <f t="shared" si="180"/>
        <v>0.97009999999999996</v>
      </c>
      <c r="AW176" s="184"/>
      <c r="AX176" s="1166"/>
      <c r="AY176" s="1166"/>
      <c r="AZ176" s="1166"/>
    </row>
    <row r="177" spans="2:52" x14ac:dyDescent="0.2">
      <c r="B177" s="1164">
        <v>177</v>
      </c>
      <c r="C177" s="1131">
        <v>25</v>
      </c>
      <c r="D177" s="1132">
        <f t="shared" si="172"/>
        <v>61.814999999999991</v>
      </c>
      <c r="E177" s="1133">
        <f t="shared" si="147"/>
        <v>0.99018129034499991</v>
      </c>
      <c r="F177" s="1133">
        <f t="shared" si="148"/>
        <v>8.26346352014723</v>
      </c>
      <c r="G177" s="1132">
        <f t="shared" si="173"/>
        <v>0.62650000000000006</v>
      </c>
      <c r="H177" s="1187">
        <f t="shared" si="149"/>
        <v>0.63271241954260149</v>
      </c>
      <c r="I177" s="1135">
        <f t="shared" si="178"/>
        <v>0.97044999999999992</v>
      </c>
      <c r="J177" s="1136" t="e">
        <f t="shared" si="150"/>
        <v>#NAME?</v>
      </c>
      <c r="L177" s="184"/>
      <c r="M177" s="1166"/>
      <c r="N177" s="1166"/>
      <c r="O177" s="1166"/>
      <c r="U177" s="1164">
        <v>177</v>
      </c>
      <c r="V177" s="1165">
        <v>20</v>
      </c>
      <c r="W177" s="1132">
        <f t="shared" si="174"/>
        <v>61.821999999999989</v>
      </c>
      <c r="X177" s="1133">
        <f t="shared" si="161"/>
        <v>0.99029341958599981</v>
      </c>
      <c r="Y177" s="1133">
        <f t="shared" si="151"/>
        <v>8.2643992840336811</v>
      </c>
      <c r="Z177" s="1132">
        <f t="shared" si="175"/>
        <v>0.61950000000000016</v>
      </c>
      <c r="AA177" s="1199">
        <f t="shared" si="162"/>
        <v>0.62557216653927394</v>
      </c>
      <c r="AB177" s="1188">
        <f t="shared" si="179"/>
        <v>0.97045000000000026</v>
      </c>
      <c r="AD177" s="184"/>
      <c r="AE177" s="1166"/>
      <c r="AF177" s="1166"/>
      <c r="AG177" s="1166"/>
      <c r="AN177" s="1164">
        <v>177</v>
      </c>
      <c r="AO177" s="1131">
        <v>30</v>
      </c>
      <c r="AP177" s="1132">
        <f t="shared" si="176"/>
        <v>61.814999999999991</v>
      </c>
      <c r="AQ177" s="1133">
        <f t="shared" si="135"/>
        <v>0.99018129034499991</v>
      </c>
      <c r="AR177" s="1133">
        <f t="shared" si="137"/>
        <v>8.26346352014723</v>
      </c>
      <c r="AS177" s="1132">
        <f t="shared" si="177"/>
        <v>0.62650000000000006</v>
      </c>
      <c r="AT177" s="1187">
        <f t="shared" si="136"/>
        <v>0.63271241954260149</v>
      </c>
      <c r="AU177" s="1188">
        <f t="shared" si="180"/>
        <v>0.97044999999999992</v>
      </c>
      <c r="AW177" s="184"/>
      <c r="AX177" s="1166"/>
      <c r="AY177" s="1166"/>
      <c r="AZ177" s="1166"/>
    </row>
    <row r="178" spans="2:52" x14ac:dyDescent="0.2">
      <c r="B178" s="1164">
        <v>178</v>
      </c>
      <c r="C178" s="1131">
        <v>25</v>
      </c>
      <c r="D178" s="1132">
        <f t="shared" si="172"/>
        <v>61.789999999999992</v>
      </c>
      <c r="E178" s="1133">
        <f t="shared" si="147"/>
        <v>0.98978082876999984</v>
      </c>
      <c r="F178" s="1133">
        <f t="shared" si="148"/>
        <v>8.2601215062670441</v>
      </c>
      <c r="G178" s="1132">
        <f t="shared" si="173"/>
        <v>0.62100000000000011</v>
      </c>
      <c r="H178" s="1187">
        <f t="shared" si="149"/>
        <v>0.62741162684643681</v>
      </c>
      <c r="I178" s="1135">
        <f t="shared" si="178"/>
        <v>0.9708</v>
      </c>
      <c r="J178" s="1136" t="e">
        <f t="shared" si="150"/>
        <v>#NAME?</v>
      </c>
      <c r="L178" s="184"/>
      <c r="M178" s="1166"/>
      <c r="N178" s="1166"/>
      <c r="O178" s="1166"/>
      <c r="U178" s="1164">
        <v>178</v>
      </c>
      <c r="V178" s="1165">
        <v>20</v>
      </c>
      <c r="W178" s="1132">
        <f t="shared" si="174"/>
        <v>61.797999999999988</v>
      </c>
      <c r="X178" s="1133">
        <f t="shared" si="161"/>
        <v>0.98990897647399978</v>
      </c>
      <c r="Y178" s="1133">
        <f t="shared" si="151"/>
        <v>8.261190950708702</v>
      </c>
      <c r="Z178" s="1132">
        <f t="shared" si="175"/>
        <v>0.61300000000000021</v>
      </c>
      <c r="AA178" s="1199">
        <f t="shared" si="162"/>
        <v>0.61924885476185076</v>
      </c>
      <c r="AB178" s="1188">
        <f t="shared" si="179"/>
        <v>0.97080000000000022</v>
      </c>
      <c r="AD178" s="184"/>
      <c r="AE178" s="1166"/>
      <c r="AF178" s="1166"/>
      <c r="AG178" s="1166"/>
      <c r="AN178" s="1164">
        <v>178</v>
      </c>
      <c r="AO178" s="1131">
        <v>30</v>
      </c>
      <c r="AP178" s="1132">
        <f t="shared" si="176"/>
        <v>61.789999999999992</v>
      </c>
      <c r="AQ178" s="1133">
        <f t="shared" si="135"/>
        <v>0.98978082876999984</v>
      </c>
      <c r="AR178" s="1133">
        <f t="shared" si="137"/>
        <v>8.2601215062670441</v>
      </c>
      <c r="AS178" s="1132">
        <f t="shared" si="177"/>
        <v>0.62100000000000011</v>
      </c>
      <c r="AT178" s="1187">
        <f t="shared" si="136"/>
        <v>0.62741162684643681</v>
      </c>
      <c r="AU178" s="1188">
        <f t="shared" si="180"/>
        <v>0.9708</v>
      </c>
      <c r="AW178" s="184"/>
      <c r="AX178" s="1166"/>
      <c r="AY178" s="1166"/>
      <c r="AZ178" s="1166"/>
    </row>
    <row r="179" spans="2:52" ht="13.5" thickBot="1" x14ac:dyDescent="0.25">
      <c r="B179" s="1174">
        <v>179</v>
      </c>
      <c r="C179" s="1142">
        <v>25</v>
      </c>
      <c r="D179" s="1143">
        <f t="shared" si="172"/>
        <v>61.764999999999993</v>
      </c>
      <c r="E179" s="1144">
        <f t="shared" si="147"/>
        <v>0.98938036719499989</v>
      </c>
      <c r="F179" s="1144">
        <f t="shared" si="148"/>
        <v>8.2567794923868583</v>
      </c>
      <c r="G179" s="1143">
        <f t="shared" si="173"/>
        <v>0.61550000000000016</v>
      </c>
      <c r="H179" s="1191">
        <f t="shared" si="149"/>
        <v>0.62210654305280899</v>
      </c>
      <c r="I179" s="1135">
        <f t="shared" si="178"/>
        <v>0.97114999999999996</v>
      </c>
      <c r="J179" s="1147" t="e">
        <f t="shared" si="150"/>
        <v>#NAME?</v>
      </c>
      <c r="L179" s="184"/>
      <c r="M179" s="1166"/>
      <c r="N179" s="1166"/>
      <c r="O179" s="1166"/>
      <c r="U179" s="1174">
        <v>179</v>
      </c>
      <c r="V179" s="1175">
        <v>20</v>
      </c>
      <c r="W179" s="1143">
        <f t="shared" si="174"/>
        <v>61.773999999999987</v>
      </c>
      <c r="X179" s="1144">
        <f t="shared" si="161"/>
        <v>0.98952453336199975</v>
      </c>
      <c r="Y179" s="1144">
        <f t="shared" si="151"/>
        <v>8.2579826173837247</v>
      </c>
      <c r="Z179" s="1143">
        <f t="shared" si="175"/>
        <v>0.60650000000000004</v>
      </c>
      <c r="AA179" s="1202">
        <f t="shared" si="162"/>
        <v>0.61292062960719229</v>
      </c>
      <c r="AB179" s="1188">
        <f t="shared" si="179"/>
        <v>0.97115000000000018</v>
      </c>
      <c r="AD179" s="184"/>
      <c r="AE179" s="1166"/>
      <c r="AF179" s="1166"/>
      <c r="AG179" s="1166"/>
      <c r="AN179" s="1174">
        <v>179</v>
      </c>
      <c r="AO179" s="1142">
        <v>30</v>
      </c>
      <c r="AP179" s="1143">
        <f t="shared" si="176"/>
        <v>61.764999999999993</v>
      </c>
      <c r="AQ179" s="1144">
        <f t="shared" si="135"/>
        <v>0.98938036719499989</v>
      </c>
      <c r="AR179" s="1144">
        <f t="shared" si="137"/>
        <v>8.2567794923868583</v>
      </c>
      <c r="AS179" s="1143">
        <f t="shared" si="177"/>
        <v>0.61550000000000016</v>
      </c>
      <c r="AT179" s="1191">
        <f t="shared" si="136"/>
        <v>0.62210654305280899</v>
      </c>
      <c r="AU179" s="1188">
        <f t="shared" si="180"/>
        <v>0.97114999999999996</v>
      </c>
      <c r="AW179" s="184"/>
      <c r="AX179" s="1166"/>
      <c r="AY179" s="1166"/>
      <c r="AZ179" s="1166"/>
    </row>
    <row r="180" spans="2:52" x14ac:dyDescent="0.2">
      <c r="B180" s="1119">
        <v>180</v>
      </c>
      <c r="C180" s="1120">
        <v>25</v>
      </c>
      <c r="D180" s="1121">
        <f>FORECAST(C180,M184:M185,L184:L185)</f>
        <v>61.74</v>
      </c>
      <c r="E180" s="1122">
        <f t="shared" si="147"/>
        <v>0.98897990562000004</v>
      </c>
      <c r="F180" s="1122">
        <f t="shared" si="148"/>
        <v>8.2534374785066742</v>
      </c>
      <c r="G180" s="1121">
        <f>FORECAST(C180,N184:N185,L184:L185)</f>
        <v>0.6100000000000001</v>
      </c>
      <c r="H180" s="1186">
        <f t="shared" si="149"/>
        <v>0.61679716294901443</v>
      </c>
      <c r="I180" s="1123">
        <f>FORECAST(C180,O184:O185,L184:L185)</f>
        <v>0.97149999999999992</v>
      </c>
      <c r="J180" s="1124" t="e">
        <f t="shared" ref="J180:J210" si="181">E180/VLOOKUP(60,Water,6,FALSE)</f>
        <v>#NAME?</v>
      </c>
      <c r="L180" s="1125">
        <f>B180</f>
        <v>180</v>
      </c>
      <c r="M180" s="1126">
        <f>D180</f>
        <v>61.74</v>
      </c>
      <c r="N180" s="1126">
        <f>G180</f>
        <v>0.6100000000000001</v>
      </c>
      <c r="O180" s="1127">
        <f>I180</f>
        <v>0.97149999999999992</v>
      </c>
      <c r="U180" s="1119">
        <v>180</v>
      </c>
      <c r="V180" s="1120">
        <v>20</v>
      </c>
      <c r="W180" s="1121">
        <v>61.56</v>
      </c>
      <c r="X180" s="1122">
        <f t="shared" si="161"/>
        <v>0.98609658228000008</v>
      </c>
      <c r="Y180" s="1122">
        <f t="shared" si="151"/>
        <v>8.2293749785693358</v>
      </c>
      <c r="Z180" s="1121">
        <v>0.54</v>
      </c>
      <c r="AA180" s="1198">
        <f t="shared" si="162"/>
        <v>0.54761370204877979</v>
      </c>
      <c r="AB180" s="1124">
        <v>0.98199999999999998</v>
      </c>
      <c r="AD180" s="1125">
        <f>U180</f>
        <v>180</v>
      </c>
      <c r="AE180" s="1126">
        <f>W180</f>
        <v>61.56</v>
      </c>
      <c r="AF180" s="1126">
        <f>Z180</f>
        <v>0.54</v>
      </c>
      <c r="AG180" s="1127">
        <f>AB180</f>
        <v>0.98199999999999998</v>
      </c>
      <c r="AN180" s="1119">
        <v>180</v>
      </c>
      <c r="AO180" s="1120">
        <v>30</v>
      </c>
      <c r="AP180" s="1121">
        <v>61.92</v>
      </c>
      <c r="AQ180" s="1122">
        <f t="shared" si="135"/>
        <v>0.99186322896000001</v>
      </c>
      <c r="AR180" s="1122">
        <f t="shared" si="137"/>
        <v>8.2774999784440109</v>
      </c>
      <c r="AS180" s="1121">
        <v>0.68</v>
      </c>
      <c r="AT180" s="1186">
        <f t="shared" si="136"/>
        <v>0.68557839442541046</v>
      </c>
      <c r="AU180" s="1124">
        <v>0.96099999999999997</v>
      </c>
      <c r="AW180" s="1125">
        <f>AN180</f>
        <v>180</v>
      </c>
      <c r="AX180" s="1126">
        <f>AP180</f>
        <v>61.92</v>
      </c>
      <c r="AY180" s="1126">
        <f>AS180</f>
        <v>0.68</v>
      </c>
      <c r="AZ180" s="1127">
        <f>AU180</f>
        <v>0.96099999999999997</v>
      </c>
    </row>
    <row r="181" spans="2:52" x14ac:dyDescent="0.2">
      <c r="B181" s="1164">
        <v>181</v>
      </c>
      <c r="C181" s="1131">
        <v>25</v>
      </c>
      <c r="D181" s="1132">
        <f t="shared" ref="D181:D189" si="182">FORECAST(B181,$M$180:$M$181,$L$180:$L$181)</f>
        <v>61.713999999999999</v>
      </c>
      <c r="E181" s="1133">
        <f t="shared" si="147"/>
        <v>0.98856342558199994</v>
      </c>
      <c r="F181" s="1133">
        <f t="shared" si="148"/>
        <v>8.2499617840712798</v>
      </c>
      <c r="G181" s="1132">
        <f t="shared" ref="G181:G189" si="183">FORECAST(B181,$N$180:$N$181,$L$180:$L$181)</f>
        <v>0.60500000000000009</v>
      </c>
      <c r="H181" s="1187">
        <f t="shared" si="149"/>
        <v>0.61199917409833027</v>
      </c>
      <c r="I181" s="1135">
        <f>FORECAST(B181,$O$180:$O$181,$L$180:$L$181)</f>
        <v>0.97179999999999989</v>
      </c>
      <c r="J181" s="1136" t="e">
        <f t="shared" si="181"/>
        <v>#NAME?</v>
      </c>
      <c r="L181" s="1125">
        <f>B190</f>
        <v>190</v>
      </c>
      <c r="M181" s="1126">
        <f>D190</f>
        <v>61.480000000000004</v>
      </c>
      <c r="N181" s="1126">
        <f>G190</f>
        <v>0.56000000000000005</v>
      </c>
      <c r="O181" s="1127">
        <f>I190</f>
        <v>0.97449999999999981</v>
      </c>
      <c r="U181" s="1164">
        <v>181</v>
      </c>
      <c r="V181" s="1165">
        <v>20</v>
      </c>
      <c r="W181" s="1132">
        <f t="shared" ref="W181:W189" si="184">FORECAST(U181,$M$170:$M$171,$L$170:$L$171)</f>
        <v>61.714999999999996</v>
      </c>
      <c r="X181" s="1133">
        <f t="shared" si="161"/>
        <v>0.98857944404499998</v>
      </c>
      <c r="Y181" s="1133">
        <f t="shared" si="151"/>
        <v>8.2500954646264866</v>
      </c>
      <c r="Z181" s="1132">
        <f t="shared" ref="Z181:Z189" si="185">FORECAST(U181,$N$170:$N$171,$L$170:$L$171)</f>
        <v>0.60450000000000015</v>
      </c>
      <c r="AA181" s="1199">
        <f t="shared" si="162"/>
        <v>0.61148348131390384</v>
      </c>
      <c r="AB181" s="1188">
        <f>FORECAST(U181,$O$170:$O$171,$L$170:$L$171)</f>
        <v>0.97184999999999988</v>
      </c>
      <c r="AD181" s="1125">
        <f>U190</f>
        <v>190</v>
      </c>
      <c r="AE181" s="1126">
        <f>W190</f>
        <v>61.31</v>
      </c>
      <c r="AF181" s="1126">
        <f>Z190</f>
        <v>0.5</v>
      </c>
      <c r="AG181" s="1127">
        <f>AB190</f>
        <v>0.98499999999999999</v>
      </c>
      <c r="AN181" s="1164">
        <v>181</v>
      </c>
      <c r="AO181" s="1131">
        <v>30</v>
      </c>
      <c r="AP181" s="1132">
        <f t="shared" ref="AP181:AP189" si="186">FORECAST(AN181,$M$180:$M$181,$L$180:$L$181)</f>
        <v>61.713999999999999</v>
      </c>
      <c r="AQ181" s="1133">
        <f t="shared" si="135"/>
        <v>0.98856342558199994</v>
      </c>
      <c r="AR181" s="1133">
        <f t="shared" si="137"/>
        <v>8.2499617840712798</v>
      </c>
      <c r="AS181" s="1132">
        <f t="shared" ref="AS181:AS189" si="187">FORECAST(AN181,$N$180:$N$181,$L$180:$L$181)</f>
        <v>0.60500000000000009</v>
      </c>
      <c r="AT181" s="1187">
        <f t="shared" si="136"/>
        <v>0.61199917409833027</v>
      </c>
      <c r="AU181" s="1188">
        <f>FORECAST(AN181,$O$180:$O$181,$L$180:$L$181)</f>
        <v>0.97179999999999989</v>
      </c>
      <c r="AW181" s="1125">
        <f>AN190</f>
        <v>190</v>
      </c>
      <c r="AX181" s="1126">
        <f>AP190</f>
        <v>61.65</v>
      </c>
      <c r="AY181" s="1126">
        <f>AS190</f>
        <v>0.62</v>
      </c>
      <c r="AZ181" s="1127">
        <f>AU190</f>
        <v>0.96399999999999997</v>
      </c>
    </row>
    <row r="182" spans="2:52" x14ac:dyDescent="0.2">
      <c r="B182" s="1164">
        <v>182</v>
      </c>
      <c r="C182" s="1131">
        <v>25</v>
      </c>
      <c r="D182" s="1132">
        <f t="shared" si="182"/>
        <v>61.687999999999995</v>
      </c>
      <c r="E182" s="1133">
        <f t="shared" si="147"/>
        <v>0.98814694554399995</v>
      </c>
      <c r="F182" s="1133">
        <f t="shared" si="148"/>
        <v>8.2464860896358871</v>
      </c>
      <c r="G182" s="1132">
        <f t="shared" si="183"/>
        <v>0.60000000000000009</v>
      </c>
      <c r="H182" s="1187">
        <f t="shared" si="149"/>
        <v>0.60719714077513531</v>
      </c>
      <c r="I182" s="1135">
        <f t="shared" ref="I182:I189" si="188">FORECAST(B182,$O$180:$O$181,$L$180:$L$181)</f>
        <v>0.97209999999999985</v>
      </c>
      <c r="J182" s="1136" t="e">
        <f t="shared" si="181"/>
        <v>#NAME?</v>
      </c>
      <c r="L182" s="184"/>
      <c r="M182" s="1166"/>
      <c r="N182" s="1166"/>
      <c r="O182" s="1166"/>
      <c r="U182" s="1164">
        <v>182</v>
      </c>
      <c r="V182" s="1165">
        <v>20</v>
      </c>
      <c r="W182" s="1132">
        <f t="shared" si="184"/>
        <v>61.69</v>
      </c>
      <c r="X182" s="1133">
        <f t="shared" si="161"/>
        <v>0.98817898247000002</v>
      </c>
      <c r="Y182" s="1133">
        <f t="shared" si="151"/>
        <v>8.2467534507463025</v>
      </c>
      <c r="Z182" s="1132">
        <f t="shared" si="185"/>
        <v>0.5990000000000002</v>
      </c>
      <c r="AA182" s="1199">
        <f t="shared" si="162"/>
        <v>0.60616549291786337</v>
      </c>
      <c r="AB182" s="1188">
        <f t="shared" ref="AB182:AB189" si="189">FORECAST(U182,$O$170:$O$171,$L$170:$L$171)</f>
        <v>0.97219999999999984</v>
      </c>
      <c r="AD182" s="184"/>
      <c r="AE182" s="1166"/>
      <c r="AF182" s="1166"/>
      <c r="AG182" s="1166"/>
      <c r="AN182" s="1164">
        <v>182</v>
      </c>
      <c r="AO182" s="1131">
        <v>30</v>
      </c>
      <c r="AP182" s="1132">
        <f t="shared" si="186"/>
        <v>61.687999999999995</v>
      </c>
      <c r="AQ182" s="1133">
        <f t="shared" si="135"/>
        <v>0.98814694554399995</v>
      </c>
      <c r="AR182" s="1133">
        <f t="shared" si="137"/>
        <v>8.2464860896358871</v>
      </c>
      <c r="AS182" s="1132">
        <f t="shared" si="187"/>
        <v>0.60000000000000009</v>
      </c>
      <c r="AT182" s="1187">
        <f t="shared" si="136"/>
        <v>0.60719714077513531</v>
      </c>
      <c r="AU182" s="1188">
        <f t="shared" ref="AU182:AU189" si="190">FORECAST(AN182,$O$180:$O$181,$L$180:$L$181)</f>
        <v>0.97209999999999985</v>
      </c>
      <c r="AW182" s="184"/>
      <c r="AX182" s="1166"/>
      <c r="AY182" s="1166"/>
      <c r="AZ182" s="1166"/>
    </row>
    <row r="183" spans="2:52" x14ac:dyDescent="0.2">
      <c r="B183" s="1164">
        <v>183</v>
      </c>
      <c r="C183" s="1131">
        <v>25</v>
      </c>
      <c r="D183" s="1132">
        <f t="shared" si="182"/>
        <v>61.661999999999992</v>
      </c>
      <c r="E183" s="1133">
        <f t="shared" si="147"/>
        <v>0.98773046550599986</v>
      </c>
      <c r="F183" s="1133">
        <f t="shared" si="148"/>
        <v>8.2430103952004927</v>
      </c>
      <c r="G183" s="1132">
        <f t="shared" si="183"/>
        <v>0.59500000000000008</v>
      </c>
      <c r="H183" s="1187">
        <f t="shared" si="149"/>
        <v>0.60239105786333147</v>
      </c>
      <c r="I183" s="1135">
        <f t="shared" si="188"/>
        <v>0.97239999999999993</v>
      </c>
      <c r="J183" s="1136" t="e">
        <f t="shared" si="181"/>
        <v>#NAME?</v>
      </c>
      <c r="L183" s="1189" t="s">
        <v>1089</v>
      </c>
      <c r="M183" s="179"/>
      <c r="N183" s="179"/>
      <c r="O183" s="179"/>
      <c r="U183" s="1164">
        <v>183</v>
      </c>
      <c r="V183" s="1165">
        <v>20</v>
      </c>
      <c r="W183" s="1132">
        <f t="shared" si="184"/>
        <v>61.664999999999999</v>
      </c>
      <c r="X183" s="1133">
        <f t="shared" si="161"/>
        <v>0.98777852089499996</v>
      </c>
      <c r="Y183" s="1133">
        <f t="shared" si="151"/>
        <v>8.2434114368661167</v>
      </c>
      <c r="Z183" s="1132">
        <f t="shared" si="185"/>
        <v>0.59350000000000014</v>
      </c>
      <c r="AA183" s="1199">
        <f t="shared" si="162"/>
        <v>0.60084319252279905</v>
      </c>
      <c r="AB183" s="1188">
        <f t="shared" si="189"/>
        <v>0.97254999999999991</v>
      </c>
      <c r="AD183" s="184"/>
      <c r="AE183" s="1166"/>
      <c r="AF183" s="1166"/>
      <c r="AG183" s="1166"/>
      <c r="AN183" s="1164">
        <v>183</v>
      </c>
      <c r="AO183" s="1131">
        <v>30</v>
      </c>
      <c r="AP183" s="1132">
        <f t="shared" si="186"/>
        <v>61.661999999999992</v>
      </c>
      <c r="AQ183" s="1133">
        <f t="shared" si="135"/>
        <v>0.98773046550599986</v>
      </c>
      <c r="AR183" s="1133">
        <f t="shared" si="137"/>
        <v>8.2430103952004927</v>
      </c>
      <c r="AS183" s="1132">
        <f t="shared" si="187"/>
        <v>0.59500000000000008</v>
      </c>
      <c r="AT183" s="1187">
        <f t="shared" si="136"/>
        <v>0.60239105786333147</v>
      </c>
      <c r="AU183" s="1188">
        <f t="shared" si="190"/>
        <v>0.97239999999999993</v>
      </c>
      <c r="AW183" s="184"/>
      <c r="AX183" s="1166"/>
      <c r="AY183" s="1166"/>
      <c r="AZ183" s="1166"/>
    </row>
    <row r="184" spans="2:52" ht="13.5" thickBot="1" x14ac:dyDescent="0.25">
      <c r="B184" s="1174">
        <v>184</v>
      </c>
      <c r="C184" s="1142">
        <v>25</v>
      </c>
      <c r="D184" s="1143">
        <f t="shared" si="182"/>
        <v>61.635999999999996</v>
      </c>
      <c r="E184" s="1144">
        <f t="shared" si="147"/>
        <v>0.98731398546799998</v>
      </c>
      <c r="F184" s="1144">
        <f t="shared" si="148"/>
        <v>8.2395347007651001</v>
      </c>
      <c r="G184" s="1143">
        <f t="shared" si="183"/>
        <v>0.59000000000000008</v>
      </c>
      <c r="H184" s="1191">
        <f t="shared" si="149"/>
        <v>0.59758092023818765</v>
      </c>
      <c r="I184" s="1146">
        <f t="shared" si="188"/>
        <v>0.9726999999999999</v>
      </c>
      <c r="J184" s="1147" t="e">
        <f t="shared" si="181"/>
        <v>#NAME?</v>
      </c>
      <c r="L184" s="1190">
        <v>20</v>
      </c>
      <c r="M184" s="1200">
        <f>W180</f>
        <v>61.56</v>
      </c>
      <c r="N184" s="1200">
        <f>Z180</f>
        <v>0.54</v>
      </c>
      <c r="O184" s="1201">
        <f>AB180</f>
        <v>0.98199999999999998</v>
      </c>
      <c r="U184" s="1174">
        <v>184</v>
      </c>
      <c r="V184" s="1168">
        <v>20</v>
      </c>
      <c r="W184" s="1143">
        <f t="shared" si="184"/>
        <v>61.64</v>
      </c>
      <c r="X184" s="1144">
        <f t="shared" si="161"/>
        <v>0.98737805932</v>
      </c>
      <c r="Y184" s="1144">
        <f t="shared" si="151"/>
        <v>8.2400694229859308</v>
      </c>
      <c r="Z184" s="1143">
        <f t="shared" si="185"/>
        <v>0.58800000000000008</v>
      </c>
      <c r="AA184" s="1202">
        <f t="shared" si="162"/>
        <v>0.59551657488211895</v>
      </c>
      <c r="AB184" s="1192">
        <f t="shared" si="189"/>
        <v>0.97289999999999988</v>
      </c>
      <c r="AD184" s="184"/>
      <c r="AE184" s="1166"/>
      <c r="AF184" s="1166"/>
      <c r="AG184" s="1166"/>
      <c r="AN184" s="1174">
        <v>184</v>
      </c>
      <c r="AO184" s="1142">
        <v>30</v>
      </c>
      <c r="AP184" s="1143">
        <f t="shared" si="186"/>
        <v>61.635999999999996</v>
      </c>
      <c r="AQ184" s="1144">
        <f t="shared" si="135"/>
        <v>0.98731398546799998</v>
      </c>
      <c r="AR184" s="1144">
        <f t="shared" si="137"/>
        <v>8.2395347007651001</v>
      </c>
      <c r="AS184" s="1143">
        <f t="shared" si="187"/>
        <v>0.59000000000000008</v>
      </c>
      <c r="AT184" s="1191">
        <f t="shared" si="136"/>
        <v>0.59758092023818765</v>
      </c>
      <c r="AU184" s="1192">
        <f t="shared" si="190"/>
        <v>0.9726999999999999</v>
      </c>
      <c r="AW184" s="184"/>
      <c r="AX184" s="1166"/>
      <c r="AY184" s="1166"/>
      <c r="AZ184" s="1166"/>
    </row>
    <row r="185" spans="2:52" x14ac:dyDescent="0.2">
      <c r="B185" s="1172">
        <v>185</v>
      </c>
      <c r="C185" s="1149">
        <v>25</v>
      </c>
      <c r="D185" s="1150">
        <f t="shared" si="182"/>
        <v>61.61</v>
      </c>
      <c r="E185" s="1122">
        <f t="shared" si="147"/>
        <v>0.98689750542999999</v>
      </c>
      <c r="F185" s="1122">
        <f t="shared" si="148"/>
        <v>8.2360590063297074</v>
      </c>
      <c r="G185" s="1150">
        <f t="shared" si="183"/>
        <v>0.58500000000000008</v>
      </c>
      <c r="H185" s="1186">
        <f t="shared" si="149"/>
        <v>0.59276672276632247</v>
      </c>
      <c r="I185" s="1173">
        <f t="shared" si="188"/>
        <v>0.97299999999999986</v>
      </c>
      <c r="J185" s="1124" t="e">
        <f t="shared" si="181"/>
        <v>#NAME?</v>
      </c>
      <c r="L185" s="1190">
        <v>30</v>
      </c>
      <c r="M185" s="1200">
        <f>AP180</f>
        <v>61.92</v>
      </c>
      <c r="N185" s="1200">
        <f>AS180</f>
        <v>0.68</v>
      </c>
      <c r="O185" s="1201">
        <f>AU180</f>
        <v>0.96099999999999997</v>
      </c>
      <c r="U185" s="1172">
        <v>185</v>
      </c>
      <c r="V185" s="1120">
        <v>20</v>
      </c>
      <c r="W185" s="1150">
        <f t="shared" si="184"/>
        <v>61.614999999999995</v>
      </c>
      <c r="X185" s="1122">
        <f t="shared" si="161"/>
        <v>0.98697759774499993</v>
      </c>
      <c r="Y185" s="1122">
        <f t="shared" si="151"/>
        <v>8.236727409105745</v>
      </c>
      <c r="Z185" s="1150">
        <f t="shared" si="185"/>
        <v>0.58250000000000024</v>
      </c>
      <c r="AA185" s="1198">
        <f t="shared" si="162"/>
        <v>0.59018563474071639</v>
      </c>
      <c r="AB185" s="1203">
        <f t="shared" si="189"/>
        <v>0.97324999999999984</v>
      </c>
      <c r="AD185" s="184"/>
      <c r="AE185" s="1166"/>
      <c r="AF185" s="1166"/>
      <c r="AG185" s="1166"/>
      <c r="AN185" s="1172">
        <v>185</v>
      </c>
      <c r="AO185" s="1149">
        <v>30</v>
      </c>
      <c r="AP185" s="1150">
        <f t="shared" si="186"/>
        <v>61.61</v>
      </c>
      <c r="AQ185" s="1122">
        <f t="shared" si="135"/>
        <v>0.98689750542999999</v>
      </c>
      <c r="AR185" s="1122">
        <f t="shared" si="137"/>
        <v>8.2360590063297074</v>
      </c>
      <c r="AS185" s="1150">
        <f t="shared" si="187"/>
        <v>0.58500000000000008</v>
      </c>
      <c r="AT185" s="1186">
        <f t="shared" si="136"/>
        <v>0.59276672276632247</v>
      </c>
      <c r="AU185" s="1203">
        <f t="shared" si="190"/>
        <v>0.97299999999999986</v>
      </c>
      <c r="AW185" s="184"/>
      <c r="AX185" s="1166"/>
      <c r="AY185" s="1166"/>
      <c r="AZ185" s="1166"/>
    </row>
    <row r="186" spans="2:52" x14ac:dyDescent="0.2">
      <c r="B186" s="1164">
        <v>186</v>
      </c>
      <c r="C186" s="1131">
        <v>25</v>
      </c>
      <c r="D186" s="1132">
        <f t="shared" si="182"/>
        <v>61.583999999999996</v>
      </c>
      <c r="E186" s="1133">
        <f t="shared" si="147"/>
        <v>0.986481025392</v>
      </c>
      <c r="F186" s="1133">
        <f t="shared" si="148"/>
        <v>8.2325833118943148</v>
      </c>
      <c r="G186" s="1132">
        <f t="shared" si="183"/>
        <v>0.58000000000000007</v>
      </c>
      <c r="H186" s="1187">
        <f t="shared" si="149"/>
        <v>0.58794846030568537</v>
      </c>
      <c r="I186" s="1135">
        <f t="shared" si="188"/>
        <v>0.97329999999999983</v>
      </c>
      <c r="J186" s="1136" t="e">
        <f t="shared" si="181"/>
        <v>#NAME?</v>
      </c>
      <c r="L186" s="184"/>
      <c r="M186" s="1166"/>
      <c r="N186" s="1166"/>
      <c r="O186" s="1166"/>
      <c r="U186" s="1164">
        <v>186</v>
      </c>
      <c r="V186" s="1165">
        <v>20</v>
      </c>
      <c r="W186" s="1132">
        <f t="shared" si="184"/>
        <v>61.589999999999996</v>
      </c>
      <c r="X186" s="1133">
        <f t="shared" si="161"/>
        <v>0.98657713616999998</v>
      </c>
      <c r="Y186" s="1133">
        <f t="shared" si="151"/>
        <v>8.2333853952255591</v>
      </c>
      <c r="Z186" s="1132">
        <f t="shared" si="185"/>
        <v>0.57700000000000018</v>
      </c>
      <c r="AA186" s="1199">
        <f t="shared" si="162"/>
        <v>0.58485036683495129</v>
      </c>
      <c r="AB186" s="1188">
        <f t="shared" si="189"/>
        <v>0.9735999999999998</v>
      </c>
      <c r="AD186" s="184"/>
      <c r="AE186" s="1166"/>
      <c r="AF186" s="1166"/>
      <c r="AG186" s="1166"/>
      <c r="AN186" s="1164">
        <v>186</v>
      </c>
      <c r="AO186" s="1131">
        <v>30</v>
      </c>
      <c r="AP186" s="1132">
        <f t="shared" si="186"/>
        <v>61.583999999999996</v>
      </c>
      <c r="AQ186" s="1133">
        <f t="shared" si="135"/>
        <v>0.986481025392</v>
      </c>
      <c r="AR186" s="1133">
        <f t="shared" si="137"/>
        <v>8.2325833118943148</v>
      </c>
      <c r="AS186" s="1132">
        <f t="shared" si="187"/>
        <v>0.58000000000000007</v>
      </c>
      <c r="AT186" s="1187">
        <f t="shared" si="136"/>
        <v>0.58794846030568537</v>
      </c>
      <c r="AU186" s="1188">
        <f t="shared" si="190"/>
        <v>0.97329999999999983</v>
      </c>
      <c r="AW186" s="184"/>
      <c r="AX186" s="1166"/>
      <c r="AY186" s="1166"/>
      <c r="AZ186" s="1166"/>
    </row>
    <row r="187" spans="2:52" x14ac:dyDescent="0.2">
      <c r="B187" s="1164">
        <v>187</v>
      </c>
      <c r="C187" s="1131">
        <v>25</v>
      </c>
      <c r="D187" s="1132">
        <f t="shared" si="182"/>
        <v>61.557999999999993</v>
      </c>
      <c r="E187" s="1133">
        <f t="shared" si="147"/>
        <v>0.9860645453539999</v>
      </c>
      <c r="F187" s="1133">
        <f t="shared" si="148"/>
        <v>8.2291076174589204</v>
      </c>
      <c r="G187" s="1132">
        <f t="shared" si="183"/>
        <v>0.57500000000000007</v>
      </c>
      <c r="H187" s="1187">
        <f t="shared" si="149"/>
        <v>0.58312612770553829</v>
      </c>
      <c r="I187" s="1135">
        <f t="shared" si="188"/>
        <v>0.9735999999999998</v>
      </c>
      <c r="J187" s="1136" t="e">
        <f t="shared" si="181"/>
        <v>#NAME?</v>
      </c>
      <c r="L187" s="184"/>
      <c r="M187" s="1166"/>
      <c r="N187" s="1166"/>
      <c r="O187" s="1166"/>
      <c r="U187" s="1164">
        <v>187</v>
      </c>
      <c r="V187" s="1165">
        <v>20</v>
      </c>
      <c r="W187" s="1132">
        <f t="shared" si="184"/>
        <v>61.564999999999998</v>
      </c>
      <c r="X187" s="1133">
        <f t="shared" si="161"/>
        <v>0.98617667459500002</v>
      </c>
      <c r="Y187" s="1133">
        <f t="shared" si="151"/>
        <v>8.2300433813453733</v>
      </c>
      <c r="Z187" s="1132">
        <f t="shared" si="185"/>
        <v>0.57150000000000012</v>
      </c>
      <c r="AA187" s="1199">
        <f t="shared" si="162"/>
        <v>0.57951076589263473</v>
      </c>
      <c r="AB187" s="1188">
        <f t="shared" si="189"/>
        <v>0.97394999999999976</v>
      </c>
      <c r="AD187" s="184"/>
      <c r="AE187" s="1166"/>
      <c r="AF187" s="1166"/>
      <c r="AG187" s="1166"/>
      <c r="AN187" s="1164">
        <v>187</v>
      </c>
      <c r="AO187" s="1131">
        <v>30</v>
      </c>
      <c r="AP187" s="1132">
        <f t="shared" si="186"/>
        <v>61.557999999999993</v>
      </c>
      <c r="AQ187" s="1133">
        <f t="shared" si="135"/>
        <v>0.9860645453539999</v>
      </c>
      <c r="AR187" s="1133">
        <f t="shared" si="137"/>
        <v>8.2291076174589204</v>
      </c>
      <c r="AS187" s="1132">
        <f t="shared" si="187"/>
        <v>0.57500000000000007</v>
      </c>
      <c r="AT187" s="1187">
        <f t="shared" si="136"/>
        <v>0.58312612770553829</v>
      </c>
      <c r="AU187" s="1188">
        <f t="shared" si="190"/>
        <v>0.9735999999999998</v>
      </c>
      <c r="AW187" s="184"/>
      <c r="AX187" s="1166"/>
      <c r="AY187" s="1166"/>
      <c r="AZ187" s="1166"/>
    </row>
    <row r="188" spans="2:52" x14ac:dyDescent="0.2">
      <c r="B188" s="1164">
        <v>188</v>
      </c>
      <c r="C188" s="1131">
        <v>25</v>
      </c>
      <c r="D188" s="1132">
        <f t="shared" si="182"/>
        <v>61.531999999999996</v>
      </c>
      <c r="E188" s="1133">
        <f t="shared" si="147"/>
        <v>0.98564806531599991</v>
      </c>
      <c r="F188" s="1133">
        <f t="shared" si="148"/>
        <v>8.2256319230235277</v>
      </c>
      <c r="G188" s="1132">
        <f t="shared" si="183"/>
        <v>0.57000000000000006</v>
      </c>
      <c r="H188" s="1187">
        <f t="shared" si="149"/>
        <v>0.57829971980643757</v>
      </c>
      <c r="I188" s="1135">
        <f t="shared" si="188"/>
        <v>0.97389999999999988</v>
      </c>
      <c r="J188" s="1136" t="e">
        <f t="shared" si="181"/>
        <v>#NAME?</v>
      </c>
      <c r="L188" s="184"/>
      <c r="M188" s="1166"/>
      <c r="N188" s="1166"/>
      <c r="O188" s="1166"/>
      <c r="U188" s="1164">
        <v>188</v>
      </c>
      <c r="V188" s="1165">
        <v>20</v>
      </c>
      <c r="W188" s="1132">
        <f t="shared" si="184"/>
        <v>61.54</v>
      </c>
      <c r="X188" s="1133">
        <f t="shared" si="161"/>
        <v>0.98577621301999996</v>
      </c>
      <c r="Y188" s="1133">
        <f t="shared" si="151"/>
        <v>8.2267013674651874</v>
      </c>
      <c r="Z188" s="1132">
        <f t="shared" si="185"/>
        <v>0.56600000000000028</v>
      </c>
      <c r="AA188" s="1199">
        <f t="shared" si="162"/>
        <v>0.57416682663301088</v>
      </c>
      <c r="AB188" s="1188">
        <f t="shared" si="189"/>
        <v>0.97429999999999983</v>
      </c>
      <c r="AD188" s="184"/>
      <c r="AE188" s="1166"/>
      <c r="AF188" s="1166"/>
      <c r="AG188" s="1166"/>
      <c r="AN188" s="1164">
        <v>188</v>
      </c>
      <c r="AO188" s="1131">
        <v>30</v>
      </c>
      <c r="AP188" s="1132">
        <f t="shared" si="186"/>
        <v>61.531999999999996</v>
      </c>
      <c r="AQ188" s="1133">
        <f t="shared" si="135"/>
        <v>0.98564806531599991</v>
      </c>
      <c r="AR188" s="1133">
        <f t="shared" si="137"/>
        <v>8.2256319230235277</v>
      </c>
      <c r="AS188" s="1132">
        <f t="shared" si="187"/>
        <v>0.57000000000000006</v>
      </c>
      <c r="AT188" s="1187">
        <f t="shared" si="136"/>
        <v>0.57829971980643757</v>
      </c>
      <c r="AU188" s="1188">
        <f t="shared" si="190"/>
        <v>0.97389999999999988</v>
      </c>
      <c r="AW188" s="184"/>
      <c r="AX188" s="1166"/>
      <c r="AY188" s="1166"/>
      <c r="AZ188" s="1166"/>
    </row>
    <row r="189" spans="2:52" ht="13.5" thickBot="1" x14ac:dyDescent="0.25">
      <c r="B189" s="1174">
        <v>189</v>
      </c>
      <c r="C189" s="1142">
        <v>25</v>
      </c>
      <c r="D189" s="1143">
        <f t="shared" si="182"/>
        <v>61.506</v>
      </c>
      <c r="E189" s="1144">
        <f t="shared" si="147"/>
        <v>0.98523158527800003</v>
      </c>
      <c r="F189" s="1144">
        <f t="shared" si="148"/>
        <v>8.2221562285881351</v>
      </c>
      <c r="G189" s="1143">
        <f t="shared" si="183"/>
        <v>0.56500000000000006</v>
      </c>
      <c r="H189" s="1191">
        <f t="shared" si="149"/>
        <v>0.57346923144021578</v>
      </c>
      <c r="I189" s="1135">
        <f t="shared" si="188"/>
        <v>0.97419999999999984</v>
      </c>
      <c r="J189" s="1147" t="e">
        <f t="shared" si="181"/>
        <v>#NAME?</v>
      </c>
      <c r="L189" s="184"/>
      <c r="M189" s="1166"/>
      <c r="N189" s="1166"/>
      <c r="O189" s="1166"/>
      <c r="U189" s="1174">
        <v>189</v>
      </c>
      <c r="V189" s="1175">
        <v>20</v>
      </c>
      <c r="W189" s="1143">
        <f t="shared" si="184"/>
        <v>61.515000000000001</v>
      </c>
      <c r="X189" s="1144">
        <f t="shared" si="161"/>
        <v>0.985375751445</v>
      </c>
      <c r="Y189" s="1144">
        <f t="shared" si="151"/>
        <v>8.2233593535850016</v>
      </c>
      <c r="Z189" s="1143">
        <f t="shared" si="185"/>
        <v>0.56050000000000022</v>
      </c>
      <c r="AA189" s="1202">
        <f t="shared" si="162"/>
        <v>0.56881854376673813</v>
      </c>
      <c r="AB189" s="1188">
        <f t="shared" si="189"/>
        <v>0.97464999999999979</v>
      </c>
      <c r="AD189" s="184"/>
      <c r="AE189" s="1166"/>
      <c r="AF189" s="1166"/>
      <c r="AG189" s="1166"/>
      <c r="AN189" s="1174">
        <v>189</v>
      </c>
      <c r="AO189" s="1142">
        <v>30</v>
      </c>
      <c r="AP189" s="1143">
        <f t="shared" si="186"/>
        <v>61.506</v>
      </c>
      <c r="AQ189" s="1144">
        <f t="shared" si="135"/>
        <v>0.98523158527800003</v>
      </c>
      <c r="AR189" s="1144">
        <f t="shared" si="137"/>
        <v>8.2221562285881351</v>
      </c>
      <c r="AS189" s="1143">
        <f t="shared" si="187"/>
        <v>0.56500000000000006</v>
      </c>
      <c r="AT189" s="1191">
        <f t="shared" si="136"/>
        <v>0.57346923144021578</v>
      </c>
      <c r="AU189" s="1188">
        <f t="shared" si="190"/>
        <v>0.97419999999999984</v>
      </c>
      <c r="AW189" s="184"/>
      <c r="AX189" s="1166"/>
      <c r="AY189" s="1166"/>
      <c r="AZ189" s="1166"/>
    </row>
    <row r="190" spans="2:52" x14ac:dyDescent="0.2">
      <c r="B190" s="1119">
        <v>190</v>
      </c>
      <c r="C190" s="1120">
        <v>25</v>
      </c>
      <c r="D190" s="1121">
        <f>FORECAST(C190,M194:M195,L194:L195)</f>
        <v>61.480000000000004</v>
      </c>
      <c r="E190" s="1122">
        <f t="shared" si="147"/>
        <v>0.98481510524000004</v>
      </c>
      <c r="F190" s="1122">
        <f t="shared" si="148"/>
        <v>8.2186805341527425</v>
      </c>
      <c r="G190" s="1121">
        <f>FORECAST(C190,N194:N195,L194:L195)</f>
        <v>0.56000000000000005</v>
      </c>
      <c r="H190" s="1186">
        <f t="shared" si="149"/>
        <v>0.56863465742996266</v>
      </c>
      <c r="I190" s="1123">
        <f>FORECAST(C190,O194:O195,L194:L195)</f>
        <v>0.97449999999999981</v>
      </c>
      <c r="J190" s="1124" t="e">
        <f t="shared" si="181"/>
        <v>#NAME?</v>
      </c>
      <c r="L190" s="1125">
        <f>B190</f>
        <v>190</v>
      </c>
      <c r="M190" s="1126">
        <f>D190</f>
        <v>61.480000000000004</v>
      </c>
      <c r="N190" s="1126">
        <f>G190</f>
        <v>0.56000000000000005</v>
      </c>
      <c r="O190" s="1127">
        <f>I190</f>
        <v>0.97449999999999981</v>
      </c>
      <c r="U190" s="1119">
        <v>190</v>
      </c>
      <c r="V190" s="1120">
        <v>20</v>
      </c>
      <c r="W190" s="1121">
        <v>61.31</v>
      </c>
      <c r="X190" s="1122">
        <f t="shared" si="161"/>
        <v>0.98209196653000008</v>
      </c>
      <c r="Y190" s="1122">
        <f t="shared" si="151"/>
        <v>8.1959548397674791</v>
      </c>
      <c r="Z190" s="1121">
        <v>0.5</v>
      </c>
      <c r="AA190" s="1198">
        <f t="shared" si="162"/>
        <v>0.50911728945980173</v>
      </c>
      <c r="AB190" s="1124">
        <v>0.98499999999999999</v>
      </c>
      <c r="AD190" s="1125">
        <f>U190</f>
        <v>190</v>
      </c>
      <c r="AE190" s="1126">
        <f>W190</f>
        <v>61.31</v>
      </c>
      <c r="AF190" s="1126">
        <f>Z190</f>
        <v>0.5</v>
      </c>
      <c r="AG190" s="1127">
        <f>AB190</f>
        <v>0.98499999999999999</v>
      </c>
      <c r="AN190" s="1119">
        <v>190</v>
      </c>
      <c r="AO190" s="1120">
        <v>30</v>
      </c>
      <c r="AP190" s="1121">
        <v>61.65</v>
      </c>
      <c r="AQ190" s="1122">
        <f t="shared" si="135"/>
        <v>0.98753824395000001</v>
      </c>
      <c r="AR190" s="1122">
        <f t="shared" si="137"/>
        <v>8.2414062285380041</v>
      </c>
      <c r="AS190" s="1121">
        <v>0.62</v>
      </c>
      <c r="AT190" s="1186">
        <f t="shared" si="136"/>
        <v>0.6278237868744162</v>
      </c>
      <c r="AU190" s="1124">
        <v>0.96399999999999997</v>
      </c>
      <c r="AW190" s="1125">
        <f>AN190</f>
        <v>190</v>
      </c>
      <c r="AX190" s="1126">
        <f>AP190</f>
        <v>61.65</v>
      </c>
      <c r="AY190" s="1126">
        <f>AS190</f>
        <v>0.62</v>
      </c>
      <c r="AZ190" s="1127">
        <f>AU190</f>
        <v>0.96399999999999997</v>
      </c>
    </row>
    <row r="191" spans="2:52" x14ac:dyDescent="0.2">
      <c r="B191" s="1164">
        <v>191</v>
      </c>
      <c r="C191" s="1131">
        <v>25</v>
      </c>
      <c r="D191" s="1132">
        <f t="shared" ref="D191:D199" si="191">FORECAST(B191,$M$190:$M$191,$L$190:$L$191)</f>
        <v>61.453000000000003</v>
      </c>
      <c r="E191" s="1133">
        <f t="shared" si="147"/>
        <v>0.98438260673900002</v>
      </c>
      <c r="F191" s="1133">
        <f t="shared" si="148"/>
        <v>8.2150711591621413</v>
      </c>
      <c r="G191" s="1132">
        <f t="shared" ref="G191:G199" si="192">FORECAST(B191,$N$190:$N$191,$L$190:$L$191)</f>
        <v>0.55600000000000005</v>
      </c>
      <c r="H191" s="1187">
        <f t="shared" si="149"/>
        <v>0.56482103218166502</v>
      </c>
      <c r="I191" s="1135">
        <f>FORECAST(B191,$O$190:$O$191,$L$190:$L$191)</f>
        <v>0.97484999999999977</v>
      </c>
      <c r="J191" s="1136" t="e">
        <f t="shared" si="181"/>
        <v>#NAME?</v>
      </c>
      <c r="L191" s="1125">
        <f>B200</f>
        <v>200</v>
      </c>
      <c r="M191" s="1126">
        <f>D200</f>
        <v>61.209999999999994</v>
      </c>
      <c r="N191" s="1126">
        <f>G200</f>
        <v>0.52</v>
      </c>
      <c r="O191" s="1127">
        <f>I200</f>
        <v>0.97799999999999998</v>
      </c>
      <c r="U191" s="1164">
        <v>191</v>
      </c>
      <c r="V191" s="1165">
        <v>20</v>
      </c>
      <c r="W191" s="1132">
        <f t="shared" ref="W191:W199" si="193">FORECAST(U191,$M$180:$M$181,$L$180:$L$181)</f>
        <v>61.453999999999994</v>
      </c>
      <c r="X191" s="1133">
        <f t="shared" si="161"/>
        <v>0.98439862520199994</v>
      </c>
      <c r="Y191" s="1133">
        <f t="shared" si="151"/>
        <v>8.2152048397173481</v>
      </c>
      <c r="Z191" s="1132">
        <f t="shared" ref="Z191:Z199" si="194">FORECAST(U191,$N$180:$N$181,$L$180:$L$181)</f>
        <v>0.55500000000000005</v>
      </c>
      <c r="AA191" s="1199">
        <f t="shared" si="162"/>
        <v>0.56379599259000723</v>
      </c>
      <c r="AB191" s="1188">
        <f>FORECAST(U191,$O$180:$O$181,$L$180:$L$181)</f>
        <v>0.97479999999999978</v>
      </c>
      <c r="AD191" s="1125">
        <f>U200</f>
        <v>200</v>
      </c>
      <c r="AE191" s="1126">
        <f>W200</f>
        <v>61.05</v>
      </c>
      <c r="AF191" s="1126">
        <f>Z200</f>
        <v>0.46</v>
      </c>
      <c r="AG191" s="1127">
        <f>AB200</f>
        <v>0.98799999999999999</v>
      </c>
      <c r="AN191" s="1164">
        <v>191</v>
      </c>
      <c r="AO191" s="1131">
        <v>30</v>
      </c>
      <c r="AP191" s="1132">
        <f t="shared" ref="AP191:AP199" si="195">FORECAST(AN191,$M$190:$M$191,$L$190:$L$191)</f>
        <v>61.453000000000003</v>
      </c>
      <c r="AQ191" s="1133">
        <f t="shared" si="135"/>
        <v>0.98438260673900002</v>
      </c>
      <c r="AR191" s="1133">
        <f t="shared" si="137"/>
        <v>8.2150711591621413</v>
      </c>
      <c r="AS191" s="1132">
        <f t="shared" ref="AS191:AS199" si="196">FORECAST(AN191,$N$190:$N$191,$L$190:$L$191)</f>
        <v>0.55600000000000005</v>
      </c>
      <c r="AT191" s="1187">
        <f t="shared" si="136"/>
        <v>0.56482103218166502</v>
      </c>
      <c r="AU191" s="1188">
        <f>FORECAST(AN191,$O$190:$O$191,$L$190:$L$191)</f>
        <v>0.97484999999999977</v>
      </c>
      <c r="AW191" s="1125">
        <f>AN200</f>
        <v>200</v>
      </c>
      <c r="AX191" s="1126">
        <f>AP200</f>
        <v>61.37</v>
      </c>
      <c r="AY191" s="1126">
        <f>AS200</f>
        <v>0.57999999999999996</v>
      </c>
      <c r="AZ191" s="1127">
        <f>AU200</f>
        <v>0.96799999999999997</v>
      </c>
    </row>
    <row r="192" spans="2:52" x14ac:dyDescent="0.2">
      <c r="B192" s="1164">
        <v>192</v>
      </c>
      <c r="C192" s="1131">
        <v>25</v>
      </c>
      <c r="D192" s="1132">
        <f t="shared" si="191"/>
        <v>61.426000000000002</v>
      </c>
      <c r="E192" s="1133">
        <f t="shared" si="147"/>
        <v>0.983950108238</v>
      </c>
      <c r="F192" s="1133">
        <f t="shared" si="148"/>
        <v>8.2114617841715418</v>
      </c>
      <c r="G192" s="1132">
        <f t="shared" si="192"/>
        <v>0.55200000000000005</v>
      </c>
      <c r="H192" s="1187">
        <f t="shared" si="149"/>
        <v>0.5610040543503666</v>
      </c>
      <c r="I192" s="1135">
        <f t="shared" ref="I192:I199" si="197">FORECAST(B192,$O$190:$O$191,$L$190:$L$191)</f>
        <v>0.97519999999999984</v>
      </c>
      <c r="J192" s="1136" t="e">
        <f t="shared" si="181"/>
        <v>#NAME?</v>
      </c>
      <c r="L192" s="184"/>
      <c r="M192" s="1166"/>
      <c r="N192" s="1166"/>
      <c r="O192" s="1166"/>
      <c r="U192" s="1164">
        <v>192</v>
      </c>
      <c r="V192" s="1165">
        <v>20</v>
      </c>
      <c r="W192" s="1132">
        <f t="shared" si="193"/>
        <v>61.427999999999997</v>
      </c>
      <c r="X192" s="1133">
        <f t="shared" si="161"/>
        <v>0.98398214516399995</v>
      </c>
      <c r="Y192" s="1133">
        <f t="shared" si="151"/>
        <v>8.2117291452819554</v>
      </c>
      <c r="Z192" s="1132">
        <f t="shared" si="194"/>
        <v>0.55000000000000004</v>
      </c>
      <c r="AA192" s="1199">
        <f t="shared" si="162"/>
        <v>0.55895323172589861</v>
      </c>
      <c r="AB192" s="1188">
        <f t="shared" ref="AB192:AB199" si="198">FORECAST(U192,$O$180:$O$181,$L$180:$L$181)</f>
        <v>0.97509999999999974</v>
      </c>
      <c r="AD192" s="184"/>
      <c r="AE192" s="1166"/>
      <c r="AF192" s="1166"/>
      <c r="AG192" s="1166"/>
      <c r="AN192" s="1164">
        <v>192</v>
      </c>
      <c r="AO192" s="1131">
        <v>30</v>
      </c>
      <c r="AP192" s="1132">
        <f t="shared" si="195"/>
        <v>61.426000000000002</v>
      </c>
      <c r="AQ192" s="1133">
        <f t="shared" si="135"/>
        <v>0.983950108238</v>
      </c>
      <c r="AR192" s="1133">
        <f t="shared" si="137"/>
        <v>8.2114617841715418</v>
      </c>
      <c r="AS192" s="1132">
        <f t="shared" si="196"/>
        <v>0.55200000000000005</v>
      </c>
      <c r="AT192" s="1187">
        <f t="shared" si="136"/>
        <v>0.5610040543503666</v>
      </c>
      <c r="AU192" s="1188">
        <f t="shared" ref="AU192:AU199" si="199">FORECAST(AN192,$O$190:$O$191,$L$190:$L$191)</f>
        <v>0.97519999999999984</v>
      </c>
      <c r="AW192" s="184"/>
      <c r="AX192" s="1166"/>
      <c r="AY192" s="1166"/>
      <c r="AZ192" s="1166"/>
    </row>
    <row r="193" spans="2:52" x14ac:dyDescent="0.2">
      <c r="B193" s="1164">
        <v>193</v>
      </c>
      <c r="C193" s="1131">
        <v>25</v>
      </c>
      <c r="D193" s="1132">
        <f t="shared" si="191"/>
        <v>61.399000000000001</v>
      </c>
      <c r="E193" s="1133">
        <f t="shared" si="147"/>
        <v>0.98351760973699998</v>
      </c>
      <c r="F193" s="1133">
        <f t="shared" si="148"/>
        <v>8.2078524091809406</v>
      </c>
      <c r="G193" s="1132">
        <f t="shared" si="192"/>
        <v>0.54800000000000004</v>
      </c>
      <c r="H193" s="1187">
        <f t="shared" si="149"/>
        <v>0.55718371951320667</v>
      </c>
      <c r="I193" s="1135">
        <f t="shared" si="197"/>
        <v>0.97554999999999992</v>
      </c>
      <c r="J193" s="1136" t="e">
        <f t="shared" si="181"/>
        <v>#NAME?</v>
      </c>
      <c r="L193" s="1189" t="s">
        <v>1089</v>
      </c>
      <c r="M193" s="179"/>
      <c r="N193" s="179"/>
      <c r="O193" s="179"/>
      <c r="U193" s="1164">
        <v>193</v>
      </c>
      <c r="V193" s="1165">
        <v>20</v>
      </c>
      <c r="W193" s="1132">
        <f t="shared" si="193"/>
        <v>61.402000000000001</v>
      </c>
      <c r="X193" s="1133">
        <f t="shared" si="161"/>
        <v>0.98356566512600008</v>
      </c>
      <c r="Y193" s="1133">
        <f t="shared" si="151"/>
        <v>8.2082534508465628</v>
      </c>
      <c r="Z193" s="1132">
        <f t="shared" si="194"/>
        <v>0.54500000000000004</v>
      </c>
      <c r="AA193" s="1199">
        <f t="shared" si="162"/>
        <v>0.55410636963438797</v>
      </c>
      <c r="AB193" s="1188">
        <f t="shared" si="198"/>
        <v>0.97539999999999982</v>
      </c>
      <c r="AD193" s="184"/>
      <c r="AE193" s="1166"/>
      <c r="AF193" s="1166"/>
      <c r="AG193" s="1166"/>
      <c r="AN193" s="1164">
        <v>193</v>
      </c>
      <c r="AO193" s="1131">
        <v>30</v>
      </c>
      <c r="AP193" s="1132">
        <f t="shared" si="195"/>
        <v>61.399000000000001</v>
      </c>
      <c r="AQ193" s="1133">
        <f t="shared" si="135"/>
        <v>0.98351760973699998</v>
      </c>
      <c r="AR193" s="1133">
        <f t="shared" si="137"/>
        <v>8.2078524091809406</v>
      </c>
      <c r="AS193" s="1132">
        <f t="shared" si="196"/>
        <v>0.54800000000000004</v>
      </c>
      <c r="AT193" s="1187">
        <f t="shared" si="136"/>
        <v>0.55718371951320667</v>
      </c>
      <c r="AU193" s="1188">
        <f t="shared" si="199"/>
        <v>0.97554999999999992</v>
      </c>
      <c r="AW193" s="184"/>
      <c r="AX193" s="1166"/>
      <c r="AY193" s="1166"/>
      <c r="AZ193" s="1166"/>
    </row>
    <row r="194" spans="2:52" ht="13.5" thickBot="1" x14ac:dyDescent="0.25">
      <c r="B194" s="1174">
        <v>194</v>
      </c>
      <c r="C194" s="1142">
        <v>25</v>
      </c>
      <c r="D194" s="1143">
        <f t="shared" si="191"/>
        <v>61.372</v>
      </c>
      <c r="E194" s="1144">
        <f t="shared" si="147"/>
        <v>0.98308511123599995</v>
      </c>
      <c r="F194" s="1144">
        <f t="shared" si="148"/>
        <v>8.2042430341903394</v>
      </c>
      <c r="G194" s="1143">
        <f t="shared" si="192"/>
        <v>0.54400000000000004</v>
      </c>
      <c r="H194" s="1191">
        <f t="shared" si="149"/>
        <v>0.55336002323954137</v>
      </c>
      <c r="I194" s="1146">
        <f t="shared" si="197"/>
        <v>0.97589999999999988</v>
      </c>
      <c r="J194" s="1147" t="e">
        <f t="shared" si="181"/>
        <v>#NAME?</v>
      </c>
      <c r="L194" s="1190">
        <v>20</v>
      </c>
      <c r="M194" s="1200">
        <f>W190</f>
        <v>61.31</v>
      </c>
      <c r="N194" s="1200">
        <f>Z190</f>
        <v>0.5</v>
      </c>
      <c r="O194" s="1201">
        <f>AB190</f>
        <v>0.98499999999999999</v>
      </c>
      <c r="U194" s="1174">
        <v>194</v>
      </c>
      <c r="V194" s="1168">
        <v>20</v>
      </c>
      <c r="W194" s="1143">
        <f t="shared" si="193"/>
        <v>61.375999999999998</v>
      </c>
      <c r="X194" s="1144">
        <f t="shared" si="161"/>
        <v>0.98314918508799998</v>
      </c>
      <c r="Y194" s="1144">
        <f t="shared" si="151"/>
        <v>8.2047777564111684</v>
      </c>
      <c r="Z194" s="1143">
        <f t="shared" si="194"/>
        <v>0.54</v>
      </c>
      <c r="AA194" s="1202">
        <f t="shared" si="162"/>
        <v>0.54925540110340998</v>
      </c>
      <c r="AB194" s="1192">
        <f t="shared" si="198"/>
        <v>0.97569999999999979</v>
      </c>
      <c r="AD194" s="184"/>
      <c r="AE194" s="1166"/>
      <c r="AF194" s="1166"/>
      <c r="AG194" s="1166"/>
      <c r="AN194" s="1174">
        <v>194</v>
      </c>
      <c r="AO194" s="1142">
        <v>30</v>
      </c>
      <c r="AP194" s="1143">
        <f t="shared" si="195"/>
        <v>61.372</v>
      </c>
      <c r="AQ194" s="1144">
        <f t="shared" si="135"/>
        <v>0.98308511123599995</v>
      </c>
      <c r="AR194" s="1144">
        <f t="shared" si="137"/>
        <v>8.2042430341903394</v>
      </c>
      <c r="AS194" s="1143">
        <f t="shared" si="196"/>
        <v>0.54400000000000004</v>
      </c>
      <c r="AT194" s="1191">
        <f t="shared" si="136"/>
        <v>0.55336002323954137</v>
      </c>
      <c r="AU194" s="1192">
        <f t="shared" si="199"/>
        <v>0.97589999999999988</v>
      </c>
      <c r="AW194" s="184"/>
      <c r="AX194" s="1166"/>
      <c r="AY194" s="1166"/>
      <c r="AZ194" s="1166"/>
    </row>
    <row r="195" spans="2:52" x14ac:dyDescent="0.2">
      <c r="B195" s="1172">
        <v>195</v>
      </c>
      <c r="C195" s="1149">
        <v>25</v>
      </c>
      <c r="D195" s="1150">
        <f t="shared" si="191"/>
        <v>61.344999999999999</v>
      </c>
      <c r="E195" s="1122">
        <f t="shared" si="147"/>
        <v>0.98265261273500004</v>
      </c>
      <c r="F195" s="1122">
        <f t="shared" si="148"/>
        <v>8.2006336591997382</v>
      </c>
      <c r="G195" s="1150">
        <f t="shared" si="192"/>
        <v>0.54</v>
      </c>
      <c r="H195" s="1186">
        <f t="shared" si="149"/>
        <v>0.54953296109092653</v>
      </c>
      <c r="I195" s="1173">
        <f t="shared" si="197"/>
        <v>0.97624999999999984</v>
      </c>
      <c r="J195" s="1124" t="e">
        <f t="shared" si="181"/>
        <v>#NAME?</v>
      </c>
      <c r="L195" s="1190">
        <v>30</v>
      </c>
      <c r="M195" s="1200">
        <f>AP190</f>
        <v>61.65</v>
      </c>
      <c r="N195" s="1200">
        <f>AS190</f>
        <v>0.62</v>
      </c>
      <c r="O195" s="1201">
        <f>AU190</f>
        <v>0.96399999999999997</v>
      </c>
      <c r="U195" s="1172">
        <v>195</v>
      </c>
      <c r="V195" s="1120">
        <v>20</v>
      </c>
      <c r="W195" s="1150">
        <f t="shared" si="193"/>
        <v>61.349999999999994</v>
      </c>
      <c r="X195" s="1122">
        <f t="shared" si="161"/>
        <v>0.98273270504999988</v>
      </c>
      <c r="Y195" s="1122">
        <f t="shared" si="151"/>
        <v>8.2013020619757757</v>
      </c>
      <c r="Z195" s="1150">
        <f t="shared" si="194"/>
        <v>0.53500000000000003</v>
      </c>
      <c r="AA195" s="1198">
        <f t="shared" si="162"/>
        <v>0.54440032091206336</v>
      </c>
      <c r="AB195" s="1203">
        <f t="shared" si="198"/>
        <v>0.97599999999999976</v>
      </c>
      <c r="AD195" s="184"/>
      <c r="AE195" s="1166"/>
      <c r="AF195" s="1166"/>
      <c r="AG195" s="1166"/>
      <c r="AN195" s="1172">
        <v>195</v>
      </c>
      <c r="AO195" s="1149">
        <v>30</v>
      </c>
      <c r="AP195" s="1150">
        <f t="shared" si="195"/>
        <v>61.344999999999999</v>
      </c>
      <c r="AQ195" s="1122">
        <f t="shared" si="135"/>
        <v>0.98265261273500004</v>
      </c>
      <c r="AR195" s="1122">
        <f t="shared" si="137"/>
        <v>8.2006336591997382</v>
      </c>
      <c r="AS195" s="1150">
        <f t="shared" si="196"/>
        <v>0.54</v>
      </c>
      <c r="AT195" s="1186">
        <f t="shared" si="136"/>
        <v>0.54953296109092653</v>
      </c>
      <c r="AU195" s="1203">
        <f t="shared" si="199"/>
        <v>0.97624999999999984</v>
      </c>
      <c r="AW195" s="184"/>
      <c r="AX195" s="1166"/>
      <c r="AY195" s="1166"/>
      <c r="AZ195" s="1166"/>
    </row>
    <row r="196" spans="2:52" x14ac:dyDescent="0.2">
      <c r="B196" s="1164">
        <v>196</v>
      </c>
      <c r="C196" s="1131">
        <v>25</v>
      </c>
      <c r="D196" s="1132">
        <f t="shared" si="191"/>
        <v>61.317999999999998</v>
      </c>
      <c r="E196" s="1133">
        <f t="shared" si="147"/>
        <v>0.98222011423400002</v>
      </c>
      <c r="F196" s="1133">
        <f t="shared" si="148"/>
        <v>8.1970242842091388</v>
      </c>
      <c r="G196" s="1132">
        <f t="shared" si="192"/>
        <v>0.53600000000000003</v>
      </c>
      <c r="H196" s="1187">
        <f t="shared" si="149"/>
        <v>0.54570252862110058</v>
      </c>
      <c r="I196" s="1135">
        <f t="shared" si="197"/>
        <v>0.97659999999999991</v>
      </c>
      <c r="J196" s="1136" t="e">
        <f t="shared" si="181"/>
        <v>#NAME?</v>
      </c>
      <c r="L196" s="184"/>
      <c r="M196" s="1166"/>
      <c r="N196" s="1166"/>
      <c r="O196" s="1166"/>
      <c r="U196" s="1164">
        <v>196</v>
      </c>
      <c r="V196" s="1165">
        <v>20</v>
      </c>
      <c r="W196" s="1132">
        <f t="shared" si="193"/>
        <v>61.323999999999998</v>
      </c>
      <c r="X196" s="1133">
        <f t="shared" si="161"/>
        <v>0.982316225012</v>
      </c>
      <c r="Y196" s="1133">
        <f t="shared" si="151"/>
        <v>8.1978263675403831</v>
      </c>
      <c r="Z196" s="1132">
        <f t="shared" si="194"/>
        <v>0.53</v>
      </c>
      <c r="AA196" s="1199">
        <f t="shared" si="162"/>
        <v>0.53954112383059283</v>
      </c>
      <c r="AB196" s="1188">
        <f t="shared" si="198"/>
        <v>0.97629999999999972</v>
      </c>
      <c r="AD196" s="184"/>
      <c r="AE196" s="1166"/>
      <c r="AF196" s="1166"/>
      <c r="AG196" s="1166"/>
      <c r="AN196" s="1164">
        <v>196</v>
      </c>
      <c r="AO196" s="1131">
        <v>30</v>
      </c>
      <c r="AP196" s="1132">
        <f t="shared" si="195"/>
        <v>61.317999999999998</v>
      </c>
      <c r="AQ196" s="1133">
        <f t="shared" si="135"/>
        <v>0.98222011423400002</v>
      </c>
      <c r="AR196" s="1133">
        <f t="shared" si="137"/>
        <v>8.1970242842091388</v>
      </c>
      <c r="AS196" s="1132">
        <f t="shared" si="196"/>
        <v>0.53600000000000003</v>
      </c>
      <c r="AT196" s="1187">
        <f t="shared" si="136"/>
        <v>0.54570252862110058</v>
      </c>
      <c r="AU196" s="1188">
        <f t="shared" si="199"/>
        <v>0.97659999999999991</v>
      </c>
      <c r="AW196" s="184"/>
      <c r="AX196" s="1166"/>
      <c r="AY196" s="1166"/>
      <c r="AZ196" s="1166"/>
    </row>
    <row r="197" spans="2:52" x14ac:dyDescent="0.2">
      <c r="B197" s="1164">
        <v>197</v>
      </c>
      <c r="C197" s="1131">
        <v>25</v>
      </c>
      <c r="D197" s="1132">
        <f t="shared" si="191"/>
        <v>61.290999999999997</v>
      </c>
      <c r="E197" s="1133">
        <f t="shared" si="147"/>
        <v>0.981787615733</v>
      </c>
      <c r="F197" s="1133">
        <f t="shared" si="148"/>
        <v>8.1934149092185375</v>
      </c>
      <c r="G197" s="1132">
        <f t="shared" si="192"/>
        <v>0.53200000000000003</v>
      </c>
      <c r="H197" s="1187">
        <f t="shared" si="149"/>
        <v>0.54186872137596709</v>
      </c>
      <c r="I197" s="1135">
        <f t="shared" si="197"/>
        <v>0.97694999999999999</v>
      </c>
      <c r="J197" s="1136" t="e">
        <f t="shared" si="181"/>
        <v>#NAME?</v>
      </c>
      <c r="L197" s="184"/>
      <c r="M197" s="1166"/>
      <c r="N197" s="1166"/>
      <c r="O197" s="1166"/>
      <c r="U197" s="1164">
        <v>197</v>
      </c>
      <c r="V197" s="1165">
        <v>20</v>
      </c>
      <c r="W197" s="1132">
        <f t="shared" si="193"/>
        <v>61.298000000000002</v>
      </c>
      <c r="X197" s="1133">
        <f t="shared" si="161"/>
        <v>0.98189974497400001</v>
      </c>
      <c r="Y197" s="1133">
        <f t="shared" si="151"/>
        <v>8.1943506731049904</v>
      </c>
      <c r="Z197" s="1132">
        <f t="shared" si="194"/>
        <v>0.52500000000000002</v>
      </c>
      <c r="AA197" s="1199">
        <f t="shared" si="162"/>
        <v>0.53467780462037051</v>
      </c>
      <c r="AB197" s="1188">
        <f t="shared" si="198"/>
        <v>0.97659999999999969</v>
      </c>
      <c r="AD197" s="184"/>
      <c r="AE197" s="1166"/>
      <c r="AF197" s="1166"/>
      <c r="AG197" s="1166"/>
      <c r="AN197" s="1164">
        <v>197</v>
      </c>
      <c r="AO197" s="1131">
        <v>30</v>
      </c>
      <c r="AP197" s="1132">
        <f t="shared" si="195"/>
        <v>61.290999999999997</v>
      </c>
      <c r="AQ197" s="1133">
        <f t="shared" si="135"/>
        <v>0.981787615733</v>
      </c>
      <c r="AR197" s="1133">
        <f t="shared" si="137"/>
        <v>8.1934149092185375</v>
      </c>
      <c r="AS197" s="1132">
        <f t="shared" si="196"/>
        <v>0.53200000000000003</v>
      </c>
      <c r="AT197" s="1187">
        <f t="shared" si="136"/>
        <v>0.54186872137596709</v>
      </c>
      <c r="AU197" s="1188">
        <f t="shared" si="199"/>
        <v>0.97694999999999999</v>
      </c>
      <c r="AW197" s="184"/>
      <c r="AX197" s="1166"/>
      <c r="AY197" s="1166"/>
      <c r="AZ197" s="1166"/>
    </row>
    <row r="198" spans="2:52" x14ac:dyDescent="0.2">
      <c r="B198" s="1164">
        <v>198</v>
      </c>
      <c r="C198" s="1131">
        <v>25</v>
      </c>
      <c r="D198" s="1132">
        <f t="shared" si="191"/>
        <v>61.263999999999996</v>
      </c>
      <c r="E198" s="1133">
        <f t="shared" si="147"/>
        <v>0.98135511723199997</v>
      </c>
      <c r="F198" s="1133">
        <f t="shared" si="148"/>
        <v>8.1898055342279363</v>
      </c>
      <c r="G198" s="1132">
        <f t="shared" si="192"/>
        <v>0.52800000000000002</v>
      </c>
      <c r="H198" s="1187">
        <f t="shared" si="149"/>
        <v>0.53803153489357791</v>
      </c>
      <c r="I198" s="1135">
        <f t="shared" si="197"/>
        <v>0.97729999999999995</v>
      </c>
      <c r="J198" s="1136" t="e">
        <f t="shared" si="181"/>
        <v>#NAME?</v>
      </c>
      <c r="L198" s="184"/>
      <c r="M198" s="1166"/>
      <c r="N198" s="1166"/>
      <c r="O198" s="1166"/>
      <c r="U198" s="1164">
        <v>198</v>
      </c>
      <c r="V198" s="1165">
        <v>20</v>
      </c>
      <c r="W198" s="1132">
        <f t="shared" si="193"/>
        <v>61.271999999999998</v>
      </c>
      <c r="X198" s="1133">
        <f t="shared" si="161"/>
        <v>0.98148326493600002</v>
      </c>
      <c r="Y198" s="1133">
        <f t="shared" si="151"/>
        <v>8.190874978669596</v>
      </c>
      <c r="Z198" s="1132">
        <f t="shared" si="194"/>
        <v>0.52</v>
      </c>
      <c r="AA198" s="1199">
        <f t="shared" si="162"/>
        <v>0.52981035803387633</v>
      </c>
      <c r="AB198" s="1188">
        <f t="shared" si="198"/>
        <v>0.97689999999999977</v>
      </c>
      <c r="AD198" s="184"/>
      <c r="AE198" s="1166"/>
      <c r="AF198" s="1166"/>
      <c r="AG198" s="1166"/>
      <c r="AN198" s="1164">
        <v>198</v>
      </c>
      <c r="AO198" s="1131">
        <v>30</v>
      </c>
      <c r="AP198" s="1132">
        <f t="shared" si="195"/>
        <v>61.263999999999996</v>
      </c>
      <c r="AQ198" s="1133">
        <f t="shared" si="135"/>
        <v>0.98135511723199997</v>
      </c>
      <c r="AR198" s="1133">
        <f t="shared" si="137"/>
        <v>8.1898055342279363</v>
      </c>
      <c r="AS198" s="1132">
        <f t="shared" si="196"/>
        <v>0.52800000000000002</v>
      </c>
      <c r="AT198" s="1187">
        <f t="shared" si="136"/>
        <v>0.53803153489357791</v>
      </c>
      <c r="AU198" s="1188">
        <f t="shared" si="199"/>
        <v>0.97729999999999995</v>
      </c>
      <c r="AW198" s="184"/>
      <c r="AX198" s="1166"/>
      <c r="AY198" s="1166"/>
      <c r="AZ198" s="1166"/>
    </row>
    <row r="199" spans="2:52" ht="13.5" thickBot="1" x14ac:dyDescent="0.25">
      <c r="B199" s="1174">
        <v>199</v>
      </c>
      <c r="C199" s="1142">
        <v>25</v>
      </c>
      <c r="D199" s="1143">
        <f t="shared" si="191"/>
        <v>61.236999999999995</v>
      </c>
      <c r="E199" s="1144">
        <f t="shared" si="147"/>
        <v>0.98092261873099995</v>
      </c>
      <c r="F199" s="1144">
        <f t="shared" si="148"/>
        <v>8.1861961592373351</v>
      </c>
      <c r="G199" s="1143">
        <f t="shared" si="192"/>
        <v>0.52400000000000002</v>
      </c>
      <c r="H199" s="1191">
        <f t="shared" si="149"/>
        <v>0.53419096470411542</v>
      </c>
      <c r="I199" s="1135">
        <f t="shared" si="197"/>
        <v>0.97764999999999991</v>
      </c>
      <c r="J199" s="1147" t="e">
        <f t="shared" si="181"/>
        <v>#NAME?</v>
      </c>
      <c r="L199" s="184"/>
      <c r="M199" s="1166"/>
      <c r="N199" s="1166"/>
      <c r="O199" s="1166"/>
      <c r="U199" s="1174">
        <v>199</v>
      </c>
      <c r="V199" s="1175">
        <v>20</v>
      </c>
      <c r="W199" s="1143">
        <f t="shared" si="193"/>
        <v>61.245999999999995</v>
      </c>
      <c r="X199" s="1144">
        <f t="shared" si="161"/>
        <v>0.98106678489799992</v>
      </c>
      <c r="Y199" s="1144">
        <f t="shared" si="151"/>
        <v>8.1873992842342034</v>
      </c>
      <c r="Z199" s="1143">
        <f t="shared" si="194"/>
        <v>0.51500000000000001</v>
      </c>
      <c r="AA199" s="1202">
        <f t="shared" si="162"/>
        <v>0.52493877881467954</v>
      </c>
      <c r="AB199" s="1188">
        <f t="shared" si="198"/>
        <v>0.97719999999999974</v>
      </c>
      <c r="AD199" s="184"/>
      <c r="AE199" s="1166"/>
      <c r="AF199" s="1166"/>
      <c r="AG199" s="1166"/>
      <c r="AN199" s="1174">
        <v>199</v>
      </c>
      <c r="AO199" s="1142">
        <v>30</v>
      </c>
      <c r="AP199" s="1143">
        <f t="shared" si="195"/>
        <v>61.236999999999995</v>
      </c>
      <c r="AQ199" s="1144">
        <f t="shared" si="135"/>
        <v>0.98092261873099995</v>
      </c>
      <c r="AR199" s="1144">
        <f t="shared" si="137"/>
        <v>8.1861961592373351</v>
      </c>
      <c r="AS199" s="1143">
        <f t="shared" si="196"/>
        <v>0.52400000000000002</v>
      </c>
      <c r="AT199" s="1191">
        <f t="shared" si="136"/>
        <v>0.53419096470411542</v>
      </c>
      <c r="AU199" s="1188">
        <f t="shared" si="199"/>
        <v>0.97764999999999991</v>
      </c>
      <c r="AW199" s="184"/>
      <c r="AX199" s="1166"/>
      <c r="AY199" s="1166"/>
      <c r="AZ199" s="1166"/>
    </row>
    <row r="200" spans="2:52" x14ac:dyDescent="0.2">
      <c r="B200" s="1119">
        <v>200</v>
      </c>
      <c r="C200" s="1120">
        <v>25</v>
      </c>
      <c r="D200" s="1121">
        <f>FORECAST(C200,M204:M205,L204:L205)</f>
        <v>61.209999999999994</v>
      </c>
      <c r="E200" s="1122">
        <f t="shared" si="147"/>
        <v>0.98049012022999993</v>
      </c>
      <c r="F200" s="1122">
        <f t="shared" si="148"/>
        <v>8.1825867842467357</v>
      </c>
      <c r="G200" s="1121">
        <f>FORECAST(C200,N204:N205,L204:L205)</f>
        <v>0.52</v>
      </c>
      <c r="H200" s="1186">
        <f t="shared" si="149"/>
        <v>0.5303470063298753</v>
      </c>
      <c r="I200" s="1123">
        <f>FORECAST(C200,O204:O205,L204:L205)</f>
        <v>0.97799999999999998</v>
      </c>
      <c r="J200" s="1124" t="e">
        <f t="shared" si="181"/>
        <v>#NAME?</v>
      </c>
      <c r="L200" s="1125">
        <f>B200</f>
        <v>200</v>
      </c>
      <c r="M200" s="1126">
        <f>D200</f>
        <v>61.209999999999994</v>
      </c>
      <c r="N200" s="1126">
        <f>G200</f>
        <v>0.52</v>
      </c>
      <c r="O200" s="1127">
        <f>I200</f>
        <v>0.97799999999999998</v>
      </c>
      <c r="U200" s="1119">
        <v>200</v>
      </c>
      <c r="V200" s="1120">
        <v>20</v>
      </c>
      <c r="W200" s="1121">
        <v>61.05</v>
      </c>
      <c r="X200" s="1122">
        <f t="shared" si="161"/>
        <v>0.97792716614999997</v>
      </c>
      <c r="Y200" s="1122">
        <f t="shared" si="151"/>
        <v>8.1611978954135473</v>
      </c>
      <c r="Z200" s="1121">
        <v>0.46</v>
      </c>
      <c r="AA200" s="1198">
        <f t="shared" si="162"/>
        <v>0.47038267871315342</v>
      </c>
      <c r="AB200" s="1124">
        <v>0.98799999999999999</v>
      </c>
      <c r="AD200" s="1125">
        <f>U200</f>
        <v>200</v>
      </c>
      <c r="AE200" s="1126">
        <f>W200</f>
        <v>61.05</v>
      </c>
      <c r="AF200" s="1126">
        <f>Z200</f>
        <v>0.46</v>
      </c>
      <c r="AG200" s="1127">
        <f>AB200</f>
        <v>0.98799999999999999</v>
      </c>
      <c r="AN200" s="1119">
        <v>200</v>
      </c>
      <c r="AO200" s="1120">
        <v>30</v>
      </c>
      <c r="AP200" s="1121">
        <v>61.37</v>
      </c>
      <c r="AQ200" s="1122">
        <f t="shared" si="135"/>
        <v>0.98305307431</v>
      </c>
      <c r="AR200" s="1122">
        <f t="shared" si="137"/>
        <v>8.203975673079924</v>
      </c>
      <c r="AS200" s="1121">
        <v>0.57999999999999996</v>
      </c>
      <c r="AT200" s="1186">
        <f t="shared" si="136"/>
        <v>0.58999866350766361</v>
      </c>
      <c r="AU200" s="1124">
        <v>0.96799999999999997</v>
      </c>
      <c r="AW200" s="1125">
        <f>AN200</f>
        <v>200</v>
      </c>
      <c r="AX200" s="1126">
        <f>AP200</f>
        <v>61.37</v>
      </c>
      <c r="AY200" s="1126">
        <f>AS200</f>
        <v>0.57999999999999996</v>
      </c>
      <c r="AZ200" s="1127">
        <f>AU200</f>
        <v>0.96799999999999997</v>
      </c>
    </row>
    <row r="201" spans="2:52" x14ac:dyDescent="0.2">
      <c r="B201" s="1164">
        <v>201</v>
      </c>
      <c r="C201" s="1131">
        <v>25</v>
      </c>
      <c r="D201" s="1132">
        <f t="shared" ref="D201:D209" si="200">FORECAST(B201,$M$200:$M$201,$L$200:$L$201)</f>
        <v>61.181999999999995</v>
      </c>
      <c r="E201" s="1133">
        <f t="shared" si="147"/>
        <v>0.98004160326599998</v>
      </c>
      <c r="F201" s="1133">
        <f t="shared" si="148"/>
        <v>8.1788437287009277</v>
      </c>
      <c r="G201" s="1132">
        <f t="shared" ref="G201:G209" si="201">FORECAST(B201,$N$200:$N$201,$L$200:$L$201)</f>
        <v>0.51649999999999996</v>
      </c>
      <c r="H201" s="1187">
        <f t="shared" si="149"/>
        <v>0.52701844317502211</v>
      </c>
      <c r="I201" s="1135">
        <f>FORECAST(B201,$O$200:$O$201,$L$200:$L$201)</f>
        <v>0.97829999999999995</v>
      </c>
      <c r="J201" s="1136" t="e">
        <f t="shared" si="181"/>
        <v>#NAME?</v>
      </c>
      <c r="L201" s="1125">
        <f>B210</f>
        <v>210</v>
      </c>
      <c r="M201" s="1126">
        <f>D210</f>
        <v>60.93</v>
      </c>
      <c r="N201" s="1126">
        <f>G210</f>
        <v>0.48499999999999999</v>
      </c>
      <c r="O201" s="1127">
        <f>I210</f>
        <v>0.98100000000000009</v>
      </c>
      <c r="U201" s="1164">
        <v>201</v>
      </c>
      <c r="V201" s="1165">
        <v>20</v>
      </c>
      <c r="W201" s="1132">
        <f t="shared" ref="W201:W209" si="202">FORECAST(U201,$M$190:$M$191,$L$190:$L$191)</f>
        <v>61.182999999999993</v>
      </c>
      <c r="X201" s="1133">
        <f t="shared" si="161"/>
        <v>0.98005762172899991</v>
      </c>
      <c r="Y201" s="1133">
        <f t="shared" si="151"/>
        <v>8.1789774092561345</v>
      </c>
      <c r="Z201" s="1132">
        <f t="shared" ref="Z201:Z209" si="203">FORECAST(U201,$N$190:$N$191,$L$190:$L$191)</f>
        <v>0.51600000000000001</v>
      </c>
      <c r="AA201" s="1199">
        <f t="shared" si="162"/>
        <v>0.52649965528524967</v>
      </c>
      <c r="AB201" s="1188">
        <f>FORECAST(U201,$O$190:$O$191,$L$190:$L$191)</f>
        <v>0.97835000000000005</v>
      </c>
      <c r="AD201" s="1125">
        <f>U210</f>
        <v>210</v>
      </c>
      <c r="AE201" s="1126">
        <f>W210</f>
        <v>60.78</v>
      </c>
      <c r="AF201" s="1126">
        <f>Z210</f>
        <v>0.43</v>
      </c>
      <c r="AG201" s="1127">
        <f>AB210</f>
        <v>0.99099999999999999</v>
      </c>
      <c r="AN201" s="1164">
        <v>201</v>
      </c>
      <c r="AO201" s="1131">
        <v>30</v>
      </c>
      <c r="AP201" s="1132">
        <f t="shared" ref="AP201:AP209" si="204">FORECAST(AN201,$M$200:$M$201,$L$200:$L$201)</f>
        <v>61.181999999999995</v>
      </c>
      <c r="AQ201" s="1133">
        <f t="shared" si="135"/>
        <v>0.98004160326599998</v>
      </c>
      <c r="AR201" s="1133">
        <f t="shared" si="137"/>
        <v>8.1788437287009277</v>
      </c>
      <c r="AS201" s="1132">
        <f t="shared" ref="AS201:AS209" si="205">FORECAST(AN201,$N$200:$N$201,$L$200:$L$201)</f>
        <v>0.51649999999999996</v>
      </c>
      <c r="AT201" s="1187">
        <f t="shared" si="136"/>
        <v>0.52701844317502211</v>
      </c>
      <c r="AU201" s="1188">
        <f>FORECAST(AN201,$O$200:$O$201,$L$200:$L$201)</f>
        <v>0.97829999999999995</v>
      </c>
      <c r="AW201" s="1125">
        <f>AN210</f>
        <v>210</v>
      </c>
      <c r="AX201" s="1126">
        <f>AP210</f>
        <v>61.08</v>
      </c>
      <c r="AY201" s="1126">
        <f>AS210</f>
        <v>0.54</v>
      </c>
      <c r="AZ201" s="1127">
        <f>AU210</f>
        <v>0.97099999999999997</v>
      </c>
    </row>
    <row r="202" spans="2:52" x14ac:dyDescent="0.2">
      <c r="B202" s="1164">
        <v>202</v>
      </c>
      <c r="C202" s="1131">
        <v>25</v>
      </c>
      <c r="D202" s="1132">
        <f t="shared" si="200"/>
        <v>61.153999999999996</v>
      </c>
      <c r="E202" s="1133">
        <f t="shared" si="147"/>
        <v>0.97959308630199993</v>
      </c>
      <c r="F202" s="1133">
        <f t="shared" si="148"/>
        <v>8.1751006731551197</v>
      </c>
      <c r="G202" s="1132">
        <f t="shared" si="201"/>
        <v>0.51300000000000001</v>
      </c>
      <c r="H202" s="1187">
        <f t="shared" si="149"/>
        <v>0.52368683198509902</v>
      </c>
      <c r="I202" s="1135">
        <f t="shared" ref="I202:I209" si="206">FORECAST(B202,$O$200:$O$201,$L$200:$L$201)</f>
        <v>0.97860000000000003</v>
      </c>
      <c r="J202" s="1136" t="e">
        <f t="shared" si="181"/>
        <v>#NAME?</v>
      </c>
      <c r="L202" s="184"/>
      <c r="M202" s="1166"/>
      <c r="N202" s="1166"/>
      <c r="O202" s="1166"/>
      <c r="U202" s="1164">
        <v>202</v>
      </c>
      <c r="V202" s="1165">
        <v>20</v>
      </c>
      <c r="W202" s="1132">
        <f t="shared" si="202"/>
        <v>61.155999999999992</v>
      </c>
      <c r="X202" s="1133">
        <f t="shared" si="161"/>
        <v>0.97962512322799988</v>
      </c>
      <c r="Y202" s="1133">
        <f t="shared" si="151"/>
        <v>8.1753680342655333</v>
      </c>
      <c r="Z202" s="1132">
        <f t="shared" si="203"/>
        <v>0.51200000000000001</v>
      </c>
      <c r="AA202" s="1199">
        <f t="shared" si="162"/>
        <v>0.52264890707670852</v>
      </c>
      <c r="AB202" s="1188">
        <f t="shared" ref="AB202:AB209" si="207">FORECAST(U202,$O$190:$O$191,$L$190:$L$191)</f>
        <v>0.97870000000000001</v>
      </c>
      <c r="AD202" s="184"/>
      <c r="AE202" s="1166"/>
      <c r="AF202" s="1166"/>
      <c r="AG202" s="1166"/>
      <c r="AN202" s="1164">
        <v>202</v>
      </c>
      <c r="AO202" s="1131">
        <v>30</v>
      </c>
      <c r="AP202" s="1132">
        <f t="shared" si="204"/>
        <v>61.153999999999996</v>
      </c>
      <c r="AQ202" s="1133">
        <f t="shared" ref="AQ202:AQ209" si="208">AP202*0.016018463</f>
        <v>0.97959308630199993</v>
      </c>
      <c r="AR202" s="1133">
        <f t="shared" si="137"/>
        <v>8.1751006731551197</v>
      </c>
      <c r="AS202" s="1132">
        <f t="shared" si="205"/>
        <v>0.51300000000000001</v>
      </c>
      <c r="AT202" s="1187">
        <f t="shared" ref="AT202:AT210" si="209">AS202/AQ202</f>
        <v>0.52368683198509902</v>
      </c>
      <c r="AU202" s="1188">
        <f t="shared" ref="AU202:AU209" si="210">FORECAST(AN202,$O$200:$O$201,$L$200:$L$201)</f>
        <v>0.97860000000000003</v>
      </c>
      <c r="AW202" s="184"/>
      <c r="AX202" s="1166"/>
      <c r="AY202" s="1166"/>
      <c r="AZ202" s="1166"/>
    </row>
    <row r="203" spans="2:52" x14ac:dyDescent="0.2">
      <c r="B203" s="1164">
        <v>203</v>
      </c>
      <c r="C203" s="1131">
        <v>25</v>
      </c>
      <c r="D203" s="1132">
        <f t="shared" si="200"/>
        <v>61.125999999999998</v>
      </c>
      <c r="E203" s="1133">
        <f t="shared" si="147"/>
        <v>0.97914456933799998</v>
      </c>
      <c r="F203" s="1133">
        <f t="shared" si="148"/>
        <v>8.1713576176093117</v>
      </c>
      <c r="G203" s="1132">
        <f t="shared" si="201"/>
        <v>0.50950000000000006</v>
      </c>
      <c r="H203" s="1187">
        <f t="shared" si="149"/>
        <v>0.5203521685714636</v>
      </c>
      <c r="I203" s="1135">
        <f t="shared" si="206"/>
        <v>0.97889999999999999</v>
      </c>
      <c r="J203" s="1136" t="e">
        <f t="shared" si="181"/>
        <v>#NAME?</v>
      </c>
      <c r="L203" s="1189" t="s">
        <v>1089</v>
      </c>
      <c r="M203" s="179"/>
      <c r="N203" s="179"/>
      <c r="O203" s="179"/>
      <c r="U203" s="1164">
        <v>203</v>
      </c>
      <c r="V203" s="1165">
        <v>20</v>
      </c>
      <c r="W203" s="1132">
        <f t="shared" si="202"/>
        <v>61.128999999999991</v>
      </c>
      <c r="X203" s="1133">
        <f t="shared" si="161"/>
        <v>0.97919262472699986</v>
      </c>
      <c r="Y203" s="1133">
        <f t="shared" si="151"/>
        <v>8.1717586592749338</v>
      </c>
      <c r="Z203" s="1132">
        <f t="shared" si="203"/>
        <v>0.50800000000000001</v>
      </c>
      <c r="AA203" s="1199">
        <f t="shared" si="162"/>
        <v>0.51879475720278334</v>
      </c>
      <c r="AB203" s="1188">
        <f t="shared" si="207"/>
        <v>0.97904999999999998</v>
      </c>
      <c r="AD203" s="184"/>
      <c r="AE203" s="1166"/>
      <c r="AF203" s="1166"/>
      <c r="AG203" s="1166"/>
      <c r="AN203" s="1164">
        <v>203</v>
      </c>
      <c r="AO203" s="1131">
        <v>30</v>
      </c>
      <c r="AP203" s="1132">
        <f t="shared" si="204"/>
        <v>61.125999999999998</v>
      </c>
      <c r="AQ203" s="1133">
        <f t="shared" si="208"/>
        <v>0.97914456933799998</v>
      </c>
      <c r="AR203" s="1133">
        <f t="shared" ref="AR203:AR210" si="211">AP203/7.4805195</f>
        <v>8.1713576176093117</v>
      </c>
      <c r="AS203" s="1132">
        <f t="shared" si="205"/>
        <v>0.50950000000000006</v>
      </c>
      <c r="AT203" s="1187">
        <f t="shared" si="209"/>
        <v>0.5203521685714636</v>
      </c>
      <c r="AU203" s="1188">
        <f t="shared" si="210"/>
        <v>0.97889999999999999</v>
      </c>
      <c r="AW203" s="184"/>
      <c r="AX203" s="1166"/>
      <c r="AY203" s="1166"/>
      <c r="AZ203" s="1166"/>
    </row>
    <row r="204" spans="2:52" ht="13.5" thickBot="1" x14ac:dyDescent="0.25">
      <c r="B204" s="1174">
        <v>204</v>
      </c>
      <c r="C204" s="1142">
        <v>25</v>
      </c>
      <c r="D204" s="1143">
        <f t="shared" si="200"/>
        <v>61.097999999999999</v>
      </c>
      <c r="E204" s="1144">
        <f t="shared" si="147"/>
        <v>0.97869605237400004</v>
      </c>
      <c r="F204" s="1144">
        <f t="shared" si="148"/>
        <v>8.1676145620635037</v>
      </c>
      <c r="G204" s="1143">
        <f t="shared" si="201"/>
        <v>0.50600000000000001</v>
      </c>
      <c r="H204" s="1191">
        <f t="shared" si="149"/>
        <v>0.51701444873779523</v>
      </c>
      <c r="I204" s="1146">
        <f t="shared" si="206"/>
        <v>0.97920000000000007</v>
      </c>
      <c r="J204" s="1147" t="e">
        <f t="shared" si="181"/>
        <v>#NAME?</v>
      </c>
      <c r="L204" s="1190">
        <v>20</v>
      </c>
      <c r="M204" s="1200">
        <f>W200</f>
        <v>61.05</v>
      </c>
      <c r="N204" s="1200">
        <f>Z200</f>
        <v>0.46</v>
      </c>
      <c r="O204" s="1201">
        <f>AB200</f>
        <v>0.98799999999999999</v>
      </c>
      <c r="U204" s="1174">
        <v>204</v>
      </c>
      <c r="V204" s="1168">
        <v>20</v>
      </c>
      <c r="W204" s="1143">
        <f t="shared" si="202"/>
        <v>61.10199999999999</v>
      </c>
      <c r="X204" s="1144">
        <f t="shared" si="161"/>
        <v>0.97876012622599984</v>
      </c>
      <c r="Y204" s="1144">
        <f t="shared" si="151"/>
        <v>8.1681492842843326</v>
      </c>
      <c r="Z204" s="1143">
        <f t="shared" si="203"/>
        <v>0.504</v>
      </c>
      <c r="AA204" s="1202">
        <f t="shared" si="162"/>
        <v>0.51493720115404895</v>
      </c>
      <c r="AB204" s="1192">
        <f t="shared" si="207"/>
        <v>0.97940000000000005</v>
      </c>
      <c r="AD204" s="184"/>
      <c r="AE204" s="1166"/>
      <c r="AF204" s="1166"/>
      <c r="AG204" s="1166"/>
      <c r="AN204" s="1174">
        <v>204</v>
      </c>
      <c r="AO204" s="1142">
        <v>30</v>
      </c>
      <c r="AP204" s="1143">
        <f t="shared" si="204"/>
        <v>61.097999999999999</v>
      </c>
      <c r="AQ204" s="1144">
        <f t="shared" si="208"/>
        <v>0.97869605237400004</v>
      </c>
      <c r="AR204" s="1144">
        <f t="shared" si="211"/>
        <v>8.1676145620635037</v>
      </c>
      <c r="AS204" s="1143">
        <f t="shared" si="205"/>
        <v>0.50600000000000001</v>
      </c>
      <c r="AT204" s="1191">
        <f t="shared" si="209"/>
        <v>0.51701444873779523</v>
      </c>
      <c r="AU204" s="1192">
        <f t="shared" si="210"/>
        <v>0.97920000000000007</v>
      </c>
      <c r="AW204" s="184"/>
      <c r="AX204" s="1166"/>
      <c r="AY204" s="1166"/>
      <c r="AZ204" s="1166"/>
    </row>
    <row r="205" spans="2:52" x14ac:dyDescent="0.2">
      <c r="B205" s="1172">
        <v>205</v>
      </c>
      <c r="C205" s="1149">
        <v>25</v>
      </c>
      <c r="D205" s="1150">
        <f t="shared" si="200"/>
        <v>61.069999999999993</v>
      </c>
      <c r="E205" s="1122">
        <f t="shared" si="147"/>
        <v>0.97824753540999987</v>
      </c>
      <c r="F205" s="1122">
        <f t="shared" si="148"/>
        <v>8.1638715065176957</v>
      </c>
      <c r="G205" s="1150">
        <f t="shared" si="201"/>
        <v>0.50249999999999995</v>
      </c>
      <c r="H205" s="1186">
        <f t="shared" si="149"/>
        <v>0.51367366828007777</v>
      </c>
      <c r="I205" s="1173">
        <f t="shared" si="206"/>
        <v>0.97950000000000004</v>
      </c>
      <c r="J205" s="1124" t="e">
        <f t="shared" si="181"/>
        <v>#NAME?</v>
      </c>
      <c r="L205" s="1190">
        <v>30</v>
      </c>
      <c r="M205" s="1200">
        <f>AP200</f>
        <v>61.37</v>
      </c>
      <c r="N205" s="1200">
        <f>AS200</f>
        <v>0.57999999999999996</v>
      </c>
      <c r="O205" s="1201">
        <f>AU200</f>
        <v>0.96799999999999997</v>
      </c>
      <c r="U205" s="1172">
        <v>205</v>
      </c>
      <c r="V205" s="1120">
        <v>20</v>
      </c>
      <c r="W205" s="1150">
        <f t="shared" si="202"/>
        <v>61.074999999999989</v>
      </c>
      <c r="X205" s="1122">
        <f t="shared" si="161"/>
        <v>0.97832762772499982</v>
      </c>
      <c r="Y205" s="1122">
        <f t="shared" si="151"/>
        <v>8.1645399092937314</v>
      </c>
      <c r="Z205" s="1150">
        <f t="shared" si="203"/>
        <v>0.5</v>
      </c>
      <c r="AA205" s="1198">
        <f t="shared" si="162"/>
        <v>0.51107623441310612</v>
      </c>
      <c r="AB205" s="1203">
        <f t="shared" si="207"/>
        <v>0.97975000000000012</v>
      </c>
      <c r="AD205" s="184"/>
      <c r="AE205" s="1166"/>
      <c r="AF205" s="1166"/>
      <c r="AG205" s="1166"/>
      <c r="AN205" s="1172">
        <v>205</v>
      </c>
      <c r="AO205" s="1149">
        <v>30</v>
      </c>
      <c r="AP205" s="1150">
        <f t="shared" si="204"/>
        <v>61.069999999999993</v>
      </c>
      <c r="AQ205" s="1122">
        <f t="shared" si="208"/>
        <v>0.97824753540999987</v>
      </c>
      <c r="AR205" s="1122">
        <f t="shared" si="211"/>
        <v>8.1638715065176957</v>
      </c>
      <c r="AS205" s="1150">
        <f t="shared" si="205"/>
        <v>0.50249999999999995</v>
      </c>
      <c r="AT205" s="1186">
        <f t="shared" si="209"/>
        <v>0.51367366828007777</v>
      </c>
      <c r="AU205" s="1203">
        <f t="shared" si="210"/>
        <v>0.97950000000000004</v>
      </c>
      <c r="AW205" s="184"/>
      <c r="AX205" s="1166"/>
      <c r="AY205" s="1166"/>
      <c r="AZ205" s="1166"/>
    </row>
    <row r="206" spans="2:52" x14ac:dyDescent="0.2">
      <c r="B206" s="1164">
        <v>206</v>
      </c>
      <c r="C206" s="1131">
        <v>25</v>
      </c>
      <c r="D206" s="1132">
        <f t="shared" si="200"/>
        <v>61.041999999999994</v>
      </c>
      <c r="E206" s="1133">
        <f t="shared" si="147"/>
        <v>0.97779901844599992</v>
      </c>
      <c r="F206" s="1133">
        <f t="shared" si="148"/>
        <v>8.1601284509718877</v>
      </c>
      <c r="G206" s="1132">
        <f t="shared" si="201"/>
        <v>0.499</v>
      </c>
      <c r="H206" s="1187">
        <f t="shared" si="149"/>
        <v>0.51032982298658125</v>
      </c>
      <c r="I206" s="1135">
        <f t="shared" si="206"/>
        <v>0.9798</v>
      </c>
      <c r="J206" s="1136" t="e">
        <f t="shared" si="181"/>
        <v>#NAME?</v>
      </c>
      <c r="L206" s="184"/>
      <c r="M206" s="1166"/>
      <c r="N206" s="1166"/>
      <c r="O206" s="1166"/>
      <c r="U206" s="1164">
        <v>206</v>
      </c>
      <c r="V206" s="1165">
        <v>20</v>
      </c>
      <c r="W206" s="1132">
        <f t="shared" si="202"/>
        <v>61.047999999999988</v>
      </c>
      <c r="X206" s="1133">
        <f t="shared" si="161"/>
        <v>0.97789512922399979</v>
      </c>
      <c r="Y206" s="1133">
        <f t="shared" si="151"/>
        <v>8.1609305343031302</v>
      </c>
      <c r="Z206" s="1132">
        <f t="shared" si="203"/>
        <v>0.496</v>
      </c>
      <c r="AA206" s="1199">
        <f t="shared" si="162"/>
        <v>0.50721185245456379</v>
      </c>
      <c r="AB206" s="1188">
        <f t="shared" si="207"/>
        <v>0.98010000000000008</v>
      </c>
      <c r="AD206" s="184"/>
      <c r="AE206" s="1166"/>
      <c r="AF206" s="1166"/>
      <c r="AG206" s="1166"/>
      <c r="AN206" s="1164">
        <v>206</v>
      </c>
      <c r="AO206" s="1131">
        <v>30</v>
      </c>
      <c r="AP206" s="1132">
        <f t="shared" si="204"/>
        <v>61.041999999999994</v>
      </c>
      <c r="AQ206" s="1133">
        <f t="shared" si="208"/>
        <v>0.97779901844599992</v>
      </c>
      <c r="AR206" s="1133">
        <f t="shared" si="211"/>
        <v>8.1601284509718877</v>
      </c>
      <c r="AS206" s="1132">
        <f t="shared" si="205"/>
        <v>0.499</v>
      </c>
      <c r="AT206" s="1187">
        <f t="shared" si="209"/>
        <v>0.51032982298658125</v>
      </c>
      <c r="AU206" s="1188">
        <f t="shared" si="210"/>
        <v>0.9798</v>
      </c>
      <c r="AW206" s="184"/>
      <c r="AX206" s="1166"/>
      <c r="AY206" s="1166"/>
      <c r="AZ206" s="1166"/>
    </row>
    <row r="207" spans="2:52" x14ac:dyDescent="0.2">
      <c r="B207" s="1164">
        <v>207</v>
      </c>
      <c r="C207" s="1131">
        <v>25</v>
      </c>
      <c r="D207" s="1132">
        <f t="shared" si="200"/>
        <v>61.013999999999996</v>
      </c>
      <c r="E207" s="1133">
        <f t="shared" si="147"/>
        <v>0.97735050148199998</v>
      </c>
      <c r="F207" s="1133">
        <f t="shared" si="148"/>
        <v>8.1563853954260797</v>
      </c>
      <c r="G207" s="1132">
        <f t="shared" si="201"/>
        <v>0.49550000000000005</v>
      </c>
      <c r="H207" s="1187">
        <f t="shared" si="149"/>
        <v>0.50698290863784423</v>
      </c>
      <c r="I207" s="1135">
        <f t="shared" si="206"/>
        <v>0.98010000000000008</v>
      </c>
      <c r="J207" s="1136" t="e">
        <f t="shared" si="181"/>
        <v>#NAME?</v>
      </c>
      <c r="L207" s="184"/>
      <c r="M207" s="1166"/>
      <c r="N207" s="1166"/>
      <c r="O207" s="1166"/>
      <c r="U207" s="1164">
        <v>207</v>
      </c>
      <c r="V207" s="1165">
        <v>20</v>
      </c>
      <c r="W207" s="1132">
        <f t="shared" si="202"/>
        <v>61.020999999999987</v>
      </c>
      <c r="X207" s="1133">
        <f t="shared" si="161"/>
        <v>0.97746263072299977</v>
      </c>
      <c r="Y207" s="1133">
        <f t="shared" si="151"/>
        <v>8.1573211593125308</v>
      </c>
      <c r="Z207" s="1132">
        <f t="shared" si="203"/>
        <v>0.49199999999999999</v>
      </c>
      <c r="AA207" s="1199">
        <f t="shared" si="162"/>
        <v>0.50334405074502164</v>
      </c>
      <c r="AB207" s="1188">
        <f t="shared" si="207"/>
        <v>0.98045000000000004</v>
      </c>
      <c r="AD207" s="184"/>
      <c r="AE207" s="1166"/>
      <c r="AF207" s="1166"/>
      <c r="AG207" s="1166"/>
      <c r="AN207" s="1164">
        <v>207</v>
      </c>
      <c r="AO207" s="1131">
        <v>30</v>
      </c>
      <c r="AP207" s="1132">
        <f t="shared" si="204"/>
        <v>61.013999999999996</v>
      </c>
      <c r="AQ207" s="1133">
        <f t="shared" si="208"/>
        <v>0.97735050148199998</v>
      </c>
      <c r="AR207" s="1133">
        <f t="shared" si="211"/>
        <v>8.1563853954260797</v>
      </c>
      <c r="AS207" s="1132">
        <f t="shared" si="205"/>
        <v>0.49550000000000005</v>
      </c>
      <c r="AT207" s="1187">
        <f t="shared" si="209"/>
        <v>0.50698290863784423</v>
      </c>
      <c r="AU207" s="1188">
        <f t="shared" si="210"/>
        <v>0.98010000000000008</v>
      </c>
      <c r="AW207" s="184"/>
      <c r="AX207" s="1166"/>
      <c r="AY207" s="1166"/>
      <c r="AZ207" s="1166"/>
    </row>
    <row r="208" spans="2:52" x14ac:dyDescent="0.2">
      <c r="B208" s="1164">
        <v>208</v>
      </c>
      <c r="C208" s="1131">
        <v>25</v>
      </c>
      <c r="D208" s="1132">
        <f t="shared" si="200"/>
        <v>60.985999999999997</v>
      </c>
      <c r="E208" s="1133">
        <f t="shared" si="147"/>
        <v>0.97690198451799992</v>
      </c>
      <c r="F208" s="1133">
        <f t="shared" si="148"/>
        <v>8.1526423398802716</v>
      </c>
      <c r="G208" s="1132">
        <f t="shared" si="201"/>
        <v>0.49199999999999999</v>
      </c>
      <c r="H208" s="1187">
        <f t="shared" si="149"/>
        <v>0.50363292100665669</v>
      </c>
      <c r="I208" s="1135">
        <f t="shared" si="206"/>
        <v>0.98040000000000005</v>
      </c>
      <c r="J208" s="1136" t="e">
        <f t="shared" si="181"/>
        <v>#NAME?</v>
      </c>
      <c r="L208" s="184"/>
      <c r="M208" s="1166"/>
      <c r="N208" s="1166"/>
      <c r="O208" s="1166"/>
      <c r="U208" s="1164">
        <v>208</v>
      </c>
      <c r="V208" s="1165">
        <v>20</v>
      </c>
      <c r="W208" s="1132">
        <f t="shared" si="202"/>
        <v>60.993999999999986</v>
      </c>
      <c r="X208" s="1133">
        <f t="shared" si="161"/>
        <v>0.97703013222199975</v>
      </c>
      <c r="Y208" s="1133">
        <f t="shared" si="151"/>
        <v>8.1537117843219296</v>
      </c>
      <c r="Z208" s="1132">
        <f t="shared" si="203"/>
        <v>0.48799999999999999</v>
      </c>
      <c r="AA208" s="1199">
        <f t="shared" si="162"/>
        <v>0.49947282474305221</v>
      </c>
      <c r="AB208" s="1188">
        <f t="shared" si="207"/>
        <v>0.98080000000000012</v>
      </c>
      <c r="AD208" s="184"/>
      <c r="AE208" s="1166"/>
      <c r="AF208" s="1166"/>
      <c r="AG208" s="1166"/>
      <c r="AN208" s="1164">
        <v>208</v>
      </c>
      <c r="AO208" s="1131">
        <v>30</v>
      </c>
      <c r="AP208" s="1132">
        <f t="shared" si="204"/>
        <v>60.985999999999997</v>
      </c>
      <c r="AQ208" s="1133">
        <f t="shared" si="208"/>
        <v>0.97690198451799992</v>
      </c>
      <c r="AR208" s="1133">
        <f t="shared" si="211"/>
        <v>8.1526423398802716</v>
      </c>
      <c r="AS208" s="1132">
        <f t="shared" si="205"/>
        <v>0.49199999999999999</v>
      </c>
      <c r="AT208" s="1187">
        <f t="shared" si="209"/>
        <v>0.50363292100665669</v>
      </c>
      <c r="AU208" s="1188">
        <f t="shared" si="210"/>
        <v>0.98040000000000005</v>
      </c>
      <c r="AW208" s="184"/>
      <c r="AX208" s="1166"/>
      <c r="AY208" s="1166"/>
      <c r="AZ208" s="1166"/>
    </row>
    <row r="209" spans="2:52" ht="13.5" thickBot="1" x14ac:dyDescent="0.25">
      <c r="B209" s="1167">
        <v>209</v>
      </c>
      <c r="C209" s="1142">
        <v>25</v>
      </c>
      <c r="D209" s="1169">
        <f t="shared" si="200"/>
        <v>60.957999999999998</v>
      </c>
      <c r="E209" s="1170">
        <f t="shared" si="147"/>
        <v>0.97645346755399998</v>
      </c>
      <c r="F209" s="1144">
        <f t="shared" si="148"/>
        <v>8.1488992843344636</v>
      </c>
      <c r="G209" s="1169">
        <f t="shared" si="201"/>
        <v>0.48849999999999993</v>
      </c>
      <c r="H209" s="1205">
        <f t="shared" si="149"/>
        <v>0.50027985585804158</v>
      </c>
      <c r="I209" s="1146">
        <f t="shared" si="206"/>
        <v>0.98070000000000013</v>
      </c>
      <c r="J209" s="1147" t="e">
        <f t="shared" si="181"/>
        <v>#NAME?</v>
      </c>
      <c r="L209" s="184"/>
      <c r="M209" s="1166"/>
      <c r="N209" s="1166"/>
      <c r="O209" s="1166"/>
      <c r="U209" s="1167">
        <v>209</v>
      </c>
      <c r="V209" s="1168">
        <v>20</v>
      </c>
      <c r="W209" s="1169">
        <f t="shared" si="202"/>
        <v>60.966999999999985</v>
      </c>
      <c r="X209" s="1170">
        <f t="shared" si="161"/>
        <v>0.97659763372099972</v>
      </c>
      <c r="Y209" s="1144">
        <f t="shared" si="151"/>
        <v>8.1501024093313283</v>
      </c>
      <c r="Z209" s="1169">
        <f t="shared" si="203"/>
        <v>0.48399999999999999</v>
      </c>
      <c r="AA209" s="1206">
        <f t="shared" si="162"/>
        <v>0.49559816989918287</v>
      </c>
      <c r="AB209" s="1188">
        <f t="shared" si="207"/>
        <v>0.98115000000000019</v>
      </c>
      <c r="AD209" s="184"/>
      <c r="AE209" s="1166"/>
      <c r="AF209" s="1166"/>
      <c r="AG209" s="1166"/>
      <c r="AN209" s="1167">
        <v>209</v>
      </c>
      <c r="AO209" s="1142">
        <v>30</v>
      </c>
      <c r="AP209" s="1169">
        <f t="shared" si="204"/>
        <v>60.957999999999998</v>
      </c>
      <c r="AQ209" s="1170">
        <f t="shared" si="208"/>
        <v>0.97645346755399998</v>
      </c>
      <c r="AR209" s="1144">
        <f t="shared" si="211"/>
        <v>8.1488992843344636</v>
      </c>
      <c r="AS209" s="1169">
        <f t="shared" si="205"/>
        <v>0.48849999999999993</v>
      </c>
      <c r="AT209" s="1205">
        <f t="shared" si="209"/>
        <v>0.50027985585804158</v>
      </c>
      <c r="AU209" s="1192">
        <f t="shared" si="210"/>
        <v>0.98070000000000013</v>
      </c>
      <c r="AW209" s="184"/>
      <c r="AX209" s="1166"/>
      <c r="AY209" s="1166"/>
      <c r="AZ209" s="1166"/>
    </row>
    <row r="210" spans="2:52" ht="13.5" thickBot="1" x14ac:dyDescent="0.25">
      <c r="B210" s="1176">
        <v>210</v>
      </c>
      <c r="C210" s="1177">
        <v>25</v>
      </c>
      <c r="D210" s="1178">
        <f>FORECAST(C210,M214:M215,L214:L215)</f>
        <v>60.93</v>
      </c>
      <c r="E210" s="1179">
        <f t="shared" si="147"/>
        <v>0.97600495059000003</v>
      </c>
      <c r="F210" s="1179">
        <f t="shared" si="148"/>
        <v>8.1451562287886556</v>
      </c>
      <c r="G210" s="1178">
        <f>FORECAST(C210,N214:N215,L214:L215)</f>
        <v>0.48499999999999999</v>
      </c>
      <c r="H210" s="1207">
        <f t="shared" si="149"/>
        <v>0.49692370894923737</v>
      </c>
      <c r="I210" s="1180">
        <f>FORECAST(C210,O214:O215,L214:L215)</f>
        <v>0.98100000000000009</v>
      </c>
      <c r="J210" s="1181" t="e">
        <f t="shared" si="181"/>
        <v>#NAME?</v>
      </c>
      <c r="L210" s="184"/>
      <c r="M210" s="1166"/>
      <c r="N210" s="1166"/>
      <c r="O210" s="1166"/>
      <c r="U210" s="1176">
        <v>210</v>
      </c>
      <c r="V210" s="1177">
        <v>20</v>
      </c>
      <c r="W210" s="1178">
        <v>60.78</v>
      </c>
      <c r="X210" s="1179">
        <f t="shared" si="161"/>
        <v>0.97360218114000008</v>
      </c>
      <c r="Y210" s="1179">
        <f t="shared" si="151"/>
        <v>8.1251041455075423</v>
      </c>
      <c r="Z210" s="1178">
        <v>0.43</v>
      </c>
      <c r="AA210" s="1208">
        <f t="shared" si="162"/>
        <v>0.44165882978662691</v>
      </c>
      <c r="AB210" s="1209">
        <v>0.99099999999999999</v>
      </c>
      <c r="AD210" s="184"/>
      <c r="AE210" s="1166"/>
      <c r="AF210" s="1166"/>
      <c r="AG210" s="1182"/>
      <c r="AN210" s="1176">
        <v>210</v>
      </c>
      <c r="AO210" s="1177">
        <v>30</v>
      </c>
      <c r="AP210" s="1178">
        <v>61.08</v>
      </c>
      <c r="AQ210" s="1179">
        <f>AP210*0.016018463</f>
        <v>0.97840772003999998</v>
      </c>
      <c r="AR210" s="1179">
        <f t="shared" si="211"/>
        <v>8.1652083120697707</v>
      </c>
      <c r="AS210" s="1178">
        <v>0.54</v>
      </c>
      <c r="AT210" s="1207">
        <f t="shared" si="209"/>
        <v>0.55191714960908456</v>
      </c>
      <c r="AU210" s="1181">
        <v>0.97099999999999997</v>
      </c>
      <c r="AW210" s="184"/>
      <c r="AX210" s="1166"/>
      <c r="AY210" s="1166"/>
      <c r="AZ210" s="1166"/>
    </row>
    <row r="211" spans="2:52" x14ac:dyDescent="0.2">
      <c r="W211" s="1098"/>
      <c r="X211" s="1098"/>
      <c r="Y211" s="1098"/>
      <c r="AB211" s="1183"/>
      <c r="AG211" s="1182"/>
      <c r="AP211" s="1098"/>
      <c r="AQ211" s="1098"/>
      <c r="AR211" s="1098"/>
    </row>
    <row r="213" spans="2:52" x14ac:dyDescent="0.2">
      <c r="L213" s="1189" t="s">
        <v>1089</v>
      </c>
      <c r="M213" s="179"/>
      <c r="N213" s="179"/>
      <c r="O213" s="179"/>
    </row>
    <row r="214" spans="2:52" x14ac:dyDescent="0.2">
      <c r="L214" s="1190">
        <v>20</v>
      </c>
      <c r="M214" s="1200">
        <f>W210</f>
        <v>60.78</v>
      </c>
      <c r="N214" s="1200">
        <f>Z210</f>
        <v>0.43</v>
      </c>
      <c r="O214" s="1201">
        <f>AB210</f>
        <v>0.99099999999999999</v>
      </c>
    </row>
    <row r="215" spans="2:52" x14ac:dyDescent="0.2">
      <c r="L215" s="1190">
        <v>30</v>
      </c>
      <c r="M215" s="1200">
        <f>AP210</f>
        <v>61.08</v>
      </c>
      <c r="N215" s="1200">
        <f>AS210</f>
        <v>0.54</v>
      </c>
      <c r="O215" s="1201">
        <f>AU210</f>
        <v>0.97099999999999997</v>
      </c>
    </row>
  </sheetData>
  <sheetProtection sheet="1" objects="1" scenarios="1" selectLockedCells="1" selectUnlockedCells="1"/>
  <pageMargins left="0.75" right="0.75" top="1" bottom="1" header="0.5" footer="0.5"/>
  <pageSetup scale="17" fitToHeight="3"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5EB0A-309E-4520-A6F7-7AD7293D22DD}">
  <sheetPr codeName="Sheet9">
    <pageSetUpPr fitToPage="1"/>
  </sheetPr>
  <dimension ref="A3:T210"/>
  <sheetViews>
    <sheetView workbookViewId="0">
      <selection activeCell="B10" sqref="B10:J210"/>
    </sheetView>
  </sheetViews>
  <sheetFormatPr defaultRowHeight="12.75" x14ac:dyDescent="0.2"/>
  <cols>
    <col min="1" max="1" width="9.140625" style="184"/>
    <col min="4" max="6" width="9.140625" style="1098"/>
    <col min="7" max="10" width="11.42578125" customWidth="1"/>
    <col min="11" max="11" width="6.85546875" customWidth="1"/>
    <col min="14" max="15" width="9.7109375" customWidth="1"/>
    <col min="17" max="17" width="11.5703125" customWidth="1"/>
    <col min="18" max="18" width="11" customWidth="1"/>
    <col min="19" max="19" width="5" customWidth="1"/>
  </cols>
  <sheetData>
    <row r="3" spans="2:20" ht="18" x14ac:dyDescent="0.25">
      <c r="B3" s="1097" t="s">
        <v>1060</v>
      </c>
    </row>
    <row r="4" spans="2:20" ht="13.5" thickBot="1" x14ac:dyDescent="0.25">
      <c r="B4" s="1099">
        <v>1</v>
      </c>
      <c r="C4" s="1099">
        <v>2</v>
      </c>
      <c r="D4" s="1099">
        <v>3</v>
      </c>
      <c r="E4" s="1099">
        <v>4</v>
      </c>
      <c r="F4" s="1099">
        <v>5</v>
      </c>
      <c r="G4" s="1099">
        <v>6</v>
      </c>
      <c r="H4" s="1099">
        <v>7</v>
      </c>
      <c r="I4" s="1099">
        <v>8</v>
      </c>
      <c r="J4" s="1099">
        <v>9</v>
      </c>
    </row>
    <row r="5" spans="2:20" s="179" customFormat="1" x14ac:dyDescent="0.2">
      <c r="B5" s="1100"/>
      <c r="C5" s="1101" t="s">
        <v>735</v>
      </c>
      <c r="D5" s="1102"/>
      <c r="E5" s="1102"/>
      <c r="F5" s="1102"/>
      <c r="G5" s="1101" t="s">
        <v>1061</v>
      </c>
      <c r="H5" s="1184"/>
      <c r="I5" s="1103"/>
      <c r="J5" s="1104"/>
      <c r="N5" s="179" t="s">
        <v>1061</v>
      </c>
    </row>
    <row r="6" spans="2:20" s="179" customFormat="1" x14ac:dyDescent="0.2">
      <c r="B6" s="1105" t="s">
        <v>605</v>
      </c>
      <c r="C6" s="1106" t="s">
        <v>1062</v>
      </c>
      <c r="D6" s="1107"/>
      <c r="E6" s="1107"/>
      <c r="F6" s="1107"/>
      <c r="G6" s="1106" t="s">
        <v>1063</v>
      </c>
      <c r="H6" s="1185" t="s">
        <v>1064</v>
      </c>
      <c r="I6" s="1108" t="s">
        <v>1065</v>
      </c>
      <c r="J6" s="1109" t="s">
        <v>1065</v>
      </c>
      <c r="L6" s="179" t="s">
        <v>605</v>
      </c>
      <c r="N6" s="179" t="s">
        <v>1063</v>
      </c>
      <c r="O6" s="1110" t="s">
        <v>1065</v>
      </c>
    </row>
    <row r="7" spans="2:20" s="179" customFormat="1" x14ac:dyDescent="0.2">
      <c r="B7" s="1105" t="s">
        <v>840</v>
      </c>
      <c r="C7" s="1106" t="s">
        <v>614</v>
      </c>
      <c r="D7" s="1107" t="s">
        <v>1066</v>
      </c>
      <c r="E7" s="1107" t="s">
        <v>1066</v>
      </c>
      <c r="F7" s="1107"/>
      <c r="G7" s="1106" t="s">
        <v>1067</v>
      </c>
      <c r="H7" s="1185" t="s">
        <v>1067</v>
      </c>
      <c r="I7" s="1108" t="s">
        <v>1068</v>
      </c>
      <c r="J7" s="1109" t="s">
        <v>1069</v>
      </c>
      <c r="L7" s="179" t="s">
        <v>840</v>
      </c>
      <c r="M7" s="1111" t="s">
        <v>1066</v>
      </c>
      <c r="N7" s="179" t="s">
        <v>1067</v>
      </c>
      <c r="O7" s="1110" t="s">
        <v>1068</v>
      </c>
    </row>
    <row r="8" spans="2:20" s="179" customFormat="1" ht="14.25" x14ac:dyDescent="0.2">
      <c r="B8" s="1112" t="s">
        <v>1070</v>
      </c>
      <c r="C8" s="1113" t="s">
        <v>1071</v>
      </c>
      <c r="D8" s="1114" t="s">
        <v>1072</v>
      </c>
      <c r="E8" s="1107" t="s">
        <v>1073</v>
      </c>
      <c r="F8" s="1107" t="s">
        <v>1074</v>
      </c>
      <c r="G8" s="1106" t="s">
        <v>1075</v>
      </c>
      <c r="H8" s="1185" t="s">
        <v>1076</v>
      </c>
      <c r="I8" s="1108" t="s">
        <v>1077</v>
      </c>
      <c r="J8" s="1109"/>
      <c r="L8" s="1115" t="s">
        <v>1070</v>
      </c>
      <c r="M8" s="1116" t="s">
        <v>1072</v>
      </c>
      <c r="N8" s="179" t="s">
        <v>1075</v>
      </c>
      <c r="O8" s="1110" t="s">
        <v>1077</v>
      </c>
    </row>
    <row r="9" spans="2:20" s="179" customFormat="1" ht="13.5" thickBot="1" x14ac:dyDescent="0.25">
      <c r="B9" s="1105"/>
      <c r="C9" s="1106"/>
      <c r="D9" s="1107" t="s">
        <v>1078</v>
      </c>
      <c r="E9" s="1107" t="s">
        <v>1078</v>
      </c>
      <c r="F9" s="1107"/>
      <c r="G9" s="1106" t="s">
        <v>1079</v>
      </c>
      <c r="H9" s="1185" t="s">
        <v>1080</v>
      </c>
      <c r="I9" s="1117"/>
      <c r="J9" s="1118"/>
    </row>
    <row r="10" spans="2:20" s="179" customFormat="1" x14ac:dyDescent="0.2">
      <c r="B10" s="1119">
        <v>10</v>
      </c>
      <c r="C10" s="1120">
        <v>30</v>
      </c>
      <c r="D10" s="1121">
        <v>65</v>
      </c>
      <c r="E10" s="1122">
        <f t="shared" ref="E10:E73" si="0">D10*0.016018463</f>
        <v>1.041200095</v>
      </c>
      <c r="F10" s="1122">
        <f>D10/7.4805195</f>
        <v>8.6892360884828932</v>
      </c>
      <c r="G10" s="1121">
        <v>13.42</v>
      </c>
      <c r="H10" s="1186">
        <f t="shared" ref="H10:H73" si="1">G10/E10</f>
        <v>12.888973084467496</v>
      </c>
      <c r="I10" s="1123">
        <v>0.89800000000000002</v>
      </c>
      <c r="J10" s="1124" t="e">
        <f t="shared" ref="J10:J73" si="2">E10/VLOOKUP(60,Water,6,FALSE)</f>
        <v>#NAME?</v>
      </c>
      <c r="L10" s="1125">
        <f>B10</f>
        <v>10</v>
      </c>
      <c r="M10" s="1126">
        <f>D10</f>
        <v>65</v>
      </c>
      <c r="N10" s="1126">
        <f>G10</f>
        <v>13.42</v>
      </c>
      <c r="O10" s="1127">
        <f>I10</f>
        <v>0.89800000000000002</v>
      </c>
      <c r="Q10" s="1128" t="s">
        <v>1081</v>
      </c>
      <c r="R10" s="1129"/>
      <c r="S10"/>
      <c r="T10"/>
    </row>
    <row r="11" spans="2:20" s="179" customFormat="1" x14ac:dyDescent="0.2">
      <c r="B11" s="1130">
        <v>11</v>
      </c>
      <c r="C11" s="1131">
        <v>30</v>
      </c>
      <c r="D11" s="1132">
        <f>FORECAST(B11,$M$10:$M$11,$L$10:$L$11)</f>
        <v>64.989999999999995</v>
      </c>
      <c r="E11" s="1133">
        <f t="shared" si="0"/>
        <v>1.0410399103699999</v>
      </c>
      <c r="F11" s="1133">
        <f t="shared" ref="F11:F74" si="3">D11/7.4805195</f>
        <v>8.6878992829308181</v>
      </c>
      <c r="G11" s="1132">
        <f>FORECAST(B11,$N$10:$N$11,$L$10:$L$11)</f>
        <v>13.067000000000004</v>
      </c>
      <c r="H11" s="1187">
        <f t="shared" si="1"/>
        <v>12.551872286390838</v>
      </c>
      <c r="I11" s="1135">
        <f>FORECAST(B11,$O$10:$O$11,$L$10:$L$11)</f>
        <v>0.89839999999999998</v>
      </c>
      <c r="J11" s="1136" t="e">
        <f t="shared" si="2"/>
        <v>#NAME?</v>
      </c>
      <c r="L11" s="1125">
        <f>B20</f>
        <v>20</v>
      </c>
      <c r="M11" s="1126">
        <f>D20</f>
        <v>64.900000000000006</v>
      </c>
      <c r="N11" s="1126">
        <f>G20</f>
        <v>9.89</v>
      </c>
      <c r="O11" s="1127">
        <f>I20</f>
        <v>0.90200000000000002</v>
      </c>
      <c r="Q11" s="1137" t="s">
        <v>559</v>
      </c>
      <c r="R11" s="1138" t="s">
        <v>1082</v>
      </c>
      <c r="S11"/>
      <c r="T11"/>
    </row>
    <row r="12" spans="2:20" s="179" customFormat="1" x14ac:dyDescent="0.2">
      <c r="B12" s="1130">
        <v>12</v>
      </c>
      <c r="C12" s="1131">
        <v>30</v>
      </c>
      <c r="D12" s="1132">
        <f t="shared" ref="D12:D19" si="4">FORECAST(B12,$M$10:$M$11,$L$10:$L$11)</f>
        <v>64.98</v>
      </c>
      <c r="E12" s="1133">
        <f t="shared" si="0"/>
        <v>1.04087972574</v>
      </c>
      <c r="F12" s="1133">
        <f t="shared" si="3"/>
        <v>8.6865624773787449</v>
      </c>
      <c r="G12" s="1132">
        <f t="shared" ref="G12:G19" si="5">FORECAST(B12,$N$10:$N$11,$L$10:$L$11)</f>
        <v>12.714000000000002</v>
      </c>
      <c r="H12" s="1187">
        <f t="shared" si="1"/>
        <v>12.214667733066996</v>
      </c>
      <c r="I12" s="1135">
        <f t="shared" ref="I12:I19" si="6">FORECAST(B12,$O$10:$O$11,$L$10:$L$11)</f>
        <v>0.89880000000000004</v>
      </c>
      <c r="J12" s="1136" t="e">
        <f t="shared" si="2"/>
        <v>#NAME?</v>
      </c>
      <c r="Q12" s="1139">
        <v>80</v>
      </c>
      <c r="R12" s="1140">
        <v>1.63</v>
      </c>
      <c r="S12"/>
      <c r="T12"/>
    </row>
    <row r="13" spans="2:20" s="179" customFormat="1" x14ac:dyDescent="0.2">
      <c r="B13" s="1130">
        <v>13</v>
      </c>
      <c r="C13" s="1131">
        <v>30</v>
      </c>
      <c r="D13" s="1132">
        <f t="shared" si="4"/>
        <v>64.97</v>
      </c>
      <c r="E13" s="1133">
        <f t="shared" si="0"/>
        <v>1.0407195411100001</v>
      </c>
      <c r="F13" s="1133">
        <f t="shared" si="3"/>
        <v>8.6852256718266698</v>
      </c>
      <c r="G13" s="1132">
        <f t="shared" si="5"/>
        <v>12.361000000000004</v>
      </c>
      <c r="H13" s="1187">
        <f t="shared" si="1"/>
        <v>11.877359376586831</v>
      </c>
      <c r="I13" s="1135">
        <f t="shared" si="6"/>
        <v>0.8992</v>
      </c>
      <c r="J13" s="1136" t="e">
        <f t="shared" si="2"/>
        <v>#NAME?</v>
      </c>
      <c r="Q13" s="1139">
        <v>90</v>
      </c>
      <c r="R13" s="1140">
        <v>1.41</v>
      </c>
    </row>
    <row r="14" spans="2:20" s="179" customFormat="1" ht="13.5" thickBot="1" x14ac:dyDescent="0.25">
      <c r="B14" s="1141">
        <v>14</v>
      </c>
      <c r="C14" s="1142">
        <v>30</v>
      </c>
      <c r="D14" s="1143">
        <f t="shared" si="4"/>
        <v>64.960000000000008</v>
      </c>
      <c r="E14" s="1144">
        <f t="shared" si="0"/>
        <v>1.0405593564800002</v>
      </c>
      <c r="F14" s="1144">
        <f t="shared" si="3"/>
        <v>8.6838888662745966</v>
      </c>
      <c r="G14" s="1143">
        <f t="shared" si="5"/>
        <v>12.008000000000003</v>
      </c>
      <c r="H14" s="1191">
        <f t="shared" si="1"/>
        <v>11.539947169011688</v>
      </c>
      <c r="I14" s="1146">
        <f t="shared" si="6"/>
        <v>0.89960000000000007</v>
      </c>
      <c r="J14" s="1147" t="e">
        <f t="shared" si="2"/>
        <v>#NAME?</v>
      </c>
      <c r="Q14" s="1137"/>
      <c r="R14" s="1138"/>
    </row>
    <row r="15" spans="2:20" s="179" customFormat="1" x14ac:dyDescent="0.2">
      <c r="B15" s="1148">
        <v>15</v>
      </c>
      <c r="C15" s="1149">
        <v>30</v>
      </c>
      <c r="D15" s="1150">
        <f t="shared" si="4"/>
        <v>64.95</v>
      </c>
      <c r="E15" s="1122">
        <f t="shared" si="0"/>
        <v>1.0403991718500001</v>
      </c>
      <c r="F15" s="1122">
        <f t="shared" si="3"/>
        <v>8.6825520607225215</v>
      </c>
      <c r="G15" s="1150">
        <f t="shared" si="5"/>
        <v>11.655000000000003</v>
      </c>
      <c r="H15" s="1186">
        <f t="shared" si="1"/>
        <v>11.202431062373401</v>
      </c>
      <c r="I15" s="1151">
        <f t="shared" si="6"/>
        <v>0.9</v>
      </c>
      <c r="J15" s="1124" t="e">
        <f t="shared" si="2"/>
        <v>#NAME?</v>
      </c>
      <c r="Q15" s="1152">
        <v>88</v>
      </c>
      <c r="R15" s="1153">
        <f>FORECAST(Q15,R12:R13,Q12:Q13)</f>
        <v>1.4539999999999997</v>
      </c>
    </row>
    <row r="16" spans="2:20" s="179" customFormat="1" x14ac:dyDescent="0.2">
      <c r="B16" s="1130">
        <v>16</v>
      </c>
      <c r="C16" s="1131">
        <v>30</v>
      </c>
      <c r="D16" s="1132">
        <f t="shared" si="4"/>
        <v>64.94</v>
      </c>
      <c r="E16" s="1133">
        <f t="shared" si="0"/>
        <v>1.04023898722</v>
      </c>
      <c r="F16" s="1133">
        <f t="shared" si="3"/>
        <v>8.6812152551704465</v>
      </c>
      <c r="G16" s="1132">
        <f t="shared" si="5"/>
        <v>11.302000000000003</v>
      </c>
      <c r="H16" s="1187">
        <f t="shared" si="1"/>
        <v>10.864811008674245</v>
      </c>
      <c r="I16" s="1135">
        <f t="shared" si="6"/>
        <v>0.90039999999999998</v>
      </c>
      <c r="J16" s="1136" t="e">
        <f t="shared" si="2"/>
        <v>#NAME?</v>
      </c>
      <c r="Q16" s="204"/>
      <c r="R16" s="1154"/>
    </row>
    <row r="17" spans="2:18" s="179" customFormat="1" x14ac:dyDescent="0.2">
      <c r="B17" s="1130">
        <v>17</v>
      </c>
      <c r="C17" s="1131">
        <v>30</v>
      </c>
      <c r="D17" s="1132">
        <f t="shared" si="4"/>
        <v>64.930000000000007</v>
      </c>
      <c r="E17" s="1133">
        <f t="shared" si="0"/>
        <v>1.0400788025900001</v>
      </c>
      <c r="F17" s="1133">
        <f t="shared" si="3"/>
        <v>8.6798784496183732</v>
      </c>
      <c r="G17" s="1132">
        <f t="shared" si="5"/>
        <v>10.949000000000003</v>
      </c>
      <c r="H17" s="1187">
        <f t="shared" si="1"/>
        <v>10.527086959886931</v>
      </c>
      <c r="I17" s="1135">
        <f t="shared" si="6"/>
        <v>0.90080000000000005</v>
      </c>
      <c r="J17" s="1136" t="e">
        <f t="shared" si="2"/>
        <v>#NAME?</v>
      </c>
      <c r="Q17" s="1155" t="s">
        <v>1083</v>
      </c>
      <c r="R17" s="1156"/>
    </row>
    <row r="18" spans="2:18" s="179" customFormat="1" ht="13.5" thickBot="1" x14ac:dyDescent="0.25">
      <c r="B18" s="1130">
        <v>18</v>
      </c>
      <c r="C18" s="1131">
        <v>30</v>
      </c>
      <c r="D18" s="1132">
        <f t="shared" si="4"/>
        <v>64.92</v>
      </c>
      <c r="E18" s="1133">
        <f t="shared" si="0"/>
        <v>1.03991861796</v>
      </c>
      <c r="F18" s="1133">
        <f t="shared" si="3"/>
        <v>8.6785416440662981</v>
      </c>
      <c r="G18" s="1132">
        <f t="shared" si="5"/>
        <v>10.596000000000004</v>
      </c>
      <c r="H18" s="1187">
        <f t="shared" si="1"/>
        <v>10.189258867954583</v>
      </c>
      <c r="I18" s="1135">
        <f t="shared" si="6"/>
        <v>0.9012</v>
      </c>
      <c r="J18" s="1136" t="e">
        <f t="shared" si="2"/>
        <v>#NAME?</v>
      </c>
      <c r="Q18" s="1157" t="s">
        <v>1084</v>
      </c>
      <c r="R18" s="1158"/>
    </row>
    <row r="19" spans="2:18" s="179" customFormat="1" ht="13.5" thickBot="1" x14ac:dyDescent="0.25">
      <c r="B19" s="1141">
        <v>19</v>
      </c>
      <c r="C19" s="1142">
        <v>30</v>
      </c>
      <c r="D19" s="1143">
        <f t="shared" si="4"/>
        <v>64.910000000000011</v>
      </c>
      <c r="E19" s="1144">
        <f t="shared" si="0"/>
        <v>1.0397584333300003</v>
      </c>
      <c r="F19" s="1144">
        <f t="shared" si="3"/>
        <v>8.6772048385142249</v>
      </c>
      <c r="G19" s="1143">
        <f t="shared" si="5"/>
        <v>10.243000000000002</v>
      </c>
      <c r="H19" s="1191">
        <f t="shared" si="1"/>
        <v>9.8513266847906991</v>
      </c>
      <c r="I19" s="1135">
        <f t="shared" si="6"/>
        <v>0.90160000000000007</v>
      </c>
      <c r="J19" s="1147" t="e">
        <f t="shared" si="2"/>
        <v>#NAME?</v>
      </c>
      <c r="Q19"/>
      <c r="R19"/>
    </row>
    <row r="20" spans="2:18" s="179" customFormat="1" x14ac:dyDescent="0.2">
      <c r="B20" s="1160">
        <v>20</v>
      </c>
      <c r="C20" s="1161">
        <v>30</v>
      </c>
      <c r="D20" s="1121">
        <v>64.900000000000006</v>
      </c>
      <c r="E20" s="1122">
        <f t="shared" si="0"/>
        <v>1.0395982487000002</v>
      </c>
      <c r="F20" s="1122">
        <f t="shared" si="3"/>
        <v>8.6758680329621498</v>
      </c>
      <c r="G20" s="1121">
        <v>9.89</v>
      </c>
      <c r="H20" s="1197">
        <f t="shared" si="1"/>
        <v>9.5132903622791556</v>
      </c>
      <c r="I20" s="1123">
        <v>0.90200000000000002</v>
      </c>
      <c r="J20" s="1124" t="e">
        <f t="shared" si="2"/>
        <v>#NAME?</v>
      </c>
      <c r="L20" s="1125">
        <f>B20</f>
        <v>20</v>
      </c>
      <c r="M20" s="1126">
        <f>D20</f>
        <v>64.900000000000006</v>
      </c>
      <c r="N20" s="1126">
        <f>G20</f>
        <v>9.89</v>
      </c>
      <c r="O20" s="1127">
        <f>I20</f>
        <v>0.90200000000000002</v>
      </c>
      <c r="Q20"/>
      <c r="R20"/>
    </row>
    <row r="21" spans="2:18" s="179" customFormat="1" x14ac:dyDescent="0.2">
      <c r="B21" s="1130">
        <v>21</v>
      </c>
      <c r="C21" s="1131">
        <v>30</v>
      </c>
      <c r="D21" s="1132">
        <f t="shared" ref="D21:D29" si="7">FORECAST(B21,$M$20:$M$21,$L$20:$L$21)</f>
        <v>64.88900000000001</v>
      </c>
      <c r="E21" s="1133">
        <f t="shared" si="0"/>
        <v>1.0394220456070002</v>
      </c>
      <c r="F21" s="1133">
        <f t="shared" si="3"/>
        <v>8.6743975468548697</v>
      </c>
      <c r="G21" s="1132">
        <f t="shared" ref="G21:G29" si="8">FORECAST(B21,$N$20:$N$21,$L$20:$L$21)</f>
        <v>9.647000000000002</v>
      </c>
      <c r="H21" s="1187">
        <f t="shared" si="1"/>
        <v>9.2811192919872703</v>
      </c>
      <c r="I21" s="1135">
        <f>FORECAST(B21,$O$20:$O$21,$L$20:$L$21)</f>
        <v>0.90239999999999998</v>
      </c>
      <c r="J21" s="1136" t="e">
        <f t="shared" si="2"/>
        <v>#NAME?</v>
      </c>
      <c r="L21" s="1125">
        <f>B30</f>
        <v>30</v>
      </c>
      <c r="M21" s="1126">
        <f>D30</f>
        <v>64.790000000000006</v>
      </c>
      <c r="N21" s="1126">
        <f>G30</f>
        <v>7.46</v>
      </c>
      <c r="O21" s="1127">
        <f>I30</f>
        <v>0.90600000000000003</v>
      </c>
      <c r="Q21"/>
      <c r="R21"/>
    </row>
    <row r="22" spans="2:18" s="179" customFormat="1" x14ac:dyDescent="0.2">
      <c r="B22" s="1130">
        <v>22</v>
      </c>
      <c r="C22" s="1131">
        <v>30</v>
      </c>
      <c r="D22" s="1132">
        <f t="shared" si="7"/>
        <v>64.878</v>
      </c>
      <c r="E22" s="1133">
        <f t="shared" si="0"/>
        <v>1.0392458425140001</v>
      </c>
      <c r="F22" s="1133">
        <f t="shared" si="3"/>
        <v>8.6729270607475861</v>
      </c>
      <c r="G22" s="1132">
        <f t="shared" si="8"/>
        <v>9.4039999999999999</v>
      </c>
      <c r="H22" s="1187">
        <f t="shared" si="1"/>
        <v>9.0488694929499456</v>
      </c>
      <c r="I22" s="1135">
        <f t="shared" ref="I22:I29" si="9">FORECAST(B22,$O$20:$O$21,$L$20:$L$21)</f>
        <v>0.90280000000000005</v>
      </c>
      <c r="J22" s="1136" t="e">
        <f t="shared" si="2"/>
        <v>#NAME?</v>
      </c>
      <c r="Q22" t="s">
        <v>1085</v>
      </c>
      <c r="R22"/>
    </row>
    <row r="23" spans="2:18" s="179" customFormat="1" x14ac:dyDescent="0.2">
      <c r="B23" s="1130">
        <v>23</v>
      </c>
      <c r="C23" s="1131">
        <v>30</v>
      </c>
      <c r="D23" s="1132">
        <f t="shared" si="7"/>
        <v>64.867000000000004</v>
      </c>
      <c r="E23" s="1133">
        <f t="shared" si="0"/>
        <v>1.0390696394210002</v>
      </c>
      <c r="F23" s="1133">
        <f t="shared" si="3"/>
        <v>8.6714565746403043</v>
      </c>
      <c r="G23" s="1132">
        <f t="shared" si="8"/>
        <v>9.1610000000000014</v>
      </c>
      <c r="H23" s="1187">
        <f t="shared" si="1"/>
        <v>8.8165409251152571</v>
      </c>
      <c r="I23" s="1135">
        <f t="shared" si="9"/>
        <v>0.9032</v>
      </c>
      <c r="J23" s="1136" t="e">
        <f t="shared" si="2"/>
        <v>#NAME?</v>
      </c>
      <c r="Q23" t="s">
        <v>1086</v>
      </c>
      <c r="R23"/>
    </row>
    <row r="24" spans="2:18" s="179" customFormat="1" ht="13.5" thickBot="1" x14ac:dyDescent="0.25">
      <c r="B24" s="1141">
        <v>24</v>
      </c>
      <c r="C24" s="1142">
        <v>30</v>
      </c>
      <c r="D24" s="1143">
        <f t="shared" si="7"/>
        <v>64.856000000000009</v>
      </c>
      <c r="E24" s="1144">
        <f t="shared" si="0"/>
        <v>1.0388934363280002</v>
      </c>
      <c r="F24" s="1144">
        <f t="shared" si="3"/>
        <v>8.6699860885330242</v>
      </c>
      <c r="G24" s="1143">
        <f t="shared" si="8"/>
        <v>8.918000000000001</v>
      </c>
      <c r="H24" s="1191">
        <f t="shared" si="1"/>
        <v>8.584133548404095</v>
      </c>
      <c r="I24" s="1146">
        <f t="shared" si="9"/>
        <v>0.90360000000000007</v>
      </c>
      <c r="J24" s="1147" t="e">
        <f t="shared" si="2"/>
        <v>#NAME?</v>
      </c>
      <c r="Q24" t="s">
        <v>1087</v>
      </c>
      <c r="R24"/>
    </row>
    <row r="25" spans="2:18" s="179" customFormat="1" x14ac:dyDescent="0.2">
      <c r="B25" s="1148">
        <v>25</v>
      </c>
      <c r="C25" s="1149">
        <v>30</v>
      </c>
      <c r="D25" s="1150">
        <f t="shared" si="7"/>
        <v>64.844999999999999</v>
      </c>
      <c r="E25" s="1122">
        <f t="shared" si="0"/>
        <v>1.0387172332350001</v>
      </c>
      <c r="F25" s="1122">
        <f t="shared" si="3"/>
        <v>8.6685156024257406</v>
      </c>
      <c r="G25" s="1150">
        <f t="shared" si="8"/>
        <v>8.6750000000000007</v>
      </c>
      <c r="H25" s="1186">
        <f t="shared" si="1"/>
        <v>8.3516473227101677</v>
      </c>
      <c r="I25" s="1173">
        <f t="shared" si="9"/>
        <v>0.90400000000000003</v>
      </c>
      <c r="J25" s="1124" t="e">
        <f t="shared" si="2"/>
        <v>#NAME?</v>
      </c>
      <c r="Q25" t="s">
        <v>1088</v>
      </c>
      <c r="R25"/>
    </row>
    <row r="26" spans="2:18" s="179" customFormat="1" x14ac:dyDescent="0.2">
      <c r="B26" s="1130">
        <v>26</v>
      </c>
      <c r="C26" s="1131">
        <v>30</v>
      </c>
      <c r="D26" s="1132">
        <f t="shared" si="7"/>
        <v>64.834000000000003</v>
      </c>
      <c r="E26" s="1133">
        <f t="shared" si="0"/>
        <v>1.0385410301420002</v>
      </c>
      <c r="F26" s="1133">
        <f t="shared" si="3"/>
        <v>8.6670451163184588</v>
      </c>
      <c r="G26" s="1132">
        <f t="shared" si="8"/>
        <v>8.4320000000000004</v>
      </c>
      <c r="H26" s="1187">
        <f t="shared" si="1"/>
        <v>8.1190822078999503</v>
      </c>
      <c r="I26" s="1135">
        <f t="shared" si="9"/>
        <v>0.90439999999999998</v>
      </c>
      <c r="J26" s="1136" t="e">
        <f t="shared" si="2"/>
        <v>#NAME?</v>
      </c>
    </row>
    <row r="27" spans="2:18" s="179" customFormat="1" x14ac:dyDescent="0.2">
      <c r="B27" s="1130">
        <v>27</v>
      </c>
      <c r="C27" s="1131">
        <v>30</v>
      </c>
      <c r="D27" s="1132">
        <f t="shared" si="7"/>
        <v>64.823000000000008</v>
      </c>
      <c r="E27" s="1133">
        <f t="shared" si="0"/>
        <v>1.0383648270490002</v>
      </c>
      <c r="F27" s="1133">
        <f t="shared" si="3"/>
        <v>8.6655746302111787</v>
      </c>
      <c r="G27" s="1132">
        <f t="shared" si="8"/>
        <v>8.1890000000000001</v>
      </c>
      <c r="H27" s="1187">
        <f t="shared" si="1"/>
        <v>7.8864381638126915</v>
      </c>
      <c r="I27" s="1135">
        <f t="shared" si="9"/>
        <v>0.90480000000000005</v>
      </c>
      <c r="J27" s="1136" t="e">
        <f t="shared" si="2"/>
        <v>#NAME?</v>
      </c>
    </row>
    <row r="28" spans="2:18" s="179" customFormat="1" x14ac:dyDescent="0.2">
      <c r="B28" s="1130">
        <v>28</v>
      </c>
      <c r="C28" s="1131">
        <v>30</v>
      </c>
      <c r="D28" s="1132">
        <f t="shared" si="7"/>
        <v>64.812000000000012</v>
      </c>
      <c r="E28" s="1133">
        <f t="shared" si="0"/>
        <v>1.0381886239560001</v>
      </c>
      <c r="F28" s="1133">
        <f t="shared" si="3"/>
        <v>8.6641041441038968</v>
      </c>
      <c r="G28" s="1132">
        <f t="shared" si="8"/>
        <v>7.9460000000000006</v>
      </c>
      <c r="H28" s="1187">
        <f t="shared" si="1"/>
        <v>7.6537151502603669</v>
      </c>
      <c r="I28" s="1135">
        <f t="shared" si="9"/>
        <v>0.9052</v>
      </c>
      <c r="J28" s="1136" t="e">
        <f t="shared" si="2"/>
        <v>#NAME?</v>
      </c>
    </row>
    <row r="29" spans="2:18" s="179" customFormat="1" ht="13.5" thickBot="1" x14ac:dyDescent="0.25">
      <c r="B29" s="1141">
        <v>29</v>
      </c>
      <c r="C29" s="1142">
        <v>30</v>
      </c>
      <c r="D29" s="1143">
        <f t="shared" si="7"/>
        <v>64.801000000000002</v>
      </c>
      <c r="E29" s="1144">
        <f t="shared" si="0"/>
        <v>1.0380124208629999</v>
      </c>
      <c r="F29" s="1144">
        <f t="shared" si="3"/>
        <v>8.662633657996615</v>
      </c>
      <c r="G29" s="1143">
        <f t="shared" si="8"/>
        <v>7.7030000000000003</v>
      </c>
      <c r="H29" s="1191">
        <f t="shared" si="1"/>
        <v>7.4209131270276636</v>
      </c>
      <c r="I29" s="1135">
        <f t="shared" si="9"/>
        <v>0.90560000000000007</v>
      </c>
      <c r="J29" s="1147" t="e">
        <f t="shared" si="2"/>
        <v>#NAME?</v>
      </c>
    </row>
    <row r="30" spans="2:18" x14ac:dyDescent="0.2">
      <c r="B30" s="1160">
        <v>30</v>
      </c>
      <c r="C30" s="1120">
        <v>30</v>
      </c>
      <c r="D30" s="1162">
        <v>64.790000000000006</v>
      </c>
      <c r="E30" s="1163">
        <f t="shared" si="0"/>
        <v>1.03783621777</v>
      </c>
      <c r="F30" s="1122">
        <f t="shared" si="3"/>
        <v>8.6611631718893332</v>
      </c>
      <c r="G30" s="1162">
        <v>7.46</v>
      </c>
      <c r="H30" s="1197">
        <f t="shared" si="1"/>
        <v>7.18803205387196</v>
      </c>
      <c r="I30" s="1123">
        <v>0.90600000000000003</v>
      </c>
      <c r="J30" s="1124" t="e">
        <f t="shared" si="2"/>
        <v>#NAME?</v>
      </c>
      <c r="L30" s="1125">
        <f>B30</f>
        <v>30</v>
      </c>
      <c r="M30" s="1126">
        <f>D30</f>
        <v>64.790000000000006</v>
      </c>
      <c r="N30" s="1126">
        <f>G30</f>
        <v>7.46</v>
      </c>
      <c r="O30" s="1127">
        <f>I30</f>
        <v>0.90600000000000003</v>
      </c>
    </row>
    <row r="31" spans="2:18" x14ac:dyDescent="0.2">
      <c r="B31" s="1164">
        <v>31</v>
      </c>
      <c r="C31" s="1131">
        <v>30</v>
      </c>
      <c r="D31" s="1132">
        <f t="shared" ref="D31:D39" si="10">FORECAST(B31,$M$30:$M$31,$L$30:$L$31)</f>
        <v>64.778000000000006</v>
      </c>
      <c r="E31" s="1133">
        <f t="shared" si="0"/>
        <v>1.0376439962140001</v>
      </c>
      <c r="F31" s="1133">
        <f t="shared" si="3"/>
        <v>8.6595590052268445</v>
      </c>
      <c r="G31" s="1132">
        <f t="shared" ref="G31:G39" si="11">FORECAST(B31,$N$30:$N$31,$L$30:$L$31)</f>
        <v>7.2889999999999997</v>
      </c>
      <c r="H31" s="1187">
        <f t="shared" si="1"/>
        <v>7.0245672182318897</v>
      </c>
      <c r="I31" s="1135">
        <f>FORECAST(B31,$O$30:$O$31,$L$30:$L$31)</f>
        <v>0.90629999999999999</v>
      </c>
      <c r="J31" s="1136" t="e">
        <f t="shared" si="2"/>
        <v>#NAME?</v>
      </c>
      <c r="L31" s="1125">
        <f>B40</f>
        <v>40</v>
      </c>
      <c r="M31" s="1126">
        <f>D40</f>
        <v>64.67</v>
      </c>
      <c r="N31" s="1126">
        <f>G40</f>
        <v>5.75</v>
      </c>
      <c r="O31" s="1127">
        <f>I40</f>
        <v>0.90900000000000003</v>
      </c>
    </row>
    <row r="32" spans="2:18" x14ac:dyDescent="0.2">
      <c r="B32" s="1164">
        <v>32</v>
      </c>
      <c r="C32" s="1131">
        <v>30</v>
      </c>
      <c r="D32" s="1132">
        <f t="shared" si="10"/>
        <v>64.766000000000005</v>
      </c>
      <c r="E32" s="1133">
        <f t="shared" si="0"/>
        <v>1.0374517746580001</v>
      </c>
      <c r="F32" s="1133">
        <f t="shared" si="3"/>
        <v>8.6579548385643541</v>
      </c>
      <c r="G32" s="1132">
        <f t="shared" si="11"/>
        <v>7.1179999999999994</v>
      </c>
      <c r="H32" s="1187">
        <f t="shared" si="1"/>
        <v>6.8610418082772808</v>
      </c>
      <c r="I32" s="1135">
        <f t="shared" ref="I32:I39" si="12">FORECAST(B32,$O$30:$O$31,$L$30:$L$31)</f>
        <v>0.90660000000000007</v>
      </c>
      <c r="J32" s="1136" t="e">
        <f t="shared" si="2"/>
        <v>#NAME?</v>
      </c>
      <c r="L32" s="184"/>
      <c r="M32" s="1166"/>
      <c r="N32" s="1166"/>
      <c r="O32" s="1166"/>
    </row>
    <row r="33" spans="2:15" x14ac:dyDescent="0.2">
      <c r="B33" s="1164">
        <v>33</v>
      </c>
      <c r="C33" s="1131">
        <v>30</v>
      </c>
      <c r="D33" s="1132">
        <f t="shared" si="10"/>
        <v>64.754000000000005</v>
      </c>
      <c r="E33" s="1133">
        <f t="shared" si="0"/>
        <v>1.0372595531020001</v>
      </c>
      <c r="F33" s="1133">
        <f t="shared" si="3"/>
        <v>8.6563506719018655</v>
      </c>
      <c r="G33" s="1132">
        <f t="shared" si="11"/>
        <v>6.9469999999999992</v>
      </c>
      <c r="H33" s="1187">
        <f t="shared" si="1"/>
        <v>6.6974557903318317</v>
      </c>
      <c r="I33" s="1135">
        <f t="shared" si="12"/>
        <v>0.90690000000000004</v>
      </c>
      <c r="J33" s="1136" t="e">
        <f t="shared" si="2"/>
        <v>#NAME?</v>
      </c>
      <c r="L33" s="184"/>
      <c r="M33" s="1166"/>
      <c r="N33" s="1166"/>
      <c r="O33" s="1166"/>
    </row>
    <row r="34" spans="2:15" ht="13.5" thickBot="1" x14ac:dyDescent="0.25">
      <c r="B34" s="1167">
        <v>34</v>
      </c>
      <c r="C34" s="1142">
        <v>30</v>
      </c>
      <c r="D34" s="1169">
        <f t="shared" si="10"/>
        <v>64.742000000000004</v>
      </c>
      <c r="E34" s="1170">
        <f t="shared" si="0"/>
        <v>1.0370673315460002</v>
      </c>
      <c r="F34" s="1144">
        <f t="shared" si="3"/>
        <v>8.6547465052393768</v>
      </c>
      <c r="G34" s="1169">
        <f t="shared" si="11"/>
        <v>6.7759999999999998</v>
      </c>
      <c r="H34" s="1205">
        <f t="shared" si="1"/>
        <v>6.533809130694272</v>
      </c>
      <c r="I34" s="1146">
        <f t="shared" si="12"/>
        <v>0.90720000000000001</v>
      </c>
      <c r="J34" s="1147" t="e">
        <f t="shared" si="2"/>
        <v>#NAME?</v>
      </c>
      <c r="L34" s="184"/>
      <c r="M34" s="1166"/>
      <c r="N34" s="1166"/>
      <c r="O34" s="1166"/>
    </row>
    <row r="35" spans="2:15" x14ac:dyDescent="0.2">
      <c r="B35" s="1172">
        <v>35</v>
      </c>
      <c r="C35" s="1149">
        <v>30</v>
      </c>
      <c r="D35" s="1150">
        <f t="shared" si="10"/>
        <v>64.73</v>
      </c>
      <c r="E35" s="1122">
        <f t="shared" si="0"/>
        <v>1.03687510999</v>
      </c>
      <c r="F35" s="1122">
        <f t="shared" si="3"/>
        <v>8.6531423385768864</v>
      </c>
      <c r="G35" s="1150">
        <f t="shared" si="11"/>
        <v>6.6049999999999995</v>
      </c>
      <c r="H35" s="1186">
        <f t="shared" si="1"/>
        <v>6.3701017956383392</v>
      </c>
      <c r="I35" s="1173">
        <f t="shared" si="12"/>
        <v>0.90749999999999997</v>
      </c>
      <c r="J35" s="1124" t="e">
        <f t="shared" si="2"/>
        <v>#NAME?</v>
      </c>
      <c r="L35" s="184"/>
      <c r="M35" s="1166"/>
      <c r="N35" s="1166"/>
      <c r="O35" s="1166"/>
    </row>
    <row r="36" spans="2:15" x14ac:dyDescent="0.2">
      <c r="B36" s="1164">
        <v>36</v>
      </c>
      <c r="C36" s="1131">
        <v>30</v>
      </c>
      <c r="D36" s="1132">
        <f t="shared" si="10"/>
        <v>64.718000000000004</v>
      </c>
      <c r="E36" s="1133">
        <f t="shared" si="0"/>
        <v>1.036682888434</v>
      </c>
      <c r="F36" s="1133">
        <f t="shared" si="3"/>
        <v>8.6515381719143978</v>
      </c>
      <c r="G36" s="1132">
        <f t="shared" si="11"/>
        <v>6.4339999999999993</v>
      </c>
      <c r="H36" s="1187">
        <f t="shared" si="1"/>
        <v>6.2063337514127559</v>
      </c>
      <c r="I36" s="1135">
        <f t="shared" si="12"/>
        <v>0.90780000000000005</v>
      </c>
      <c r="J36" s="1136" t="e">
        <f t="shared" si="2"/>
        <v>#NAME?</v>
      </c>
      <c r="L36" s="184"/>
      <c r="M36" s="1166"/>
      <c r="N36" s="1166"/>
      <c r="O36" s="1166"/>
    </row>
    <row r="37" spans="2:15" x14ac:dyDescent="0.2">
      <c r="B37" s="1164">
        <v>37</v>
      </c>
      <c r="C37" s="1131">
        <v>30</v>
      </c>
      <c r="D37" s="1132">
        <f t="shared" si="10"/>
        <v>64.706000000000003</v>
      </c>
      <c r="E37" s="1133">
        <f t="shared" si="0"/>
        <v>1.0364906668780001</v>
      </c>
      <c r="F37" s="1133">
        <f t="shared" si="3"/>
        <v>8.6499340052519091</v>
      </c>
      <c r="G37" s="1132">
        <f t="shared" si="11"/>
        <v>6.262999999999999</v>
      </c>
      <c r="H37" s="1187">
        <f t="shared" si="1"/>
        <v>6.0425049642412114</v>
      </c>
      <c r="I37" s="1135">
        <f t="shared" si="12"/>
        <v>0.90810000000000002</v>
      </c>
      <c r="J37" s="1136" t="e">
        <f t="shared" si="2"/>
        <v>#NAME?</v>
      </c>
      <c r="L37" s="184"/>
      <c r="M37" s="1166"/>
      <c r="N37" s="1166"/>
      <c r="O37" s="1166"/>
    </row>
    <row r="38" spans="2:15" x14ac:dyDescent="0.2">
      <c r="B38" s="1164">
        <v>38</v>
      </c>
      <c r="C38" s="1131">
        <v>30</v>
      </c>
      <c r="D38" s="1132">
        <f t="shared" si="10"/>
        <v>64.694000000000003</v>
      </c>
      <c r="E38" s="1133">
        <f t="shared" si="0"/>
        <v>1.0362984453220001</v>
      </c>
      <c r="F38" s="1133">
        <f t="shared" si="3"/>
        <v>8.6483298385894187</v>
      </c>
      <c r="G38" s="1132">
        <f t="shared" si="11"/>
        <v>6.0919999999999996</v>
      </c>
      <c r="H38" s="1187">
        <f t="shared" si="1"/>
        <v>5.8786154003223317</v>
      </c>
      <c r="I38" s="1135">
        <f t="shared" si="12"/>
        <v>0.90839999999999999</v>
      </c>
      <c r="J38" s="1136" t="e">
        <f t="shared" si="2"/>
        <v>#NAME?</v>
      </c>
      <c r="L38" s="184"/>
      <c r="M38" s="1166"/>
      <c r="N38" s="1166"/>
      <c r="O38" s="1166"/>
    </row>
    <row r="39" spans="2:15" ht="13.5" thickBot="1" x14ac:dyDescent="0.25">
      <c r="B39" s="1174">
        <v>39</v>
      </c>
      <c r="C39" s="1142">
        <v>30</v>
      </c>
      <c r="D39" s="1143">
        <f t="shared" si="10"/>
        <v>64.682000000000002</v>
      </c>
      <c r="E39" s="1144">
        <f t="shared" si="0"/>
        <v>1.0361062237660001</v>
      </c>
      <c r="F39" s="1144">
        <f t="shared" si="3"/>
        <v>8.6467256719269301</v>
      </c>
      <c r="G39" s="1143">
        <f t="shared" si="11"/>
        <v>5.9209999999999994</v>
      </c>
      <c r="H39" s="1191">
        <f t="shared" si="1"/>
        <v>5.7146650258296585</v>
      </c>
      <c r="I39" s="1135">
        <f t="shared" si="12"/>
        <v>0.90870000000000006</v>
      </c>
      <c r="J39" s="1147" t="e">
        <f t="shared" si="2"/>
        <v>#NAME?</v>
      </c>
      <c r="L39" s="184"/>
      <c r="M39" s="1166"/>
      <c r="N39" s="1166"/>
      <c r="O39" s="1166"/>
    </row>
    <row r="40" spans="2:15" x14ac:dyDescent="0.2">
      <c r="B40" s="1119">
        <v>40</v>
      </c>
      <c r="C40" s="1120">
        <v>30</v>
      </c>
      <c r="D40" s="1121">
        <v>64.67</v>
      </c>
      <c r="E40" s="1122">
        <f t="shared" si="0"/>
        <v>1.03591400221</v>
      </c>
      <c r="F40" s="1122">
        <f t="shared" si="3"/>
        <v>8.6451215052644415</v>
      </c>
      <c r="G40" s="1121">
        <v>5.75</v>
      </c>
      <c r="H40" s="1186">
        <f t="shared" si="1"/>
        <v>5.5506538069116313</v>
      </c>
      <c r="I40" s="1123">
        <v>0.90900000000000003</v>
      </c>
      <c r="J40" s="1124" t="e">
        <f t="shared" si="2"/>
        <v>#NAME?</v>
      </c>
      <c r="L40" s="1125">
        <f>B40</f>
        <v>40</v>
      </c>
      <c r="M40" s="1126">
        <f>D40</f>
        <v>64.67</v>
      </c>
      <c r="N40" s="1126">
        <f>G40</f>
        <v>5.75</v>
      </c>
      <c r="O40" s="1127">
        <f>I40</f>
        <v>0.90900000000000003</v>
      </c>
    </row>
    <row r="41" spans="2:15" x14ac:dyDescent="0.2">
      <c r="B41" s="1164">
        <v>41</v>
      </c>
      <c r="C41" s="1131">
        <v>30</v>
      </c>
      <c r="D41" s="1132">
        <f t="shared" ref="D41:D49" si="13">FORECAST(B41,$M$40:$M$41,$L$40:$L$41)</f>
        <v>64.655999999999992</v>
      </c>
      <c r="E41" s="1133">
        <f t="shared" si="0"/>
        <v>1.0356897437279999</v>
      </c>
      <c r="F41" s="1133">
        <f t="shared" si="3"/>
        <v>8.6432499774915357</v>
      </c>
      <c r="G41" s="1132">
        <f t="shared" ref="G41:G49" si="14">FORECAST(B41,$N$40:$N$41,$L$40:$L$41)</f>
        <v>5.6269999999999998</v>
      </c>
      <c r="H41" s="1187">
        <f t="shared" si="1"/>
        <v>5.4330942582721971</v>
      </c>
      <c r="I41" s="1135">
        <f>FORECAST(B41,$O$40:$O$41,$L$40:$L$41)</f>
        <v>0.90939999999999999</v>
      </c>
      <c r="J41" s="1136" t="e">
        <f t="shared" si="2"/>
        <v>#NAME?</v>
      </c>
      <c r="L41" s="1125">
        <f>B50</f>
        <v>50</v>
      </c>
      <c r="M41" s="1126">
        <f>D50</f>
        <v>64.53</v>
      </c>
      <c r="N41" s="1126">
        <f>G50</f>
        <v>4.5199999999999996</v>
      </c>
      <c r="O41" s="1127">
        <f>I50</f>
        <v>0.91300000000000003</v>
      </c>
    </row>
    <row r="42" spans="2:15" x14ac:dyDescent="0.2">
      <c r="B42" s="1164">
        <v>42</v>
      </c>
      <c r="C42" s="1131">
        <v>30</v>
      </c>
      <c r="D42" s="1132">
        <f t="shared" si="13"/>
        <v>64.641999999999982</v>
      </c>
      <c r="E42" s="1133">
        <f t="shared" si="0"/>
        <v>1.0354654852459997</v>
      </c>
      <c r="F42" s="1133">
        <f t="shared" si="3"/>
        <v>8.6413784497186299</v>
      </c>
      <c r="G42" s="1132">
        <f t="shared" si="14"/>
        <v>5.5040000000000004</v>
      </c>
      <c r="H42" s="1187">
        <f t="shared" si="1"/>
        <v>5.3154837881364951</v>
      </c>
      <c r="I42" s="1135">
        <f t="shared" ref="I42:I49" si="15">FORECAST(B42,$O$40:$O$41,$L$40:$L$41)</f>
        <v>0.90980000000000005</v>
      </c>
      <c r="J42" s="1136" t="e">
        <f t="shared" si="2"/>
        <v>#NAME?</v>
      </c>
      <c r="L42" s="184"/>
      <c r="M42" s="1166"/>
      <c r="N42" s="1166"/>
      <c r="O42" s="1166"/>
    </row>
    <row r="43" spans="2:15" x14ac:dyDescent="0.2">
      <c r="B43" s="1164">
        <v>43</v>
      </c>
      <c r="C43" s="1131">
        <v>30</v>
      </c>
      <c r="D43" s="1132">
        <f t="shared" si="13"/>
        <v>64.627999999999986</v>
      </c>
      <c r="E43" s="1133">
        <f t="shared" si="0"/>
        <v>1.0352412267639999</v>
      </c>
      <c r="F43" s="1133">
        <f t="shared" si="3"/>
        <v>8.6395069219457277</v>
      </c>
      <c r="G43" s="1132">
        <f t="shared" si="14"/>
        <v>5.3810000000000002</v>
      </c>
      <c r="H43" s="1187">
        <f t="shared" si="1"/>
        <v>5.1978223634120075</v>
      </c>
      <c r="I43" s="1135">
        <f t="shared" si="15"/>
        <v>0.91020000000000001</v>
      </c>
      <c r="J43" s="1136" t="e">
        <f t="shared" si="2"/>
        <v>#NAME?</v>
      </c>
      <c r="L43" s="184"/>
      <c r="M43" s="1166"/>
      <c r="N43" s="1166"/>
      <c r="O43" s="1166"/>
    </row>
    <row r="44" spans="2:15" ht="13.5" thickBot="1" x14ac:dyDescent="0.25">
      <c r="B44" s="1174">
        <v>44</v>
      </c>
      <c r="C44" s="1142">
        <v>30</v>
      </c>
      <c r="D44" s="1143">
        <f t="shared" si="13"/>
        <v>64.61399999999999</v>
      </c>
      <c r="E44" s="1144">
        <f t="shared" si="0"/>
        <v>1.0350169682819998</v>
      </c>
      <c r="F44" s="1144">
        <f t="shared" si="3"/>
        <v>8.6376353941728237</v>
      </c>
      <c r="G44" s="1143">
        <f t="shared" si="14"/>
        <v>5.258</v>
      </c>
      <c r="H44" s="1191">
        <f t="shared" si="1"/>
        <v>5.0801099509775476</v>
      </c>
      <c r="I44" s="1146">
        <f t="shared" si="15"/>
        <v>0.91060000000000008</v>
      </c>
      <c r="J44" s="1147" t="e">
        <f t="shared" si="2"/>
        <v>#NAME?</v>
      </c>
      <c r="L44" s="184"/>
      <c r="M44" s="1166"/>
      <c r="N44" s="1166"/>
      <c r="O44" s="1166"/>
    </row>
    <row r="45" spans="2:15" x14ac:dyDescent="0.2">
      <c r="B45" s="1172">
        <v>45</v>
      </c>
      <c r="C45" s="1149">
        <v>30</v>
      </c>
      <c r="D45" s="1150">
        <f t="shared" si="13"/>
        <v>64.599999999999994</v>
      </c>
      <c r="E45" s="1122">
        <f t="shared" si="0"/>
        <v>1.0347927097999998</v>
      </c>
      <c r="F45" s="1122">
        <f t="shared" si="3"/>
        <v>8.6357638663999197</v>
      </c>
      <c r="G45" s="1150">
        <f t="shared" si="14"/>
        <v>5.1349999999999998</v>
      </c>
      <c r="H45" s="1186">
        <f t="shared" si="1"/>
        <v>4.9623465176832084</v>
      </c>
      <c r="I45" s="1173">
        <f t="shared" si="15"/>
        <v>0.91100000000000003</v>
      </c>
      <c r="J45" s="1124" t="e">
        <f t="shared" si="2"/>
        <v>#NAME?</v>
      </c>
      <c r="L45" s="184"/>
      <c r="M45" s="1166"/>
      <c r="N45" s="1166"/>
      <c r="O45" s="1166"/>
    </row>
    <row r="46" spans="2:15" x14ac:dyDescent="0.2">
      <c r="B46" s="1164">
        <v>46</v>
      </c>
      <c r="C46" s="1131">
        <v>30</v>
      </c>
      <c r="D46" s="1132">
        <f t="shared" si="13"/>
        <v>64.585999999999984</v>
      </c>
      <c r="E46" s="1133">
        <f t="shared" si="0"/>
        <v>1.0345684513179998</v>
      </c>
      <c r="F46" s="1133">
        <f t="shared" si="3"/>
        <v>8.6338923386270139</v>
      </c>
      <c r="G46" s="1132">
        <f t="shared" si="14"/>
        <v>5.0119999999999996</v>
      </c>
      <c r="H46" s="1187">
        <f t="shared" si="1"/>
        <v>4.8445320303503427</v>
      </c>
      <c r="I46" s="1135">
        <f t="shared" si="15"/>
        <v>0.91139999999999999</v>
      </c>
      <c r="J46" s="1136" t="e">
        <f t="shared" si="2"/>
        <v>#NAME?</v>
      </c>
      <c r="L46" s="184"/>
      <c r="M46" s="1166"/>
      <c r="N46" s="1166"/>
      <c r="O46" s="1166"/>
    </row>
    <row r="47" spans="2:15" x14ac:dyDescent="0.2">
      <c r="B47" s="1164">
        <v>47</v>
      </c>
      <c r="C47" s="1131">
        <v>30</v>
      </c>
      <c r="D47" s="1132">
        <f t="shared" si="13"/>
        <v>64.571999999999989</v>
      </c>
      <c r="E47" s="1133">
        <f t="shared" si="0"/>
        <v>1.0343441928359998</v>
      </c>
      <c r="F47" s="1133">
        <f t="shared" si="3"/>
        <v>8.6320208108541117</v>
      </c>
      <c r="G47" s="1132">
        <f t="shared" si="14"/>
        <v>4.8890000000000002</v>
      </c>
      <c r="H47" s="1187">
        <f t="shared" si="1"/>
        <v>4.7266664557715314</v>
      </c>
      <c r="I47" s="1135">
        <f t="shared" si="15"/>
        <v>0.91180000000000005</v>
      </c>
      <c r="J47" s="1136" t="e">
        <f t="shared" si="2"/>
        <v>#NAME?</v>
      </c>
      <c r="L47" s="184"/>
      <c r="M47" s="1166"/>
      <c r="N47" s="1166"/>
      <c r="O47" s="1166"/>
    </row>
    <row r="48" spans="2:15" x14ac:dyDescent="0.2">
      <c r="B48" s="1164">
        <v>48</v>
      </c>
      <c r="C48" s="1131">
        <v>30</v>
      </c>
      <c r="D48" s="1132">
        <f t="shared" si="13"/>
        <v>64.557999999999993</v>
      </c>
      <c r="E48" s="1133">
        <f t="shared" si="0"/>
        <v>1.034119934354</v>
      </c>
      <c r="F48" s="1133">
        <f t="shared" si="3"/>
        <v>8.6301492830812077</v>
      </c>
      <c r="G48" s="1132">
        <f t="shared" si="14"/>
        <v>4.766</v>
      </c>
      <c r="H48" s="1187">
        <f t="shared" si="1"/>
        <v>4.608749760710543</v>
      </c>
      <c r="I48" s="1135">
        <f t="shared" si="15"/>
        <v>0.91220000000000001</v>
      </c>
      <c r="J48" s="1136" t="e">
        <f t="shared" si="2"/>
        <v>#NAME?</v>
      </c>
      <c r="L48" s="184"/>
      <c r="M48" s="1166"/>
      <c r="N48" s="1166"/>
      <c r="O48" s="1166"/>
    </row>
    <row r="49" spans="2:15" ht="13.5" thickBot="1" x14ac:dyDescent="0.25">
      <c r="B49" s="1174">
        <v>49</v>
      </c>
      <c r="C49" s="1142">
        <v>30</v>
      </c>
      <c r="D49" s="1143">
        <f t="shared" si="13"/>
        <v>64.543999999999983</v>
      </c>
      <c r="E49" s="1144">
        <f t="shared" si="0"/>
        <v>1.0338956758719997</v>
      </c>
      <c r="F49" s="1144">
        <f t="shared" si="3"/>
        <v>8.6282777553083019</v>
      </c>
      <c r="G49" s="1143">
        <f t="shared" si="14"/>
        <v>4.6429999999999998</v>
      </c>
      <c r="H49" s="1191">
        <f t="shared" si="1"/>
        <v>4.49078191190232</v>
      </c>
      <c r="I49" s="1135">
        <f t="shared" si="15"/>
        <v>0.91260000000000008</v>
      </c>
      <c r="J49" s="1147" t="e">
        <f t="shared" si="2"/>
        <v>#NAME?</v>
      </c>
      <c r="L49" s="184"/>
      <c r="M49" s="1166"/>
      <c r="N49" s="1166"/>
      <c r="O49" s="1166"/>
    </row>
    <row r="50" spans="2:15" x14ac:dyDescent="0.2">
      <c r="B50" s="1119">
        <v>50</v>
      </c>
      <c r="C50" s="1120">
        <v>30</v>
      </c>
      <c r="D50" s="1121">
        <v>64.53</v>
      </c>
      <c r="E50" s="1122">
        <f t="shared" si="0"/>
        <v>1.0336714173900001</v>
      </c>
      <c r="F50" s="1122">
        <f t="shared" si="3"/>
        <v>8.6264062275354014</v>
      </c>
      <c r="G50" s="1121">
        <v>4.5199999999999996</v>
      </c>
      <c r="H50" s="1186">
        <f t="shared" si="1"/>
        <v>4.3727628760529242</v>
      </c>
      <c r="I50" s="1123">
        <v>0.91300000000000003</v>
      </c>
      <c r="J50" s="1124" t="e">
        <f t="shared" si="2"/>
        <v>#NAME?</v>
      </c>
      <c r="L50" s="1125">
        <f>B50</f>
        <v>50</v>
      </c>
      <c r="M50" s="1126">
        <f>D50</f>
        <v>64.53</v>
      </c>
      <c r="N50" s="1126">
        <f>G50</f>
        <v>4.5199999999999996</v>
      </c>
      <c r="O50" s="1127">
        <f>I50</f>
        <v>0.91300000000000003</v>
      </c>
    </row>
    <row r="51" spans="2:15" x14ac:dyDescent="0.2">
      <c r="B51" s="1164">
        <v>51</v>
      </c>
      <c r="C51" s="1131">
        <v>30</v>
      </c>
      <c r="D51" s="1132">
        <f t="shared" ref="D51:D59" si="16">FORECAST(B51,$M$50:$M$51,$L$50:$L$51)</f>
        <v>64.51600000000002</v>
      </c>
      <c r="E51" s="1133">
        <f t="shared" si="0"/>
        <v>1.0334471589080003</v>
      </c>
      <c r="F51" s="1133">
        <f t="shared" si="3"/>
        <v>8.6245346997624992</v>
      </c>
      <c r="G51" s="1132">
        <f t="shared" ref="G51:G59" si="17">FORECAST(B51,$N$50:$N$51,$L$50:$L$51)</f>
        <v>4.4299999999999988</v>
      </c>
      <c r="H51" s="1187">
        <f t="shared" si="1"/>
        <v>4.2866245862836294</v>
      </c>
      <c r="I51" s="1135">
        <f>FORECAST(B51,$O$50:$O$51,$L$50:$L$51)</f>
        <v>0.91339999999999999</v>
      </c>
      <c r="J51" s="1136" t="e">
        <f t="shared" si="2"/>
        <v>#NAME?</v>
      </c>
      <c r="L51" s="1125">
        <f>B60</f>
        <v>60</v>
      </c>
      <c r="M51" s="1126">
        <f>D60</f>
        <v>64.39</v>
      </c>
      <c r="N51" s="1126">
        <f>G60</f>
        <v>3.62</v>
      </c>
      <c r="O51" s="1127">
        <f>I60</f>
        <v>0.91700000000000004</v>
      </c>
    </row>
    <row r="52" spans="2:15" x14ac:dyDescent="0.2">
      <c r="B52" s="1164">
        <v>52</v>
      </c>
      <c r="C52" s="1131">
        <v>30</v>
      </c>
      <c r="D52" s="1132">
        <f t="shared" si="16"/>
        <v>64.50200000000001</v>
      </c>
      <c r="E52" s="1133">
        <f t="shared" si="0"/>
        <v>1.0332229004260001</v>
      </c>
      <c r="F52" s="1133">
        <f t="shared" si="3"/>
        <v>8.6226631719895934</v>
      </c>
      <c r="G52" s="1132">
        <f t="shared" si="17"/>
        <v>4.339999999999999</v>
      </c>
      <c r="H52" s="1187">
        <f t="shared" si="1"/>
        <v>4.2004489043076836</v>
      </c>
      <c r="I52" s="1135">
        <f t="shared" ref="I52:I59" si="18">FORECAST(B52,$O$50:$O$51,$L$50:$L$51)</f>
        <v>0.91380000000000006</v>
      </c>
      <c r="J52" s="1136" t="e">
        <f t="shared" si="2"/>
        <v>#NAME?</v>
      </c>
      <c r="L52" s="184"/>
      <c r="M52" s="1166"/>
      <c r="N52" s="1166"/>
      <c r="O52" s="1166"/>
    </row>
    <row r="53" spans="2:15" x14ac:dyDescent="0.2">
      <c r="B53" s="1164">
        <v>53</v>
      </c>
      <c r="C53" s="1131">
        <v>30</v>
      </c>
      <c r="D53" s="1132">
        <f t="shared" si="16"/>
        <v>64.488000000000014</v>
      </c>
      <c r="E53" s="1133">
        <f t="shared" si="0"/>
        <v>1.0329986419440003</v>
      </c>
      <c r="F53" s="1133">
        <f t="shared" si="3"/>
        <v>8.6207916442166912</v>
      </c>
      <c r="G53" s="1132">
        <f t="shared" si="17"/>
        <v>4.2499999999999991</v>
      </c>
      <c r="H53" s="1187">
        <f t="shared" si="1"/>
        <v>4.1142358057721387</v>
      </c>
      <c r="I53" s="1135">
        <f t="shared" si="18"/>
        <v>0.91420000000000001</v>
      </c>
      <c r="J53" s="1136" t="e">
        <f t="shared" si="2"/>
        <v>#NAME?</v>
      </c>
      <c r="L53" s="184"/>
      <c r="M53" s="1166"/>
      <c r="N53" s="1166"/>
      <c r="O53" s="1166"/>
    </row>
    <row r="54" spans="2:15" ht="13.5" thickBot="1" x14ac:dyDescent="0.25">
      <c r="B54" s="1174">
        <v>54</v>
      </c>
      <c r="C54" s="1142">
        <v>30</v>
      </c>
      <c r="D54" s="1143">
        <f t="shared" si="16"/>
        <v>64.474000000000018</v>
      </c>
      <c r="E54" s="1144">
        <f t="shared" si="0"/>
        <v>1.0327743834620002</v>
      </c>
      <c r="F54" s="1144">
        <f t="shared" si="3"/>
        <v>8.6189201164437872</v>
      </c>
      <c r="G54" s="1143">
        <f t="shared" si="17"/>
        <v>4.1599999999999993</v>
      </c>
      <c r="H54" s="1191">
        <f t="shared" si="1"/>
        <v>4.0279852663029008</v>
      </c>
      <c r="I54" s="1146">
        <f t="shared" si="18"/>
        <v>0.91460000000000008</v>
      </c>
      <c r="J54" s="1147" t="e">
        <f t="shared" si="2"/>
        <v>#NAME?</v>
      </c>
      <c r="L54" s="184"/>
      <c r="M54" s="1166"/>
      <c r="N54" s="1166"/>
      <c r="O54" s="1166"/>
    </row>
    <row r="55" spans="2:15" x14ac:dyDescent="0.2">
      <c r="B55" s="1172">
        <v>55</v>
      </c>
      <c r="C55" s="1149">
        <v>30</v>
      </c>
      <c r="D55" s="1150">
        <f t="shared" si="16"/>
        <v>64.460000000000008</v>
      </c>
      <c r="E55" s="1122">
        <f t="shared" si="0"/>
        <v>1.0325501249800002</v>
      </c>
      <c r="F55" s="1122">
        <f t="shared" si="3"/>
        <v>8.6170485886708814</v>
      </c>
      <c r="G55" s="1150">
        <f t="shared" si="17"/>
        <v>4.0699999999999994</v>
      </c>
      <c r="H55" s="1186">
        <f t="shared" si="1"/>
        <v>3.941697261504697</v>
      </c>
      <c r="I55" s="1173">
        <f t="shared" si="18"/>
        <v>0.91500000000000004</v>
      </c>
      <c r="J55" s="1124" t="e">
        <f t="shared" si="2"/>
        <v>#NAME?</v>
      </c>
      <c r="L55" s="184"/>
      <c r="M55" s="1166"/>
      <c r="N55" s="1166"/>
      <c r="O55" s="1166"/>
    </row>
    <row r="56" spans="2:15" x14ac:dyDescent="0.2">
      <c r="B56" s="1164">
        <v>56</v>
      </c>
      <c r="C56" s="1131">
        <v>30</v>
      </c>
      <c r="D56" s="1132">
        <f t="shared" si="16"/>
        <v>64.446000000000012</v>
      </c>
      <c r="E56" s="1133">
        <f t="shared" si="0"/>
        <v>1.0323258664980002</v>
      </c>
      <c r="F56" s="1133">
        <f t="shared" si="3"/>
        <v>8.6151770608979774</v>
      </c>
      <c r="G56" s="1132">
        <f t="shared" si="17"/>
        <v>3.9799999999999995</v>
      </c>
      <c r="H56" s="1187">
        <f t="shared" si="1"/>
        <v>3.8553717669610572</v>
      </c>
      <c r="I56" s="1135">
        <f t="shared" si="18"/>
        <v>0.91539999999999999</v>
      </c>
      <c r="J56" s="1136" t="e">
        <f t="shared" si="2"/>
        <v>#NAME?</v>
      </c>
      <c r="L56" s="184"/>
      <c r="M56" s="1166"/>
      <c r="N56" s="1166"/>
      <c r="O56" s="1166"/>
    </row>
    <row r="57" spans="2:15" x14ac:dyDescent="0.2">
      <c r="B57" s="1164">
        <v>57</v>
      </c>
      <c r="C57" s="1131">
        <v>30</v>
      </c>
      <c r="D57" s="1132">
        <f t="shared" si="16"/>
        <v>64.432000000000016</v>
      </c>
      <c r="E57" s="1133">
        <f t="shared" si="0"/>
        <v>1.0321016080160004</v>
      </c>
      <c r="F57" s="1133">
        <f t="shared" si="3"/>
        <v>8.6133055331250752</v>
      </c>
      <c r="G57" s="1132">
        <f t="shared" si="17"/>
        <v>3.8899999999999997</v>
      </c>
      <c r="H57" s="1187">
        <f t="shared" si="1"/>
        <v>3.7690087582342904</v>
      </c>
      <c r="I57" s="1135">
        <f t="shared" si="18"/>
        <v>0.91580000000000006</v>
      </c>
      <c r="J57" s="1136" t="e">
        <f t="shared" si="2"/>
        <v>#NAME?</v>
      </c>
      <c r="L57" s="184"/>
      <c r="M57" s="1166"/>
      <c r="N57" s="1166"/>
      <c r="O57" s="1166"/>
    </row>
    <row r="58" spans="2:15" x14ac:dyDescent="0.2">
      <c r="B58" s="1164">
        <v>58</v>
      </c>
      <c r="C58" s="1131">
        <v>30</v>
      </c>
      <c r="D58" s="1132">
        <f t="shared" si="16"/>
        <v>64.418000000000021</v>
      </c>
      <c r="E58" s="1133">
        <f t="shared" si="0"/>
        <v>1.0318773495340003</v>
      </c>
      <c r="F58" s="1133">
        <f t="shared" si="3"/>
        <v>8.6114340053521712</v>
      </c>
      <c r="G58" s="1132">
        <f t="shared" si="17"/>
        <v>3.8</v>
      </c>
      <c r="H58" s="1187">
        <f t="shared" si="1"/>
        <v>3.6826082108654616</v>
      </c>
      <c r="I58" s="1135">
        <f t="shared" si="18"/>
        <v>0.91620000000000001</v>
      </c>
      <c r="J58" s="1136" t="e">
        <f t="shared" si="2"/>
        <v>#NAME?</v>
      </c>
      <c r="L58" s="184"/>
      <c r="M58" s="1166"/>
      <c r="N58" s="1166"/>
      <c r="O58" s="1166"/>
    </row>
    <row r="59" spans="2:15" ht="13.5" thickBot="1" x14ac:dyDescent="0.25">
      <c r="B59" s="1174">
        <v>59</v>
      </c>
      <c r="C59" s="1142">
        <v>30</v>
      </c>
      <c r="D59" s="1143">
        <f t="shared" si="16"/>
        <v>64.404000000000011</v>
      </c>
      <c r="E59" s="1144">
        <f t="shared" si="0"/>
        <v>1.0316530910520001</v>
      </c>
      <c r="F59" s="1144">
        <f t="shared" si="3"/>
        <v>8.6095624775792654</v>
      </c>
      <c r="G59" s="1143">
        <f t="shared" si="17"/>
        <v>3.7099999999999991</v>
      </c>
      <c r="H59" s="1191">
        <f t="shared" si="1"/>
        <v>3.5961701003743687</v>
      </c>
      <c r="I59" s="1135">
        <f t="shared" si="18"/>
        <v>0.91660000000000008</v>
      </c>
      <c r="J59" s="1147" t="e">
        <f t="shared" si="2"/>
        <v>#NAME?</v>
      </c>
      <c r="L59" s="184"/>
      <c r="M59" s="1166"/>
      <c r="N59" s="1166"/>
      <c r="O59" s="1166"/>
    </row>
    <row r="60" spans="2:15" x14ac:dyDescent="0.2">
      <c r="B60" s="1119">
        <v>60</v>
      </c>
      <c r="C60" s="1120">
        <v>30</v>
      </c>
      <c r="D60" s="1121">
        <v>64.39</v>
      </c>
      <c r="E60" s="1122">
        <f t="shared" si="0"/>
        <v>1.0314288325700001</v>
      </c>
      <c r="F60" s="1122">
        <f t="shared" si="3"/>
        <v>8.6076909498063614</v>
      </c>
      <c r="G60" s="1121">
        <v>3.62</v>
      </c>
      <c r="H60" s="1186">
        <f t="shared" si="1"/>
        <v>3.5096944022595191</v>
      </c>
      <c r="I60" s="1123">
        <v>0.91700000000000004</v>
      </c>
      <c r="J60" s="1124" t="e">
        <f t="shared" si="2"/>
        <v>#NAME?</v>
      </c>
      <c r="L60" s="1125">
        <f>B60</f>
        <v>60</v>
      </c>
      <c r="M60" s="1126">
        <f>D60</f>
        <v>64.39</v>
      </c>
      <c r="N60" s="1126">
        <f>G60</f>
        <v>3.62</v>
      </c>
      <c r="O60" s="1127">
        <f>I60</f>
        <v>0.91700000000000004</v>
      </c>
    </row>
    <row r="61" spans="2:15" x14ac:dyDescent="0.2">
      <c r="B61" s="1164">
        <v>61</v>
      </c>
      <c r="C61" s="1131">
        <v>30</v>
      </c>
      <c r="D61" s="1132">
        <f t="shared" ref="D61:D69" si="19">FORECAST(B61,$M$60:$M$61,$L$60:$L$61)</f>
        <v>64.375</v>
      </c>
      <c r="E61" s="1133">
        <f t="shared" si="0"/>
        <v>1.031188555625</v>
      </c>
      <c r="F61" s="1133">
        <f t="shared" si="3"/>
        <v>8.6056857414782488</v>
      </c>
      <c r="G61" s="1132">
        <f t="shared" ref="G61:G69" si="20">FORECAST(B61,$N$60:$N$61,$L$60:$L$61)</f>
        <v>3.5519999999999996</v>
      </c>
      <c r="H61" s="1187">
        <f t="shared" si="1"/>
        <v>3.4445688721275074</v>
      </c>
      <c r="I61" s="1135">
        <f>FORECAST(B61,$O$60:$O$61,$L$60:$L$61)</f>
        <v>0.9173</v>
      </c>
      <c r="J61" s="1136" t="e">
        <f t="shared" si="2"/>
        <v>#NAME?</v>
      </c>
      <c r="L61" s="1125">
        <f>B70</f>
        <v>70</v>
      </c>
      <c r="M61" s="1126">
        <f>D70</f>
        <v>64.239999999999995</v>
      </c>
      <c r="N61" s="1126">
        <f>G70</f>
        <v>2.94</v>
      </c>
      <c r="O61" s="1127">
        <f>I70</f>
        <v>0.92</v>
      </c>
    </row>
    <row r="62" spans="2:15" x14ac:dyDescent="0.2">
      <c r="B62" s="1164">
        <v>62</v>
      </c>
      <c r="C62" s="1131">
        <v>30</v>
      </c>
      <c r="D62" s="1132">
        <f t="shared" si="19"/>
        <v>64.36</v>
      </c>
      <c r="E62" s="1133">
        <f t="shared" si="0"/>
        <v>1.0309482786799999</v>
      </c>
      <c r="F62" s="1133">
        <f t="shared" si="3"/>
        <v>8.603680533150138</v>
      </c>
      <c r="G62" s="1132">
        <f t="shared" si="20"/>
        <v>3.484</v>
      </c>
      <c r="H62" s="1187">
        <f t="shared" si="1"/>
        <v>3.3794129851604442</v>
      </c>
      <c r="I62" s="1135">
        <f t="shared" ref="I62:I69" si="21">FORECAST(B62,$O$60:$O$61,$L$60:$L$61)</f>
        <v>0.91760000000000008</v>
      </c>
      <c r="J62" s="1136" t="e">
        <f t="shared" si="2"/>
        <v>#NAME?</v>
      </c>
      <c r="L62" s="184"/>
      <c r="M62" s="1166"/>
      <c r="N62" s="1166"/>
      <c r="O62" s="1166"/>
    </row>
    <row r="63" spans="2:15" x14ac:dyDescent="0.2">
      <c r="B63" s="1164">
        <v>63</v>
      </c>
      <c r="C63" s="1131">
        <v>30</v>
      </c>
      <c r="D63" s="1132">
        <f t="shared" si="19"/>
        <v>64.344999999999999</v>
      </c>
      <c r="E63" s="1133">
        <f t="shared" si="0"/>
        <v>1.0307080017350001</v>
      </c>
      <c r="F63" s="1133">
        <f t="shared" si="3"/>
        <v>8.6016753248220255</v>
      </c>
      <c r="G63" s="1132">
        <f t="shared" si="20"/>
        <v>3.4159999999999995</v>
      </c>
      <c r="H63" s="1187">
        <f t="shared" si="1"/>
        <v>3.3142267201281213</v>
      </c>
      <c r="I63" s="1135">
        <f t="shared" si="21"/>
        <v>0.91790000000000005</v>
      </c>
      <c r="J63" s="1136" t="e">
        <f t="shared" si="2"/>
        <v>#NAME?</v>
      </c>
      <c r="L63" s="184"/>
      <c r="M63" s="1166"/>
      <c r="N63" s="1166"/>
      <c r="O63" s="1166"/>
    </row>
    <row r="64" spans="2:15" ht="13.5" thickBot="1" x14ac:dyDescent="0.25">
      <c r="B64" s="1174">
        <v>64</v>
      </c>
      <c r="C64" s="1142">
        <v>30</v>
      </c>
      <c r="D64" s="1143">
        <f t="shared" si="19"/>
        <v>64.33</v>
      </c>
      <c r="E64" s="1144">
        <f t="shared" si="0"/>
        <v>1.03046772479</v>
      </c>
      <c r="F64" s="1144">
        <f t="shared" si="3"/>
        <v>8.5996701164939147</v>
      </c>
      <c r="G64" s="1143">
        <f t="shared" si="20"/>
        <v>3.3479999999999999</v>
      </c>
      <c r="H64" s="1191">
        <f t="shared" si="1"/>
        <v>3.2490100557805359</v>
      </c>
      <c r="I64" s="1146">
        <f t="shared" si="21"/>
        <v>0.91820000000000002</v>
      </c>
      <c r="J64" s="1147" t="e">
        <f t="shared" si="2"/>
        <v>#NAME?</v>
      </c>
      <c r="L64" s="184"/>
      <c r="M64" s="1166"/>
      <c r="N64" s="1166"/>
      <c r="O64" s="1166"/>
    </row>
    <row r="65" spans="2:15" x14ac:dyDescent="0.2">
      <c r="B65" s="1172">
        <v>65</v>
      </c>
      <c r="C65" s="1149">
        <v>30</v>
      </c>
      <c r="D65" s="1150">
        <f t="shared" si="19"/>
        <v>64.314999999999998</v>
      </c>
      <c r="E65" s="1122">
        <f t="shared" si="0"/>
        <v>1.030227447845</v>
      </c>
      <c r="F65" s="1122">
        <f t="shared" si="3"/>
        <v>8.5976649081658039</v>
      </c>
      <c r="G65" s="1150">
        <f t="shared" si="20"/>
        <v>3.2800000000000002</v>
      </c>
      <c r="H65" s="1186">
        <f t="shared" si="1"/>
        <v>3.1837629708478548</v>
      </c>
      <c r="I65" s="1173">
        <f t="shared" si="21"/>
        <v>0.91850000000000009</v>
      </c>
      <c r="J65" s="1124" t="e">
        <f t="shared" si="2"/>
        <v>#NAME?</v>
      </c>
      <c r="L65" s="184"/>
      <c r="M65" s="1166"/>
      <c r="N65" s="1166"/>
      <c r="O65" s="1166"/>
    </row>
    <row r="66" spans="2:15" x14ac:dyDescent="0.2">
      <c r="B66" s="1164">
        <v>66</v>
      </c>
      <c r="C66" s="1131">
        <v>30</v>
      </c>
      <c r="D66" s="1132">
        <f t="shared" si="19"/>
        <v>64.3</v>
      </c>
      <c r="E66" s="1133">
        <f t="shared" si="0"/>
        <v>1.0299871708999999</v>
      </c>
      <c r="F66" s="1133">
        <f t="shared" si="3"/>
        <v>8.5956596998376913</v>
      </c>
      <c r="G66" s="1132">
        <f t="shared" si="20"/>
        <v>3.2119999999999997</v>
      </c>
      <c r="H66" s="1187">
        <f t="shared" si="1"/>
        <v>3.1184854440403984</v>
      </c>
      <c r="I66" s="1135">
        <f t="shared" si="21"/>
        <v>0.91880000000000006</v>
      </c>
      <c r="J66" s="1136" t="e">
        <f t="shared" si="2"/>
        <v>#NAME?</v>
      </c>
      <c r="L66" s="184"/>
      <c r="M66" s="1166"/>
      <c r="N66" s="1166"/>
      <c r="O66" s="1166"/>
    </row>
    <row r="67" spans="2:15" x14ac:dyDescent="0.2">
      <c r="B67" s="1164">
        <v>67</v>
      </c>
      <c r="C67" s="1131">
        <v>30</v>
      </c>
      <c r="D67" s="1132">
        <f t="shared" si="19"/>
        <v>64.284999999999997</v>
      </c>
      <c r="E67" s="1133">
        <f t="shared" si="0"/>
        <v>1.0297468939549999</v>
      </c>
      <c r="F67" s="1133">
        <f t="shared" si="3"/>
        <v>8.5936544915095805</v>
      </c>
      <c r="G67" s="1132">
        <f t="shared" si="20"/>
        <v>3.1440000000000001</v>
      </c>
      <c r="H67" s="1187">
        <f t="shared" si="1"/>
        <v>3.0531774540486194</v>
      </c>
      <c r="I67" s="1135">
        <f t="shared" si="21"/>
        <v>0.91910000000000003</v>
      </c>
      <c r="J67" s="1136" t="e">
        <f t="shared" si="2"/>
        <v>#NAME?</v>
      </c>
      <c r="L67" s="184"/>
      <c r="M67" s="1166"/>
      <c r="N67" s="1166"/>
      <c r="O67" s="1166"/>
    </row>
    <row r="68" spans="2:15" x14ac:dyDescent="0.2">
      <c r="B68" s="1164">
        <v>68</v>
      </c>
      <c r="C68" s="1131">
        <v>30</v>
      </c>
      <c r="D68" s="1132">
        <f t="shared" si="19"/>
        <v>64.27</v>
      </c>
      <c r="E68" s="1133">
        <f t="shared" si="0"/>
        <v>1.02950661701</v>
      </c>
      <c r="F68" s="1133">
        <f t="shared" si="3"/>
        <v>8.5916492831814679</v>
      </c>
      <c r="G68" s="1132">
        <f t="shared" si="20"/>
        <v>3.0759999999999996</v>
      </c>
      <c r="H68" s="1187">
        <f t="shared" si="1"/>
        <v>2.9878389795430729</v>
      </c>
      <c r="I68" s="1135">
        <f t="shared" si="21"/>
        <v>0.9194</v>
      </c>
      <c r="J68" s="1136" t="e">
        <f t="shared" si="2"/>
        <v>#NAME?</v>
      </c>
      <c r="L68" s="184"/>
      <c r="M68" s="1166"/>
      <c r="N68" s="1166"/>
      <c r="O68" s="1166"/>
    </row>
    <row r="69" spans="2:15" ht="13.5" thickBot="1" x14ac:dyDescent="0.25">
      <c r="B69" s="1174">
        <v>69</v>
      </c>
      <c r="C69" s="1142">
        <v>30</v>
      </c>
      <c r="D69" s="1143">
        <f t="shared" si="19"/>
        <v>64.254999999999995</v>
      </c>
      <c r="E69" s="1144">
        <f t="shared" si="0"/>
        <v>1.029266340065</v>
      </c>
      <c r="F69" s="1144">
        <f t="shared" si="3"/>
        <v>8.5896440748533571</v>
      </c>
      <c r="G69" s="1143">
        <f t="shared" si="20"/>
        <v>3.008</v>
      </c>
      <c r="H69" s="1191">
        <f t="shared" si="1"/>
        <v>2.9224699991744019</v>
      </c>
      <c r="I69" s="1135">
        <f t="shared" si="21"/>
        <v>0.91970000000000007</v>
      </c>
      <c r="J69" s="1147" t="e">
        <f t="shared" si="2"/>
        <v>#NAME?</v>
      </c>
      <c r="L69" s="184"/>
      <c r="M69" s="1166"/>
      <c r="N69" s="1166"/>
      <c r="O69" s="1166"/>
    </row>
    <row r="70" spans="2:15" x14ac:dyDescent="0.2">
      <c r="B70" s="1119">
        <v>70</v>
      </c>
      <c r="C70" s="1120">
        <v>30</v>
      </c>
      <c r="D70" s="1121">
        <v>64.239999999999995</v>
      </c>
      <c r="E70" s="1122">
        <f t="shared" si="0"/>
        <v>1.0290260631199999</v>
      </c>
      <c r="F70" s="1122">
        <f t="shared" si="3"/>
        <v>8.5876388665252463</v>
      </c>
      <c r="G70" s="1121">
        <v>2.94</v>
      </c>
      <c r="H70" s="1186">
        <f t="shared" si="1"/>
        <v>2.8570704915733041</v>
      </c>
      <c r="I70" s="1123">
        <v>0.92</v>
      </c>
      <c r="J70" s="1124" t="e">
        <f t="shared" si="2"/>
        <v>#NAME?</v>
      </c>
      <c r="L70" s="1125">
        <f>B70</f>
        <v>70</v>
      </c>
      <c r="M70" s="1126">
        <f>D70</f>
        <v>64.239999999999995</v>
      </c>
      <c r="N70" s="1126">
        <f>G70</f>
        <v>2.94</v>
      </c>
      <c r="O70" s="1127">
        <f>I70</f>
        <v>0.92</v>
      </c>
    </row>
    <row r="71" spans="2:15" x14ac:dyDescent="0.2">
      <c r="B71" s="1164">
        <v>71</v>
      </c>
      <c r="C71" s="1131">
        <v>30</v>
      </c>
      <c r="D71" s="1132">
        <f t="shared" ref="D71:D79" si="22">FORECAST(B71,$M$70:$M$71,$L$70:$L$71)</f>
        <v>64.22399999999999</v>
      </c>
      <c r="E71" s="1133">
        <f t="shared" si="0"/>
        <v>1.0287697677119998</v>
      </c>
      <c r="F71" s="1133">
        <f t="shared" si="3"/>
        <v>8.5854999776419252</v>
      </c>
      <c r="G71" s="1132">
        <f t="shared" ref="G71:G79" si="23">FORECAST(B71,$N$70:$N$71,$L$70:$L$71)</f>
        <v>2.8889999999999998</v>
      </c>
      <c r="H71" s="1187">
        <f t="shared" si="1"/>
        <v>2.8082084939424119</v>
      </c>
      <c r="I71" s="1135">
        <f>FORECAST(B71,$O$70:$O$71,$L$70:$L$71)</f>
        <v>0.9204</v>
      </c>
      <c r="J71" s="1136" t="e">
        <f t="shared" si="2"/>
        <v>#NAME?</v>
      </c>
      <c r="L71" s="1125">
        <f>B80</f>
        <v>80</v>
      </c>
      <c r="M71" s="1126">
        <f>D80</f>
        <v>64.08</v>
      </c>
      <c r="N71" s="1126">
        <f>G80</f>
        <v>2.4300000000000002</v>
      </c>
      <c r="O71" s="1127">
        <f>I80</f>
        <v>0.92400000000000004</v>
      </c>
    </row>
    <row r="72" spans="2:15" x14ac:dyDescent="0.2">
      <c r="B72" s="1164">
        <v>72</v>
      </c>
      <c r="C72" s="1131">
        <v>30</v>
      </c>
      <c r="D72" s="1132">
        <f t="shared" si="22"/>
        <v>64.207999999999998</v>
      </c>
      <c r="E72" s="1133">
        <f t="shared" si="0"/>
        <v>1.0285134723039999</v>
      </c>
      <c r="F72" s="1133">
        <f t="shared" si="3"/>
        <v>8.5833610887586076</v>
      </c>
      <c r="G72" s="1132">
        <f t="shared" si="23"/>
        <v>2.8379999999999996</v>
      </c>
      <c r="H72" s="1187">
        <f t="shared" si="1"/>
        <v>2.7593221444562333</v>
      </c>
      <c r="I72" s="1135">
        <f t="shared" ref="I72:I79" si="24">FORECAST(B72,$O$70:$O$71,$L$70:$L$71)</f>
        <v>0.92080000000000006</v>
      </c>
      <c r="J72" s="1136" t="e">
        <f t="shared" si="2"/>
        <v>#NAME?</v>
      </c>
      <c r="L72" s="184"/>
      <c r="M72" s="1166"/>
      <c r="N72" s="1166"/>
      <c r="O72" s="1166"/>
    </row>
    <row r="73" spans="2:15" x14ac:dyDescent="0.2">
      <c r="B73" s="1164">
        <v>73</v>
      </c>
      <c r="C73" s="1131">
        <v>30</v>
      </c>
      <c r="D73" s="1132">
        <f t="shared" si="22"/>
        <v>64.191999999999993</v>
      </c>
      <c r="E73" s="1133">
        <f t="shared" si="0"/>
        <v>1.0282571768959998</v>
      </c>
      <c r="F73" s="1133">
        <f t="shared" si="3"/>
        <v>8.5812221998752882</v>
      </c>
      <c r="G73" s="1132">
        <f t="shared" si="23"/>
        <v>2.7869999999999999</v>
      </c>
      <c r="H73" s="1187">
        <f t="shared" si="1"/>
        <v>2.710411424905506</v>
      </c>
      <c r="I73" s="1135">
        <f t="shared" si="24"/>
        <v>0.92120000000000002</v>
      </c>
      <c r="J73" s="1136" t="e">
        <f t="shared" si="2"/>
        <v>#NAME?</v>
      </c>
      <c r="L73" s="184"/>
      <c r="M73" s="1166"/>
      <c r="N73" s="1166"/>
      <c r="O73" s="1166"/>
    </row>
    <row r="74" spans="2:15" ht="13.5" thickBot="1" x14ac:dyDescent="0.25">
      <c r="B74" s="1174">
        <v>74</v>
      </c>
      <c r="C74" s="1142">
        <v>30</v>
      </c>
      <c r="D74" s="1143">
        <f t="shared" si="22"/>
        <v>64.176000000000002</v>
      </c>
      <c r="E74" s="1144">
        <f t="shared" ref="E74:E137" si="25">D74*0.016018463</f>
        <v>1.028000881488</v>
      </c>
      <c r="F74" s="1144">
        <f t="shared" si="3"/>
        <v>8.5790833109919706</v>
      </c>
      <c r="G74" s="1143">
        <f t="shared" si="23"/>
        <v>2.7359999999999998</v>
      </c>
      <c r="H74" s="1191">
        <f t="shared" ref="H74:H137" si="26">G74/E74</f>
        <v>2.6614763170628057</v>
      </c>
      <c r="I74" s="1146">
        <f t="shared" si="24"/>
        <v>0.92160000000000009</v>
      </c>
      <c r="J74" s="1147" t="e">
        <f t="shared" ref="J74:J137" si="27">E74/VLOOKUP(60,Water,6,FALSE)</f>
        <v>#NAME?</v>
      </c>
      <c r="L74" s="184"/>
      <c r="M74" s="1166"/>
      <c r="N74" s="1166"/>
      <c r="O74" s="1166"/>
    </row>
    <row r="75" spans="2:15" x14ac:dyDescent="0.2">
      <c r="B75" s="1172">
        <v>75</v>
      </c>
      <c r="C75" s="1149">
        <v>30</v>
      </c>
      <c r="D75" s="1150">
        <f t="shared" si="22"/>
        <v>64.16</v>
      </c>
      <c r="E75" s="1122">
        <f t="shared" si="25"/>
        <v>1.0277445860799999</v>
      </c>
      <c r="F75" s="1122">
        <f t="shared" ref="F75:F138" si="28">D75/7.4805195</f>
        <v>8.5769444221086513</v>
      </c>
      <c r="G75" s="1150">
        <f t="shared" si="23"/>
        <v>2.6849999999999996</v>
      </c>
      <c r="H75" s="1186">
        <f t="shared" si="26"/>
        <v>2.6125168026825283</v>
      </c>
      <c r="I75" s="1173">
        <f t="shared" si="24"/>
        <v>0.92200000000000004</v>
      </c>
      <c r="J75" s="1124" t="e">
        <f t="shared" si="27"/>
        <v>#NAME?</v>
      </c>
      <c r="L75" s="184"/>
      <c r="M75" s="1166"/>
      <c r="N75" s="1166"/>
      <c r="O75" s="1166"/>
    </row>
    <row r="76" spans="2:15" x14ac:dyDescent="0.2">
      <c r="B76" s="1164">
        <v>76</v>
      </c>
      <c r="C76" s="1131">
        <v>30</v>
      </c>
      <c r="D76" s="1132">
        <f t="shared" si="22"/>
        <v>64.143999999999991</v>
      </c>
      <c r="E76" s="1133">
        <f t="shared" si="25"/>
        <v>1.0274882906719998</v>
      </c>
      <c r="F76" s="1133">
        <f t="shared" si="28"/>
        <v>8.5748055332253319</v>
      </c>
      <c r="G76" s="1132">
        <f t="shared" si="23"/>
        <v>2.6339999999999999</v>
      </c>
      <c r="H76" s="1187">
        <f t="shared" si="26"/>
        <v>2.5635328635008641</v>
      </c>
      <c r="I76" s="1135">
        <f t="shared" si="24"/>
        <v>0.9224</v>
      </c>
      <c r="J76" s="1136" t="e">
        <f t="shared" si="27"/>
        <v>#NAME?</v>
      </c>
      <c r="L76" s="184"/>
      <c r="M76" s="1166"/>
      <c r="N76" s="1166"/>
      <c r="O76" s="1166"/>
    </row>
    <row r="77" spans="2:15" x14ac:dyDescent="0.2">
      <c r="B77" s="1164">
        <v>77</v>
      </c>
      <c r="C77" s="1131">
        <v>30</v>
      </c>
      <c r="D77" s="1132">
        <f t="shared" si="22"/>
        <v>64.128</v>
      </c>
      <c r="E77" s="1133">
        <f t="shared" si="25"/>
        <v>1.0272319952640001</v>
      </c>
      <c r="F77" s="1133">
        <f t="shared" si="28"/>
        <v>8.5726666443420143</v>
      </c>
      <c r="G77" s="1132">
        <f t="shared" si="23"/>
        <v>2.5829999999999997</v>
      </c>
      <c r="H77" s="1187">
        <f t="shared" si="26"/>
        <v>2.514524481235775</v>
      </c>
      <c r="I77" s="1135">
        <f t="shared" si="24"/>
        <v>0.92280000000000006</v>
      </c>
      <c r="J77" s="1136" t="e">
        <f t="shared" si="27"/>
        <v>#NAME?</v>
      </c>
      <c r="L77" s="184"/>
      <c r="M77" s="1166"/>
      <c r="N77" s="1166"/>
      <c r="O77" s="1166"/>
    </row>
    <row r="78" spans="2:15" x14ac:dyDescent="0.2">
      <c r="B78" s="1164">
        <v>78</v>
      </c>
      <c r="C78" s="1131">
        <v>30</v>
      </c>
      <c r="D78" s="1132">
        <f t="shared" si="22"/>
        <v>64.111999999999995</v>
      </c>
      <c r="E78" s="1133">
        <f t="shared" si="25"/>
        <v>1.026975699856</v>
      </c>
      <c r="F78" s="1133">
        <f t="shared" si="28"/>
        <v>8.5705277554586949</v>
      </c>
      <c r="G78" s="1132">
        <f t="shared" si="23"/>
        <v>2.532</v>
      </c>
      <c r="H78" s="1187">
        <f t="shared" si="26"/>
        <v>2.4654916375869758</v>
      </c>
      <c r="I78" s="1135">
        <f t="shared" si="24"/>
        <v>0.92320000000000002</v>
      </c>
      <c r="J78" s="1136" t="e">
        <f t="shared" si="27"/>
        <v>#NAME?</v>
      </c>
      <c r="L78" s="184"/>
      <c r="M78" s="1166"/>
      <c r="N78" s="1166"/>
      <c r="O78" s="1166"/>
    </row>
    <row r="79" spans="2:15" ht="13.5" thickBot="1" x14ac:dyDescent="0.25">
      <c r="B79" s="1174">
        <v>79</v>
      </c>
      <c r="C79" s="1142">
        <v>30</v>
      </c>
      <c r="D79" s="1143">
        <f t="shared" si="22"/>
        <v>64.096000000000004</v>
      </c>
      <c r="E79" s="1144">
        <f t="shared" si="25"/>
        <v>1.0267194044480001</v>
      </c>
      <c r="F79" s="1144">
        <f t="shared" si="28"/>
        <v>8.5683888665753773</v>
      </c>
      <c r="G79" s="1143">
        <f t="shared" si="23"/>
        <v>2.4809999999999999</v>
      </c>
      <c r="H79" s="1191">
        <f t="shared" si="26"/>
        <v>2.416434314235905</v>
      </c>
      <c r="I79" s="1135">
        <f t="shared" si="24"/>
        <v>0.92360000000000009</v>
      </c>
      <c r="J79" s="1147" t="e">
        <f t="shared" si="27"/>
        <v>#NAME?</v>
      </c>
      <c r="L79" s="184"/>
      <c r="M79" s="1166"/>
      <c r="N79" s="1166"/>
      <c r="O79" s="1166"/>
    </row>
    <row r="80" spans="2:15" x14ac:dyDescent="0.2">
      <c r="B80" s="1119">
        <v>80</v>
      </c>
      <c r="C80" s="1120">
        <v>30</v>
      </c>
      <c r="D80" s="1121">
        <v>64.08</v>
      </c>
      <c r="E80" s="1122">
        <f t="shared" si="25"/>
        <v>1.02646310904</v>
      </c>
      <c r="F80" s="1122">
        <f t="shared" si="28"/>
        <v>8.566249977692058</v>
      </c>
      <c r="G80" s="1121">
        <v>2.4300000000000002</v>
      </c>
      <c r="H80" s="1186">
        <f t="shared" si="26"/>
        <v>2.3673524928457081</v>
      </c>
      <c r="I80" s="1123">
        <v>0.92400000000000004</v>
      </c>
      <c r="J80" s="1124" t="e">
        <f t="shared" si="27"/>
        <v>#NAME?</v>
      </c>
      <c r="L80" s="1125">
        <f>B80</f>
        <v>80</v>
      </c>
      <c r="M80" s="1126">
        <f>D80</f>
        <v>64.08</v>
      </c>
      <c r="N80" s="1126">
        <f>G80</f>
        <v>2.4300000000000002</v>
      </c>
      <c r="O80" s="1127">
        <f>I80</f>
        <v>0.92400000000000004</v>
      </c>
    </row>
    <row r="81" spans="2:15" x14ac:dyDescent="0.2">
      <c r="B81" s="1164">
        <v>81</v>
      </c>
      <c r="C81" s="1131">
        <v>30</v>
      </c>
      <c r="D81" s="1132">
        <f t="shared" ref="D81:D89" si="29">FORECAST(B81,$M$80:$M$81,$L$80:$L$81)</f>
        <v>64.063000000000002</v>
      </c>
      <c r="E81" s="1133">
        <f t="shared" si="25"/>
        <v>1.0261907951690001</v>
      </c>
      <c r="F81" s="1133">
        <f t="shared" si="28"/>
        <v>8.5639774082535318</v>
      </c>
      <c r="G81" s="1132">
        <f t="shared" ref="G81:G89" si="30">FORECAST(B81,$N$80:$N$81,$L$80:$L$81)</f>
        <v>2.3910000000000005</v>
      </c>
      <c r="H81" s="1187">
        <f t="shared" si="26"/>
        <v>2.329976073899819</v>
      </c>
      <c r="I81" s="1135">
        <f>FORECAST(B81,$O$80:$O$81,$L$80:$L$81)</f>
        <v>0.9244</v>
      </c>
      <c r="J81" s="1136" t="e">
        <f t="shared" si="27"/>
        <v>#NAME?</v>
      </c>
      <c r="L81" s="1125">
        <f>B90</f>
        <v>90</v>
      </c>
      <c r="M81" s="1126">
        <f>D90</f>
        <v>63.91</v>
      </c>
      <c r="N81" s="1126">
        <f>G90</f>
        <v>2.04</v>
      </c>
      <c r="O81" s="1127">
        <f>I90</f>
        <v>0.92800000000000005</v>
      </c>
    </row>
    <row r="82" spans="2:15" x14ac:dyDescent="0.2">
      <c r="B82" s="1164">
        <v>82</v>
      </c>
      <c r="C82" s="1131">
        <v>30</v>
      </c>
      <c r="D82" s="1132">
        <f t="shared" si="29"/>
        <v>64.045999999999992</v>
      </c>
      <c r="E82" s="1133">
        <f t="shared" si="25"/>
        <v>1.0259184812979998</v>
      </c>
      <c r="F82" s="1133">
        <f t="shared" si="28"/>
        <v>8.5617048388150039</v>
      </c>
      <c r="G82" s="1132">
        <f t="shared" si="30"/>
        <v>2.3520000000000003</v>
      </c>
      <c r="H82" s="1187">
        <f t="shared" si="26"/>
        <v>2.2925798129927752</v>
      </c>
      <c r="I82" s="1135">
        <f t="shared" ref="I82:I89" si="31">FORECAST(B82,$O$80:$O$81,$L$80:$L$81)</f>
        <v>0.92480000000000007</v>
      </c>
      <c r="J82" s="1136" t="e">
        <f t="shared" si="27"/>
        <v>#NAME?</v>
      </c>
      <c r="L82" s="184"/>
      <c r="M82" s="1166"/>
      <c r="N82" s="1166"/>
      <c r="O82" s="1166"/>
    </row>
    <row r="83" spans="2:15" x14ac:dyDescent="0.2">
      <c r="B83" s="1164">
        <v>83</v>
      </c>
      <c r="C83" s="1131">
        <v>30</v>
      </c>
      <c r="D83" s="1132">
        <f t="shared" si="29"/>
        <v>64.028999999999996</v>
      </c>
      <c r="E83" s="1133">
        <f t="shared" si="25"/>
        <v>1.0256461674269999</v>
      </c>
      <c r="F83" s="1133">
        <f t="shared" si="28"/>
        <v>8.5594322693764777</v>
      </c>
      <c r="G83" s="1132">
        <f t="shared" si="30"/>
        <v>2.3130000000000006</v>
      </c>
      <c r="H83" s="1187">
        <f t="shared" si="26"/>
        <v>2.2551636943201738</v>
      </c>
      <c r="I83" s="1135">
        <f t="shared" si="31"/>
        <v>0.92520000000000002</v>
      </c>
      <c r="J83" s="1136" t="e">
        <f t="shared" si="27"/>
        <v>#NAME?</v>
      </c>
      <c r="L83" s="184"/>
      <c r="M83" s="1166"/>
      <c r="N83" s="1166"/>
      <c r="O83" s="1166"/>
    </row>
    <row r="84" spans="2:15" ht="13.5" thickBot="1" x14ac:dyDescent="0.25">
      <c r="B84" s="1174">
        <v>84</v>
      </c>
      <c r="C84" s="1142">
        <v>30</v>
      </c>
      <c r="D84" s="1143">
        <f t="shared" si="29"/>
        <v>64.012</v>
      </c>
      <c r="E84" s="1144">
        <f t="shared" si="25"/>
        <v>1.025373853556</v>
      </c>
      <c r="F84" s="1144">
        <f t="shared" si="28"/>
        <v>8.5571596999379533</v>
      </c>
      <c r="G84" s="1143">
        <f t="shared" si="30"/>
        <v>2.2740000000000005</v>
      </c>
      <c r="H84" s="1191">
        <f t="shared" si="26"/>
        <v>2.2177277020608246</v>
      </c>
      <c r="I84" s="1146">
        <f t="shared" si="31"/>
        <v>0.92560000000000009</v>
      </c>
      <c r="J84" s="1147" t="e">
        <f t="shared" si="27"/>
        <v>#NAME?</v>
      </c>
      <c r="L84" s="184"/>
      <c r="M84" s="1166"/>
      <c r="N84" s="1166"/>
      <c r="O84" s="1166"/>
    </row>
    <row r="85" spans="2:15" x14ac:dyDescent="0.2">
      <c r="B85" s="1172">
        <v>85</v>
      </c>
      <c r="C85" s="1149">
        <v>30</v>
      </c>
      <c r="D85" s="1150">
        <f t="shared" si="29"/>
        <v>63.994999999999997</v>
      </c>
      <c r="E85" s="1122">
        <f t="shared" si="25"/>
        <v>1.0251015396850001</v>
      </c>
      <c r="F85" s="1122">
        <f t="shared" si="28"/>
        <v>8.5548871304994254</v>
      </c>
      <c r="G85" s="1150">
        <f t="shared" si="30"/>
        <v>2.2350000000000003</v>
      </c>
      <c r="H85" s="1186">
        <f t="shared" si="26"/>
        <v>2.1802718203767264</v>
      </c>
      <c r="I85" s="1173">
        <f t="shared" si="31"/>
        <v>0.92600000000000005</v>
      </c>
      <c r="J85" s="1124" t="e">
        <f t="shared" si="27"/>
        <v>#NAME?</v>
      </c>
      <c r="L85" s="184"/>
      <c r="M85" s="1166"/>
      <c r="N85" s="1166"/>
      <c r="O85" s="1166"/>
    </row>
    <row r="86" spans="2:15" x14ac:dyDescent="0.2">
      <c r="B86" s="1164">
        <v>86</v>
      </c>
      <c r="C86" s="1131">
        <v>30</v>
      </c>
      <c r="D86" s="1132">
        <f t="shared" si="29"/>
        <v>63.977999999999994</v>
      </c>
      <c r="E86" s="1133">
        <f t="shared" si="25"/>
        <v>1.0248292258139999</v>
      </c>
      <c r="F86" s="1133">
        <f t="shared" si="28"/>
        <v>8.5526145610608992</v>
      </c>
      <c r="G86" s="1132">
        <f t="shared" si="30"/>
        <v>2.1960000000000006</v>
      </c>
      <c r="H86" s="1187">
        <f t="shared" si="26"/>
        <v>2.1427960334130449</v>
      </c>
      <c r="I86" s="1135">
        <f t="shared" si="31"/>
        <v>0.9264</v>
      </c>
      <c r="J86" s="1136" t="e">
        <f t="shared" si="27"/>
        <v>#NAME?</v>
      </c>
      <c r="L86" s="184"/>
      <c r="M86" s="1166"/>
      <c r="N86" s="1166"/>
      <c r="O86" s="1166"/>
    </row>
    <row r="87" spans="2:15" x14ac:dyDescent="0.2">
      <c r="B87" s="1164">
        <v>87</v>
      </c>
      <c r="C87" s="1131">
        <v>30</v>
      </c>
      <c r="D87" s="1132">
        <f t="shared" si="29"/>
        <v>63.960999999999999</v>
      </c>
      <c r="E87" s="1133">
        <f t="shared" si="25"/>
        <v>1.024556911943</v>
      </c>
      <c r="F87" s="1133">
        <f t="shared" si="28"/>
        <v>8.5503419916223731</v>
      </c>
      <c r="G87" s="1132">
        <f t="shared" si="30"/>
        <v>2.1570000000000005</v>
      </c>
      <c r="H87" s="1187">
        <f t="shared" si="26"/>
        <v>2.105300325298086</v>
      </c>
      <c r="I87" s="1135">
        <f t="shared" si="31"/>
        <v>0.92680000000000007</v>
      </c>
      <c r="J87" s="1136" t="e">
        <f t="shared" si="27"/>
        <v>#NAME?</v>
      </c>
      <c r="L87" s="184"/>
      <c r="M87" s="1166"/>
      <c r="N87" s="1166"/>
      <c r="O87" s="1166"/>
    </row>
    <row r="88" spans="2:15" x14ac:dyDescent="0.2">
      <c r="B88" s="1164">
        <v>88</v>
      </c>
      <c r="C88" s="1131">
        <v>30</v>
      </c>
      <c r="D88" s="1132">
        <f t="shared" si="29"/>
        <v>63.943999999999996</v>
      </c>
      <c r="E88" s="1133">
        <f t="shared" si="25"/>
        <v>1.0242845980719999</v>
      </c>
      <c r="F88" s="1133">
        <f t="shared" si="28"/>
        <v>8.5480694221838469</v>
      </c>
      <c r="G88" s="1132">
        <f t="shared" si="30"/>
        <v>2.1180000000000003</v>
      </c>
      <c r="H88" s="1187">
        <f t="shared" si="26"/>
        <v>2.0677846801432818</v>
      </c>
      <c r="I88" s="1135">
        <f t="shared" si="31"/>
        <v>0.92720000000000002</v>
      </c>
      <c r="J88" s="1136" t="e">
        <f t="shared" si="27"/>
        <v>#NAME?</v>
      </c>
      <c r="L88" s="184"/>
      <c r="M88" s="1166"/>
      <c r="N88" s="1166"/>
      <c r="O88" s="1166"/>
    </row>
    <row r="89" spans="2:15" ht="13.5" thickBot="1" x14ac:dyDescent="0.25">
      <c r="B89" s="1174">
        <v>89</v>
      </c>
      <c r="C89" s="1142">
        <v>30</v>
      </c>
      <c r="D89" s="1143">
        <f t="shared" si="29"/>
        <v>63.927</v>
      </c>
      <c r="E89" s="1144">
        <f t="shared" si="25"/>
        <v>1.024012284201</v>
      </c>
      <c r="F89" s="1144">
        <f t="shared" si="28"/>
        <v>8.5457968527453207</v>
      </c>
      <c r="G89" s="1143">
        <f t="shared" si="30"/>
        <v>2.0790000000000002</v>
      </c>
      <c r="H89" s="1191">
        <f t="shared" si="26"/>
        <v>2.0302490820431607</v>
      </c>
      <c r="I89" s="1135">
        <f t="shared" si="31"/>
        <v>0.92760000000000009</v>
      </c>
      <c r="J89" s="1147" t="e">
        <f t="shared" si="27"/>
        <v>#NAME?</v>
      </c>
      <c r="L89" s="184"/>
      <c r="M89" s="1166"/>
      <c r="N89" s="1166"/>
      <c r="O89" s="1166"/>
    </row>
    <row r="90" spans="2:15" x14ac:dyDescent="0.2">
      <c r="B90" s="1119">
        <v>90</v>
      </c>
      <c r="C90" s="1120">
        <v>30</v>
      </c>
      <c r="D90" s="1121">
        <v>63.91</v>
      </c>
      <c r="E90" s="1122">
        <f t="shared" si="25"/>
        <v>1.0237399703299999</v>
      </c>
      <c r="F90" s="1122">
        <f t="shared" si="28"/>
        <v>8.5435242833067946</v>
      </c>
      <c r="G90" s="1121">
        <v>2.04</v>
      </c>
      <c r="H90" s="1186">
        <f t="shared" si="26"/>
        <v>1.9926935150753287</v>
      </c>
      <c r="I90" s="1123">
        <v>0.92800000000000005</v>
      </c>
      <c r="J90" s="1124" t="e">
        <f t="shared" si="27"/>
        <v>#NAME?</v>
      </c>
      <c r="L90" s="1125">
        <f>B90</f>
        <v>90</v>
      </c>
      <c r="M90" s="1126">
        <f>D90</f>
        <v>63.91</v>
      </c>
      <c r="N90" s="1126">
        <f>G90</f>
        <v>2.04</v>
      </c>
      <c r="O90" s="1127">
        <f>I90</f>
        <v>0.92800000000000005</v>
      </c>
    </row>
    <row r="91" spans="2:15" x14ac:dyDescent="0.2">
      <c r="B91" s="1164">
        <v>91</v>
      </c>
      <c r="C91" s="1131">
        <v>30</v>
      </c>
      <c r="D91" s="1132">
        <f t="shared" ref="D91:D99" si="32">FORECAST(B91,$M$90:$M$91,$L$90:$L$91)</f>
        <v>63.891999999999989</v>
      </c>
      <c r="E91" s="1133">
        <f t="shared" si="25"/>
        <v>1.0234516379959999</v>
      </c>
      <c r="F91" s="1133">
        <f t="shared" si="28"/>
        <v>8.5411180333130599</v>
      </c>
      <c r="G91" s="1132">
        <f t="shared" ref="G91:G99" si="33">FORECAST(B91,$N$90:$N$91,$L$90:$L$91)</f>
        <v>2.0090000000000003</v>
      </c>
      <c r="H91" s="1187">
        <f t="shared" si="26"/>
        <v>1.9629652495683947</v>
      </c>
      <c r="I91" s="1135">
        <f>FORECAST(B91,$O$90:$O$91,$L$90:$L$91)</f>
        <v>0.92830000000000001</v>
      </c>
      <c r="J91" s="1136" t="e">
        <f t="shared" si="27"/>
        <v>#NAME?</v>
      </c>
      <c r="L91" s="1125">
        <f>B100</f>
        <v>100</v>
      </c>
      <c r="M91" s="1126">
        <f>D100</f>
        <v>63.73</v>
      </c>
      <c r="N91" s="1126">
        <f>G100</f>
        <v>1.73</v>
      </c>
      <c r="O91" s="1127">
        <f>I100</f>
        <v>0.93100000000000005</v>
      </c>
    </row>
    <row r="92" spans="2:15" x14ac:dyDescent="0.2">
      <c r="B92" s="1164">
        <v>92</v>
      </c>
      <c r="C92" s="1131">
        <v>30</v>
      </c>
      <c r="D92" s="1132">
        <f t="shared" si="32"/>
        <v>63.873999999999988</v>
      </c>
      <c r="E92" s="1133">
        <f t="shared" si="25"/>
        <v>1.0231633056619998</v>
      </c>
      <c r="F92" s="1133">
        <f t="shared" si="28"/>
        <v>8.5387117833193251</v>
      </c>
      <c r="G92" s="1132">
        <f t="shared" si="33"/>
        <v>1.9780000000000002</v>
      </c>
      <c r="H92" s="1187">
        <f t="shared" si="26"/>
        <v>1.9332202289254392</v>
      </c>
      <c r="I92" s="1135">
        <f t="shared" ref="I92:I99" si="34">FORECAST(B92,$O$90:$O$91,$L$90:$L$91)</f>
        <v>0.92860000000000009</v>
      </c>
      <c r="J92" s="1136" t="e">
        <f t="shared" si="27"/>
        <v>#NAME?</v>
      </c>
      <c r="L92" s="184"/>
      <c r="M92" s="1166"/>
      <c r="N92" s="1166"/>
      <c r="O92" s="1166"/>
    </row>
    <row r="93" spans="2:15" x14ac:dyDescent="0.2">
      <c r="B93" s="1164">
        <v>93</v>
      </c>
      <c r="C93" s="1131">
        <v>30</v>
      </c>
      <c r="D93" s="1132">
        <f t="shared" si="32"/>
        <v>63.855999999999987</v>
      </c>
      <c r="E93" s="1133">
        <f t="shared" si="25"/>
        <v>1.0228749733279998</v>
      </c>
      <c r="F93" s="1133">
        <f t="shared" si="28"/>
        <v>8.5363055333255922</v>
      </c>
      <c r="G93" s="1132">
        <f t="shared" si="33"/>
        <v>1.9470000000000005</v>
      </c>
      <c r="H93" s="1187">
        <f t="shared" si="26"/>
        <v>1.9034584389774356</v>
      </c>
      <c r="I93" s="1135">
        <f t="shared" si="34"/>
        <v>0.92890000000000006</v>
      </c>
      <c r="J93" s="1136" t="e">
        <f t="shared" si="27"/>
        <v>#NAME?</v>
      </c>
      <c r="L93" s="184"/>
      <c r="M93" s="1166"/>
      <c r="N93" s="1166"/>
      <c r="O93" s="1166"/>
    </row>
    <row r="94" spans="2:15" ht="13.5" thickBot="1" x14ac:dyDescent="0.25">
      <c r="B94" s="1174">
        <v>94</v>
      </c>
      <c r="C94" s="1142">
        <v>30</v>
      </c>
      <c r="D94" s="1143">
        <f t="shared" si="32"/>
        <v>63.837999999999987</v>
      </c>
      <c r="E94" s="1144">
        <f t="shared" si="25"/>
        <v>1.0225866409939999</v>
      </c>
      <c r="F94" s="1144">
        <f t="shared" si="28"/>
        <v>8.5338992833318574</v>
      </c>
      <c r="G94" s="1143">
        <f t="shared" si="33"/>
        <v>1.9160000000000004</v>
      </c>
      <c r="H94" s="1191">
        <f t="shared" si="26"/>
        <v>1.8736798655393765</v>
      </c>
      <c r="I94" s="1146">
        <f t="shared" si="34"/>
        <v>0.92920000000000003</v>
      </c>
      <c r="J94" s="1147" t="e">
        <f t="shared" si="27"/>
        <v>#NAME?</v>
      </c>
      <c r="L94" s="184"/>
      <c r="M94" s="1166"/>
      <c r="N94" s="1166"/>
      <c r="O94" s="1166"/>
    </row>
    <row r="95" spans="2:15" x14ac:dyDescent="0.2">
      <c r="B95" s="1172">
        <v>95</v>
      </c>
      <c r="C95" s="1149">
        <v>30</v>
      </c>
      <c r="D95" s="1150">
        <f t="shared" si="32"/>
        <v>63.819999999999993</v>
      </c>
      <c r="E95" s="1122">
        <f t="shared" si="25"/>
        <v>1.0222983086599999</v>
      </c>
      <c r="F95" s="1122">
        <f t="shared" si="28"/>
        <v>8.5314930333381245</v>
      </c>
      <c r="G95" s="1150">
        <f t="shared" si="33"/>
        <v>1.8850000000000002</v>
      </c>
      <c r="H95" s="1186">
        <f t="shared" si="26"/>
        <v>1.8438844944102526</v>
      </c>
      <c r="I95" s="1173">
        <f t="shared" si="34"/>
        <v>0.92949999999999999</v>
      </c>
      <c r="J95" s="1124" t="e">
        <f t="shared" si="27"/>
        <v>#NAME?</v>
      </c>
      <c r="L95" s="184"/>
      <c r="M95" s="1166"/>
      <c r="N95" s="1166"/>
      <c r="O95" s="1166"/>
    </row>
    <row r="96" spans="2:15" x14ac:dyDescent="0.2">
      <c r="B96" s="1164">
        <v>96</v>
      </c>
      <c r="C96" s="1131">
        <v>30</v>
      </c>
      <c r="D96" s="1132">
        <f t="shared" si="32"/>
        <v>63.801999999999992</v>
      </c>
      <c r="E96" s="1133">
        <f t="shared" si="25"/>
        <v>1.022009976326</v>
      </c>
      <c r="F96" s="1133">
        <f t="shared" si="28"/>
        <v>8.5290867833443915</v>
      </c>
      <c r="G96" s="1132">
        <f t="shared" si="33"/>
        <v>1.8540000000000001</v>
      </c>
      <c r="H96" s="1187">
        <f t="shared" si="26"/>
        <v>1.8140723113730277</v>
      </c>
      <c r="I96" s="1135">
        <f t="shared" si="34"/>
        <v>0.92980000000000007</v>
      </c>
      <c r="J96" s="1136" t="e">
        <f t="shared" si="27"/>
        <v>#NAME?</v>
      </c>
      <c r="L96" s="184"/>
      <c r="M96" s="1166"/>
      <c r="N96" s="1166"/>
      <c r="O96" s="1166"/>
    </row>
    <row r="97" spans="2:15" x14ac:dyDescent="0.2">
      <c r="B97" s="1164">
        <v>97</v>
      </c>
      <c r="C97" s="1131">
        <v>30</v>
      </c>
      <c r="D97" s="1132">
        <f t="shared" si="32"/>
        <v>63.783999999999992</v>
      </c>
      <c r="E97" s="1133">
        <f t="shared" si="25"/>
        <v>1.0217216439919998</v>
      </c>
      <c r="F97" s="1133">
        <f t="shared" si="28"/>
        <v>8.5266805333506568</v>
      </c>
      <c r="G97" s="1132">
        <f t="shared" si="33"/>
        <v>1.8230000000000004</v>
      </c>
      <c r="H97" s="1187">
        <f t="shared" si="26"/>
        <v>1.7842433021946187</v>
      </c>
      <c r="I97" s="1135">
        <f t="shared" si="34"/>
        <v>0.93010000000000004</v>
      </c>
      <c r="J97" s="1136" t="e">
        <f t="shared" si="27"/>
        <v>#NAME?</v>
      </c>
      <c r="L97" s="184"/>
      <c r="M97" s="1166"/>
      <c r="N97" s="1166"/>
      <c r="O97" s="1166"/>
    </row>
    <row r="98" spans="2:15" x14ac:dyDescent="0.2">
      <c r="B98" s="1164">
        <v>98</v>
      </c>
      <c r="C98" s="1131">
        <v>30</v>
      </c>
      <c r="D98" s="1132">
        <f t="shared" si="32"/>
        <v>63.765999999999991</v>
      </c>
      <c r="E98" s="1133">
        <f t="shared" si="25"/>
        <v>1.0214333116579999</v>
      </c>
      <c r="F98" s="1133">
        <f t="shared" si="28"/>
        <v>8.5242742833569238</v>
      </c>
      <c r="G98" s="1132">
        <f t="shared" si="33"/>
        <v>1.7920000000000003</v>
      </c>
      <c r="H98" s="1187">
        <f t="shared" si="26"/>
        <v>1.754397452625869</v>
      </c>
      <c r="I98" s="1135">
        <f t="shared" si="34"/>
        <v>0.9304</v>
      </c>
      <c r="J98" s="1136" t="e">
        <f t="shared" si="27"/>
        <v>#NAME?</v>
      </c>
      <c r="L98" s="184"/>
      <c r="M98" s="1166"/>
      <c r="N98" s="1166"/>
      <c r="O98" s="1166"/>
    </row>
    <row r="99" spans="2:15" ht="13.5" thickBot="1" x14ac:dyDescent="0.25">
      <c r="B99" s="1174">
        <v>99</v>
      </c>
      <c r="C99" s="1142">
        <v>30</v>
      </c>
      <c r="D99" s="1143">
        <f t="shared" si="32"/>
        <v>63.74799999999999</v>
      </c>
      <c r="E99" s="1144">
        <f t="shared" si="25"/>
        <v>1.0211449793239999</v>
      </c>
      <c r="F99" s="1144">
        <f t="shared" si="28"/>
        <v>8.5218680333631891</v>
      </c>
      <c r="G99" s="1143">
        <f t="shared" si="33"/>
        <v>1.7610000000000001</v>
      </c>
      <c r="H99" s="1191">
        <f t="shared" si="26"/>
        <v>1.7245347484015303</v>
      </c>
      <c r="I99" s="1135">
        <f t="shared" si="34"/>
        <v>0.93070000000000008</v>
      </c>
      <c r="J99" s="1147" t="e">
        <f t="shared" si="27"/>
        <v>#NAME?</v>
      </c>
      <c r="L99" s="184"/>
      <c r="M99" s="1166"/>
      <c r="N99" s="1166"/>
      <c r="O99" s="1166"/>
    </row>
    <row r="100" spans="2:15" x14ac:dyDescent="0.2">
      <c r="B100" s="1119">
        <v>100</v>
      </c>
      <c r="C100" s="1120">
        <v>30</v>
      </c>
      <c r="D100" s="1121">
        <v>63.73</v>
      </c>
      <c r="E100" s="1122">
        <f t="shared" si="25"/>
        <v>1.02085664699</v>
      </c>
      <c r="F100" s="1122">
        <f t="shared" si="28"/>
        <v>8.5194617833694561</v>
      </c>
      <c r="G100" s="1121">
        <v>1.73</v>
      </c>
      <c r="H100" s="1186">
        <f t="shared" si="26"/>
        <v>1.6946551752402377</v>
      </c>
      <c r="I100" s="1123">
        <v>0.93100000000000005</v>
      </c>
      <c r="J100" s="1124" t="e">
        <f t="shared" si="27"/>
        <v>#NAME?</v>
      </c>
      <c r="L100" s="1125">
        <f>B100</f>
        <v>100</v>
      </c>
      <c r="M100" s="1126">
        <f>D100</f>
        <v>63.73</v>
      </c>
      <c r="N100" s="1126">
        <f>G100</f>
        <v>1.73</v>
      </c>
      <c r="O100" s="1127">
        <f>I100</f>
        <v>0.93100000000000005</v>
      </c>
    </row>
    <row r="101" spans="2:15" x14ac:dyDescent="0.2">
      <c r="B101" s="1164">
        <v>101</v>
      </c>
      <c r="C101" s="1131">
        <v>30</v>
      </c>
      <c r="D101" s="1132">
        <f t="shared" ref="D101:D109" si="35">FORECAST(B101,$M$100:$M$101,$L$100:$L$101)</f>
        <v>63.711000000000006</v>
      </c>
      <c r="E101" s="1133">
        <f t="shared" si="25"/>
        <v>1.020552296193</v>
      </c>
      <c r="F101" s="1133">
        <f t="shared" si="28"/>
        <v>8.5169218528205164</v>
      </c>
      <c r="G101" s="1132">
        <f t="shared" ref="G101:G109" si="36">FORECAST(B101,$N$100:$N$101,$L$100:$L$101)</f>
        <v>1.706</v>
      </c>
      <c r="H101" s="1187">
        <f t="shared" si="26"/>
        <v>1.6716438798520645</v>
      </c>
      <c r="I101" s="1135">
        <f>FORECAST(B101,$O$100:$O$101,$L$100:$L$101)</f>
        <v>0.93140000000000001</v>
      </c>
      <c r="J101" s="1136" t="e">
        <f t="shared" si="27"/>
        <v>#NAME?</v>
      </c>
      <c r="L101" s="1125">
        <f>B110</f>
        <v>110</v>
      </c>
      <c r="M101" s="1126">
        <f>D110</f>
        <v>63.54</v>
      </c>
      <c r="N101" s="1126">
        <f>G110</f>
        <v>1.49</v>
      </c>
      <c r="O101" s="1127">
        <f>I110</f>
        <v>0.93500000000000005</v>
      </c>
    </row>
    <row r="102" spans="2:15" x14ac:dyDescent="0.2">
      <c r="B102" s="1164">
        <v>102</v>
      </c>
      <c r="C102" s="1131">
        <v>30</v>
      </c>
      <c r="D102" s="1132">
        <f t="shared" si="35"/>
        <v>63.692000000000007</v>
      </c>
      <c r="E102" s="1133">
        <f t="shared" si="25"/>
        <v>1.0202479453960001</v>
      </c>
      <c r="F102" s="1133">
        <f t="shared" si="28"/>
        <v>8.5143819222715766</v>
      </c>
      <c r="G102" s="1132">
        <f t="shared" si="36"/>
        <v>1.6819999999999999</v>
      </c>
      <c r="H102" s="1187">
        <f t="shared" si="26"/>
        <v>1.6486188554363095</v>
      </c>
      <c r="I102" s="1135">
        <f t="shared" ref="I102:I109" si="37">FORECAST(B102,$O$100:$O$101,$L$100:$L$101)</f>
        <v>0.93180000000000007</v>
      </c>
      <c r="J102" s="1136" t="e">
        <f t="shared" si="27"/>
        <v>#NAME?</v>
      </c>
      <c r="L102" s="184"/>
      <c r="M102" s="1166"/>
      <c r="N102" s="1166"/>
      <c r="O102" s="1166"/>
    </row>
    <row r="103" spans="2:15" x14ac:dyDescent="0.2">
      <c r="B103" s="1164">
        <v>103</v>
      </c>
      <c r="C103" s="1131">
        <v>30</v>
      </c>
      <c r="D103" s="1132">
        <f t="shared" si="35"/>
        <v>63.673000000000002</v>
      </c>
      <c r="E103" s="1133">
        <f t="shared" si="25"/>
        <v>1.0199435945990001</v>
      </c>
      <c r="F103" s="1133">
        <f t="shared" si="28"/>
        <v>8.5118419917226333</v>
      </c>
      <c r="G103" s="1132">
        <f t="shared" si="36"/>
        <v>1.6579999999999999</v>
      </c>
      <c r="H103" s="1187">
        <f t="shared" si="26"/>
        <v>1.6255800897027619</v>
      </c>
      <c r="I103" s="1135">
        <f t="shared" si="37"/>
        <v>0.93220000000000003</v>
      </c>
      <c r="J103" s="1136" t="e">
        <f t="shared" si="27"/>
        <v>#NAME?</v>
      </c>
      <c r="L103" s="184"/>
      <c r="M103" s="1166"/>
      <c r="N103" s="1166"/>
      <c r="O103" s="1166"/>
    </row>
    <row r="104" spans="2:15" ht="13.5" thickBot="1" x14ac:dyDescent="0.25">
      <c r="B104" s="1174">
        <v>104</v>
      </c>
      <c r="C104" s="1142">
        <v>30</v>
      </c>
      <c r="D104" s="1143">
        <f t="shared" si="35"/>
        <v>63.654000000000003</v>
      </c>
      <c r="E104" s="1144">
        <f t="shared" si="25"/>
        <v>1.0196392438020001</v>
      </c>
      <c r="F104" s="1144">
        <f t="shared" si="28"/>
        <v>8.5093020611736936</v>
      </c>
      <c r="G104" s="1143">
        <f t="shared" si="36"/>
        <v>1.6339999999999999</v>
      </c>
      <c r="H104" s="1191">
        <f t="shared" si="26"/>
        <v>1.6025275703465374</v>
      </c>
      <c r="I104" s="1146">
        <f t="shared" si="37"/>
        <v>0.9326000000000001</v>
      </c>
      <c r="J104" s="1147" t="e">
        <f t="shared" si="27"/>
        <v>#NAME?</v>
      </c>
      <c r="L104" s="184"/>
      <c r="M104" s="1166"/>
      <c r="N104" s="1166"/>
      <c r="O104" s="1166"/>
    </row>
    <row r="105" spans="2:15" x14ac:dyDescent="0.2">
      <c r="B105" s="1172">
        <v>105</v>
      </c>
      <c r="C105" s="1149">
        <v>30</v>
      </c>
      <c r="D105" s="1150">
        <f t="shared" si="35"/>
        <v>63.635000000000005</v>
      </c>
      <c r="E105" s="1122">
        <f t="shared" si="25"/>
        <v>1.0193348930050001</v>
      </c>
      <c r="F105" s="1122">
        <f t="shared" si="28"/>
        <v>8.5067621306247521</v>
      </c>
      <c r="G105" s="1150">
        <f t="shared" si="36"/>
        <v>1.6099999999999999</v>
      </c>
      <c r="H105" s="1186">
        <f t="shared" si="26"/>
        <v>1.5794612850480556</v>
      </c>
      <c r="I105" s="1173">
        <f t="shared" si="37"/>
        <v>0.93300000000000005</v>
      </c>
      <c r="J105" s="1124" t="e">
        <f t="shared" si="27"/>
        <v>#NAME?</v>
      </c>
      <c r="L105" s="184"/>
      <c r="M105" s="1166"/>
      <c r="N105" s="1166"/>
      <c r="O105" s="1166"/>
    </row>
    <row r="106" spans="2:15" x14ac:dyDescent="0.2">
      <c r="B106" s="1164">
        <v>106</v>
      </c>
      <c r="C106" s="1131">
        <v>30</v>
      </c>
      <c r="D106" s="1132">
        <f t="shared" si="35"/>
        <v>63.616000000000007</v>
      </c>
      <c r="E106" s="1133">
        <f t="shared" si="25"/>
        <v>1.0190305422080002</v>
      </c>
      <c r="F106" s="1133">
        <f t="shared" si="28"/>
        <v>8.5042222000758105</v>
      </c>
      <c r="G106" s="1132">
        <f t="shared" si="36"/>
        <v>1.5859999999999999</v>
      </c>
      <c r="H106" s="1187">
        <f t="shared" si="26"/>
        <v>1.5563812214730188</v>
      </c>
      <c r="I106" s="1135">
        <f t="shared" si="37"/>
        <v>0.93340000000000001</v>
      </c>
      <c r="J106" s="1136" t="e">
        <f t="shared" si="27"/>
        <v>#NAME?</v>
      </c>
      <c r="L106" s="184"/>
      <c r="M106" s="1166"/>
      <c r="N106" s="1166"/>
      <c r="O106" s="1166"/>
    </row>
    <row r="107" spans="2:15" x14ac:dyDescent="0.2">
      <c r="B107" s="1164">
        <v>107</v>
      </c>
      <c r="C107" s="1131">
        <v>30</v>
      </c>
      <c r="D107" s="1132">
        <f t="shared" si="35"/>
        <v>63.597000000000008</v>
      </c>
      <c r="E107" s="1133">
        <f t="shared" si="25"/>
        <v>1.0187261914110002</v>
      </c>
      <c r="F107" s="1133">
        <f t="shared" si="28"/>
        <v>8.5016822695268708</v>
      </c>
      <c r="G107" s="1132">
        <f t="shared" si="36"/>
        <v>1.5619999999999998</v>
      </c>
      <c r="H107" s="1187">
        <f t="shared" si="26"/>
        <v>1.5332873672723886</v>
      </c>
      <c r="I107" s="1135">
        <f t="shared" si="37"/>
        <v>0.93380000000000007</v>
      </c>
      <c r="J107" s="1136" t="e">
        <f t="shared" si="27"/>
        <v>#NAME?</v>
      </c>
      <c r="L107" s="184"/>
      <c r="M107" s="1166"/>
      <c r="N107" s="1166"/>
      <c r="O107" s="1166"/>
    </row>
    <row r="108" spans="2:15" x14ac:dyDescent="0.2">
      <c r="B108" s="1164">
        <v>108</v>
      </c>
      <c r="C108" s="1131">
        <v>30</v>
      </c>
      <c r="D108" s="1132">
        <f t="shared" si="35"/>
        <v>63.578000000000003</v>
      </c>
      <c r="E108" s="1133">
        <f t="shared" si="25"/>
        <v>1.018421840614</v>
      </c>
      <c r="F108" s="1133">
        <f t="shared" si="28"/>
        <v>8.4991423389779293</v>
      </c>
      <c r="G108" s="1132">
        <f t="shared" si="36"/>
        <v>1.5379999999999998</v>
      </c>
      <c r="H108" s="1187">
        <f t="shared" si="26"/>
        <v>1.5101797100823657</v>
      </c>
      <c r="I108" s="1135">
        <f t="shared" si="37"/>
        <v>0.93420000000000003</v>
      </c>
      <c r="J108" s="1136" t="e">
        <f t="shared" si="27"/>
        <v>#NAME?</v>
      </c>
      <c r="L108" s="184"/>
      <c r="M108" s="1166"/>
      <c r="N108" s="1166"/>
      <c r="O108" s="1166"/>
    </row>
    <row r="109" spans="2:15" ht="13.5" thickBot="1" x14ac:dyDescent="0.25">
      <c r="B109" s="1174">
        <v>109</v>
      </c>
      <c r="C109" s="1142">
        <v>30</v>
      </c>
      <c r="D109" s="1143">
        <f t="shared" si="35"/>
        <v>63.559000000000005</v>
      </c>
      <c r="E109" s="1144">
        <f t="shared" si="25"/>
        <v>1.018117489817</v>
      </c>
      <c r="F109" s="1144">
        <f t="shared" si="28"/>
        <v>8.4966024084289877</v>
      </c>
      <c r="G109" s="1143">
        <f t="shared" si="36"/>
        <v>1.5139999999999998</v>
      </c>
      <c r="H109" s="1191">
        <f t="shared" si="26"/>
        <v>1.4870582375243662</v>
      </c>
      <c r="I109" s="1135">
        <f t="shared" si="37"/>
        <v>0.9346000000000001</v>
      </c>
      <c r="J109" s="1147" t="e">
        <f t="shared" si="27"/>
        <v>#NAME?</v>
      </c>
      <c r="L109" s="184"/>
      <c r="M109" s="1166"/>
      <c r="N109" s="1166"/>
      <c r="O109" s="1166"/>
    </row>
    <row r="110" spans="2:15" x14ac:dyDescent="0.2">
      <c r="B110" s="1119">
        <v>110</v>
      </c>
      <c r="C110" s="1120">
        <v>30</v>
      </c>
      <c r="D110" s="1121">
        <v>63.54</v>
      </c>
      <c r="E110" s="1122">
        <f t="shared" si="25"/>
        <v>1.01781313902</v>
      </c>
      <c r="F110" s="1122">
        <f t="shared" si="28"/>
        <v>8.4940624778800462</v>
      </c>
      <c r="G110" s="1121">
        <v>1.49</v>
      </c>
      <c r="H110" s="1186">
        <f t="shared" si="26"/>
        <v>1.4639229372050004</v>
      </c>
      <c r="I110" s="1123">
        <v>0.93500000000000005</v>
      </c>
      <c r="J110" s="1124" t="e">
        <f t="shared" si="27"/>
        <v>#NAME?</v>
      </c>
      <c r="L110" s="1125">
        <f>B110</f>
        <v>110</v>
      </c>
      <c r="M110" s="1126">
        <f>D110</f>
        <v>63.54</v>
      </c>
      <c r="N110" s="1126">
        <f>G110</f>
        <v>1.49</v>
      </c>
      <c r="O110" s="1127">
        <f>I110</f>
        <v>0.93500000000000005</v>
      </c>
    </row>
    <row r="111" spans="2:15" x14ac:dyDescent="0.2">
      <c r="B111" s="1164">
        <v>111</v>
      </c>
      <c r="C111" s="1131">
        <v>30</v>
      </c>
      <c r="D111" s="1132">
        <f t="shared" ref="D111:D119" si="38">FORECAST(B111,$M$110:$M$111,$L$110:$L$111)</f>
        <v>63.518999999999998</v>
      </c>
      <c r="E111" s="1133">
        <f t="shared" si="25"/>
        <v>1.017476751297</v>
      </c>
      <c r="F111" s="1133">
        <f t="shared" si="28"/>
        <v>8.4912551862206893</v>
      </c>
      <c r="G111" s="1132">
        <f t="shared" ref="G111:G119" si="39">FORECAST(B111,$N$110:$N$111,$L$110:$L$111)</f>
        <v>1.4710000000000001</v>
      </c>
      <c r="H111" s="1187">
        <f t="shared" si="26"/>
        <v>1.4457332790404145</v>
      </c>
      <c r="I111" s="1135">
        <f>FORECAST(B111,$O$110:$O$111,$L$110:$L$111)</f>
        <v>0.93540000000000012</v>
      </c>
      <c r="J111" s="1136" t="e">
        <f t="shared" si="27"/>
        <v>#NAME?</v>
      </c>
      <c r="L111" s="1125">
        <f>B120</f>
        <v>120</v>
      </c>
      <c r="M111" s="1126">
        <f>D120</f>
        <v>63.33</v>
      </c>
      <c r="N111" s="1126">
        <f>G120</f>
        <v>1.3</v>
      </c>
      <c r="O111" s="1127">
        <f>I120</f>
        <v>0.93899999999999995</v>
      </c>
    </row>
    <row r="112" spans="2:15" x14ac:dyDescent="0.2">
      <c r="B112" s="1164">
        <v>112</v>
      </c>
      <c r="C112" s="1131">
        <v>30</v>
      </c>
      <c r="D112" s="1132">
        <f t="shared" si="38"/>
        <v>63.497999999999998</v>
      </c>
      <c r="E112" s="1133">
        <f t="shared" si="25"/>
        <v>1.017140363574</v>
      </c>
      <c r="F112" s="1133">
        <f t="shared" si="28"/>
        <v>8.4884478945613342</v>
      </c>
      <c r="G112" s="1132">
        <f t="shared" si="39"/>
        <v>1.452</v>
      </c>
      <c r="H112" s="1187">
        <f t="shared" si="26"/>
        <v>1.4275315895418821</v>
      </c>
      <c r="I112" s="1135">
        <f t="shared" ref="I112:I119" si="40">FORECAST(B112,$O$110:$O$111,$L$110:$L$111)</f>
        <v>0.93580000000000019</v>
      </c>
      <c r="J112" s="1136" t="e">
        <f t="shared" si="27"/>
        <v>#NAME?</v>
      </c>
      <c r="L112" s="184"/>
      <c r="M112" s="1166"/>
      <c r="N112" s="1166"/>
      <c r="O112" s="1166"/>
    </row>
    <row r="113" spans="2:15" x14ac:dyDescent="0.2">
      <c r="B113" s="1164">
        <v>113</v>
      </c>
      <c r="C113" s="1131">
        <v>30</v>
      </c>
      <c r="D113" s="1132">
        <f t="shared" si="38"/>
        <v>63.476999999999997</v>
      </c>
      <c r="E113" s="1133">
        <f t="shared" si="25"/>
        <v>1.0168039758509999</v>
      </c>
      <c r="F113" s="1133">
        <f t="shared" si="28"/>
        <v>8.4856406029019773</v>
      </c>
      <c r="G113" s="1132">
        <f t="shared" si="39"/>
        <v>1.4330000000000003</v>
      </c>
      <c r="H113" s="1187">
        <f t="shared" si="26"/>
        <v>1.4093178567684799</v>
      </c>
      <c r="I113" s="1135">
        <f t="shared" si="40"/>
        <v>0.93620000000000014</v>
      </c>
      <c r="J113" s="1136" t="e">
        <f t="shared" si="27"/>
        <v>#NAME?</v>
      </c>
      <c r="L113" s="184"/>
      <c r="M113" s="1166"/>
      <c r="N113" s="1166"/>
      <c r="O113" s="1166"/>
    </row>
    <row r="114" spans="2:15" ht="13.5" thickBot="1" x14ac:dyDescent="0.25">
      <c r="B114" s="1174">
        <v>114</v>
      </c>
      <c r="C114" s="1142">
        <v>30</v>
      </c>
      <c r="D114" s="1143">
        <f t="shared" si="38"/>
        <v>63.455999999999996</v>
      </c>
      <c r="E114" s="1144">
        <f t="shared" si="25"/>
        <v>1.0164675881279999</v>
      </c>
      <c r="F114" s="1144">
        <f t="shared" si="28"/>
        <v>8.4828333112426222</v>
      </c>
      <c r="G114" s="1143">
        <f t="shared" si="39"/>
        <v>1.4140000000000001</v>
      </c>
      <c r="H114" s="1191">
        <f t="shared" si="26"/>
        <v>1.391092068763476</v>
      </c>
      <c r="I114" s="1146">
        <f t="shared" si="40"/>
        <v>0.9366000000000001</v>
      </c>
      <c r="J114" s="1147" t="e">
        <f t="shared" si="27"/>
        <v>#NAME?</v>
      </c>
      <c r="L114" s="184"/>
      <c r="M114" s="1166"/>
      <c r="N114" s="1166"/>
      <c r="O114" s="1166"/>
    </row>
    <row r="115" spans="2:15" x14ac:dyDescent="0.2">
      <c r="B115" s="1172">
        <v>115</v>
      </c>
      <c r="C115" s="1149">
        <v>30</v>
      </c>
      <c r="D115" s="1150">
        <f t="shared" si="38"/>
        <v>63.435000000000002</v>
      </c>
      <c r="E115" s="1122">
        <f t="shared" si="25"/>
        <v>1.016131200405</v>
      </c>
      <c r="F115" s="1122">
        <f t="shared" si="28"/>
        <v>8.4800260195832653</v>
      </c>
      <c r="G115" s="1150">
        <f t="shared" si="39"/>
        <v>1.395</v>
      </c>
      <c r="H115" s="1186">
        <f t="shared" si="26"/>
        <v>1.3728542135543067</v>
      </c>
      <c r="I115" s="1173">
        <f t="shared" si="40"/>
        <v>0.93700000000000006</v>
      </c>
      <c r="J115" s="1124" t="e">
        <f t="shared" si="27"/>
        <v>#NAME?</v>
      </c>
      <c r="L115" s="184"/>
      <c r="M115" s="1166"/>
      <c r="N115" s="1166"/>
      <c r="O115" s="1166"/>
    </row>
    <row r="116" spans="2:15" x14ac:dyDescent="0.2">
      <c r="B116" s="1164">
        <v>116</v>
      </c>
      <c r="C116" s="1131">
        <v>30</v>
      </c>
      <c r="D116" s="1132">
        <f t="shared" si="38"/>
        <v>63.414000000000001</v>
      </c>
      <c r="E116" s="1133">
        <f t="shared" si="25"/>
        <v>1.015794812682</v>
      </c>
      <c r="F116" s="1133">
        <f t="shared" si="28"/>
        <v>8.4772187279239102</v>
      </c>
      <c r="G116" s="1132">
        <f t="shared" si="39"/>
        <v>1.3759999999999999</v>
      </c>
      <c r="H116" s="1187">
        <f t="shared" si="26"/>
        <v>1.3546042791525497</v>
      </c>
      <c r="I116" s="1135">
        <f t="shared" si="40"/>
        <v>0.93740000000000012</v>
      </c>
      <c r="J116" s="1136" t="e">
        <f t="shared" si="27"/>
        <v>#NAME?</v>
      </c>
      <c r="L116" s="184"/>
      <c r="M116" s="1166"/>
      <c r="N116" s="1166"/>
      <c r="O116" s="1166"/>
    </row>
    <row r="117" spans="2:15" x14ac:dyDescent="0.2">
      <c r="B117" s="1164">
        <v>117</v>
      </c>
      <c r="C117" s="1131">
        <v>30</v>
      </c>
      <c r="D117" s="1132">
        <f t="shared" si="38"/>
        <v>63.393000000000001</v>
      </c>
      <c r="E117" s="1133">
        <f t="shared" si="25"/>
        <v>1.015458424959</v>
      </c>
      <c r="F117" s="1133">
        <f t="shared" si="28"/>
        <v>8.4744114362645533</v>
      </c>
      <c r="G117" s="1132">
        <f t="shared" si="39"/>
        <v>1.3570000000000002</v>
      </c>
      <c r="H117" s="1187">
        <f t="shared" si="26"/>
        <v>1.3363422535538965</v>
      </c>
      <c r="I117" s="1135">
        <f t="shared" si="40"/>
        <v>0.93780000000000008</v>
      </c>
      <c r="J117" s="1136" t="e">
        <f t="shared" si="27"/>
        <v>#NAME?</v>
      </c>
      <c r="L117" s="184"/>
      <c r="M117" s="1166"/>
      <c r="N117" s="1166"/>
      <c r="O117" s="1166"/>
    </row>
    <row r="118" spans="2:15" x14ac:dyDescent="0.2">
      <c r="B118" s="1164">
        <v>118</v>
      </c>
      <c r="C118" s="1131">
        <v>30</v>
      </c>
      <c r="D118" s="1132">
        <f t="shared" si="38"/>
        <v>63.372</v>
      </c>
      <c r="E118" s="1133">
        <f t="shared" si="25"/>
        <v>1.0151220372359999</v>
      </c>
      <c r="F118" s="1133">
        <f t="shared" si="28"/>
        <v>8.4716041446051982</v>
      </c>
      <c r="G118" s="1132">
        <f t="shared" si="39"/>
        <v>1.3380000000000001</v>
      </c>
      <c r="H118" s="1187">
        <f t="shared" si="26"/>
        <v>1.3180681247381256</v>
      </c>
      <c r="I118" s="1135">
        <f t="shared" si="40"/>
        <v>0.93820000000000003</v>
      </c>
      <c r="J118" s="1136" t="e">
        <f t="shared" si="27"/>
        <v>#NAME?</v>
      </c>
      <c r="L118" s="184"/>
      <c r="M118" s="1166"/>
      <c r="N118" s="1166"/>
      <c r="O118" s="1166"/>
    </row>
    <row r="119" spans="2:15" ht="13.5" thickBot="1" x14ac:dyDescent="0.25">
      <c r="B119" s="1174">
        <v>119</v>
      </c>
      <c r="C119" s="1142">
        <v>30</v>
      </c>
      <c r="D119" s="1143">
        <f t="shared" si="38"/>
        <v>63.350999999999999</v>
      </c>
      <c r="E119" s="1144">
        <f t="shared" si="25"/>
        <v>1.0147856495130001</v>
      </c>
      <c r="F119" s="1144">
        <f t="shared" si="28"/>
        <v>8.4687968529458413</v>
      </c>
      <c r="G119" s="1143">
        <f t="shared" si="39"/>
        <v>1.319</v>
      </c>
      <c r="H119" s="1191">
        <f t="shared" si="26"/>
        <v>1.2997818806690788</v>
      </c>
      <c r="I119" s="1135">
        <f t="shared" si="40"/>
        <v>0.9386000000000001</v>
      </c>
      <c r="J119" s="1147" t="e">
        <f t="shared" si="27"/>
        <v>#NAME?</v>
      </c>
      <c r="L119" s="184"/>
      <c r="M119" s="1166"/>
      <c r="N119" s="1166"/>
      <c r="O119" s="1166"/>
    </row>
    <row r="120" spans="2:15" x14ac:dyDescent="0.2">
      <c r="B120" s="1119">
        <v>120</v>
      </c>
      <c r="C120" s="1120">
        <v>30</v>
      </c>
      <c r="D120" s="1121">
        <v>63.33</v>
      </c>
      <c r="E120" s="1122">
        <f t="shared" si="25"/>
        <v>1.0144492617900001</v>
      </c>
      <c r="F120" s="1122">
        <f t="shared" si="28"/>
        <v>8.4659895612864862</v>
      </c>
      <c r="G120" s="1121">
        <v>1.3</v>
      </c>
      <c r="H120" s="1186">
        <f t="shared" si="26"/>
        <v>1.2814835092946339</v>
      </c>
      <c r="I120" s="1123">
        <v>0.93899999999999995</v>
      </c>
      <c r="J120" s="1124" t="e">
        <f t="shared" si="27"/>
        <v>#NAME?</v>
      </c>
      <c r="L120" s="1125">
        <f>B120</f>
        <v>120</v>
      </c>
      <c r="M120" s="1126">
        <f>D120</f>
        <v>63.33</v>
      </c>
      <c r="N120" s="1126">
        <f>G120</f>
        <v>1.3</v>
      </c>
      <c r="O120" s="1127">
        <f>I120</f>
        <v>0.93899999999999995</v>
      </c>
    </row>
    <row r="121" spans="2:15" x14ac:dyDescent="0.2">
      <c r="B121" s="1164">
        <v>121</v>
      </c>
      <c r="C121" s="1131">
        <v>30</v>
      </c>
      <c r="D121" s="1132">
        <f t="shared" ref="D121:D129" si="41">FORECAST(B121,$M$120:$M$121,$L$120:$L$121)</f>
        <v>63.308999999999997</v>
      </c>
      <c r="E121" s="1133">
        <f t="shared" si="25"/>
        <v>1.014112874067</v>
      </c>
      <c r="F121" s="1133">
        <f t="shared" si="28"/>
        <v>8.4631822696271293</v>
      </c>
      <c r="G121" s="1132">
        <f t="shared" ref="G121:G129" si="42">FORECAST(B121,$N$120:$N$121,$L$120:$L$121)</f>
        <v>1.2839999999999998</v>
      </c>
      <c r="H121" s="1187">
        <f t="shared" si="26"/>
        <v>1.2661312491287524</v>
      </c>
      <c r="I121" s="1135">
        <f>FORECAST(B121,$O$120:$O$121,$L$120:$L$121)</f>
        <v>0.9392999999999998</v>
      </c>
      <c r="J121" s="1136" t="e">
        <f t="shared" si="27"/>
        <v>#NAME?</v>
      </c>
      <c r="L121" s="1125">
        <f>B130</f>
        <v>130</v>
      </c>
      <c r="M121" s="1126">
        <f>D130</f>
        <v>63.12</v>
      </c>
      <c r="N121" s="1126">
        <f>G130</f>
        <v>1.1399999999999999</v>
      </c>
      <c r="O121" s="1127">
        <f>I130</f>
        <v>0.94199999999999995</v>
      </c>
    </row>
    <row r="122" spans="2:15" x14ac:dyDescent="0.2">
      <c r="B122" s="1164">
        <v>122</v>
      </c>
      <c r="C122" s="1131">
        <v>30</v>
      </c>
      <c r="D122" s="1132">
        <f t="shared" si="41"/>
        <v>63.287999999999997</v>
      </c>
      <c r="E122" s="1133">
        <f t="shared" si="25"/>
        <v>1.013776486344</v>
      </c>
      <c r="F122" s="1133">
        <f t="shared" si="28"/>
        <v>8.4603749779677742</v>
      </c>
      <c r="G122" s="1132">
        <f t="shared" si="42"/>
        <v>1.2679999999999998</v>
      </c>
      <c r="H122" s="1187">
        <f t="shared" si="26"/>
        <v>1.2507688006976869</v>
      </c>
      <c r="I122" s="1135">
        <f t="shared" ref="I122:I129" si="43">FORECAST(B122,$O$120:$O$121,$L$120:$L$121)</f>
        <v>0.93959999999999988</v>
      </c>
      <c r="J122" s="1136" t="e">
        <f t="shared" si="27"/>
        <v>#NAME?</v>
      </c>
      <c r="L122" s="184"/>
      <c r="M122" s="1166"/>
      <c r="N122" s="1166"/>
      <c r="O122" s="1166"/>
    </row>
    <row r="123" spans="2:15" x14ac:dyDescent="0.2">
      <c r="B123" s="1164">
        <v>123</v>
      </c>
      <c r="C123" s="1131">
        <v>30</v>
      </c>
      <c r="D123" s="1132">
        <f t="shared" si="41"/>
        <v>63.266999999999996</v>
      </c>
      <c r="E123" s="1133">
        <f t="shared" si="25"/>
        <v>1.0134400986209999</v>
      </c>
      <c r="F123" s="1133">
        <f t="shared" si="28"/>
        <v>8.4575676863084173</v>
      </c>
      <c r="G123" s="1132">
        <f t="shared" si="42"/>
        <v>1.2519999999999998</v>
      </c>
      <c r="H123" s="1187">
        <f t="shared" si="26"/>
        <v>1.2353961538561689</v>
      </c>
      <c r="I123" s="1135">
        <f t="shared" si="43"/>
        <v>0.93989999999999985</v>
      </c>
      <c r="J123" s="1136" t="e">
        <f t="shared" si="27"/>
        <v>#NAME?</v>
      </c>
      <c r="L123" s="184"/>
      <c r="M123" s="1166"/>
      <c r="N123" s="1166"/>
      <c r="O123" s="1166"/>
    </row>
    <row r="124" spans="2:15" ht="13.5" thickBot="1" x14ac:dyDescent="0.25">
      <c r="B124" s="1174">
        <v>124</v>
      </c>
      <c r="C124" s="1142">
        <v>30</v>
      </c>
      <c r="D124" s="1143">
        <f t="shared" si="41"/>
        <v>63.245999999999995</v>
      </c>
      <c r="E124" s="1144">
        <f t="shared" si="25"/>
        <v>1.0131037108979999</v>
      </c>
      <c r="F124" s="1144">
        <f t="shared" si="28"/>
        <v>8.4547603946490604</v>
      </c>
      <c r="G124" s="1143">
        <f t="shared" si="42"/>
        <v>1.2359999999999998</v>
      </c>
      <c r="H124" s="1191">
        <f t="shared" si="26"/>
        <v>1.2200132984454553</v>
      </c>
      <c r="I124" s="1146">
        <f t="shared" si="43"/>
        <v>0.94019999999999981</v>
      </c>
      <c r="J124" s="1147" t="e">
        <f t="shared" si="27"/>
        <v>#NAME?</v>
      </c>
      <c r="L124" s="184"/>
      <c r="M124" s="1166"/>
      <c r="N124" s="1166"/>
      <c r="O124" s="1166"/>
    </row>
    <row r="125" spans="2:15" x14ac:dyDescent="0.2">
      <c r="B125" s="1172">
        <v>125</v>
      </c>
      <c r="C125" s="1149">
        <v>30</v>
      </c>
      <c r="D125" s="1150">
        <f t="shared" si="41"/>
        <v>63.224999999999994</v>
      </c>
      <c r="E125" s="1122">
        <f t="shared" si="25"/>
        <v>1.0127673231749998</v>
      </c>
      <c r="F125" s="1122">
        <f t="shared" si="28"/>
        <v>8.4519531029897053</v>
      </c>
      <c r="G125" s="1150">
        <f t="shared" si="42"/>
        <v>1.2199999999999998</v>
      </c>
      <c r="H125" s="1186">
        <f t="shared" si="26"/>
        <v>1.2046202242933064</v>
      </c>
      <c r="I125" s="1173">
        <f t="shared" si="43"/>
        <v>0.94049999999999989</v>
      </c>
      <c r="J125" s="1124" t="e">
        <f t="shared" si="27"/>
        <v>#NAME?</v>
      </c>
      <c r="L125" s="184"/>
      <c r="M125" s="1166"/>
      <c r="N125" s="1166"/>
      <c r="O125" s="1166"/>
    </row>
    <row r="126" spans="2:15" x14ac:dyDescent="0.2">
      <c r="B126" s="1164">
        <v>126</v>
      </c>
      <c r="C126" s="1131">
        <v>30</v>
      </c>
      <c r="D126" s="1132">
        <f t="shared" si="41"/>
        <v>63.204000000000001</v>
      </c>
      <c r="E126" s="1133">
        <f t="shared" si="25"/>
        <v>1.012430935452</v>
      </c>
      <c r="F126" s="1133">
        <f t="shared" si="28"/>
        <v>8.4491458113303501</v>
      </c>
      <c r="G126" s="1132">
        <f t="shared" si="42"/>
        <v>1.2039999999999997</v>
      </c>
      <c r="H126" s="1187">
        <f t="shared" si="26"/>
        <v>1.1892169212139627</v>
      </c>
      <c r="I126" s="1135">
        <f t="shared" si="43"/>
        <v>0.94079999999999986</v>
      </c>
      <c r="J126" s="1136" t="e">
        <f t="shared" si="27"/>
        <v>#NAME?</v>
      </c>
      <c r="L126" s="184"/>
      <c r="M126" s="1166"/>
      <c r="N126" s="1166"/>
      <c r="O126" s="1166"/>
    </row>
    <row r="127" spans="2:15" x14ac:dyDescent="0.2">
      <c r="B127" s="1164">
        <v>127</v>
      </c>
      <c r="C127" s="1131">
        <v>30</v>
      </c>
      <c r="D127" s="1132">
        <f t="shared" si="41"/>
        <v>63.183</v>
      </c>
      <c r="E127" s="1133">
        <f t="shared" si="25"/>
        <v>1.012094547729</v>
      </c>
      <c r="F127" s="1133">
        <f t="shared" si="28"/>
        <v>8.4463385196709933</v>
      </c>
      <c r="G127" s="1132">
        <f t="shared" si="42"/>
        <v>1.1879999999999997</v>
      </c>
      <c r="H127" s="1187">
        <f t="shared" si="26"/>
        <v>1.1738033790081246</v>
      </c>
      <c r="I127" s="1135">
        <f t="shared" si="43"/>
        <v>0.94109999999999983</v>
      </c>
      <c r="J127" s="1136" t="e">
        <f t="shared" si="27"/>
        <v>#NAME?</v>
      </c>
      <c r="L127" s="184"/>
      <c r="M127" s="1166"/>
      <c r="N127" s="1166"/>
      <c r="O127" s="1166"/>
    </row>
    <row r="128" spans="2:15" x14ac:dyDescent="0.2">
      <c r="B128" s="1164">
        <v>128</v>
      </c>
      <c r="C128" s="1131">
        <v>30</v>
      </c>
      <c r="D128" s="1132">
        <f t="shared" si="41"/>
        <v>63.161999999999999</v>
      </c>
      <c r="E128" s="1133">
        <f t="shared" si="25"/>
        <v>1.0117581600059999</v>
      </c>
      <c r="F128" s="1133">
        <f t="shared" si="28"/>
        <v>8.4435312280116381</v>
      </c>
      <c r="G128" s="1132">
        <f t="shared" si="42"/>
        <v>1.1719999999999997</v>
      </c>
      <c r="H128" s="1187">
        <f t="shared" si="26"/>
        <v>1.1583795874629264</v>
      </c>
      <c r="I128" s="1135">
        <f t="shared" si="43"/>
        <v>0.94139999999999979</v>
      </c>
      <c r="J128" s="1136" t="e">
        <f t="shared" si="27"/>
        <v>#NAME?</v>
      </c>
      <c r="L128" s="184"/>
      <c r="M128" s="1166"/>
      <c r="N128" s="1166"/>
      <c r="O128" s="1166"/>
    </row>
    <row r="129" spans="2:15" ht="13.5" thickBot="1" x14ac:dyDescent="0.25">
      <c r="B129" s="1174">
        <v>129</v>
      </c>
      <c r="C129" s="1142">
        <v>30</v>
      </c>
      <c r="D129" s="1143">
        <f t="shared" si="41"/>
        <v>63.140999999999998</v>
      </c>
      <c r="E129" s="1144">
        <f t="shared" si="25"/>
        <v>1.0114217722829999</v>
      </c>
      <c r="F129" s="1144">
        <f t="shared" si="28"/>
        <v>8.4407239363522812</v>
      </c>
      <c r="G129" s="1143">
        <f t="shared" si="42"/>
        <v>1.1559999999999997</v>
      </c>
      <c r="H129" s="1191">
        <f t="shared" si="26"/>
        <v>1.142945536351917</v>
      </c>
      <c r="I129" s="1135">
        <f t="shared" si="43"/>
        <v>0.94169999999999987</v>
      </c>
      <c r="J129" s="1147" t="e">
        <f t="shared" si="27"/>
        <v>#NAME?</v>
      </c>
      <c r="L129" s="184"/>
      <c r="M129" s="1166"/>
      <c r="N129" s="1166"/>
      <c r="O129" s="1166"/>
    </row>
    <row r="130" spans="2:15" x14ac:dyDescent="0.2">
      <c r="B130" s="1119">
        <v>130</v>
      </c>
      <c r="C130" s="1120">
        <v>30</v>
      </c>
      <c r="D130" s="1121">
        <v>63.12</v>
      </c>
      <c r="E130" s="1122">
        <f t="shared" si="25"/>
        <v>1.0110853845600001</v>
      </c>
      <c r="F130" s="1122">
        <f t="shared" si="28"/>
        <v>8.4379166446929261</v>
      </c>
      <c r="G130" s="1121">
        <v>1.1399999999999999</v>
      </c>
      <c r="H130" s="1186">
        <f t="shared" si="26"/>
        <v>1.127501215435035</v>
      </c>
      <c r="I130" s="1123">
        <v>0.94199999999999995</v>
      </c>
      <c r="J130" s="1124" t="e">
        <f t="shared" si="27"/>
        <v>#NAME?</v>
      </c>
      <c r="L130" s="1125">
        <f>B130</f>
        <v>130</v>
      </c>
      <c r="M130" s="1126">
        <f>D130</f>
        <v>63.12</v>
      </c>
      <c r="N130" s="1126">
        <f>G130</f>
        <v>1.1399999999999999</v>
      </c>
      <c r="O130" s="1127">
        <f>I130</f>
        <v>0.94199999999999995</v>
      </c>
    </row>
    <row r="131" spans="2:15" x14ac:dyDescent="0.2">
      <c r="B131" s="1164">
        <v>131</v>
      </c>
      <c r="C131" s="1131">
        <v>30</v>
      </c>
      <c r="D131" s="1132">
        <f t="shared" ref="D131:D139" si="44">FORECAST(B131,$M$130:$M$131,$L$130:$L$131)</f>
        <v>63.098000000000006</v>
      </c>
      <c r="E131" s="1133">
        <f t="shared" si="25"/>
        <v>1.010732978374</v>
      </c>
      <c r="F131" s="1133">
        <f t="shared" si="28"/>
        <v>8.4349756724783624</v>
      </c>
      <c r="G131" s="1132">
        <f t="shared" ref="G131:G139" si="45">FORECAST(B131,$N$130:$N$131,$L$130:$L$131)</f>
        <v>1.1269999999999998</v>
      </c>
      <c r="H131" s="1187">
        <f t="shared" si="26"/>
        <v>1.115032381562381</v>
      </c>
      <c r="I131" s="1135">
        <f>FORECAST(B131,$O$130:$O$131,$L$130:$L$131)</f>
        <v>0.9423999999999999</v>
      </c>
      <c r="J131" s="1136" t="e">
        <f t="shared" si="27"/>
        <v>#NAME?</v>
      </c>
      <c r="L131" s="1125">
        <f>B140</f>
        <v>140</v>
      </c>
      <c r="M131" s="1126">
        <f>D140</f>
        <v>62.9</v>
      </c>
      <c r="N131" s="1126">
        <f>G140</f>
        <v>1.01</v>
      </c>
      <c r="O131" s="1127">
        <f>I140</f>
        <v>0.94599999999999995</v>
      </c>
    </row>
    <row r="132" spans="2:15" x14ac:dyDescent="0.2">
      <c r="B132" s="1164">
        <v>132</v>
      </c>
      <c r="C132" s="1131">
        <v>30</v>
      </c>
      <c r="D132" s="1132">
        <f t="shared" si="44"/>
        <v>63.076000000000008</v>
      </c>
      <c r="E132" s="1133">
        <f t="shared" si="25"/>
        <v>1.0103805721880001</v>
      </c>
      <c r="F132" s="1133">
        <f t="shared" si="28"/>
        <v>8.4320347002638005</v>
      </c>
      <c r="G132" s="1132">
        <f t="shared" si="45"/>
        <v>1.1139999999999997</v>
      </c>
      <c r="H132" s="1187">
        <f t="shared" si="26"/>
        <v>1.1025548497905195</v>
      </c>
      <c r="I132" s="1135">
        <f t="shared" ref="I132:I139" si="46">FORECAST(B132,$O$130:$O$131,$L$130:$L$131)</f>
        <v>0.94279999999999997</v>
      </c>
      <c r="J132" s="1136" t="e">
        <f t="shared" si="27"/>
        <v>#NAME?</v>
      </c>
      <c r="L132" s="184"/>
      <c r="M132" s="1166"/>
      <c r="N132" s="1166"/>
      <c r="O132" s="1166"/>
    </row>
    <row r="133" spans="2:15" x14ac:dyDescent="0.2">
      <c r="B133" s="1164">
        <v>133</v>
      </c>
      <c r="C133" s="1131">
        <v>30</v>
      </c>
      <c r="D133" s="1132">
        <f t="shared" si="44"/>
        <v>63.054000000000002</v>
      </c>
      <c r="E133" s="1133">
        <f t="shared" si="25"/>
        <v>1.0100281660020001</v>
      </c>
      <c r="F133" s="1133">
        <f t="shared" si="28"/>
        <v>8.4290937280492351</v>
      </c>
      <c r="G133" s="1132">
        <f t="shared" si="45"/>
        <v>1.1009999999999998</v>
      </c>
      <c r="H133" s="1187">
        <f t="shared" si="26"/>
        <v>1.0900686110151701</v>
      </c>
      <c r="I133" s="1135">
        <f t="shared" si="46"/>
        <v>0.94319999999999993</v>
      </c>
      <c r="J133" s="1136" t="e">
        <f t="shared" si="27"/>
        <v>#NAME?</v>
      </c>
      <c r="L133" s="184"/>
      <c r="M133" s="1166"/>
      <c r="N133" s="1166"/>
      <c r="O133" s="1166"/>
    </row>
    <row r="134" spans="2:15" ht="13.5" thickBot="1" x14ac:dyDescent="0.25">
      <c r="B134" s="1174">
        <v>134</v>
      </c>
      <c r="C134" s="1142">
        <v>30</v>
      </c>
      <c r="D134" s="1143">
        <f t="shared" si="44"/>
        <v>63.032000000000004</v>
      </c>
      <c r="E134" s="1144">
        <f t="shared" si="25"/>
        <v>1.009675759816</v>
      </c>
      <c r="F134" s="1144">
        <f t="shared" si="28"/>
        <v>8.4261527558346732</v>
      </c>
      <c r="G134" s="1143">
        <f t="shared" si="45"/>
        <v>1.0879999999999999</v>
      </c>
      <c r="H134" s="1191">
        <f t="shared" si="26"/>
        <v>1.0775736561193401</v>
      </c>
      <c r="I134" s="1146">
        <f t="shared" si="46"/>
        <v>0.94359999999999999</v>
      </c>
      <c r="J134" s="1147" t="e">
        <f t="shared" si="27"/>
        <v>#NAME?</v>
      </c>
      <c r="L134" s="184"/>
      <c r="M134" s="1166"/>
      <c r="N134" s="1166"/>
      <c r="O134" s="1166"/>
    </row>
    <row r="135" spans="2:15" x14ac:dyDescent="0.2">
      <c r="B135" s="1172">
        <v>135</v>
      </c>
      <c r="C135" s="1149">
        <v>30</v>
      </c>
      <c r="D135" s="1150">
        <f t="shared" si="44"/>
        <v>63.010000000000005</v>
      </c>
      <c r="E135" s="1122">
        <f t="shared" si="25"/>
        <v>1.0093233536300001</v>
      </c>
      <c r="F135" s="1122">
        <f t="shared" si="28"/>
        <v>8.4232117836201095</v>
      </c>
      <c r="G135" s="1150">
        <f t="shared" si="45"/>
        <v>1.0749999999999997</v>
      </c>
      <c r="H135" s="1186">
        <f t="shared" si="26"/>
        <v>1.0650699759733049</v>
      </c>
      <c r="I135" s="1173">
        <f t="shared" si="46"/>
        <v>0.94399999999999995</v>
      </c>
      <c r="J135" s="1124" t="e">
        <f t="shared" si="27"/>
        <v>#NAME?</v>
      </c>
      <c r="L135" s="184"/>
      <c r="M135" s="1166"/>
      <c r="N135" s="1166"/>
      <c r="O135" s="1166"/>
    </row>
    <row r="136" spans="2:15" x14ac:dyDescent="0.2">
      <c r="B136" s="1164">
        <v>136</v>
      </c>
      <c r="C136" s="1131">
        <v>30</v>
      </c>
      <c r="D136" s="1132">
        <f t="shared" si="44"/>
        <v>62.988000000000007</v>
      </c>
      <c r="E136" s="1133">
        <f t="shared" si="25"/>
        <v>1.0089709474440001</v>
      </c>
      <c r="F136" s="1133">
        <f t="shared" si="28"/>
        <v>8.4202708114055458</v>
      </c>
      <c r="G136" s="1132">
        <f t="shared" si="45"/>
        <v>1.0619999999999998</v>
      </c>
      <c r="H136" s="1187">
        <f t="shared" si="26"/>
        <v>1.0525575614345852</v>
      </c>
      <c r="I136" s="1135">
        <f t="shared" si="46"/>
        <v>0.94439999999999991</v>
      </c>
      <c r="J136" s="1136" t="e">
        <f t="shared" si="27"/>
        <v>#NAME?</v>
      </c>
      <c r="L136" s="184"/>
      <c r="M136" s="1166"/>
      <c r="N136" s="1166"/>
      <c r="O136" s="1166"/>
    </row>
    <row r="137" spans="2:15" x14ac:dyDescent="0.2">
      <c r="B137" s="1164">
        <v>137</v>
      </c>
      <c r="C137" s="1131">
        <v>30</v>
      </c>
      <c r="D137" s="1132">
        <f t="shared" si="44"/>
        <v>62.966000000000008</v>
      </c>
      <c r="E137" s="1133">
        <f t="shared" si="25"/>
        <v>1.0086185412580002</v>
      </c>
      <c r="F137" s="1133">
        <f t="shared" si="28"/>
        <v>8.4173298391909821</v>
      </c>
      <c r="G137" s="1132">
        <f t="shared" si="45"/>
        <v>1.0489999999999997</v>
      </c>
      <c r="H137" s="1187">
        <f t="shared" si="26"/>
        <v>1.0400364033479235</v>
      </c>
      <c r="I137" s="1135">
        <f t="shared" si="46"/>
        <v>0.94479999999999997</v>
      </c>
      <c r="J137" s="1136" t="e">
        <f t="shared" si="27"/>
        <v>#NAME?</v>
      </c>
      <c r="L137" s="184"/>
      <c r="M137" s="1166"/>
      <c r="N137" s="1166"/>
      <c r="O137" s="1166"/>
    </row>
    <row r="138" spans="2:15" x14ac:dyDescent="0.2">
      <c r="B138" s="1164">
        <v>138</v>
      </c>
      <c r="C138" s="1131">
        <v>30</v>
      </c>
      <c r="D138" s="1132">
        <f t="shared" si="44"/>
        <v>62.944000000000003</v>
      </c>
      <c r="E138" s="1133">
        <f t="shared" ref="E138:E201" si="47">D138*0.016018463</f>
        <v>1.0082661350720001</v>
      </c>
      <c r="F138" s="1133">
        <f t="shared" si="28"/>
        <v>8.4143888669764184</v>
      </c>
      <c r="G138" s="1132">
        <f t="shared" si="45"/>
        <v>1.0359999999999998</v>
      </c>
      <c r="H138" s="1187">
        <f t="shared" ref="H138:H201" si="48">G138/E138</f>
        <v>1.0275064925452635</v>
      </c>
      <c r="I138" s="1135">
        <f t="shared" si="46"/>
        <v>0.94519999999999993</v>
      </c>
      <c r="J138" s="1136" t="e">
        <f t="shared" ref="J138:J201" si="49">E138/VLOOKUP(60,Water,6,FALSE)</f>
        <v>#NAME?</v>
      </c>
      <c r="L138" s="184"/>
      <c r="M138" s="1166"/>
      <c r="N138" s="1166"/>
      <c r="O138" s="1166"/>
    </row>
    <row r="139" spans="2:15" ht="13.5" thickBot="1" x14ac:dyDescent="0.25">
      <c r="B139" s="1174">
        <v>139</v>
      </c>
      <c r="C139" s="1142">
        <v>30</v>
      </c>
      <c r="D139" s="1143">
        <f t="shared" si="44"/>
        <v>62.922000000000004</v>
      </c>
      <c r="E139" s="1144">
        <f t="shared" si="47"/>
        <v>1.0079137288860001</v>
      </c>
      <c r="F139" s="1144">
        <f t="shared" ref="F139:F202" si="50">D139/7.4805195</f>
        <v>8.4114478947618547</v>
      </c>
      <c r="G139" s="1143">
        <f t="shared" si="45"/>
        <v>1.0229999999999999</v>
      </c>
      <c r="H139" s="1191">
        <f t="shared" si="48"/>
        <v>1.0149678198457264</v>
      </c>
      <c r="I139" s="1135">
        <f t="shared" si="46"/>
        <v>0.9456</v>
      </c>
      <c r="J139" s="1147" t="e">
        <f t="shared" si="49"/>
        <v>#NAME?</v>
      </c>
      <c r="L139" s="184"/>
      <c r="M139" s="1166"/>
      <c r="N139" s="1166"/>
      <c r="O139" s="1166"/>
    </row>
    <row r="140" spans="2:15" x14ac:dyDescent="0.2">
      <c r="B140" s="1119">
        <v>140</v>
      </c>
      <c r="C140" s="1120">
        <v>30</v>
      </c>
      <c r="D140" s="1121">
        <v>62.9</v>
      </c>
      <c r="E140" s="1122">
        <f t="shared" si="47"/>
        <v>1.0075613227</v>
      </c>
      <c r="F140" s="1122">
        <f t="shared" si="50"/>
        <v>8.408506922547291</v>
      </c>
      <c r="G140" s="1121">
        <v>1.01</v>
      </c>
      <c r="H140" s="1186">
        <f t="shared" si="48"/>
        <v>1.0024203760555883</v>
      </c>
      <c r="I140" s="1123">
        <v>0.94599999999999995</v>
      </c>
      <c r="J140" s="1124" t="e">
        <f t="shared" si="49"/>
        <v>#NAME?</v>
      </c>
      <c r="L140" s="1125">
        <f>B140</f>
        <v>140</v>
      </c>
      <c r="M140" s="1126">
        <f>D140</f>
        <v>62.9</v>
      </c>
      <c r="N140" s="1126">
        <f>G140</f>
        <v>1.01</v>
      </c>
      <c r="O140" s="1127">
        <f>I140</f>
        <v>0.94599999999999995</v>
      </c>
    </row>
    <row r="141" spans="2:15" x14ac:dyDescent="0.2">
      <c r="B141" s="1164">
        <v>141</v>
      </c>
      <c r="C141" s="1131">
        <v>30</v>
      </c>
      <c r="D141" s="1132">
        <f t="shared" ref="D141:D149" si="51">FORECAST(B141,$M$140:$M$141,$L$140:$L$141)</f>
        <v>62.876999999999995</v>
      </c>
      <c r="E141" s="1133">
        <f t="shared" si="47"/>
        <v>1.0071928980509999</v>
      </c>
      <c r="F141" s="1133">
        <f t="shared" si="50"/>
        <v>8.4054322697775206</v>
      </c>
      <c r="G141" s="1132">
        <f t="shared" ref="G141:G149" si="52">FORECAST(B141,$N$140:$N$141,$L$140:$L$141)</f>
        <v>1</v>
      </c>
      <c r="H141" s="1187">
        <f t="shared" si="48"/>
        <v>0.99285847024445995</v>
      </c>
      <c r="I141" s="1135">
        <f>FORECAST(B141,$O$140:$O$141,$L$140:$L$141)</f>
        <v>0.94639999999999991</v>
      </c>
      <c r="J141" s="1136" t="e">
        <f t="shared" si="49"/>
        <v>#NAME?</v>
      </c>
      <c r="L141" s="1125">
        <f>B150</f>
        <v>150</v>
      </c>
      <c r="M141" s="1126">
        <f>D150</f>
        <v>62.67</v>
      </c>
      <c r="N141" s="1126">
        <f>G150</f>
        <v>0.91</v>
      </c>
      <c r="O141" s="1127">
        <f>I150</f>
        <v>0.95</v>
      </c>
    </row>
    <row r="142" spans="2:15" x14ac:dyDescent="0.2">
      <c r="B142" s="1164">
        <v>142</v>
      </c>
      <c r="C142" s="1131">
        <v>30</v>
      </c>
      <c r="D142" s="1132">
        <f t="shared" si="51"/>
        <v>62.853999999999992</v>
      </c>
      <c r="E142" s="1133">
        <f t="shared" si="47"/>
        <v>1.006824473402</v>
      </c>
      <c r="F142" s="1133">
        <f t="shared" si="50"/>
        <v>8.4023576170077483</v>
      </c>
      <c r="G142" s="1132">
        <f t="shared" si="52"/>
        <v>0.99</v>
      </c>
      <c r="H142" s="1187">
        <f t="shared" si="48"/>
        <v>0.98328956650690946</v>
      </c>
      <c r="I142" s="1135">
        <f t="shared" ref="I142:I149" si="53">FORECAST(B142,$O$140:$O$141,$L$140:$L$141)</f>
        <v>0.94679999999999997</v>
      </c>
      <c r="J142" s="1136" t="e">
        <f t="shared" si="49"/>
        <v>#NAME?</v>
      </c>
      <c r="L142" s="184"/>
      <c r="M142" s="1166"/>
      <c r="N142" s="1166"/>
      <c r="O142" s="1166"/>
    </row>
    <row r="143" spans="2:15" x14ac:dyDescent="0.2">
      <c r="B143" s="1164">
        <v>143</v>
      </c>
      <c r="C143" s="1131">
        <v>30</v>
      </c>
      <c r="D143" s="1132">
        <f t="shared" si="51"/>
        <v>62.830999999999989</v>
      </c>
      <c r="E143" s="1133">
        <f t="shared" si="47"/>
        <v>1.0064560487529999</v>
      </c>
      <c r="F143" s="1133">
        <f t="shared" si="50"/>
        <v>8.3992829642379778</v>
      </c>
      <c r="G143" s="1132">
        <f t="shared" si="52"/>
        <v>0.98</v>
      </c>
      <c r="H143" s="1187">
        <f t="shared" si="48"/>
        <v>0.97371365715792657</v>
      </c>
      <c r="I143" s="1135">
        <f t="shared" si="53"/>
        <v>0.94719999999999993</v>
      </c>
      <c r="J143" s="1136" t="e">
        <f t="shared" si="49"/>
        <v>#NAME?</v>
      </c>
      <c r="L143" s="184"/>
      <c r="M143" s="1166"/>
      <c r="N143" s="1166"/>
      <c r="O143" s="1166"/>
    </row>
    <row r="144" spans="2:15" ht="13.5" thickBot="1" x14ac:dyDescent="0.25">
      <c r="B144" s="1174">
        <v>144</v>
      </c>
      <c r="C144" s="1142">
        <v>30</v>
      </c>
      <c r="D144" s="1143">
        <f t="shared" si="51"/>
        <v>62.807999999999993</v>
      </c>
      <c r="E144" s="1144">
        <f t="shared" si="47"/>
        <v>1.006087624104</v>
      </c>
      <c r="F144" s="1144">
        <f t="shared" si="50"/>
        <v>8.3962083114682073</v>
      </c>
      <c r="G144" s="1143">
        <f t="shared" si="52"/>
        <v>0.97</v>
      </c>
      <c r="H144" s="1191">
        <f t="shared" si="48"/>
        <v>0.96413073450124298</v>
      </c>
      <c r="I144" s="1146">
        <f t="shared" si="53"/>
        <v>0.9476</v>
      </c>
      <c r="J144" s="1147" t="e">
        <f t="shared" si="49"/>
        <v>#NAME?</v>
      </c>
      <c r="L144" s="184"/>
      <c r="M144" s="1166"/>
      <c r="N144" s="1166"/>
      <c r="O144" s="1166"/>
    </row>
    <row r="145" spans="2:15" x14ac:dyDescent="0.2">
      <c r="B145" s="1172">
        <v>145</v>
      </c>
      <c r="C145" s="1149">
        <v>30</v>
      </c>
      <c r="D145" s="1150">
        <f t="shared" si="51"/>
        <v>62.784999999999997</v>
      </c>
      <c r="E145" s="1122">
        <f t="shared" si="47"/>
        <v>1.0057191994549999</v>
      </c>
      <c r="F145" s="1122">
        <f t="shared" si="50"/>
        <v>8.3931336586984369</v>
      </c>
      <c r="G145" s="1150">
        <f t="shared" si="52"/>
        <v>0.96</v>
      </c>
      <c r="H145" s="1186">
        <f t="shared" si="48"/>
        <v>0.95454079082931376</v>
      </c>
      <c r="I145" s="1173">
        <f t="shared" si="53"/>
        <v>0.94799999999999995</v>
      </c>
      <c r="J145" s="1124" t="e">
        <f t="shared" si="49"/>
        <v>#NAME?</v>
      </c>
      <c r="L145" s="184"/>
      <c r="M145" s="1166"/>
      <c r="N145" s="1166"/>
      <c r="O145" s="1166"/>
    </row>
    <row r="146" spans="2:15" x14ac:dyDescent="0.2">
      <c r="B146" s="1164">
        <v>146</v>
      </c>
      <c r="C146" s="1131">
        <v>30</v>
      </c>
      <c r="D146" s="1132">
        <f t="shared" si="51"/>
        <v>62.761999999999993</v>
      </c>
      <c r="E146" s="1133">
        <f t="shared" si="47"/>
        <v>1.005350774806</v>
      </c>
      <c r="F146" s="1133">
        <f t="shared" si="50"/>
        <v>8.3900590059286646</v>
      </c>
      <c r="G146" s="1132">
        <f t="shared" si="52"/>
        <v>0.95</v>
      </c>
      <c r="H146" s="1187">
        <f t="shared" si="48"/>
        <v>0.94494381842329511</v>
      </c>
      <c r="I146" s="1135">
        <f t="shared" si="53"/>
        <v>0.94839999999999991</v>
      </c>
      <c r="J146" s="1136" t="e">
        <f t="shared" si="49"/>
        <v>#NAME?</v>
      </c>
      <c r="L146" s="184"/>
      <c r="M146" s="1166"/>
      <c r="N146" s="1166"/>
      <c r="O146" s="1166"/>
    </row>
    <row r="147" spans="2:15" x14ac:dyDescent="0.2">
      <c r="B147" s="1164">
        <v>147</v>
      </c>
      <c r="C147" s="1131">
        <v>30</v>
      </c>
      <c r="D147" s="1132">
        <f t="shared" si="51"/>
        <v>62.73899999999999</v>
      </c>
      <c r="E147" s="1133">
        <f t="shared" si="47"/>
        <v>1.0049823501569999</v>
      </c>
      <c r="F147" s="1133">
        <f t="shared" si="50"/>
        <v>8.3869843531588941</v>
      </c>
      <c r="G147" s="1132">
        <f t="shared" si="52"/>
        <v>0.94</v>
      </c>
      <c r="H147" s="1187">
        <f t="shared" si="48"/>
        <v>0.9353398095530252</v>
      </c>
      <c r="I147" s="1135">
        <f t="shared" si="53"/>
        <v>0.94879999999999998</v>
      </c>
      <c r="J147" s="1136" t="e">
        <f t="shared" si="49"/>
        <v>#NAME?</v>
      </c>
      <c r="L147" s="184"/>
      <c r="M147" s="1166"/>
      <c r="N147" s="1166"/>
      <c r="O147" s="1166"/>
    </row>
    <row r="148" spans="2:15" x14ac:dyDescent="0.2">
      <c r="B148" s="1164">
        <v>148</v>
      </c>
      <c r="C148" s="1131">
        <v>30</v>
      </c>
      <c r="D148" s="1132">
        <f t="shared" si="51"/>
        <v>62.715999999999994</v>
      </c>
      <c r="E148" s="1133">
        <f t="shared" si="47"/>
        <v>1.004613925508</v>
      </c>
      <c r="F148" s="1133">
        <f t="shared" si="50"/>
        <v>8.3839097003891236</v>
      </c>
      <c r="G148" s="1132">
        <f t="shared" si="52"/>
        <v>0.92999999999999994</v>
      </c>
      <c r="H148" s="1187">
        <f t="shared" si="48"/>
        <v>0.92572875647700159</v>
      </c>
      <c r="I148" s="1135">
        <f t="shared" si="53"/>
        <v>0.94919999999999993</v>
      </c>
      <c r="J148" s="1136" t="e">
        <f t="shared" si="49"/>
        <v>#NAME?</v>
      </c>
      <c r="L148" s="184"/>
      <c r="M148" s="1166"/>
      <c r="N148" s="1166"/>
      <c r="O148" s="1166"/>
    </row>
    <row r="149" spans="2:15" ht="13.5" thickBot="1" x14ac:dyDescent="0.25">
      <c r="B149" s="1174">
        <v>149</v>
      </c>
      <c r="C149" s="1142">
        <v>30</v>
      </c>
      <c r="D149" s="1143">
        <f t="shared" si="51"/>
        <v>62.692999999999998</v>
      </c>
      <c r="E149" s="1144">
        <f t="shared" si="47"/>
        <v>1.0042455008589999</v>
      </c>
      <c r="F149" s="1144">
        <f t="shared" si="50"/>
        <v>8.3808350476193532</v>
      </c>
      <c r="G149" s="1143">
        <f t="shared" si="52"/>
        <v>0.91999999999999993</v>
      </c>
      <c r="H149" s="1191">
        <f t="shared" si="48"/>
        <v>0.91611065144236248</v>
      </c>
      <c r="I149" s="1135">
        <f t="shared" si="53"/>
        <v>0.9496</v>
      </c>
      <c r="J149" s="1147" t="e">
        <f t="shared" si="49"/>
        <v>#NAME?</v>
      </c>
      <c r="L149" s="184"/>
      <c r="M149" s="1166"/>
      <c r="N149" s="1166"/>
      <c r="O149" s="1166"/>
    </row>
    <row r="150" spans="2:15" x14ac:dyDescent="0.2">
      <c r="B150" s="1119">
        <v>150</v>
      </c>
      <c r="C150" s="1120">
        <v>30</v>
      </c>
      <c r="D150" s="1121">
        <v>62.67</v>
      </c>
      <c r="E150" s="1122">
        <f t="shared" si="47"/>
        <v>1.00387707621</v>
      </c>
      <c r="F150" s="1122">
        <f t="shared" si="50"/>
        <v>8.3777603948495827</v>
      </c>
      <c r="G150" s="1121">
        <v>0.91</v>
      </c>
      <c r="H150" s="1186">
        <f t="shared" si="48"/>
        <v>0.90648548668486384</v>
      </c>
      <c r="I150" s="1123">
        <v>0.95</v>
      </c>
      <c r="J150" s="1124" t="e">
        <f t="shared" si="49"/>
        <v>#NAME?</v>
      </c>
      <c r="L150" s="1125">
        <f>B150</f>
        <v>150</v>
      </c>
      <c r="M150" s="1126">
        <f>D150</f>
        <v>62.67</v>
      </c>
      <c r="N150" s="1126">
        <f>G150</f>
        <v>0.91</v>
      </c>
      <c r="O150" s="1127">
        <f>I150</f>
        <v>0.95</v>
      </c>
    </row>
    <row r="151" spans="2:15" x14ac:dyDescent="0.2">
      <c r="B151" s="1164">
        <v>151</v>
      </c>
      <c r="C151" s="1131">
        <v>30</v>
      </c>
      <c r="D151" s="1132">
        <f t="shared" ref="D151:D159" si="54">FORECAST(B151,$M$150:$M$151,$L$150:$L$151)</f>
        <v>62.645999999999994</v>
      </c>
      <c r="E151" s="1133">
        <f t="shared" si="47"/>
        <v>1.0034926330979999</v>
      </c>
      <c r="F151" s="1133">
        <f t="shared" si="50"/>
        <v>8.3745520615246036</v>
      </c>
      <c r="G151" s="1132">
        <f t="shared" ref="G151:G159" si="55">FORECAST(B151,$N$150:$N$151,$L$150:$L$151)</f>
        <v>0.90100000000000025</v>
      </c>
      <c r="H151" s="1187">
        <f t="shared" si="48"/>
        <v>0.89786409016119773</v>
      </c>
      <c r="I151" s="1135">
        <f>FORECAST(B151,$O$150:$O$151,$L$150:$L$151)</f>
        <v>0.95030000000000003</v>
      </c>
      <c r="J151" s="1136" t="e">
        <f t="shared" si="49"/>
        <v>#NAME?</v>
      </c>
      <c r="L151" s="1125">
        <f>B160</f>
        <v>160</v>
      </c>
      <c r="M151" s="1126">
        <f>D160</f>
        <v>62.43</v>
      </c>
      <c r="N151" s="1126">
        <f>G160</f>
        <v>0.82</v>
      </c>
      <c r="O151" s="1127">
        <f>I160</f>
        <v>0.95299999999999996</v>
      </c>
    </row>
    <row r="152" spans="2:15" x14ac:dyDescent="0.2">
      <c r="B152" s="1164">
        <v>152</v>
      </c>
      <c r="C152" s="1131">
        <v>30</v>
      </c>
      <c r="D152" s="1132">
        <f t="shared" si="54"/>
        <v>62.621999999999993</v>
      </c>
      <c r="E152" s="1133">
        <f t="shared" si="47"/>
        <v>1.0031081899859999</v>
      </c>
      <c r="F152" s="1133">
        <f t="shared" si="50"/>
        <v>8.3713437281996246</v>
      </c>
      <c r="G152" s="1132">
        <f t="shared" si="55"/>
        <v>0.89200000000000035</v>
      </c>
      <c r="H152" s="1187">
        <f t="shared" si="48"/>
        <v>0.88923608530446718</v>
      </c>
      <c r="I152" s="1135">
        <f t="shared" ref="I152:I159" si="56">FORECAST(B152,$O$150:$O$151,$L$150:$L$151)</f>
        <v>0.95060000000000011</v>
      </c>
      <c r="J152" s="1136" t="e">
        <f t="shared" si="49"/>
        <v>#NAME?</v>
      </c>
      <c r="L152" s="184"/>
      <c r="M152" s="1166"/>
      <c r="N152" s="1166"/>
      <c r="O152" s="1166"/>
    </row>
    <row r="153" spans="2:15" x14ac:dyDescent="0.2">
      <c r="B153" s="1164">
        <v>153</v>
      </c>
      <c r="C153" s="1131">
        <v>30</v>
      </c>
      <c r="D153" s="1132">
        <f t="shared" si="54"/>
        <v>62.597999999999992</v>
      </c>
      <c r="E153" s="1133">
        <f t="shared" si="47"/>
        <v>1.0027237468739998</v>
      </c>
      <c r="F153" s="1133">
        <f t="shared" si="50"/>
        <v>8.3681353948746473</v>
      </c>
      <c r="G153" s="1132">
        <f t="shared" si="55"/>
        <v>0.88300000000000045</v>
      </c>
      <c r="H153" s="1187">
        <f t="shared" si="48"/>
        <v>0.8806014645137914</v>
      </c>
      <c r="I153" s="1135">
        <f t="shared" si="56"/>
        <v>0.95090000000000008</v>
      </c>
      <c r="J153" s="1136" t="e">
        <f t="shared" si="49"/>
        <v>#NAME?</v>
      </c>
      <c r="L153" s="184"/>
      <c r="M153" s="1166"/>
      <c r="N153" s="1166"/>
      <c r="O153" s="1166"/>
    </row>
    <row r="154" spans="2:15" ht="13.5" thickBot="1" x14ac:dyDescent="0.25">
      <c r="B154" s="1174">
        <v>154</v>
      </c>
      <c r="C154" s="1142">
        <v>30</v>
      </c>
      <c r="D154" s="1143">
        <f t="shared" si="54"/>
        <v>62.573999999999991</v>
      </c>
      <c r="E154" s="1144">
        <f t="shared" si="47"/>
        <v>1.0023393037619999</v>
      </c>
      <c r="F154" s="1144">
        <f t="shared" si="50"/>
        <v>8.3649270615496683</v>
      </c>
      <c r="G154" s="1143">
        <f t="shared" si="55"/>
        <v>0.87400000000000033</v>
      </c>
      <c r="H154" s="1191">
        <f t="shared" si="48"/>
        <v>0.87196022017662689</v>
      </c>
      <c r="I154" s="1146">
        <f t="shared" si="56"/>
        <v>0.95120000000000005</v>
      </c>
      <c r="J154" s="1147" t="e">
        <f t="shared" si="49"/>
        <v>#NAME?</v>
      </c>
      <c r="L154" s="184"/>
      <c r="M154" s="1166"/>
      <c r="N154" s="1166"/>
      <c r="O154" s="1166"/>
    </row>
    <row r="155" spans="2:15" x14ac:dyDescent="0.2">
      <c r="B155" s="1172">
        <v>155</v>
      </c>
      <c r="C155" s="1149">
        <v>30</v>
      </c>
      <c r="D155" s="1150">
        <f t="shared" si="54"/>
        <v>62.55</v>
      </c>
      <c r="E155" s="1122">
        <f t="shared" si="47"/>
        <v>1.0019548606499999</v>
      </c>
      <c r="F155" s="1122">
        <f t="shared" si="50"/>
        <v>8.361718728224691</v>
      </c>
      <c r="G155" s="1150">
        <f t="shared" si="55"/>
        <v>0.86500000000000021</v>
      </c>
      <c r="H155" s="1186">
        <f t="shared" si="48"/>
        <v>0.86331234466874807</v>
      </c>
      <c r="I155" s="1173">
        <f t="shared" si="56"/>
        <v>0.95150000000000001</v>
      </c>
      <c r="J155" s="1124" t="e">
        <f t="shared" si="49"/>
        <v>#NAME?</v>
      </c>
      <c r="L155" s="184"/>
      <c r="M155" s="1166"/>
      <c r="N155" s="1166"/>
      <c r="O155" s="1166"/>
    </row>
    <row r="156" spans="2:15" x14ac:dyDescent="0.2">
      <c r="B156" s="1164">
        <v>156</v>
      </c>
      <c r="C156" s="1131">
        <v>30</v>
      </c>
      <c r="D156" s="1132">
        <f t="shared" si="54"/>
        <v>62.525999999999996</v>
      </c>
      <c r="E156" s="1133">
        <f t="shared" si="47"/>
        <v>1.001570417538</v>
      </c>
      <c r="F156" s="1133">
        <f t="shared" si="50"/>
        <v>8.3585103948997119</v>
      </c>
      <c r="G156" s="1132">
        <f t="shared" si="55"/>
        <v>0.85600000000000032</v>
      </c>
      <c r="H156" s="1187">
        <f t="shared" si="48"/>
        <v>0.85465783035422305</v>
      </c>
      <c r="I156" s="1135">
        <f t="shared" si="56"/>
        <v>0.95180000000000009</v>
      </c>
      <c r="J156" s="1136" t="e">
        <f t="shared" si="49"/>
        <v>#NAME?</v>
      </c>
      <c r="L156" s="184"/>
      <c r="M156" s="1166"/>
      <c r="N156" s="1166"/>
      <c r="O156" s="1166"/>
    </row>
    <row r="157" spans="2:15" x14ac:dyDescent="0.2">
      <c r="B157" s="1164">
        <v>157</v>
      </c>
      <c r="C157" s="1131">
        <v>30</v>
      </c>
      <c r="D157" s="1132">
        <f t="shared" si="54"/>
        <v>62.501999999999995</v>
      </c>
      <c r="E157" s="1133">
        <f t="shared" si="47"/>
        <v>1.0011859744259999</v>
      </c>
      <c r="F157" s="1133">
        <f t="shared" si="50"/>
        <v>8.3553020615747347</v>
      </c>
      <c r="G157" s="1132">
        <f t="shared" si="55"/>
        <v>0.84700000000000042</v>
      </c>
      <c r="H157" s="1187">
        <f t="shared" si="48"/>
        <v>0.8459966695853911</v>
      </c>
      <c r="I157" s="1135">
        <f t="shared" si="56"/>
        <v>0.95210000000000006</v>
      </c>
      <c r="J157" s="1136" t="e">
        <f t="shared" si="49"/>
        <v>#NAME?</v>
      </c>
      <c r="L157" s="184"/>
      <c r="M157" s="1166"/>
      <c r="N157" s="1166"/>
      <c r="O157" s="1166"/>
    </row>
    <row r="158" spans="2:15" x14ac:dyDescent="0.2">
      <c r="B158" s="1164">
        <v>158</v>
      </c>
      <c r="C158" s="1131">
        <v>30</v>
      </c>
      <c r="D158" s="1132">
        <f t="shared" si="54"/>
        <v>62.477999999999994</v>
      </c>
      <c r="E158" s="1133">
        <f t="shared" si="47"/>
        <v>1.000801531314</v>
      </c>
      <c r="F158" s="1133">
        <f t="shared" si="50"/>
        <v>8.3520937282497556</v>
      </c>
      <c r="G158" s="1132">
        <f t="shared" si="55"/>
        <v>0.8380000000000003</v>
      </c>
      <c r="H158" s="1187">
        <f t="shared" si="48"/>
        <v>0.83732885470284024</v>
      </c>
      <c r="I158" s="1135">
        <f t="shared" si="56"/>
        <v>0.95240000000000002</v>
      </c>
      <c r="J158" s="1136" t="e">
        <f t="shared" si="49"/>
        <v>#NAME?</v>
      </c>
      <c r="L158" s="184"/>
      <c r="M158" s="1166"/>
      <c r="N158" s="1166"/>
      <c r="O158" s="1166"/>
    </row>
    <row r="159" spans="2:15" ht="13.5" thickBot="1" x14ac:dyDescent="0.25">
      <c r="B159" s="1174">
        <v>159</v>
      </c>
      <c r="C159" s="1142">
        <v>30</v>
      </c>
      <c r="D159" s="1143">
        <f t="shared" si="54"/>
        <v>62.453999999999994</v>
      </c>
      <c r="E159" s="1144">
        <f t="shared" si="47"/>
        <v>1.0004170882019998</v>
      </c>
      <c r="F159" s="1144">
        <f t="shared" si="50"/>
        <v>8.3488853949247765</v>
      </c>
      <c r="G159" s="1143">
        <f t="shared" si="55"/>
        <v>0.82900000000000018</v>
      </c>
      <c r="H159" s="1191">
        <f t="shared" si="48"/>
        <v>0.82865437803538611</v>
      </c>
      <c r="I159" s="1135">
        <f t="shared" si="56"/>
        <v>0.9527000000000001</v>
      </c>
      <c r="J159" s="1147" t="e">
        <f t="shared" si="49"/>
        <v>#NAME?</v>
      </c>
      <c r="L159" s="184"/>
      <c r="M159" s="1166"/>
      <c r="N159" s="1166"/>
      <c r="O159" s="1166"/>
    </row>
    <row r="160" spans="2:15" x14ac:dyDescent="0.2">
      <c r="B160" s="1119">
        <v>160</v>
      </c>
      <c r="C160" s="1120">
        <v>30</v>
      </c>
      <c r="D160" s="1121">
        <v>62.43</v>
      </c>
      <c r="E160" s="1122">
        <f t="shared" si="47"/>
        <v>1.0000326450899999</v>
      </c>
      <c r="F160" s="1122">
        <f t="shared" si="50"/>
        <v>8.3456770615997993</v>
      </c>
      <c r="G160" s="1121">
        <v>0.82</v>
      </c>
      <c r="H160" s="1186">
        <f t="shared" si="48"/>
        <v>0.81997323190004712</v>
      </c>
      <c r="I160" s="1123">
        <v>0.95299999999999996</v>
      </c>
      <c r="J160" s="1124" t="e">
        <f t="shared" si="49"/>
        <v>#NAME?</v>
      </c>
      <c r="L160" s="1125">
        <f>B160</f>
        <v>160</v>
      </c>
      <c r="M160" s="1126">
        <f>D160</f>
        <v>62.43</v>
      </c>
      <c r="N160" s="1126">
        <f>G160</f>
        <v>0.82</v>
      </c>
      <c r="O160" s="1127">
        <f>I160</f>
        <v>0.95299999999999996</v>
      </c>
    </row>
    <row r="161" spans="2:15" x14ac:dyDescent="0.2">
      <c r="B161" s="1164">
        <v>161</v>
      </c>
      <c r="C161" s="1131">
        <v>30</v>
      </c>
      <c r="D161" s="1132">
        <f t="shared" ref="D161:D169" si="57">FORECAST(B161,$M$160:$M$161,$L$160:$L$161)</f>
        <v>62.405000000000008</v>
      </c>
      <c r="E161" s="1133">
        <f t="shared" si="47"/>
        <v>0.99963218351500016</v>
      </c>
      <c r="F161" s="1133">
        <f t="shared" si="50"/>
        <v>8.3423350477196152</v>
      </c>
      <c r="G161" s="1132">
        <f t="shared" ref="G161:G169" si="58">FORECAST(B161,$N$160:$N$161,$L$160:$L$161)</f>
        <v>0.81200000000000028</v>
      </c>
      <c r="H161" s="1187">
        <f t="shared" si="48"/>
        <v>0.81229877688088226</v>
      </c>
      <c r="I161" s="1135">
        <f>FORECAST(B161,$O$160:$O$161,$L$160:$L$161)</f>
        <v>0.95339999999999991</v>
      </c>
      <c r="J161" s="1136" t="e">
        <f t="shared" si="49"/>
        <v>#NAME?</v>
      </c>
      <c r="L161" s="1125">
        <f>B170</f>
        <v>170</v>
      </c>
      <c r="M161" s="1126">
        <f>D170</f>
        <v>62.18</v>
      </c>
      <c r="N161" s="1126">
        <f>G170</f>
        <v>0.74</v>
      </c>
      <c r="O161" s="1127">
        <f>I170</f>
        <v>0.95699999999999996</v>
      </c>
    </row>
    <row r="162" spans="2:15" x14ac:dyDescent="0.2">
      <c r="B162" s="1164">
        <v>162</v>
      </c>
      <c r="C162" s="1131">
        <v>30</v>
      </c>
      <c r="D162" s="1132">
        <f t="shared" si="57"/>
        <v>62.38000000000001</v>
      </c>
      <c r="E162" s="1133">
        <f t="shared" si="47"/>
        <v>0.99923172194000021</v>
      </c>
      <c r="F162" s="1133">
        <f t="shared" si="50"/>
        <v>8.3389930338394294</v>
      </c>
      <c r="G162" s="1132">
        <f t="shared" si="58"/>
        <v>0.80400000000000027</v>
      </c>
      <c r="H162" s="1187">
        <f t="shared" si="48"/>
        <v>0.80461817048706263</v>
      </c>
      <c r="I162" s="1135">
        <f t="shared" ref="I162:I169" si="59">FORECAST(B162,$O$160:$O$161,$L$160:$L$161)</f>
        <v>0.95379999999999998</v>
      </c>
      <c r="J162" s="1136" t="e">
        <f t="shared" si="49"/>
        <v>#NAME?</v>
      </c>
      <c r="L162" s="184"/>
      <c r="M162" s="1166"/>
      <c r="N162" s="1166"/>
      <c r="O162" s="1166"/>
    </row>
    <row r="163" spans="2:15" x14ac:dyDescent="0.2">
      <c r="B163" s="1164">
        <v>163</v>
      </c>
      <c r="C163" s="1131">
        <v>30</v>
      </c>
      <c r="D163" s="1132">
        <f t="shared" si="57"/>
        <v>62.355000000000004</v>
      </c>
      <c r="E163" s="1133">
        <f t="shared" si="47"/>
        <v>0.99883126036500003</v>
      </c>
      <c r="F163" s="1133">
        <f t="shared" si="50"/>
        <v>8.3356510199592435</v>
      </c>
      <c r="G163" s="1132">
        <f t="shared" si="58"/>
        <v>0.79600000000000026</v>
      </c>
      <c r="H163" s="1187">
        <f t="shared" si="48"/>
        <v>0.79693140531977369</v>
      </c>
      <c r="I163" s="1135">
        <f t="shared" si="59"/>
        <v>0.95419999999999994</v>
      </c>
      <c r="J163" s="1136" t="e">
        <f t="shared" si="49"/>
        <v>#NAME?</v>
      </c>
      <c r="L163" s="184"/>
      <c r="M163" s="1166"/>
      <c r="N163" s="1166"/>
      <c r="O163" s="1166"/>
    </row>
    <row r="164" spans="2:15" ht="13.5" thickBot="1" x14ac:dyDescent="0.25">
      <c r="B164" s="1174">
        <v>164</v>
      </c>
      <c r="C164" s="1142">
        <v>30</v>
      </c>
      <c r="D164" s="1143">
        <f t="shared" si="57"/>
        <v>62.330000000000005</v>
      </c>
      <c r="E164" s="1144">
        <f t="shared" si="47"/>
        <v>0.99843079879000007</v>
      </c>
      <c r="F164" s="1144">
        <f t="shared" si="50"/>
        <v>8.3323090060790577</v>
      </c>
      <c r="G164" s="1143">
        <f t="shared" si="58"/>
        <v>0.78800000000000026</v>
      </c>
      <c r="H164" s="1191">
        <f t="shared" si="48"/>
        <v>0.7892384739683298</v>
      </c>
      <c r="I164" s="1146">
        <f t="shared" si="59"/>
        <v>0.9546</v>
      </c>
      <c r="J164" s="1147" t="e">
        <f t="shared" si="49"/>
        <v>#NAME?</v>
      </c>
      <c r="L164" s="184"/>
      <c r="M164" s="1166"/>
      <c r="N164" s="1166"/>
      <c r="O164" s="1166"/>
    </row>
    <row r="165" spans="2:15" x14ac:dyDescent="0.2">
      <c r="B165" s="1172">
        <v>165</v>
      </c>
      <c r="C165" s="1149">
        <v>30</v>
      </c>
      <c r="D165" s="1150">
        <f t="shared" si="57"/>
        <v>62.305000000000007</v>
      </c>
      <c r="E165" s="1122">
        <f t="shared" si="47"/>
        <v>0.99803033721500012</v>
      </c>
      <c r="F165" s="1122">
        <f t="shared" si="50"/>
        <v>8.3289669921988718</v>
      </c>
      <c r="G165" s="1150">
        <f t="shared" si="58"/>
        <v>0.78000000000000025</v>
      </c>
      <c r="H165" s="1186">
        <f t="shared" si="48"/>
        <v>0.78153936901015186</v>
      </c>
      <c r="I165" s="1173">
        <f t="shared" si="59"/>
        <v>0.95499999999999996</v>
      </c>
      <c r="J165" s="1124" t="e">
        <f t="shared" si="49"/>
        <v>#NAME?</v>
      </c>
      <c r="L165" s="184"/>
      <c r="M165" s="1166"/>
      <c r="N165" s="1166"/>
      <c r="O165" s="1166"/>
    </row>
    <row r="166" spans="2:15" x14ac:dyDescent="0.2">
      <c r="B166" s="1164">
        <v>166</v>
      </c>
      <c r="C166" s="1131">
        <v>30</v>
      </c>
      <c r="D166" s="1132">
        <f t="shared" si="57"/>
        <v>62.280000000000008</v>
      </c>
      <c r="E166" s="1133">
        <f t="shared" si="47"/>
        <v>0.99762987564000016</v>
      </c>
      <c r="F166" s="1133">
        <f t="shared" si="50"/>
        <v>8.325624978318686</v>
      </c>
      <c r="G166" s="1132">
        <f t="shared" si="58"/>
        <v>0.77200000000000024</v>
      </c>
      <c r="H166" s="1187">
        <f t="shared" si="48"/>
        <v>0.77383408301074219</v>
      </c>
      <c r="I166" s="1135">
        <f t="shared" si="59"/>
        <v>0.95539999999999992</v>
      </c>
      <c r="J166" s="1136" t="e">
        <f t="shared" si="49"/>
        <v>#NAME?</v>
      </c>
      <c r="L166" s="184"/>
      <c r="M166" s="1166"/>
      <c r="N166" s="1166"/>
      <c r="O166" s="1166"/>
    </row>
    <row r="167" spans="2:15" x14ac:dyDescent="0.2">
      <c r="B167" s="1164">
        <v>167</v>
      </c>
      <c r="C167" s="1131">
        <v>30</v>
      </c>
      <c r="D167" s="1132">
        <f t="shared" si="57"/>
        <v>62.25500000000001</v>
      </c>
      <c r="E167" s="1133">
        <f t="shared" si="47"/>
        <v>0.99722941406500021</v>
      </c>
      <c r="F167" s="1133">
        <f t="shared" si="50"/>
        <v>8.3222829644385001</v>
      </c>
      <c r="G167" s="1132">
        <f t="shared" si="58"/>
        <v>0.76400000000000023</v>
      </c>
      <c r="H167" s="1187">
        <f t="shared" si="48"/>
        <v>0.76612260852366121</v>
      </c>
      <c r="I167" s="1135">
        <f t="shared" si="59"/>
        <v>0.95579999999999998</v>
      </c>
      <c r="J167" s="1136" t="e">
        <f t="shared" si="49"/>
        <v>#NAME?</v>
      </c>
      <c r="L167" s="184"/>
      <c r="M167" s="1166"/>
      <c r="N167" s="1166"/>
      <c r="O167" s="1166"/>
    </row>
    <row r="168" spans="2:15" x14ac:dyDescent="0.2">
      <c r="B168" s="1164">
        <v>168</v>
      </c>
      <c r="C168" s="1131">
        <v>30</v>
      </c>
      <c r="D168" s="1132">
        <f t="shared" si="57"/>
        <v>62.230000000000004</v>
      </c>
      <c r="E168" s="1133">
        <f t="shared" si="47"/>
        <v>0.99682895249000003</v>
      </c>
      <c r="F168" s="1133">
        <f t="shared" si="50"/>
        <v>8.3189409505583143</v>
      </c>
      <c r="G168" s="1132">
        <f t="shared" si="58"/>
        <v>0.75600000000000023</v>
      </c>
      <c r="H168" s="1187">
        <f t="shared" si="48"/>
        <v>0.7584049380905038</v>
      </c>
      <c r="I168" s="1135">
        <f t="shared" si="59"/>
        <v>0.95619999999999994</v>
      </c>
      <c r="J168" s="1136" t="e">
        <f t="shared" si="49"/>
        <v>#NAME?</v>
      </c>
      <c r="L168" s="184"/>
      <c r="M168" s="1166"/>
      <c r="N168" s="1166"/>
      <c r="O168" s="1166"/>
    </row>
    <row r="169" spans="2:15" ht="13.5" thickBot="1" x14ac:dyDescent="0.25">
      <c r="B169" s="1174">
        <v>169</v>
      </c>
      <c r="C169" s="1142">
        <v>30</v>
      </c>
      <c r="D169" s="1143">
        <f t="shared" si="57"/>
        <v>62.205000000000005</v>
      </c>
      <c r="E169" s="1144">
        <f t="shared" si="47"/>
        <v>0.99642849091500008</v>
      </c>
      <c r="F169" s="1144">
        <f t="shared" si="50"/>
        <v>8.3155989366781284</v>
      </c>
      <c r="G169" s="1143">
        <f t="shared" si="58"/>
        <v>0.74800000000000022</v>
      </c>
      <c r="H169" s="1191">
        <f t="shared" si="48"/>
        <v>0.75068106424087389</v>
      </c>
      <c r="I169" s="1135">
        <f t="shared" si="59"/>
        <v>0.95660000000000001</v>
      </c>
      <c r="J169" s="1147" t="e">
        <f t="shared" si="49"/>
        <v>#NAME?</v>
      </c>
      <c r="L169" s="184"/>
      <c r="M169" s="1166"/>
      <c r="N169" s="1166"/>
      <c r="O169" s="1166"/>
    </row>
    <row r="170" spans="2:15" x14ac:dyDescent="0.2">
      <c r="B170" s="1119">
        <v>170</v>
      </c>
      <c r="C170" s="1120">
        <v>30</v>
      </c>
      <c r="D170" s="1121">
        <v>62.18</v>
      </c>
      <c r="E170" s="1122">
        <f t="shared" si="47"/>
        <v>0.99602802934000001</v>
      </c>
      <c r="F170" s="1122">
        <f t="shared" si="50"/>
        <v>8.3122569227979426</v>
      </c>
      <c r="G170" s="1121">
        <v>0.74</v>
      </c>
      <c r="H170" s="1186">
        <f t="shared" si="48"/>
        <v>0.74295097949236188</v>
      </c>
      <c r="I170" s="1123">
        <v>0.95699999999999996</v>
      </c>
      <c r="J170" s="1124" t="e">
        <f t="shared" si="49"/>
        <v>#NAME?</v>
      </c>
      <c r="L170" s="1125">
        <f>B170</f>
        <v>170</v>
      </c>
      <c r="M170" s="1126">
        <f>D170</f>
        <v>62.18</v>
      </c>
      <c r="N170" s="1126">
        <f>G170</f>
        <v>0.74</v>
      </c>
      <c r="O170" s="1127">
        <f>I170</f>
        <v>0.95699999999999996</v>
      </c>
    </row>
    <row r="171" spans="2:15" x14ac:dyDescent="0.2">
      <c r="B171" s="1164">
        <v>171</v>
      </c>
      <c r="C171" s="1131">
        <v>30</v>
      </c>
      <c r="D171" s="1132">
        <f t="shared" ref="D171:D179" si="60">FORECAST(B171,$M$170:$M$171,$L$170:$L$171)</f>
        <v>62.153999999999996</v>
      </c>
      <c r="E171" s="1133">
        <f t="shared" si="47"/>
        <v>0.99561154930199991</v>
      </c>
      <c r="F171" s="1133">
        <f t="shared" si="50"/>
        <v>8.3087812283625482</v>
      </c>
      <c r="G171" s="1132">
        <f t="shared" ref="G171:G179" si="61">FORECAST(B171,$N$170:$N$171,$L$170:$L$171)</f>
        <v>0.73399999999999999</v>
      </c>
      <c r="H171" s="1187">
        <f t="shared" si="48"/>
        <v>0.73723532085841137</v>
      </c>
      <c r="I171" s="1135">
        <f>FORECAST(B171,$O$170:$O$171,$L$170:$L$171)</f>
        <v>0.95739999999999992</v>
      </c>
      <c r="J171" s="1136" t="e">
        <f t="shared" si="49"/>
        <v>#NAME?</v>
      </c>
      <c r="L171" s="1125">
        <f>B180</f>
        <v>180</v>
      </c>
      <c r="M171" s="1126">
        <f>D180</f>
        <v>61.92</v>
      </c>
      <c r="N171" s="1126">
        <f>G180</f>
        <v>0.68</v>
      </c>
      <c r="O171" s="1127">
        <f>I180</f>
        <v>0.96099999999999997</v>
      </c>
    </row>
    <row r="172" spans="2:15" x14ac:dyDescent="0.2">
      <c r="B172" s="1164">
        <v>172</v>
      </c>
      <c r="C172" s="1131">
        <v>30</v>
      </c>
      <c r="D172" s="1132">
        <f t="shared" si="60"/>
        <v>62.128</v>
      </c>
      <c r="E172" s="1133">
        <f t="shared" si="47"/>
        <v>0.99519506926400003</v>
      </c>
      <c r="F172" s="1133">
        <f t="shared" si="50"/>
        <v>8.3053055339271555</v>
      </c>
      <c r="G172" s="1132">
        <f t="shared" si="61"/>
        <v>0.72799999999999998</v>
      </c>
      <c r="H172" s="1187">
        <f t="shared" si="48"/>
        <v>0.73151487832269402</v>
      </c>
      <c r="I172" s="1135">
        <f t="shared" ref="I172:I179" si="62">FORECAST(B172,$O$170:$O$171,$L$170:$L$171)</f>
        <v>0.95779999999999998</v>
      </c>
      <c r="J172" s="1136" t="e">
        <f t="shared" si="49"/>
        <v>#NAME?</v>
      </c>
      <c r="L172" s="184"/>
      <c r="M172" s="1166"/>
      <c r="N172" s="1166"/>
      <c r="O172" s="1166"/>
    </row>
    <row r="173" spans="2:15" x14ac:dyDescent="0.2">
      <c r="B173" s="1164">
        <v>173</v>
      </c>
      <c r="C173" s="1131">
        <v>30</v>
      </c>
      <c r="D173" s="1132">
        <f t="shared" si="60"/>
        <v>62.102000000000004</v>
      </c>
      <c r="E173" s="1133">
        <f t="shared" si="47"/>
        <v>0.99477858922600004</v>
      </c>
      <c r="F173" s="1133">
        <f t="shared" si="50"/>
        <v>8.3018298394917629</v>
      </c>
      <c r="G173" s="1132">
        <f t="shared" si="61"/>
        <v>0.72199999999999998</v>
      </c>
      <c r="H173" s="1187">
        <f t="shared" si="48"/>
        <v>0.72578964587663786</v>
      </c>
      <c r="I173" s="1135">
        <f t="shared" si="62"/>
        <v>0.95819999999999994</v>
      </c>
      <c r="J173" s="1136" t="e">
        <f t="shared" si="49"/>
        <v>#NAME?</v>
      </c>
      <c r="L173" s="184"/>
      <c r="M173" s="1166"/>
      <c r="N173" s="1166"/>
      <c r="O173" s="1166"/>
    </row>
    <row r="174" spans="2:15" ht="13.5" thickBot="1" x14ac:dyDescent="0.25">
      <c r="B174" s="1174">
        <v>174</v>
      </c>
      <c r="C174" s="1142">
        <v>30</v>
      </c>
      <c r="D174" s="1143">
        <f t="shared" si="60"/>
        <v>62.076000000000001</v>
      </c>
      <c r="E174" s="1144">
        <f t="shared" si="47"/>
        <v>0.99436210918800005</v>
      </c>
      <c r="F174" s="1144">
        <f t="shared" si="50"/>
        <v>8.2983541450563703</v>
      </c>
      <c r="G174" s="1143">
        <f t="shared" si="61"/>
        <v>0.71599999999999997</v>
      </c>
      <c r="H174" s="1191">
        <f t="shared" si="48"/>
        <v>0.72005961750160441</v>
      </c>
      <c r="I174" s="1146">
        <f t="shared" si="62"/>
        <v>0.95860000000000001</v>
      </c>
      <c r="J174" s="1147" t="e">
        <f t="shared" si="49"/>
        <v>#NAME?</v>
      </c>
      <c r="L174" s="184"/>
      <c r="M174" s="1166"/>
      <c r="N174" s="1166"/>
      <c r="O174" s="1166"/>
    </row>
    <row r="175" spans="2:15" x14ac:dyDescent="0.2">
      <c r="B175" s="1172">
        <v>175</v>
      </c>
      <c r="C175" s="1149">
        <v>30</v>
      </c>
      <c r="D175" s="1150">
        <f t="shared" si="60"/>
        <v>62.05</v>
      </c>
      <c r="E175" s="1122">
        <f t="shared" si="47"/>
        <v>0.99394562914999995</v>
      </c>
      <c r="F175" s="1122">
        <f t="shared" si="50"/>
        <v>8.2948784506209758</v>
      </c>
      <c r="G175" s="1150">
        <f t="shared" si="61"/>
        <v>0.71</v>
      </c>
      <c r="H175" s="1186">
        <f t="shared" si="48"/>
        <v>0.7143247871688676</v>
      </c>
      <c r="I175" s="1173">
        <f t="shared" si="62"/>
        <v>0.95899999999999996</v>
      </c>
      <c r="J175" s="1124" t="e">
        <f t="shared" si="49"/>
        <v>#NAME?</v>
      </c>
      <c r="L175" s="184"/>
      <c r="M175" s="1166"/>
      <c r="N175" s="1166"/>
      <c r="O175" s="1166"/>
    </row>
    <row r="176" spans="2:15" x14ac:dyDescent="0.2">
      <c r="B176" s="1164">
        <v>176</v>
      </c>
      <c r="C176" s="1131">
        <v>30</v>
      </c>
      <c r="D176" s="1132">
        <f t="shared" si="60"/>
        <v>62.024000000000001</v>
      </c>
      <c r="E176" s="1133">
        <f t="shared" si="47"/>
        <v>0.99352914911200008</v>
      </c>
      <c r="F176" s="1133">
        <f t="shared" si="50"/>
        <v>8.2914027561855832</v>
      </c>
      <c r="G176" s="1132">
        <f t="shared" si="61"/>
        <v>0.70399999999999996</v>
      </c>
      <c r="H176" s="1187">
        <f t="shared" si="48"/>
        <v>0.70858514883959223</v>
      </c>
      <c r="I176" s="1135">
        <f t="shared" si="62"/>
        <v>0.95939999999999992</v>
      </c>
      <c r="J176" s="1136" t="e">
        <f t="shared" si="49"/>
        <v>#NAME?</v>
      </c>
      <c r="L176" s="184"/>
      <c r="M176" s="1166"/>
      <c r="N176" s="1166"/>
      <c r="O176" s="1166"/>
    </row>
    <row r="177" spans="2:15" x14ac:dyDescent="0.2">
      <c r="B177" s="1164">
        <v>177</v>
      </c>
      <c r="C177" s="1131">
        <v>30</v>
      </c>
      <c r="D177" s="1132">
        <f t="shared" si="60"/>
        <v>61.998000000000005</v>
      </c>
      <c r="E177" s="1133">
        <f t="shared" si="47"/>
        <v>0.99311266907400009</v>
      </c>
      <c r="F177" s="1133">
        <f t="shared" si="50"/>
        <v>8.2879270617501906</v>
      </c>
      <c r="G177" s="1132">
        <f t="shared" si="61"/>
        <v>0.69799999999999995</v>
      </c>
      <c r="H177" s="1187">
        <f t="shared" si="48"/>
        <v>0.7028406964648134</v>
      </c>
      <c r="I177" s="1135">
        <f t="shared" si="62"/>
        <v>0.95979999999999999</v>
      </c>
      <c r="J177" s="1136" t="e">
        <f t="shared" si="49"/>
        <v>#NAME?</v>
      </c>
      <c r="L177" s="184"/>
      <c r="M177" s="1166"/>
      <c r="N177" s="1166"/>
      <c r="O177" s="1166"/>
    </row>
    <row r="178" spans="2:15" x14ac:dyDescent="0.2">
      <c r="B178" s="1164">
        <v>178</v>
      </c>
      <c r="C178" s="1131">
        <v>30</v>
      </c>
      <c r="D178" s="1132">
        <f t="shared" si="60"/>
        <v>61.972000000000001</v>
      </c>
      <c r="E178" s="1133">
        <f t="shared" si="47"/>
        <v>0.99269618903599999</v>
      </c>
      <c r="F178" s="1133">
        <f t="shared" si="50"/>
        <v>8.2844513673147979</v>
      </c>
      <c r="G178" s="1132">
        <f t="shared" si="61"/>
        <v>0.69199999999999995</v>
      </c>
      <c r="H178" s="1187">
        <f t="shared" si="48"/>
        <v>0.69709142398541502</v>
      </c>
      <c r="I178" s="1135">
        <f t="shared" si="62"/>
        <v>0.96019999999999994</v>
      </c>
      <c r="J178" s="1136" t="e">
        <f t="shared" si="49"/>
        <v>#NAME?</v>
      </c>
      <c r="L178" s="184"/>
      <c r="M178" s="1166"/>
      <c r="N178" s="1166"/>
      <c r="O178" s="1166"/>
    </row>
    <row r="179" spans="2:15" ht="13.5" thickBot="1" x14ac:dyDescent="0.25">
      <c r="B179" s="1174">
        <v>179</v>
      </c>
      <c r="C179" s="1142">
        <v>30</v>
      </c>
      <c r="D179" s="1143">
        <f t="shared" si="60"/>
        <v>61.945999999999998</v>
      </c>
      <c r="E179" s="1144">
        <f t="shared" si="47"/>
        <v>0.992279708998</v>
      </c>
      <c r="F179" s="1144">
        <f t="shared" si="50"/>
        <v>8.2809756728794035</v>
      </c>
      <c r="G179" s="1143">
        <f t="shared" si="61"/>
        <v>0.68599999999999994</v>
      </c>
      <c r="H179" s="1191">
        <f t="shared" si="48"/>
        <v>0.69133732533210812</v>
      </c>
      <c r="I179" s="1135">
        <f t="shared" si="62"/>
        <v>0.96060000000000001</v>
      </c>
      <c r="J179" s="1147" t="e">
        <f t="shared" si="49"/>
        <v>#NAME?</v>
      </c>
      <c r="L179" s="184"/>
      <c r="M179" s="1166"/>
      <c r="N179" s="1166"/>
      <c r="O179" s="1166"/>
    </row>
    <row r="180" spans="2:15" x14ac:dyDescent="0.2">
      <c r="B180" s="1119">
        <v>180</v>
      </c>
      <c r="C180" s="1120">
        <v>30</v>
      </c>
      <c r="D180" s="1121">
        <v>61.92</v>
      </c>
      <c r="E180" s="1122">
        <f t="shared" si="47"/>
        <v>0.99186322896000001</v>
      </c>
      <c r="F180" s="1122">
        <f t="shared" si="50"/>
        <v>8.2774999784440109</v>
      </c>
      <c r="G180" s="1121">
        <v>0.68</v>
      </c>
      <c r="H180" s="1186">
        <f t="shared" si="48"/>
        <v>0.68557839442541046</v>
      </c>
      <c r="I180" s="1123">
        <v>0.96099999999999997</v>
      </c>
      <c r="J180" s="1124" t="e">
        <f t="shared" si="49"/>
        <v>#NAME?</v>
      </c>
      <c r="L180" s="1125">
        <f>B180</f>
        <v>180</v>
      </c>
      <c r="M180" s="1126">
        <f>D180</f>
        <v>61.92</v>
      </c>
      <c r="N180" s="1126">
        <f>G180</f>
        <v>0.68</v>
      </c>
      <c r="O180" s="1127">
        <f>I180</f>
        <v>0.96099999999999997</v>
      </c>
    </row>
    <row r="181" spans="2:15" x14ac:dyDescent="0.2">
      <c r="B181" s="1164">
        <v>181</v>
      </c>
      <c r="C181" s="1131">
        <v>30</v>
      </c>
      <c r="D181" s="1132">
        <f t="shared" ref="D181:D189" si="63">FORECAST(B181,$M$180:$M$181,$L$180:$L$181)</f>
        <v>61.893000000000001</v>
      </c>
      <c r="E181" s="1133">
        <f t="shared" si="47"/>
        <v>0.99143073045899999</v>
      </c>
      <c r="F181" s="1133">
        <f t="shared" si="50"/>
        <v>8.2738906034534097</v>
      </c>
      <c r="G181" s="1132">
        <f t="shared" ref="G181:G189" si="64">FORECAST(B181,$N$180:$N$181,$L$180:$L$181)</f>
        <v>0.67400000000000015</v>
      </c>
      <c r="H181" s="1187">
        <f t="shared" si="48"/>
        <v>0.67982560888339638</v>
      </c>
      <c r="I181" s="1135">
        <f>FORECAST(B181,$O$180:$O$181,$L$180:$L$181)</f>
        <v>0.96129999999999993</v>
      </c>
      <c r="J181" s="1136" t="e">
        <f t="shared" si="49"/>
        <v>#NAME?</v>
      </c>
      <c r="L181" s="1125">
        <f>B190</f>
        <v>190</v>
      </c>
      <c r="M181" s="1126">
        <f>D190</f>
        <v>61.65</v>
      </c>
      <c r="N181" s="1126">
        <f>G190</f>
        <v>0.62</v>
      </c>
      <c r="O181" s="1127">
        <f>I190</f>
        <v>0.96399999999999997</v>
      </c>
    </row>
    <row r="182" spans="2:15" x14ac:dyDescent="0.2">
      <c r="B182" s="1164">
        <v>182</v>
      </c>
      <c r="C182" s="1131">
        <v>30</v>
      </c>
      <c r="D182" s="1132">
        <f t="shared" si="63"/>
        <v>61.866</v>
      </c>
      <c r="E182" s="1133">
        <f t="shared" si="47"/>
        <v>0.99099823195799996</v>
      </c>
      <c r="F182" s="1133">
        <f t="shared" si="50"/>
        <v>8.2702812284628102</v>
      </c>
      <c r="G182" s="1132">
        <f t="shared" si="64"/>
        <v>0.66800000000000015</v>
      </c>
      <c r="H182" s="1187">
        <f t="shared" si="48"/>
        <v>0.67406780199816851</v>
      </c>
      <c r="I182" s="1135">
        <f t="shared" ref="I182:I189" si="65">FORECAST(B182,$O$180:$O$181,$L$180:$L$181)</f>
        <v>0.96160000000000001</v>
      </c>
      <c r="J182" s="1136" t="e">
        <f t="shared" si="49"/>
        <v>#NAME?</v>
      </c>
      <c r="L182" s="184"/>
      <c r="M182" s="1166"/>
      <c r="N182" s="1166"/>
      <c r="O182" s="1166"/>
    </row>
    <row r="183" spans="2:15" x14ac:dyDescent="0.2">
      <c r="B183" s="1164">
        <v>183</v>
      </c>
      <c r="C183" s="1131">
        <v>30</v>
      </c>
      <c r="D183" s="1132">
        <f t="shared" si="63"/>
        <v>61.838999999999999</v>
      </c>
      <c r="E183" s="1133">
        <f t="shared" si="47"/>
        <v>0.99056573345699994</v>
      </c>
      <c r="F183" s="1133">
        <f t="shared" si="50"/>
        <v>8.266671853472209</v>
      </c>
      <c r="G183" s="1132">
        <f t="shared" si="64"/>
        <v>0.66200000000000014</v>
      </c>
      <c r="H183" s="1187">
        <f t="shared" si="48"/>
        <v>0.66830496719250509</v>
      </c>
      <c r="I183" s="1135">
        <f t="shared" si="65"/>
        <v>0.96189999999999998</v>
      </c>
      <c r="J183" s="1136" t="e">
        <f t="shared" si="49"/>
        <v>#NAME?</v>
      </c>
      <c r="L183" s="184"/>
      <c r="M183" s="1166"/>
      <c r="N183" s="1166"/>
      <c r="O183" s="1166"/>
    </row>
    <row r="184" spans="2:15" ht="13.5" thickBot="1" x14ac:dyDescent="0.25">
      <c r="B184" s="1174">
        <v>184</v>
      </c>
      <c r="C184" s="1142">
        <v>30</v>
      </c>
      <c r="D184" s="1143">
        <f t="shared" si="63"/>
        <v>61.811999999999998</v>
      </c>
      <c r="E184" s="1144">
        <f t="shared" si="47"/>
        <v>0.99013323495599992</v>
      </c>
      <c r="F184" s="1144">
        <f t="shared" si="50"/>
        <v>8.2630624784816078</v>
      </c>
      <c r="G184" s="1143">
        <f t="shared" si="64"/>
        <v>0.65600000000000014</v>
      </c>
      <c r="H184" s="1191">
        <f t="shared" si="48"/>
        <v>0.66253709787769299</v>
      </c>
      <c r="I184" s="1146">
        <f t="shared" si="65"/>
        <v>0.96219999999999994</v>
      </c>
      <c r="J184" s="1147" t="e">
        <f t="shared" si="49"/>
        <v>#NAME?</v>
      </c>
      <c r="L184" s="184"/>
      <c r="M184" s="1166"/>
      <c r="N184" s="1166"/>
      <c r="O184" s="1166"/>
    </row>
    <row r="185" spans="2:15" x14ac:dyDescent="0.2">
      <c r="B185" s="1172">
        <v>185</v>
      </c>
      <c r="C185" s="1149">
        <v>30</v>
      </c>
      <c r="D185" s="1150">
        <f t="shared" si="63"/>
        <v>61.784999999999997</v>
      </c>
      <c r="E185" s="1122">
        <f t="shared" si="47"/>
        <v>0.98970073645500001</v>
      </c>
      <c r="F185" s="1122">
        <f t="shared" si="50"/>
        <v>8.2594531034910066</v>
      </c>
      <c r="G185" s="1150">
        <f t="shared" si="64"/>
        <v>0.65000000000000013</v>
      </c>
      <c r="H185" s="1186">
        <f t="shared" si="48"/>
        <v>0.65676418745350151</v>
      </c>
      <c r="I185" s="1173">
        <f t="shared" si="65"/>
        <v>0.96249999999999991</v>
      </c>
      <c r="J185" s="1124" t="e">
        <f t="shared" si="49"/>
        <v>#NAME?</v>
      </c>
      <c r="L185" s="184"/>
      <c r="M185" s="1166"/>
      <c r="N185" s="1166"/>
      <c r="O185" s="1166"/>
    </row>
    <row r="186" spans="2:15" x14ac:dyDescent="0.2">
      <c r="B186" s="1164">
        <v>186</v>
      </c>
      <c r="C186" s="1131">
        <v>30</v>
      </c>
      <c r="D186" s="1132">
        <f t="shared" si="63"/>
        <v>61.758000000000003</v>
      </c>
      <c r="E186" s="1133">
        <f t="shared" si="47"/>
        <v>0.9892682379540001</v>
      </c>
      <c r="F186" s="1133">
        <f t="shared" si="50"/>
        <v>8.2558437285004072</v>
      </c>
      <c r="G186" s="1132">
        <f t="shared" si="64"/>
        <v>0.64400000000000013</v>
      </c>
      <c r="H186" s="1187">
        <f t="shared" si="48"/>
        <v>0.65098622930815797</v>
      </c>
      <c r="I186" s="1135">
        <f t="shared" si="65"/>
        <v>0.96279999999999999</v>
      </c>
      <c r="J186" s="1136" t="e">
        <f t="shared" si="49"/>
        <v>#NAME?</v>
      </c>
      <c r="L186" s="184"/>
      <c r="M186" s="1166"/>
      <c r="N186" s="1166"/>
      <c r="O186" s="1166"/>
    </row>
    <row r="187" spans="2:15" x14ac:dyDescent="0.2">
      <c r="B187" s="1164">
        <v>187</v>
      </c>
      <c r="C187" s="1131">
        <v>30</v>
      </c>
      <c r="D187" s="1132">
        <f t="shared" si="63"/>
        <v>61.731000000000002</v>
      </c>
      <c r="E187" s="1133">
        <f t="shared" si="47"/>
        <v>0.98883573945300007</v>
      </c>
      <c r="F187" s="1133">
        <f t="shared" si="50"/>
        <v>8.2522343535098077</v>
      </c>
      <c r="G187" s="1132">
        <f t="shared" si="64"/>
        <v>0.63800000000000012</v>
      </c>
      <c r="H187" s="1187">
        <f t="shared" si="48"/>
        <v>0.64520321681832238</v>
      </c>
      <c r="I187" s="1135">
        <f t="shared" si="65"/>
        <v>0.96309999999999996</v>
      </c>
      <c r="J187" s="1136" t="e">
        <f t="shared" si="49"/>
        <v>#NAME?</v>
      </c>
      <c r="L187" s="184"/>
      <c r="M187" s="1166"/>
      <c r="N187" s="1166"/>
      <c r="O187" s="1166"/>
    </row>
    <row r="188" spans="2:15" x14ac:dyDescent="0.2">
      <c r="B188" s="1164">
        <v>188</v>
      </c>
      <c r="C188" s="1131">
        <v>30</v>
      </c>
      <c r="D188" s="1132">
        <f t="shared" si="63"/>
        <v>61.704000000000001</v>
      </c>
      <c r="E188" s="1133">
        <f t="shared" si="47"/>
        <v>0.98840324095200005</v>
      </c>
      <c r="F188" s="1133">
        <f t="shared" si="50"/>
        <v>8.2486249785192065</v>
      </c>
      <c r="G188" s="1132">
        <f t="shared" si="64"/>
        <v>0.63200000000000012</v>
      </c>
      <c r="H188" s="1187">
        <f t="shared" si="48"/>
        <v>0.63941514334906158</v>
      </c>
      <c r="I188" s="1135">
        <f t="shared" si="65"/>
        <v>0.96339999999999992</v>
      </c>
      <c r="J188" s="1136" t="e">
        <f t="shared" si="49"/>
        <v>#NAME?</v>
      </c>
      <c r="L188" s="184"/>
      <c r="M188" s="1166"/>
      <c r="N188" s="1166"/>
      <c r="O188" s="1166"/>
    </row>
    <row r="189" spans="2:15" ht="13.5" thickBot="1" x14ac:dyDescent="0.25">
      <c r="B189" s="1174">
        <v>189</v>
      </c>
      <c r="C189" s="1142">
        <v>30</v>
      </c>
      <c r="D189" s="1143">
        <f t="shared" si="63"/>
        <v>61.677</v>
      </c>
      <c r="E189" s="1144">
        <f t="shared" si="47"/>
        <v>0.98797074245100003</v>
      </c>
      <c r="F189" s="1144">
        <f t="shared" si="50"/>
        <v>8.2450156035286053</v>
      </c>
      <c r="G189" s="1143">
        <f t="shared" si="64"/>
        <v>0.62600000000000011</v>
      </c>
      <c r="H189" s="1191">
        <f t="shared" si="48"/>
        <v>0.63362200225382437</v>
      </c>
      <c r="I189" s="1135">
        <f t="shared" si="65"/>
        <v>0.9637</v>
      </c>
      <c r="J189" s="1147" t="e">
        <f t="shared" si="49"/>
        <v>#NAME?</v>
      </c>
      <c r="L189" s="184"/>
      <c r="M189" s="1166"/>
      <c r="N189" s="1166"/>
      <c r="O189" s="1166"/>
    </row>
    <row r="190" spans="2:15" x14ac:dyDescent="0.2">
      <c r="B190" s="1119">
        <v>190</v>
      </c>
      <c r="C190" s="1120">
        <v>30</v>
      </c>
      <c r="D190" s="1121">
        <v>61.65</v>
      </c>
      <c r="E190" s="1122">
        <f t="shared" si="47"/>
        <v>0.98753824395000001</v>
      </c>
      <c r="F190" s="1122">
        <f t="shared" si="50"/>
        <v>8.2414062285380041</v>
      </c>
      <c r="G190" s="1121">
        <v>0.62</v>
      </c>
      <c r="H190" s="1186">
        <f t="shared" si="48"/>
        <v>0.6278237868744162</v>
      </c>
      <c r="I190" s="1123">
        <v>0.96399999999999997</v>
      </c>
      <c r="J190" s="1124" t="e">
        <f t="shared" si="49"/>
        <v>#NAME?</v>
      </c>
      <c r="L190" s="1125">
        <f>B190</f>
        <v>190</v>
      </c>
      <c r="M190" s="1126">
        <f>D190</f>
        <v>61.65</v>
      </c>
      <c r="N190" s="1126">
        <f>G190</f>
        <v>0.62</v>
      </c>
      <c r="O190" s="1127">
        <f>I190</f>
        <v>0.96399999999999997</v>
      </c>
    </row>
    <row r="191" spans="2:15" x14ac:dyDescent="0.2">
      <c r="B191" s="1164">
        <v>191</v>
      </c>
      <c r="C191" s="1131">
        <v>30</v>
      </c>
      <c r="D191" s="1132">
        <f t="shared" ref="D191:D199" si="66">FORECAST(B191,$M$190:$M$191,$L$190:$L$191)</f>
        <v>61.622000000000007</v>
      </c>
      <c r="E191" s="1133">
        <f t="shared" si="47"/>
        <v>0.98708972698600017</v>
      </c>
      <c r="F191" s="1133">
        <f t="shared" si="50"/>
        <v>8.2376631729921979</v>
      </c>
      <c r="G191" s="1132">
        <f t="shared" ref="G191:G199" si="67">FORECAST(B191,$N$190:$N$191,$L$190:$L$191)</f>
        <v>0.6160000000000001</v>
      </c>
      <c r="H191" s="1187">
        <f t="shared" si="48"/>
        <v>0.62405674292742064</v>
      </c>
      <c r="I191" s="1135">
        <f>FORECAST(B191,$O$190:$O$191,$L$190:$L$191)</f>
        <v>0.96439999999999992</v>
      </c>
      <c r="J191" s="1136" t="e">
        <f t="shared" si="49"/>
        <v>#NAME?</v>
      </c>
      <c r="L191" s="1125">
        <f>B200</f>
        <v>200</v>
      </c>
      <c r="M191" s="1126">
        <f>D200</f>
        <v>61.37</v>
      </c>
      <c r="N191" s="1126">
        <f>G200</f>
        <v>0.57999999999999996</v>
      </c>
      <c r="O191" s="1127">
        <f>I200</f>
        <v>0.96799999999999997</v>
      </c>
    </row>
    <row r="192" spans="2:15" x14ac:dyDescent="0.2">
      <c r="B192" s="1164">
        <v>192</v>
      </c>
      <c r="C192" s="1131">
        <v>30</v>
      </c>
      <c r="D192" s="1132">
        <f t="shared" si="66"/>
        <v>61.594000000000008</v>
      </c>
      <c r="E192" s="1133">
        <f t="shared" si="47"/>
        <v>0.98664121002200011</v>
      </c>
      <c r="F192" s="1133">
        <f t="shared" si="50"/>
        <v>8.2339201174463899</v>
      </c>
      <c r="G192" s="1132">
        <f t="shared" si="67"/>
        <v>0.6120000000000001</v>
      </c>
      <c r="H192" s="1187">
        <f t="shared" si="48"/>
        <v>0.62028627406142267</v>
      </c>
      <c r="I192" s="1135">
        <f t="shared" ref="I192:I199" si="68">FORECAST(B192,$O$190:$O$191,$L$190:$L$191)</f>
        <v>0.96479999999999999</v>
      </c>
      <c r="J192" s="1136" t="e">
        <f t="shared" si="49"/>
        <v>#NAME?</v>
      </c>
      <c r="L192" s="184"/>
      <c r="M192" s="1166"/>
      <c r="N192" s="1166"/>
      <c r="O192" s="1166"/>
    </row>
    <row r="193" spans="2:15" x14ac:dyDescent="0.2">
      <c r="B193" s="1164">
        <v>193</v>
      </c>
      <c r="C193" s="1131">
        <v>30</v>
      </c>
      <c r="D193" s="1132">
        <f t="shared" si="66"/>
        <v>61.566000000000003</v>
      </c>
      <c r="E193" s="1133">
        <f t="shared" si="47"/>
        <v>0.98619269305800006</v>
      </c>
      <c r="F193" s="1133">
        <f t="shared" si="50"/>
        <v>8.2301770619005818</v>
      </c>
      <c r="G193" s="1132">
        <f t="shared" si="67"/>
        <v>0.6080000000000001</v>
      </c>
      <c r="H193" s="1187">
        <f t="shared" si="48"/>
        <v>0.61651237560349914</v>
      </c>
      <c r="I193" s="1135">
        <f t="shared" si="68"/>
        <v>0.96519999999999995</v>
      </c>
      <c r="J193" s="1136" t="e">
        <f t="shared" si="49"/>
        <v>#NAME?</v>
      </c>
      <c r="L193" s="184"/>
      <c r="M193" s="1166"/>
      <c r="N193" s="1166"/>
      <c r="O193" s="1166"/>
    </row>
    <row r="194" spans="2:15" ht="13.5" thickBot="1" x14ac:dyDescent="0.25">
      <c r="B194" s="1174">
        <v>194</v>
      </c>
      <c r="C194" s="1142">
        <v>30</v>
      </c>
      <c r="D194" s="1143">
        <f t="shared" si="66"/>
        <v>61.538000000000004</v>
      </c>
      <c r="E194" s="1144">
        <f t="shared" si="47"/>
        <v>0.98574417609400011</v>
      </c>
      <c r="F194" s="1144">
        <f t="shared" si="50"/>
        <v>8.2264340063547738</v>
      </c>
      <c r="G194" s="1143">
        <f t="shared" si="67"/>
        <v>0.60400000000000009</v>
      </c>
      <c r="H194" s="1191">
        <f t="shared" si="48"/>
        <v>0.6127350428722218</v>
      </c>
      <c r="I194" s="1146">
        <f t="shared" si="68"/>
        <v>0.96560000000000001</v>
      </c>
      <c r="J194" s="1147" t="e">
        <f t="shared" si="49"/>
        <v>#NAME?</v>
      </c>
      <c r="L194" s="184"/>
      <c r="M194" s="1166"/>
      <c r="N194" s="1166"/>
      <c r="O194" s="1166"/>
    </row>
    <row r="195" spans="2:15" x14ac:dyDescent="0.2">
      <c r="B195" s="1172">
        <v>195</v>
      </c>
      <c r="C195" s="1149">
        <v>30</v>
      </c>
      <c r="D195" s="1150">
        <f t="shared" si="66"/>
        <v>61.510000000000005</v>
      </c>
      <c r="E195" s="1122">
        <f t="shared" si="47"/>
        <v>0.98529565913000006</v>
      </c>
      <c r="F195" s="1122">
        <f t="shared" si="50"/>
        <v>8.2226909508089658</v>
      </c>
      <c r="G195" s="1150">
        <f t="shared" si="67"/>
        <v>0.60000000000000009</v>
      </c>
      <c r="H195" s="1186">
        <f t="shared" si="48"/>
        <v>0.60895427117763845</v>
      </c>
      <c r="I195" s="1173">
        <f t="shared" si="68"/>
        <v>0.96599999999999997</v>
      </c>
      <c r="J195" s="1124" t="e">
        <f t="shared" si="49"/>
        <v>#NAME?</v>
      </c>
      <c r="L195" s="184"/>
      <c r="M195" s="1166"/>
      <c r="N195" s="1166"/>
      <c r="O195" s="1166"/>
    </row>
    <row r="196" spans="2:15" x14ac:dyDescent="0.2">
      <c r="B196" s="1164">
        <v>196</v>
      </c>
      <c r="C196" s="1131">
        <v>30</v>
      </c>
      <c r="D196" s="1132">
        <f t="shared" si="66"/>
        <v>61.482000000000006</v>
      </c>
      <c r="E196" s="1133">
        <f t="shared" si="47"/>
        <v>0.98484714216600011</v>
      </c>
      <c r="F196" s="1133">
        <f t="shared" si="50"/>
        <v>8.2189478952631578</v>
      </c>
      <c r="G196" s="1132">
        <f t="shared" si="67"/>
        <v>0.59600000000000009</v>
      </c>
      <c r="H196" s="1187">
        <f t="shared" si="48"/>
        <v>0.60517005582125327</v>
      </c>
      <c r="I196" s="1135">
        <f t="shared" si="68"/>
        <v>0.96639999999999993</v>
      </c>
      <c r="J196" s="1136" t="e">
        <f t="shared" si="49"/>
        <v>#NAME?</v>
      </c>
      <c r="L196" s="184"/>
      <c r="M196" s="1166"/>
      <c r="N196" s="1166"/>
      <c r="O196" s="1166"/>
    </row>
    <row r="197" spans="2:15" x14ac:dyDescent="0.2">
      <c r="B197" s="1164">
        <v>197</v>
      </c>
      <c r="C197" s="1131">
        <v>30</v>
      </c>
      <c r="D197" s="1132">
        <f t="shared" si="66"/>
        <v>61.454000000000008</v>
      </c>
      <c r="E197" s="1133">
        <f t="shared" si="47"/>
        <v>0.98439862520200017</v>
      </c>
      <c r="F197" s="1133">
        <f t="shared" si="50"/>
        <v>8.2152048397173498</v>
      </c>
      <c r="G197" s="1132">
        <f t="shared" si="67"/>
        <v>0.59200000000000008</v>
      </c>
      <c r="H197" s="1187">
        <f t="shared" si="48"/>
        <v>0.60138239209600763</v>
      </c>
      <c r="I197" s="1135">
        <f t="shared" si="68"/>
        <v>0.96679999999999999</v>
      </c>
      <c r="J197" s="1136" t="e">
        <f t="shared" si="49"/>
        <v>#NAME?</v>
      </c>
      <c r="L197" s="184"/>
      <c r="M197" s="1166"/>
      <c r="N197" s="1166"/>
      <c r="O197" s="1166"/>
    </row>
    <row r="198" spans="2:15" x14ac:dyDescent="0.2">
      <c r="B198" s="1164">
        <v>198</v>
      </c>
      <c r="C198" s="1131">
        <v>30</v>
      </c>
      <c r="D198" s="1132">
        <f t="shared" si="66"/>
        <v>61.426000000000002</v>
      </c>
      <c r="E198" s="1133">
        <f t="shared" si="47"/>
        <v>0.983950108238</v>
      </c>
      <c r="F198" s="1133">
        <f t="shared" si="50"/>
        <v>8.2114617841715418</v>
      </c>
      <c r="G198" s="1132">
        <f t="shared" si="67"/>
        <v>0.58800000000000008</v>
      </c>
      <c r="H198" s="1187">
        <f t="shared" si="48"/>
        <v>0.5975912752862601</v>
      </c>
      <c r="I198" s="1135">
        <f t="shared" si="68"/>
        <v>0.96719999999999995</v>
      </c>
      <c r="J198" s="1136" t="e">
        <f t="shared" si="49"/>
        <v>#NAME?</v>
      </c>
      <c r="L198" s="184"/>
      <c r="M198" s="1166"/>
      <c r="N198" s="1166"/>
      <c r="O198" s="1166"/>
    </row>
    <row r="199" spans="2:15" ht="13.5" thickBot="1" x14ac:dyDescent="0.25">
      <c r="B199" s="1174">
        <v>199</v>
      </c>
      <c r="C199" s="1142">
        <v>30</v>
      </c>
      <c r="D199" s="1143">
        <f t="shared" si="66"/>
        <v>61.398000000000003</v>
      </c>
      <c r="E199" s="1144">
        <f t="shared" si="47"/>
        <v>0.98350159127400005</v>
      </c>
      <c r="F199" s="1144">
        <f t="shared" si="50"/>
        <v>8.2077187286257338</v>
      </c>
      <c r="G199" s="1143">
        <f t="shared" si="67"/>
        <v>0.58400000000000007</v>
      </c>
      <c r="H199" s="1191">
        <f t="shared" si="48"/>
        <v>0.59379670066776713</v>
      </c>
      <c r="I199" s="1135">
        <f t="shared" si="68"/>
        <v>0.96760000000000002</v>
      </c>
      <c r="J199" s="1147" t="e">
        <f t="shared" si="49"/>
        <v>#NAME?</v>
      </c>
      <c r="L199" s="184"/>
      <c r="M199" s="1166"/>
      <c r="N199" s="1166"/>
      <c r="O199" s="1166"/>
    </row>
    <row r="200" spans="2:15" x14ac:dyDescent="0.2">
      <c r="B200" s="1119">
        <v>200</v>
      </c>
      <c r="C200" s="1120">
        <v>30</v>
      </c>
      <c r="D200" s="1121">
        <v>61.37</v>
      </c>
      <c r="E200" s="1122">
        <f t="shared" si="47"/>
        <v>0.98305307431</v>
      </c>
      <c r="F200" s="1122">
        <f t="shared" si="50"/>
        <v>8.203975673079924</v>
      </c>
      <c r="G200" s="1121">
        <v>0.57999999999999996</v>
      </c>
      <c r="H200" s="1186">
        <f t="shared" si="48"/>
        <v>0.58999866350766361</v>
      </c>
      <c r="I200" s="1123">
        <v>0.96799999999999997</v>
      </c>
      <c r="J200" s="1124" t="e">
        <f t="shared" si="49"/>
        <v>#NAME?</v>
      </c>
      <c r="L200" s="1125">
        <f>B200</f>
        <v>200</v>
      </c>
      <c r="M200" s="1126">
        <f>D200</f>
        <v>61.37</v>
      </c>
      <c r="N200" s="1126">
        <f>G200</f>
        <v>0.57999999999999996</v>
      </c>
      <c r="O200" s="1127">
        <f>I200</f>
        <v>0.96799999999999997</v>
      </c>
    </row>
    <row r="201" spans="2:15" x14ac:dyDescent="0.2">
      <c r="B201" s="1164">
        <v>201</v>
      </c>
      <c r="C201" s="1131">
        <v>30</v>
      </c>
      <c r="D201" s="1132">
        <f t="shared" ref="D201:D209" si="69">FORECAST(B201,$M$200:$M$201,$L$200:$L$201)</f>
        <v>61.340999999999994</v>
      </c>
      <c r="E201" s="1133">
        <f t="shared" si="47"/>
        <v>0.98258853888299991</v>
      </c>
      <c r="F201" s="1133">
        <f t="shared" si="50"/>
        <v>8.2000989369789092</v>
      </c>
      <c r="G201" s="1132">
        <f t="shared" ref="G201:G209" si="70">FORECAST(B201,$N$200:$N$201,$L$200:$L$201)</f>
        <v>0.57600000000000007</v>
      </c>
      <c r="H201" s="1187">
        <f t="shared" si="48"/>
        <v>0.58620671543227343</v>
      </c>
      <c r="I201" s="1135">
        <f>FORECAST(B201,$O$200:$O$201,$L$200:$L$201)</f>
        <v>0.96830000000000005</v>
      </c>
      <c r="J201" s="1136" t="e">
        <f t="shared" si="49"/>
        <v>#NAME?</v>
      </c>
      <c r="L201" s="1125">
        <f>B210</f>
        <v>210</v>
      </c>
      <c r="M201" s="1126">
        <f>D210</f>
        <v>61.08</v>
      </c>
      <c r="N201" s="1126">
        <f>G210</f>
        <v>0.54</v>
      </c>
      <c r="O201" s="1127">
        <f>I210</f>
        <v>0.97099999999999997</v>
      </c>
    </row>
    <row r="202" spans="2:15" x14ac:dyDescent="0.2">
      <c r="B202" s="1164">
        <v>202</v>
      </c>
      <c r="C202" s="1131">
        <v>30</v>
      </c>
      <c r="D202" s="1132">
        <f t="shared" si="69"/>
        <v>61.311999999999991</v>
      </c>
      <c r="E202" s="1133">
        <f t="shared" ref="E202:E210" si="71">D202*0.016018463</f>
        <v>0.98212400345599982</v>
      </c>
      <c r="F202" s="1133">
        <f t="shared" si="50"/>
        <v>8.1962222008778927</v>
      </c>
      <c r="G202" s="1132">
        <f t="shared" si="70"/>
        <v>0.57200000000000017</v>
      </c>
      <c r="H202" s="1187">
        <f t="shared" ref="H202:H210" si="72">G202/E202</f>
        <v>0.5824111802452514</v>
      </c>
      <c r="I202" s="1135">
        <f t="shared" ref="I202:I209" si="73">FORECAST(B202,$O$200:$O$201,$L$200:$L$201)</f>
        <v>0.96860000000000013</v>
      </c>
      <c r="J202" s="1136" t="e">
        <f t="shared" ref="J202:J210" si="74">E202/VLOOKUP(60,Water,6,FALSE)</f>
        <v>#NAME?</v>
      </c>
      <c r="L202" s="184"/>
      <c r="M202" s="1166"/>
      <c r="N202" s="1166"/>
      <c r="O202" s="1166"/>
    </row>
    <row r="203" spans="2:15" x14ac:dyDescent="0.2">
      <c r="B203" s="1164">
        <v>203</v>
      </c>
      <c r="C203" s="1131">
        <v>30</v>
      </c>
      <c r="D203" s="1132">
        <f t="shared" si="69"/>
        <v>61.282999999999987</v>
      </c>
      <c r="E203" s="1133">
        <f t="shared" si="71"/>
        <v>0.98165946802899984</v>
      </c>
      <c r="F203" s="1133">
        <f t="shared" ref="F203:F210" si="75">D203/7.4805195</f>
        <v>8.1923454647768761</v>
      </c>
      <c r="G203" s="1132">
        <f t="shared" si="70"/>
        <v>0.56800000000000017</v>
      </c>
      <c r="H203" s="1187">
        <f t="shared" si="72"/>
        <v>0.57861205285417827</v>
      </c>
      <c r="I203" s="1135">
        <f t="shared" si="73"/>
        <v>0.96890000000000009</v>
      </c>
      <c r="J203" s="1136" t="e">
        <f t="shared" si="74"/>
        <v>#NAME?</v>
      </c>
      <c r="L203" s="184"/>
      <c r="M203" s="1166"/>
      <c r="N203" s="1166"/>
      <c r="O203" s="1166"/>
    </row>
    <row r="204" spans="2:15" ht="13.5" thickBot="1" x14ac:dyDescent="0.25">
      <c r="B204" s="1174">
        <v>204</v>
      </c>
      <c r="C204" s="1142">
        <v>30</v>
      </c>
      <c r="D204" s="1143">
        <f t="shared" si="69"/>
        <v>61.253999999999991</v>
      </c>
      <c r="E204" s="1144">
        <f t="shared" si="71"/>
        <v>0.98119493260199986</v>
      </c>
      <c r="F204" s="1144">
        <f t="shared" si="75"/>
        <v>8.1884687286758613</v>
      </c>
      <c r="G204" s="1143">
        <f t="shared" si="70"/>
        <v>0.56400000000000017</v>
      </c>
      <c r="H204" s="1191">
        <f t="shared" si="72"/>
        <v>0.57480932815699159</v>
      </c>
      <c r="I204" s="1146">
        <f t="shared" si="73"/>
        <v>0.96920000000000006</v>
      </c>
      <c r="J204" s="1147" t="e">
        <f t="shared" si="74"/>
        <v>#NAME?</v>
      </c>
      <c r="L204" s="184"/>
      <c r="M204" s="1166"/>
      <c r="N204" s="1166"/>
      <c r="O204" s="1166"/>
    </row>
    <row r="205" spans="2:15" x14ac:dyDescent="0.2">
      <c r="B205" s="1172">
        <v>205</v>
      </c>
      <c r="C205" s="1149">
        <v>30</v>
      </c>
      <c r="D205" s="1150">
        <f t="shared" si="69"/>
        <v>61.224999999999994</v>
      </c>
      <c r="E205" s="1122">
        <f t="shared" si="71"/>
        <v>0.98073039717499988</v>
      </c>
      <c r="F205" s="1122">
        <f t="shared" si="75"/>
        <v>8.1845919925748465</v>
      </c>
      <c r="G205" s="1150">
        <f t="shared" si="70"/>
        <v>0.56000000000000016</v>
      </c>
      <c r="H205" s="1186">
        <f t="shared" si="72"/>
        <v>0.57100300104196189</v>
      </c>
      <c r="I205" s="1173">
        <f t="shared" si="73"/>
        <v>0.96950000000000003</v>
      </c>
      <c r="J205" s="1124" t="e">
        <f t="shared" si="74"/>
        <v>#NAME?</v>
      </c>
      <c r="L205" s="184"/>
      <c r="M205" s="1166"/>
      <c r="N205" s="1166"/>
      <c r="O205" s="1166"/>
    </row>
    <row r="206" spans="2:15" x14ac:dyDescent="0.2">
      <c r="B206" s="1164">
        <v>206</v>
      </c>
      <c r="C206" s="1131">
        <v>30</v>
      </c>
      <c r="D206" s="1132">
        <f t="shared" si="69"/>
        <v>61.195999999999991</v>
      </c>
      <c r="E206" s="1133">
        <f t="shared" si="71"/>
        <v>0.9802658617479999</v>
      </c>
      <c r="F206" s="1133">
        <f t="shared" si="75"/>
        <v>8.1807152564738317</v>
      </c>
      <c r="G206" s="1132">
        <f t="shared" si="70"/>
        <v>0.55600000000000016</v>
      </c>
      <c r="H206" s="1187">
        <f t="shared" si="72"/>
        <v>0.56719306638767031</v>
      </c>
      <c r="I206" s="1135">
        <f t="shared" si="73"/>
        <v>0.96980000000000011</v>
      </c>
      <c r="J206" s="1136" t="e">
        <f t="shared" si="74"/>
        <v>#NAME?</v>
      </c>
      <c r="L206" s="184"/>
      <c r="M206" s="1166"/>
      <c r="N206" s="1166"/>
      <c r="O206" s="1166"/>
    </row>
    <row r="207" spans="2:15" x14ac:dyDescent="0.2">
      <c r="B207" s="1164">
        <v>207</v>
      </c>
      <c r="C207" s="1131">
        <v>30</v>
      </c>
      <c r="D207" s="1132">
        <f t="shared" si="69"/>
        <v>61.166999999999987</v>
      </c>
      <c r="E207" s="1133">
        <f t="shared" si="71"/>
        <v>0.97980132632099981</v>
      </c>
      <c r="F207" s="1133">
        <f t="shared" si="75"/>
        <v>8.1768385203728151</v>
      </c>
      <c r="G207" s="1132">
        <f t="shared" si="70"/>
        <v>0.55200000000000016</v>
      </c>
      <c r="H207" s="1187">
        <f t="shared" si="72"/>
        <v>0.56337951906298545</v>
      </c>
      <c r="I207" s="1135">
        <f t="shared" si="73"/>
        <v>0.97010000000000007</v>
      </c>
      <c r="J207" s="1136" t="e">
        <f t="shared" si="74"/>
        <v>#NAME?</v>
      </c>
      <c r="L207" s="184"/>
      <c r="M207" s="1166"/>
      <c r="N207" s="1166"/>
      <c r="O207" s="1166"/>
    </row>
    <row r="208" spans="2:15" x14ac:dyDescent="0.2">
      <c r="B208" s="1164">
        <v>208</v>
      </c>
      <c r="C208" s="1131">
        <v>30</v>
      </c>
      <c r="D208" s="1132">
        <f t="shared" si="69"/>
        <v>61.137999999999991</v>
      </c>
      <c r="E208" s="1133">
        <f t="shared" si="71"/>
        <v>0.97933679089399983</v>
      </c>
      <c r="F208" s="1133">
        <f t="shared" si="75"/>
        <v>8.1729617842718003</v>
      </c>
      <c r="G208" s="1132">
        <f t="shared" si="70"/>
        <v>0.54800000000000015</v>
      </c>
      <c r="H208" s="1187">
        <f t="shared" si="72"/>
        <v>0.55956235392704023</v>
      </c>
      <c r="I208" s="1135">
        <f t="shared" si="73"/>
        <v>0.97040000000000004</v>
      </c>
      <c r="J208" s="1136" t="e">
        <f t="shared" si="74"/>
        <v>#NAME?</v>
      </c>
      <c r="L208" s="184"/>
      <c r="M208" s="1166"/>
      <c r="N208" s="1166"/>
      <c r="O208" s="1166"/>
    </row>
    <row r="209" spans="2:15" ht="13.5" thickBot="1" x14ac:dyDescent="0.25">
      <c r="B209" s="1167">
        <v>209</v>
      </c>
      <c r="C209" s="1142">
        <v>30</v>
      </c>
      <c r="D209" s="1169">
        <f t="shared" si="69"/>
        <v>61.108999999999995</v>
      </c>
      <c r="E209" s="1170">
        <f t="shared" si="71"/>
        <v>0.97887225546699996</v>
      </c>
      <c r="F209" s="1144">
        <f t="shared" si="75"/>
        <v>8.1690850481707855</v>
      </c>
      <c r="G209" s="1169">
        <f t="shared" si="70"/>
        <v>0.54400000000000015</v>
      </c>
      <c r="H209" s="1205">
        <f t="shared" si="72"/>
        <v>0.55574156582920908</v>
      </c>
      <c r="I209" s="1146">
        <f t="shared" si="73"/>
        <v>0.97070000000000012</v>
      </c>
      <c r="J209" s="1147" t="e">
        <f t="shared" si="74"/>
        <v>#NAME?</v>
      </c>
      <c r="L209" s="184"/>
      <c r="M209" s="1166"/>
      <c r="N209" s="1166"/>
      <c r="O209" s="1166"/>
    </row>
    <row r="210" spans="2:15" ht="13.5" thickBot="1" x14ac:dyDescent="0.25">
      <c r="B210" s="1176">
        <v>210</v>
      </c>
      <c r="C210" s="1177">
        <v>30</v>
      </c>
      <c r="D210" s="1178">
        <v>61.08</v>
      </c>
      <c r="E210" s="1179">
        <f t="shared" si="71"/>
        <v>0.97840772003999998</v>
      </c>
      <c r="F210" s="1179">
        <f t="shared" si="75"/>
        <v>8.1652083120697707</v>
      </c>
      <c r="G210" s="1178">
        <v>0.54</v>
      </c>
      <c r="H210" s="1207">
        <f t="shared" si="72"/>
        <v>0.55191714960908456</v>
      </c>
      <c r="I210" s="1180">
        <v>0.97099999999999997</v>
      </c>
      <c r="J210" s="1181" t="e">
        <f t="shared" si="74"/>
        <v>#NAME?</v>
      </c>
      <c r="L210" s="184"/>
      <c r="M210" s="1166"/>
      <c r="N210" s="1166"/>
      <c r="O210" s="1166"/>
    </row>
  </sheetData>
  <sheetProtection sheet="1" objects="1" scenarios="1" selectLockedCells="1" selectUnlockedCells="1"/>
  <pageMargins left="0.75" right="0.75" top="1" bottom="1" header="0.5" footer="0.5"/>
  <pageSetup scale="47" fitToHeight="3"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F76ED-98E7-4891-8502-F9F64E9D66F5}">
  <sheetPr codeName="Sheet14">
    <pageSetUpPr fitToPage="1"/>
  </sheetPr>
  <dimension ref="A3:T223"/>
  <sheetViews>
    <sheetView workbookViewId="0">
      <selection activeCell="B12" sqref="B12:J220"/>
    </sheetView>
  </sheetViews>
  <sheetFormatPr defaultRowHeight="12.75" x14ac:dyDescent="0.2"/>
  <cols>
    <col min="1" max="1" width="9.140625" style="184"/>
    <col min="4" max="6" width="9.140625" style="1098"/>
    <col min="7" max="10" width="11.42578125" customWidth="1"/>
    <col min="11" max="11" width="6.85546875" customWidth="1"/>
    <col min="14" max="14" width="9.7109375" customWidth="1"/>
    <col min="17" max="17" width="11.5703125" customWidth="1"/>
    <col min="18" max="18" width="11" customWidth="1"/>
    <col min="19" max="19" width="5" customWidth="1"/>
  </cols>
  <sheetData>
    <row r="3" spans="2:20" ht="18" x14ac:dyDescent="0.25">
      <c r="B3" s="1097" t="s">
        <v>1060</v>
      </c>
    </row>
    <row r="4" spans="2:20" ht="13.5" thickBot="1" x14ac:dyDescent="0.25">
      <c r="B4" s="1099">
        <v>1</v>
      </c>
      <c r="C4" s="1099">
        <v>2</v>
      </c>
      <c r="D4" s="1099">
        <v>3</v>
      </c>
      <c r="E4" s="1099">
        <v>4</v>
      </c>
      <c r="F4" s="1099">
        <v>5</v>
      </c>
      <c r="G4" s="1099">
        <v>6</v>
      </c>
      <c r="H4" s="1099">
        <v>7</v>
      </c>
      <c r="I4" s="1099">
        <v>8</v>
      </c>
      <c r="J4" s="1099">
        <v>9</v>
      </c>
    </row>
    <row r="5" spans="2:20" s="179" customFormat="1" x14ac:dyDescent="0.2">
      <c r="B5" s="1100"/>
      <c r="C5" s="1101" t="s">
        <v>735</v>
      </c>
      <c r="D5" s="1102"/>
      <c r="E5" s="1102"/>
      <c r="F5" s="1102"/>
      <c r="G5" s="1101" t="s">
        <v>1061</v>
      </c>
      <c r="H5" s="1101"/>
      <c r="I5" s="1103"/>
      <c r="J5" s="1210"/>
      <c r="N5" s="179" t="s">
        <v>1061</v>
      </c>
    </row>
    <row r="6" spans="2:20" s="179" customFormat="1" x14ac:dyDescent="0.2">
      <c r="B6" s="1105" t="s">
        <v>605</v>
      </c>
      <c r="C6" s="1106" t="s">
        <v>1062</v>
      </c>
      <c r="D6" s="1107"/>
      <c r="E6" s="1107"/>
      <c r="F6" s="1107"/>
      <c r="G6" s="1106" t="s">
        <v>1063</v>
      </c>
      <c r="H6" s="1106" t="s">
        <v>1064</v>
      </c>
      <c r="I6" s="1108" t="s">
        <v>1065</v>
      </c>
      <c r="J6" s="1211" t="s">
        <v>1065</v>
      </c>
      <c r="L6" s="179" t="s">
        <v>605</v>
      </c>
      <c r="N6" s="179" t="s">
        <v>1063</v>
      </c>
    </row>
    <row r="7" spans="2:20" s="179" customFormat="1" x14ac:dyDescent="0.2">
      <c r="B7" s="1105" t="s">
        <v>840</v>
      </c>
      <c r="C7" s="1106" t="s">
        <v>614</v>
      </c>
      <c r="D7" s="1107" t="s">
        <v>1066</v>
      </c>
      <c r="E7" s="1107" t="s">
        <v>1066</v>
      </c>
      <c r="F7" s="1107"/>
      <c r="G7" s="1106" t="s">
        <v>1067</v>
      </c>
      <c r="H7" s="1106" t="s">
        <v>1067</v>
      </c>
      <c r="I7" s="1108" t="s">
        <v>1068</v>
      </c>
      <c r="J7" s="1211" t="s">
        <v>1069</v>
      </c>
      <c r="L7" s="179" t="s">
        <v>840</v>
      </c>
      <c r="M7" s="1111" t="s">
        <v>1066</v>
      </c>
      <c r="N7" s="179" t="s">
        <v>1067</v>
      </c>
    </row>
    <row r="8" spans="2:20" s="179" customFormat="1" ht="14.25" x14ac:dyDescent="0.2">
      <c r="B8" s="1112" t="s">
        <v>1070</v>
      </c>
      <c r="C8" s="1113" t="s">
        <v>1071</v>
      </c>
      <c r="D8" s="1114" t="s">
        <v>1072</v>
      </c>
      <c r="E8" s="1107" t="s">
        <v>1073</v>
      </c>
      <c r="F8" s="1107" t="s">
        <v>1074</v>
      </c>
      <c r="G8" s="1106" t="s">
        <v>1075</v>
      </c>
      <c r="H8" s="1106" t="s">
        <v>1076</v>
      </c>
      <c r="I8" s="1108" t="s">
        <v>1077</v>
      </c>
      <c r="J8" s="1211"/>
      <c r="L8" s="1115" t="s">
        <v>1070</v>
      </c>
      <c r="M8" s="1116" t="s">
        <v>1072</v>
      </c>
      <c r="N8" s="179" t="s">
        <v>1075</v>
      </c>
    </row>
    <row r="9" spans="2:20" s="179" customFormat="1" ht="13.5" thickBot="1" x14ac:dyDescent="0.25">
      <c r="B9" s="1105"/>
      <c r="C9" s="1106"/>
      <c r="D9" s="1107" t="s">
        <v>1078</v>
      </c>
      <c r="E9" s="1107" t="s">
        <v>1078</v>
      </c>
      <c r="F9" s="1107"/>
      <c r="G9" s="1106" t="s">
        <v>1079</v>
      </c>
      <c r="H9" s="1106" t="s">
        <v>1080</v>
      </c>
      <c r="I9" s="1117"/>
      <c r="J9" s="1212"/>
    </row>
    <row r="10" spans="2:20" s="179" customFormat="1" x14ac:dyDescent="0.2">
      <c r="B10" s="1119"/>
      <c r="C10" s="1120"/>
      <c r="D10" s="1121"/>
      <c r="E10" s="1122"/>
      <c r="F10" s="1122"/>
      <c r="G10" s="1121"/>
      <c r="H10" s="1121"/>
      <c r="I10" s="1123"/>
      <c r="J10" s="1213"/>
      <c r="L10" s="1125">
        <f>B12</f>
        <v>2</v>
      </c>
      <c r="M10" s="1126">
        <f>D12</f>
        <v>65.39</v>
      </c>
      <c r="N10" s="1126"/>
      <c r="O10" s="1127">
        <f>I12</f>
        <v>0.876</v>
      </c>
      <c r="P10" s="1214"/>
      <c r="Q10" s="1128" t="s">
        <v>1081</v>
      </c>
      <c r="R10" s="1129"/>
      <c r="S10"/>
      <c r="T10"/>
    </row>
    <row r="11" spans="2:20" s="179" customFormat="1" x14ac:dyDescent="0.2">
      <c r="B11" s="1215"/>
      <c r="C11" s="1131"/>
      <c r="D11" s="1134"/>
      <c r="E11" s="1133"/>
      <c r="F11" s="1133"/>
      <c r="G11" s="1134"/>
      <c r="H11" s="1134"/>
      <c r="I11" s="1216"/>
      <c r="J11" s="1217"/>
      <c r="L11" s="1125">
        <f>B20</f>
        <v>10</v>
      </c>
      <c r="M11" s="1126">
        <f>D20</f>
        <v>65.31</v>
      </c>
      <c r="N11" s="1126"/>
      <c r="O11" s="1127">
        <f>I20</f>
        <v>0.88</v>
      </c>
      <c r="P11" s="1214"/>
      <c r="Q11" s="1137" t="s">
        <v>559</v>
      </c>
      <c r="R11" s="1138" t="s">
        <v>1082</v>
      </c>
      <c r="S11"/>
      <c r="T11"/>
    </row>
    <row r="12" spans="2:20" s="179" customFormat="1" x14ac:dyDescent="0.2">
      <c r="B12" s="1215">
        <v>2</v>
      </c>
      <c r="C12" s="1131">
        <v>35</v>
      </c>
      <c r="D12" s="1134">
        <v>65.39</v>
      </c>
      <c r="E12" s="1133">
        <f t="shared" ref="E12:E35" si="0">D12*0.016018463</f>
        <v>1.04744729557</v>
      </c>
      <c r="F12" s="1133">
        <f>D12/7.4805195</f>
        <v>8.7413715050137899</v>
      </c>
      <c r="G12" s="1134">
        <v>28.22</v>
      </c>
      <c r="H12" s="1134">
        <f>G12/E12</f>
        <v>26.94168968629895</v>
      </c>
      <c r="I12" s="1216">
        <v>0.876</v>
      </c>
      <c r="J12" s="1217" t="e">
        <f t="shared" ref="J12:J75" si="1">E12/VLOOKUP(60,Water,6,FALSE)</f>
        <v>#NAME?</v>
      </c>
      <c r="O12" s="1218"/>
      <c r="Q12" s="1139">
        <v>80</v>
      </c>
      <c r="R12" s="1140">
        <v>1.63</v>
      </c>
      <c r="S12"/>
      <c r="T12"/>
    </row>
    <row r="13" spans="2:20" s="179" customFormat="1" x14ac:dyDescent="0.2">
      <c r="B13" s="1130">
        <v>3</v>
      </c>
      <c r="C13" s="1131">
        <v>35</v>
      </c>
      <c r="D13" s="1132">
        <f>FORECAST(B13,$M$10:$M$11,$L$10:$L$11)</f>
        <v>65.38</v>
      </c>
      <c r="E13" s="1133">
        <f t="shared" si="0"/>
        <v>1.0472871109399999</v>
      </c>
      <c r="F13" s="1133">
        <f>D13/7.4805195</f>
        <v>8.7400346994617149</v>
      </c>
      <c r="G13" s="1134">
        <v>27.09</v>
      </c>
      <c r="H13" s="1134">
        <f>G13/E13</f>
        <v>25.866832234462599</v>
      </c>
      <c r="I13" s="1135">
        <f>FORECAST(B13,$O$10:$O$11,$L$10:$L$11)</f>
        <v>0.87650000000000006</v>
      </c>
      <c r="J13" s="1217" t="e">
        <f t="shared" si="1"/>
        <v>#NAME?</v>
      </c>
      <c r="O13" s="1218"/>
      <c r="Q13" s="1139">
        <v>90</v>
      </c>
      <c r="R13" s="1140">
        <v>1.41</v>
      </c>
    </row>
    <row r="14" spans="2:20" s="179" customFormat="1" ht="13.5" thickBot="1" x14ac:dyDescent="0.25">
      <c r="B14" s="1141">
        <v>4</v>
      </c>
      <c r="C14" s="1142">
        <v>35</v>
      </c>
      <c r="D14" s="1143">
        <f t="shared" ref="D14:D19" si="2">FORECAST(B14,$M$10:$M$11,$L$10:$L$11)</f>
        <v>65.37</v>
      </c>
      <c r="E14" s="1144">
        <f t="shared" si="0"/>
        <v>1.04712692631</v>
      </c>
      <c r="F14" s="1144">
        <f t="shared" ref="F14:F19" si="3">D14/7.4805195</f>
        <v>8.7386978939096416</v>
      </c>
      <c r="G14" s="1145">
        <v>26.01</v>
      </c>
      <c r="H14" s="1145">
        <f t="shared" ref="H14:H35" si="4">G14/E14</f>
        <v>24.839395632444838</v>
      </c>
      <c r="I14" s="1146">
        <f t="shared" ref="I14:I19" si="5">FORECAST(B14,$O$10:$O$11,$L$10:$L$11)</f>
        <v>0.877</v>
      </c>
      <c r="J14" s="1147" t="e">
        <f t="shared" si="1"/>
        <v>#NAME?</v>
      </c>
      <c r="O14" s="1218"/>
      <c r="Q14" s="1137"/>
      <c r="R14" s="1138"/>
    </row>
    <row r="15" spans="2:20" s="179" customFormat="1" x14ac:dyDescent="0.2">
      <c r="B15" s="1148">
        <v>5</v>
      </c>
      <c r="C15" s="1149">
        <v>35</v>
      </c>
      <c r="D15" s="1150">
        <f t="shared" si="2"/>
        <v>65.36</v>
      </c>
      <c r="E15" s="1122">
        <f t="shared" si="0"/>
        <v>1.0469667416799999</v>
      </c>
      <c r="F15" s="1122">
        <f t="shared" si="3"/>
        <v>8.7373610883575665</v>
      </c>
      <c r="G15" s="1121">
        <v>24.99</v>
      </c>
      <c r="H15" s="1121">
        <f t="shared" si="4"/>
        <v>23.868953048021524</v>
      </c>
      <c r="I15" s="1173">
        <f t="shared" si="5"/>
        <v>0.87749999999999995</v>
      </c>
      <c r="J15" s="1124" t="e">
        <f t="shared" si="1"/>
        <v>#NAME?</v>
      </c>
      <c r="O15" s="1218"/>
      <c r="Q15" s="1152">
        <v>88</v>
      </c>
      <c r="R15" s="1153">
        <f>FORECAST(Q15,R12:R13,Q12:Q13)</f>
        <v>1.4539999999999997</v>
      </c>
    </row>
    <row r="16" spans="2:20" s="179" customFormat="1" x14ac:dyDescent="0.2">
      <c r="B16" s="1130">
        <v>6</v>
      </c>
      <c r="C16" s="1131">
        <v>35</v>
      </c>
      <c r="D16" s="1132">
        <f t="shared" si="2"/>
        <v>65.349999999999994</v>
      </c>
      <c r="E16" s="1133">
        <f t="shared" si="0"/>
        <v>1.0468065570499998</v>
      </c>
      <c r="F16" s="1133">
        <f t="shared" si="3"/>
        <v>8.7360242828054915</v>
      </c>
      <c r="G16" s="1134">
        <v>24.02</v>
      </c>
      <c r="H16" s="1134">
        <f t="shared" si="4"/>
        <v>22.94597778188421</v>
      </c>
      <c r="I16" s="1135">
        <f t="shared" si="5"/>
        <v>0.878</v>
      </c>
      <c r="J16" s="1136" t="e">
        <f t="shared" si="1"/>
        <v>#NAME?</v>
      </c>
      <c r="O16" s="1218"/>
      <c r="Q16" s="204"/>
      <c r="R16" s="1154"/>
    </row>
    <row r="17" spans="2:20" s="179" customFormat="1" x14ac:dyDescent="0.2">
      <c r="B17" s="1130">
        <v>7</v>
      </c>
      <c r="C17" s="1131">
        <v>35</v>
      </c>
      <c r="D17" s="1132">
        <f t="shared" si="2"/>
        <v>65.34</v>
      </c>
      <c r="E17" s="1133">
        <f t="shared" si="0"/>
        <v>1.0466463724200001</v>
      </c>
      <c r="F17" s="1133">
        <f t="shared" si="3"/>
        <v>8.7346874772534182</v>
      </c>
      <c r="G17" s="1134">
        <v>23.09</v>
      </c>
      <c r="H17" s="1134">
        <f t="shared" si="4"/>
        <v>22.060937302646479</v>
      </c>
      <c r="I17" s="1135">
        <f t="shared" si="5"/>
        <v>0.87850000000000006</v>
      </c>
      <c r="J17" s="1136" t="e">
        <f t="shared" si="1"/>
        <v>#NAME?</v>
      </c>
      <c r="O17" s="1218"/>
      <c r="Q17" s="1155" t="s">
        <v>1083</v>
      </c>
      <c r="R17" s="1156"/>
    </row>
    <row r="18" spans="2:20" s="179" customFormat="1" ht="13.5" thickBot="1" x14ac:dyDescent="0.25">
      <c r="B18" s="1130">
        <v>8</v>
      </c>
      <c r="C18" s="1131">
        <v>35</v>
      </c>
      <c r="D18" s="1132">
        <f t="shared" si="2"/>
        <v>65.33</v>
      </c>
      <c r="E18" s="1133">
        <f t="shared" si="0"/>
        <v>1.04648618779</v>
      </c>
      <c r="F18" s="1133">
        <f t="shared" si="3"/>
        <v>8.7333506717013432</v>
      </c>
      <c r="G18" s="1134">
        <v>22.21</v>
      </c>
      <c r="H18" s="1134">
        <f t="shared" si="4"/>
        <v>21.223404818083385</v>
      </c>
      <c r="I18" s="1135">
        <f t="shared" si="5"/>
        <v>0.879</v>
      </c>
      <c r="J18" s="1136" t="e">
        <f t="shared" si="1"/>
        <v>#NAME?</v>
      </c>
      <c r="O18" s="1218"/>
      <c r="Q18" s="1157" t="s">
        <v>1084</v>
      </c>
      <c r="R18" s="1158"/>
    </row>
    <row r="19" spans="2:20" s="179" customFormat="1" ht="13.5" thickBot="1" x14ac:dyDescent="0.25">
      <c r="B19" s="1141">
        <v>9</v>
      </c>
      <c r="C19" s="1142">
        <v>35</v>
      </c>
      <c r="D19" s="1143">
        <f t="shared" si="2"/>
        <v>65.319999999999993</v>
      </c>
      <c r="E19" s="1144">
        <f t="shared" si="0"/>
        <v>1.0463260031599999</v>
      </c>
      <c r="F19" s="1144">
        <f t="shared" si="3"/>
        <v>8.7320138661492681</v>
      </c>
      <c r="G19" s="1145">
        <v>21.37</v>
      </c>
      <c r="H19" s="1145">
        <f t="shared" si="4"/>
        <v>20.42384489677276</v>
      </c>
      <c r="I19" s="1146">
        <f t="shared" si="5"/>
        <v>0.87949999999999995</v>
      </c>
      <c r="J19" s="1147" t="e">
        <f t="shared" si="1"/>
        <v>#NAME?</v>
      </c>
      <c r="O19" s="1218"/>
      <c r="Q19"/>
      <c r="R19"/>
    </row>
    <row r="20" spans="2:20" s="179" customFormat="1" x14ac:dyDescent="0.2">
      <c r="B20" s="1160">
        <v>10</v>
      </c>
      <c r="C20" s="1120">
        <v>35</v>
      </c>
      <c r="D20" s="1162">
        <v>65.31</v>
      </c>
      <c r="E20" s="1122">
        <f t="shared" si="0"/>
        <v>1.04616581853</v>
      </c>
      <c r="F20" s="1122">
        <f>D20/7.4805195</f>
        <v>8.7306770605971966</v>
      </c>
      <c r="G20" s="1121">
        <v>20.57</v>
      </c>
      <c r="H20" s="1121">
        <f t="shared" si="4"/>
        <v>19.662274981325183</v>
      </c>
      <c r="I20" s="1219">
        <v>0.88</v>
      </c>
      <c r="J20" s="1124" t="e">
        <f t="shared" si="1"/>
        <v>#NAME?</v>
      </c>
      <c r="L20" s="1125">
        <f>B20</f>
        <v>10</v>
      </c>
      <c r="M20" s="1126">
        <f>D20</f>
        <v>65.31</v>
      </c>
      <c r="N20" s="1126"/>
      <c r="O20" s="1127">
        <f>I20</f>
        <v>0.88</v>
      </c>
      <c r="P20" s="1182"/>
      <c r="Q20"/>
      <c r="R20"/>
    </row>
    <row r="21" spans="2:20" s="179" customFormat="1" x14ac:dyDescent="0.2">
      <c r="B21" s="1130">
        <v>11</v>
      </c>
      <c r="C21" s="1131">
        <v>35</v>
      </c>
      <c r="D21" s="1132">
        <f>FORECAST(B21,$M$10:$M$11,$L$10:$L$11)</f>
        <v>65.3</v>
      </c>
      <c r="E21" s="1133">
        <f t="shared" si="0"/>
        <v>1.0460056338999999</v>
      </c>
      <c r="F21" s="1133">
        <f t="shared" ref="F21:F35" si="6">D21/7.4805195</f>
        <v>8.7293402550451216</v>
      </c>
      <c r="G21" s="1134">
        <v>19.8</v>
      </c>
      <c r="H21" s="1134">
        <f t="shared" si="4"/>
        <v>18.929152347082788</v>
      </c>
      <c r="I21" s="1135">
        <f>FORECAST(B21,$O$20:$O$21,$L$20:$L$21)</f>
        <v>0.88039999999999996</v>
      </c>
      <c r="J21" s="1136" t="e">
        <f t="shared" si="1"/>
        <v>#NAME?</v>
      </c>
      <c r="L21" s="1125">
        <f>B30</f>
        <v>20</v>
      </c>
      <c r="M21" s="1126">
        <f>D30</f>
        <v>65.2</v>
      </c>
      <c r="N21" s="1126"/>
      <c r="O21" s="1127">
        <f>I30</f>
        <v>0.88400000000000001</v>
      </c>
      <c r="P21" s="1182"/>
      <c r="Q21"/>
      <c r="R21"/>
    </row>
    <row r="22" spans="2:20" s="179" customFormat="1" x14ac:dyDescent="0.2">
      <c r="B22" s="1130">
        <v>12</v>
      </c>
      <c r="C22" s="1131">
        <v>35</v>
      </c>
      <c r="D22" s="1132">
        <f t="shared" ref="D22:D29" si="7">FORECAST(B22,$M$10:$M$11,$L$10:$L$11)</f>
        <v>65.289999999999992</v>
      </c>
      <c r="E22" s="1133">
        <f t="shared" si="0"/>
        <v>1.0458454492699998</v>
      </c>
      <c r="F22" s="1133">
        <f t="shared" si="6"/>
        <v>8.7280034494930465</v>
      </c>
      <c r="G22" s="1134">
        <v>19.079999999999998</v>
      </c>
      <c r="H22" s="1134">
        <f t="shared" si="4"/>
        <v>18.24361334967594</v>
      </c>
      <c r="I22" s="1135">
        <f t="shared" ref="I22:I29" si="8">FORECAST(B22,$O$20:$O$21,$L$20:$L$21)</f>
        <v>0.88080000000000003</v>
      </c>
      <c r="J22" s="1136" t="e">
        <f t="shared" si="1"/>
        <v>#NAME?</v>
      </c>
      <c r="O22" s="1218"/>
      <c r="Q22" t="s">
        <v>1085</v>
      </c>
      <c r="R22"/>
    </row>
    <row r="23" spans="2:20" s="179" customFormat="1" x14ac:dyDescent="0.2">
      <c r="B23" s="1130">
        <v>13</v>
      </c>
      <c r="C23" s="1131">
        <v>35</v>
      </c>
      <c r="D23" s="1132">
        <f t="shared" si="7"/>
        <v>65.28</v>
      </c>
      <c r="E23" s="1133">
        <f t="shared" si="0"/>
        <v>1.0456852646400001</v>
      </c>
      <c r="F23" s="1133">
        <f t="shared" si="6"/>
        <v>8.7266666439409732</v>
      </c>
      <c r="G23" s="1134">
        <v>18.38</v>
      </c>
      <c r="H23" s="1134">
        <f t="shared" si="4"/>
        <v>17.576990535797322</v>
      </c>
      <c r="I23" s="1135">
        <f t="shared" si="8"/>
        <v>0.88119999999999998</v>
      </c>
      <c r="J23" s="1136" t="e">
        <f t="shared" si="1"/>
        <v>#NAME?</v>
      </c>
      <c r="O23" s="1218"/>
      <c r="Q23" t="s">
        <v>1090</v>
      </c>
      <c r="R23"/>
    </row>
    <row r="24" spans="2:20" s="179" customFormat="1" ht="13.5" thickBot="1" x14ac:dyDescent="0.25">
      <c r="B24" s="1141">
        <v>14</v>
      </c>
      <c r="C24" s="1142">
        <v>35</v>
      </c>
      <c r="D24" s="1143">
        <f t="shared" si="7"/>
        <v>65.27</v>
      </c>
      <c r="E24" s="1144">
        <f t="shared" si="0"/>
        <v>1.04552508001</v>
      </c>
      <c r="F24" s="1144">
        <f t="shared" si="6"/>
        <v>8.7253298383888982</v>
      </c>
      <c r="G24" s="1145">
        <v>17.72</v>
      </c>
      <c r="H24" s="1145">
        <f t="shared" si="4"/>
        <v>16.948421744058511</v>
      </c>
      <c r="I24" s="1146">
        <f t="shared" si="8"/>
        <v>0.88160000000000005</v>
      </c>
      <c r="J24" s="1147" t="e">
        <f t="shared" si="1"/>
        <v>#NAME?</v>
      </c>
      <c r="O24" s="1218"/>
      <c r="Q24"/>
      <c r="R24"/>
    </row>
    <row r="25" spans="2:20" s="179" customFormat="1" x14ac:dyDescent="0.2">
      <c r="B25" s="1148">
        <v>15</v>
      </c>
      <c r="C25" s="1149">
        <v>35</v>
      </c>
      <c r="D25" s="1150">
        <f t="shared" si="7"/>
        <v>65.260000000000005</v>
      </c>
      <c r="E25" s="1122">
        <f t="shared" si="0"/>
        <v>1.0453648953800001</v>
      </c>
      <c r="F25" s="1122">
        <f t="shared" si="6"/>
        <v>8.7239930328368249</v>
      </c>
      <c r="G25" s="1121">
        <v>17.09</v>
      </c>
      <c r="H25" s="1121">
        <f t="shared" si="4"/>
        <v>16.348358430180134</v>
      </c>
      <c r="I25" s="1173">
        <f t="shared" si="8"/>
        <v>0.88200000000000001</v>
      </c>
      <c r="J25" s="1124" t="e">
        <f t="shared" si="1"/>
        <v>#NAME?</v>
      </c>
      <c r="O25" s="1218"/>
      <c r="Q25"/>
      <c r="R25"/>
    </row>
    <row r="26" spans="2:20" s="179" customFormat="1" x14ac:dyDescent="0.2">
      <c r="B26" s="1130">
        <v>16</v>
      </c>
      <c r="C26" s="1131">
        <v>35</v>
      </c>
      <c r="D26" s="1132">
        <f t="shared" si="7"/>
        <v>65.25</v>
      </c>
      <c r="E26" s="1133">
        <f t="shared" si="0"/>
        <v>1.04520471075</v>
      </c>
      <c r="F26" s="1133">
        <f t="shared" si="6"/>
        <v>8.7226562272847499</v>
      </c>
      <c r="G26" s="1134">
        <v>16.48</v>
      </c>
      <c r="H26" s="1134">
        <f t="shared" si="4"/>
        <v>15.767246196369097</v>
      </c>
      <c r="I26" s="1135">
        <f t="shared" si="8"/>
        <v>0.88239999999999996</v>
      </c>
      <c r="J26" s="1136" t="e">
        <f t="shared" si="1"/>
        <v>#NAME?</v>
      </c>
      <c r="O26" s="1218"/>
    </row>
    <row r="27" spans="2:20" s="179" customFormat="1" x14ac:dyDescent="0.2">
      <c r="B27" s="1130">
        <v>17</v>
      </c>
      <c r="C27" s="1131">
        <v>35</v>
      </c>
      <c r="D27" s="1132">
        <f t="shared" si="7"/>
        <v>65.239999999999995</v>
      </c>
      <c r="E27" s="1133">
        <f t="shared" si="0"/>
        <v>1.0450445261199999</v>
      </c>
      <c r="F27" s="1133">
        <f t="shared" si="6"/>
        <v>8.7213194217326748</v>
      </c>
      <c r="G27" s="1134">
        <v>15.9</v>
      </c>
      <c r="H27" s="1134">
        <f t="shared" si="4"/>
        <v>15.214662727369994</v>
      </c>
      <c r="I27" s="1135">
        <f t="shared" si="8"/>
        <v>0.88280000000000003</v>
      </c>
      <c r="J27" s="1136" t="e">
        <f t="shared" si="1"/>
        <v>#NAME?</v>
      </c>
      <c r="O27" s="1218"/>
    </row>
    <row r="28" spans="2:20" s="179" customFormat="1" x14ac:dyDescent="0.2">
      <c r="B28" s="1130">
        <v>18</v>
      </c>
      <c r="C28" s="1131">
        <v>35</v>
      </c>
      <c r="D28" s="1132">
        <f t="shared" si="7"/>
        <v>65.23</v>
      </c>
      <c r="E28" s="1133">
        <f t="shared" si="0"/>
        <v>1.04488434149</v>
      </c>
      <c r="F28" s="1133">
        <f t="shared" si="6"/>
        <v>8.7199826161806016</v>
      </c>
      <c r="G28" s="1134">
        <v>15.35</v>
      </c>
      <c r="H28" s="1134">
        <f t="shared" si="4"/>
        <v>14.690621143877967</v>
      </c>
      <c r="I28" s="1135">
        <f t="shared" si="8"/>
        <v>0.88319999999999999</v>
      </c>
      <c r="J28" s="1136" t="e">
        <f t="shared" si="1"/>
        <v>#NAME?</v>
      </c>
      <c r="O28" s="1218"/>
    </row>
    <row r="29" spans="2:20" s="179" customFormat="1" ht="13.5" thickBot="1" x14ac:dyDescent="0.25">
      <c r="B29" s="1141">
        <v>19</v>
      </c>
      <c r="C29" s="1142">
        <v>35</v>
      </c>
      <c r="D29" s="1143">
        <f t="shared" si="7"/>
        <v>65.22</v>
      </c>
      <c r="E29" s="1144">
        <f t="shared" si="0"/>
        <v>1.0447241568600001</v>
      </c>
      <c r="F29" s="1144">
        <f t="shared" si="6"/>
        <v>8.7186458106285265</v>
      </c>
      <c r="G29" s="1145">
        <v>14.82</v>
      </c>
      <c r="H29" s="1145">
        <f t="shared" si="4"/>
        <v>14.185562669999577</v>
      </c>
      <c r="I29" s="1135">
        <f t="shared" si="8"/>
        <v>0.88360000000000005</v>
      </c>
      <c r="J29" s="1147" t="e">
        <f t="shared" si="1"/>
        <v>#NAME?</v>
      </c>
      <c r="O29" s="1218"/>
    </row>
    <row r="30" spans="2:20" s="179" customFormat="1" x14ac:dyDescent="0.2">
      <c r="B30" s="1160">
        <v>20</v>
      </c>
      <c r="C30" s="1120">
        <v>35</v>
      </c>
      <c r="D30" s="1121">
        <v>65.2</v>
      </c>
      <c r="E30" s="1133">
        <f t="shared" si="0"/>
        <v>1.0444037876000001</v>
      </c>
      <c r="F30" s="1133">
        <f t="shared" si="6"/>
        <v>8.7159721995243782</v>
      </c>
      <c r="G30" s="1121">
        <v>14.32</v>
      </c>
      <c r="H30" s="1134">
        <f t="shared" si="4"/>
        <v>13.711172029456932</v>
      </c>
      <c r="I30" s="1123">
        <v>0.88400000000000001</v>
      </c>
      <c r="J30" s="1124" t="e">
        <f t="shared" si="1"/>
        <v>#NAME?</v>
      </c>
      <c r="K30" s="1190"/>
      <c r="L30" s="1125">
        <f>B30</f>
        <v>20</v>
      </c>
      <c r="M30" s="1126">
        <f>D30</f>
        <v>65.2</v>
      </c>
      <c r="N30" s="1126"/>
      <c r="O30" s="1127">
        <f>I30</f>
        <v>0.88400000000000001</v>
      </c>
      <c r="P30" s="1166"/>
    </row>
    <row r="31" spans="2:20" s="179" customFormat="1" x14ac:dyDescent="0.2">
      <c r="B31" s="1130">
        <v>21</v>
      </c>
      <c r="C31" s="1131">
        <v>35</v>
      </c>
      <c r="D31" s="1134">
        <v>65.19</v>
      </c>
      <c r="E31" s="1133">
        <f t="shared" si="0"/>
        <v>1.04424360297</v>
      </c>
      <c r="F31" s="1133">
        <f t="shared" si="6"/>
        <v>8.7146353939723031</v>
      </c>
      <c r="G31" s="1134">
        <v>13.84</v>
      </c>
      <c r="H31" s="1134">
        <f t="shared" si="4"/>
        <v>13.253612433570837</v>
      </c>
      <c r="I31" s="1216">
        <v>0.88400000000000001</v>
      </c>
      <c r="J31" s="1136" t="e">
        <f t="shared" si="1"/>
        <v>#NAME?</v>
      </c>
      <c r="K31" s="1190"/>
      <c r="L31" s="1125">
        <f>B40</f>
        <v>30</v>
      </c>
      <c r="M31" s="1126">
        <f>D40</f>
        <v>65.08</v>
      </c>
      <c r="N31" s="1126"/>
      <c r="O31" s="1127">
        <f>I40</f>
        <v>0.88800000000000001</v>
      </c>
      <c r="P31" s="1166"/>
      <c r="Q31" s="1220">
        <f>FORECAST(B31,$M$30:$M$31,$L$30:$L$31)</f>
        <v>65.188000000000002</v>
      </c>
      <c r="R31" s="1220" t="e">
        <f>FORECAST(B31,$N$30:$N$31,$L$30:$L$31)</f>
        <v>#DIV/0!</v>
      </c>
      <c r="S31" s="1190"/>
      <c r="T31" s="1221">
        <f>FORECAST(B31,$O$30:$O$31,$L$30:$L$31)</f>
        <v>0.88439999999999996</v>
      </c>
    </row>
    <row r="32" spans="2:20" s="179" customFormat="1" x14ac:dyDescent="0.2">
      <c r="B32" s="1130">
        <v>22</v>
      </c>
      <c r="C32" s="1131">
        <v>35</v>
      </c>
      <c r="D32" s="1134">
        <v>65.180000000000007</v>
      </c>
      <c r="E32" s="1133">
        <f t="shared" si="0"/>
        <v>1.0440834183400001</v>
      </c>
      <c r="F32" s="1133">
        <f t="shared" si="6"/>
        <v>8.7132985884202299</v>
      </c>
      <c r="G32" s="1134">
        <v>13.37</v>
      </c>
      <c r="H32" s="1134">
        <f t="shared" si="4"/>
        <v>12.805490217685012</v>
      </c>
      <c r="I32" s="1216">
        <v>0.88400000000000001</v>
      </c>
      <c r="J32" s="1136" t="e">
        <f t="shared" si="1"/>
        <v>#NAME?</v>
      </c>
      <c r="K32" s="1190"/>
      <c r="O32" s="1218"/>
      <c r="Q32" s="1220">
        <f t="shared" ref="Q32:Q39" si="9">FORECAST(B32,$M$30:$M$31,$L$30:$L$31)</f>
        <v>65.176000000000002</v>
      </c>
      <c r="R32" s="1220" t="e">
        <f t="shared" ref="R32:R39" si="10">FORECAST(B32,$N$30:$N$31,$L$30:$L$31)</f>
        <v>#DIV/0!</v>
      </c>
      <c r="S32" s="1190"/>
      <c r="T32" s="1221">
        <f t="shared" ref="T32:T39" si="11">FORECAST(B32,$O$30:$O$31,$L$30:$L$31)</f>
        <v>0.88480000000000003</v>
      </c>
    </row>
    <row r="33" spans="2:20" s="179" customFormat="1" x14ac:dyDescent="0.2">
      <c r="B33" s="1130">
        <v>23</v>
      </c>
      <c r="C33" s="1131">
        <v>35</v>
      </c>
      <c r="D33" s="1134">
        <v>65.16</v>
      </c>
      <c r="E33" s="1133">
        <f t="shared" si="0"/>
        <v>1.0437630490800001</v>
      </c>
      <c r="F33" s="1133">
        <f t="shared" si="6"/>
        <v>8.7106249773160798</v>
      </c>
      <c r="G33" s="1134">
        <v>12.93</v>
      </c>
      <c r="H33" s="1134">
        <f t="shared" si="4"/>
        <v>12.387869077562037</v>
      </c>
      <c r="I33" s="1216">
        <v>0.88500000000000001</v>
      </c>
      <c r="J33" s="1136" t="e">
        <f t="shared" si="1"/>
        <v>#NAME?</v>
      </c>
      <c r="K33" s="1190"/>
      <c r="O33" s="1218"/>
      <c r="Q33" s="1220">
        <f t="shared" si="9"/>
        <v>65.164000000000001</v>
      </c>
      <c r="R33" s="1220" t="e">
        <f t="shared" si="10"/>
        <v>#DIV/0!</v>
      </c>
      <c r="S33" s="1190"/>
      <c r="T33" s="1221">
        <f t="shared" si="11"/>
        <v>0.88519999999999999</v>
      </c>
    </row>
    <row r="34" spans="2:20" s="179" customFormat="1" ht="13.5" thickBot="1" x14ac:dyDescent="0.25">
      <c r="B34" s="1141">
        <v>24</v>
      </c>
      <c r="C34" s="1142">
        <v>35</v>
      </c>
      <c r="D34" s="1145">
        <v>65.150000000000006</v>
      </c>
      <c r="E34" s="1144">
        <f t="shared" si="0"/>
        <v>1.0436028644500002</v>
      </c>
      <c r="F34" s="1144">
        <f t="shared" si="6"/>
        <v>8.7092881717640083</v>
      </c>
      <c r="G34" s="1145">
        <v>12.51</v>
      </c>
      <c r="H34" s="1145">
        <f t="shared" si="4"/>
        <v>11.987318573136557</v>
      </c>
      <c r="I34" s="1222">
        <v>0.88500000000000001</v>
      </c>
      <c r="J34" s="1147" t="e">
        <f t="shared" si="1"/>
        <v>#NAME?</v>
      </c>
      <c r="K34" s="1190"/>
      <c r="L34" s="1223"/>
      <c r="O34" s="1218"/>
      <c r="Q34" s="1220">
        <f t="shared" si="9"/>
        <v>65.152000000000001</v>
      </c>
      <c r="R34" s="1220" t="e">
        <f t="shared" si="10"/>
        <v>#DIV/0!</v>
      </c>
      <c r="S34" s="1190"/>
      <c r="T34" s="1221">
        <f t="shared" si="11"/>
        <v>0.88560000000000005</v>
      </c>
    </row>
    <row r="35" spans="2:20" s="179" customFormat="1" x14ac:dyDescent="0.2">
      <c r="B35" s="1148">
        <v>25</v>
      </c>
      <c r="C35" s="1149">
        <v>35</v>
      </c>
      <c r="D35" s="1121">
        <v>65.14</v>
      </c>
      <c r="E35" s="1122">
        <f t="shared" si="0"/>
        <v>1.0434426798200001</v>
      </c>
      <c r="F35" s="1122">
        <f t="shared" si="6"/>
        <v>8.7079513662119332</v>
      </c>
      <c r="G35" s="1121">
        <v>12.1</v>
      </c>
      <c r="H35" s="1121">
        <f t="shared" si="4"/>
        <v>11.59622874740692</v>
      </c>
      <c r="I35" s="1123">
        <v>0.88600000000000001</v>
      </c>
      <c r="J35" s="1124" t="e">
        <f t="shared" si="1"/>
        <v>#NAME?</v>
      </c>
      <c r="K35" s="1190"/>
      <c r="L35" s="1223"/>
      <c r="O35" s="1218"/>
      <c r="Q35" s="1220">
        <f t="shared" si="9"/>
        <v>65.14</v>
      </c>
      <c r="R35" s="1220" t="e">
        <f t="shared" si="10"/>
        <v>#DIV/0!</v>
      </c>
      <c r="S35" s="1190"/>
      <c r="T35" s="1221">
        <f t="shared" si="11"/>
        <v>0.88600000000000001</v>
      </c>
    </row>
    <row r="36" spans="2:20" s="179" customFormat="1" x14ac:dyDescent="0.2">
      <c r="B36" s="1130">
        <v>26</v>
      </c>
      <c r="C36" s="1131">
        <v>35</v>
      </c>
      <c r="D36" s="1134">
        <v>65.13</v>
      </c>
      <c r="E36" s="1133">
        <f>D36*0.016018463</f>
        <v>1.0432824951899999</v>
      </c>
      <c r="F36" s="1133">
        <f>D36/7.4805195</f>
        <v>8.7066145606598582</v>
      </c>
      <c r="G36" s="1134">
        <v>11.71</v>
      </c>
      <c r="H36" s="1134">
        <f>G36/E36</f>
        <v>11.224189089712855</v>
      </c>
      <c r="I36" s="1216">
        <v>0.88600000000000001</v>
      </c>
      <c r="J36" s="1136" t="e">
        <f t="shared" si="1"/>
        <v>#NAME?</v>
      </c>
      <c r="K36" s="1190"/>
      <c r="O36" s="1218"/>
      <c r="Q36" s="1220">
        <f t="shared" si="9"/>
        <v>65.128</v>
      </c>
      <c r="R36" s="1220" t="e">
        <f t="shared" si="10"/>
        <v>#DIV/0!</v>
      </c>
      <c r="S36" s="1190"/>
      <c r="T36" s="1221">
        <f t="shared" si="11"/>
        <v>0.88639999999999997</v>
      </c>
    </row>
    <row r="37" spans="2:20" s="179" customFormat="1" x14ac:dyDescent="0.2">
      <c r="B37" s="1130">
        <v>27</v>
      </c>
      <c r="C37" s="1131">
        <v>35</v>
      </c>
      <c r="D37" s="1134">
        <v>65.11</v>
      </c>
      <c r="E37" s="1133">
        <f>D37*0.016018463</f>
        <v>1.0429621259299999</v>
      </c>
      <c r="F37" s="1133">
        <f>D37/7.4805195</f>
        <v>8.7039409495557098</v>
      </c>
      <c r="G37" s="1134">
        <v>11.34</v>
      </c>
      <c r="H37" s="1134">
        <f>G37/E37</f>
        <v>10.872878044241753</v>
      </c>
      <c r="I37" s="1216">
        <v>0.88600000000000001</v>
      </c>
      <c r="J37" s="1136" t="e">
        <f t="shared" si="1"/>
        <v>#NAME?</v>
      </c>
      <c r="K37" s="1190"/>
      <c r="O37" s="1218"/>
      <c r="Q37" s="1220">
        <f t="shared" si="9"/>
        <v>65.116</v>
      </c>
      <c r="R37" s="1220" t="e">
        <f t="shared" si="10"/>
        <v>#DIV/0!</v>
      </c>
      <c r="S37" s="1190"/>
      <c r="T37" s="1221">
        <f t="shared" si="11"/>
        <v>0.88680000000000003</v>
      </c>
    </row>
    <row r="38" spans="2:20" s="179" customFormat="1" x14ac:dyDescent="0.2">
      <c r="B38" s="1130">
        <v>28</v>
      </c>
      <c r="C38" s="1131">
        <v>35</v>
      </c>
      <c r="D38" s="1134">
        <v>65.099999999999994</v>
      </c>
      <c r="E38" s="1133">
        <f>D38*0.016018463</f>
        <v>1.0428019412999998</v>
      </c>
      <c r="F38" s="1133">
        <f>D38/7.4805195</f>
        <v>8.7026041440036348</v>
      </c>
      <c r="G38" s="1134">
        <v>10.98</v>
      </c>
      <c r="H38" s="1134">
        <f>G38/E38</f>
        <v>10.529324472019951</v>
      </c>
      <c r="I38" s="1216">
        <v>0.88700000000000001</v>
      </c>
      <c r="J38" s="1136" t="e">
        <f t="shared" si="1"/>
        <v>#NAME?</v>
      </c>
      <c r="K38" s="1190"/>
      <c r="O38" s="1218"/>
      <c r="Q38" s="1220">
        <f t="shared" si="9"/>
        <v>65.103999999999999</v>
      </c>
      <c r="R38" s="1220" t="e">
        <f t="shared" si="10"/>
        <v>#DIV/0!</v>
      </c>
      <c r="S38" s="1190"/>
      <c r="T38" s="1221">
        <f t="shared" si="11"/>
        <v>0.88719999999999999</v>
      </c>
    </row>
    <row r="39" spans="2:20" s="179" customFormat="1" ht="13.5" thickBot="1" x14ac:dyDescent="0.25">
      <c r="B39" s="1141">
        <v>29</v>
      </c>
      <c r="C39" s="1142">
        <v>35</v>
      </c>
      <c r="D39" s="1145">
        <v>65.09</v>
      </c>
      <c r="E39" s="1144">
        <f>D39*0.016018463</f>
        <v>1.0426417566700001</v>
      </c>
      <c r="F39" s="1144">
        <f>D39/7.4805195</f>
        <v>8.7012673384515615</v>
      </c>
      <c r="G39" s="1145">
        <v>10.63</v>
      </c>
      <c r="H39" s="1145">
        <f>G39/E39</f>
        <v>10.195256359145064</v>
      </c>
      <c r="I39" s="1216">
        <v>0.88700000000000001</v>
      </c>
      <c r="J39" s="1147" t="e">
        <f t="shared" si="1"/>
        <v>#NAME?</v>
      </c>
      <c r="K39" s="1190"/>
      <c r="O39" s="1218"/>
      <c r="Q39" s="1220">
        <f t="shared" si="9"/>
        <v>65.091999999999999</v>
      </c>
      <c r="R39" s="1220" t="e">
        <f t="shared" si="10"/>
        <v>#DIV/0!</v>
      </c>
      <c r="S39" s="1190"/>
      <c r="T39" s="1221">
        <f t="shared" si="11"/>
        <v>0.88760000000000006</v>
      </c>
    </row>
    <row r="40" spans="2:20" x14ac:dyDescent="0.2">
      <c r="B40" s="1160">
        <v>30</v>
      </c>
      <c r="C40" s="1120">
        <v>35</v>
      </c>
      <c r="D40" s="1162">
        <v>65.08</v>
      </c>
      <c r="E40" s="1122">
        <f>D40*0.016018463</f>
        <v>1.04248157204</v>
      </c>
      <c r="F40" s="1122">
        <f>D40/7.4805195</f>
        <v>8.6999305328994865</v>
      </c>
      <c r="G40" s="1162">
        <v>10.3</v>
      </c>
      <c r="H40" s="1121">
        <f>G40/E40</f>
        <v>9.8802705738426138</v>
      </c>
      <c r="I40" s="1123">
        <v>0.88800000000000001</v>
      </c>
      <c r="J40" s="1124" t="e">
        <f t="shared" si="1"/>
        <v>#NAME?</v>
      </c>
      <c r="K40" s="326"/>
      <c r="L40" s="1125">
        <f>B40</f>
        <v>30</v>
      </c>
      <c r="M40" s="1126">
        <f>D40</f>
        <v>65.08</v>
      </c>
      <c r="N40" s="1126"/>
      <c r="O40" s="1127">
        <f>I40</f>
        <v>0.88800000000000001</v>
      </c>
      <c r="P40" s="1166"/>
    </row>
    <row r="41" spans="2:20" x14ac:dyDescent="0.2">
      <c r="B41" s="1164">
        <v>31</v>
      </c>
      <c r="C41" s="1131">
        <v>35</v>
      </c>
      <c r="D41" s="1132">
        <f t="shared" ref="D41:D49" si="12">FORECAST(B41,$M$30:$M$31,$L$30:$L$31)</f>
        <v>65.067999999999998</v>
      </c>
      <c r="E41" s="1133">
        <f t="shared" ref="E41:E104" si="13">D41*0.016018463</f>
        <v>1.0422893504840001</v>
      </c>
      <c r="F41" s="1133">
        <f t="shared" ref="F41:F49" si="14">D41/7.4805195</f>
        <v>8.6983263662369978</v>
      </c>
      <c r="G41" s="1134">
        <v>9.99</v>
      </c>
      <c r="H41" s="1134">
        <f t="shared" ref="H41:H104" si="15">G41/E41</f>
        <v>9.5846705095480633</v>
      </c>
      <c r="I41" s="1135">
        <f>FORECAST(B41,$O$30:$O$31,$L$30:$L$31)</f>
        <v>0.88839999999999997</v>
      </c>
      <c r="J41" s="1136" t="e">
        <f t="shared" si="1"/>
        <v>#NAME?</v>
      </c>
      <c r="L41" s="1125">
        <f>B50</f>
        <v>40</v>
      </c>
      <c r="M41" s="1126">
        <f>D50</f>
        <v>64.95</v>
      </c>
      <c r="N41" s="1126"/>
      <c r="O41" s="1127">
        <f>I50</f>
        <v>0.89200000000000002</v>
      </c>
      <c r="P41" s="1166"/>
    </row>
    <row r="42" spans="2:20" x14ac:dyDescent="0.2">
      <c r="B42" s="1164">
        <v>32</v>
      </c>
      <c r="C42" s="1131">
        <v>35</v>
      </c>
      <c r="D42" s="1132">
        <f t="shared" si="12"/>
        <v>65.055999999999997</v>
      </c>
      <c r="E42" s="1133">
        <f t="shared" si="13"/>
        <v>1.0420971289279999</v>
      </c>
      <c r="F42" s="1133">
        <f t="shared" si="14"/>
        <v>8.6967221995745074</v>
      </c>
      <c r="G42" s="1134">
        <v>9.68</v>
      </c>
      <c r="H42" s="1134">
        <f t="shared" si="15"/>
        <v>9.2889613945657512</v>
      </c>
      <c r="I42" s="1135">
        <f t="shared" ref="I42:I49" si="16">FORECAST(B42,$O$30:$O$31,$L$30:$L$31)</f>
        <v>0.88880000000000003</v>
      </c>
      <c r="J42" s="1136" t="e">
        <f t="shared" si="1"/>
        <v>#NAME?</v>
      </c>
      <c r="L42" s="184"/>
      <c r="M42" s="1166"/>
      <c r="N42" s="1166"/>
      <c r="O42" s="1183"/>
    </row>
    <row r="43" spans="2:20" x14ac:dyDescent="0.2">
      <c r="B43" s="1164">
        <v>33</v>
      </c>
      <c r="C43" s="1131">
        <v>35</v>
      </c>
      <c r="D43" s="1132">
        <f t="shared" si="12"/>
        <v>65.043999999999997</v>
      </c>
      <c r="E43" s="1133">
        <f t="shared" si="13"/>
        <v>1.0419049073719999</v>
      </c>
      <c r="F43" s="1133">
        <f t="shared" si="14"/>
        <v>8.6951180329120188</v>
      </c>
      <c r="G43" s="1134">
        <v>9.39</v>
      </c>
      <c r="H43" s="1134">
        <f t="shared" si="15"/>
        <v>9.0123387782906477</v>
      </c>
      <c r="I43" s="1135">
        <f t="shared" si="16"/>
        <v>0.88919999999999999</v>
      </c>
      <c r="J43" s="1136" t="e">
        <f t="shared" si="1"/>
        <v>#NAME?</v>
      </c>
      <c r="L43" s="184"/>
      <c r="M43" s="1166"/>
      <c r="N43" s="1166"/>
      <c r="O43" s="1183"/>
    </row>
    <row r="44" spans="2:20" ht="13.5" thickBot="1" x14ac:dyDescent="0.25">
      <c r="B44" s="1167">
        <v>34</v>
      </c>
      <c r="C44" s="1142">
        <v>35</v>
      </c>
      <c r="D44" s="1169">
        <f t="shared" si="12"/>
        <v>65.031999999999996</v>
      </c>
      <c r="E44" s="1170">
        <f t="shared" si="13"/>
        <v>1.041712685816</v>
      </c>
      <c r="F44" s="1144">
        <f t="shared" si="14"/>
        <v>8.6935138662495302</v>
      </c>
      <c r="G44" s="1171">
        <v>9.11</v>
      </c>
      <c r="H44" s="1171">
        <f t="shared" si="15"/>
        <v>8.7452136505987781</v>
      </c>
      <c r="I44" s="1146">
        <f t="shared" si="16"/>
        <v>0.88960000000000006</v>
      </c>
      <c r="J44" s="1147" t="e">
        <f t="shared" si="1"/>
        <v>#NAME?</v>
      </c>
      <c r="L44" s="184"/>
      <c r="M44" s="1166"/>
      <c r="N44" s="1166"/>
      <c r="O44" s="1183"/>
    </row>
    <row r="45" spans="2:20" x14ac:dyDescent="0.2">
      <c r="B45" s="1172">
        <v>35</v>
      </c>
      <c r="C45" s="1149">
        <v>35</v>
      </c>
      <c r="D45" s="1150">
        <f t="shared" si="12"/>
        <v>65.02</v>
      </c>
      <c r="E45" s="1122">
        <f t="shared" si="13"/>
        <v>1.04152046426</v>
      </c>
      <c r="F45" s="1122">
        <f t="shared" si="14"/>
        <v>8.6919096995870397</v>
      </c>
      <c r="G45" s="1121">
        <v>8.84</v>
      </c>
      <c r="H45" s="1121">
        <f t="shared" si="15"/>
        <v>8.4875912700196601</v>
      </c>
      <c r="I45" s="1173">
        <f t="shared" si="16"/>
        <v>0.89</v>
      </c>
      <c r="J45" s="1124" t="e">
        <f t="shared" si="1"/>
        <v>#NAME?</v>
      </c>
      <c r="L45" s="184"/>
      <c r="M45" s="1166"/>
      <c r="N45" s="1166"/>
      <c r="O45" s="1183"/>
    </row>
    <row r="46" spans="2:20" x14ac:dyDescent="0.2">
      <c r="B46" s="1164">
        <v>36</v>
      </c>
      <c r="C46" s="1131">
        <v>35</v>
      </c>
      <c r="D46" s="1132">
        <f t="shared" si="12"/>
        <v>65.007999999999996</v>
      </c>
      <c r="E46" s="1133">
        <f t="shared" si="13"/>
        <v>1.041328242704</v>
      </c>
      <c r="F46" s="1133">
        <f t="shared" si="14"/>
        <v>8.6903055329245511</v>
      </c>
      <c r="G46" s="1134">
        <v>8.58</v>
      </c>
      <c r="H46" s="1134">
        <f t="shared" si="15"/>
        <v>8.2394768989655507</v>
      </c>
      <c r="I46" s="1135">
        <f t="shared" si="16"/>
        <v>0.89039999999999997</v>
      </c>
      <c r="J46" s="1136" t="e">
        <f t="shared" si="1"/>
        <v>#NAME?</v>
      </c>
      <c r="L46" s="184"/>
      <c r="M46" s="1166"/>
      <c r="N46" s="1166"/>
      <c r="O46" s="1183"/>
    </row>
    <row r="47" spans="2:20" x14ac:dyDescent="0.2">
      <c r="B47" s="1164">
        <v>37</v>
      </c>
      <c r="C47" s="1131">
        <v>35</v>
      </c>
      <c r="D47" s="1132">
        <f t="shared" si="12"/>
        <v>64.995999999999995</v>
      </c>
      <c r="E47" s="1133">
        <f t="shared" si="13"/>
        <v>1.0411360211479999</v>
      </c>
      <c r="F47" s="1133">
        <f t="shared" si="14"/>
        <v>8.6887013662620625</v>
      </c>
      <c r="G47" s="1134">
        <v>8.33</v>
      </c>
      <c r="H47" s="1134">
        <f t="shared" si="15"/>
        <v>8.0008758037350347</v>
      </c>
      <c r="I47" s="1135">
        <f t="shared" si="16"/>
        <v>0.89080000000000004</v>
      </c>
      <c r="J47" s="1136" t="e">
        <f t="shared" si="1"/>
        <v>#NAME?</v>
      </c>
      <c r="L47" s="184"/>
      <c r="M47" s="1166"/>
      <c r="N47" s="1166"/>
      <c r="O47" s="1183"/>
    </row>
    <row r="48" spans="2:20" x14ac:dyDescent="0.2">
      <c r="B48" s="1164">
        <v>38</v>
      </c>
      <c r="C48" s="1131">
        <v>35</v>
      </c>
      <c r="D48" s="1132">
        <f t="shared" si="12"/>
        <v>64.983999999999995</v>
      </c>
      <c r="E48" s="1133">
        <f t="shared" si="13"/>
        <v>1.0409437995919999</v>
      </c>
      <c r="F48" s="1133">
        <f t="shared" si="14"/>
        <v>8.6870971995995721</v>
      </c>
      <c r="G48" s="1134">
        <v>8.09</v>
      </c>
      <c r="H48" s="1134">
        <f t="shared" si="15"/>
        <v>7.7717932545166146</v>
      </c>
      <c r="I48" s="1135">
        <f t="shared" si="16"/>
        <v>0.89119999999999999</v>
      </c>
      <c r="J48" s="1136" t="e">
        <f t="shared" si="1"/>
        <v>#NAME?</v>
      </c>
      <c r="L48" s="184"/>
      <c r="M48" s="1166"/>
      <c r="N48" s="1166"/>
      <c r="O48" s="1183"/>
    </row>
    <row r="49" spans="2:16" ht="13.5" thickBot="1" x14ac:dyDescent="0.25">
      <c r="B49" s="1174">
        <v>39</v>
      </c>
      <c r="C49" s="1142">
        <v>35</v>
      </c>
      <c r="D49" s="1143">
        <f t="shared" si="12"/>
        <v>64.971999999999994</v>
      </c>
      <c r="E49" s="1144">
        <f t="shared" si="13"/>
        <v>1.0407515780359999</v>
      </c>
      <c r="F49" s="1144">
        <f t="shared" si="14"/>
        <v>8.6854930329370834</v>
      </c>
      <c r="G49" s="1145">
        <v>7.86</v>
      </c>
      <c r="H49" s="1145">
        <f t="shared" si="15"/>
        <v>7.5522345253923033</v>
      </c>
      <c r="I49" s="1135">
        <f t="shared" si="16"/>
        <v>0.89160000000000006</v>
      </c>
      <c r="J49" s="1147" t="e">
        <f t="shared" si="1"/>
        <v>#NAME?</v>
      </c>
      <c r="L49" s="184"/>
      <c r="M49" s="1166"/>
      <c r="N49" s="1166"/>
      <c r="O49" s="1183"/>
    </row>
    <row r="50" spans="2:16" x14ac:dyDescent="0.2">
      <c r="B50" s="1119">
        <v>40</v>
      </c>
      <c r="C50" s="1120">
        <v>35</v>
      </c>
      <c r="D50" s="1121">
        <v>64.95</v>
      </c>
      <c r="E50" s="1122">
        <f t="shared" si="13"/>
        <v>1.0403991718500001</v>
      </c>
      <c r="F50" s="1122">
        <f>D50/7.4805195</f>
        <v>8.6825520607225215</v>
      </c>
      <c r="G50" s="1121">
        <v>7.64</v>
      </c>
      <c r="H50" s="1121">
        <f t="shared" si="15"/>
        <v>7.3433353338938447</v>
      </c>
      <c r="I50" s="1123">
        <v>0.89200000000000002</v>
      </c>
      <c r="J50" s="1124" t="e">
        <f t="shared" si="1"/>
        <v>#NAME?</v>
      </c>
      <c r="L50" s="1125">
        <f>B50</f>
        <v>40</v>
      </c>
      <c r="M50" s="1126">
        <f>D50</f>
        <v>64.95</v>
      </c>
      <c r="N50" s="1126"/>
      <c r="O50" s="1127">
        <f>I50</f>
        <v>0.89200000000000002</v>
      </c>
      <c r="P50" s="1166"/>
    </row>
    <row r="51" spans="2:16" x14ac:dyDescent="0.2">
      <c r="B51" s="1164">
        <v>41</v>
      </c>
      <c r="C51" s="1131">
        <v>35</v>
      </c>
      <c r="D51" s="1132">
        <f t="shared" ref="D51:D59" si="17">FORECAST(B51,$M$40:$M$41,$L$40:$L$41)</f>
        <v>64.936999999999998</v>
      </c>
      <c r="E51" s="1133">
        <f t="shared" si="13"/>
        <v>1.0401909318309999</v>
      </c>
      <c r="F51" s="1133">
        <f t="shared" ref="F51:F59" si="18">D51/7.4805195</f>
        <v>8.6808142135048243</v>
      </c>
      <c r="G51" s="1134">
        <v>7.43</v>
      </c>
      <c r="H51" s="1134">
        <f t="shared" si="15"/>
        <v>7.1429194128056039</v>
      </c>
      <c r="I51" s="1135">
        <f>FORECAST(B51,$O$40:$O$41,$L$40:$L$41)</f>
        <v>0.89239999999999997</v>
      </c>
      <c r="J51" s="1136" t="e">
        <f t="shared" si="1"/>
        <v>#NAME?</v>
      </c>
      <c r="L51" s="1125">
        <f>B60</f>
        <v>50</v>
      </c>
      <c r="M51" s="1126">
        <f>D60</f>
        <v>64.81</v>
      </c>
      <c r="N51" s="1126"/>
      <c r="O51" s="1127">
        <f>I60</f>
        <v>0.89600000000000002</v>
      </c>
      <c r="P51" s="1166"/>
    </row>
    <row r="52" spans="2:16" x14ac:dyDescent="0.2">
      <c r="B52" s="1164">
        <v>42</v>
      </c>
      <c r="C52" s="1131">
        <v>35</v>
      </c>
      <c r="D52" s="1132">
        <f t="shared" si="17"/>
        <v>64.924000000000007</v>
      </c>
      <c r="E52" s="1133">
        <f t="shared" si="13"/>
        <v>1.0399826918120001</v>
      </c>
      <c r="F52" s="1133">
        <f t="shared" si="18"/>
        <v>8.6790763662871289</v>
      </c>
      <c r="G52" s="1134">
        <v>7.22</v>
      </c>
      <c r="H52" s="1134">
        <f t="shared" si="15"/>
        <v>6.9424232315062167</v>
      </c>
      <c r="I52" s="1135">
        <f t="shared" ref="I52:I59" si="19">FORECAST(B52,$O$40:$O$41,$L$40:$L$41)</f>
        <v>0.89280000000000004</v>
      </c>
      <c r="J52" s="1136" t="e">
        <f t="shared" si="1"/>
        <v>#NAME?</v>
      </c>
      <c r="L52" s="184"/>
      <c r="M52" s="1166"/>
      <c r="N52" s="1166"/>
      <c r="O52" s="1183"/>
    </row>
    <row r="53" spans="2:16" x14ac:dyDescent="0.2">
      <c r="B53" s="1164">
        <v>43</v>
      </c>
      <c r="C53" s="1131">
        <v>35</v>
      </c>
      <c r="D53" s="1132">
        <f t="shared" si="17"/>
        <v>64.911000000000001</v>
      </c>
      <c r="E53" s="1133">
        <f t="shared" si="13"/>
        <v>1.0397744517930001</v>
      </c>
      <c r="F53" s="1133">
        <f t="shared" si="18"/>
        <v>8.6773385190694317</v>
      </c>
      <c r="G53" s="1134">
        <v>7.02</v>
      </c>
      <c r="H53" s="1134">
        <f t="shared" si="15"/>
        <v>6.7514642121612276</v>
      </c>
      <c r="I53" s="1135">
        <f t="shared" si="19"/>
        <v>0.89319999999999999</v>
      </c>
      <c r="J53" s="1136" t="e">
        <f t="shared" si="1"/>
        <v>#NAME?</v>
      </c>
      <c r="L53" s="184"/>
      <c r="M53" s="1166"/>
      <c r="N53" s="1166"/>
      <c r="O53" s="1183"/>
    </row>
    <row r="54" spans="2:16" ht="13.5" thickBot="1" x14ac:dyDescent="0.25">
      <c r="B54" s="1174">
        <v>44</v>
      </c>
      <c r="C54" s="1142">
        <v>35</v>
      </c>
      <c r="D54" s="1143">
        <f t="shared" si="17"/>
        <v>64.89800000000001</v>
      </c>
      <c r="E54" s="1144">
        <f t="shared" si="13"/>
        <v>1.0395662117740001</v>
      </c>
      <c r="F54" s="1144">
        <f t="shared" si="18"/>
        <v>8.6756006718517362</v>
      </c>
      <c r="G54" s="1145">
        <v>6.83</v>
      </c>
      <c r="H54" s="1145">
        <f t="shared" si="15"/>
        <v>6.5700480860615258</v>
      </c>
      <c r="I54" s="1146">
        <f t="shared" si="19"/>
        <v>0.89360000000000006</v>
      </c>
      <c r="J54" s="1147" t="e">
        <f t="shared" si="1"/>
        <v>#NAME?</v>
      </c>
      <c r="L54" s="184"/>
      <c r="M54" s="1166"/>
      <c r="N54" s="1166"/>
      <c r="O54" s="1183"/>
    </row>
    <row r="55" spans="2:16" x14ac:dyDescent="0.2">
      <c r="B55" s="1172">
        <v>45</v>
      </c>
      <c r="C55" s="1149">
        <v>35</v>
      </c>
      <c r="D55" s="1150">
        <f t="shared" si="17"/>
        <v>64.885000000000005</v>
      </c>
      <c r="E55" s="1122">
        <f t="shared" si="13"/>
        <v>1.0393579717550001</v>
      </c>
      <c r="F55" s="1122">
        <f t="shared" si="18"/>
        <v>8.673862824634039</v>
      </c>
      <c r="G55" s="1121">
        <v>6.64</v>
      </c>
      <c r="H55" s="1121">
        <f t="shared" si="15"/>
        <v>6.3885592648970375</v>
      </c>
      <c r="I55" s="1173">
        <f t="shared" si="19"/>
        <v>0.89400000000000002</v>
      </c>
      <c r="J55" s="1124" t="e">
        <f t="shared" si="1"/>
        <v>#NAME?</v>
      </c>
      <c r="L55" s="184"/>
      <c r="M55" s="1166"/>
      <c r="N55" s="1166"/>
      <c r="O55" s="1183"/>
    </row>
    <row r="56" spans="2:16" x14ac:dyDescent="0.2">
      <c r="B56" s="1164">
        <v>46</v>
      </c>
      <c r="C56" s="1131">
        <v>35</v>
      </c>
      <c r="D56" s="1132">
        <f t="shared" si="17"/>
        <v>64.872</v>
      </c>
      <c r="E56" s="1133">
        <f t="shared" si="13"/>
        <v>1.0391497317360001</v>
      </c>
      <c r="F56" s="1133">
        <f t="shared" si="18"/>
        <v>8.6721249774163418</v>
      </c>
      <c r="G56" s="1134">
        <v>6.47</v>
      </c>
      <c r="H56" s="1134">
        <f t="shared" si="15"/>
        <v>6.2262442094761834</v>
      </c>
      <c r="I56" s="1135">
        <f t="shared" si="19"/>
        <v>0.89439999999999997</v>
      </c>
      <c r="J56" s="1136" t="e">
        <f t="shared" si="1"/>
        <v>#NAME?</v>
      </c>
      <c r="L56" s="184"/>
      <c r="M56" s="1166"/>
      <c r="N56" s="1166"/>
      <c r="O56" s="1183"/>
    </row>
    <row r="57" spans="2:16" x14ac:dyDescent="0.2">
      <c r="B57" s="1164">
        <v>47</v>
      </c>
      <c r="C57" s="1131">
        <v>35</v>
      </c>
      <c r="D57" s="1132">
        <f t="shared" si="17"/>
        <v>64.859000000000009</v>
      </c>
      <c r="E57" s="1133">
        <f t="shared" si="13"/>
        <v>1.0389414917170001</v>
      </c>
      <c r="F57" s="1133">
        <f t="shared" si="18"/>
        <v>8.6703871301986464</v>
      </c>
      <c r="G57" s="1134">
        <v>6.29</v>
      </c>
      <c r="H57" s="1134">
        <f t="shared" si="15"/>
        <v>6.0542389057971597</v>
      </c>
      <c r="I57" s="1135">
        <f t="shared" si="19"/>
        <v>0.89480000000000004</v>
      </c>
      <c r="J57" s="1136" t="e">
        <f t="shared" si="1"/>
        <v>#NAME?</v>
      </c>
      <c r="L57" s="184"/>
      <c r="M57" s="1166"/>
      <c r="N57" s="1166"/>
      <c r="O57" s="1183"/>
    </row>
    <row r="58" spans="2:16" x14ac:dyDescent="0.2">
      <c r="B58" s="1164">
        <v>48</v>
      </c>
      <c r="C58" s="1131">
        <v>35</v>
      </c>
      <c r="D58" s="1132">
        <f t="shared" si="17"/>
        <v>64.846000000000004</v>
      </c>
      <c r="E58" s="1133">
        <f t="shared" si="13"/>
        <v>1.0387332516980001</v>
      </c>
      <c r="F58" s="1133">
        <f t="shared" si="18"/>
        <v>8.6686492829809492</v>
      </c>
      <c r="G58" s="1134">
        <v>6.13</v>
      </c>
      <c r="H58" s="1134">
        <f t="shared" si="15"/>
        <v>5.9014188579978448</v>
      </c>
      <c r="I58" s="1135">
        <f t="shared" si="19"/>
        <v>0.8952</v>
      </c>
      <c r="J58" s="1136" t="e">
        <f t="shared" si="1"/>
        <v>#NAME?</v>
      </c>
      <c r="L58" s="184"/>
      <c r="M58" s="1166"/>
      <c r="N58" s="1166"/>
      <c r="O58" s="1183"/>
    </row>
    <row r="59" spans="2:16" ht="13.5" thickBot="1" x14ac:dyDescent="0.25">
      <c r="B59" s="1174">
        <v>49</v>
      </c>
      <c r="C59" s="1142">
        <v>35</v>
      </c>
      <c r="D59" s="1143">
        <f t="shared" si="17"/>
        <v>64.833000000000013</v>
      </c>
      <c r="E59" s="1144">
        <f t="shared" si="13"/>
        <v>1.0385250116790001</v>
      </c>
      <c r="F59" s="1144">
        <f t="shared" si="18"/>
        <v>8.6669114357632537</v>
      </c>
      <c r="G59" s="1145">
        <v>5.97</v>
      </c>
      <c r="H59" s="1145">
        <f t="shared" si="15"/>
        <v>5.74853752472288</v>
      </c>
      <c r="I59" s="1135">
        <f t="shared" si="19"/>
        <v>0.89560000000000006</v>
      </c>
      <c r="J59" s="1147" t="e">
        <f t="shared" si="1"/>
        <v>#NAME?</v>
      </c>
      <c r="L59" s="184"/>
      <c r="M59" s="1166"/>
      <c r="N59" s="1166"/>
      <c r="O59" s="1183"/>
    </row>
    <row r="60" spans="2:16" x14ac:dyDescent="0.2">
      <c r="B60" s="1119">
        <v>50</v>
      </c>
      <c r="C60" s="1120">
        <v>35</v>
      </c>
      <c r="D60" s="1121">
        <v>64.81</v>
      </c>
      <c r="E60" s="1122">
        <f t="shared" si="13"/>
        <v>1.03815658703</v>
      </c>
      <c r="F60" s="1122">
        <f>D60/7.4805195</f>
        <v>8.6638367829934815</v>
      </c>
      <c r="G60" s="1121">
        <v>5.82</v>
      </c>
      <c r="H60" s="1121">
        <f t="shared" si="15"/>
        <v>5.6060907118550292</v>
      </c>
      <c r="I60" s="1123">
        <v>0.89600000000000002</v>
      </c>
      <c r="J60" s="1124" t="e">
        <f t="shared" si="1"/>
        <v>#NAME?</v>
      </c>
      <c r="L60" s="1125">
        <f>B60</f>
        <v>50</v>
      </c>
      <c r="M60" s="1126">
        <f>D60</f>
        <v>64.81</v>
      </c>
      <c r="N60" s="1126"/>
      <c r="O60" s="1127">
        <f>I60</f>
        <v>0.89600000000000002</v>
      </c>
      <c r="P60" s="1166"/>
    </row>
    <row r="61" spans="2:16" x14ac:dyDescent="0.2">
      <c r="B61" s="1164">
        <v>51</v>
      </c>
      <c r="C61" s="1131">
        <v>35</v>
      </c>
      <c r="D61" s="1132">
        <f t="shared" ref="D61:D69" si="20">FORECAST(B61,$M$50:$M$51,$L$50:$L$51)</f>
        <v>64.795999999999992</v>
      </c>
      <c r="E61" s="1133">
        <f t="shared" si="13"/>
        <v>1.037932328548</v>
      </c>
      <c r="F61" s="1133">
        <f t="shared" ref="F61:F69" si="21">D61/7.4805195</f>
        <v>8.6619652552205757</v>
      </c>
      <c r="G61" s="1134">
        <v>5.67</v>
      </c>
      <c r="H61" s="1134">
        <f t="shared" si="15"/>
        <v>5.4627838868184808</v>
      </c>
      <c r="I61" s="1135">
        <f>FORECAST(B61,$O$50:$O$51,$L$50:$L$51)</f>
        <v>0.89639999999999997</v>
      </c>
      <c r="J61" s="1136" t="e">
        <f t="shared" si="1"/>
        <v>#NAME?</v>
      </c>
      <c r="L61" s="1125">
        <f>B70</f>
        <v>60</v>
      </c>
      <c r="M61" s="1126">
        <f>D70</f>
        <v>64.66</v>
      </c>
      <c r="N61" s="1126"/>
      <c r="O61" s="1127">
        <f>I70</f>
        <v>0.9</v>
      </c>
      <c r="P61" s="1166"/>
    </row>
    <row r="62" spans="2:16" x14ac:dyDescent="0.2">
      <c r="B62" s="1164">
        <v>52</v>
      </c>
      <c r="C62" s="1131">
        <v>35</v>
      </c>
      <c r="D62" s="1132">
        <f t="shared" si="20"/>
        <v>64.781999999999982</v>
      </c>
      <c r="E62" s="1133">
        <f t="shared" si="13"/>
        <v>1.0377080700659997</v>
      </c>
      <c r="F62" s="1133">
        <f t="shared" si="21"/>
        <v>8.6600937274476699</v>
      </c>
      <c r="G62" s="1134">
        <v>5.52</v>
      </c>
      <c r="H62" s="1134">
        <f t="shared" si="15"/>
        <v>5.3194151218742274</v>
      </c>
      <c r="I62" s="1135">
        <f t="shared" ref="I62:I69" si="22">FORECAST(B62,$O$50:$O$51,$L$50:$L$51)</f>
        <v>0.89680000000000004</v>
      </c>
      <c r="J62" s="1136" t="e">
        <f t="shared" si="1"/>
        <v>#NAME?</v>
      </c>
      <c r="L62" s="184"/>
      <c r="M62" s="1166"/>
      <c r="N62" s="1166"/>
      <c r="O62" s="1183"/>
    </row>
    <row r="63" spans="2:16" x14ac:dyDescent="0.2">
      <c r="B63" s="1164">
        <v>53</v>
      </c>
      <c r="C63" s="1131">
        <v>35</v>
      </c>
      <c r="D63" s="1132">
        <f t="shared" si="20"/>
        <v>64.767999999999986</v>
      </c>
      <c r="E63" s="1133">
        <f t="shared" si="13"/>
        <v>1.0374838115839997</v>
      </c>
      <c r="F63" s="1133">
        <f t="shared" si="21"/>
        <v>8.6582221996747677</v>
      </c>
      <c r="G63" s="1134">
        <v>5.38</v>
      </c>
      <c r="H63" s="1134">
        <f t="shared" si="15"/>
        <v>5.1856230814685915</v>
      </c>
      <c r="I63" s="1135">
        <f t="shared" si="22"/>
        <v>0.8972</v>
      </c>
      <c r="J63" s="1136" t="e">
        <f t="shared" si="1"/>
        <v>#NAME?</v>
      </c>
      <c r="L63" s="184"/>
      <c r="M63" s="1166"/>
      <c r="N63" s="1166"/>
      <c r="O63" s="1183"/>
    </row>
    <row r="64" spans="2:16" ht="13.5" thickBot="1" x14ac:dyDescent="0.25">
      <c r="B64" s="1174">
        <v>54</v>
      </c>
      <c r="C64" s="1142">
        <v>35</v>
      </c>
      <c r="D64" s="1143">
        <f t="shared" si="20"/>
        <v>64.753999999999991</v>
      </c>
      <c r="E64" s="1144">
        <f t="shared" si="13"/>
        <v>1.0372595531019999</v>
      </c>
      <c r="F64" s="1144">
        <f t="shared" si="21"/>
        <v>8.6563506719018637</v>
      </c>
      <c r="G64" s="1145">
        <v>5.25</v>
      </c>
      <c r="H64" s="1145">
        <f t="shared" si="15"/>
        <v>5.0614139771472768</v>
      </c>
      <c r="I64" s="1146">
        <f t="shared" si="22"/>
        <v>0.89760000000000006</v>
      </c>
      <c r="J64" s="1147" t="e">
        <f t="shared" si="1"/>
        <v>#NAME?</v>
      </c>
      <c r="L64" s="184"/>
      <c r="M64" s="1166"/>
      <c r="N64" s="1166"/>
      <c r="O64" s="1183"/>
    </row>
    <row r="65" spans="2:16" x14ac:dyDescent="0.2">
      <c r="B65" s="1172">
        <v>55</v>
      </c>
      <c r="C65" s="1149">
        <v>35</v>
      </c>
      <c r="D65" s="1150">
        <f t="shared" si="20"/>
        <v>64.739999999999981</v>
      </c>
      <c r="E65" s="1122">
        <f t="shared" si="13"/>
        <v>1.0370352946199997</v>
      </c>
      <c r="F65" s="1122">
        <f t="shared" si="21"/>
        <v>8.6544791441289579</v>
      </c>
      <c r="G65" s="1121">
        <v>5.12</v>
      </c>
      <c r="H65" s="1121">
        <f t="shared" si="15"/>
        <v>4.9371511524842742</v>
      </c>
      <c r="I65" s="1173">
        <f t="shared" si="22"/>
        <v>0.89800000000000002</v>
      </c>
      <c r="J65" s="1124" t="e">
        <f t="shared" si="1"/>
        <v>#NAME?</v>
      </c>
      <c r="L65" s="184"/>
      <c r="M65" s="1166"/>
      <c r="N65" s="1166"/>
      <c r="O65" s="1183"/>
    </row>
    <row r="66" spans="2:16" x14ac:dyDescent="0.2">
      <c r="B66" s="1164">
        <v>56</v>
      </c>
      <c r="C66" s="1131">
        <v>35</v>
      </c>
      <c r="D66" s="1132">
        <f t="shared" si="20"/>
        <v>64.725999999999985</v>
      </c>
      <c r="E66" s="1133">
        <f t="shared" si="13"/>
        <v>1.0368110361379999</v>
      </c>
      <c r="F66" s="1133">
        <f t="shared" si="21"/>
        <v>8.6526076163560557</v>
      </c>
      <c r="G66" s="1134">
        <v>5</v>
      </c>
      <c r="H66" s="1134">
        <f t="shared" si="15"/>
        <v>4.8224795316844009</v>
      </c>
      <c r="I66" s="1135">
        <f t="shared" si="22"/>
        <v>0.89839999999999998</v>
      </c>
      <c r="J66" s="1136" t="e">
        <f t="shared" si="1"/>
        <v>#NAME?</v>
      </c>
      <c r="L66" s="184"/>
      <c r="M66" s="1166"/>
      <c r="N66" s="1166"/>
      <c r="O66" s="1183"/>
    </row>
    <row r="67" spans="2:16" x14ac:dyDescent="0.2">
      <c r="B67" s="1164">
        <v>57</v>
      </c>
      <c r="C67" s="1131">
        <v>35</v>
      </c>
      <c r="D67" s="1132">
        <f t="shared" si="20"/>
        <v>64.711999999999989</v>
      </c>
      <c r="E67" s="1133">
        <f t="shared" si="13"/>
        <v>1.0365867776559998</v>
      </c>
      <c r="F67" s="1133">
        <f t="shared" si="21"/>
        <v>8.6507360885831517</v>
      </c>
      <c r="G67" s="1134">
        <v>4.87</v>
      </c>
      <c r="H67" s="1134">
        <f t="shared" si="15"/>
        <v>4.6981112483533449</v>
      </c>
      <c r="I67" s="1135">
        <f t="shared" si="22"/>
        <v>0.89880000000000004</v>
      </c>
      <c r="J67" s="1136" t="e">
        <f t="shared" si="1"/>
        <v>#NAME?</v>
      </c>
      <c r="L67" s="184"/>
      <c r="M67" s="1166"/>
      <c r="N67" s="1166"/>
      <c r="O67" s="1183"/>
    </row>
    <row r="68" spans="2:16" x14ac:dyDescent="0.2">
      <c r="B68" s="1164">
        <v>58</v>
      </c>
      <c r="C68" s="1131">
        <v>35</v>
      </c>
      <c r="D68" s="1132">
        <f t="shared" si="20"/>
        <v>64.697999999999993</v>
      </c>
      <c r="E68" s="1133">
        <f t="shared" si="13"/>
        <v>1.0363625191739998</v>
      </c>
      <c r="F68" s="1133">
        <f t="shared" si="21"/>
        <v>8.6488645608102477</v>
      </c>
      <c r="G68" s="1134">
        <v>4.76</v>
      </c>
      <c r="H68" s="1134">
        <f t="shared" si="15"/>
        <v>4.5929874073348467</v>
      </c>
      <c r="I68" s="1135">
        <f t="shared" si="22"/>
        <v>0.8992</v>
      </c>
      <c r="J68" s="1136" t="e">
        <f t="shared" si="1"/>
        <v>#NAME?</v>
      </c>
      <c r="L68" s="184"/>
      <c r="M68" s="1166"/>
      <c r="N68" s="1166"/>
      <c r="O68" s="1183"/>
    </row>
    <row r="69" spans="2:16" ht="13.5" thickBot="1" x14ac:dyDescent="0.25">
      <c r="B69" s="1174">
        <v>59</v>
      </c>
      <c r="C69" s="1142">
        <v>35</v>
      </c>
      <c r="D69" s="1143">
        <f t="shared" si="20"/>
        <v>64.683999999999983</v>
      </c>
      <c r="E69" s="1144">
        <f t="shared" si="13"/>
        <v>1.0361382606919998</v>
      </c>
      <c r="F69" s="1144">
        <f t="shared" si="21"/>
        <v>8.6469930330373419</v>
      </c>
      <c r="G69" s="1145">
        <v>4.6399999999999997</v>
      </c>
      <c r="H69" s="1145">
        <f t="shared" si="15"/>
        <v>4.4781668393377441</v>
      </c>
      <c r="I69" s="1135">
        <f t="shared" si="22"/>
        <v>0.89960000000000007</v>
      </c>
      <c r="J69" s="1147" t="e">
        <f t="shared" si="1"/>
        <v>#NAME?</v>
      </c>
      <c r="L69" s="184"/>
      <c r="M69" s="1166"/>
      <c r="N69" s="1166"/>
      <c r="O69" s="1183"/>
    </row>
    <row r="70" spans="2:16" x14ac:dyDescent="0.2">
      <c r="B70" s="1119">
        <v>60</v>
      </c>
      <c r="C70" s="1120">
        <v>35</v>
      </c>
      <c r="D70" s="1121">
        <v>64.66</v>
      </c>
      <c r="E70" s="1122">
        <f t="shared" si="13"/>
        <v>1.0357538175799998</v>
      </c>
      <c r="F70" s="1122">
        <f>D70/7.4805195</f>
        <v>8.6437846997123664</v>
      </c>
      <c r="G70" s="1121">
        <v>4.53</v>
      </c>
      <c r="H70" s="1121">
        <f t="shared" si="15"/>
        <v>4.3736261678322137</v>
      </c>
      <c r="I70" s="1123">
        <v>0.9</v>
      </c>
      <c r="J70" s="1124" t="e">
        <f t="shared" si="1"/>
        <v>#NAME?</v>
      </c>
      <c r="L70" s="1125">
        <f>B70</f>
        <v>60</v>
      </c>
      <c r="M70" s="1126">
        <f>D70</f>
        <v>64.66</v>
      </c>
      <c r="N70" s="1126"/>
      <c r="O70" s="1127">
        <f>I70</f>
        <v>0.9</v>
      </c>
      <c r="P70" s="1166"/>
    </row>
    <row r="71" spans="2:16" x14ac:dyDescent="0.2">
      <c r="B71" s="1164">
        <v>61</v>
      </c>
      <c r="C71" s="1131">
        <v>35</v>
      </c>
      <c r="D71" s="1132">
        <f t="shared" ref="D71:D79" si="23">FORECAST(B71,$M$60:$M$61,$L$60:$L$61)</f>
        <v>64.644999999999996</v>
      </c>
      <c r="E71" s="1133">
        <f t="shared" si="13"/>
        <v>1.035513540635</v>
      </c>
      <c r="F71" s="1133">
        <f t="shared" ref="F71:F79" si="24">D71/7.4805195</f>
        <v>8.6417794913842538</v>
      </c>
      <c r="G71" s="1134">
        <v>4.43</v>
      </c>
      <c r="H71" s="1134">
        <f t="shared" si="15"/>
        <v>4.278070567076723</v>
      </c>
      <c r="I71" s="1135">
        <f>FORECAST(B71,$O$60:$O$61,$L$60:$L$61)</f>
        <v>0.90039999999999998</v>
      </c>
      <c r="J71" s="1136" t="e">
        <f t="shared" si="1"/>
        <v>#NAME?</v>
      </c>
      <c r="L71" s="1125">
        <f>B80</f>
        <v>70</v>
      </c>
      <c r="M71" s="1126">
        <f>D80</f>
        <v>64.5</v>
      </c>
      <c r="N71" s="1126"/>
      <c r="O71" s="1127">
        <f>I80</f>
        <v>0.90400000000000003</v>
      </c>
      <c r="P71" s="1166"/>
    </row>
    <row r="72" spans="2:16" x14ac:dyDescent="0.2">
      <c r="B72" s="1164">
        <v>62</v>
      </c>
      <c r="C72" s="1131">
        <v>35</v>
      </c>
      <c r="D72" s="1132">
        <f t="shared" si="23"/>
        <v>64.63</v>
      </c>
      <c r="E72" s="1133">
        <f t="shared" si="13"/>
        <v>1.0352732636899999</v>
      </c>
      <c r="F72" s="1133">
        <f t="shared" si="24"/>
        <v>8.639774283056143</v>
      </c>
      <c r="G72" s="1134">
        <v>4.32</v>
      </c>
      <c r="H72" s="1134">
        <f t="shared" si="15"/>
        <v>4.172811325777241</v>
      </c>
      <c r="I72" s="1135">
        <f t="shared" ref="I72:I79" si="25">FORECAST(B72,$O$60:$O$61,$L$60:$L$61)</f>
        <v>0.90080000000000005</v>
      </c>
      <c r="J72" s="1136" t="e">
        <f t="shared" si="1"/>
        <v>#NAME?</v>
      </c>
      <c r="L72" s="184"/>
      <c r="M72" s="1166"/>
      <c r="N72" s="1166"/>
      <c r="O72" s="1183"/>
    </row>
    <row r="73" spans="2:16" x14ac:dyDescent="0.2">
      <c r="B73" s="1164">
        <v>63</v>
      </c>
      <c r="C73" s="1131">
        <v>35</v>
      </c>
      <c r="D73" s="1132">
        <f t="shared" si="23"/>
        <v>64.614999999999995</v>
      </c>
      <c r="E73" s="1133">
        <f t="shared" si="13"/>
        <v>1.0350329867449999</v>
      </c>
      <c r="F73" s="1133">
        <f t="shared" si="24"/>
        <v>8.6377690747280322</v>
      </c>
      <c r="G73" s="1134">
        <v>4.2300000000000004</v>
      </c>
      <c r="H73" s="1134">
        <f t="shared" si="15"/>
        <v>4.0868262694724544</v>
      </c>
      <c r="I73" s="1135">
        <f t="shared" si="25"/>
        <v>0.9012</v>
      </c>
      <c r="J73" s="1136" t="e">
        <f t="shared" si="1"/>
        <v>#NAME?</v>
      </c>
      <c r="L73" s="184"/>
      <c r="M73" s="1166"/>
      <c r="N73" s="1166"/>
      <c r="O73" s="1183"/>
    </row>
    <row r="74" spans="2:16" ht="13.5" thickBot="1" x14ac:dyDescent="0.25">
      <c r="B74" s="1174">
        <v>64</v>
      </c>
      <c r="C74" s="1142">
        <v>35</v>
      </c>
      <c r="D74" s="1143">
        <f t="shared" si="23"/>
        <v>64.599999999999994</v>
      </c>
      <c r="E74" s="1144">
        <f t="shared" si="13"/>
        <v>1.0347927097999998</v>
      </c>
      <c r="F74" s="1144">
        <f t="shared" si="24"/>
        <v>8.6357638663999197</v>
      </c>
      <c r="G74" s="1145">
        <v>4.13</v>
      </c>
      <c r="H74" s="1145">
        <f t="shared" si="15"/>
        <v>3.991137510814343</v>
      </c>
      <c r="I74" s="1146">
        <f t="shared" si="25"/>
        <v>0.90160000000000007</v>
      </c>
      <c r="J74" s="1147" t="e">
        <f t="shared" si="1"/>
        <v>#NAME?</v>
      </c>
      <c r="L74" s="184"/>
      <c r="M74" s="1166"/>
      <c r="N74" s="1166"/>
      <c r="O74" s="1183"/>
    </row>
    <row r="75" spans="2:16" x14ac:dyDescent="0.2">
      <c r="B75" s="1172">
        <v>65</v>
      </c>
      <c r="C75" s="1149">
        <v>35</v>
      </c>
      <c r="D75" s="1150">
        <f t="shared" si="23"/>
        <v>64.584999999999994</v>
      </c>
      <c r="E75" s="1122">
        <f t="shared" si="13"/>
        <v>1.034552432855</v>
      </c>
      <c r="F75" s="1122">
        <f t="shared" si="24"/>
        <v>8.6337586580718089</v>
      </c>
      <c r="G75" s="1121">
        <v>4.04</v>
      </c>
      <c r="H75" s="1121">
        <f t="shared" si="15"/>
        <v>3.9050703199750103</v>
      </c>
      <c r="I75" s="1173">
        <f t="shared" si="25"/>
        <v>0.90200000000000002</v>
      </c>
      <c r="J75" s="1124" t="e">
        <f t="shared" si="1"/>
        <v>#NAME?</v>
      </c>
      <c r="L75" s="184"/>
      <c r="M75" s="1166"/>
      <c r="N75" s="1166"/>
      <c r="O75" s="1183"/>
    </row>
    <row r="76" spans="2:16" x14ac:dyDescent="0.2">
      <c r="B76" s="1164">
        <v>66</v>
      </c>
      <c r="C76" s="1131">
        <v>35</v>
      </c>
      <c r="D76" s="1132">
        <f t="shared" si="23"/>
        <v>64.569999999999993</v>
      </c>
      <c r="E76" s="1133">
        <f t="shared" si="13"/>
        <v>1.0343121559099999</v>
      </c>
      <c r="F76" s="1133">
        <f t="shared" si="24"/>
        <v>8.6317534497436963</v>
      </c>
      <c r="G76" s="1134">
        <v>3.95</v>
      </c>
      <c r="H76" s="1134">
        <f t="shared" si="15"/>
        <v>3.8189631412817961</v>
      </c>
      <c r="I76" s="1135">
        <f t="shared" si="25"/>
        <v>0.90239999999999998</v>
      </c>
      <c r="J76" s="1136" t="e">
        <f t="shared" ref="J76:J139" si="26">E76/VLOOKUP(60,Water,6,FALSE)</f>
        <v>#NAME?</v>
      </c>
      <c r="L76" s="184"/>
      <c r="M76" s="1166"/>
      <c r="N76" s="1166"/>
      <c r="O76" s="1183"/>
    </row>
    <row r="77" spans="2:16" x14ac:dyDescent="0.2">
      <c r="B77" s="1164">
        <v>67</v>
      </c>
      <c r="C77" s="1131">
        <v>35</v>
      </c>
      <c r="D77" s="1132">
        <f t="shared" si="23"/>
        <v>64.554999999999993</v>
      </c>
      <c r="E77" s="1133">
        <f t="shared" si="13"/>
        <v>1.0340718789649999</v>
      </c>
      <c r="F77" s="1133">
        <f t="shared" si="24"/>
        <v>8.6297482414155855</v>
      </c>
      <c r="G77" s="1134">
        <v>3.86</v>
      </c>
      <c r="H77" s="1134">
        <f t="shared" si="15"/>
        <v>3.732815946859966</v>
      </c>
      <c r="I77" s="1135">
        <f t="shared" si="25"/>
        <v>0.90280000000000005</v>
      </c>
      <c r="J77" s="1136" t="e">
        <f t="shared" si="26"/>
        <v>#NAME?</v>
      </c>
      <c r="L77" s="184"/>
      <c r="M77" s="1166"/>
      <c r="N77" s="1166"/>
      <c r="O77" s="1183"/>
    </row>
    <row r="78" spans="2:16" x14ac:dyDescent="0.2">
      <c r="B78" s="1164">
        <v>68</v>
      </c>
      <c r="C78" s="1131">
        <v>35</v>
      </c>
      <c r="D78" s="1132">
        <f t="shared" si="23"/>
        <v>64.539999999999992</v>
      </c>
      <c r="E78" s="1133">
        <f t="shared" si="13"/>
        <v>1.0338316020199998</v>
      </c>
      <c r="F78" s="1133">
        <f t="shared" si="24"/>
        <v>8.6277430330874747</v>
      </c>
      <c r="G78" s="1134">
        <v>3.77</v>
      </c>
      <c r="H78" s="1134">
        <f t="shared" si="15"/>
        <v>3.6466287088088727</v>
      </c>
      <c r="I78" s="1135">
        <f t="shared" si="25"/>
        <v>0.9032</v>
      </c>
      <c r="J78" s="1136" t="e">
        <f t="shared" si="26"/>
        <v>#NAME?</v>
      </c>
      <c r="L78" s="184"/>
      <c r="M78" s="1166"/>
      <c r="N78" s="1166"/>
      <c r="O78" s="1183"/>
    </row>
    <row r="79" spans="2:16" ht="13.5" thickBot="1" x14ac:dyDescent="0.25">
      <c r="B79" s="1174">
        <v>69</v>
      </c>
      <c r="C79" s="1142">
        <v>35</v>
      </c>
      <c r="D79" s="1143">
        <f t="shared" si="23"/>
        <v>64.524999999999991</v>
      </c>
      <c r="E79" s="1144">
        <f t="shared" si="13"/>
        <v>1.033591325075</v>
      </c>
      <c r="F79" s="1144">
        <f t="shared" si="24"/>
        <v>8.6257378247593621</v>
      </c>
      <c r="G79" s="1145">
        <v>3.69</v>
      </c>
      <c r="H79" s="1145">
        <f t="shared" si="15"/>
        <v>3.5700764030041028</v>
      </c>
      <c r="I79" s="1135">
        <f t="shared" si="25"/>
        <v>0.90360000000000007</v>
      </c>
      <c r="J79" s="1147" t="e">
        <f t="shared" si="26"/>
        <v>#NAME?</v>
      </c>
      <c r="L79" s="184"/>
      <c r="M79" s="1166"/>
      <c r="N79" s="1166"/>
      <c r="O79" s="1183"/>
    </row>
    <row r="80" spans="2:16" x14ac:dyDescent="0.2">
      <c r="B80" s="1119">
        <v>70</v>
      </c>
      <c r="C80" s="1120">
        <v>35</v>
      </c>
      <c r="D80" s="1121">
        <v>64.5</v>
      </c>
      <c r="E80" s="1122">
        <f t="shared" si="13"/>
        <v>1.0331908635</v>
      </c>
      <c r="F80" s="1122">
        <f>D80/7.4805195</f>
        <v>8.6223958108791781</v>
      </c>
      <c r="G80" s="1121">
        <v>3.61</v>
      </c>
      <c r="H80" s="1121">
        <f t="shared" si="15"/>
        <v>3.4940301231186797</v>
      </c>
      <c r="I80" s="1123">
        <v>0.90400000000000003</v>
      </c>
      <c r="J80" s="1124" t="e">
        <f t="shared" si="26"/>
        <v>#NAME?</v>
      </c>
      <c r="L80" s="1125">
        <f>B80</f>
        <v>70</v>
      </c>
      <c r="M80" s="1126">
        <f>D80</f>
        <v>64.5</v>
      </c>
      <c r="N80" s="1126"/>
      <c r="O80" s="1127">
        <f>I80</f>
        <v>0.90400000000000003</v>
      </c>
      <c r="P80" s="1166"/>
    </row>
    <row r="81" spans="2:16" x14ac:dyDescent="0.2">
      <c r="B81" s="1164">
        <v>71</v>
      </c>
      <c r="C81" s="1131">
        <v>35</v>
      </c>
      <c r="D81" s="1132">
        <f t="shared" ref="D81:D89" si="27">FORECAST(B81,$M$70:$M$71,$L$70:$L$71)</f>
        <v>64.483999999999995</v>
      </c>
      <c r="E81" s="1133">
        <f t="shared" si="13"/>
        <v>1.0329345680919999</v>
      </c>
      <c r="F81" s="1133">
        <f t="shared" ref="F81:F89" si="28">D81/7.4805195</f>
        <v>8.6202569219958587</v>
      </c>
      <c r="G81" s="1134">
        <v>3.53</v>
      </c>
      <c r="H81" s="1134">
        <f t="shared" si="15"/>
        <v>3.4174478316864647</v>
      </c>
      <c r="I81" s="1135">
        <f>FORECAST(B81,$O$70:$O$71,$L$70:$L$71)</f>
        <v>0.90439999999999998</v>
      </c>
      <c r="J81" s="1136" t="e">
        <f t="shared" si="26"/>
        <v>#NAME?</v>
      </c>
      <c r="L81" s="1125">
        <f>B90</f>
        <v>80</v>
      </c>
      <c r="M81" s="1126">
        <f>D90</f>
        <v>64.319999999999993</v>
      </c>
      <c r="N81" s="1126"/>
      <c r="O81" s="1127">
        <f>I90</f>
        <v>0.90800000000000003</v>
      </c>
      <c r="P81" s="1166"/>
    </row>
    <row r="82" spans="2:16" x14ac:dyDescent="0.2">
      <c r="B82" s="1164">
        <v>72</v>
      </c>
      <c r="C82" s="1131">
        <v>35</v>
      </c>
      <c r="D82" s="1132">
        <f t="shared" si="27"/>
        <v>64.468000000000004</v>
      </c>
      <c r="E82" s="1133">
        <f t="shared" si="13"/>
        <v>1.032678272684</v>
      </c>
      <c r="F82" s="1133">
        <f t="shared" si="28"/>
        <v>8.6181180331125411</v>
      </c>
      <c r="G82" s="1134">
        <v>3.46</v>
      </c>
      <c r="H82" s="1134">
        <f t="shared" si="15"/>
        <v>3.3505110851293773</v>
      </c>
      <c r="I82" s="1135">
        <f t="shared" ref="I82:I89" si="29">FORECAST(B82,$O$70:$O$71,$L$70:$L$71)</f>
        <v>0.90480000000000005</v>
      </c>
      <c r="J82" s="1136" t="e">
        <f t="shared" si="26"/>
        <v>#NAME?</v>
      </c>
      <c r="L82" s="184"/>
      <c r="M82" s="1166"/>
      <c r="N82" s="1166"/>
      <c r="O82" s="1183"/>
    </row>
    <row r="83" spans="2:16" x14ac:dyDescent="0.2">
      <c r="B83" s="1164">
        <v>73</v>
      </c>
      <c r="C83" s="1131">
        <v>35</v>
      </c>
      <c r="D83" s="1132">
        <f t="shared" si="27"/>
        <v>64.451999999999998</v>
      </c>
      <c r="E83" s="1133">
        <f t="shared" si="13"/>
        <v>1.0324219772759999</v>
      </c>
      <c r="F83" s="1133">
        <f t="shared" si="28"/>
        <v>8.6159791442292217</v>
      </c>
      <c r="G83" s="1134">
        <v>3.39</v>
      </c>
      <c r="H83" s="1134">
        <f t="shared" si="15"/>
        <v>3.2835411049117398</v>
      </c>
      <c r="I83" s="1135">
        <f t="shared" si="29"/>
        <v>0.9052</v>
      </c>
      <c r="J83" s="1136" t="e">
        <f t="shared" si="26"/>
        <v>#NAME?</v>
      </c>
      <c r="L83" s="184"/>
      <c r="M83" s="1166"/>
      <c r="N83" s="1166"/>
      <c r="O83" s="1183"/>
    </row>
    <row r="84" spans="2:16" ht="13.5" thickBot="1" x14ac:dyDescent="0.25">
      <c r="B84" s="1174">
        <v>74</v>
      </c>
      <c r="C84" s="1142">
        <v>35</v>
      </c>
      <c r="D84" s="1143">
        <f t="shared" si="27"/>
        <v>64.436000000000007</v>
      </c>
      <c r="E84" s="1144">
        <f t="shared" si="13"/>
        <v>1.0321656818680001</v>
      </c>
      <c r="F84" s="1144">
        <f t="shared" si="28"/>
        <v>8.6138402553459041</v>
      </c>
      <c r="G84" s="1145">
        <v>3.31</v>
      </c>
      <c r="H84" s="1145">
        <f t="shared" si="15"/>
        <v>3.2068494992098602</v>
      </c>
      <c r="I84" s="1146">
        <f t="shared" si="29"/>
        <v>0.90560000000000007</v>
      </c>
      <c r="J84" s="1147" t="e">
        <f t="shared" si="26"/>
        <v>#NAME?</v>
      </c>
      <c r="L84" s="184"/>
      <c r="M84" s="1166"/>
      <c r="N84" s="1166"/>
      <c r="O84" s="1183"/>
    </row>
    <row r="85" spans="2:16" x14ac:dyDescent="0.2">
      <c r="B85" s="1172">
        <v>75</v>
      </c>
      <c r="C85" s="1149">
        <v>35</v>
      </c>
      <c r="D85" s="1150">
        <f t="shared" si="27"/>
        <v>64.42</v>
      </c>
      <c r="E85" s="1122">
        <f t="shared" si="13"/>
        <v>1.03190938646</v>
      </c>
      <c r="F85" s="1122">
        <f t="shared" si="28"/>
        <v>8.611701366462583</v>
      </c>
      <c r="G85" s="1121">
        <v>3.25</v>
      </c>
      <c r="H85" s="1121">
        <f t="shared" si="15"/>
        <v>3.1495013444438515</v>
      </c>
      <c r="I85" s="1173">
        <f t="shared" si="29"/>
        <v>0.90600000000000003</v>
      </c>
      <c r="J85" s="1124" t="e">
        <f t="shared" si="26"/>
        <v>#NAME?</v>
      </c>
      <c r="L85" s="184"/>
      <c r="M85" s="1166"/>
      <c r="N85" s="1166"/>
      <c r="O85" s="1183"/>
    </row>
    <row r="86" spans="2:16" x14ac:dyDescent="0.2">
      <c r="B86" s="1164">
        <v>76</v>
      </c>
      <c r="C86" s="1131">
        <v>35</v>
      </c>
      <c r="D86" s="1132">
        <f t="shared" si="27"/>
        <v>64.403999999999996</v>
      </c>
      <c r="E86" s="1133">
        <f t="shared" si="13"/>
        <v>1.0316530910519999</v>
      </c>
      <c r="F86" s="1133">
        <f t="shared" si="28"/>
        <v>8.6095624775792636</v>
      </c>
      <c r="G86" s="1134">
        <v>3.18</v>
      </c>
      <c r="H86" s="1134">
        <f t="shared" si="15"/>
        <v>3.0824315146066033</v>
      </c>
      <c r="I86" s="1135">
        <f t="shared" si="29"/>
        <v>0.90639999999999998</v>
      </c>
      <c r="J86" s="1136" t="e">
        <f t="shared" si="26"/>
        <v>#NAME?</v>
      </c>
      <c r="L86" s="184"/>
      <c r="M86" s="1166"/>
      <c r="N86" s="1166"/>
      <c r="O86" s="1183"/>
    </row>
    <row r="87" spans="2:16" x14ac:dyDescent="0.2">
      <c r="B87" s="1164">
        <v>77</v>
      </c>
      <c r="C87" s="1131">
        <v>35</v>
      </c>
      <c r="D87" s="1132">
        <f t="shared" si="27"/>
        <v>64.388000000000005</v>
      </c>
      <c r="E87" s="1133">
        <f t="shared" si="13"/>
        <v>1.031396795644</v>
      </c>
      <c r="F87" s="1133">
        <f t="shared" si="28"/>
        <v>8.607423588695946</v>
      </c>
      <c r="G87" s="1134">
        <v>3.11</v>
      </c>
      <c r="H87" s="1134">
        <f t="shared" si="15"/>
        <v>3.0153283519347456</v>
      </c>
      <c r="I87" s="1135">
        <f t="shared" si="29"/>
        <v>0.90680000000000005</v>
      </c>
      <c r="J87" s="1136" t="e">
        <f t="shared" si="26"/>
        <v>#NAME?</v>
      </c>
      <c r="L87" s="184"/>
      <c r="M87" s="1166"/>
      <c r="N87" s="1166"/>
      <c r="O87" s="1183"/>
    </row>
    <row r="88" spans="2:16" x14ac:dyDescent="0.2">
      <c r="B88" s="1164">
        <v>78</v>
      </c>
      <c r="C88" s="1131">
        <v>35</v>
      </c>
      <c r="D88" s="1132">
        <f t="shared" si="27"/>
        <v>64.372</v>
      </c>
      <c r="E88" s="1133">
        <f t="shared" si="13"/>
        <v>1.0311405002359999</v>
      </c>
      <c r="F88" s="1133">
        <f t="shared" si="28"/>
        <v>8.6052846998126267</v>
      </c>
      <c r="G88" s="1134">
        <v>3.05</v>
      </c>
      <c r="H88" s="1134">
        <f t="shared" si="15"/>
        <v>2.957889831019088</v>
      </c>
      <c r="I88" s="1135">
        <f t="shared" si="29"/>
        <v>0.90720000000000001</v>
      </c>
      <c r="J88" s="1136" t="e">
        <f t="shared" si="26"/>
        <v>#NAME?</v>
      </c>
      <c r="L88" s="184"/>
      <c r="M88" s="1166"/>
      <c r="N88" s="1166"/>
      <c r="O88" s="1183"/>
    </row>
    <row r="89" spans="2:16" ht="13.5" thickBot="1" x14ac:dyDescent="0.25">
      <c r="B89" s="1174">
        <v>79</v>
      </c>
      <c r="C89" s="1142">
        <v>35</v>
      </c>
      <c r="D89" s="1143">
        <f t="shared" si="27"/>
        <v>64.356000000000009</v>
      </c>
      <c r="E89" s="1144">
        <f t="shared" si="13"/>
        <v>1.0308842048280003</v>
      </c>
      <c r="F89" s="1144">
        <f t="shared" si="28"/>
        <v>8.6031458109293091</v>
      </c>
      <c r="G89" s="1145">
        <v>2.99</v>
      </c>
      <c r="H89" s="1145">
        <f t="shared" si="15"/>
        <v>2.90042274971016</v>
      </c>
      <c r="I89" s="1135">
        <f t="shared" si="29"/>
        <v>0.90760000000000007</v>
      </c>
      <c r="J89" s="1147" t="e">
        <f t="shared" si="26"/>
        <v>#NAME?</v>
      </c>
      <c r="L89" s="184"/>
      <c r="M89" s="1166"/>
      <c r="N89" s="1166"/>
      <c r="O89" s="1183"/>
    </row>
    <row r="90" spans="2:16" x14ac:dyDescent="0.2">
      <c r="B90" s="1119">
        <v>80</v>
      </c>
      <c r="C90" s="1120">
        <v>35</v>
      </c>
      <c r="D90" s="1121">
        <v>64.319999999999993</v>
      </c>
      <c r="E90" s="1122">
        <f t="shared" si="13"/>
        <v>1.0303075401599999</v>
      </c>
      <c r="F90" s="1122">
        <f>D90/7.4805195</f>
        <v>8.5983333109418396</v>
      </c>
      <c r="G90" s="1121">
        <v>2.93</v>
      </c>
      <c r="H90" s="1121">
        <f t="shared" si="15"/>
        <v>2.8438110814417517</v>
      </c>
      <c r="I90" s="1123">
        <v>0.90800000000000003</v>
      </c>
      <c r="J90" s="1124" t="e">
        <f t="shared" si="26"/>
        <v>#NAME?</v>
      </c>
      <c r="L90" s="1125">
        <f>B90</f>
        <v>80</v>
      </c>
      <c r="M90" s="1126">
        <f>D90</f>
        <v>64.319999999999993</v>
      </c>
      <c r="N90" s="1126"/>
      <c r="O90" s="1127">
        <f>I90</f>
        <v>0.90800000000000003</v>
      </c>
      <c r="P90" s="1166"/>
    </row>
    <row r="91" spans="2:16" x14ac:dyDescent="0.2">
      <c r="B91" s="1164">
        <v>81</v>
      </c>
      <c r="C91" s="1131">
        <v>35</v>
      </c>
      <c r="D91" s="1132">
        <f t="shared" ref="D91:D99" si="30">FORECAST(B91,$M$80:$M$81,$L$80:$L$81)</f>
        <v>64.301999999999992</v>
      </c>
      <c r="E91" s="1133">
        <f t="shared" si="13"/>
        <v>1.030019207826</v>
      </c>
      <c r="F91" s="1133">
        <f t="shared" ref="F91:F99" si="31">D91/7.4805195</f>
        <v>8.5959270609481067</v>
      </c>
      <c r="G91" s="1134">
        <v>2.87</v>
      </c>
      <c r="H91" s="1134">
        <f t="shared" si="15"/>
        <v>2.7863558059830145</v>
      </c>
      <c r="I91" s="1135">
        <f>FORECAST(B91,$O$80:$O$81,$L$80:$L$81)</f>
        <v>0.90839999999999999</v>
      </c>
      <c r="J91" s="1136" t="e">
        <f t="shared" si="26"/>
        <v>#NAME?</v>
      </c>
      <c r="L91" s="1125">
        <f>B100</f>
        <v>90</v>
      </c>
      <c r="M91" s="1126">
        <f>D100</f>
        <v>64.14</v>
      </c>
      <c r="N91" s="1126"/>
      <c r="O91" s="1127">
        <f>I100</f>
        <v>0.91200000000000003</v>
      </c>
      <c r="P91" s="1166"/>
    </row>
    <row r="92" spans="2:16" x14ac:dyDescent="0.2">
      <c r="B92" s="1164">
        <v>82</v>
      </c>
      <c r="C92" s="1131">
        <v>35</v>
      </c>
      <c r="D92" s="1132">
        <f t="shared" si="30"/>
        <v>64.283999999999992</v>
      </c>
      <c r="E92" s="1133">
        <f t="shared" si="13"/>
        <v>1.0297308754919998</v>
      </c>
      <c r="F92" s="1133">
        <f t="shared" si="31"/>
        <v>8.5935208109543719</v>
      </c>
      <c r="G92" s="1134">
        <v>2.82</v>
      </c>
      <c r="H92" s="1134">
        <f t="shared" si="15"/>
        <v>2.7385796299956717</v>
      </c>
      <c r="I92" s="1135">
        <f t="shared" ref="I92:I99" si="32">FORECAST(B92,$O$80:$O$81,$L$80:$L$81)</f>
        <v>0.90880000000000005</v>
      </c>
      <c r="J92" s="1136" t="e">
        <f t="shared" si="26"/>
        <v>#NAME?</v>
      </c>
      <c r="L92" s="184"/>
      <c r="M92" s="1166"/>
      <c r="N92" s="1166"/>
      <c r="O92" s="1183"/>
    </row>
    <row r="93" spans="2:16" x14ac:dyDescent="0.2">
      <c r="B93" s="1164">
        <v>83</v>
      </c>
      <c r="C93" s="1131">
        <v>35</v>
      </c>
      <c r="D93" s="1132">
        <f t="shared" si="30"/>
        <v>64.265999999999991</v>
      </c>
      <c r="E93" s="1133">
        <f t="shared" si="13"/>
        <v>1.0294425431579999</v>
      </c>
      <c r="F93" s="1133">
        <f t="shared" si="31"/>
        <v>8.591114560960639</v>
      </c>
      <c r="G93" s="1134">
        <v>2.76</v>
      </c>
      <c r="H93" s="1134">
        <f t="shared" si="15"/>
        <v>2.681062695867614</v>
      </c>
      <c r="I93" s="1135">
        <f t="shared" si="32"/>
        <v>0.90920000000000001</v>
      </c>
      <c r="J93" s="1136" t="e">
        <f t="shared" si="26"/>
        <v>#NAME?</v>
      </c>
      <c r="L93" s="184"/>
      <c r="M93" s="1166"/>
      <c r="N93" s="1166"/>
      <c r="O93" s="1183"/>
    </row>
    <row r="94" spans="2:16" ht="13.5" thickBot="1" x14ac:dyDescent="0.25">
      <c r="B94" s="1174">
        <v>84</v>
      </c>
      <c r="C94" s="1142">
        <v>35</v>
      </c>
      <c r="D94" s="1143">
        <f t="shared" si="30"/>
        <v>64.24799999999999</v>
      </c>
      <c r="E94" s="1144">
        <f t="shared" si="13"/>
        <v>1.0291542108239999</v>
      </c>
      <c r="F94" s="1144">
        <f t="shared" si="31"/>
        <v>8.5887083109669042</v>
      </c>
      <c r="G94" s="1145">
        <v>2.71</v>
      </c>
      <c r="H94" s="1145">
        <f t="shared" si="15"/>
        <v>2.6332302501393046</v>
      </c>
      <c r="I94" s="1146">
        <f t="shared" si="32"/>
        <v>0.90960000000000008</v>
      </c>
      <c r="J94" s="1147" t="e">
        <f t="shared" si="26"/>
        <v>#NAME?</v>
      </c>
      <c r="L94" s="184"/>
      <c r="M94" s="1166"/>
      <c r="N94" s="1166"/>
      <c r="O94" s="1183"/>
    </row>
    <row r="95" spans="2:16" x14ac:dyDescent="0.2">
      <c r="B95" s="1172">
        <v>85</v>
      </c>
      <c r="C95" s="1149">
        <v>35</v>
      </c>
      <c r="D95" s="1150">
        <f t="shared" si="30"/>
        <v>64.22999999999999</v>
      </c>
      <c r="E95" s="1122">
        <f t="shared" si="13"/>
        <v>1.0288658784899998</v>
      </c>
      <c r="F95" s="1122">
        <f t="shared" si="31"/>
        <v>8.5863020609731713</v>
      </c>
      <c r="G95" s="1121">
        <v>2.66</v>
      </c>
      <c r="H95" s="1121">
        <f t="shared" si="15"/>
        <v>2.5853709950065706</v>
      </c>
      <c r="I95" s="1173">
        <f t="shared" si="32"/>
        <v>0.91</v>
      </c>
      <c r="J95" s="1124" t="e">
        <f t="shared" si="26"/>
        <v>#NAME?</v>
      </c>
      <c r="L95" s="184"/>
      <c r="M95" s="1166"/>
      <c r="N95" s="1166"/>
      <c r="O95" s="1183"/>
    </row>
    <row r="96" spans="2:16" x14ac:dyDescent="0.2">
      <c r="B96" s="1164">
        <v>86</v>
      </c>
      <c r="C96" s="1131">
        <v>35</v>
      </c>
      <c r="D96" s="1132">
        <f t="shared" si="30"/>
        <v>64.211999999999989</v>
      </c>
      <c r="E96" s="1133">
        <f t="shared" si="13"/>
        <v>1.0285775461559998</v>
      </c>
      <c r="F96" s="1133">
        <f t="shared" si="31"/>
        <v>8.5838958109794365</v>
      </c>
      <c r="G96" s="1134">
        <v>2.61</v>
      </c>
      <c r="H96" s="1134">
        <f t="shared" si="15"/>
        <v>2.5374849079236586</v>
      </c>
      <c r="I96" s="1135">
        <f t="shared" si="32"/>
        <v>0.91039999999999999</v>
      </c>
      <c r="J96" s="1136" t="e">
        <f t="shared" si="26"/>
        <v>#NAME?</v>
      </c>
      <c r="L96" s="184"/>
      <c r="M96" s="1166"/>
      <c r="N96" s="1166"/>
      <c r="O96" s="1183"/>
    </row>
    <row r="97" spans="2:16" x14ac:dyDescent="0.2">
      <c r="B97" s="1164">
        <v>87</v>
      </c>
      <c r="C97" s="1131">
        <v>35</v>
      </c>
      <c r="D97" s="1132">
        <f t="shared" si="30"/>
        <v>64.193999999999988</v>
      </c>
      <c r="E97" s="1133">
        <f t="shared" si="13"/>
        <v>1.0282892138219999</v>
      </c>
      <c r="F97" s="1133">
        <f t="shared" si="31"/>
        <v>8.5814895609857036</v>
      </c>
      <c r="G97" s="1134">
        <v>2.56</v>
      </c>
      <c r="H97" s="1134">
        <f t="shared" si="15"/>
        <v>2.4895719663195304</v>
      </c>
      <c r="I97" s="1135">
        <f t="shared" si="32"/>
        <v>0.91080000000000005</v>
      </c>
      <c r="J97" s="1136" t="e">
        <f t="shared" si="26"/>
        <v>#NAME?</v>
      </c>
      <c r="L97" s="184"/>
      <c r="M97" s="1166"/>
      <c r="N97" s="1166"/>
      <c r="O97" s="1183"/>
    </row>
    <row r="98" spans="2:16" x14ac:dyDescent="0.2">
      <c r="B98" s="1164">
        <v>88</v>
      </c>
      <c r="C98" s="1131">
        <v>35</v>
      </c>
      <c r="D98" s="1132">
        <f t="shared" si="30"/>
        <v>64.175999999999988</v>
      </c>
      <c r="E98" s="1133">
        <f t="shared" si="13"/>
        <v>1.0280008814879997</v>
      </c>
      <c r="F98" s="1133">
        <f t="shared" si="31"/>
        <v>8.5790833109919689</v>
      </c>
      <c r="G98" s="1134">
        <v>2.5099999999999998</v>
      </c>
      <c r="H98" s="1134">
        <f t="shared" si="15"/>
        <v>2.4416321475978231</v>
      </c>
      <c r="I98" s="1135">
        <f t="shared" si="32"/>
        <v>0.91120000000000001</v>
      </c>
      <c r="J98" s="1136" t="e">
        <f t="shared" si="26"/>
        <v>#NAME?</v>
      </c>
      <c r="L98" s="184"/>
      <c r="M98" s="1166"/>
      <c r="N98" s="1166"/>
      <c r="O98" s="1183"/>
    </row>
    <row r="99" spans="2:16" ht="13.5" thickBot="1" x14ac:dyDescent="0.25">
      <c r="B99" s="1174">
        <v>89</v>
      </c>
      <c r="C99" s="1142">
        <v>35</v>
      </c>
      <c r="D99" s="1143">
        <f t="shared" si="30"/>
        <v>64.157999999999987</v>
      </c>
      <c r="E99" s="1144">
        <f t="shared" si="13"/>
        <v>1.0277125491539998</v>
      </c>
      <c r="F99" s="1144">
        <f t="shared" si="31"/>
        <v>8.5766770609982359</v>
      </c>
      <c r="G99" s="1145">
        <v>2.4700000000000002</v>
      </c>
      <c r="H99" s="1145">
        <f t="shared" si="15"/>
        <v>2.40339577640973</v>
      </c>
      <c r="I99" s="1135">
        <f t="shared" si="32"/>
        <v>0.91160000000000008</v>
      </c>
      <c r="J99" s="1147" t="e">
        <f t="shared" si="26"/>
        <v>#NAME?</v>
      </c>
      <c r="L99" s="184"/>
      <c r="M99" s="1166"/>
      <c r="N99" s="1166"/>
      <c r="O99" s="1183"/>
    </row>
    <row r="100" spans="2:16" x14ac:dyDescent="0.2">
      <c r="B100" s="1119">
        <v>90</v>
      </c>
      <c r="C100" s="1120">
        <v>35</v>
      </c>
      <c r="D100" s="1121">
        <v>64.14</v>
      </c>
      <c r="E100" s="1122">
        <f t="shared" si="13"/>
        <v>1.0274242168200001</v>
      </c>
      <c r="F100" s="1122">
        <f>D100/7.4805195</f>
        <v>8.5742708110045029</v>
      </c>
      <c r="G100" s="1121">
        <v>2.42</v>
      </c>
      <c r="H100" s="1121">
        <f t="shared" si="15"/>
        <v>2.3554048662491014</v>
      </c>
      <c r="I100" s="1123">
        <v>0.91200000000000003</v>
      </c>
      <c r="J100" s="1124" t="e">
        <f t="shared" si="26"/>
        <v>#NAME?</v>
      </c>
      <c r="L100" s="1125">
        <f>B100</f>
        <v>90</v>
      </c>
      <c r="M100" s="1126">
        <f>D100</f>
        <v>64.14</v>
      </c>
      <c r="N100" s="1126"/>
      <c r="O100" s="1127">
        <f>I100</f>
        <v>0.91200000000000003</v>
      </c>
      <c r="P100" s="1166"/>
    </row>
    <row r="101" spans="2:16" x14ac:dyDescent="0.2">
      <c r="B101" s="1164">
        <v>91</v>
      </c>
      <c r="C101" s="1131">
        <v>35</v>
      </c>
      <c r="D101" s="1132">
        <f t="shared" ref="D101:D109" si="33">FORECAST(B101,$M$90:$M$91,$L$90:$L$91)</f>
        <v>64.121999999999986</v>
      </c>
      <c r="E101" s="1133">
        <f t="shared" si="13"/>
        <v>1.0271358844859997</v>
      </c>
      <c r="F101" s="1133">
        <f t="shared" ref="F101:F109" si="34">D101/7.4805195</f>
        <v>8.5718645610107682</v>
      </c>
      <c r="G101" s="1134">
        <v>2.38</v>
      </c>
      <c r="H101" s="1134">
        <f t="shared" si="15"/>
        <v>2.3171228227421943</v>
      </c>
      <c r="I101" s="1135">
        <f>FORECAST(B101,$O$90:$O$91,$L$90:$L$91)</f>
        <v>0.91239999999999999</v>
      </c>
      <c r="J101" s="1136" t="e">
        <f t="shared" si="26"/>
        <v>#NAME?</v>
      </c>
      <c r="L101" s="1125">
        <f>B110</f>
        <v>100</v>
      </c>
      <c r="M101" s="1126">
        <f>D110</f>
        <v>63.95</v>
      </c>
      <c r="N101" s="1126"/>
      <c r="O101" s="1127">
        <f>I110</f>
        <v>0.91600000000000004</v>
      </c>
      <c r="P101" s="1166"/>
    </row>
    <row r="102" spans="2:16" x14ac:dyDescent="0.2">
      <c r="B102" s="1164">
        <v>92</v>
      </c>
      <c r="C102" s="1131">
        <v>35</v>
      </c>
      <c r="D102" s="1132">
        <f t="shared" si="33"/>
        <v>64.103999999999985</v>
      </c>
      <c r="E102" s="1133">
        <f t="shared" si="13"/>
        <v>1.0268475521519997</v>
      </c>
      <c r="F102" s="1133">
        <f t="shared" si="34"/>
        <v>8.5694583110170335</v>
      </c>
      <c r="G102" s="1134">
        <v>2.33</v>
      </c>
      <c r="H102" s="1134">
        <f t="shared" si="15"/>
        <v>2.2690807365873726</v>
      </c>
      <c r="I102" s="1135">
        <f t="shared" ref="I102:I109" si="35">FORECAST(B102,$O$90:$O$91,$L$90:$L$91)</f>
        <v>0.91280000000000006</v>
      </c>
      <c r="J102" s="1136" t="e">
        <f t="shared" si="26"/>
        <v>#NAME?</v>
      </c>
      <c r="L102" s="184"/>
      <c r="M102" s="1166"/>
      <c r="N102" s="1166"/>
      <c r="O102" s="1183"/>
    </row>
    <row r="103" spans="2:16" x14ac:dyDescent="0.2">
      <c r="B103" s="1164">
        <v>93</v>
      </c>
      <c r="C103" s="1131">
        <v>35</v>
      </c>
      <c r="D103" s="1132">
        <f t="shared" si="33"/>
        <v>64.085999999999984</v>
      </c>
      <c r="E103" s="1133">
        <f t="shared" si="13"/>
        <v>1.0265592198179998</v>
      </c>
      <c r="F103" s="1133">
        <f t="shared" si="34"/>
        <v>8.5670520610233005</v>
      </c>
      <c r="G103" s="1134">
        <v>2.29</v>
      </c>
      <c r="H103" s="1134">
        <f t="shared" si="15"/>
        <v>2.2307529422472068</v>
      </c>
      <c r="I103" s="1135">
        <f t="shared" si="35"/>
        <v>0.91320000000000001</v>
      </c>
      <c r="J103" s="1136" t="e">
        <f t="shared" si="26"/>
        <v>#NAME?</v>
      </c>
      <c r="L103" s="184"/>
      <c r="M103" s="1166"/>
      <c r="N103" s="1166"/>
      <c r="O103" s="1183"/>
    </row>
    <row r="104" spans="2:16" ht="13.5" thickBot="1" x14ac:dyDescent="0.25">
      <c r="B104" s="1174">
        <v>94</v>
      </c>
      <c r="C104" s="1142">
        <v>35</v>
      </c>
      <c r="D104" s="1143">
        <f t="shared" si="33"/>
        <v>64.067999999999984</v>
      </c>
      <c r="E104" s="1144">
        <f t="shared" si="13"/>
        <v>1.0262708874839996</v>
      </c>
      <c r="F104" s="1144">
        <f t="shared" si="34"/>
        <v>8.5646458110295658</v>
      </c>
      <c r="G104" s="1145">
        <v>2.25</v>
      </c>
      <c r="H104" s="1145">
        <f t="shared" si="15"/>
        <v>2.1924036114052581</v>
      </c>
      <c r="I104" s="1146">
        <f t="shared" si="35"/>
        <v>0.91360000000000008</v>
      </c>
      <c r="J104" s="1147" t="e">
        <f t="shared" si="26"/>
        <v>#NAME?</v>
      </c>
      <c r="L104" s="184"/>
      <c r="M104" s="1166"/>
      <c r="N104" s="1166"/>
      <c r="O104" s="1183"/>
    </row>
    <row r="105" spans="2:16" x14ac:dyDescent="0.2">
      <c r="B105" s="1172">
        <v>95</v>
      </c>
      <c r="C105" s="1149">
        <v>35</v>
      </c>
      <c r="D105" s="1150">
        <f t="shared" si="33"/>
        <v>64.05</v>
      </c>
      <c r="E105" s="1122">
        <f t="shared" ref="E105:E168" si="36">D105*0.016018463</f>
        <v>1.0259825551499999</v>
      </c>
      <c r="F105" s="1122">
        <f t="shared" si="34"/>
        <v>8.5622395610358346</v>
      </c>
      <c r="G105" s="1121">
        <v>2.21</v>
      </c>
      <c r="H105" s="1121">
        <f t="shared" ref="H105:H168" si="37">G105/E105</f>
        <v>2.1540327259042873</v>
      </c>
      <c r="I105" s="1173">
        <f t="shared" si="35"/>
        <v>0.91400000000000003</v>
      </c>
      <c r="J105" s="1124" t="e">
        <f t="shared" si="26"/>
        <v>#NAME?</v>
      </c>
      <c r="L105" s="184"/>
      <c r="M105" s="1166"/>
      <c r="N105" s="1166"/>
      <c r="O105" s="1183"/>
    </row>
    <row r="106" spans="2:16" x14ac:dyDescent="0.2">
      <c r="B106" s="1164">
        <v>96</v>
      </c>
      <c r="C106" s="1131">
        <v>35</v>
      </c>
      <c r="D106" s="1132">
        <f t="shared" si="33"/>
        <v>64.031999999999996</v>
      </c>
      <c r="E106" s="1133">
        <f t="shared" si="36"/>
        <v>1.025694222816</v>
      </c>
      <c r="F106" s="1133">
        <f t="shared" si="34"/>
        <v>8.5598333110420999</v>
      </c>
      <c r="G106" s="1134">
        <v>2.1800000000000002</v>
      </c>
      <c r="H106" s="1134">
        <f t="shared" si="37"/>
        <v>2.1253897618872246</v>
      </c>
      <c r="I106" s="1135">
        <f t="shared" si="35"/>
        <v>0.91439999999999999</v>
      </c>
      <c r="J106" s="1136" t="e">
        <f t="shared" si="26"/>
        <v>#NAME?</v>
      </c>
      <c r="L106" s="184"/>
      <c r="M106" s="1166"/>
      <c r="N106" s="1166"/>
      <c r="O106" s="1183"/>
    </row>
    <row r="107" spans="2:16" x14ac:dyDescent="0.2">
      <c r="B107" s="1164">
        <v>97</v>
      </c>
      <c r="C107" s="1131">
        <v>35</v>
      </c>
      <c r="D107" s="1132">
        <f t="shared" si="33"/>
        <v>64.013999999999996</v>
      </c>
      <c r="E107" s="1133">
        <f t="shared" si="36"/>
        <v>1.025405890482</v>
      </c>
      <c r="F107" s="1133">
        <f t="shared" si="34"/>
        <v>8.5574270610483669</v>
      </c>
      <c r="G107" s="1134">
        <v>2.14</v>
      </c>
      <c r="H107" s="1134">
        <f t="shared" si="37"/>
        <v>2.0869784539603886</v>
      </c>
      <c r="I107" s="1135">
        <f t="shared" si="35"/>
        <v>0.91480000000000006</v>
      </c>
      <c r="J107" s="1136" t="e">
        <f t="shared" si="26"/>
        <v>#NAME?</v>
      </c>
      <c r="L107" s="184"/>
      <c r="M107" s="1166"/>
      <c r="N107" s="1166"/>
      <c r="O107" s="1183"/>
    </row>
    <row r="108" spans="2:16" x14ac:dyDescent="0.2">
      <c r="B108" s="1164">
        <v>98</v>
      </c>
      <c r="C108" s="1131">
        <v>35</v>
      </c>
      <c r="D108" s="1132">
        <f t="shared" si="33"/>
        <v>63.995999999999995</v>
      </c>
      <c r="E108" s="1133">
        <f t="shared" si="36"/>
        <v>1.0251175581479999</v>
      </c>
      <c r="F108" s="1133">
        <f t="shared" si="34"/>
        <v>8.5550208110546322</v>
      </c>
      <c r="G108" s="1134">
        <v>2.1</v>
      </c>
      <c r="H108" s="1134">
        <f t="shared" si="37"/>
        <v>2.0485455383223625</v>
      </c>
      <c r="I108" s="1135">
        <f t="shared" si="35"/>
        <v>0.91520000000000001</v>
      </c>
      <c r="J108" s="1136" t="e">
        <f t="shared" si="26"/>
        <v>#NAME?</v>
      </c>
      <c r="L108" s="184"/>
      <c r="M108" s="1166"/>
      <c r="N108" s="1166"/>
      <c r="O108" s="1183"/>
    </row>
    <row r="109" spans="2:16" ht="13.5" thickBot="1" x14ac:dyDescent="0.25">
      <c r="B109" s="1174">
        <v>99</v>
      </c>
      <c r="C109" s="1142">
        <v>35</v>
      </c>
      <c r="D109" s="1143">
        <f t="shared" si="33"/>
        <v>63.977999999999994</v>
      </c>
      <c r="E109" s="1144">
        <f t="shared" si="36"/>
        <v>1.0248292258139999</v>
      </c>
      <c r="F109" s="1144">
        <f t="shared" si="34"/>
        <v>8.5526145610608992</v>
      </c>
      <c r="G109" s="1145">
        <v>2.0699999999999998</v>
      </c>
      <c r="H109" s="1145">
        <f t="shared" si="37"/>
        <v>2.0198487200204922</v>
      </c>
      <c r="I109" s="1135">
        <f t="shared" si="35"/>
        <v>0.91560000000000008</v>
      </c>
      <c r="J109" s="1147" t="e">
        <f t="shared" si="26"/>
        <v>#NAME?</v>
      </c>
      <c r="L109" s="184"/>
      <c r="M109" s="1166"/>
      <c r="N109" s="1166"/>
      <c r="O109" s="1183"/>
    </row>
    <row r="110" spans="2:16" x14ac:dyDescent="0.2">
      <c r="B110" s="1119">
        <v>100</v>
      </c>
      <c r="C110" s="1120">
        <v>35</v>
      </c>
      <c r="D110" s="1121">
        <v>63.95</v>
      </c>
      <c r="E110" s="1122">
        <f t="shared" si="36"/>
        <v>1.0243807088500001</v>
      </c>
      <c r="F110" s="1122">
        <f>D110/7.4805195</f>
        <v>8.548871505515093</v>
      </c>
      <c r="G110" s="1121">
        <v>2.0299999999999998</v>
      </c>
      <c r="H110" s="1121">
        <f t="shared" si="37"/>
        <v>1.9816851122459516</v>
      </c>
      <c r="I110" s="1123">
        <v>0.91600000000000004</v>
      </c>
      <c r="J110" s="1124" t="e">
        <f t="shared" si="26"/>
        <v>#NAME?</v>
      </c>
      <c r="L110" s="1125">
        <f>B110</f>
        <v>100</v>
      </c>
      <c r="M110" s="1126">
        <f>D110</f>
        <v>63.95</v>
      </c>
      <c r="N110" s="1126"/>
      <c r="O110" s="1127">
        <f>I110</f>
        <v>0.91600000000000004</v>
      </c>
      <c r="P110" s="1166"/>
    </row>
    <row r="111" spans="2:16" x14ac:dyDescent="0.2">
      <c r="B111" s="1164">
        <v>101</v>
      </c>
      <c r="C111" s="1131">
        <v>35</v>
      </c>
      <c r="D111" s="1132">
        <f t="shared" ref="D111:D119" si="38">FORECAST(B111,$M$100:$M$101,$L$100:$L$101)</f>
        <v>63.931000000000004</v>
      </c>
      <c r="E111" s="1133">
        <f t="shared" si="36"/>
        <v>1.0240763580530001</v>
      </c>
      <c r="F111" s="1133">
        <f t="shared" ref="F111:F119" si="39">D111/7.4805195</f>
        <v>8.5463315749661515</v>
      </c>
      <c r="G111" s="1134">
        <v>2</v>
      </c>
      <c r="H111" s="1134">
        <f t="shared" si="37"/>
        <v>1.9529793694314461</v>
      </c>
      <c r="I111" s="1135">
        <f>FORECAST(B111,$O$100:$O$101,$L$100:$L$101)</f>
        <v>0.91639999999999999</v>
      </c>
      <c r="J111" s="1136" t="e">
        <f t="shared" si="26"/>
        <v>#NAME?</v>
      </c>
      <c r="L111" s="1125">
        <f>B120</f>
        <v>110</v>
      </c>
      <c r="M111" s="1126">
        <f>D120</f>
        <v>63.75</v>
      </c>
      <c r="N111" s="1126"/>
      <c r="O111" s="1127">
        <f>I120</f>
        <v>0.92</v>
      </c>
      <c r="P111" s="1166"/>
    </row>
    <row r="112" spans="2:16" x14ac:dyDescent="0.2">
      <c r="B112" s="1164">
        <v>102</v>
      </c>
      <c r="C112" s="1131">
        <v>35</v>
      </c>
      <c r="D112" s="1132">
        <f t="shared" si="38"/>
        <v>63.912000000000006</v>
      </c>
      <c r="E112" s="1133">
        <f t="shared" si="36"/>
        <v>1.0237720072560001</v>
      </c>
      <c r="F112" s="1133">
        <f t="shared" si="39"/>
        <v>8.54379164441721</v>
      </c>
      <c r="G112" s="1134">
        <v>1.96</v>
      </c>
      <c r="H112" s="1134">
        <f t="shared" si="37"/>
        <v>1.9144887593218698</v>
      </c>
      <c r="I112" s="1135">
        <f t="shared" ref="I112:I119" si="40">FORECAST(B112,$O$100:$O$101,$L$100:$L$101)</f>
        <v>0.91680000000000006</v>
      </c>
      <c r="J112" s="1136" t="e">
        <f t="shared" si="26"/>
        <v>#NAME?</v>
      </c>
      <c r="L112" s="184"/>
      <c r="M112" s="1166"/>
      <c r="N112" s="1166"/>
      <c r="O112" s="1183"/>
    </row>
    <row r="113" spans="2:16" x14ac:dyDescent="0.2">
      <c r="B113" s="1164">
        <v>103</v>
      </c>
      <c r="C113" s="1131">
        <v>35</v>
      </c>
      <c r="D113" s="1132">
        <f t="shared" si="38"/>
        <v>63.893000000000001</v>
      </c>
      <c r="E113" s="1133">
        <f t="shared" si="36"/>
        <v>1.023467656459</v>
      </c>
      <c r="F113" s="1133">
        <f t="shared" si="39"/>
        <v>8.5412517138682684</v>
      </c>
      <c r="G113" s="1134">
        <v>1.93</v>
      </c>
      <c r="H113" s="1134">
        <f t="shared" si="37"/>
        <v>1.8857459616041277</v>
      </c>
      <c r="I113" s="1135">
        <f t="shared" si="40"/>
        <v>0.91720000000000002</v>
      </c>
      <c r="J113" s="1136" t="e">
        <f t="shared" si="26"/>
        <v>#NAME?</v>
      </c>
      <c r="L113" s="184"/>
      <c r="M113" s="1166"/>
      <c r="N113" s="1166"/>
      <c r="O113" s="1183"/>
    </row>
    <row r="114" spans="2:16" ht="13.5" thickBot="1" x14ac:dyDescent="0.25">
      <c r="B114" s="1174">
        <v>104</v>
      </c>
      <c r="C114" s="1142">
        <v>35</v>
      </c>
      <c r="D114" s="1143">
        <f t="shared" si="38"/>
        <v>63.874000000000002</v>
      </c>
      <c r="E114" s="1144">
        <f t="shared" si="36"/>
        <v>1.023163305662</v>
      </c>
      <c r="F114" s="1144">
        <f t="shared" si="39"/>
        <v>8.5387117833193269</v>
      </c>
      <c r="G114" s="1145">
        <v>1.9</v>
      </c>
      <c r="H114" s="1145">
        <f t="shared" si="37"/>
        <v>1.8569860641852036</v>
      </c>
      <c r="I114" s="1146">
        <f t="shared" si="40"/>
        <v>0.91760000000000008</v>
      </c>
      <c r="J114" s="1147" t="e">
        <f t="shared" si="26"/>
        <v>#NAME?</v>
      </c>
      <c r="L114" s="184"/>
      <c r="M114" s="1166"/>
      <c r="N114" s="1166"/>
      <c r="O114" s="1183"/>
    </row>
    <row r="115" spans="2:16" x14ac:dyDescent="0.2">
      <c r="B115" s="1172">
        <v>105</v>
      </c>
      <c r="C115" s="1149">
        <v>35</v>
      </c>
      <c r="D115" s="1150">
        <f t="shared" si="38"/>
        <v>63.855000000000004</v>
      </c>
      <c r="E115" s="1122">
        <f t="shared" si="36"/>
        <v>1.022858954865</v>
      </c>
      <c r="F115" s="1122">
        <f t="shared" si="39"/>
        <v>8.5361718527703871</v>
      </c>
      <c r="G115" s="1121">
        <v>1.87</v>
      </c>
      <c r="H115" s="1121">
        <f t="shared" si="37"/>
        <v>1.8282090518010945</v>
      </c>
      <c r="I115" s="1173">
        <f t="shared" si="40"/>
        <v>0.91800000000000004</v>
      </c>
      <c r="J115" s="1124" t="e">
        <f t="shared" si="26"/>
        <v>#NAME?</v>
      </c>
      <c r="L115" s="184"/>
      <c r="M115" s="1166"/>
      <c r="N115" s="1166"/>
      <c r="O115" s="1183"/>
    </row>
    <row r="116" spans="2:16" x14ac:dyDescent="0.2">
      <c r="B116" s="1164">
        <v>106</v>
      </c>
      <c r="C116" s="1131">
        <v>35</v>
      </c>
      <c r="D116" s="1132">
        <f t="shared" si="38"/>
        <v>63.836000000000006</v>
      </c>
      <c r="E116" s="1133">
        <f t="shared" si="36"/>
        <v>1.022554604068</v>
      </c>
      <c r="F116" s="1133">
        <f t="shared" si="39"/>
        <v>8.5336319222214456</v>
      </c>
      <c r="G116" s="1134">
        <v>1.84</v>
      </c>
      <c r="H116" s="1134">
        <f t="shared" si="37"/>
        <v>1.799414909169623</v>
      </c>
      <c r="I116" s="1135">
        <f t="shared" si="40"/>
        <v>0.91839999999999999</v>
      </c>
      <c r="J116" s="1136" t="e">
        <f t="shared" si="26"/>
        <v>#NAME?</v>
      </c>
      <c r="L116" s="184"/>
      <c r="M116" s="1166"/>
      <c r="N116" s="1166"/>
      <c r="O116" s="1183"/>
    </row>
    <row r="117" spans="2:16" x14ac:dyDescent="0.2">
      <c r="B117" s="1164">
        <v>107</v>
      </c>
      <c r="C117" s="1131">
        <v>35</v>
      </c>
      <c r="D117" s="1132">
        <f t="shared" si="38"/>
        <v>63.817000000000007</v>
      </c>
      <c r="E117" s="1133">
        <f t="shared" si="36"/>
        <v>1.0222502532710001</v>
      </c>
      <c r="F117" s="1133">
        <f t="shared" si="39"/>
        <v>8.5310919916725041</v>
      </c>
      <c r="G117" s="1134">
        <v>1.81</v>
      </c>
      <c r="H117" s="1134">
        <f t="shared" si="37"/>
        <v>1.7706036209904135</v>
      </c>
      <c r="I117" s="1135">
        <f t="shared" si="40"/>
        <v>0.91880000000000006</v>
      </c>
      <c r="J117" s="1136" t="e">
        <f t="shared" si="26"/>
        <v>#NAME?</v>
      </c>
      <c r="L117" s="184"/>
      <c r="M117" s="1166"/>
      <c r="N117" s="1166"/>
      <c r="O117" s="1183"/>
    </row>
    <row r="118" spans="2:16" x14ac:dyDescent="0.2">
      <c r="B118" s="1164">
        <v>108</v>
      </c>
      <c r="C118" s="1131">
        <v>35</v>
      </c>
      <c r="D118" s="1132">
        <f t="shared" si="38"/>
        <v>63.798000000000002</v>
      </c>
      <c r="E118" s="1133">
        <f t="shared" si="36"/>
        <v>1.0219459024740001</v>
      </c>
      <c r="F118" s="1133">
        <f t="shared" si="39"/>
        <v>8.5285520611235626</v>
      </c>
      <c r="G118" s="1134">
        <v>1.78</v>
      </c>
      <c r="H118" s="1134">
        <f t="shared" si="37"/>
        <v>1.7417751719448633</v>
      </c>
      <c r="I118" s="1135">
        <f t="shared" si="40"/>
        <v>0.91920000000000002</v>
      </c>
      <c r="J118" s="1136" t="e">
        <f t="shared" si="26"/>
        <v>#NAME?</v>
      </c>
      <c r="L118" s="184"/>
      <c r="M118" s="1166"/>
      <c r="N118" s="1166"/>
      <c r="O118" s="1183"/>
    </row>
    <row r="119" spans="2:16" ht="13.5" thickBot="1" x14ac:dyDescent="0.25">
      <c r="B119" s="1174">
        <v>109</v>
      </c>
      <c r="C119" s="1142">
        <v>35</v>
      </c>
      <c r="D119" s="1143">
        <f t="shared" si="38"/>
        <v>63.779000000000003</v>
      </c>
      <c r="E119" s="1144">
        <f t="shared" si="36"/>
        <v>1.0216415516770001</v>
      </c>
      <c r="F119" s="1144">
        <f t="shared" si="39"/>
        <v>8.526012130574621</v>
      </c>
      <c r="G119" s="1145">
        <v>1.76</v>
      </c>
      <c r="H119" s="1145">
        <f t="shared" si="37"/>
        <v>1.7227177155343791</v>
      </c>
      <c r="I119" s="1135">
        <f t="shared" si="40"/>
        <v>0.91960000000000008</v>
      </c>
      <c r="J119" s="1147" t="e">
        <f t="shared" si="26"/>
        <v>#NAME?</v>
      </c>
      <c r="L119" s="184"/>
      <c r="M119" s="1166"/>
      <c r="N119" s="1166"/>
      <c r="O119" s="1183"/>
    </row>
    <row r="120" spans="2:16" x14ac:dyDescent="0.2">
      <c r="B120" s="1119">
        <v>110</v>
      </c>
      <c r="C120" s="1120">
        <v>35</v>
      </c>
      <c r="D120" s="1121">
        <v>63.75</v>
      </c>
      <c r="E120" s="1122">
        <f t="shared" si="36"/>
        <v>1.02117701625</v>
      </c>
      <c r="F120" s="1122">
        <f>D120/7.4805195</f>
        <v>8.5221353944736062</v>
      </c>
      <c r="G120" s="1121">
        <v>1.73</v>
      </c>
      <c r="H120" s="1121">
        <f t="shared" si="37"/>
        <v>1.6941235187146721</v>
      </c>
      <c r="I120" s="1123">
        <v>0.92</v>
      </c>
      <c r="J120" s="1124" t="e">
        <f t="shared" si="26"/>
        <v>#NAME?</v>
      </c>
      <c r="L120" s="1125">
        <f>B120</f>
        <v>110</v>
      </c>
      <c r="M120" s="1126">
        <f>D120</f>
        <v>63.75</v>
      </c>
      <c r="N120" s="1126"/>
      <c r="O120" s="1127">
        <f>I120</f>
        <v>0.92</v>
      </c>
      <c r="P120" s="1166"/>
    </row>
    <row r="121" spans="2:16" x14ac:dyDescent="0.2">
      <c r="B121" s="1164">
        <v>111</v>
      </c>
      <c r="C121" s="1131">
        <v>35</v>
      </c>
      <c r="D121" s="1132">
        <f t="shared" ref="D121:D129" si="41">FORECAST(B121,$M$110:$M$111,$L$110:$L$111)</f>
        <v>63.73</v>
      </c>
      <c r="E121" s="1133">
        <f t="shared" si="36"/>
        <v>1.02085664699</v>
      </c>
      <c r="F121" s="1133">
        <f t="shared" ref="F121:F129" si="42">D121/7.4805195</f>
        <v>8.5194617833694561</v>
      </c>
      <c r="G121" s="1134">
        <v>1.7</v>
      </c>
      <c r="H121" s="1134">
        <f t="shared" si="37"/>
        <v>1.6652680912765341</v>
      </c>
      <c r="I121" s="1135">
        <f>FORECAST(B121,$O$110:$O$111,$L$110:$L$111)</f>
        <v>0.9204</v>
      </c>
      <c r="J121" s="1136" t="e">
        <f t="shared" si="26"/>
        <v>#NAME?</v>
      </c>
      <c r="L121" s="1125">
        <f>B130</f>
        <v>120</v>
      </c>
      <c r="M121" s="1126">
        <f>D130</f>
        <v>63.54</v>
      </c>
      <c r="N121" s="1126"/>
      <c r="O121" s="1127">
        <f>I130</f>
        <v>0.92400000000000004</v>
      </c>
      <c r="P121" s="1166"/>
    </row>
    <row r="122" spans="2:16" x14ac:dyDescent="0.2">
      <c r="B122" s="1164">
        <v>112</v>
      </c>
      <c r="C122" s="1131">
        <v>35</v>
      </c>
      <c r="D122" s="1132">
        <f t="shared" si="41"/>
        <v>63.71</v>
      </c>
      <c r="E122" s="1133">
        <f t="shared" si="36"/>
        <v>1.02053627773</v>
      </c>
      <c r="F122" s="1133">
        <f t="shared" si="42"/>
        <v>8.5167881722653096</v>
      </c>
      <c r="G122" s="1134">
        <v>1.68</v>
      </c>
      <c r="H122" s="1134">
        <f t="shared" si="37"/>
        <v>1.6461933168479408</v>
      </c>
      <c r="I122" s="1135">
        <f t="shared" ref="I122:I129" si="43">FORECAST(B122,$O$110:$O$111,$L$110:$L$111)</f>
        <v>0.92080000000000006</v>
      </c>
      <c r="J122" s="1136" t="e">
        <f t="shared" si="26"/>
        <v>#NAME?</v>
      </c>
      <c r="L122" s="184"/>
      <c r="M122" s="1166"/>
      <c r="N122" s="1166"/>
      <c r="O122" s="1183"/>
    </row>
    <row r="123" spans="2:16" x14ac:dyDescent="0.2">
      <c r="B123" s="1164">
        <v>113</v>
      </c>
      <c r="C123" s="1131">
        <v>35</v>
      </c>
      <c r="D123" s="1132">
        <f t="shared" si="41"/>
        <v>63.69</v>
      </c>
      <c r="E123" s="1133">
        <f t="shared" si="36"/>
        <v>1.02021590847</v>
      </c>
      <c r="F123" s="1133">
        <f t="shared" si="42"/>
        <v>8.5141145611611595</v>
      </c>
      <c r="G123" s="1134">
        <v>1.65</v>
      </c>
      <c r="H123" s="1134">
        <f t="shared" si="37"/>
        <v>1.61730471589536</v>
      </c>
      <c r="I123" s="1135">
        <f t="shared" si="43"/>
        <v>0.92120000000000002</v>
      </c>
      <c r="J123" s="1136" t="e">
        <f t="shared" si="26"/>
        <v>#NAME?</v>
      </c>
      <c r="L123" s="184"/>
      <c r="M123" s="1166"/>
      <c r="N123" s="1166"/>
      <c r="O123" s="1183"/>
    </row>
    <row r="124" spans="2:16" ht="13.5" thickBot="1" x14ac:dyDescent="0.25">
      <c r="B124" s="1174">
        <v>114</v>
      </c>
      <c r="C124" s="1142">
        <v>35</v>
      </c>
      <c r="D124" s="1143">
        <f t="shared" si="41"/>
        <v>63.67</v>
      </c>
      <c r="E124" s="1144">
        <f t="shared" si="36"/>
        <v>1.01989553921</v>
      </c>
      <c r="F124" s="1144">
        <f t="shared" si="42"/>
        <v>8.5114409500570112</v>
      </c>
      <c r="G124" s="1145">
        <v>1.63</v>
      </c>
      <c r="H124" s="1145">
        <f t="shared" si="37"/>
        <v>1.5982028917025957</v>
      </c>
      <c r="I124" s="1146">
        <f t="shared" si="43"/>
        <v>0.92160000000000009</v>
      </c>
      <c r="J124" s="1147" t="e">
        <f t="shared" si="26"/>
        <v>#NAME?</v>
      </c>
      <c r="L124" s="184"/>
      <c r="M124" s="1166"/>
      <c r="N124" s="1166"/>
      <c r="O124" s="1183"/>
    </row>
    <row r="125" spans="2:16" x14ac:dyDescent="0.2">
      <c r="B125" s="1172">
        <v>115</v>
      </c>
      <c r="C125" s="1149">
        <v>35</v>
      </c>
      <c r="D125" s="1150">
        <f t="shared" si="41"/>
        <v>63.65</v>
      </c>
      <c r="E125" s="1122">
        <f t="shared" si="36"/>
        <v>1.01957516995</v>
      </c>
      <c r="F125" s="1122">
        <f t="shared" si="42"/>
        <v>8.5087673389528629</v>
      </c>
      <c r="G125" s="1121">
        <v>1.6</v>
      </c>
      <c r="H125" s="1121">
        <f t="shared" si="37"/>
        <v>1.5692810566173989</v>
      </c>
      <c r="I125" s="1173">
        <f t="shared" si="43"/>
        <v>0.92200000000000004</v>
      </c>
      <c r="J125" s="1124" t="e">
        <f t="shared" si="26"/>
        <v>#NAME?</v>
      </c>
      <c r="L125" s="184"/>
      <c r="M125" s="1166"/>
      <c r="N125" s="1166"/>
      <c r="O125" s="1183"/>
    </row>
    <row r="126" spans="2:16" x14ac:dyDescent="0.2">
      <c r="B126" s="1164">
        <v>116</v>
      </c>
      <c r="C126" s="1131">
        <v>35</v>
      </c>
      <c r="D126" s="1132">
        <f t="shared" si="41"/>
        <v>63.629999999999995</v>
      </c>
      <c r="E126" s="1133">
        <f t="shared" si="36"/>
        <v>1.01925480069</v>
      </c>
      <c r="F126" s="1133">
        <f t="shared" si="42"/>
        <v>8.5060937278487145</v>
      </c>
      <c r="G126" s="1134">
        <v>1.58</v>
      </c>
      <c r="H126" s="1134">
        <f t="shared" si="37"/>
        <v>1.5501521297033825</v>
      </c>
      <c r="I126" s="1135">
        <f t="shared" si="43"/>
        <v>0.9224</v>
      </c>
      <c r="J126" s="1136" t="e">
        <f t="shared" si="26"/>
        <v>#NAME?</v>
      </c>
      <c r="L126" s="184"/>
      <c r="M126" s="1166"/>
      <c r="N126" s="1166"/>
      <c r="O126" s="1183"/>
    </row>
    <row r="127" spans="2:16" x14ac:dyDescent="0.2">
      <c r="B127" s="1164">
        <v>117</v>
      </c>
      <c r="C127" s="1131">
        <v>35</v>
      </c>
      <c r="D127" s="1132">
        <f t="shared" si="41"/>
        <v>63.61</v>
      </c>
      <c r="E127" s="1133">
        <f t="shared" si="36"/>
        <v>1.01893443143</v>
      </c>
      <c r="F127" s="1133">
        <f t="shared" si="42"/>
        <v>8.5034201167445662</v>
      </c>
      <c r="G127" s="1134">
        <v>1.56</v>
      </c>
      <c r="H127" s="1134">
        <f t="shared" si="37"/>
        <v>1.5310111739090553</v>
      </c>
      <c r="I127" s="1135">
        <f t="shared" si="43"/>
        <v>0.92280000000000006</v>
      </c>
      <c r="J127" s="1136" t="e">
        <f t="shared" si="26"/>
        <v>#NAME?</v>
      </c>
      <c r="L127" s="184"/>
      <c r="M127" s="1166"/>
      <c r="N127" s="1166"/>
      <c r="O127" s="1183"/>
    </row>
    <row r="128" spans="2:16" x14ac:dyDescent="0.2">
      <c r="B128" s="1164">
        <v>118</v>
      </c>
      <c r="C128" s="1131">
        <v>35</v>
      </c>
      <c r="D128" s="1132">
        <f t="shared" si="41"/>
        <v>63.589999999999996</v>
      </c>
      <c r="E128" s="1133">
        <f t="shared" si="36"/>
        <v>1.0186140621699999</v>
      </c>
      <c r="F128" s="1133">
        <f t="shared" si="42"/>
        <v>8.5007465056404161</v>
      </c>
      <c r="G128" s="1134">
        <v>1.53</v>
      </c>
      <c r="H128" s="1134">
        <f t="shared" si="37"/>
        <v>1.5020409169892779</v>
      </c>
      <c r="I128" s="1135">
        <f t="shared" si="43"/>
        <v>0.92320000000000002</v>
      </c>
      <c r="J128" s="1136" t="e">
        <f t="shared" si="26"/>
        <v>#NAME?</v>
      </c>
      <c r="L128" s="184"/>
      <c r="M128" s="1166"/>
      <c r="N128" s="1166"/>
      <c r="O128" s="1183"/>
    </row>
    <row r="129" spans="2:16" ht="13.5" thickBot="1" x14ac:dyDescent="0.25">
      <c r="B129" s="1174">
        <v>119</v>
      </c>
      <c r="C129" s="1142">
        <v>35</v>
      </c>
      <c r="D129" s="1143">
        <f t="shared" si="41"/>
        <v>63.57</v>
      </c>
      <c r="E129" s="1144">
        <f t="shared" si="36"/>
        <v>1.0182936929099999</v>
      </c>
      <c r="F129" s="1144">
        <f t="shared" si="42"/>
        <v>8.4980728945362696</v>
      </c>
      <c r="G129" s="1145">
        <v>1.51</v>
      </c>
      <c r="H129" s="1145">
        <f t="shared" si="37"/>
        <v>1.4828727807248225</v>
      </c>
      <c r="I129" s="1135">
        <f t="shared" si="43"/>
        <v>0.92360000000000009</v>
      </c>
      <c r="J129" s="1147" t="e">
        <f t="shared" si="26"/>
        <v>#NAME?</v>
      </c>
      <c r="L129" s="184"/>
      <c r="M129" s="1166"/>
      <c r="N129" s="1166"/>
      <c r="O129" s="1183"/>
    </row>
    <row r="130" spans="2:16" x14ac:dyDescent="0.2">
      <c r="B130" s="1119">
        <v>120</v>
      </c>
      <c r="C130" s="1120">
        <v>35</v>
      </c>
      <c r="D130" s="1121">
        <v>63.54</v>
      </c>
      <c r="E130" s="1122">
        <f t="shared" si="36"/>
        <v>1.01781313902</v>
      </c>
      <c r="F130" s="1122">
        <f>D130/7.4805195</f>
        <v>8.4940624778800462</v>
      </c>
      <c r="G130" s="1121">
        <v>1.49</v>
      </c>
      <c r="H130" s="1121">
        <f t="shared" si="37"/>
        <v>1.4639229372050004</v>
      </c>
      <c r="I130" s="1123">
        <v>0.92400000000000004</v>
      </c>
      <c r="J130" s="1124" t="e">
        <f t="shared" si="26"/>
        <v>#NAME?</v>
      </c>
      <c r="L130" s="1125">
        <f>B130</f>
        <v>120</v>
      </c>
      <c r="M130" s="1126">
        <f>D130</f>
        <v>63.54</v>
      </c>
      <c r="N130" s="1126"/>
      <c r="O130" s="1127">
        <f>I130</f>
        <v>0.92400000000000004</v>
      </c>
      <c r="P130" s="1166"/>
    </row>
    <row r="131" spans="2:16" x14ac:dyDescent="0.2">
      <c r="B131" s="1164">
        <v>121</v>
      </c>
      <c r="C131" s="1131">
        <v>35</v>
      </c>
      <c r="D131" s="1132">
        <f t="shared" ref="D131:D139" si="44">FORECAST(B131,$M$120:$M$121,$L$120:$L$121)</f>
        <v>63.518999999999991</v>
      </c>
      <c r="E131" s="1133">
        <f t="shared" si="36"/>
        <v>1.0174767512969998</v>
      </c>
      <c r="F131" s="1133">
        <f t="shared" ref="F131:F139" si="45">D131/7.4805195</f>
        <v>8.4912551862206893</v>
      </c>
      <c r="G131" s="1134">
        <v>1.47</v>
      </c>
      <c r="H131" s="1134">
        <f t="shared" si="37"/>
        <v>1.4447504556012301</v>
      </c>
      <c r="I131" s="1135">
        <f>FORECAST(B131,$O$120:$O$121,$L$120:$L$121)</f>
        <v>0.9244</v>
      </c>
      <c r="J131" s="1136" t="e">
        <f t="shared" si="26"/>
        <v>#NAME?</v>
      </c>
      <c r="L131" s="1125">
        <f>B140</f>
        <v>130</v>
      </c>
      <c r="M131" s="1126">
        <f>D140</f>
        <v>63.32</v>
      </c>
      <c r="N131" s="1126"/>
      <c r="O131" s="1127">
        <f>I140</f>
        <v>0.92800000000000005</v>
      </c>
      <c r="P131" s="1166"/>
    </row>
    <row r="132" spans="2:16" x14ac:dyDescent="0.2">
      <c r="B132" s="1164">
        <v>122</v>
      </c>
      <c r="C132" s="1131">
        <v>35</v>
      </c>
      <c r="D132" s="1132">
        <f t="shared" si="44"/>
        <v>63.49799999999999</v>
      </c>
      <c r="E132" s="1133">
        <f t="shared" si="36"/>
        <v>1.017140363574</v>
      </c>
      <c r="F132" s="1133">
        <f t="shared" si="45"/>
        <v>8.4884478945613324</v>
      </c>
      <c r="G132" s="1134">
        <v>1.45</v>
      </c>
      <c r="H132" s="1134">
        <f t="shared" si="37"/>
        <v>1.4255652925865903</v>
      </c>
      <c r="I132" s="1135">
        <f t="shared" ref="I132:I139" si="46">FORECAST(B132,$O$120:$O$121,$L$120:$L$121)</f>
        <v>0.92480000000000007</v>
      </c>
      <c r="J132" s="1136" t="e">
        <f t="shared" si="26"/>
        <v>#NAME?</v>
      </c>
      <c r="L132" s="184"/>
      <c r="M132" s="1166"/>
      <c r="N132" s="1166"/>
      <c r="O132" s="1183"/>
    </row>
    <row r="133" spans="2:16" x14ac:dyDescent="0.2">
      <c r="B133" s="1164">
        <v>123</v>
      </c>
      <c r="C133" s="1131">
        <v>35</v>
      </c>
      <c r="D133" s="1132">
        <f t="shared" si="44"/>
        <v>63.47699999999999</v>
      </c>
      <c r="E133" s="1133">
        <f t="shared" si="36"/>
        <v>1.0168039758509999</v>
      </c>
      <c r="F133" s="1133">
        <f t="shared" si="45"/>
        <v>8.4856406029019773</v>
      </c>
      <c r="G133" s="1134">
        <v>1.43</v>
      </c>
      <c r="H133" s="1134">
        <f t="shared" si="37"/>
        <v>1.4063674355749656</v>
      </c>
      <c r="I133" s="1135">
        <f t="shared" si="46"/>
        <v>0.92520000000000002</v>
      </c>
      <c r="J133" s="1136" t="e">
        <f t="shared" si="26"/>
        <v>#NAME?</v>
      </c>
      <c r="L133" s="184"/>
      <c r="M133" s="1166"/>
      <c r="N133" s="1166"/>
      <c r="O133" s="1183"/>
    </row>
    <row r="134" spans="2:16" ht="13.5" thickBot="1" x14ac:dyDescent="0.25">
      <c r="B134" s="1174">
        <v>124</v>
      </c>
      <c r="C134" s="1142">
        <v>35</v>
      </c>
      <c r="D134" s="1143">
        <f t="shared" si="44"/>
        <v>63.455999999999989</v>
      </c>
      <c r="E134" s="1144">
        <f t="shared" si="36"/>
        <v>1.0164675881279999</v>
      </c>
      <c r="F134" s="1144">
        <f t="shared" si="45"/>
        <v>8.4828333112426204</v>
      </c>
      <c r="G134" s="1145">
        <v>1.41</v>
      </c>
      <c r="H134" s="1145">
        <f t="shared" si="37"/>
        <v>1.387156871963579</v>
      </c>
      <c r="I134" s="1146">
        <f t="shared" si="46"/>
        <v>0.92560000000000009</v>
      </c>
      <c r="J134" s="1147" t="e">
        <f t="shared" si="26"/>
        <v>#NAME?</v>
      </c>
      <c r="L134" s="184"/>
      <c r="M134" s="1166"/>
      <c r="N134" s="1166"/>
      <c r="O134" s="1183"/>
    </row>
    <row r="135" spans="2:16" x14ac:dyDescent="0.2">
      <c r="B135" s="1172">
        <v>125</v>
      </c>
      <c r="C135" s="1149">
        <v>35</v>
      </c>
      <c r="D135" s="1150">
        <f t="shared" si="44"/>
        <v>63.434999999999988</v>
      </c>
      <c r="E135" s="1122">
        <f t="shared" si="36"/>
        <v>1.0161312004049998</v>
      </c>
      <c r="F135" s="1122">
        <f t="shared" si="45"/>
        <v>8.4800260195832635</v>
      </c>
      <c r="G135" s="1121">
        <v>1.39</v>
      </c>
      <c r="H135" s="1121">
        <f t="shared" si="37"/>
        <v>1.3679335891329654</v>
      </c>
      <c r="I135" s="1173">
        <f t="shared" si="46"/>
        <v>0.92600000000000005</v>
      </c>
      <c r="J135" s="1124" t="e">
        <f t="shared" si="26"/>
        <v>#NAME?</v>
      </c>
      <c r="L135" s="184"/>
      <c r="M135" s="1166"/>
      <c r="N135" s="1166"/>
      <c r="O135" s="1183"/>
    </row>
    <row r="136" spans="2:16" x14ac:dyDescent="0.2">
      <c r="B136" s="1164">
        <v>126</v>
      </c>
      <c r="C136" s="1131">
        <v>35</v>
      </c>
      <c r="D136" s="1132">
        <f t="shared" si="44"/>
        <v>63.413999999999994</v>
      </c>
      <c r="E136" s="1133">
        <f t="shared" si="36"/>
        <v>1.015794812682</v>
      </c>
      <c r="F136" s="1133">
        <f t="shared" si="45"/>
        <v>8.4772187279239084</v>
      </c>
      <c r="G136" s="1134">
        <v>1.37</v>
      </c>
      <c r="H136" s="1134">
        <f t="shared" si="37"/>
        <v>1.3486975744469429</v>
      </c>
      <c r="I136" s="1135">
        <f t="shared" si="46"/>
        <v>0.9264</v>
      </c>
      <c r="J136" s="1136" t="e">
        <f t="shared" si="26"/>
        <v>#NAME?</v>
      </c>
      <c r="L136" s="184"/>
      <c r="M136" s="1166"/>
      <c r="N136" s="1166"/>
      <c r="O136" s="1183"/>
    </row>
    <row r="137" spans="2:16" x14ac:dyDescent="0.2">
      <c r="B137" s="1164">
        <v>127</v>
      </c>
      <c r="C137" s="1131">
        <v>35</v>
      </c>
      <c r="D137" s="1132">
        <f t="shared" si="44"/>
        <v>63.392999999999994</v>
      </c>
      <c r="E137" s="1133">
        <f t="shared" si="36"/>
        <v>1.015458424959</v>
      </c>
      <c r="F137" s="1133">
        <f t="shared" si="45"/>
        <v>8.4744114362645533</v>
      </c>
      <c r="G137" s="1134">
        <v>1.35</v>
      </c>
      <c r="H137" s="1134">
        <f t="shared" si="37"/>
        <v>1.3294488152525865</v>
      </c>
      <c r="I137" s="1135">
        <f t="shared" si="46"/>
        <v>0.92680000000000007</v>
      </c>
      <c r="J137" s="1136" t="e">
        <f t="shared" si="26"/>
        <v>#NAME?</v>
      </c>
      <c r="L137" s="184"/>
      <c r="M137" s="1166"/>
      <c r="N137" s="1166"/>
      <c r="O137" s="1183"/>
    </row>
    <row r="138" spans="2:16" x14ac:dyDescent="0.2">
      <c r="B138" s="1164">
        <v>128</v>
      </c>
      <c r="C138" s="1131">
        <v>35</v>
      </c>
      <c r="D138" s="1132">
        <f t="shared" si="44"/>
        <v>63.371999999999993</v>
      </c>
      <c r="E138" s="1133">
        <f t="shared" si="36"/>
        <v>1.0151220372359999</v>
      </c>
      <c r="F138" s="1133">
        <f t="shared" si="45"/>
        <v>8.4716041446051964</v>
      </c>
      <c r="G138" s="1134">
        <v>1.33</v>
      </c>
      <c r="H138" s="1134">
        <f t="shared" si="37"/>
        <v>1.3101872988801995</v>
      </c>
      <c r="I138" s="1135">
        <f t="shared" si="46"/>
        <v>0.92720000000000002</v>
      </c>
      <c r="J138" s="1136" t="e">
        <f t="shared" si="26"/>
        <v>#NAME?</v>
      </c>
      <c r="L138" s="184"/>
      <c r="M138" s="1166"/>
      <c r="N138" s="1166"/>
      <c r="O138" s="1183"/>
    </row>
    <row r="139" spans="2:16" ht="13.5" thickBot="1" x14ac:dyDescent="0.25">
      <c r="B139" s="1174">
        <v>129</v>
      </c>
      <c r="C139" s="1142">
        <v>35</v>
      </c>
      <c r="D139" s="1143">
        <f t="shared" si="44"/>
        <v>63.350999999999992</v>
      </c>
      <c r="E139" s="1144">
        <f t="shared" si="36"/>
        <v>1.0147856495129999</v>
      </c>
      <c r="F139" s="1144">
        <f t="shared" si="45"/>
        <v>8.4687968529458413</v>
      </c>
      <c r="G139" s="1145">
        <v>1.32</v>
      </c>
      <c r="H139" s="1145">
        <f t="shared" si="37"/>
        <v>1.300767310449723</v>
      </c>
      <c r="I139" s="1135">
        <f t="shared" si="46"/>
        <v>0.92760000000000009</v>
      </c>
      <c r="J139" s="1147" t="e">
        <f t="shared" si="26"/>
        <v>#NAME?</v>
      </c>
      <c r="L139" s="184"/>
      <c r="M139" s="1166"/>
      <c r="N139" s="1166"/>
      <c r="O139" s="1183"/>
    </row>
    <row r="140" spans="2:16" x14ac:dyDescent="0.2">
      <c r="B140" s="1119">
        <v>130</v>
      </c>
      <c r="C140" s="1120">
        <v>35</v>
      </c>
      <c r="D140" s="1121">
        <v>63.32</v>
      </c>
      <c r="E140" s="1122">
        <f t="shared" si="36"/>
        <v>1.0142890771599999</v>
      </c>
      <c r="F140" s="1122">
        <f>D140/7.4805195</f>
        <v>8.4646527557344111</v>
      </c>
      <c r="G140" s="1121">
        <v>1.3</v>
      </c>
      <c r="H140" s="1121">
        <f t="shared" si="37"/>
        <v>1.2816858914028613</v>
      </c>
      <c r="I140" s="1123">
        <v>0.92800000000000005</v>
      </c>
      <c r="J140" s="1124" t="e">
        <f t="shared" ref="J140:J203" si="47">E140/VLOOKUP(60,Water,6,FALSE)</f>
        <v>#NAME?</v>
      </c>
      <c r="L140" s="1125">
        <f>B140</f>
        <v>130</v>
      </c>
      <c r="M140" s="1126">
        <f>D140</f>
        <v>63.32</v>
      </c>
      <c r="N140" s="1126"/>
      <c r="O140" s="1127">
        <f>I140</f>
        <v>0.92800000000000005</v>
      </c>
      <c r="P140" s="1166"/>
    </row>
    <row r="141" spans="2:16" x14ac:dyDescent="0.2">
      <c r="B141" s="1164">
        <v>131</v>
      </c>
      <c r="C141" s="1131">
        <v>35</v>
      </c>
      <c r="D141" s="1132">
        <f t="shared" ref="D141:D149" si="48">FORECAST(B141,$M$130:$M$131,$L$130:$L$131)</f>
        <v>63.297999999999995</v>
      </c>
      <c r="E141" s="1133">
        <f t="shared" si="36"/>
        <v>1.0139366709739999</v>
      </c>
      <c r="F141" s="1133">
        <f t="shared" ref="F141:F149" si="49">D141/7.4805195</f>
        <v>8.4617117835198474</v>
      </c>
      <c r="G141" s="1134">
        <v>1.28</v>
      </c>
      <c r="H141" s="1134">
        <f t="shared" si="37"/>
        <v>1.2624062593282246</v>
      </c>
      <c r="I141" s="1135">
        <f>FORECAST(B141,$O$130:$O$131,$L$130:$L$131)</f>
        <v>0.9284</v>
      </c>
      <c r="J141" s="1136" t="e">
        <f t="shared" si="47"/>
        <v>#NAME?</v>
      </c>
      <c r="L141" s="1125">
        <f>B150</f>
        <v>140</v>
      </c>
      <c r="M141" s="1126">
        <f>D150</f>
        <v>63.09</v>
      </c>
      <c r="N141" s="1126"/>
      <c r="O141" s="1127">
        <f>I150</f>
        <v>0.93200000000000005</v>
      </c>
      <c r="P141" s="1166"/>
    </row>
    <row r="142" spans="2:16" x14ac:dyDescent="0.2">
      <c r="B142" s="1164">
        <v>132</v>
      </c>
      <c r="C142" s="1131">
        <v>35</v>
      </c>
      <c r="D142" s="1132">
        <f t="shared" si="48"/>
        <v>63.275999999999996</v>
      </c>
      <c r="E142" s="1133">
        <f t="shared" si="36"/>
        <v>1.013584264788</v>
      </c>
      <c r="F142" s="1133">
        <f t="shared" si="49"/>
        <v>8.4587708113052837</v>
      </c>
      <c r="G142" s="1134">
        <v>1.27</v>
      </c>
      <c r="H142" s="1134">
        <f t="shared" si="37"/>
        <v>1.2529791987897836</v>
      </c>
      <c r="I142" s="1135">
        <f t="shared" ref="I142:I149" si="50">FORECAST(B142,$O$130:$O$131,$L$130:$L$131)</f>
        <v>0.92880000000000007</v>
      </c>
      <c r="J142" s="1136" t="e">
        <f t="shared" si="47"/>
        <v>#NAME?</v>
      </c>
      <c r="L142" s="184"/>
      <c r="M142" s="1166"/>
      <c r="N142" s="1166"/>
      <c r="O142" s="1183"/>
    </row>
    <row r="143" spans="2:16" x14ac:dyDescent="0.2">
      <c r="B143" s="1164">
        <v>133</v>
      </c>
      <c r="C143" s="1131">
        <v>35</v>
      </c>
      <c r="D143" s="1132">
        <f t="shared" si="48"/>
        <v>63.253999999999991</v>
      </c>
      <c r="E143" s="1133">
        <f t="shared" si="36"/>
        <v>1.0132318586019999</v>
      </c>
      <c r="F143" s="1133">
        <f t="shared" si="49"/>
        <v>8.4558298390907201</v>
      </c>
      <c r="G143" s="1134">
        <v>1.25</v>
      </c>
      <c r="H143" s="1134">
        <f t="shared" si="37"/>
        <v>1.2336761713401703</v>
      </c>
      <c r="I143" s="1135">
        <f t="shared" si="50"/>
        <v>0.92920000000000003</v>
      </c>
      <c r="J143" s="1136" t="e">
        <f t="shared" si="47"/>
        <v>#NAME?</v>
      </c>
      <c r="L143" s="184"/>
      <c r="M143" s="1166"/>
      <c r="N143" s="1166"/>
      <c r="O143" s="1183"/>
    </row>
    <row r="144" spans="2:16" ht="13.5" thickBot="1" x14ac:dyDescent="0.25">
      <c r="B144" s="1174">
        <v>134</v>
      </c>
      <c r="C144" s="1142">
        <v>35</v>
      </c>
      <c r="D144" s="1143">
        <f t="shared" si="48"/>
        <v>63.231999999999992</v>
      </c>
      <c r="E144" s="1144">
        <f t="shared" si="36"/>
        <v>1.0128794524159999</v>
      </c>
      <c r="F144" s="1144">
        <f t="shared" si="49"/>
        <v>8.4528888668761564</v>
      </c>
      <c r="G144" s="1145">
        <v>1.23</v>
      </c>
      <c r="H144" s="1145">
        <f t="shared" si="37"/>
        <v>1.2143597118749987</v>
      </c>
      <c r="I144" s="1146">
        <f t="shared" si="50"/>
        <v>0.92960000000000009</v>
      </c>
      <c r="J144" s="1147" t="e">
        <f t="shared" si="47"/>
        <v>#NAME?</v>
      </c>
      <c r="L144" s="184"/>
      <c r="M144" s="1166"/>
      <c r="N144" s="1166"/>
      <c r="O144" s="1183"/>
    </row>
    <row r="145" spans="2:16" x14ac:dyDescent="0.2">
      <c r="B145" s="1172">
        <v>135</v>
      </c>
      <c r="C145" s="1149">
        <v>35</v>
      </c>
      <c r="D145" s="1150">
        <f t="shared" si="48"/>
        <v>63.209999999999994</v>
      </c>
      <c r="E145" s="1122">
        <f t="shared" si="36"/>
        <v>1.01252704623</v>
      </c>
      <c r="F145" s="1122">
        <f t="shared" si="49"/>
        <v>8.4499478946615927</v>
      </c>
      <c r="G145" s="1121">
        <v>1.22</v>
      </c>
      <c r="H145" s="1121">
        <f t="shared" si="37"/>
        <v>1.2049060857608653</v>
      </c>
      <c r="I145" s="1173">
        <f t="shared" si="50"/>
        <v>0.93</v>
      </c>
      <c r="J145" s="1124" t="e">
        <f t="shared" si="47"/>
        <v>#NAME?</v>
      </c>
      <c r="L145" s="184"/>
      <c r="M145" s="1166"/>
      <c r="N145" s="1166"/>
      <c r="O145" s="1183"/>
    </row>
    <row r="146" spans="2:16" x14ac:dyDescent="0.2">
      <c r="B146" s="1164">
        <v>136</v>
      </c>
      <c r="C146" s="1131">
        <v>35</v>
      </c>
      <c r="D146" s="1132">
        <f t="shared" si="48"/>
        <v>63.187999999999995</v>
      </c>
      <c r="E146" s="1133">
        <f t="shared" si="36"/>
        <v>1.0121746400439999</v>
      </c>
      <c r="F146" s="1133">
        <f t="shared" si="49"/>
        <v>8.4470069224470308</v>
      </c>
      <c r="G146" s="1134">
        <v>1.2</v>
      </c>
      <c r="H146" s="1134">
        <f t="shared" si="37"/>
        <v>1.1855661587686441</v>
      </c>
      <c r="I146" s="1135">
        <f t="shared" si="50"/>
        <v>0.9304</v>
      </c>
      <c r="J146" s="1136" t="e">
        <f t="shared" si="47"/>
        <v>#NAME?</v>
      </c>
      <c r="L146" s="184"/>
      <c r="M146" s="1166"/>
      <c r="N146" s="1166"/>
      <c r="O146" s="1183"/>
    </row>
    <row r="147" spans="2:16" x14ac:dyDescent="0.2">
      <c r="B147" s="1164">
        <v>137</v>
      </c>
      <c r="C147" s="1131">
        <v>35</v>
      </c>
      <c r="D147" s="1132">
        <f t="shared" si="48"/>
        <v>63.165999999999997</v>
      </c>
      <c r="E147" s="1133">
        <f t="shared" si="36"/>
        <v>1.0118222338579999</v>
      </c>
      <c r="F147" s="1133">
        <f t="shared" si="49"/>
        <v>8.4440659502324671</v>
      </c>
      <c r="G147" s="1134">
        <v>1.19</v>
      </c>
      <c r="H147" s="1134">
        <f t="shared" si="37"/>
        <v>1.1760959190060709</v>
      </c>
      <c r="I147" s="1135">
        <f t="shared" si="50"/>
        <v>0.93080000000000007</v>
      </c>
      <c r="J147" s="1136" t="e">
        <f t="shared" si="47"/>
        <v>#NAME?</v>
      </c>
      <c r="L147" s="184"/>
      <c r="M147" s="1166"/>
      <c r="N147" s="1166"/>
      <c r="O147" s="1183"/>
    </row>
    <row r="148" spans="2:16" x14ac:dyDescent="0.2">
      <c r="B148" s="1164">
        <v>138</v>
      </c>
      <c r="C148" s="1131">
        <v>35</v>
      </c>
      <c r="D148" s="1132">
        <f t="shared" si="48"/>
        <v>63.143999999999991</v>
      </c>
      <c r="E148" s="1133">
        <f t="shared" si="36"/>
        <v>1.0114698276719998</v>
      </c>
      <c r="F148" s="1133">
        <f t="shared" si="49"/>
        <v>8.4411249780179034</v>
      </c>
      <c r="G148" s="1134">
        <v>1.17</v>
      </c>
      <c r="H148" s="1134">
        <f t="shared" si="37"/>
        <v>1.1567324778168355</v>
      </c>
      <c r="I148" s="1135">
        <f t="shared" si="50"/>
        <v>0.93120000000000003</v>
      </c>
      <c r="J148" s="1136" t="e">
        <f t="shared" si="47"/>
        <v>#NAME?</v>
      </c>
      <c r="L148" s="184"/>
      <c r="M148" s="1166"/>
      <c r="N148" s="1166"/>
      <c r="O148" s="1183"/>
    </row>
    <row r="149" spans="2:16" ht="13.5" thickBot="1" x14ac:dyDescent="0.25">
      <c r="B149" s="1174">
        <v>139</v>
      </c>
      <c r="C149" s="1142">
        <v>35</v>
      </c>
      <c r="D149" s="1143">
        <f t="shared" si="48"/>
        <v>63.121999999999993</v>
      </c>
      <c r="E149" s="1144">
        <f t="shared" si="36"/>
        <v>1.0111174214859999</v>
      </c>
      <c r="F149" s="1144">
        <f t="shared" si="49"/>
        <v>8.4381840058033397</v>
      </c>
      <c r="G149" s="1145">
        <v>1.1599999999999999</v>
      </c>
      <c r="H149" s="1145">
        <f t="shared" si="37"/>
        <v>1.1472455872584937</v>
      </c>
      <c r="I149" s="1135">
        <f t="shared" si="50"/>
        <v>0.93160000000000009</v>
      </c>
      <c r="J149" s="1147" t="e">
        <f t="shared" si="47"/>
        <v>#NAME?</v>
      </c>
      <c r="L149" s="184"/>
      <c r="M149" s="1166"/>
      <c r="N149" s="1166"/>
      <c r="O149" s="1183"/>
    </row>
    <row r="150" spans="2:16" x14ac:dyDescent="0.2">
      <c r="B150" s="1119">
        <v>140</v>
      </c>
      <c r="C150" s="1120">
        <v>35</v>
      </c>
      <c r="D150" s="1121">
        <v>63.09</v>
      </c>
      <c r="E150" s="1122">
        <f t="shared" si="36"/>
        <v>1.01060483067</v>
      </c>
      <c r="F150" s="1122">
        <f>D150/7.4805195</f>
        <v>8.4339062280367028</v>
      </c>
      <c r="G150" s="1121">
        <v>1.1399999999999999</v>
      </c>
      <c r="H150" s="1121">
        <f t="shared" si="37"/>
        <v>1.1280373548622511</v>
      </c>
      <c r="I150" s="1123">
        <v>0.93200000000000005</v>
      </c>
      <c r="J150" s="1124" t="e">
        <f t="shared" si="47"/>
        <v>#NAME?</v>
      </c>
      <c r="L150" s="1125">
        <f>B150</f>
        <v>140</v>
      </c>
      <c r="M150" s="1126">
        <f>D150</f>
        <v>63.09</v>
      </c>
      <c r="N150" s="1126"/>
      <c r="O150" s="1127">
        <f>I150</f>
        <v>0.93200000000000005</v>
      </c>
      <c r="P150" s="1166"/>
    </row>
    <row r="151" spans="2:16" x14ac:dyDescent="0.2">
      <c r="B151" s="1164">
        <v>141</v>
      </c>
      <c r="C151" s="1131">
        <v>35</v>
      </c>
      <c r="D151" s="1132">
        <f t="shared" ref="D151:D159" si="51">FORECAST(B151,$M$140:$M$141,$L$140:$L$141)</f>
        <v>63.067000000000007</v>
      </c>
      <c r="E151" s="1133">
        <f t="shared" si="36"/>
        <v>1.0102364060210001</v>
      </c>
      <c r="F151" s="1133">
        <f t="shared" ref="F151:F159" si="52">D151/7.4805195</f>
        <v>8.4308315752669323</v>
      </c>
      <c r="G151" s="1134">
        <v>1.1299999999999999</v>
      </c>
      <c r="H151" s="1134">
        <f t="shared" si="37"/>
        <v>1.1185500673557296</v>
      </c>
      <c r="I151" s="1135">
        <f>FORECAST(B151,$O$140:$O$141,$L$140:$L$141)</f>
        <v>0.93240000000000001</v>
      </c>
      <c r="J151" s="1136" t="e">
        <f t="shared" si="47"/>
        <v>#NAME?</v>
      </c>
      <c r="L151" s="1125">
        <f>B160</f>
        <v>150</v>
      </c>
      <c r="M151" s="1126">
        <f>D160</f>
        <v>62.85</v>
      </c>
      <c r="N151" s="1126"/>
      <c r="O151" s="1127">
        <f>I160</f>
        <v>0.93600000000000005</v>
      </c>
      <c r="P151" s="1166"/>
    </row>
    <row r="152" spans="2:16" x14ac:dyDescent="0.2">
      <c r="B152" s="1164">
        <v>142</v>
      </c>
      <c r="C152" s="1131">
        <v>35</v>
      </c>
      <c r="D152" s="1132">
        <f t="shared" si="51"/>
        <v>63.044000000000004</v>
      </c>
      <c r="E152" s="1133">
        <f t="shared" si="36"/>
        <v>1.0098679813720002</v>
      </c>
      <c r="F152" s="1133">
        <f t="shared" si="52"/>
        <v>8.4277569224971618</v>
      </c>
      <c r="G152" s="1134">
        <v>1.1200000000000001</v>
      </c>
      <c r="H152" s="1134">
        <f t="shared" si="37"/>
        <v>1.109055857458096</v>
      </c>
      <c r="I152" s="1135">
        <f t="shared" ref="I152:I159" si="53">FORECAST(B152,$O$140:$O$141,$L$140:$L$141)</f>
        <v>0.93280000000000007</v>
      </c>
      <c r="J152" s="1136" t="e">
        <f t="shared" si="47"/>
        <v>#NAME?</v>
      </c>
      <c r="L152" s="184"/>
      <c r="M152" s="1166"/>
      <c r="N152" s="1166"/>
      <c r="O152" s="1183"/>
    </row>
    <row r="153" spans="2:16" x14ac:dyDescent="0.2">
      <c r="B153" s="1164">
        <v>143</v>
      </c>
      <c r="C153" s="1131">
        <v>35</v>
      </c>
      <c r="D153" s="1132">
        <f t="shared" si="51"/>
        <v>63.021000000000001</v>
      </c>
      <c r="E153" s="1133">
        <f t="shared" si="36"/>
        <v>1.0094995567230001</v>
      </c>
      <c r="F153" s="1133">
        <f t="shared" si="52"/>
        <v>8.4246822697273895</v>
      </c>
      <c r="G153" s="1134">
        <v>1.1000000000000001</v>
      </c>
      <c r="H153" s="1134">
        <f t="shared" si="37"/>
        <v>1.089648819233541</v>
      </c>
      <c r="I153" s="1135">
        <f t="shared" si="53"/>
        <v>0.93320000000000003</v>
      </c>
      <c r="J153" s="1136" t="e">
        <f t="shared" si="47"/>
        <v>#NAME?</v>
      </c>
      <c r="L153" s="184"/>
      <c r="M153" s="1166"/>
      <c r="N153" s="1166"/>
      <c r="O153" s="1183"/>
    </row>
    <row r="154" spans="2:16" ht="13.5" thickBot="1" x14ac:dyDescent="0.25">
      <c r="B154" s="1174">
        <v>144</v>
      </c>
      <c r="C154" s="1142">
        <v>35</v>
      </c>
      <c r="D154" s="1143">
        <f t="shared" si="51"/>
        <v>62.998000000000005</v>
      </c>
      <c r="E154" s="1144">
        <f t="shared" si="36"/>
        <v>1.0091311320740002</v>
      </c>
      <c r="F154" s="1144">
        <f t="shared" si="52"/>
        <v>8.4216076169576191</v>
      </c>
      <c r="G154" s="1145">
        <v>1.0900000000000001</v>
      </c>
      <c r="H154" s="1145">
        <f t="shared" si="37"/>
        <v>1.0801371252512997</v>
      </c>
      <c r="I154" s="1146">
        <f t="shared" si="53"/>
        <v>0.9336000000000001</v>
      </c>
      <c r="J154" s="1147" t="e">
        <f t="shared" si="47"/>
        <v>#NAME?</v>
      </c>
      <c r="L154" s="184"/>
      <c r="M154" s="1166"/>
      <c r="N154" s="1166"/>
      <c r="O154" s="1183"/>
    </row>
    <row r="155" spans="2:16" x14ac:dyDescent="0.2">
      <c r="B155" s="1172">
        <v>145</v>
      </c>
      <c r="C155" s="1149">
        <v>35</v>
      </c>
      <c r="D155" s="1150">
        <f t="shared" si="51"/>
        <v>62.975000000000009</v>
      </c>
      <c r="E155" s="1122">
        <f t="shared" si="36"/>
        <v>1.0087627074250001</v>
      </c>
      <c r="F155" s="1122">
        <f t="shared" si="52"/>
        <v>8.4185329641878504</v>
      </c>
      <c r="G155" s="1121">
        <v>1.08</v>
      </c>
      <c r="H155" s="1121">
        <f t="shared" si="37"/>
        <v>1.0706184834655939</v>
      </c>
      <c r="I155" s="1173">
        <f t="shared" si="53"/>
        <v>0.93400000000000005</v>
      </c>
      <c r="J155" s="1124" t="e">
        <f t="shared" si="47"/>
        <v>#NAME?</v>
      </c>
      <c r="L155" s="184"/>
      <c r="M155" s="1166"/>
      <c r="N155" s="1166"/>
      <c r="O155" s="1183"/>
    </row>
    <row r="156" spans="2:16" x14ac:dyDescent="0.2">
      <c r="B156" s="1164">
        <v>146</v>
      </c>
      <c r="C156" s="1131">
        <v>35</v>
      </c>
      <c r="D156" s="1132">
        <f t="shared" si="51"/>
        <v>62.952000000000005</v>
      </c>
      <c r="E156" s="1133">
        <f t="shared" si="36"/>
        <v>1.0083942827760002</v>
      </c>
      <c r="F156" s="1133">
        <f t="shared" si="52"/>
        <v>8.4154583114180781</v>
      </c>
      <c r="G156" s="1134">
        <v>1.07</v>
      </c>
      <c r="H156" s="1134">
        <f t="shared" si="37"/>
        <v>1.061092886261122</v>
      </c>
      <c r="I156" s="1135">
        <f t="shared" si="53"/>
        <v>0.93440000000000001</v>
      </c>
      <c r="J156" s="1136" t="e">
        <f t="shared" si="47"/>
        <v>#NAME?</v>
      </c>
      <c r="L156" s="184"/>
      <c r="M156" s="1166"/>
      <c r="N156" s="1166"/>
      <c r="O156" s="1183"/>
    </row>
    <row r="157" spans="2:16" x14ac:dyDescent="0.2">
      <c r="B157" s="1164">
        <v>147</v>
      </c>
      <c r="C157" s="1131">
        <v>35</v>
      </c>
      <c r="D157" s="1132">
        <f t="shared" si="51"/>
        <v>62.929000000000002</v>
      </c>
      <c r="E157" s="1133">
        <f t="shared" si="36"/>
        <v>1.0080258581270001</v>
      </c>
      <c r="F157" s="1133">
        <f t="shared" si="52"/>
        <v>8.4123836586483076</v>
      </c>
      <c r="G157" s="1134">
        <v>1.05</v>
      </c>
      <c r="H157" s="1134">
        <f t="shared" si="37"/>
        <v>1.0416399455773799</v>
      </c>
      <c r="I157" s="1135">
        <f t="shared" si="53"/>
        <v>0.93480000000000008</v>
      </c>
      <c r="J157" s="1136" t="e">
        <f t="shared" si="47"/>
        <v>#NAME?</v>
      </c>
      <c r="L157" s="184"/>
      <c r="M157" s="1166"/>
      <c r="N157" s="1166"/>
      <c r="O157" s="1183"/>
    </row>
    <row r="158" spans="2:16" x14ac:dyDescent="0.2">
      <c r="B158" s="1164">
        <v>148</v>
      </c>
      <c r="C158" s="1131">
        <v>35</v>
      </c>
      <c r="D158" s="1132">
        <f t="shared" si="51"/>
        <v>62.906000000000006</v>
      </c>
      <c r="E158" s="1133">
        <f t="shared" si="36"/>
        <v>1.0076574334780002</v>
      </c>
      <c r="F158" s="1133">
        <f t="shared" si="52"/>
        <v>8.4093090058785371</v>
      </c>
      <c r="G158" s="1134">
        <v>1.04</v>
      </c>
      <c r="H158" s="1134">
        <f t="shared" si="37"/>
        <v>1.032096787506809</v>
      </c>
      <c r="I158" s="1135">
        <f t="shared" si="53"/>
        <v>0.93520000000000003</v>
      </c>
      <c r="J158" s="1136" t="e">
        <f t="shared" si="47"/>
        <v>#NAME?</v>
      </c>
      <c r="L158" s="184"/>
      <c r="M158" s="1166"/>
      <c r="N158" s="1166"/>
      <c r="O158" s="1183"/>
    </row>
    <row r="159" spans="2:16" ht="13.5" thickBot="1" x14ac:dyDescent="0.25">
      <c r="B159" s="1174">
        <v>149</v>
      </c>
      <c r="C159" s="1142">
        <v>35</v>
      </c>
      <c r="D159" s="1143">
        <f t="shared" si="51"/>
        <v>62.88300000000001</v>
      </c>
      <c r="E159" s="1144">
        <f t="shared" si="36"/>
        <v>1.0072890088290001</v>
      </c>
      <c r="F159" s="1144">
        <f t="shared" si="52"/>
        <v>8.4062343531087667</v>
      </c>
      <c r="G159" s="1145">
        <v>1.03</v>
      </c>
      <c r="H159" s="1145">
        <f t="shared" si="37"/>
        <v>1.0225466484513734</v>
      </c>
      <c r="I159" s="1135">
        <f t="shared" si="53"/>
        <v>0.9356000000000001</v>
      </c>
      <c r="J159" s="1147" t="e">
        <f t="shared" si="47"/>
        <v>#NAME?</v>
      </c>
      <c r="L159" s="184"/>
      <c r="M159" s="1166"/>
      <c r="N159" s="1166"/>
      <c r="O159" s="1183"/>
    </row>
    <row r="160" spans="2:16" x14ac:dyDescent="0.2">
      <c r="B160" s="1119">
        <v>150</v>
      </c>
      <c r="C160" s="1120">
        <v>35</v>
      </c>
      <c r="D160" s="1121">
        <v>62.85</v>
      </c>
      <c r="E160" s="1122">
        <f t="shared" si="36"/>
        <v>1.0067603995500001</v>
      </c>
      <c r="F160" s="1122">
        <f>D160/7.4805195</f>
        <v>8.4018228947869193</v>
      </c>
      <c r="G160" s="1121">
        <v>1.02</v>
      </c>
      <c r="H160" s="1121">
        <f t="shared" si="37"/>
        <v>1.0131506964873844</v>
      </c>
      <c r="I160" s="1123">
        <v>0.93600000000000005</v>
      </c>
      <c r="J160" s="1124" t="e">
        <f t="shared" si="47"/>
        <v>#NAME?</v>
      </c>
      <c r="L160" s="1125">
        <f>B160</f>
        <v>150</v>
      </c>
      <c r="M160" s="1126">
        <f>D160</f>
        <v>62.85</v>
      </c>
      <c r="N160" s="1126"/>
      <c r="O160" s="1127">
        <f>I160</f>
        <v>0.93600000000000005</v>
      </c>
      <c r="P160" s="1166"/>
    </row>
    <row r="161" spans="2:16" x14ac:dyDescent="0.2">
      <c r="B161" s="1164">
        <v>151</v>
      </c>
      <c r="C161" s="1131">
        <v>35</v>
      </c>
      <c r="D161" s="1132">
        <f t="shared" ref="D161:D169" si="54">FORECAST(B161,$M$150:$M$151,$L$150:$L$151)</f>
        <v>62.826000000000001</v>
      </c>
      <c r="E161" s="1133">
        <f t="shared" si="36"/>
        <v>1.0063759564379999</v>
      </c>
      <c r="F161" s="1133">
        <f t="shared" ref="F161:F169" si="55">D161/7.4805195</f>
        <v>8.3986145614619421</v>
      </c>
      <c r="G161" s="1134">
        <v>1.01</v>
      </c>
      <c r="H161" s="1134">
        <f t="shared" si="37"/>
        <v>1.0036010832123088</v>
      </c>
      <c r="I161" s="1135">
        <f>FORECAST(B161,$O$150:$O$151,$L$150:$L$151)</f>
        <v>0.93640000000000001</v>
      </c>
      <c r="J161" s="1136" t="e">
        <f t="shared" si="47"/>
        <v>#NAME?</v>
      </c>
      <c r="L161" s="1125">
        <f>B170</f>
        <v>160</v>
      </c>
      <c r="M161" s="1126">
        <f>D170</f>
        <v>62.61</v>
      </c>
      <c r="N161" s="1126"/>
      <c r="O161" s="1127">
        <f>I170</f>
        <v>0.94</v>
      </c>
      <c r="P161" s="1166"/>
    </row>
    <row r="162" spans="2:16" x14ac:dyDescent="0.2">
      <c r="B162" s="1164">
        <v>152</v>
      </c>
      <c r="C162" s="1131">
        <v>35</v>
      </c>
      <c r="D162" s="1132">
        <f t="shared" si="54"/>
        <v>62.802</v>
      </c>
      <c r="E162" s="1133">
        <f t="shared" si="36"/>
        <v>1.005991513326</v>
      </c>
      <c r="F162" s="1133">
        <f t="shared" si="55"/>
        <v>8.395406228136963</v>
      </c>
      <c r="G162" s="1134">
        <v>1</v>
      </c>
      <c r="H162" s="1134">
        <f t="shared" si="37"/>
        <v>0.99404417110220844</v>
      </c>
      <c r="I162" s="1135">
        <f t="shared" ref="I162:I169" si="56">FORECAST(B162,$O$150:$O$151,$L$150:$L$151)</f>
        <v>0.93680000000000008</v>
      </c>
      <c r="J162" s="1136" t="e">
        <f t="shared" si="47"/>
        <v>#NAME?</v>
      </c>
      <c r="L162" s="184"/>
      <c r="M162" s="1166"/>
      <c r="N162" s="1166"/>
      <c r="O162" s="1183"/>
    </row>
    <row r="163" spans="2:16" x14ac:dyDescent="0.2">
      <c r="B163" s="1164">
        <v>153</v>
      </c>
      <c r="C163" s="1131">
        <v>35</v>
      </c>
      <c r="D163" s="1132">
        <f t="shared" si="54"/>
        <v>62.777999999999999</v>
      </c>
      <c r="E163" s="1133">
        <f t="shared" si="36"/>
        <v>1.0056070702140001</v>
      </c>
      <c r="F163" s="1133">
        <f t="shared" si="55"/>
        <v>8.392197894811984</v>
      </c>
      <c r="G163" s="1134">
        <v>0.98</v>
      </c>
      <c r="H163" s="1134">
        <f t="shared" si="37"/>
        <v>0.9745357098488272</v>
      </c>
      <c r="I163" s="1135">
        <f t="shared" si="56"/>
        <v>0.93720000000000003</v>
      </c>
      <c r="J163" s="1136" t="e">
        <f t="shared" si="47"/>
        <v>#NAME?</v>
      </c>
      <c r="L163" s="184"/>
      <c r="M163" s="1166"/>
      <c r="N163" s="1166"/>
      <c r="O163" s="1183"/>
    </row>
    <row r="164" spans="2:16" ht="13.5" thickBot="1" x14ac:dyDescent="0.25">
      <c r="B164" s="1174">
        <v>154</v>
      </c>
      <c r="C164" s="1142">
        <v>35</v>
      </c>
      <c r="D164" s="1143">
        <f t="shared" si="54"/>
        <v>62.753999999999998</v>
      </c>
      <c r="E164" s="1144">
        <f t="shared" si="36"/>
        <v>1.0052226271019999</v>
      </c>
      <c r="F164" s="1144">
        <f t="shared" si="55"/>
        <v>8.3889895614870067</v>
      </c>
      <c r="G164" s="1145">
        <v>0.97</v>
      </c>
      <c r="H164" s="1145">
        <f t="shared" si="37"/>
        <v>0.96496037180982996</v>
      </c>
      <c r="I164" s="1146">
        <f t="shared" si="56"/>
        <v>0.9376000000000001</v>
      </c>
      <c r="J164" s="1147" t="e">
        <f t="shared" si="47"/>
        <v>#NAME?</v>
      </c>
      <c r="L164" s="184"/>
      <c r="M164" s="1166"/>
      <c r="N164" s="1166"/>
      <c r="O164" s="1183"/>
    </row>
    <row r="165" spans="2:16" x14ac:dyDescent="0.2">
      <c r="B165" s="1172">
        <v>155</v>
      </c>
      <c r="C165" s="1149">
        <v>35</v>
      </c>
      <c r="D165" s="1150">
        <f t="shared" si="54"/>
        <v>62.730000000000004</v>
      </c>
      <c r="E165" s="1122">
        <f t="shared" si="36"/>
        <v>1.00483818399</v>
      </c>
      <c r="F165" s="1122">
        <f t="shared" si="55"/>
        <v>8.3857812281620294</v>
      </c>
      <c r="G165" s="1121">
        <v>0.96</v>
      </c>
      <c r="H165" s="1121">
        <f t="shared" si="37"/>
        <v>0.95537770687419832</v>
      </c>
      <c r="I165" s="1173">
        <f t="shared" si="56"/>
        <v>0.93800000000000006</v>
      </c>
      <c r="J165" s="1124" t="e">
        <f t="shared" si="47"/>
        <v>#NAME?</v>
      </c>
      <c r="L165" s="184"/>
      <c r="M165" s="1166"/>
      <c r="N165" s="1166"/>
      <c r="O165" s="1183"/>
    </row>
    <row r="166" spans="2:16" x14ac:dyDescent="0.2">
      <c r="B166" s="1164">
        <v>156</v>
      </c>
      <c r="C166" s="1131">
        <v>35</v>
      </c>
      <c r="D166" s="1132">
        <f t="shared" si="54"/>
        <v>62.706000000000003</v>
      </c>
      <c r="E166" s="1133">
        <f t="shared" si="36"/>
        <v>1.0044537408780001</v>
      </c>
      <c r="F166" s="1133">
        <f t="shared" si="55"/>
        <v>8.3825728948370504</v>
      </c>
      <c r="G166" s="1134">
        <v>0.95</v>
      </c>
      <c r="H166" s="1134">
        <f t="shared" si="37"/>
        <v>0.94578770662907607</v>
      </c>
      <c r="I166" s="1135">
        <f t="shared" si="56"/>
        <v>0.93840000000000001</v>
      </c>
      <c r="J166" s="1136" t="e">
        <f t="shared" si="47"/>
        <v>#NAME?</v>
      </c>
      <c r="L166" s="184"/>
      <c r="M166" s="1166"/>
      <c r="N166" s="1166"/>
      <c r="O166" s="1183"/>
    </row>
    <row r="167" spans="2:16" x14ac:dyDescent="0.2">
      <c r="B167" s="1164">
        <v>157</v>
      </c>
      <c r="C167" s="1131">
        <v>35</v>
      </c>
      <c r="D167" s="1132">
        <f t="shared" si="54"/>
        <v>62.682000000000002</v>
      </c>
      <c r="E167" s="1133">
        <f t="shared" si="36"/>
        <v>1.004069297766</v>
      </c>
      <c r="F167" s="1133">
        <f t="shared" si="55"/>
        <v>8.3793645615120713</v>
      </c>
      <c r="G167" s="1134">
        <v>0.94</v>
      </c>
      <c r="H167" s="1134">
        <f t="shared" si="37"/>
        <v>0.9361903626487228</v>
      </c>
      <c r="I167" s="1135">
        <f t="shared" si="56"/>
        <v>0.93880000000000008</v>
      </c>
      <c r="J167" s="1136" t="e">
        <f t="shared" si="47"/>
        <v>#NAME?</v>
      </c>
      <c r="L167" s="184"/>
      <c r="M167" s="1166"/>
      <c r="N167" s="1166"/>
      <c r="O167" s="1183"/>
    </row>
    <row r="168" spans="2:16" x14ac:dyDescent="0.2">
      <c r="B168" s="1164">
        <v>158</v>
      </c>
      <c r="C168" s="1131">
        <v>35</v>
      </c>
      <c r="D168" s="1132">
        <f t="shared" si="54"/>
        <v>62.658000000000001</v>
      </c>
      <c r="E168" s="1133">
        <f t="shared" si="36"/>
        <v>1.003684854654</v>
      </c>
      <c r="F168" s="1133">
        <f t="shared" si="55"/>
        <v>8.376156228187094</v>
      </c>
      <c r="G168" s="1134">
        <v>0.93</v>
      </c>
      <c r="H168" s="1134">
        <f t="shared" si="37"/>
        <v>0.92658566649448815</v>
      </c>
      <c r="I168" s="1135">
        <f t="shared" si="56"/>
        <v>0.93920000000000003</v>
      </c>
      <c r="J168" s="1136" t="e">
        <f t="shared" si="47"/>
        <v>#NAME?</v>
      </c>
      <c r="L168" s="184"/>
      <c r="M168" s="1166"/>
      <c r="N168" s="1166"/>
      <c r="O168" s="1183"/>
    </row>
    <row r="169" spans="2:16" ht="13.5" thickBot="1" x14ac:dyDescent="0.25">
      <c r="B169" s="1174">
        <v>159</v>
      </c>
      <c r="C169" s="1142">
        <v>35</v>
      </c>
      <c r="D169" s="1143">
        <f t="shared" si="54"/>
        <v>62.634</v>
      </c>
      <c r="E169" s="1144">
        <f t="shared" ref="E169:E220" si="57">D169*0.016018463</f>
        <v>1.0033004115420001</v>
      </c>
      <c r="F169" s="1144">
        <f t="shared" si="55"/>
        <v>8.372947894862115</v>
      </c>
      <c r="G169" s="1145">
        <v>0.92</v>
      </c>
      <c r="H169" s="1145">
        <f t="shared" ref="H169:H220" si="58">G169/E169</f>
        <v>0.91697360971478781</v>
      </c>
      <c r="I169" s="1135">
        <f t="shared" si="56"/>
        <v>0.9396000000000001</v>
      </c>
      <c r="J169" s="1147" t="e">
        <f t="shared" si="47"/>
        <v>#NAME?</v>
      </c>
      <c r="L169" s="184"/>
      <c r="M169" s="1166"/>
      <c r="N169" s="1166"/>
      <c r="O169" s="1183"/>
    </row>
    <row r="170" spans="2:16" x14ac:dyDescent="0.2">
      <c r="B170" s="1119">
        <v>160</v>
      </c>
      <c r="C170" s="1120">
        <v>35</v>
      </c>
      <c r="D170" s="1121">
        <v>62.61</v>
      </c>
      <c r="E170" s="1122">
        <f t="shared" si="57"/>
        <v>1.00291596843</v>
      </c>
      <c r="F170" s="1122">
        <f>D170/7.4805195</f>
        <v>8.3697395615371359</v>
      </c>
      <c r="G170" s="1121">
        <v>0.91</v>
      </c>
      <c r="H170" s="1121">
        <f t="shared" si="58"/>
        <v>0.90735418384507938</v>
      </c>
      <c r="I170" s="1123">
        <v>0.94</v>
      </c>
      <c r="J170" s="1124" t="e">
        <f t="shared" si="47"/>
        <v>#NAME?</v>
      </c>
      <c r="L170" s="1125">
        <f>B170</f>
        <v>160</v>
      </c>
      <c r="M170" s="1126">
        <f>D170</f>
        <v>62.61</v>
      </c>
      <c r="N170" s="1126"/>
      <c r="O170" s="1127">
        <f>I170</f>
        <v>0.94</v>
      </c>
      <c r="P170" s="1166"/>
    </row>
    <row r="171" spans="2:16" x14ac:dyDescent="0.2">
      <c r="B171" s="1164">
        <v>161</v>
      </c>
      <c r="C171" s="1131">
        <v>35</v>
      </c>
      <c r="D171" s="1132">
        <f t="shared" ref="D171:D179" si="59">FORECAST(B171,$M$160:$M$161,$L$160:$L$161)</f>
        <v>62.585999999999999</v>
      </c>
      <c r="E171" s="1133">
        <f t="shared" si="57"/>
        <v>1.002531525318</v>
      </c>
      <c r="F171" s="1133">
        <f t="shared" ref="F171:F179" si="60">D171/7.4805195</f>
        <v>8.3665312282121587</v>
      </c>
      <c r="G171" s="1134">
        <v>0.9</v>
      </c>
      <c r="H171" s="1134">
        <f t="shared" si="58"/>
        <v>0.89772738040783573</v>
      </c>
      <c r="I171" s="1135">
        <f>FORECAST(B171,$O$160:$O$161,$L$160:$L$161)</f>
        <v>0.9403999999999999</v>
      </c>
      <c r="J171" s="1136" t="e">
        <f t="shared" si="47"/>
        <v>#NAME?</v>
      </c>
      <c r="L171" s="1125">
        <f>B180</f>
        <v>170</v>
      </c>
      <c r="M171" s="1126">
        <f>D180</f>
        <v>62.35</v>
      </c>
      <c r="N171" s="1126"/>
      <c r="O171" s="1127">
        <f>I180</f>
        <v>0.94399999999999995</v>
      </c>
      <c r="P171" s="1166"/>
    </row>
    <row r="172" spans="2:16" x14ac:dyDescent="0.2">
      <c r="B172" s="1164">
        <v>162</v>
      </c>
      <c r="C172" s="1131">
        <v>35</v>
      </c>
      <c r="D172" s="1132">
        <f t="shared" si="59"/>
        <v>62.561999999999998</v>
      </c>
      <c r="E172" s="1133">
        <f t="shared" si="57"/>
        <v>1.0021470822059999</v>
      </c>
      <c r="F172" s="1133">
        <f t="shared" si="60"/>
        <v>8.3633228948871796</v>
      </c>
      <c r="G172" s="1134">
        <v>0.89</v>
      </c>
      <c r="H172" s="1134">
        <f t="shared" si="58"/>
        <v>0.88809319091252203</v>
      </c>
      <c r="I172" s="1135">
        <f t="shared" ref="I172:I179" si="61">FORECAST(B172,$O$160:$O$161,$L$160:$L$161)</f>
        <v>0.94079999999999997</v>
      </c>
      <c r="J172" s="1136" t="e">
        <f t="shared" si="47"/>
        <v>#NAME?</v>
      </c>
      <c r="L172" s="184"/>
      <c r="M172" s="1166"/>
      <c r="N172" s="1166"/>
      <c r="O172" s="1183"/>
    </row>
    <row r="173" spans="2:16" x14ac:dyDescent="0.2">
      <c r="B173" s="1164">
        <v>163</v>
      </c>
      <c r="C173" s="1131">
        <v>35</v>
      </c>
      <c r="D173" s="1132">
        <f t="shared" si="59"/>
        <v>62.537999999999997</v>
      </c>
      <c r="E173" s="1133">
        <f t="shared" si="57"/>
        <v>1.001762639094</v>
      </c>
      <c r="F173" s="1133">
        <f t="shared" si="60"/>
        <v>8.3601145615622023</v>
      </c>
      <c r="G173" s="1134">
        <v>0.89</v>
      </c>
      <c r="H173" s="1134">
        <f t="shared" si="58"/>
        <v>0.88843401147892798</v>
      </c>
      <c r="I173" s="1135">
        <f t="shared" si="61"/>
        <v>0.94119999999999993</v>
      </c>
      <c r="J173" s="1136" t="e">
        <f t="shared" si="47"/>
        <v>#NAME?</v>
      </c>
      <c r="L173" s="184"/>
      <c r="M173" s="1166"/>
      <c r="N173" s="1166"/>
      <c r="O173" s="1183"/>
    </row>
    <row r="174" spans="2:16" ht="13.5" thickBot="1" x14ac:dyDescent="0.25">
      <c r="B174" s="1174">
        <v>164</v>
      </c>
      <c r="C174" s="1142">
        <v>35</v>
      </c>
      <c r="D174" s="1143">
        <f t="shared" si="59"/>
        <v>62.513999999999996</v>
      </c>
      <c r="E174" s="1144">
        <f t="shared" si="57"/>
        <v>1.0013781959819998</v>
      </c>
      <c r="F174" s="1144">
        <f t="shared" si="60"/>
        <v>8.3569062282372233</v>
      </c>
      <c r="G174" s="1145">
        <v>0.88</v>
      </c>
      <c r="H174" s="1145">
        <f t="shared" si="58"/>
        <v>0.87878885672863039</v>
      </c>
      <c r="I174" s="1146">
        <f t="shared" si="61"/>
        <v>0.94159999999999988</v>
      </c>
      <c r="J174" s="1147" t="e">
        <f t="shared" si="47"/>
        <v>#NAME?</v>
      </c>
      <c r="L174" s="184"/>
      <c r="M174" s="1166"/>
      <c r="N174" s="1166"/>
      <c r="O174" s="1183"/>
    </row>
    <row r="175" spans="2:16" x14ac:dyDescent="0.2">
      <c r="B175" s="1172">
        <v>165</v>
      </c>
      <c r="C175" s="1149">
        <v>35</v>
      </c>
      <c r="D175" s="1150">
        <f t="shared" si="59"/>
        <v>62.489999999999995</v>
      </c>
      <c r="E175" s="1122">
        <f t="shared" si="57"/>
        <v>1.0009937528699999</v>
      </c>
      <c r="F175" s="1122">
        <f t="shared" si="60"/>
        <v>8.3536978949122442</v>
      </c>
      <c r="G175" s="1121">
        <v>0.87</v>
      </c>
      <c r="H175" s="1121">
        <f t="shared" si="58"/>
        <v>0.86913629331409803</v>
      </c>
      <c r="I175" s="1173">
        <f t="shared" si="61"/>
        <v>0.94199999999999995</v>
      </c>
      <c r="J175" s="1124" t="e">
        <f t="shared" si="47"/>
        <v>#NAME?</v>
      </c>
      <c r="L175" s="184"/>
      <c r="M175" s="1166"/>
      <c r="N175" s="1166"/>
      <c r="O175" s="1183"/>
    </row>
    <row r="176" spans="2:16" x14ac:dyDescent="0.2">
      <c r="B176" s="1164">
        <v>166</v>
      </c>
      <c r="C176" s="1131">
        <v>35</v>
      </c>
      <c r="D176" s="1132">
        <f t="shared" si="59"/>
        <v>62.466000000000001</v>
      </c>
      <c r="E176" s="1133">
        <f t="shared" si="57"/>
        <v>1.000609309758</v>
      </c>
      <c r="F176" s="1133">
        <f t="shared" si="60"/>
        <v>8.350489561587267</v>
      </c>
      <c r="G176" s="1134">
        <v>0.86</v>
      </c>
      <c r="H176" s="1134">
        <f t="shared" si="58"/>
        <v>0.85947631269590452</v>
      </c>
      <c r="I176" s="1135">
        <f t="shared" si="61"/>
        <v>0.9423999999999999</v>
      </c>
      <c r="J176" s="1136" t="e">
        <f t="shared" si="47"/>
        <v>#NAME?</v>
      </c>
      <c r="L176" s="184"/>
      <c r="M176" s="1166"/>
      <c r="N176" s="1166"/>
      <c r="O176" s="1183"/>
    </row>
    <row r="177" spans="2:16" x14ac:dyDescent="0.2">
      <c r="B177" s="1164">
        <v>167</v>
      </c>
      <c r="C177" s="1131">
        <v>35</v>
      </c>
      <c r="D177" s="1132">
        <f t="shared" si="59"/>
        <v>62.442</v>
      </c>
      <c r="E177" s="1133">
        <f t="shared" si="57"/>
        <v>1.0002248666460001</v>
      </c>
      <c r="F177" s="1133">
        <f t="shared" si="60"/>
        <v>8.3472812282622879</v>
      </c>
      <c r="G177" s="1134">
        <v>0.85</v>
      </c>
      <c r="H177" s="1134">
        <f t="shared" si="58"/>
        <v>0.84980890632149442</v>
      </c>
      <c r="I177" s="1135">
        <f t="shared" si="61"/>
        <v>0.94279999999999986</v>
      </c>
      <c r="J177" s="1136" t="e">
        <f t="shared" si="47"/>
        <v>#NAME?</v>
      </c>
      <c r="L177" s="184"/>
      <c r="M177" s="1166"/>
      <c r="N177" s="1166"/>
      <c r="O177" s="1183"/>
    </row>
    <row r="178" spans="2:16" x14ac:dyDescent="0.2">
      <c r="B178" s="1164">
        <v>168</v>
      </c>
      <c r="C178" s="1131">
        <v>35</v>
      </c>
      <c r="D178" s="1132">
        <f t="shared" si="59"/>
        <v>62.417999999999999</v>
      </c>
      <c r="E178" s="1133">
        <f t="shared" si="57"/>
        <v>0.99984042353400004</v>
      </c>
      <c r="F178" s="1133">
        <f t="shared" si="60"/>
        <v>8.3440728949373106</v>
      </c>
      <c r="G178" s="1134">
        <v>0.84</v>
      </c>
      <c r="H178" s="1134">
        <f t="shared" si="58"/>
        <v>0.84013406562515858</v>
      </c>
      <c r="I178" s="1135">
        <f t="shared" si="61"/>
        <v>0.94319999999999982</v>
      </c>
      <c r="J178" s="1136" t="e">
        <f t="shared" si="47"/>
        <v>#NAME?</v>
      </c>
      <c r="L178" s="184"/>
      <c r="M178" s="1166"/>
      <c r="N178" s="1166"/>
      <c r="O178" s="1183"/>
    </row>
    <row r="179" spans="2:16" ht="13.5" thickBot="1" x14ac:dyDescent="0.25">
      <c r="B179" s="1174">
        <v>169</v>
      </c>
      <c r="C179" s="1142">
        <v>35</v>
      </c>
      <c r="D179" s="1143">
        <f t="shared" si="59"/>
        <v>62.393999999999998</v>
      </c>
      <c r="E179" s="1144">
        <f t="shared" si="57"/>
        <v>0.99945598042200001</v>
      </c>
      <c r="F179" s="1144">
        <f t="shared" si="60"/>
        <v>8.3408645616123316</v>
      </c>
      <c r="G179" s="1145">
        <v>0.83</v>
      </c>
      <c r="H179" s="1145">
        <f t="shared" si="58"/>
        <v>0.83045178202800818</v>
      </c>
      <c r="I179" s="1135">
        <f t="shared" si="61"/>
        <v>0.94359999999999988</v>
      </c>
      <c r="J179" s="1147" t="e">
        <f t="shared" si="47"/>
        <v>#NAME?</v>
      </c>
      <c r="L179" s="184"/>
      <c r="M179" s="1166"/>
      <c r="N179" s="1166"/>
      <c r="O179" s="1183"/>
    </row>
    <row r="180" spans="2:16" x14ac:dyDescent="0.2">
      <c r="B180" s="1119">
        <v>170</v>
      </c>
      <c r="C180" s="1120">
        <v>35</v>
      </c>
      <c r="D180" s="1121">
        <v>62.35</v>
      </c>
      <c r="E180" s="1122">
        <f t="shared" si="57"/>
        <v>0.99875116805000008</v>
      </c>
      <c r="F180" s="1122">
        <f>D180/7.4805195</f>
        <v>8.334982617183206</v>
      </c>
      <c r="G180" s="1121">
        <v>0.83</v>
      </c>
      <c r="H180" s="1121">
        <f t="shared" si="58"/>
        <v>0.83103782658950343</v>
      </c>
      <c r="I180" s="1123">
        <v>0.94399999999999995</v>
      </c>
      <c r="J180" s="1124" t="e">
        <f t="shared" si="47"/>
        <v>#NAME?</v>
      </c>
      <c r="L180" s="1125">
        <f>B180</f>
        <v>170</v>
      </c>
      <c r="M180" s="1126">
        <f>D180</f>
        <v>62.35</v>
      </c>
      <c r="N180" s="1126"/>
      <c r="O180" s="1127">
        <f>I180</f>
        <v>0.94399999999999995</v>
      </c>
      <c r="P180" s="1166"/>
    </row>
    <row r="181" spans="2:16" x14ac:dyDescent="0.2">
      <c r="B181" s="1164">
        <v>171</v>
      </c>
      <c r="C181" s="1131">
        <v>35</v>
      </c>
      <c r="D181" s="1132">
        <f t="shared" ref="D181:D189" si="62">FORECAST(B181,$M$170:$M$171,$L$170:$L$171)</f>
        <v>62.323999999999998</v>
      </c>
      <c r="E181" s="1133">
        <f t="shared" si="57"/>
        <v>0.99833468801199998</v>
      </c>
      <c r="F181" s="1133">
        <f t="shared" ref="F181:F189" si="63">D181/7.4805195</f>
        <v>8.3315069227478116</v>
      </c>
      <c r="G181" s="1134">
        <v>0.82</v>
      </c>
      <c r="H181" s="1134">
        <f t="shared" si="58"/>
        <v>0.8213678337000182</v>
      </c>
      <c r="I181" s="1135">
        <f>FORECAST(B181,$O$170:$O$171,$L$170:$L$171)</f>
        <v>0.94439999999999991</v>
      </c>
      <c r="J181" s="1136" t="e">
        <f t="shared" si="47"/>
        <v>#NAME?</v>
      </c>
      <c r="L181" s="1125">
        <f>B190</f>
        <v>180</v>
      </c>
      <c r="M181" s="1126">
        <f>D190</f>
        <v>62.08</v>
      </c>
      <c r="N181" s="1126"/>
      <c r="O181" s="1127">
        <f>I190</f>
        <v>0.94799999999999995</v>
      </c>
      <c r="P181" s="1166"/>
    </row>
    <row r="182" spans="2:16" x14ac:dyDescent="0.2">
      <c r="B182" s="1164">
        <v>172</v>
      </c>
      <c r="C182" s="1131">
        <v>35</v>
      </c>
      <c r="D182" s="1132">
        <f t="shared" si="62"/>
        <v>62.298000000000002</v>
      </c>
      <c r="E182" s="1133">
        <f t="shared" si="57"/>
        <v>0.99791820797399999</v>
      </c>
      <c r="F182" s="1133">
        <f t="shared" si="63"/>
        <v>8.3280312283124189</v>
      </c>
      <c r="G182" s="1134">
        <v>0.81</v>
      </c>
      <c r="H182" s="1134">
        <f t="shared" si="58"/>
        <v>0.81168976928929226</v>
      </c>
      <c r="I182" s="1135">
        <f t="shared" ref="I182:I189" si="64">FORECAST(B182,$O$170:$O$171,$L$170:$L$171)</f>
        <v>0.94479999999999997</v>
      </c>
      <c r="J182" s="1136" t="e">
        <f t="shared" si="47"/>
        <v>#NAME?</v>
      </c>
      <c r="L182" s="184"/>
      <c r="M182" s="1166"/>
      <c r="N182" s="1166"/>
      <c r="O182" s="1183"/>
    </row>
    <row r="183" spans="2:16" x14ac:dyDescent="0.2">
      <c r="B183" s="1164">
        <v>173</v>
      </c>
      <c r="C183" s="1131">
        <v>35</v>
      </c>
      <c r="D183" s="1132">
        <f t="shared" si="62"/>
        <v>62.272000000000006</v>
      </c>
      <c r="E183" s="1133">
        <f t="shared" si="57"/>
        <v>0.99750172793600012</v>
      </c>
      <c r="F183" s="1133">
        <f t="shared" si="63"/>
        <v>8.3245555338770263</v>
      </c>
      <c r="G183" s="1134">
        <v>0.8</v>
      </c>
      <c r="H183" s="1134">
        <f t="shared" si="58"/>
        <v>0.80200362324718522</v>
      </c>
      <c r="I183" s="1135">
        <f t="shared" si="64"/>
        <v>0.94519999999999993</v>
      </c>
      <c r="J183" s="1136" t="e">
        <f t="shared" si="47"/>
        <v>#NAME?</v>
      </c>
      <c r="L183" s="184"/>
      <c r="M183" s="1166"/>
      <c r="N183" s="1166"/>
      <c r="O183" s="1183"/>
    </row>
    <row r="184" spans="2:16" ht="13.5" thickBot="1" x14ac:dyDescent="0.25">
      <c r="B184" s="1174">
        <v>174</v>
      </c>
      <c r="C184" s="1142">
        <v>35</v>
      </c>
      <c r="D184" s="1143">
        <f t="shared" si="62"/>
        <v>62.246000000000002</v>
      </c>
      <c r="E184" s="1144">
        <f t="shared" si="57"/>
        <v>0.99708524789800002</v>
      </c>
      <c r="F184" s="1144">
        <f t="shared" si="63"/>
        <v>8.3210798394416337</v>
      </c>
      <c r="G184" s="1145">
        <v>0.8</v>
      </c>
      <c r="H184" s="1145">
        <f t="shared" si="58"/>
        <v>0.802338618173838</v>
      </c>
      <c r="I184" s="1146">
        <f t="shared" si="64"/>
        <v>0.9456</v>
      </c>
      <c r="J184" s="1147" t="e">
        <f t="shared" si="47"/>
        <v>#NAME?</v>
      </c>
      <c r="L184" s="184"/>
      <c r="M184" s="1166"/>
      <c r="N184" s="1166"/>
      <c r="O184" s="1183"/>
    </row>
    <row r="185" spans="2:16" x14ac:dyDescent="0.2">
      <c r="B185" s="1172">
        <v>175</v>
      </c>
      <c r="C185" s="1149">
        <v>35</v>
      </c>
      <c r="D185" s="1150">
        <f t="shared" si="62"/>
        <v>62.22</v>
      </c>
      <c r="E185" s="1122">
        <f t="shared" si="57"/>
        <v>0.99666876786000003</v>
      </c>
      <c r="F185" s="1122">
        <f t="shared" si="63"/>
        <v>8.3176041450062392</v>
      </c>
      <c r="G185" s="1121">
        <v>0.79</v>
      </c>
      <c r="H185" s="1121">
        <f t="shared" si="58"/>
        <v>0.79264046940715382</v>
      </c>
      <c r="I185" s="1173">
        <f t="shared" si="64"/>
        <v>0.94599999999999995</v>
      </c>
      <c r="J185" s="1124" t="e">
        <f t="shared" si="47"/>
        <v>#NAME?</v>
      </c>
      <c r="L185" s="184"/>
      <c r="M185" s="1166"/>
      <c r="N185" s="1166"/>
      <c r="O185" s="1183"/>
    </row>
    <row r="186" spans="2:16" x14ac:dyDescent="0.2">
      <c r="B186" s="1164">
        <v>176</v>
      </c>
      <c r="C186" s="1131">
        <v>35</v>
      </c>
      <c r="D186" s="1132">
        <f t="shared" si="62"/>
        <v>62.194000000000003</v>
      </c>
      <c r="E186" s="1133">
        <f t="shared" si="57"/>
        <v>0.99625228782200004</v>
      </c>
      <c r="F186" s="1133">
        <f t="shared" si="63"/>
        <v>8.3141284505708466</v>
      </c>
      <c r="G186" s="1134">
        <v>0.78</v>
      </c>
      <c r="H186" s="1134">
        <f t="shared" si="58"/>
        <v>0.78293421208118952</v>
      </c>
      <c r="I186" s="1135">
        <f t="shared" si="64"/>
        <v>0.94639999999999991</v>
      </c>
      <c r="J186" s="1136" t="e">
        <f t="shared" si="47"/>
        <v>#NAME?</v>
      </c>
      <c r="L186" s="184"/>
      <c r="M186" s="1166"/>
      <c r="N186" s="1166"/>
      <c r="O186" s="1183"/>
    </row>
    <row r="187" spans="2:16" x14ac:dyDescent="0.2">
      <c r="B187" s="1164">
        <v>177</v>
      </c>
      <c r="C187" s="1131">
        <v>35</v>
      </c>
      <c r="D187" s="1132">
        <f t="shared" si="62"/>
        <v>62.168000000000006</v>
      </c>
      <c r="E187" s="1133">
        <f t="shared" si="57"/>
        <v>0.99583580778400016</v>
      </c>
      <c r="F187" s="1133">
        <f t="shared" si="63"/>
        <v>8.310652756135454</v>
      </c>
      <c r="G187" s="1134">
        <v>0.77</v>
      </c>
      <c r="H187" s="1134">
        <f t="shared" si="58"/>
        <v>0.77321983602242128</v>
      </c>
      <c r="I187" s="1135">
        <f t="shared" si="64"/>
        <v>0.94679999999999997</v>
      </c>
      <c r="J187" s="1136" t="e">
        <f t="shared" si="47"/>
        <v>#NAME?</v>
      </c>
      <c r="L187" s="184"/>
      <c r="M187" s="1166"/>
      <c r="N187" s="1166"/>
      <c r="O187" s="1183"/>
    </row>
    <row r="188" spans="2:16" x14ac:dyDescent="0.2">
      <c r="B188" s="1164">
        <v>178</v>
      </c>
      <c r="C188" s="1131">
        <v>35</v>
      </c>
      <c r="D188" s="1132">
        <f t="shared" si="62"/>
        <v>62.142000000000003</v>
      </c>
      <c r="E188" s="1133">
        <f t="shared" si="57"/>
        <v>0.99541932774600006</v>
      </c>
      <c r="F188" s="1133">
        <f t="shared" si="63"/>
        <v>8.3071770617000595</v>
      </c>
      <c r="G188" s="1134">
        <v>0.77</v>
      </c>
      <c r="H188" s="1134">
        <f t="shared" si="58"/>
        <v>0.77354334855398743</v>
      </c>
      <c r="I188" s="1135">
        <f t="shared" si="64"/>
        <v>0.94719999999999993</v>
      </c>
      <c r="J188" s="1136" t="e">
        <f t="shared" si="47"/>
        <v>#NAME?</v>
      </c>
      <c r="L188" s="184"/>
      <c r="M188" s="1166"/>
      <c r="N188" s="1166"/>
      <c r="O188" s="1183"/>
    </row>
    <row r="189" spans="2:16" ht="13.5" thickBot="1" x14ac:dyDescent="0.25">
      <c r="B189" s="1174">
        <v>179</v>
      </c>
      <c r="C189" s="1142">
        <v>35</v>
      </c>
      <c r="D189" s="1143">
        <f t="shared" si="62"/>
        <v>62.116</v>
      </c>
      <c r="E189" s="1144">
        <f t="shared" si="57"/>
        <v>0.99500284770799996</v>
      </c>
      <c r="F189" s="1144">
        <f t="shared" si="63"/>
        <v>8.3037013672646669</v>
      </c>
      <c r="G189" s="1145">
        <v>0.76</v>
      </c>
      <c r="H189" s="1145">
        <f t="shared" si="58"/>
        <v>0.76381690941957447</v>
      </c>
      <c r="I189" s="1135">
        <f t="shared" si="64"/>
        <v>0.9476</v>
      </c>
      <c r="J189" s="1147" t="e">
        <f t="shared" si="47"/>
        <v>#NAME?</v>
      </c>
      <c r="L189" s="184"/>
      <c r="M189" s="1166"/>
      <c r="N189" s="1166"/>
      <c r="O189" s="1183"/>
    </row>
    <row r="190" spans="2:16" x14ac:dyDescent="0.2">
      <c r="B190" s="1119">
        <v>180</v>
      </c>
      <c r="C190" s="1120">
        <v>35</v>
      </c>
      <c r="D190" s="1121">
        <v>62.08</v>
      </c>
      <c r="E190" s="1122">
        <f t="shared" si="57"/>
        <v>0.99442618303999997</v>
      </c>
      <c r="F190" s="1122">
        <f>D190/7.4805195</f>
        <v>8.2988888672771992</v>
      </c>
      <c r="G190" s="1121">
        <v>0.75</v>
      </c>
      <c r="H190" s="1121">
        <f t="shared" si="58"/>
        <v>0.75420379389772352</v>
      </c>
      <c r="I190" s="1123">
        <v>0.94799999999999995</v>
      </c>
      <c r="J190" s="1124" t="e">
        <f t="shared" si="47"/>
        <v>#NAME?</v>
      </c>
      <c r="L190" s="1125">
        <f>B190</f>
        <v>180</v>
      </c>
      <c r="M190" s="1126">
        <f>D190</f>
        <v>62.08</v>
      </c>
      <c r="N190" s="1126"/>
      <c r="O190" s="1127">
        <f>I190</f>
        <v>0.94799999999999995</v>
      </c>
      <c r="P190" s="1166"/>
    </row>
    <row r="191" spans="2:16" x14ac:dyDescent="0.2">
      <c r="B191" s="1164">
        <v>181</v>
      </c>
      <c r="C191" s="1131">
        <v>35</v>
      </c>
      <c r="D191" s="1132">
        <f t="shared" ref="D191:D199" si="65">FORECAST(B191,$M$180:$M$181,$L$180:$L$181)</f>
        <v>62.052999999999997</v>
      </c>
      <c r="E191" s="1133">
        <f t="shared" si="57"/>
        <v>0.99399368453899994</v>
      </c>
      <c r="F191" s="1133">
        <f t="shared" ref="F191:F199" si="66">D191/7.4805195</f>
        <v>8.295279492286598</v>
      </c>
      <c r="G191" s="1134">
        <v>0.75</v>
      </c>
      <c r="H191" s="1134">
        <f t="shared" si="58"/>
        <v>0.75453195695890085</v>
      </c>
      <c r="I191" s="1135">
        <f>FORECAST(B191,$O$180:$O$181,$L$180:$L$181)</f>
        <v>0.94839999999999991</v>
      </c>
      <c r="J191" s="1136" t="e">
        <f t="shared" si="47"/>
        <v>#NAME?</v>
      </c>
      <c r="L191" s="1125">
        <f>B200</f>
        <v>190</v>
      </c>
      <c r="M191" s="1126">
        <f>D200</f>
        <v>61.8</v>
      </c>
      <c r="N191" s="1126"/>
      <c r="O191" s="1127">
        <f>I200</f>
        <v>0.95199999999999996</v>
      </c>
      <c r="P191" s="1166"/>
    </row>
    <row r="192" spans="2:16" x14ac:dyDescent="0.2">
      <c r="B192" s="1164">
        <v>182</v>
      </c>
      <c r="C192" s="1131">
        <v>35</v>
      </c>
      <c r="D192" s="1132">
        <f t="shared" si="65"/>
        <v>62.025999999999996</v>
      </c>
      <c r="E192" s="1133">
        <f t="shared" si="57"/>
        <v>0.99356118603799992</v>
      </c>
      <c r="F192" s="1133">
        <f t="shared" si="66"/>
        <v>8.2916701172959986</v>
      </c>
      <c r="G192" s="1134">
        <v>0.74</v>
      </c>
      <c r="H192" s="1134">
        <f t="shared" si="58"/>
        <v>0.74479560031011294</v>
      </c>
      <c r="I192" s="1135">
        <f t="shared" ref="I192:I199" si="67">FORECAST(B192,$O$180:$O$181,$L$180:$L$181)</f>
        <v>0.94879999999999998</v>
      </c>
      <c r="J192" s="1136" t="e">
        <f t="shared" si="47"/>
        <v>#NAME?</v>
      </c>
      <c r="L192" s="184"/>
      <c r="M192" s="1166"/>
      <c r="N192" s="1166"/>
      <c r="O192" s="1183"/>
    </row>
    <row r="193" spans="2:16" x14ac:dyDescent="0.2">
      <c r="B193" s="1164">
        <v>183</v>
      </c>
      <c r="C193" s="1131">
        <v>35</v>
      </c>
      <c r="D193" s="1132">
        <f t="shared" si="65"/>
        <v>61.998999999999995</v>
      </c>
      <c r="E193" s="1133">
        <f t="shared" si="57"/>
        <v>0.9931286875369999</v>
      </c>
      <c r="F193" s="1133">
        <f t="shared" si="66"/>
        <v>8.2880607423053974</v>
      </c>
      <c r="G193" s="1134">
        <v>0.73</v>
      </c>
      <c r="H193" s="1134">
        <f t="shared" si="58"/>
        <v>0.73505076347198273</v>
      </c>
      <c r="I193" s="1135">
        <f t="shared" si="67"/>
        <v>0.94919999999999993</v>
      </c>
      <c r="J193" s="1136" t="e">
        <f t="shared" si="47"/>
        <v>#NAME?</v>
      </c>
      <c r="L193" s="184"/>
      <c r="M193" s="1166"/>
      <c r="N193" s="1166"/>
      <c r="O193" s="1183"/>
    </row>
    <row r="194" spans="2:16" ht="13.5" thickBot="1" x14ac:dyDescent="0.25">
      <c r="B194" s="1174">
        <v>184</v>
      </c>
      <c r="C194" s="1142">
        <v>35</v>
      </c>
      <c r="D194" s="1143">
        <f t="shared" si="65"/>
        <v>61.971999999999994</v>
      </c>
      <c r="E194" s="1144">
        <f t="shared" si="57"/>
        <v>0.99269618903599988</v>
      </c>
      <c r="F194" s="1144">
        <f t="shared" si="66"/>
        <v>8.2844513673147961</v>
      </c>
      <c r="G194" s="1145">
        <v>0.73</v>
      </c>
      <c r="H194" s="1145">
        <f t="shared" si="58"/>
        <v>0.73537101085166623</v>
      </c>
      <c r="I194" s="1146">
        <f t="shared" si="67"/>
        <v>0.9496</v>
      </c>
      <c r="J194" s="1147" t="e">
        <f t="shared" si="47"/>
        <v>#NAME?</v>
      </c>
      <c r="L194" s="184"/>
      <c r="M194" s="1166"/>
      <c r="N194" s="1166"/>
      <c r="O194" s="1183"/>
    </row>
    <row r="195" spans="2:16" x14ac:dyDescent="0.2">
      <c r="B195" s="1172">
        <v>185</v>
      </c>
      <c r="C195" s="1149">
        <v>35</v>
      </c>
      <c r="D195" s="1150">
        <f t="shared" si="65"/>
        <v>61.944999999999993</v>
      </c>
      <c r="E195" s="1122">
        <f t="shared" si="57"/>
        <v>0.99226369053499985</v>
      </c>
      <c r="F195" s="1122">
        <f t="shared" si="66"/>
        <v>8.2808419923241949</v>
      </c>
      <c r="G195" s="1121">
        <v>0.72</v>
      </c>
      <c r="H195" s="1121">
        <f t="shared" si="58"/>
        <v>0.72561357113833003</v>
      </c>
      <c r="I195" s="1173">
        <f t="shared" si="67"/>
        <v>0.95</v>
      </c>
      <c r="J195" s="1124" t="e">
        <f t="shared" si="47"/>
        <v>#NAME?</v>
      </c>
      <c r="L195" s="184"/>
      <c r="M195" s="1166"/>
      <c r="N195" s="1166"/>
      <c r="O195" s="1183"/>
    </row>
    <row r="196" spans="2:16" x14ac:dyDescent="0.2">
      <c r="B196" s="1164">
        <v>186</v>
      </c>
      <c r="C196" s="1131">
        <v>35</v>
      </c>
      <c r="D196" s="1132">
        <f t="shared" si="65"/>
        <v>61.917999999999999</v>
      </c>
      <c r="E196" s="1133">
        <f t="shared" si="57"/>
        <v>0.99183119203399994</v>
      </c>
      <c r="F196" s="1133">
        <f t="shared" si="66"/>
        <v>8.2772326173335955</v>
      </c>
      <c r="G196" s="1134">
        <v>0.71</v>
      </c>
      <c r="H196" s="1134">
        <f t="shared" si="58"/>
        <v>0.71584762175503469</v>
      </c>
      <c r="I196" s="1135">
        <f t="shared" si="67"/>
        <v>0.95039999999999991</v>
      </c>
      <c r="J196" s="1136" t="e">
        <f t="shared" si="47"/>
        <v>#NAME?</v>
      </c>
      <c r="L196" s="184"/>
      <c r="M196" s="1166"/>
      <c r="N196" s="1166"/>
      <c r="O196" s="1183"/>
    </row>
    <row r="197" spans="2:16" x14ac:dyDescent="0.2">
      <c r="B197" s="1164">
        <v>187</v>
      </c>
      <c r="C197" s="1131">
        <v>35</v>
      </c>
      <c r="D197" s="1132">
        <f t="shared" si="65"/>
        <v>61.890999999999998</v>
      </c>
      <c r="E197" s="1133">
        <f t="shared" si="57"/>
        <v>0.99139869353300003</v>
      </c>
      <c r="F197" s="1133">
        <f t="shared" si="66"/>
        <v>8.2736232423429943</v>
      </c>
      <c r="G197" s="1134">
        <v>0.71</v>
      </c>
      <c r="H197" s="1134">
        <f t="shared" si="58"/>
        <v>0.71615991087279629</v>
      </c>
      <c r="I197" s="1135">
        <f t="shared" si="67"/>
        <v>0.95079999999999998</v>
      </c>
      <c r="J197" s="1136" t="e">
        <f t="shared" si="47"/>
        <v>#NAME?</v>
      </c>
      <c r="L197" s="184"/>
      <c r="M197" s="1166"/>
      <c r="N197" s="1166"/>
      <c r="O197" s="1183"/>
    </row>
    <row r="198" spans="2:16" x14ac:dyDescent="0.2">
      <c r="B198" s="1164">
        <v>188</v>
      </c>
      <c r="C198" s="1131">
        <v>35</v>
      </c>
      <c r="D198" s="1132">
        <f t="shared" si="65"/>
        <v>61.863999999999997</v>
      </c>
      <c r="E198" s="1133">
        <f t="shared" si="57"/>
        <v>0.99096619503200001</v>
      </c>
      <c r="F198" s="1133">
        <f t="shared" si="66"/>
        <v>8.2700138673523949</v>
      </c>
      <c r="G198" s="1134">
        <v>0.7</v>
      </c>
      <c r="H198" s="1134">
        <f t="shared" si="58"/>
        <v>0.70638131099658319</v>
      </c>
      <c r="I198" s="1135">
        <f t="shared" si="67"/>
        <v>0.95119999999999993</v>
      </c>
      <c r="J198" s="1136" t="e">
        <f t="shared" si="47"/>
        <v>#NAME?</v>
      </c>
      <c r="L198" s="184"/>
      <c r="M198" s="1166"/>
      <c r="N198" s="1166"/>
      <c r="O198" s="1183"/>
    </row>
    <row r="199" spans="2:16" ht="13.5" thickBot="1" x14ac:dyDescent="0.25">
      <c r="B199" s="1174">
        <v>189</v>
      </c>
      <c r="C199" s="1142">
        <v>35</v>
      </c>
      <c r="D199" s="1143">
        <f t="shared" si="65"/>
        <v>61.836999999999996</v>
      </c>
      <c r="E199" s="1144">
        <f t="shared" si="57"/>
        <v>0.99053369653099999</v>
      </c>
      <c r="F199" s="1144">
        <f t="shared" si="66"/>
        <v>8.2664044923617936</v>
      </c>
      <c r="G199" s="1145">
        <v>0.7</v>
      </c>
      <c r="H199" s="1145">
        <f t="shared" si="58"/>
        <v>0.70668973953284642</v>
      </c>
      <c r="I199" s="1135">
        <f t="shared" si="67"/>
        <v>0.9516</v>
      </c>
      <c r="J199" s="1147" t="e">
        <f t="shared" si="47"/>
        <v>#NAME?</v>
      </c>
      <c r="L199" s="184"/>
      <c r="M199" s="1166"/>
      <c r="N199" s="1166"/>
      <c r="O199" s="1183"/>
    </row>
    <row r="200" spans="2:16" x14ac:dyDescent="0.2">
      <c r="B200" s="1119">
        <v>190</v>
      </c>
      <c r="C200" s="1120">
        <v>35</v>
      </c>
      <c r="D200" s="1121">
        <v>61.8</v>
      </c>
      <c r="E200" s="1122">
        <f t="shared" si="57"/>
        <v>0.98994101339999996</v>
      </c>
      <c r="F200" s="1122">
        <f>D200/7.4805195</f>
        <v>8.2614583118191192</v>
      </c>
      <c r="G200" s="1121">
        <v>0.69</v>
      </c>
      <c r="H200" s="1121">
        <f t="shared" si="58"/>
        <v>0.69701122658830128</v>
      </c>
      <c r="I200" s="1123">
        <v>0.95199999999999996</v>
      </c>
      <c r="J200" s="1124" t="e">
        <f t="shared" si="47"/>
        <v>#NAME?</v>
      </c>
      <c r="L200" s="1125">
        <f>B200</f>
        <v>190</v>
      </c>
      <c r="M200" s="1126">
        <f>D200</f>
        <v>61.8</v>
      </c>
      <c r="N200" s="1126"/>
      <c r="O200" s="1127">
        <f>I200</f>
        <v>0.95199999999999996</v>
      </c>
      <c r="P200" s="1166"/>
    </row>
    <row r="201" spans="2:16" x14ac:dyDescent="0.2">
      <c r="B201" s="1164">
        <v>191</v>
      </c>
      <c r="C201" s="1131">
        <v>35</v>
      </c>
      <c r="D201" s="1132">
        <f t="shared" ref="D201:D209" si="68">FORECAST(B201,$M$190:$M$191,$L$190:$L$191)</f>
        <v>61.771999999999998</v>
      </c>
      <c r="E201" s="1133">
        <f t="shared" si="57"/>
        <v>0.98949249643600001</v>
      </c>
      <c r="F201" s="1133">
        <f t="shared" ref="F201:F209" si="69">D201/7.4805195</f>
        <v>8.2577152562733112</v>
      </c>
      <c r="G201" s="1134">
        <v>0.68</v>
      </c>
      <c r="H201" s="1134">
        <f t="shared" si="58"/>
        <v>0.68722097686365036</v>
      </c>
      <c r="I201" s="1135">
        <f>FORECAST(B201,$O$190:$O$191,$L$190:$L$191)</f>
        <v>0.95239999999999991</v>
      </c>
      <c r="J201" s="1136" t="e">
        <f t="shared" si="47"/>
        <v>#NAME?</v>
      </c>
      <c r="L201" s="1125">
        <f>B210</f>
        <v>200</v>
      </c>
      <c r="M201" s="1126">
        <f>D210</f>
        <v>61.51</v>
      </c>
      <c r="N201" s="1126"/>
      <c r="O201" s="1127">
        <f>I210</f>
        <v>0.95599999999999996</v>
      </c>
      <c r="P201" s="1166"/>
    </row>
    <row r="202" spans="2:16" x14ac:dyDescent="0.2">
      <c r="B202" s="1164">
        <v>192</v>
      </c>
      <c r="C202" s="1131">
        <v>35</v>
      </c>
      <c r="D202" s="1132">
        <f t="shared" si="68"/>
        <v>61.744</v>
      </c>
      <c r="E202" s="1133">
        <f t="shared" si="57"/>
        <v>0.98904397947199996</v>
      </c>
      <c r="F202" s="1133">
        <f t="shared" si="69"/>
        <v>8.2539722007275032</v>
      </c>
      <c r="G202" s="1134">
        <v>0.68</v>
      </c>
      <c r="H202" s="1134">
        <f t="shared" si="58"/>
        <v>0.68753262151498795</v>
      </c>
      <c r="I202" s="1135">
        <f t="shared" ref="I202:I209" si="70">FORECAST(B202,$O$190:$O$191,$L$190:$L$191)</f>
        <v>0.95279999999999998</v>
      </c>
      <c r="J202" s="1136" t="e">
        <f t="shared" si="47"/>
        <v>#NAME?</v>
      </c>
      <c r="L202" s="184"/>
      <c r="M202" s="1166"/>
      <c r="N202" s="1166"/>
      <c r="O202" s="1183"/>
    </row>
    <row r="203" spans="2:16" x14ac:dyDescent="0.2">
      <c r="B203" s="1164">
        <v>193</v>
      </c>
      <c r="C203" s="1131">
        <v>35</v>
      </c>
      <c r="D203" s="1132">
        <f t="shared" si="68"/>
        <v>61.715999999999994</v>
      </c>
      <c r="E203" s="1133">
        <f t="shared" si="57"/>
        <v>0.9885954625079999</v>
      </c>
      <c r="F203" s="1133">
        <f t="shared" si="69"/>
        <v>8.2502291451816951</v>
      </c>
      <c r="G203" s="1134">
        <v>0.67</v>
      </c>
      <c r="H203" s="1134">
        <f t="shared" si="58"/>
        <v>0.67772918793320713</v>
      </c>
      <c r="I203" s="1135">
        <f t="shared" si="70"/>
        <v>0.95319999999999994</v>
      </c>
      <c r="J203" s="1136" t="e">
        <f t="shared" si="47"/>
        <v>#NAME?</v>
      </c>
      <c r="L203" s="184"/>
      <c r="M203" s="1166"/>
      <c r="N203" s="1166"/>
      <c r="O203" s="1183"/>
    </row>
    <row r="204" spans="2:16" ht="13.5" thickBot="1" x14ac:dyDescent="0.25">
      <c r="B204" s="1174">
        <v>194</v>
      </c>
      <c r="C204" s="1142">
        <v>35</v>
      </c>
      <c r="D204" s="1143">
        <f t="shared" si="68"/>
        <v>61.687999999999995</v>
      </c>
      <c r="E204" s="1144">
        <f t="shared" si="57"/>
        <v>0.98814694554399995</v>
      </c>
      <c r="F204" s="1144">
        <f t="shared" si="69"/>
        <v>8.2464860896358871</v>
      </c>
      <c r="G204" s="1145">
        <v>0.67</v>
      </c>
      <c r="H204" s="1145">
        <f t="shared" si="58"/>
        <v>0.67803680719890103</v>
      </c>
      <c r="I204" s="1146">
        <f t="shared" si="70"/>
        <v>0.9536</v>
      </c>
      <c r="J204" s="1147" t="e">
        <f t="shared" ref="J204:J220" si="71">E204/VLOOKUP(60,Water,6,FALSE)</f>
        <v>#NAME?</v>
      </c>
      <c r="L204" s="184"/>
      <c r="M204" s="1166"/>
      <c r="N204" s="1166"/>
      <c r="O204" s="1183"/>
    </row>
    <row r="205" spans="2:16" x14ac:dyDescent="0.2">
      <c r="B205" s="1172">
        <v>195</v>
      </c>
      <c r="C205" s="1149">
        <v>35</v>
      </c>
      <c r="D205" s="1150">
        <f t="shared" si="68"/>
        <v>61.66</v>
      </c>
      <c r="E205" s="1122">
        <f t="shared" si="57"/>
        <v>0.98769842858000001</v>
      </c>
      <c r="F205" s="1122">
        <f t="shared" si="69"/>
        <v>8.2427430340900791</v>
      </c>
      <c r="G205" s="1121">
        <v>0.66</v>
      </c>
      <c r="H205" s="1121">
        <f t="shared" si="58"/>
        <v>0.6682201579978948</v>
      </c>
      <c r="I205" s="1173">
        <f t="shared" si="70"/>
        <v>0.95399999999999996</v>
      </c>
      <c r="J205" s="1124" t="e">
        <f t="shared" si="71"/>
        <v>#NAME?</v>
      </c>
      <c r="L205" s="184"/>
      <c r="M205" s="1166"/>
      <c r="N205" s="1166"/>
      <c r="O205" s="1183"/>
    </row>
    <row r="206" spans="2:16" x14ac:dyDescent="0.2">
      <c r="B206" s="1164">
        <v>196</v>
      </c>
      <c r="C206" s="1131">
        <v>35</v>
      </c>
      <c r="D206" s="1132">
        <f t="shared" si="68"/>
        <v>61.631999999999998</v>
      </c>
      <c r="E206" s="1133">
        <f t="shared" si="57"/>
        <v>0.98724991161599995</v>
      </c>
      <c r="F206" s="1133">
        <f t="shared" si="69"/>
        <v>8.2389999785442711</v>
      </c>
      <c r="G206" s="1134">
        <v>0.66</v>
      </c>
      <c r="H206" s="1134">
        <f t="shared" si="58"/>
        <v>0.6685237367301109</v>
      </c>
      <c r="I206" s="1135">
        <f t="shared" si="70"/>
        <v>0.95439999999999992</v>
      </c>
      <c r="J206" s="1136" t="e">
        <f t="shared" si="71"/>
        <v>#NAME?</v>
      </c>
      <c r="L206" s="184"/>
      <c r="M206" s="1166"/>
      <c r="N206" s="1166"/>
      <c r="O206" s="1183"/>
    </row>
    <row r="207" spans="2:16" x14ac:dyDescent="0.2">
      <c r="B207" s="1164">
        <v>197</v>
      </c>
      <c r="C207" s="1131">
        <v>35</v>
      </c>
      <c r="D207" s="1132">
        <f t="shared" si="68"/>
        <v>61.603999999999999</v>
      </c>
      <c r="E207" s="1133">
        <f t="shared" si="57"/>
        <v>0.98680139465200001</v>
      </c>
      <c r="F207" s="1133">
        <f t="shared" si="69"/>
        <v>8.2352569229984631</v>
      </c>
      <c r="G207" s="1134">
        <v>0.65</v>
      </c>
      <c r="H207" s="1134">
        <f t="shared" si="58"/>
        <v>0.65869384003984455</v>
      </c>
      <c r="I207" s="1135">
        <f t="shared" si="70"/>
        <v>0.95479999999999998</v>
      </c>
      <c r="J207" s="1136" t="e">
        <f t="shared" si="71"/>
        <v>#NAME?</v>
      </c>
      <c r="L207" s="184"/>
      <c r="M207" s="1166"/>
      <c r="N207" s="1166"/>
      <c r="O207" s="1183"/>
    </row>
    <row r="208" spans="2:16" x14ac:dyDescent="0.2">
      <c r="B208" s="1164">
        <v>198</v>
      </c>
      <c r="C208" s="1131">
        <v>35</v>
      </c>
      <c r="D208" s="1132">
        <f t="shared" si="68"/>
        <v>61.575999999999993</v>
      </c>
      <c r="E208" s="1133">
        <f t="shared" si="57"/>
        <v>0.98635287768799995</v>
      </c>
      <c r="F208" s="1133">
        <f t="shared" si="69"/>
        <v>8.2315138674526551</v>
      </c>
      <c r="G208" s="1134">
        <v>0.65</v>
      </c>
      <c r="H208" s="1134">
        <f t="shared" si="58"/>
        <v>0.6589933630280399</v>
      </c>
      <c r="I208" s="1135">
        <f t="shared" si="70"/>
        <v>0.95519999999999994</v>
      </c>
      <c r="J208" s="1136" t="e">
        <f t="shared" si="71"/>
        <v>#NAME?</v>
      </c>
      <c r="L208" s="184"/>
      <c r="M208" s="1166"/>
      <c r="N208" s="1166"/>
      <c r="O208" s="1183"/>
    </row>
    <row r="209" spans="2:17" ht="13.5" thickBot="1" x14ac:dyDescent="0.25">
      <c r="B209" s="1174">
        <v>199</v>
      </c>
      <c r="C209" s="1142">
        <v>35</v>
      </c>
      <c r="D209" s="1143">
        <f t="shared" si="68"/>
        <v>61.547999999999995</v>
      </c>
      <c r="E209" s="1144">
        <f t="shared" si="57"/>
        <v>0.9859043607239999</v>
      </c>
      <c r="F209" s="1144">
        <f t="shared" si="69"/>
        <v>8.2277708119068471</v>
      </c>
      <c r="G209" s="1145">
        <v>0.64</v>
      </c>
      <c r="H209" s="1145">
        <f t="shared" si="58"/>
        <v>0.64915018687006854</v>
      </c>
      <c r="I209" s="1135">
        <f t="shared" si="70"/>
        <v>0.9556</v>
      </c>
      <c r="J209" s="1147" t="e">
        <f t="shared" si="71"/>
        <v>#NAME?</v>
      </c>
      <c r="L209" s="184"/>
      <c r="M209" s="1166"/>
      <c r="N209" s="1166"/>
      <c r="O209" s="1183"/>
    </row>
    <row r="210" spans="2:17" x14ac:dyDescent="0.2">
      <c r="B210" s="1119">
        <v>200</v>
      </c>
      <c r="C210" s="1120">
        <v>35</v>
      </c>
      <c r="D210" s="1121">
        <v>61.51</v>
      </c>
      <c r="E210" s="1122">
        <f t="shared" si="57"/>
        <v>0.98529565912999995</v>
      </c>
      <c r="F210" s="1122">
        <f>D210/7.4805195</f>
        <v>8.2226909508089641</v>
      </c>
      <c r="G210" s="1121">
        <v>0.64</v>
      </c>
      <c r="H210" s="1121">
        <f t="shared" si="58"/>
        <v>0.64955122258948106</v>
      </c>
      <c r="I210" s="1123">
        <v>0.95599999999999996</v>
      </c>
      <c r="J210" s="1124" t="e">
        <f t="shared" si="71"/>
        <v>#NAME?</v>
      </c>
      <c r="L210" s="1125">
        <f>B210</f>
        <v>200</v>
      </c>
      <c r="M210" s="1126">
        <f>D210</f>
        <v>61.51</v>
      </c>
      <c r="N210" s="1126"/>
      <c r="O210" s="1127">
        <f>I210</f>
        <v>0.95599999999999996</v>
      </c>
      <c r="P210" s="1166"/>
      <c r="Q210" s="1098"/>
    </row>
    <row r="211" spans="2:17" x14ac:dyDescent="0.2">
      <c r="B211" s="1164">
        <v>201</v>
      </c>
      <c r="C211" s="1131">
        <v>35</v>
      </c>
      <c r="D211" s="1132">
        <f t="shared" ref="D211:D219" si="72">FORECAST(B211,$M$200:$M$201,$L$200:$L$201)</f>
        <v>61.481000000000009</v>
      </c>
      <c r="E211" s="1133">
        <f t="shared" si="57"/>
        <v>0.98483112370300019</v>
      </c>
      <c r="F211" s="1133">
        <f t="shared" ref="F211:F219" si="73">D211/7.4805195</f>
        <v>8.218814214707951</v>
      </c>
      <c r="G211" s="1134">
        <v>0.63</v>
      </c>
      <c r="H211" s="1134">
        <f t="shared" si="58"/>
        <v>0.63970358454064435</v>
      </c>
      <c r="I211" s="1135">
        <f>FORECAST(B211,$O$200:$O$201,$L$200:$L$201)</f>
        <v>0.95639999999999992</v>
      </c>
      <c r="J211" s="1136" t="e">
        <f t="shared" si="71"/>
        <v>#NAME?</v>
      </c>
      <c r="L211" s="1125">
        <f>B220</f>
        <v>210</v>
      </c>
      <c r="M211" s="1126">
        <f>D220</f>
        <v>61.21</v>
      </c>
      <c r="N211" s="1126"/>
      <c r="O211" s="1127">
        <f>I220</f>
        <v>0.96</v>
      </c>
      <c r="P211" s="1166"/>
      <c r="Q211" s="1098"/>
    </row>
    <row r="212" spans="2:17" x14ac:dyDescent="0.2">
      <c r="B212" s="1164">
        <v>202</v>
      </c>
      <c r="C212" s="1131">
        <v>35</v>
      </c>
      <c r="D212" s="1132">
        <f t="shared" si="72"/>
        <v>61.452000000000005</v>
      </c>
      <c r="E212" s="1133">
        <f t="shared" si="57"/>
        <v>0.9843665882760001</v>
      </c>
      <c r="F212" s="1133">
        <f t="shared" si="73"/>
        <v>8.2149374786069345</v>
      </c>
      <c r="G212" s="1134">
        <v>0.63</v>
      </c>
      <c r="H212" s="1134">
        <f t="shared" si="58"/>
        <v>0.64000546900252819</v>
      </c>
      <c r="I212" s="1135">
        <f t="shared" ref="I212:I219" si="74">FORECAST(B212,$O$200:$O$201,$L$200:$L$201)</f>
        <v>0.95679999999999998</v>
      </c>
      <c r="J212" s="1136" t="e">
        <f t="shared" si="71"/>
        <v>#NAME?</v>
      </c>
      <c r="L212" s="184"/>
      <c r="M212" s="1166"/>
      <c r="N212" s="1166"/>
      <c r="Q212" s="1098"/>
    </row>
    <row r="213" spans="2:17" x14ac:dyDescent="0.2">
      <c r="B213" s="1164">
        <v>203</v>
      </c>
      <c r="C213" s="1131">
        <v>35</v>
      </c>
      <c r="D213" s="1132">
        <f t="shared" si="72"/>
        <v>61.423000000000002</v>
      </c>
      <c r="E213" s="1133">
        <f t="shared" si="57"/>
        <v>0.98390205284900001</v>
      </c>
      <c r="F213" s="1133">
        <f t="shared" si="73"/>
        <v>8.2110607425059179</v>
      </c>
      <c r="G213" s="1134">
        <v>0.62</v>
      </c>
      <c r="H213" s="1134">
        <f t="shared" si="58"/>
        <v>0.63014402521543644</v>
      </c>
      <c r="I213" s="1135">
        <f t="shared" si="74"/>
        <v>0.95719999999999994</v>
      </c>
      <c r="J213" s="1136" t="e">
        <f t="shared" si="71"/>
        <v>#NAME?</v>
      </c>
      <c r="L213" s="184"/>
      <c r="M213" s="1166"/>
      <c r="N213" s="1166"/>
      <c r="Q213" s="1098"/>
    </row>
    <row r="214" spans="2:17" ht="13.5" thickBot="1" x14ac:dyDescent="0.25">
      <c r="B214" s="1174">
        <v>204</v>
      </c>
      <c r="C214" s="1142">
        <v>35</v>
      </c>
      <c r="D214" s="1143">
        <f t="shared" si="72"/>
        <v>61.394000000000005</v>
      </c>
      <c r="E214" s="1144">
        <f t="shared" si="57"/>
        <v>0.98343751742200014</v>
      </c>
      <c r="F214" s="1144">
        <f t="shared" si="73"/>
        <v>8.2071840064049031</v>
      </c>
      <c r="G214" s="1145">
        <v>0.62</v>
      </c>
      <c r="H214" s="1145">
        <f t="shared" si="58"/>
        <v>0.630441679330354</v>
      </c>
      <c r="I214" s="1146">
        <f t="shared" si="74"/>
        <v>0.95760000000000001</v>
      </c>
      <c r="J214" s="1147" t="e">
        <f t="shared" si="71"/>
        <v>#NAME?</v>
      </c>
      <c r="L214" s="184"/>
      <c r="M214" s="1166"/>
      <c r="N214" s="1166"/>
      <c r="Q214" s="1098"/>
    </row>
    <row r="215" spans="2:17" x14ac:dyDescent="0.2">
      <c r="B215" s="1172">
        <v>205</v>
      </c>
      <c r="C215" s="1149">
        <v>35</v>
      </c>
      <c r="D215" s="1150">
        <f t="shared" si="72"/>
        <v>61.365000000000009</v>
      </c>
      <c r="E215" s="1122">
        <f t="shared" si="57"/>
        <v>0.98297298199500016</v>
      </c>
      <c r="F215" s="1122">
        <f t="shared" si="73"/>
        <v>8.2033072703038883</v>
      </c>
      <c r="G215" s="1121">
        <v>0.61</v>
      </c>
      <c r="H215" s="1121">
        <f t="shared" si="58"/>
        <v>0.62056639518409751</v>
      </c>
      <c r="I215" s="1173">
        <f t="shared" si="74"/>
        <v>0.95799999999999996</v>
      </c>
      <c r="J215" s="1124" t="e">
        <f t="shared" si="71"/>
        <v>#NAME?</v>
      </c>
      <c r="L215" s="184"/>
      <c r="M215" s="1166"/>
      <c r="N215" s="1166"/>
      <c r="Q215" s="1098"/>
    </row>
    <row r="216" spans="2:17" x14ac:dyDescent="0.2">
      <c r="B216" s="1164">
        <v>206</v>
      </c>
      <c r="C216" s="1131">
        <v>35</v>
      </c>
      <c r="D216" s="1132">
        <f t="shared" si="72"/>
        <v>61.336000000000006</v>
      </c>
      <c r="E216" s="1133">
        <f t="shared" si="57"/>
        <v>0.98250844656800007</v>
      </c>
      <c r="F216" s="1133">
        <f t="shared" si="73"/>
        <v>8.1994305342028735</v>
      </c>
      <c r="G216" s="1134">
        <v>0.61</v>
      </c>
      <c r="H216" s="1134">
        <f t="shared" si="58"/>
        <v>0.62085980240759331</v>
      </c>
      <c r="I216" s="1135">
        <f t="shared" si="74"/>
        <v>0.95839999999999992</v>
      </c>
      <c r="J216" s="1136" t="e">
        <f t="shared" si="71"/>
        <v>#NAME?</v>
      </c>
      <c r="L216" s="184"/>
      <c r="M216" s="1166"/>
      <c r="N216" s="1166"/>
      <c r="Q216" s="1098"/>
    </row>
    <row r="217" spans="2:17" x14ac:dyDescent="0.2">
      <c r="B217" s="1164">
        <v>207</v>
      </c>
      <c r="C217" s="1131">
        <v>35</v>
      </c>
      <c r="D217" s="1132">
        <f t="shared" si="72"/>
        <v>61.307000000000002</v>
      </c>
      <c r="E217" s="1133">
        <f t="shared" si="57"/>
        <v>0.98204391114100009</v>
      </c>
      <c r="F217" s="1133">
        <f t="shared" si="73"/>
        <v>8.1955537981018569</v>
      </c>
      <c r="G217" s="1134">
        <v>0.6</v>
      </c>
      <c r="H217" s="1134">
        <f t="shared" si="58"/>
        <v>0.61097064315879968</v>
      </c>
      <c r="I217" s="1135">
        <f t="shared" si="74"/>
        <v>0.95879999999999999</v>
      </c>
      <c r="J217" s="1136" t="e">
        <f t="shared" si="71"/>
        <v>#NAME?</v>
      </c>
      <c r="L217" s="184"/>
      <c r="M217" s="1166"/>
      <c r="N217" s="1166"/>
      <c r="Q217" s="1098"/>
    </row>
    <row r="218" spans="2:17" x14ac:dyDescent="0.2">
      <c r="B218" s="1164">
        <v>208</v>
      </c>
      <c r="C218" s="1131">
        <v>35</v>
      </c>
      <c r="D218" s="1132">
        <f t="shared" si="72"/>
        <v>61.278000000000006</v>
      </c>
      <c r="E218" s="1133">
        <f t="shared" si="57"/>
        <v>0.98157937571400011</v>
      </c>
      <c r="F218" s="1133">
        <f t="shared" si="73"/>
        <v>8.1916770620008421</v>
      </c>
      <c r="G218" s="1134">
        <v>0.6</v>
      </c>
      <c r="H218" s="1134">
        <f t="shared" si="58"/>
        <v>0.6112597868751678</v>
      </c>
      <c r="I218" s="1135">
        <f t="shared" si="74"/>
        <v>0.95919999999999994</v>
      </c>
      <c r="J218" s="1136" t="e">
        <f t="shared" si="71"/>
        <v>#NAME?</v>
      </c>
      <c r="L218" s="184"/>
      <c r="M218" s="1166"/>
      <c r="N218" s="1166"/>
      <c r="Q218" s="1098"/>
    </row>
    <row r="219" spans="2:17" ht="13.5" thickBot="1" x14ac:dyDescent="0.25">
      <c r="B219" s="1167">
        <v>209</v>
      </c>
      <c r="C219" s="1142">
        <v>35</v>
      </c>
      <c r="D219" s="1169">
        <f t="shared" si="72"/>
        <v>61.249000000000009</v>
      </c>
      <c r="E219" s="1170">
        <f t="shared" si="57"/>
        <v>0.98111484028700013</v>
      </c>
      <c r="F219" s="1170">
        <f t="shared" si="73"/>
        <v>8.1878003258998273</v>
      </c>
      <c r="G219" s="1171">
        <v>0.6</v>
      </c>
      <c r="H219" s="1171">
        <f t="shared" si="58"/>
        <v>0.6115492043974029</v>
      </c>
      <c r="I219" s="1146">
        <f t="shared" si="74"/>
        <v>0.95960000000000001</v>
      </c>
      <c r="J219" s="1147" t="e">
        <f t="shared" si="71"/>
        <v>#NAME?</v>
      </c>
      <c r="L219" s="184"/>
      <c r="M219" s="1166"/>
      <c r="N219" s="1166"/>
      <c r="Q219" s="1098"/>
    </row>
    <row r="220" spans="2:17" ht="13.5" thickBot="1" x14ac:dyDescent="0.25">
      <c r="B220" s="1176">
        <v>210</v>
      </c>
      <c r="C220" s="1177">
        <v>35</v>
      </c>
      <c r="D220" s="1178">
        <v>61.21</v>
      </c>
      <c r="E220" s="1179">
        <f t="shared" si="57"/>
        <v>0.98049012023000004</v>
      </c>
      <c r="F220" s="1179">
        <f>D220/7.4805195</f>
        <v>8.1825867842467357</v>
      </c>
      <c r="G220" s="1178">
        <v>0.59</v>
      </c>
      <c r="H220" s="1178">
        <f t="shared" si="58"/>
        <v>0.60173987256658923</v>
      </c>
      <c r="I220" s="1180">
        <v>0.96</v>
      </c>
      <c r="J220" s="1181" t="e">
        <f t="shared" si="71"/>
        <v>#NAME?</v>
      </c>
      <c r="L220" s="184"/>
      <c r="M220" s="1166"/>
      <c r="N220" s="1166"/>
      <c r="O220" s="1166"/>
      <c r="P220" s="1166"/>
      <c r="Q220" s="1098"/>
    </row>
    <row r="222" spans="2:17" x14ac:dyDescent="0.2">
      <c r="B222" s="1223" t="s">
        <v>1091</v>
      </c>
    </row>
    <row r="223" spans="2:17" x14ac:dyDescent="0.2">
      <c r="B223" s="1223"/>
    </row>
  </sheetData>
  <sheetProtection sheet="1" objects="1" scenarios="1" selectLockedCells="1" selectUnlockedCells="1"/>
  <pageMargins left="0.75" right="0.75" top="1" bottom="1" header="0.5" footer="0.5"/>
  <pageSetup paperSize="17" scale="47" fitToHeight="3"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0D02D-D8BF-4844-8828-EAE53E2C6963}">
  <sheetPr codeName="Sheet11">
    <pageSetUpPr fitToPage="1"/>
  </sheetPr>
  <dimension ref="A3:T230"/>
  <sheetViews>
    <sheetView workbookViewId="0">
      <selection activeCell="B10" sqref="B10"/>
    </sheetView>
  </sheetViews>
  <sheetFormatPr defaultRowHeight="12.75" x14ac:dyDescent="0.2"/>
  <cols>
    <col min="1" max="1" width="9.140625" style="184"/>
    <col min="4" max="6" width="9.140625" style="1098"/>
    <col min="7" max="10" width="11.42578125" customWidth="1"/>
    <col min="11" max="11" width="6.85546875" customWidth="1"/>
    <col min="14" max="15" width="9.7109375" customWidth="1"/>
    <col min="17" max="17" width="11.5703125" customWidth="1"/>
    <col min="18" max="18" width="11" customWidth="1"/>
    <col min="19" max="19" width="5" customWidth="1"/>
  </cols>
  <sheetData>
    <row r="3" spans="2:20" ht="18" x14ac:dyDescent="0.25">
      <c r="B3" s="1097" t="s">
        <v>1060</v>
      </c>
    </row>
    <row r="4" spans="2:20" ht="13.5" thickBot="1" x14ac:dyDescent="0.25">
      <c r="B4" s="1099">
        <v>1</v>
      </c>
      <c r="C4" s="1099">
        <v>2</v>
      </c>
      <c r="D4" s="1099">
        <v>3</v>
      </c>
      <c r="E4" s="1099">
        <v>4</v>
      </c>
      <c r="F4" s="1099">
        <v>5</v>
      </c>
      <c r="G4" s="1099">
        <v>6</v>
      </c>
      <c r="H4" s="1099">
        <v>7</v>
      </c>
      <c r="I4" s="1099">
        <v>8</v>
      </c>
      <c r="J4" s="1099">
        <v>9</v>
      </c>
    </row>
    <row r="5" spans="2:20" s="179" customFormat="1" x14ac:dyDescent="0.2">
      <c r="B5" s="1100"/>
      <c r="C5" s="1101" t="s">
        <v>735</v>
      </c>
      <c r="D5" s="1102"/>
      <c r="E5" s="1102"/>
      <c r="F5" s="1102"/>
      <c r="G5" s="1101" t="s">
        <v>1061</v>
      </c>
      <c r="H5" s="1101"/>
      <c r="I5" s="1103"/>
      <c r="J5" s="1104"/>
      <c r="N5" s="179" t="s">
        <v>1061</v>
      </c>
    </row>
    <row r="6" spans="2:20" s="179" customFormat="1" x14ac:dyDescent="0.2">
      <c r="B6" s="1105" t="s">
        <v>605</v>
      </c>
      <c r="C6" s="1106" t="s">
        <v>1062</v>
      </c>
      <c r="D6" s="1107"/>
      <c r="E6" s="1107"/>
      <c r="F6" s="1107"/>
      <c r="G6" s="1106" t="s">
        <v>1063</v>
      </c>
      <c r="H6" s="1106" t="s">
        <v>1064</v>
      </c>
      <c r="I6" s="1108" t="s">
        <v>1065</v>
      </c>
      <c r="J6" s="1109" t="s">
        <v>1065</v>
      </c>
      <c r="L6" s="179" t="s">
        <v>605</v>
      </c>
      <c r="N6" s="179" t="s">
        <v>1063</v>
      </c>
      <c r="O6" s="1110" t="s">
        <v>1065</v>
      </c>
    </row>
    <row r="7" spans="2:20" s="179" customFormat="1" x14ac:dyDescent="0.2">
      <c r="B7" s="1105" t="s">
        <v>840</v>
      </c>
      <c r="C7" s="1106" t="s">
        <v>614</v>
      </c>
      <c r="D7" s="1107" t="s">
        <v>1066</v>
      </c>
      <c r="E7" s="1107" t="s">
        <v>1066</v>
      </c>
      <c r="F7" s="1107"/>
      <c r="G7" s="1106" t="s">
        <v>1067</v>
      </c>
      <c r="H7" s="1106" t="s">
        <v>1067</v>
      </c>
      <c r="I7" s="1108" t="s">
        <v>1068</v>
      </c>
      <c r="J7" s="1109" t="s">
        <v>1069</v>
      </c>
      <c r="L7" s="179" t="s">
        <v>840</v>
      </c>
      <c r="M7" s="1111" t="s">
        <v>1066</v>
      </c>
      <c r="N7" s="179" t="s">
        <v>1067</v>
      </c>
      <c r="O7" s="1110" t="s">
        <v>1068</v>
      </c>
    </row>
    <row r="8" spans="2:20" s="179" customFormat="1" ht="14.25" x14ac:dyDescent="0.2">
      <c r="B8" s="1112" t="s">
        <v>1070</v>
      </c>
      <c r="C8" s="1113" t="s">
        <v>1071</v>
      </c>
      <c r="D8" s="1114" t="s">
        <v>1072</v>
      </c>
      <c r="E8" s="1107" t="s">
        <v>1073</v>
      </c>
      <c r="F8" s="1107" t="s">
        <v>1074</v>
      </c>
      <c r="G8" s="1106" t="s">
        <v>1075</v>
      </c>
      <c r="H8" s="1106" t="s">
        <v>1076</v>
      </c>
      <c r="I8" s="1108" t="s">
        <v>1077</v>
      </c>
      <c r="J8" s="1109"/>
      <c r="L8" s="1115" t="s">
        <v>1070</v>
      </c>
      <c r="M8" s="1116" t="s">
        <v>1072</v>
      </c>
      <c r="N8" s="179" t="s">
        <v>1075</v>
      </c>
      <c r="O8" s="1110" t="s">
        <v>1077</v>
      </c>
    </row>
    <row r="9" spans="2:20" s="179" customFormat="1" ht="13.5" thickBot="1" x14ac:dyDescent="0.25">
      <c r="B9" s="1105"/>
      <c r="C9" s="1106"/>
      <c r="D9" s="1107" t="s">
        <v>1078</v>
      </c>
      <c r="E9" s="1107" t="s">
        <v>1078</v>
      </c>
      <c r="F9" s="1107"/>
      <c r="G9" s="1106" t="s">
        <v>1079</v>
      </c>
      <c r="H9" s="1106" t="s">
        <v>1080</v>
      </c>
      <c r="I9" s="1117"/>
      <c r="J9" s="1118"/>
    </row>
    <row r="10" spans="2:20" s="179" customFormat="1" x14ac:dyDescent="0.2">
      <c r="B10" s="1119">
        <v>0</v>
      </c>
      <c r="C10" s="1120">
        <v>40</v>
      </c>
      <c r="D10" s="1121">
        <v>65.709999999999994</v>
      </c>
      <c r="E10" s="1122">
        <f t="shared" ref="E10:E73" si="0">D10*0.016018463</f>
        <v>1.05257320373</v>
      </c>
      <c r="F10" s="1122">
        <f>D10/7.4805195</f>
        <v>8.7841492826801666</v>
      </c>
      <c r="G10" s="1121">
        <v>40.92</v>
      </c>
      <c r="H10" s="1121">
        <f t="shared" ref="H10:H73" si="1">G10/E10</f>
        <v>38.876155933850434</v>
      </c>
      <c r="I10" s="1123">
        <v>0.85499999999999998</v>
      </c>
      <c r="J10" s="1124" t="e">
        <f t="shared" ref="J10:J73" si="2">E10/VLOOKUP(60,Water,6,FALSE)</f>
        <v>#NAME?</v>
      </c>
      <c r="L10" s="1125">
        <f>B10</f>
        <v>0</v>
      </c>
      <c r="M10" s="1126">
        <f>D10</f>
        <v>65.709999999999994</v>
      </c>
      <c r="N10" s="1126">
        <f>G10</f>
        <v>40.92</v>
      </c>
      <c r="O10" s="1127">
        <f>I10</f>
        <v>0.85499999999999998</v>
      </c>
      <c r="Q10" s="1128" t="s">
        <v>1081</v>
      </c>
      <c r="R10" s="1129"/>
      <c r="S10"/>
      <c r="T10"/>
    </row>
    <row r="11" spans="2:20" s="179" customFormat="1" x14ac:dyDescent="0.2">
      <c r="B11" s="1130">
        <v>1</v>
      </c>
      <c r="C11" s="1131">
        <v>40</v>
      </c>
      <c r="D11" s="1132">
        <f>FORECAST(B11,$M$10:$M$11,$L$10:$L$11)</f>
        <v>65.699000000000012</v>
      </c>
      <c r="E11" s="1133">
        <f t="shared" si="0"/>
        <v>1.0523970006370003</v>
      </c>
      <c r="F11" s="1133">
        <f t="shared" ref="F11:F74" si="3">D11/7.4805195</f>
        <v>8.7826787965728865</v>
      </c>
      <c r="G11" s="1132">
        <f>FORECAST(B11,$N$10:$N$11,$L$10:$L$11)</f>
        <v>39.527000000000001</v>
      </c>
      <c r="H11" s="1134">
        <f t="shared" si="1"/>
        <v>37.559020004879237</v>
      </c>
      <c r="I11" s="1135">
        <f>FORECAST(B11,$O$10:$O$11,$L$10:$L$11)</f>
        <v>0.85539999999999994</v>
      </c>
      <c r="J11" s="1136" t="e">
        <f t="shared" si="2"/>
        <v>#NAME?</v>
      </c>
      <c r="L11" s="1125">
        <f>B20</f>
        <v>10</v>
      </c>
      <c r="M11" s="1126">
        <f>D20</f>
        <v>65.599999999999994</v>
      </c>
      <c r="N11" s="1126">
        <f>G20</f>
        <v>26.99</v>
      </c>
      <c r="O11" s="1127">
        <f>I20</f>
        <v>0.85899999999999999</v>
      </c>
      <c r="Q11" s="1137" t="s">
        <v>559</v>
      </c>
      <c r="R11" s="1138" t="s">
        <v>1082</v>
      </c>
      <c r="S11"/>
      <c r="T11"/>
    </row>
    <row r="12" spans="2:20" s="179" customFormat="1" x14ac:dyDescent="0.2">
      <c r="B12" s="1130">
        <v>2</v>
      </c>
      <c r="C12" s="1131">
        <v>40</v>
      </c>
      <c r="D12" s="1132">
        <f t="shared" ref="D12:D19" si="4">FORECAST(B12,$M$10:$M$11,$L$10:$L$11)</f>
        <v>65.688000000000002</v>
      </c>
      <c r="E12" s="1133">
        <f t="shared" si="0"/>
        <v>1.0522207975440001</v>
      </c>
      <c r="F12" s="1133">
        <f t="shared" si="3"/>
        <v>8.7812083104656047</v>
      </c>
      <c r="G12" s="1132">
        <f t="shared" ref="G12:G19" si="5">FORECAST(B12,$N$10:$N$11,$L$10:$L$11)</f>
        <v>38.134</v>
      </c>
      <c r="H12" s="1134">
        <f t="shared" si="1"/>
        <v>36.241442945253489</v>
      </c>
      <c r="I12" s="1135">
        <f t="shared" ref="I12:I19" si="6">FORECAST(B12,$O$10:$O$11,$L$10:$L$11)</f>
        <v>0.85580000000000001</v>
      </c>
      <c r="J12" s="1136" t="e">
        <f t="shared" si="2"/>
        <v>#NAME?</v>
      </c>
      <c r="Q12" s="1139">
        <v>80</v>
      </c>
      <c r="R12" s="1140">
        <v>1.63</v>
      </c>
      <c r="S12"/>
      <c r="T12"/>
    </row>
    <row r="13" spans="2:20" s="179" customFormat="1" x14ac:dyDescent="0.2">
      <c r="B13" s="1130">
        <v>3</v>
      </c>
      <c r="C13" s="1131">
        <v>40</v>
      </c>
      <c r="D13" s="1132">
        <f t="shared" si="4"/>
        <v>65.677000000000007</v>
      </c>
      <c r="E13" s="1133">
        <f t="shared" si="0"/>
        <v>1.0520445944510002</v>
      </c>
      <c r="F13" s="1133">
        <f t="shared" si="3"/>
        <v>8.7797378243583228</v>
      </c>
      <c r="G13" s="1132">
        <f t="shared" si="5"/>
        <v>36.741</v>
      </c>
      <c r="H13" s="1134">
        <f t="shared" si="1"/>
        <v>34.923424533323086</v>
      </c>
      <c r="I13" s="1135">
        <f t="shared" si="6"/>
        <v>0.85619999999999996</v>
      </c>
      <c r="J13" s="1136" t="e">
        <f t="shared" si="2"/>
        <v>#NAME?</v>
      </c>
      <c r="Q13" s="1139">
        <v>90</v>
      </c>
      <c r="R13" s="1140">
        <v>1.41</v>
      </c>
    </row>
    <row r="14" spans="2:20" s="179" customFormat="1" ht="13.5" thickBot="1" x14ac:dyDescent="0.25">
      <c r="B14" s="1141">
        <v>4</v>
      </c>
      <c r="C14" s="1142">
        <v>40</v>
      </c>
      <c r="D14" s="1143">
        <f t="shared" si="4"/>
        <v>65.666000000000011</v>
      </c>
      <c r="E14" s="1144">
        <f t="shared" si="0"/>
        <v>1.0518683913580003</v>
      </c>
      <c r="F14" s="1144">
        <f t="shared" si="3"/>
        <v>8.778267338251041</v>
      </c>
      <c r="G14" s="1143">
        <f t="shared" si="5"/>
        <v>35.347999999999999</v>
      </c>
      <c r="H14" s="1145">
        <f t="shared" si="1"/>
        <v>33.604964547289462</v>
      </c>
      <c r="I14" s="1146">
        <f t="shared" si="6"/>
        <v>0.85660000000000003</v>
      </c>
      <c r="J14" s="1147" t="e">
        <f t="shared" si="2"/>
        <v>#NAME?</v>
      </c>
      <c r="Q14" s="1137"/>
      <c r="R14" s="1138"/>
    </row>
    <row r="15" spans="2:20" s="179" customFormat="1" x14ac:dyDescent="0.2">
      <c r="B15" s="1148">
        <v>5</v>
      </c>
      <c r="C15" s="1149">
        <v>40</v>
      </c>
      <c r="D15" s="1150">
        <f t="shared" si="4"/>
        <v>65.655000000000001</v>
      </c>
      <c r="E15" s="1122">
        <f t="shared" si="0"/>
        <v>1.0516921882650001</v>
      </c>
      <c r="F15" s="1122">
        <f t="shared" si="3"/>
        <v>8.7767968521437592</v>
      </c>
      <c r="G15" s="1150">
        <f t="shared" si="5"/>
        <v>33.954999999999998</v>
      </c>
      <c r="H15" s="1121">
        <f t="shared" si="1"/>
        <v>32.286062765205394</v>
      </c>
      <c r="I15" s="1151">
        <f t="shared" si="6"/>
        <v>0.85699999999999998</v>
      </c>
      <c r="J15" s="1124" t="e">
        <f t="shared" si="2"/>
        <v>#NAME?</v>
      </c>
      <c r="Q15" s="1152">
        <v>88</v>
      </c>
      <c r="R15" s="1153">
        <f>FORECAST(Q15,R12:R13,Q12:Q13)</f>
        <v>1.4539999999999997</v>
      </c>
    </row>
    <row r="16" spans="2:20" s="179" customFormat="1" x14ac:dyDescent="0.2">
      <c r="B16" s="1130">
        <v>6</v>
      </c>
      <c r="C16" s="1131">
        <v>40</v>
      </c>
      <c r="D16" s="1132">
        <f t="shared" si="4"/>
        <v>65.644000000000005</v>
      </c>
      <c r="E16" s="1133">
        <f t="shared" si="0"/>
        <v>1.0515159851720002</v>
      </c>
      <c r="F16" s="1133">
        <f t="shared" si="3"/>
        <v>8.7753263660364773</v>
      </c>
      <c r="G16" s="1132">
        <f t="shared" si="5"/>
        <v>32.561999999999998</v>
      </c>
      <c r="H16" s="1134">
        <f t="shared" si="1"/>
        <v>30.966718964974856</v>
      </c>
      <c r="I16" s="1135">
        <f t="shared" si="6"/>
        <v>0.85739999999999994</v>
      </c>
      <c r="J16" s="1136" t="e">
        <f t="shared" si="2"/>
        <v>#NAME?</v>
      </c>
      <c r="Q16" s="204"/>
      <c r="R16" s="1154"/>
    </row>
    <row r="17" spans="2:18" s="179" customFormat="1" x14ac:dyDescent="0.2">
      <c r="B17" s="1130">
        <v>7</v>
      </c>
      <c r="C17" s="1131">
        <v>40</v>
      </c>
      <c r="D17" s="1132">
        <f t="shared" si="4"/>
        <v>65.63300000000001</v>
      </c>
      <c r="E17" s="1133">
        <f t="shared" si="0"/>
        <v>1.0513397820790003</v>
      </c>
      <c r="F17" s="1133">
        <f t="shared" si="3"/>
        <v>8.7738558799291955</v>
      </c>
      <c r="G17" s="1132">
        <f t="shared" si="5"/>
        <v>31.168999999999997</v>
      </c>
      <c r="H17" s="1134">
        <f t="shared" si="1"/>
        <v>29.646932924352978</v>
      </c>
      <c r="I17" s="1135">
        <f t="shared" si="6"/>
        <v>0.85780000000000001</v>
      </c>
      <c r="J17" s="1136" t="e">
        <f t="shared" si="2"/>
        <v>#NAME?</v>
      </c>
      <c r="Q17" s="1155" t="s">
        <v>1083</v>
      </c>
      <c r="R17" s="1156"/>
    </row>
    <row r="18" spans="2:18" s="179" customFormat="1" ht="13.5" thickBot="1" x14ac:dyDescent="0.25">
      <c r="B18" s="1130">
        <v>8</v>
      </c>
      <c r="C18" s="1131">
        <v>40</v>
      </c>
      <c r="D18" s="1132">
        <f t="shared" si="4"/>
        <v>65.622000000000014</v>
      </c>
      <c r="E18" s="1133">
        <f t="shared" si="0"/>
        <v>1.0511635789860003</v>
      </c>
      <c r="F18" s="1133">
        <f t="shared" si="3"/>
        <v>8.7723853938219154</v>
      </c>
      <c r="G18" s="1132">
        <f t="shared" si="5"/>
        <v>29.775999999999996</v>
      </c>
      <c r="H18" s="1134">
        <f t="shared" si="1"/>
        <v>28.326704420945848</v>
      </c>
      <c r="I18" s="1135">
        <f t="shared" si="6"/>
        <v>0.85819999999999996</v>
      </c>
      <c r="J18" s="1136" t="e">
        <f t="shared" si="2"/>
        <v>#NAME?</v>
      </c>
      <c r="Q18" s="1157" t="s">
        <v>1084</v>
      </c>
      <c r="R18" s="1158"/>
    </row>
    <row r="19" spans="2:18" s="179" customFormat="1" ht="13.5" thickBot="1" x14ac:dyDescent="0.25">
      <c r="B19" s="1141">
        <v>9</v>
      </c>
      <c r="C19" s="1142">
        <v>40</v>
      </c>
      <c r="D19" s="1143">
        <f t="shared" si="4"/>
        <v>65.611000000000004</v>
      </c>
      <c r="E19" s="1144">
        <f t="shared" si="0"/>
        <v>1.0509873758930002</v>
      </c>
      <c r="F19" s="1144">
        <f t="shared" si="3"/>
        <v>8.7709149077146318</v>
      </c>
      <c r="G19" s="1143">
        <f t="shared" si="5"/>
        <v>28.382999999999996</v>
      </c>
      <c r="H19" s="1145">
        <f t="shared" si="1"/>
        <v>27.006033232210427</v>
      </c>
      <c r="I19" s="1135">
        <f t="shared" si="6"/>
        <v>0.85860000000000003</v>
      </c>
      <c r="J19" s="1147" t="e">
        <f t="shared" si="2"/>
        <v>#NAME?</v>
      </c>
      <c r="Q19"/>
      <c r="R19"/>
    </row>
    <row r="20" spans="2:18" s="179" customFormat="1" x14ac:dyDescent="0.2">
      <c r="B20" s="1160">
        <v>10</v>
      </c>
      <c r="C20" s="1120">
        <v>40</v>
      </c>
      <c r="D20" s="1162">
        <v>65.599999999999994</v>
      </c>
      <c r="E20" s="1163">
        <f t="shared" si="0"/>
        <v>1.0508111728</v>
      </c>
      <c r="F20" s="1122">
        <f t="shared" si="3"/>
        <v>8.7694444216073499</v>
      </c>
      <c r="G20" s="1162">
        <v>26.99</v>
      </c>
      <c r="H20" s="1162">
        <f t="shared" si="1"/>
        <v>25.684919135454397</v>
      </c>
      <c r="I20" s="1123">
        <v>0.85899999999999999</v>
      </c>
      <c r="J20" s="1124" t="e">
        <f t="shared" si="2"/>
        <v>#NAME?</v>
      </c>
      <c r="L20" s="1125">
        <f>B20</f>
        <v>10</v>
      </c>
      <c r="M20" s="1126">
        <f>D20</f>
        <v>65.599999999999994</v>
      </c>
      <c r="N20" s="1126">
        <f>G20</f>
        <v>26.99</v>
      </c>
      <c r="O20" s="1127">
        <f>I20</f>
        <v>0.85899999999999999</v>
      </c>
      <c r="Q20"/>
      <c r="R20"/>
    </row>
    <row r="21" spans="2:18" s="179" customFormat="1" x14ac:dyDescent="0.2">
      <c r="B21" s="1130">
        <v>11</v>
      </c>
      <c r="C21" s="1131">
        <v>40</v>
      </c>
      <c r="D21" s="1132">
        <f t="shared" ref="D21:D29" si="7">FORECAST(B21,$M$20:$M$21,$L$20:$L$21)</f>
        <v>65.58799999999998</v>
      </c>
      <c r="E21" s="1133">
        <f t="shared" si="0"/>
        <v>1.0506189512439996</v>
      </c>
      <c r="F21" s="1133">
        <f t="shared" si="3"/>
        <v>8.7678402549448577</v>
      </c>
      <c r="G21" s="1132">
        <f t="shared" ref="G21:G29" si="8">FORECAST(B21,$N$20:$N$21,$L$20:$L$21)</f>
        <v>26.140999999999991</v>
      </c>
      <c r="H21" s="1134">
        <f t="shared" si="1"/>
        <v>24.881523381095864</v>
      </c>
      <c r="I21" s="1135">
        <f>FORECAST(B21,$O$20:$O$21,$L$20:$L$21)</f>
        <v>0.85949999999999993</v>
      </c>
      <c r="J21" s="1136" t="e">
        <f t="shared" si="2"/>
        <v>#NAME?</v>
      </c>
      <c r="L21" s="1125">
        <f>B30</f>
        <v>20</v>
      </c>
      <c r="M21" s="1126">
        <f>D30</f>
        <v>65.48</v>
      </c>
      <c r="N21" s="1126">
        <f>G30</f>
        <v>18.5</v>
      </c>
      <c r="O21" s="1127">
        <f>I30</f>
        <v>0.86399999999999999</v>
      </c>
      <c r="Q21"/>
      <c r="R21"/>
    </row>
    <row r="22" spans="2:18" s="179" customFormat="1" x14ac:dyDescent="0.2">
      <c r="B22" s="1130">
        <v>12</v>
      </c>
      <c r="C22" s="1131">
        <v>40</v>
      </c>
      <c r="D22" s="1132">
        <f t="shared" si="7"/>
        <v>65.575999999999979</v>
      </c>
      <c r="E22" s="1133">
        <f t="shared" si="0"/>
        <v>1.0504267296879997</v>
      </c>
      <c r="F22" s="1133">
        <f t="shared" si="3"/>
        <v>8.7662360882823691</v>
      </c>
      <c r="G22" s="1132">
        <f t="shared" si="8"/>
        <v>25.291999999999994</v>
      </c>
      <c r="H22" s="1134">
        <f t="shared" si="1"/>
        <v>24.07783359388835</v>
      </c>
      <c r="I22" s="1135">
        <f t="shared" ref="I22:I29" si="9">FORECAST(B22,$O$20:$O$21,$L$20:$L$21)</f>
        <v>0.85999999999999988</v>
      </c>
      <c r="J22" s="1136" t="e">
        <f t="shared" si="2"/>
        <v>#NAME?</v>
      </c>
      <c r="Q22" t="s">
        <v>1085</v>
      </c>
      <c r="R22"/>
    </row>
    <row r="23" spans="2:18" s="179" customFormat="1" x14ac:dyDescent="0.2">
      <c r="B23" s="1130">
        <v>13</v>
      </c>
      <c r="C23" s="1131">
        <v>40</v>
      </c>
      <c r="D23" s="1132">
        <f t="shared" si="7"/>
        <v>65.563999999999979</v>
      </c>
      <c r="E23" s="1133">
        <f t="shared" si="0"/>
        <v>1.0502345081319997</v>
      </c>
      <c r="F23" s="1133">
        <f t="shared" si="3"/>
        <v>8.7646319216198787</v>
      </c>
      <c r="G23" s="1132">
        <f t="shared" si="8"/>
        <v>24.442999999999991</v>
      </c>
      <c r="H23" s="1134">
        <f t="shared" si="1"/>
        <v>23.27384961238376</v>
      </c>
      <c r="I23" s="1135">
        <f t="shared" si="9"/>
        <v>0.86049999999999982</v>
      </c>
      <c r="J23" s="1136" t="e">
        <f t="shared" si="2"/>
        <v>#NAME?</v>
      </c>
      <c r="Q23" t="s">
        <v>1086</v>
      </c>
      <c r="R23"/>
    </row>
    <row r="24" spans="2:18" s="179" customFormat="1" ht="13.5" thickBot="1" x14ac:dyDescent="0.25">
      <c r="B24" s="1141">
        <v>14</v>
      </c>
      <c r="C24" s="1142">
        <v>40</v>
      </c>
      <c r="D24" s="1143">
        <f t="shared" si="7"/>
        <v>65.551999999999978</v>
      </c>
      <c r="E24" s="1144">
        <f t="shared" si="0"/>
        <v>1.0500422865759997</v>
      </c>
      <c r="F24" s="1144">
        <f t="shared" si="3"/>
        <v>8.7630277549573901</v>
      </c>
      <c r="G24" s="1143">
        <f t="shared" si="8"/>
        <v>23.593999999999994</v>
      </c>
      <c r="H24" s="1145">
        <f t="shared" si="1"/>
        <v>22.469571275015802</v>
      </c>
      <c r="I24" s="1146">
        <f t="shared" si="9"/>
        <v>0.86099999999999988</v>
      </c>
      <c r="J24" s="1147" t="e">
        <f t="shared" si="2"/>
        <v>#NAME?</v>
      </c>
      <c r="Q24" t="s">
        <v>1087</v>
      </c>
      <c r="R24"/>
    </row>
    <row r="25" spans="2:18" s="179" customFormat="1" x14ac:dyDescent="0.2">
      <c r="B25" s="1148">
        <v>15</v>
      </c>
      <c r="C25" s="1149">
        <v>40</v>
      </c>
      <c r="D25" s="1150">
        <f t="shared" si="7"/>
        <v>65.539999999999992</v>
      </c>
      <c r="E25" s="1122">
        <f t="shared" si="0"/>
        <v>1.0498500650199998</v>
      </c>
      <c r="F25" s="1122">
        <f t="shared" si="3"/>
        <v>8.7614235882949032</v>
      </c>
      <c r="G25" s="1150">
        <f t="shared" si="8"/>
        <v>22.744999999999994</v>
      </c>
      <c r="H25" s="1121">
        <f t="shared" si="1"/>
        <v>21.664998420099824</v>
      </c>
      <c r="I25" s="1173">
        <f t="shared" si="9"/>
        <v>0.86149999999999993</v>
      </c>
      <c r="J25" s="1124" t="e">
        <f t="shared" si="2"/>
        <v>#NAME?</v>
      </c>
      <c r="Q25" t="s">
        <v>1088</v>
      </c>
      <c r="R25"/>
    </row>
    <row r="26" spans="2:18" s="179" customFormat="1" x14ac:dyDescent="0.2">
      <c r="B26" s="1130">
        <v>16</v>
      </c>
      <c r="C26" s="1131">
        <v>40</v>
      </c>
      <c r="D26" s="1132">
        <f t="shared" si="7"/>
        <v>65.527999999999992</v>
      </c>
      <c r="E26" s="1133">
        <f t="shared" si="0"/>
        <v>1.0496578434639998</v>
      </c>
      <c r="F26" s="1133">
        <f t="shared" si="3"/>
        <v>8.7598194216324146</v>
      </c>
      <c r="G26" s="1132">
        <f t="shared" si="8"/>
        <v>21.895999999999994</v>
      </c>
      <c r="H26" s="1134">
        <f t="shared" si="1"/>
        <v>20.860130885832763</v>
      </c>
      <c r="I26" s="1135">
        <f t="shared" si="9"/>
        <v>0.86199999999999988</v>
      </c>
      <c r="J26" s="1136" t="e">
        <f t="shared" si="2"/>
        <v>#NAME?</v>
      </c>
    </row>
    <row r="27" spans="2:18" s="179" customFormat="1" x14ac:dyDescent="0.2">
      <c r="B27" s="1130">
        <v>17</v>
      </c>
      <c r="C27" s="1131">
        <v>40</v>
      </c>
      <c r="D27" s="1132">
        <f t="shared" si="7"/>
        <v>65.515999999999991</v>
      </c>
      <c r="E27" s="1133">
        <f t="shared" si="0"/>
        <v>1.0494656219079999</v>
      </c>
      <c r="F27" s="1133">
        <f t="shared" si="3"/>
        <v>8.7582152549699241</v>
      </c>
      <c r="G27" s="1132">
        <f t="shared" si="8"/>
        <v>21.046999999999993</v>
      </c>
      <c r="H27" s="1134">
        <f t="shared" si="1"/>
        <v>20.054968510292998</v>
      </c>
      <c r="I27" s="1135">
        <f t="shared" si="9"/>
        <v>0.86249999999999982</v>
      </c>
      <c r="J27" s="1136" t="e">
        <f t="shared" si="2"/>
        <v>#NAME?</v>
      </c>
    </row>
    <row r="28" spans="2:18" s="179" customFormat="1" x14ac:dyDescent="0.2">
      <c r="B28" s="1130">
        <v>18</v>
      </c>
      <c r="C28" s="1131">
        <v>40</v>
      </c>
      <c r="D28" s="1132">
        <f t="shared" si="7"/>
        <v>65.503999999999991</v>
      </c>
      <c r="E28" s="1133">
        <f t="shared" si="0"/>
        <v>1.0492734003519999</v>
      </c>
      <c r="F28" s="1133">
        <f t="shared" si="3"/>
        <v>8.7566110883074355</v>
      </c>
      <c r="G28" s="1132">
        <f t="shared" si="8"/>
        <v>20.197999999999993</v>
      </c>
      <c r="H28" s="1134">
        <f t="shared" si="1"/>
        <v>19.249511131440258</v>
      </c>
      <c r="I28" s="1135">
        <f t="shared" si="9"/>
        <v>0.86299999999999988</v>
      </c>
      <c r="J28" s="1136" t="e">
        <f t="shared" si="2"/>
        <v>#NAME?</v>
      </c>
    </row>
    <row r="29" spans="2:18" s="179" customFormat="1" ht="13.5" thickBot="1" x14ac:dyDescent="0.25">
      <c r="B29" s="1141">
        <v>19</v>
      </c>
      <c r="C29" s="1142">
        <v>40</v>
      </c>
      <c r="D29" s="1143">
        <f t="shared" si="7"/>
        <v>65.49199999999999</v>
      </c>
      <c r="E29" s="1144">
        <f t="shared" si="0"/>
        <v>1.0490811787959999</v>
      </c>
      <c r="F29" s="1144">
        <f t="shared" si="3"/>
        <v>8.7550069216449469</v>
      </c>
      <c r="G29" s="1143">
        <f t="shared" si="8"/>
        <v>19.348999999999993</v>
      </c>
      <c r="H29" s="1145">
        <f t="shared" si="1"/>
        <v>18.443758587115518</v>
      </c>
      <c r="I29" s="1135">
        <f t="shared" si="9"/>
        <v>0.86349999999999993</v>
      </c>
      <c r="J29" s="1147" t="e">
        <f t="shared" si="2"/>
        <v>#NAME?</v>
      </c>
    </row>
    <row r="30" spans="2:18" s="179" customFormat="1" x14ac:dyDescent="0.2">
      <c r="B30" s="1160">
        <v>20</v>
      </c>
      <c r="C30" s="1120">
        <v>40</v>
      </c>
      <c r="D30" s="1121">
        <v>65.48</v>
      </c>
      <c r="E30" s="1122">
        <f t="shared" si="0"/>
        <v>1.04888895724</v>
      </c>
      <c r="F30" s="1122">
        <f t="shared" si="3"/>
        <v>8.7534027549824582</v>
      </c>
      <c r="G30" s="1121">
        <v>18.5</v>
      </c>
      <c r="H30" s="1162">
        <f t="shared" si="1"/>
        <v>17.637710715040878</v>
      </c>
      <c r="I30" s="1123">
        <v>0.86399999999999999</v>
      </c>
      <c r="J30" s="1124" t="e">
        <f t="shared" si="2"/>
        <v>#NAME?</v>
      </c>
      <c r="L30" s="1125">
        <f>B30</f>
        <v>20</v>
      </c>
      <c r="M30" s="1126">
        <f>D30</f>
        <v>65.48</v>
      </c>
      <c r="N30" s="1126">
        <f>G30</f>
        <v>18.5</v>
      </c>
      <c r="O30" s="1127">
        <f>I30</f>
        <v>0.86399999999999999</v>
      </c>
    </row>
    <row r="31" spans="2:18" s="179" customFormat="1" x14ac:dyDescent="0.2">
      <c r="B31" s="1130">
        <v>21</v>
      </c>
      <c r="C31" s="1131">
        <v>40</v>
      </c>
      <c r="D31" s="1132">
        <f t="shared" ref="D31:D39" si="10">FORECAST(B31,$M$30:$M$31,$L$30:$L$31)</f>
        <v>65.466999999999985</v>
      </c>
      <c r="E31" s="1133">
        <f t="shared" si="0"/>
        <v>1.0486807172209998</v>
      </c>
      <c r="F31" s="1133">
        <f t="shared" si="3"/>
        <v>8.7516649077647592</v>
      </c>
      <c r="G31" s="1132">
        <f t="shared" ref="G31:G39" si="11">FORECAST(B31,$N$30:$N$31,$L$30:$L$31)</f>
        <v>17.961999999999996</v>
      </c>
      <c r="H31" s="1134">
        <f t="shared" si="1"/>
        <v>17.128187545585117</v>
      </c>
      <c r="I31" s="1135">
        <f>FORECAST(B31,$O$30:$O$31,$L$30:$L$31)</f>
        <v>0.86439999999999995</v>
      </c>
      <c r="J31" s="1136" t="e">
        <f t="shared" si="2"/>
        <v>#NAME?</v>
      </c>
      <c r="L31" s="1125">
        <f>B40</f>
        <v>30</v>
      </c>
      <c r="M31" s="1126">
        <f>D40</f>
        <v>65.349999999999994</v>
      </c>
      <c r="N31" s="1126">
        <f>G40</f>
        <v>13.12</v>
      </c>
      <c r="O31" s="1127">
        <f>I40</f>
        <v>0.86799999999999999</v>
      </c>
    </row>
    <row r="32" spans="2:18" s="179" customFormat="1" x14ac:dyDescent="0.2">
      <c r="B32" s="1130">
        <v>22</v>
      </c>
      <c r="C32" s="1131">
        <v>40</v>
      </c>
      <c r="D32" s="1132">
        <f t="shared" si="10"/>
        <v>65.453999999999994</v>
      </c>
      <c r="E32" s="1133">
        <f t="shared" si="0"/>
        <v>1.048472477202</v>
      </c>
      <c r="F32" s="1133">
        <f t="shared" si="3"/>
        <v>8.7499270605470638</v>
      </c>
      <c r="G32" s="1132">
        <f t="shared" si="11"/>
        <v>17.423999999999999</v>
      </c>
      <c r="H32" s="1134">
        <f t="shared" si="1"/>
        <v>16.618461980517083</v>
      </c>
      <c r="I32" s="1135">
        <f t="shared" ref="I32:I39" si="12">FORECAST(B32,$O$30:$O$31,$L$30:$L$31)</f>
        <v>0.86480000000000001</v>
      </c>
      <c r="J32" s="1136" t="e">
        <f t="shared" si="2"/>
        <v>#NAME?</v>
      </c>
      <c r="O32" s="1166"/>
    </row>
    <row r="33" spans="2:15" s="179" customFormat="1" x14ac:dyDescent="0.2">
      <c r="B33" s="1130">
        <v>23</v>
      </c>
      <c r="C33" s="1131">
        <v>40</v>
      </c>
      <c r="D33" s="1132">
        <f t="shared" si="10"/>
        <v>65.440999999999988</v>
      </c>
      <c r="E33" s="1133">
        <f t="shared" si="0"/>
        <v>1.0482642371829998</v>
      </c>
      <c r="F33" s="1133">
        <f t="shared" si="3"/>
        <v>8.7481892133293666</v>
      </c>
      <c r="G33" s="1132">
        <f t="shared" si="11"/>
        <v>16.885999999999996</v>
      </c>
      <c r="H33" s="1134">
        <f t="shared" si="1"/>
        <v>16.108533899217758</v>
      </c>
      <c r="I33" s="1135">
        <f t="shared" si="12"/>
        <v>0.86519999999999997</v>
      </c>
      <c r="J33" s="1136" t="e">
        <f t="shared" si="2"/>
        <v>#NAME?</v>
      </c>
      <c r="O33" s="1166"/>
    </row>
    <row r="34" spans="2:15" s="179" customFormat="1" ht="13.5" thickBot="1" x14ac:dyDescent="0.25">
      <c r="B34" s="1141">
        <v>24</v>
      </c>
      <c r="C34" s="1142">
        <v>40</v>
      </c>
      <c r="D34" s="1143">
        <f t="shared" si="10"/>
        <v>65.427999999999983</v>
      </c>
      <c r="E34" s="1144">
        <f t="shared" si="0"/>
        <v>1.0480559971639998</v>
      </c>
      <c r="F34" s="1144">
        <f t="shared" si="3"/>
        <v>8.7464513661116694</v>
      </c>
      <c r="G34" s="1143">
        <f t="shared" si="11"/>
        <v>16.347999999999999</v>
      </c>
      <c r="H34" s="1145">
        <f t="shared" si="1"/>
        <v>15.598403180972271</v>
      </c>
      <c r="I34" s="1146">
        <f t="shared" si="12"/>
        <v>0.86560000000000004</v>
      </c>
      <c r="J34" s="1147" t="e">
        <f t="shared" si="2"/>
        <v>#NAME?</v>
      </c>
      <c r="O34" s="1166"/>
    </row>
    <row r="35" spans="2:15" s="179" customFormat="1" x14ac:dyDescent="0.2">
      <c r="B35" s="1148">
        <v>25</v>
      </c>
      <c r="C35" s="1149">
        <v>40</v>
      </c>
      <c r="D35" s="1150">
        <f t="shared" si="10"/>
        <v>65.414999999999992</v>
      </c>
      <c r="E35" s="1122">
        <f t="shared" si="0"/>
        <v>1.0478477571449998</v>
      </c>
      <c r="F35" s="1122">
        <f t="shared" si="3"/>
        <v>8.744713518893974</v>
      </c>
      <c r="G35" s="1150">
        <f t="shared" si="11"/>
        <v>15.809999999999999</v>
      </c>
      <c r="H35" s="1121">
        <f t="shared" si="1"/>
        <v>15.088069704969776</v>
      </c>
      <c r="I35" s="1173">
        <f t="shared" si="12"/>
        <v>0.86599999999999999</v>
      </c>
      <c r="J35" s="1124" t="e">
        <f t="shared" si="2"/>
        <v>#NAME?</v>
      </c>
      <c r="O35" s="1166"/>
    </row>
    <row r="36" spans="2:15" s="179" customFormat="1" x14ac:dyDescent="0.2">
      <c r="B36" s="1130">
        <v>26</v>
      </c>
      <c r="C36" s="1131">
        <v>40</v>
      </c>
      <c r="D36" s="1132">
        <f t="shared" si="10"/>
        <v>65.401999999999987</v>
      </c>
      <c r="E36" s="1133">
        <f t="shared" si="0"/>
        <v>1.0476395171259998</v>
      </c>
      <c r="F36" s="1133">
        <f t="shared" si="3"/>
        <v>8.7429756716762768</v>
      </c>
      <c r="G36" s="1132">
        <f t="shared" si="11"/>
        <v>15.271999999999998</v>
      </c>
      <c r="H36" s="1134">
        <f t="shared" si="1"/>
        <v>14.577533350303387</v>
      </c>
      <c r="I36" s="1135">
        <f t="shared" si="12"/>
        <v>0.86639999999999995</v>
      </c>
      <c r="J36" s="1136" t="e">
        <f t="shared" si="2"/>
        <v>#NAME?</v>
      </c>
      <c r="O36" s="1166"/>
    </row>
    <row r="37" spans="2:15" s="179" customFormat="1" x14ac:dyDescent="0.2">
      <c r="B37" s="1130">
        <v>27</v>
      </c>
      <c r="C37" s="1131">
        <v>40</v>
      </c>
      <c r="D37" s="1132">
        <f t="shared" si="10"/>
        <v>65.388999999999982</v>
      </c>
      <c r="E37" s="1133">
        <f t="shared" si="0"/>
        <v>1.0474312771069998</v>
      </c>
      <c r="F37" s="1133">
        <f t="shared" si="3"/>
        <v>8.7412378244585796</v>
      </c>
      <c r="G37" s="1132">
        <f t="shared" si="11"/>
        <v>14.733999999999998</v>
      </c>
      <c r="H37" s="1134">
        <f t="shared" si="1"/>
        <v>14.066793995970061</v>
      </c>
      <c r="I37" s="1135">
        <f t="shared" si="12"/>
        <v>0.86680000000000001</v>
      </c>
      <c r="J37" s="1136" t="e">
        <f t="shared" si="2"/>
        <v>#NAME?</v>
      </c>
      <c r="O37" s="1166"/>
    </row>
    <row r="38" spans="2:15" s="179" customFormat="1" x14ac:dyDescent="0.2">
      <c r="B38" s="1130">
        <v>28</v>
      </c>
      <c r="C38" s="1131">
        <v>40</v>
      </c>
      <c r="D38" s="1132">
        <f t="shared" si="10"/>
        <v>65.375999999999976</v>
      </c>
      <c r="E38" s="1133">
        <f t="shared" si="0"/>
        <v>1.0472230370879996</v>
      </c>
      <c r="F38" s="1133">
        <f t="shared" si="3"/>
        <v>8.7394999772408823</v>
      </c>
      <c r="G38" s="1132">
        <f t="shared" si="11"/>
        <v>14.195999999999998</v>
      </c>
      <c r="H38" s="1134">
        <f t="shared" si="1"/>
        <v>13.555851520870513</v>
      </c>
      <c r="I38" s="1135">
        <f t="shared" si="12"/>
        <v>0.86719999999999997</v>
      </c>
      <c r="J38" s="1136" t="e">
        <f t="shared" si="2"/>
        <v>#NAME?</v>
      </c>
      <c r="O38" s="1166"/>
    </row>
    <row r="39" spans="2:15" s="179" customFormat="1" ht="13.5" thickBot="1" x14ac:dyDescent="0.25">
      <c r="B39" s="1141">
        <v>29</v>
      </c>
      <c r="C39" s="1142">
        <v>40</v>
      </c>
      <c r="D39" s="1143">
        <f t="shared" si="10"/>
        <v>65.362999999999985</v>
      </c>
      <c r="E39" s="1144">
        <f t="shared" si="0"/>
        <v>1.0470147970689998</v>
      </c>
      <c r="F39" s="1144">
        <f t="shared" si="3"/>
        <v>8.7377621300231869</v>
      </c>
      <c r="G39" s="1143">
        <f t="shared" si="11"/>
        <v>13.657999999999998</v>
      </c>
      <c r="H39" s="1145">
        <f t="shared" si="1"/>
        <v>13.044705803809109</v>
      </c>
      <c r="I39" s="1135">
        <f t="shared" si="12"/>
        <v>0.86760000000000004</v>
      </c>
      <c r="J39" s="1147" t="e">
        <f t="shared" si="2"/>
        <v>#NAME?</v>
      </c>
      <c r="O39" s="1166"/>
    </row>
    <row r="40" spans="2:15" x14ac:dyDescent="0.2">
      <c r="B40" s="1160">
        <v>30</v>
      </c>
      <c r="C40" s="1120">
        <v>40</v>
      </c>
      <c r="D40" s="1162">
        <v>65.349999999999994</v>
      </c>
      <c r="E40" s="1163">
        <f t="shared" si="0"/>
        <v>1.0468065570499998</v>
      </c>
      <c r="F40" s="1122">
        <f t="shared" si="3"/>
        <v>8.7360242828054915</v>
      </c>
      <c r="G40" s="1162">
        <v>13.12</v>
      </c>
      <c r="H40" s="1162">
        <f t="shared" si="1"/>
        <v>12.533356723493789</v>
      </c>
      <c r="I40" s="1123">
        <v>0.86799999999999999</v>
      </c>
      <c r="J40" s="1124" t="e">
        <f t="shared" si="2"/>
        <v>#NAME?</v>
      </c>
      <c r="L40" s="1125">
        <f>B40</f>
        <v>30</v>
      </c>
      <c r="M40" s="1126">
        <f>D40</f>
        <v>65.349999999999994</v>
      </c>
      <c r="N40" s="1126">
        <f>G40</f>
        <v>13.12</v>
      </c>
      <c r="O40" s="1127">
        <f>I40</f>
        <v>0.86799999999999999</v>
      </c>
    </row>
    <row r="41" spans="2:15" x14ac:dyDescent="0.2">
      <c r="B41" s="1164">
        <v>31</v>
      </c>
      <c r="C41" s="1131">
        <v>40</v>
      </c>
      <c r="D41" s="1132">
        <f t="shared" ref="D41:D49" si="13">FORECAST(B41,$M$40:$M$41,$L$40:$L$41)</f>
        <v>65.336000000000013</v>
      </c>
      <c r="E41" s="1133">
        <f t="shared" si="0"/>
        <v>1.0465822985680002</v>
      </c>
      <c r="F41" s="1133">
        <f t="shared" si="3"/>
        <v>8.734152755032591</v>
      </c>
      <c r="G41" s="1132">
        <f t="shared" ref="G41:G49" si="14">FORECAST(B41,$N$40:$N$41,$L$40:$L$41)</f>
        <v>12.768000000000001</v>
      </c>
      <c r="H41" s="1134">
        <f t="shared" si="1"/>
        <v>12.199709490089774</v>
      </c>
      <c r="I41" s="1135">
        <f>FORECAST(B41,$O$40:$O$41,$L$40:$L$41)</f>
        <v>0.86839999999999995</v>
      </c>
      <c r="J41" s="1136" t="e">
        <f t="shared" si="2"/>
        <v>#NAME?</v>
      </c>
      <c r="L41" s="1125">
        <f>B50</f>
        <v>40</v>
      </c>
      <c r="M41" s="1126">
        <f>D50</f>
        <v>65.209999999999994</v>
      </c>
      <c r="N41" s="1126">
        <f>G50</f>
        <v>9.6</v>
      </c>
      <c r="O41" s="1127">
        <f>I50</f>
        <v>0.872</v>
      </c>
    </row>
    <row r="42" spans="2:15" x14ac:dyDescent="0.2">
      <c r="B42" s="1164">
        <v>32</v>
      </c>
      <c r="C42" s="1131">
        <v>40</v>
      </c>
      <c r="D42" s="1132">
        <f t="shared" si="13"/>
        <v>65.322000000000003</v>
      </c>
      <c r="E42" s="1133">
        <f t="shared" si="0"/>
        <v>1.046358040086</v>
      </c>
      <c r="F42" s="1133">
        <f t="shared" si="3"/>
        <v>8.7322812272596853</v>
      </c>
      <c r="G42" s="1132">
        <f t="shared" si="14"/>
        <v>12.416</v>
      </c>
      <c r="H42" s="1134">
        <f t="shared" si="1"/>
        <v>11.865919240205324</v>
      </c>
      <c r="I42" s="1135">
        <f t="shared" ref="I42:I49" si="15">FORECAST(B42,$O$40:$O$41,$L$40:$L$41)</f>
        <v>0.86880000000000002</v>
      </c>
      <c r="J42" s="1136" t="e">
        <f t="shared" si="2"/>
        <v>#NAME?</v>
      </c>
      <c r="L42" s="184"/>
      <c r="M42" s="1166"/>
      <c r="N42" s="1166"/>
      <c r="O42" s="1166"/>
    </row>
    <row r="43" spans="2:15" x14ac:dyDescent="0.2">
      <c r="B43" s="1164">
        <v>33</v>
      </c>
      <c r="C43" s="1131">
        <v>40</v>
      </c>
      <c r="D43" s="1132">
        <f t="shared" si="13"/>
        <v>65.308000000000007</v>
      </c>
      <c r="E43" s="1133">
        <f t="shared" si="0"/>
        <v>1.0461337816040002</v>
      </c>
      <c r="F43" s="1133">
        <f t="shared" si="3"/>
        <v>8.7304096994867812</v>
      </c>
      <c r="G43" s="1132">
        <f t="shared" si="14"/>
        <v>12.064</v>
      </c>
      <c r="H43" s="1134">
        <f t="shared" si="1"/>
        <v>11.5319858818656</v>
      </c>
      <c r="I43" s="1135">
        <f t="shared" si="15"/>
        <v>0.86919999999999997</v>
      </c>
      <c r="J43" s="1136" t="e">
        <f t="shared" si="2"/>
        <v>#NAME?</v>
      </c>
      <c r="L43" s="184"/>
      <c r="M43" s="1166"/>
      <c r="N43" s="1166"/>
      <c r="O43" s="1166"/>
    </row>
    <row r="44" spans="2:15" ht="13.5" thickBot="1" x14ac:dyDescent="0.25">
      <c r="B44" s="1167">
        <v>34</v>
      </c>
      <c r="C44" s="1142">
        <v>40</v>
      </c>
      <c r="D44" s="1169">
        <f t="shared" si="13"/>
        <v>65.294000000000011</v>
      </c>
      <c r="E44" s="1170">
        <f t="shared" si="0"/>
        <v>1.0459095231220001</v>
      </c>
      <c r="F44" s="1144">
        <f t="shared" si="3"/>
        <v>8.7285381717138772</v>
      </c>
      <c r="G44" s="1169">
        <f t="shared" si="14"/>
        <v>11.712</v>
      </c>
      <c r="H44" s="1171">
        <f t="shared" si="1"/>
        <v>11.197909323016894</v>
      </c>
      <c r="I44" s="1146">
        <f t="shared" si="15"/>
        <v>0.86960000000000004</v>
      </c>
      <c r="J44" s="1147" t="e">
        <f t="shared" si="2"/>
        <v>#NAME?</v>
      </c>
      <c r="L44" s="184"/>
      <c r="M44" s="1166"/>
      <c r="N44" s="1166"/>
      <c r="O44" s="1166"/>
    </row>
    <row r="45" spans="2:15" x14ac:dyDescent="0.2">
      <c r="B45" s="1172">
        <v>35</v>
      </c>
      <c r="C45" s="1149">
        <v>40</v>
      </c>
      <c r="D45" s="1150">
        <f t="shared" si="13"/>
        <v>65.28</v>
      </c>
      <c r="E45" s="1122">
        <f t="shared" si="0"/>
        <v>1.0456852646400001</v>
      </c>
      <c r="F45" s="1122">
        <f t="shared" si="3"/>
        <v>8.7266666439409732</v>
      </c>
      <c r="G45" s="1150">
        <f t="shared" si="14"/>
        <v>11.360000000000001</v>
      </c>
      <c r="H45" s="1121">
        <f t="shared" si="1"/>
        <v>10.863689471526529</v>
      </c>
      <c r="I45" s="1173">
        <f t="shared" si="15"/>
        <v>0.87</v>
      </c>
      <c r="J45" s="1124" t="e">
        <f t="shared" si="2"/>
        <v>#NAME?</v>
      </c>
      <c r="L45" s="184"/>
      <c r="M45" s="1166"/>
      <c r="N45" s="1166"/>
      <c r="O45" s="1166"/>
    </row>
    <row r="46" spans="2:15" x14ac:dyDescent="0.2">
      <c r="B46" s="1164">
        <v>36</v>
      </c>
      <c r="C46" s="1131">
        <v>40</v>
      </c>
      <c r="D46" s="1132">
        <f t="shared" si="13"/>
        <v>65.266000000000005</v>
      </c>
      <c r="E46" s="1133">
        <f t="shared" si="0"/>
        <v>1.0454610061580001</v>
      </c>
      <c r="F46" s="1133">
        <f t="shared" si="3"/>
        <v>8.7247951161680692</v>
      </c>
      <c r="G46" s="1132">
        <f t="shared" si="14"/>
        <v>11.008000000000001</v>
      </c>
      <c r="H46" s="1134">
        <f t="shared" si="1"/>
        <v>10.529326235182765</v>
      </c>
      <c r="I46" s="1135">
        <f t="shared" si="15"/>
        <v>0.87039999999999995</v>
      </c>
      <c r="J46" s="1136" t="e">
        <f t="shared" si="2"/>
        <v>#NAME?</v>
      </c>
      <c r="L46" s="184"/>
      <c r="M46" s="1166"/>
      <c r="N46" s="1166"/>
      <c r="O46" s="1166"/>
    </row>
    <row r="47" spans="2:15" x14ac:dyDescent="0.2">
      <c r="B47" s="1164">
        <v>37</v>
      </c>
      <c r="C47" s="1131">
        <v>40</v>
      </c>
      <c r="D47" s="1132">
        <f t="shared" si="13"/>
        <v>65.25200000000001</v>
      </c>
      <c r="E47" s="1133">
        <f t="shared" si="0"/>
        <v>1.0452367476760001</v>
      </c>
      <c r="F47" s="1133">
        <f t="shared" si="3"/>
        <v>8.7229235883951652</v>
      </c>
      <c r="G47" s="1132">
        <f t="shared" si="14"/>
        <v>10.656000000000001</v>
      </c>
      <c r="H47" s="1134">
        <f t="shared" si="1"/>
        <v>10.194819521694736</v>
      </c>
      <c r="I47" s="1135">
        <f t="shared" si="15"/>
        <v>0.87080000000000002</v>
      </c>
      <c r="J47" s="1136" t="e">
        <f t="shared" si="2"/>
        <v>#NAME?</v>
      </c>
      <c r="L47" s="184"/>
      <c r="M47" s="1166"/>
      <c r="N47" s="1166"/>
      <c r="O47" s="1166"/>
    </row>
    <row r="48" spans="2:15" x14ac:dyDescent="0.2">
      <c r="B48" s="1164">
        <v>38</v>
      </c>
      <c r="C48" s="1131">
        <v>40</v>
      </c>
      <c r="D48" s="1132">
        <f t="shared" si="13"/>
        <v>65.238000000000014</v>
      </c>
      <c r="E48" s="1133">
        <f t="shared" si="0"/>
        <v>1.0450124891940002</v>
      </c>
      <c r="F48" s="1133">
        <f t="shared" si="3"/>
        <v>8.721052060622263</v>
      </c>
      <c r="G48" s="1132">
        <f t="shared" si="14"/>
        <v>10.304</v>
      </c>
      <c r="H48" s="1134">
        <f t="shared" si="1"/>
        <v>9.8601692386923467</v>
      </c>
      <c r="I48" s="1135">
        <f t="shared" si="15"/>
        <v>0.87119999999999997</v>
      </c>
      <c r="J48" s="1136" t="e">
        <f t="shared" si="2"/>
        <v>#NAME?</v>
      </c>
      <c r="L48" s="184"/>
      <c r="M48" s="1166"/>
      <c r="N48" s="1166"/>
      <c r="O48" s="1166"/>
    </row>
    <row r="49" spans="2:15" ht="13.5" thickBot="1" x14ac:dyDescent="0.25">
      <c r="B49" s="1174">
        <v>39</v>
      </c>
      <c r="C49" s="1142">
        <v>40</v>
      </c>
      <c r="D49" s="1143">
        <f t="shared" si="13"/>
        <v>65.224000000000004</v>
      </c>
      <c r="E49" s="1144">
        <f t="shared" si="0"/>
        <v>1.044788230712</v>
      </c>
      <c r="F49" s="1144">
        <f t="shared" si="3"/>
        <v>8.7191805328493572</v>
      </c>
      <c r="G49" s="1143">
        <f t="shared" si="14"/>
        <v>9.952</v>
      </c>
      <c r="H49" s="1145">
        <f t="shared" si="1"/>
        <v>9.5253752937262064</v>
      </c>
      <c r="I49" s="1135">
        <f t="shared" si="15"/>
        <v>0.87160000000000004</v>
      </c>
      <c r="J49" s="1147" t="e">
        <f t="shared" si="2"/>
        <v>#NAME?</v>
      </c>
      <c r="L49" s="184"/>
      <c r="M49" s="1166"/>
      <c r="N49" s="1166"/>
      <c r="O49" s="1166"/>
    </row>
    <row r="50" spans="2:15" x14ac:dyDescent="0.2">
      <c r="B50" s="1119">
        <v>40</v>
      </c>
      <c r="C50" s="1120">
        <v>40</v>
      </c>
      <c r="D50" s="1121">
        <v>65.209999999999994</v>
      </c>
      <c r="E50" s="1122">
        <f t="shared" si="0"/>
        <v>1.04456397223</v>
      </c>
      <c r="F50" s="1122">
        <f t="shared" si="3"/>
        <v>8.7173090050764515</v>
      </c>
      <c r="G50" s="1121">
        <v>9.6</v>
      </c>
      <c r="H50" s="1121">
        <f t="shared" si="1"/>
        <v>9.1904375942675145</v>
      </c>
      <c r="I50" s="1123">
        <v>0.872</v>
      </c>
      <c r="J50" s="1124" t="e">
        <f t="shared" si="2"/>
        <v>#NAME?</v>
      </c>
      <c r="L50" s="1125">
        <f>B50</f>
        <v>40</v>
      </c>
      <c r="M50" s="1126">
        <f>D50</f>
        <v>65.209999999999994</v>
      </c>
      <c r="N50" s="1126">
        <f>G50</f>
        <v>9.6</v>
      </c>
      <c r="O50" s="1127">
        <f>I50</f>
        <v>0.872</v>
      </c>
    </row>
    <row r="51" spans="2:15" x14ac:dyDescent="0.2">
      <c r="B51" s="1164">
        <v>41</v>
      </c>
      <c r="C51" s="1131">
        <v>40</v>
      </c>
      <c r="D51" s="1132">
        <f t="shared" ref="D51:D59" si="16">FORECAST(B51,$M$50:$M$51,$L$50:$L$51)</f>
        <v>65.194999999999979</v>
      </c>
      <c r="E51" s="1133">
        <f t="shared" si="0"/>
        <v>1.0443236952849997</v>
      </c>
      <c r="F51" s="1133">
        <f t="shared" si="3"/>
        <v>8.7153037967483389</v>
      </c>
      <c r="G51" s="1132">
        <f t="shared" ref="G51:G59" si="17">FORECAST(B51,$N$50:$N$51,$L$50:$L$51)</f>
        <v>9.3609999999999971</v>
      </c>
      <c r="H51" s="1134">
        <f t="shared" si="1"/>
        <v>8.9636958753917249</v>
      </c>
      <c r="I51" s="1135">
        <f>FORECAST(B51,$O$50:$O$51,$L$50:$L$51)</f>
        <v>0.87250000000000005</v>
      </c>
      <c r="J51" s="1136" t="e">
        <f t="shared" si="2"/>
        <v>#NAME?</v>
      </c>
      <c r="L51" s="1125">
        <f>B60</f>
        <v>50</v>
      </c>
      <c r="M51" s="1126">
        <f>D60</f>
        <v>65.06</v>
      </c>
      <c r="N51" s="1126">
        <f>G60</f>
        <v>7.21</v>
      </c>
      <c r="O51" s="1127">
        <f>I60</f>
        <v>0.877</v>
      </c>
    </row>
    <row r="52" spans="2:15" x14ac:dyDescent="0.2">
      <c r="B52" s="1164">
        <v>42</v>
      </c>
      <c r="C52" s="1131">
        <v>40</v>
      </c>
      <c r="D52" s="1132">
        <f t="shared" si="16"/>
        <v>65.179999999999978</v>
      </c>
      <c r="E52" s="1133">
        <f t="shared" si="0"/>
        <v>1.0440834183399996</v>
      </c>
      <c r="F52" s="1133">
        <f t="shared" si="3"/>
        <v>8.7132985884202263</v>
      </c>
      <c r="G52" s="1132">
        <f t="shared" si="17"/>
        <v>9.1219999999999963</v>
      </c>
      <c r="H52" s="1134">
        <f t="shared" si="1"/>
        <v>8.7368497954915991</v>
      </c>
      <c r="I52" s="1135">
        <f t="shared" ref="I52:I59" si="18">FORECAST(B52,$O$50:$O$51,$L$50:$L$51)</f>
        <v>0.87300000000000011</v>
      </c>
      <c r="J52" s="1136" t="e">
        <f t="shared" si="2"/>
        <v>#NAME?</v>
      </c>
      <c r="L52" s="184"/>
      <c r="M52" s="1166"/>
      <c r="N52" s="1166"/>
      <c r="O52" s="1166"/>
    </row>
    <row r="53" spans="2:15" x14ac:dyDescent="0.2">
      <c r="B53" s="1164">
        <v>43</v>
      </c>
      <c r="C53" s="1131">
        <v>40</v>
      </c>
      <c r="D53" s="1132">
        <f t="shared" si="16"/>
        <v>65.164999999999978</v>
      </c>
      <c r="E53" s="1133">
        <f t="shared" si="0"/>
        <v>1.0438431413949996</v>
      </c>
      <c r="F53" s="1133">
        <f t="shared" si="3"/>
        <v>8.7112933800921155</v>
      </c>
      <c r="G53" s="1132">
        <f t="shared" si="17"/>
        <v>8.8829999999999973</v>
      </c>
      <c r="H53" s="1134">
        <f t="shared" si="1"/>
        <v>8.5098992825001378</v>
      </c>
      <c r="I53" s="1135">
        <f t="shared" si="18"/>
        <v>0.87350000000000017</v>
      </c>
      <c r="J53" s="1136" t="e">
        <f t="shared" si="2"/>
        <v>#NAME?</v>
      </c>
      <c r="L53" s="184"/>
      <c r="M53" s="1166"/>
      <c r="N53" s="1166"/>
      <c r="O53" s="1166"/>
    </row>
    <row r="54" spans="2:15" ht="13.5" thickBot="1" x14ac:dyDescent="0.25">
      <c r="B54" s="1174">
        <v>44</v>
      </c>
      <c r="C54" s="1142">
        <v>40</v>
      </c>
      <c r="D54" s="1143">
        <f t="shared" si="16"/>
        <v>65.149999999999977</v>
      </c>
      <c r="E54" s="1144">
        <f t="shared" si="0"/>
        <v>1.0436028644499997</v>
      </c>
      <c r="F54" s="1144">
        <f t="shared" si="3"/>
        <v>8.7092881717640029</v>
      </c>
      <c r="G54" s="1143">
        <f t="shared" si="17"/>
        <v>8.6439999999999966</v>
      </c>
      <c r="H54" s="1145">
        <f t="shared" si="1"/>
        <v>8.2828442642839644</v>
      </c>
      <c r="I54" s="1146">
        <f t="shared" si="18"/>
        <v>0.87400000000000011</v>
      </c>
      <c r="J54" s="1147" t="e">
        <f t="shared" si="2"/>
        <v>#NAME?</v>
      </c>
      <c r="L54" s="184"/>
      <c r="M54" s="1166"/>
      <c r="N54" s="1166"/>
      <c r="O54" s="1166"/>
    </row>
    <row r="55" spans="2:15" x14ac:dyDescent="0.2">
      <c r="B55" s="1172">
        <v>45</v>
      </c>
      <c r="C55" s="1149">
        <v>40</v>
      </c>
      <c r="D55" s="1150">
        <f t="shared" si="16"/>
        <v>65.134999999999991</v>
      </c>
      <c r="E55" s="1122">
        <f t="shared" si="0"/>
        <v>1.0433625875049999</v>
      </c>
      <c r="F55" s="1122">
        <f t="shared" si="3"/>
        <v>8.7072829634358939</v>
      </c>
      <c r="G55" s="1150">
        <f t="shared" si="17"/>
        <v>8.4049999999999976</v>
      </c>
      <c r="H55" s="1121">
        <f t="shared" si="1"/>
        <v>8.0556846686432682</v>
      </c>
      <c r="I55" s="1173">
        <f t="shared" si="18"/>
        <v>0.87450000000000006</v>
      </c>
      <c r="J55" s="1124" t="e">
        <f t="shared" si="2"/>
        <v>#NAME?</v>
      </c>
      <c r="L55" s="184"/>
      <c r="M55" s="1166"/>
      <c r="N55" s="1166"/>
      <c r="O55" s="1166"/>
    </row>
    <row r="56" spans="2:15" x14ac:dyDescent="0.2">
      <c r="B56" s="1164">
        <v>46</v>
      </c>
      <c r="C56" s="1131">
        <v>40</v>
      </c>
      <c r="D56" s="1132">
        <f t="shared" si="16"/>
        <v>65.11999999999999</v>
      </c>
      <c r="E56" s="1133">
        <f t="shared" si="0"/>
        <v>1.0431223105599998</v>
      </c>
      <c r="F56" s="1133">
        <f t="shared" si="3"/>
        <v>8.7052777551077831</v>
      </c>
      <c r="G56" s="1132">
        <f t="shared" si="17"/>
        <v>8.1659999999999968</v>
      </c>
      <c r="H56" s="1134">
        <f t="shared" si="1"/>
        <v>7.8284204233117043</v>
      </c>
      <c r="I56" s="1135">
        <f t="shared" si="18"/>
        <v>0.87500000000000011</v>
      </c>
      <c r="J56" s="1136" t="e">
        <f t="shared" si="2"/>
        <v>#NAME?</v>
      </c>
      <c r="L56" s="184"/>
      <c r="M56" s="1166"/>
      <c r="N56" s="1166"/>
      <c r="O56" s="1166"/>
    </row>
    <row r="57" spans="2:15" x14ac:dyDescent="0.2">
      <c r="B57" s="1164">
        <v>47</v>
      </c>
      <c r="C57" s="1131">
        <v>40</v>
      </c>
      <c r="D57" s="1132">
        <f t="shared" si="16"/>
        <v>65.10499999999999</v>
      </c>
      <c r="E57" s="1133">
        <f t="shared" si="0"/>
        <v>1.0428820336149998</v>
      </c>
      <c r="F57" s="1133">
        <f t="shared" si="3"/>
        <v>8.7032725467796705</v>
      </c>
      <c r="G57" s="1132">
        <f t="shared" si="17"/>
        <v>7.9269999999999978</v>
      </c>
      <c r="H57" s="1134">
        <f t="shared" si="1"/>
        <v>7.6010514559563358</v>
      </c>
      <c r="I57" s="1135">
        <f t="shared" si="18"/>
        <v>0.87550000000000017</v>
      </c>
      <c r="J57" s="1136" t="e">
        <f t="shared" si="2"/>
        <v>#NAME?</v>
      </c>
      <c r="L57" s="184"/>
      <c r="M57" s="1166"/>
      <c r="N57" s="1166"/>
      <c r="O57" s="1166"/>
    </row>
    <row r="58" spans="2:15" x14ac:dyDescent="0.2">
      <c r="B58" s="1164">
        <v>48</v>
      </c>
      <c r="C58" s="1131">
        <v>40</v>
      </c>
      <c r="D58" s="1132">
        <f t="shared" si="16"/>
        <v>65.089999999999989</v>
      </c>
      <c r="E58" s="1133">
        <f t="shared" si="0"/>
        <v>1.0426417566699999</v>
      </c>
      <c r="F58" s="1133">
        <f t="shared" si="3"/>
        <v>8.7012673384515598</v>
      </c>
      <c r="G58" s="1132">
        <f t="shared" si="17"/>
        <v>7.6879999999999971</v>
      </c>
      <c r="H58" s="1134">
        <f t="shared" si="1"/>
        <v>7.3735776941775395</v>
      </c>
      <c r="I58" s="1135">
        <f t="shared" si="18"/>
        <v>0.87600000000000011</v>
      </c>
      <c r="J58" s="1136" t="e">
        <f t="shared" si="2"/>
        <v>#NAME?</v>
      </c>
      <c r="L58" s="184"/>
      <c r="M58" s="1166"/>
      <c r="N58" s="1166"/>
      <c r="O58" s="1166"/>
    </row>
    <row r="59" spans="2:15" ht="13.5" thickBot="1" x14ac:dyDescent="0.25">
      <c r="B59" s="1174">
        <v>49</v>
      </c>
      <c r="C59" s="1142">
        <v>40</v>
      </c>
      <c r="D59" s="1143">
        <f t="shared" si="16"/>
        <v>65.074999999999989</v>
      </c>
      <c r="E59" s="1144">
        <f t="shared" si="0"/>
        <v>1.0424014797249999</v>
      </c>
      <c r="F59" s="1144">
        <f t="shared" si="3"/>
        <v>8.6992621301234472</v>
      </c>
      <c r="G59" s="1143">
        <f t="shared" si="17"/>
        <v>7.4489999999999963</v>
      </c>
      <c r="H59" s="1145">
        <f t="shared" si="1"/>
        <v>7.1459990655089509</v>
      </c>
      <c r="I59" s="1135">
        <f t="shared" si="18"/>
        <v>0.87650000000000006</v>
      </c>
      <c r="J59" s="1147" t="e">
        <f t="shared" si="2"/>
        <v>#NAME?</v>
      </c>
      <c r="L59" s="184"/>
      <c r="M59" s="1166"/>
      <c r="N59" s="1166"/>
      <c r="O59" s="1166"/>
    </row>
    <row r="60" spans="2:15" x14ac:dyDescent="0.2">
      <c r="B60" s="1119">
        <v>50</v>
      </c>
      <c r="C60" s="1120">
        <v>40</v>
      </c>
      <c r="D60" s="1121">
        <v>65.06</v>
      </c>
      <c r="E60" s="1122">
        <f t="shared" si="0"/>
        <v>1.04216120278</v>
      </c>
      <c r="F60" s="1122">
        <f t="shared" si="3"/>
        <v>8.6972569217953382</v>
      </c>
      <c r="G60" s="1121">
        <v>7.21</v>
      </c>
      <c r="H60" s="1121">
        <f t="shared" si="1"/>
        <v>6.9183154974173693</v>
      </c>
      <c r="I60" s="1123">
        <v>0.877</v>
      </c>
      <c r="J60" s="1124" t="e">
        <f t="shared" si="2"/>
        <v>#NAME?</v>
      </c>
      <c r="L60" s="1125">
        <f>B60</f>
        <v>50</v>
      </c>
      <c r="M60" s="1126">
        <f>D60</f>
        <v>65.06</v>
      </c>
      <c r="N60" s="1126">
        <f>G60</f>
        <v>7.21</v>
      </c>
      <c r="O60" s="1127">
        <f>I60</f>
        <v>0.877</v>
      </c>
    </row>
    <row r="61" spans="2:15" x14ac:dyDescent="0.2">
      <c r="B61" s="1164">
        <v>51</v>
      </c>
      <c r="C61" s="1131">
        <v>40</v>
      </c>
      <c r="D61" s="1132">
        <f t="shared" ref="D61:D69" si="19">FORECAST(B61,$M$60:$M$61,$L$60:$L$61)</f>
        <v>65.043999999999997</v>
      </c>
      <c r="E61" s="1133">
        <f t="shared" si="0"/>
        <v>1.0419049073719999</v>
      </c>
      <c r="F61" s="1133">
        <f t="shared" si="3"/>
        <v>8.6951180329120188</v>
      </c>
      <c r="G61" s="1132">
        <f t="shared" ref="G61:G69" si="20">FORECAST(B61,$N$60:$N$61,$L$60:$L$61)</f>
        <v>7.0449999999999999</v>
      </c>
      <c r="H61" s="1134">
        <f t="shared" si="1"/>
        <v>6.7616535349369125</v>
      </c>
      <c r="I61" s="1135">
        <f>FORECAST(B61,$O$60:$O$61,$L$60:$L$61)</f>
        <v>0.87739999999999996</v>
      </c>
      <c r="J61" s="1136" t="e">
        <f t="shared" si="2"/>
        <v>#NAME?</v>
      </c>
      <c r="L61" s="1125">
        <f>B70</f>
        <v>60</v>
      </c>
      <c r="M61" s="1126">
        <f>D70</f>
        <v>64.900000000000006</v>
      </c>
      <c r="N61" s="1126">
        <f>G70</f>
        <v>5.56</v>
      </c>
      <c r="O61" s="1127">
        <f>I70</f>
        <v>0.88100000000000001</v>
      </c>
    </row>
    <row r="62" spans="2:15" x14ac:dyDescent="0.2">
      <c r="B62" s="1164">
        <v>52</v>
      </c>
      <c r="C62" s="1131">
        <v>40</v>
      </c>
      <c r="D62" s="1132">
        <f t="shared" si="19"/>
        <v>65.028000000000006</v>
      </c>
      <c r="E62" s="1133">
        <f t="shared" si="0"/>
        <v>1.041648611964</v>
      </c>
      <c r="F62" s="1133">
        <f t="shared" si="3"/>
        <v>8.6929791440287012</v>
      </c>
      <c r="G62" s="1132">
        <f t="shared" si="20"/>
        <v>6.8800000000000008</v>
      </c>
      <c r="H62" s="1134">
        <f t="shared" si="1"/>
        <v>6.6049144797763883</v>
      </c>
      <c r="I62" s="1135">
        <f t="shared" ref="I62:I69" si="21">FORECAST(B62,$O$60:$O$61,$L$60:$L$61)</f>
        <v>0.87780000000000002</v>
      </c>
      <c r="J62" s="1136" t="e">
        <f t="shared" si="2"/>
        <v>#NAME?</v>
      </c>
      <c r="L62" s="184"/>
      <c r="M62" s="1166"/>
      <c r="N62" s="1166"/>
      <c r="O62" s="1166"/>
    </row>
    <row r="63" spans="2:15" x14ac:dyDescent="0.2">
      <c r="B63" s="1164">
        <v>53</v>
      </c>
      <c r="C63" s="1131">
        <v>40</v>
      </c>
      <c r="D63" s="1132">
        <f t="shared" si="19"/>
        <v>65.012</v>
      </c>
      <c r="E63" s="1133">
        <f t="shared" si="0"/>
        <v>1.041392316556</v>
      </c>
      <c r="F63" s="1133">
        <f t="shared" si="3"/>
        <v>8.6908402551453818</v>
      </c>
      <c r="G63" s="1132">
        <f t="shared" si="20"/>
        <v>6.7150000000000016</v>
      </c>
      <c r="H63" s="1134">
        <f t="shared" si="1"/>
        <v>6.4480982750163287</v>
      </c>
      <c r="I63" s="1135">
        <f t="shared" si="21"/>
        <v>0.87819999999999998</v>
      </c>
      <c r="J63" s="1136" t="e">
        <f t="shared" si="2"/>
        <v>#NAME?</v>
      </c>
      <c r="L63" s="184"/>
      <c r="M63" s="1166"/>
      <c r="N63" s="1166"/>
      <c r="O63" s="1166"/>
    </row>
    <row r="64" spans="2:15" ht="13.5" thickBot="1" x14ac:dyDescent="0.25">
      <c r="B64" s="1174">
        <v>54</v>
      </c>
      <c r="C64" s="1142">
        <v>40</v>
      </c>
      <c r="D64" s="1143">
        <f t="shared" si="19"/>
        <v>64.996000000000009</v>
      </c>
      <c r="E64" s="1144">
        <f t="shared" si="0"/>
        <v>1.0411360211480001</v>
      </c>
      <c r="F64" s="1144">
        <f t="shared" si="3"/>
        <v>8.6887013662620642</v>
      </c>
      <c r="G64" s="1143">
        <f t="shared" si="20"/>
        <v>6.5500000000000007</v>
      </c>
      <c r="H64" s="1145">
        <f t="shared" si="1"/>
        <v>6.2912048636812097</v>
      </c>
      <c r="I64" s="1146">
        <f t="shared" si="21"/>
        <v>0.87860000000000005</v>
      </c>
      <c r="J64" s="1147" t="e">
        <f t="shared" si="2"/>
        <v>#NAME?</v>
      </c>
      <c r="L64" s="184"/>
      <c r="M64" s="1166"/>
      <c r="N64" s="1166"/>
      <c r="O64" s="1166"/>
    </row>
    <row r="65" spans="2:15" x14ac:dyDescent="0.2">
      <c r="B65" s="1172">
        <v>55</v>
      </c>
      <c r="C65" s="1149">
        <v>40</v>
      </c>
      <c r="D65" s="1150">
        <f t="shared" si="19"/>
        <v>64.98</v>
      </c>
      <c r="E65" s="1122">
        <f t="shared" si="0"/>
        <v>1.04087972574</v>
      </c>
      <c r="F65" s="1122">
        <f t="shared" si="3"/>
        <v>8.6865624773787449</v>
      </c>
      <c r="G65" s="1150">
        <f t="shared" si="20"/>
        <v>6.3849999999999998</v>
      </c>
      <c r="H65" s="1121">
        <f t="shared" si="1"/>
        <v>6.1342341887394021</v>
      </c>
      <c r="I65" s="1173">
        <f t="shared" si="21"/>
        <v>0.879</v>
      </c>
      <c r="J65" s="1124" t="e">
        <f t="shared" si="2"/>
        <v>#NAME?</v>
      </c>
      <c r="L65" s="184"/>
      <c r="M65" s="1166"/>
      <c r="N65" s="1166"/>
      <c r="O65" s="1166"/>
    </row>
    <row r="66" spans="2:15" x14ac:dyDescent="0.2">
      <c r="B66" s="1164">
        <v>56</v>
      </c>
      <c r="C66" s="1131">
        <v>40</v>
      </c>
      <c r="D66" s="1132">
        <f t="shared" si="19"/>
        <v>64.963999999999999</v>
      </c>
      <c r="E66" s="1133">
        <f t="shared" si="0"/>
        <v>1.0406234303319999</v>
      </c>
      <c r="F66" s="1133">
        <f t="shared" si="3"/>
        <v>8.6844235884954255</v>
      </c>
      <c r="G66" s="1132">
        <f t="shared" si="20"/>
        <v>6.2200000000000006</v>
      </c>
      <c r="H66" s="1134">
        <f t="shared" si="1"/>
        <v>5.9771861931030861</v>
      </c>
      <c r="I66" s="1135">
        <f t="shared" si="21"/>
        <v>0.87939999999999996</v>
      </c>
      <c r="J66" s="1136" t="e">
        <f t="shared" si="2"/>
        <v>#NAME?</v>
      </c>
      <c r="L66" s="184"/>
      <c r="M66" s="1166"/>
      <c r="N66" s="1166"/>
      <c r="O66" s="1166"/>
    </row>
    <row r="67" spans="2:15" x14ac:dyDescent="0.2">
      <c r="B67" s="1164">
        <v>57</v>
      </c>
      <c r="C67" s="1131">
        <v>40</v>
      </c>
      <c r="D67" s="1132">
        <f t="shared" si="19"/>
        <v>64.948000000000008</v>
      </c>
      <c r="E67" s="1133">
        <f t="shared" si="0"/>
        <v>1.0403671349240002</v>
      </c>
      <c r="F67" s="1133">
        <f t="shared" si="3"/>
        <v>8.6822846996121079</v>
      </c>
      <c r="G67" s="1132">
        <f t="shared" si="20"/>
        <v>6.0550000000000015</v>
      </c>
      <c r="H67" s="1134">
        <f t="shared" si="1"/>
        <v>5.8200608196281829</v>
      </c>
      <c r="I67" s="1135">
        <f t="shared" si="21"/>
        <v>0.87980000000000003</v>
      </c>
      <c r="J67" s="1136" t="e">
        <f t="shared" si="2"/>
        <v>#NAME?</v>
      </c>
      <c r="L67" s="184"/>
      <c r="M67" s="1166"/>
      <c r="N67" s="1166"/>
      <c r="O67" s="1166"/>
    </row>
    <row r="68" spans="2:15" x14ac:dyDescent="0.2">
      <c r="B68" s="1164">
        <v>58</v>
      </c>
      <c r="C68" s="1131">
        <v>40</v>
      </c>
      <c r="D68" s="1132">
        <f t="shared" si="19"/>
        <v>64.932000000000002</v>
      </c>
      <c r="E68" s="1133">
        <f t="shared" si="0"/>
        <v>1.0401108395160001</v>
      </c>
      <c r="F68" s="1133">
        <f t="shared" si="3"/>
        <v>8.6801458107287868</v>
      </c>
      <c r="G68" s="1132">
        <f t="shared" si="20"/>
        <v>5.8900000000000006</v>
      </c>
      <c r="H68" s="1134">
        <f t="shared" si="1"/>
        <v>5.6628580111142988</v>
      </c>
      <c r="I68" s="1135">
        <f t="shared" si="21"/>
        <v>0.88019999999999998</v>
      </c>
      <c r="J68" s="1136" t="e">
        <f t="shared" si="2"/>
        <v>#NAME?</v>
      </c>
      <c r="L68" s="184"/>
      <c r="M68" s="1166"/>
      <c r="N68" s="1166"/>
      <c r="O68" s="1166"/>
    </row>
    <row r="69" spans="2:15" ht="13.5" thickBot="1" x14ac:dyDescent="0.25">
      <c r="B69" s="1174">
        <v>59</v>
      </c>
      <c r="C69" s="1142">
        <v>40</v>
      </c>
      <c r="D69" s="1143">
        <f t="shared" si="19"/>
        <v>64.916000000000011</v>
      </c>
      <c r="E69" s="1144">
        <f t="shared" si="0"/>
        <v>1.0398545441080003</v>
      </c>
      <c r="F69" s="1144">
        <f t="shared" si="3"/>
        <v>8.6780069218454692</v>
      </c>
      <c r="G69" s="1143">
        <f t="shared" si="20"/>
        <v>5.7249999999999996</v>
      </c>
      <c r="H69" s="1145">
        <f t="shared" si="1"/>
        <v>5.5055777103046406</v>
      </c>
      <c r="I69" s="1135">
        <f t="shared" si="21"/>
        <v>0.88060000000000005</v>
      </c>
      <c r="J69" s="1147" t="e">
        <f t="shared" si="2"/>
        <v>#NAME?</v>
      </c>
      <c r="L69" s="184"/>
      <c r="M69" s="1166"/>
      <c r="N69" s="1166"/>
      <c r="O69" s="1166"/>
    </row>
    <row r="70" spans="2:15" x14ac:dyDescent="0.2">
      <c r="B70" s="1119">
        <v>60</v>
      </c>
      <c r="C70" s="1120">
        <v>40</v>
      </c>
      <c r="D70" s="1121">
        <v>64.900000000000006</v>
      </c>
      <c r="E70" s="1122">
        <f t="shared" si="0"/>
        <v>1.0395982487000002</v>
      </c>
      <c r="F70" s="1122">
        <f t="shared" si="3"/>
        <v>8.6758680329621498</v>
      </c>
      <c r="G70" s="1121">
        <v>5.56</v>
      </c>
      <c r="H70" s="1121">
        <f t="shared" si="1"/>
        <v>5.3482198598859556</v>
      </c>
      <c r="I70" s="1123">
        <v>0.88100000000000001</v>
      </c>
      <c r="J70" s="1124" t="e">
        <f t="shared" si="2"/>
        <v>#NAME?</v>
      </c>
      <c r="L70" s="1125">
        <f>B70</f>
        <v>60</v>
      </c>
      <c r="M70" s="1126">
        <f>D70</f>
        <v>64.900000000000006</v>
      </c>
      <c r="N70" s="1126">
        <f>G70</f>
        <v>5.56</v>
      </c>
      <c r="O70" s="1127">
        <f>I70</f>
        <v>0.88100000000000001</v>
      </c>
    </row>
    <row r="71" spans="2:15" x14ac:dyDescent="0.2">
      <c r="B71" s="1164">
        <v>61</v>
      </c>
      <c r="C71" s="1131">
        <v>40</v>
      </c>
      <c r="D71" s="1132">
        <f t="shared" ref="D71:D79" si="22">FORECAST(B71,$M$70:$M$71,$L$70:$L$71)</f>
        <v>64.88300000000001</v>
      </c>
      <c r="E71" s="1133">
        <f t="shared" si="0"/>
        <v>1.0393259348290003</v>
      </c>
      <c r="F71" s="1133">
        <f t="shared" si="3"/>
        <v>8.6735954635236236</v>
      </c>
      <c r="G71" s="1132">
        <f t="shared" ref="G71:G79" si="23">FORECAST(B71,$N$70:$N$71,$L$70:$L$71)</f>
        <v>5.4419999999999993</v>
      </c>
      <c r="H71" s="1134">
        <f t="shared" si="1"/>
        <v>5.2360860223269308</v>
      </c>
      <c r="I71" s="1135">
        <f>FORECAST(B71,$O$70:$O$71,$L$70:$L$71)</f>
        <v>0.88149999999999995</v>
      </c>
      <c r="J71" s="1136" t="e">
        <f t="shared" si="2"/>
        <v>#NAME?</v>
      </c>
      <c r="L71" s="1125">
        <f>B80</f>
        <v>70</v>
      </c>
      <c r="M71" s="1126">
        <f>D80</f>
        <v>64.73</v>
      </c>
      <c r="N71" s="1126">
        <f>G80</f>
        <v>4.38</v>
      </c>
      <c r="O71" s="1127">
        <f>I80</f>
        <v>0.88600000000000001</v>
      </c>
    </row>
    <row r="72" spans="2:15" x14ac:dyDescent="0.2">
      <c r="B72" s="1164">
        <v>62</v>
      </c>
      <c r="C72" s="1131">
        <v>40</v>
      </c>
      <c r="D72" s="1132">
        <f t="shared" si="22"/>
        <v>64.866</v>
      </c>
      <c r="E72" s="1133">
        <f t="shared" si="0"/>
        <v>1.0390536209579999</v>
      </c>
      <c r="F72" s="1133">
        <f t="shared" si="3"/>
        <v>8.6713228940850975</v>
      </c>
      <c r="G72" s="1132">
        <f t="shared" si="23"/>
        <v>5.323999999999999</v>
      </c>
      <c r="H72" s="1134">
        <f t="shared" si="1"/>
        <v>5.1238934089766319</v>
      </c>
      <c r="I72" s="1135">
        <f t="shared" ref="I72:I79" si="24">FORECAST(B72,$O$70:$O$71,$L$70:$L$71)</f>
        <v>0.88200000000000001</v>
      </c>
      <c r="J72" s="1136" t="e">
        <f t="shared" si="2"/>
        <v>#NAME?</v>
      </c>
      <c r="L72" s="184"/>
      <c r="M72" s="1166"/>
      <c r="N72" s="1166"/>
      <c r="O72" s="1166"/>
    </row>
    <row r="73" spans="2:15" x14ac:dyDescent="0.2">
      <c r="B73" s="1164">
        <v>63</v>
      </c>
      <c r="C73" s="1131">
        <v>40</v>
      </c>
      <c r="D73" s="1132">
        <f t="shared" si="22"/>
        <v>64.849000000000004</v>
      </c>
      <c r="E73" s="1133">
        <f t="shared" si="0"/>
        <v>1.038781307087</v>
      </c>
      <c r="F73" s="1133">
        <f t="shared" si="3"/>
        <v>8.6690503246465713</v>
      </c>
      <c r="G73" s="1132">
        <f t="shared" si="23"/>
        <v>5.2059999999999995</v>
      </c>
      <c r="H73" s="1134">
        <f t="shared" si="1"/>
        <v>5.0116419736112814</v>
      </c>
      <c r="I73" s="1135">
        <f t="shared" si="24"/>
        <v>0.88250000000000006</v>
      </c>
      <c r="J73" s="1136" t="e">
        <f t="shared" si="2"/>
        <v>#NAME?</v>
      </c>
      <c r="L73" s="184"/>
      <c r="M73" s="1166"/>
      <c r="N73" s="1166"/>
      <c r="O73" s="1166"/>
    </row>
    <row r="74" spans="2:15" ht="13.5" thickBot="1" x14ac:dyDescent="0.25">
      <c r="B74" s="1174">
        <v>64</v>
      </c>
      <c r="C74" s="1142">
        <v>40</v>
      </c>
      <c r="D74" s="1143">
        <f t="shared" si="22"/>
        <v>64.832000000000008</v>
      </c>
      <c r="E74" s="1144">
        <f t="shared" ref="E74:E137" si="25">D74*0.016018463</f>
        <v>1.0385089932160001</v>
      </c>
      <c r="F74" s="1144">
        <f t="shared" si="3"/>
        <v>8.6667777552080452</v>
      </c>
      <c r="G74" s="1143">
        <f t="shared" si="23"/>
        <v>5.0879999999999992</v>
      </c>
      <c r="H74" s="1145">
        <f t="shared" ref="H74:H137" si="26">G74/E74</f>
        <v>4.8993316699586282</v>
      </c>
      <c r="I74" s="1146">
        <f t="shared" si="24"/>
        <v>0.88300000000000001</v>
      </c>
      <c r="J74" s="1147" t="e">
        <f t="shared" ref="J74:J137" si="27">E74/VLOOKUP(60,Water,6,FALSE)</f>
        <v>#NAME?</v>
      </c>
      <c r="L74" s="184"/>
      <c r="M74" s="1166"/>
      <c r="N74" s="1166"/>
      <c r="O74" s="1166"/>
    </row>
    <row r="75" spans="2:15" x14ac:dyDescent="0.2">
      <c r="B75" s="1172">
        <v>65</v>
      </c>
      <c r="C75" s="1149">
        <v>40</v>
      </c>
      <c r="D75" s="1150">
        <f t="shared" si="22"/>
        <v>64.814999999999998</v>
      </c>
      <c r="E75" s="1122">
        <f t="shared" si="25"/>
        <v>1.038236679345</v>
      </c>
      <c r="F75" s="1122">
        <f t="shared" ref="F75:F138" si="28">D75/7.4805195</f>
        <v>8.6645051857695172</v>
      </c>
      <c r="G75" s="1150">
        <f t="shared" si="23"/>
        <v>4.9699999999999989</v>
      </c>
      <c r="H75" s="1121">
        <f t="shared" si="26"/>
        <v>4.7869624516978728</v>
      </c>
      <c r="I75" s="1173">
        <f t="shared" si="24"/>
        <v>0.88349999999999995</v>
      </c>
      <c r="J75" s="1124" t="e">
        <f t="shared" si="27"/>
        <v>#NAME?</v>
      </c>
      <c r="L75" s="184"/>
      <c r="M75" s="1166"/>
      <c r="N75" s="1166"/>
      <c r="O75" s="1166"/>
    </row>
    <row r="76" spans="2:15" x14ac:dyDescent="0.2">
      <c r="B76" s="1164">
        <v>66</v>
      </c>
      <c r="C76" s="1131">
        <v>40</v>
      </c>
      <c r="D76" s="1132">
        <f t="shared" si="22"/>
        <v>64.798000000000002</v>
      </c>
      <c r="E76" s="1133">
        <f t="shared" si="25"/>
        <v>1.0379643654740001</v>
      </c>
      <c r="F76" s="1133">
        <f t="shared" si="28"/>
        <v>8.6622326163309928</v>
      </c>
      <c r="G76" s="1132">
        <f t="shared" si="23"/>
        <v>4.8519999999999994</v>
      </c>
      <c r="H76" s="1134">
        <f t="shared" si="26"/>
        <v>4.6745342724596037</v>
      </c>
      <c r="I76" s="1135">
        <f t="shared" si="24"/>
        <v>0.88400000000000001</v>
      </c>
      <c r="J76" s="1136" t="e">
        <f t="shared" si="27"/>
        <v>#NAME?</v>
      </c>
      <c r="L76" s="184"/>
      <c r="M76" s="1166"/>
      <c r="N76" s="1166"/>
      <c r="O76" s="1166"/>
    </row>
    <row r="77" spans="2:15" x14ac:dyDescent="0.2">
      <c r="B77" s="1164">
        <v>67</v>
      </c>
      <c r="C77" s="1131">
        <v>40</v>
      </c>
      <c r="D77" s="1132">
        <f t="shared" si="22"/>
        <v>64.781000000000006</v>
      </c>
      <c r="E77" s="1133">
        <f t="shared" si="25"/>
        <v>1.0376920516030002</v>
      </c>
      <c r="F77" s="1133">
        <f t="shared" si="28"/>
        <v>8.6599600468924667</v>
      </c>
      <c r="G77" s="1132">
        <f t="shared" si="23"/>
        <v>4.7339999999999991</v>
      </c>
      <c r="H77" s="1134">
        <f t="shared" si="26"/>
        <v>4.5620470858257391</v>
      </c>
      <c r="I77" s="1135">
        <f t="shared" si="24"/>
        <v>0.88450000000000006</v>
      </c>
      <c r="J77" s="1136" t="e">
        <f t="shared" si="27"/>
        <v>#NAME?</v>
      </c>
      <c r="L77" s="184"/>
      <c r="M77" s="1166"/>
      <c r="N77" s="1166"/>
      <c r="O77" s="1166"/>
    </row>
    <row r="78" spans="2:15" x14ac:dyDescent="0.2">
      <c r="B78" s="1164">
        <v>68</v>
      </c>
      <c r="C78" s="1131">
        <v>40</v>
      </c>
      <c r="D78" s="1132">
        <f t="shared" si="22"/>
        <v>64.76400000000001</v>
      </c>
      <c r="E78" s="1133">
        <f t="shared" si="25"/>
        <v>1.0374197377320002</v>
      </c>
      <c r="F78" s="1133">
        <f t="shared" si="28"/>
        <v>8.6576874774539405</v>
      </c>
      <c r="G78" s="1132">
        <f t="shared" si="23"/>
        <v>4.6159999999999997</v>
      </c>
      <c r="H78" s="1134">
        <f t="shared" si="26"/>
        <v>4.4495008453294576</v>
      </c>
      <c r="I78" s="1135">
        <f t="shared" si="24"/>
        <v>0.88500000000000001</v>
      </c>
      <c r="J78" s="1136" t="e">
        <f t="shared" si="27"/>
        <v>#NAME?</v>
      </c>
      <c r="L78" s="184"/>
      <c r="M78" s="1166"/>
      <c r="N78" s="1166"/>
      <c r="O78" s="1166"/>
    </row>
    <row r="79" spans="2:15" ht="13.5" thickBot="1" x14ac:dyDescent="0.25">
      <c r="B79" s="1174">
        <v>69</v>
      </c>
      <c r="C79" s="1142">
        <v>40</v>
      </c>
      <c r="D79" s="1143">
        <f t="shared" si="22"/>
        <v>64.747</v>
      </c>
      <c r="E79" s="1144">
        <f t="shared" si="25"/>
        <v>1.0371474238610001</v>
      </c>
      <c r="F79" s="1144">
        <f t="shared" si="28"/>
        <v>8.6554149080154126</v>
      </c>
      <c r="G79" s="1143">
        <f t="shared" si="23"/>
        <v>4.4979999999999993</v>
      </c>
      <c r="H79" s="1145">
        <f t="shared" si="26"/>
        <v>4.3368955044551383</v>
      </c>
      <c r="I79" s="1135">
        <f t="shared" si="24"/>
        <v>0.88549999999999995</v>
      </c>
      <c r="J79" s="1147" t="e">
        <f t="shared" si="27"/>
        <v>#NAME?</v>
      </c>
      <c r="L79" s="184"/>
      <c r="M79" s="1166"/>
      <c r="N79" s="1166"/>
      <c r="O79" s="1166"/>
    </row>
    <row r="80" spans="2:15" x14ac:dyDescent="0.2">
      <c r="B80" s="1119">
        <v>70</v>
      </c>
      <c r="C80" s="1120">
        <v>40</v>
      </c>
      <c r="D80" s="1121">
        <v>64.73</v>
      </c>
      <c r="E80" s="1122">
        <f t="shared" si="25"/>
        <v>1.03687510999</v>
      </c>
      <c r="F80" s="1122">
        <f t="shared" si="28"/>
        <v>8.6531423385768864</v>
      </c>
      <c r="G80" s="1121">
        <v>4.38</v>
      </c>
      <c r="H80" s="1121">
        <f t="shared" si="26"/>
        <v>4.224231016638293</v>
      </c>
      <c r="I80" s="1123">
        <v>0.88600000000000001</v>
      </c>
      <c r="J80" s="1124" t="e">
        <f t="shared" si="27"/>
        <v>#NAME?</v>
      </c>
      <c r="L80" s="1125">
        <f>B80</f>
        <v>70</v>
      </c>
      <c r="M80" s="1126">
        <f>D80</f>
        <v>64.73</v>
      </c>
      <c r="N80" s="1126">
        <f>G80</f>
        <v>4.38</v>
      </c>
      <c r="O80" s="1127">
        <f>I80</f>
        <v>0.88600000000000001</v>
      </c>
    </row>
    <row r="81" spans="2:15" x14ac:dyDescent="0.2">
      <c r="B81" s="1164">
        <v>71</v>
      </c>
      <c r="C81" s="1131">
        <v>40</v>
      </c>
      <c r="D81" s="1132">
        <f t="shared" ref="D81:D89" si="29">FORECAST(B81,$M$80:$M$81,$L$80:$L$81)</f>
        <v>64.712000000000003</v>
      </c>
      <c r="E81" s="1133">
        <f t="shared" si="25"/>
        <v>1.036586777656</v>
      </c>
      <c r="F81" s="1133">
        <f t="shared" si="28"/>
        <v>8.6507360885831535</v>
      </c>
      <c r="G81" s="1132">
        <f t="shared" ref="G81:G89" si="30">FORECAST(B81,$N$80:$N$81,$L$80:$L$81)</f>
        <v>4.2940000000000005</v>
      </c>
      <c r="H81" s="1134">
        <f t="shared" si="26"/>
        <v>4.1424414169259256</v>
      </c>
      <c r="I81" s="1135">
        <f>FORECAST(B81,$O$80:$O$81,$L$80:$L$81)</f>
        <v>0.88639999999999997</v>
      </c>
      <c r="J81" s="1136" t="e">
        <f t="shared" si="27"/>
        <v>#NAME?</v>
      </c>
      <c r="L81" s="1125">
        <f>B90</f>
        <v>80</v>
      </c>
      <c r="M81" s="1126">
        <f>D90</f>
        <v>64.55</v>
      </c>
      <c r="N81" s="1126">
        <f>G90</f>
        <v>3.52</v>
      </c>
      <c r="O81" s="1127">
        <f>I90</f>
        <v>0.89</v>
      </c>
    </row>
    <row r="82" spans="2:15" x14ac:dyDescent="0.2">
      <c r="B82" s="1164">
        <v>72</v>
      </c>
      <c r="C82" s="1131">
        <v>40</v>
      </c>
      <c r="D82" s="1132">
        <f t="shared" si="29"/>
        <v>64.694000000000003</v>
      </c>
      <c r="E82" s="1133">
        <f t="shared" si="25"/>
        <v>1.0362984453220001</v>
      </c>
      <c r="F82" s="1133">
        <f t="shared" si="28"/>
        <v>8.6483298385894187</v>
      </c>
      <c r="G82" s="1132">
        <f t="shared" si="30"/>
        <v>4.2080000000000002</v>
      </c>
      <c r="H82" s="1134">
        <f t="shared" si="26"/>
        <v>4.0606063040965816</v>
      </c>
      <c r="I82" s="1135">
        <f t="shared" ref="I82:I89" si="31">FORECAST(B82,$O$80:$O$81,$L$80:$L$81)</f>
        <v>0.88680000000000003</v>
      </c>
      <c r="J82" s="1136" t="e">
        <f t="shared" si="27"/>
        <v>#NAME?</v>
      </c>
      <c r="L82" s="184"/>
      <c r="M82" s="1166"/>
      <c r="N82" s="1166"/>
      <c r="O82" s="1166"/>
    </row>
    <row r="83" spans="2:15" x14ac:dyDescent="0.2">
      <c r="B83" s="1164">
        <v>73</v>
      </c>
      <c r="C83" s="1131">
        <v>40</v>
      </c>
      <c r="D83" s="1132">
        <f t="shared" si="29"/>
        <v>64.676000000000002</v>
      </c>
      <c r="E83" s="1133">
        <f t="shared" si="25"/>
        <v>1.0360101129879999</v>
      </c>
      <c r="F83" s="1133">
        <f t="shared" si="28"/>
        <v>8.6459235885956858</v>
      </c>
      <c r="G83" s="1132">
        <f t="shared" si="30"/>
        <v>4.1219999999999999</v>
      </c>
      <c r="H83" s="1134">
        <f t="shared" si="26"/>
        <v>3.978725640149948</v>
      </c>
      <c r="I83" s="1135">
        <f t="shared" si="31"/>
        <v>0.88719999999999999</v>
      </c>
      <c r="J83" s="1136" t="e">
        <f t="shared" si="27"/>
        <v>#NAME?</v>
      </c>
      <c r="L83" s="184"/>
      <c r="M83" s="1166"/>
      <c r="N83" s="1166"/>
      <c r="O83" s="1166"/>
    </row>
    <row r="84" spans="2:15" ht="13.5" thickBot="1" x14ac:dyDescent="0.25">
      <c r="B84" s="1174">
        <v>74</v>
      </c>
      <c r="C84" s="1142">
        <v>40</v>
      </c>
      <c r="D84" s="1143">
        <f t="shared" si="29"/>
        <v>64.658000000000001</v>
      </c>
      <c r="E84" s="1144">
        <f t="shared" si="25"/>
        <v>1.035721780654</v>
      </c>
      <c r="F84" s="1144">
        <f t="shared" si="28"/>
        <v>8.643517338601951</v>
      </c>
      <c r="G84" s="1143">
        <f t="shared" si="30"/>
        <v>4.0360000000000005</v>
      </c>
      <c r="H84" s="1145">
        <f t="shared" si="26"/>
        <v>3.8967993870433948</v>
      </c>
      <c r="I84" s="1146">
        <f t="shared" si="31"/>
        <v>0.88760000000000006</v>
      </c>
      <c r="J84" s="1147" t="e">
        <f t="shared" si="27"/>
        <v>#NAME?</v>
      </c>
      <c r="L84" s="184"/>
      <c r="M84" s="1166"/>
      <c r="N84" s="1166"/>
      <c r="O84" s="1166"/>
    </row>
    <row r="85" spans="2:15" x14ac:dyDescent="0.2">
      <c r="B85" s="1172">
        <v>75</v>
      </c>
      <c r="C85" s="1149">
        <v>40</v>
      </c>
      <c r="D85" s="1150">
        <f t="shared" si="29"/>
        <v>64.64</v>
      </c>
      <c r="E85" s="1122">
        <f t="shared" si="25"/>
        <v>1.0354334483200001</v>
      </c>
      <c r="F85" s="1122">
        <f t="shared" si="28"/>
        <v>8.6411110886082181</v>
      </c>
      <c r="G85" s="1150">
        <f t="shared" si="30"/>
        <v>3.95</v>
      </c>
      <c r="H85" s="1121">
        <f t="shared" si="26"/>
        <v>3.8148275066919175</v>
      </c>
      <c r="I85" s="1173">
        <f t="shared" si="31"/>
        <v>0.88800000000000001</v>
      </c>
      <c r="J85" s="1124" t="e">
        <f t="shared" si="27"/>
        <v>#NAME?</v>
      </c>
      <c r="L85" s="184"/>
      <c r="M85" s="1166"/>
      <c r="N85" s="1166"/>
      <c r="O85" s="1166"/>
    </row>
    <row r="86" spans="2:15" x14ac:dyDescent="0.2">
      <c r="B86" s="1164">
        <v>76</v>
      </c>
      <c r="C86" s="1131">
        <v>40</v>
      </c>
      <c r="D86" s="1132">
        <f t="shared" si="29"/>
        <v>64.622</v>
      </c>
      <c r="E86" s="1133">
        <f t="shared" si="25"/>
        <v>1.0351451159859999</v>
      </c>
      <c r="F86" s="1133">
        <f t="shared" si="28"/>
        <v>8.6387048386144834</v>
      </c>
      <c r="G86" s="1132">
        <f t="shared" si="30"/>
        <v>3.8639999999999999</v>
      </c>
      <c r="H86" s="1134">
        <f t="shared" si="26"/>
        <v>3.7328099609680807</v>
      </c>
      <c r="I86" s="1135">
        <f t="shared" si="31"/>
        <v>0.88839999999999997</v>
      </c>
      <c r="J86" s="1136" t="e">
        <f t="shared" si="27"/>
        <v>#NAME?</v>
      </c>
      <c r="L86" s="184"/>
      <c r="M86" s="1166"/>
      <c r="N86" s="1166"/>
      <c r="O86" s="1166"/>
    </row>
    <row r="87" spans="2:15" x14ac:dyDescent="0.2">
      <c r="B87" s="1164">
        <v>77</v>
      </c>
      <c r="C87" s="1131">
        <v>40</v>
      </c>
      <c r="D87" s="1132">
        <f t="shared" si="29"/>
        <v>64.603999999999999</v>
      </c>
      <c r="E87" s="1133">
        <f t="shared" si="25"/>
        <v>1.034856783652</v>
      </c>
      <c r="F87" s="1133">
        <f t="shared" si="28"/>
        <v>8.6362985886207504</v>
      </c>
      <c r="G87" s="1132">
        <f t="shared" si="30"/>
        <v>3.7780000000000005</v>
      </c>
      <c r="H87" s="1134">
        <f t="shared" si="26"/>
        <v>3.650746711701955</v>
      </c>
      <c r="I87" s="1135">
        <f t="shared" si="31"/>
        <v>0.88880000000000003</v>
      </c>
      <c r="J87" s="1136" t="e">
        <f t="shared" si="27"/>
        <v>#NAME?</v>
      </c>
      <c r="L87" s="184"/>
      <c r="M87" s="1166"/>
      <c r="N87" s="1166"/>
      <c r="O87" s="1166"/>
    </row>
    <row r="88" spans="2:15" x14ac:dyDescent="0.2">
      <c r="B88" s="1164">
        <v>78</v>
      </c>
      <c r="C88" s="1131">
        <v>40</v>
      </c>
      <c r="D88" s="1132">
        <f t="shared" si="29"/>
        <v>64.585999999999999</v>
      </c>
      <c r="E88" s="1133">
        <f t="shared" si="25"/>
        <v>1.034568451318</v>
      </c>
      <c r="F88" s="1133">
        <f t="shared" si="28"/>
        <v>8.6338923386270174</v>
      </c>
      <c r="G88" s="1132">
        <f t="shared" si="30"/>
        <v>3.6920000000000002</v>
      </c>
      <c r="H88" s="1134">
        <f t="shared" si="26"/>
        <v>3.5686377206810587</v>
      </c>
      <c r="I88" s="1135">
        <f t="shared" si="31"/>
        <v>0.88919999999999999</v>
      </c>
      <c r="J88" s="1136" t="e">
        <f t="shared" si="27"/>
        <v>#NAME?</v>
      </c>
      <c r="L88" s="184"/>
      <c r="M88" s="1166"/>
      <c r="N88" s="1166"/>
      <c r="O88" s="1166"/>
    </row>
    <row r="89" spans="2:15" ht="13.5" thickBot="1" x14ac:dyDescent="0.25">
      <c r="B89" s="1174">
        <v>79</v>
      </c>
      <c r="C89" s="1142">
        <v>40</v>
      </c>
      <c r="D89" s="1143">
        <f t="shared" si="29"/>
        <v>64.567999999999998</v>
      </c>
      <c r="E89" s="1144">
        <f t="shared" si="25"/>
        <v>1.0342801189840001</v>
      </c>
      <c r="F89" s="1144">
        <f t="shared" si="28"/>
        <v>8.6314860886332827</v>
      </c>
      <c r="G89" s="1143">
        <f t="shared" si="30"/>
        <v>3.6059999999999999</v>
      </c>
      <c r="H89" s="1145">
        <f t="shared" si="26"/>
        <v>3.4864829496503003</v>
      </c>
      <c r="I89" s="1135">
        <f t="shared" si="31"/>
        <v>0.88960000000000006</v>
      </c>
      <c r="J89" s="1147" t="e">
        <f t="shared" si="27"/>
        <v>#NAME?</v>
      </c>
      <c r="L89" s="184"/>
      <c r="M89" s="1166"/>
      <c r="N89" s="1166"/>
      <c r="O89" s="1166"/>
    </row>
    <row r="90" spans="2:15" x14ac:dyDescent="0.2">
      <c r="B90" s="1119">
        <v>80</v>
      </c>
      <c r="C90" s="1120">
        <v>40</v>
      </c>
      <c r="D90" s="1121">
        <v>64.55</v>
      </c>
      <c r="E90" s="1122">
        <f t="shared" si="25"/>
        <v>1.0339917866499999</v>
      </c>
      <c r="F90" s="1122">
        <f t="shared" si="28"/>
        <v>8.6290798386395497</v>
      </c>
      <c r="G90" s="1121">
        <v>3.52</v>
      </c>
      <c r="H90" s="1121">
        <f t="shared" si="26"/>
        <v>3.4042823603119192</v>
      </c>
      <c r="I90" s="1123">
        <v>0.89</v>
      </c>
      <c r="J90" s="1124" t="e">
        <f t="shared" si="27"/>
        <v>#NAME?</v>
      </c>
      <c r="L90" s="1125">
        <f>B90</f>
        <v>80</v>
      </c>
      <c r="M90" s="1126">
        <f>D90</f>
        <v>64.55</v>
      </c>
      <c r="N90" s="1126">
        <f>G90</f>
        <v>3.52</v>
      </c>
      <c r="O90" s="1127">
        <f>I90</f>
        <v>0.89</v>
      </c>
    </row>
    <row r="91" spans="2:15" x14ac:dyDescent="0.2">
      <c r="B91" s="1164">
        <v>81</v>
      </c>
      <c r="C91" s="1131">
        <v>40</v>
      </c>
      <c r="D91" s="1132">
        <f t="shared" ref="D91:D99" si="32">FORECAST(B91,$M$90:$M$91,$L$90:$L$91)</f>
        <v>64.530999999999992</v>
      </c>
      <c r="E91" s="1133">
        <f t="shared" si="25"/>
        <v>1.0336874358529999</v>
      </c>
      <c r="F91" s="1133">
        <f t="shared" si="28"/>
        <v>8.6265399080906064</v>
      </c>
      <c r="G91" s="1132">
        <f t="shared" ref="G91:G99" si="33">FORECAST(B91,$N$90:$N$91,$L$90:$L$91)</f>
        <v>3.4559999999999995</v>
      </c>
      <c r="H91" s="1134">
        <f t="shared" si="26"/>
        <v>3.343370423331212</v>
      </c>
      <c r="I91" s="1135">
        <f>FORECAST(B91,$O$90:$O$91,$L$90:$L$91)</f>
        <v>0.89039999999999997</v>
      </c>
      <c r="J91" s="1136" t="e">
        <f t="shared" si="27"/>
        <v>#NAME?</v>
      </c>
      <c r="L91" s="1125">
        <f>B100</f>
        <v>90</v>
      </c>
      <c r="M91" s="1126">
        <f>D100</f>
        <v>64.36</v>
      </c>
      <c r="N91" s="1126">
        <f>G100</f>
        <v>2.88</v>
      </c>
      <c r="O91" s="1127">
        <f>I100</f>
        <v>0.89400000000000002</v>
      </c>
    </row>
    <row r="92" spans="2:15" x14ac:dyDescent="0.2">
      <c r="B92" s="1164">
        <v>82</v>
      </c>
      <c r="C92" s="1131">
        <v>40</v>
      </c>
      <c r="D92" s="1132">
        <f t="shared" si="32"/>
        <v>64.512</v>
      </c>
      <c r="E92" s="1133">
        <f t="shared" si="25"/>
        <v>1.033383085056</v>
      </c>
      <c r="F92" s="1133">
        <f t="shared" si="28"/>
        <v>8.6239999775416667</v>
      </c>
      <c r="G92" s="1132">
        <f t="shared" si="33"/>
        <v>3.3919999999999995</v>
      </c>
      <c r="H92" s="1134">
        <f t="shared" si="26"/>
        <v>3.2824226069233404</v>
      </c>
      <c r="I92" s="1135">
        <f t="shared" ref="I92:I99" si="34">FORECAST(B92,$O$90:$O$91,$L$90:$L$91)</f>
        <v>0.89080000000000004</v>
      </c>
      <c r="J92" s="1136" t="e">
        <f t="shared" si="27"/>
        <v>#NAME?</v>
      </c>
      <c r="L92" s="184"/>
      <c r="M92" s="1166"/>
      <c r="N92" s="1166"/>
      <c r="O92" s="1166"/>
    </row>
    <row r="93" spans="2:15" x14ac:dyDescent="0.2">
      <c r="B93" s="1164">
        <v>83</v>
      </c>
      <c r="C93" s="1131">
        <v>40</v>
      </c>
      <c r="D93" s="1132">
        <f t="shared" si="32"/>
        <v>64.492999999999995</v>
      </c>
      <c r="E93" s="1133">
        <f t="shared" si="25"/>
        <v>1.033078734259</v>
      </c>
      <c r="F93" s="1133">
        <f t="shared" si="28"/>
        <v>8.6214600469927252</v>
      </c>
      <c r="G93" s="1132">
        <f t="shared" si="33"/>
        <v>3.3279999999999994</v>
      </c>
      <c r="H93" s="1134">
        <f t="shared" si="26"/>
        <v>3.2214388793774615</v>
      </c>
      <c r="I93" s="1135">
        <f t="shared" si="34"/>
        <v>0.89119999999999999</v>
      </c>
      <c r="J93" s="1136" t="e">
        <f t="shared" si="27"/>
        <v>#NAME?</v>
      </c>
      <c r="L93" s="184"/>
      <c r="M93" s="1166"/>
      <c r="N93" s="1166"/>
      <c r="O93" s="1166"/>
    </row>
    <row r="94" spans="2:15" ht="13.5" thickBot="1" x14ac:dyDescent="0.25">
      <c r="B94" s="1174">
        <v>84</v>
      </c>
      <c r="C94" s="1142">
        <v>40</v>
      </c>
      <c r="D94" s="1143">
        <f t="shared" si="32"/>
        <v>64.474000000000004</v>
      </c>
      <c r="E94" s="1144">
        <f t="shared" si="25"/>
        <v>1.032774383462</v>
      </c>
      <c r="F94" s="1144">
        <f t="shared" si="28"/>
        <v>8.6189201164437854</v>
      </c>
      <c r="G94" s="1143">
        <f t="shared" si="33"/>
        <v>3.2639999999999993</v>
      </c>
      <c r="H94" s="1145">
        <f t="shared" si="26"/>
        <v>3.1604192089453536</v>
      </c>
      <c r="I94" s="1146">
        <f t="shared" si="34"/>
        <v>0.89160000000000006</v>
      </c>
      <c r="J94" s="1147" t="e">
        <f t="shared" si="27"/>
        <v>#NAME?</v>
      </c>
      <c r="L94" s="184"/>
      <c r="M94" s="1166"/>
      <c r="N94" s="1166"/>
      <c r="O94" s="1166"/>
    </row>
    <row r="95" spans="2:15" x14ac:dyDescent="0.2">
      <c r="B95" s="1172">
        <v>85</v>
      </c>
      <c r="C95" s="1149">
        <v>40</v>
      </c>
      <c r="D95" s="1150">
        <f t="shared" si="32"/>
        <v>64.454999999999998</v>
      </c>
      <c r="E95" s="1122">
        <f t="shared" si="25"/>
        <v>1.032470032665</v>
      </c>
      <c r="F95" s="1122">
        <f t="shared" si="28"/>
        <v>8.6163801858948439</v>
      </c>
      <c r="G95" s="1150">
        <f t="shared" si="33"/>
        <v>3.1999999999999993</v>
      </c>
      <c r="H95" s="1121">
        <f t="shared" si="26"/>
        <v>3.0993635638413592</v>
      </c>
      <c r="I95" s="1173">
        <f t="shared" si="34"/>
        <v>0.89200000000000002</v>
      </c>
      <c r="J95" s="1124" t="e">
        <f t="shared" si="27"/>
        <v>#NAME?</v>
      </c>
      <c r="L95" s="184"/>
      <c r="M95" s="1166"/>
      <c r="N95" s="1166"/>
      <c r="O95" s="1166"/>
    </row>
    <row r="96" spans="2:15" x14ac:dyDescent="0.2">
      <c r="B96" s="1164">
        <v>86</v>
      </c>
      <c r="C96" s="1131">
        <v>40</v>
      </c>
      <c r="D96" s="1132">
        <f t="shared" si="32"/>
        <v>64.435999999999993</v>
      </c>
      <c r="E96" s="1133">
        <f t="shared" si="25"/>
        <v>1.0321656818679998</v>
      </c>
      <c r="F96" s="1133">
        <f t="shared" si="28"/>
        <v>8.6138402553459006</v>
      </c>
      <c r="G96" s="1132">
        <f t="shared" si="33"/>
        <v>3.1359999999999992</v>
      </c>
      <c r="H96" s="1134">
        <f t="shared" si="26"/>
        <v>3.0382719122423327</v>
      </c>
      <c r="I96" s="1135">
        <f t="shared" si="34"/>
        <v>0.89239999999999997</v>
      </c>
      <c r="J96" s="1136" t="e">
        <f t="shared" si="27"/>
        <v>#NAME?</v>
      </c>
      <c r="L96" s="184"/>
      <c r="M96" s="1166"/>
      <c r="N96" s="1166"/>
      <c r="O96" s="1166"/>
    </row>
    <row r="97" spans="2:15" x14ac:dyDescent="0.2">
      <c r="B97" s="1164">
        <v>87</v>
      </c>
      <c r="C97" s="1131">
        <v>40</v>
      </c>
      <c r="D97" s="1132">
        <f t="shared" si="32"/>
        <v>64.417000000000002</v>
      </c>
      <c r="E97" s="1133">
        <f t="shared" si="25"/>
        <v>1.0318613310710001</v>
      </c>
      <c r="F97" s="1133">
        <f t="shared" si="28"/>
        <v>8.6113003247969608</v>
      </c>
      <c r="G97" s="1132">
        <f t="shared" si="33"/>
        <v>3.0719999999999992</v>
      </c>
      <c r="H97" s="1134">
        <f t="shared" si="26"/>
        <v>2.9771442222875795</v>
      </c>
      <c r="I97" s="1135">
        <f t="shared" si="34"/>
        <v>0.89280000000000004</v>
      </c>
      <c r="J97" s="1136" t="e">
        <f t="shared" si="27"/>
        <v>#NAME?</v>
      </c>
      <c r="L97" s="184"/>
      <c r="M97" s="1166"/>
      <c r="N97" s="1166"/>
      <c r="O97" s="1166"/>
    </row>
    <row r="98" spans="2:15" x14ac:dyDescent="0.2">
      <c r="B98" s="1164">
        <v>88</v>
      </c>
      <c r="C98" s="1131">
        <v>40</v>
      </c>
      <c r="D98" s="1132">
        <f t="shared" si="32"/>
        <v>64.397999999999996</v>
      </c>
      <c r="E98" s="1133">
        <f t="shared" si="25"/>
        <v>1.0315569802739999</v>
      </c>
      <c r="F98" s="1133">
        <f t="shared" si="28"/>
        <v>8.6087603942480193</v>
      </c>
      <c r="G98" s="1132">
        <f t="shared" si="33"/>
        <v>3.0079999999999991</v>
      </c>
      <c r="H98" s="1134">
        <f t="shared" si="26"/>
        <v>2.9159804620788092</v>
      </c>
      <c r="I98" s="1135">
        <f t="shared" si="34"/>
        <v>0.89319999999999999</v>
      </c>
      <c r="J98" s="1136" t="e">
        <f t="shared" si="27"/>
        <v>#NAME?</v>
      </c>
      <c r="L98" s="184"/>
      <c r="M98" s="1166"/>
      <c r="N98" s="1166"/>
      <c r="O98" s="1166"/>
    </row>
    <row r="99" spans="2:15" ht="13.5" thickBot="1" x14ac:dyDescent="0.25">
      <c r="B99" s="1174">
        <v>89</v>
      </c>
      <c r="C99" s="1142">
        <v>40</v>
      </c>
      <c r="D99" s="1143">
        <f t="shared" si="32"/>
        <v>64.379000000000005</v>
      </c>
      <c r="E99" s="1144">
        <f t="shared" si="25"/>
        <v>1.0312526294770001</v>
      </c>
      <c r="F99" s="1144">
        <f t="shared" si="28"/>
        <v>8.6062204636990796</v>
      </c>
      <c r="G99" s="1143">
        <f t="shared" si="33"/>
        <v>2.9439999999999991</v>
      </c>
      <c r="H99" s="1145">
        <f t="shared" si="26"/>
        <v>2.8547805996800695</v>
      </c>
      <c r="I99" s="1135">
        <f t="shared" si="34"/>
        <v>0.89360000000000006</v>
      </c>
      <c r="J99" s="1147" t="e">
        <f t="shared" si="27"/>
        <v>#NAME?</v>
      </c>
      <c r="L99" s="184"/>
      <c r="M99" s="1166"/>
      <c r="N99" s="1166"/>
      <c r="O99" s="1166"/>
    </row>
    <row r="100" spans="2:15" x14ac:dyDescent="0.2">
      <c r="B100" s="1119">
        <v>90</v>
      </c>
      <c r="C100" s="1120">
        <v>40</v>
      </c>
      <c r="D100" s="1121">
        <v>64.36</v>
      </c>
      <c r="E100" s="1122">
        <f t="shared" si="25"/>
        <v>1.0309482786799999</v>
      </c>
      <c r="F100" s="1122">
        <f t="shared" si="28"/>
        <v>8.603680533150138</v>
      </c>
      <c r="G100" s="1121">
        <v>2.88</v>
      </c>
      <c r="H100" s="1121">
        <f t="shared" si="26"/>
        <v>2.7935446031177036</v>
      </c>
      <c r="I100" s="1123">
        <v>0.89400000000000002</v>
      </c>
      <c r="J100" s="1124" t="e">
        <f t="shared" si="27"/>
        <v>#NAME?</v>
      </c>
      <c r="L100" s="1125">
        <f>B100</f>
        <v>90</v>
      </c>
      <c r="M100" s="1126">
        <f>D100</f>
        <v>64.36</v>
      </c>
      <c r="N100" s="1126">
        <f>G100</f>
        <v>2.88</v>
      </c>
      <c r="O100" s="1127">
        <f>I100</f>
        <v>0.89400000000000002</v>
      </c>
    </row>
    <row r="101" spans="2:15" x14ac:dyDescent="0.2">
      <c r="B101" s="1164">
        <v>91</v>
      </c>
      <c r="C101" s="1131">
        <v>40</v>
      </c>
      <c r="D101" s="1132">
        <f t="shared" ref="D101:D109" si="35">FORECAST(B101,$M$100:$M$101,$L$100:$L$101)</f>
        <v>64.34</v>
      </c>
      <c r="E101" s="1133">
        <f t="shared" si="25"/>
        <v>1.0306279094200002</v>
      </c>
      <c r="F101" s="1133">
        <f t="shared" si="28"/>
        <v>8.6010069220459897</v>
      </c>
      <c r="G101" s="1132">
        <f t="shared" ref="G101:G109" si="36">FORECAST(B101,$N$100:$N$101,$L$100:$L$101)</f>
        <v>2.8319999999999999</v>
      </c>
      <c r="H101" s="1134">
        <f t="shared" si="26"/>
        <v>2.7478394230501153</v>
      </c>
      <c r="I101" s="1135">
        <f>FORECAST(B101,$O$100:$O$101,$L$100:$L$101)</f>
        <v>0.89450000000000007</v>
      </c>
      <c r="J101" s="1136" t="e">
        <f t="shared" si="27"/>
        <v>#NAME?</v>
      </c>
      <c r="L101" s="1125">
        <f>B110</f>
        <v>100</v>
      </c>
      <c r="M101" s="1126">
        <f>D110</f>
        <v>64.16</v>
      </c>
      <c r="N101" s="1126">
        <f>G110</f>
        <v>2.4</v>
      </c>
      <c r="O101" s="1127">
        <f>I110</f>
        <v>0.89900000000000002</v>
      </c>
    </row>
    <row r="102" spans="2:15" x14ac:dyDescent="0.2">
      <c r="B102" s="1164">
        <v>92</v>
      </c>
      <c r="C102" s="1131">
        <v>40</v>
      </c>
      <c r="D102" s="1132">
        <f t="shared" si="35"/>
        <v>64.319999999999993</v>
      </c>
      <c r="E102" s="1133">
        <f t="shared" si="25"/>
        <v>1.0303075401599999</v>
      </c>
      <c r="F102" s="1133">
        <f t="shared" si="28"/>
        <v>8.5983333109418396</v>
      </c>
      <c r="G102" s="1132">
        <f t="shared" si="36"/>
        <v>2.7839999999999998</v>
      </c>
      <c r="H102" s="1134">
        <f t="shared" si="26"/>
        <v>2.7021058193630836</v>
      </c>
      <c r="I102" s="1135">
        <f t="shared" ref="I102:I109" si="37">FORECAST(B102,$O$100:$O$101,$L$100:$L$101)</f>
        <v>0.89500000000000002</v>
      </c>
      <c r="J102" s="1136" t="e">
        <f t="shared" si="27"/>
        <v>#NAME?</v>
      </c>
      <c r="L102" s="184"/>
      <c r="M102" s="1166"/>
      <c r="N102" s="1166"/>
      <c r="O102" s="1166"/>
    </row>
    <row r="103" spans="2:15" x14ac:dyDescent="0.2">
      <c r="B103" s="1164">
        <v>93</v>
      </c>
      <c r="C103" s="1131">
        <v>40</v>
      </c>
      <c r="D103" s="1132">
        <f t="shared" si="35"/>
        <v>64.3</v>
      </c>
      <c r="E103" s="1133">
        <f t="shared" si="25"/>
        <v>1.0299871708999999</v>
      </c>
      <c r="F103" s="1133">
        <f t="shared" si="28"/>
        <v>8.5956596998376913</v>
      </c>
      <c r="G103" s="1132">
        <f t="shared" si="36"/>
        <v>2.7359999999999998</v>
      </c>
      <c r="H103" s="1134">
        <f t="shared" si="26"/>
        <v>2.6563437655337889</v>
      </c>
      <c r="I103" s="1135">
        <f t="shared" si="37"/>
        <v>0.89549999999999996</v>
      </c>
      <c r="J103" s="1136" t="e">
        <f t="shared" si="27"/>
        <v>#NAME?</v>
      </c>
      <c r="L103" s="184"/>
      <c r="M103" s="1166"/>
      <c r="N103" s="1166"/>
      <c r="O103" s="1166"/>
    </row>
    <row r="104" spans="2:15" ht="13.5" thickBot="1" x14ac:dyDescent="0.25">
      <c r="B104" s="1174">
        <v>94</v>
      </c>
      <c r="C104" s="1142">
        <v>40</v>
      </c>
      <c r="D104" s="1143">
        <f t="shared" si="35"/>
        <v>64.28</v>
      </c>
      <c r="E104" s="1144">
        <f t="shared" si="25"/>
        <v>1.0296668016400001</v>
      </c>
      <c r="F104" s="1144">
        <f t="shared" si="28"/>
        <v>8.592986088733543</v>
      </c>
      <c r="G104" s="1143">
        <f t="shared" si="36"/>
        <v>2.6879999999999997</v>
      </c>
      <c r="H104" s="1145">
        <f t="shared" si="26"/>
        <v>2.610553235006404</v>
      </c>
      <c r="I104" s="1146">
        <f t="shared" si="37"/>
        <v>0.89600000000000002</v>
      </c>
      <c r="J104" s="1147" t="e">
        <f t="shared" si="27"/>
        <v>#NAME?</v>
      </c>
      <c r="L104" s="184"/>
      <c r="M104" s="1166"/>
      <c r="N104" s="1166"/>
      <c r="O104" s="1166"/>
    </row>
    <row r="105" spans="2:15" x14ac:dyDescent="0.2">
      <c r="B105" s="1172">
        <v>95</v>
      </c>
      <c r="C105" s="1149">
        <v>40</v>
      </c>
      <c r="D105" s="1150">
        <f t="shared" si="35"/>
        <v>64.259999999999991</v>
      </c>
      <c r="E105" s="1122">
        <f t="shared" si="25"/>
        <v>1.0293464323799999</v>
      </c>
      <c r="F105" s="1122">
        <f t="shared" si="28"/>
        <v>8.5903124776293929</v>
      </c>
      <c r="G105" s="1150">
        <f t="shared" si="36"/>
        <v>2.6399999999999997</v>
      </c>
      <c r="H105" s="1121">
        <f t="shared" si="26"/>
        <v>2.5647342011920444</v>
      </c>
      <c r="I105" s="1173">
        <f t="shared" si="37"/>
        <v>0.89650000000000007</v>
      </c>
      <c r="J105" s="1124" t="e">
        <f t="shared" si="27"/>
        <v>#NAME?</v>
      </c>
      <c r="L105" s="184"/>
      <c r="M105" s="1166"/>
      <c r="N105" s="1166"/>
      <c r="O105" s="1166"/>
    </row>
    <row r="106" spans="2:15" x14ac:dyDescent="0.2">
      <c r="B106" s="1164">
        <v>96</v>
      </c>
      <c r="C106" s="1131">
        <v>40</v>
      </c>
      <c r="D106" s="1132">
        <f t="shared" si="35"/>
        <v>64.239999999999995</v>
      </c>
      <c r="E106" s="1133">
        <f t="shared" si="25"/>
        <v>1.0290260631199999</v>
      </c>
      <c r="F106" s="1133">
        <f t="shared" si="28"/>
        <v>8.5876388665252463</v>
      </c>
      <c r="G106" s="1132">
        <f t="shared" si="36"/>
        <v>2.5919999999999996</v>
      </c>
      <c r="H106" s="1134">
        <f t="shared" si="26"/>
        <v>2.5188866374687087</v>
      </c>
      <c r="I106" s="1135">
        <f t="shared" si="37"/>
        <v>0.89700000000000002</v>
      </c>
      <c r="J106" s="1136" t="e">
        <f t="shared" si="27"/>
        <v>#NAME?</v>
      </c>
      <c r="L106" s="184"/>
      <c r="M106" s="1166"/>
      <c r="N106" s="1166"/>
      <c r="O106" s="1166"/>
    </row>
    <row r="107" spans="2:15" x14ac:dyDescent="0.2">
      <c r="B107" s="1164">
        <v>97</v>
      </c>
      <c r="C107" s="1131">
        <v>40</v>
      </c>
      <c r="D107" s="1132">
        <f t="shared" si="35"/>
        <v>64.22</v>
      </c>
      <c r="E107" s="1133">
        <f t="shared" si="25"/>
        <v>1.0287056938599999</v>
      </c>
      <c r="F107" s="1133">
        <f t="shared" si="28"/>
        <v>8.584965255421098</v>
      </c>
      <c r="G107" s="1132">
        <f t="shared" si="36"/>
        <v>2.5440000000000005</v>
      </c>
      <c r="H107" s="1134">
        <f t="shared" si="26"/>
        <v>2.473010517181236</v>
      </c>
      <c r="I107" s="1135">
        <f t="shared" si="37"/>
        <v>0.89749999999999996</v>
      </c>
      <c r="J107" s="1136" t="e">
        <f t="shared" si="27"/>
        <v>#NAME?</v>
      </c>
      <c r="L107" s="184"/>
      <c r="M107" s="1166"/>
      <c r="N107" s="1166"/>
      <c r="O107" s="1166"/>
    </row>
    <row r="108" spans="2:15" x14ac:dyDescent="0.2">
      <c r="B108" s="1164">
        <v>98</v>
      </c>
      <c r="C108" s="1131">
        <v>40</v>
      </c>
      <c r="D108" s="1132">
        <f t="shared" si="35"/>
        <v>64.2</v>
      </c>
      <c r="E108" s="1133">
        <f t="shared" si="25"/>
        <v>1.0283853246000001</v>
      </c>
      <c r="F108" s="1133">
        <f t="shared" si="28"/>
        <v>8.5822916443169497</v>
      </c>
      <c r="G108" s="1132">
        <f t="shared" si="36"/>
        <v>2.4960000000000004</v>
      </c>
      <c r="H108" s="1134">
        <f t="shared" si="26"/>
        <v>2.4271058136412464</v>
      </c>
      <c r="I108" s="1135">
        <f t="shared" si="37"/>
        <v>0.89800000000000002</v>
      </c>
      <c r="J108" s="1136" t="e">
        <f t="shared" si="27"/>
        <v>#NAME?</v>
      </c>
      <c r="L108" s="184"/>
      <c r="M108" s="1166"/>
      <c r="N108" s="1166"/>
      <c r="O108" s="1166"/>
    </row>
    <row r="109" spans="2:15" ht="13.5" thickBot="1" x14ac:dyDescent="0.25">
      <c r="B109" s="1174">
        <v>99</v>
      </c>
      <c r="C109" s="1142">
        <v>40</v>
      </c>
      <c r="D109" s="1143">
        <f t="shared" si="35"/>
        <v>64.179999999999993</v>
      </c>
      <c r="E109" s="1144">
        <f t="shared" si="25"/>
        <v>1.0280649553399999</v>
      </c>
      <c r="F109" s="1144">
        <f t="shared" si="28"/>
        <v>8.5796180332127996</v>
      </c>
      <c r="G109" s="1143">
        <f t="shared" si="36"/>
        <v>2.4480000000000004</v>
      </c>
      <c r="H109" s="1145">
        <f t="shared" si="26"/>
        <v>2.3811725001270978</v>
      </c>
      <c r="I109" s="1135">
        <f t="shared" si="37"/>
        <v>0.89850000000000008</v>
      </c>
      <c r="J109" s="1147" t="e">
        <f t="shared" si="27"/>
        <v>#NAME?</v>
      </c>
      <c r="L109" s="184"/>
      <c r="M109" s="1166"/>
      <c r="N109" s="1166"/>
      <c r="O109" s="1166"/>
    </row>
    <row r="110" spans="2:15" x14ac:dyDescent="0.2">
      <c r="B110" s="1119">
        <v>100</v>
      </c>
      <c r="C110" s="1120">
        <v>40</v>
      </c>
      <c r="D110" s="1121">
        <v>64.16</v>
      </c>
      <c r="E110" s="1122">
        <f t="shared" si="25"/>
        <v>1.0277445860799999</v>
      </c>
      <c r="F110" s="1122">
        <f t="shared" si="28"/>
        <v>8.5769444221086513</v>
      </c>
      <c r="G110" s="1121">
        <v>2.4</v>
      </c>
      <c r="H110" s="1121">
        <f t="shared" si="26"/>
        <v>2.3352105498838243</v>
      </c>
      <c r="I110" s="1123">
        <v>0.89900000000000002</v>
      </c>
      <c r="J110" s="1124" t="e">
        <f t="shared" si="27"/>
        <v>#NAME?</v>
      </c>
      <c r="L110" s="1125">
        <f>B110</f>
        <v>100</v>
      </c>
      <c r="M110" s="1126">
        <f>D110</f>
        <v>64.16</v>
      </c>
      <c r="N110" s="1126">
        <f>G110</f>
        <v>2.4</v>
      </c>
      <c r="O110" s="1127">
        <f>I110</f>
        <v>0.89900000000000002</v>
      </c>
    </row>
    <row r="111" spans="2:15" x14ac:dyDescent="0.2">
      <c r="B111" s="1164">
        <v>101</v>
      </c>
      <c r="C111" s="1131">
        <v>40</v>
      </c>
      <c r="D111" s="1132">
        <f t="shared" ref="D111:D119" si="38">FORECAST(B111,$M$110:$M$111,$L$110:$L$111)</f>
        <v>64.138999999999996</v>
      </c>
      <c r="E111" s="1133">
        <f t="shared" si="25"/>
        <v>1.027408198357</v>
      </c>
      <c r="F111" s="1133">
        <f t="shared" si="28"/>
        <v>8.5741371304492962</v>
      </c>
      <c r="G111" s="1132">
        <f t="shared" ref="G111:G119" si="39">FORECAST(B111,$N$110:$N$111,$L$110:$L$111)</f>
        <v>2.363</v>
      </c>
      <c r="H111" s="1134">
        <f t="shared" si="26"/>
        <v>2.299962180347439</v>
      </c>
      <c r="I111" s="1135">
        <f>FORECAST(B111,$O$110:$O$111,$L$110:$L$111)</f>
        <v>0.89939999999999998</v>
      </c>
      <c r="J111" s="1136" t="e">
        <f t="shared" si="27"/>
        <v>#NAME?</v>
      </c>
      <c r="L111" s="1125">
        <f>B120</f>
        <v>110</v>
      </c>
      <c r="M111" s="1126">
        <f>D120</f>
        <v>63.95</v>
      </c>
      <c r="N111" s="1126">
        <f>G120</f>
        <v>2.0299999999999998</v>
      </c>
      <c r="O111" s="1127">
        <f>I120</f>
        <v>0.90300000000000002</v>
      </c>
    </row>
    <row r="112" spans="2:15" x14ac:dyDescent="0.2">
      <c r="B112" s="1164">
        <v>102</v>
      </c>
      <c r="C112" s="1131">
        <v>40</v>
      </c>
      <c r="D112" s="1132">
        <f t="shared" si="38"/>
        <v>64.117999999999995</v>
      </c>
      <c r="E112" s="1133">
        <f t="shared" si="25"/>
        <v>1.027071810634</v>
      </c>
      <c r="F112" s="1133">
        <f t="shared" si="28"/>
        <v>8.5713298387899393</v>
      </c>
      <c r="G112" s="1132">
        <f t="shared" si="39"/>
        <v>2.3260000000000001</v>
      </c>
      <c r="H112" s="1134">
        <f t="shared" si="26"/>
        <v>2.2646907216392065</v>
      </c>
      <c r="I112" s="1135">
        <f t="shared" ref="I112:I119" si="40">FORECAST(B112,$O$110:$O$111,$L$110:$L$111)</f>
        <v>0.89980000000000004</v>
      </c>
      <c r="J112" s="1136" t="e">
        <f t="shared" si="27"/>
        <v>#NAME?</v>
      </c>
      <c r="L112" s="184"/>
      <c r="M112" s="1166"/>
      <c r="N112" s="1166"/>
      <c r="O112" s="1166"/>
    </row>
    <row r="113" spans="2:15" x14ac:dyDescent="0.2">
      <c r="B113" s="1164">
        <v>103</v>
      </c>
      <c r="C113" s="1131">
        <v>40</v>
      </c>
      <c r="D113" s="1132">
        <f t="shared" si="38"/>
        <v>64.096999999999994</v>
      </c>
      <c r="E113" s="1133">
        <f t="shared" si="25"/>
        <v>1.026735422911</v>
      </c>
      <c r="F113" s="1133">
        <f t="shared" si="28"/>
        <v>8.5685225471305824</v>
      </c>
      <c r="G113" s="1132">
        <f t="shared" si="39"/>
        <v>2.2890000000000001</v>
      </c>
      <c r="H113" s="1134">
        <f t="shared" si="26"/>
        <v>2.2293961510651186</v>
      </c>
      <c r="I113" s="1135">
        <f t="shared" si="40"/>
        <v>0.9002</v>
      </c>
      <c r="J113" s="1136" t="e">
        <f t="shared" si="27"/>
        <v>#NAME?</v>
      </c>
      <c r="L113" s="184"/>
      <c r="M113" s="1166"/>
      <c r="N113" s="1166"/>
      <c r="O113" s="1166"/>
    </row>
    <row r="114" spans="2:15" ht="13.5" thickBot="1" x14ac:dyDescent="0.25">
      <c r="B114" s="1174">
        <v>104</v>
      </c>
      <c r="C114" s="1142">
        <v>40</v>
      </c>
      <c r="D114" s="1143">
        <f t="shared" si="38"/>
        <v>64.075999999999993</v>
      </c>
      <c r="E114" s="1144">
        <f t="shared" si="25"/>
        <v>1.0263990351879999</v>
      </c>
      <c r="F114" s="1144">
        <f t="shared" si="28"/>
        <v>8.5657152554712273</v>
      </c>
      <c r="G114" s="1143">
        <f t="shared" si="39"/>
        <v>2.2520000000000002</v>
      </c>
      <c r="H114" s="1145">
        <f t="shared" si="26"/>
        <v>2.1940784459014164</v>
      </c>
      <c r="I114" s="1146">
        <f t="shared" si="40"/>
        <v>0.90060000000000007</v>
      </c>
      <c r="J114" s="1147" t="e">
        <f t="shared" si="27"/>
        <v>#NAME?</v>
      </c>
      <c r="L114" s="184"/>
      <c r="M114" s="1166"/>
      <c r="N114" s="1166"/>
      <c r="O114" s="1166"/>
    </row>
    <row r="115" spans="2:15" x14ac:dyDescent="0.2">
      <c r="B115" s="1172">
        <v>105</v>
      </c>
      <c r="C115" s="1149">
        <v>40</v>
      </c>
      <c r="D115" s="1150">
        <f t="shared" si="38"/>
        <v>64.055000000000007</v>
      </c>
      <c r="E115" s="1122">
        <f t="shared" si="25"/>
        <v>1.0260626474650001</v>
      </c>
      <c r="F115" s="1122">
        <f t="shared" si="28"/>
        <v>8.5629079638118721</v>
      </c>
      <c r="G115" s="1150">
        <f t="shared" si="39"/>
        <v>2.2150000000000003</v>
      </c>
      <c r="H115" s="1121">
        <f t="shared" si="26"/>
        <v>2.1587375833945419</v>
      </c>
      <c r="I115" s="1173">
        <f t="shared" si="40"/>
        <v>0.90100000000000002</v>
      </c>
      <c r="J115" s="1124" t="e">
        <f t="shared" si="27"/>
        <v>#NAME?</v>
      </c>
      <c r="L115" s="184"/>
      <c r="M115" s="1166"/>
      <c r="N115" s="1166"/>
      <c r="O115" s="1166"/>
    </row>
    <row r="116" spans="2:15" x14ac:dyDescent="0.2">
      <c r="B116" s="1164">
        <v>106</v>
      </c>
      <c r="C116" s="1131">
        <v>40</v>
      </c>
      <c r="D116" s="1132">
        <f t="shared" si="38"/>
        <v>64.034000000000006</v>
      </c>
      <c r="E116" s="1133">
        <f t="shared" si="25"/>
        <v>1.025726259742</v>
      </c>
      <c r="F116" s="1133">
        <f t="shared" si="28"/>
        <v>8.560100672152517</v>
      </c>
      <c r="G116" s="1132">
        <f t="shared" si="39"/>
        <v>2.1779999999999999</v>
      </c>
      <c r="H116" s="1134">
        <f t="shared" si="26"/>
        <v>2.1233735407610896</v>
      </c>
      <c r="I116" s="1135">
        <f t="shared" si="40"/>
        <v>0.90139999999999998</v>
      </c>
      <c r="J116" s="1136" t="e">
        <f t="shared" si="27"/>
        <v>#NAME?</v>
      </c>
      <c r="L116" s="184"/>
      <c r="M116" s="1166"/>
      <c r="N116" s="1166"/>
      <c r="O116" s="1166"/>
    </row>
    <row r="117" spans="2:15" x14ac:dyDescent="0.2">
      <c r="B117" s="1164">
        <v>107</v>
      </c>
      <c r="C117" s="1131">
        <v>40</v>
      </c>
      <c r="D117" s="1132">
        <f t="shared" si="38"/>
        <v>64.013000000000005</v>
      </c>
      <c r="E117" s="1133">
        <f t="shared" si="25"/>
        <v>1.025389872019</v>
      </c>
      <c r="F117" s="1133">
        <f t="shared" si="28"/>
        <v>8.5572933804931601</v>
      </c>
      <c r="G117" s="1132">
        <f t="shared" si="39"/>
        <v>2.141</v>
      </c>
      <c r="H117" s="1134">
        <f t="shared" si="26"/>
        <v>2.0879862951877568</v>
      </c>
      <c r="I117" s="1135">
        <f t="shared" si="40"/>
        <v>0.90180000000000005</v>
      </c>
      <c r="J117" s="1136" t="e">
        <f t="shared" si="27"/>
        <v>#NAME?</v>
      </c>
      <c r="L117" s="184"/>
      <c r="M117" s="1166"/>
      <c r="N117" s="1166"/>
      <c r="O117" s="1166"/>
    </row>
    <row r="118" spans="2:15" x14ac:dyDescent="0.2">
      <c r="B118" s="1164">
        <v>108</v>
      </c>
      <c r="C118" s="1131">
        <v>40</v>
      </c>
      <c r="D118" s="1132">
        <f t="shared" si="38"/>
        <v>63.992000000000004</v>
      </c>
      <c r="E118" s="1133">
        <f t="shared" si="25"/>
        <v>1.0250534842960002</v>
      </c>
      <c r="F118" s="1133">
        <f t="shared" si="28"/>
        <v>8.554486088833805</v>
      </c>
      <c r="G118" s="1132">
        <f t="shared" si="39"/>
        <v>2.1040000000000001</v>
      </c>
      <c r="H118" s="1134">
        <f t="shared" si="26"/>
        <v>2.052575823831293</v>
      </c>
      <c r="I118" s="1135">
        <f t="shared" si="40"/>
        <v>0.9022</v>
      </c>
      <c r="J118" s="1136" t="e">
        <f t="shared" si="27"/>
        <v>#NAME?</v>
      </c>
      <c r="L118" s="184"/>
      <c r="M118" s="1166"/>
      <c r="N118" s="1166"/>
      <c r="O118" s="1166"/>
    </row>
    <row r="119" spans="2:15" ht="13.5" thickBot="1" x14ac:dyDescent="0.25">
      <c r="B119" s="1174">
        <v>109</v>
      </c>
      <c r="C119" s="1142">
        <v>40</v>
      </c>
      <c r="D119" s="1143">
        <f t="shared" si="38"/>
        <v>63.971000000000004</v>
      </c>
      <c r="E119" s="1144">
        <f t="shared" si="25"/>
        <v>1.0247170965730001</v>
      </c>
      <c r="F119" s="1144">
        <f t="shared" si="28"/>
        <v>8.5516787971744481</v>
      </c>
      <c r="G119" s="1143">
        <f t="shared" si="39"/>
        <v>2.0670000000000002</v>
      </c>
      <c r="H119" s="1145">
        <f t="shared" si="26"/>
        <v>2.0171421038184549</v>
      </c>
      <c r="I119" s="1135">
        <f t="shared" si="40"/>
        <v>0.90260000000000007</v>
      </c>
      <c r="J119" s="1147" t="e">
        <f t="shared" si="27"/>
        <v>#NAME?</v>
      </c>
      <c r="L119" s="184"/>
      <c r="M119" s="1166"/>
      <c r="N119" s="1166"/>
      <c r="O119" s="1166"/>
    </row>
    <row r="120" spans="2:15" x14ac:dyDescent="0.2">
      <c r="B120" s="1119">
        <v>110</v>
      </c>
      <c r="C120" s="1120">
        <v>40</v>
      </c>
      <c r="D120" s="1121">
        <v>63.95</v>
      </c>
      <c r="E120" s="1122">
        <f t="shared" si="25"/>
        <v>1.0243807088500001</v>
      </c>
      <c r="F120" s="1122">
        <f t="shared" si="28"/>
        <v>8.548871505515093</v>
      </c>
      <c r="G120" s="1121">
        <v>2.0299999999999998</v>
      </c>
      <c r="H120" s="1121">
        <f t="shared" si="26"/>
        <v>1.9816851122459516</v>
      </c>
      <c r="I120" s="1123">
        <v>0.90300000000000002</v>
      </c>
      <c r="J120" s="1124" t="e">
        <f t="shared" si="27"/>
        <v>#NAME?</v>
      </c>
      <c r="L120" s="1125">
        <f>B120</f>
        <v>110</v>
      </c>
      <c r="M120" s="1126">
        <f>D120</f>
        <v>63.95</v>
      </c>
      <c r="N120" s="1126">
        <f>G120</f>
        <v>2.0299999999999998</v>
      </c>
      <c r="O120" s="1127">
        <f>I120</f>
        <v>0.90300000000000002</v>
      </c>
    </row>
    <row r="121" spans="2:15" x14ac:dyDescent="0.2">
      <c r="B121" s="1164">
        <v>111</v>
      </c>
      <c r="C121" s="1131">
        <v>40</v>
      </c>
      <c r="D121" s="1132">
        <f t="shared" ref="D121:D129" si="41">FORECAST(B121,$M$120:$M$121,$L$120:$L$121)</f>
        <v>63.928999999999995</v>
      </c>
      <c r="E121" s="1133">
        <f t="shared" si="25"/>
        <v>1.0240443211269998</v>
      </c>
      <c r="F121" s="1133">
        <f t="shared" si="28"/>
        <v>8.5460642138557343</v>
      </c>
      <c r="G121" s="1132">
        <f t="shared" ref="G121:G129" si="42">FORECAST(B121,$N$120:$N$121,$L$120:$L$121)</f>
        <v>2.0000000000000004</v>
      </c>
      <c r="H121" s="1134">
        <f t="shared" si="26"/>
        <v>1.9530404678177642</v>
      </c>
      <c r="I121" s="1135">
        <f>FORECAST(B121,$O$120:$O$121,$L$120:$L$121)</f>
        <v>0.90349999999999997</v>
      </c>
      <c r="J121" s="1136" t="e">
        <f t="shared" si="27"/>
        <v>#NAME?</v>
      </c>
      <c r="L121" s="1125">
        <f>B130</f>
        <v>120</v>
      </c>
      <c r="M121" s="1126">
        <f>D130</f>
        <v>63.74</v>
      </c>
      <c r="N121" s="1126">
        <f>G130</f>
        <v>1.73</v>
      </c>
      <c r="O121" s="1127">
        <f>I130</f>
        <v>0.90800000000000003</v>
      </c>
    </row>
    <row r="122" spans="2:15" x14ac:dyDescent="0.2">
      <c r="B122" s="1164">
        <v>112</v>
      </c>
      <c r="C122" s="1131">
        <v>40</v>
      </c>
      <c r="D122" s="1132">
        <f t="shared" si="41"/>
        <v>63.907999999999994</v>
      </c>
      <c r="E122" s="1133">
        <f t="shared" si="25"/>
        <v>1.023707933404</v>
      </c>
      <c r="F122" s="1133">
        <f t="shared" si="28"/>
        <v>8.5432569221963792</v>
      </c>
      <c r="G122" s="1132">
        <f t="shared" si="42"/>
        <v>1.9700000000000002</v>
      </c>
      <c r="H122" s="1134">
        <f t="shared" si="26"/>
        <v>1.924376998280575</v>
      </c>
      <c r="I122" s="1135">
        <f t="shared" ref="I122:I129" si="43">FORECAST(B122,$O$120:$O$121,$L$120:$L$121)</f>
        <v>0.90399999999999991</v>
      </c>
      <c r="J122" s="1136" t="e">
        <f t="shared" si="27"/>
        <v>#NAME?</v>
      </c>
      <c r="L122" s="184"/>
      <c r="M122" s="1166"/>
      <c r="N122" s="1166"/>
      <c r="O122" s="1166"/>
    </row>
    <row r="123" spans="2:15" x14ac:dyDescent="0.2">
      <c r="B123" s="1164">
        <v>113</v>
      </c>
      <c r="C123" s="1131">
        <v>40</v>
      </c>
      <c r="D123" s="1132">
        <f t="shared" si="41"/>
        <v>63.886999999999993</v>
      </c>
      <c r="E123" s="1133">
        <f t="shared" si="25"/>
        <v>1.023371545681</v>
      </c>
      <c r="F123" s="1133">
        <f t="shared" si="28"/>
        <v>8.5404496305370223</v>
      </c>
      <c r="G123" s="1132">
        <f t="shared" si="42"/>
        <v>1.9400000000000004</v>
      </c>
      <c r="H123" s="1134">
        <f t="shared" si="26"/>
        <v>1.8956946850706431</v>
      </c>
      <c r="I123" s="1135">
        <f t="shared" si="43"/>
        <v>0.90449999999999986</v>
      </c>
      <c r="J123" s="1136" t="e">
        <f t="shared" si="27"/>
        <v>#NAME?</v>
      </c>
      <c r="L123" s="184"/>
      <c r="M123" s="1166"/>
      <c r="N123" s="1166"/>
      <c r="O123" s="1166"/>
    </row>
    <row r="124" spans="2:15" ht="13.5" thickBot="1" x14ac:dyDescent="0.25">
      <c r="B124" s="1174">
        <v>114</v>
      </c>
      <c r="C124" s="1142">
        <v>40</v>
      </c>
      <c r="D124" s="1143">
        <f t="shared" si="41"/>
        <v>63.865999999999993</v>
      </c>
      <c r="E124" s="1144">
        <f t="shared" si="25"/>
        <v>1.0230351579579999</v>
      </c>
      <c r="F124" s="1144">
        <f t="shared" si="28"/>
        <v>8.5376423388776672</v>
      </c>
      <c r="G124" s="1143">
        <f t="shared" si="42"/>
        <v>1.9100000000000006</v>
      </c>
      <c r="H124" s="1145">
        <f t="shared" si="26"/>
        <v>1.8669935095998083</v>
      </c>
      <c r="I124" s="1146">
        <f t="shared" si="43"/>
        <v>0.90499999999999992</v>
      </c>
      <c r="J124" s="1147" t="e">
        <f t="shared" si="27"/>
        <v>#NAME?</v>
      </c>
      <c r="L124" s="184"/>
      <c r="M124" s="1166"/>
      <c r="N124" s="1166"/>
      <c r="O124" s="1166"/>
    </row>
    <row r="125" spans="2:15" x14ac:dyDescent="0.2">
      <c r="B125" s="1172">
        <v>115</v>
      </c>
      <c r="C125" s="1149">
        <v>40</v>
      </c>
      <c r="D125" s="1150">
        <f t="shared" si="41"/>
        <v>63.844999999999999</v>
      </c>
      <c r="E125" s="1122">
        <f t="shared" si="25"/>
        <v>1.0226987702349999</v>
      </c>
      <c r="F125" s="1122">
        <f t="shared" si="28"/>
        <v>8.5348350472183121</v>
      </c>
      <c r="G125" s="1150">
        <f t="shared" si="42"/>
        <v>1.8800000000000003</v>
      </c>
      <c r="H125" s="1121">
        <f t="shared" si="26"/>
        <v>1.838273453255455</v>
      </c>
      <c r="I125" s="1173">
        <f t="shared" si="43"/>
        <v>0.90549999999999997</v>
      </c>
      <c r="J125" s="1124" t="e">
        <f t="shared" si="27"/>
        <v>#NAME?</v>
      </c>
      <c r="L125" s="184"/>
      <c r="M125" s="1166"/>
      <c r="N125" s="1166"/>
      <c r="O125" s="1166"/>
    </row>
    <row r="126" spans="2:15" x14ac:dyDescent="0.2">
      <c r="B126" s="1164">
        <v>116</v>
      </c>
      <c r="C126" s="1131">
        <v>40</v>
      </c>
      <c r="D126" s="1132">
        <f t="shared" si="41"/>
        <v>63.823999999999998</v>
      </c>
      <c r="E126" s="1133">
        <f t="shared" si="25"/>
        <v>1.0223623825120001</v>
      </c>
      <c r="F126" s="1133">
        <f t="shared" si="28"/>
        <v>8.5320277555589552</v>
      </c>
      <c r="G126" s="1132">
        <f t="shared" si="42"/>
        <v>1.8500000000000005</v>
      </c>
      <c r="H126" s="1134">
        <f t="shared" si="26"/>
        <v>1.8095344974004715</v>
      </c>
      <c r="I126" s="1135">
        <f t="shared" si="43"/>
        <v>0.90599999999999992</v>
      </c>
      <c r="J126" s="1136" t="e">
        <f t="shared" si="27"/>
        <v>#NAME?</v>
      </c>
      <c r="L126" s="184"/>
      <c r="M126" s="1166"/>
      <c r="N126" s="1166"/>
      <c r="O126" s="1166"/>
    </row>
    <row r="127" spans="2:15" x14ac:dyDescent="0.2">
      <c r="B127" s="1164">
        <v>117</v>
      </c>
      <c r="C127" s="1131">
        <v>40</v>
      </c>
      <c r="D127" s="1132">
        <f t="shared" si="41"/>
        <v>63.802999999999997</v>
      </c>
      <c r="E127" s="1133">
        <f t="shared" si="25"/>
        <v>1.022025994789</v>
      </c>
      <c r="F127" s="1133">
        <f t="shared" si="28"/>
        <v>8.5292204638996001</v>
      </c>
      <c r="G127" s="1132">
        <f t="shared" si="42"/>
        <v>1.8200000000000003</v>
      </c>
      <c r="H127" s="1134">
        <f t="shared" si="26"/>
        <v>1.780776623373209</v>
      </c>
      <c r="I127" s="1135">
        <f t="shared" si="43"/>
        <v>0.90649999999999986</v>
      </c>
      <c r="J127" s="1136" t="e">
        <f t="shared" si="27"/>
        <v>#NAME?</v>
      </c>
      <c r="L127" s="184"/>
      <c r="M127" s="1166"/>
      <c r="N127" s="1166"/>
      <c r="O127" s="1166"/>
    </row>
    <row r="128" spans="2:15" x14ac:dyDescent="0.2">
      <c r="B128" s="1164">
        <v>118</v>
      </c>
      <c r="C128" s="1131">
        <v>40</v>
      </c>
      <c r="D128" s="1132">
        <f t="shared" si="41"/>
        <v>63.781999999999996</v>
      </c>
      <c r="E128" s="1133">
        <f t="shared" si="25"/>
        <v>1.021689607066</v>
      </c>
      <c r="F128" s="1133">
        <f t="shared" si="28"/>
        <v>8.5264131722402432</v>
      </c>
      <c r="G128" s="1132">
        <f t="shared" si="42"/>
        <v>1.7900000000000005</v>
      </c>
      <c r="H128" s="1134">
        <f t="shared" si="26"/>
        <v>1.7519998124874423</v>
      </c>
      <c r="I128" s="1135">
        <f t="shared" si="43"/>
        <v>0.90699999999999992</v>
      </c>
      <c r="J128" s="1136" t="e">
        <f t="shared" si="27"/>
        <v>#NAME?</v>
      </c>
      <c r="L128" s="184"/>
      <c r="M128" s="1166"/>
      <c r="N128" s="1166"/>
      <c r="O128" s="1166"/>
    </row>
    <row r="129" spans="2:15" ht="13.5" thickBot="1" x14ac:dyDescent="0.25">
      <c r="B129" s="1174">
        <v>119</v>
      </c>
      <c r="C129" s="1142">
        <v>40</v>
      </c>
      <c r="D129" s="1143">
        <f t="shared" si="41"/>
        <v>63.760999999999996</v>
      </c>
      <c r="E129" s="1144">
        <f t="shared" si="25"/>
        <v>1.0213532193429999</v>
      </c>
      <c r="F129" s="1144">
        <f t="shared" si="28"/>
        <v>8.5236058805808863</v>
      </c>
      <c r="G129" s="1143">
        <f t="shared" si="42"/>
        <v>1.7600000000000007</v>
      </c>
      <c r="H129" s="1145">
        <f t="shared" si="26"/>
        <v>1.7232040460323275</v>
      </c>
      <c r="I129" s="1135">
        <f t="shared" si="43"/>
        <v>0.90749999999999997</v>
      </c>
      <c r="J129" s="1147" t="e">
        <f t="shared" si="27"/>
        <v>#NAME?</v>
      </c>
      <c r="L129" s="184"/>
      <c r="M129" s="1166"/>
      <c r="N129" s="1166"/>
      <c r="O129" s="1166"/>
    </row>
    <row r="130" spans="2:15" x14ac:dyDescent="0.2">
      <c r="B130" s="1119">
        <v>120</v>
      </c>
      <c r="C130" s="1120">
        <v>40</v>
      </c>
      <c r="D130" s="1121">
        <v>63.74</v>
      </c>
      <c r="E130" s="1122">
        <f t="shared" si="25"/>
        <v>1.0210168316200001</v>
      </c>
      <c r="F130" s="1122">
        <f t="shared" si="28"/>
        <v>8.5207985889215312</v>
      </c>
      <c r="G130" s="1121">
        <v>1.73</v>
      </c>
      <c r="H130" s="1121">
        <f t="shared" si="26"/>
        <v>1.6943893052723618</v>
      </c>
      <c r="I130" s="1123">
        <v>0.90800000000000003</v>
      </c>
      <c r="J130" s="1124" t="e">
        <f t="shared" si="27"/>
        <v>#NAME?</v>
      </c>
      <c r="L130" s="1125">
        <f>B130</f>
        <v>120</v>
      </c>
      <c r="M130" s="1126">
        <f>D130</f>
        <v>63.74</v>
      </c>
      <c r="N130" s="1126">
        <f>G130</f>
        <v>1.73</v>
      </c>
      <c r="O130" s="1127">
        <f>I130</f>
        <v>0.90800000000000003</v>
      </c>
    </row>
    <row r="131" spans="2:15" x14ac:dyDescent="0.2">
      <c r="B131" s="1164">
        <v>121</v>
      </c>
      <c r="C131" s="1131">
        <v>40</v>
      </c>
      <c r="D131" s="1132">
        <f t="shared" ref="D131:D139" si="44">FORECAST(B131,$M$130:$M$131,$L$130:$L$131)</f>
        <v>63.717000000000006</v>
      </c>
      <c r="E131" s="1133">
        <f t="shared" si="25"/>
        <v>1.020648406971</v>
      </c>
      <c r="F131" s="1133">
        <f t="shared" si="28"/>
        <v>8.5177239361517625</v>
      </c>
      <c r="G131" s="1132">
        <f t="shared" ref="G131:G139" si="45">FORECAST(B131,$N$130:$N$131,$L$130:$L$131)</f>
        <v>1.7070000000000003</v>
      </c>
      <c r="H131" s="1134">
        <f t="shared" si="26"/>
        <v>1.6724662365034209</v>
      </c>
      <c r="I131" s="1135">
        <f>FORECAST(B131,$O$130:$O$131,$L$130:$L$131)</f>
        <v>0.90839999999999999</v>
      </c>
      <c r="J131" s="1136" t="e">
        <f t="shared" si="27"/>
        <v>#NAME?</v>
      </c>
      <c r="L131" s="1125">
        <f>B140</f>
        <v>130</v>
      </c>
      <c r="M131" s="1126">
        <f>D140</f>
        <v>63.51</v>
      </c>
      <c r="N131" s="1126">
        <f>G140</f>
        <v>1.5</v>
      </c>
      <c r="O131" s="1127">
        <f>I140</f>
        <v>0.91200000000000003</v>
      </c>
    </row>
    <row r="132" spans="2:15" x14ac:dyDescent="0.2">
      <c r="B132" s="1164">
        <v>122</v>
      </c>
      <c r="C132" s="1131">
        <v>40</v>
      </c>
      <c r="D132" s="1132">
        <f t="shared" si="44"/>
        <v>63.69400000000001</v>
      </c>
      <c r="E132" s="1133">
        <f t="shared" si="25"/>
        <v>1.0202799823220001</v>
      </c>
      <c r="F132" s="1133">
        <f t="shared" si="28"/>
        <v>8.514649283381992</v>
      </c>
      <c r="G132" s="1132">
        <f t="shared" si="45"/>
        <v>1.6840000000000002</v>
      </c>
      <c r="H132" s="1134">
        <f t="shared" si="26"/>
        <v>1.6505273348277161</v>
      </c>
      <c r="I132" s="1135">
        <f t="shared" ref="I132:I139" si="46">FORECAST(B132,$O$130:$O$131,$L$130:$L$131)</f>
        <v>0.90880000000000005</v>
      </c>
      <c r="J132" s="1136" t="e">
        <f t="shared" si="27"/>
        <v>#NAME?</v>
      </c>
      <c r="L132" s="184"/>
      <c r="M132" s="1166"/>
      <c r="N132" s="1166"/>
      <c r="O132" s="1166"/>
    </row>
    <row r="133" spans="2:15" x14ac:dyDescent="0.2">
      <c r="B133" s="1164">
        <v>123</v>
      </c>
      <c r="C133" s="1131">
        <v>40</v>
      </c>
      <c r="D133" s="1132">
        <f t="shared" si="44"/>
        <v>63.671000000000006</v>
      </c>
      <c r="E133" s="1133">
        <f t="shared" si="25"/>
        <v>1.019911557673</v>
      </c>
      <c r="F133" s="1133">
        <f t="shared" si="28"/>
        <v>8.5115746306122197</v>
      </c>
      <c r="G133" s="1132">
        <f t="shared" si="45"/>
        <v>1.6610000000000005</v>
      </c>
      <c r="H133" s="1134">
        <f t="shared" si="26"/>
        <v>1.6285725830871933</v>
      </c>
      <c r="I133" s="1135">
        <f t="shared" si="46"/>
        <v>0.90920000000000001</v>
      </c>
      <c r="J133" s="1136" t="e">
        <f t="shared" si="27"/>
        <v>#NAME?</v>
      </c>
      <c r="L133" s="184"/>
      <c r="M133" s="1166"/>
      <c r="N133" s="1166"/>
      <c r="O133" s="1166"/>
    </row>
    <row r="134" spans="2:15" ht="13.5" thickBot="1" x14ac:dyDescent="0.25">
      <c r="B134" s="1174">
        <v>124</v>
      </c>
      <c r="C134" s="1142">
        <v>40</v>
      </c>
      <c r="D134" s="1143">
        <f t="shared" si="44"/>
        <v>63.64800000000001</v>
      </c>
      <c r="E134" s="1144">
        <f t="shared" si="25"/>
        <v>1.0195431330240001</v>
      </c>
      <c r="F134" s="1144">
        <f t="shared" si="28"/>
        <v>8.5084999778424493</v>
      </c>
      <c r="G134" s="1143">
        <f t="shared" si="45"/>
        <v>1.6380000000000003</v>
      </c>
      <c r="H134" s="1145">
        <f t="shared" si="26"/>
        <v>1.6066019640989939</v>
      </c>
      <c r="I134" s="1146">
        <f t="shared" si="46"/>
        <v>0.90960000000000008</v>
      </c>
      <c r="J134" s="1147" t="e">
        <f t="shared" si="27"/>
        <v>#NAME?</v>
      </c>
      <c r="L134" s="184"/>
      <c r="M134" s="1166"/>
      <c r="N134" s="1166"/>
      <c r="O134" s="1166"/>
    </row>
    <row r="135" spans="2:15" x14ac:dyDescent="0.2">
      <c r="B135" s="1172">
        <v>125</v>
      </c>
      <c r="C135" s="1149">
        <v>40</v>
      </c>
      <c r="D135" s="1150">
        <f t="shared" si="44"/>
        <v>63.625000000000007</v>
      </c>
      <c r="E135" s="1122">
        <f t="shared" si="25"/>
        <v>1.019174708375</v>
      </c>
      <c r="F135" s="1122">
        <f t="shared" si="28"/>
        <v>8.5054253250726788</v>
      </c>
      <c r="G135" s="1150">
        <f t="shared" si="45"/>
        <v>1.6150000000000002</v>
      </c>
      <c r="H135" s="1121">
        <f t="shared" si="26"/>
        <v>1.5846154606554164</v>
      </c>
      <c r="I135" s="1173">
        <f t="shared" si="46"/>
        <v>0.91</v>
      </c>
      <c r="J135" s="1124" t="e">
        <f t="shared" si="27"/>
        <v>#NAME?</v>
      </c>
      <c r="L135" s="184"/>
      <c r="M135" s="1166"/>
      <c r="N135" s="1166"/>
      <c r="O135" s="1166"/>
    </row>
    <row r="136" spans="2:15" x14ac:dyDescent="0.2">
      <c r="B136" s="1164">
        <v>126</v>
      </c>
      <c r="C136" s="1131">
        <v>40</v>
      </c>
      <c r="D136" s="1132">
        <f t="shared" si="44"/>
        <v>63.602000000000004</v>
      </c>
      <c r="E136" s="1133">
        <f t="shared" si="25"/>
        <v>1.0188062837260001</v>
      </c>
      <c r="F136" s="1133">
        <f t="shared" si="28"/>
        <v>8.5023506723029065</v>
      </c>
      <c r="G136" s="1132">
        <f t="shared" si="45"/>
        <v>1.5920000000000001</v>
      </c>
      <c r="H136" s="1134">
        <f t="shared" si="26"/>
        <v>1.5626130555238662</v>
      </c>
      <c r="I136" s="1135">
        <f t="shared" si="46"/>
        <v>0.91039999999999999</v>
      </c>
      <c r="J136" s="1136" t="e">
        <f t="shared" si="27"/>
        <v>#NAME?</v>
      </c>
      <c r="L136" s="184"/>
      <c r="M136" s="1166"/>
      <c r="N136" s="1166"/>
      <c r="O136" s="1166"/>
    </row>
    <row r="137" spans="2:15" x14ac:dyDescent="0.2">
      <c r="B137" s="1164">
        <v>127</v>
      </c>
      <c r="C137" s="1131">
        <v>40</v>
      </c>
      <c r="D137" s="1132">
        <f t="shared" si="44"/>
        <v>63.579000000000008</v>
      </c>
      <c r="E137" s="1133">
        <f t="shared" si="25"/>
        <v>1.0184378590770002</v>
      </c>
      <c r="F137" s="1133">
        <f t="shared" si="28"/>
        <v>8.4992760195331361</v>
      </c>
      <c r="G137" s="1132">
        <f t="shared" si="45"/>
        <v>1.5690000000000004</v>
      </c>
      <c r="H137" s="1134">
        <f t="shared" si="26"/>
        <v>1.5405947314468149</v>
      </c>
      <c r="I137" s="1135">
        <f t="shared" si="46"/>
        <v>0.91080000000000005</v>
      </c>
      <c r="J137" s="1136" t="e">
        <f t="shared" si="27"/>
        <v>#NAME?</v>
      </c>
      <c r="L137" s="184"/>
      <c r="M137" s="1166"/>
      <c r="N137" s="1166"/>
      <c r="O137" s="1166"/>
    </row>
    <row r="138" spans="2:15" x14ac:dyDescent="0.2">
      <c r="B138" s="1164">
        <v>128</v>
      </c>
      <c r="C138" s="1131">
        <v>40</v>
      </c>
      <c r="D138" s="1132">
        <f t="shared" si="44"/>
        <v>63.556000000000004</v>
      </c>
      <c r="E138" s="1133">
        <f t="shared" ref="E138:E201" si="47">D138*0.016018463</f>
        <v>1.0180694344280001</v>
      </c>
      <c r="F138" s="1133">
        <f t="shared" si="28"/>
        <v>8.4962013667633656</v>
      </c>
      <c r="G138" s="1132">
        <f t="shared" si="45"/>
        <v>1.5460000000000003</v>
      </c>
      <c r="H138" s="1134">
        <f t="shared" ref="H138:H201" si="48">G138/E138</f>
        <v>1.5185604711417513</v>
      </c>
      <c r="I138" s="1135">
        <f t="shared" si="46"/>
        <v>0.91120000000000001</v>
      </c>
      <c r="J138" s="1136" t="e">
        <f t="shared" ref="J138:J201" si="49">E138/VLOOKUP(60,Water,6,FALSE)</f>
        <v>#NAME?</v>
      </c>
      <c r="L138" s="184"/>
      <c r="M138" s="1166"/>
      <c r="N138" s="1166"/>
      <c r="O138" s="1166"/>
    </row>
    <row r="139" spans="2:15" ht="13.5" thickBot="1" x14ac:dyDescent="0.25">
      <c r="B139" s="1174">
        <v>129</v>
      </c>
      <c r="C139" s="1142">
        <v>40</v>
      </c>
      <c r="D139" s="1143">
        <f t="shared" si="44"/>
        <v>63.533000000000008</v>
      </c>
      <c r="E139" s="1144">
        <f t="shared" si="47"/>
        <v>1.0177010097790002</v>
      </c>
      <c r="F139" s="1144">
        <f t="shared" ref="F139:F202" si="50">D139/7.4805195</f>
        <v>8.4931267139935951</v>
      </c>
      <c r="G139" s="1143">
        <f t="shared" si="45"/>
        <v>1.5230000000000001</v>
      </c>
      <c r="H139" s="1145">
        <f t="shared" si="48"/>
        <v>1.4965102573011384</v>
      </c>
      <c r="I139" s="1135">
        <f t="shared" si="46"/>
        <v>0.91160000000000008</v>
      </c>
      <c r="J139" s="1147" t="e">
        <f t="shared" si="49"/>
        <v>#NAME?</v>
      </c>
      <c r="L139" s="184"/>
      <c r="M139" s="1166"/>
      <c r="N139" s="1166"/>
      <c r="O139" s="1166"/>
    </row>
    <row r="140" spans="2:15" x14ac:dyDescent="0.2">
      <c r="B140" s="1119">
        <v>130</v>
      </c>
      <c r="C140" s="1120">
        <v>40</v>
      </c>
      <c r="D140" s="1121">
        <v>63.51</v>
      </c>
      <c r="E140" s="1122">
        <f t="shared" si="47"/>
        <v>1.0173325851299999</v>
      </c>
      <c r="F140" s="1122">
        <f t="shared" si="50"/>
        <v>8.4900520612238228</v>
      </c>
      <c r="G140" s="1121">
        <v>1.5</v>
      </c>
      <c r="H140" s="1121">
        <f t="shared" si="48"/>
        <v>1.4744440725923691</v>
      </c>
      <c r="I140" s="1123">
        <v>0.91200000000000003</v>
      </c>
      <c r="J140" s="1124" t="e">
        <f t="shared" si="49"/>
        <v>#NAME?</v>
      </c>
      <c r="L140" s="1125">
        <f>B140</f>
        <v>130</v>
      </c>
      <c r="M140" s="1126">
        <f>D140</f>
        <v>63.51</v>
      </c>
      <c r="N140" s="1126">
        <f>G140</f>
        <v>1.5</v>
      </c>
      <c r="O140" s="1127">
        <f>I140</f>
        <v>0.91200000000000003</v>
      </c>
    </row>
    <row r="141" spans="2:15" x14ac:dyDescent="0.2">
      <c r="B141" s="1164">
        <v>131</v>
      </c>
      <c r="C141" s="1131">
        <v>40</v>
      </c>
      <c r="D141" s="1132">
        <f t="shared" ref="D141:D149" si="51">FORECAST(B141,$M$140:$M$141,$L$140:$L$141)</f>
        <v>63.486000000000004</v>
      </c>
      <c r="E141" s="1133">
        <f t="shared" si="47"/>
        <v>1.016948142018</v>
      </c>
      <c r="F141" s="1133">
        <f t="shared" si="50"/>
        <v>8.4868437278988456</v>
      </c>
      <c r="G141" s="1132">
        <f t="shared" ref="G141:G149" si="52">FORECAST(B141,$N$140:$N$141,$L$140:$L$141)</f>
        <v>1.4810000000000003</v>
      </c>
      <c r="H141" s="1134">
        <f t="shared" si="48"/>
        <v>1.4563181137841998</v>
      </c>
      <c r="I141" s="1135">
        <f>FORECAST(B141,$O$140:$O$141,$L$140:$L$141)</f>
        <v>0.91239999999999999</v>
      </c>
      <c r="J141" s="1136" t="e">
        <f t="shared" si="49"/>
        <v>#NAME?</v>
      </c>
      <c r="L141" s="1125">
        <f>B150</f>
        <v>140</v>
      </c>
      <c r="M141" s="1126">
        <f>D150</f>
        <v>63.27</v>
      </c>
      <c r="N141" s="1126">
        <f>G150</f>
        <v>1.31</v>
      </c>
      <c r="O141" s="1127">
        <f>I150</f>
        <v>0.91600000000000004</v>
      </c>
    </row>
    <row r="142" spans="2:15" x14ac:dyDescent="0.2">
      <c r="B142" s="1164">
        <v>132</v>
      </c>
      <c r="C142" s="1131">
        <v>40</v>
      </c>
      <c r="D142" s="1132">
        <f t="shared" si="51"/>
        <v>63.462000000000003</v>
      </c>
      <c r="E142" s="1133">
        <f t="shared" si="47"/>
        <v>1.0165636989060001</v>
      </c>
      <c r="F142" s="1133">
        <f t="shared" si="50"/>
        <v>8.4836353945738665</v>
      </c>
      <c r="G142" s="1132">
        <f t="shared" si="52"/>
        <v>1.4620000000000002</v>
      </c>
      <c r="H142" s="1134">
        <f t="shared" si="48"/>
        <v>1.4381784452596205</v>
      </c>
      <c r="I142" s="1135">
        <f t="shared" ref="I142:I149" si="53">FORECAST(B142,$O$140:$O$141,$L$140:$L$141)</f>
        <v>0.91280000000000006</v>
      </c>
      <c r="J142" s="1136" t="e">
        <f t="shared" si="49"/>
        <v>#NAME?</v>
      </c>
      <c r="L142" s="184"/>
      <c r="M142" s="1166"/>
      <c r="N142" s="1166"/>
      <c r="O142" s="1166"/>
    </row>
    <row r="143" spans="2:15" x14ac:dyDescent="0.2">
      <c r="B143" s="1164">
        <v>133</v>
      </c>
      <c r="C143" s="1131">
        <v>40</v>
      </c>
      <c r="D143" s="1132">
        <f t="shared" si="51"/>
        <v>63.438000000000009</v>
      </c>
      <c r="E143" s="1133">
        <f t="shared" si="47"/>
        <v>1.0161792557940001</v>
      </c>
      <c r="F143" s="1133">
        <f t="shared" si="50"/>
        <v>8.4804270612488892</v>
      </c>
      <c r="G143" s="1132">
        <f t="shared" si="52"/>
        <v>1.4430000000000001</v>
      </c>
      <c r="H143" s="1134">
        <f t="shared" si="48"/>
        <v>1.4200250514585637</v>
      </c>
      <c r="I143" s="1135">
        <f t="shared" si="53"/>
        <v>0.91320000000000001</v>
      </c>
      <c r="J143" s="1136" t="e">
        <f t="shared" si="49"/>
        <v>#NAME?</v>
      </c>
      <c r="L143" s="184"/>
      <c r="M143" s="1166"/>
      <c r="N143" s="1166"/>
      <c r="O143" s="1166"/>
    </row>
    <row r="144" spans="2:15" ht="13.5" thickBot="1" x14ac:dyDescent="0.25">
      <c r="B144" s="1174">
        <v>134</v>
      </c>
      <c r="C144" s="1142">
        <v>40</v>
      </c>
      <c r="D144" s="1143">
        <f t="shared" si="51"/>
        <v>63.414000000000009</v>
      </c>
      <c r="E144" s="1144">
        <f t="shared" si="47"/>
        <v>1.0157948126820002</v>
      </c>
      <c r="F144" s="1144">
        <f t="shared" si="50"/>
        <v>8.4772187279239102</v>
      </c>
      <c r="G144" s="1143">
        <f t="shared" si="52"/>
        <v>1.4240000000000004</v>
      </c>
      <c r="H144" s="1145">
        <f t="shared" si="48"/>
        <v>1.4018579167974063</v>
      </c>
      <c r="I144" s="1146">
        <f t="shared" si="53"/>
        <v>0.91360000000000008</v>
      </c>
      <c r="J144" s="1147" t="e">
        <f t="shared" si="49"/>
        <v>#NAME?</v>
      </c>
      <c r="L144" s="184"/>
      <c r="M144" s="1166"/>
      <c r="N144" s="1166"/>
      <c r="O144" s="1166"/>
    </row>
    <row r="145" spans="2:15" x14ac:dyDescent="0.2">
      <c r="B145" s="1172">
        <v>135</v>
      </c>
      <c r="C145" s="1149">
        <v>40</v>
      </c>
      <c r="D145" s="1150">
        <f t="shared" si="51"/>
        <v>63.390000000000008</v>
      </c>
      <c r="E145" s="1122">
        <f t="shared" si="47"/>
        <v>1.0154103695700001</v>
      </c>
      <c r="F145" s="1122">
        <f t="shared" si="50"/>
        <v>8.4740103945989329</v>
      </c>
      <c r="G145" s="1150">
        <f t="shared" si="52"/>
        <v>1.4050000000000002</v>
      </c>
      <c r="H145" s="1121">
        <f t="shared" si="48"/>
        <v>1.3836770256689237</v>
      </c>
      <c r="I145" s="1173">
        <f t="shared" si="53"/>
        <v>0.91400000000000003</v>
      </c>
      <c r="J145" s="1124" t="e">
        <f t="shared" si="49"/>
        <v>#NAME?</v>
      </c>
      <c r="L145" s="184"/>
      <c r="M145" s="1166"/>
      <c r="N145" s="1166"/>
      <c r="O145" s="1166"/>
    </row>
    <row r="146" spans="2:15" x14ac:dyDescent="0.2">
      <c r="B146" s="1164">
        <v>136</v>
      </c>
      <c r="C146" s="1131">
        <v>40</v>
      </c>
      <c r="D146" s="1132">
        <f t="shared" si="51"/>
        <v>63.366000000000007</v>
      </c>
      <c r="E146" s="1133">
        <f t="shared" si="47"/>
        <v>1.0150259264580002</v>
      </c>
      <c r="F146" s="1133">
        <f t="shared" si="50"/>
        <v>8.4708020612739539</v>
      </c>
      <c r="G146" s="1132">
        <f t="shared" si="52"/>
        <v>1.3860000000000001</v>
      </c>
      <c r="H146" s="1134">
        <f t="shared" si="48"/>
        <v>1.3654823624422465</v>
      </c>
      <c r="I146" s="1135">
        <f t="shared" si="53"/>
        <v>0.91439999999999999</v>
      </c>
      <c r="J146" s="1136" t="e">
        <f t="shared" si="49"/>
        <v>#NAME?</v>
      </c>
      <c r="L146" s="184"/>
      <c r="M146" s="1166"/>
      <c r="N146" s="1166"/>
      <c r="O146" s="1166"/>
    </row>
    <row r="147" spans="2:15" x14ac:dyDescent="0.2">
      <c r="B147" s="1164">
        <v>137</v>
      </c>
      <c r="C147" s="1131">
        <v>40</v>
      </c>
      <c r="D147" s="1132">
        <f t="shared" si="51"/>
        <v>63.342000000000006</v>
      </c>
      <c r="E147" s="1133">
        <f t="shared" si="47"/>
        <v>1.014641483346</v>
      </c>
      <c r="F147" s="1133">
        <f t="shared" si="50"/>
        <v>8.4675937279489766</v>
      </c>
      <c r="G147" s="1132">
        <f t="shared" si="52"/>
        <v>1.3670000000000004</v>
      </c>
      <c r="H147" s="1134">
        <f t="shared" si="48"/>
        <v>1.3472739114628174</v>
      </c>
      <c r="I147" s="1135">
        <f t="shared" si="53"/>
        <v>0.91480000000000006</v>
      </c>
      <c r="J147" s="1136" t="e">
        <f t="shared" si="49"/>
        <v>#NAME?</v>
      </c>
      <c r="L147" s="184"/>
      <c r="M147" s="1166"/>
      <c r="N147" s="1166"/>
      <c r="O147" s="1166"/>
    </row>
    <row r="148" spans="2:15" x14ac:dyDescent="0.2">
      <c r="B148" s="1164">
        <v>138</v>
      </c>
      <c r="C148" s="1131">
        <v>40</v>
      </c>
      <c r="D148" s="1132">
        <f t="shared" si="51"/>
        <v>63.318000000000012</v>
      </c>
      <c r="E148" s="1133">
        <f t="shared" si="47"/>
        <v>1.0142570402340001</v>
      </c>
      <c r="F148" s="1133">
        <f t="shared" si="50"/>
        <v>8.4643853946239975</v>
      </c>
      <c r="G148" s="1132">
        <f t="shared" si="52"/>
        <v>1.3480000000000003</v>
      </c>
      <c r="H148" s="1134">
        <f t="shared" si="48"/>
        <v>1.3290516570523405</v>
      </c>
      <c r="I148" s="1135">
        <f t="shared" si="53"/>
        <v>0.91520000000000001</v>
      </c>
      <c r="J148" s="1136" t="e">
        <f t="shared" si="49"/>
        <v>#NAME?</v>
      </c>
      <c r="L148" s="184"/>
      <c r="M148" s="1166"/>
      <c r="N148" s="1166"/>
      <c r="O148" s="1166"/>
    </row>
    <row r="149" spans="2:15" ht="13.5" thickBot="1" x14ac:dyDescent="0.25">
      <c r="B149" s="1174">
        <v>139</v>
      </c>
      <c r="C149" s="1142">
        <v>40</v>
      </c>
      <c r="D149" s="1143">
        <f t="shared" si="51"/>
        <v>63.294000000000011</v>
      </c>
      <c r="E149" s="1144">
        <f t="shared" si="47"/>
        <v>1.0138725971220002</v>
      </c>
      <c r="F149" s="1144">
        <f t="shared" si="50"/>
        <v>8.4611770612990203</v>
      </c>
      <c r="G149" s="1143">
        <f t="shared" si="52"/>
        <v>1.3290000000000002</v>
      </c>
      <c r="H149" s="1145">
        <f t="shared" si="48"/>
        <v>1.3108155835087438</v>
      </c>
      <c r="I149" s="1135">
        <f t="shared" si="53"/>
        <v>0.91560000000000008</v>
      </c>
      <c r="J149" s="1147" t="e">
        <f t="shared" si="49"/>
        <v>#NAME?</v>
      </c>
      <c r="L149" s="184"/>
      <c r="M149" s="1166"/>
      <c r="N149" s="1166"/>
      <c r="O149" s="1166"/>
    </row>
    <row r="150" spans="2:15" x14ac:dyDescent="0.2">
      <c r="B150" s="1119">
        <v>140</v>
      </c>
      <c r="C150" s="1120">
        <v>40</v>
      </c>
      <c r="D150" s="1121">
        <v>63.27</v>
      </c>
      <c r="E150" s="1122">
        <f t="shared" si="47"/>
        <v>1.01348815401</v>
      </c>
      <c r="F150" s="1122">
        <f t="shared" si="50"/>
        <v>8.4579687279740412</v>
      </c>
      <c r="G150" s="1121">
        <v>1.31</v>
      </c>
      <c r="H150" s="1121">
        <f t="shared" si="48"/>
        <v>1.292565675106129</v>
      </c>
      <c r="I150" s="1123">
        <v>0.91600000000000004</v>
      </c>
      <c r="J150" s="1124" t="e">
        <f t="shared" si="49"/>
        <v>#NAME?</v>
      </c>
      <c r="L150" s="1125">
        <f>B150</f>
        <v>140</v>
      </c>
      <c r="M150" s="1126">
        <f>D150</f>
        <v>63.27</v>
      </c>
      <c r="N150" s="1126">
        <f>G150</f>
        <v>1.31</v>
      </c>
      <c r="O150" s="1127">
        <f>I150</f>
        <v>0.91600000000000004</v>
      </c>
    </row>
    <row r="151" spans="2:15" x14ac:dyDescent="0.2">
      <c r="B151" s="1164">
        <v>141</v>
      </c>
      <c r="C151" s="1131">
        <v>40</v>
      </c>
      <c r="D151" s="1132">
        <f t="shared" ref="D151:D159" si="54">FORECAST(B151,$M$150:$M$151,$L$150:$L$151)</f>
        <v>63.245000000000012</v>
      </c>
      <c r="E151" s="1133">
        <f t="shared" si="47"/>
        <v>1.0130876924350003</v>
      </c>
      <c r="F151" s="1133">
        <f t="shared" si="50"/>
        <v>8.4546267140938554</v>
      </c>
      <c r="G151" s="1132">
        <f t="shared" ref="G151:G159" si="55">FORECAST(B151,$N$150:$N$151,$L$150:$L$151)</f>
        <v>1.2949999999999999</v>
      </c>
      <c r="H151" s="1134">
        <f t="shared" si="48"/>
        <v>1.2782703902832055</v>
      </c>
      <c r="I151" s="1135">
        <f>FORECAST(B151,$O$150:$O$151,$L$150:$L$151)</f>
        <v>0.91650000000000009</v>
      </c>
      <c r="J151" s="1136" t="e">
        <f t="shared" si="49"/>
        <v>#NAME?</v>
      </c>
      <c r="L151" s="1125">
        <f>B160</f>
        <v>150</v>
      </c>
      <c r="M151" s="1126">
        <f>D160</f>
        <v>63.02</v>
      </c>
      <c r="N151" s="1126">
        <f>G160</f>
        <v>1.1599999999999999</v>
      </c>
      <c r="O151" s="1127">
        <f>I160</f>
        <v>0.92100000000000004</v>
      </c>
    </row>
    <row r="152" spans="2:15" x14ac:dyDescent="0.2">
      <c r="B152" s="1164">
        <v>142</v>
      </c>
      <c r="C152" s="1131">
        <v>40</v>
      </c>
      <c r="D152" s="1132">
        <f t="shared" si="54"/>
        <v>63.220000000000013</v>
      </c>
      <c r="E152" s="1133">
        <f t="shared" si="47"/>
        <v>1.0126872308600001</v>
      </c>
      <c r="F152" s="1133">
        <f t="shared" si="50"/>
        <v>8.4512847002136695</v>
      </c>
      <c r="G152" s="1132">
        <f t="shared" si="55"/>
        <v>1.2800000000000002</v>
      </c>
      <c r="H152" s="1134">
        <f t="shared" si="48"/>
        <v>1.2639637994773483</v>
      </c>
      <c r="I152" s="1135">
        <f t="shared" ref="I152:I159" si="56">FORECAST(B152,$O$150:$O$151,$L$150:$L$151)</f>
        <v>0.91700000000000015</v>
      </c>
      <c r="J152" s="1136" t="e">
        <f t="shared" si="49"/>
        <v>#NAME?</v>
      </c>
      <c r="L152" s="184"/>
      <c r="M152" s="1166"/>
      <c r="N152" s="1166"/>
      <c r="O152" s="1166"/>
    </row>
    <row r="153" spans="2:15" x14ac:dyDescent="0.2">
      <c r="B153" s="1164">
        <v>143</v>
      </c>
      <c r="C153" s="1131">
        <v>40</v>
      </c>
      <c r="D153" s="1132">
        <f t="shared" si="54"/>
        <v>63.195000000000007</v>
      </c>
      <c r="E153" s="1133">
        <f t="shared" si="47"/>
        <v>1.0122867692850002</v>
      </c>
      <c r="F153" s="1133">
        <f t="shared" si="50"/>
        <v>8.4479426863334837</v>
      </c>
      <c r="G153" s="1132">
        <f t="shared" si="55"/>
        <v>1.2650000000000001</v>
      </c>
      <c r="H153" s="1134">
        <f t="shared" si="48"/>
        <v>1.2496458892705835</v>
      </c>
      <c r="I153" s="1135">
        <f t="shared" si="56"/>
        <v>0.9175000000000002</v>
      </c>
      <c r="J153" s="1136" t="e">
        <f t="shared" si="49"/>
        <v>#NAME?</v>
      </c>
      <c r="L153" s="184"/>
      <c r="M153" s="1166"/>
      <c r="N153" s="1166"/>
      <c r="O153" s="1166"/>
    </row>
    <row r="154" spans="2:15" ht="13.5" thickBot="1" x14ac:dyDescent="0.25">
      <c r="B154" s="1174">
        <v>144</v>
      </c>
      <c r="C154" s="1142">
        <v>40</v>
      </c>
      <c r="D154" s="1143">
        <f t="shared" si="54"/>
        <v>63.170000000000009</v>
      </c>
      <c r="E154" s="1144">
        <f t="shared" si="47"/>
        <v>1.0118863077100002</v>
      </c>
      <c r="F154" s="1144">
        <f t="shared" si="50"/>
        <v>8.4446006724532978</v>
      </c>
      <c r="G154" s="1143">
        <f t="shared" si="55"/>
        <v>1.25</v>
      </c>
      <c r="H154" s="1145">
        <f t="shared" si="48"/>
        <v>1.2353166462236997</v>
      </c>
      <c r="I154" s="1146">
        <f t="shared" si="56"/>
        <v>0.91800000000000015</v>
      </c>
      <c r="J154" s="1147" t="e">
        <f t="shared" si="49"/>
        <v>#NAME?</v>
      </c>
      <c r="L154" s="184"/>
      <c r="M154" s="1166"/>
      <c r="N154" s="1166"/>
      <c r="O154" s="1166"/>
    </row>
    <row r="155" spans="2:15" x14ac:dyDescent="0.2">
      <c r="B155" s="1172">
        <v>145</v>
      </c>
      <c r="C155" s="1149">
        <v>40</v>
      </c>
      <c r="D155" s="1150">
        <f t="shared" si="54"/>
        <v>63.14500000000001</v>
      </c>
      <c r="E155" s="1122">
        <f t="shared" si="47"/>
        <v>1.0114858461350003</v>
      </c>
      <c r="F155" s="1122">
        <f t="shared" si="50"/>
        <v>8.441258658573112</v>
      </c>
      <c r="G155" s="1150">
        <f t="shared" si="55"/>
        <v>1.2349999999999999</v>
      </c>
      <c r="H155" s="1121">
        <f t="shared" si="48"/>
        <v>1.2209760568762005</v>
      </c>
      <c r="I155" s="1173">
        <f t="shared" si="56"/>
        <v>0.91850000000000009</v>
      </c>
      <c r="J155" s="1124" t="e">
        <f t="shared" si="49"/>
        <v>#NAME?</v>
      </c>
      <c r="L155" s="184"/>
      <c r="M155" s="1166"/>
      <c r="N155" s="1166"/>
      <c r="O155" s="1166"/>
    </row>
    <row r="156" spans="2:15" x14ac:dyDescent="0.2">
      <c r="B156" s="1164">
        <v>146</v>
      </c>
      <c r="C156" s="1131">
        <v>40</v>
      </c>
      <c r="D156" s="1132">
        <f t="shared" si="54"/>
        <v>63.120000000000012</v>
      </c>
      <c r="E156" s="1133">
        <f t="shared" si="47"/>
        <v>1.0110853845600003</v>
      </c>
      <c r="F156" s="1133">
        <f t="shared" si="50"/>
        <v>8.4379166446929279</v>
      </c>
      <c r="G156" s="1132">
        <f t="shared" si="55"/>
        <v>1.2199999999999998</v>
      </c>
      <c r="H156" s="1134">
        <f t="shared" si="48"/>
        <v>1.2066241077462652</v>
      </c>
      <c r="I156" s="1135">
        <f t="shared" si="56"/>
        <v>0.91900000000000015</v>
      </c>
      <c r="J156" s="1136" t="e">
        <f t="shared" si="49"/>
        <v>#NAME?</v>
      </c>
      <c r="L156" s="184"/>
      <c r="M156" s="1166"/>
      <c r="N156" s="1166"/>
      <c r="O156" s="1166"/>
    </row>
    <row r="157" spans="2:15" x14ac:dyDescent="0.2">
      <c r="B157" s="1164">
        <v>147</v>
      </c>
      <c r="C157" s="1131">
        <v>40</v>
      </c>
      <c r="D157" s="1132">
        <f t="shared" si="54"/>
        <v>63.095000000000013</v>
      </c>
      <c r="E157" s="1133">
        <f t="shared" si="47"/>
        <v>1.0106849229850001</v>
      </c>
      <c r="F157" s="1133">
        <f t="shared" si="50"/>
        <v>8.4345746308127421</v>
      </c>
      <c r="G157" s="1132">
        <f t="shared" si="55"/>
        <v>1.2050000000000001</v>
      </c>
      <c r="H157" s="1134">
        <f t="shared" si="48"/>
        <v>1.1922607853307057</v>
      </c>
      <c r="I157" s="1135">
        <f t="shared" si="56"/>
        <v>0.91950000000000021</v>
      </c>
      <c r="J157" s="1136" t="e">
        <f t="shared" si="49"/>
        <v>#NAME?</v>
      </c>
      <c r="L157" s="184"/>
      <c r="M157" s="1166"/>
      <c r="N157" s="1166"/>
      <c r="O157" s="1166"/>
    </row>
    <row r="158" spans="2:15" x14ac:dyDescent="0.2">
      <c r="B158" s="1164">
        <v>148</v>
      </c>
      <c r="C158" s="1131">
        <v>40</v>
      </c>
      <c r="D158" s="1132">
        <f t="shared" si="54"/>
        <v>63.070000000000007</v>
      </c>
      <c r="E158" s="1133">
        <f t="shared" si="47"/>
        <v>1.0102844614100002</v>
      </c>
      <c r="F158" s="1133">
        <f t="shared" si="50"/>
        <v>8.4312326169325544</v>
      </c>
      <c r="G158" s="1132">
        <f t="shared" si="55"/>
        <v>1.19</v>
      </c>
      <c r="H158" s="1134">
        <f t="shared" si="48"/>
        <v>1.1778860761049224</v>
      </c>
      <c r="I158" s="1135">
        <f t="shared" si="56"/>
        <v>0.92000000000000015</v>
      </c>
      <c r="J158" s="1136" t="e">
        <f t="shared" si="49"/>
        <v>#NAME?</v>
      </c>
      <c r="L158" s="184"/>
      <c r="M158" s="1166"/>
      <c r="N158" s="1166"/>
      <c r="O158" s="1166"/>
    </row>
    <row r="159" spans="2:15" ht="13.5" thickBot="1" x14ac:dyDescent="0.25">
      <c r="B159" s="1174">
        <v>149</v>
      </c>
      <c r="C159" s="1142">
        <v>40</v>
      </c>
      <c r="D159" s="1143">
        <f t="shared" si="54"/>
        <v>63.045000000000009</v>
      </c>
      <c r="E159" s="1144">
        <f t="shared" si="47"/>
        <v>1.0098839998350002</v>
      </c>
      <c r="F159" s="1144">
        <f t="shared" si="50"/>
        <v>8.4278906030523704</v>
      </c>
      <c r="G159" s="1143">
        <f t="shared" si="55"/>
        <v>1.1749999999999998</v>
      </c>
      <c r="H159" s="1145">
        <f t="shared" si="48"/>
        <v>1.1634999665228651</v>
      </c>
      <c r="I159" s="1135">
        <f t="shared" si="56"/>
        <v>0.9205000000000001</v>
      </c>
      <c r="J159" s="1147" t="e">
        <f t="shared" si="49"/>
        <v>#NAME?</v>
      </c>
      <c r="L159" s="184"/>
      <c r="M159" s="1166"/>
      <c r="N159" s="1166"/>
      <c r="O159" s="1166"/>
    </row>
    <row r="160" spans="2:15" x14ac:dyDescent="0.2">
      <c r="B160" s="1119">
        <v>150</v>
      </c>
      <c r="C160" s="1120">
        <v>40</v>
      </c>
      <c r="D160" s="1121">
        <v>63.02</v>
      </c>
      <c r="E160" s="1122">
        <f t="shared" si="47"/>
        <v>1.00948353826</v>
      </c>
      <c r="F160" s="1122">
        <f t="shared" si="50"/>
        <v>8.4245485891721827</v>
      </c>
      <c r="G160" s="1121">
        <v>1.1599999999999999</v>
      </c>
      <c r="H160" s="1121">
        <f t="shared" si="48"/>
        <v>1.1491024430169887</v>
      </c>
      <c r="I160" s="1123">
        <v>0.92100000000000004</v>
      </c>
      <c r="J160" s="1124" t="e">
        <f t="shared" si="49"/>
        <v>#NAME?</v>
      </c>
      <c r="L160" s="1125">
        <f>B160</f>
        <v>150</v>
      </c>
      <c r="M160" s="1126">
        <f>D160</f>
        <v>63.02</v>
      </c>
      <c r="N160" s="1126">
        <f>G160</f>
        <v>1.1599999999999999</v>
      </c>
      <c r="O160" s="1127">
        <f>I160</f>
        <v>0.92100000000000004</v>
      </c>
    </row>
    <row r="161" spans="2:15" x14ac:dyDescent="0.2">
      <c r="B161" s="1164">
        <v>151</v>
      </c>
      <c r="C161" s="1131">
        <v>40</v>
      </c>
      <c r="D161" s="1132">
        <f t="shared" ref="D161:D169" si="57">FORECAST(B161,$M$160:$M$161,$L$160:$L$161)</f>
        <v>62.993999999999993</v>
      </c>
      <c r="E161" s="1133">
        <f t="shared" si="47"/>
        <v>1.0090670582219998</v>
      </c>
      <c r="F161" s="1133">
        <f t="shared" si="50"/>
        <v>8.4210728947367883</v>
      </c>
      <c r="G161" s="1132">
        <f t="shared" ref="G161:G169" si="58">FORECAST(B161,$N$160:$N$161,$L$160:$L$161)</f>
        <v>1.1479999999999999</v>
      </c>
      <c r="H161" s="1134">
        <f t="shared" si="48"/>
        <v>1.1376845479653288</v>
      </c>
      <c r="I161" s="1135">
        <f>FORECAST(B161,$O$160:$O$161,$L$160:$L$161)</f>
        <v>0.9214</v>
      </c>
      <c r="J161" s="1136" t="e">
        <f t="shared" si="49"/>
        <v>#NAME?</v>
      </c>
      <c r="L161" s="1125">
        <f>B170</f>
        <v>160</v>
      </c>
      <c r="M161" s="1126">
        <f>D170</f>
        <v>62.76</v>
      </c>
      <c r="N161" s="1126">
        <f>G170</f>
        <v>1.04</v>
      </c>
      <c r="O161" s="1127">
        <f>I170</f>
        <v>0.92500000000000004</v>
      </c>
    </row>
    <row r="162" spans="2:15" x14ac:dyDescent="0.2">
      <c r="B162" s="1164">
        <v>152</v>
      </c>
      <c r="C162" s="1131">
        <v>40</v>
      </c>
      <c r="D162" s="1132">
        <f t="shared" si="57"/>
        <v>62.967999999999996</v>
      </c>
      <c r="E162" s="1133">
        <f t="shared" si="47"/>
        <v>1.0086505781840001</v>
      </c>
      <c r="F162" s="1133">
        <f t="shared" si="50"/>
        <v>8.4175972003013957</v>
      </c>
      <c r="G162" s="1132">
        <f t="shared" si="58"/>
        <v>1.1359999999999999</v>
      </c>
      <c r="H162" s="1134">
        <f t="shared" si="48"/>
        <v>1.126257223829964</v>
      </c>
      <c r="I162" s="1135">
        <f t="shared" ref="I162:I169" si="59">FORECAST(B162,$O$160:$O$161,$L$160:$L$161)</f>
        <v>0.92180000000000006</v>
      </c>
      <c r="J162" s="1136" t="e">
        <f t="shared" si="49"/>
        <v>#NAME?</v>
      </c>
      <c r="L162" s="184"/>
      <c r="M162" s="1166"/>
      <c r="N162" s="1166"/>
      <c r="O162" s="1166"/>
    </row>
    <row r="163" spans="2:15" x14ac:dyDescent="0.2">
      <c r="B163" s="1164">
        <v>153</v>
      </c>
      <c r="C163" s="1131">
        <v>40</v>
      </c>
      <c r="D163" s="1132">
        <f t="shared" si="57"/>
        <v>62.941999999999993</v>
      </c>
      <c r="E163" s="1133">
        <f t="shared" si="47"/>
        <v>1.0082340981459998</v>
      </c>
      <c r="F163" s="1133">
        <f t="shared" si="50"/>
        <v>8.414121505866003</v>
      </c>
      <c r="G163" s="1132">
        <f t="shared" si="58"/>
        <v>1.1240000000000001</v>
      </c>
      <c r="H163" s="1134">
        <f t="shared" si="48"/>
        <v>1.1148204589260347</v>
      </c>
      <c r="I163" s="1135">
        <f t="shared" si="59"/>
        <v>0.92220000000000002</v>
      </c>
      <c r="J163" s="1136" t="e">
        <f t="shared" si="49"/>
        <v>#NAME?</v>
      </c>
      <c r="L163" s="184"/>
      <c r="M163" s="1166"/>
      <c r="N163" s="1166"/>
      <c r="O163" s="1166"/>
    </row>
    <row r="164" spans="2:15" ht="13.5" thickBot="1" x14ac:dyDescent="0.25">
      <c r="B164" s="1174">
        <v>154</v>
      </c>
      <c r="C164" s="1142">
        <v>40</v>
      </c>
      <c r="D164" s="1143">
        <f t="shared" si="57"/>
        <v>62.915999999999997</v>
      </c>
      <c r="E164" s="1144">
        <f t="shared" si="47"/>
        <v>1.0078176181079999</v>
      </c>
      <c r="F164" s="1144">
        <f t="shared" si="50"/>
        <v>8.4106458114306104</v>
      </c>
      <c r="G164" s="1143">
        <f t="shared" si="58"/>
        <v>1.1120000000000001</v>
      </c>
      <c r="H164" s="1145">
        <f t="shared" si="48"/>
        <v>1.1033742415493633</v>
      </c>
      <c r="I164" s="1146">
        <f t="shared" si="59"/>
        <v>0.92260000000000009</v>
      </c>
      <c r="J164" s="1147" t="e">
        <f t="shared" si="49"/>
        <v>#NAME?</v>
      </c>
      <c r="L164" s="184"/>
      <c r="M164" s="1166"/>
      <c r="N164" s="1166"/>
      <c r="O164" s="1166"/>
    </row>
    <row r="165" spans="2:15" x14ac:dyDescent="0.2">
      <c r="B165" s="1172">
        <v>155</v>
      </c>
      <c r="C165" s="1149">
        <v>40</v>
      </c>
      <c r="D165" s="1150">
        <f t="shared" si="57"/>
        <v>62.889999999999993</v>
      </c>
      <c r="E165" s="1122">
        <f t="shared" si="47"/>
        <v>1.0074011380699999</v>
      </c>
      <c r="F165" s="1122">
        <f t="shared" si="50"/>
        <v>8.407170116995216</v>
      </c>
      <c r="G165" s="1150">
        <f t="shared" si="58"/>
        <v>1.1000000000000001</v>
      </c>
      <c r="H165" s="1121">
        <f t="shared" si="48"/>
        <v>1.0919185599764192</v>
      </c>
      <c r="I165" s="1173">
        <f t="shared" si="59"/>
        <v>0.92300000000000004</v>
      </c>
      <c r="J165" s="1124" t="e">
        <f t="shared" si="49"/>
        <v>#NAME?</v>
      </c>
      <c r="L165" s="184"/>
      <c r="M165" s="1166"/>
      <c r="N165" s="1166"/>
      <c r="O165" s="1166"/>
    </row>
    <row r="166" spans="2:15" x14ac:dyDescent="0.2">
      <c r="B166" s="1164">
        <v>156</v>
      </c>
      <c r="C166" s="1131">
        <v>40</v>
      </c>
      <c r="D166" s="1132">
        <f t="shared" si="57"/>
        <v>62.86399999999999</v>
      </c>
      <c r="E166" s="1133">
        <f t="shared" si="47"/>
        <v>1.0069846580319999</v>
      </c>
      <c r="F166" s="1133">
        <f t="shared" si="50"/>
        <v>8.4036944225598234</v>
      </c>
      <c r="G166" s="1132">
        <f t="shared" si="58"/>
        <v>1.0880000000000001</v>
      </c>
      <c r="H166" s="1134">
        <f t="shared" si="48"/>
        <v>1.0804534024642765</v>
      </c>
      <c r="I166" s="1135">
        <f t="shared" si="59"/>
        <v>0.9234</v>
      </c>
      <c r="J166" s="1136" t="e">
        <f t="shared" si="49"/>
        <v>#NAME?</v>
      </c>
      <c r="L166" s="184"/>
      <c r="M166" s="1166"/>
      <c r="N166" s="1166"/>
      <c r="O166" s="1166"/>
    </row>
    <row r="167" spans="2:15" x14ac:dyDescent="0.2">
      <c r="B167" s="1164">
        <v>157</v>
      </c>
      <c r="C167" s="1131">
        <v>40</v>
      </c>
      <c r="D167" s="1132">
        <f t="shared" si="57"/>
        <v>62.837999999999994</v>
      </c>
      <c r="E167" s="1133">
        <f t="shared" si="47"/>
        <v>1.0065681779939999</v>
      </c>
      <c r="F167" s="1133">
        <f t="shared" si="50"/>
        <v>8.4002187281244307</v>
      </c>
      <c r="G167" s="1132">
        <f t="shared" si="58"/>
        <v>1.0760000000000001</v>
      </c>
      <c r="H167" s="1134">
        <f t="shared" si="48"/>
        <v>1.0689787572505736</v>
      </c>
      <c r="I167" s="1135">
        <f t="shared" si="59"/>
        <v>0.92380000000000007</v>
      </c>
      <c r="J167" s="1136" t="e">
        <f t="shared" si="49"/>
        <v>#NAME?</v>
      </c>
      <c r="L167" s="184"/>
      <c r="M167" s="1166"/>
      <c r="N167" s="1166"/>
      <c r="O167" s="1166"/>
    </row>
    <row r="168" spans="2:15" x14ac:dyDescent="0.2">
      <c r="B168" s="1164">
        <v>158</v>
      </c>
      <c r="C168" s="1131">
        <v>40</v>
      </c>
      <c r="D168" s="1132">
        <f t="shared" si="57"/>
        <v>62.811999999999991</v>
      </c>
      <c r="E168" s="1133">
        <f t="shared" si="47"/>
        <v>1.0061516979559999</v>
      </c>
      <c r="F168" s="1133">
        <f t="shared" si="50"/>
        <v>8.3967430336890363</v>
      </c>
      <c r="G168" s="1132">
        <f t="shared" si="58"/>
        <v>1.0640000000000001</v>
      </c>
      <c r="H168" s="1134">
        <f t="shared" si="48"/>
        <v>1.0574946125534739</v>
      </c>
      <c r="I168" s="1135">
        <f t="shared" si="59"/>
        <v>0.92420000000000002</v>
      </c>
      <c r="J168" s="1136" t="e">
        <f t="shared" si="49"/>
        <v>#NAME?</v>
      </c>
      <c r="L168" s="184"/>
      <c r="M168" s="1166"/>
      <c r="N168" s="1166"/>
      <c r="O168" s="1166"/>
    </row>
    <row r="169" spans="2:15" ht="13.5" thickBot="1" x14ac:dyDescent="0.25">
      <c r="B169" s="1174">
        <v>159</v>
      </c>
      <c r="C169" s="1142">
        <v>40</v>
      </c>
      <c r="D169" s="1143">
        <f t="shared" si="57"/>
        <v>62.785999999999994</v>
      </c>
      <c r="E169" s="1144">
        <f t="shared" si="47"/>
        <v>1.0057352179179999</v>
      </c>
      <c r="F169" s="1144">
        <f t="shared" si="50"/>
        <v>8.3932673392536437</v>
      </c>
      <c r="G169" s="1143">
        <f t="shared" si="58"/>
        <v>1.052</v>
      </c>
      <c r="H169" s="1145">
        <f t="shared" si="48"/>
        <v>1.0460009565716255</v>
      </c>
      <c r="I169" s="1135">
        <f t="shared" si="59"/>
        <v>0.92460000000000009</v>
      </c>
      <c r="J169" s="1147" t="e">
        <f t="shared" si="49"/>
        <v>#NAME?</v>
      </c>
      <c r="L169" s="184"/>
      <c r="M169" s="1166"/>
      <c r="N169" s="1166"/>
      <c r="O169" s="1166"/>
    </row>
    <row r="170" spans="2:15" x14ac:dyDescent="0.2">
      <c r="B170" s="1119">
        <v>160</v>
      </c>
      <c r="C170" s="1120">
        <v>40</v>
      </c>
      <c r="D170" s="1121">
        <v>62.76</v>
      </c>
      <c r="E170" s="1122">
        <f t="shared" si="47"/>
        <v>1.0053187378799999</v>
      </c>
      <c r="F170" s="1122">
        <f t="shared" si="50"/>
        <v>8.389791644818251</v>
      </c>
      <c r="G170" s="1121">
        <v>1.04</v>
      </c>
      <c r="H170" s="1121">
        <f t="shared" si="48"/>
        <v>1.0344977774841195</v>
      </c>
      <c r="I170" s="1123">
        <v>0.92500000000000004</v>
      </c>
      <c r="J170" s="1124" t="e">
        <f t="shared" si="49"/>
        <v>#NAME?</v>
      </c>
      <c r="L170" s="1125">
        <f>B170</f>
        <v>160</v>
      </c>
      <c r="M170" s="1126">
        <f>D170</f>
        <v>62.76</v>
      </c>
      <c r="N170" s="1126">
        <f>G170</f>
        <v>1.04</v>
      </c>
      <c r="O170" s="1127">
        <f>I170</f>
        <v>0.92500000000000004</v>
      </c>
    </row>
    <row r="171" spans="2:15" x14ac:dyDescent="0.2">
      <c r="B171" s="1164">
        <v>161</v>
      </c>
      <c r="C171" s="1131">
        <v>40</v>
      </c>
      <c r="D171" s="1132">
        <f t="shared" ref="D171:D179" si="60">FORECAST(B171,$M$170:$M$171,$L$170:$L$171)</f>
        <v>62.73299999999999</v>
      </c>
      <c r="E171" s="1133">
        <f t="shared" si="47"/>
        <v>1.0048862393789999</v>
      </c>
      <c r="F171" s="1133">
        <f t="shared" si="50"/>
        <v>8.3861822698276498</v>
      </c>
      <c r="G171" s="1132">
        <f t="shared" ref="G171:G179" si="61">FORECAST(B171,$N$170:$N$171,$L$170:$L$171)</f>
        <v>1.0289999999999999</v>
      </c>
      <c r="H171" s="1134">
        <f t="shared" si="48"/>
        <v>1.0239965079389501</v>
      </c>
      <c r="I171" s="1135">
        <f>FORECAST(B171,$O$170:$O$171,$L$170:$L$171)</f>
        <v>0.9254</v>
      </c>
      <c r="J171" s="1136" t="e">
        <f t="shared" si="49"/>
        <v>#NAME?</v>
      </c>
      <c r="L171" s="1125">
        <f>B180</f>
        <v>170</v>
      </c>
      <c r="M171" s="1126">
        <f>D180</f>
        <v>62.49</v>
      </c>
      <c r="N171" s="1126">
        <f>G180</f>
        <v>0.93</v>
      </c>
      <c r="O171" s="1127">
        <f>I180</f>
        <v>0.92900000000000005</v>
      </c>
    </row>
    <row r="172" spans="2:15" x14ac:dyDescent="0.2">
      <c r="B172" s="1164">
        <v>162</v>
      </c>
      <c r="C172" s="1131">
        <v>40</v>
      </c>
      <c r="D172" s="1132">
        <f t="shared" si="60"/>
        <v>62.705999999999989</v>
      </c>
      <c r="E172" s="1133">
        <f t="shared" si="47"/>
        <v>1.0044537408779999</v>
      </c>
      <c r="F172" s="1133">
        <f t="shared" si="50"/>
        <v>8.3825728948370486</v>
      </c>
      <c r="G172" s="1132">
        <f t="shared" si="61"/>
        <v>1.018</v>
      </c>
      <c r="H172" s="1134">
        <f t="shared" si="48"/>
        <v>1.0134861951035787</v>
      </c>
      <c r="I172" s="1135">
        <f t="shared" ref="I172:I179" si="62">FORECAST(B172,$O$170:$O$171,$L$170:$L$171)</f>
        <v>0.92580000000000007</v>
      </c>
      <c r="J172" s="1136" t="e">
        <f t="shared" si="49"/>
        <v>#NAME?</v>
      </c>
      <c r="L172" s="184"/>
      <c r="M172" s="1166"/>
      <c r="N172" s="1166"/>
      <c r="O172" s="1166"/>
    </row>
    <row r="173" spans="2:15" x14ac:dyDescent="0.2">
      <c r="B173" s="1164">
        <v>163</v>
      </c>
      <c r="C173" s="1131">
        <v>40</v>
      </c>
      <c r="D173" s="1132">
        <f t="shared" si="60"/>
        <v>62.678999999999995</v>
      </c>
      <c r="E173" s="1133">
        <f t="shared" si="47"/>
        <v>1.0040212423769999</v>
      </c>
      <c r="F173" s="1133">
        <f t="shared" si="50"/>
        <v>8.3789635198464492</v>
      </c>
      <c r="G173" s="1132">
        <f t="shared" si="61"/>
        <v>1.0069999999999999</v>
      </c>
      <c r="H173" s="1134">
        <f t="shared" si="48"/>
        <v>1.0029668272913708</v>
      </c>
      <c r="I173" s="1135">
        <f t="shared" si="62"/>
        <v>0.92620000000000002</v>
      </c>
      <c r="J173" s="1136" t="e">
        <f t="shared" si="49"/>
        <v>#NAME?</v>
      </c>
      <c r="L173" s="184"/>
      <c r="M173" s="1166"/>
      <c r="N173" s="1166"/>
      <c r="O173" s="1166"/>
    </row>
    <row r="174" spans="2:15" ht="13.5" thickBot="1" x14ac:dyDescent="0.25">
      <c r="B174" s="1174">
        <v>164</v>
      </c>
      <c r="C174" s="1142">
        <v>40</v>
      </c>
      <c r="D174" s="1143">
        <f t="shared" si="60"/>
        <v>62.651999999999994</v>
      </c>
      <c r="E174" s="1144">
        <f t="shared" si="47"/>
        <v>1.0035887438759998</v>
      </c>
      <c r="F174" s="1144">
        <f t="shared" si="50"/>
        <v>8.3753541448558479</v>
      </c>
      <c r="G174" s="1143">
        <f t="shared" si="61"/>
        <v>0.996</v>
      </c>
      <c r="H174" s="1145">
        <f t="shared" si="48"/>
        <v>0.99243839279554791</v>
      </c>
      <c r="I174" s="1146">
        <f t="shared" si="62"/>
        <v>0.92660000000000009</v>
      </c>
      <c r="J174" s="1147" t="e">
        <f t="shared" si="49"/>
        <v>#NAME?</v>
      </c>
      <c r="L174" s="184"/>
      <c r="M174" s="1166"/>
      <c r="N174" s="1166"/>
      <c r="O174" s="1166"/>
    </row>
    <row r="175" spans="2:15" x14ac:dyDescent="0.2">
      <c r="B175" s="1172">
        <v>165</v>
      </c>
      <c r="C175" s="1149">
        <v>40</v>
      </c>
      <c r="D175" s="1150">
        <f t="shared" si="60"/>
        <v>62.624999999999993</v>
      </c>
      <c r="E175" s="1122">
        <f t="shared" si="47"/>
        <v>1.0031562453749998</v>
      </c>
      <c r="F175" s="1122">
        <f t="shared" si="50"/>
        <v>8.3717447698652467</v>
      </c>
      <c r="G175" s="1150">
        <f t="shared" si="61"/>
        <v>0.98499999999999988</v>
      </c>
      <c r="H175" s="1121">
        <f t="shared" si="48"/>
        <v>0.98190087988914154</v>
      </c>
      <c r="I175" s="1173">
        <f t="shared" si="62"/>
        <v>0.92700000000000005</v>
      </c>
      <c r="J175" s="1124" t="e">
        <f t="shared" si="49"/>
        <v>#NAME?</v>
      </c>
      <c r="L175" s="184"/>
      <c r="M175" s="1166"/>
      <c r="N175" s="1166"/>
      <c r="O175" s="1166"/>
    </row>
    <row r="176" spans="2:15" x14ac:dyDescent="0.2">
      <c r="B176" s="1164">
        <v>166</v>
      </c>
      <c r="C176" s="1131">
        <v>40</v>
      </c>
      <c r="D176" s="1132">
        <f t="shared" si="60"/>
        <v>62.597999999999992</v>
      </c>
      <c r="E176" s="1133">
        <f t="shared" si="47"/>
        <v>1.0027237468739998</v>
      </c>
      <c r="F176" s="1133">
        <f t="shared" si="50"/>
        <v>8.3681353948746473</v>
      </c>
      <c r="G176" s="1132">
        <f t="shared" si="61"/>
        <v>0.97399999999999998</v>
      </c>
      <c r="H176" s="1134">
        <f t="shared" si="48"/>
        <v>0.97135427682495168</v>
      </c>
      <c r="I176" s="1135">
        <f t="shared" si="62"/>
        <v>0.9274</v>
      </c>
      <c r="J176" s="1136" t="e">
        <f t="shared" si="49"/>
        <v>#NAME?</v>
      </c>
      <c r="L176" s="184"/>
      <c r="M176" s="1166"/>
      <c r="N176" s="1166"/>
      <c r="O176" s="1166"/>
    </row>
    <row r="177" spans="2:15" x14ac:dyDescent="0.2">
      <c r="B177" s="1164">
        <v>167</v>
      </c>
      <c r="C177" s="1131">
        <v>40</v>
      </c>
      <c r="D177" s="1132">
        <f t="shared" si="60"/>
        <v>62.570999999999991</v>
      </c>
      <c r="E177" s="1133">
        <f t="shared" si="47"/>
        <v>1.0022912483729998</v>
      </c>
      <c r="F177" s="1133">
        <f t="shared" si="50"/>
        <v>8.3645260198840461</v>
      </c>
      <c r="G177" s="1132">
        <f t="shared" si="61"/>
        <v>0.96299999999999986</v>
      </c>
      <c r="H177" s="1134">
        <f t="shared" si="48"/>
        <v>0.96079857183550121</v>
      </c>
      <c r="I177" s="1135">
        <f t="shared" si="62"/>
        <v>0.92780000000000007</v>
      </c>
      <c r="J177" s="1136" t="e">
        <f t="shared" si="49"/>
        <v>#NAME?</v>
      </c>
      <c r="L177" s="184"/>
      <c r="M177" s="1166"/>
      <c r="N177" s="1166"/>
      <c r="O177" s="1166"/>
    </row>
    <row r="178" spans="2:15" x14ac:dyDescent="0.2">
      <c r="B178" s="1164">
        <v>168</v>
      </c>
      <c r="C178" s="1131">
        <v>40</v>
      </c>
      <c r="D178" s="1132">
        <f t="shared" si="60"/>
        <v>62.543999999999997</v>
      </c>
      <c r="E178" s="1133">
        <f t="shared" si="47"/>
        <v>1.001858749872</v>
      </c>
      <c r="F178" s="1133">
        <f t="shared" si="50"/>
        <v>8.3609166448934467</v>
      </c>
      <c r="G178" s="1132">
        <f t="shared" si="61"/>
        <v>0.95199999999999996</v>
      </c>
      <c r="H178" s="1134">
        <f t="shared" si="48"/>
        <v>0.95023375313299396</v>
      </c>
      <c r="I178" s="1135">
        <f t="shared" si="62"/>
        <v>0.92820000000000003</v>
      </c>
      <c r="J178" s="1136" t="e">
        <f t="shared" si="49"/>
        <v>#NAME?</v>
      </c>
      <c r="L178" s="184"/>
      <c r="M178" s="1166"/>
      <c r="N178" s="1166"/>
      <c r="O178" s="1166"/>
    </row>
    <row r="179" spans="2:15" ht="13.5" thickBot="1" x14ac:dyDescent="0.25">
      <c r="B179" s="1174">
        <v>169</v>
      </c>
      <c r="C179" s="1142">
        <v>40</v>
      </c>
      <c r="D179" s="1143">
        <f t="shared" si="60"/>
        <v>62.516999999999996</v>
      </c>
      <c r="E179" s="1144">
        <f t="shared" si="47"/>
        <v>1.0014262513709999</v>
      </c>
      <c r="F179" s="1144">
        <f t="shared" si="50"/>
        <v>8.3573072699028454</v>
      </c>
      <c r="G179" s="1143">
        <f t="shared" si="61"/>
        <v>0.94099999999999984</v>
      </c>
      <c r="H179" s="1145">
        <f t="shared" si="48"/>
        <v>0.93965980890926948</v>
      </c>
      <c r="I179" s="1135">
        <f t="shared" si="62"/>
        <v>0.92860000000000009</v>
      </c>
      <c r="J179" s="1147" t="e">
        <f t="shared" si="49"/>
        <v>#NAME?</v>
      </c>
      <c r="L179" s="184"/>
      <c r="M179" s="1166"/>
      <c r="N179" s="1166"/>
      <c r="O179" s="1166"/>
    </row>
    <row r="180" spans="2:15" x14ac:dyDescent="0.2">
      <c r="B180" s="1119">
        <v>170</v>
      </c>
      <c r="C180" s="1120">
        <v>40</v>
      </c>
      <c r="D180" s="1121">
        <v>62.49</v>
      </c>
      <c r="E180" s="1122">
        <f t="shared" si="47"/>
        <v>1.0009937528700001</v>
      </c>
      <c r="F180" s="1122">
        <f t="shared" si="50"/>
        <v>8.353697894912246</v>
      </c>
      <c r="G180" s="1121">
        <v>0.93</v>
      </c>
      <c r="H180" s="1121">
        <f t="shared" si="48"/>
        <v>0.92907672733575974</v>
      </c>
      <c r="I180" s="1123">
        <v>0.92900000000000005</v>
      </c>
      <c r="J180" s="1124" t="e">
        <f t="shared" si="49"/>
        <v>#NAME?</v>
      </c>
      <c r="L180" s="1125">
        <f>B180</f>
        <v>170</v>
      </c>
      <c r="M180" s="1126">
        <f>D180</f>
        <v>62.49</v>
      </c>
      <c r="N180" s="1126">
        <f>G180</f>
        <v>0.93</v>
      </c>
      <c r="O180" s="1127">
        <f>I180</f>
        <v>0.92900000000000005</v>
      </c>
    </row>
    <row r="181" spans="2:15" x14ac:dyDescent="0.2">
      <c r="B181" s="1164">
        <v>171</v>
      </c>
      <c r="C181" s="1131">
        <v>40</v>
      </c>
      <c r="D181" s="1132">
        <f t="shared" ref="D181:D189" si="63">FORECAST(B181,$M$180:$M$181,$L$180:$L$181)</f>
        <v>62.463000000000001</v>
      </c>
      <c r="E181" s="1133">
        <f t="shared" si="47"/>
        <v>1.0005612543690001</v>
      </c>
      <c r="F181" s="1133">
        <f t="shared" si="50"/>
        <v>8.3500885199216448</v>
      </c>
      <c r="G181" s="1132">
        <f t="shared" ref="G181:G189" si="64">FORECAST(B181,$N$180:$N$181,$L$180:$L$181)</f>
        <v>0.92200000000000015</v>
      </c>
      <c r="H181" s="1134">
        <f t="shared" si="48"/>
        <v>0.92148281374482732</v>
      </c>
      <c r="I181" s="1135">
        <f>FORECAST(B181,$O$180:$O$181,$L$180:$L$181)</f>
        <v>0.92949999999999999</v>
      </c>
      <c r="J181" s="1136" t="e">
        <f t="shared" si="49"/>
        <v>#NAME?</v>
      </c>
      <c r="L181" s="1125">
        <f>B190</f>
        <v>180</v>
      </c>
      <c r="M181" s="1126">
        <f>D190</f>
        <v>62.22</v>
      </c>
      <c r="N181" s="1126">
        <f>G190</f>
        <v>0.85</v>
      </c>
      <c r="O181" s="1127">
        <f>I190</f>
        <v>0.93400000000000005</v>
      </c>
    </row>
    <row r="182" spans="2:15" x14ac:dyDescent="0.2">
      <c r="B182" s="1164">
        <v>172</v>
      </c>
      <c r="C182" s="1131">
        <v>40</v>
      </c>
      <c r="D182" s="1132">
        <f t="shared" si="63"/>
        <v>62.436</v>
      </c>
      <c r="E182" s="1133">
        <f t="shared" si="47"/>
        <v>1.0001287558680001</v>
      </c>
      <c r="F182" s="1133">
        <f t="shared" si="50"/>
        <v>8.3464791449310436</v>
      </c>
      <c r="G182" s="1132">
        <f t="shared" si="64"/>
        <v>0.91400000000000015</v>
      </c>
      <c r="H182" s="1134">
        <f t="shared" si="48"/>
        <v>0.91388233228705662</v>
      </c>
      <c r="I182" s="1135">
        <f t="shared" ref="I182:I189" si="65">FORECAST(B182,$O$180:$O$181,$L$180:$L$181)</f>
        <v>0.92999999999999994</v>
      </c>
      <c r="J182" s="1136" t="e">
        <f t="shared" si="49"/>
        <v>#NAME?</v>
      </c>
      <c r="L182" s="184"/>
      <c r="M182" s="1166"/>
      <c r="N182" s="1166"/>
      <c r="O182" s="1166"/>
    </row>
    <row r="183" spans="2:15" x14ac:dyDescent="0.2">
      <c r="B183" s="1164">
        <v>173</v>
      </c>
      <c r="C183" s="1131">
        <v>40</v>
      </c>
      <c r="D183" s="1132">
        <f t="shared" si="63"/>
        <v>62.408999999999999</v>
      </c>
      <c r="E183" s="1133">
        <f t="shared" si="47"/>
        <v>0.99969625736699996</v>
      </c>
      <c r="F183" s="1133">
        <f t="shared" si="50"/>
        <v>8.3428697699404442</v>
      </c>
      <c r="G183" s="1132">
        <f t="shared" si="64"/>
        <v>0.90600000000000014</v>
      </c>
      <c r="H183" s="1134">
        <f t="shared" si="48"/>
        <v>0.90627527443808076</v>
      </c>
      <c r="I183" s="1135">
        <f t="shared" si="65"/>
        <v>0.93049999999999988</v>
      </c>
      <c r="J183" s="1136" t="e">
        <f t="shared" si="49"/>
        <v>#NAME?</v>
      </c>
      <c r="L183" s="184"/>
      <c r="M183" s="1166"/>
      <c r="N183" s="1166"/>
      <c r="O183" s="1166"/>
    </row>
    <row r="184" spans="2:15" ht="13.5" thickBot="1" x14ac:dyDescent="0.25">
      <c r="B184" s="1174">
        <v>174</v>
      </c>
      <c r="C184" s="1142">
        <v>40</v>
      </c>
      <c r="D184" s="1143">
        <f t="shared" si="63"/>
        <v>62.381999999999998</v>
      </c>
      <c r="E184" s="1144">
        <f t="shared" si="47"/>
        <v>0.99926375886599994</v>
      </c>
      <c r="F184" s="1144">
        <f t="shared" si="50"/>
        <v>8.3392603949498429</v>
      </c>
      <c r="G184" s="1143">
        <f t="shared" si="64"/>
        <v>0.89800000000000013</v>
      </c>
      <c r="H184" s="1145">
        <f t="shared" si="48"/>
        <v>0.89866163165877488</v>
      </c>
      <c r="I184" s="1146">
        <f t="shared" si="65"/>
        <v>0.93099999999999994</v>
      </c>
      <c r="J184" s="1147" t="e">
        <f t="shared" si="49"/>
        <v>#NAME?</v>
      </c>
      <c r="L184" s="184"/>
      <c r="M184" s="1166"/>
      <c r="N184" s="1166"/>
      <c r="O184" s="1166"/>
    </row>
    <row r="185" spans="2:15" x14ac:dyDescent="0.2">
      <c r="B185" s="1172">
        <v>175</v>
      </c>
      <c r="C185" s="1149">
        <v>40</v>
      </c>
      <c r="D185" s="1150">
        <f t="shared" si="63"/>
        <v>62.355000000000004</v>
      </c>
      <c r="E185" s="1122">
        <f t="shared" si="47"/>
        <v>0.99883126036500003</v>
      </c>
      <c r="F185" s="1122">
        <f t="shared" si="50"/>
        <v>8.3356510199592435</v>
      </c>
      <c r="G185" s="1150">
        <f t="shared" si="64"/>
        <v>0.89000000000000012</v>
      </c>
      <c r="H185" s="1121">
        <f t="shared" si="48"/>
        <v>0.8910413953952242</v>
      </c>
      <c r="I185" s="1173">
        <f t="shared" si="65"/>
        <v>0.93149999999999999</v>
      </c>
      <c r="J185" s="1124" t="e">
        <f t="shared" si="49"/>
        <v>#NAME?</v>
      </c>
      <c r="L185" s="184"/>
      <c r="M185" s="1166"/>
      <c r="N185" s="1166"/>
      <c r="O185" s="1166"/>
    </row>
    <row r="186" spans="2:15" x14ac:dyDescent="0.2">
      <c r="B186" s="1164">
        <v>176</v>
      </c>
      <c r="C186" s="1131">
        <v>40</v>
      </c>
      <c r="D186" s="1132">
        <f t="shared" si="63"/>
        <v>62.328000000000003</v>
      </c>
      <c r="E186" s="1133">
        <f t="shared" si="47"/>
        <v>0.99839876186400001</v>
      </c>
      <c r="F186" s="1133">
        <f t="shared" si="50"/>
        <v>8.3320416449686423</v>
      </c>
      <c r="G186" s="1132">
        <f t="shared" si="64"/>
        <v>0.88200000000000012</v>
      </c>
      <c r="H186" s="1134">
        <f t="shared" si="48"/>
        <v>0.8834145570786921</v>
      </c>
      <c r="I186" s="1135">
        <f t="shared" si="65"/>
        <v>0.93199999999999994</v>
      </c>
      <c r="J186" s="1136" t="e">
        <f t="shared" si="49"/>
        <v>#NAME?</v>
      </c>
      <c r="L186" s="184"/>
      <c r="M186" s="1166"/>
      <c r="N186" s="1166"/>
      <c r="O186" s="1166"/>
    </row>
    <row r="187" spans="2:15" x14ac:dyDescent="0.2">
      <c r="B187" s="1164">
        <v>177</v>
      </c>
      <c r="C187" s="1131">
        <v>40</v>
      </c>
      <c r="D187" s="1132">
        <f t="shared" si="63"/>
        <v>62.301000000000002</v>
      </c>
      <c r="E187" s="1133">
        <f t="shared" si="47"/>
        <v>0.99796626336300009</v>
      </c>
      <c r="F187" s="1133">
        <f t="shared" si="50"/>
        <v>8.3284322699780411</v>
      </c>
      <c r="G187" s="1132">
        <f t="shared" si="64"/>
        <v>0.87400000000000011</v>
      </c>
      <c r="H187" s="1134">
        <f t="shared" si="48"/>
        <v>0.87578110812558752</v>
      </c>
      <c r="I187" s="1135">
        <f t="shared" si="65"/>
        <v>0.93249999999999988</v>
      </c>
      <c r="J187" s="1136" t="e">
        <f t="shared" si="49"/>
        <v>#NAME?</v>
      </c>
      <c r="L187" s="184"/>
      <c r="M187" s="1166"/>
      <c r="N187" s="1166"/>
      <c r="O187" s="1166"/>
    </row>
    <row r="188" spans="2:15" x14ac:dyDescent="0.2">
      <c r="B188" s="1164">
        <v>178</v>
      </c>
      <c r="C188" s="1131">
        <v>40</v>
      </c>
      <c r="D188" s="1132">
        <f t="shared" si="63"/>
        <v>62.274000000000001</v>
      </c>
      <c r="E188" s="1133">
        <f t="shared" si="47"/>
        <v>0.99753376486200007</v>
      </c>
      <c r="F188" s="1133">
        <f t="shared" si="50"/>
        <v>8.3248228949874399</v>
      </c>
      <c r="G188" s="1132">
        <f t="shared" si="64"/>
        <v>0.8660000000000001</v>
      </c>
      <c r="H188" s="1134">
        <f t="shared" si="48"/>
        <v>0.86814103993743363</v>
      </c>
      <c r="I188" s="1135">
        <f t="shared" si="65"/>
        <v>0.93299999999999994</v>
      </c>
      <c r="J188" s="1136" t="e">
        <f t="shared" si="49"/>
        <v>#NAME?</v>
      </c>
      <c r="L188" s="184"/>
      <c r="M188" s="1166"/>
      <c r="N188" s="1166"/>
      <c r="O188" s="1166"/>
    </row>
    <row r="189" spans="2:15" ht="13.5" thickBot="1" x14ac:dyDescent="0.25">
      <c r="B189" s="1174">
        <v>179</v>
      </c>
      <c r="C189" s="1142">
        <v>40</v>
      </c>
      <c r="D189" s="1143">
        <f t="shared" si="63"/>
        <v>62.247</v>
      </c>
      <c r="E189" s="1144">
        <f t="shared" si="47"/>
        <v>0.99710126636100005</v>
      </c>
      <c r="F189" s="1144">
        <f t="shared" si="50"/>
        <v>8.3212135199968404</v>
      </c>
      <c r="G189" s="1143">
        <f t="shared" si="64"/>
        <v>0.8580000000000001</v>
      </c>
      <c r="H189" s="1145">
        <f t="shared" si="48"/>
        <v>0.86049434390083468</v>
      </c>
      <c r="I189" s="1135">
        <f t="shared" si="65"/>
        <v>0.9335</v>
      </c>
      <c r="J189" s="1147" t="e">
        <f t="shared" si="49"/>
        <v>#NAME?</v>
      </c>
      <c r="L189" s="184"/>
      <c r="M189" s="1166"/>
      <c r="N189" s="1166"/>
      <c r="O189" s="1166"/>
    </row>
    <row r="190" spans="2:15" x14ac:dyDescent="0.2">
      <c r="B190" s="1119">
        <v>180</v>
      </c>
      <c r="C190" s="1120">
        <v>40</v>
      </c>
      <c r="D190" s="1121">
        <v>62.22</v>
      </c>
      <c r="E190" s="1122">
        <f t="shared" si="47"/>
        <v>0.99666876786000003</v>
      </c>
      <c r="F190" s="1122">
        <f t="shared" si="50"/>
        <v>8.3176041450062392</v>
      </c>
      <c r="G190" s="1121">
        <v>0.85</v>
      </c>
      <c r="H190" s="1121">
        <f t="shared" si="48"/>
        <v>0.85284101138744395</v>
      </c>
      <c r="I190" s="1123">
        <v>0.93400000000000005</v>
      </c>
      <c r="J190" s="1124" t="e">
        <f t="shared" si="49"/>
        <v>#NAME?</v>
      </c>
      <c r="L190" s="1125">
        <f>B190</f>
        <v>180</v>
      </c>
      <c r="M190" s="1126">
        <f>D190</f>
        <v>62.22</v>
      </c>
      <c r="N190" s="1126">
        <f>G190</f>
        <v>0.85</v>
      </c>
      <c r="O190" s="1127">
        <f>I190</f>
        <v>0.93400000000000005</v>
      </c>
    </row>
    <row r="191" spans="2:15" x14ac:dyDescent="0.2">
      <c r="B191" s="1164">
        <v>181</v>
      </c>
      <c r="C191" s="1131">
        <v>40</v>
      </c>
      <c r="D191" s="1132">
        <f t="shared" ref="D191:D199" si="66">FORECAST(B191,$M$190:$M$191,$L$190:$L$191)</f>
        <v>62.191000000000003</v>
      </c>
      <c r="E191" s="1133">
        <f t="shared" si="47"/>
        <v>0.99620423243300005</v>
      </c>
      <c r="F191" s="1133">
        <f t="shared" si="50"/>
        <v>8.3137274089052244</v>
      </c>
      <c r="G191" s="1132">
        <f t="shared" ref="G191:G199" si="67">FORECAST(B191,$N$190:$N$191,$L$190:$L$191)</f>
        <v>0.84199999999999964</v>
      </c>
      <c r="H191" s="1134">
        <f t="shared" si="48"/>
        <v>0.84520821392578105</v>
      </c>
      <c r="I191" s="1135">
        <f>FORECAST(B191,$O$190:$O$191,$L$190:$L$191)</f>
        <v>0.9343999999999999</v>
      </c>
      <c r="J191" s="1136" t="e">
        <f t="shared" si="49"/>
        <v>#NAME?</v>
      </c>
      <c r="L191" s="1125">
        <f>B200</f>
        <v>190</v>
      </c>
      <c r="M191" s="1126">
        <f>D200</f>
        <v>61.93</v>
      </c>
      <c r="N191" s="1126">
        <f>G200</f>
        <v>0.77</v>
      </c>
      <c r="O191" s="1127">
        <f>I200</f>
        <v>0.93799999999999994</v>
      </c>
    </row>
    <row r="192" spans="2:15" x14ac:dyDescent="0.2">
      <c r="B192" s="1164">
        <v>182</v>
      </c>
      <c r="C192" s="1131">
        <v>40</v>
      </c>
      <c r="D192" s="1132">
        <f t="shared" si="66"/>
        <v>62.161999999999999</v>
      </c>
      <c r="E192" s="1133">
        <f t="shared" si="47"/>
        <v>0.99573969700599996</v>
      </c>
      <c r="F192" s="1133">
        <f t="shared" si="50"/>
        <v>8.3098506728042079</v>
      </c>
      <c r="G192" s="1132">
        <f t="shared" si="67"/>
        <v>0.83399999999999985</v>
      </c>
      <c r="H192" s="1134">
        <f t="shared" si="48"/>
        <v>0.83756829471364791</v>
      </c>
      <c r="I192" s="1135">
        <f t="shared" ref="I192:I199" si="68">FORECAST(B192,$O$190:$O$191,$L$190:$L$191)</f>
        <v>0.93479999999999996</v>
      </c>
      <c r="J192" s="1136" t="e">
        <f t="shared" si="49"/>
        <v>#NAME?</v>
      </c>
      <c r="L192" s="184"/>
      <c r="M192" s="1166"/>
      <c r="N192" s="1166"/>
      <c r="O192" s="1166"/>
    </row>
    <row r="193" spans="2:15" x14ac:dyDescent="0.2">
      <c r="B193" s="1164">
        <v>183</v>
      </c>
      <c r="C193" s="1131">
        <v>40</v>
      </c>
      <c r="D193" s="1132">
        <f t="shared" si="66"/>
        <v>62.132999999999996</v>
      </c>
      <c r="E193" s="1133">
        <f t="shared" si="47"/>
        <v>0.99527516157899998</v>
      </c>
      <c r="F193" s="1133">
        <f t="shared" si="50"/>
        <v>8.3059739367031931</v>
      </c>
      <c r="G193" s="1132">
        <f t="shared" si="67"/>
        <v>0.82599999999999985</v>
      </c>
      <c r="H193" s="1134">
        <f t="shared" si="48"/>
        <v>0.829921243779011</v>
      </c>
      <c r="I193" s="1135">
        <f t="shared" si="68"/>
        <v>0.93519999999999992</v>
      </c>
      <c r="J193" s="1136" t="e">
        <f t="shared" si="49"/>
        <v>#NAME?</v>
      </c>
      <c r="L193" s="184"/>
      <c r="M193" s="1166"/>
      <c r="N193" s="1166"/>
      <c r="O193" s="1166"/>
    </row>
    <row r="194" spans="2:15" ht="13.5" thickBot="1" x14ac:dyDescent="0.25">
      <c r="B194" s="1174">
        <v>184</v>
      </c>
      <c r="C194" s="1142">
        <v>40</v>
      </c>
      <c r="D194" s="1143">
        <f t="shared" si="66"/>
        <v>62.103999999999999</v>
      </c>
      <c r="E194" s="1144">
        <f t="shared" si="47"/>
        <v>0.994810626152</v>
      </c>
      <c r="F194" s="1144">
        <f t="shared" si="50"/>
        <v>8.3020972006021783</v>
      </c>
      <c r="G194" s="1143">
        <f t="shared" si="67"/>
        <v>0.81799999999999984</v>
      </c>
      <c r="H194" s="1145">
        <f t="shared" si="48"/>
        <v>0.82226705113121223</v>
      </c>
      <c r="I194" s="1146">
        <f t="shared" si="68"/>
        <v>0.93559999999999988</v>
      </c>
      <c r="J194" s="1147" t="e">
        <f t="shared" si="49"/>
        <v>#NAME?</v>
      </c>
      <c r="L194" s="184"/>
      <c r="M194" s="1166"/>
      <c r="N194" s="1166"/>
      <c r="O194" s="1166"/>
    </row>
    <row r="195" spans="2:15" x14ac:dyDescent="0.2">
      <c r="B195" s="1172">
        <v>185</v>
      </c>
      <c r="C195" s="1149">
        <v>40</v>
      </c>
      <c r="D195" s="1150">
        <f t="shared" si="66"/>
        <v>62.075000000000003</v>
      </c>
      <c r="E195" s="1122">
        <f t="shared" si="47"/>
        <v>0.99434609072500002</v>
      </c>
      <c r="F195" s="1122">
        <f t="shared" si="50"/>
        <v>8.2982204645011635</v>
      </c>
      <c r="G195" s="1150">
        <f t="shared" si="67"/>
        <v>0.80999999999999983</v>
      </c>
      <c r="H195" s="1121">
        <f t="shared" si="48"/>
        <v>0.81460570676092336</v>
      </c>
      <c r="I195" s="1173">
        <f t="shared" si="68"/>
        <v>0.93599999999999994</v>
      </c>
      <c r="J195" s="1124" t="e">
        <f t="shared" si="49"/>
        <v>#NAME?</v>
      </c>
      <c r="L195" s="184"/>
      <c r="M195" s="1166"/>
      <c r="N195" s="1166"/>
      <c r="O195" s="1166"/>
    </row>
    <row r="196" spans="2:15" x14ac:dyDescent="0.2">
      <c r="B196" s="1164">
        <v>186</v>
      </c>
      <c r="C196" s="1131">
        <v>40</v>
      </c>
      <c r="D196" s="1132">
        <f t="shared" si="66"/>
        <v>62.045999999999999</v>
      </c>
      <c r="E196" s="1133">
        <f t="shared" si="47"/>
        <v>0.99388155529800004</v>
      </c>
      <c r="F196" s="1133">
        <f t="shared" si="50"/>
        <v>8.2943437284001469</v>
      </c>
      <c r="G196" s="1132">
        <f t="shared" si="67"/>
        <v>0.80199999999999982</v>
      </c>
      <c r="H196" s="1134">
        <f t="shared" si="48"/>
        <v>0.80693720064010299</v>
      </c>
      <c r="I196" s="1135">
        <f t="shared" si="68"/>
        <v>0.9363999999999999</v>
      </c>
      <c r="J196" s="1136" t="e">
        <f t="shared" si="49"/>
        <v>#NAME?</v>
      </c>
      <c r="L196" s="184"/>
      <c r="M196" s="1166"/>
      <c r="N196" s="1166"/>
      <c r="O196" s="1166"/>
    </row>
    <row r="197" spans="2:15" x14ac:dyDescent="0.2">
      <c r="B197" s="1164">
        <v>187</v>
      </c>
      <c r="C197" s="1131">
        <v>40</v>
      </c>
      <c r="D197" s="1132">
        <f t="shared" si="66"/>
        <v>62.016999999999996</v>
      </c>
      <c r="E197" s="1133">
        <f t="shared" si="47"/>
        <v>0.99341701987099995</v>
      </c>
      <c r="F197" s="1133">
        <f t="shared" si="50"/>
        <v>8.2904669922991303</v>
      </c>
      <c r="G197" s="1132">
        <f t="shared" si="67"/>
        <v>0.79399999999999982</v>
      </c>
      <c r="H197" s="1134">
        <f t="shared" si="48"/>
        <v>0.79926152272195272</v>
      </c>
      <c r="I197" s="1135">
        <f t="shared" si="68"/>
        <v>0.93679999999999986</v>
      </c>
      <c r="J197" s="1136" t="e">
        <f t="shared" si="49"/>
        <v>#NAME?</v>
      </c>
      <c r="L197" s="184"/>
      <c r="M197" s="1166"/>
      <c r="N197" s="1166"/>
      <c r="O197" s="1166"/>
    </row>
    <row r="198" spans="2:15" x14ac:dyDescent="0.2">
      <c r="B198" s="1164">
        <v>188</v>
      </c>
      <c r="C198" s="1131">
        <v>40</v>
      </c>
      <c r="D198" s="1132">
        <f t="shared" si="66"/>
        <v>61.988</v>
      </c>
      <c r="E198" s="1133">
        <f t="shared" si="47"/>
        <v>0.99295248444399997</v>
      </c>
      <c r="F198" s="1133">
        <f t="shared" si="50"/>
        <v>8.2865902561981155</v>
      </c>
      <c r="G198" s="1132">
        <f t="shared" si="67"/>
        <v>0.78599999999999981</v>
      </c>
      <c r="H198" s="1134">
        <f t="shared" si="48"/>
        <v>0.79157866294087331</v>
      </c>
      <c r="I198" s="1135">
        <f t="shared" si="68"/>
        <v>0.93719999999999981</v>
      </c>
      <c r="J198" s="1136" t="e">
        <f t="shared" si="49"/>
        <v>#NAME?</v>
      </c>
      <c r="L198" s="184"/>
      <c r="M198" s="1166"/>
      <c r="N198" s="1166"/>
      <c r="O198" s="1166"/>
    </row>
    <row r="199" spans="2:15" ht="13.5" thickBot="1" x14ac:dyDescent="0.25">
      <c r="B199" s="1174">
        <v>189</v>
      </c>
      <c r="C199" s="1142">
        <v>40</v>
      </c>
      <c r="D199" s="1143">
        <f t="shared" si="66"/>
        <v>61.959000000000003</v>
      </c>
      <c r="E199" s="1144">
        <f t="shared" si="47"/>
        <v>0.9924879490170001</v>
      </c>
      <c r="F199" s="1144">
        <f t="shared" si="50"/>
        <v>8.2827135200971007</v>
      </c>
      <c r="G199" s="1143">
        <f t="shared" si="67"/>
        <v>0.7779999999999998</v>
      </c>
      <c r="H199" s="1145">
        <f t="shared" si="48"/>
        <v>0.78388861121242048</v>
      </c>
      <c r="I199" s="1135">
        <f t="shared" si="68"/>
        <v>0.93759999999999988</v>
      </c>
      <c r="J199" s="1147" t="e">
        <f t="shared" si="49"/>
        <v>#NAME?</v>
      </c>
      <c r="L199" s="184"/>
      <c r="M199" s="1166"/>
      <c r="N199" s="1166"/>
      <c r="O199" s="1166"/>
    </row>
    <row r="200" spans="2:15" x14ac:dyDescent="0.2">
      <c r="B200" s="1119">
        <v>190</v>
      </c>
      <c r="C200" s="1120">
        <v>40</v>
      </c>
      <c r="D200" s="1121">
        <v>61.93</v>
      </c>
      <c r="E200" s="1122">
        <f t="shared" si="47"/>
        <v>0.99202341359000001</v>
      </c>
      <c r="F200" s="1122">
        <f t="shared" si="50"/>
        <v>8.2788367839960841</v>
      </c>
      <c r="G200" s="1121">
        <v>0.77</v>
      </c>
      <c r="H200" s="1121">
        <f t="shared" si="48"/>
        <v>0.77619135743326162</v>
      </c>
      <c r="I200" s="1123">
        <v>0.93799999999999994</v>
      </c>
      <c r="J200" s="1124" t="e">
        <f t="shared" si="49"/>
        <v>#NAME?</v>
      </c>
      <c r="L200" s="1125">
        <f>B200</f>
        <v>190</v>
      </c>
      <c r="M200" s="1126">
        <f>D200</f>
        <v>61.93</v>
      </c>
      <c r="N200" s="1126">
        <f>G200</f>
        <v>0.77</v>
      </c>
      <c r="O200" s="1127">
        <f>I200</f>
        <v>0.93799999999999994</v>
      </c>
    </row>
    <row r="201" spans="2:15" x14ac:dyDescent="0.2">
      <c r="B201" s="1164">
        <v>191</v>
      </c>
      <c r="C201" s="1131">
        <v>40</v>
      </c>
      <c r="D201" s="1132">
        <f t="shared" ref="D201:D209" si="69">FORECAST(B201,$M$200:$M$201,$L$200:$L$201)</f>
        <v>61.899999999999991</v>
      </c>
      <c r="E201" s="1133">
        <f t="shared" si="47"/>
        <v>0.99154285969999989</v>
      </c>
      <c r="F201" s="1133">
        <f t="shared" si="50"/>
        <v>8.2748263673398608</v>
      </c>
      <c r="G201" s="1132">
        <f t="shared" ref="G201:G209" si="70">FORECAST(B201,$N$200:$N$201,$L$200:$L$201)</f>
        <v>0.76400000000000001</v>
      </c>
      <c r="H201" s="1134">
        <f t="shared" si="48"/>
        <v>0.77051636500227028</v>
      </c>
      <c r="I201" s="1135">
        <f>FORECAST(B201,$O$200:$O$201,$L$200:$L$201)</f>
        <v>0.93849999999999989</v>
      </c>
      <c r="J201" s="1136" t="e">
        <f t="shared" si="49"/>
        <v>#NAME?</v>
      </c>
      <c r="L201" s="1125">
        <f>B210</f>
        <v>200</v>
      </c>
      <c r="M201" s="1126">
        <f>D210</f>
        <v>61.63</v>
      </c>
      <c r="N201" s="1126">
        <f>G210</f>
        <v>0.71</v>
      </c>
      <c r="O201" s="1127">
        <f>I210</f>
        <v>0.94299999999999995</v>
      </c>
    </row>
    <row r="202" spans="2:15" x14ac:dyDescent="0.2">
      <c r="B202" s="1164">
        <v>192</v>
      </c>
      <c r="C202" s="1131">
        <v>40</v>
      </c>
      <c r="D202" s="1132">
        <f t="shared" si="69"/>
        <v>61.86999999999999</v>
      </c>
      <c r="E202" s="1133">
        <f t="shared" ref="E202:E230" si="71">D202*0.016018463</f>
        <v>0.99106230580999988</v>
      </c>
      <c r="F202" s="1133">
        <f t="shared" si="50"/>
        <v>8.2708159506836374</v>
      </c>
      <c r="G202" s="1132">
        <f t="shared" si="70"/>
        <v>0.75800000000000001</v>
      </c>
      <c r="H202" s="1134">
        <f t="shared" ref="H202:H230" si="72">G202/E202</f>
        <v>0.76483586910359092</v>
      </c>
      <c r="I202" s="1135">
        <f t="shared" ref="I202:I209" si="73">FORECAST(B202,$O$200:$O$201,$L$200:$L$201)</f>
        <v>0.93899999999999983</v>
      </c>
      <c r="J202" s="1136" t="e">
        <f t="shared" ref="J202:J230" si="74">E202/VLOOKUP(60,Water,6,FALSE)</f>
        <v>#NAME?</v>
      </c>
      <c r="L202" s="184"/>
      <c r="M202" s="1166"/>
      <c r="N202" s="1166"/>
      <c r="O202" s="1166"/>
    </row>
    <row r="203" spans="2:15" x14ac:dyDescent="0.2">
      <c r="B203" s="1164">
        <v>193</v>
      </c>
      <c r="C203" s="1131">
        <v>40</v>
      </c>
      <c r="D203" s="1132">
        <f t="shared" si="69"/>
        <v>61.839999999999996</v>
      </c>
      <c r="E203" s="1133">
        <f t="shared" si="71"/>
        <v>0.99058175191999998</v>
      </c>
      <c r="F203" s="1133">
        <f t="shared" ref="F203:F230" si="75">D203/7.4805195</f>
        <v>8.2668055340274158</v>
      </c>
      <c r="G203" s="1132">
        <f t="shared" si="70"/>
        <v>0.752</v>
      </c>
      <c r="H203" s="1134">
        <f t="shared" si="72"/>
        <v>0.75914986172764876</v>
      </c>
      <c r="I203" s="1135">
        <f t="shared" si="73"/>
        <v>0.93949999999999978</v>
      </c>
      <c r="J203" s="1136" t="e">
        <f t="shared" si="74"/>
        <v>#NAME?</v>
      </c>
      <c r="L203" s="184"/>
      <c r="M203" s="1166"/>
      <c r="N203" s="1166"/>
      <c r="O203" s="1166"/>
    </row>
    <row r="204" spans="2:15" ht="13.5" thickBot="1" x14ac:dyDescent="0.25">
      <c r="B204" s="1174">
        <v>194</v>
      </c>
      <c r="C204" s="1142">
        <v>40</v>
      </c>
      <c r="D204" s="1143">
        <f t="shared" si="69"/>
        <v>61.809999999999995</v>
      </c>
      <c r="E204" s="1144">
        <f t="shared" si="71"/>
        <v>0.99010119802999996</v>
      </c>
      <c r="F204" s="1144">
        <f t="shared" si="75"/>
        <v>8.2627951173711924</v>
      </c>
      <c r="G204" s="1143">
        <f t="shared" si="70"/>
        <v>0.746</v>
      </c>
      <c r="H204" s="1145">
        <f t="shared" si="72"/>
        <v>0.75345833484931934</v>
      </c>
      <c r="I204" s="1146">
        <f t="shared" si="73"/>
        <v>0.93999999999999984</v>
      </c>
      <c r="J204" s="1147" t="e">
        <f t="shared" si="74"/>
        <v>#NAME?</v>
      </c>
      <c r="L204" s="184"/>
      <c r="M204" s="1166"/>
      <c r="N204" s="1166"/>
      <c r="O204" s="1166"/>
    </row>
    <row r="205" spans="2:15" x14ac:dyDescent="0.2">
      <c r="B205" s="1172">
        <v>195</v>
      </c>
      <c r="C205" s="1149">
        <v>40</v>
      </c>
      <c r="D205" s="1150">
        <f t="shared" si="69"/>
        <v>61.779999999999994</v>
      </c>
      <c r="E205" s="1122">
        <f t="shared" si="71"/>
        <v>0.98962064413999995</v>
      </c>
      <c r="F205" s="1122">
        <f t="shared" si="75"/>
        <v>8.2587847007149691</v>
      </c>
      <c r="G205" s="1150">
        <f t="shared" si="70"/>
        <v>0.74</v>
      </c>
      <c r="H205" s="1121">
        <f t="shared" si="72"/>
        <v>0.74776128042789036</v>
      </c>
      <c r="I205" s="1173">
        <f t="shared" si="73"/>
        <v>0.94049999999999989</v>
      </c>
      <c r="J205" s="1124" t="e">
        <f t="shared" si="74"/>
        <v>#NAME?</v>
      </c>
      <c r="L205" s="184"/>
      <c r="M205" s="1166"/>
      <c r="N205" s="1166"/>
      <c r="O205" s="1166"/>
    </row>
    <row r="206" spans="2:15" x14ac:dyDescent="0.2">
      <c r="B206" s="1164">
        <v>196</v>
      </c>
      <c r="C206" s="1131">
        <v>40</v>
      </c>
      <c r="D206" s="1132">
        <f t="shared" si="69"/>
        <v>61.749999999999993</v>
      </c>
      <c r="E206" s="1133">
        <f t="shared" si="71"/>
        <v>0.98914009024999994</v>
      </c>
      <c r="F206" s="1133">
        <f t="shared" si="75"/>
        <v>8.2547742840587475</v>
      </c>
      <c r="G206" s="1132">
        <f t="shared" si="70"/>
        <v>0.73399999999999999</v>
      </c>
      <c r="H206" s="1134">
        <f t="shared" si="72"/>
        <v>0.74205869040702355</v>
      </c>
      <c r="I206" s="1135">
        <f t="shared" si="73"/>
        <v>0.94099999999999984</v>
      </c>
      <c r="J206" s="1136" t="e">
        <f t="shared" si="74"/>
        <v>#NAME?</v>
      </c>
      <c r="L206" s="184"/>
      <c r="M206" s="1166"/>
      <c r="N206" s="1166"/>
      <c r="O206" s="1166"/>
    </row>
    <row r="207" spans="2:15" x14ac:dyDescent="0.2">
      <c r="B207" s="1164">
        <v>197</v>
      </c>
      <c r="C207" s="1131">
        <v>40</v>
      </c>
      <c r="D207" s="1132">
        <f t="shared" si="69"/>
        <v>61.72</v>
      </c>
      <c r="E207" s="1133">
        <f t="shared" si="71"/>
        <v>0.98865953636000004</v>
      </c>
      <c r="F207" s="1133">
        <f t="shared" si="75"/>
        <v>8.2507638674025241</v>
      </c>
      <c r="G207" s="1132">
        <f t="shared" si="70"/>
        <v>0.72799999999999998</v>
      </c>
      <c r="H207" s="1134">
        <f t="shared" si="72"/>
        <v>0.73635055671471694</v>
      </c>
      <c r="I207" s="1135">
        <f t="shared" si="73"/>
        <v>0.94149999999999978</v>
      </c>
      <c r="J207" s="1136" t="e">
        <f t="shared" si="74"/>
        <v>#NAME?</v>
      </c>
      <c r="L207" s="184"/>
      <c r="M207" s="1166"/>
      <c r="N207" s="1166"/>
      <c r="O207" s="1166"/>
    </row>
    <row r="208" spans="2:15" x14ac:dyDescent="0.2">
      <c r="B208" s="1164">
        <v>198</v>
      </c>
      <c r="C208" s="1131">
        <v>40</v>
      </c>
      <c r="D208" s="1132">
        <f t="shared" si="69"/>
        <v>61.69</v>
      </c>
      <c r="E208" s="1133">
        <f t="shared" si="71"/>
        <v>0.98817898247000002</v>
      </c>
      <c r="F208" s="1133">
        <f t="shared" si="75"/>
        <v>8.2467534507463025</v>
      </c>
      <c r="G208" s="1132">
        <f t="shared" si="70"/>
        <v>0.72199999999999998</v>
      </c>
      <c r="H208" s="1134">
        <f t="shared" si="72"/>
        <v>0.73063687126326737</v>
      </c>
      <c r="I208" s="1135">
        <f t="shared" si="73"/>
        <v>0.94199999999999984</v>
      </c>
      <c r="J208" s="1136" t="e">
        <f t="shared" si="74"/>
        <v>#NAME?</v>
      </c>
      <c r="L208" s="184"/>
      <c r="M208" s="1166"/>
      <c r="N208" s="1166"/>
      <c r="O208" s="1166"/>
    </row>
    <row r="209" spans="2:15" ht="13.5" thickBot="1" x14ac:dyDescent="0.25">
      <c r="B209" s="1174">
        <v>199</v>
      </c>
      <c r="C209" s="1142">
        <v>40</v>
      </c>
      <c r="D209" s="1143">
        <f t="shared" si="69"/>
        <v>61.66</v>
      </c>
      <c r="E209" s="1144">
        <f t="shared" si="71"/>
        <v>0.98769842858000001</v>
      </c>
      <c r="F209" s="1144">
        <f t="shared" si="75"/>
        <v>8.2427430340900791</v>
      </c>
      <c r="G209" s="1143">
        <f t="shared" si="70"/>
        <v>0.71599999999999997</v>
      </c>
      <c r="H209" s="1145">
        <f t="shared" si="72"/>
        <v>0.72491762594923126</v>
      </c>
      <c r="I209" s="1146">
        <f t="shared" si="73"/>
        <v>0.94249999999999989</v>
      </c>
      <c r="J209" s="1147" t="e">
        <f t="shared" si="74"/>
        <v>#NAME?</v>
      </c>
      <c r="L209" s="184"/>
      <c r="M209" s="1166"/>
      <c r="N209" s="1166"/>
      <c r="O209" s="1166"/>
    </row>
    <row r="210" spans="2:15" x14ac:dyDescent="0.2">
      <c r="B210" s="1119">
        <v>200</v>
      </c>
      <c r="C210" s="1120">
        <v>40</v>
      </c>
      <c r="D210" s="1121">
        <v>61.63</v>
      </c>
      <c r="E210" s="1122">
        <f t="shared" si="71"/>
        <v>0.98721787469</v>
      </c>
      <c r="F210" s="1122">
        <f t="shared" si="75"/>
        <v>8.2387326174338558</v>
      </c>
      <c r="G210" s="1121">
        <v>0.71</v>
      </c>
      <c r="H210" s="1121">
        <f t="shared" si="72"/>
        <v>0.71919281265338686</v>
      </c>
      <c r="I210" s="1123">
        <v>0.94299999999999995</v>
      </c>
      <c r="J210" s="1124" t="e">
        <f t="shared" si="74"/>
        <v>#NAME?</v>
      </c>
      <c r="L210" s="1125">
        <f>B210</f>
        <v>200</v>
      </c>
      <c r="M210" s="1126">
        <f>D210</f>
        <v>61.63</v>
      </c>
      <c r="N210" s="1126">
        <f>G210</f>
        <v>0.71</v>
      </c>
      <c r="O210" s="1127">
        <f>I210</f>
        <v>0.94299999999999995</v>
      </c>
    </row>
    <row r="211" spans="2:15" x14ac:dyDescent="0.2">
      <c r="B211" s="1164">
        <v>201</v>
      </c>
      <c r="C211" s="1131">
        <v>40</v>
      </c>
      <c r="D211" s="1132">
        <f t="shared" ref="D211:D219" si="76">FORECAST(B211,$M$210:$M$211,$L$210:$L$211)</f>
        <v>61.598999999999997</v>
      </c>
      <c r="E211" s="1133">
        <f t="shared" si="71"/>
        <v>0.98672130233699995</v>
      </c>
      <c r="F211" s="1133">
        <f t="shared" si="75"/>
        <v>8.2345885202224256</v>
      </c>
      <c r="G211" s="1132">
        <f t="shared" ref="G211:G219" si="77">FORECAST(B211,$N$210:$N$211,$L$210:$L$211)</f>
        <v>0.70500000000000007</v>
      </c>
      <c r="H211" s="1134">
        <f t="shared" si="72"/>
        <v>0.71448746300525068</v>
      </c>
      <c r="I211" s="1135">
        <f>FORECAST(B211,$O$210:$O$211,$L$210:$L$211)</f>
        <v>0.94339999999999991</v>
      </c>
      <c r="J211" s="1136" t="e">
        <f t="shared" si="74"/>
        <v>#NAME?</v>
      </c>
      <c r="L211" s="1125">
        <f>B220</f>
        <v>210</v>
      </c>
      <c r="M211" s="1126">
        <f>D220</f>
        <v>61.32</v>
      </c>
      <c r="N211" s="1126">
        <f>G220</f>
        <v>0.66</v>
      </c>
      <c r="O211" s="1127">
        <f>I220</f>
        <v>0.94699999999999995</v>
      </c>
    </row>
    <row r="212" spans="2:15" x14ac:dyDescent="0.2">
      <c r="B212" s="1164">
        <v>202</v>
      </c>
      <c r="C212" s="1131">
        <v>40</v>
      </c>
      <c r="D212" s="1132">
        <f t="shared" si="76"/>
        <v>61.567999999999998</v>
      </c>
      <c r="E212" s="1133">
        <f t="shared" si="71"/>
        <v>0.98622472998400001</v>
      </c>
      <c r="F212" s="1133">
        <f t="shared" si="75"/>
        <v>8.2304444230109954</v>
      </c>
      <c r="G212" s="1132">
        <f t="shared" si="77"/>
        <v>0.7</v>
      </c>
      <c r="H212" s="1134">
        <f t="shared" si="72"/>
        <v>0.70977737499175908</v>
      </c>
      <c r="I212" s="1135">
        <f t="shared" ref="I212:I219" si="78">FORECAST(B212,$O$210:$O$211,$L$210:$L$211)</f>
        <v>0.94379999999999997</v>
      </c>
      <c r="J212" s="1136" t="e">
        <f t="shared" si="74"/>
        <v>#NAME?</v>
      </c>
      <c r="L212" s="184"/>
      <c r="M212" s="1166"/>
      <c r="N212" s="1166"/>
    </row>
    <row r="213" spans="2:15" x14ac:dyDescent="0.2">
      <c r="B213" s="1164">
        <v>203</v>
      </c>
      <c r="C213" s="1131">
        <v>40</v>
      </c>
      <c r="D213" s="1132">
        <f t="shared" si="76"/>
        <v>61.536999999999992</v>
      </c>
      <c r="E213" s="1133">
        <f t="shared" si="71"/>
        <v>0.98572815763099986</v>
      </c>
      <c r="F213" s="1133">
        <f t="shared" si="75"/>
        <v>8.2263003257995635</v>
      </c>
      <c r="G213" s="1132">
        <f t="shared" si="77"/>
        <v>0.69500000000000006</v>
      </c>
      <c r="H213" s="1134">
        <f t="shared" si="72"/>
        <v>0.70506254145188807</v>
      </c>
      <c r="I213" s="1135">
        <f t="shared" si="78"/>
        <v>0.94419999999999993</v>
      </c>
      <c r="J213" s="1136" t="e">
        <f t="shared" si="74"/>
        <v>#NAME?</v>
      </c>
      <c r="L213" s="184"/>
      <c r="M213" s="1166"/>
      <c r="N213" s="1166"/>
    </row>
    <row r="214" spans="2:15" ht="13.5" thickBot="1" x14ac:dyDescent="0.25">
      <c r="B214" s="1174">
        <v>204</v>
      </c>
      <c r="C214" s="1142">
        <v>40</v>
      </c>
      <c r="D214" s="1143">
        <f t="shared" si="76"/>
        <v>61.505999999999993</v>
      </c>
      <c r="E214" s="1144">
        <f t="shared" si="71"/>
        <v>0.98523158527799992</v>
      </c>
      <c r="F214" s="1144">
        <f t="shared" si="75"/>
        <v>8.2221562285881333</v>
      </c>
      <c r="G214" s="1143">
        <f t="shared" si="77"/>
        <v>0.69</v>
      </c>
      <c r="H214" s="1145">
        <f t="shared" si="72"/>
        <v>0.70034295521017498</v>
      </c>
      <c r="I214" s="1146">
        <f t="shared" si="78"/>
        <v>0.9446</v>
      </c>
      <c r="J214" s="1147" t="e">
        <f t="shared" si="74"/>
        <v>#NAME?</v>
      </c>
      <c r="L214" s="184"/>
      <c r="M214" s="1166"/>
      <c r="N214" s="1166"/>
    </row>
    <row r="215" spans="2:15" x14ac:dyDescent="0.2">
      <c r="B215" s="1172">
        <v>205</v>
      </c>
      <c r="C215" s="1149">
        <v>40</v>
      </c>
      <c r="D215" s="1150">
        <f t="shared" si="76"/>
        <v>61.474999999999994</v>
      </c>
      <c r="E215" s="1122">
        <f t="shared" si="71"/>
        <v>0.98473501292499988</v>
      </c>
      <c r="F215" s="1122">
        <f t="shared" si="75"/>
        <v>8.2180121313767032</v>
      </c>
      <c r="G215" s="1150">
        <f t="shared" si="77"/>
        <v>0.68500000000000005</v>
      </c>
      <c r="H215" s="1121">
        <f t="shared" si="72"/>
        <v>0.69561860907668527</v>
      </c>
      <c r="I215" s="1173">
        <f t="shared" si="78"/>
        <v>0.94499999999999995</v>
      </c>
      <c r="J215" s="1124" t="e">
        <f t="shared" si="74"/>
        <v>#NAME?</v>
      </c>
      <c r="L215" s="184"/>
      <c r="M215" s="1166"/>
      <c r="N215" s="1166"/>
    </row>
    <row r="216" spans="2:15" x14ac:dyDescent="0.2">
      <c r="B216" s="1164">
        <v>206</v>
      </c>
      <c r="C216" s="1131">
        <v>40</v>
      </c>
      <c r="D216" s="1132">
        <f t="shared" si="76"/>
        <v>61.443999999999996</v>
      </c>
      <c r="E216" s="1133">
        <f t="shared" si="71"/>
        <v>0.98423844057199994</v>
      </c>
      <c r="F216" s="1133">
        <f t="shared" si="75"/>
        <v>8.213868034165273</v>
      </c>
      <c r="G216" s="1132">
        <f t="shared" si="77"/>
        <v>0.67999999999999994</v>
      </c>
      <c r="H216" s="1134">
        <f t="shared" si="72"/>
        <v>0.69088949584697301</v>
      </c>
      <c r="I216" s="1135">
        <f t="shared" si="78"/>
        <v>0.94539999999999991</v>
      </c>
      <c r="J216" s="1136" t="e">
        <f t="shared" si="74"/>
        <v>#NAME?</v>
      </c>
      <c r="L216" s="184"/>
      <c r="M216" s="1166"/>
      <c r="N216" s="1166"/>
    </row>
    <row r="217" spans="2:15" x14ac:dyDescent="0.2">
      <c r="B217" s="1164">
        <v>207</v>
      </c>
      <c r="C217" s="1131">
        <v>40</v>
      </c>
      <c r="D217" s="1132">
        <f t="shared" si="76"/>
        <v>61.412999999999997</v>
      </c>
      <c r="E217" s="1133">
        <f t="shared" si="71"/>
        <v>0.983741868219</v>
      </c>
      <c r="F217" s="1133">
        <f t="shared" si="75"/>
        <v>8.2097239369538446</v>
      </c>
      <c r="G217" s="1132">
        <f t="shared" si="77"/>
        <v>0.67500000000000004</v>
      </c>
      <c r="H217" s="1134">
        <f t="shared" si="72"/>
        <v>0.68615560830204692</v>
      </c>
      <c r="I217" s="1135">
        <f t="shared" si="78"/>
        <v>0.94579999999999997</v>
      </c>
      <c r="J217" s="1136" t="e">
        <f t="shared" si="74"/>
        <v>#NAME?</v>
      </c>
      <c r="L217" s="184"/>
      <c r="M217" s="1166"/>
      <c r="N217" s="1166"/>
    </row>
    <row r="218" spans="2:15" x14ac:dyDescent="0.2">
      <c r="B218" s="1164">
        <v>208</v>
      </c>
      <c r="C218" s="1131">
        <v>40</v>
      </c>
      <c r="D218" s="1132">
        <f t="shared" si="76"/>
        <v>61.381999999999991</v>
      </c>
      <c r="E218" s="1133">
        <f t="shared" si="71"/>
        <v>0.98324529586599985</v>
      </c>
      <c r="F218" s="1133">
        <f t="shared" si="75"/>
        <v>8.2055798397424127</v>
      </c>
      <c r="G218" s="1132">
        <f t="shared" si="77"/>
        <v>0.67000000000000015</v>
      </c>
      <c r="H218" s="1134">
        <f t="shared" si="72"/>
        <v>0.68141693920833168</v>
      </c>
      <c r="I218" s="1135">
        <f t="shared" si="78"/>
        <v>0.94619999999999993</v>
      </c>
      <c r="J218" s="1136" t="e">
        <f t="shared" si="74"/>
        <v>#NAME?</v>
      </c>
      <c r="L218" s="184"/>
      <c r="M218" s="1166"/>
      <c r="N218" s="1166"/>
    </row>
    <row r="219" spans="2:15" ht="13.5" thickBot="1" x14ac:dyDescent="0.25">
      <c r="B219" s="1167">
        <v>209</v>
      </c>
      <c r="C219" s="1142">
        <v>40</v>
      </c>
      <c r="D219" s="1169">
        <f t="shared" si="76"/>
        <v>61.350999999999992</v>
      </c>
      <c r="E219" s="1170">
        <f t="shared" si="71"/>
        <v>0.98274872351299991</v>
      </c>
      <c r="F219" s="1144">
        <f t="shared" si="75"/>
        <v>8.2014357425309825</v>
      </c>
      <c r="G219" s="1169">
        <f t="shared" si="77"/>
        <v>0.66500000000000004</v>
      </c>
      <c r="H219" s="1171">
        <f t="shared" si="72"/>
        <v>0.67667348131763139</v>
      </c>
      <c r="I219" s="1135">
        <f t="shared" si="78"/>
        <v>0.9466</v>
      </c>
      <c r="J219" s="1147" t="e">
        <f t="shared" si="74"/>
        <v>#NAME?</v>
      </c>
      <c r="L219" s="184"/>
      <c r="M219" s="1166"/>
      <c r="N219" s="1166"/>
    </row>
    <row r="220" spans="2:15" x14ac:dyDescent="0.2">
      <c r="B220" s="1119">
        <v>210</v>
      </c>
      <c r="C220" s="1120">
        <v>40</v>
      </c>
      <c r="D220" s="1121">
        <v>61.32</v>
      </c>
      <c r="E220" s="1122">
        <f t="shared" si="71"/>
        <v>0.98225215115999998</v>
      </c>
      <c r="F220" s="1122">
        <f t="shared" si="75"/>
        <v>8.1972916453195541</v>
      </c>
      <c r="G220" s="1121">
        <v>0.66</v>
      </c>
      <c r="H220" s="1121">
        <f t="shared" si="72"/>
        <v>0.67192522736709381</v>
      </c>
      <c r="I220" s="1123">
        <v>0.94699999999999995</v>
      </c>
      <c r="J220" s="1124" t="e">
        <f t="shared" si="74"/>
        <v>#NAME?</v>
      </c>
      <c r="L220" s="1125">
        <f>B220</f>
        <v>210</v>
      </c>
      <c r="M220" s="1126">
        <f>D220</f>
        <v>61.32</v>
      </c>
      <c r="N220" s="1126">
        <f>G220</f>
        <v>0.66</v>
      </c>
      <c r="O220" s="1127">
        <f>I220</f>
        <v>0.94699999999999995</v>
      </c>
    </row>
    <row r="221" spans="2:15" x14ac:dyDescent="0.2">
      <c r="B221" s="1164">
        <v>211</v>
      </c>
      <c r="C221" s="1131">
        <v>40</v>
      </c>
      <c r="D221" s="1132">
        <f>FORECAST(B221,$M$220:$M$221,$L$220:$L$221)</f>
        <v>61.287999999999997</v>
      </c>
      <c r="E221" s="1133">
        <f t="shared" si="71"/>
        <v>0.98173956034400001</v>
      </c>
      <c r="F221" s="1133">
        <f t="shared" si="75"/>
        <v>8.1930138675529154</v>
      </c>
      <c r="G221" s="1132">
        <f>FORECAST(B221,$N$220:$N$221,$L$220:$L$221)</f>
        <v>0.65500000000000003</v>
      </c>
      <c r="H221" s="1134">
        <f t="shared" si="72"/>
        <v>0.66718305593235849</v>
      </c>
      <c r="I221" s="1135">
        <f>FORECAST(B221,$O$220:$O$221,$L$220:$L$221)</f>
        <v>0.94739999999999991</v>
      </c>
      <c r="J221" s="1136" t="e">
        <f t="shared" si="74"/>
        <v>#NAME?</v>
      </c>
      <c r="L221" s="1125">
        <f>B230</f>
        <v>220</v>
      </c>
      <c r="M221" s="1126">
        <f>D230</f>
        <v>61</v>
      </c>
      <c r="N221" s="1126">
        <f>G230</f>
        <v>0.61</v>
      </c>
      <c r="O221" s="1127">
        <f>I230</f>
        <v>0.95099999999999996</v>
      </c>
    </row>
    <row r="222" spans="2:15" x14ac:dyDescent="0.2">
      <c r="B222" s="1164">
        <v>212</v>
      </c>
      <c r="C222" s="1131">
        <v>40</v>
      </c>
      <c r="D222" s="1132">
        <f t="shared" ref="D222:D229" si="79">FORECAST(B222,$M$220:$M$221,$L$220:$L$221)</f>
        <v>61.256</v>
      </c>
      <c r="E222" s="1133">
        <f t="shared" si="71"/>
        <v>0.98122696952800004</v>
      </c>
      <c r="F222" s="1133">
        <f t="shared" si="75"/>
        <v>8.1887360897862784</v>
      </c>
      <c r="G222" s="1132">
        <f t="shared" ref="G222:G229" si="80">FORECAST(B222,$N$220:$N$221,$L$220:$L$221)</f>
        <v>0.65000000000000013</v>
      </c>
      <c r="H222" s="1134">
        <f t="shared" si="72"/>
        <v>0.6624359298977176</v>
      </c>
      <c r="I222" s="1135">
        <f t="shared" ref="I222:I229" si="81">FORECAST(B222,$O$220:$O$221,$L$220:$L$221)</f>
        <v>0.94779999999999998</v>
      </c>
      <c r="J222" s="1136" t="e">
        <f t="shared" si="74"/>
        <v>#NAME?</v>
      </c>
      <c r="L222" s="184"/>
      <c r="M222" s="1166"/>
      <c r="N222" s="1166"/>
    </row>
    <row r="223" spans="2:15" x14ac:dyDescent="0.2">
      <c r="B223" s="1164">
        <v>213</v>
      </c>
      <c r="C223" s="1131">
        <v>40</v>
      </c>
      <c r="D223" s="1132">
        <f t="shared" si="79"/>
        <v>61.224000000000004</v>
      </c>
      <c r="E223" s="1133">
        <f t="shared" si="71"/>
        <v>0.98071437871200007</v>
      </c>
      <c r="F223" s="1133">
        <f t="shared" si="75"/>
        <v>8.1844583120196397</v>
      </c>
      <c r="G223" s="1132">
        <f t="shared" si="80"/>
        <v>0.64500000000000024</v>
      </c>
      <c r="H223" s="1134">
        <f t="shared" si="72"/>
        <v>0.65768384149429626</v>
      </c>
      <c r="I223" s="1135">
        <f t="shared" si="81"/>
        <v>0.94819999999999993</v>
      </c>
      <c r="J223" s="1136" t="e">
        <f t="shared" si="74"/>
        <v>#NAME?</v>
      </c>
      <c r="L223" s="184"/>
      <c r="M223" s="1166"/>
      <c r="N223" s="1166"/>
    </row>
    <row r="224" spans="2:15" ht="13.5" thickBot="1" x14ac:dyDescent="0.25">
      <c r="B224" s="1174">
        <v>214</v>
      </c>
      <c r="C224" s="1142">
        <v>40</v>
      </c>
      <c r="D224" s="1143">
        <f t="shared" si="79"/>
        <v>61.192</v>
      </c>
      <c r="E224" s="1144">
        <f t="shared" si="71"/>
        <v>0.98020178789599999</v>
      </c>
      <c r="F224" s="1144">
        <f t="shared" si="75"/>
        <v>8.1801805342530027</v>
      </c>
      <c r="G224" s="1143">
        <f t="shared" si="80"/>
        <v>0.64000000000000012</v>
      </c>
      <c r="H224" s="1145">
        <f t="shared" si="72"/>
        <v>0.6529267829369686</v>
      </c>
      <c r="I224" s="1146">
        <f t="shared" si="81"/>
        <v>0.9486</v>
      </c>
      <c r="J224" s="1147" t="e">
        <f t="shared" si="74"/>
        <v>#NAME?</v>
      </c>
      <c r="L224" s="184"/>
      <c r="M224" s="1166"/>
      <c r="N224" s="1166"/>
    </row>
    <row r="225" spans="2:14" x14ac:dyDescent="0.2">
      <c r="B225" s="1172">
        <v>215</v>
      </c>
      <c r="C225" s="1149">
        <v>40</v>
      </c>
      <c r="D225" s="1150">
        <f t="shared" si="79"/>
        <v>61.16</v>
      </c>
      <c r="E225" s="1122">
        <f t="shared" si="71"/>
        <v>0.97968919707999991</v>
      </c>
      <c r="F225" s="1122">
        <f t="shared" si="75"/>
        <v>8.175902756486364</v>
      </c>
      <c r="G225" s="1150">
        <f t="shared" si="80"/>
        <v>0.63500000000000001</v>
      </c>
      <c r="H225" s="1121">
        <f t="shared" si="72"/>
        <v>0.6481647464243161</v>
      </c>
      <c r="I225" s="1173">
        <f t="shared" si="81"/>
        <v>0.94899999999999995</v>
      </c>
      <c r="J225" s="1124" t="e">
        <f t="shared" si="74"/>
        <v>#NAME?</v>
      </c>
      <c r="L225" s="184"/>
      <c r="M225" s="1166"/>
      <c r="N225" s="1166"/>
    </row>
    <row r="226" spans="2:14" x14ac:dyDescent="0.2">
      <c r="B226" s="1164">
        <v>216</v>
      </c>
      <c r="C226" s="1131">
        <v>40</v>
      </c>
      <c r="D226" s="1132">
        <f t="shared" si="79"/>
        <v>61.128</v>
      </c>
      <c r="E226" s="1133">
        <f t="shared" si="71"/>
        <v>0.97917660626400005</v>
      </c>
      <c r="F226" s="1133">
        <f t="shared" si="75"/>
        <v>8.171624978719727</v>
      </c>
      <c r="G226" s="1132">
        <f t="shared" si="80"/>
        <v>0.63000000000000012</v>
      </c>
      <c r="H226" s="1134">
        <f t="shared" si="72"/>
        <v>0.64339772413858409</v>
      </c>
      <c r="I226" s="1135">
        <f t="shared" si="81"/>
        <v>0.94939999999999991</v>
      </c>
      <c r="J226" s="1136" t="e">
        <f t="shared" si="74"/>
        <v>#NAME?</v>
      </c>
      <c r="L226" s="184"/>
      <c r="M226" s="1166"/>
      <c r="N226" s="1166"/>
    </row>
    <row r="227" spans="2:14" x14ac:dyDescent="0.2">
      <c r="B227" s="1164">
        <v>217</v>
      </c>
      <c r="C227" s="1131">
        <v>40</v>
      </c>
      <c r="D227" s="1132">
        <f t="shared" si="79"/>
        <v>61.096000000000004</v>
      </c>
      <c r="E227" s="1133">
        <f t="shared" si="71"/>
        <v>0.97866401544800008</v>
      </c>
      <c r="F227" s="1133">
        <f t="shared" si="75"/>
        <v>8.1673472009530901</v>
      </c>
      <c r="G227" s="1132">
        <f t="shared" si="80"/>
        <v>0.62500000000000022</v>
      </c>
      <c r="H227" s="1134">
        <f t="shared" si="72"/>
        <v>0.63862570824563913</v>
      </c>
      <c r="I227" s="1135">
        <f t="shared" si="81"/>
        <v>0.94979999999999998</v>
      </c>
      <c r="J227" s="1136" t="e">
        <f t="shared" si="74"/>
        <v>#NAME?</v>
      </c>
      <c r="L227" s="184"/>
      <c r="M227" s="1166"/>
      <c r="N227" s="1166"/>
    </row>
    <row r="228" spans="2:14" x14ac:dyDescent="0.2">
      <c r="B228" s="1164">
        <v>218</v>
      </c>
      <c r="C228" s="1131">
        <v>40</v>
      </c>
      <c r="D228" s="1132">
        <f t="shared" si="79"/>
        <v>61.064</v>
      </c>
      <c r="E228" s="1133">
        <f t="shared" si="71"/>
        <v>0.978151424632</v>
      </c>
      <c r="F228" s="1133">
        <f t="shared" si="75"/>
        <v>8.1630694231864513</v>
      </c>
      <c r="G228" s="1132">
        <f t="shared" si="80"/>
        <v>0.62000000000000011</v>
      </c>
      <c r="H228" s="1134">
        <f t="shared" si="72"/>
        <v>0.63384869089492601</v>
      </c>
      <c r="I228" s="1135">
        <f t="shared" si="81"/>
        <v>0.95019999999999993</v>
      </c>
      <c r="J228" s="1136" t="e">
        <f t="shared" si="74"/>
        <v>#NAME?</v>
      </c>
      <c r="L228" s="184"/>
      <c r="M228" s="1166"/>
      <c r="N228" s="1166"/>
    </row>
    <row r="229" spans="2:14" ht="13.5" thickBot="1" x14ac:dyDescent="0.25">
      <c r="B229" s="1167">
        <v>219</v>
      </c>
      <c r="C229" s="1224">
        <v>40</v>
      </c>
      <c r="D229" s="1132">
        <f t="shared" si="79"/>
        <v>61.031999999999996</v>
      </c>
      <c r="E229" s="1170">
        <f t="shared" si="71"/>
        <v>0.97763883381599992</v>
      </c>
      <c r="F229" s="1144">
        <f t="shared" si="75"/>
        <v>8.1587916454198126</v>
      </c>
      <c r="G229" s="1132">
        <f t="shared" si="80"/>
        <v>0.61499999999999999</v>
      </c>
      <c r="H229" s="1171">
        <f t="shared" si="72"/>
        <v>0.62906666421942514</v>
      </c>
      <c r="I229" s="1225">
        <f t="shared" si="81"/>
        <v>0.9506</v>
      </c>
      <c r="J229" s="1147" t="e">
        <f t="shared" si="74"/>
        <v>#NAME?</v>
      </c>
      <c r="L229" s="184"/>
      <c r="M229" s="1166"/>
      <c r="N229" s="1166"/>
    </row>
    <row r="230" spans="2:14" ht="13.5" thickBot="1" x14ac:dyDescent="0.25">
      <c r="B230" s="1176">
        <v>220</v>
      </c>
      <c r="C230" s="1177">
        <v>40</v>
      </c>
      <c r="D230" s="1178">
        <v>61</v>
      </c>
      <c r="E230" s="1179">
        <f t="shared" si="71"/>
        <v>0.97712624300000006</v>
      </c>
      <c r="F230" s="1179">
        <f t="shared" si="75"/>
        <v>8.1545138676531757</v>
      </c>
      <c r="G230" s="1178">
        <v>0.61</v>
      </c>
      <c r="H230" s="1178">
        <f t="shared" si="72"/>
        <v>0.62427962033560891</v>
      </c>
      <c r="I230" s="1180">
        <v>0.95099999999999996</v>
      </c>
      <c r="J230" s="1181" t="e">
        <f t="shared" si="74"/>
        <v>#NAME?</v>
      </c>
      <c r="L230" s="184"/>
      <c r="M230" s="1166"/>
      <c r="N230" s="1166"/>
    </row>
  </sheetData>
  <sheetProtection sheet="1" objects="1" scenarios="1" selectLockedCells="1" selectUnlockedCells="1"/>
  <pageMargins left="0.75" right="0.75" top="1" bottom="1" header="0.5" footer="0.5"/>
  <pageSetup scale="47" fitToHeight="3"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0CAF-477D-496B-A48F-66F3CB62B8DE}">
  <sheetPr codeName="Sheet91"/>
  <dimension ref="B1:B8"/>
  <sheetViews>
    <sheetView showGridLines="0" workbookViewId="0"/>
  </sheetViews>
  <sheetFormatPr defaultRowHeight="12.75" x14ac:dyDescent="0.2"/>
  <cols>
    <col min="1" max="1" width="4.7109375" customWidth="1"/>
    <col min="2" max="2" width="88" bestFit="1" customWidth="1"/>
  </cols>
  <sheetData>
    <row r="1" spans="2:2" ht="22.5" customHeight="1" x14ac:dyDescent="0.2"/>
    <row r="2" spans="2:2" ht="34.5" x14ac:dyDescent="0.45">
      <c r="B2" s="191" t="s">
        <v>428</v>
      </c>
    </row>
    <row r="3" spans="2:2" ht="18" customHeight="1" x14ac:dyDescent="0.2">
      <c r="B3" s="192" t="s">
        <v>427</v>
      </c>
    </row>
    <row r="4" spans="2:2" ht="18" customHeight="1" x14ac:dyDescent="0.2">
      <c r="B4" s="192"/>
    </row>
    <row r="6" spans="2:2" x14ac:dyDescent="0.2">
      <c r="B6" s="182" t="s">
        <v>426</v>
      </c>
    </row>
    <row r="8" spans="2:2" x14ac:dyDescent="0.2">
      <c r="B8" s="182" t="s">
        <v>425</v>
      </c>
    </row>
  </sheetData>
  <sheetProtection sheet="1" objects="1" scenarios="1"/>
  <phoneticPr fontId="0"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B44D20-E78A-4883-91B8-5BFF30C6D4F2}">
  <sheetPr codeName="Sheet92"/>
  <dimension ref="B1:B17"/>
  <sheetViews>
    <sheetView showGridLines="0" tabSelected="1" workbookViewId="0"/>
  </sheetViews>
  <sheetFormatPr defaultRowHeight="12.75" x14ac:dyDescent="0.2"/>
  <cols>
    <col min="1" max="1" width="4.28515625" customWidth="1"/>
    <col min="2" max="2" width="119.85546875" customWidth="1"/>
  </cols>
  <sheetData>
    <row r="1" spans="2:2" ht="23.25" customHeight="1" x14ac:dyDescent="0.2"/>
    <row r="2" spans="2:2" ht="34.5" x14ac:dyDescent="0.45">
      <c r="B2" s="191" t="s">
        <v>999</v>
      </c>
    </row>
    <row r="4" spans="2:2" x14ac:dyDescent="0.2">
      <c r="B4" s="180"/>
    </row>
    <row r="5" spans="2:2" x14ac:dyDescent="0.2">
      <c r="B5" s="190" t="s">
        <v>424</v>
      </c>
    </row>
    <row r="6" spans="2:2" x14ac:dyDescent="0.2">
      <c r="B6" s="180"/>
    </row>
    <row r="7" spans="2:2" ht="20.25" x14ac:dyDescent="0.3">
      <c r="B7" s="189" t="s">
        <v>423</v>
      </c>
    </row>
    <row r="8" spans="2:2" x14ac:dyDescent="0.2">
      <c r="B8" s="182" t="s">
        <v>422</v>
      </c>
    </row>
    <row r="9" spans="2:2" ht="34.5" customHeight="1" x14ac:dyDescent="0.2">
      <c r="B9" s="188" t="s">
        <v>421</v>
      </c>
    </row>
    <row r="10" spans="2:2" x14ac:dyDescent="0.2">
      <c r="B10" s="187" t="s">
        <v>420</v>
      </c>
    </row>
    <row r="12" spans="2:2" x14ac:dyDescent="0.2">
      <c r="B12" s="182" t="s">
        <v>419</v>
      </c>
    </row>
    <row r="13" spans="2:2" ht="24.75" customHeight="1" x14ac:dyDescent="0.2">
      <c r="B13" s="188" t="s">
        <v>418</v>
      </c>
    </row>
    <row r="14" spans="2:2" x14ac:dyDescent="0.2">
      <c r="B14" s="187" t="s">
        <v>417</v>
      </c>
    </row>
    <row r="15" spans="2:2" x14ac:dyDescent="0.2">
      <c r="B15" s="187" t="s">
        <v>416</v>
      </c>
    </row>
    <row r="16" spans="2:2" x14ac:dyDescent="0.2">
      <c r="B16" s="187" t="s">
        <v>415</v>
      </c>
    </row>
    <row r="17" spans="2:2" x14ac:dyDescent="0.2">
      <c r="B17" s="182"/>
    </row>
  </sheetData>
  <sheetProtection sheet="1" objects="1" scenarios="1"/>
  <phoneticPr fontId="0" type="noConversion"/>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148A3B8-0057-4662-AB03-CF66C6B6433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266</vt:i4>
      </vt:variant>
    </vt:vector>
  </HeadingPairs>
  <TitlesOfParts>
    <vt:vector size="267" baseType="lpstr">
      <vt:lpstr>Macro Error</vt:lpstr>
      <vt:lpstr>_LT1010</vt:lpstr>
      <vt:lpstr>_LT102</vt:lpstr>
      <vt:lpstr>_LT1210</vt:lpstr>
      <vt:lpstr>_LT122</vt:lpstr>
      <vt:lpstr>_LT810</vt:lpstr>
      <vt:lpstr>_LT82</vt:lpstr>
      <vt:lpstr>_MT1028</vt:lpstr>
      <vt:lpstr>_MT1033</vt:lpstr>
      <vt:lpstr>_MT1035</vt:lpstr>
      <vt:lpstr>_MT1036</vt:lpstr>
      <vt:lpstr>_MT1228</vt:lpstr>
      <vt:lpstr>_MT1233</vt:lpstr>
      <vt:lpstr>_MT1235</vt:lpstr>
      <vt:lpstr>_MT1236</vt:lpstr>
      <vt:lpstr>_MT828</vt:lpstr>
      <vt:lpstr>_MT833</vt:lpstr>
      <vt:lpstr>_MT835</vt:lpstr>
      <vt:lpstr>_MT836</vt:lpstr>
      <vt:lpstr>_PG20</vt:lpstr>
      <vt:lpstr>_PG25</vt:lpstr>
      <vt:lpstr>_PG30</vt:lpstr>
      <vt:lpstr>_PG35</vt:lpstr>
      <vt:lpstr>_PG40</vt:lpstr>
      <vt:lpstr>APPLICATION</vt:lpstr>
      <vt:lpstr>APPLICATION_Skid</vt:lpstr>
      <vt:lpstr>AsbuiltNote</vt:lpstr>
      <vt:lpstr>AsbuiltNote_Skid</vt:lpstr>
      <vt:lpstr>CASE_AUTO</vt:lpstr>
      <vt:lpstr>CASE_AUTO_Skid</vt:lpstr>
      <vt:lpstr>CASE_MANUAL</vt:lpstr>
      <vt:lpstr>CASE_MANUAL_Skid</vt:lpstr>
      <vt:lpstr>CHILD_TEMPLATE</vt:lpstr>
      <vt:lpstr>CHILD_TEMPLATE_Skid</vt:lpstr>
      <vt:lpstr>CIRC_RATE</vt:lpstr>
      <vt:lpstr>CKT_TEMPLATE</vt:lpstr>
      <vt:lpstr>CKT_TEMPLATE_Skid</vt:lpstr>
      <vt:lpstr>CKT2_TEMP</vt:lpstr>
      <vt:lpstr>CKT2_TEMP_Skid</vt:lpstr>
      <vt:lpstr>CKT3_TEMP</vt:lpstr>
      <vt:lpstr>CKT3_TEMP_Skid</vt:lpstr>
      <vt:lpstr>CKTPhases_Skid</vt:lpstr>
      <vt:lpstr>CKTRestartTemplate</vt:lpstr>
      <vt:lpstr>COMP_1</vt:lpstr>
      <vt:lpstr>COMP_1_Skid</vt:lpstr>
      <vt:lpstr>COMP_2</vt:lpstr>
      <vt:lpstr>COMP_2_Skid</vt:lpstr>
      <vt:lpstr>COMP_3</vt:lpstr>
      <vt:lpstr>COMP_3_Skid</vt:lpstr>
      <vt:lpstr>COMP_TEMP</vt:lpstr>
      <vt:lpstr>COMP_TEMP_2</vt:lpstr>
      <vt:lpstr>COMP_TEMP_2_Skid</vt:lpstr>
      <vt:lpstr>COMP_TEMP_3</vt:lpstr>
      <vt:lpstr>COMP_TEMP_3_Skid</vt:lpstr>
      <vt:lpstr>COMP_TEMP_Skid</vt:lpstr>
      <vt:lpstr>CondInfo</vt:lpstr>
      <vt:lpstr>CondInfo_Skid</vt:lpstr>
      <vt:lpstr>DropDownList_Skid</vt:lpstr>
      <vt:lpstr>evapdx</vt:lpstr>
      <vt:lpstr>evapdx_1C</vt:lpstr>
      <vt:lpstr>evapdx_header</vt:lpstr>
      <vt:lpstr>FULL_MANUAL</vt:lpstr>
      <vt:lpstr>FULL_MANUAL_Skid</vt:lpstr>
      <vt:lpstr>Glycol_20</vt:lpstr>
      <vt:lpstr>Glycol_25</vt:lpstr>
      <vt:lpstr>Glycol_30</vt:lpstr>
      <vt:lpstr>Glycol_35</vt:lpstr>
      <vt:lpstr>Glycol_40</vt:lpstr>
      <vt:lpstr>GlyNotes</vt:lpstr>
      <vt:lpstr>GlyNotes_Skid</vt:lpstr>
      <vt:lpstr>GTTHR</vt:lpstr>
      <vt:lpstr>GTTHR_Skid</vt:lpstr>
      <vt:lpstr>GTTHR1</vt:lpstr>
      <vt:lpstr>GTTHR1_Skid</vt:lpstr>
      <vt:lpstr>LegendCaseLookup</vt:lpstr>
      <vt:lpstr>LegendEvapLookup</vt:lpstr>
      <vt:lpstr>LegendSG1CKTMode</vt:lpstr>
      <vt:lpstr>LegendSG1CKTMode_Skid</vt:lpstr>
      <vt:lpstr>LegendSG1CKTrows</vt:lpstr>
      <vt:lpstr>LegendSG1CKTrows_Skid</vt:lpstr>
      <vt:lpstr>LegendSG1CKTs</vt:lpstr>
      <vt:lpstr>LegendSG1CKTs_Skid</vt:lpstr>
      <vt:lpstr>LegendSG1CKTsList_Skid</vt:lpstr>
      <vt:lpstr>LegendSG1CKTsPurged</vt:lpstr>
      <vt:lpstr>LegendSG1CKTsPurged_Skid</vt:lpstr>
      <vt:lpstr>LegendSG1CRT</vt:lpstr>
      <vt:lpstr>LegendSG1CRT_Skid</vt:lpstr>
      <vt:lpstr>LegendSG1CT</vt:lpstr>
      <vt:lpstr>LegendSG1CT_Skid</vt:lpstr>
      <vt:lpstr>LegendSG1EVLT</vt:lpstr>
      <vt:lpstr>LegendSG1EVLT_Skid</vt:lpstr>
      <vt:lpstr>LegendSG1EVT</vt:lpstr>
      <vt:lpstr>LegendSG1EVT_Skid</vt:lpstr>
      <vt:lpstr>LegendSG1LT</vt:lpstr>
      <vt:lpstr>LegendSG1LT_Skid</vt:lpstr>
      <vt:lpstr>LegendSG1RGT</vt:lpstr>
      <vt:lpstr>LegendSG1RGT_Skid</vt:lpstr>
      <vt:lpstr>LegendSG1RSST</vt:lpstr>
      <vt:lpstr>LegendSG1RSST_Skid</vt:lpstr>
      <vt:lpstr>LegendSG1SCR</vt:lpstr>
      <vt:lpstr>LegendSG1SCR_Skid</vt:lpstr>
      <vt:lpstr>LegendSG2CKTMode</vt:lpstr>
      <vt:lpstr>LegendSG2CKTMode_Skid</vt:lpstr>
      <vt:lpstr>LegendSG2CKTrows</vt:lpstr>
      <vt:lpstr>LegendSG2CKTrows_Skid</vt:lpstr>
      <vt:lpstr>LegendSG2CKTs</vt:lpstr>
      <vt:lpstr>LegendSG2CKTs_Skid</vt:lpstr>
      <vt:lpstr>LegendSG2CKTsPurged</vt:lpstr>
      <vt:lpstr>LegendSG2CKTsPurged_Skid</vt:lpstr>
      <vt:lpstr>LegendSG2CRT</vt:lpstr>
      <vt:lpstr>LegendSG2CRT_Skid</vt:lpstr>
      <vt:lpstr>LegendSG2CT</vt:lpstr>
      <vt:lpstr>LegendSG2CT_Skid</vt:lpstr>
      <vt:lpstr>LegendSG2EVLT</vt:lpstr>
      <vt:lpstr>LegendSG2EVLT_Skid</vt:lpstr>
      <vt:lpstr>LegendSG2EVT</vt:lpstr>
      <vt:lpstr>LegendSG2EVT_Skid</vt:lpstr>
      <vt:lpstr>LegendSG2LT</vt:lpstr>
      <vt:lpstr>LegendSG2LT_Skid</vt:lpstr>
      <vt:lpstr>LegendSG2RGT</vt:lpstr>
      <vt:lpstr>LegendSG2RGT_Skid</vt:lpstr>
      <vt:lpstr>LegendSG2RSST</vt:lpstr>
      <vt:lpstr>LegendSG2RSST_Skid</vt:lpstr>
      <vt:lpstr>LegendSG2SCR</vt:lpstr>
      <vt:lpstr>LegendSG2SCR_Skid</vt:lpstr>
      <vt:lpstr>LegendSG3CKTrows</vt:lpstr>
      <vt:lpstr>LegendSG3CKTrows_Skid</vt:lpstr>
      <vt:lpstr>LegendSG3CKTs</vt:lpstr>
      <vt:lpstr>LegendSG3CKTs_Skid</vt:lpstr>
      <vt:lpstr>LegendSG3CRT</vt:lpstr>
      <vt:lpstr>LegendSG3CRT_Skid</vt:lpstr>
      <vt:lpstr>LegendSG3CT</vt:lpstr>
      <vt:lpstr>LegendSG3CT_Skid</vt:lpstr>
      <vt:lpstr>LegendSG3EVLT</vt:lpstr>
      <vt:lpstr>LegendSG3EVLT_Skid</vt:lpstr>
      <vt:lpstr>LegendSG3EVT</vt:lpstr>
      <vt:lpstr>LegendSG3EVT_Skid</vt:lpstr>
      <vt:lpstr>LegendSG3LT</vt:lpstr>
      <vt:lpstr>LegendSG3LT_Skid</vt:lpstr>
      <vt:lpstr>LegendSG3RGT</vt:lpstr>
      <vt:lpstr>LegendSG3RGT_Skid</vt:lpstr>
      <vt:lpstr>LegendSG3RSST</vt:lpstr>
      <vt:lpstr>LegendSG3RSST_Skid</vt:lpstr>
      <vt:lpstr>LegendSG3SCR</vt:lpstr>
      <vt:lpstr>LegendSG3SCR_Skid</vt:lpstr>
      <vt:lpstr>LiqDensity</vt:lpstr>
      <vt:lpstr>LiqDensity_Skid</vt:lpstr>
      <vt:lpstr>LoadProfileChartDataSG1</vt:lpstr>
      <vt:lpstr>LoadProfileChartDataSG2</vt:lpstr>
      <vt:lpstr>LoadProfileChartDataSG3</vt:lpstr>
      <vt:lpstr>LoadProfileChartSG1</vt:lpstr>
      <vt:lpstr>LoadProfileChartSG2</vt:lpstr>
      <vt:lpstr>LoadProfileChartSG3</vt:lpstr>
      <vt:lpstr>LoadProfileTLSG1</vt:lpstr>
      <vt:lpstr>LoadProfileTLSG2</vt:lpstr>
      <vt:lpstr>LoadProfileTLSG3</vt:lpstr>
      <vt:lpstr>LineSizeData!LoopCktTemplateSG1</vt:lpstr>
      <vt:lpstr>LoopCktTemplateSG1_Skid</vt:lpstr>
      <vt:lpstr>LineSizeData!LoopCktTemplateSG2</vt:lpstr>
      <vt:lpstr>LoopCktTemplateSG2_Skid</vt:lpstr>
      <vt:lpstr>LoopCktTemplateSG3</vt:lpstr>
      <vt:lpstr>LoopCktTemplateSG3_Skid</vt:lpstr>
      <vt:lpstr>LineSizeData!LoopNewSuction</vt:lpstr>
      <vt:lpstr>LoopNewSuction_Skid</vt:lpstr>
      <vt:lpstr>LoopSegID</vt:lpstr>
      <vt:lpstr>LoopSegID_Skid</vt:lpstr>
      <vt:lpstr>LoopSegs</vt:lpstr>
      <vt:lpstr>LoopSegs_Skid</vt:lpstr>
      <vt:lpstr>LoopSG1</vt:lpstr>
      <vt:lpstr>LoopSG1_Skid</vt:lpstr>
      <vt:lpstr>LoopSG2</vt:lpstr>
      <vt:lpstr>LoopSG2_Skid</vt:lpstr>
      <vt:lpstr>LoopSG3</vt:lpstr>
      <vt:lpstr>LoopSG3_Skid</vt:lpstr>
      <vt:lpstr>'Walk-in Load Calc'!LT</vt:lpstr>
      <vt:lpstr>MAIN_CKT</vt:lpstr>
      <vt:lpstr>MAIN_CKT_Skid</vt:lpstr>
      <vt:lpstr>MAIN_VOID</vt:lpstr>
      <vt:lpstr>MAIN_VOID_Skid</vt:lpstr>
      <vt:lpstr>master</vt:lpstr>
      <vt:lpstr>master_CONC</vt:lpstr>
      <vt:lpstr>master_header</vt:lpstr>
      <vt:lpstr>model</vt:lpstr>
      <vt:lpstr>model1</vt:lpstr>
      <vt:lpstr>model1_1C</vt:lpstr>
      <vt:lpstr>model1_1D</vt:lpstr>
      <vt:lpstr>model1_1E</vt:lpstr>
      <vt:lpstr>model1_RS</vt:lpstr>
      <vt:lpstr>'Walk-in Load Calc'!MT</vt:lpstr>
      <vt:lpstr>NonGlyNotes</vt:lpstr>
      <vt:lpstr>NonGlyNotes_Skid</vt:lpstr>
      <vt:lpstr>pipedata2</vt:lpstr>
      <vt:lpstr>pipedia</vt:lpstr>
      <vt:lpstr>PipingBorder</vt:lpstr>
      <vt:lpstr>PipingBorder_Skid</vt:lpstr>
      <vt:lpstr>PipingNote</vt:lpstr>
      <vt:lpstr>PipingNote_Skid</vt:lpstr>
      <vt:lpstr>PipingRow</vt:lpstr>
      <vt:lpstr>PipingRow_Skid</vt:lpstr>
      <vt:lpstr>PipingRows</vt:lpstr>
      <vt:lpstr>PipingRows_Skid</vt:lpstr>
      <vt:lpstr>PipingSchedule</vt:lpstr>
      <vt:lpstr>PipingSchedule_Skid</vt:lpstr>
      <vt:lpstr>PipingSG1</vt:lpstr>
      <vt:lpstr>PipingSG1_Skid</vt:lpstr>
      <vt:lpstr>PipingSG2</vt:lpstr>
      <vt:lpstr>PipingSG2_Skid</vt:lpstr>
      <vt:lpstr>PipingSG3</vt:lpstr>
      <vt:lpstr>PipingSG3_Skid</vt:lpstr>
      <vt:lpstr>PipingSummary</vt:lpstr>
      <vt:lpstr>'EVAP-SM(DX)'!Print_Area</vt:lpstr>
      <vt:lpstr>'EVAP-SME(DX)'!Print_Area</vt:lpstr>
      <vt:lpstr>'Legend(DX)'!Print_Area</vt:lpstr>
      <vt:lpstr>LoadProfile!Print_Area</vt:lpstr>
      <vt:lpstr>'Walk-in Load Calc'!Print_Area</vt:lpstr>
      <vt:lpstr>Print_Area_Skid</vt:lpstr>
      <vt:lpstr>Refrigerant</vt:lpstr>
      <vt:lpstr>RefrigHiddenRows</vt:lpstr>
      <vt:lpstr>RefrigHiddenRows_Skid</vt:lpstr>
      <vt:lpstr>RefrigSchTemplate</vt:lpstr>
      <vt:lpstr>RefrigSchTemplate_Skid</vt:lpstr>
      <vt:lpstr>RefrigVisibleRows</vt:lpstr>
      <vt:lpstr>RefrigVisibleRows_Skid</vt:lpstr>
      <vt:lpstr>RefSchSG2</vt:lpstr>
      <vt:lpstr>RefSchSG2_Skid</vt:lpstr>
      <vt:lpstr>RefSchSG3</vt:lpstr>
      <vt:lpstr>RefSchSG3_Skid</vt:lpstr>
      <vt:lpstr>SELECT_MODE</vt:lpstr>
      <vt:lpstr>SELECT_MODE_Skid</vt:lpstr>
      <vt:lpstr>SkidData</vt:lpstr>
      <vt:lpstr>SkidData_Skid</vt:lpstr>
      <vt:lpstr>SkidQuestions</vt:lpstr>
      <vt:lpstr>solver_adj_Skid</vt:lpstr>
      <vt:lpstr>solver_lhs1_Skid</vt:lpstr>
      <vt:lpstr>solver_lhs2_Skid</vt:lpstr>
      <vt:lpstr>solver_opt_Skid</vt:lpstr>
      <vt:lpstr>Spanner_Auto_Select</vt:lpstr>
      <vt:lpstr>Spanner_Auto_Select_Skid</vt:lpstr>
      <vt:lpstr>SPARE</vt:lpstr>
      <vt:lpstr>SPARE_Skid</vt:lpstr>
      <vt:lpstr>SUBCOOL_2</vt:lpstr>
      <vt:lpstr>SUBCOOL_2_OR</vt:lpstr>
      <vt:lpstr>SUBCOOL_2_OR_Skid</vt:lpstr>
      <vt:lpstr>SUBCOOL_2_Skid</vt:lpstr>
      <vt:lpstr>SUBCOOL_3</vt:lpstr>
      <vt:lpstr>SUBCOOL_3_OR</vt:lpstr>
      <vt:lpstr>SUBCOOL_3_OR_Skid</vt:lpstr>
      <vt:lpstr>SUBCOOL_3_Skid</vt:lpstr>
      <vt:lpstr>SUBCOOL_OVERIDE</vt:lpstr>
      <vt:lpstr>SUBCOOL_OVERIDE_Skid</vt:lpstr>
      <vt:lpstr>SWITCH2</vt:lpstr>
      <vt:lpstr>SWITCH2_Skid</vt:lpstr>
      <vt:lpstr>TimeIncr</vt:lpstr>
      <vt:lpstr>TotalCharge</vt:lpstr>
      <vt:lpstr>TotalCharge_Skid</vt:lpstr>
      <vt:lpstr>ValveStations</vt:lpstr>
      <vt:lpstr>ValveStations_Skid</vt:lpstr>
      <vt:lpstr>WALKIN_AUTO</vt:lpstr>
      <vt:lpstr>WALKIN_AUTO_Skid</vt:lpstr>
      <vt:lpstr>WALKIN_MANUAL</vt:lpstr>
      <vt:lpstr>WALKIN_MANUAL_Skid</vt:lpstr>
      <vt:lpstr>xPrintArea_Case_EMS_Schedule</vt:lpstr>
      <vt:lpstr>xPrintArea_Phasing_Schedule</vt:lpstr>
      <vt:lpstr>xPrintArea_Piping_Schedule</vt:lpstr>
      <vt:lpstr>xPrintArea_Piping_Schedule_Skid</vt:lpstr>
      <vt:lpstr>xPrintArea_Refrig_Schedule</vt:lpstr>
      <vt:lpstr>xPrintArea_Refrig_Schedule_Skid</vt:lpstr>
    </vt:vector>
  </TitlesOfParts>
  <Company>Clive Samuels &amp; Associates,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gw</dc:creator>
  <cp:lastModifiedBy>Zach Benton</cp:lastModifiedBy>
  <cp:lastPrinted>2009-05-05T17:35:39Z</cp:lastPrinted>
  <dcterms:created xsi:type="dcterms:W3CDTF">2007-09-19T19:41:42Z</dcterms:created>
  <dcterms:modified xsi:type="dcterms:W3CDTF">2026-01-22T23:03:50Z</dcterms:modified>
</cp:coreProperties>
</file>